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6C7768ED-BEBD-4A78-8A40-A4F2C413E840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</calcChain>
</file>

<file path=xl/sharedStrings.xml><?xml version="1.0" encoding="utf-8"?>
<sst xmlns="http://schemas.openxmlformats.org/spreadsheetml/2006/main" count="16402" uniqueCount="120">
  <si>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</si>
  <si>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</si>
  <si>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</si>
  <si>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</si>
  <si>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</si>
  <si>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</si>
  <si>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</si>
  <si>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</si>
  <si>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</si>
  <si>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</si>
  <si>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</si>
  <si>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</si>
  <si>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</si>
  <si>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</si>
  <si>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</si>
  <si>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</si>
  <si>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</si>
  <si>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</si>
  <si>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</si>
  <si>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</si>
  <si>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</si>
  <si>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</si>
  <si>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</si>
  <si>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</si>
  <si>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</si>
  <si>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</si>
  <si>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</si>
  <si>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</si>
  <si>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</si>
  <si>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</si>
  <si>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</si>
  <si>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</si>
  <si>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</si>
  <si>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</si>
  <si>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</si>
  <si>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</si>
  <si>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</si>
  <si>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</si>
  <si>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</si>
  <si>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</si>
  <si>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</si>
  <si>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Building 07 (16)</t>
  </si>
  <si>
    <t>mcp_road_part_02</t>
  </si>
  <si>
    <t>Kooper</t>
  </si>
  <si>
    <t>Plane_01</t>
  </si>
  <si>
    <t>Box001</t>
  </si>
  <si>
    <t>Floor 01</t>
  </si>
  <si>
    <t>Pilar Small (26)</t>
  </si>
  <si>
    <t>FAR</t>
  </si>
  <si>
    <t>Building 15 (22)</t>
  </si>
  <si>
    <t>Building 15 (24)</t>
  </si>
  <si>
    <t>Building 07 (13)</t>
  </si>
  <si>
    <t>mcp_roads_turn_01 (1)</t>
  </si>
  <si>
    <t>Building 18 (9)</t>
  </si>
  <si>
    <t>Building 07 (17)</t>
  </si>
  <si>
    <t>Building 07 (18)</t>
  </si>
  <si>
    <t>Building 24</t>
  </si>
  <si>
    <t>mcp_roads_T_cross_01</t>
  </si>
  <si>
    <t>Canopi 01 (8)</t>
  </si>
  <si>
    <t>Building 24 (1)</t>
  </si>
  <si>
    <t>Building 18 (11)</t>
  </si>
  <si>
    <t>Building 15 (35)</t>
  </si>
  <si>
    <t>mcp_road_part_01</t>
  </si>
  <si>
    <t>mcp_roads_cross_01</t>
  </si>
  <si>
    <t>Building 02 (8)</t>
  </si>
  <si>
    <t>Building 07 (4)</t>
  </si>
  <si>
    <t>Building 15 (33)</t>
  </si>
  <si>
    <t>Building 15 (31)</t>
  </si>
  <si>
    <t>Pilar Small (9)</t>
  </si>
  <si>
    <t>Pilar Small (10)</t>
  </si>
  <si>
    <t>Wall Small 03 (8)</t>
  </si>
  <si>
    <t>Wall Small 03 (9)</t>
  </si>
  <si>
    <t>Tree 04</t>
  </si>
  <si>
    <t>Tree 04 (1)</t>
  </si>
  <si>
    <t>Building 15 (32)</t>
  </si>
  <si>
    <t>mcp_roads_turn_01</t>
  </si>
  <si>
    <t>Building 15 (30)</t>
  </si>
  <si>
    <t>Building 09 (4)</t>
  </si>
  <si>
    <t>Building 07 (15)</t>
  </si>
  <si>
    <t>Building 02 (11)</t>
  </si>
  <si>
    <t>Tong (3)</t>
  </si>
  <si>
    <t>Tree 05 (15)</t>
  </si>
  <si>
    <t>Tree 02 (2)</t>
  </si>
  <si>
    <t>Building 15 (9)</t>
  </si>
  <si>
    <t>Tree 02 (3)</t>
  </si>
  <si>
    <t>Bannar Stand</t>
  </si>
  <si>
    <t>Stand 03 (2)</t>
  </si>
  <si>
    <t>mcp_building_24_fountain_marble</t>
  </si>
  <si>
    <t>Building 01</t>
  </si>
  <si>
    <t>Building 11 (3)</t>
  </si>
  <si>
    <t>mcp_roads_cross_02</t>
  </si>
  <si>
    <t>Building 21 (2)</t>
  </si>
  <si>
    <t>Building 29 (5)</t>
  </si>
  <si>
    <t>Building 01 (1)</t>
  </si>
  <si>
    <t>Building 15 (7)</t>
  </si>
  <si>
    <t>Building 13 (1)</t>
  </si>
  <si>
    <t>Building 30 (5)</t>
  </si>
  <si>
    <t>Building 18 (7)</t>
  </si>
  <si>
    <t>Building 18 (6)</t>
  </si>
  <si>
    <t>mcp_bus_stop_night_LOD_0</t>
  </si>
  <si>
    <t>Building 30 (4)</t>
  </si>
  <si>
    <t>mcp_road_part_02 (2)</t>
  </si>
  <si>
    <t>Building 23 (4)</t>
  </si>
  <si>
    <t>Shurbs (3)</t>
  </si>
  <si>
    <t>Shurbs (2)</t>
  </si>
  <si>
    <t>mcp_road_part_02 (3)</t>
  </si>
  <si>
    <t>mcp_road_part_02 (1)</t>
  </si>
  <si>
    <t>Shurbs (1)</t>
  </si>
  <si>
    <t>Building 15 (34)</t>
  </si>
  <si>
    <t>Building 04 (3)</t>
  </si>
  <si>
    <t>mcp_road_part_02 (7)</t>
  </si>
  <si>
    <t>Building 07 (14)</t>
  </si>
  <si>
    <t>mcp_road_part_02 (10)</t>
  </si>
  <si>
    <t>mcp_road_part_02 (4)</t>
  </si>
  <si>
    <t>mcp_road_part_02 (9)</t>
  </si>
  <si>
    <t>mcp_road_part_02 (6)</t>
  </si>
  <si>
    <t>mcp_road_part_02 (12)</t>
  </si>
  <si>
    <t>mcp_road_part_02 (11)</t>
  </si>
  <si>
    <t>Canopi 01 (7)</t>
  </si>
  <si>
    <t>Building 14 (9)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</si>
</sst>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182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"20190303170228010"</f>
        <v>20190303170228010</v>
      </c>
      <c r="B2" t="str">
        <f>"1551603748005884"</f>
        <v>1551603748005884</v>
      </c>
      <c r="C2" t="s">
        <v>40</v>
      </c>
      <c r="D2">
        <v>3.9781070000000001</v>
      </c>
      <c r="E2">
        <v>0.48521199999999998</v>
      </c>
      <c r="F2" t="s">
        <v>41</v>
      </c>
      <c r="G2">
        <v>-158.19499999999999</v>
      </c>
      <c r="H2">
        <v>2.6822080000000001</v>
      </c>
      <c r="I2">
        <v>366.40609999999998</v>
      </c>
      <c r="J2">
        <v>-475.66059999999999</v>
      </c>
      <c r="K2">
        <v>1.120668</v>
      </c>
      <c r="L2">
        <v>367.0677</v>
      </c>
      <c r="M2">
        <v>0.99996700000000005</v>
      </c>
      <c r="N2">
        <v>-8.1420390000000002E-3</v>
      </c>
      <c r="O2">
        <v>1.9057469999999999E-4</v>
      </c>
      <c r="P2">
        <v>0.99367989999999995</v>
      </c>
      <c r="Q2">
        <v>0.10357760000000001</v>
      </c>
      <c r="R2">
        <v>-4.3266319999999997E-2</v>
      </c>
      <c r="S2">
        <v>3.0168460000000001</v>
      </c>
      <c r="T2">
        <v>1.483786E-2</v>
      </c>
      <c r="U2">
        <v>-6.286621E-3</v>
      </c>
      <c r="V2">
        <v>4.345338E-2</v>
      </c>
      <c r="W2">
        <v>0.1116658</v>
      </c>
      <c r="X2">
        <v>0.99279530000000005</v>
      </c>
      <c r="Y2">
        <v>2.2744169999999999E-3</v>
      </c>
      <c r="Z2" s="1">
        <v>-1.1772219999999999E-6</v>
      </c>
      <c r="AA2">
        <v>0.99999740000000004</v>
      </c>
      <c r="AB2">
        <v>1</v>
      </c>
      <c r="AC2">
        <v>317.46559999999999</v>
      </c>
      <c r="AD2">
        <v>1.5615399999999999</v>
      </c>
      <c r="AE2">
        <v>-0.66160000000002095</v>
      </c>
      <c r="AF2">
        <v>0.72208542469424497</v>
      </c>
      <c r="AG2">
        <v>1.5615399999999999</v>
      </c>
      <c r="AH2">
        <v>317.457787513862</v>
      </c>
      <c r="AI2">
        <v>89.718171353663195</v>
      </c>
      <c r="AJ2">
        <v>89.869675977215906</v>
      </c>
      <c r="AK2">
        <v>317.46244922467298</v>
      </c>
      <c r="AL2">
        <v>83.588649297892005</v>
      </c>
      <c r="AM2">
        <v>87.493836577071804</v>
      </c>
      <c r="AN2">
        <v>0.99999997741257696</v>
      </c>
    </row>
    <row r="3" spans="1:40" x14ac:dyDescent="0.25">
      <c r="A3" t="str">
        <f>"20190303170228034"</f>
        <v>20190303170228034</v>
      </c>
      <c r="B3" t="str">
        <f>"1551603748026380"</f>
        <v>1551603748026380</v>
      </c>
      <c r="C3" t="s">
        <v>40</v>
      </c>
      <c r="D3">
        <v>3.9662630000000001</v>
      </c>
      <c r="E3">
        <v>0.48493029999999998</v>
      </c>
      <c r="F3" t="s">
        <v>41</v>
      </c>
      <c r="G3">
        <v>-158.19499999999999</v>
      </c>
      <c r="H3">
        <v>3.2572269999999999</v>
      </c>
      <c r="I3">
        <v>366.6728</v>
      </c>
      <c r="J3">
        <v>-475.65219999999999</v>
      </c>
      <c r="K3">
        <v>1.120868</v>
      </c>
      <c r="L3">
        <v>367.06779999999998</v>
      </c>
      <c r="M3">
        <v>0.99996479999999999</v>
      </c>
      <c r="N3">
        <v>-8.3806439999999996E-3</v>
      </c>
      <c r="O3">
        <v>2.1462010000000001E-4</v>
      </c>
      <c r="P3">
        <v>0.99375729999999995</v>
      </c>
      <c r="Q3">
        <v>0.10270170000000001</v>
      </c>
      <c r="R3">
        <v>-4.3574710000000003E-2</v>
      </c>
      <c r="S3">
        <v>3.0167540000000002</v>
      </c>
      <c r="T3">
        <v>2.0303729999999999E-2</v>
      </c>
      <c r="U3">
        <v>-3.7536620000000001E-3</v>
      </c>
      <c r="V3">
        <v>4.378746E-2</v>
      </c>
      <c r="W3">
        <v>0.1110266</v>
      </c>
      <c r="X3">
        <v>0.99285230000000002</v>
      </c>
      <c r="Y3">
        <v>1.4588820000000001E-3</v>
      </c>
      <c r="Z3" s="1">
        <v>2.0391239999999999E-6</v>
      </c>
      <c r="AA3">
        <v>0.99999890000000002</v>
      </c>
      <c r="AB3">
        <v>1</v>
      </c>
      <c r="AC3">
        <v>317.4572</v>
      </c>
      <c r="AD3">
        <v>2.1363590000000001</v>
      </c>
      <c r="AE3">
        <v>-0.39499999999998098</v>
      </c>
      <c r="AF3">
        <v>0.463114110461673</v>
      </c>
      <c r="AG3">
        <v>2.1363590000000001</v>
      </c>
      <c r="AH3">
        <v>317.44273175274998</v>
      </c>
      <c r="AI3">
        <v>89.614411155732498</v>
      </c>
      <c r="AJ3">
        <v>89.916411804450703</v>
      </c>
      <c r="AK3">
        <v>317.45025822497701</v>
      </c>
      <c r="AL3">
        <v>83.625501866650595</v>
      </c>
      <c r="AM3">
        <v>87.474738239423402</v>
      </c>
      <c r="AN3">
        <v>0.99999996858804996</v>
      </c>
    </row>
    <row r="4" spans="1:40" x14ac:dyDescent="0.25">
      <c r="A4" t="str">
        <f>"20190303170228056"</f>
        <v>20190303170228056</v>
      </c>
      <c r="B4" t="str">
        <f>"1551603748045899"</f>
        <v>1551603748045899</v>
      </c>
      <c r="C4" t="s">
        <v>40</v>
      </c>
      <c r="D4">
        <v>3.9857860000000001</v>
      </c>
      <c r="E4">
        <v>0.48478909999999997</v>
      </c>
      <c r="F4" t="s">
        <v>41</v>
      </c>
      <c r="G4">
        <v>-158.19499999999999</v>
      </c>
      <c r="H4">
        <v>3.148571</v>
      </c>
      <c r="I4">
        <v>366.76920000000001</v>
      </c>
      <c r="J4">
        <v>-475.64100000000002</v>
      </c>
      <c r="K4">
        <v>1.120787</v>
      </c>
      <c r="L4">
        <v>367.06779999999998</v>
      </c>
      <c r="M4">
        <v>0.99996980000000002</v>
      </c>
      <c r="N4">
        <v>-7.76093099999999E-3</v>
      </c>
      <c r="O4">
        <v>2.469851E-4</v>
      </c>
      <c r="P4">
        <v>0.99373140000000004</v>
      </c>
      <c r="Q4">
        <v>0.1028873</v>
      </c>
      <c r="R4">
        <v>-4.3729360000000002E-2</v>
      </c>
      <c r="S4">
        <v>3.0167540000000002</v>
      </c>
      <c r="T4">
        <v>1.926982E-2</v>
      </c>
      <c r="U4">
        <v>-2.8381349999999999E-3</v>
      </c>
      <c r="V4">
        <v>4.397392E-2</v>
      </c>
      <c r="W4">
        <v>0.1105968</v>
      </c>
      <c r="X4">
        <v>0.99289210000000006</v>
      </c>
      <c r="Y4">
        <v>1.187764E-3</v>
      </c>
      <c r="Z4" s="1">
        <v>2.678752E-6</v>
      </c>
      <c r="AA4">
        <v>0.99999930000000004</v>
      </c>
      <c r="AB4">
        <v>1</v>
      </c>
      <c r="AC4">
        <v>317.44600000000003</v>
      </c>
      <c r="AD4">
        <v>2.027784</v>
      </c>
      <c r="AE4">
        <v>-0.29859999999996401</v>
      </c>
      <c r="AF4">
        <v>0.37699140566367501</v>
      </c>
      <c r="AG4">
        <v>2.027784</v>
      </c>
      <c r="AH4">
        <v>317.43296401422901</v>
      </c>
      <c r="AI4">
        <v>89.633995785383604</v>
      </c>
      <c r="AJ4">
        <v>89.931954117087201</v>
      </c>
      <c r="AK4">
        <v>317.43966461885202</v>
      </c>
      <c r="AL4">
        <v>83.650280648464303</v>
      </c>
      <c r="AM4">
        <v>87.464100457329806</v>
      </c>
      <c r="AN4">
        <v>1.0000000400264</v>
      </c>
    </row>
    <row r="5" spans="1:40" x14ac:dyDescent="0.25">
      <c r="A5" t="str">
        <f>"20190303170228078"</f>
        <v>20190303170228078</v>
      </c>
      <c r="B5" t="str">
        <f>"1551603748065421"</f>
        <v>1551603748065421</v>
      </c>
      <c r="C5" t="s">
        <v>40</v>
      </c>
      <c r="D5">
        <v>4.020912</v>
      </c>
      <c r="E5">
        <v>0.48468349999999999</v>
      </c>
      <c r="F5" t="s">
        <v>41</v>
      </c>
      <c r="G5">
        <v>-158.19499999999999</v>
      </c>
      <c r="H5">
        <v>3.2985630000000001</v>
      </c>
      <c r="I5">
        <v>366.86559999999997</v>
      </c>
      <c r="J5">
        <v>-475.62560000000002</v>
      </c>
      <c r="K5">
        <v>1.1205430000000001</v>
      </c>
      <c r="L5">
        <v>367.06790000000001</v>
      </c>
      <c r="M5">
        <v>0.9999787</v>
      </c>
      <c r="N5">
        <v>-6.5373230000000003E-3</v>
      </c>
      <c r="O5">
        <v>3.027525E-4</v>
      </c>
      <c r="P5">
        <v>0.99363919999999994</v>
      </c>
      <c r="Q5">
        <v>0.10358489999999999</v>
      </c>
      <c r="R5">
        <v>-4.4175209999999999E-2</v>
      </c>
      <c r="S5">
        <v>3.0166629999999999</v>
      </c>
      <c r="T5">
        <v>2.0696039999999999E-2</v>
      </c>
      <c r="U5">
        <v>-1.922607E-3</v>
      </c>
      <c r="V5">
        <v>4.447483E-2</v>
      </c>
      <c r="W5">
        <v>0.1100788</v>
      </c>
      <c r="X5">
        <v>0.99292729999999996</v>
      </c>
      <c r="Y5">
        <v>9.4006000000000005E-4</v>
      </c>
      <c r="Z5" s="1">
        <v>4.2080649999999997E-6</v>
      </c>
      <c r="AA5">
        <v>0.99999959999999999</v>
      </c>
      <c r="AB5">
        <v>1</v>
      </c>
      <c r="AC5">
        <v>317.43060000000003</v>
      </c>
      <c r="AD5">
        <v>2.1780200000000001</v>
      </c>
      <c r="AE5">
        <v>-0.20230000000003601</v>
      </c>
      <c r="AF5">
        <v>0.29839089318159501</v>
      </c>
      <c r="AG5">
        <v>2.1780200000000001</v>
      </c>
      <c r="AH5">
        <v>317.41558063875198</v>
      </c>
      <c r="AI5">
        <v>89.606858176808899</v>
      </c>
      <c r="AJ5">
        <v>89.946138328326995</v>
      </c>
      <c r="AK5">
        <v>317.42319329324602</v>
      </c>
      <c r="AL5">
        <v>83.680141860894807</v>
      </c>
      <c r="AM5">
        <v>87.435343004488402</v>
      </c>
      <c r="AN5">
        <v>0.99999998789912903</v>
      </c>
    </row>
    <row r="6" spans="1:40" x14ac:dyDescent="0.25">
      <c r="A6" t="str">
        <f>"20190303170228100"</f>
        <v>20190303170228100</v>
      </c>
      <c r="B6" t="str">
        <f>"1551603748085916"</f>
        <v>1551603748085916</v>
      </c>
      <c r="C6" t="s">
        <v>40</v>
      </c>
      <c r="D6">
        <v>3.9771550000000002</v>
      </c>
      <c r="E6">
        <v>0.4846529</v>
      </c>
      <c r="F6" t="s">
        <v>41</v>
      </c>
      <c r="G6">
        <v>-158.19499999999999</v>
      </c>
      <c r="H6">
        <v>3.5391449999999902</v>
      </c>
      <c r="I6">
        <v>366.80459999999999</v>
      </c>
      <c r="J6">
        <v>-475.60719999999998</v>
      </c>
      <c r="K6">
        <v>1.1203650000000001</v>
      </c>
      <c r="L6">
        <v>367.06799999999998</v>
      </c>
      <c r="M6">
        <v>0.99998549999999997</v>
      </c>
      <c r="N6">
        <v>-5.399956E-3</v>
      </c>
      <c r="O6">
        <v>3.7345990000000001E-4</v>
      </c>
      <c r="P6">
        <v>0.99349759999999998</v>
      </c>
      <c r="Q6">
        <v>0.1047925</v>
      </c>
      <c r="R6">
        <v>-4.4516399999999998E-2</v>
      </c>
      <c r="S6">
        <v>3.0166930000000001</v>
      </c>
      <c r="T6">
        <v>2.298594E-2</v>
      </c>
      <c r="U6">
        <v>-2.5024410000000002E-3</v>
      </c>
      <c r="V6">
        <v>4.4884930000000003E-2</v>
      </c>
      <c r="W6">
        <v>0.1101565</v>
      </c>
      <c r="X6">
        <v>0.99290029999999996</v>
      </c>
      <c r="Y6">
        <v>1.202954E-3</v>
      </c>
      <c r="Z6" s="1">
        <v>6.1971439999999999E-6</v>
      </c>
      <c r="AA6">
        <v>0.99999930000000004</v>
      </c>
      <c r="AB6">
        <v>2</v>
      </c>
      <c r="AC6">
        <v>317.41219999999998</v>
      </c>
      <c r="AD6">
        <v>2.4187799999999902</v>
      </c>
      <c r="AE6">
        <v>-0.26340000000004599</v>
      </c>
      <c r="AF6">
        <v>0.38192024292978199</v>
      </c>
      <c r="AG6">
        <v>2.4187799999999902</v>
      </c>
      <c r="AH6">
        <v>317.393648725162</v>
      </c>
      <c r="AI6">
        <v>89.563371532292095</v>
      </c>
      <c r="AJ6">
        <v>89.931055937770097</v>
      </c>
      <c r="AK6">
        <v>317.403094834993</v>
      </c>
      <c r="AL6">
        <v>83.675663188136397</v>
      </c>
      <c r="AM6">
        <v>87.411656166842803</v>
      </c>
      <c r="AN6">
        <v>1.0000000585867199</v>
      </c>
    </row>
    <row r="7" spans="1:40" x14ac:dyDescent="0.25">
      <c r="A7" t="str">
        <f>"20190303170228122"</f>
        <v>20190303170228122</v>
      </c>
      <c r="B7" t="str">
        <f>"1551603748116173"</f>
        <v>1551603748116173</v>
      </c>
      <c r="C7" t="s">
        <v>40</v>
      </c>
      <c r="D7">
        <v>3.9667530000000002</v>
      </c>
      <c r="E7">
        <v>0.48469600000000002</v>
      </c>
      <c r="F7" t="s">
        <v>41</v>
      </c>
      <c r="G7">
        <v>-158.19499999999999</v>
      </c>
      <c r="H7">
        <v>4.001906</v>
      </c>
      <c r="I7">
        <v>366.75009999999997</v>
      </c>
      <c r="J7">
        <v>-475.5865</v>
      </c>
      <c r="K7">
        <v>1.1202840000000001</v>
      </c>
      <c r="L7">
        <v>367.06810000000002</v>
      </c>
      <c r="M7">
        <v>0.99998949999999998</v>
      </c>
      <c r="N7">
        <v>-4.5799600000000001E-3</v>
      </c>
      <c r="O7">
        <v>4.4780489999999998E-4</v>
      </c>
      <c r="P7">
        <v>0.99339409999999895</v>
      </c>
      <c r="Q7">
        <v>0.1054266</v>
      </c>
      <c r="R7">
        <v>-4.5317639999999999E-2</v>
      </c>
      <c r="S7">
        <v>3.0165709999999999</v>
      </c>
      <c r="T7">
        <v>2.7385949999999999E-2</v>
      </c>
      <c r="U7">
        <v>-3.0212400000000001E-3</v>
      </c>
      <c r="V7">
        <v>4.5759750000000002E-2</v>
      </c>
      <c r="W7">
        <v>0.1099759</v>
      </c>
      <c r="X7">
        <v>0.99288030000000005</v>
      </c>
      <c r="Y7">
        <v>1.449285E-3</v>
      </c>
      <c r="Z7" s="1">
        <v>9.3758370000000005E-6</v>
      </c>
      <c r="AA7">
        <v>0.99999890000000002</v>
      </c>
      <c r="AB7">
        <v>2</v>
      </c>
      <c r="AC7">
        <v>317.39150000000001</v>
      </c>
      <c r="AD7">
        <v>2.8816220000000001</v>
      </c>
      <c r="AE7">
        <v>-0.31800000000003997</v>
      </c>
      <c r="AF7">
        <v>0.46009298989311298</v>
      </c>
      <c r="AG7">
        <v>2.8816220000000001</v>
      </c>
      <c r="AH7">
        <v>317.36516550054</v>
      </c>
      <c r="AI7">
        <v>89.479778859891297</v>
      </c>
      <c r="AJ7">
        <v>89.916936794260593</v>
      </c>
      <c r="AK7">
        <v>317.37858104178298</v>
      </c>
      <c r="AL7">
        <v>83.686073508342204</v>
      </c>
      <c r="AM7">
        <v>87.3612261573128</v>
      </c>
      <c r="AN7">
        <v>0.99999997171447996</v>
      </c>
    </row>
    <row r="8" spans="1:40" x14ac:dyDescent="0.25">
      <c r="A8" t="str">
        <f>"20190303170228135"</f>
        <v>20190303170228135</v>
      </c>
      <c r="B8" t="str">
        <f>"1551603748125933"</f>
        <v>1551603748125933</v>
      </c>
      <c r="C8" t="s">
        <v>40</v>
      </c>
      <c r="D8">
        <v>4.0405559999999996</v>
      </c>
      <c r="E8">
        <v>0.4991601</v>
      </c>
      <c r="F8" t="s">
        <v>41</v>
      </c>
      <c r="G8">
        <v>-158.19499999999999</v>
      </c>
      <c r="H8">
        <v>4.1589809999999998</v>
      </c>
      <c r="I8">
        <v>366.49020000000002</v>
      </c>
      <c r="J8">
        <v>-475.57369999999997</v>
      </c>
      <c r="K8">
        <v>1.1203099999999999</v>
      </c>
      <c r="L8">
        <v>367.06810000000002</v>
      </c>
      <c r="M8">
        <v>0.9999905</v>
      </c>
      <c r="N8">
        <v>-4.345832E-3</v>
      </c>
      <c r="O8">
        <v>4.8455029999999998E-4</v>
      </c>
      <c r="P8">
        <v>0.99337330000000001</v>
      </c>
      <c r="Q8">
        <v>0.10547089999999899</v>
      </c>
      <c r="R8">
        <v>-4.5668109999999998E-2</v>
      </c>
      <c r="S8">
        <v>3.0166629999999999</v>
      </c>
      <c r="T8">
        <v>2.8882270000000002E-2</v>
      </c>
      <c r="U8">
        <v>-5.493164E-3</v>
      </c>
      <c r="V8">
        <v>4.6147349999999997E-2</v>
      </c>
      <c r="W8">
        <v>0.1097877</v>
      </c>
      <c r="X8">
        <v>0.99288319999999997</v>
      </c>
      <c r="Y8">
        <v>2.3053879999999998E-3</v>
      </c>
      <c r="Z8" s="1">
        <v>1.277121E-5</v>
      </c>
      <c r="AA8">
        <v>0.99999729999999998</v>
      </c>
      <c r="AB8">
        <v>2</v>
      </c>
      <c r="AC8">
        <v>317.37869999999998</v>
      </c>
      <c r="AD8">
        <v>3.0386709999999999</v>
      </c>
      <c r="AE8">
        <v>-0.57789999999999897</v>
      </c>
      <c r="AF8">
        <v>0.73162025435661104</v>
      </c>
      <c r="AG8">
        <v>3.0386709999999999</v>
      </c>
      <c r="AH8">
        <v>317.34929243644501</v>
      </c>
      <c r="AI8">
        <v>89.451401831866207</v>
      </c>
      <c r="AJ8">
        <v>89.8679099669816</v>
      </c>
      <c r="AK8">
        <v>317.36468328967402</v>
      </c>
      <c r="AL8">
        <v>83.696922338150102</v>
      </c>
      <c r="AM8">
        <v>87.338914638425706</v>
      </c>
      <c r="AN8">
        <v>0.99999998291277603</v>
      </c>
    </row>
    <row r="9" spans="1:40" x14ac:dyDescent="0.25">
      <c r="A9" t="str">
        <f>"20190303170228156"</f>
        <v>20190303170228156</v>
      </c>
      <c r="B9" t="str">
        <f>"1551603748145453"</f>
        <v>1551603748145453</v>
      </c>
      <c r="C9" t="s">
        <v>40</v>
      </c>
      <c r="D9">
        <v>4.0831080000000002</v>
      </c>
      <c r="E9">
        <v>0.50581179999999903</v>
      </c>
      <c r="F9" t="s">
        <v>42</v>
      </c>
      <c r="G9">
        <v>-458.3236</v>
      </c>
      <c r="H9" s="1">
        <v>-1.409193E-6</v>
      </c>
      <c r="I9">
        <v>366.41180000000003</v>
      </c>
      <c r="J9">
        <v>-475.55149999999998</v>
      </c>
      <c r="K9">
        <v>1.1202510000000001</v>
      </c>
      <c r="L9">
        <v>367.06819999999999</v>
      </c>
      <c r="M9">
        <v>0.99999309999999997</v>
      </c>
      <c r="N9">
        <v>-3.7002379999999998E-3</v>
      </c>
      <c r="O9">
        <v>5.5123339999999996E-4</v>
      </c>
      <c r="P9">
        <v>0.99335879999999999</v>
      </c>
      <c r="Q9">
        <v>0.1053979</v>
      </c>
      <c r="R9">
        <v>-4.6151329999999997E-2</v>
      </c>
      <c r="S9">
        <v>3.0356139999999998</v>
      </c>
      <c r="T9">
        <v>-0.19714709999999999</v>
      </c>
      <c r="U9">
        <v>-0.1154785</v>
      </c>
      <c r="V9">
        <v>4.6696599999999998E-2</v>
      </c>
      <c r="W9">
        <v>0.1090739</v>
      </c>
      <c r="X9">
        <v>0.99293620000000005</v>
      </c>
      <c r="Y9">
        <v>3.8477980000000002E-2</v>
      </c>
      <c r="Z9">
        <v>-1.352713E-3</v>
      </c>
      <c r="AA9">
        <v>0.99925850000000005</v>
      </c>
      <c r="AB9">
        <v>2</v>
      </c>
      <c r="AC9">
        <v>17.227899999999899</v>
      </c>
      <c r="AD9">
        <v>-1.120252409193</v>
      </c>
      <c r="AE9">
        <v>-0.65639999999996201</v>
      </c>
      <c r="AF9">
        <v>0.66309684181498196</v>
      </c>
      <c r="AG9">
        <v>-1.120252409193</v>
      </c>
      <c r="AH9">
        <v>17.155103558189101</v>
      </c>
      <c r="AI9">
        <v>93.733410332258003</v>
      </c>
      <c r="AJ9">
        <v>87.786446103663494</v>
      </c>
      <c r="AK9">
        <v>17.204425040498201</v>
      </c>
      <c r="AL9">
        <v>83.738067227362905</v>
      </c>
      <c r="AM9">
        <v>87.307432015707207</v>
      </c>
      <c r="AN9">
        <v>0.999999992691605</v>
      </c>
    </row>
    <row r="10" spans="1:40" x14ac:dyDescent="0.25">
      <c r="A10" t="str">
        <f>"20190303170228178"</f>
        <v>20190303170228178</v>
      </c>
      <c r="B10" t="str">
        <f>"1551603748165948"</f>
        <v>1551603748165948</v>
      </c>
      <c r="C10" t="s">
        <v>40</v>
      </c>
      <c r="D10">
        <v>4.0884390000000002</v>
      </c>
      <c r="E10">
        <v>0.50900829999999997</v>
      </c>
      <c r="F10" t="s">
        <v>43</v>
      </c>
      <c r="G10">
        <v>-474.80509999999998</v>
      </c>
      <c r="H10">
        <v>1.0354589999999999</v>
      </c>
      <c r="I10">
        <v>367.02730000000003</v>
      </c>
      <c r="J10">
        <v>-475.52449999999999</v>
      </c>
      <c r="K10">
        <v>1.1201430000000001</v>
      </c>
      <c r="L10">
        <v>367.06830000000002</v>
      </c>
      <c r="M10">
        <v>0.99999579999999999</v>
      </c>
      <c r="N10">
        <v>-2.862009E-3</v>
      </c>
      <c r="O10">
        <v>6.3820169999999896E-4</v>
      </c>
      <c r="P10">
        <v>0.99325260000000004</v>
      </c>
      <c r="Q10">
        <v>0.1064051</v>
      </c>
      <c r="R10">
        <v>-4.6125640000000002E-2</v>
      </c>
      <c r="S10">
        <v>3.0491329999999999</v>
      </c>
      <c r="T10">
        <v>-0.34665829999999997</v>
      </c>
      <c r="U10">
        <v>-0.16567989999999999</v>
      </c>
      <c r="V10">
        <v>4.6756529999999998E-2</v>
      </c>
      <c r="W10">
        <v>0.1092489</v>
      </c>
      <c r="X10">
        <v>0.99291410000000002</v>
      </c>
      <c r="Y10">
        <v>5.45309E-2</v>
      </c>
      <c r="Z10">
        <v>-3.236423E-3</v>
      </c>
      <c r="AA10">
        <v>0.99850680000000003</v>
      </c>
      <c r="AB10">
        <v>2</v>
      </c>
      <c r="AC10">
        <v>0.71940000000000703</v>
      </c>
      <c r="AD10">
        <v>-8.4684000000000204E-2</v>
      </c>
      <c r="AE10">
        <v>-4.0999999999996803E-2</v>
      </c>
      <c r="AF10">
        <v>4.0894287847598298E-2</v>
      </c>
      <c r="AG10">
        <v>-8.4684000000000204E-2</v>
      </c>
      <c r="AH10">
        <v>0.70957313179072601</v>
      </c>
      <c r="AI10">
        <v>96.794605093945194</v>
      </c>
      <c r="AJ10">
        <v>86.701564640621896</v>
      </c>
      <c r="AK10">
        <v>0.71577772527081396</v>
      </c>
      <c r="AL10">
        <v>83.727979933710799</v>
      </c>
      <c r="AM10">
        <v>87.303921574535593</v>
      </c>
      <c r="AN10">
        <v>0.99999995261382901</v>
      </c>
    </row>
    <row r="11" spans="1:40" x14ac:dyDescent="0.25">
      <c r="A11" t="str">
        <f>"20190303170228191"</f>
        <v>20190303170228191</v>
      </c>
      <c r="B11" t="str">
        <f>"1551603748185468"</f>
        <v>1551603748185468</v>
      </c>
      <c r="C11" t="s">
        <v>40</v>
      </c>
      <c r="D11">
        <v>4.1107180000000003</v>
      </c>
      <c r="E11">
        <v>0.51031879999999996</v>
      </c>
      <c r="F11" t="s">
        <v>43</v>
      </c>
      <c r="G11">
        <v>-474.79079999999999</v>
      </c>
      <c r="H11">
        <v>1.009943</v>
      </c>
      <c r="I11">
        <v>367.02289999999999</v>
      </c>
      <c r="J11">
        <v>-475.50599999999997</v>
      </c>
      <c r="K11">
        <v>1.120082</v>
      </c>
      <c r="L11">
        <v>367.0684</v>
      </c>
      <c r="M11">
        <v>0.99999700000000002</v>
      </c>
      <c r="N11">
        <v>-2.364222E-3</v>
      </c>
      <c r="O11">
        <v>7.0036359999999995E-4</v>
      </c>
      <c r="P11">
        <v>0.99317580000000005</v>
      </c>
      <c r="Q11">
        <v>0.10726189999999999</v>
      </c>
      <c r="R11">
        <v>-4.5791749999999999E-2</v>
      </c>
      <c r="S11">
        <v>3.0609130000000002</v>
      </c>
      <c r="T11">
        <v>-0.45994309999999999</v>
      </c>
      <c r="U11">
        <v>-0.188385</v>
      </c>
      <c r="V11">
        <v>4.6483820000000002E-2</v>
      </c>
      <c r="W11">
        <v>0.1096114</v>
      </c>
      <c r="X11">
        <v>0.99288699999999996</v>
      </c>
      <c r="Y11">
        <v>6.1422629999999999E-2</v>
      </c>
      <c r="Z11">
        <v>-4.7607580000000004E-3</v>
      </c>
      <c r="AA11">
        <v>0.99810049999999995</v>
      </c>
      <c r="AB11">
        <v>3</v>
      </c>
      <c r="AC11">
        <v>0.71519999999998096</v>
      </c>
      <c r="AD11">
        <v>-0.110139</v>
      </c>
      <c r="AE11">
        <v>-4.5500000000004003E-2</v>
      </c>
      <c r="AF11">
        <v>4.4939437445880401E-2</v>
      </c>
      <c r="AG11">
        <v>-0.110139</v>
      </c>
      <c r="AH11">
        <v>0.69866573284244804</v>
      </c>
      <c r="AI11">
        <v>98.940316537926506</v>
      </c>
      <c r="AJ11">
        <v>86.319702240231095</v>
      </c>
      <c r="AK11">
        <v>0.708719943706418</v>
      </c>
      <c r="AL11">
        <v>83.707085023295903</v>
      </c>
      <c r="AM11">
        <v>87.319550546591998</v>
      </c>
      <c r="AN11">
        <v>0.999999999650376</v>
      </c>
    </row>
    <row r="12" spans="1:40" x14ac:dyDescent="0.25">
      <c r="A12" t="str">
        <f>"20190303170228210"</f>
        <v>20190303170228210</v>
      </c>
      <c r="B12" t="str">
        <f>"1551603748205964"</f>
        <v>1551603748205964</v>
      </c>
      <c r="C12" t="s">
        <v>40</v>
      </c>
      <c r="D12">
        <v>4.1203110000000001</v>
      </c>
      <c r="E12">
        <v>0.51069809999999904</v>
      </c>
      <c r="F12" t="s">
        <v>43</v>
      </c>
      <c r="G12">
        <v>-474.79559999999998</v>
      </c>
      <c r="H12">
        <v>0.9999673</v>
      </c>
      <c r="I12">
        <v>367.02289999999999</v>
      </c>
      <c r="J12">
        <v>-475.47809999999998</v>
      </c>
      <c r="K12">
        <v>1.12002</v>
      </c>
      <c r="L12">
        <v>367.06849999999997</v>
      </c>
      <c r="M12">
        <v>0.99999830000000001</v>
      </c>
      <c r="N12">
        <v>-1.7363789999999999E-3</v>
      </c>
      <c r="O12">
        <v>7.9052649999999903E-4</v>
      </c>
      <c r="P12">
        <v>0.99312940000000005</v>
      </c>
      <c r="Q12">
        <v>0.10780770000000001</v>
      </c>
      <c r="R12">
        <v>-4.5517820000000001E-2</v>
      </c>
      <c r="S12">
        <v>3.067596</v>
      </c>
      <c r="T12">
        <v>-0.51878259999999998</v>
      </c>
      <c r="U12">
        <v>-0.19573969999999999</v>
      </c>
      <c r="V12">
        <v>4.6299050000000001E-2</v>
      </c>
      <c r="W12">
        <v>0.1095337</v>
      </c>
      <c r="X12">
        <v>0.99290420000000001</v>
      </c>
      <c r="Y12">
        <v>6.3549159999999993E-2</v>
      </c>
      <c r="Z12">
        <v>-5.5173080000000003E-3</v>
      </c>
      <c r="AA12">
        <v>0.99796339999999994</v>
      </c>
      <c r="AB12">
        <v>3</v>
      </c>
      <c r="AC12">
        <v>0.68250000000000399</v>
      </c>
      <c r="AD12">
        <v>-0.120052699999999</v>
      </c>
      <c r="AE12">
        <v>-4.55999999999789E-2</v>
      </c>
      <c r="AF12">
        <v>4.4760720921602798E-2</v>
      </c>
      <c r="AG12">
        <v>-0.120052699999999</v>
      </c>
      <c r="AH12">
        <v>0.66206948820817502</v>
      </c>
      <c r="AI12">
        <v>100.254827278211</v>
      </c>
      <c r="AJ12">
        <v>86.132273507386998</v>
      </c>
      <c r="AK12">
        <v>0.67435315683323305</v>
      </c>
      <c r="AL12">
        <v>83.711563824621194</v>
      </c>
      <c r="AM12">
        <v>87.330235884798299</v>
      </c>
      <c r="AN12">
        <v>0.99999999192211597</v>
      </c>
    </row>
    <row r="13" spans="1:40" x14ac:dyDescent="0.25">
      <c r="A13" t="str">
        <f>"20190303170228236"</f>
        <v>20190303170228236</v>
      </c>
      <c r="B13" t="str">
        <f>"1551603748225484"</f>
        <v>1551603748225484</v>
      </c>
      <c r="C13" t="s">
        <v>40</v>
      </c>
      <c r="D13">
        <v>4.1355149999999998</v>
      </c>
      <c r="E13">
        <v>0.51133499999999998</v>
      </c>
      <c r="F13" t="s">
        <v>43</v>
      </c>
      <c r="G13">
        <v>-474.77010000000001</v>
      </c>
      <c r="H13">
        <v>0.99254319999999896</v>
      </c>
      <c r="I13">
        <v>367.02260000000001</v>
      </c>
      <c r="J13">
        <v>-475.44560000000001</v>
      </c>
      <c r="K13">
        <v>1.120328</v>
      </c>
      <c r="L13">
        <v>367.06869999999998</v>
      </c>
      <c r="M13">
        <v>0.99999680000000002</v>
      </c>
      <c r="N13">
        <v>-2.4149409999999999E-3</v>
      </c>
      <c r="O13">
        <v>8.699647E-4</v>
      </c>
      <c r="P13">
        <v>0.99325909999999995</v>
      </c>
      <c r="Q13">
        <v>0.1066146</v>
      </c>
      <c r="R13">
        <v>-4.5499669999999999E-2</v>
      </c>
      <c r="S13">
        <v>3.0718380000000001</v>
      </c>
      <c r="T13">
        <v>-0.55343589999999998</v>
      </c>
      <c r="U13">
        <v>-0.1967468</v>
      </c>
      <c r="V13">
        <v>4.6363260000000003E-2</v>
      </c>
      <c r="W13">
        <v>0.10901329999999999</v>
      </c>
      <c r="X13">
        <v>0.99295849999999997</v>
      </c>
      <c r="Y13">
        <v>6.3736210000000001E-2</v>
      </c>
      <c r="Z13">
        <v>-5.9208630000000002E-3</v>
      </c>
      <c r="AA13">
        <v>0.99794919999999998</v>
      </c>
      <c r="AB13">
        <v>3</v>
      </c>
      <c r="AC13">
        <v>0.67549999999999899</v>
      </c>
      <c r="AD13">
        <v>-0.1277848</v>
      </c>
      <c r="AE13">
        <v>-4.6099999999967098E-2</v>
      </c>
      <c r="AF13">
        <v>4.5081845734935698E-2</v>
      </c>
      <c r="AG13">
        <v>-0.1277848</v>
      </c>
      <c r="AH13">
        <v>0.652227521880684</v>
      </c>
      <c r="AI13">
        <v>101.059279997367</v>
      </c>
      <c r="AJ13">
        <v>86.046015095503293</v>
      </c>
      <c r="AK13">
        <v>0.66615468791004295</v>
      </c>
      <c r="AL13">
        <v>83.741560333514599</v>
      </c>
      <c r="AM13">
        <v>87.326684667536497</v>
      </c>
      <c r="AN13">
        <v>1.00000001708848</v>
      </c>
    </row>
    <row r="14" spans="1:40" x14ac:dyDescent="0.25">
      <c r="A14" t="str">
        <f>"20190303170228256"</f>
        <v>20190303170228256</v>
      </c>
      <c r="B14" t="str">
        <f>"1551603748245980"</f>
        <v>1551603748245980</v>
      </c>
      <c r="C14" t="s">
        <v>40</v>
      </c>
      <c r="D14">
        <v>4.1384939999999997</v>
      </c>
      <c r="E14">
        <v>0.51146250000000004</v>
      </c>
      <c r="F14" t="s">
        <v>43</v>
      </c>
      <c r="G14">
        <v>-474.71800000000002</v>
      </c>
      <c r="H14">
        <v>0.98301289999999997</v>
      </c>
      <c r="I14">
        <v>367.0206</v>
      </c>
      <c r="J14">
        <v>-475.41329999999999</v>
      </c>
      <c r="K14">
        <v>1.1203259999999999</v>
      </c>
      <c r="L14">
        <v>367.06880000000001</v>
      </c>
      <c r="M14">
        <v>0.99999709999999997</v>
      </c>
      <c r="N14">
        <v>-2.2519150000000002E-3</v>
      </c>
      <c r="O14">
        <v>9.4364090000000002E-4</v>
      </c>
      <c r="P14">
        <v>0.99323939999999999</v>
      </c>
      <c r="Q14">
        <v>0.1067901</v>
      </c>
      <c r="R14">
        <v>-4.5514279999999997E-2</v>
      </c>
      <c r="S14">
        <v>3.0734560000000002</v>
      </c>
      <c r="T14">
        <v>-0.58034869999999905</v>
      </c>
      <c r="U14">
        <v>-0.20092769999999999</v>
      </c>
      <c r="V14">
        <v>4.6451770000000003E-2</v>
      </c>
      <c r="W14">
        <v>0.1090261</v>
      </c>
      <c r="X14">
        <v>0.99295290000000003</v>
      </c>
      <c r="Y14">
        <v>6.500351E-2</v>
      </c>
      <c r="Z14">
        <v>-6.3253609999999998E-3</v>
      </c>
      <c r="AA14">
        <v>0.997865</v>
      </c>
      <c r="AB14">
        <v>3</v>
      </c>
      <c r="AC14">
        <v>0.69529999999997405</v>
      </c>
      <c r="AD14">
        <v>-0.13731309999999899</v>
      </c>
      <c r="AE14">
        <v>-4.8200000000008403E-2</v>
      </c>
      <c r="AF14">
        <v>4.7030609641555102E-2</v>
      </c>
      <c r="AG14">
        <v>-0.13731309999999899</v>
      </c>
      <c r="AH14">
        <v>0.66927637369039406</v>
      </c>
      <c r="AI14">
        <v>101.566530505963</v>
      </c>
      <c r="AJ14">
        <v>85.980385313112095</v>
      </c>
      <c r="AK14">
        <v>0.68483401642663</v>
      </c>
      <c r="AL14">
        <v>83.740822188272105</v>
      </c>
      <c r="AM14">
        <v>87.321573503529194</v>
      </c>
      <c r="AN14">
        <v>0.99999995951787501</v>
      </c>
    </row>
    <row r="15" spans="1:40" x14ac:dyDescent="0.25">
      <c r="A15" t="str">
        <f>"20190303170228279"</f>
        <v>20190303170228279</v>
      </c>
      <c r="B15" t="str">
        <f>"1551603748265501"</f>
        <v>1551603748265501</v>
      </c>
      <c r="C15" t="s">
        <v>40</v>
      </c>
      <c r="D15">
        <v>4.1333900000000003</v>
      </c>
      <c r="E15">
        <v>0.51160609999999995</v>
      </c>
      <c r="F15" t="s">
        <v>43</v>
      </c>
      <c r="G15">
        <v>-474.68630000000002</v>
      </c>
      <c r="H15">
        <v>0.9797363</v>
      </c>
      <c r="I15">
        <v>367.02080000000001</v>
      </c>
      <c r="J15">
        <v>-475.37759999999997</v>
      </c>
      <c r="K15">
        <v>1.120177</v>
      </c>
      <c r="L15">
        <v>367.06900000000002</v>
      </c>
      <c r="M15">
        <v>0.99999830000000001</v>
      </c>
      <c r="N15">
        <v>-1.61059299999999E-3</v>
      </c>
      <c r="O15">
        <v>1.033256E-3</v>
      </c>
      <c r="P15">
        <v>0.99315949999999997</v>
      </c>
      <c r="Q15">
        <v>0.10754759999999999</v>
      </c>
      <c r="R15">
        <v>-4.5477789999999997E-2</v>
      </c>
      <c r="S15">
        <v>3.0751339999999998</v>
      </c>
      <c r="T15">
        <v>-0.59488940000000001</v>
      </c>
      <c r="U15">
        <v>-0.2015991</v>
      </c>
      <c r="V15">
        <v>4.6503309999999999E-2</v>
      </c>
      <c r="W15">
        <v>0.10914690000000001</v>
      </c>
      <c r="X15">
        <v>0.99293730000000002</v>
      </c>
      <c r="Y15">
        <v>6.521544E-2</v>
      </c>
      <c r="Z15">
        <v>-6.4928109999999898E-3</v>
      </c>
      <c r="AA15">
        <v>0.99785009999999996</v>
      </c>
      <c r="AB15">
        <v>3</v>
      </c>
      <c r="AC15">
        <v>0.69129999999995495</v>
      </c>
      <c r="AD15">
        <v>-0.140440699999999</v>
      </c>
      <c r="AE15">
        <v>-4.8200000000008403E-2</v>
      </c>
      <c r="AF15">
        <v>4.6984513296469001E-2</v>
      </c>
      <c r="AG15">
        <v>-0.140440699999999</v>
      </c>
      <c r="AH15">
        <v>0.66397883622958398</v>
      </c>
      <c r="AI15">
        <v>101.913889423303</v>
      </c>
      <c r="AJ15">
        <v>85.952379195107596</v>
      </c>
      <c r="AK15">
        <v>0.68029334089566795</v>
      </c>
      <c r="AL15">
        <v>83.7338598283159</v>
      </c>
      <c r="AM15">
        <v>87.318563956858497</v>
      </c>
      <c r="AN15">
        <v>1.0000000426759199</v>
      </c>
    </row>
    <row r="16" spans="1:40" x14ac:dyDescent="0.25">
      <c r="A16" t="str">
        <f>"20190303170228301"</f>
        <v>20190303170228301</v>
      </c>
      <c r="B16" t="str">
        <f>"1551603748295757"</f>
        <v>1551603748295757</v>
      </c>
      <c r="C16" t="s">
        <v>40</v>
      </c>
      <c r="D16">
        <v>4.1988390000000004</v>
      </c>
      <c r="E16">
        <v>0.51170799999999905</v>
      </c>
      <c r="F16" t="s">
        <v>43</v>
      </c>
      <c r="G16">
        <v>-474.6515</v>
      </c>
      <c r="H16">
        <v>0.9778675</v>
      </c>
      <c r="I16">
        <v>367.02080000000001</v>
      </c>
      <c r="J16">
        <v>-475.33449999999999</v>
      </c>
      <c r="K16">
        <v>1.120045</v>
      </c>
      <c r="L16">
        <v>367.06909999999999</v>
      </c>
      <c r="M16">
        <v>0.99999899999999997</v>
      </c>
      <c r="N16">
        <v>-9.2040540000000004E-4</v>
      </c>
      <c r="O16">
        <v>1.1487349999999999E-3</v>
      </c>
      <c r="P16">
        <v>0.99318030000000002</v>
      </c>
      <c r="Q16">
        <v>0.1073935</v>
      </c>
      <c r="R16">
        <v>-4.5387179999999999E-2</v>
      </c>
      <c r="S16">
        <v>3.0766909999999998</v>
      </c>
      <c r="T16">
        <v>-0.60318319999999903</v>
      </c>
      <c r="U16">
        <v>-0.20266719999999999</v>
      </c>
      <c r="V16">
        <v>4.6526270000000002E-2</v>
      </c>
      <c r="W16">
        <v>0.1083084</v>
      </c>
      <c r="X16">
        <v>0.99302800000000002</v>
      </c>
      <c r="Y16">
        <v>6.5604499999999996E-2</v>
      </c>
      <c r="Z16">
        <v>-6.6158390000000001E-3</v>
      </c>
      <c r="AA16">
        <v>0.99782380000000004</v>
      </c>
      <c r="AB16">
        <v>4</v>
      </c>
      <c r="AC16">
        <v>0.68299999999999195</v>
      </c>
      <c r="AD16">
        <v>-0.14217750000000001</v>
      </c>
      <c r="AE16">
        <v>-4.8299999999983301E-2</v>
      </c>
      <c r="AF16">
        <v>4.7055631826949697E-2</v>
      </c>
      <c r="AG16">
        <v>-0.14217750000000001</v>
      </c>
      <c r="AH16">
        <v>0.65471439828907396</v>
      </c>
      <c r="AI16">
        <v>102.221521240871</v>
      </c>
      <c r="AJ16">
        <v>85.889106522474407</v>
      </c>
      <c r="AK16">
        <v>0.67162461041857802</v>
      </c>
      <c r="AL16">
        <v>83.782188625146802</v>
      </c>
      <c r="AM16">
        <v>87.317486666287806</v>
      </c>
      <c r="AN16">
        <v>1.00000000604733</v>
      </c>
    </row>
    <row r="17" spans="1:40" x14ac:dyDescent="0.25">
      <c r="A17" t="str">
        <f>"20190303170228314"</f>
        <v>20190303170228314</v>
      </c>
      <c r="B17" t="str">
        <f>"1551603748305517"</f>
        <v>1551603748305517</v>
      </c>
      <c r="C17" t="s">
        <v>40</v>
      </c>
      <c r="D17">
        <v>4.1906480000000004</v>
      </c>
      <c r="E17">
        <v>0.51175420000000005</v>
      </c>
      <c r="F17" t="s">
        <v>43</v>
      </c>
      <c r="G17">
        <v>-474.61450000000002</v>
      </c>
      <c r="H17">
        <v>0.97622489999999995</v>
      </c>
      <c r="I17">
        <v>367.0213</v>
      </c>
      <c r="J17">
        <v>-475.30959999999999</v>
      </c>
      <c r="K17">
        <v>1.11999</v>
      </c>
      <c r="L17">
        <v>367.06920000000002</v>
      </c>
      <c r="M17">
        <v>0.99999899999999997</v>
      </c>
      <c r="N17">
        <v>-6.0324360000000004E-4</v>
      </c>
      <c r="O17">
        <v>1.2178180000000001E-3</v>
      </c>
      <c r="P17">
        <v>0.99323930000000005</v>
      </c>
      <c r="Q17">
        <v>0.106910199999999</v>
      </c>
      <c r="R17">
        <v>-4.5231630000000002E-2</v>
      </c>
      <c r="S17">
        <v>3.0777890000000001</v>
      </c>
      <c r="T17">
        <v>-0.614932699999999</v>
      </c>
      <c r="U17">
        <v>-0.20306399999999999</v>
      </c>
      <c r="V17">
        <v>4.6438630000000002E-2</v>
      </c>
      <c r="W17">
        <v>0.1075101</v>
      </c>
      <c r="X17">
        <v>0.99311879999999997</v>
      </c>
      <c r="Y17">
        <v>6.5727900000000006E-2</v>
      </c>
      <c r="Z17">
        <v>-6.7550029999999999E-3</v>
      </c>
      <c r="AA17">
        <v>0.99781470000000005</v>
      </c>
      <c r="AB17">
        <v>4</v>
      </c>
      <c r="AC17">
        <v>0.69509999999996797</v>
      </c>
      <c r="AD17">
        <v>-0.14376510000000001</v>
      </c>
      <c r="AE17">
        <v>-4.79000000000269E-2</v>
      </c>
      <c r="AF17">
        <v>4.6755839013463002E-2</v>
      </c>
      <c r="AG17">
        <v>-0.14376510000000001</v>
      </c>
      <c r="AH17">
        <v>0.66665816361085495</v>
      </c>
      <c r="AI17">
        <v>102.14055966479999</v>
      </c>
      <c r="AJ17">
        <v>85.988149698817196</v>
      </c>
      <c r="AK17">
        <v>0.68358439096344203</v>
      </c>
      <c r="AL17">
        <v>83.828196209675298</v>
      </c>
      <c r="AM17">
        <v>87.3227767105749</v>
      </c>
      <c r="AN17">
        <v>0.99999995943586195</v>
      </c>
    </row>
    <row r="18" spans="1:40" x14ac:dyDescent="0.25">
      <c r="A18" t="str">
        <f>"20190303170228327"</f>
        <v>20190303170228327</v>
      </c>
      <c r="B18" t="str">
        <f>"1551603748315278"</f>
        <v>1551603748315278</v>
      </c>
      <c r="C18" t="s">
        <v>40</v>
      </c>
      <c r="D18">
        <v>4.1845850000000002</v>
      </c>
      <c r="E18">
        <v>0.51196600000000003</v>
      </c>
      <c r="F18" t="s">
        <v>43</v>
      </c>
      <c r="G18">
        <v>-474.61290000000002</v>
      </c>
      <c r="H18">
        <v>0.97976180000000002</v>
      </c>
      <c r="I18">
        <v>367.02300000000002</v>
      </c>
      <c r="J18">
        <v>-475.28530000000001</v>
      </c>
      <c r="K18">
        <v>1.1199650000000001</v>
      </c>
      <c r="L18">
        <v>367.0693</v>
      </c>
      <c r="M18">
        <v>0.99999919999999998</v>
      </c>
      <c r="N18">
        <v>-3.9174430000000002E-4</v>
      </c>
      <c r="O18">
        <v>1.2865929999999999E-3</v>
      </c>
      <c r="P18">
        <v>0.99334009999999995</v>
      </c>
      <c r="Q18">
        <v>0.10612190000000001</v>
      </c>
      <c r="R18">
        <v>-4.487737E-2</v>
      </c>
      <c r="S18">
        <v>3.0777890000000001</v>
      </c>
      <c r="T18">
        <v>-0.61956639999999996</v>
      </c>
      <c r="U18">
        <v>-0.20300289999999999</v>
      </c>
      <c r="V18">
        <v>4.6151940000000002E-2</v>
      </c>
      <c r="W18">
        <v>0.1065126</v>
      </c>
      <c r="X18">
        <v>0.99323969999999995</v>
      </c>
      <c r="Y18">
        <v>6.5756469999999997E-2</v>
      </c>
      <c r="Z18">
        <v>-6.8145189999999998E-3</v>
      </c>
      <c r="AA18">
        <v>0.99781240000000004</v>
      </c>
      <c r="AB18">
        <v>4</v>
      </c>
      <c r="AC18">
        <v>0.67239999999998101</v>
      </c>
      <c r="AD18">
        <v>-0.140203199999999</v>
      </c>
      <c r="AE18">
        <v>-4.62999999999738E-2</v>
      </c>
      <c r="AF18">
        <v>4.5208795498097198E-2</v>
      </c>
      <c r="AG18">
        <v>-0.140203199999999</v>
      </c>
      <c r="AH18">
        <v>0.64445315036650497</v>
      </c>
      <c r="AI18">
        <v>102.24448073792701</v>
      </c>
      <c r="AJ18">
        <v>85.987238681288602</v>
      </c>
      <c r="AK18">
        <v>0.66107536294884095</v>
      </c>
      <c r="AL18">
        <v>83.885679194398193</v>
      </c>
      <c r="AM18">
        <v>87.339604192914194</v>
      </c>
      <c r="AN18">
        <v>1.0000000185903</v>
      </c>
    </row>
    <row r="19" spans="1:40" x14ac:dyDescent="0.25">
      <c r="A19" t="str">
        <f>"20190303170228346"</f>
        <v>20190303170228346</v>
      </c>
      <c r="B19" t="str">
        <f>"1551603748335924"</f>
        <v>1551603748335924</v>
      </c>
      <c r="C19" t="s">
        <v>40</v>
      </c>
      <c r="D19">
        <v>4.1747940000000003</v>
      </c>
      <c r="E19">
        <v>0.51218359999999996</v>
      </c>
      <c r="F19" t="s">
        <v>43</v>
      </c>
      <c r="G19">
        <v>-474.57479999999998</v>
      </c>
      <c r="H19">
        <v>0.97583529999999996</v>
      </c>
      <c r="I19">
        <v>367.02190000000002</v>
      </c>
      <c r="J19">
        <v>-475.24669999999998</v>
      </c>
      <c r="K19">
        <v>1.119999</v>
      </c>
      <c r="L19">
        <v>367.06950000000001</v>
      </c>
      <c r="M19">
        <v>0.99999899999999997</v>
      </c>
      <c r="N19">
        <v>-3.3361330000000001E-4</v>
      </c>
      <c r="O19">
        <v>1.3826260000000001E-3</v>
      </c>
      <c r="P19">
        <v>0.99342779999999997</v>
      </c>
      <c r="Q19">
        <v>0.1054577</v>
      </c>
      <c r="R19">
        <v>-4.4499520000000001E-2</v>
      </c>
      <c r="S19">
        <v>3.0775450000000002</v>
      </c>
      <c r="T19">
        <v>-0.62446080000000004</v>
      </c>
      <c r="U19">
        <v>-0.20388790000000001</v>
      </c>
      <c r="V19">
        <v>4.5869529999999999E-2</v>
      </c>
      <c r="W19">
        <v>0.105791</v>
      </c>
      <c r="X19">
        <v>0.99332989999999999</v>
      </c>
      <c r="Y19">
        <v>6.6113110000000003E-2</v>
      </c>
      <c r="Z19">
        <v>-6.9208769999999998E-3</v>
      </c>
      <c r="AA19">
        <v>0.99778809999999996</v>
      </c>
      <c r="AB19">
        <v>4</v>
      </c>
      <c r="AC19">
        <v>0.67189999999999295</v>
      </c>
      <c r="AD19">
        <v>-0.14416369999999901</v>
      </c>
      <c r="AE19">
        <v>-4.7599999999988499E-2</v>
      </c>
      <c r="AF19">
        <v>4.6403359405374503E-2</v>
      </c>
      <c r="AG19">
        <v>-0.14416369999999901</v>
      </c>
      <c r="AH19">
        <v>0.64240704261683201</v>
      </c>
      <c r="AI19">
        <v>102.61648488521401</v>
      </c>
      <c r="AJ19">
        <v>85.868496488869098</v>
      </c>
      <c r="AK19">
        <v>0.66001761534484704</v>
      </c>
      <c r="AL19">
        <v>83.927258763909194</v>
      </c>
      <c r="AM19">
        <v>87.356100104239303</v>
      </c>
      <c r="AN19">
        <v>1.00000001984871</v>
      </c>
    </row>
    <row r="20" spans="1:40" x14ac:dyDescent="0.25">
      <c r="A20" t="str">
        <f>"20190303170228360"</f>
        <v>20190303170228360</v>
      </c>
      <c r="B20" t="str">
        <f>"1551603748345684"</f>
        <v>1551603748345684</v>
      </c>
      <c r="C20" t="s">
        <v>40</v>
      </c>
      <c r="D20">
        <v>4.2098050000000002</v>
      </c>
      <c r="E20">
        <v>0.51222440000000002</v>
      </c>
      <c r="F20" t="s">
        <v>43</v>
      </c>
      <c r="G20">
        <v>-474.53489999999999</v>
      </c>
      <c r="H20">
        <v>0.97420490000000004</v>
      </c>
      <c r="I20">
        <v>367.02179999999998</v>
      </c>
      <c r="J20">
        <v>-475.21870000000001</v>
      </c>
      <c r="K20">
        <v>1.1201509999999999</v>
      </c>
      <c r="L20">
        <v>367.06959999999998</v>
      </c>
      <c r="M20">
        <v>0.99999859999999896</v>
      </c>
      <c r="N20">
        <v>-7.7701199999999999E-4</v>
      </c>
      <c r="O20">
        <v>1.441812E-3</v>
      </c>
      <c r="P20">
        <v>0.99345749999999999</v>
      </c>
      <c r="Q20">
        <v>0.10523830000000001</v>
      </c>
      <c r="R20">
        <v>-4.4351199999999903E-2</v>
      </c>
      <c r="S20">
        <v>3.0776370000000002</v>
      </c>
      <c r="T20">
        <v>-0.63047839999999999</v>
      </c>
      <c r="U20">
        <v>-0.20446780000000001</v>
      </c>
      <c r="V20">
        <v>4.5781500000000003E-2</v>
      </c>
      <c r="W20">
        <v>0.10601099999999999</v>
      </c>
      <c r="X20">
        <v>0.99331049999999999</v>
      </c>
      <c r="Y20">
        <v>6.6322729999999996E-2</v>
      </c>
      <c r="Z20">
        <v>-7.0333490000000004E-3</v>
      </c>
      <c r="AA20">
        <v>0.99777340000000003</v>
      </c>
      <c r="AB20">
        <v>4</v>
      </c>
      <c r="AC20">
        <v>0.68380000000001895</v>
      </c>
      <c r="AD20">
        <v>-0.1459461</v>
      </c>
      <c r="AE20">
        <v>-4.7799999999995103E-2</v>
      </c>
      <c r="AF20">
        <v>4.6670184996194498E-2</v>
      </c>
      <c r="AG20">
        <v>-0.1459461</v>
      </c>
      <c r="AH20">
        <v>0.65407931234112904</v>
      </c>
      <c r="AI20">
        <v>102.54759126633699</v>
      </c>
      <c r="AJ20">
        <v>85.918720486908498</v>
      </c>
      <c r="AK20">
        <v>0.67178725583731702</v>
      </c>
      <c r="AL20">
        <v>83.914582371477394</v>
      </c>
      <c r="AM20">
        <v>87.361115471026906</v>
      </c>
      <c r="AN20">
        <v>1.00000001363675</v>
      </c>
    </row>
    <row r="21" spans="1:40" x14ac:dyDescent="0.25">
      <c r="A21" t="str">
        <f>"20190303170228378"</f>
        <v>20190303170228378</v>
      </c>
      <c r="B21" t="str">
        <f>"1551603748366180"</f>
        <v>1551603748366180</v>
      </c>
      <c r="C21" t="s">
        <v>40</v>
      </c>
      <c r="D21">
        <v>4.1911959999999997</v>
      </c>
      <c r="E21">
        <v>0.51226479999999996</v>
      </c>
      <c r="F21" t="s">
        <v>43</v>
      </c>
      <c r="G21">
        <v>-474.49849999999998</v>
      </c>
      <c r="H21">
        <v>0.97207920000000003</v>
      </c>
      <c r="I21">
        <v>367.0213</v>
      </c>
      <c r="J21">
        <v>-475.18380000000002</v>
      </c>
      <c r="K21">
        <v>1.1204799999999999</v>
      </c>
      <c r="L21">
        <v>367.06979999999999</v>
      </c>
      <c r="M21">
        <v>0.99999709999999997</v>
      </c>
      <c r="N21">
        <v>-1.9317150000000001E-3</v>
      </c>
      <c r="O21">
        <v>1.507057E-3</v>
      </c>
      <c r="P21">
        <v>0.99347419999999997</v>
      </c>
      <c r="Q21">
        <v>0.1051382</v>
      </c>
      <c r="R21">
        <v>-4.421887E-2</v>
      </c>
      <c r="S21">
        <v>3.0776979999999998</v>
      </c>
      <c r="T21">
        <v>-0.63303690000000001</v>
      </c>
      <c r="U21">
        <v>-0.20437620000000001</v>
      </c>
      <c r="V21">
        <v>4.5716689999999997E-2</v>
      </c>
      <c r="W21">
        <v>0.107056399999999</v>
      </c>
      <c r="X21">
        <v>0.99320129999999995</v>
      </c>
      <c r="Y21">
        <v>6.6336469999999995E-2</v>
      </c>
      <c r="Z21">
        <v>-7.1127219999999897E-3</v>
      </c>
      <c r="AA21">
        <v>0.99777199999999999</v>
      </c>
      <c r="AB21">
        <v>5</v>
      </c>
      <c r="AC21">
        <v>0.68530000000003999</v>
      </c>
      <c r="AD21">
        <v>-0.148400799999999</v>
      </c>
      <c r="AE21">
        <v>-4.8499999999990002E-2</v>
      </c>
      <c r="AF21">
        <v>4.7324585639016002E-2</v>
      </c>
      <c r="AG21">
        <v>-0.148400799999999</v>
      </c>
      <c r="AH21">
        <v>0.654679052381966</v>
      </c>
      <c r="AI21">
        <v>102.739662960562</v>
      </c>
      <c r="AJ21">
        <v>85.865468876724904</v>
      </c>
      <c r="AK21">
        <v>0.67295399209328899</v>
      </c>
      <c r="AL21">
        <v>83.854342183094204</v>
      </c>
      <c r="AM21">
        <v>87.364556584789298</v>
      </c>
      <c r="AN21">
        <v>0.99999995542360198</v>
      </c>
    </row>
    <row r="22" spans="1:40" x14ac:dyDescent="0.25">
      <c r="A22" t="str">
        <f>"20190303170228401"</f>
        <v>20190303170228401</v>
      </c>
      <c r="B22" t="str">
        <f>"1551603748395460"</f>
        <v>1551603748395460</v>
      </c>
      <c r="C22" t="s">
        <v>40</v>
      </c>
      <c r="D22">
        <v>4.1818169999999997</v>
      </c>
      <c r="E22">
        <v>0.51232860000000002</v>
      </c>
      <c r="F22" t="s">
        <v>43</v>
      </c>
      <c r="G22">
        <v>-474.45819999999998</v>
      </c>
      <c r="H22">
        <v>0.97044779999999997</v>
      </c>
      <c r="I22">
        <v>367.02159999999998</v>
      </c>
      <c r="J22">
        <v>-475.1361</v>
      </c>
      <c r="K22">
        <v>1.1204259999999999</v>
      </c>
      <c r="L22">
        <v>367.07</v>
      </c>
      <c r="M22">
        <v>0.99999700000000002</v>
      </c>
      <c r="N22">
        <v>-1.9500520000000001E-3</v>
      </c>
      <c r="O22">
        <v>1.5991829999999999E-3</v>
      </c>
      <c r="P22">
        <v>0.99348950000000003</v>
      </c>
      <c r="Q22">
        <v>0.105157</v>
      </c>
      <c r="R22">
        <v>-4.3826280000000002E-2</v>
      </c>
      <c r="S22">
        <v>3.0779719999999999</v>
      </c>
      <c r="T22">
        <v>-0.63647959999999904</v>
      </c>
      <c r="U22">
        <v>-0.2041626</v>
      </c>
      <c r="V22">
        <v>4.5416110000000003E-2</v>
      </c>
      <c r="W22">
        <v>0.10709340000000001</v>
      </c>
      <c r="X22">
        <v>0.99321119999999996</v>
      </c>
      <c r="Y22">
        <v>6.6336450000000005E-2</v>
      </c>
      <c r="Z22">
        <v>-7.1689229999999998E-3</v>
      </c>
      <c r="AA22">
        <v>0.99777159999999998</v>
      </c>
      <c r="AB22">
        <v>4</v>
      </c>
      <c r="AC22">
        <v>0.67790000000002204</v>
      </c>
      <c r="AD22">
        <v>-0.14997819999999901</v>
      </c>
      <c r="AE22">
        <v>-4.8400000000015098E-2</v>
      </c>
      <c r="AF22">
        <v>4.7186126126186702E-2</v>
      </c>
      <c r="AG22">
        <v>-0.14997819999999901</v>
      </c>
      <c r="AH22">
        <v>0.64634558390177499</v>
      </c>
      <c r="AI22">
        <v>103.030250876377</v>
      </c>
      <c r="AJ22">
        <v>85.824558529638395</v>
      </c>
      <c r="AK22">
        <v>0.66519365962354304</v>
      </c>
      <c r="AL22">
        <v>83.852210586857893</v>
      </c>
      <c r="AM22">
        <v>87.381886078363493</v>
      </c>
      <c r="AN22">
        <v>1.0000000535882601</v>
      </c>
    </row>
    <row r="23" spans="1:40" x14ac:dyDescent="0.25">
      <c r="A23" t="str">
        <f>"20190303170228413"</f>
        <v>20190303170228413</v>
      </c>
      <c r="B23" t="str">
        <f>"1551603748406196"</f>
        <v>1551603748406196</v>
      </c>
      <c r="C23" t="s">
        <v>40</v>
      </c>
      <c r="D23">
        <v>4.2135199999999999</v>
      </c>
      <c r="E23">
        <v>0.51235739999999996</v>
      </c>
      <c r="F23" t="s">
        <v>43</v>
      </c>
      <c r="G23">
        <v>-474.4135</v>
      </c>
      <c r="H23">
        <v>0.97022640000000004</v>
      </c>
      <c r="I23">
        <v>367.0215</v>
      </c>
      <c r="J23">
        <v>-475.10770000000002</v>
      </c>
      <c r="K23">
        <v>1.120293</v>
      </c>
      <c r="L23">
        <v>367.07</v>
      </c>
      <c r="M23">
        <v>0.99999740000000004</v>
      </c>
      <c r="N23">
        <v>-1.600656E-3</v>
      </c>
      <c r="O23">
        <v>1.6591030000000001E-3</v>
      </c>
      <c r="P23">
        <v>0.99350590000000005</v>
      </c>
      <c r="Q23">
        <v>0.105030399999999</v>
      </c>
      <c r="R23">
        <v>-4.3759590000000001E-2</v>
      </c>
      <c r="S23">
        <v>3.0783689999999999</v>
      </c>
      <c r="T23">
        <v>-0.64004519999999998</v>
      </c>
      <c r="U23">
        <v>-0.204071</v>
      </c>
      <c r="V23">
        <v>4.5408520000000001E-2</v>
      </c>
      <c r="W23">
        <v>0.1066202</v>
      </c>
      <c r="X23">
        <v>0.99326239999999999</v>
      </c>
      <c r="Y23">
        <v>6.6343490000000005E-2</v>
      </c>
      <c r="Z23">
        <v>-7.2087929999999998E-3</v>
      </c>
      <c r="AA23">
        <v>0.99777079999999996</v>
      </c>
      <c r="AB23">
        <v>5</v>
      </c>
      <c r="AC23">
        <v>0.69420000000002302</v>
      </c>
      <c r="AD23">
        <v>-0.150066599999999</v>
      </c>
      <c r="AE23">
        <v>-4.8499999999990002E-2</v>
      </c>
      <c r="AF23">
        <v>4.7445317906675603E-2</v>
      </c>
      <c r="AG23">
        <v>-0.150066599999999</v>
      </c>
      <c r="AH23">
        <v>0.66327411216707999</v>
      </c>
      <c r="AI23">
        <v>102.71716866943601</v>
      </c>
      <c r="AJ23">
        <v>85.908487829846706</v>
      </c>
      <c r="AK23">
        <v>0.68169171221150504</v>
      </c>
      <c r="AL23">
        <v>83.879478734850494</v>
      </c>
      <c r="AM23">
        <v>87.382457758869805</v>
      </c>
      <c r="AN23">
        <v>0.99999999799519501</v>
      </c>
    </row>
    <row r="24" spans="1:40" x14ac:dyDescent="0.25">
      <c r="A24" t="str">
        <f>"20190303170228428"</f>
        <v>20190303170228428</v>
      </c>
      <c r="B24" t="str">
        <f>"1551603748415956"</f>
        <v>1551603748415956</v>
      </c>
      <c r="C24" t="s">
        <v>40</v>
      </c>
      <c r="D24">
        <v>4.2035309999999999</v>
      </c>
      <c r="E24">
        <v>0.51238700000000004</v>
      </c>
      <c r="F24" t="s">
        <v>43</v>
      </c>
      <c r="G24">
        <v>-474.411</v>
      </c>
      <c r="H24">
        <v>0.97518110000000002</v>
      </c>
      <c r="I24">
        <v>367.02330000000001</v>
      </c>
      <c r="J24">
        <v>-475.07499999999999</v>
      </c>
      <c r="K24">
        <v>1.1201570000000001</v>
      </c>
      <c r="L24">
        <v>367.0702</v>
      </c>
      <c r="M24">
        <v>0.99999769999999999</v>
      </c>
      <c r="N24">
        <v>-1.1856389999999901E-3</v>
      </c>
      <c r="O24">
        <v>1.733011E-3</v>
      </c>
      <c r="P24">
        <v>0.99360519999999997</v>
      </c>
      <c r="Q24">
        <v>0.1041869</v>
      </c>
      <c r="R24">
        <v>-4.3513910000000003E-2</v>
      </c>
      <c r="S24">
        <v>3.0783999999999998</v>
      </c>
      <c r="T24">
        <v>-0.64149309999999904</v>
      </c>
      <c r="U24">
        <v>-0.20428470000000001</v>
      </c>
      <c r="V24">
        <v>4.5235890000000001E-2</v>
      </c>
      <c r="W24">
        <v>0.10536470000000001</v>
      </c>
      <c r="X24">
        <v>0.99340430000000002</v>
      </c>
      <c r="Y24">
        <v>6.6477339999999996E-2</v>
      </c>
      <c r="Z24">
        <v>-7.2403149999999998E-3</v>
      </c>
      <c r="AA24">
        <v>0.99776169999999997</v>
      </c>
      <c r="AB24">
        <v>5</v>
      </c>
      <c r="AC24">
        <v>0.66399999999998705</v>
      </c>
      <c r="AD24">
        <v>-0.14497589999999999</v>
      </c>
      <c r="AE24">
        <v>-4.6899999999993697E-2</v>
      </c>
      <c r="AF24">
        <v>4.5874611283884301E-2</v>
      </c>
      <c r="AG24">
        <v>-0.14497589999999999</v>
      </c>
      <c r="AH24">
        <v>0.633851314630412</v>
      </c>
      <c r="AI24">
        <v>102.85072150118199</v>
      </c>
      <c r="AJ24">
        <v>85.8604697180823</v>
      </c>
      <c r="AK24">
        <v>0.65183585403071997</v>
      </c>
      <c r="AL24">
        <v>83.951821443447898</v>
      </c>
      <c r="AM24">
        <v>87.392767094324697</v>
      </c>
      <c r="AN24">
        <v>1.0000000545043299</v>
      </c>
    </row>
    <row r="25" spans="1:40" x14ac:dyDescent="0.25">
      <c r="A25" t="str">
        <f>"20190303170228448"</f>
        <v>20190303170228448</v>
      </c>
      <c r="B25" t="str">
        <f>"1551603748435476"</f>
        <v>1551603748435476</v>
      </c>
      <c r="C25" t="s">
        <v>40</v>
      </c>
      <c r="D25">
        <v>4.1897039999999999</v>
      </c>
      <c r="E25">
        <v>0.51244780000000001</v>
      </c>
      <c r="F25" t="s">
        <v>43</v>
      </c>
      <c r="G25">
        <v>-474.3655</v>
      </c>
      <c r="H25">
        <v>0.97149030000000003</v>
      </c>
      <c r="I25">
        <v>367.02280000000002</v>
      </c>
      <c r="J25">
        <v>-475.02550000000002</v>
      </c>
      <c r="K25">
        <v>1.1200019999999999</v>
      </c>
      <c r="L25">
        <v>367.07040000000001</v>
      </c>
      <c r="M25">
        <v>0.9999981</v>
      </c>
      <c r="N25">
        <v>-6.8318009999999995E-4</v>
      </c>
      <c r="O25">
        <v>1.849004E-3</v>
      </c>
      <c r="P25">
        <v>0.99378880000000003</v>
      </c>
      <c r="Q25">
        <v>0.10251010000000001</v>
      </c>
      <c r="R25">
        <v>-4.3308920000000001E-2</v>
      </c>
      <c r="S25">
        <v>3.0780029999999998</v>
      </c>
      <c r="T25">
        <v>-0.64503480000000002</v>
      </c>
      <c r="U25">
        <v>-0.20394899999999999</v>
      </c>
      <c r="V25">
        <v>4.514431E-2</v>
      </c>
      <c r="W25">
        <v>0.1031898</v>
      </c>
      <c r="X25">
        <v>0.99363670000000004</v>
      </c>
      <c r="Y25">
        <v>6.6477640000000005E-2</v>
      </c>
      <c r="Z25">
        <v>-7.2881169999999898E-3</v>
      </c>
      <c r="AA25">
        <v>0.99776129999999996</v>
      </c>
      <c r="AB25">
        <v>5</v>
      </c>
      <c r="AC25">
        <v>0.66000000000002501</v>
      </c>
      <c r="AD25">
        <v>-0.148511699999999</v>
      </c>
      <c r="AE25">
        <v>-4.7599999999988499E-2</v>
      </c>
      <c r="AF25">
        <v>4.64790656723095E-2</v>
      </c>
      <c r="AG25">
        <v>-0.148511699999999</v>
      </c>
      <c r="AH25">
        <v>0.62826456099329797</v>
      </c>
      <c r="AI25">
        <v>103.26471299943201</v>
      </c>
      <c r="AJ25">
        <v>85.768961023911302</v>
      </c>
      <c r="AK25">
        <v>0.64724986456758904</v>
      </c>
      <c r="AL25">
        <v>84.077116912197098</v>
      </c>
      <c r="AM25">
        <v>87.398645904843505</v>
      </c>
      <c r="AN25">
        <v>1.00000001756815</v>
      </c>
    </row>
    <row r="26" spans="1:40" x14ac:dyDescent="0.25">
      <c r="A26" t="str">
        <f>"20190303170228468"</f>
        <v>20190303170228468</v>
      </c>
      <c r="B26" t="str">
        <f>"1551603748455971"</f>
        <v>1551603748455971</v>
      </c>
      <c r="C26" t="s">
        <v>40</v>
      </c>
      <c r="D26">
        <v>4.1462029999999999</v>
      </c>
      <c r="E26">
        <v>0.51255010000000001</v>
      </c>
      <c r="F26" t="s">
        <v>43</v>
      </c>
      <c r="G26">
        <v>-474.31700000000001</v>
      </c>
      <c r="H26">
        <v>0.96994849999999999</v>
      </c>
      <c r="I26">
        <v>367.02280000000002</v>
      </c>
      <c r="J26">
        <v>-474.97539999999998</v>
      </c>
      <c r="K26">
        <v>1.119918</v>
      </c>
      <c r="L26">
        <v>367.07060000000001</v>
      </c>
      <c r="M26">
        <v>0.99999819999999995</v>
      </c>
      <c r="N26">
        <v>-3.2528979999999998E-4</v>
      </c>
      <c r="O26">
        <v>1.9701509999999998E-3</v>
      </c>
      <c r="P26">
        <v>0.99388659999999995</v>
      </c>
      <c r="Q26">
        <v>0.1017207</v>
      </c>
      <c r="R26">
        <v>-4.2925669999999999E-2</v>
      </c>
      <c r="S26">
        <v>3.0771480000000002</v>
      </c>
      <c r="T26">
        <v>-0.652007</v>
      </c>
      <c r="U26">
        <v>-0.20404050000000001</v>
      </c>
      <c r="V26">
        <v>4.4880059999999999E-2</v>
      </c>
      <c r="W26">
        <v>0.10204530000000001</v>
      </c>
      <c r="X26">
        <v>0.99376679999999995</v>
      </c>
      <c r="Y26">
        <v>6.6610500000000003E-2</v>
      </c>
      <c r="Z26">
        <v>-7.3948219999999997E-3</v>
      </c>
      <c r="AA26">
        <v>0.99775170000000002</v>
      </c>
      <c r="AB26">
        <v>5</v>
      </c>
      <c r="AC26">
        <v>0.65840000000002796</v>
      </c>
      <c r="AD26">
        <v>-0.14996949999999901</v>
      </c>
      <c r="AE26">
        <v>-4.7799999999995103E-2</v>
      </c>
      <c r="AF26">
        <v>4.6687462814894998E-2</v>
      </c>
      <c r="AG26">
        <v>-0.14996949999999901</v>
      </c>
      <c r="AH26">
        <v>0.62599619235057902</v>
      </c>
      <c r="AI26">
        <v>103.436441760945</v>
      </c>
      <c r="AJ26">
        <v>85.734716350755093</v>
      </c>
      <c r="AK26">
        <v>0.64540049810312705</v>
      </c>
      <c r="AL26">
        <v>84.143039599097193</v>
      </c>
      <c r="AM26">
        <v>87.414190178050106</v>
      </c>
      <c r="AN26">
        <v>0.99999995790996499</v>
      </c>
    </row>
    <row r="27" spans="1:40" x14ac:dyDescent="0.25">
      <c r="A27" t="str">
        <f>"20190303170228490"</f>
        <v>20190303170228490</v>
      </c>
      <c r="B27" t="str">
        <f>"1551603748475493"</f>
        <v>1551603748475493</v>
      </c>
      <c r="C27" t="s">
        <v>40</v>
      </c>
      <c r="D27">
        <v>4.1759969999999997</v>
      </c>
      <c r="E27">
        <v>0.51259169999999998</v>
      </c>
      <c r="F27" t="s">
        <v>43</v>
      </c>
      <c r="G27">
        <v>-474.2663</v>
      </c>
      <c r="H27">
        <v>0.96876430000000002</v>
      </c>
      <c r="I27">
        <v>367.02339999999998</v>
      </c>
      <c r="J27">
        <v>-474.91640000000001</v>
      </c>
      <c r="K27">
        <v>1.1198459999999999</v>
      </c>
      <c r="L27">
        <v>367.07089999999999</v>
      </c>
      <c r="M27">
        <v>0.99999769999999999</v>
      </c>
      <c r="N27" s="1">
        <v>5.7355999999999998E-5</v>
      </c>
      <c r="O27">
        <v>2.1168559999999999E-3</v>
      </c>
      <c r="P27">
        <v>0.99388690000000002</v>
      </c>
      <c r="Q27">
        <v>0.1017081</v>
      </c>
      <c r="R27">
        <v>-4.2947689999999997E-2</v>
      </c>
      <c r="S27">
        <v>3.076813</v>
      </c>
      <c r="T27">
        <v>-0.65589169999999997</v>
      </c>
      <c r="U27">
        <v>-0.20388790000000001</v>
      </c>
      <c r="V27">
        <v>4.5046049999999997E-2</v>
      </c>
      <c r="W27">
        <v>0.10165349999999999</v>
      </c>
      <c r="X27">
        <v>0.99379949999999995</v>
      </c>
      <c r="Y27">
        <v>6.6693950000000002E-2</v>
      </c>
      <c r="Z27">
        <v>-7.4661950000000001E-3</v>
      </c>
      <c r="AA27">
        <v>0.99774560000000001</v>
      </c>
      <c r="AB27">
        <v>6</v>
      </c>
      <c r="AC27">
        <v>0.650100000000009</v>
      </c>
      <c r="AD27">
        <v>-0.15108169999999899</v>
      </c>
      <c r="AE27">
        <v>-4.7500000000013601E-2</v>
      </c>
      <c r="AF27">
        <v>4.6384215425378697E-2</v>
      </c>
      <c r="AG27">
        <v>-0.15108169999999899</v>
      </c>
      <c r="AH27">
        <v>0.61685917088563402</v>
      </c>
      <c r="AI27">
        <v>103.724749754662</v>
      </c>
      <c r="AJ27">
        <v>85.699783748175406</v>
      </c>
      <c r="AK27">
        <v>0.63678286112396998</v>
      </c>
      <c r="AL27">
        <v>84.165605757927196</v>
      </c>
      <c r="AM27">
        <v>87.404724831074404</v>
      </c>
      <c r="AN27">
        <v>1.0000000134415501</v>
      </c>
    </row>
    <row r="28" spans="1:40" x14ac:dyDescent="0.25">
      <c r="A28" t="str">
        <f>"20190303170228504"</f>
        <v>20190303170228504</v>
      </c>
      <c r="B28" t="str">
        <f>"1551603748495988"</f>
        <v>1551603748495988</v>
      </c>
      <c r="C28" t="s">
        <v>40</v>
      </c>
      <c r="D28">
        <v>4.2008979999999996</v>
      </c>
      <c r="E28">
        <v>0.5126288</v>
      </c>
      <c r="F28" t="s">
        <v>43</v>
      </c>
      <c r="G28">
        <v>-474.21230000000003</v>
      </c>
      <c r="H28">
        <v>0.96955590000000003</v>
      </c>
      <c r="I28">
        <v>367.02370000000002</v>
      </c>
      <c r="J28">
        <v>-474.87599999999998</v>
      </c>
      <c r="K28">
        <v>1.1197919999999999</v>
      </c>
      <c r="L28">
        <v>367.07100000000003</v>
      </c>
      <c r="M28">
        <v>0.99999760000000004</v>
      </c>
      <c r="N28">
        <v>3.5505509999999999E-4</v>
      </c>
      <c r="O28">
        <v>2.2183820000000001E-3</v>
      </c>
      <c r="P28">
        <v>0.99384859999999997</v>
      </c>
      <c r="Q28">
        <v>0.1021223</v>
      </c>
      <c r="R28">
        <v>-4.2853750000000003E-2</v>
      </c>
      <c r="S28">
        <v>3.0769039999999999</v>
      </c>
      <c r="T28">
        <v>-0.65703330000000004</v>
      </c>
      <c r="U28">
        <v>-0.2033691</v>
      </c>
      <c r="V28">
        <v>4.5051969999999997E-2</v>
      </c>
      <c r="W28">
        <v>0.1017725</v>
      </c>
      <c r="X28">
        <v>0.99378710000000003</v>
      </c>
      <c r="Y28">
        <v>6.6621879999999994E-2</v>
      </c>
      <c r="Z28">
        <v>-7.4831689999999996E-3</v>
      </c>
      <c r="AA28">
        <v>0.99775020000000003</v>
      </c>
      <c r="AB28">
        <v>6</v>
      </c>
      <c r="AC28">
        <v>0.663699999999948</v>
      </c>
      <c r="AD28">
        <v>-0.15023609999999901</v>
      </c>
      <c r="AE28">
        <v>-4.7299999999950097E-2</v>
      </c>
      <c r="AF28">
        <v>4.6406398575949602E-2</v>
      </c>
      <c r="AG28">
        <v>-0.15023609999999901</v>
      </c>
      <c r="AH28">
        <v>0.63140409111155404</v>
      </c>
      <c r="AI28">
        <v>103.349350966241</v>
      </c>
      <c r="AJ28">
        <v>85.796481761863703</v>
      </c>
      <c r="AK28">
        <v>0.650688532129165</v>
      </c>
      <c r="AL28">
        <v>84.158752293692302</v>
      </c>
      <c r="AM28">
        <v>87.404351881111296</v>
      </c>
      <c r="AN28">
        <v>1.0000000609417601</v>
      </c>
    </row>
    <row r="29" spans="1:40" x14ac:dyDescent="0.25">
      <c r="A29" t="str">
        <f>"20190303170228525"</f>
        <v>20190303170228525</v>
      </c>
      <c r="B29" t="str">
        <f>"1551603748516485"</f>
        <v>1551603748516485</v>
      </c>
      <c r="C29" t="s">
        <v>40</v>
      </c>
      <c r="D29">
        <v>4.1497299999999999</v>
      </c>
      <c r="E29">
        <v>0.51273869999999999</v>
      </c>
      <c r="F29" t="s">
        <v>43</v>
      </c>
      <c r="G29">
        <v>-474.1576</v>
      </c>
      <c r="H29">
        <v>0.96652269999999896</v>
      </c>
      <c r="I29">
        <v>367.02330000000001</v>
      </c>
      <c r="J29">
        <v>-474.81849999999997</v>
      </c>
      <c r="K29">
        <v>1.119702</v>
      </c>
      <c r="L29">
        <v>367.07139999999998</v>
      </c>
      <c r="M29">
        <v>0.99999700000000002</v>
      </c>
      <c r="N29">
        <v>8.1583670000000004E-4</v>
      </c>
      <c r="O29">
        <v>2.3647350000000002E-3</v>
      </c>
      <c r="P29">
        <v>0.99385159999999995</v>
      </c>
      <c r="Q29">
        <v>0.1020522</v>
      </c>
      <c r="R29">
        <v>-4.2949019999999997E-2</v>
      </c>
      <c r="S29">
        <v>3.0773009999999998</v>
      </c>
      <c r="T29">
        <v>-0.65672969999999997</v>
      </c>
      <c r="U29">
        <v>-0.20318600000000001</v>
      </c>
      <c r="V29">
        <v>4.5291619999999998E-2</v>
      </c>
      <c r="W29">
        <v>0.1012446</v>
      </c>
      <c r="X29">
        <v>0.99383010000000005</v>
      </c>
      <c r="Y29">
        <v>6.670015E-2</v>
      </c>
      <c r="Z29">
        <v>-7.5035190000000002E-3</v>
      </c>
      <c r="AA29">
        <v>0.99774490000000005</v>
      </c>
      <c r="AB29">
        <v>6</v>
      </c>
      <c r="AC29">
        <v>0.66089999999996896</v>
      </c>
      <c r="AD29">
        <v>-0.15317929999999999</v>
      </c>
      <c r="AE29">
        <v>-4.8099999999976703E-2</v>
      </c>
      <c r="AF29">
        <v>4.7143553984236398E-2</v>
      </c>
      <c r="AG29">
        <v>-0.15317929999999999</v>
      </c>
      <c r="AH29">
        <v>0.62726580286448397</v>
      </c>
      <c r="AI29">
        <v>103.685995489189</v>
      </c>
      <c r="AJ29">
        <v>85.701889117022304</v>
      </c>
      <c r="AK29">
        <v>0.64741702176725302</v>
      </c>
      <c r="AL29">
        <v>84.189155619887103</v>
      </c>
      <c r="AM29">
        <v>87.390676339448902</v>
      </c>
      <c r="AN29">
        <v>1.0000000337686901</v>
      </c>
    </row>
    <row r="30" spans="1:40" x14ac:dyDescent="0.25">
      <c r="A30" t="str">
        <f>"20190303170228537"</f>
        <v>20190303170228537</v>
      </c>
      <c r="B30" t="str">
        <f>"1551603748526244"</f>
        <v>1551603748526244</v>
      </c>
      <c r="C30" t="s">
        <v>40</v>
      </c>
      <c r="D30">
        <v>4.1882099999999998</v>
      </c>
      <c r="E30">
        <v>0.51279249999999998</v>
      </c>
      <c r="F30" t="s">
        <v>43</v>
      </c>
      <c r="G30">
        <v>-474.09890000000001</v>
      </c>
      <c r="H30">
        <v>0.96600569999999997</v>
      </c>
      <c r="I30">
        <v>367.02269999999999</v>
      </c>
      <c r="J30">
        <v>-474.78129999999999</v>
      </c>
      <c r="K30">
        <v>1.119651</v>
      </c>
      <c r="L30">
        <v>367.07150000000001</v>
      </c>
      <c r="M30">
        <v>0.99999649999999995</v>
      </c>
      <c r="N30">
        <v>1.109938E-3</v>
      </c>
      <c r="O30">
        <v>2.4592310000000001E-3</v>
      </c>
      <c r="P30">
        <v>0.9938998</v>
      </c>
      <c r="Q30">
        <v>0.1016683</v>
      </c>
      <c r="R30">
        <v>-4.2742099999999998E-2</v>
      </c>
      <c r="S30">
        <v>3.0771790000000001</v>
      </c>
      <c r="T30">
        <v>-0.657582</v>
      </c>
      <c r="U30">
        <v>-0.20529169999999999</v>
      </c>
      <c r="V30">
        <v>4.5178129999999997E-2</v>
      </c>
      <c r="W30">
        <v>0.10056850000000001</v>
      </c>
      <c r="X30">
        <v>0.99390389999999995</v>
      </c>
      <c r="Y30">
        <v>6.7455689999999999E-2</v>
      </c>
      <c r="Z30">
        <v>-7.6033280000000003E-3</v>
      </c>
      <c r="AA30">
        <v>0.99769330000000001</v>
      </c>
      <c r="AB30">
        <v>6</v>
      </c>
      <c r="AC30">
        <v>0.68239999999997203</v>
      </c>
      <c r="AD30">
        <v>-0.15364530000000001</v>
      </c>
      <c r="AE30">
        <v>-4.88000000000283E-2</v>
      </c>
      <c r="AF30">
        <v>4.8054338404038902E-2</v>
      </c>
      <c r="AG30">
        <v>-0.15364530000000001</v>
      </c>
      <c r="AH30">
        <v>0.64951846847624795</v>
      </c>
      <c r="AI30">
        <v>103.27383558819599</v>
      </c>
      <c r="AJ30">
        <v>85.768705998847594</v>
      </c>
      <c r="AK30">
        <v>0.66917138204145499</v>
      </c>
      <c r="AL30">
        <v>84.228091977366006</v>
      </c>
      <c r="AM30">
        <v>87.397398678228498</v>
      </c>
      <c r="AN30">
        <v>1.00000002452887</v>
      </c>
    </row>
    <row r="31" spans="1:40" x14ac:dyDescent="0.25">
      <c r="A31" t="str">
        <f>"20190303170228557"</f>
        <v>20190303170228557</v>
      </c>
      <c r="B31" t="str">
        <f>"1551603748545765"</f>
        <v>1551603748545765</v>
      </c>
      <c r="C31" t="s">
        <v>40</v>
      </c>
      <c r="D31">
        <v>4.1623039999999998</v>
      </c>
      <c r="E31">
        <v>0.51289649999999998</v>
      </c>
      <c r="F31" t="s">
        <v>43</v>
      </c>
      <c r="G31">
        <v>-474.03989999999999</v>
      </c>
      <c r="H31">
        <v>0.96091689999999996</v>
      </c>
      <c r="I31">
        <v>367.02170000000001</v>
      </c>
      <c r="J31">
        <v>-474.72089999999997</v>
      </c>
      <c r="K31">
        <v>1.119634</v>
      </c>
      <c r="L31">
        <v>367.0718</v>
      </c>
      <c r="M31">
        <v>0.99999579999999999</v>
      </c>
      <c r="N31">
        <v>1.332649E-3</v>
      </c>
      <c r="O31">
        <v>2.60875E-3</v>
      </c>
      <c r="P31">
        <v>0.99395670000000003</v>
      </c>
      <c r="Q31">
        <v>0.10104349999999999</v>
      </c>
      <c r="R31">
        <v>-4.2900349999999997E-2</v>
      </c>
      <c r="S31">
        <v>3.0769959999999998</v>
      </c>
      <c r="T31">
        <v>-0.65905809999999998</v>
      </c>
      <c r="U31">
        <v>-0.20443729999999999</v>
      </c>
      <c r="V31">
        <v>4.5484730000000001E-2</v>
      </c>
      <c r="W31">
        <v>9.9722599999999995E-2</v>
      </c>
      <c r="X31">
        <v>0.9939751</v>
      </c>
      <c r="Y31">
        <v>6.7326750000000005E-2</v>
      </c>
      <c r="Z31">
        <v>-7.6318219999999999E-3</v>
      </c>
      <c r="AA31">
        <v>0.99770179999999997</v>
      </c>
      <c r="AB31">
        <v>7</v>
      </c>
      <c r="AC31">
        <v>0.68099999999998295</v>
      </c>
      <c r="AD31">
        <v>-0.1587171</v>
      </c>
      <c r="AE31">
        <v>-5.0099999999986197E-2</v>
      </c>
      <c r="AF31">
        <v>4.9217335872314E-2</v>
      </c>
      <c r="AG31">
        <v>-0.1587171</v>
      </c>
      <c r="AH31">
        <v>0.64596744779798698</v>
      </c>
      <c r="AI31">
        <v>103.76599791150799</v>
      </c>
      <c r="AJ31">
        <v>85.642957230405202</v>
      </c>
      <c r="AK31">
        <v>0.666998806293852</v>
      </c>
      <c r="AL31">
        <v>84.276803095301105</v>
      </c>
      <c r="AM31">
        <v>87.379948167212206</v>
      </c>
      <c r="AN31">
        <v>0.99999997851697098</v>
      </c>
    </row>
    <row r="32" spans="1:40" x14ac:dyDescent="0.25">
      <c r="A32" t="str">
        <f>"20190303170228570"</f>
        <v>20190303170228570</v>
      </c>
      <c r="B32" t="str">
        <f>"1551603748566260"</f>
        <v>1551603748566260</v>
      </c>
      <c r="C32" t="s">
        <v>40</v>
      </c>
      <c r="D32">
        <v>4.1778180000000003</v>
      </c>
      <c r="E32">
        <v>0.51300539999999994</v>
      </c>
      <c r="F32" t="s">
        <v>43</v>
      </c>
      <c r="G32">
        <v>-473.9819</v>
      </c>
      <c r="H32">
        <v>0.96073969999999997</v>
      </c>
      <c r="I32">
        <v>367.02210000000002</v>
      </c>
      <c r="J32">
        <v>-474.68119999999999</v>
      </c>
      <c r="K32">
        <v>1.1199220000000001</v>
      </c>
      <c r="L32">
        <v>367.07209999999998</v>
      </c>
      <c r="M32">
        <v>0.99999640000000001</v>
      </c>
      <c r="N32">
        <v>4.0592759999999998E-4</v>
      </c>
      <c r="O32">
        <v>2.6952069999999998E-3</v>
      </c>
      <c r="P32">
        <v>0.99408229999999997</v>
      </c>
      <c r="Q32">
        <v>9.974848E-2</v>
      </c>
      <c r="R32">
        <v>-4.3024640000000003E-2</v>
      </c>
      <c r="S32">
        <v>3.0766300000000002</v>
      </c>
      <c r="T32">
        <v>-0.66162089999999996</v>
      </c>
      <c r="U32">
        <v>-0.20541380000000001</v>
      </c>
      <c r="V32">
        <v>4.5697080000000001E-2</v>
      </c>
      <c r="W32">
        <v>9.9348249999999999E-2</v>
      </c>
      <c r="X32">
        <v>0.99400290000000002</v>
      </c>
      <c r="Y32">
        <v>6.7706779999999994E-2</v>
      </c>
      <c r="Z32">
        <v>-7.7496789999999998E-3</v>
      </c>
      <c r="AA32">
        <v>0.99767519999999998</v>
      </c>
      <c r="AB32">
        <v>7</v>
      </c>
      <c r="AC32">
        <v>0.69929999999999304</v>
      </c>
      <c r="AD32">
        <v>-0.1591823</v>
      </c>
      <c r="AE32">
        <v>-4.9999999999954498E-2</v>
      </c>
      <c r="AF32">
        <v>4.9340938444840998E-2</v>
      </c>
      <c r="AG32">
        <v>-0.1591823</v>
      </c>
      <c r="AH32">
        <v>0.66488629179820802</v>
      </c>
      <c r="AI32">
        <v>103.428336299973</v>
      </c>
      <c r="AJ32">
        <v>85.755883215582699</v>
      </c>
      <c r="AK32">
        <v>0.68545409318281803</v>
      </c>
      <c r="AL32">
        <v>84.298359119653398</v>
      </c>
      <c r="AM32">
        <v>87.367806873192805</v>
      </c>
      <c r="AN32">
        <v>1.00000003155349</v>
      </c>
    </row>
    <row r="33" spans="1:40" x14ac:dyDescent="0.25">
      <c r="A33" t="str">
        <f>"20190303170228582"</f>
        <v>20190303170228582</v>
      </c>
      <c r="B33" t="str">
        <f>"1551603748576020"</f>
        <v>1551603748576020</v>
      </c>
      <c r="C33" t="s">
        <v>40</v>
      </c>
      <c r="D33">
        <v>4.1584629999999896</v>
      </c>
      <c r="E33">
        <v>0.51305779999999901</v>
      </c>
      <c r="F33" t="s">
        <v>43</v>
      </c>
      <c r="G33">
        <v>-473.9785</v>
      </c>
      <c r="H33">
        <v>0.96781059999999997</v>
      </c>
      <c r="I33">
        <v>367.02440000000001</v>
      </c>
      <c r="J33">
        <v>-474.64670000000001</v>
      </c>
      <c r="K33">
        <v>1.1202369999999999</v>
      </c>
      <c r="L33">
        <v>367.07220000000001</v>
      </c>
      <c r="M33">
        <v>0.999996</v>
      </c>
      <c r="N33">
        <v>-7.4541280000000004E-4</v>
      </c>
      <c r="O33">
        <v>2.764996E-3</v>
      </c>
      <c r="P33">
        <v>0.99421499999999996</v>
      </c>
      <c r="Q33">
        <v>9.8445179999999993E-2</v>
      </c>
      <c r="R33">
        <v>-4.2959839999999999E-2</v>
      </c>
      <c r="S33">
        <v>3.075745</v>
      </c>
      <c r="T33">
        <v>-0.66601869999999996</v>
      </c>
      <c r="U33">
        <v>-0.20681759999999999</v>
      </c>
      <c r="V33">
        <v>4.57042E-2</v>
      </c>
      <c r="W33">
        <v>9.9187869999999997E-2</v>
      </c>
      <c r="X33">
        <v>0.99401859999999997</v>
      </c>
      <c r="Y33">
        <v>6.8205799999999997E-2</v>
      </c>
      <c r="Z33">
        <v>-7.9070059999999994E-3</v>
      </c>
      <c r="AA33">
        <v>0.99763999999999997</v>
      </c>
      <c r="AB33">
        <v>7</v>
      </c>
      <c r="AC33">
        <v>0.66820000000001301</v>
      </c>
      <c r="AD33">
        <v>-0.15242639999999999</v>
      </c>
      <c r="AE33">
        <v>-4.7799999999995103E-2</v>
      </c>
      <c r="AF33">
        <v>4.7203587749542003E-2</v>
      </c>
      <c r="AG33">
        <v>-0.15242639999999999</v>
      </c>
      <c r="AH33">
        <v>0.63518101006190997</v>
      </c>
      <c r="AI33">
        <v>103.458522397301</v>
      </c>
      <c r="AJ33">
        <v>85.749866778686098</v>
      </c>
      <c r="AK33">
        <v>0.65491747698214398</v>
      </c>
      <c r="AL33">
        <v>84.307593890604196</v>
      </c>
      <c r="AM33">
        <v>87.367438853764398</v>
      </c>
      <c r="AN33">
        <v>1.00000004229936</v>
      </c>
    </row>
    <row r="34" spans="1:40" x14ac:dyDescent="0.25">
      <c r="A34" t="str">
        <f>"20190303170228603"</f>
        <v>20190303170228603</v>
      </c>
      <c r="B34" t="str">
        <f>"1551603748595541"</f>
        <v>1551603748595541</v>
      </c>
      <c r="C34" t="s">
        <v>40</v>
      </c>
      <c r="D34">
        <v>4.2024999999999997</v>
      </c>
      <c r="E34">
        <v>0.51312340000000001</v>
      </c>
      <c r="F34" t="s">
        <v>43</v>
      </c>
      <c r="G34">
        <v>-473.92579999999998</v>
      </c>
      <c r="H34">
        <v>0.9631246</v>
      </c>
      <c r="I34">
        <v>367.02350000000001</v>
      </c>
      <c r="J34">
        <v>-474.59070000000003</v>
      </c>
      <c r="K34">
        <v>1.120746</v>
      </c>
      <c r="L34">
        <v>367.07249999999999</v>
      </c>
      <c r="M34">
        <v>0.99999199999999999</v>
      </c>
      <c r="N34">
        <v>-2.8612260000000001E-3</v>
      </c>
      <c r="O34">
        <v>2.8595750000000001E-3</v>
      </c>
      <c r="P34">
        <v>0.9943594</v>
      </c>
      <c r="Q34">
        <v>9.6966529999999995E-2</v>
      </c>
      <c r="R34">
        <v>-4.297898E-2</v>
      </c>
      <c r="S34">
        <v>3.0748600000000001</v>
      </c>
      <c r="T34">
        <v>-0.67023350000000004</v>
      </c>
      <c r="U34">
        <v>-0.2071838</v>
      </c>
      <c r="V34">
        <v>4.5821599999999997E-2</v>
      </c>
      <c r="W34">
        <v>9.9811330000000004E-2</v>
      </c>
      <c r="X34">
        <v>0.99395069999999996</v>
      </c>
      <c r="Y34">
        <v>6.8394860000000002E-2</v>
      </c>
      <c r="Z34">
        <v>-8.0659689999999992E-3</v>
      </c>
      <c r="AA34">
        <v>0.99762569999999995</v>
      </c>
      <c r="AB34">
        <v>6</v>
      </c>
      <c r="AC34">
        <v>0.66490000000004501</v>
      </c>
      <c r="AD34">
        <v>-0.15762139999999999</v>
      </c>
      <c r="AE34">
        <v>-4.8999999999978103E-2</v>
      </c>
      <c r="AF34">
        <v>4.82066732592943E-2</v>
      </c>
      <c r="AG34">
        <v>-0.15762139999999999</v>
      </c>
      <c r="AH34">
        <v>0.62956806527779396</v>
      </c>
      <c r="AI34">
        <v>104.016483714597</v>
      </c>
      <c r="AJ34">
        <v>85.621347511935397</v>
      </c>
      <c r="AK34">
        <v>0.65078747521930203</v>
      </c>
      <c r="AL34">
        <v>84.271693627488901</v>
      </c>
      <c r="AM34">
        <v>87.360506120473502</v>
      </c>
      <c r="AN34">
        <v>0.99999995732670799</v>
      </c>
    </row>
    <row r="35" spans="1:40" x14ac:dyDescent="0.25">
      <c r="A35" t="str">
        <f>"20190303170228616"</f>
        <v>20190303170228616</v>
      </c>
      <c r="B35" t="str">
        <f>"1551603748606278"</f>
        <v>1551603748606278</v>
      </c>
      <c r="C35" t="s">
        <v>40</v>
      </c>
      <c r="D35">
        <v>4.1951260000000001</v>
      </c>
      <c r="E35">
        <v>0.51315789999999994</v>
      </c>
      <c r="F35" t="s">
        <v>43</v>
      </c>
      <c r="G35">
        <v>-473.87189999999998</v>
      </c>
      <c r="H35">
        <v>0.9628911</v>
      </c>
      <c r="I35">
        <v>367.02330000000001</v>
      </c>
      <c r="J35">
        <v>-474.55669999999998</v>
      </c>
      <c r="K35">
        <v>1.120973</v>
      </c>
      <c r="L35">
        <v>367.0727</v>
      </c>
      <c r="M35">
        <v>0.99998799999999999</v>
      </c>
      <c r="N35">
        <v>-3.9626239999999997E-3</v>
      </c>
      <c r="O35">
        <v>2.9046200000000001E-3</v>
      </c>
      <c r="P35">
        <v>0.99438839999999995</v>
      </c>
      <c r="Q35">
        <v>9.678668E-2</v>
      </c>
      <c r="R35">
        <v>-4.2711319999999997E-2</v>
      </c>
      <c r="S35">
        <v>3.0739139999999998</v>
      </c>
      <c r="T35">
        <v>-0.6753846</v>
      </c>
      <c r="U35">
        <v>-0.2081604</v>
      </c>
      <c r="V35">
        <v>4.5601000000000003E-2</v>
      </c>
      <c r="W35">
        <v>0.1007251</v>
      </c>
      <c r="X35">
        <v>0.99386870000000005</v>
      </c>
      <c r="Y35">
        <v>6.873245E-2</v>
      </c>
      <c r="Z35">
        <v>-8.2101259999999999E-3</v>
      </c>
      <c r="AA35">
        <v>0.99760130000000002</v>
      </c>
      <c r="AB35">
        <v>6</v>
      </c>
      <c r="AC35">
        <v>0.68479999999999497</v>
      </c>
      <c r="AD35">
        <v>-0.1580819</v>
      </c>
      <c r="AE35">
        <v>-4.9399999999991402E-2</v>
      </c>
      <c r="AF35">
        <v>4.8801761542340803E-2</v>
      </c>
      <c r="AG35">
        <v>-0.1580819</v>
      </c>
      <c r="AH35">
        <v>0.65018532667484097</v>
      </c>
      <c r="AI35">
        <v>103.628475646269</v>
      </c>
      <c r="AJ35">
        <v>85.707528860889298</v>
      </c>
      <c r="AK35">
        <v>0.67090420930302297</v>
      </c>
      <c r="AL35">
        <v>84.219073493658499</v>
      </c>
      <c r="AM35">
        <v>87.372979232567005</v>
      </c>
      <c r="AN35">
        <v>0.99999999490534996</v>
      </c>
    </row>
    <row r="36" spans="1:40" x14ac:dyDescent="0.25">
      <c r="A36" t="str">
        <f>"20190303170228639"</f>
        <v>20190303170228639</v>
      </c>
      <c r="B36" t="str">
        <f>"1551603748625796"</f>
        <v>1551603748625796</v>
      </c>
      <c r="C36" t="s">
        <v>40</v>
      </c>
      <c r="D36">
        <v>4.1875179999999999</v>
      </c>
      <c r="E36">
        <v>0.51322309999999904</v>
      </c>
      <c r="F36" t="s">
        <v>43</v>
      </c>
      <c r="G36">
        <v>-473.81580000000002</v>
      </c>
      <c r="H36">
        <v>0.95800200000000002</v>
      </c>
      <c r="I36">
        <v>367.02199999999999</v>
      </c>
      <c r="J36">
        <v>-474.49450000000002</v>
      </c>
      <c r="K36">
        <v>1.1208119999999999</v>
      </c>
      <c r="L36">
        <v>367.07299999999998</v>
      </c>
      <c r="M36">
        <v>0.99998759999999998</v>
      </c>
      <c r="N36">
        <v>-4.0059290000000001E-3</v>
      </c>
      <c r="O36">
        <v>2.995906E-3</v>
      </c>
      <c r="P36">
        <v>0.99422370000000004</v>
      </c>
      <c r="Q36">
        <v>9.8632899999999996E-2</v>
      </c>
      <c r="R36">
        <v>-4.2320009999999998E-2</v>
      </c>
      <c r="S36">
        <v>3.0738219999999998</v>
      </c>
      <c r="T36">
        <v>-0.67636870000000004</v>
      </c>
      <c r="U36">
        <v>-0.20785519999999999</v>
      </c>
      <c r="V36">
        <v>4.5300069999999998E-2</v>
      </c>
      <c r="W36">
        <v>0.102614</v>
      </c>
      <c r="X36">
        <v>0.99368920000000005</v>
      </c>
      <c r="Y36">
        <v>6.8719760000000005E-2</v>
      </c>
      <c r="Z36">
        <v>-8.2413439999999994E-3</v>
      </c>
      <c r="AA36">
        <v>0.99760199999999999</v>
      </c>
      <c r="AB36">
        <v>6</v>
      </c>
      <c r="AC36">
        <v>0.67869999999999198</v>
      </c>
      <c r="AD36">
        <v>-0.16281000000000001</v>
      </c>
      <c r="AE36">
        <v>-5.1000000000044503E-2</v>
      </c>
      <c r="AF36">
        <v>5.0162710891767499E-2</v>
      </c>
      <c r="AG36">
        <v>-0.16281000000000001</v>
      </c>
      <c r="AH36">
        <v>0.641818205679763</v>
      </c>
      <c r="AI36">
        <v>104.19245109364699</v>
      </c>
      <c r="AJ36">
        <v>85.531007475115203</v>
      </c>
      <c r="AK36">
        <v>0.66404367537534803</v>
      </c>
      <c r="AL36">
        <v>84.110283653265796</v>
      </c>
      <c r="AM36">
        <v>87.389820648462404</v>
      </c>
      <c r="AN36">
        <v>0.99999997776732197</v>
      </c>
    </row>
    <row r="37" spans="1:40" x14ac:dyDescent="0.25">
      <c r="A37" t="str">
        <f>"20190303170228659"</f>
        <v>20190303170228659</v>
      </c>
      <c r="B37" t="str">
        <f>"1551603748656052"</f>
        <v>1551603748656052</v>
      </c>
      <c r="C37" t="s">
        <v>40</v>
      </c>
      <c r="D37">
        <v>4.1637649999999997</v>
      </c>
      <c r="E37">
        <v>0.51331910000000003</v>
      </c>
      <c r="F37" t="s">
        <v>43</v>
      </c>
      <c r="G37">
        <v>-473.75319999999999</v>
      </c>
      <c r="H37">
        <v>0.95908340000000003</v>
      </c>
      <c r="I37">
        <v>367.02280000000002</v>
      </c>
      <c r="J37">
        <v>-474.42540000000002</v>
      </c>
      <c r="K37">
        <v>1.120471</v>
      </c>
      <c r="L37">
        <v>367.07330000000002</v>
      </c>
      <c r="M37">
        <v>0.99998989999999999</v>
      </c>
      <c r="N37">
        <v>-3.2819820000000001E-3</v>
      </c>
      <c r="O37">
        <v>3.125044E-3</v>
      </c>
      <c r="P37">
        <v>0.99408759999999996</v>
      </c>
      <c r="Q37">
        <v>0.1002055</v>
      </c>
      <c r="R37">
        <v>-4.1825069999999999E-2</v>
      </c>
      <c r="S37">
        <v>3.0751650000000001</v>
      </c>
      <c r="T37">
        <v>-0.67098769999999996</v>
      </c>
      <c r="U37">
        <v>-0.2071838</v>
      </c>
      <c r="V37">
        <v>4.4931869999999999E-2</v>
      </c>
      <c r="W37">
        <v>0.1034668</v>
      </c>
      <c r="X37">
        <v>0.99361750000000004</v>
      </c>
      <c r="Y37">
        <v>6.8634959999999995E-2</v>
      </c>
      <c r="Z37">
        <v>-8.1699479999999998E-3</v>
      </c>
      <c r="AA37">
        <v>0.99760839999999995</v>
      </c>
      <c r="AB37">
        <v>7</v>
      </c>
      <c r="AC37">
        <v>0.67220000000003199</v>
      </c>
      <c r="AD37">
        <v>-0.16138759999999899</v>
      </c>
      <c r="AE37">
        <v>-5.0499999999999497E-2</v>
      </c>
      <c r="AF37">
        <v>4.9748861052065302E-2</v>
      </c>
      <c r="AG37">
        <v>-0.16138759999999899</v>
      </c>
      <c r="AH37">
        <v>0.63560653380955401</v>
      </c>
      <c r="AI37">
        <v>104.205280963747</v>
      </c>
      <c r="AJ37">
        <v>85.5245891294731</v>
      </c>
      <c r="AK37">
        <v>0.65765992156367103</v>
      </c>
      <c r="AL37">
        <v>84.061160431468195</v>
      </c>
      <c r="AM37">
        <v>87.4108206915799</v>
      </c>
      <c r="AN37">
        <v>0.99999999397509298</v>
      </c>
    </row>
    <row r="38" spans="1:40" x14ac:dyDescent="0.25">
      <c r="A38" t="str">
        <f>"20190303170228681"</f>
        <v>20190303170228681</v>
      </c>
      <c r="B38" t="str">
        <f>"1551603748675572"</f>
        <v>1551603748675572</v>
      </c>
      <c r="C38" t="s">
        <v>40</v>
      </c>
      <c r="D38">
        <v>4.2181759999999997</v>
      </c>
      <c r="E38">
        <v>0.5133008</v>
      </c>
      <c r="F38" t="s">
        <v>43</v>
      </c>
      <c r="G38">
        <v>-473.68830000000003</v>
      </c>
      <c r="H38">
        <v>0.96062099999999995</v>
      </c>
      <c r="I38">
        <v>367.02359999999999</v>
      </c>
      <c r="J38">
        <v>-474.35610000000003</v>
      </c>
      <c r="K38">
        <v>1.120242</v>
      </c>
      <c r="L38">
        <v>367.07369999999997</v>
      </c>
      <c r="M38">
        <v>0.99999119999999997</v>
      </c>
      <c r="N38">
        <v>-2.6799520000000002E-3</v>
      </c>
      <c r="O38">
        <v>3.2693800000000001E-3</v>
      </c>
      <c r="P38">
        <v>0.99408019999999997</v>
      </c>
      <c r="Q38">
        <v>0.1006329</v>
      </c>
      <c r="R38">
        <v>-4.09623E-2</v>
      </c>
      <c r="S38">
        <v>3.076416</v>
      </c>
      <c r="T38">
        <v>-0.66722729999999997</v>
      </c>
      <c r="U38">
        <v>-0.20626829999999999</v>
      </c>
      <c r="V38">
        <v>4.4210649999999997E-2</v>
      </c>
      <c r="W38">
        <v>0.103297</v>
      </c>
      <c r="X38">
        <v>0.99366750000000004</v>
      </c>
      <c r="Y38">
        <v>6.8480669999999993E-2</v>
      </c>
      <c r="Z38">
        <v>-8.1173779999999997E-3</v>
      </c>
      <c r="AA38">
        <v>0.99761940000000005</v>
      </c>
      <c r="AB38">
        <v>7</v>
      </c>
      <c r="AC38">
        <v>0.66779999999999895</v>
      </c>
      <c r="AD38">
        <v>-0.15962100000000001</v>
      </c>
      <c r="AE38">
        <v>-5.0099999999986197E-2</v>
      </c>
      <c r="AF38">
        <v>4.9472346479072997E-2</v>
      </c>
      <c r="AG38">
        <v>-0.15962100000000001</v>
      </c>
      <c r="AH38">
        <v>0.63174134909170399</v>
      </c>
      <c r="AI38">
        <v>104.13849779816999</v>
      </c>
      <c r="AJ38">
        <v>85.522244248190304</v>
      </c>
      <c r="AK38">
        <v>0.65347035805715803</v>
      </c>
      <c r="AL38">
        <v>84.070941559385602</v>
      </c>
      <c r="AM38">
        <v>87.452453499859203</v>
      </c>
      <c r="AN38">
        <v>0.999999976169336</v>
      </c>
    </row>
    <row r="39" spans="1:40" x14ac:dyDescent="0.25">
      <c r="A39" t="str">
        <f>"20190303170228703"</f>
        <v>20190303170228703</v>
      </c>
      <c r="B39" t="str">
        <f>"1551603748696068"</f>
        <v>1551603748696068</v>
      </c>
      <c r="C39" t="s">
        <v>40</v>
      </c>
      <c r="D39">
        <v>4.2007180000000002</v>
      </c>
      <c r="E39">
        <v>0.5001525</v>
      </c>
      <c r="F39" t="s">
        <v>43</v>
      </c>
      <c r="G39">
        <v>-473.62209999999999</v>
      </c>
      <c r="H39">
        <v>0.96158370000000004</v>
      </c>
      <c r="I39">
        <v>367.02460000000002</v>
      </c>
      <c r="J39">
        <v>-474.28019999999998</v>
      </c>
      <c r="K39">
        <v>1.1201049999999999</v>
      </c>
      <c r="L39">
        <v>367.07409999999999</v>
      </c>
      <c r="M39">
        <v>0.99999179999999999</v>
      </c>
      <c r="N39">
        <v>-2.219366E-3</v>
      </c>
      <c r="O39">
        <v>3.4360889999999998E-3</v>
      </c>
      <c r="P39">
        <v>0.99395279999999997</v>
      </c>
      <c r="Q39">
        <v>0.10234559999999999</v>
      </c>
      <c r="R39">
        <v>-3.979427E-2</v>
      </c>
      <c r="S39">
        <v>3.076813</v>
      </c>
      <c r="T39">
        <v>-0.66533160000000002</v>
      </c>
      <c r="U39">
        <v>-0.204071</v>
      </c>
      <c r="V39">
        <v>4.3205140000000003E-2</v>
      </c>
      <c r="W39">
        <v>0.1045528</v>
      </c>
      <c r="X39">
        <v>0.99358040000000003</v>
      </c>
      <c r="Y39">
        <v>6.7950490000000002E-2</v>
      </c>
      <c r="Z39">
        <v>-8.0577859999999904E-3</v>
      </c>
      <c r="AA39">
        <v>0.99765619999999999</v>
      </c>
      <c r="AB39">
        <v>7</v>
      </c>
      <c r="AC39">
        <v>0.65809999999999003</v>
      </c>
      <c r="AD39">
        <v>-0.158521299999999</v>
      </c>
      <c r="AE39">
        <v>-4.94999999999663E-2</v>
      </c>
      <c r="AF39">
        <v>4.8937531569889302E-2</v>
      </c>
      <c r="AG39">
        <v>-0.158521299999999</v>
      </c>
      <c r="AH39">
        <v>0.62203732187691896</v>
      </c>
      <c r="AI39">
        <v>104.254813673659</v>
      </c>
      <c r="AJ39">
        <v>85.501635633893102</v>
      </c>
      <c r="AK39">
        <v>0.64378126281964199</v>
      </c>
      <c r="AL39">
        <v>83.998597875373306</v>
      </c>
      <c r="AM39">
        <v>87.510102185528893</v>
      </c>
      <c r="AN39">
        <v>0.99999999168720899</v>
      </c>
    </row>
    <row r="40" spans="1:40" x14ac:dyDescent="0.25">
      <c r="A40" t="str">
        <f>"20190303170228726"</f>
        <v>20190303170228726</v>
      </c>
      <c r="B40" t="str">
        <f>"1551603748715588"</f>
        <v>1551603748715588</v>
      </c>
      <c r="C40" t="s">
        <v>40</v>
      </c>
      <c r="D40">
        <v>4.3337219999999999</v>
      </c>
      <c r="E40">
        <v>0.4950174</v>
      </c>
      <c r="F40" t="s">
        <v>43</v>
      </c>
      <c r="G40">
        <v>-473.52949999999998</v>
      </c>
      <c r="H40">
        <v>1.0135730000000001</v>
      </c>
      <c r="I40">
        <v>367.04880000000003</v>
      </c>
      <c r="J40">
        <v>-474.2029</v>
      </c>
      <c r="K40">
        <v>1.1200019999999999</v>
      </c>
      <c r="L40">
        <v>367.07459999999998</v>
      </c>
      <c r="M40">
        <v>0.99999199999999999</v>
      </c>
      <c r="N40">
        <v>-1.757399E-3</v>
      </c>
      <c r="O40">
        <v>3.6095350000000001E-3</v>
      </c>
      <c r="P40">
        <v>0.9937878</v>
      </c>
      <c r="Q40">
        <v>0.1042189</v>
      </c>
      <c r="R40">
        <v>-3.9045280000000002E-2</v>
      </c>
      <c r="S40">
        <v>3.058929</v>
      </c>
      <c r="T40">
        <v>-0.43428830000000002</v>
      </c>
      <c r="U40">
        <v>-0.1016541</v>
      </c>
      <c r="V40">
        <v>4.2625169999999997E-2</v>
      </c>
      <c r="W40">
        <v>0.1059678</v>
      </c>
      <c r="X40">
        <v>0.99345550000000005</v>
      </c>
      <c r="Y40">
        <v>3.6416280000000002E-2</v>
      </c>
      <c r="Z40">
        <v>-3.107116E-3</v>
      </c>
      <c r="AA40">
        <v>0.99933190000000005</v>
      </c>
      <c r="AB40">
        <v>7</v>
      </c>
      <c r="AC40">
        <v>0.67340000000001499</v>
      </c>
      <c r="AD40">
        <v>-0.106428999999999</v>
      </c>
      <c r="AE40">
        <v>-2.57999999999469E-2</v>
      </c>
      <c r="AF40">
        <v>2.7543497885599399E-2</v>
      </c>
      <c r="AG40">
        <v>-0.106428999999999</v>
      </c>
      <c r="AH40">
        <v>0.65691744702033705</v>
      </c>
      <c r="AI40">
        <v>99.194744403616298</v>
      </c>
      <c r="AJ40">
        <v>87.599085872720195</v>
      </c>
      <c r="AK40">
        <v>0.66605278207998797</v>
      </c>
      <c r="AL40">
        <v>83.917071212815003</v>
      </c>
      <c r="AM40">
        <v>87.543175979293096</v>
      </c>
      <c r="AN40">
        <v>0.99999995511730799</v>
      </c>
    </row>
    <row r="41" spans="1:40" x14ac:dyDescent="0.25">
      <c r="A41" t="str">
        <f>"20190303170228746"</f>
        <v>20190303170228746</v>
      </c>
      <c r="B41" t="str">
        <f>"1551603748736084"</f>
        <v>1551603748736084</v>
      </c>
      <c r="C41" t="s">
        <v>40</v>
      </c>
      <c r="D41">
        <v>4.4388399999999999</v>
      </c>
      <c r="E41">
        <v>0.49474990000000002</v>
      </c>
      <c r="F41" t="s">
        <v>42</v>
      </c>
      <c r="G41">
        <v>-451.95350000000002</v>
      </c>
      <c r="H41" s="1">
        <v>-3.9698910000000003E-6</v>
      </c>
      <c r="I41">
        <v>366.59660000000002</v>
      </c>
      <c r="J41">
        <v>-474.12920000000003</v>
      </c>
      <c r="K41">
        <v>1.119893</v>
      </c>
      <c r="L41">
        <v>367.07499999999999</v>
      </c>
      <c r="M41">
        <v>0.9999922</v>
      </c>
      <c r="N41">
        <v>-1.2178619999999999E-3</v>
      </c>
      <c r="O41">
        <v>3.774201E-3</v>
      </c>
      <c r="P41">
        <v>0.99361960000000005</v>
      </c>
      <c r="Q41">
        <v>0.10610550000000001</v>
      </c>
      <c r="R41">
        <v>-3.8233059999999999E-2</v>
      </c>
      <c r="S41">
        <v>3.0321959999999999</v>
      </c>
      <c r="T41">
        <v>-0.15263570000000001</v>
      </c>
      <c r="U41">
        <v>-6.5124509999999997E-2</v>
      </c>
      <c r="V41">
        <v>4.1973700000000003E-2</v>
      </c>
      <c r="W41">
        <v>0.1073191</v>
      </c>
      <c r="X41">
        <v>0.99333819999999995</v>
      </c>
      <c r="Y41">
        <v>2.5208680000000001E-2</v>
      </c>
      <c r="Z41">
        <v>-8.3462249999999999E-4</v>
      </c>
      <c r="AA41">
        <v>0.99968190000000001</v>
      </c>
      <c r="AB41">
        <v>8</v>
      </c>
      <c r="AC41">
        <v>22.175699999999999</v>
      </c>
      <c r="AD41">
        <v>-1.119896969891</v>
      </c>
      <c r="AE41">
        <v>-0.47839999999996502</v>
      </c>
      <c r="AF41">
        <v>0.56066297133989995</v>
      </c>
      <c r="AG41">
        <v>-1.119896969891</v>
      </c>
      <c r="AH41">
        <v>22.117355502516801</v>
      </c>
      <c r="AI41">
        <v>92.897727264990095</v>
      </c>
      <c r="AJ41">
        <v>88.547894036939397</v>
      </c>
      <c r="AK41">
        <v>22.1527859786374</v>
      </c>
      <c r="AL41">
        <v>83.8392035161949</v>
      </c>
      <c r="AM41">
        <v>87.580395010510898</v>
      </c>
      <c r="AN41">
        <v>0.99999998014786895</v>
      </c>
    </row>
    <row r="42" spans="1:40" x14ac:dyDescent="0.25">
      <c r="A42" t="str">
        <f>"20190303170228761"</f>
        <v>20190303170228761</v>
      </c>
      <c r="B42" t="str">
        <f>"1551603748755604"</f>
        <v>1551603748755604</v>
      </c>
      <c r="C42" t="s">
        <v>40</v>
      </c>
      <c r="D42">
        <v>4.3924820000000002</v>
      </c>
      <c r="E42">
        <v>0.49433919999999998</v>
      </c>
      <c r="F42" t="s">
        <v>42</v>
      </c>
      <c r="G42">
        <v>-441.0401</v>
      </c>
      <c r="H42" s="1">
        <v>-4.7856779999999996E-6</v>
      </c>
      <c r="I42">
        <v>366.404</v>
      </c>
      <c r="J42">
        <v>-474.07639999999998</v>
      </c>
      <c r="K42">
        <v>1.1198140000000001</v>
      </c>
      <c r="L42">
        <v>367.07530000000003</v>
      </c>
      <c r="M42">
        <v>0.99999210000000005</v>
      </c>
      <c r="N42">
        <v>-8.049458E-4</v>
      </c>
      <c r="O42">
        <v>3.88997E-3</v>
      </c>
      <c r="P42">
        <v>0.99351369999999894</v>
      </c>
      <c r="Q42">
        <v>0.1071862</v>
      </c>
      <c r="R42">
        <v>-3.7971499999999998E-2</v>
      </c>
      <c r="S42">
        <v>3.0278320000000001</v>
      </c>
      <c r="T42">
        <v>-0.102477</v>
      </c>
      <c r="U42">
        <v>-6.1401369999999997E-2</v>
      </c>
      <c r="V42">
        <v>4.1825630000000003E-2</v>
      </c>
      <c r="W42">
        <v>0.1079894</v>
      </c>
      <c r="X42">
        <v>0.99327180000000004</v>
      </c>
      <c r="Y42">
        <v>2.4147559999999998E-2</v>
      </c>
      <c r="Z42">
        <v>-5.4667660000000005E-4</v>
      </c>
      <c r="AA42">
        <v>0.99970820000000005</v>
      </c>
      <c r="AB42">
        <v>8</v>
      </c>
      <c r="AC42">
        <v>33.036299999999898</v>
      </c>
      <c r="AD42">
        <v>-1.119818785678</v>
      </c>
      <c r="AE42">
        <v>-0.67130000000002998</v>
      </c>
      <c r="AF42">
        <v>0.79888765224413905</v>
      </c>
      <c r="AG42">
        <v>-1.119818785678</v>
      </c>
      <c r="AH42">
        <v>32.995543119144799</v>
      </c>
      <c r="AI42">
        <v>91.943216898843701</v>
      </c>
      <c r="AJ42">
        <v>88.613026328266898</v>
      </c>
      <c r="AK42">
        <v>33.024204476732002</v>
      </c>
      <c r="AL42">
        <v>83.800573659005295</v>
      </c>
      <c r="AM42">
        <v>87.588759534324296</v>
      </c>
      <c r="AN42">
        <v>0.99999998125624801</v>
      </c>
    </row>
    <row r="43" spans="1:40" x14ac:dyDescent="0.25">
      <c r="A43" t="str">
        <f>"20190303170228780"</f>
        <v>20190303170228780</v>
      </c>
      <c r="B43" t="str">
        <f>"1551603748766341"</f>
        <v>1551603748766341</v>
      </c>
      <c r="C43" t="s">
        <v>40</v>
      </c>
      <c r="D43">
        <v>4.3943490000000001</v>
      </c>
      <c r="E43">
        <v>0.49437120000000001</v>
      </c>
      <c r="F43" t="s">
        <v>44</v>
      </c>
      <c r="G43">
        <v>-429.49009999999998</v>
      </c>
      <c r="H43">
        <v>-0.05</v>
      </c>
      <c r="I43">
        <v>366.22089999999997</v>
      </c>
      <c r="J43">
        <v>-474.0018</v>
      </c>
      <c r="K43">
        <v>1.1197269999999999</v>
      </c>
      <c r="L43">
        <v>367.07580000000002</v>
      </c>
      <c r="M43">
        <v>0.99999190000000004</v>
      </c>
      <c r="N43">
        <v>-2.73663E-4</v>
      </c>
      <c r="O43">
        <v>4.0469099999999999E-3</v>
      </c>
      <c r="P43">
        <v>0.99336899999999995</v>
      </c>
      <c r="Q43">
        <v>0.1087568</v>
      </c>
      <c r="R43">
        <v>-3.7287569999999999E-2</v>
      </c>
      <c r="S43">
        <v>3.02597</v>
      </c>
      <c r="T43">
        <v>-7.9392550000000006E-2</v>
      </c>
      <c r="U43">
        <v>-5.7983399999999997E-2</v>
      </c>
      <c r="V43">
        <v>4.1296230000000003E-2</v>
      </c>
      <c r="W43">
        <v>0.1090327</v>
      </c>
      <c r="X43">
        <v>0.99317999999999995</v>
      </c>
      <c r="Y43">
        <v>2.3194989999999999E-2</v>
      </c>
      <c r="Z43">
        <v>-4.1242310000000001E-4</v>
      </c>
      <c r="AA43">
        <v>0.99973089999999998</v>
      </c>
      <c r="AB43">
        <v>8</v>
      </c>
      <c r="AC43">
        <v>44.511699999999998</v>
      </c>
      <c r="AD43">
        <v>-1.169727</v>
      </c>
      <c r="AE43">
        <v>-0.85490000000004296</v>
      </c>
      <c r="AF43">
        <v>1.03431380326546</v>
      </c>
      <c r="AG43">
        <v>-1.169727</v>
      </c>
      <c r="AH43">
        <v>44.477171609952201</v>
      </c>
      <c r="AI43">
        <v>91.506095604129399</v>
      </c>
      <c r="AJ43">
        <v>88.667830391050401</v>
      </c>
      <c r="AK43">
        <v>44.504571233967503</v>
      </c>
      <c r="AL43">
        <v>83.740442087648006</v>
      </c>
      <c r="AM43">
        <v>87.619024211169503</v>
      </c>
      <c r="AN43">
        <v>1.00000001034075</v>
      </c>
    </row>
    <row r="44" spans="1:40" x14ac:dyDescent="0.25">
      <c r="A44" t="str">
        <f>"20190303170228794"</f>
        <v>20190303170228794</v>
      </c>
      <c r="B44" t="str">
        <f>"1551603748786624"</f>
        <v>1551603748786624</v>
      </c>
      <c r="C44" t="s">
        <v>40</v>
      </c>
      <c r="D44">
        <v>4.3912509999999996</v>
      </c>
      <c r="E44">
        <v>0.49420150000000002</v>
      </c>
      <c r="F44" t="s">
        <v>44</v>
      </c>
      <c r="G44">
        <v>-423.81439999999998</v>
      </c>
      <c r="H44">
        <v>-0.05</v>
      </c>
      <c r="I44">
        <v>366.13630000000001</v>
      </c>
      <c r="J44">
        <v>-473.94830000000002</v>
      </c>
      <c r="K44">
        <v>1.1196900000000001</v>
      </c>
      <c r="L44">
        <v>367.0761</v>
      </c>
      <c r="M44">
        <v>0.99999139999999997</v>
      </c>
      <c r="N44" s="1">
        <v>3.0597729999999901E-5</v>
      </c>
      <c r="O44">
        <v>4.153426E-3</v>
      </c>
      <c r="P44">
        <v>0.99328269999999996</v>
      </c>
      <c r="Q44">
        <v>0.1095501</v>
      </c>
      <c r="R44">
        <v>-3.7261639999999999E-2</v>
      </c>
      <c r="S44">
        <v>3.025665</v>
      </c>
      <c r="T44">
        <v>-7.0519799999999994E-2</v>
      </c>
      <c r="U44">
        <v>-5.6640629999999997E-2</v>
      </c>
      <c r="V44">
        <v>4.1376030000000001E-2</v>
      </c>
      <c r="W44">
        <v>0.1095237</v>
      </c>
      <c r="X44">
        <v>0.99312259999999997</v>
      </c>
      <c r="Y44">
        <v>2.2861989999999999E-2</v>
      </c>
      <c r="Z44">
        <v>-3.6292619999999997E-4</v>
      </c>
      <c r="AA44">
        <v>0.99973860000000003</v>
      </c>
      <c r="AB44">
        <v>8</v>
      </c>
      <c r="AC44">
        <v>50.133899999999997</v>
      </c>
      <c r="AD44">
        <v>-1.1696899999999999</v>
      </c>
      <c r="AE44">
        <v>-0.93979999999999098</v>
      </c>
      <c r="AF44">
        <v>1.1473949666320999</v>
      </c>
      <c r="AG44">
        <v>-1.1696899999999999</v>
      </c>
      <c r="AH44">
        <v>50.102300551407097</v>
      </c>
      <c r="AI44">
        <v>91.337035826678701</v>
      </c>
      <c r="AJ44">
        <v>88.688096172423101</v>
      </c>
      <c r="AK44">
        <v>50.129085473895103</v>
      </c>
      <c r="AL44">
        <v>83.712140034203102</v>
      </c>
      <c r="AM44">
        <v>87.614290851337799</v>
      </c>
      <c r="AN44">
        <v>0.99999995767550398</v>
      </c>
    </row>
    <row r="45" spans="1:40" x14ac:dyDescent="0.25">
      <c r="A45" t="str">
        <f>"20190303170228816"</f>
        <v>20190303170228816</v>
      </c>
      <c r="B45" t="str">
        <f>"1551603748806143"</f>
        <v>1551603748806143</v>
      </c>
      <c r="C45" t="s">
        <v>40</v>
      </c>
      <c r="D45">
        <v>4.4497039999999997</v>
      </c>
      <c r="E45">
        <v>0.4942317</v>
      </c>
      <c r="F45" t="s">
        <v>44</v>
      </c>
      <c r="G45">
        <v>-418.3537</v>
      </c>
      <c r="H45">
        <v>-0.05</v>
      </c>
      <c r="I45">
        <v>366.06049999999999</v>
      </c>
      <c r="J45">
        <v>-473.8664</v>
      </c>
      <c r="K45">
        <v>1.119699</v>
      </c>
      <c r="L45">
        <v>367.07670000000002</v>
      </c>
      <c r="M45">
        <v>0.99999090000000002</v>
      </c>
      <c r="N45">
        <v>2.4501930000000001E-4</v>
      </c>
      <c r="O45">
        <v>4.2947259999999996E-3</v>
      </c>
      <c r="P45">
        <v>0.99315200000000003</v>
      </c>
      <c r="Q45">
        <v>0.110789</v>
      </c>
      <c r="R45">
        <v>-3.7084249999999999E-2</v>
      </c>
      <c r="S45">
        <v>3.0252690000000002</v>
      </c>
      <c r="T45">
        <v>-6.3650609999999996E-2</v>
      </c>
      <c r="U45">
        <v>-5.5267330000000003E-2</v>
      </c>
      <c r="V45">
        <v>4.1339559999999997E-2</v>
      </c>
      <c r="W45">
        <v>0.11054940000000001</v>
      </c>
      <c r="X45">
        <v>0.99301050000000002</v>
      </c>
      <c r="Y45">
        <v>2.2553460000000001E-2</v>
      </c>
      <c r="Z45">
        <v>-3.2584379999999998E-4</v>
      </c>
      <c r="AA45">
        <v>0.99974560000000001</v>
      </c>
      <c r="AB45">
        <v>8</v>
      </c>
      <c r="AC45">
        <v>55.512700000000002</v>
      </c>
      <c r="AD45">
        <v>-1.169699</v>
      </c>
      <c r="AE45">
        <v>-1.01620000000002</v>
      </c>
      <c r="AF45">
        <v>1.2540458501353899</v>
      </c>
      <c r="AG45">
        <v>-1.169699</v>
      </c>
      <c r="AH45">
        <v>55.483198555074402</v>
      </c>
      <c r="AI45">
        <v>91.207424715305606</v>
      </c>
      <c r="AJ45">
        <v>88.705206175288595</v>
      </c>
      <c r="AK45">
        <v>55.509694186210901</v>
      </c>
      <c r="AL45">
        <v>83.653012912573601</v>
      </c>
      <c r="AM45">
        <v>87.616122483305205</v>
      </c>
      <c r="AN45">
        <v>0.99999999108580095</v>
      </c>
    </row>
    <row r="46" spans="1:40" x14ac:dyDescent="0.25">
      <c r="A46" t="str">
        <f>"20190303170228838"</f>
        <v>20190303170228838</v>
      </c>
      <c r="B46" t="str">
        <f>"1551603748825663"</f>
        <v>1551603748825663</v>
      </c>
      <c r="C46" t="s">
        <v>40</v>
      </c>
      <c r="D46">
        <v>4.4975690000000004</v>
      </c>
      <c r="E46">
        <v>0.49444660000000001</v>
      </c>
      <c r="F46" t="s">
        <v>44</v>
      </c>
      <c r="G46">
        <v>-413.30130000000003</v>
      </c>
      <c r="H46">
        <v>-0.05</v>
      </c>
      <c r="I46">
        <v>365.96769999999998</v>
      </c>
      <c r="J46">
        <v>-473.77589999999998</v>
      </c>
      <c r="K46">
        <v>1.119767</v>
      </c>
      <c r="L46">
        <v>367.07729999999998</v>
      </c>
      <c r="M46">
        <v>0.9999903</v>
      </c>
      <c r="N46">
        <v>2.1024619999999999E-4</v>
      </c>
      <c r="O46">
        <v>4.4215740000000002E-3</v>
      </c>
      <c r="P46">
        <v>0.99310719999999997</v>
      </c>
      <c r="Q46">
        <v>0.1111666</v>
      </c>
      <c r="R46">
        <v>-3.7157799999999998E-2</v>
      </c>
      <c r="S46">
        <v>3.0251459999999999</v>
      </c>
      <c r="T46">
        <v>-5.8424950000000003E-2</v>
      </c>
      <c r="U46">
        <v>-5.5389399999999998E-2</v>
      </c>
      <c r="V46">
        <v>4.1542129999999997E-2</v>
      </c>
      <c r="W46">
        <v>0.110960199999999</v>
      </c>
      <c r="X46">
        <v>0.99295619999999996</v>
      </c>
      <c r="Y46">
        <v>2.272221E-2</v>
      </c>
      <c r="Z46">
        <v>-3.0329949999999999E-4</v>
      </c>
      <c r="AA46">
        <v>0.99974180000000001</v>
      </c>
      <c r="AB46">
        <v>9</v>
      </c>
      <c r="AC46">
        <v>60.474599999999903</v>
      </c>
      <c r="AD46">
        <v>-1.169767</v>
      </c>
      <c r="AE46">
        <v>-1.1095999999999999</v>
      </c>
      <c r="AF46">
        <v>1.3764672121925701</v>
      </c>
      <c r="AG46">
        <v>-1.169767</v>
      </c>
      <c r="AH46">
        <v>60.446493862898599</v>
      </c>
      <c r="AI46">
        <v>91.108368392290799</v>
      </c>
      <c r="AJ46">
        <v>88.695505244625593</v>
      </c>
      <c r="AK46">
        <v>60.4734787914336</v>
      </c>
      <c r="AL46">
        <v>83.629329935753503</v>
      </c>
      <c r="AM46">
        <v>87.6043238557438</v>
      </c>
      <c r="AN46">
        <v>0.99999996483370701</v>
      </c>
    </row>
    <row r="47" spans="1:40" x14ac:dyDescent="0.25">
      <c r="A47" t="str">
        <f>"20190303170228861"</f>
        <v>20190303170228861</v>
      </c>
      <c r="B47" t="str">
        <f>"1551603748855919"</f>
        <v>1551603748855919</v>
      </c>
      <c r="C47" t="s">
        <v>40</v>
      </c>
      <c r="D47">
        <v>4.4328539999999998</v>
      </c>
      <c r="E47">
        <v>0.4947645</v>
      </c>
      <c r="F47" t="s">
        <v>44</v>
      </c>
      <c r="G47">
        <v>-411.61520000000002</v>
      </c>
      <c r="H47">
        <v>-0.05</v>
      </c>
      <c r="I47">
        <v>365.89080000000001</v>
      </c>
      <c r="J47">
        <v>-473.68009999999998</v>
      </c>
      <c r="K47">
        <v>1.1198539999999999</v>
      </c>
      <c r="L47">
        <v>367.0779</v>
      </c>
      <c r="M47">
        <v>0.99998989999999999</v>
      </c>
      <c r="N47" s="1">
        <v>2.2701439999999999E-5</v>
      </c>
      <c r="O47">
        <v>4.5349589999999999E-3</v>
      </c>
      <c r="P47">
        <v>0.99307389999999995</v>
      </c>
      <c r="Q47">
        <v>0.111387899999999</v>
      </c>
      <c r="R47">
        <v>-3.7383359999999997E-2</v>
      </c>
      <c r="S47">
        <v>3.025055</v>
      </c>
      <c r="T47">
        <v>-5.6926850000000001E-2</v>
      </c>
      <c r="U47">
        <v>-5.7739260000000001E-2</v>
      </c>
      <c r="V47">
        <v>4.1884400000000002E-2</v>
      </c>
      <c r="W47">
        <v>0.1113663</v>
      </c>
      <c r="X47">
        <v>0.99289640000000001</v>
      </c>
      <c r="Y47">
        <v>2.3612500000000002E-2</v>
      </c>
      <c r="Z47">
        <v>-3.0729649999999999E-4</v>
      </c>
      <c r="AA47">
        <v>0.99972110000000003</v>
      </c>
      <c r="AB47">
        <v>9</v>
      </c>
      <c r="AC47">
        <v>62.064899999999902</v>
      </c>
      <c r="AD47">
        <v>-1.1698539999999999</v>
      </c>
      <c r="AE47">
        <v>-1.1870999999999801</v>
      </c>
      <c r="AF47">
        <v>1.4680281475729999</v>
      </c>
      <c r="AG47">
        <v>-1.1698539999999999</v>
      </c>
      <c r="AH47">
        <v>62.036845926090301</v>
      </c>
      <c r="AI47">
        <v>91.080019463948801</v>
      </c>
      <c r="AJ47">
        <v>88.644416541771506</v>
      </c>
      <c r="AK47">
        <v>62.065239204250602</v>
      </c>
      <c r="AL47">
        <v>83.605917289067307</v>
      </c>
      <c r="AM47">
        <v>87.584463607154603</v>
      </c>
      <c r="AN47">
        <v>1.0000000084359999</v>
      </c>
    </row>
    <row r="48" spans="1:40" x14ac:dyDescent="0.25">
      <c r="A48" t="str">
        <f>"20190303170228882"</f>
        <v>20190303170228882</v>
      </c>
      <c r="B48" t="str">
        <f>"1551603748876415"</f>
        <v>1551603748876415</v>
      </c>
      <c r="C48" t="s">
        <v>40</v>
      </c>
      <c r="D48">
        <v>4.4350370000000003</v>
      </c>
      <c r="E48">
        <v>0.49486340000000001</v>
      </c>
      <c r="F48" t="s">
        <v>44</v>
      </c>
      <c r="G48">
        <v>-413.27589999999998</v>
      </c>
      <c r="H48">
        <v>-0.05</v>
      </c>
      <c r="I48">
        <v>365.85550000000001</v>
      </c>
      <c r="J48">
        <v>-473.59460000000001</v>
      </c>
      <c r="K48">
        <v>1.1199220000000001</v>
      </c>
      <c r="L48">
        <v>367.07839999999999</v>
      </c>
      <c r="M48">
        <v>0.99998929999999997</v>
      </c>
      <c r="N48">
        <v>-1.76455E-4</v>
      </c>
      <c r="O48">
        <v>4.6264440000000004E-3</v>
      </c>
      <c r="P48">
        <v>0.9930097</v>
      </c>
      <c r="Q48">
        <v>0.11192199999999999</v>
      </c>
      <c r="R48">
        <v>-3.7490809999999999E-2</v>
      </c>
      <c r="S48">
        <v>3.0251769999999998</v>
      </c>
      <c r="T48">
        <v>-5.858886E-2</v>
      </c>
      <c r="U48">
        <v>-6.1218259999999997E-2</v>
      </c>
      <c r="V48">
        <v>4.208605E-2</v>
      </c>
      <c r="W48">
        <v>0.1120966</v>
      </c>
      <c r="X48">
        <v>0.99280570000000001</v>
      </c>
      <c r="Y48">
        <v>2.4851850000000002E-2</v>
      </c>
      <c r="Z48">
        <v>-3.3156759999999999E-4</v>
      </c>
      <c r="AA48">
        <v>0.99969110000000005</v>
      </c>
      <c r="AB48">
        <v>9</v>
      </c>
      <c r="AC48">
        <v>60.3187</v>
      </c>
      <c r="AD48">
        <v>-1.1699219999999999</v>
      </c>
      <c r="AE48">
        <v>-1.2228999999999799</v>
      </c>
      <c r="AF48">
        <v>1.5013834228142799</v>
      </c>
      <c r="AG48">
        <v>-1.1699219999999999</v>
      </c>
      <c r="AH48">
        <v>60.289725577745699</v>
      </c>
      <c r="AI48">
        <v>91.111340501428401</v>
      </c>
      <c r="AJ48">
        <v>88.5734690782066</v>
      </c>
      <c r="AK48">
        <v>60.319763592940802</v>
      </c>
      <c r="AL48">
        <v>83.563810605470493</v>
      </c>
      <c r="AM48">
        <v>87.572626550040596</v>
      </c>
      <c r="AN48">
        <v>1.00000002064432</v>
      </c>
    </row>
    <row r="49" spans="1:40" x14ac:dyDescent="0.25">
      <c r="A49" t="str">
        <f>"20190303170228904"</f>
        <v>20190303170228904</v>
      </c>
      <c r="B49" t="str">
        <f>"1551603748895935"</f>
        <v>1551603748895935</v>
      </c>
      <c r="C49" t="s">
        <v>40</v>
      </c>
      <c r="D49">
        <v>4.431044</v>
      </c>
      <c r="E49">
        <v>0.49495489999999998</v>
      </c>
      <c r="F49" t="s">
        <v>44</v>
      </c>
      <c r="G49">
        <v>-412.70609999999999</v>
      </c>
      <c r="H49">
        <v>-0.05</v>
      </c>
      <c r="I49">
        <v>365.82229999999998</v>
      </c>
      <c r="J49">
        <v>-473.4982</v>
      </c>
      <c r="K49">
        <v>1.119982</v>
      </c>
      <c r="L49">
        <v>367.07889999999998</v>
      </c>
      <c r="M49">
        <v>0.99998889999999996</v>
      </c>
      <c r="N49">
        <v>-3.907591E-4</v>
      </c>
      <c r="O49">
        <v>4.7207589999999997E-3</v>
      </c>
      <c r="P49">
        <v>0.99288929999999997</v>
      </c>
      <c r="Q49">
        <v>0.11284230000000001</v>
      </c>
      <c r="R49">
        <v>-3.7921870000000003E-2</v>
      </c>
      <c r="S49">
        <v>3.025299</v>
      </c>
      <c r="T49">
        <v>-5.8128600000000002E-2</v>
      </c>
      <c r="U49">
        <v>-6.2408449999999997E-2</v>
      </c>
      <c r="V49">
        <v>4.2613930000000001E-2</v>
      </c>
      <c r="W49">
        <v>0.113228</v>
      </c>
      <c r="X49">
        <v>0.9926547</v>
      </c>
      <c r="Y49">
        <v>2.5338389999999999E-2</v>
      </c>
      <c r="Z49">
        <v>-3.3717520000000001E-4</v>
      </c>
      <c r="AA49">
        <v>0.99967890000000004</v>
      </c>
      <c r="AB49">
        <v>9</v>
      </c>
      <c r="AC49">
        <v>60.792099999999998</v>
      </c>
      <c r="AD49">
        <v>-1.1699820000000001</v>
      </c>
      <c r="AE49">
        <v>-1.2565999999999899</v>
      </c>
      <c r="AF49">
        <v>1.54299956495096</v>
      </c>
      <c r="AG49">
        <v>-1.1699820000000001</v>
      </c>
      <c r="AH49">
        <v>60.7629938548355</v>
      </c>
      <c r="AI49">
        <v>91.102729619758094</v>
      </c>
      <c r="AJ49">
        <v>88.545358586230293</v>
      </c>
      <c r="AK49">
        <v>60.793841199093002</v>
      </c>
      <c r="AL49">
        <v>83.498570273199206</v>
      </c>
      <c r="AM49">
        <v>87.541844004094798</v>
      </c>
      <c r="AN49">
        <v>0.99999994022306504</v>
      </c>
    </row>
    <row r="50" spans="1:40" x14ac:dyDescent="0.25">
      <c r="A50" t="str">
        <f>"20190303170228918"</f>
        <v>20190303170228918</v>
      </c>
      <c r="B50" t="str">
        <f>"1551603748905696"</f>
        <v>1551603748905696</v>
      </c>
      <c r="C50" t="s">
        <v>40</v>
      </c>
      <c r="D50">
        <v>4.3749849999999997</v>
      </c>
      <c r="E50">
        <v>0.49499969999999999</v>
      </c>
      <c r="F50" t="s">
        <v>44</v>
      </c>
      <c r="G50">
        <v>-411.66019999999997</v>
      </c>
      <c r="H50">
        <v>-0.05</v>
      </c>
      <c r="I50">
        <v>365.76220000000001</v>
      </c>
      <c r="J50">
        <v>-473.44099999999997</v>
      </c>
      <c r="K50">
        <v>1.1200110000000001</v>
      </c>
      <c r="L50">
        <v>367.07929999999999</v>
      </c>
      <c r="M50">
        <v>0.99998849999999995</v>
      </c>
      <c r="N50">
        <v>-5.1020760000000003E-4</v>
      </c>
      <c r="O50">
        <v>4.7733559999999899E-3</v>
      </c>
      <c r="P50">
        <v>0.9928612</v>
      </c>
      <c r="Q50">
        <v>0.11301020000000001</v>
      </c>
      <c r="R50">
        <v>-3.8152169999999999E-2</v>
      </c>
      <c r="S50">
        <v>3.0255130000000001</v>
      </c>
      <c r="T50">
        <v>-5.7242990000000001E-2</v>
      </c>
      <c r="U50">
        <v>-6.4422610000000005E-2</v>
      </c>
      <c r="V50">
        <v>4.2898079999999998E-2</v>
      </c>
      <c r="W50">
        <v>0.1135137</v>
      </c>
      <c r="X50">
        <v>0.99260990000000004</v>
      </c>
      <c r="Y50">
        <v>2.605474E-2</v>
      </c>
      <c r="Z50">
        <v>-3.4093719999999999E-4</v>
      </c>
      <c r="AA50">
        <v>0.9996604</v>
      </c>
      <c r="AB50">
        <v>9</v>
      </c>
      <c r="AC50">
        <v>61.780799999999999</v>
      </c>
      <c r="AD50">
        <v>-1.1700109999999999</v>
      </c>
      <c r="AE50">
        <v>-1.31709999999998</v>
      </c>
      <c r="AF50">
        <v>1.6114091069684999</v>
      </c>
      <c r="AG50">
        <v>-1.1700109999999999</v>
      </c>
      <c r="AH50">
        <v>61.751671894691597</v>
      </c>
      <c r="AI50">
        <v>91.085085888203906</v>
      </c>
      <c r="AJ50">
        <v>88.505206579880394</v>
      </c>
      <c r="AK50">
        <v>61.7837725202968</v>
      </c>
      <c r="AL50">
        <v>83.482095098592794</v>
      </c>
      <c r="AM50">
        <v>87.525361763797605</v>
      </c>
      <c r="AN50">
        <v>1.0000000094666901</v>
      </c>
    </row>
    <row r="51" spans="1:40" x14ac:dyDescent="0.25">
      <c r="A51" t="str">
        <f>"20190303170228937"</f>
        <v>20190303170228937</v>
      </c>
      <c r="B51" t="str">
        <f>"1551603748926192"</f>
        <v>1551603748926192</v>
      </c>
      <c r="C51" t="s">
        <v>40</v>
      </c>
      <c r="D51">
        <v>4.491517</v>
      </c>
      <c r="E51">
        <v>0.4951585</v>
      </c>
      <c r="F51" t="s">
        <v>44</v>
      </c>
      <c r="G51">
        <v>-411.93180000000001</v>
      </c>
      <c r="H51">
        <v>-0.05</v>
      </c>
      <c r="I51">
        <v>365.74599999999998</v>
      </c>
      <c r="J51">
        <v>-473.35570000000001</v>
      </c>
      <c r="K51">
        <v>1.1200380000000001</v>
      </c>
      <c r="L51">
        <v>367.07979999999998</v>
      </c>
      <c r="M51">
        <v>0.99998810000000005</v>
      </c>
      <c r="N51">
        <v>-6.7476039999999997E-4</v>
      </c>
      <c r="O51">
        <v>4.8457750000000001E-3</v>
      </c>
      <c r="P51">
        <v>0.99276600000000004</v>
      </c>
      <c r="Q51">
        <v>0.1137148</v>
      </c>
      <c r="R51">
        <v>-3.8531700000000002E-2</v>
      </c>
      <c r="S51">
        <v>3.0255429999999999</v>
      </c>
      <c r="T51">
        <v>-5.7551030000000003E-2</v>
      </c>
      <c r="U51">
        <v>-6.5582280000000007E-2</v>
      </c>
      <c r="V51">
        <v>4.3350720000000002E-2</v>
      </c>
      <c r="W51">
        <v>0.1143811</v>
      </c>
      <c r="X51">
        <v>0.9924906</v>
      </c>
      <c r="Y51">
        <v>2.6509709999999999E-2</v>
      </c>
      <c r="Z51">
        <v>-3.4991120000000002E-4</v>
      </c>
      <c r="AA51">
        <v>0.99964850000000005</v>
      </c>
      <c r="AB51">
        <v>10</v>
      </c>
      <c r="AC51">
        <v>61.423900000000003</v>
      </c>
      <c r="AD51">
        <v>-1.1700379999999999</v>
      </c>
      <c r="AE51">
        <v>-1.3337999999999901</v>
      </c>
      <c r="AF51">
        <v>1.63083931799361</v>
      </c>
      <c r="AG51">
        <v>-1.1700379999999999</v>
      </c>
      <c r="AH51">
        <v>61.394449160407298</v>
      </c>
      <c r="AI51">
        <v>91.091409657227899</v>
      </c>
      <c r="AJ51">
        <v>88.478392702539196</v>
      </c>
      <c r="AK51">
        <v>61.427249763540502</v>
      </c>
      <c r="AL51">
        <v>83.432070567453394</v>
      </c>
      <c r="AM51">
        <v>87.498983329957795</v>
      </c>
      <c r="AN51">
        <v>0.99999995602504299</v>
      </c>
    </row>
    <row r="52" spans="1:40" x14ac:dyDescent="0.25">
      <c r="A52" t="str">
        <f>"20190303170228953"</f>
        <v>20190303170228953</v>
      </c>
      <c r="B52" t="str">
        <f>"1551603748945712"</f>
        <v>1551603748945712</v>
      </c>
      <c r="C52" t="s">
        <v>40</v>
      </c>
      <c r="D52">
        <v>4.4895129999999996</v>
      </c>
      <c r="E52">
        <v>0.49530629999999998</v>
      </c>
      <c r="F52" t="s">
        <v>44</v>
      </c>
      <c r="G52">
        <v>-410.85210000000001</v>
      </c>
      <c r="H52">
        <v>-0.05</v>
      </c>
      <c r="I52">
        <v>365.69099999999997</v>
      </c>
      <c r="J52">
        <v>-473.28449999999998</v>
      </c>
      <c r="K52">
        <v>1.1200589999999999</v>
      </c>
      <c r="L52">
        <v>367.08010000000002</v>
      </c>
      <c r="M52">
        <v>0.99998779999999998</v>
      </c>
      <c r="N52">
        <v>-7.9896419999999995E-4</v>
      </c>
      <c r="O52">
        <v>4.9010369999999996E-3</v>
      </c>
      <c r="P52">
        <v>0.99276039999999999</v>
      </c>
      <c r="Q52">
        <v>0.11346920000000001</v>
      </c>
      <c r="R52">
        <v>-3.9393890000000001E-2</v>
      </c>
      <c r="S52">
        <v>3.0257869999999998</v>
      </c>
      <c r="T52">
        <v>-5.6641219999999999E-2</v>
      </c>
      <c r="U52">
        <v>-6.7230219999999993E-2</v>
      </c>
      <c r="V52">
        <v>4.4268179999999997E-2</v>
      </c>
      <c r="W52">
        <v>0.114258399999999</v>
      </c>
      <c r="X52">
        <v>0.99246429999999997</v>
      </c>
      <c r="Y52">
        <v>2.7107429999999998E-2</v>
      </c>
      <c r="Z52">
        <v>-3.5230819999999998E-4</v>
      </c>
      <c r="AA52">
        <v>0.99963250000000003</v>
      </c>
      <c r="AB52">
        <v>10</v>
      </c>
      <c r="AC52">
        <v>62.432399999999902</v>
      </c>
      <c r="AD52">
        <v>-1.170059</v>
      </c>
      <c r="AE52">
        <v>-1.38910000000004</v>
      </c>
      <c r="AF52">
        <v>1.69447201696612</v>
      </c>
      <c r="AG52">
        <v>-1.170059</v>
      </c>
      <c r="AH52">
        <v>62.402935012649102</v>
      </c>
      <c r="AI52">
        <v>91.073777944987995</v>
      </c>
      <c r="AJ52">
        <v>88.444588475181504</v>
      </c>
      <c r="AK52">
        <v>62.436900721229499</v>
      </c>
      <c r="AL52">
        <v>83.439147577210406</v>
      </c>
      <c r="AM52">
        <v>87.446054426307001</v>
      </c>
      <c r="AN52">
        <v>1.0000000202527799</v>
      </c>
    </row>
    <row r="53" spans="1:40" x14ac:dyDescent="0.25">
      <c r="A53" t="str">
        <f>"20190303170228972"</f>
        <v>20190303170228972</v>
      </c>
      <c r="B53" t="str">
        <f>"1551603748966207"</f>
        <v>1551603748966207</v>
      </c>
      <c r="C53" t="s">
        <v>40</v>
      </c>
      <c r="D53">
        <v>4.4821030000000004</v>
      </c>
      <c r="E53">
        <v>0.49543739999999997</v>
      </c>
      <c r="F53" t="s">
        <v>44</v>
      </c>
      <c r="G53">
        <v>-412.90499999999997</v>
      </c>
      <c r="H53">
        <v>-0.05</v>
      </c>
      <c r="I53">
        <v>365.66550000000001</v>
      </c>
      <c r="J53">
        <v>-473.20190000000002</v>
      </c>
      <c r="K53">
        <v>1.1200810000000001</v>
      </c>
      <c r="L53">
        <v>367.0806</v>
      </c>
      <c r="M53">
        <v>0.99998719999999996</v>
      </c>
      <c r="N53">
        <v>-9.2276649999999995E-4</v>
      </c>
      <c r="O53">
        <v>4.9617180000000004E-3</v>
      </c>
      <c r="P53">
        <v>0.99266719999999997</v>
      </c>
      <c r="Q53">
        <v>0.1138299</v>
      </c>
      <c r="R53">
        <v>-4.0679510000000002E-2</v>
      </c>
      <c r="S53">
        <v>3.0257869999999998</v>
      </c>
      <c r="T53">
        <v>-5.8635E-2</v>
      </c>
      <c r="U53">
        <v>-7.0892330000000003E-2</v>
      </c>
      <c r="V53">
        <v>4.5612850000000003E-2</v>
      </c>
      <c r="W53">
        <v>0.1147425</v>
      </c>
      <c r="X53">
        <v>0.99234750000000005</v>
      </c>
      <c r="Y53">
        <v>2.837661E-2</v>
      </c>
      <c r="Z53">
        <v>-3.7953079999999999E-4</v>
      </c>
      <c r="AA53">
        <v>0.99959730000000002</v>
      </c>
      <c r="AB53">
        <v>10</v>
      </c>
      <c r="AC53">
        <v>60.296900000000001</v>
      </c>
      <c r="AD53">
        <v>-1.1700809999999999</v>
      </c>
      <c r="AE53">
        <v>-1.41509999999999</v>
      </c>
      <c r="AF53">
        <v>1.7136140070928001</v>
      </c>
      <c r="AG53">
        <v>-1.1700809999999999</v>
      </c>
      <c r="AH53">
        <v>60.266454604492203</v>
      </c>
      <c r="AI53">
        <v>91.111815975909295</v>
      </c>
      <c r="AJ53">
        <v>88.3712928885856</v>
      </c>
      <c r="AK53">
        <v>60.302165078106299</v>
      </c>
      <c r="AL53">
        <v>83.411226710953201</v>
      </c>
      <c r="AM53">
        <v>87.368275097434505</v>
      </c>
      <c r="AN53">
        <v>0.99999996707381</v>
      </c>
    </row>
    <row r="54" spans="1:40" x14ac:dyDescent="0.25">
      <c r="A54" t="str">
        <f>"20190303170228994"</f>
        <v>20190303170228994</v>
      </c>
      <c r="B54" t="str">
        <f>"1551603748985727"</f>
        <v>1551603748985727</v>
      </c>
      <c r="C54" t="s">
        <v>40</v>
      </c>
      <c r="D54">
        <v>4.3438840000000001</v>
      </c>
      <c r="E54">
        <v>0.49651519999999999</v>
      </c>
      <c r="F54" t="s">
        <v>44</v>
      </c>
      <c r="G54">
        <v>-412.86180000000002</v>
      </c>
      <c r="H54">
        <v>-0.05</v>
      </c>
      <c r="I54">
        <v>365.57990000000001</v>
      </c>
      <c r="J54">
        <v>-473.09840000000003</v>
      </c>
      <c r="K54">
        <v>1.1200939999999999</v>
      </c>
      <c r="L54">
        <v>367.08120000000002</v>
      </c>
      <c r="M54">
        <v>0.99998679999999995</v>
      </c>
      <c r="N54">
        <v>-1.0532040000000001E-3</v>
      </c>
      <c r="O54">
        <v>5.0344939999999996E-3</v>
      </c>
      <c r="P54">
        <v>0.99251279999999997</v>
      </c>
      <c r="Q54">
        <v>0.1143228</v>
      </c>
      <c r="R54">
        <v>-4.2997720000000003E-2</v>
      </c>
      <c r="S54">
        <v>3.0258479999999999</v>
      </c>
      <c r="T54">
        <v>-5.8675529999999997E-2</v>
      </c>
      <c r="U54">
        <v>-7.525635E-2</v>
      </c>
      <c r="V54">
        <v>4.8000559999999998E-2</v>
      </c>
      <c r="W54">
        <v>0.11536490000000001</v>
      </c>
      <c r="X54">
        <v>0.99216269999999995</v>
      </c>
      <c r="Y54">
        <v>2.9889329999999999E-2</v>
      </c>
      <c r="Z54">
        <v>-3.9777209999999999E-4</v>
      </c>
      <c r="AA54">
        <v>0.99955309999999997</v>
      </c>
      <c r="AB54">
        <v>10</v>
      </c>
      <c r="AC54">
        <v>60.236600000000003</v>
      </c>
      <c r="AD54">
        <v>-1.170094</v>
      </c>
      <c r="AE54">
        <v>-1.5013000000000101</v>
      </c>
      <c r="AF54">
        <v>1.80386170738929</v>
      </c>
      <c r="AG54">
        <v>-1.170094</v>
      </c>
      <c r="AH54">
        <v>60.2055750935072</v>
      </c>
      <c r="AI54">
        <v>91.112902727473795</v>
      </c>
      <c r="AJ54">
        <v>88.283834144033804</v>
      </c>
      <c r="AK54">
        <v>60.243956621126301</v>
      </c>
      <c r="AL54">
        <v>83.375327428704395</v>
      </c>
      <c r="AM54">
        <v>87.230205506166499</v>
      </c>
      <c r="AN54">
        <v>0.99999996859180595</v>
      </c>
    </row>
    <row r="55" spans="1:40" x14ac:dyDescent="0.25">
      <c r="A55" t="str">
        <f>"20190303170229016"</f>
        <v>20190303170229016</v>
      </c>
      <c r="B55" t="str">
        <f>"1551603749006223"</f>
        <v>1551603749006223</v>
      </c>
      <c r="C55" t="s">
        <v>40</v>
      </c>
      <c r="D55">
        <v>4.3290389999999999</v>
      </c>
      <c r="E55">
        <v>0.53519110000000003</v>
      </c>
      <c r="F55" t="s">
        <v>44</v>
      </c>
      <c r="G55">
        <v>-412.94420000000002</v>
      </c>
      <c r="H55">
        <v>-0.05</v>
      </c>
      <c r="I55">
        <v>365.28339999999997</v>
      </c>
      <c r="J55">
        <v>-472.99779999999998</v>
      </c>
      <c r="K55">
        <v>1.120115</v>
      </c>
      <c r="L55">
        <v>367.08179999999999</v>
      </c>
      <c r="M55">
        <v>0.99998640000000005</v>
      </c>
      <c r="N55">
        <v>-1.1585040000000001E-3</v>
      </c>
      <c r="O55">
        <v>5.1035259999999997E-3</v>
      </c>
      <c r="P55">
        <v>0.9923824</v>
      </c>
      <c r="Q55">
        <v>0.1149268</v>
      </c>
      <c r="R55">
        <v>-4.4373610000000001E-2</v>
      </c>
      <c r="S55">
        <v>3.0255130000000001</v>
      </c>
      <c r="T55">
        <v>-5.8850880000000001E-2</v>
      </c>
      <c r="U55">
        <v>-9.0423580000000003E-2</v>
      </c>
      <c r="V55">
        <v>4.9442149999999997E-2</v>
      </c>
      <c r="W55">
        <v>0.11607439999999999</v>
      </c>
      <c r="X55">
        <v>0.99200920000000004</v>
      </c>
      <c r="Y55">
        <v>3.4966700000000003E-2</v>
      </c>
      <c r="Z55">
        <v>-4.535621E-4</v>
      </c>
      <c r="AA55">
        <v>0.99938839999999995</v>
      </c>
      <c r="AB55">
        <v>10</v>
      </c>
      <c r="AC55">
        <v>60.053599999999904</v>
      </c>
      <c r="AD55">
        <v>-1.170115</v>
      </c>
      <c r="AE55">
        <v>-1.79840000000001</v>
      </c>
      <c r="AF55">
        <v>2.1040637810950802</v>
      </c>
      <c r="AG55">
        <v>-1.170115</v>
      </c>
      <c r="AH55">
        <v>60.020873453434398</v>
      </c>
      <c r="AI55">
        <v>91.116162015438704</v>
      </c>
      <c r="AJ55">
        <v>87.992287992737104</v>
      </c>
      <c r="AK55">
        <v>60.069139361416902</v>
      </c>
      <c r="AL55">
        <v>83.334401486910195</v>
      </c>
      <c r="AM55">
        <v>87.146715603721503</v>
      </c>
      <c r="AN55">
        <v>1.0000000227083099</v>
      </c>
    </row>
    <row r="56" spans="1:40" x14ac:dyDescent="0.25">
      <c r="A56" t="str">
        <f>"20190303170229039"</f>
        <v>20190303170229039</v>
      </c>
      <c r="B56" t="str">
        <f>"1551603749025744"</f>
        <v>1551603749025744</v>
      </c>
      <c r="C56" t="s">
        <v>40</v>
      </c>
      <c r="D56">
        <v>4.3246890000000002</v>
      </c>
      <c r="E56">
        <v>0.53530230000000001</v>
      </c>
      <c r="F56" t="s">
        <v>44</v>
      </c>
      <c r="G56">
        <v>-411.41989999999998</v>
      </c>
      <c r="H56">
        <v>-0.05</v>
      </c>
      <c r="I56">
        <v>358.83890000000002</v>
      </c>
      <c r="J56">
        <v>-472.8938</v>
      </c>
      <c r="K56">
        <v>1.120131</v>
      </c>
      <c r="L56">
        <v>367.08240000000001</v>
      </c>
      <c r="M56">
        <v>0.99998589999999998</v>
      </c>
      <c r="N56">
        <v>-1.2600459999999999E-3</v>
      </c>
      <c r="O56">
        <v>5.1749420000000001E-3</v>
      </c>
      <c r="P56">
        <v>0.992282</v>
      </c>
      <c r="Q56">
        <v>0.1155924</v>
      </c>
      <c r="R56">
        <v>-4.4884689999999998E-2</v>
      </c>
      <c r="S56">
        <v>3.0116269999999998</v>
      </c>
      <c r="T56">
        <v>-5.7227489999999999E-2</v>
      </c>
      <c r="U56">
        <v>-0.40313719999999997</v>
      </c>
      <c r="V56">
        <v>5.0021330000000003E-2</v>
      </c>
      <c r="W56">
        <v>0.1168411</v>
      </c>
      <c r="X56">
        <v>0.9918901</v>
      </c>
      <c r="Y56">
        <v>0.13777739999999999</v>
      </c>
      <c r="Z56">
        <v>-1.4817109999999999E-3</v>
      </c>
      <c r="AA56">
        <v>0.99046210000000001</v>
      </c>
      <c r="AB56">
        <v>10</v>
      </c>
      <c r="AC56">
        <v>61.4739</v>
      </c>
      <c r="AD56">
        <v>-1.170131</v>
      </c>
      <c r="AE56">
        <v>-8.2434999999999796</v>
      </c>
      <c r="AF56">
        <v>8.5584676175028704</v>
      </c>
      <c r="AG56">
        <v>-1.170131</v>
      </c>
      <c r="AH56">
        <v>61.408560915063902</v>
      </c>
      <c r="AI56">
        <v>91.081183129799001</v>
      </c>
      <c r="AJ56">
        <v>82.065834945990801</v>
      </c>
      <c r="AK56">
        <v>62.013127063357501</v>
      </c>
      <c r="AL56">
        <v>83.290171525507006</v>
      </c>
      <c r="AM56">
        <v>87.113001565085995</v>
      </c>
      <c r="AN56">
        <v>0.99999997329109402</v>
      </c>
    </row>
    <row r="57" spans="1:40" x14ac:dyDescent="0.25">
      <c r="A57" t="str">
        <f>"20190303170229061"</f>
        <v>20190303170229061</v>
      </c>
      <c r="B57" t="str">
        <f>"1551603749055999"</f>
        <v>1551603749055999</v>
      </c>
      <c r="C57" t="s">
        <v>40</v>
      </c>
      <c r="D57">
        <v>4.2886089999999903</v>
      </c>
      <c r="E57">
        <v>0.53558709999999998</v>
      </c>
      <c r="F57" t="s">
        <v>44</v>
      </c>
      <c r="G57">
        <v>-399.02030000000002</v>
      </c>
      <c r="H57">
        <v>-0.05</v>
      </c>
      <c r="I57">
        <v>357.1277</v>
      </c>
      <c r="J57">
        <v>-472.78039999999999</v>
      </c>
      <c r="K57">
        <v>1.1201460000000001</v>
      </c>
      <c r="L57">
        <v>367.08300000000003</v>
      </c>
      <c r="M57">
        <v>0.99998529999999997</v>
      </c>
      <c r="N57">
        <v>-1.368509E-3</v>
      </c>
      <c r="O57">
        <v>5.2537399999999998E-3</v>
      </c>
      <c r="P57">
        <v>0.99223499999999998</v>
      </c>
      <c r="Q57">
        <v>0.1158019</v>
      </c>
      <c r="R57">
        <v>-4.538329E-2</v>
      </c>
      <c r="S57">
        <v>3.0104980000000001</v>
      </c>
      <c r="T57">
        <v>-4.7685270000000002E-2</v>
      </c>
      <c r="U57">
        <v>-0.40567019999999998</v>
      </c>
      <c r="V57">
        <v>5.059545E-2</v>
      </c>
      <c r="W57">
        <v>0.1171594</v>
      </c>
      <c r="X57">
        <v>0.99182340000000002</v>
      </c>
      <c r="Y57">
        <v>0.13873060000000001</v>
      </c>
      <c r="Z57">
        <v>-1.2647610000000001E-3</v>
      </c>
      <c r="AA57">
        <v>0.99032940000000003</v>
      </c>
      <c r="AB57">
        <v>11</v>
      </c>
      <c r="AC57">
        <v>73.760099999999895</v>
      </c>
      <c r="AD57">
        <v>-1.1701459999999999</v>
      </c>
      <c r="AE57">
        <v>-9.9553000000000207</v>
      </c>
      <c r="AF57">
        <v>10.3401235674779</v>
      </c>
      <c r="AG57">
        <v>-1.1701459999999999</v>
      </c>
      <c r="AH57">
        <v>73.688565777611302</v>
      </c>
      <c r="AI57">
        <v>90.900933325918402</v>
      </c>
      <c r="AJ57">
        <v>82.012298380927803</v>
      </c>
      <c r="AK57">
        <v>74.419702521666807</v>
      </c>
      <c r="AL57">
        <v>83.271807936148605</v>
      </c>
      <c r="AM57">
        <v>87.079727018773099</v>
      </c>
      <c r="AN57">
        <v>0.999999940678309</v>
      </c>
    </row>
    <row r="58" spans="1:40" x14ac:dyDescent="0.25">
      <c r="A58" t="str">
        <f>"20190303170229084"</f>
        <v>20190303170229084</v>
      </c>
      <c r="B58" t="str">
        <f>"1551603749076495"</f>
        <v>1551603749076495</v>
      </c>
      <c r="C58" t="s">
        <v>40</v>
      </c>
      <c r="D58">
        <v>4.2189310000000004</v>
      </c>
      <c r="E58">
        <v>0.5353251</v>
      </c>
      <c r="F58" t="s">
        <v>44</v>
      </c>
      <c r="G58">
        <v>-410.07749999999999</v>
      </c>
      <c r="H58">
        <v>-0.05</v>
      </c>
      <c r="I58">
        <v>358.56180000000001</v>
      </c>
      <c r="J58">
        <v>-472.67169999999999</v>
      </c>
      <c r="K58">
        <v>1.120161</v>
      </c>
      <c r="L58">
        <v>367.08359999999999</v>
      </c>
      <c r="M58">
        <v>0.99998489999999995</v>
      </c>
      <c r="N58">
        <v>-1.4707520000000001E-3</v>
      </c>
      <c r="O58">
        <v>5.3300300000000004E-3</v>
      </c>
      <c r="P58">
        <v>0.99224120000000005</v>
      </c>
      <c r="Q58">
        <v>0.1159419</v>
      </c>
      <c r="R58">
        <v>-4.489195E-2</v>
      </c>
      <c r="S58">
        <v>3.0113530000000002</v>
      </c>
      <c r="T58">
        <v>-5.6197169999999998E-2</v>
      </c>
      <c r="U58">
        <v>-0.40924070000000001</v>
      </c>
      <c r="V58">
        <v>5.0178170000000001E-2</v>
      </c>
      <c r="W58">
        <v>0.1174014</v>
      </c>
      <c r="X58">
        <v>0.99181600000000003</v>
      </c>
      <c r="Y58">
        <v>0.1399145</v>
      </c>
      <c r="Z58">
        <v>-1.494022E-3</v>
      </c>
      <c r="AA58">
        <v>0.99016249999999995</v>
      </c>
      <c r="AB58">
        <v>11</v>
      </c>
      <c r="AC58">
        <v>62.594200000000001</v>
      </c>
      <c r="AD58">
        <v>-1.170161</v>
      </c>
      <c r="AE58">
        <v>-8.5217999999999794</v>
      </c>
      <c r="AF58">
        <v>8.8522708142466797</v>
      </c>
      <c r="AG58">
        <v>-1.170161</v>
      </c>
      <c r="AH58">
        <v>62.5264352543538</v>
      </c>
      <c r="AI58">
        <v>91.061562220518994</v>
      </c>
      <c r="AJ58">
        <v>81.941821161741103</v>
      </c>
      <c r="AK58">
        <v>63.160803358978796</v>
      </c>
      <c r="AL58">
        <v>83.257846118148393</v>
      </c>
      <c r="AM58">
        <v>87.103748877229705</v>
      </c>
      <c r="AN58">
        <v>0.99999995766125305</v>
      </c>
    </row>
    <row r="59" spans="1:40" x14ac:dyDescent="0.25">
      <c r="A59" t="str">
        <f>"20190303170229105"</f>
        <v>20190303170229105</v>
      </c>
      <c r="B59" t="str">
        <f>"1551603749096016"</f>
        <v>1551603749096016</v>
      </c>
      <c r="C59" t="s">
        <v>40</v>
      </c>
      <c r="D59">
        <v>4.261971</v>
      </c>
      <c r="E59">
        <v>0.53538069999999904</v>
      </c>
      <c r="F59" t="s">
        <v>44</v>
      </c>
      <c r="G59">
        <v>-409.0172</v>
      </c>
      <c r="H59">
        <v>-0.05</v>
      </c>
      <c r="I59">
        <v>358.49889999999999</v>
      </c>
      <c r="J59">
        <v>-472.56529999999998</v>
      </c>
      <c r="K59">
        <v>1.1201760000000001</v>
      </c>
      <c r="L59">
        <v>367.08429999999998</v>
      </c>
      <c r="M59">
        <v>0.99998419999999999</v>
      </c>
      <c r="N59">
        <v>-1.57069E-3</v>
      </c>
      <c r="O59">
        <v>5.4064339999999999E-3</v>
      </c>
      <c r="P59">
        <v>0.99220569999999997</v>
      </c>
      <c r="Q59">
        <v>0.1167382</v>
      </c>
      <c r="R59">
        <v>-4.3590749999999998E-2</v>
      </c>
      <c r="S59">
        <v>3.0115970000000001</v>
      </c>
      <c r="T59">
        <v>-5.5362219999999997E-2</v>
      </c>
      <c r="U59">
        <v>-0.40615839999999998</v>
      </c>
      <c r="V59">
        <v>4.8951479999999999E-2</v>
      </c>
      <c r="W59">
        <v>0.11829770000000001</v>
      </c>
      <c r="X59">
        <v>0.99177090000000001</v>
      </c>
      <c r="Y59">
        <v>0.138985</v>
      </c>
      <c r="Z59">
        <v>-1.471759E-3</v>
      </c>
      <c r="AA59">
        <v>0.99029339999999999</v>
      </c>
      <c r="AB59">
        <v>11</v>
      </c>
      <c r="AC59">
        <v>63.548099999999899</v>
      </c>
      <c r="AD59">
        <v>-1.1701760000000001</v>
      </c>
      <c r="AE59">
        <v>-8.5853999999999893</v>
      </c>
      <c r="AF59">
        <v>8.9258712419324393</v>
      </c>
      <c r="AG59">
        <v>-1.1701760000000001</v>
      </c>
      <c r="AH59">
        <v>63.4796162002297</v>
      </c>
      <c r="AI59">
        <v>91.045779026084205</v>
      </c>
      <c r="AJ59">
        <v>81.996111783721901</v>
      </c>
      <c r="AK59">
        <v>64.114757756908105</v>
      </c>
      <c r="AL59">
        <v>83.206132200746296</v>
      </c>
      <c r="AM59">
        <v>87.174308164088103</v>
      </c>
      <c r="AN59">
        <v>1.0000000556531401</v>
      </c>
    </row>
    <row r="60" spans="1:40" x14ac:dyDescent="0.25">
      <c r="A60" t="str">
        <f>"20190303170229127"</f>
        <v>20190303170229127</v>
      </c>
      <c r="B60" t="str">
        <f>"1551603749115536"</f>
        <v>1551603749115536</v>
      </c>
      <c r="C60" t="s">
        <v>40</v>
      </c>
      <c r="D60">
        <v>4.2702419999999996</v>
      </c>
      <c r="E60">
        <v>0.53537250000000003</v>
      </c>
      <c r="F60" t="s">
        <v>44</v>
      </c>
      <c r="G60">
        <v>-402.92360000000002</v>
      </c>
      <c r="H60">
        <v>-0.05</v>
      </c>
      <c r="I60">
        <v>357.77809999999999</v>
      </c>
      <c r="J60">
        <v>-472.4572</v>
      </c>
      <c r="K60">
        <v>1.1201909999999999</v>
      </c>
      <c r="L60">
        <v>367.08499999999998</v>
      </c>
      <c r="M60">
        <v>0.99998350000000003</v>
      </c>
      <c r="N60">
        <v>-1.6737970000000001E-3</v>
      </c>
      <c r="O60">
        <v>5.4852119999999997E-3</v>
      </c>
      <c r="P60">
        <v>0.99222869999999996</v>
      </c>
      <c r="Q60">
        <v>0.117083199999999</v>
      </c>
      <c r="R60">
        <v>-4.211604E-2</v>
      </c>
      <c r="S60">
        <v>3.0118100000000001</v>
      </c>
      <c r="T60">
        <v>-5.0606850000000002E-2</v>
      </c>
      <c r="U60">
        <v>-0.40246579999999998</v>
      </c>
      <c r="V60">
        <v>4.7554409999999998E-2</v>
      </c>
      <c r="W60">
        <v>0.1187452</v>
      </c>
      <c r="X60">
        <v>0.99178529999999998</v>
      </c>
      <c r="Y60">
        <v>0.13786509999999999</v>
      </c>
      <c r="Z60">
        <v>-1.351575E-3</v>
      </c>
      <c r="AA60">
        <v>0.9904501</v>
      </c>
      <c r="AB60">
        <v>11</v>
      </c>
      <c r="AC60">
        <v>69.533599999999893</v>
      </c>
      <c r="AD60">
        <v>-1.170191</v>
      </c>
      <c r="AE60">
        <v>-9.3068999999999793</v>
      </c>
      <c r="AF60">
        <v>9.6854722381828893</v>
      </c>
      <c r="AG60">
        <v>-1.170191</v>
      </c>
      <c r="AH60">
        <v>69.462176705882399</v>
      </c>
      <c r="AI60">
        <v>90.955893268239393</v>
      </c>
      <c r="AJ60">
        <v>82.062130857100996</v>
      </c>
      <c r="AK60">
        <v>70.143935676381403</v>
      </c>
      <c r="AL60">
        <v>83.180309699220402</v>
      </c>
      <c r="AM60">
        <v>87.254867734363899</v>
      </c>
      <c r="AN60">
        <v>0.99999996286478798</v>
      </c>
    </row>
    <row r="61" spans="1:40" x14ac:dyDescent="0.25">
      <c r="A61" t="str">
        <f>"20190303170229149"</f>
        <v>20190303170229149</v>
      </c>
      <c r="B61" t="str">
        <f>"1551603749136031"</f>
        <v>1551603749136031</v>
      </c>
      <c r="C61" t="s">
        <v>40</v>
      </c>
      <c r="D61">
        <v>4.2253679999999996</v>
      </c>
      <c r="E61">
        <v>0.53548819999999997</v>
      </c>
      <c r="F61" t="s">
        <v>44</v>
      </c>
      <c r="G61">
        <v>-401.26620000000003</v>
      </c>
      <c r="H61">
        <v>-0.05</v>
      </c>
      <c r="I61">
        <v>357.67829999999998</v>
      </c>
      <c r="J61">
        <v>-472.3451</v>
      </c>
      <c r="K61">
        <v>1.1201989999999999</v>
      </c>
      <c r="L61">
        <v>367.08569999999997</v>
      </c>
      <c r="M61">
        <v>0.99998299999999996</v>
      </c>
      <c r="N61">
        <v>-1.7803090000000001E-3</v>
      </c>
      <c r="O61">
        <v>5.5674979999999997E-3</v>
      </c>
      <c r="P61">
        <v>0.99225890000000005</v>
      </c>
      <c r="Q61">
        <v>0.1172758</v>
      </c>
      <c r="R61">
        <v>-4.0853559999999997E-2</v>
      </c>
      <c r="S61">
        <v>3.0124209999999998</v>
      </c>
      <c r="T61">
        <v>-4.9516200000000003E-2</v>
      </c>
      <c r="U61">
        <v>-0.39804079999999997</v>
      </c>
      <c r="V61">
        <v>4.6373459999999998E-2</v>
      </c>
      <c r="W61">
        <v>0.119043</v>
      </c>
      <c r="X61">
        <v>0.99180559999999995</v>
      </c>
      <c r="Y61">
        <v>0.13649139999999901</v>
      </c>
      <c r="Z61">
        <v>-1.320136E-3</v>
      </c>
      <c r="AA61">
        <v>0.99064039999999998</v>
      </c>
      <c r="AB61">
        <v>11</v>
      </c>
      <c r="AC61">
        <v>71.078899999999905</v>
      </c>
      <c r="AD61">
        <v>-1.170199</v>
      </c>
      <c r="AE61">
        <v>-9.4073999999999902</v>
      </c>
      <c r="AF61">
        <v>9.80037583258793</v>
      </c>
      <c r="AG61">
        <v>-1.170199</v>
      </c>
      <c r="AH61">
        <v>71.006508124425196</v>
      </c>
      <c r="AI61">
        <v>90.935293527393895</v>
      </c>
      <c r="AJ61">
        <v>82.141638981709505</v>
      </c>
      <c r="AK61">
        <v>71.689196732727098</v>
      </c>
      <c r="AL61">
        <v>83.163125660338906</v>
      </c>
      <c r="AM61">
        <v>87.322993693502895</v>
      </c>
      <c r="AN61">
        <v>1.0000000409163601</v>
      </c>
    </row>
    <row r="62" spans="1:40" x14ac:dyDescent="0.25">
      <c r="A62" t="str">
        <f>"20190303170229172"</f>
        <v>20190303170229172</v>
      </c>
      <c r="B62" t="str">
        <f>"1551603749166288"</f>
        <v>1551603749166288</v>
      </c>
      <c r="C62" t="s">
        <v>40</v>
      </c>
      <c r="D62">
        <v>4.180104</v>
      </c>
      <c r="E62">
        <v>0.53578539999999997</v>
      </c>
      <c r="F62" t="s">
        <v>44</v>
      </c>
      <c r="G62">
        <v>-401.89400000000001</v>
      </c>
      <c r="H62">
        <v>-0.05</v>
      </c>
      <c r="I62">
        <v>357.85419999999999</v>
      </c>
      <c r="J62">
        <v>-472.22430000000003</v>
      </c>
      <c r="K62">
        <v>1.120207</v>
      </c>
      <c r="L62">
        <v>367.0865</v>
      </c>
      <c r="M62">
        <v>0.99998229999999999</v>
      </c>
      <c r="N62">
        <v>-1.89011E-3</v>
      </c>
      <c r="O62">
        <v>5.657044E-3</v>
      </c>
      <c r="P62">
        <v>0.9923438</v>
      </c>
      <c r="Q62">
        <v>0.116748</v>
      </c>
      <c r="R62">
        <v>-4.0299599999999998E-2</v>
      </c>
      <c r="S62">
        <v>3.0129999999999999</v>
      </c>
      <c r="T62">
        <v>-5.0046210000000001E-2</v>
      </c>
      <c r="U62">
        <v>-0.39480589999999999</v>
      </c>
      <c r="V62">
        <v>4.5908709999999998E-2</v>
      </c>
      <c r="W62">
        <v>0.1186244</v>
      </c>
      <c r="X62">
        <v>0.99187729999999996</v>
      </c>
      <c r="Y62">
        <v>0.1355094</v>
      </c>
      <c r="Z62">
        <v>-1.332085E-3</v>
      </c>
      <c r="AA62">
        <v>0.99077519999999997</v>
      </c>
      <c r="AB62">
        <v>11</v>
      </c>
      <c r="AC62">
        <v>70.330299999999994</v>
      </c>
      <c r="AD62">
        <v>-1.170207</v>
      </c>
      <c r="AE62">
        <v>-9.2323000000000093</v>
      </c>
      <c r="AF62">
        <v>9.6273943807065407</v>
      </c>
      <c r="AG62">
        <v>-1.170207</v>
      </c>
      <c r="AH62">
        <v>70.2578258105966</v>
      </c>
      <c r="AI62">
        <v>90.945391338251397</v>
      </c>
      <c r="AJ62">
        <v>82.197382910214799</v>
      </c>
      <c r="AK62">
        <v>70.924031150355802</v>
      </c>
      <c r="AL62">
        <v>83.187280333759503</v>
      </c>
      <c r="AM62">
        <v>87.349975232312403</v>
      </c>
      <c r="AN62">
        <v>0.999999968092256</v>
      </c>
    </row>
    <row r="63" spans="1:40" x14ac:dyDescent="0.25">
      <c r="A63" t="str">
        <f>"20190303170229194"</f>
        <v>20190303170229194</v>
      </c>
      <c r="B63" t="str">
        <f>"1551603749185808"</f>
        <v>1551603749185808</v>
      </c>
      <c r="C63" t="s">
        <v>40</v>
      </c>
      <c r="D63">
        <v>4.0427670000000004</v>
      </c>
      <c r="E63">
        <v>0.53582759999999996</v>
      </c>
      <c r="F63" t="s">
        <v>44</v>
      </c>
      <c r="G63">
        <v>-404.26850000000002</v>
      </c>
      <c r="H63">
        <v>-0.05</v>
      </c>
      <c r="I63">
        <v>358.17970000000003</v>
      </c>
      <c r="J63">
        <v>-472.10649999999998</v>
      </c>
      <c r="K63">
        <v>1.1202110000000001</v>
      </c>
      <c r="L63">
        <v>367.0872</v>
      </c>
      <c r="M63">
        <v>0.99998160000000003</v>
      </c>
      <c r="N63">
        <v>-1.9910510000000002E-3</v>
      </c>
      <c r="O63">
        <v>5.7450440000000004E-3</v>
      </c>
      <c r="P63">
        <v>0.9924615</v>
      </c>
      <c r="Q63">
        <v>0.1158283</v>
      </c>
      <c r="R63">
        <v>-4.0048399999999998E-2</v>
      </c>
      <c r="S63">
        <v>3.0131839999999999</v>
      </c>
      <c r="T63">
        <v>-5.1887389999999999E-2</v>
      </c>
      <c r="U63">
        <v>-0.394928</v>
      </c>
      <c r="V63">
        <v>4.574553E-2</v>
      </c>
      <c r="W63">
        <v>0.1178053</v>
      </c>
      <c r="X63">
        <v>0.99198249999999999</v>
      </c>
      <c r="Y63">
        <v>0.13562669999999999</v>
      </c>
      <c r="Z63">
        <v>-1.385425E-3</v>
      </c>
      <c r="AA63">
        <v>0.9907591</v>
      </c>
      <c r="AB63">
        <v>11</v>
      </c>
      <c r="AC63">
        <v>67.837999999999894</v>
      </c>
      <c r="AD63">
        <v>-1.1702109999999999</v>
      </c>
      <c r="AE63">
        <v>-8.9074999999999704</v>
      </c>
      <c r="AF63">
        <v>9.2943672281944707</v>
      </c>
      <c r="AG63">
        <v>-1.1702109999999999</v>
      </c>
      <c r="AH63">
        <v>67.765883391075505</v>
      </c>
      <c r="AI63">
        <v>90.980136300542796</v>
      </c>
      <c r="AJ63">
        <v>82.190376524959305</v>
      </c>
      <c r="AK63">
        <v>68.410303374052504</v>
      </c>
      <c r="AL63">
        <v>83.234543004973602</v>
      </c>
      <c r="AM63">
        <v>87.359660886224006</v>
      </c>
      <c r="AN63">
        <v>1.0000000112646601</v>
      </c>
    </row>
    <row r="64" spans="1:40" x14ac:dyDescent="0.25">
      <c r="A64" t="str">
        <f>"20190303170229216"</f>
        <v>20190303170229216</v>
      </c>
      <c r="B64" t="str">
        <f>"1551603749206304"</f>
        <v>1551603749206304</v>
      </c>
      <c r="C64" t="s">
        <v>40</v>
      </c>
      <c r="D64">
        <v>4.1752789999999997</v>
      </c>
      <c r="E64">
        <v>0.53604609999999997</v>
      </c>
      <c r="F64" t="s">
        <v>44</v>
      </c>
      <c r="G64">
        <v>-406.32690000000002</v>
      </c>
      <c r="H64">
        <v>-0.05</v>
      </c>
      <c r="I64">
        <v>358.4787</v>
      </c>
      <c r="J64">
        <v>-471.99439999999998</v>
      </c>
      <c r="K64">
        <v>1.1202129999999999</v>
      </c>
      <c r="L64">
        <v>367.08800000000002</v>
      </c>
      <c r="M64">
        <v>0.99998089999999995</v>
      </c>
      <c r="N64">
        <v>-2.0822800000000002E-3</v>
      </c>
      <c r="O64">
        <v>5.829173E-3</v>
      </c>
      <c r="P64">
        <v>0.99255309999999997</v>
      </c>
      <c r="Q64">
        <v>0.1149135</v>
      </c>
      <c r="R64">
        <v>-4.0416500000000001E-2</v>
      </c>
      <c r="S64">
        <v>3.0130620000000001</v>
      </c>
      <c r="T64">
        <v>-5.360198E-2</v>
      </c>
      <c r="U64">
        <v>-0.39431759999999999</v>
      </c>
      <c r="V64">
        <v>4.6197599999999998E-2</v>
      </c>
      <c r="W64">
        <v>0.1169809</v>
      </c>
      <c r="X64">
        <v>0.99205909999999997</v>
      </c>
      <c r="Y64">
        <v>0.13551629999999901</v>
      </c>
      <c r="Z64">
        <v>-1.433078E-3</v>
      </c>
      <c r="AA64">
        <v>0.99077409999999999</v>
      </c>
      <c r="AB64">
        <v>12</v>
      </c>
      <c r="AC64">
        <v>65.667499999999905</v>
      </c>
      <c r="AD64">
        <v>-1.1702129999999999</v>
      </c>
      <c r="AE64">
        <v>-8.6093000000000099</v>
      </c>
      <c r="AF64">
        <v>8.9891353819788407</v>
      </c>
      <c r="AG64">
        <v>-1.1702129999999999</v>
      </c>
      <c r="AH64">
        <v>65.595720385728299</v>
      </c>
      <c r="AI64">
        <v>91.012573883102206</v>
      </c>
      <c r="AJ64">
        <v>82.196879675627102</v>
      </c>
      <c r="AK64">
        <v>66.219124777541097</v>
      </c>
      <c r="AL64">
        <v>83.282106471179503</v>
      </c>
      <c r="AM64">
        <v>87.333811380000995</v>
      </c>
      <c r="AN64">
        <v>1.0000000035516801</v>
      </c>
    </row>
    <row r="65" spans="1:40" x14ac:dyDescent="0.25">
      <c r="A65" t="str">
        <f>"20190303170229238"</f>
        <v>20190303170229238</v>
      </c>
      <c r="B65" t="str">
        <f>"1551603749225823"</f>
        <v>1551603749225823</v>
      </c>
      <c r="C65" t="s">
        <v>40</v>
      </c>
      <c r="D65">
        <v>4.1630919999999998</v>
      </c>
      <c r="E65">
        <v>0.536269199999999</v>
      </c>
      <c r="F65" t="s">
        <v>44</v>
      </c>
      <c r="G65">
        <v>-407.40089999999998</v>
      </c>
      <c r="H65">
        <v>-0.05</v>
      </c>
      <c r="I65">
        <v>358.5754</v>
      </c>
      <c r="J65">
        <v>-471.8725</v>
      </c>
      <c r="K65">
        <v>1.120225</v>
      </c>
      <c r="L65">
        <v>367.08870000000002</v>
      </c>
      <c r="M65">
        <v>0.99998019999999999</v>
      </c>
      <c r="N65">
        <v>-2.1751100000000001E-3</v>
      </c>
      <c r="O65">
        <v>5.9205100000000004E-3</v>
      </c>
      <c r="P65">
        <v>0.99262980000000001</v>
      </c>
      <c r="Q65">
        <v>0.1140272</v>
      </c>
      <c r="R65">
        <v>-4.1040569999999998E-2</v>
      </c>
      <c r="S65">
        <v>3.0126949999999999</v>
      </c>
      <c r="T65">
        <v>-5.457973E-2</v>
      </c>
      <c r="U65">
        <v>-0.39703369999999999</v>
      </c>
      <c r="V65">
        <v>4.6912519999999999E-2</v>
      </c>
      <c r="W65">
        <v>0.1161871</v>
      </c>
      <c r="X65">
        <v>0.99211879999999997</v>
      </c>
      <c r="Y65">
        <v>0.13649919999999999</v>
      </c>
      <c r="Z65">
        <v>-1.47410799999999E-3</v>
      </c>
      <c r="AA65">
        <v>0.99063909999999999</v>
      </c>
      <c r="AB65">
        <v>12</v>
      </c>
      <c r="AC65">
        <v>64.471599999999995</v>
      </c>
      <c r="AD65">
        <v>-1.1702250000000001</v>
      </c>
      <c r="AE65">
        <v>-8.5133000000000099</v>
      </c>
      <c r="AF65">
        <v>8.8919770729185803</v>
      </c>
      <c r="AG65">
        <v>-1.1702250000000001</v>
      </c>
      <c r="AH65">
        <v>64.399213534207504</v>
      </c>
      <c r="AI65">
        <v>91.031249162906505</v>
      </c>
      <c r="AJ65">
        <v>82.138543641374994</v>
      </c>
      <c r="AK65">
        <v>65.020730437610396</v>
      </c>
      <c r="AL65">
        <v>83.327899911914599</v>
      </c>
      <c r="AM65">
        <v>87.292775006665906</v>
      </c>
      <c r="AN65">
        <v>0.99999997002629903</v>
      </c>
    </row>
    <row r="66" spans="1:40" x14ac:dyDescent="0.25">
      <c r="A66" t="str">
        <f>"20190303170229261"</f>
        <v>20190303170229261</v>
      </c>
      <c r="B66" t="str">
        <f>"1551603749246320"</f>
        <v>1551603749246320</v>
      </c>
      <c r="C66" t="s">
        <v>40</v>
      </c>
      <c r="D66">
        <v>4.1357489999999997</v>
      </c>
      <c r="E66">
        <v>0.53662119999999902</v>
      </c>
      <c r="F66" t="s">
        <v>44</v>
      </c>
      <c r="G66">
        <v>-409.85489999999999</v>
      </c>
      <c r="H66">
        <v>-0.05</v>
      </c>
      <c r="I66">
        <v>358.83890000000002</v>
      </c>
      <c r="J66">
        <v>-471.74270000000001</v>
      </c>
      <c r="K66">
        <v>1.120234</v>
      </c>
      <c r="L66">
        <v>367.08960000000002</v>
      </c>
      <c r="M66">
        <v>0.99997939999999996</v>
      </c>
      <c r="N66">
        <v>-2.2633979999999998E-3</v>
      </c>
      <c r="O66">
        <v>6.0173930000000002E-3</v>
      </c>
      <c r="P66">
        <v>0.99257379999999995</v>
      </c>
      <c r="Q66">
        <v>0.114270899999999</v>
      </c>
      <c r="R66">
        <v>-4.1711140000000001E-2</v>
      </c>
      <c r="S66">
        <v>3.0122070000000001</v>
      </c>
      <c r="T66">
        <v>-5.6838039999999999E-2</v>
      </c>
      <c r="U66">
        <v>-0.40069579999999999</v>
      </c>
      <c r="V66">
        <v>4.7678529999999997E-2</v>
      </c>
      <c r="W66">
        <v>0.1165187</v>
      </c>
      <c r="X66">
        <v>0.99204340000000002</v>
      </c>
      <c r="Y66">
        <v>0.13779710000000001</v>
      </c>
      <c r="Z66">
        <v>-1.550381E-3</v>
      </c>
      <c r="AA66">
        <v>0.99045930000000004</v>
      </c>
      <c r="AB66">
        <v>12</v>
      </c>
      <c r="AC66">
        <v>61.887799999999999</v>
      </c>
      <c r="AD66">
        <v>-1.170234</v>
      </c>
      <c r="AE66">
        <v>-8.2506999999999895</v>
      </c>
      <c r="AF66">
        <v>8.6199265442565896</v>
      </c>
      <c r="AG66">
        <v>-1.170234</v>
      </c>
      <c r="AH66">
        <v>61.815315683715298</v>
      </c>
      <c r="AI66">
        <v>91.074153632552196</v>
      </c>
      <c r="AJ66">
        <v>82.061498163677797</v>
      </c>
      <c r="AK66">
        <v>62.424400952836699</v>
      </c>
      <c r="AL66">
        <v>83.308770761423503</v>
      </c>
      <c r="AM66">
        <v>87.248428731171799</v>
      </c>
      <c r="AN66">
        <v>0.99999997857810496</v>
      </c>
    </row>
    <row r="67" spans="1:40" x14ac:dyDescent="0.25">
      <c r="A67" t="str">
        <f>"20190303170229285"</f>
        <v>20190303170229285</v>
      </c>
      <c r="B67" t="str">
        <f>"1551603749275600"</f>
        <v>1551603749275600</v>
      </c>
      <c r="C67" t="s">
        <v>40</v>
      </c>
      <c r="D67">
        <v>4.1580570000000003</v>
      </c>
      <c r="E67">
        <v>0.53671840000000004</v>
      </c>
      <c r="F67" t="s">
        <v>44</v>
      </c>
      <c r="G67">
        <v>-408.99239999999998</v>
      </c>
      <c r="H67">
        <v>-0.05</v>
      </c>
      <c r="I67">
        <v>358.64670000000001</v>
      </c>
      <c r="J67">
        <v>-471.61450000000002</v>
      </c>
      <c r="K67">
        <v>1.120239</v>
      </c>
      <c r="L67">
        <v>367.09050000000002</v>
      </c>
      <c r="M67">
        <v>0.9999787</v>
      </c>
      <c r="N67">
        <v>-2.3341460000000001E-3</v>
      </c>
      <c r="O67">
        <v>6.1134569999999897E-3</v>
      </c>
      <c r="P67">
        <v>0.99251290000000003</v>
      </c>
      <c r="Q67">
        <v>0.11470320000000001</v>
      </c>
      <c r="R67">
        <v>-4.1970929999999997E-2</v>
      </c>
      <c r="S67">
        <v>3.0118710000000002</v>
      </c>
      <c r="T67">
        <v>-5.6168559999999999E-2</v>
      </c>
      <c r="U67">
        <v>-0.40524290000000002</v>
      </c>
      <c r="V67">
        <v>4.8033230000000003E-2</v>
      </c>
      <c r="W67">
        <v>0.1170206</v>
      </c>
      <c r="X67">
        <v>0.99196719999999905</v>
      </c>
      <c r="Y67">
        <v>0.13937569999999999</v>
      </c>
      <c r="Z67">
        <v>-1.5563759999999999E-3</v>
      </c>
      <c r="AA67">
        <v>0.99023839999999996</v>
      </c>
      <c r="AB67">
        <v>12</v>
      </c>
      <c r="AC67">
        <v>62.622100000000003</v>
      </c>
      <c r="AD67">
        <v>-1.170239</v>
      </c>
      <c r="AE67">
        <v>-8.4438000000000102</v>
      </c>
      <c r="AF67">
        <v>8.8234544539873507</v>
      </c>
      <c r="AG67">
        <v>-1.170239</v>
      </c>
      <c r="AH67">
        <v>62.5478561436096</v>
      </c>
      <c r="AI67">
        <v>91.061344328496006</v>
      </c>
      <c r="AJ67">
        <v>81.970424619476304</v>
      </c>
      <c r="AK67">
        <v>63.177979676311203</v>
      </c>
      <c r="AL67">
        <v>83.279815864406103</v>
      </c>
      <c r="AM67">
        <v>87.227777876764705</v>
      </c>
      <c r="AN67">
        <v>0.99999996894221499</v>
      </c>
    </row>
    <row r="68" spans="1:40" x14ac:dyDescent="0.25">
      <c r="A68" t="str">
        <f>"20190303170229306"</f>
        <v>20190303170229306</v>
      </c>
      <c r="B68" t="str">
        <f>"1551603749296096"</f>
        <v>1551603749296096</v>
      </c>
      <c r="C68" t="s">
        <v>40</v>
      </c>
      <c r="D68">
        <v>4.1355719999999998</v>
      </c>
      <c r="E68">
        <v>0.53677730000000001</v>
      </c>
      <c r="F68" t="s">
        <v>44</v>
      </c>
      <c r="G68">
        <v>-407.20620000000002</v>
      </c>
      <c r="H68">
        <v>-0.05</v>
      </c>
      <c r="I68">
        <v>358.39609999999999</v>
      </c>
      <c r="J68">
        <v>-471.49329999999998</v>
      </c>
      <c r="K68">
        <v>1.120239</v>
      </c>
      <c r="L68">
        <v>367.09129999999999</v>
      </c>
      <c r="M68">
        <v>0.99997789999999998</v>
      </c>
      <c r="N68">
        <v>-2.3764150000000002E-3</v>
      </c>
      <c r="O68">
        <v>6.2041290000000001E-3</v>
      </c>
      <c r="P68">
        <v>0.99252149999999995</v>
      </c>
      <c r="Q68">
        <v>0.1146259</v>
      </c>
      <c r="R68">
        <v>-4.1975659999999998E-2</v>
      </c>
      <c r="S68">
        <v>3.011749</v>
      </c>
      <c r="T68">
        <v>-5.4720640000000001E-2</v>
      </c>
      <c r="U68">
        <v>-0.40655520000000001</v>
      </c>
      <c r="V68">
        <v>4.8127660000000003E-2</v>
      </c>
      <c r="W68">
        <v>0.1169856</v>
      </c>
      <c r="X68">
        <v>0.99196680000000004</v>
      </c>
      <c r="Y68">
        <v>0.13989570000000001</v>
      </c>
      <c r="Z68">
        <v>-1.5295790000000001E-3</v>
      </c>
      <c r="AA68">
        <v>0.99016510000000002</v>
      </c>
      <c r="AB68">
        <v>12</v>
      </c>
      <c r="AC68">
        <v>64.287099999999896</v>
      </c>
      <c r="AD68">
        <v>-1.170239</v>
      </c>
      <c r="AE68">
        <v>-8.6951999999999998</v>
      </c>
      <c r="AF68">
        <v>9.0909209943795606</v>
      </c>
      <c r="AG68">
        <v>-1.170239</v>
      </c>
      <c r="AH68">
        <v>64.211021659906194</v>
      </c>
      <c r="AI68">
        <v>91.033786640364397</v>
      </c>
      <c r="AJ68">
        <v>81.941687833648402</v>
      </c>
      <c r="AK68">
        <v>64.861927248981104</v>
      </c>
      <c r="AL68">
        <v>83.281835411933798</v>
      </c>
      <c r="AM68">
        <v>87.2223352888318</v>
      </c>
      <c r="AN68">
        <v>1.0000000172833301</v>
      </c>
    </row>
    <row r="69" spans="1:40" x14ac:dyDescent="0.25">
      <c r="A69" t="str">
        <f>"20190303170229328"</f>
        <v>20190303170229328</v>
      </c>
      <c r="B69" t="str">
        <f>"1551603749315615"</f>
        <v>1551603749315615</v>
      </c>
      <c r="C69" t="s">
        <v>40</v>
      </c>
      <c r="D69">
        <v>4.1496209999999998</v>
      </c>
      <c r="E69">
        <v>0.53687879999999999</v>
      </c>
      <c r="F69" t="s">
        <v>44</v>
      </c>
      <c r="G69">
        <v>-408.54329999999999</v>
      </c>
      <c r="H69">
        <v>-0.05</v>
      </c>
      <c r="I69">
        <v>358.59140000000002</v>
      </c>
      <c r="J69">
        <v>-471.37329999999997</v>
      </c>
      <c r="K69">
        <v>1.120231</v>
      </c>
      <c r="L69">
        <v>367.09219999999999</v>
      </c>
      <c r="M69">
        <v>0.99997740000000002</v>
      </c>
      <c r="N69">
        <v>-2.3885899999999999E-3</v>
      </c>
      <c r="O69">
        <v>6.2935250000000003E-3</v>
      </c>
      <c r="P69">
        <v>0.99257090000000003</v>
      </c>
      <c r="Q69">
        <v>0.1143889</v>
      </c>
      <c r="R69">
        <v>-4.1454369999999997E-2</v>
      </c>
      <c r="S69">
        <v>3.011841</v>
      </c>
      <c r="T69">
        <v>-5.5989980000000002E-2</v>
      </c>
      <c r="U69">
        <v>-0.40667720000000002</v>
      </c>
      <c r="V69">
        <v>4.7695000000000001E-2</v>
      </c>
      <c r="W69">
        <v>0.11676110000000001</v>
      </c>
      <c r="X69">
        <v>0.99201410000000001</v>
      </c>
      <c r="Y69">
        <v>0.14001839999999999</v>
      </c>
      <c r="Z69">
        <v>-1.5649819999999999E-3</v>
      </c>
      <c r="AA69">
        <v>0.99014769999999996</v>
      </c>
      <c r="AB69">
        <v>13</v>
      </c>
      <c r="AC69">
        <v>62.829999999999899</v>
      </c>
      <c r="AD69">
        <v>-1.170231</v>
      </c>
      <c r="AE69">
        <v>-8.5007999999999697</v>
      </c>
      <c r="AF69">
        <v>8.8930253605525191</v>
      </c>
      <c r="AG69">
        <v>-1.170231</v>
      </c>
      <c r="AH69">
        <v>62.753877317077297</v>
      </c>
      <c r="AI69">
        <v>91.057758864385406</v>
      </c>
      <c r="AJ69">
        <v>81.934164673373999</v>
      </c>
      <c r="AK69">
        <v>63.391674997459901</v>
      </c>
      <c r="AL69">
        <v>83.294786762781996</v>
      </c>
      <c r="AM69">
        <v>87.247398520969398</v>
      </c>
      <c r="AN69">
        <v>0.99999997104850902</v>
      </c>
    </row>
    <row r="70" spans="1:40" x14ac:dyDescent="0.25">
      <c r="A70" t="str">
        <f>"20190303170229350"</f>
        <v>20190303170229350</v>
      </c>
      <c r="B70" t="str">
        <f>"1551603749336112"</f>
        <v>1551603749336112</v>
      </c>
      <c r="C70" t="s">
        <v>40</v>
      </c>
      <c r="D70">
        <v>4.1442500000000004</v>
      </c>
      <c r="E70">
        <v>0.53693519999999995</v>
      </c>
      <c r="F70" t="s">
        <v>44</v>
      </c>
      <c r="G70">
        <v>-410.31540000000001</v>
      </c>
      <c r="H70">
        <v>-0.05</v>
      </c>
      <c r="I70">
        <v>358.87970000000001</v>
      </c>
      <c r="J70">
        <v>-471.23989999999998</v>
      </c>
      <c r="K70">
        <v>1.120215</v>
      </c>
      <c r="L70">
        <v>367.09309999999999</v>
      </c>
      <c r="M70">
        <v>0.99997689999999995</v>
      </c>
      <c r="N70">
        <v>-2.367255E-3</v>
      </c>
      <c r="O70">
        <v>6.3930330000000002E-3</v>
      </c>
      <c r="P70">
        <v>0.99255059999999995</v>
      </c>
      <c r="Q70">
        <v>0.114693</v>
      </c>
      <c r="R70">
        <v>-4.1096519999999997E-2</v>
      </c>
      <c r="S70">
        <v>3.0122070000000001</v>
      </c>
      <c r="T70">
        <v>-5.7731749999999998E-2</v>
      </c>
      <c r="U70">
        <v>-0.40515139999999999</v>
      </c>
      <c r="V70">
        <v>4.7435459999999999E-2</v>
      </c>
      <c r="W70">
        <v>0.1170438</v>
      </c>
      <c r="X70">
        <v>0.99199320000000002</v>
      </c>
      <c r="Y70">
        <v>0.1396068</v>
      </c>
      <c r="Z70">
        <v>-1.6046470000000001E-3</v>
      </c>
      <c r="AA70">
        <v>0.99020569999999997</v>
      </c>
      <c r="AB70">
        <v>13</v>
      </c>
      <c r="AC70">
        <v>60.924499999999902</v>
      </c>
      <c r="AD70">
        <v>-1.170215</v>
      </c>
      <c r="AE70">
        <v>-8.2133999999999698</v>
      </c>
      <c r="AF70">
        <v>8.5996094834618599</v>
      </c>
      <c r="AG70">
        <v>-1.170215</v>
      </c>
      <c r="AH70">
        <v>60.848697916469</v>
      </c>
      <c r="AI70">
        <v>91.090912875768097</v>
      </c>
      <c r="AJ70">
        <v>81.955791250505499</v>
      </c>
      <c r="AK70">
        <v>61.464515979091303</v>
      </c>
      <c r="AL70">
        <v>83.278477218666893</v>
      </c>
      <c r="AM70">
        <v>87.262296803419204</v>
      </c>
      <c r="AN70">
        <v>0.999999941415044</v>
      </c>
    </row>
    <row r="71" spans="1:40" x14ac:dyDescent="0.25">
      <c r="A71" t="str">
        <f>"20190303170229374"</f>
        <v>20190303170229374</v>
      </c>
      <c r="B71" t="str">
        <f>"1551603749366368"</f>
        <v>1551603749366368</v>
      </c>
      <c r="C71" t="s">
        <v>40</v>
      </c>
      <c r="D71">
        <v>4.1814900000000002</v>
      </c>
      <c r="E71">
        <v>0.53726909999999894</v>
      </c>
      <c r="F71" t="s">
        <v>44</v>
      </c>
      <c r="G71">
        <v>-409.76319999999998</v>
      </c>
      <c r="H71">
        <v>-0.05</v>
      </c>
      <c r="I71">
        <v>358.84160000000003</v>
      </c>
      <c r="J71">
        <v>-471.1028</v>
      </c>
      <c r="K71">
        <v>1.120201</v>
      </c>
      <c r="L71">
        <v>367.09410000000003</v>
      </c>
      <c r="M71">
        <v>0.99997639999999999</v>
      </c>
      <c r="N71">
        <v>-2.3079149999999998E-3</v>
      </c>
      <c r="O71">
        <v>6.4956240000000002E-3</v>
      </c>
      <c r="P71">
        <v>0.99248700000000001</v>
      </c>
      <c r="Q71">
        <v>0.1153378</v>
      </c>
      <c r="R71">
        <v>-4.083088E-2</v>
      </c>
      <c r="S71">
        <v>3.0123899999999999</v>
      </c>
      <c r="T71">
        <v>-5.7341219999999998E-2</v>
      </c>
      <c r="U71">
        <v>-0.4043274</v>
      </c>
      <c r="V71">
        <v>4.7270729999999997E-2</v>
      </c>
      <c r="W71">
        <v>0.1176301</v>
      </c>
      <c r="X71">
        <v>0.99193180000000003</v>
      </c>
      <c r="Y71">
        <v>0.1394349</v>
      </c>
      <c r="Z71">
        <v>-1.590848E-3</v>
      </c>
      <c r="AA71">
        <v>0.99023000000000005</v>
      </c>
      <c r="AB71">
        <v>13</v>
      </c>
      <c r="AC71">
        <v>61.339599999999997</v>
      </c>
      <c r="AD71">
        <v>-1.170201</v>
      </c>
      <c r="AE71">
        <v>-8.2524999999999906</v>
      </c>
      <c r="AF71">
        <v>8.6476745261298493</v>
      </c>
      <c r="AG71">
        <v>-1.170201</v>
      </c>
      <c r="AH71">
        <v>61.262800595434697</v>
      </c>
      <c r="AI71">
        <v>91.083553322658901</v>
      </c>
      <c r="AJ71">
        <v>81.965381807286803</v>
      </c>
      <c r="AK71">
        <v>61.881195705046501</v>
      </c>
      <c r="AL71">
        <v>83.2446516298765</v>
      </c>
      <c r="AM71">
        <v>87.271621067468004</v>
      </c>
      <c r="AN71">
        <v>1.0000000290959901</v>
      </c>
    </row>
    <row r="72" spans="1:40" x14ac:dyDescent="0.25">
      <c r="A72" t="str">
        <f>"20190303170229395"</f>
        <v>20190303170229395</v>
      </c>
      <c r="B72" t="str">
        <f>"1551603749385888"</f>
        <v>1551603749385888</v>
      </c>
      <c r="C72" t="s">
        <v>40</v>
      </c>
      <c r="D72">
        <v>4.1313120000000003</v>
      </c>
      <c r="E72">
        <v>0.53734969999999904</v>
      </c>
      <c r="F72" t="s">
        <v>44</v>
      </c>
      <c r="G72">
        <v>-406.7919</v>
      </c>
      <c r="H72">
        <v>-0.05</v>
      </c>
      <c r="I72">
        <v>358.4237</v>
      </c>
      <c r="J72">
        <v>-470.9751</v>
      </c>
      <c r="K72">
        <v>1.1201779999999999</v>
      </c>
      <c r="L72">
        <v>367.09500000000003</v>
      </c>
      <c r="M72">
        <v>0.99997579999999997</v>
      </c>
      <c r="N72">
        <v>-2.2190449999999998E-3</v>
      </c>
      <c r="O72">
        <v>6.592166E-3</v>
      </c>
      <c r="P72">
        <v>0.99236009999999997</v>
      </c>
      <c r="Q72">
        <v>0.11645419999999999</v>
      </c>
      <c r="R72">
        <v>-4.0743469999999997E-2</v>
      </c>
      <c r="S72">
        <v>3.0123899999999999</v>
      </c>
      <c r="T72">
        <v>-5.4813389999999997E-2</v>
      </c>
      <c r="U72">
        <v>-0.40612789999999999</v>
      </c>
      <c r="V72">
        <v>4.727804E-2</v>
      </c>
      <c r="W72">
        <v>0.1186576</v>
      </c>
      <c r="X72">
        <v>0.99180900000000005</v>
      </c>
      <c r="Y72">
        <v>0.14011409999999999</v>
      </c>
      <c r="Z72">
        <v>-1.5299409999999999E-3</v>
      </c>
      <c r="AA72">
        <v>0.99013419999999996</v>
      </c>
      <c r="AB72">
        <v>13</v>
      </c>
      <c r="AC72">
        <v>64.183199999999999</v>
      </c>
      <c r="AD72">
        <v>-1.1701779999999999</v>
      </c>
      <c r="AE72">
        <v>-8.6713000000000306</v>
      </c>
      <c r="AF72">
        <v>9.0912511755106902</v>
      </c>
      <c r="AG72">
        <v>-1.1701779999999999</v>
      </c>
      <c r="AH72">
        <v>64.103716470364503</v>
      </c>
      <c r="AI72">
        <v>91.035427964480306</v>
      </c>
      <c r="AJ72">
        <v>81.928087097610799</v>
      </c>
      <c r="AK72">
        <v>64.755745921121004</v>
      </c>
      <c r="AL72">
        <v>83.185364567538201</v>
      </c>
      <c r="AM72">
        <v>87.270862432167107</v>
      </c>
      <c r="AN72">
        <v>0.99999996579249995</v>
      </c>
    </row>
    <row r="73" spans="1:40" x14ac:dyDescent="0.25">
      <c r="A73" t="str">
        <f>"20190303170229417"</f>
        <v>20190303170229417</v>
      </c>
      <c r="B73" t="str">
        <f>"1551603749406384"</f>
        <v>1551603749406384</v>
      </c>
      <c r="C73" t="s">
        <v>40</v>
      </c>
      <c r="D73">
        <v>4.1324339999999999</v>
      </c>
      <c r="E73">
        <v>0.53736909999999904</v>
      </c>
      <c r="F73" t="s">
        <v>44</v>
      </c>
      <c r="G73">
        <v>-402.99160000000001</v>
      </c>
      <c r="H73">
        <v>-0.05</v>
      </c>
      <c r="I73">
        <v>357.92649999999998</v>
      </c>
      <c r="J73">
        <v>-470.84399999999999</v>
      </c>
      <c r="K73">
        <v>1.120158</v>
      </c>
      <c r="L73">
        <v>367.096</v>
      </c>
      <c r="M73">
        <v>0.99997550000000002</v>
      </c>
      <c r="N73">
        <v>-2.1005720000000002E-3</v>
      </c>
      <c r="O73">
        <v>6.6906419999999897E-3</v>
      </c>
      <c r="P73">
        <v>0.99232690000000001</v>
      </c>
      <c r="Q73">
        <v>0.116744</v>
      </c>
      <c r="R73">
        <v>-4.0725560000000001E-2</v>
      </c>
      <c r="S73">
        <v>3.012543</v>
      </c>
      <c r="T73">
        <v>-5.1853900000000001E-2</v>
      </c>
      <c r="U73">
        <v>-0.40628049999999999</v>
      </c>
      <c r="V73">
        <v>4.7357150000000001E-2</v>
      </c>
      <c r="W73">
        <v>0.1188299</v>
      </c>
      <c r="X73">
        <v>0.99178460000000002</v>
      </c>
      <c r="Y73">
        <v>0.14025699999999999</v>
      </c>
      <c r="Z73">
        <v>-1.4502180000000001E-3</v>
      </c>
      <c r="AA73">
        <v>0.9901141</v>
      </c>
      <c r="AB73">
        <v>13</v>
      </c>
      <c r="AC73">
        <v>67.852399999999903</v>
      </c>
      <c r="AD73">
        <v>-1.170158</v>
      </c>
      <c r="AE73">
        <v>-9.1695000000000206</v>
      </c>
      <c r="AF73">
        <v>9.6204619152660307</v>
      </c>
      <c r="AG73">
        <v>-1.170158</v>
      </c>
      <c r="AH73">
        <v>67.769737260745998</v>
      </c>
      <c r="AI73">
        <v>90.979392043029705</v>
      </c>
      <c r="AJ73">
        <v>81.9203861357188</v>
      </c>
      <c r="AK73">
        <v>68.459183792962307</v>
      </c>
      <c r="AL73">
        <v>83.175422181756701</v>
      </c>
      <c r="AM73">
        <v>87.266235554964794</v>
      </c>
      <c r="AN73">
        <v>0.99999996879364506</v>
      </c>
    </row>
    <row r="74" spans="1:40" x14ac:dyDescent="0.25">
      <c r="A74" t="str">
        <f>"20190303170229439"</f>
        <v>20190303170229439</v>
      </c>
      <c r="B74" t="str">
        <f>"1551603749425904"</f>
        <v>1551603749425904</v>
      </c>
      <c r="C74" t="s">
        <v>40</v>
      </c>
      <c r="D74">
        <v>4.0788919999999997</v>
      </c>
      <c r="E74">
        <v>0.53736329999999999</v>
      </c>
      <c r="F74" t="s">
        <v>44</v>
      </c>
      <c r="G74">
        <v>-401.2826</v>
      </c>
      <c r="H74">
        <v>-0.05</v>
      </c>
      <c r="I74">
        <v>357.72230000000002</v>
      </c>
      <c r="J74">
        <v>-470.70240000000001</v>
      </c>
      <c r="K74">
        <v>1.1201380000000001</v>
      </c>
      <c r="L74">
        <v>367.09699999999998</v>
      </c>
      <c r="M74">
        <v>0.99997510000000001</v>
      </c>
      <c r="N74">
        <v>-1.9557659999999998E-3</v>
      </c>
      <c r="O74">
        <v>6.7969440000000001E-3</v>
      </c>
      <c r="P74">
        <v>0.99222980000000005</v>
      </c>
      <c r="Q74">
        <v>0.1175706</v>
      </c>
      <c r="R74">
        <v>-4.0717419999999997E-2</v>
      </c>
      <c r="S74">
        <v>3.0124819999999999</v>
      </c>
      <c r="T74">
        <v>-5.0675749999999999E-2</v>
      </c>
      <c r="U74">
        <v>-0.40594479999999999</v>
      </c>
      <c r="V74">
        <v>4.7453420000000003E-2</v>
      </c>
      <c r="W74">
        <v>0.1195136</v>
      </c>
      <c r="X74">
        <v>0.99169790000000002</v>
      </c>
      <c r="Y74">
        <v>0.14025770000000001</v>
      </c>
      <c r="Z74">
        <v>-1.41269299999999E-3</v>
      </c>
      <c r="AA74">
        <v>0.99011400000000005</v>
      </c>
      <c r="AB74">
        <v>14</v>
      </c>
      <c r="AC74">
        <v>69.419799999999995</v>
      </c>
      <c r="AD74">
        <v>-1.1701379999999999</v>
      </c>
      <c r="AE74">
        <v>-9.3746999999999598</v>
      </c>
      <c r="AF74">
        <v>9.8435800877435504</v>
      </c>
      <c r="AG74">
        <v>-1.1701379999999999</v>
      </c>
      <c r="AH74">
        <v>69.335130078951593</v>
      </c>
      <c r="AI74">
        <v>90.957266195656501</v>
      </c>
      <c r="AJ74">
        <v>81.919658716096293</v>
      </c>
      <c r="AK74">
        <v>70.040171008843302</v>
      </c>
      <c r="AL74">
        <v>83.135968286693796</v>
      </c>
      <c r="AM74">
        <v>87.260447555213005</v>
      </c>
      <c r="AN74">
        <v>1.0000000262595301</v>
      </c>
    </row>
    <row r="75" spans="1:40" x14ac:dyDescent="0.25">
      <c r="A75" t="str">
        <f>"20190303170229463"</f>
        <v>20190303170229463</v>
      </c>
      <c r="B75" t="str">
        <f>"1551603749456160"</f>
        <v>1551603749456160</v>
      </c>
      <c r="C75" t="s">
        <v>40</v>
      </c>
      <c r="D75">
        <v>4.2946580000000001</v>
      </c>
      <c r="E75">
        <v>0.53757100000000002</v>
      </c>
      <c r="F75" t="s">
        <v>45</v>
      </c>
      <c r="G75">
        <v>-405.19069999999999</v>
      </c>
      <c r="H75">
        <v>8.3225480000000004E-2</v>
      </c>
      <c r="I75">
        <v>358.26979999999998</v>
      </c>
      <c r="J75">
        <v>-470.55340000000001</v>
      </c>
      <c r="K75">
        <v>1.1201129999999999</v>
      </c>
      <c r="L75">
        <v>367.09809999999999</v>
      </c>
      <c r="M75">
        <v>0.99997469999999999</v>
      </c>
      <c r="N75">
        <v>-1.793986E-3</v>
      </c>
      <c r="O75">
        <v>6.9083180000000001E-3</v>
      </c>
      <c r="P75">
        <v>0.9921295</v>
      </c>
      <c r="Q75">
        <v>0.1184573</v>
      </c>
      <c r="R75">
        <v>-4.05878E-2</v>
      </c>
      <c r="S75">
        <v>3.0125120000000001</v>
      </c>
      <c r="T75">
        <v>-4.7677869999999997E-2</v>
      </c>
      <c r="U75">
        <v>-0.40591430000000001</v>
      </c>
      <c r="V75">
        <v>4.7433139999999999E-2</v>
      </c>
      <c r="W75">
        <v>0.12023929999999999</v>
      </c>
      <c r="X75">
        <v>0.99161109999999997</v>
      </c>
      <c r="Y75">
        <v>0.1403594</v>
      </c>
      <c r="Z75">
        <v>-1.3286319999999999E-3</v>
      </c>
      <c r="AA75">
        <v>0.99009970000000003</v>
      </c>
      <c r="AB75">
        <v>14</v>
      </c>
      <c r="AC75">
        <v>65.362700000000004</v>
      </c>
      <c r="AD75">
        <v>-1.0368875199999901</v>
      </c>
      <c r="AE75">
        <v>-8.8283000000000094</v>
      </c>
      <c r="AF75">
        <v>9.2773434485395008</v>
      </c>
      <c r="AG75">
        <v>-1.0368875199999901</v>
      </c>
      <c r="AH75">
        <v>65.284016850531003</v>
      </c>
      <c r="AI75">
        <v>90.900886598826801</v>
      </c>
      <c r="AJ75">
        <v>81.911998681468006</v>
      </c>
      <c r="AK75">
        <v>65.948063605626103</v>
      </c>
      <c r="AL75">
        <v>83.094086422744297</v>
      </c>
      <c r="AM75">
        <v>87.2613772279351</v>
      </c>
      <c r="AN75">
        <v>0.99999998283897895</v>
      </c>
    </row>
    <row r="76" spans="1:40" x14ac:dyDescent="0.25">
      <c r="A76" t="str">
        <f>"20190303170229486"</f>
        <v>20190303170229486</v>
      </c>
      <c r="B76" t="str">
        <f>"1551603749475680"</f>
        <v>1551603749475680</v>
      </c>
      <c r="C76" t="s">
        <v>40</v>
      </c>
      <c r="D76">
        <v>4.2587830000000002</v>
      </c>
      <c r="E76">
        <v>0.53774860000000002</v>
      </c>
      <c r="F76" t="s">
        <v>45</v>
      </c>
      <c r="G76">
        <v>-405.19069999999999</v>
      </c>
      <c r="H76">
        <v>0.16370100000000001</v>
      </c>
      <c r="I76">
        <v>358.26620000000003</v>
      </c>
      <c r="J76">
        <v>-470.41359999999997</v>
      </c>
      <c r="K76">
        <v>1.120085</v>
      </c>
      <c r="L76">
        <v>367.0992</v>
      </c>
      <c r="M76">
        <v>0.99997420000000004</v>
      </c>
      <c r="N76">
        <v>-1.6353050000000001E-3</v>
      </c>
      <c r="O76">
        <v>7.0132959999999996E-3</v>
      </c>
      <c r="P76">
        <v>0.99204369999999997</v>
      </c>
      <c r="Q76">
        <v>0.11907</v>
      </c>
      <c r="R76">
        <v>-4.089011E-2</v>
      </c>
      <c r="S76">
        <v>3.0124209999999998</v>
      </c>
      <c r="T76">
        <v>-4.4075009999999998E-2</v>
      </c>
      <c r="U76">
        <v>-0.4070435</v>
      </c>
      <c r="V76">
        <v>4.7838789999999999E-2</v>
      </c>
      <c r="W76">
        <v>0.1206947</v>
      </c>
      <c r="X76">
        <v>0.99153630000000004</v>
      </c>
      <c r="Y76">
        <v>0.14083470000000001</v>
      </c>
      <c r="Z76">
        <v>-1.2319880000000001E-3</v>
      </c>
      <c r="AA76">
        <v>0.99003240000000003</v>
      </c>
      <c r="AB76">
        <v>14</v>
      </c>
      <c r="AC76">
        <v>65.222899999999896</v>
      </c>
      <c r="AD76">
        <v>-0.95638400000000001</v>
      </c>
      <c r="AE76">
        <v>-8.83299999999997</v>
      </c>
      <c r="AF76">
        <v>9.2882496964739403</v>
      </c>
      <c r="AG76">
        <v>-0.95638400000000001</v>
      </c>
      <c r="AH76">
        <v>65.145592556085404</v>
      </c>
      <c r="AI76">
        <v>90.832663230566794</v>
      </c>
      <c r="AJ76">
        <v>81.885639842281904</v>
      </c>
      <c r="AK76">
        <v>65.811355268395701</v>
      </c>
      <c r="AL76">
        <v>83.067802607966001</v>
      </c>
      <c r="AM76">
        <v>87.237784497584997</v>
      </c>
      <c r="AN76">
        <v>0.999999997327222</v>
      </c>
    </row>
    <row r="77" spans="1:40" x14ac:dyDescent="0.25">
      <c r="A77" t="str">
        <f>"20190303170229506"</f>
        <v>20190303170229506</v>
      </c>
      <c r="B77" t="str">
        <f>"1551603749496175"</f>
        <v>1551603749496175</v>
      </c>
      <c r="C77" t="s">
        <v>40</v>
      </c>
      <c r="D77">
        <v>4.1614789999999999</v>
      </c>
      <c r="E77">
        <v>0.53791789999999995</v>
      </c>
      <c r="F77" t="s">
        <v>45</v>
      </c>
      <c r="G77">
        <v>-404.96809999999999</v>
      </c>
      <c r="H77">
        <v>0.2014283</v>
      </c>
      <c r="I77">
        <v>358.20069999999998</v>
      </c>
      <c r="J77">
        <v>-470.2792</v>
      </c>
      <c r="K77">
        <v>1.1200619999999999</v>
      </c>
      <c r="L77">
        <v>367.1003</v>
      </c>
      <c r="M77">
        <v>0.99997380000000002</v>
      </c>
      <c r="N77">
        <v>-1.475044E-3</v>
      </c>
      <c r="O77">
        <v>7.1142100000000002E-3</v>
      </c>
      <c r="P77">
        <v>0.99202489999999999</v>
      </c>
      <c r="Q77">
        <v>0.1192184</v>
      </c>
      <c r="R77">
        <v>-4.0918969999999999E-2</v>
      </c>
      <c r="S77">
        <v>3.0122680000000002</v>
      </c>
      <c r="T77">
        <v>-4.2279240000000003E-2</v>
      </c>
      <c r="U77">
        <v>-0.40957640000000001</v>
      </c>
      <c r="V77">
        <v>4.7966920000000003E-2</v>
      </c>
      <c r="W77">
        <v>0.12068470000000001</v>
      </c>
      <c r="X77">
        <v>0.9915313</v>
      </c>
      <c r="Y77">
        <v>0.14176</v>
      </c>
      <c r="Z77">
        <v>-1.184238E-3</v>
      </c>
      <c r="AA77">
        <v>0.98990040000000001</v>
      </c>
      <c r="AB77">
        <v>14</v>
      </c>
      <c r="AC77">
        <v>65.311099999999996</v>
      </c>
      <c r="AD77">
        <v>-0.9186337</v>
      </c>
      <c r="AE77">
        <v>-8.8996000000000102</v>
      </c>
      <c r="AF77">
        <v>9.3621936423000207</v>
      </c>
      <c r="AG77">
        <v>-0.9186337</v>
      </c>
      <c r="AH77">
        <v>65.233463110792997</v>
      </c>
      <c r="AI77">
        <v>90.798618186159004</v>
      </c>
      <c r="AJ77">
        <v>81.832778998981695</v>
      </c>
      <c r="AK77">
        <v>65.908264027342497</v>
      </c>
      <c r="AL77">
        <v>83.0683795982699</v>
      </c>
      <c r="AM77">
        <v>87.230383820636803</v>
      </c>
      <c r="AN77">
        <v>0.999999970554032</v>
      </c>
    </row>
    <row r="78" spans="1:40" x14ac:dyDescent="0.25">
      <c r="A78" t="str">
        <f>"20190303170229529"</f>
        <v>20190303170229529</v>
      </c>
      <c r="B78" t="str">
        <f>"1551603749515696"</f>
        <v>1551603749515696</v>
      </c>
      <c r="C78" t="s">
        <v>40</v>
      </c>
      <c r="D78">
        <v>4.1644170000000003</v>
      </c>
      <c r="E78">
        <v>0.53814609999999996</v>
      </c>
      <c r="F78" t="s">
        <v>45</v>
      </c>
      <c r="G78">
        <v>-404.96550000000002</v>
      </c>
      <c r="H78">
        <v>0.21314359999999999</v>
      </c>
      <c r="I78">
        <v>358.19819999999999</v>
      </c>
      <c r="J78">
        <v>-470.13389999999998</v>
      </c>
      <c r="K78">
        <v>1.120031</v>
      </c>
      <c r="L78">
        <v>367.10140000000001</v>
      </c>
      <c r="M78">
        <v>0.99997320000000001</v>
      </c>
      <c r="N78">
        <v>-1.290696E-3</v>
      </c>
      <c r="O78">
        <v>7.2235290000000002E-3</v>
      </c>
      <c r="P78">
        <v>0.99201070000000002</v>
      </c>
      <c r="Q78">
        <v>0.1192357</v>
      </c>
      <c r="R78">
        <v>-4.1205699999999998E-2</v>
      </c>
      <c r="S78">
        <v>3.0122070000000001</v>
      </c>
      <c r="T78">
        <v>-4.1822310000000001E-2</v>
      </c>
      <c r="U78">
        <v>-0.410553</v>
      </c>
      <c r="V78">
        <v>4.8362009999999997E-2</v>
      </c>
      <c r="W78">
        <v>0.120519</v>
      </c>
      <c r="X78">
        <v>0.99153230000000003</v>
      </c>
      <c r="Y78">
        <v>0.14218639999999999</v>
      </c>
      <c r="Z78">
        <v>-1.1652349999999999E-3</v>
      </c>
      <c r="AA78">
        <v>0.98983920000000003</v>
      </c>
      <c r="AB78">
        <v>14</v>
      </c>
      <c r="AC78">
        <v>65.168399999999906</v>
      </c>
      <c r="AD78">
        <v>-0.90688740000000001</v>
      </c>
      <c r="AE78">
        <v>-8.9032000000000195</v>
      </c>
      <c r="AF78">
        <v>9.3719321929651507</v>
      </c>
      <c r="AG78">
        <v>-0.90688740000000001</v>
      </c>
      <c r="AH78">
        <v>65.090013021969199</v>
      </c>
      <c r="AI78">
        <v>90.790093276213994</v>
      </c>
      <c r="AJ78">
        <v>81.806624636846493</v>
      </c>
      <c r="AK78">
        <v>65.767509858485099</v>
      </c>
      <c r="AL78">
        <v>83.0779435732845</v>
      </c>
      <c r="AM78">
        <v>87.207610043865998</v>
      </c>
      <c r="AN78">
        <v>1.00000000765776</v>
      </c>
    </row>
    <row r="79" spans="1:40" x14ac:dyDescent="0.25">
      <c r="A79" t="str">
        <f>"20190303170229543"</f>
        <v>20190303170229543</v>
      </c>
      <c r="B79" t="str">
        <f>"1551603749536192"</f>
        <v>1551603749536192</v>
      </c>
      <c r="C79" t="s">
        <v>40</v>
      </c>
      <c r="D79">
        <v>4.1784109999999997</v>
      </c>
      <c r="E79">
        <v>0.55013869999999998</v>
      </c>
      <c r="F79" t="s">
        <v>45</v>
      </c>
      <c r="G79">
        <v>-404.96539999999999</v>
      </c>
      <c r="H79">
        <v>0.21362919999999999</v>
      </c>
      <c r="I79">
        <v>358.16199999999998</v>
      </c>
      <c r="J79">
        <v>-470.04109999999997</v>
      </c>
      <c r="K79">
        <v>1.1200060000000001</v>
      </c>
      <c r="L79">
        <v>367.10219999999998</v>
      </c>
      <c r="M79">
        <v>0.9999728</v>
      </c>
      <c r="N79">
        <v>-1.165077E-3</v>
      </c>
      <c r="O79">
        <v>7.292804E-3</v>
      </c>
      <c r="P79">
        <v>0.99199280000000001</v>
      </c>
      <c r="Q79">
        <v>0.11924659999999999</v>
      </c>
      <c r="R79">
        <v>-4.1602849999999997E-2</v>
      </c>
      <c r="S79">
        <v>3.012054</v>
      </c>
      <c r="T79">
        <v>-4.1889549999999998E-2</v>
      </c>
      <c r="U79">
        <v>-0.41317749999999998</v>
      </c>
      <c r="V79">
        <v>4.88274E-2</v>
      </c>
      <c r="W79">
        <v>0.120405399999999</v>
      </c>
      <c r="X79">
        <v>0.9915233</v>
      </c>
      <c r="Y79">
        <v>0.14310819999999999</v>
      </c>
      <c r="Z79">
        <v>-1.1666999999999999E-3</v>
      </c>
      <c r="AA79">
        <v>0.98970630000000004</v>
      </c>
      <c r="AB79">
        <v>15</v>
      </c>
      <c r="AC79">
        <v>65.075699999999898</v>
      </c>
      <c r="AD79">
        <v>-0.90637679999999998</v>
      </c>
      <c r="AE79">
        <v>-8.9402000000000008</v>
      </c>
      <c r="AF79">
        <v>9.4127547098750295</v>
      </c>
      <c r="AG79">
        <v>-0.90637679999999998</v>
      </c>
      <c r="AH79">
        <v>64.996395181725603</v>
      </c>
      <c r="AI79">
        <v>90.790692283732398</v>
      </c>
      <c r="AJ79">
        <v>81.759733964773005</v>
      </c>
      <c r="AK79">
        <v>65.680688613555901</v>
      </c>
      <c r="AL79">
        <v>83.084500169384199</v>
      </c>
      <c r="AM79">
        <v>87.180756334381101</v>
      </c>
      <c r="AN79">
        <v>1.0000000148913999</v>
      </c>
    </row>
    <row r="80" spans="1:40" x14ac:dyDescent="0.25">
      <c r="A80" t="str">
        <f>"20190303170229555"</f>
        <v>20190303170229555</v>
      </c>
      <c r="B80" t="str">
        <f>"1551603749545952"</f>
        <v>1551603749545952</v>
      </c>
      <c r="C80" t="s">
        <v>40</v>
      </c>
      <c r="D80">
        <v>4.1919779999999998</v>
      </c>
      <c r="E80">
        <v>0.5497493</v>
      </c>
      <c r="F80" t="s">
        <v>44</v>
      </c>
      <c r="G80">
        <v>-365.26240000000001</v>
      </c>
      <c r="H80">
        <v>-0.05</v>
      </c>
      <c r="I80">
        <v>349.32060000000001</v>
      </c>
      <c r="J80">
        <v>-469.9572</v>
      </c>
      <c r="K80">
        <v>1.11999</v>
      </c>
      <c r="L80">
        <v>367.10289999999998</v>
      </c>
      <c r="M80">
        <v>0.99997250000000004</v>
      </c>
      <c r="N80">
        <v>-1.047655E-3</v>
      </c>
      <c r="O80">
        <v>7.3555109999999899E-3</v>
      </c>
      <c r="P80">
        <v>0.99201689999999998</v>
      </c>
      <c r="Q80">
        <v>0.118994</v>
      </c>
      <c r="R80">
        <v>-4.1752709999999998E-2</v>
      </c>
      <c r="S80">
        <v>3.006866</v>
      </c>
      <c r="T80">
        <v>-3.3576010000000003E-2</v>
      </c>
      <c r="U80">
        <v>-0.51028439999999997</v>
      </c>
      <c r="V80">
        <v>4.9039340000000001E-2</v>
      </c>
      <c r="W80">
        <v>0.1200367</v>
      </c>
      <c r="X80">
        <v>0.99155749999999998</v>
      </c>
      <c r="Y80">
        <v>0.1745495</v>
      </c>
      <c r="Z80">
        <v>-1.1335990000000001E-3</v>
      </c>
      <c r="AA80">
        <v>0.98464779999999996</v>
      </c>
      <c r="AB80">
        <v>15</v>
      </c>
      <c r="AC80">
        <v>104.6948</v>
      </c>
      <c r="AD80">
        <v>-1.1699899999999901</v>
      </c>
      <c r="AE80">
        <v>-17.7822999999999</v>
      </c>
      <c r="AF80">
        <v>18.5496514115064</v>
      </c>
      <c r="AG80">
        <v>-1.1699899999999901</v>
      </c>
      <c r="AH80">
        <v>104.548479271777</v>
      </c>
      <c r="AI80">
        <v>90.631304754835995</v>
      </c>
      <c r="AJ80">
        <v>79.938923589503602</v>
      </c>
      <c r="AK80">
        <v>106.18777218743</v>
      </c>
      <c r="AL80">
        <v>83.105779154647706</v>
      </c>
      <c r="AM80">
        <v>87.168636510034105</v>
      </c>
      <c r="AN80">
        <v>0.99999997101038696</v>
      </c>
    </row>
    <row r="81" spans="1:40" x14ac:dyDescent="0.25">
      <c r="A81" t="str">
        <f>"20190303170229574"</f>
        <v>20190303170229574</v>
      </c>
      <c r="B81" t="str">
        <f>"1551603749566449"</f>
        <v>1551603749566449</v>
      </c>
      <c r="C81" t="s">
        <v>40</v>
      </c>
      <c r="D81">
        <v>4.1718510000000002</v>
      </c>
      <c r="E81">
        <v>0.54999719999999996</v>
      </c>
      <c r="F81" t="s">
        <v>44</v>
      </c>
      <c r="G81">
        <v>-377.60180000000003</v>
      </c>
      <c r="H81">
        <v>-0.05</v>
      </c>
      <c r="I81">
        <v>351.53359999999998</v>
      </c>
      <c r="J81">
        <v>-469.8263</v>
      </c>
      <c r="K81">
        <v>1.1199600000000001</v>
      </c>
      <c r="L81">
        <v>367.10390000000001</v>
      </c>
      <c r="M81">
        <v>0.99997199999999997</v>
      </c>
      <c r="N81">
        <v>-8.4980850000000003E-4</v>
      </c>
      <c r="O81">
        <v>7.4537079999999999E-3</v>
      </c>
      <c r="P81">
        <v>0.9919848</v>
      </c>
      <c r="Q81">
        <v>0.11910080000000001</v>
      </c>
      <c r="R81">
        <v>-4.220782E-2</v>
      </c>
      <c r="S81">
        <v>3.0074160000000001</v>
      </c>
      <c r="T81">
        <v>-3.8098930000000003E-2</v>
      </c>
      <c r="U81">
        <v>-0.50698849999999995</v>
      </c>
      <c r="V81">
        <v>4.9591250000000003E-2</v>
      </c>
      <c r="W81">
        <v>0.1199477</v>
      </c>
      <c r="X81">
        <v>0.9915408</v>
      </c>
      <c r="Y81">
        <v>0.17356429999999901</v>
      </c>
      <c r="Z81">
        <v>-1.2533939999999999E-3</v>
      </c>
      <c r="AA81">
        <v>0.98482170000000002</v>
      </c>
      <c r="AB81">
        <v>15</v>
      </c>
      <c r="AC81">
        <v>92.224499999999907</v>
      </c>
      <c r="AD81">
        <v>-1.1699600000000001</v>
      </c>
      <c r="AE81">
        <v>-15.5703</v>
      </c>
      <c r="AF81">
        <v>16.254738661500401</v>
      </c>
      <c r="AG81">
        <v>-1.1699600000000001</v>
      </c>
      <c r="AH81">
        <v>92.091471608390194</v>
      </c>
      <c r="AI81">
        <v>90.716786305533702</v>
      </c>
      <c r="AJ81">
        <v>79.990027579212196</v>
      </c>
      <c r="AK81">
        <v>93.522320749402994</v>
      </c>
      <c r="AL81">
        <v>83.110915448367294</v>
      </c>
      <c r="AM81">
        <v>87.136775703115106</v>
      </c>
      <c r="AN81">
        <v>0.99999995043824497</v>
      </c>
    </row>
    <row r="82" spans="1:40" x14ac:dyDescent="0.25">
      <c r="A82" t="str">
        <f>"20190303170229587"</f>
        <v>20190303170229587</v>
      </c>
      <c r="B82" t="str">
        <f>"1551603749576208"</f>
        <v>1551603749576208</v>
      </c>
      <c r="C82" t="s">
        <v>40</v>
      </c>
      <c r="D82">
        <v>4.178369</v>
      </c>
      <c r="E82">
        <v>0.5501007</v>
      </c>
      <c r="F82" t="s">
        <v>44</v>
      </c>
      <c r="G82">
        <v>-384.28019999999998</v>
      </c>
      <c r="H82">
        <v>-0.05</v>
      </c>
      <c r="I82">
        <v>352.59269999999998</v>
      </c>
      <c r="J82">
        <v>-469.74009999999998</v>
      </c>
      <c r="K82">
        <v>1.1199380000000001</v>
      </c>
      <c r="L82">
        <v>367.1046</v>
      </c>
      <c r="M82">
        <v>0.99997159999999996</v>
      </c>
      <c r="N82">
        <v>-7.1112050000000004E-4</v>
      </c>
      <c r="O82">
        <v>7.5184290000000001E-3</v>
      </c>
      <c r="P82">
        <v>0.99201919999999999</v>
      </c>
      <c r="Q82">
        <v>0.11869449999999999</v>
      </c>
      <c r="R82">
        <v>-4.2539420000000001E-2</v>
      </c>
      <c r="S82">
        <v>3.0074770000000002</v>
      </c>
      <c r="T82">
        <v>-4.1131380000000002E-2</v>
      </c>
      <c r="U82">
        <v>-0.51016240000000002</v>
      </c>
      <c r="V82">
        <v>4.9987179999999999E-2</v>
      </c>
      <c r="W82">
        <v>0.1194037</v>
      </c>
      <c r="X82">
        <v>0.99158659999999998</v>
      </c>
      <c r="Y82">
        <v>0.1746327</v>
      </c>
      <c r="Z82">
        <v>-1.3449829999999999E-3</v>
      </c>
      <c r="AA82">
        <v>0.98463270000000003</v>
      </c>
      <c r="AB82">
        <v>15</v>
      </c>
      <c r="AC82">
        <v>85.459900000000005</v>
      </c>
      <c r="AD82">
        <v>-1.1699379999999999</v>
      </c>
      <c r="AE82">
        <v>-14.511900000000001</v>
      </c>
      <c r="AF82">
        <v>15.151254150990701</v>
      </c>
      <c r="AG82">
        <v>-1.1699379999999999</v>
      </c>
      <c r="AH82">
        <v>85.332833570926994</v>
      </c>
      <c r="AI82">
        <v>90.773397754425105</v>
      </c>
      <c r="AJ82">
        <v>79.931786799989297</v>
      </c>
      <c r="AK82">
        <v>86.675381409690303</v>
      </c>
      <c r="AL82">
        <v>83.142310144808505</v>
      </c>
      <c r="AM82">
        <v>87.114087669546095</v>
      </c>
      <c r="AN82">
        <v>0.99999997351879999</v>
      </c>
    </row>
    <row r="83" spans="1:40" x14ac:dyDescent="0.25">
      <c r="A83" t="str">
        <f>"20190303170229601"</f>
        <v>20190303170229601</v>
      </c>
      <c r="B83" t="str">
        <f>"1551603749595728"</f>
        <v>1551603749595728</v>
      </c>
      <c r="C83" t="s">
        <v>40</v>
      </c>
      <c r="D83">
        <v>4.1887930000000004</v>
      </c>
      <c r="E83">
        <v>0.55023639999999996</v>
      </c>
      <c r="F83" t="s">
        <v>44</v>
      </c>
      <c r="G83">
        <v>-391.34109999999998</v>
      </c>
      <c r="H83">
        <v>-0.05</v>
      </c>
      <c r="I83">
        <v>353.76199999999898</v>
      </c>
      <c r="J83">
        <v>-469.64150000000001</v>
      </c>
      <c r="K83">
        <v>1.1199110000000001</v>
      </c>
      <c r="L83">
        <v>367.10539999999997</v>
      </c>
      <c r="M83">
        <v>0.9999711</v>
      </c>
      <c r="N83">
        <v>-5.4986559999999996E-4</v>
      </c>
      <c r="O83">
        <v>7.5922050000000003E-3</v>
      </c>
      <c r="P83">
        <v>0.9920234</v>
      </c>
      <c r="Q83">
        <v>0.1185773</v>
      </c>
      <c r="R83">
        <v>-4.2766140000000001E-2</v>
      </c>
      <c r="S83">
        <v>3.0075069999999999</v>
      </c>
      <c r="T83">
        <v>-4.4880629999999998E-2</v>
      </c>
      <c r="U83">
        <v>-0.51184079999999998</v>
      </c>
      <c r="V83">
        <v>5.0286740000000003E-2</v>
      </c>
      <c r="W83">
        <v>0.1191268</v>
      </c>
      <c r="X83">
        <v>0.99160479999999995</v>
      </c>
      <c r="Y83">
        <v>0.17523469999999999</v>
      </c>
      <c r="Z83">
        <v>-1.45497799999999E-3</v>
      </c>
      <c r="AA83">
        <v>0.9845256</v>
      </c>
      <c r="AB83">
        <v>15</v>
      </c>
      <c r="AC83">
        <v>78.300399999999996</v>
      </c>
      <c r="AD83">
        <v>-1.1699109999999999</v>
      </c>
      <c r="AE83">
        <v>-13.343400000000001</v>
      </c>
      <c r="AF83">
        <v>13.9344651807566</v>
      </c>
      <c r="AG83">
        <v>-1.1699109999999999</v>
      </c>
      <c r="AH83">
        <v>78.179876892178598</v>
      </c>
      <c r="AI83">
        <v>90.844030264121599</v>
      </c>
      <c r="AJ83">
        <v>79.893956549927694</v>
      </c>
      <c r="AK83">
        <v>79.420596588654703</v>
      </c>
      <c r="AL83">
        <v>83.158289685162103</v>
      </c>
      <c r="AM83">
        <v>87.096875850064606</v>
      </c>
      <c r="AN83">
        <v>1.0000000150405499</v>
      </c>
    </row>
    <row r="84" spans="1:40" x14ac:dyDescent="0.25">
      <c r="A84" t="str">
        <f>"20190303170229618"</f>
        <v>20190303170229618</v>
      </c>
      <c r="B84" t="str">
        <f>"1551603749606464"</f>
        <v>1551603749606464</v>
      </c>
      <c r="C84" t="s">
        <v>40</v>
      </c>
      <c r="D84">
        <v>3.9112960000000001</v>
      </c>
      <c r="E84">
        <v>0.55008440000000003</v>
      </c>
      <c r="F84" t="s">
        <v>44</v>
      </c>
      <c r="G84">
        <v>-393.2192</v>
      </c>
      <c r="H84">
        <v>-0.05</v>
      </c>
      <c r="I84">
        <v>354.05259999999998</v>
      </c>
      <c r="J84">
        <v>-469.52620000000002</v>
      </c>
      <c r="K84">
        <v>1.1198859999999999</v>
      </c>
      <c r="L84">
        <v>367.10640000000001</v>
      </c>
      <c r="M84">
        <v>0.99997049999999998</v>
      </c>
      <c r="N84">
        <v>-3.5776310000000002E-4</v>
      </c>
      <c r="O84">
        <v>7.6781919999999899E-3</v>
      </c>
      <c r="P84">
        <v>0.99206329999999998</v>
      </c>
      <c r="Q84">
        <v>0.1180674</v>
      </c>
      <c r="R84">
        <v>-4.3248670000000003E-2</v>
      </c>
      <c r="S84">
        <v>3.0074770000000002</v>
      </c>
      <c r="T84">
        <v>-4.6039940000000001E-2</v>
      </c>
      <c r="U84">
        <v>-0.51367189999999996</v>
      </c>
      <c r="V84">
        <v>5.0854679999999999E-2</v>
      </c>
      <c r="W84">
        <v>0.1184265</v>
      </c>
      <c r="X84">
        <v>0.99165970000000003</v>
      </c>
      <c r="Y84">
        <v>0.17590249999999999</v>
      </c>
      <c r="Z84">
        <v>-1.482321E-3</v>
      </c>
      <c r="AA84">
        <v>0.98440649999999996</v>
      </c>
      <c r="AB84">
        <v>15</v>
      </c>
      <c r="AC84">
        <v>76.307000000000002</v>
      </c>
      <c r="AD84">
        <v>-1.169886</v>
      </c>
      <c r="AE84">
        <v>-13.053800000000001</v>
      </c>
      <c r="AF84">
        <v>13.6362009702469</v>
      </c>
      <c r="AG84">
        <v>-1.169886</v>
      </c>
      <c r="AH84">
        <v>76.187122516833796</v>
      </c>
      <c r="AI84">
        <v>90.865972972564506</v>
      </c>
      <c r="AJ84">
        <v>79.852476495646997</v>
      </c>
      <c r="AK84">
        <v>77.406667978598605</v>
      </c>
      <c r="AL84">
        <v>83.198699864501094</v>
      </c>
      <c r="AM84">
        <v>87.064307167563101</v>
      </c>
      <c r="AN84">
        <v>0.99999999749212098</v>
      </c>
    </row>
    <row r="85" spans="1:40" x14ac:dyDescent="0.25">
      <c r="A85" t="str">
        <f>"20190303170229630"</f>
        <v>20190303170229630</v>
      </c>
      <c r="B85" t="str">
        <f>"1551603749625984"</f>
        <v>1551603749625984</v>
      </c>
      <c r="C85" t="s">
        <v>40</v>
      </c>
      <c r="D85">
        <v>4.1688419999999997</v>
      </c>
      <c r="E85">
        <v>0.54990699999999904</v>
      </c>
      <c r="F85" t="s">
        <v>44</v>
      </c>
      <c r="G85">
        <v>-399.62419999999997</v>
      </c>
      <c r="H85">
        <v>-0.05</v>
      </c>
      <c r="I85">
        <v>355.17270000000002</v>
      </c>
      <c r="J85">
        <v>-469.42930000000001</v>
      </c>
      <c r="K85">
        <v>1.119861</v>
      </c>
      <c r="L85">
        <v>367.10719999999998</v>
      </c>
      <c r="M85">
        <v>0.99997009999999997</v>
      </c>
      <c r="N85">
        <v>-1.962097E-4</v>
      </c>
      <c r="O85">
        <v>7.7502700000000001E-3</v>
      </c>
      <c r="P85">
        <v>0.99200860000000002</v>
      </c>
      <c r="Q85">
        <v>0.1184883</v>
      </c>
      <c r="R85">
        <v>-4.33558E-2</v>
      </c>
      <c r="S85">
        <v>3.0075989999999999</v>
      </c>
      <c r="T85">
        <v>-5.0335409999999997E-2</v>
      </c>
      <c r="U85">
        <v>-0.51345829999999903</v>
      </c>
      <c r="V85">
        <v>5.103245E-2</v>
      </c>
      <c r="W85">
        <v>0.1186874</v>
      </c>
      <c r="X85">
        <v>0.99161929999999998</v>
      </c>
      <c r="Y85">
        <v>0.175895</v>
      </c>
      <c r="Z85">
        <v>-1.605885E-3</v>
      </c>
      <c r="AA85">
        <v>0.98440760000000005</v>
      </c>
      <c r="AB85">
        <v>16</v>
      </c>
      <c r="AC85">
        <v>69.805099999999996</v>
      </c>
      <c r="AD85">
        <v>-1.169861</v>
      </c>
      <c r="AE85">
        <v>-11.9344999999999</v>
      </c>
      <c r="AF85">
        <v>12.4717464938271</v>
      </c>
      <c r="AG85">
        <v>-1.169861</v>
      </c>
      <c r="AH85">
        <v>69.691490055265703</v>
      </c>
      <c r="AI85">
        <v>90.9466565047709</v>
      </c>
      <c r="AJ85">
        <v>79.853947521714403</v>
      </c>
      <c r="AK85">
        <v>70.808310398489297</v>
      </c>
      <c r="AL85">
        <v>83.183644708795597</v>
      </c>
      <c r="AM85">
        <v>87.053943257278704</v>
      </c>
      <c r="AN85">
        <v>0.99999992300212304</v>
      </c>
    </row>
    <row r="86" spans="1:40" x14ac:dyDescent="0.25">
      <c r="A86" t="str">
        <f>"20190303170229652"</f>
        <v>20190303170229652</v>
      </c>
      <c r="B86" t="str">
        <f>"1551603749646481"</f>
        <v>1551603749646481</v>
      </c>
      <c r="C86" t="s">
        <v>40</v>
      </c>
      <c r="D86">
        <v>4.1772010000000002</v>
      </c>
      <c r="E86">
        <v>0.55007830000000002</v>
      </c>
      <c r="F86" t="s">
        <v>44</v>
      </c>
      <c r="G86">
        <v>-401.98419999999999</v>
      </c>
      <c r="H86">
        <v>-0.05</v>
      </c>
      <c r="I86">
        <v>355.62029999999999</v>
      </c>
      <c r="J86">
        <v>-469.28410000000002</v>
      </c>
      <c r="K86">
        <v>1.1198269999999999</v>
      </c>
      <c r="L86">
        <v>367.10840000000002</v>
      </c>
      <c r="M86">
        <v>0.9999692</v>
      </c>
      <c r="N86" s="1">
        <v>4.0860879999999999E-5</v>
      </c>
      <c r="O86">
        <v>7.8582119999999998E-3</v>
      </c>
      <c r="P86">
        <v>0.99201249999999996</v>
      </c>
      <c r="Q86">
        <v>0.1183993</v>
      </c>
      <c r="R86">
        <v>-4.3510849999999997E-2</v>
      </c>
      <c r="S86">
        <v>3.007965</v>
      </c>
      <c r="T86">
        <v>-5.2174329999999998E-2</v>
      </c>
      <c r="U86">
        <v>-0.51229859999999905</v>
      </c>
      <c r="V86">
        <v>5.1294060000000002E-2</v>
      </c>
      <c r="W86">
        <v>0.1183636</v>
      </c>
      <c r="X86">
        <v>0.99164459999999999</v>
      </c>
      <c r="Y86">
        <v>0.17561109999999999</v>
      </c>
      <c r="Z86">
        <v>-1.644069E-3</v>
      </c>
      <c r="AA86">
        <v>0.98445830000000001</v>
      </c>
      <c r="AB86">
        <v>16</v>
      </c>
      <c r="AC86">
        <v>67.299899999999994</v>
      </c>
      <c r="AD86">
        <v>-1.169827</v>
      </c>
      <c r="AE86">
        <v>-11.488099999999999</v>
      </c>
      <c r="AF86">
        <v>12.0130752189039</v>
      </c>
      <c r="AG86">
        <v>-1.169827</v>
      </c>
      <c r="AH86">
        <v>67.187820472472296</v>
      </c>
      <c r="AI86">
        <v>90.981924057998299</v>
      </c>
      <c r="AJ86">
        <v>79.862725858419793</v>
      </c>
      <c r="AK86">
        <v>68.263355405855407</v>
      </c>
      <c r="AL86">
        <v>83.202329433400493</v>
      </c>
      <c r="AM86">
        <v>87.038942973885</v>
      </c>
      <c r="AN86">
        <v>1.0000000175527</v>
      </c>
    </row>
    <row r="87" spans="1:40" x14ac:dyDescent="0.25">
      <c r="A87" t="str">
        <f>"20190303170229676"</f>
        <v>20190303170229676</v>
      </c>
      <c r="B87" t="str">
        <f>"1551603749665999"</f>
        <v>1551603749665999</v>
      </c>
      <c r="C87" t="s">
        <v>40</v>
      </c>
      <c r="D87">
        <v>4.1807889999999999</v>
      </c>
      <c r="E87">
        <v>0.55033529999999997</v>
      </c>
      <c r="F87" t="s">
        <v>44</v>
      </c>
      <c r="G87">
        <v>-401.62779999999998</v>
      </c>
      <c r="H87">
        <v>-0.05</v>
      </c>
      <c r="I87">
        <v>355.5498</v>
      </c>
      <c r="J87">
        <v>-469.11079999999998</v>
      </c>
      <c r="K87">
        <v>1.1197999999999999</v>
      </c>
      <c r="L87">
        <v>367.11</v>
      </c>
      <c r="M87">
        <v>0.99996810000000003</v>
      </c>
      <c r="N87">
        <v>3.106718E-4</v>
      </c>
      <c r="O87">
        <v>7.9868030000000007E-3</v>
      </c>
      <c r="P87">
        <v>0.99195670000000002</v>
      </c>
      <c r="Q87">
        <v>0.11898739999999999</v>
      </c>
      <c r="R87">
        <v>-4.3172870000000002E-2</v>
      </c>
      <c r="S87">
        <v>3.0077509999999998</v>
      </c>
      <c r="T87">
        <v>-5.2006240000000002E-2</v>
      </c>
      <c r="U87">
        <v>-0.51385499999999995</v>
      </c>
      <c r="V87">
        <v>5.1082719999999998E-2</v>
      </c>
      <c r="W87">
        <v>0.1186841</v>
      </c>
      <c r="X87">
        <v>0.99161719999999998</v>
      </c>
      <c r="Y87">
        <v>0.1762447</v>
      </c>
      <c r="Z87">
        <v>-1.624634E-3</v>
      </c>
      <c r="AA87">
        <v>0.98434509999999997</v>
      </c>
      <c r="AB87">
        <v>16</v>
      </c>
      <c r="AC87">
        <v>67.483000000000004</v>
      </c>
      <c r="AD87">
        <v>-1.1698</v>
      </c>
      <c r="AE87">
        <v>-11.5602</v>
      </c>
      <c r="AF87">
        <v>12.0952737876566</v>
      </c>
      <c r="AG87">
        <v>-1.1698</v>
      </c>
      <c r="AH87">
        <v>67.368851845191799</v>
      </c>
      <c r="AI87">
        <v>90.979137672954394</v>
      </c>
      <c r="AJ87">
        <v>79.821664250417001</v>
      </c>
      <c r="AK87">
        <v>68.456017113017793</v>
      </c>
      <c r="AL87">
        <v>83.183835765006194</v>
      </c>
      <c r="AM87">
        <v>87.051040101826203</v>
      </c>
      <c r="AN87">
        <v>1.0000000156056199</v>
      </c>
    </row>
    <row r="88" spans="1:40" x14ac:dyDescent="0.25">
      <c r="A88" t="str">
        <f>"20190303170229697"</f>
        <v>20190303170229697</v>
      </c>
      <c r="B88" t="str">
        <f>"1551603749685520"</f>
        <v>1551603749685520</v>
      </c>
      <c r="C88" t="s">
        <v>40</v>
      </c>
      <c r="D88">
        <v>4.2794639999999999</v>
      </c>
      <c r="E88">
        <v>0.55032169999999903</v>
      </c>
      <c r="F88" t="s">
        <v>44</v>
      </c>
      <c r="G88">
        <v>-398.71339999999998</v>
      </c>
      <c r="H88">
        <v>-0.05</v>
      </c>
      <c r="I88">
        <v>355.05079999999998</v>
      </c>
      <c r="J88">
        <v>-468.95179999999999</v>
      </c>
      <c r="K88">
        <v>1.1197779999999999</v>
      </c>
      <c r="L88">
        <v>367.1114</v>
      </c>
      <c r="M88">
        <v>0.99996700000000005</v>
      </c>
      <c r="N88">
        <v>5.3827669999999999E-4</v>
      </c>
      <c r="O88">
        <v>8.1044610000000003E-3</v>
      </c>
      <c r="P88">
        <v>0.99195630000000001</v>
      </c>
      <c r="Q88">
        <v>0.1191883</v>
      </c>
      <c r="R88">
        <v>-4.2628970000000002E-2</v>
      </c>
      <c r="S88">
        <v>3.0079039999999999</v>
      </c>
      <c r="T88">
        <v>-4.998267E-2</v>
      </c>
      <c r="U88">
        <v>-0.51525880000000002</v>
      </c>
      <c r="V88">
        <v>5.0655079999999998E-2</v>
      </c>
      <c r="W88">
        <v>0.11866</v>
      </c>
      <c r="X88">
        <v>0.99164200000000002</v>
      </c>
      <c r="Y88">
        <v>0.17680070000000001</v>
      </c>
      <c r="Z88">
        <v>-1.54835E-3</v>
      </c>
      <c r="AA88">
        <v>0.9842455</v>
      </c>
      <c r="AB88">
        <v>16</v>
      </c>
      <c r="AC88">
        <v>70.238399999999999</v>
      </c>
      <c r="AD88">
        <v>-1.169778</v>
      </c>
      <c r="AE88">
        <v>-12.060600000000001</v>
      </c>
      <c r="AF88">
        <v>12.6260465995224</v>
      </c>
      <c r="AG88">
        <v>-1.169778</v>
      </c>
      <c r="AH88">
        <v>70.1194566342256</v>
      </c>
      <c r="AI88">
        <v>90.940631706833202</v>
      </c>
      <c r="AJ88">
        <v>79.792429544849099</v>
      </c>
      <c r="AK88">
        <v>71.256744466623203</v>
      </c>
      <c r="AL88">
        <v>83.185226275454397</v>
      </c>
      <c r="AM88">
        <v>87.075757354073701</v>
      </c>
      <c r="AN88">
        <v>0.99999999444690302</v>
      </c>
    </row>
    <row r="89" spans="1:40" x14ac:dyDescent="0.25">
      <c r="A89" t="str">
        <f>"20190303170229710"</f>
        <v>20190303170229710</v>
      </c>
      <c r="B89" t="str">
        <f>"1551603749706016"</f>
        <v>1551603749706016</v>
      </c>
      <c r="C89" t="s">
        <v>40</v>
      </c>
      <c r="D89">
        <v>4.1381399999999999</v>
      </c>
      <c r="E89">
        <v>0.51824229999999905</v>
      </c>
      <c r="F89" t="s">
        <v>44</v>
      </c>
      <c r="G89">
        <v>-397.63729999999998</v>
      </c>
      <c r="H89">
        <v>-0.05</v>
      </c>
      <c r="I89">
        <v>354.94130000000001</v>
      </c>
      <c r="J89">
        <v>-468.84210000000002</v>
      </c>
      <c r="K89">
        <v>1.1197629999999901</v>
      </c>
      <c r="L89">
        <v>367.11239999999998</v>
      </c>
      <c r="M89">
        <v>0.99996629999999997</v>
      </c>
      <c r="N89">
        <v>6.8372289999999998E-4</v>
      </c>
      <c r="O89">
        <v>8.1853510000000004E-3</v>
      </c>
      <c r="P89">
        <v>0.99192150000000001</v>
      </c>
      <c r="Q89">
        <v>0.1194911</v>
      </c>
      <c r="R89">
        <v>-4.258377E-2</v>
      </c>
      <c r="S89">
        <v>3.0082399999999998</v>
      </c>
      <c r="T89">
        <v>-4.934442E-2</v>
      </c>
      <c r="U89">
        <v>-0.51336669999999995</v>
      </c>
      <c r="V89">
        <v>5.0689669999999999E-2</v>
      </c>
      <c r="W89">
        <v>0.1188186</v>
      </c>
      <c r="X89">
        <v>0.99162130000000004</v>
      </c>
      <c r="Y89">
        <v>0.17626140000000001</v>
      </c>
      <c r="Z89">
        <v>-1.51332299999999E-3</v>
      </c>
      <c r="AA89">
        <v>0.98434219999999895</v>
      </c>
      <c r="AB89">
        <v>17</v>
      </c>
      <c r="AC89">
        <v>71.204800000000006</v>
      </c>
      <c r="AD89">
        <v>-1.1697630000000001</v>
      </c>
      <c r="AE89">
        <v>-12.1710999999999</v>
      </c>
      <c r="AF89">
        <v>12.750185271788601</v>
      </c>
      <c r="AG89">
        <v>-1.1697630000000001</v>
      </c>
      <c r="AH89">
        <v>71.084149983591999</v>
      </c>
      <c r="AI89">
        <v>90.927969236499095</v>
      </c>
      <c r="AJ89">
        <v>79.831133193574701</v>
      </c>
      <c r="AK89">
        <v>72.228055136704995</v>
      </c>
      <c r="AL89">
        <v>83.1760748175477</v>
      </c>
      <c r="AM89">
        <v>87.0737030152996</v>
      </c>
      <c r="AN89">
        <v>1.0000000524821699</v>
      </c>
    </row>
    <row r="90" spans="1:40" x14ac:dyDescent="0.25">
      <c r="A90" t="str">
        <f>"20190303170229729"</f>
        <v>20190303170229729</v>
      </c>
      <c r="B90" t="str">
        <f>"1551603749715777"</f>
        <v>1551603749715777</v>
      </c>
      <c r="C90" t="s">
        <v>40</v>
      </c>
      <c r="D90">
        <v>4.1430179999999996</v>
      </c>
      <c r="E90">
        <v>0.51044899999999904</v>
      </c>
      <c r="F90" t="s">
        <v>42</v>
      </c>
      <c r="G90">
        <v>-391.30619999999999</v>
      </c>
      <c r="H90" s="1">
        <v>-5.3702870000000003E-6</v>
      </c>
      <c r="I90">
        <v>360.49959999999999</v>
      </c>
      <c r="J90">
        <v>-468.70479999999998</v>
      </c>
      <c r="K90">
        <v>1.11972</v>
      </c>
      <c r="L90">
        <v>367.11360000000002</v>
      </c>
      <c r="M90">
        <v>0.99996779999999996</v>
      </c>
      <c r="N90">
        <v>9.8346299999999996E-4</v>
      </c>
      <c r="O90">
        <v>7.9672140000000002E-3</v>
      </c>
      <c r="P90">
        <v>0.99187499999999995</v>
      </c>
      <c r="Q90">
        <v>0.12001390000000001</v>
      </c>
      <c r="R90">
        <v>-4.2197279999999997E-2</v>
      </c>
      <c r="S90">
        <v>3.0186459999999999</v>
      </c>
      <c r="T90">
        <v>-4.3595080000000001E-2</v>
      </c>
      <c r="U90">
        <v>-0.25744630000000002</v>
      </c>
      <c r="V90">
        <v>5.0081800000000003E-2</v>
      </c>
      <c r="W90">
        <v>0.11904579999999999</v>
      </c>
      <c r="X90">
        <v>0.99162490000000003</v>
      </c>
      <c r="Y90">
        <v>9.2902670000000007E-2</v>
      </c>
      <c r="Z90">
        <v>-7.4650509999999999E-4</v>
      </c>
      <c r="AA90">
        <v>0.99567490000000003</v>
      </c>
      <c r="AB90">
        <v>17</v>
      </c>
      <c r="AC90">
        <v>77.398599999999902</v>
      </c>
      <c r="AD90">
        <v>-1.119725370287</v>
      </c>
      <c r="AE90">
        <v>-6.6140000000000301</v>
      </c>
      <c r="AF90">
        <v>7.2289395679264299</v>
      </c>
      <c r="AG90">
        <v>-1.119725370287</v>
      </c>
      <c r="AH90">
        <v>77.327381451716093</v>
      </c>
      <c r="AI90">
        <v>90.826002310548503</v>
      </c>
      <c r="AJ90">
        <v>84.6592342740188</v>
      </c>
      <c r="AK90">
        <v>77.672615987623303</v>
      </c>
      <c r="AL90">
        <v>83.162963910253893</v>
      </c>
      <c r="AM90">
        <v>87.108745714280204</v>
      </c>
      <c r="AN90">
        <v>1.00000001574444</v>
      </c>
    </row>
    <row r="91" spans="1:40" x14ac:dyDescent="0.25">
      <c r="A91" t="str">
        <f>"20190303170229754"</f>
        <v>20190303170229754</v>
      </c>
      <c r="B91" t="str">
        <f>"1551603749745551"</f>
        <v>1551603749745551</v>
      </c>
      <c r="C91" t="s">
        <v>40</v>
      </c>
      <c r="D91">
        <v>4.1635859999999996</v>
      </c>
      <c r="E91">
        <v>0.49711100000000003</v>
      </c>
      <c r="F91" t="s">
        <v>42</v>
      </c>
      <c r="G91">
        <v>-371.86680000000001</v>
      </c>
      <c r="H91" s="1">
        <v>-5.076176E-6</v>
      </c>
      <c r="I91">
        <v>360.88810000000001</v>
      </c>
      <c r="J91">
        <v>-468.5179</v>
      </c>
      <c r="K91">
        <v>1.119559</v>
      </c>
      <c r="L91">
        <v>367.11540000000002</v>
      </c>
      <c r="M91">
        <v>0.99996859999999999</v>
      </c>
      <c r="N91">
        <v>1.2841969999999999E-3</v>
      </c>
      <c r="O91">
        <v>7.8265880000000006E-3</v>
      </c>
      <c r="P91">
        <v>0.99179890000000004</v>
      </c>
      <c r="Q91">
        <v>0.1207636</v>
      </c>
      <c r="R91">
        <v>-4.1847059999999998E-2</v>
      </c>
      <c r="S91">
        <v>3.0205690000000001</v>
      </c>
      <c r="T91">
        <v>-3.4926409999999998E-2</v>
      </c>
      <c r="U91">
        <v>-0.1941833</v>
      </c>
      <c r="V91">
        <v>4.96119E-2</v>
      </c>
      <c r="W91">
        <v>0.1194889</v>
      </c>
      <c r="X91">
        <v>0.99159520000000001</v>
      </c>
      <c r="Y91">
        <v>7.19582E-2</v>
      </c>
      <c r="Z91">
        <v>-4.6977120000000003E-4</v>
      </c>
      <c r="AA91">
        <v>0.99740759999999995</v>
      </c>
      <c r="AB91">
        <v>17</v>
      </c>
      <c r="AC91">
        <v>96.6511</v>
      </c>
      <c r="AD91">
        <v>-1.119564076176</v>
      </c>
      <c r="AE91">
        <v>-6.2273000000000103</v>
      </c>
      <c r="AF91">
        <v>6.9826251441543201</v>
      </c>
      <c r="AG91">
        <v>-1.119564076176</v>
      </c>
      <c r="AH91">
        <v>96.586494902385994</v>
      </c>
      <c r="AI91">
        <v>90.662374927371999</v>
      </c>
      <c r="AJ91">
        <v>85.865051925799804</v>
      </c>
      <c r="AK91">
        <v>96.845038464306896</v>
      </c>
      <c r="AL91">
        <v>83.137393451723398</v>
      </c>
      <c r="AM91">
        <v>87.135742313178298</v>
      </c>
      <c r="AN91">
        <v>0.99999998925392897</v>
      </c>
    </row>
    <row r="92" spans="1:40" x14ac:dyDescent="0.25">
      <c r="A92" t="str">
        <f>"20190303170229767"</f>
        <v>20190303170229767</v>
      </c>
      <c r="B92" t="str">
        <f>"1551603749756287"</f>
        <v>1551603749756287</v>
      </c>
      <c r="C92" t="s">
        <v>40</v>
      </c>
      <c r="D92">
        <v>4.2635249999999996</v>
      </c>
      <c r="E92">
        <v>0.49543019999999999</v>
      </c>
      <c r="F92" t="s">
        <v>44</v>
      </c>
      <c r="G92">
        <v>-288.19369999999998</v>
      </c>
      <c r="H92">
        <v>-0.05</v>
      </c>
      <c r="I92">
        <v>361.89370000000002</v>
      </c>
      <c r="J92">
        <v>-468.41930000000002</v>
      </c>
      <c r="K92">
        <v>1.119437</v>
      </c>
      <c r="L92">
        <v>367.1164</v>
      </c>
      <c r="M92">
        <v>0.9999673</v>
      </c>
      <c r="N92">
        <v>1.3255980000000001E-3</v>
      </c>
      <c r="O92">
        <v>8.0080689999999996E-3</v>
      </c>
      <c r="P92">
        <v>0.9918302</v>
      </c>
      <c r="Q92">
        <v>0.12070839999999899</v>
      </c>
      <c r="R92">
        <v>-4.1267499999999999E-2</v>
      </c>
      <c r="S92">
        <v>3.0235599999999998</v>
      </c>
      <c r="T92">
        <v>-1.96104E-2</v>
      </c>
      <c r="U92">
        <v>-8.7554930000000003E-2</v>
      </c>
      <c r="V92">
        <v>4.9238810000000001E-2</v>
      </c>
      <c r="W92">
        <v>0.1193815</v>
      </c>
      <c r="X92">
        <v>0.99162669999999997</v>
      </c>
      <c r="Y92">
        <v>3.6948370000000001E-2</v>
      </c>
      <c r="Z92">
        <v>-1.5784189999999999E-4</v>
      </c>
      <c r="AA92">
        <v>0.99931720000000002</v>
      </c>
      <c r="AB92">
        <v>17</v>
      </c>
      <c r="AC92">
        <v>180.22559999999999</v>
      </c>
      <c r="AD92">
        <v>-1.1694370000000001</v>
      </c>
      <c r="AE92">
        <v>-5.2226999999999704</v>
      </c>
      <c r="AF92">
        <v>6.6655120825332501</v>
      </c>
      <c r="AG92">
        <v>-1.1694370000000001</v>
      </c>
      <c r="AH92">
        <v>180.170417788604</v>
      </c>
      <c r="AI92">
        <v>90.371631814816993</v>
      </c>
      <c r="AJ92">
        <v>87.881274720764594</v>
      </c>
      <c r="AK92">
        <v>180.29746554053199</v>
      </c>
      <c r="AL92">
        <v>83.143591164919798</v>
      </c>
      <c r="AM92">
        <v>87.157336711680799</v>
      </c>
      <c r="AN92">
        <v>0.99999995755267701</v>
      </c>
    </row>
    <row r="93" spans="1:40" x14ac:dyDescent="0.25">
      <c r="A93" t="str">
        <f>"20190303170229785"</f>
        <v>20190303170229785</v>
      </c>
      <c r="B93" t="str">
        <f>"1551603749775807"</f>
        <v>1551603749775807</v>
      </c>
      <c r="C93" t="s">
        <v>40</v>
      </c>
      <c r="D93">
        <v>4.1614139999999997</v>
      </c>
      <c r="E93">
        <v>0.49262699999999998</v>
      </c>
      <c r="F93" t="s">
        <v>44</v>
      </c>
      <c r="G93">
        <v>-308.29360000000003</v>
      </c>
      <c r="H93">
        <v>-0.05</v>
      </c>
      <c r="I93">
        <v>363.29349999999999</v>
      </c>
      <c r="J93">
        <v>-468.2697</v>
      </c>
      <c r="K93">
        <v>1.119281</v>
      </c>
      <c r="L93">
        <v>367.11770000000001</v>
      </c>
      <c r="M93">
        <v>0.99996350000000001</v>
      </c>
      <c r="N93">
        <v>1.357135E-3</v>
      </c>
      <c r="O93">
        <v>8.4295930000000008E-3</v>
      </c>
      <c r="P93">
        <v>0.99195979999999995</v>
      </c>
      <c r="Q93">
        <v>0.12003229999999999</v>
      </c>
      <c r="R93">
        <v>-4.0103649999999998E-2</v>
      </c>
      <c r="S93">
        <v>3.024384</v>
      </c>
      <c r="T93">
        <v>-2.2087809999999999E-2</v>
      </c>
      <c r="U93">
        <v>-7.2204589999999999E-2</v>
      </c>
      <c r="V93">
        <v>4.8527559999999997E-2</v>
      </c>
      <c r="W93">
        <v>0.1186604</v>
      </c>
      <c r="X93">
        <v>0.99174830000000003</v>
      </c>
      <c r="Y93">
        <v>3.2292689999999999E-2</v>
      </c>
      <c r="Z93">
        <v>-1.6897909999999999E-4</v>
      </c>
      <c r="AA93">
        <v>0.99947850000000005</v>
      </c>
      <c r="AB93">
        <v>17</v>
      </c>
      <c r="AC93">
        <v>159.97609999999901</v>
      </c>
      <c r="AD93">
        <v>-1.169281</v>
      </c>
      <c r="AE93">
        <v>-3.82420000000001</v>
      </c>
      <c r="AF93">
        <v>5.1723226857382096</v>
      </c>
      <c r="AG93">
        <v>-1.169281</v>
      </c>
      <c r="AH93">
        <v>159.929640585328</v>
      </c>
      <c r="AI93">
        <v>90.418675768570296</v>
      </c>
      <c r="AJ93">
        <v>88.1476291692872</v>
      </c>
      <c r="AK93">
        <v>160.017530532672</v>
      </c>
      <c r="AL93">
        <v>83.185202907405198</v>
      </c>
      <c r="AM93">
        <v>87.198675785842099</v>
      </c>
      <c r="AN93">
        <v>0.99999995258030006</v>
      </c>
    </row>
    <row r="94" spans="1:40" x14ac:dyDescent="0.25">
      <c r="A94" t="str">
        <f>"20190303170229799"</f>
        <v>20190303170229799</v>
      </c>
      <c r="B94" t="str">
        <f>"1551603749785567"</f>
        <v>1551603749785567</v>
      </c>
      <c r="C94" t="s">
        <v>40</v>
      </c>
      <c r="D94">
        <v>4.1187870000000002</v>
      </c>
      <c r="E94">
        <v>0.49175010000000002</v>
      </c>
      <c r="F94" t="s">
        <v>42</v>
      </c>
      <c r="G94">
        <v>-325.11180000000002</v>
      </c>
      <c r="H94" s="1">
        <v>-2.9165430000000001E-6</v>
      </c>
      <c r="I94">
        <v>364.89659999999998</v>
      </c>
      <c r="J94">
        <v>-468.16410000000002</v>
      </c>
      <c r="K94">
        <v>1.1192029999999999</v>
      </c>
      <c r="L94">
        <v>367.11869999999999</v>
      </c>
      <c r="M94">
        <v>0.99996070000000004</v>
      </c>
      <c r="N94">
        <v>1.383645E-3</v>
      </c>
      <c r="O94">
        <v>8.7747399999999996E-3</v>
      </c>
      <c r="P94">
        <v>0.99200339999999998</v>
      </c>
      <c r="Q94">
        <v>0.1198678</v>
      </c>
      <c r="R94">
        <v>-3.9510610000000002E-2</v>
      </c>
      <c r="S94">
        <v>3.0253299999999999</v>
      </c>
      <c r="T94">
        <v>-2.3653629999999998E-2</v>
      </c>
      <c r="U94">
        <v>-4.6936039999999998E-2</v>
      </c>
      <c r="V94">
        <v>4.8290920000000001E-2</v>
      </c>
      <c r="W94">
        <v>0.118463899999999</v>
      </c>
      <c r="X94">
        <v>0.99178339999999998</v>
      </c>
      <c r="Y94">
        <v>2.42846E-2</v>
      </c>
      <c r="Z94">
        <v>-1.588669E-4</v>
      </c>
      <c r="AA94">
        <v>0.99970510000000001</v>
      </c>
      <c r="AB94">
        <v>17</v>
      </c>
      <c r="AC94">
        <v>143.0523</v>
      </c>
      <c r="AD94">
        <v>-1.1192059165429999</v>
      </c>
      <c r="AE94">
        <v>-2.22210000000001</v>
      </c>
      <c r="AF94">
        <v>3.4770494136076802</v>
      </c>
      <c r="AG94">
        <v>-1.1192059165429999</v>
      </c>
      <c r="AH94">
        <v>143.018542074994</v>
      </c>
      <c r="AI94">
        <v>90.448232262395294</v>
      </c>
      <c r="AJ94">
        <v>88.607306320468993</v>
      </c>
      <c r="AK94">
        <v>143.06518050093501</v>
      </c>
      <c r="AL94">
        <v>83.196541900086203</v>
      </c>
      <c r="AM94">
        <v>87.212413077197496</v>
      </c>
      <c r="AN94">
        <v>1.0000000105366</v>
      </c>
    </row>
    <row r="95" spans="1:40" x14ac:dyDescent="0.25">
      <c r="A95" t="str">
        <f>"20190303170229812"</f>
        <v>20190303170229812</v>
      </c>
      <c r="B95" t="str">
        <f>"1551603749806065"</f>
        <v>1551603749806065</v>
      </c>
      <c r="C95" t="s">
        <v>40</v>
      </c>
      <c r="D95">
        <v>4.1616540000000004</v>
      </c>
      <c r="E95">
        <v>0.49040919999999999</v>
      </c>
      <c r="F95" t="s">
        <v>42</v>
      </c>
      <c r="G95">
        <v>-324.61759999999998</v>
      </c>
      <c r="H95" s="1">
        <v>-3.0567299999999999E-6</v>
      </c>
      <c r="I95">
        <v>365.30149999999998</v>
      </c>
      <c r="J95">
        <v>-468.05130000000003</v>
      </c>
      <c r="K95">
        <v>1.1191610000000001</v>
      </c>
      <c r="L95">
        <v>367.11970000000002</v>
      </c>
      <c r="M95">
        <v>0.99995750000000005</v>
      </c>
      <c r="N95">
        <v>1.446931E-3</v>
      </c>
      <c r="O95">
        <v>9.1050479999999993E-3</v>
      </c>
      <c r="P95">
        <v>0.99203470000000005</v>
      </c>
      <c r="Q95">
        <v>0.119828</v>
      </c>
      <c r="R95">
        <v>-3.8836170000000003E-2</v>
      </c>
      <c r="S95">
        <v>3.0255429999999999</v>
      </c>
      <c r="T95">
        <v>-2.358961E-2</v>
      </c>
      <c r="U95">
        <v>-3.8299560000000003E-2</v>
      </c>
      <c r="V95">
        <v>4.7945620000000001E-2</v>
      </c>
      <c r="W95">
        <v>0.1183617</v>
      </c>
      <c r="X95">
        <v>0.99181229999999998</v>
      </c>
      <c r="Y95">
        <v>2.1760600000000001E-2</v>
      </c>
      <c r="Z95">
        <v>-1.5324349999999999E-4</v>
      </c>
      <c r="AA95">
        <v>0.99976319999999996</v>
      </c>
      <c r="AB95">
        <v>18</v>
      </c>
      <c r="AC95">
        <v>143.43369999999999</v>
      </c>
      <c r="AD95">
        <v>-1.1191640567299901</v>
      </c>
      <c r="AE95">
        <v>-1.81820000000004</v>
      </c>
      <c r="AF95">
        <v>3.1239065668761001</v>
      </c>
      <c r="AG95">
        <v>-1.1191640567299901</v>
      </c>
      <c r="AH95">
        <v>143.40247043559401</v>
      </c>
      <c r="AI95">
        <v>90.447041577783196</v>
      </c>
      <c r="AJ95">
        <v>88.752055270529198</v>
      </c>
      <c r="AK95">
        <v>143.44085836140201</v>
      </c>
      <c r="AL95">
        <v>83.202438648861204</v>
      </c>
      <c r="AM95">
        <v>87.232394891100299</v>
      </c>
      <c r="AN95">
        <v>0.99999995646768103</v>
      </c>
    </row>
    <row r="96" spans="1:40" x14ac:dyDescent="0.25">
      <c r="A96" t="str">
        <f>"20190303170229830"</f>
        <v>20190303170229830</v>
      </c>
      <c r="B96" t="str">
        <f>"1551603749815823"</f>
        <v>1551603749815823</v>
      </c>
      <c r="C96" t="s">
        <v>40</v>
      </c>
      <c r="D96">
        <v>4.2582079999999998</v>
      </c>
      <c r="E96">
        <v>0.49002250000000003</v>
      </c>
      <c r="F96" t="s">
        <v>42</v>
      </c>
      <c r="G96">
        <v>-328.42660000000001</v>
      </c>
      <c r="H96" s="1">
        <v>-1.49607E-6</v>
      </c>
      <c r="I96">
        <v>365.95370000000003</v>
      </c>
      <c r="J96">
        <v>-467.9119</v>
      </c>
      <c r="K96">
        <v>1.1191629999999999</v>
      </c>
      <c r="L96">
        <v>367.12090000000001</v>
      </c>
      <c r="M96">
        <v>0.9999557</v>
      </c>
      <c r="N96">
        <v>1.5781839999999901E-3</v>
      </c>
      <c r="O96">
        <v>9.3021010000000001E-3</v>
      </c>
      <c r="P96">
        <v>0.99207509999999999</v>
      </c>
      <c r="Q96">
        <v>0.11964909999999999</v>
      </c>
      <c r="R96">
        <v>-3.8359820000000003E-2</v>
      </c>
      <c r="S96">
        <v>3.026062</v>
      </c>
      <c r="T96">
        <v>-2.4255390000000002E-2</v>
      </c>
      <c r="U96">
        <v>-2.5268550000000001E-2</v>
      </c>
      <c r="V96">
        <v>4.7649799999999999E-2</v>
      </c>
      <c r="W96">
        <v>0.1180586</v>
      </c>
      <c r="X96">
        <v>0.99186269999999999</v>
      </c>
      <c r="Y96">
        <v>1.7650559999999999E-2</v>
      </c>
      <c r="Z96">
        <v>-1.4604660000000001E-4</v>
      </c>
      <c r="AA96">
        <v>0.99984419999999996</v>
      </c>
      <c r="AB96">
        <v>18</v>
      </c>
      <c r="AC96">
        <v>139.4853</v>
      </c>
      <c r="AD96">
        <v>-1.11916449607</v>
      </c>
      <c r="AE96">
        <v>-1.16719999999997</v>
      </c>
      <c r="AF96">
        <v>2.46449854528929</v>
      </c>
      <c r="AG96">
        <v>-1.11916449607</v>
      </c>
      <c r="AH96">
        <v>139.45943030995201</v>
      </c>
      <c r="AI96">
        <v>90.459718040908399</v>
      </c>
      <c r="AJ96">
        <v>88.987586077311803</v>
      </c>
      <c r="AK96">
        <v>139.48569455189801</v>
      </c>
      <c r="AL96">
        <v>83.219927756132194</v>
      </c>
      <c r="AM96">
        <v>87.249584002507504</v>
      </c>
      <c r="AN96">
        <v>0.99999997606264401</v>
      </c>
    </row>
    <row r="97" spans="1:40" x14ac:dyDescent="0.25">
      <c r="A97" t="str">
        <f>"20190303170229844"</f>
        <v>20190303170229844</v>
      </c>
      <c r="B97" t="str">
        <f>"1551603749836319"</f>
        <v>1551603749836319</v>
      </c>
      <c r="C97" t="s">
        <v>40</v>
      </c>
      <c r="D97">
        <v>4.0829769999999996</v>
      </c>
      <c r="E97">
        <v>0.48950470000000001</v>
      </c>
      <c r="F97" t="s">
        <v>42</v>
      </c>
      <c r="G97">
        <v>-334.60410000000002</v>
      </c>
      <c r="H97" s="1">
        <v>-2.8983880000000002E-6</v>
      </c>
      <c r="I97">
        <v>366.2269</v>
      </c>
      <c r="J97">
        <v>-467.80250000000001</v>
      </c>
      <c r="K97">
        <v>1.1191879999999901</v>
      </c>
      <c r="L97">
        <v>367.12200000000001</v>
      </c>
      <c r="M97">
        <v>0.99995509999999999</v>
      </c>
      <c r="N97">
        <v>1.6839699999999999E-3</v>
      </c>
      <c r="O97">
        <v>9.3318189999999999E-3</v>
      </c>
      <c r="P97">
        <v>0.99206879999999997</v>
      </c>
      <c r="Q97">
        <v>0.11968040000000001</v>
      </c>
      <c r="R97">
        <v>-3.8420929999999999E-2</v>
      </c>
      <c r="S97">
        <v>3.0262449999999999</v>
      </c>
      <c r="T97">
        <v>-2.5406359999999999E-2</v>
      </c>
      <c r="U97">
        <v>-2.029419E-2</v>
      </c>
      <c r="V97">
        <v>4.7723849999999998E-2</v>
      </c>
      <c r="W97">
        <v>0.1179914</v>
      </c>
      <c r="X97">
        <v>0.99186719999999895</v>
      </c>
      <c r="Y97">
        <v>1.603632E-2</v>
      </c>
      <c r="Z97">
        <v>-1.4786589999999999E-4</v>
      </c>
      <c r="AA97">
        <v>0.99987139999999997</v>
      </c>
      <c r="AB97">
        <v>18</v>
      </c>
      <c r="AC97">
        <v>133.19839999999999</v>
      </c>
      <c r="AD97">
        <v>-1.1191908983879999</v>
      </c>
      <c r="AE97">
        <v>-0.89509999999995604</v>
      </c>
      <c r="AF97">
        <v>2.1378951419116499</v>
      </c>
      <c r="AG97">
        <v>-1.1191908983879999</v>
      </c>
      <c r="AH97">
        <v>133.17484544636301</v>
      </c>
      <c r="AI97">
        <v>90.481435849153996</v>
      </c>
      <c r="AJ97">
        <v>89.080292922765494</v>
      </c>
      <c r="AK97">
        <v>133.19670657928299</v>
      </c>
      <c r="AL97">
        <v>83.223805564146602</v>
      </c>
      <c r="AM97">
        <v>87.245328785486905</v>
      </c>
      <c r="AN97">
        <v>1.00000003938431</v>
      </c>
    </row>
    <row r="98" spans="1:40" x14ac:dyDescent="0.25">
      <c r="A98" t="str">
        <f>"20190303170229856"</f>
        <v>20190303170229856</v>
      </c>
      <c r="B98" t="str">
        <f>"1551603749846079"</f>
        <v>1551603749846079</v>
      </c>
      <c r="C98" t="s">
        <v>40</v>
      </c>
      <c r="D98">
        <v>4.0912050000000004</v>
      </c>
      <c r="E98">
        <v>0.48930750000000001</v>
      </c>
      <c r="F98" t="s">
        <v>42</v>
      </c>
      <c r="G98">
        <v>-335.20589999999999</v>
      </c>
      <c r="H98" s="1">
        <v>-2.608351E-6</v>
      </c>
      <c r="I98">
        <v>366.40660000000003</v>
      </c>
      <c r="J98">
        <v>-467.69909999999999</v>
      </c>
      <c r="K98">
        <v>1.1192219999999999</v>
      </c>
      <c r="L98">
        <v>367.12299999999999</v>
      </c>
      <c r="M98">
        <v>0.99995529999999999</v>
      </c>
      <c r="N98">
        <v>1.7792369999999999E-3</v>
      </c>
      <c r="O98">
        <v>9.3019680000000007E-3</v>
      </c>
      <c r="P98">
        <v>0.99207369999999995</v>
      </c>
      <c r="Q98">
        <v>0.11962540000000001</v>
      </c>
      <c r="R98">
        <v>-3.8466800000000002E-2</v>
      </c>
      <c r="S98">
        <v>3.026459</v>
      </c>
      <c r="T98">
        <v>-2.5545000000000002E-2</v>
      </c>
      <c r="U98">
        <v>-1.6326899999999998E-2</v>
      </c>
      <c r="V98">
        <v>4.7723450000000001E-2</v>
      </c>
      <c r="W98">
        <v>0.1178488</v>
      </c>
      <c r="X98">
        <v>0.99188410000000005</v>
      </c>
      <c r="Y98">
        <v>1.4695359999999999E-2</v>
      </c>
      <c r="Z98">
        <v>-1.4400489999999999E-4</v>
      </c>
      <c r="AA98">
        <v>0.999892</v>
      </c>
      <c r="AB98">
        <v>18</v>
      </c>
      <c r="AC98">
        <v>132.4932</v>
      </c>
      <c r="AD98">
        <v>-1.119224608351</v>
      </c>
      <c r="AE98">
        <v>-0.71640000000002102</v>
      </c>
      <c r="AF98">
        <v>1.9486792301745399</v>
      </c>
      <c r="AG98">
        <v>-1.119224608351</v>
      </c>
      <c r="AH98">
        <v>132.47135111087999</v>
      </c>
      <c r="AI98">
        <v>90.484016985528498</v>
      </c>
      <c r="AJ98">
        <v>89.157228772583395</v>
      </c>
      <c r="AK98">
        <v>132.49041051943399</v>
      </c>
      <c r="AL98">
        <v>83.2320328583193</v>
      </c>
      <c r="AM98">
        <v>87.245398700528298</v>
      </c>
      <c r="AN98">
        <v>0.99999996758707499</v>
      </c>
    </row>
    <row r="99" spans="1:40" x14ac:dyDescent="0.25">
      <c r="A99" t="str">
        <f>"20190303170229877"</f>
        <v>20190303170229877</v>
      </c>
      <c r="B99" t="str">
        <f>"1551603749865599"</f>
        <v>1551603749865599</v>
      </c>
      <c r="C99" t="s">
        <v>40</v>
      </c>
      <c r="D99">
        <v>4.0923150000000001</v>
      </c>
      <c r="E99">
        <v>0.48899860000000001</v>
      </c>
      <c r="F99" t="s">
        <v>42</v>
      </c>
      <c r="G99">
        <v>-335.84219999999999</v>
      </c>
      <c r="H99" s="1">
        <v>-2.322432E-6</v>
      </c>
      <c r="I99">
        <v>366.4794</v>
      </c>
      <c r="J99">
        <v>-467.5274</v>
      </c>
      <c r="K99">
        <v>1.11927</v>
      </c>
      <c r="L99">
        <v>367.12479999999999</v>
      </c>
      <c r="M99">
        <v>0.99995610000000001</v>
      </c>
      <c r="N99">
        <v>1.8770620000000001E-3</v>
      </c>
      <c r="O99">
        <v>9.1869399999999993E-3</v>
      </c>
      <c r="P99">
        <v>0.9920755</v>
      </c>
      <c r="Q99">
        <v>0.11960519999999999</v>
      </c>
      <c r="R99">
        <v>-3.8485150000000003E-2</v>
      </c>
      <c r="S99">
        <v>3.0264890000000002</v>
      </c>
      <c r="T99">
        <v>-2.5689360000000001E-2</v>
      </c>
      <c r="U99">
        <v>-1.4770510000000001E-2</v>
      </c>
      <c r="V99">
        <v>4.760673E-2</v>
      </c>
      <c r="W99">
        <v>0.11773989999999999</v>
      </c>
      <c r="X99">
        <v>0.99190259999999997</v>
      </c>
      <c r="Y99">
        <v>1.40661E-2</v>
      </c>
      <c r="Z99">
        <v>-1.4171680000000001E-4</v>
      </c>
      <c r="AA99">
        <v>0.99990109999999999</v>
      </c>
      <c r="AB99">
        <v>18</v>
      </c>
      <c r="AC99">
        <v>131.68520000000001</v>
      </c>
      <c r="AD99">
        <v>-1.119272322432</v>
      </c>
      <c r="AE99">
        <v>-0.64539999999999498</v>
      </c>
      <c r="AF99">
        <v>1.85502484043426</v>
      </c>
      <c r="AG99">
        <v>-1.119272322432</v>
      </c>
      <c r="AH99">
        <v>131.66420186769801</v>
      </c>
      <c r="AI99">
        <v>90.487009157005204</v>
      </c>
      <c r="AJ99">
        <v>89.192809731185903</v>
      </c>
      <c r="AK99">
        <v>131.68202588488799</v>
      </c>
      <c r="AL99">
        <v>83.238315832664696</v>
      </c>
      <c r="AM99">
        <v>87.252176621695</v>
      </c>
      <c r="AN99">
        <v>0.99999992634002799</v>
      </c>
    </row>
    <row r="100" spans="1:40" x14ac:dyDescent="0.25">
      <c r="A100" t="str">
        <f>"20190303170229898"</f>
        <v>20190303170229898</v>
      </c>
      <c r="B100" t="str">
        <f>"1551603749886095"</f>
        <v>1551603749886095</v>
      </c>
      <c r="C100" t="s">
        <v>40</v>
      </c>
      <c r="D100">
        <v>4.135408</v>
      </c>
      <c r="E100">
        <v>0.48859439999999998</v>
      </c>
      <c r="F100" t="s">
        <v>42</v>
      </c>
      <c r="G100">
        <v>-332.76799999999997</v>
      </c>
      <c r="H100" s="1">
        <v>-3.6260889999999998E-6</v>
      </c>
      <c r="I100">
        <v>366.56490000000002</v>
      </c>
      <c r="J100">
        <v>-467.34429999999998</v>
      </c>
      <c r="K100">
        <v>1.1193040000000001</v>
      </c>
      <c r="L100">
        <v>367.1268</v>
      </c>
      <c r="M100">
        <v>0.99995639999999997</v>
      </c>
      <c r="N100">
        <v>1.9171699999999999E-3</v>
      </c>
      <c r="O100">
        <v>9.1574550000000001E-3</v>
      </c>
      <c r="P100">
        <v>0.99215549999999997</v>
      </c>
      <c r="Q100">
        <v>0.1189428</v>
      </c>
      <c r="R100">
        <v>-3.8477169999999998E-2</v>
      </c>
      <c r="S100">
        <v>3.0265499999999999</v>
      </c>
      <c r="T100">
        <v>-2.5137659999999999E-2</v>
      </c>
      <c r="U100">
        <v>-1.2573239999999999E-2</v>
      </c>
      <c r="V100">
        <v>4.7562130000000001E-2</v>
      </c>
      <c r="W100">
        <v>0.11704050000000001</v>
      </c>
      <c r="X100">
        <v>0.99198759999999997</v>
      </c>
      <c r="Y100">
        <v>1.331067E-2</v>
      </c>
      <c r="Z100">
        <v>-1.3612959999999901E-4</v>
      </c>
      <c r="AA100">
        <v>0.99991140000000001</v>
      </c>
      <c r="AB100">
        <v>19</v>
      </c>
      <c r="AC100">
        <v>134.57629999999901</v>
      </c>
      <c r="AD100">
        <v>-1.119307626089</v>
      </c>
      <c r="AE100">
        <v>-0.56189999999997997</v>
      </c>
      <c r="AF100">
        <v>1.7941307976602701</v>
      </c>
      <c r="AG100">
        <v>-1.119307626089</v>
      </c>
      <c r="AH100">
        <v>134.55620353158699</v>
      </c>
      <c r="AI100">
        <v>90.476562375717407</v>
      </c>
      <c r="AJ100">
        <v>89.236081067957599</v>
      </c>
      <c r="AK100">
        <v>134.572819186174</v>
      </c>
      <c r="AL100">
        <v>83.278668111637003</v>
      </c>
      <c r="AM100">
        <v>87.254981830510701</v>
      </c>
      <c r="AN100">
        <v>1.0000000167020699</v>
      </c>
    </row>
    <row r="101" spans="1:40" x14ac:dyDescent="0.25">
      <c r="A101" t="str">
        <f>"20190303170229920"</f>
        <v>20190303170229920</v>
      </c>
      <c r="B101" t="str">
        <f>"1551603749905615"</f>
        <v>1551603749905615</v>
      </c>
      <c r="C101" t="s">
        <v>40</v>
      </c>
      <c r="D101">
        <v>4.1133069999999998</v>
      </c>
      <c r="E101">
        <v>0.48836780000000002</v>
      </c>
      <c r="F101" t="s">
        <v>42</v>
      </c>
      <c r="G101">
        <v>-336.09370000000001</v>
      </c>
      <c r="H101" s="1">
        <v>-2.1713409999999999E-6</v>
      </c>
      <c r="I101">
        <v>366.72300000000001</v>
      </c>
      <c r="J101">
        <v>-467.15699999999998</v>
      </c>
      <c r="K101">
        <v>1.119313</v>
      </c>
      <c r="L101">
        <v>367.12880000000001</v>
      </c>
      <c r="M101">
        <v>0.99995509999999999</v>
      </c>
      <c r="N101">
        <v>1.9272479999999999E-3</v>
      </c>
      <c r="O101">
        <v>9.2700590000000006E-3</v>
      </c>
      <c r="P101">
        <v>0.99221289999999995</v>
      </c>
      <c r="Q101">
        <v>0.11848210000000001</v>
      </c>
      <c r="R101">
        <v>-3.8414950000000003E-2</v>
      </c>
      <c r="S101">
        <v>3.026459</v>
      </c>
      <c r="T101">
        <v>-2.580965E-2</v>
      </c>
      <c r="U101">
        <v>-9.3078610000000006E-3</v>
      </c>
      <c r="V101">
        <v>4.7614759999999999E-2</v>
      </c>
      <c r="W101">
        <v>0.1165689</v>
      </c>
      <c r="X101">
        <v>0.99204060000000005</v>
      </c>
      <c r="Y101">
        <v>1.2344529999999999E-2</v>
      </c>
      <c r="Z101">
        <v>-1.3765859999999999E-4</v>
      </c>
      <c r="AA101">
        <v>0.99992380000000003</v>
      </c>
      <c r="AB101">
        <v>19</v>
      </c>
      <c r="AC101">
        <v>131.063299999999</v>
      </c>
      <c r="AD101">
        <v>-1.1193151713409999</v>
      </c>
      <c r="AE101">
        <v>-0.40579999999999899</v>
      </c>
      <c r="AF101">
        <v>1.62063123319659</v>
      </c>
      <c r="AG101">
        <v>-1.1193151713409999</v>
      </c>
      <c r="AH101">
        <v>131.04434889051299</v>
      </c>
      <c r="AI101">
        <v>90.489342523084403</v>
      </c>
      <c r="AJ101">
        <v>89.291456692729795</v>
      </c>
      <c r="AK101">
        <v>131.05914957829299</v>
      </c>
      <c r="AL101">
        <v>83.305875009734606</v>
      </c>
      <c r="AM101">
        <v>87.252095567290397</v>
      </c>
      <c r="AN101">
        <v>1.00000001293271</v>
      </c>
    </row>
    <row r="102" spans="1:40" x14ac:dyDescent="0.25">
      <c r="A102" t="str">
        <f>"20190303170229943"</f>
        <v>20190303170229943</v>
      </c>
      <c r="B102" t="str">
        <f>"1551603749935871"</f>
        <v>1551603749935871</v>
      </c>
      <c r="C102" t="s">
        <v>40</v>
      </c>
      <c r="D102">
        <v>4.1343750000000004</v>
      </c>
      <c r="E102">
        <v>0.4880545</v>
      </c>
      <c r="F102" t="s">
        <v>42</v>
      </c>
      <c r="G102">
        <v>-340.45159999999998</v>
      </c>
      <c r="H102" s="1">
        <v>-4.9890339999999997E-6</v>
      </c>
      <c r="I102">
        <v>366.82589999999999</v>
      </c>
      <c r="J102">
        <v>-466.9579</v>
      </c>
      <c r="K102">
        <v>1.1193109999999999</v>
      </c>
      <c r="L102">
        <v>367.13069999999999</v>
      </c>
      <c r="M102">
        <v>0.99995330000000004</v>
      </c>
      <c r="N102">
        <v>1.9291950000000001E-3</v>
      </c>
      <c r="O102">
        <v>9.4827139999999997E-3</v>
      </c>
      <c r="P102">
        <v>0.99218819999999996</v>
      </c>
      <c r="Q102">
        <v>0.1189341</v>
      </c>
      <c r="R102">
        <v>-3.7652829999999998E-2</v>
      </c>
      <c r="S102">
        <v>3.0264280000000001</v>
      </c>
      <c r="T102">
        <v>-2.6735539999999999E-2</v>
      </c>
      <c r="U102">
        <v>-7.2326659999999996E-3</v>
      </c>
      <c r="V102">
        <v>4.7069369999999999E-2</v>
      </c>
      <c r="W102">
        <v>0.11701640000000001</v>
      </c>
      <c r="X102">
        <v>0.9920139</v>
      </c>
      <c r="Y102">
        <v>1.187151E-2</v>
      </c>
      <c r="Z102">
        <v>-1.4304589999999999E-4</v>
      </c>
      <c r="AA102">
        <v>0.99992950000000003</v>
      </c>
      <c r="AB102">
        <v>19</v>
      </c>
      <c r="AC102">
        <v>126.5063</v>
      </c>
      <c r="AD102">
        <v>-1.1193159890340001</v>
      </c>
      <c r="AE102">
        <v>-0.30480000000000002</v>
      </c>
      <c r="AF102">
        <v>1.50429367893429</v>
      </c>
      <c r="AG102">
        <v>-1.1193159890340001</v>
      </c>
      <c r="AH102">
        <v>126.487819575256</v>
      </c>
      <c r="AI102">
        <v>90.506972717553197</v>
      </c>
      <c r="AJ102">
        <v>89.3186251761596</v>
      </c>
      <c r="AK102">
        <v>126.50171646526501</v>
      </c>
      <c r="AL102">
        <v>83.280058182776003</v>
      </c>
      <c r="AM102">
        <v>87.283450249820106</v>
      </c>
      <c r="AN102">
        <v>0.99999997062718304</v>
      </c>
    </row>
    <row r="103" spans="1:40" x14ac:dyDescent="0.25">
      <c r="A103" t="str">
        <f>"20190303170229957"</f>
        <v>20190303170229957</v>
      </c>
      <c r="B103" t="str">
        <f>"1551603749945631"</f>
        <v>1551603749945631</v>
      </c>
      <c r="C103" t="s">
        <v>40</v>
      </c>
      <c r="D103">
        <v>4.1192000000000002</v>
      </c>
      <c r="E103">
        <v>0.48799090000000001</v>
      </c>
      <c r="F103" t="s">
        <v>42</v>
      </c>
      <c r="G103">
        <v>-327.46010000000001</v>
      </c>
      <c r="H103" s="1">
        <v>-1.545867E-6</v>
      </c>
      <c r="I103">
        <v>367.0027</v>
      </c>
      <c r="J103">
        <v>-466.83629999999999</v>
      </c>
      <c r="K103">
        <v>1.1193139999999999</v>
      </c>
      <c r="L103">
        <v>367.13200000000001</v>
      </c>
      <c r="M103">
        <v>0.99995179999999995</v>
      </c>
      <c r="N103">
        <v>1.928559E-3</v>
      </c>
      <c r="O103">
        <v>9.6221510000000007E-3</v>
      </c>
      <c r="P103">
        <v>0.99212489999999998</v>
      </c>
      <c r="Q103">
        <v>0.1195572</v>
      </c>
      <c r="R103">
        <v>-3.7339770000000001E-2</v>
      </c>
      <c r="S103">
        <v>3.0264280000000001</v>
      </c>
      <c r="T103">
        <v>-2.428365E-2</v>
      </c>
      <c r="U103">
        <v>-2.7770999999999998E-3</v>
      </c>
      <c r="V103">
        <v>4.6896859999999999E-2</v>
      </c>
      <c r="W103">
        <v>0.1176396</v>
      </c>
      <c r="X103">
        <v>0.99194839999999995</v>
      </c>
      <c r="Y103">
        <v>1.053901E-2</v>
      </c>
      <c r="Z103">
        <v>-1.278799E-4</v>
      </c>
      <c r="AA103">
        <v>0.99994439999999996</v>
      </c>
      <c r="AB103">
        <v>19</v>
      </c>
      <c r="AC103">
        <v>139.37619999999899</v>
      </c>
      <c r="AD103">
        <v>-1.1193155458670001</v>
      </c>
      <c r="AE103">
        <v>-0.12929999999994299</v>
      </c>
      <c r="AF103">
        <v>1.47030058509495</v>
      </c>
      <c r="AG103">
        <v>-1.1193155458670001</v>
      </c>
      <c r="AH103">
        <v>139.359515530615</v>
      </c>
      <c r="AI103">
        <v>90.4601559404217</v>
      </c>
      <c r="AJ103">
        <v>89.395528232606296</v>
      </c>
      <c r="AK103">
        <v>139.371766222681</v>
      </c>
      <c r="AL103">
        <v>83.244103382146506</v>
      </c>
      <c r="AM103">
        <v>87.293213160044502</v>
      </c>
      <c r="AN103">
        <v>1.00000000961428</v>
      </c>
    </row>
    <row r="104" spans="1:40" x14ac:dyDescent="0.25">
      <c r="A104" t="str">
        <f>"20190303170229977"</f>
        <v>20190303170229977</v>
      </c>
      <c r="B104" t="str">
        <f>"1551603749966127"</f>
        <v>1551603749966127</v>
      </c>
      <c r="C104" t="s">
        <v>40</v>
      </c>
      <c r="D104">
        <v>4.143929</v>
      </c>
      <c r="E104">
        <v>0.48794929999999997</v>
      </c>
      <c r="F104" t="s">
        <v>44</v>
      </c>
      <c r="G104">
        <v>-303.19060000000002</v>
      </c>
      <c r="H104">
        <v>-0.05</v>
      </c>
      <c r="I104">
        <v>367.05270000000002</v>
      </c>
      <c r="J104">
        <v>-466.66030000000001</v>
      </c>
      <c r="K104">
        <v>1.1193420000000001</v>
      </c>
      <c r="L104">
        <v>367.13380000000001</v>
      </c>
      <c r="M104">
        <v>0.99995029999999996</v>
      </c>
      <c r="N104">
        <v>1.921685E-3</v>
      </c>
      <c r="O104">
        <v>9.799838E-3</v>
      </c>
      <c r="P104">
        <v>0.99209139999999996</v>
      </c>
      <c r="Q104">
        <v>0.1199824</v>
      </c>
      <c r="R104">
        <v>-3.6864899999999999E-2</v>
      </c>
      <c r="S104">
        <v>3.0263979999999999</v>
      </c>
      <c r="T104">
        <v>-2.16248E-2</v>
      </c>
      <c r="U104">
        <v>-1.4648440000000001E-3</v>
      </c>
      <c r="V104">
        <v>4.6597880000000001E-2</v>
      </c>
      <c r="W104">
        <v>0.11807189999999999</v>
      </c>
      <c r="X104">
        <v>0.99191110000000005</v>
      </c>
      <c r="Y104">
        <v>1.0283260000000001E-2</v>
      </c>
      <c r="Z104">
        <v>-1.157119E-4</v>
      </c>
      <c r="AA104">
        <v>0.99994709999999998</v>
      </c>
      <c r="AB104">
        <v>20</v>
      </c>
      <c r="AC104">
        <v>163.46969999999999</v>
      </c>
      <c r="AD104">
        <v>-1.1693420000000001</v>
      </c>
      <c r="AE104">
        <v>-8.1099999999992095E-2</v>
      </c>
      <c r="AF104">
        <v>1.6829892582202299</v>
      </c>
      <c r="AG104">
        <v>-1.1693420000000001</v>
      </c>
      <c r="AH104">
        <v>163.45269172123301</v>
      </c>
      <c r="AI104">
        <v>90.4098657948377</v>
      </c>
      <c r="AJ104">
        <v>89.410075337616107</v>
      </c>
      <c r="AK104">
        <v>163.46553840021701</v>
      </c>
      <c r="AL104">
        <v>83.219160403179799</v>
      </c>
      <c r="AM104">
        <v>87.310343238747294</v>
      </c>
      <c r="AN104">
        <v>0.99999998314665695</v>
      </c>
    </row>
    <row r="105" spans="1:40" x14ac:dyDescent="0.25">
      <c r="A105" t="str">
        <f>"20190303170230000"</f>
        <v>20190303170230000</v>
      </c>
      <c r="B105" t="str">
        <f>"1551603749985648"</f>
        <v>1551603749985648</v>
      </c>
      <c r="C105" t="s">
        <v>40</v>
      </c>
      <c r="D105">
        <v>4.252586</v>
      </c>
      <c r="E105">
        <v>0.48792029999999997</v>
      </c>
      <c r="F105" t="s">
        <v>44</v>
      </c>
      <c r="G105">
        <v>-292.51949999999999</v>
      </c>
      <c r="H105">
        <v>-0.05</v>
      </c>
      <c r="I105">
        <v>367.15309999999999</v>
      </c>
      <c r="J105">
        <v>-466.46510000000001</v>
      </c>
      <c r="K105">
        <v>1.119378</v>
      </c>
      <c r="L105">
        <v>367.13569999999999</v>
      </c>
      <c r="M105">
        <v>0.99994870000000002</v>
      </c>
      <c r="N105">
        <v>1.9036890000000001E-3</v>
      </c>
      <c r="O105">
        <v>9.9549679999999998E-3</v>
      </c>
      <c r="P105">
        <v>0.99209999999999998</v>
      </c>
      <c r="Q105">
        <v>0.1199712</v>
      </c>
      <c r="R105">
        <v>-3.6668840000000001E-2</v>
      </c>
      <c r="S105">
        <v>3.0263369999999998</v>
      </c>
      <c r="T105">
        <v>-2.032161E-2</v>
      </c>
      <c r="U105">
        <v>3.3569339999999902E-4</v>
      </c>
      <c r="V105">
        <v>4.6551019999999999E-2</v>
      </c>
      <c r="W105">
        <v>0.1180799</v>
      </c>
      <c r="X105">
        <v>0.99191240000000003</v>
      </c>
      <c r="Y105">
        <v>9.8435390000000001E-3</v>
      </c>
      <c r="Z105">
        <v>-1.094757E-4</v>
      </c>
      <c r="AA105">
        <v>0.99995149999999999</v>
      </c>
      <c r="AB105">
        <v>20</v>
      </c>
      <c r="AC105">
        <v>173.94560000000001</v>
      </c>
      <c r="AD105">
        <v>-1.169378</v>
      </c>
      <c r="AE105">
        <v>1.7400000000009099E-2</v>
      </c>
      <c r="AF105">
        <v>1.7141493011667199</v>
      </c>
      <c r="AG105">
        <v>-1.169378</v>
      </c>
      <c r="AH105">
        <v>173.92929324834901</v>
      </c>
      <c r="AI105">
        <v>90.385191935288205</v>
      </c>
      <c r="AJ105">
        <v>89.435343299864698</v>
      </c>
      <c r="AK105">
        <v>173.941670690504</v>
      </c>
      <c r="AL105">
        <v>83.218699159531397</v>
      </c>
      <c r="AM105">
        <v>87.313047575664598</v>
      </c>
      <c r="AN105">
        <v>1.0000000347603999</v>
      </c>
    </row>
    <row r="106" spans="1:40" x14ac:dyDescent="0.25">
      <c r="A106" t="str">
        <f>"20190303170230021"</f>
        <v>20190303170230021</v>
      </c>
      <c r="B106" t="str">
        <f>"1551603750015903"</f>
        <v>1551603750015903</v>
      </c>
      <c r="C106" t="s">
        <v>40</v>
      </c>
      <c r="D106">
        <v>4.1280210000000004</v>
      </c>
      <c r="E106">
        <v>0.48793819999999999</v>
      </c>
      <c r="F106" t="s">
        <v>44</v>
      </c>
      <c r="G106">
        <v>-294.0702</v>
      </c>
      <c r="H106">
        <v>-0.05</v>
      </c>
      <c r="I106">
        <v>367.21050000000002</v>
      </c>
      <c r="J106">
        <v>-466.26179999999999</v>
      </c>
      <c r="K106">
        <v>1.1194249999999999</v>
      </c>
      <c r="L106">
        <v>367.13780000000003</v>
      </c>
      <c r="M106">
        <v>0.99994749999999999</v>
      </c>
      <c r="N106">
        <v>1.8758850000000001E-3</v>
      </c>
      <c r="O106">
        <v>1.008947E-2</v>
      </c>
      <c r="P106">
        <v>0.99211499999999997</v>
      </c>
      <c r="Q106">
        <v>0.1199926</v>
      </c>
      <c r="R106">
        <v>-3.6194049999999998E-2</v>
      </c>
      <c r="S106">
        <v>3.0264280000000001</v>
      </c>
      <c r="T106">
        <v>-2.0528669999999999E-2</v>
      </c>
      <c r="U106">
        <v>1.3122559999999999E-3</v>
      </c>
      <c r="V106">
        <v>4.6202479999999997E-2</v>
      </c>
      <c r="W106">
        <v>0.118132</v>
      </c>
      <c r="X106">
        <v>0.99192239999999998</v>
      </c>
      <c r="Y106">
        <v>9.6553669999999998E-3</v>
      </c>
      <c r="Z106">
        <v>-1.110534E-4</v>
      </c>
      <c r="AA106">
        <v>0.99995339999999999</v>
      </c>
      <c r="AB106">
        <v>20</v>
      </c>
      <c r="AC106">
        <v>172.19159999999999</v>
      </c>
      <c r="AD106">
        <v>-1.1694249999999999</v>
      </c>
      <c r="AE106">
        <v>7.2699999999997503E-2</v>
      </c>
      <c r="AF106">
        <v>1.6645516877923801</v>
      </c>
      <c r="AG106">
        <v>-1.1694249999999999</v>
      </c>
      <c r="AH106">
        <v>172.17562761054199</v>
      </c>
      <c r="AI106">
        <v>90.389131474140996</v>
      </c>
      <c r="AJ106">
        <v>89.446095729930505</v>
      </c>
      <c r="AK106">
        <v>172.18764482458101</v>
      </c>
      <c r="AL106">
        <v>83.215692384715595</v>
      </c>
      <c r="AM106">
        <v>87.3331632041765</v>
      </c>
      <c r="AN106">
        <v>0.99999994310195295</v>
      </c>
    </row>
    <row r="107" spans="1:40" x14ac:dyDescent="0.25">
      <c r="A107" t="str">
        <f>"20190303170230043"</f>
        <v>20190303170230043</v>
      </c>
      <c r="B107" t="str">
        <f>"1551603750036399"</f>
        <v>1551603750036399</v>
      </c>
      <c r="C107" t="s">
        <v>40</v>
      </c>
      <c r="D107">
        <v>4.2499520000000004</v>
      </c>
      <c r="E107">
        <v>0.48791879999999999</v>
      </c>
      <c r="F107" t="s">
        <v>44</v>
      </c>
      <c r="G107">
        <v>-302.15440000000001</v>
      </c>
      <c r="H107">
        <v>-0.05</v>
      </c>
      <c r="I107">
        <v>367.26690000000002</v>
      </c>
      <c r="J107">
        <v>-466.0591</v>
      </c>
      <c r="K107">
        <v>1.119472</v>
      </c>
      <c r="L107">
        <v>367.14</v>
      </c>
      <c r="M107">
        <v>0.99994609999999995</v>
      </c>
      <c r="N107">
        <v>1.8414589999999999E-3</v>
      </c>
      <c r="O107">
        <v>1.021914E-2</v>
      </c>
      <c r="P107">
        <v>0.99201879999999998</v>
      </c>
      <c r="Q107">
        <v>0.1209505</v>
      </c>
      <c r="R107">
        <v>-3.5634119999999998E-2</v>
      </c>
      <c r="S107">
        <v>3.0265499999999999</v>
      </c>
      <c r="T107">
        <v>-2.156711E-2</v>
      </c>
      <c r="U107">
        <v>2.380371E-3</v>
      </c>
      <c r="V107">
        <v>4.5762659999999997E-2</v>
      </c>
      <c r="W107">
        <v>0.1191272</v>
      </c>
      <c r="X107">
        <v>0.99182380000000003</v>
      </c>
      <c r="Y107">
        <v>9.432111E-3</v>
      </c>
      <c r="Z107">
        <v>-1.1655900000000001E-4</v>
      </c>
      <c r="AA107">
        <v>0.9999555</v>
      </c>
      <c r="AB107">
        <v>20</v>
      </c>
      <c r="AC107">
        <v>163.90469999999999</v>
      </c>
      <c r="AD107">
        <v>-1.1694719999999901</v>
      </c>
      <c r="AE107">
        <v>0.12690000000003401</v>
      </c>
      <c r="AF107">
        <v>1.5479957142109499</v>
      </c>
      <c r="AG107">
        <v>-1.1694719999999901</v>
      </c>
      <c r="AH107">
        <v>163.889094738842</v>
      </c>
      <c r="AI107">
        <v>90.408823320987395</v>
      </c>
      <c r="AJ107">
        <v>89.458835355692997</v>
      </c>
      <c r="AK107">
        <v>163.90057757618499</v>
      </c>
      <c r="AL107">
        <v>83.158266365295702</v>
      </c>
      <c r="AM107">
        <v>87.358251541978106</v>
      </c>
      <c r="AN107">
        <v>0.99999998053827699</v>
      </c>
    </row>
    <row r="108" spans="1:40" x14ac:dyDescent="0.25">
      <c r="A108" t="str">
        <f>"20190303170230056"</f>
        <v>20190303170230056</v>
      </c>
      <c r="B108" t="str">
        <f>"1551603750046159"</f>
        <v>1551603750046159</v>
      </c>
      <c r="C108" t="s">
        <v>40</v>
      </c>
      <c r="D108">
        <v>4.0968039999999997</v>
      </c>
      <c r="E108">
        <v>0.48793629999999999</v>
      </c>
      <c r="F108" t="s">
        <v>44</v>
      </c>
      <c r="G108">
        <v>-283.12990000000002</v>
      </c>
      <c r="H108">
        <v>-0.05</v>
      </c>
      <c r="I108">
        <v>367.39449999999999</v>
      </c>
      <c r="J108">
        <v>-465.9384</v>
      </c>
      <c r="K108">
        <v>1.1194999999999999</v>
      </c>
      <c r="L108">
        <v>367.1413</v>
      </c>
      <c r="M108">
        <v>0.99994539999999998</v>
      </c>
      <c r="N108">
        <v>1.8183559999999999E-3</v>
      </c>
      <c r="O108">
        <v>1.0298760000000001E-2</v>
      </c>
      <c r="P108">
        <v>0.992012</v>
      </c>
      <c r="Q108">
        <v>0.1211758</v>
      </c>
      <c r="R108">
        <v>-3.5053359999999999E-2</v>
      </c>
      <c r="S108">
        <v>3.0266109999999999</v>
      </c>
      <c r="T108">
        <v>-1.934922E-2</v>
      </c>
      <c r="U108">
        <v>4.2114259999999999E-3</v>
      </c>
      <c r="V108">
        <v>4.5257070000000003E-2</v>
      </c>
      <c r="W108">
        <v>0.11937680000000001</v>
      </c>
      <c r="X108">
        <v>0.99181699999999995</v>
      </c>
      <c r="Y108">
        <v>8.9068989999999994E-3</v>
      </c>
      <c r="Z108">
        <v>-1.049381E-4</v>
      </c>
      <c r="AA108">
        <v>0.99996030000000002</v>
      </c>
      <c r="AB108">
        <v>20</v>
      </c>
      <c r="AC108">
        <v>182.80850000000001</v>
      </c>
      <c r="AD108">
        <v>-1.1695</v>
      </c>
      <c r="AE108">
        <v>0.25319999999999199</v>
      </c>
      <c r="AF108">
        <v>1.62945055641069</v>
      </c>
      <c r="AG108">
        <v>-1.1695</v>
      </c>
      <c r="AH108">
        <v>182.793931465995</v>
      </c>
      <c r="AI108">
        <v>90.366553951475595</v>
      </c>
      <c r="AJ108">
        <v>89.489270971382098</v>
      </c>
      <c r="AK108">
        <v>182.804934890065</v>
      </c>
      <c r="AL108">
        <v>83.143862632908395</v>
      </c>
      <c r="AM108">
        <v>87.387379264913505</v>
      </c>
      <c r="AN108">
        <v>0.99999999212611201</v>
      </c>
    </row>
    <row r="109" spans="1:40" x14ac:dyDescent="0.25">
      <c r="A109" t="str">
        <f>"20190303170230078"</f>
        <v>20190303170230078</v>
      </c>
      <c r="B109" t="str">
        <f>"1551603750065679"</f>
        <v>1551603750065679</v>
      </c>
      <c r="C109" t="s">
        <v>40</v>
      </c>
      <c r="D109">
        <v>4.1622019999999997</v>
      </c>
      <c r="E109">
        <v>0.48795139999999998</v>
      </c>
      <c r="F109" t="s">
        <v>44</v>
      </c>
      <c r="G109">
        <v>-277.86290000000002</v>
      </c>
      <c r="H109">
        <v>-0.05</v>
      </c>
      <c r="I109">
        <v>367.51490000000001</v>
      </c>
      <c r="J109">
        <v>-465.73829999999998</v>
      </c>
      <c r="K109">
        <v>1.1195329999999999</v>
      </c>
      <c r="L109">
        <v>367.14350000000002</v>
      </c>
      <c r="M109">
        <v>0.99994400000000006</v>
      </c>
      <c r="N109">
        <v>1.7705220000000001E-3</v>
      </c>
      <c r="O109">
        <v>1.044134E-2</v>
      </c>
      <c r="P109">
        <v>0.99194170000000004</v>
      </c>
      <c r="Q109">
        <v>0.1218866</v>
      </c>
      <c r="R109">
        <v>-3.4574689999999998E-2</v>
      </c>
      <c r="S109">
        <v>3.0266419999999998</v>
      </c>
      <c r="T109">
        <v>-1.8820409999999999E-2</v>
      </c>
      <c r="U109">
        <v>6.0119630000000004E-3</v>
      </c>
      <c r="V109">
        <v>4.4913429999999997E-2</v>
      </c>
      <c r="W109">
        <v>0.12013749999999999</v>
      </c>
      <c r="X109">
        <v>0.99174079999999998</v>
      </c>
      <c r="Y109">
        <v>8.4546489999999998E-3</v>
      </c>
      <c r="Z109">
        <v>-1.0221340000000001E-4</v>
      </c>
      <c r="AA109">
        <v>0.99996419999999997</v>
      </c>
      <c r="AB109">
        <v>21</v>
      </c>
      <c r="AC109">
        <v>187.87540000000001</v>
      </c>
      <c r="AD109">
        <v>-1.1695329999999999</v>
      </c>
      <c r="AE109">
        <v>0.37139999999999401</v>
      </c>
      <c r="AF109">
        <v>1.590232470054</v>
      </c>
      <c r="AG109">
        <v>-1.1695329999999999</v>
      </c>
      <c r="AH109">
        <v>187.86175653372999</v>
      </c>
      <c r="AI109">
        <v>90.356677377693998</v>
      </c>
      <c r="AJ109">
        <v>89.515008086185105</v>
      </c>
      <c r="AK109">
        <v>187.87212729589601</v>
      </c>
      <c r="AL109">
        <v>83.099962013201505</v>
      </c>
      <c r="AM109">
        <v>87.406990950267499</v>
      </c>
      <c r="AN109">
        <v>1.00000002474262</v>
      </c>
    </row>
    <row r="110" spans="1:40" x14ac:dyDescent="0.25">
      <c r="A110" t="str">
        <f>"20190303170230098"</f>
        <v>20190303170230098</v>
      </c>
      <c r="B110" t="str">
        <f>"1551603750086175"</f>
        <v>1551603750086175</v>
      </c>
      <c r="C110" t="s">
        <v>40</v>
      </c>
      <c r="D110">
        <v>4.0885040000000004</v>
      </c>
      <c r="E110">
        <v>0.48802259999999997</v>
      </c>
      <c r="F110" t="s">
        <v>42</v>
      </c>
      <c r="G110">
        <v>-270.89429999999999</v>
      </c>
      <c r="H110" s="1">
        <v>-4.2460950000000004E-6</v>
      </c>
      <c r="I110">
        <v>367.60120000000001</v>
      </c>
      <c r="J110">
        <v>-465.5394</v>
      </c>
      <c r="K110">
        <v>1.11957</v>
      </c>
      <c r="L110">
        <v>367.14569999999998</v>
      </c>
      <c r="M110">
        <v>0.99994249999999996</v>
      </c>
      <c r="N110">
        <v>1.705806E-3</v>
      </c>
      <c r="O110">
        <v>1.0593119999999999E-2</v>
      </c>
      <c r="P110">
        <v>0.99187559999999997</v>
      </c>
      <c r="Q110">
        <v>0.1225593</v>
      </c>
      <c r="R110">
        <v>-3.4093829999999999E-2</v>
      </c>
      <c r="S110">
        <v>3.026764</v>
      </c>
      <c r="T110">
        <v>-1.7391199999999999E-2</v>
      </c>
      <c r="U110">
        <v>7.1105959999999899E-3</v>
      </c>
      <c r="V110">
        <v>4.4577760000000001E-2</v>
      </c>
      <c r="W110">
        <v>0.120876</v>
      </c>
      <c r="X110">
        <v>0.99166620000000005</v>
      </c>
      <c r="Y110">
        <v>8.2436119999999904E-3</v>
      </c>
      <c r="Z110" s="1">
        <v>-9.5586129999999998E-5</v>
      </c>
      <c r="AA110">
        <v>0.99996600000000002</v>
      </c>
      <c r="AB110">
        <v>21</v>
      </c>
      <c r="AC110">
        <v>194.64510000000001</v>
      </c>
      <c r="AD110">
        <v>-1.119574246095</v>
      </c>
      <c r="AE110">
        <v>0.45550000000002899</v>
      </c>
      <c r="AF110">
        <v>1.6063741828126601</v>
      </c>
      <c r="AG110">
        <v>-1.119574246095</v>
      </c>
      <c r="AH110">
        <v>194.632564663935</v>
      </c>
      <c r="AI110">
        <v>90.329564516482506</v>
      </c>
      <c r="AJ110">
        <v>89.527127583144093</v>
      </c>
      <c r="AK110">
        <v>194.642413446218</v>
      </c>
      <c r="AL110">
        <v>83.0573384152259</v>
      </c>
      <c r="AM110">
        <v>87.426150847705799</v>
      </c>
      <c r="AN110">
        <v>1.0000000181425199</v>
      </c>
    </row>
    <row r="111" spans="1:40" x14ac:dyDescent="0.25">
      <c r="A111" t="str">
        <f>"20190303170230122"</f>
        <v>20190303170230122</v>
      </c>
      <c r="B111" t="str">
        <f>"1551603750116432"</f>
        <v>1551603750116432</v>
      </c>
      <c r="C111" t="s">
        <v>40</v>
      </c>
      <c r="D111">
        <v>4.1446990000000001</v>
      </c>
      <c r="E111">
        <v>0.50315580000000004</v>
      </c>
      <c r="F111" t="s">
        <v>42</v>
      </c>
      <c r="G111">
        <v>-250.65219999999999</v>
      </c>
      <c r="H111" s="1">
        <v>-4.32775699999999E-6</v>
      </c>
      <c r="I111">
        <v>367.72629999999998</v>
      </c>
      <c r="J111">
        <v>-465.3218</v>
      </c>
      <c r="K111">
        <v>1.1196120000000001</v>
      </c>
      <c r="L111">
        <v>367.14819999999997</v>
      </c>
      <c r="M111">
        <v>0.99994079999999996</v>
      </c>
      <c r="N111">
        <v>1.6082689999999901E-3</v>
      </c>
      <c r="O111">
        <v>1.0769910000000001E-2</v>
      </c>
      <c r="P111">
        <v>0.99180789999999996</v>
      </c>
      <c r="Q111">
        <v>0.12309440000000001</v>
      </c>
      <c r="R111">
        <v>-3.4131349999999998E-2</v>
      </c>
      <c r="S111">
        <v>3.026764</v>
      </c>
      <c r="T111">
        <v>-1.5769599999999901E-2</v>
      </c>
      <c r="U111">
        <v>8.178711E-3</v>
      </c>
      <c r="V111">
        <v>4.4785690000000003E-2</v>
      </c>
      <c r="W111">
        <v>0.1215093</v>
      </c>
      <c r="X111">
        <v>0.9915794</v>
      </c>
      <c r="Y111">
        <v>8.0675899999999995E-3</v>
      </c>
      <c r="Z111" s="1">
        <v>-8.7959950000000001E-5</v>
      </c>
      <c r="AA111">
        <v>0.99996750000000001</v>
      </c>
      <c r="AB111">
        <v>21</v>
      </c>
      <c r="AC111">
        <v>214.6696</v>
      </c>
      <c r="AD111">
        <v>-1.1196163277569999</v>
      </c>
      <c r="AE111">
        <v>0.57810000000000605</v>
      </c>
      <c r="AF111">
        <v>1.7338614169673301</v>
      </c>
      <c r="AG111">
        <v>-1.1196163277569999</v>
      </c>
      <c r="AH111">
        <v>214.65753680969399</v>
      </c>
      <c r="AI111">
        <v>90.298832349399305</v>
      </c>
      <c r="AJ111">
        <v>89.537212703900806</v>
      </c>
      <c r="AK111">
        <v>214.66745893436999</v>
      </c>
      <c r="AL111">
        <v>83.020783335764904</v>
      </c>
      <c r="AM111">
        <v>87.413935507665101</v>
      </c>
      <c r="AN111">
        <v>0.99999998725981298</v>
      </c>
    </row>
    <row r="112" spans="1:40" x14ac:dyDescent="0.25">
      <c r="A112" t="str">
        <f>"20190303170230143"</f>
        <v>20190303170230143</v>
      </c>
      <c r="B112" t="str">
        <f>"1551603750135545"</f>
        <v>1551603750135545</v>
      </c>
      <c r="C112" t="s">
        <v>40</v>
      </c>
      <c r="D112">
        <v>4.0855189999999997</v>
      </c>
      <c r="E112">
        <v>0.50407849999999998</v>
      </c>
      <c r="F112" t="s">
        <v>42</v>
      </c>
      <c r="G112">
        <v>-344.34660000000002</v>
      </c>
      <c r="H112" s="1">
        <v>-3.9993760000000004E-6</v>
      </c>
      <c r="I112">
        <v>362.68540000000002</v>
      </c>
      <c r="J112">
        <v>-465.10610000000003</v>
      </c>
      <c r="K112">
        <v>1.11965</v>
      </c>
      <c r="L112">
        <v>367.1508</v>
      </c>
      <c r="M112">
        <v>0.99993900000000002</v>
      </c>
      <c r="N112">
        <v>1.4802729999999901E-3</v>
      </c>
      <c r="O112">
        <v>1.0958280000000001E-2</v>
      </c>
      <c r="P112">
        <v>0.99182510000000002</v>
      </c>
      <c r="Q112">
        <v>0.1229297</v>
      </c>
      <c r="R112">
        <v>-3.422766E-2</v>
      </c>
      <c r="S112">
        <v>3.0244140000000002</v>
      </c>
      <c r="T112">
        <v>-2.79907E-2</v>
      </c>
      <c r="U112">
        <v>-0.1115723</v>
      </c>
      <c r="V112">
        <v>4.5064920000000001E-2</v>
      </c>
      <c r="W112">
        <v>0.12147280000000001</v>
      </c>
      <c r="X112">
        <v>0.99157119999999999</v>
      </c>
      <c r="Y112">
        <v>4.781175E-2</v>
      </c>
      <c r="Z112">
        <v>-3.0336669999999998E-4</v>
      </c>
      <c r="AA112">
        <v>0.99885630000000003</v>
      </c>
      <c r="AB112">
        <v>21</v>
      </c>
      <c r="AC112">
        <v>120.7595</v>
      </c>
      <c r="AD112">
        <v>-1.119653999376</v>
      </c>
      <c r="AE112">
        <v>-4.4653999999999803</v>
      </c>
      <c r="AF112">
        <v>5.7879526732928399</v>
      </c>
      <c r="AG112">
        <v>-1.119653999376</v>
      </c>
      <c r="AH112">
        <v>120.69295469882501</v>
      </c>
      <c r="AI112">
        <v>90.530900704829193</v>
      </c>
      <c r="AJ112">
        <v>87.254426410871005</v>
      </c>
      <c r="AK112">
        <v>120.836845933512</v>
      </c>
      <c r="AL112">
        <v>83.022890092388593</v>
      </c>
      <c r="AM112">
        <v>87.397812506685298</v>
      </c>
      <c r="AN112">
        <v>0.999999966411942</v>
      </c>
    </row>
    <row r="113" spans="1:40" x14ac:dyDescent="0.25">
      <c r="A113" t="str">
        <f>"20190303170230157"</f>
        <v>20190303170230157</v>
      </c>
      <c r="B113" t="str">
        <f>"1551603750146280"</f>
        <v>1551603750146280</v>
      </c>
      <c r="C113" t="s">
        <v>40</v>
      </c>
      <c r="D113">
        <v>4.0866419999999897</v>
      </c>
      <c r="E113">
        <v>0.50434840000000003</v>
      </c>
      <c r="F113" t="s">
        <v>42</v>
      </c>
      <c r="G113">
        <v>-350.04270000000002</v>
      </c>
      <c r="H113" s="1">
        <v>-5.4957949999999996E-6</v>
      </c>
      <c r="I113">
        <v>362.6155</v>
      </c>
      <c r="J113">
        <v>-464.97820000000002</v>
      </c>
      <c r="K113">
        <v>1.119678</v>
      </c>
      <c r="L113">
        <v>367.15230000000003</v>
      </c>
      <c r="M113">
        <v>0.99993759999999998</v>
      </c>
      <c r="N113">
        <v>1.3903100000000001E-3</v>
      </c>
      <c r="O113">
        <v>1.107791E-2</v>
      </c>
      <c r="P113">
        <v>0.99187619999999999</v>
      </c>
      <c r="Q113">
        <v>0.1225213</v>
      </c>
      <c r="R113">
        <v>-3.4206540000000001E-2</v>
      </c>
      <c r="S113">
        <v>3.0242610000000001</v>
      </c>
      <c r="T113">
        <v>-2.9428360000000001E-2</v>
      </c>
      <c r="U113">
        <v>-0.11920169999999999</v>
      </c>
      <c r="V113">
        <v>4.5160640000000002E-2</v>
      </c>
      <c r="W113">
        <v>0.1211547</v>
      </c>
      <c r="X113">
        <v>0.99160579999999998</v>
      </c>
      <c r="Y113">
        <v>5.0448729999999997E-2</v>
      </c>
      <c r="Z113">
        <v>-3.3341829999999998E-4</v>
      </c>
      <c r="AA113">
        <v>0.99872660000000002</v>
      </c>
      <c r="AB113">
        <v>22</v>
      </c>
      <c r="AC113">
        <v>114.9355</v>
      </c>
      <c r="AD113">
        <v>-1.1196834957949999</v>
      </c>
      <c r="AE113">
        <v>-4.5368000000000199</v>
      </c>
      <c r="AF113">
        <v>5.8092176017203796</v>
      </c>
      <c r="AG113">
        <v>-1.1196834957949999</v>
      </c>
      <c r="AH113">
        <v>114.867304658127</v>
      </c>
      <c r="AI113">
        <v>90.557767339163803</v>
      </c>
      <c r="AJ113">
        <v>87.104830484175906</v>
      </c>
      <c r="AK113">
        <v>115.019556509742</v>
      </c>
      <c r="AL113">
        <v>83.041251754492393</v>
      </c>
      <c r="AM113">
        <v>87.392383825044504</v>
      </c>
      <c r="AN113">
        <v>1.0000000036654599</v>
      </c>
    </row>
    <row r="114" spans="1:40" x14ac:dyDescent="0.25">
      <c r="A114" t="str">
        <f>"20190303170230171"</f>
        <v>20190303170230171</v>
      </c>
      <c r="B114" t="str">
        <f>"1551603750165804"</f>
        <v>1551603750165804</v>
      </c>
      <c r="C114" t="s">
        <v>40</v>
      </c>
      <c r="D114">
        <v>4.0778249999999998</v>
      </c>
      <c r="E114">
        <v>0.50478210000000001</v>
      </c>
      <c r="F114" t="s">
        <v>42</v>
      </c>
      <c r="G114">
        <v>-348.3494</v>
      </c>
      <c r="H114" s="1">
        <v>-2.5179309999999999E-6</v>
      </c>
      <c r="I114">
        <v>362.476</v>
      </c>
      <c r="J114">
        <v>-464.84030000000001</v>
      </c>
      <c r="K114">
        <v>1.119721</v>
      </c>
      <c r="L114">
        <v>367.15390000000002</v>
      </c>
      <c r="M114">
        <v>0.9999363</v>
      </c>
      <c r="N114">
        <v>1.2736539999999999E-3</v>
      </c>
      <c r="O114">
        <v>1.121811E-2</v>
      </c>
      <c r="P114">
        <v>0.99192559999999996</v>
      </c>
      <c r="Q114">
        <v>0.1221237</v>
      </c>
      <c r="R114">
        <v>-3.4201599999999999E-2</v>
      </c>
      <c r="S114">
        <v>3.023987</v>
      </c>
      <c r="T114">
        <v>-2.9031399999999999E-2</v>
      </c>
      <c r="U114">
        <v>-0.1212463</v>
      </c>
      <c r="V114">
        <v>4.5292230000000003E-2</v>
      </c>
      <c r="W114">
        <v>0.1208741</v>
      </c>
      <c r="X114">
        <v>0.99163409999999996</v>
      </c>
      <c r="Y114">
        <v>5.1266560000000003E-2</v>
      </c>
      <c r="Z114">
        <v>-3.3526079999999999E-4</v>
      </c>
      <c r="AA114">
        <v>0.99868489999999999</v>
      </c>
      <c r="AB114">
        <v>22</v>
      </c>
      <c r="AC114">
        <v>116.4909</v>
      </c>
      <c r="AD114">
        <v>-1.1197235179309999</v>
      </c>
      <c r="AE114">
        <v>-4.6779000000000197</v>
      </c>
      <c r="AF114">
        <v>5.9838624107121801</v>
      </c>
      <c r="AG114">
        <v>-1.1197235179309999</v>
      </c>
      <c r="AH114">
        <v>116.42035349231099</v>
      </c>
      <c r="AI114">
        <v>90.550323746181107</v>
      </c>
      <c r="AJ114">
        <v>87.057656920194304</v>
      </c>
      <c r="AK114">
        <v>116.579411121268</v>
      </c>
      <c r="AL114">
        <v>83.057448381818205</v>
      </c>
      <c r="AM114">
        <v>87.384870763974604</v>
      </c>
      <c r="AN114">
        <v>1.0000000612159901</v>
      </c>
    </row>
    <row r="115" spans="1:40" x14ac:dyDescent="0.25">
      <c r="A115" t="str">
        <f>"20190303170230188"</f>
        <v>20190303170230188</v>
      </c>
      <c r="B115" t="str">
        <f>"1551603750175561"</f>
        <v>1551603750175561</v>
      </c>
      <c r="C115" t="s">
        <v>40</v>
      </c>
      <c r="D115">
        <v>4.0640980000000004</v>
      </c>
      <c r="E115">
        <v>0.50480440000000004</v>
      </c>
      <c r="F115" t="s">
        <v>42</v>
      </c>
      <c r="G115">
        <v>-361.27370000000002</v>
      </c>
      <c r="H115" s="1">
        <v>-4.918102E-6</v>
      </c>
      <c r="I115">
        <v>362.89499999999998</v>
      </c>
      <c r="J115">
        <v>-464.67070000000001</v>
      </c>
      <c r="K115">
        <v>1.1197709999999901</v>
      </c>
      <c r="L115">
        <v>367.15600000000001</v>
      </c>
      <c r="M115">
        <v>0.9999344</v>
      </c>
      <c r="N115">
        <v>1.1039870000000001E-3</v>
      </c>
      <c r="O115">
        <v>1.1406980000000001E-2</v>
      </c>
      <c r="P115">
        <v>0.9919481</v>
      </c>
      <c r="Q115">
        <v>0.1219683</v>
      </c>
      <c r="R115">
        <v>-3.4099369999999997E-2</v>
      </c>
      <c r="S115">
        <v>3.0241699999999998</v>
      </c>
      <c r="T115">
        <v>-3.2696250000000003E-2</v>
      </c>
      <c r="U115">
        <v>-0.1243591</v>
      </c>
      <c r="V115">
        <v>4.5373089999999998E-2</v>
      </c>
      <c r="W115">
        <v>0.1208883</v>
      </c>
      <c r="X115">
        <v>0.99162859999999997</v>
      </c>
      <c r="Y115">
        <v>5.2478150000000001E-2</v>
      </c>
      <c r="Z115">
        <v>-3.9044360000000002E-4</v>
      </c>
      <c r="AA115">
        <v>0.99862200000000001</v>
      </c>
      <c r="AB115">
        <v>22</v>
      </c>
      <c r="AC115">
        <v>103.39700000000001</v>
      </c>
      <c r="AD115">
        <v>-1.1197759181019999</v>
      </c>
      <c r="AE115">
        <v>-4.2610000000000197</v>
      </c>
      <c r="AF115">
        <v>5.4395340177988398</v>
      </c>
      <c r="AG115">
        <v>-1.1197759181019999</v>
      </c>
      <c r="AH115">
        <v>103.32956906826399</v>
      </c>
      <c r="AI115">
        <v>90.620027924492206</v>
      </c>
      <c r="AJ115">
        <v>86.986584525250294</v>
      </c>
      <c r="AK115">
        <v>103.478704438501</v>
      </c>
      <c r="AL115">
        <v>83.056628270171302</v>
      </c>
      <c r="AM115">
        <v>87.380193974885501</v>
      </c>
      <c r="AN115">
        <v>0.99999998935549905</v>
      </c>
    </row>
    <row r="116" spans="1:40" x14ac:dyDescent="0.25">
      <c r="A116" t="str">
        <f>"20190303170230202"</f>
        <v>20190303170230202</v>
      </c>
      <c r="B116" t="str">
        <f>"1551603750186297"</f>
        <v>1551603750186297</v>
      </c>
      <c r="C116" t="s">
        <v>40</v>
      </c>
      <c r="D116">
        <v>4.0706040000000003</v>
      </c>
      <c r="E116">
        <v>0.50482510000000003</v>
      </c>
      <c r="F116" t="s">
        <v>42</v>
      </c>
      <c r="G116">
        <v>-350.05959999999999</v>
      </c>
      <c r="H116" s="1">
        <v>-5.5194909999999998E-6</v>
      </c>
      <c r="I116">
        <v>362.44110000000001</v>
      </c>
      <c r="J116">
        <v>-464.53109999999998</v>
      </c>
      <c r="K116">
        <v>1.1198250000000001</v>
      </c>
      <c r="L116">
        <v>367.15780000000001</v>
      </c>
      <c r="M116">
        <v>0.99993259999999995</v>
      </c>
      <c r="N116">
        <v>9.4220250000000001E-4</v>
      </c>
      <c r="O116">
        <v>1.157653E-2</v>
      </c>
      <c r="P116">
        <v>0.99195120000000003</v>
      </c>
      <c r="Q116">
        <v>0.1220903</v>
      </c>
      <c r="R116">
        <v>-3.3568050000000002E-2</v>
      </c>
      <c r="S116">
        <v>3.0237120000000002</v>
      </c>
      <c r="T116">
        <v>-2.9542329999999999E-2</v>
      </c>
      <c r="U116">
        <v>-0.1243896</v>
      </c>
      <c r="V116">
        <v>4.5005780000000002E-2</v>
      </c>
      <c r="W116">
        <v>0.12117219999999999</v>
      </c>
      <c r="X116">
        <v>0.99161069999999996</v>
      </c>
      <c r="Y116">
        <v>5.266436E-2</v>
      </c>
      <c r="Z116">
        <v>-3.5629660000000002E-4</v>
      </c>
      <c r="AA116">
        <v>0.99861219999999995</v>
      </c>
      <c r="AB116">
        <v>22</v>
      </c>
      <c r="AC116">
        <v>114.47150000000001</v>
      </c>
      <c r="AD116">
        <v>-1.1198305194910001</v>
      </c>
      <c r="AE116">
        <v>-4.7167000000000003</v>
      </c>
      <c r="AF116">
        <v>6.0409900626316198</v>
      </c>
      <c r="AG116">
        <v>-1.1198305194910001</v>
      </c>
      <c r="AH116">
        <v>114.398296878886</v>
      </c>
      <c r="AI116">
        <v>90.560062969885607</v>
      </c>
      <c r="AJ116">
        <v>86.977209845092105</v>
      </c>
      <c r="AK116">
        <v>114.563161226107</v>
      </c>
      <c r="AL116">
        <v>83.040241619977706</v>
      </c>
      <c r="AM116">
        <v>87.401326126189801</v>
      </c>
      <c r="AN116">
        <v>1.00000000132036</v>
      </c>
    </row>
    <row r="117" spans="1:40" x14ac:dyDescent="0.25">
      <c r="A117" t="str">
        <f>"20190303170230221"</f>
        <v>20190303170230221</v>
      </c>
      <c r="B117" t="str">
        <f>"1551603750215577"</f>
        <v>1551603750215577</v>
      </c>
      <c r="C117" t="s">
        <v>40</v>
      </c>
      <c r="D117">
        <v>4.0513949999999896</v>
      </c>
      <c r="E117">
        <v>0.50472609999999996</v>
      </c>
      <c r="F117" t="s">
        <v>42</v>
      </c>
      <c r="G117">
        <v>-347.93290000000002</v>
      </c>
      <c r="H117" s="1">
        <v>-2.6940290000000001E-6</v>
      </c>
      <c r="I117">
        <v>362.4153</v>
      </c>
      <c r="J117">
        <v>-464.33879999999999</v>
      </c>
      <c r="K117">
        <v>1.1198950000000001</v>
      </c>
      <c r="L117">
        <v>367.16030000000001</v>
      </c>
      <c r="M117">
        <v>0.99992979999999998</v>
      </c>
      <c r="N117">
        <v>6.8663289999999896E-4</v>
      </c>
      <c r="O117">
        <v>1.183158E-2</v>
      </c>
      <c r="P117">
        <v>0.99188319999999996</v>
      </c>
      <c r="Q117">
        <v>0.12262720000000001</v>
      </c>
      <c r="R117">
        <v>-3.3624660000000001E-2</v>
      </c>
      <c r="S117">
        <v>3.0237120000000002</v>
      </c>
      <c r="T117">
        <v>-2.9040219999999999E-2</v>
      </c>
      <c r="U117">
        <v>-0.12298580000000001</v>
      </c>
      <c r="V117">
        <v>4.5307550000000002E-2</v>
      </c>
      <c r="W117">
        <v>0.121965</v>
      </c>
      <c r="X117">
        <v>0.99149969999999998</v>
      </c>
      <c r="Y117">
        <v>5.2456290000000003E-2</v>
      </c>
      <c r="Z117">
        <v>-3.5548019999999999E-4</v>
      </c>
      <c r="AA117">
        <v>0.99862309999999999</v>
      </c>
      <c r="AB117">
        <v>22</v>
      </c>
      <c r="AC117">
        <v>116.40589999999899</v>
      </c>
      <c r="AD117">
        <v>-1.119897694029</v>
      </c>
      <c r="AE117">
        <v>-4.7450000000000001</v>
      </c>
      <c r="AF117">
        <v>6.1213682383033499</v>
      </c>
      <c r="AG117">
        <v>-1.119897694029</v>
      </c>
      <c r="AH117">
        <v>116.33086192681201</v>
      </c>
      <c r="AI117">
        <v>90.550797842399604</v>
      </c>
      <c r="AJ117">
        <v>86.987855284773104</v>
      </c>
      <c r="AK117">
        <v>116.497187762577</v>
      </c>
      <c r="AL117">
        <v>82.994477703123195</v>
      </c>
      <c r="AM117">
        <v>87.383633317084303</v>
      </c>
      <c r="AN117">
        <v>0.99999994520604396</v>
      </c>
    </row>
    <row r="118" spans="1:40" x14ac:dyDescent="0.25">
      <c r="A118" t="str">
        <f>"20190303170230244"</f>
        <v>20190303170230244</v>
      </c>
      <c r="B118" t="str">
        <f>"1551603750235902"</f>
        <v>1551603750235902</v>
      </c>
      <c r="C118" t="s">
        <v>40</v>
      </c>
      <c r="D118">
        <v>4.0406630000000003</v>
      </c>
      <c r="E118">
        <v>0.50470609999999905</v>
      </c>
      <c r="F118" t="s">
        <v>42</v>
      </c>
      <c r="G118">
        <v>-327.10809999999998</v>
      </c>
      <c r="H118" s="1">
        <v>-3.110119E-6</v>
      </c>
      <c r="I118">
        <v>361.57389999999998</v>
      </c>
      <c r="J118">
        <v>-464.11180000000002</v>
      </c>
      <c r="K118">
        <v>1.1199870000000001</v>
      </c>
      <c r="L118">
        <v>367.16329999999999</v>
      </c>
      <c r="M118">
        <v>0.99992599999999998</v>
      </c>
      <c r="N118">
        <v>3.436828E-4</v>
      </c>
      <c r="O118">
        <v>1.2162640000000001E-2</v>
      </c>
      <c r="P118">
        <v>0.99194610000000005</v>
      </c>
      <c r="Q118">
        <v>0.1223032</v>
      </c>
      <c r="R118">
        <v>-3.2938620000000002E-2</v>
      </c>
      <c r="S118">
        <v>3.0234380000000001</v>
      </c>
      <c r="T118">
        <v>-2.4673339999999998E-2</v>
      </c>
      <c r="U118">
        <v>-0.1230774</v>
      </c>
      <c r="V118">
        <v>4.4943049999999998E-2</v>
      </c>
      <c r="W118">
        <v>0.12198349999999999</v>
      </c>
      <c r="X118">
        <v>0.99151409999999995</v>
      </c>
      <c r="Y118">
        <v>5.2821519999999997E-2</v>
      </c>
      <c r="Z118">
        <v>-3.097517E-4</v>
      </c>
      <c r="AA118">
        <v>0.99860389999999999</v>
      </c>
      <c r="AB118">
        <v>22</v>
      </c>
      <c r="AC118">
        <v>137.00370000000001</v>
      </c>
      <c r="AD118">
        <v>-1.119990110119</v>
      </c>
      <c r="AE118">
        <v>-5.5894000000000101</v>
      </c>
      <c r="AF118">
        <v>7.2548292748807004</v>
      </c>
      <c r="AG118">
        <v>-1.119990110119</v>
      </c>
      <c r="AH118">
        <v>136.91644953618299</v>
      </c>
      <c r="AI118">
        <v>90.468018168417899</v>
      </c>
      <c r="AJ118">
        <v>86.966889411980304</v>
      </c>
      <c r="AK118">
        <v>137.11309594363601</v>
      </c>
      <c r="AL118">
        <v>82.993410363021795</v>
      </c>
      <c r="AM118">
        <v>87.404690775094096</v>
      </c>
      <c r="AN118">
        <v>1.00000003125718</v>
      </c>
    </row>
    <row r="119" spans="1:40" x14ac:dyDescent="0.25">
      <c r="A119" t="str">
        <f>"20190303170230267"</f>
        <v>20190303170230267</v>
      </c>
      <c r="B119" t="str">
        <f>"1551603750256399"</f>
        <v>1551603750256399</v>
      </c>
      <c r="C119" t="s">
        <v>40</v>
      </c>
      <c r="D119">
        <v>4.0370910000000002</v>
      </c>
      <c r="E119">
        <v>0.50479540000000001</v>
      </c>
      <c r="F119" t="s">
        <v>42</v>
      </c>
      <c r="G119">
        <v>-323.50990000000002</v>
      </c>
      <c r="H119" s="1">
        <v>-4.3454309999999997E-6</v>
      </c>
      <c r="I119">
        <v>361.53309999999999</v>
      </c>
      <c r="J119">
        <v>-463.8929</v>
      </c>
      <c r="K119">
        <v>1.1200650000000001</v>
      </c>
      <c r="L119">
        <v>367.16640000000001</v>
      </c>
      <c r="M119">
        <v>0.99992190000000003</v>
      </c>
      <c r="N119" s="1">
        <v>-9.5475990000000005E-6</v>
      </c>
      <c r="O119">
        <v>1.2507249999999999E-2</v>
      </c>
      <c r="P119">
        <v>0.99198580000000003</v>
      </c>
      <c r="Q119">
        <v>0.1223018</v>
      </c>
      <c r="R119">
        <v>-3.1729609999999998E-2</v>
      </c>
      <c r="S119">
        <v>3.023285</v>
      </c>
      <c r="T119">
        <v>-2.408254E-2</v>
      </c>
      <c r="U119">
        <v>-0.1210632</v>
      </c>
      <c r="V119">
        <v>4.4069730000000001E-2</v>
      </c>
      <c r="W119">
        <v>0.1223347</v>
      </c>
      <c r="X119">
        <v>0.99151</v>
      </c>
      <c r="Y119">
        <v>5.2503590000000003E-2</v>
      </c>
      <c r="Z119">
        <v>-3.0874960000000002E-4</v>
      </c>
      <c r="AA119">
        <v>0.99862070000000003</v>
      </c>
      <c r="AB119">
        <v>22</v>
      </c>
      <c r="AC119">
        <v>140.38299999999899</v>
      </c>
      <c r="AD119">
        <v>-1.12006934543099</v>
      </c>
      <c r="AE119">
        <v>-5.63330000000001</v>
      </c>
      <c r="AF119">
        <v>7.3881948689582702</v>
      </c>
      <c r="AG119">
        <v>-1.12006934543099</v>
      </c>
      <c r="AH119">
        <v>140.29264579078</v>
      </c>
      <c r="AI119">
        <v>90.456795736375497</v>
      </c>
      <c r="AJ119">
        <v>86.985432139949594</v>
      </c>
      <c r="AK119">
        <v>140.49151733018499</v>
      </c>
      <c r="AL119">
        <v>82.973136022741798</v>
      </c>
      <c r="AM119">
        <v>87.455044582426694</v>
      </c>
      <c r="AN119">
        <v>1.0000000000131799</v>
      </c>
    </row>
    <row r="120" spans="1:40" x14ac:dyDescent="0.25">
      <c r="A120" t="str">
        <f>"20190303170230290"</f>
        <v>20190303170230290</v>
      </c>
      <c r="B120" t="str">
        <f>"1551603750275920"</f>
        <v>1551603750275920</v>
      </c>
      <c r="C120" t="s">
        <v>40</v>
      </c>
      <c r="D120">
        <v>4.0033830000000004</v>
      </c>
      <c r="E120">
        <v>0.5048106</v>
      </c>
      <c r="F120" t="s">
        <v>44</v>
      </c>
      <c r="G120">
        <v>-311.51749999999998</v>
      </c>
      <c r="H120">
        <v>-0.05</v>
      </c>
      <c r="I120">
        <v>361.18939999999998</v>
      </c>
      <c r="J120">
        <v>-463.65309999999999</v>
      </c>
      <c r="K120">
        <v>1.1201460000000001</v>
      </c>
      <c r="L120">
        <v>367.16980000000001</v>
      </c>
      <c r="M120">
        <v>0.99991669999999999</v>
      </c>
      <c r="N120">
        <v>-4.0237699999999999E-4</v>
      </c>
      <c r="O120">
        <v>1.2907800000000001E-2</v>
      </c>
      <c r="P120">
        <v>0.99208640000000003</v>
      </c>
      <c r="Q120">
        <v>0.12185070000000001</v>
      </c>
      <c r="R120">
        <v>-3.028952E-2</v>
      </c>
      <c r="S120">
        <v>3.0233150000000002</v>
      </c>
      <c r="T120">
        <v>-2.3215530000000002E-2</v>
      </c>
      <c r="U120">
        <v>-0.1185913</v>
      </c>
      <c r="V120">
        <v>4.3022789999999998E-2</v>
      </c>
      <c r="W120">
        <v>0.1222746</v>
      </c>
      <c r="X120">
        <v>0.99156339999999998</v>
      </c>
      <c r="Y120">
        <v>5.2088099999999998E-2</v>
      </c>
      <c r="Z120">
        <v>-3.0428170000000002E-4</v>
      </c>
      <c r="AA120">
        <v>0.99864240000000004</v>
      </c>
      <c r="AB120">
        <v>23</v>
      </c>
      <c r="AC120">
        <v>152.13560000000001</v>
      </c>
      <c r="AD120">
        <v>-1.1701459999999999</v>
      </c>
      <c r="AE120">
        <v>-5.9804000000000297</v>
      </c>
      <c r="AF120">
        <v>7.9431684756366199</v>
      </c>
      <c r="AG120">
        <v>-1.1701459999999999</v>
      </c>
      <c r="AH120">
        <v>152.036751495743</v>
      </c>
      <c r="AI120">
        <v>90.440365863328793</v>
      </c>
      <c r="AJ120">
        <v>87.009297944395001</v>
      </c>
      <c r="AK120">
        <v>152.24860253044</v>
      </c>
      <c r="AL120">
        <v>82.976605597198102</v>
      </c>
      <c r="AM120">
        <v>87.5155606221102</v>
      </c>
      <c r="AN120">
        <v>1.0000000072420501</v>
      </c>
    </row>
    <row r="121" spans="1:40" x14ac:dyDescent="0.25">
      <c r="A121" t="str">
        <f>"20190303170230311"</f>
        <v>20190303170230311</v>
      </c>
      <c r="B121" t="str">
        <f>"1551603750296414"</f>
        <v>1551603750296414</v>
      </c>
      <c r="C121" t="s">
        <v>40</v>
      </c>
      <c r="D121">
        <v>4.0043499999999996</v>
      </c>
      <c r="E121">
        <v>0.50486140000000002</v>
      </c>
      <c r="F121" t="s">
        <v>44</v>
      </c>
      <c r="G121">
        <v>-302.98579999999998</v>
      </c>
      <c r="H121">
        <v>-0.05</v>
      </c>
      <c r="I121">
        <v>361.08600000000001</v>
      </c>
      <c r="J121">
        <v>-463.43900000000002</v>
      </c>
      <c r="K121">
        <v>1.1202000000000001</v>
      </c>
      <c r="L121">
        <v>367.173</v>
      </c>
      <c r="M121">
        <v>0.99991149999999995</v>
      </c>
      <c r="N121">
        <v>-7.4413479999999998E-4</v>
      </c>
      <c r="O121">
        <v>1.328062E-2</v>
      </c>
      <c r="P121">
        <v>0.99217160000000004</v>
      </c>
      <c r="Q121">
        <v>0.1214572</v>
      </c>
      <c r="R121">
        <v>-2.9044299999999999E-2</v>
      </c>
      <c r="S121">
        <v>3.0231020000000002</v>
      </c>
      <c r="T121">
        <v>-2.201736E-2</v>
      </c>
      <c r="U121">
        <v>-0.1144714</v>
      </c>
      <c r="V121">
        <v>4.2145920000000003E-2</v>
      </c>
      <c r="W121">
        <v>0.1222206</v>
      </c>
      <c r="X121">
        <v>0.99160769999999998</v>
      </c>
      <c r="Y121">
        <v>5.1104440000000001E-2</v>
      </c>
      <c r="Z121">
        <v>-2.9186279999999999E-4</v>
      </c>
      <c r="AA121">
        <v>0.99869330000000001</v>
      </c>
      <c r="AB121">
        <v>23</v>
      </c>
      <c r="AC121">
        <v>160.45320000000001</v>
      </c>
      <c r="AD121">
        <v>-1.1701999999999999</v>
      </c>
      <c r="AE121">
        <v>-6.0869999999999802</v>
      </c>
      <c r="AF121">
        <v>8.2169453891509594</v>
      </c>
      <c r="AG121">
        <v>-1.1701999999999999</v>
      </c>
      <c r="AH121">
        <v>160.349693638026</v>
      </c>
      <c r="AI121">
        <v>90.417577831134906</v>
      </c>
      <c r="AJ121">
        <v>87.066506117584197</v>
      </c>
      <c r="AK121">
        <v>160.56435410568901</v>
      </c>
      <c r="AL121">
        <v>82.979722844203593</v>
      </c>
      <c r="AM121">
        <v>87.566244358514197</v>
      </c>
      <c r="AN121">
        <v>0.99999999216814806</v>
      </c>
    </row>
    <row r="122" spans="1:40" x14ac:dyDescent="0.25">
      <c r="A122" t="str">
        <f>"20190303170230333"</f>
        <v>20190303170230333</v>
      </c>
      <c r="B122" t="str">
        <f>"1551603750326670"</f>
        <v>1551603750326670</v>
      </c>
      <c r="C122" t="s">
        <v>40</v>
      </c>
      <c r="D122">
        <v>4.0007039999999998</v>
      </c>
      <c r="E122">
        <v>0.50488980000000006</v>
      </c>
      <c r="F122" t="s">
        <v>44</v>
      </c>
      <c r="G122">
        <v>-297.2432</v>
      </c>
      <c r="H122">
        <v>-0.05</v>
      </c>
      <c r="I122">
        <v>361.05579999999998</v>
      </c>
      <c r="J122">
        <v>-463.20089999999999</v>
      </c>
      <c r="K122">
        <v>1.1202479999999999</v>
      </c>
      <c r="L122">
        <v>367.17660000000001</v>
      </c>
      <c r="M122">
        <v>0.9999055</v>
      </c>
      <c r="N122">
        <v>-1.108298E-3</v>
      </c>
      <c r="O122">
        <v>1.3704529999999999E-2</v>
      </c>
      <c r="P122">
        <v>0.99226840000000005</v>
      </c>
      <c r="Q122">
        <v>0.120784199999999</v>
      </c>
      <c r="R122">
        <v>-2.8541810000000001E-2</v>
      </c>
      <c r="S122">
        <v>3.0230100000000002</v>
      </c>
      <c r="T122">
        <v>-2.12853E-2</v>
      </c>
      <c r="U122">
        <v>-0.11126709999999999</v>
      </c>
      <c r="V122">
        <v>4.2063910000000003E-2</v>
      </c>
      <c r="W122">
        <v>0.121909199999999</v>
      </c>
      <c r="X122">
        <v>0.99164949999999996</v>
      </c>
      <c r="Y122">
        <v>5.0471950000000002E-2</v>
      </c>
      <c r="Z122">
        <v>-2.8688740000000002E-4</v>
      </c>
      <c r="AA122">
        <v>0.99872539999999999</v>
      </c>
      <c r="AB122">
        <v>23</v>
      </c>
      <c r="AC122">
        <v>165.95769999999999</v>
      </c>
      <c r="AD122">
        <v>-1.170248</v>
      </c>
      <c r="AE122">
        <v>-6.1208000000000302</v>
      </c>
      <c r="AF122">
        <v>8.3941819822377202</v>
      </c>
      <c r="AG122">
        <v>-1.170248</v>
      </c>
      <c r="AH122">
        <v>165.84999648480701</v>
      </c>
      <c r="AI122">
        <v>90.403759108364696</v>
      </c>
      <c r="AJ122">
        <v>87.102555572018701</v>
      </c>
      <c r="AK122">
        <v>166.06641173200299</v>
      </c>
      <c r="AL122">
        <v>82.997699076762402</v>
      </c>
      <c r="AM122">
        <v>87.571076690614504</v>
      </c>
      <c r="AN122">
        <v>0.999999978209688</v>
      </c>
    </row>
    <row r="123" spans="1:40" x14ac:dyDescent="0.25">
      <c r="A123" t="str">
        <f>"20190303170230356"</f>
        <v>20190303170230356</v>
      </c>
      <c r="B123" t="str">
        <f>"1551603750346191"</f>
        <v>1551603750346191</v>
      </c>
      <c r="C123" t="s">
        <v>40</v>
      </c>
      <c r="D123">
        <v>4.0101800000000001</v>
      </c>
      <c r="E123">
        <v>0.50498639999999995</v>
      </c>
      <c r="F123" t="s">
        <v>44</v>
      </c>
      <c r="G123">
        <v>-311.24079999999998</v>
      </c>
      <c r="H123">
        <v>-0.05</v>
      </c>
      <c r="I123">
        <v>361.64949999999999</v>
      </c>
      <c r="J123">
        <v>-462.9658</v>
      </c>
      <c r="K123">
        <v>1.1202859999999999</v>
      </c>
      <c r="L123">
        <v>367.18029999999999</v>
      </c>
      <c r="M123">
        <v>0.99989930000000005</v>
      </c>
      <c r="N123">
        <v>-1.453111E-3</v>
      </c>
      <c r="O123">
        <v>1.4126949999999999E-2</v>
      </c>
      <c r="P123">
        <v>0.99229710000000004</v>
      </c>
      <c r="Q123">
        <v>0.12055979999999999</v>
      </c>
      <c r="R123">
        <v>-2.8495099999999898E-2</v>
      </c>
      <c r="S123">
        <v>3.0230410000000001</v>
      </c>
      <c r="T123">
        <v>-2.3280499999999999E-2</v>
      </c>
      <c r="U123">
        <v>-0.10995480000000001</v>
      </c>
      <c r="V123">
        <v>4.243624E-2</v>
      </c>
      <c r="W123">
        <v>0.122027</v>
      </c>
      <c r="X123">
        <v>0.99161920000000003</v>
      </c>
      <c r="Y123">
        <v>5.046018E-2</v>
      </c>
      <c r="Z123">
        <v>-3.191437E-4</v>
      </c>
      <c r="AA123">
        <v>0.998726</v>
      </c>
      <c r="AB123">
        <v>23</v>
      </c>
      <c r="AC123">
        <v>151.72499999999999</v>
      </c>
      <c r="AD123">
        <v>-1.1702859999999999</v>
      </c>
      <c r="AE123">
        <v>-5.5307999999999904</v>
      </c>
      <c r="AF123">
        <v>7.6732056166640996</v>
      </c>
      <c r="AG123">
        <v>-1.1702859999999999</v>
      </c>
      <c r="AH123">
        <v>151.62271727765099</v>
      </c>
      <c r="AI123">
        <v>90.441658244175898</v>
      </c>
      <c r="AJ123">
        <v>87.1028909167553</v>
      </c>
      <c r="AK123">
        <v>151.82126349235801</v>
      </c>
      <c r="AL123">
        <v>82.990899231890097</v>
      </c>
      <c r="AM123">
        <v>87.549528309368895</v>
      </c>
      <c r="AN123">
        <v>1.00000003050148</v>
      </c>
    </row>
    <row r="124" spans="1:40" x14ac:dyDescent="0.25">
      <c r="A124" t="str">
        <f>"20190303170230377"</f>
        <v>20190303170230377</v>
      </c>
      <c r="B124" t="str">
        <f>"1551603750365711"</f>
        <v>1551603750365711</v>
      </c>
      <c r="C124" t="s">
        <v>40</v>
      </c>
      <c r="D124">
        <v>4.0531879999999996</v>
      </c>
      <c r="E124">
        <v>0.50513560000000002</v>
      </c>
      <c r="F124" t="s">
        <v>42</v>
      </c>
      <c r="G124">
        <v>-323.15640000000002</v>
      </c>
      <c r="H124" s="1">
        <v>-4.3210959999999999E-6</v>
      </c>
      <c r="I124">
        <v>362.07679999999999</v>
      </c>
      <c r="J124">
        <v>-462.74720000000002</v>
      </c>
      <c r="K124">
        <v>1.1203149999999999</v>
      </c>
      <c r="L124">
        <v>367.18380000000002</v>
      </c>
      <c r="M124">
        <v>0.99989300000000003</v>
      </c>
      <c r="N124">
        <v>-1.76702E-3</v>
      </c>
      <c r="O124">
        <v>1.451911E-2</v>
      </c>
      <c r="P124">
        <v>0.99230090000000004</v>
      </c>
      <c r="Q124">
        <v>0.1204923</v>
      </c>
      <c r="R124">
        <v>-2.864556E-2</v>
      </c>
      <c r="S124">
        <v>3.0230709999999998</v>
      </c>
      <c r="T124">
        <v>-2.42238E-2</v>
      </c>
      <c r="U124">
        <v>-0.11035159999999999</v>
      </c>
      <c r="V124">
        <v>4.2975869999999999E-2</v>
      </c>
      <c r="W124">
        <v>0.1222708</v>
      </c>
      <c r="X124">
        <v>0.9915659</v>
      </c>
      <c r="Y124">
        <v>5.0982180000000002E-2</v>
      </c>
      <c r="Z124">
        <v>-3.399071E-4</v>
      </c>
      <c r="AA124">
        <v>0.99869949999999996</v>
      </c>
      <c r="AB124">
        <v>23</v>
      </c>
      <c r="AC124">
        <v>139.5908</v>
      </c>
      <c r="AD124">
        <v>-1.1203193210960001</v>
      </c>
      <c r="AE124">
        <v>-5.1070000000000197</v>
      </c>
      <c r="AF124">
        <v>7.1327402638392297</v>
      </c>
      <c r="AG124">
        <v>-1.1203193210960001</v>
      </c>
      <c r="AH124">
        <v>139.49296369851899</v>
      </c>
      <c r="AI124">
        <v>90.459553234942405</v>
      </c>
      <c r="AJ124">
        <v>87.0728251571595</v>
      </c>
      <c r="AK124">
        <v>139.67969795374299</v>
      </c>
      <c r="AL124">
        <v>82.976824944229193</v>
      </c>
      <c r="AM124">
        <v>87.518272973671699</v>
      </c>
      <c r="AN124">
        <v>1.0000000039888499</v>
      </c>
    </row>
    <row r="125" spans="1:40" x14ac:dyDescent="0.25">
      <c r="A125" t="str">
        <f>"20190303170230400"</f>
        <v>20190303170230400</v>
      </c>
      <c r="B125" t="str">
        <f>"1551603750386207"</f>
        <v>1551603750386207</v>
      </c>
      <c r="C125" t="s">
        <v>40</v>
      </c>
      <c r="D125">
        <v>4.0289970000000004</v>
      </c>
      <c r="E125">
        <v>0.50536429999999999</v>
      </c>
      <c r="F125" t="s">
        <v>42</v>
      </c>
      <c r="G125">
        <v>-328.3854</v>
      </c>
      <c r="H125" s="1">
        <v>-2.509421E-6</v>
      </c>
      <c r="I125">
        <v>362.19779999999997</v>
      </c>
      <c r="J125">
        <v>-462.50979999999998</v>
      </c>
      <c r="K125">
        <v>1.1203479999999999</v>
      </c>
      <c r="L125">
        <v>367.18770000000001</v>
      </c>
      <c r="M125">
        <v>0.99988630000000001</v>
      </c>
      <c r="N125">
        <v>-2.0986540000000001E-3</v>
      </c>
      <c r="O125">
        <v>1.494124E-2</v>
      </c>
      <c r="P125">
        <v>0.99236429999999998</v>
      </c>
      <c r="Q125">
        <v>0.1199356</v>
      </c>
      <c r="R125">
        <v>-2.8789060000000002E-2</v>
      </c>
      <c r="S125">
        <v>3.0230709999999998</v>
      </c>
      <c r="T125">
        <v>-2.5206570000000001E-2</v>
      </c>
      <c r="U125">
        <v>-0.11218259999999999</v>
      </c>
      <c r="V125">
        <v>4.3539300000000003E-2</v>
      </c>
      <c r="W125">
        <v>0.1220431</v>
      </c>
      <c r="X125">
        <v>0.99156929999999999</v>
      </c>
      <c r="Y125">
        <v>5.2007600000000001E-2</v>
      </c>
      <c r="Z125">
        <v>-3.6453309999999998E-4</v>
      </c>
      <c r="AA125">
        <v>0.99864660000000005</v>
      </c>
      <c r="AB125">
        <v>23</v>
      </c>
      <c r="AC125">
        <v>134.12439999999901</v>
      </c>
      <c r="AD125">
        <v>-1.120350509421</v>
      </c>
      <c r="AE125">
        <v>-4.9899000000000298</v>
      </c>
      <c r="AF125">
        <v>6.9928447544721504</v>
      </c>
      <c r="AG125">
        <v>-1.120350509421</v>
      </c>
      <c r="AH125">
        <v>134.02553410239199</v>
      </c>
      <c r="AI125">
        <v>90.478287005294206</v>
      </c>
      <c r="AJ125">
        <v>87.013274249020199</v>
      </c>
      <c r="AK125">
        <v>134.21251377742499</v>
      </c>
      <c r="AL125">
        <v>82.989969134962294</v>
      </c>
      <c r="AM125">
        <v>87.485786680458602</v>
      </c>
      <c r="AN125">
        <v>0.99999993280229205</v>
      </c>
    </row>
    <row r="126" spans="1:40" x14ac:dyDescent="0.25">
      <c r="A126" t="str">
        <f>"20190303170230422"</f>
        <v>20190303170230422</v>
      </c>
      <c r="B126" t="str">
        <f>"1551603750416463"</f>
        <v>1551603750416463</v>
      </c>
      <c r="C126" t="s">
        <v>40</v>
      </c>
      <c r="D126">
        <v>4.0302670000000003</v>
      </c>
      <c r="E126">
        <v>0.50548199999999999</v>
      </c>
      <c r="F126" t="s">
        <v>42</v>
      </c>
      <c r="G126">
        <v>-342.16160000000002</v>
      </c>
      <c r="H126" s="1">
        <v>-4.9216600000000004E-6</v>
      </c>
      <c r="I126">
        <v>362.64890000000003</v>
      </c>
      <c r="J126">
        <v>-462.27109999999999</v>
      </c>
      <c r="K126">
        <v>1.120379</v>
      </c>
      <c r="L126">
        <v>367.19170000000003</v>
      </c>
      <c r="M126">
        <v>0.99987910000000002</v>
      </c>
      <c r="N126">
        <v>-2.421692E-3</v>
      </c>
      <c r="O126">
        <v>1.5361949999999999E-2</v>
      </c>
      <c r="P126">
        <v>0.99242419999999998</v>
      </c>
      <c r="Q126">
        <v>0.1194641</v>
      </c>
      <c r="R126">
        <v>-2.8684350000000001E-2</v>
      </c>
      <c r="S126">
        <v>3.0231629999999998</v>
      </c>
      <c r="T126">
        <v>-2.8143410000000001E-2</v>
      </c>
      <c r="U126">
        <v>-0.1140137</v>
      </c>
      <c r="V126">
        <v>4.385286E-2</v>
      </c>
      <c r="W126">
        <v>0.12189220000000001</v>
      </c>
      <c r="X126">
        <v>0.99157410000000001</v>
      </c>
      <c r="Y126">
        <v>5.3029979999999997E-2</v>
      </c>
      <c r="Z126">
        <v>-4.167517E-4</v>
      </c>
      <c r="AA126">
        <v>0.99859290000000001</v>
      </c>
      <c r="AB126">
        <v>23</v>
      </c>
      <c r="AC126">
        <v>120.109499999999</v>
      </c>
      <c r="AD126">
        <v>-1.12038392166</v>
      </c>
      <c r="AE126">
        <v>-4.5427999999999997</v>
      </c>
      <c r="AF126">
        <v>6.3868304823997804</v>
      </c>
      <c r="AG126">
        <v>-1.12038392166</v>
      </c>
      <c r="AH126">
        <v>120.015112487458</v>
      </c>
      <c r="AI126">
        <v>90.534105295403094</v>
      </c>
      <c r="AJ126">
        <v>86.953770579693497</v>
      </c>
      <c r="AK126">
        <v>120.19015803767</v>
      </c>
      <c r="AL126">
        <v>82.998680497937897</v>
      </c>
      <c r="AM126">
        <v>87.467715624335696</v>
      </c>
      <c r="AN126">
        <v>0.99999998877091401</v>
      </c>
    </row>
    <row r="127" spans="1:40" x14ac:dyDescent="0.25">
      <c r="A127" t="str">
        <f>"20190303170230444"</f>
        <v>20190303170230444</v>
      </c>
      <c r="B127" t="str">
        <f>"1551603750435982"</f>
        <v>1551603750435982</v>
      </c>
      <c r="C127" t="s">
        <v>40</v>
      </c>
      <c r="D127">
        <v>4.0293970000000003</v>
      </c>
      <c r="E127">
        <v>0.50555689999999998</v>
      </c>
      <c r="F127" t="s">
        <v>42</v>
      </c>
      <c r="G127">
        <v>-344.19199999999898</v>
      </c>
      <c r="H127" s="1">
        <v>-4.0538360000000002E-6</v>
      </c>
      <c r="I127">
        <v>362.70370000000003</v>
      </c>
      <c r="J127">
        <v>-462.03500000000003</v>
      </c>
      <c r="K127">
        <v>1.120412</v>
      </c>
      <c r="L127">
        <v>367.19580000000002</v>
      </c>
      <c r="M127">
        <v>0.99987190000000004</v>
      </c>
      <c r="N127">
        <v>-2.728014E-3</v>
      </c>
      <c r="O127">
        <v>1.5774590000000002E-2</v>
      </c>
      <c r="P127">
        <v>0.99249449999999995</v>
      </c>
      <c r="Q127">
        <v>0.11891</v>
      </c>
      <c r="R127">
        <v>-2.855415E-2</v>
      </c>
      <c r="S127">
        <v>3.02298</v>
      </c>
      <c r="T127">
        <v>-2.8683299999999998E-2</v>
      </c>
      <c r="U127">
        <v>-0.11489870000000001</v>
      </c>
      <c r="V127">
        <v>4.413309E-2</v>
      </c>
      <c r="W127">
        <v>0.12164270000000001</v>
      </c>
      <c r="X127">
        <v>0.99159229999999998</v>
      </c>
      <c r="Y127">
        <v>5.3736060000000002E-2</v>
      </c>
      <c r="Z127">
        <v>-4.3477240000000002E-4</v>
      </c>
      <c r="AA127">
        <v>0.99855510000000003</v>
      </c>
      <c r="AB127">
        <v>24</v>
      </c>
      <c r="AC127">
        <v>117.843</v>
      </c>
      <c r="AD127">
        <v>-1.120416053836</v>
      </c>
      <c r="AE127">
        <v>-4.49209999999999</v>
      </c>
      <c r="AF127">
        <v>6.34989972126374</v>
      </c>
      <c r="AG127">
        <v>-1.120416053836</v>
      </c>
      <c r="AH127">
        <v>117.746847348751</v>
      </c>
      <c r="AI127">
        <v>90.544388561778405</v>
      </c>
      <c r="AJ127">
        <v>86.913120152390903</v>
      </c>
      <c r="AK127">
        <v>117.923265809482</v>
      </c>
      <c r="AL127">
        <v>83.013082926628002</v>
      </c>
      <c r="AM127">
        <v>87.451601716422402</v>
      </c>
      <c r="AN127">
        <v>0.99999998275776303</v>
      </c>
    </row>
    <row r="128" spans="1:40" x14ac:dyDescent="0.25">
      <c r="A128" t="str">
        <f>"20190303170230467"</f>
        <v>20190303170230467</v>
      </c>
      <c r="B128" t="str">
        <f>"1551603750455503"</f>
        <v>1551603750455503</v>
      </c>
      <c r="C128" t="s">
        <v>40</v>
      </c>
      <c r="D128">
        <v>4.0505079999999998</v>
      </c>
      <c r="E128">
        <v>0.50565729999999998</v>
      </c>
      <c r="F128" t="s">
        <v>42</v>
      </c>
      <c r="G128">
        <v>-348.2165</v>
      </c>
      <c r="H128" s="1">
        <v>-2.463E-6</v>
      </c>
      <c r="I128">
        <v>362.87430000000001</v>
      </c>
      <c r="J128">
        <v>-461.8066</v>
      </c>
      <c r="K128">
        <v>1.1204419999999999</v>
      </c>
      <c r="L128">
        <v>367.19990000000001</v>
      </c>
      <c r="M128">
        <v>0.9998648</v>
      </c>
      <c r="N128">
        <v>-3.0071070000000002E-3</v>
      </c>
      <c r="O128">
        <v>1.617213E-2</v>
      </c>
      <c r="P128">
        <v>0.99256089999999997</v>
      </c>
      <c r="Q128">
        <v>0.11859889999999999</v>
      </c>
      <c r="R128">
        <v>-2.752201E-2</v>
      </c>
      <c r="S128">
        <v>3.0229490000000001</v>
      </c>
      <c r="T128">
        <v>-2.9757499999999999E-2</v>
      </c>
      <c r="U128">
        <v>-0.11477660000000001</v>
      </c>
      <c r="V128">
        <v>4.3496229999999997E-2</v>
      </c>
      <c r="W128">
        <v>0.1216077</v>
      </c>
      <c r="X128">
        <v>0.99162479999999997</v>
      </c>
      <c r="Y128">
        <v>5.4092880000000003E-2</v>
      </c>
      <c r="Z128">
        <v>-4.580338E-4</v>
      </c>
      <c r="AA128">
        <v>0.99853579999999997</v>
      </c>
      <c r="AB128">
        <v>24</v>
      </c>
      <c r="AC128">
        <v>113.59010000000001</v>
      </c>
      <c r="AD128">
        <v>-1.1204444629999999</v>
      </c>
      <c r="AE128">
        <v>-4.3255999999999997</v>
      </c>
      <c r="AF128">
        <v>6.1614376695033597</v>
      </c>
      <c r="AG128">
        <v>-1.1204444629999999</v>
      </c>
      <c r="AH128">
        <v>113.494263703001</v>
      </c>
      <c r="AI128">
        <v>90.564788627928905</v>
      </c>
      <c r="AJ128">
        <v>86.892546299634603</v>
      </c>
      <c r="AK128">
        <v>113.666910767541</v>
      </c>
      <c r="AL128">
        <v>83.015103745288002</v>
      </c>
      <c r="AM128">
        <v>87.4884110052068</v>
      </c>
      <c r="AN128">
        <v>1.00000004934927</v>
      </c>
    </row>
    <row r="129" spans="1:40" x14ac:dyDescent="0.25">
      <c r="A129" t="str">
        <f>"20190303170230491"</f>
        <v>20190303170230491</v>
      </c>
      <c r="B129" t="str">
        <f>"1551603750485759"</f>
        <v>1551603750485759</v>
      </c>
      <c r="C129" t="s">
        <v>40</v>
      </c>
      <c r="D129">
        <v>4.0731900000000003</v>
      </c>
      <c r="E129">
        <v>0.50580879999999995</v>
      </c>
      <c r="F129" t="s">
        <v>42</v>
      </c>
      <c r="G129">
        <v>-351.04329999999999</v>
      </c>
      <c r="H129" s="1">
        <v>-4.9872329999999997E-6</v>
      </c>
      <c r="I129">
        <v>363.06259999999997</v>
      </c>
      <c r="J129">
        <v>-461.54750000000001</v>
      </c>
      <c r="K129">
        <v>1.1204730000000001</v>
      </c>
      <c r="L129">
        <v>367.2045</v>
      </c>
      <c r="M129">
        <v>0.99985650000000004</v>
      </c>
      <c r="N129">
        <v>-3.2985520000000002E-3</v>
      </c>
      <c r="O129">
        <v>1.6622069999999999E-2</v>
      </c>
      <c r="P129">
        <v>0.99253769999999997</v>
      </c>
      <c r="Q129">
        <v>0.1190967</v>
      </c>
      <c r="R129">
        <v>-2.618403E-2</v>
      </c>
      <c r="S129">
        <v>3.0230100000000002</v>
      </c>
      <c r="T129">
        <v>-3.0579809999999999E-2</v>
      </c>
      <c r="U129">
        <v>-0.112915</v>
      </c>
      <c r="V129">
        <v>4.2603389999999998E-2</v>
      </c>
      <c r="W129">
        <v>0.1223943</v>
      </c>
      <c r="X129">
        <v>0.99156670000000002</v>
      </c>
      <c r="Y129">
        <v>5.3927200000000002E-2</v>
      </c>
      <c r="Z129">
        <v>-4.7490960000000002E-4</v>
      </c>
      <c r="AA129">
        <v>0.99854480000000001</v>
      </c>
      <c r="AB129">
        <v>24</v>
      </c>
      <c r="AC129">
        <v>110.5042</v>
      </c>
      <c r="AD129">
        <v>-1.120477987233</v>
      </c>
      <c r="AE129">
        <v>-4.1419000000000201</v>
      </c>
      <c r="AF129">
        <v>5.9775324196064101</v>
      </c>
      <c r="AG129">
        <v>-1.120477987233</v>
      </c>
      <c r="AH129">
        <v>110.40875012526701</v>
      </c>
      <c r="AI129">
        <v>90.580593332435598</v>
      </c>
      <c r="AJ129">
        <v>86.901030579340201</v>
      </c>
      <c r="AK129">
        <v>110.57612069959301</v>
      </c>
      <c r="AL129">
        <v>82.969695105276202</v>
      </c>
      <c r="AM129">
        <v>87.539758009067896</v>
      </c>
      <c r="AN129">
        <v>0.99999996703043503</v>
      </c>
    </row>
    <row r="130" spans="1:40" x14ac:dyDescent="0.25">
      <c r="A130" t="str">
        <f>"20190303170230512"</f>
        <v>20190303170230512</v>
      </c>
      <c r="B130" t="str">
        <f>"1551603750506255"</f>
        <v>1551603750506255</v>
      </c>
      <c r="C130" t="s">
        <v>40</v>
      </c>
      <c r="D130">
        <v>4.079612</v>
      </c>
      <c r="E130">
        <v>0.50591649999999999</v>
      </c>
      <c r="F130" t="s">
        <v>42</v>
      </c>
      <c r="G130">
        <v>-338.9889</v>
      </c>
      <c r="H130" s="1">
        <v>-2.167254E-6</v>
      </c>
      <c r="I130">
        <v>362.71190000000001</v>
      </c>
      <c r="J130">
        <v>-461.31259999999997</v>
      </c>
      <c r="K130">
        <v>1.1205000000000001</v>
      </c>
      <c r="L130">
        <v>367.20890000000003</v>
      </c>
      <c r="M130">
        <v>0.99984890000000004</v>
      </c>
      <c r="N130">
        <v>-3.5372440000000002E-3</v>
      </c>
      <c r="O130">
        <v>1.702859E-2</v>
      </c>
      <c r="P130">
        <v>0.99257790000000001</v>
      </c>
      <c r="Q130">
        <v>0.11906269999999999</v>
      </c>
      <c r="R130">
        <v>-2.477178E-2</v>
      </c>
      <c r="S130">
        <v>3.0229490000000001</v>
      </c>
      <c r="T130">
        <v>-2.7636890000000001E-2</v>
      </c>
      <c r="U130">
        <v>-0.1108093</v>
      </c>
      <c r="V130">
        <v>4.1594930000000002E-2</v>
      </c>
      <c r="W130">
        <v>0.12259680000000001</v>
      </c>
      <c r="X130">
        <v>0.99158449999999998</v>
      </c>
      <c r="Y130">
        <v>5.3640019999999997E-2</v>
      </c>
      <c r="Z130">
        <v>-4.3543610000000002E-4</v>
      </c>
      <c r="AA130">
        <v>0.99856020000000001</v>
      </c>
      <c r="AB130">
        <v>24</v>
      </c>
      <c r="AC130">
        <v>122.32369999999899</v>
      </c>
      <c r="AD130">
        <v>-1.1205021672540001</v>
      </c>
      <c r="AE130">
        <v>-4.4970000000000097</v>
      </c>
      <c r="AF130">
        <v>6.5788095154968103</v>
      </c>
      <c r="AG130">
        <v>-1.1205021672540001</v>
      </c>
      <c r="AH130">
        <v>122.219143841788</v>
      </c>
      <c r="AI130">
        <v>90.524512328012705</v>
      </c>
      <c r="AJ130">
        <v>86.918857504464995</v>
      </c>
      <c r="AK130">
        <v>122.401206616469</v>
      </c>
      <c r="AL130">
        <v>82.958004670111606</v>
      </c>
      <c r="AM130">
        <v>87.597968147003101</v>
      </c>
      <c r="AN130">
        <v>0.99999996710609595</v>
      </c>
    </row>
    <row r="131" spans="1:40" x14ac:dyDescent="0.25">
      <c r="A131" t="str">
        <f>"20190303170230534"</f>
        <v>20190303170230534</v>
      </c>
      <c r="B131" t="str">
        <f>"1551603750525775"</f>
        <v>1551603750525775</v>
      </c>
      <c r="C131" t="s">
        <v>40</v>
      </c>
      <c r="D131">
        <v>4.0733370000000004</v>
      </c>
      <c r="E131">
        <v>0.50601070000000004</v>
      </c>
      <c r="F131" t="s">
        <v>42</v>
      </c>
      <c r="G131">
        <v>-340.3107</v>
      </c>
      <c r="H131" s="1">
        <v>-5.74736E-6</v>
      </c>
      <c r="I131">
        <v>362.9264</v>
      </c>
      <c r="J131">
        <v>-461.07150000000001</v>
      </c>
      <c r="K131">
        <v>1.1205130000000001</v>
      </c>
      <c r="L131">
        <v>367.21350000000001</v>
      </c>
      <c r="M131">
        <v>0.99984090000000003</v>
      </c>
      <c r="N131">
        <v>-3.7606810000000001E-3</v>
      </c>
      <c r="O131">
        <v>1.744136E-2</v>
      </c>
      <c r="P131">
        <v>0.99266980000000005</v>
      </c>
      <c r="Q131">
        <v>0.118441</v>
      </c>
      <c r="R131">
        <v>-2.4056230000000001E-2</v>
      </c>
      <c r="S131">
        <v>3.0231020000000002</v>
      </c>
      <c r="T131">
        <v>-2.799463E-2</v>
      </c>
      <c r="U131">
        <v>-0.1069946</v>
      </c>
      <c r="V131">
        <v>4.129091E-2</v>
      </c>
      <c r="W131">
        <v>0.1221965</v>
      </c>
      <c r="X131">
        <v>0.99164660000000004</v>
      </c>
      <c r="Y131">
        <v>5.2791949999999997E-2</v>
      </c>
      <c r="Z131">
        <v>-4.3954809999999998E-4</v>
      </c>
      <c r="AA131">
        <v>0.99860539999999998</v>
      </c>
      <c r="AB131">
        <v>24</v>
      </c>
      <c r="AC131">
        <v>120.7608</v>
      </c>
      <c r="AD131">
        <v>-1.12051874735999</v>
      </c>
      <c r="AE131">
        <v>-4.2870999999999997</v>
      </c>
      <c r="AF131">
        <v>6.3921455242334497</v>
      </c>
      <c r="AG131">
        <v>-1.12051874735999</v>
      </c>
      <c r="AH131">
        <v>120.65728207602901</v>
      </c>
      <c r="AI131">
        <v>90.531333467215603</v>
      </c>
      <c r="AJ131">
        <v>86.967436253211304</v>
      </c>
      <c r="AK131">
        <v>120.83167964007001</v>
      </c>
      <c r="AL131">
        <v>82.981113814398995</v>
      </c>
      <c r="AM131">
        <v>87.615653563966404</v>
      </c>
      <c r="AN131">
        <v>0.99999995157621802</v>
      </c>
    </row>
    <row r="132" spans="1:40" x14ac:dyDescent="0.25">
      <c r="A132" t="str">
        <f>"20190303170230557"</f>
        <v>20190303170230557</v>
      </c>
      <c r="B132" t="str">
        <f>"1551603750546271"</f>
        <v>1551603750546271</v>
      </c>
      <c r="C132" t="s">
        <v>40</v>
      </c>
      <c r="D132">
        <v>4.0673190000000004</v>
      </c>
      <c r="E132">
        <v>0.50610270000000002</v>
      </c>
      <c r="F132" t="s">
        <v>42</v>
      </c>
      <c r="G132">
        <v>-346.50790000000001</v>
      </c>
      <c r="H132" s="1">
        <v>-3.0274270000000001E-6</v>
      </c>
      <c r="I132">
        <v>363.21899999999999</v>
      </c>
      <c r="J132">
        <v>-460.83859999999999</v>
      </c>
      <c r="K132">
        <v>1.120522</v>
      </c>
      <c r="L132">
        <v>367.21800000000002</v>
      </c>
      <c r="M132">
        <v>0.99983330000000004</v>
      </c>
      <c r="N132">
        <v>-3.9574579999999996E-3</v>
      </c>
      <c r="O132">
        <v>1.7832029999999999E-2</v>
      </c>
      <c r="P132">
        <v>0.99278840000000002</v>
      </c>
      <c r="Q132">
        <v>0.1176596</v>
      </c>
      <c r="R132">
        <v>-2.296809E-2</v>
      </c>
      <c r="S132">
        <v>3.0231319999999999</v>
      </c>
      <c r="T132">
        <v>-2.956843E-2</v>
      </c>
      <c r="U132">
        <v>-0.10540769999999999</v>
      </c>
      <c r="V132">
        <v>4.0594169999999999E-2</v>
      </c>
      <c r="W132">
        <v>0.1216096</v>
      </c>
      <c r="X132">
        <v>0.99174759999999995</v>
      </c>
      <c r="Y132">
        <v>5.2657839999999997E-2</v>
      </c>
      <c r="Z132">
        <v>-4.654778E-4</v>
      </c>
      <c r="AA132">
        <v>0.99861250000000001</v>
      </c>
      <c r="AB132">
        <v>24</v>
      </c>
      <c r="AC132">
        <v>114.330699999999</v>
      </c>
      <c r="AD132">
        <v>-1.120525027427</v>
      </c>
      <c r="AE132">
        <v>-3.9990000000000201</v>
      </c>
      <c r="AF132">
        <v>6.03654916890377</v>
      </c>
      <c r="AG132">
        <v>-1.120525027427</v>
      </c>
      <c r="AH132">
        <v>114.230251012023</v>
      </c>
      <c r="AI132">
        <v>90.561233521466505</v>
      </c>
      <c r="AJ132">
        <v>86.9749924997665</v>
      </c>
      <c r="AK132">
        <v>114.39512991589901</v>
      </c>
      <c r="AL132">
        <v>83.014994016161793</v>
      </c>
      <c r="AM132">
        <v>87.656080059939697</v>
      </c>
      <c r="AN132">
        <v>1.00000004177795</v>
      </c>
    </row>
    <row r="133" spans="1:40" x14ac:dyDescent="0.25">
      <c r="A133" t="str">
        <f>"20190303170230578"</f>
        <v>20190303170230578</v>
      </c>
      <c r="B133" t="str">
        <f>"1551603750565791"</f>
        <v>1551603750565791</v>
      </c>
      <c r="C133" t="s">
        <v>40</v>
      </c>
      <c r="D133">
        <v>4.0905969999999998</v>
      </c>
      <c r="E133">
        <v>0.50624060000000004</v>
      </c>
      <c r="F133" t="s">
        <v>42</v>
      </c>
      <c r="G133">
        <v>-353.03899999999999</v>
      </c>
      <c r="H133" s="1">
        <v>-4.0481820000000004E-6</v>
      </c>
      <c r="I133">
        <v>363.53</v>
      </c>
      <c r="J133">
        <v>-460.59500000000003</v>
      </c>
      <c r="K133">
        <v>1.1205320000000001</v>
      </c>
      <c r="L133">
        <v>367.22280000000001</v>
      </c>
      <c r="M133">
        <v>0.99982539999999998</v>
      </c>
      <c r="N133">
        <v>-4.143781E-3</v>
      </c>
      <c r="O133">
        <v>1.8229120000000001E-2</v>
      </c>
      <c r="P133">
        <v>0.99278259999999996</v>
      </c>
      <c r="Q133">
        <v>0.1177246</v>
      </c>
      <c r="R133">
        <v>-2.2896349999999999E-2</v>
      </c>
      <c r="S133">
        <v>3.023193</v>
      </c>
      <c r="T133">
        <v>-3.1424639999999997E-2</v>
      </c>
      <c r="U133">
        <v>-0.1034241</v>
      </c>
      <c r="V133">
        <v>4.091786E-2</v>
      </c>
      <c r="W133">
        <v>0.1218595</v>
      </c>
      <c r="X133">
        <v>0.99170360000000002</v>
      </c>
      <c r="Y133">
        <v>5.239883E-2</v>
      </c>
      <c r="Z133">
        <v>-4.9476190000000001E-4</v>
      </c>
      <c r="AA133">
        <v>0.99862609999999996</v>
      </c>
      <c r="AB133">
        <v>24</v>
      </c>
      <c r="AC133">
        <v>107.556</v>
      </c>
      <c r="AD133">
        <v>-1.1205360481819999</v>
      </c>
      <c r="AE133">
        <v>-3.6928000000000298</v>
      </c>
      <c r="AF133">
        <v>5.6522413847408401</v>
      </c>
      <c r="AG133">
        <v>-1.1205360481819999</v>
      </c>
      <c r="AH133">
        <v>107.459160993372</v>
      </c>
      <c r="AI133">
        <v>90.596608424513605</v>
      </c>
      <c r="AJ133">
        <v>86.9890755868241</v>
      </c>
      <c r="AK133">
        <v>107.613543362841</v>
      </c>
      <c r="AL133">
        <v>83.000568358745298</v>
      </c>
      <c r="AM133">
        <v>87.637306489516703</v>
      </c>
      <c r="AN133">
        <v>1.00000001963009</v>
      </c>
    </row>
    <row r="134" spans="1:40" x14ac:dyDescent="0.25">
      <c r="A134" t="str">
        <f>"20190303170230601"</f>
        <v>20190303170230601</v>
      </c>
      <c r="B134" t="str">
        <f>"1551603750596046"</f>
        <v>1551603750596046</v>
      </c>
      <c r="C134" t="s">
        <v>40</v>
      </c>
      <c r="D134">
        <v>4.0761659999999997</v>
      </c>
      <c r="E134">
        <v>0.50640039999999997</v>
      </c>
      <c r="F134" t="s">
        <v>42</v>
      </c>
      <c r="G134">
        <v>-349.81</v>
      </c>
      <c r="H134" s="1">
        <v>-1.708774E-6</v>
      </c>
      <c r="I134">
        <v>363.40910000000002</v>
      </c>
      <c r="J134">
        <v>-460.3433</v>
      </c>
      <c r="K134">
        <v>1.12053799999999</v>
      </c>
      <c r="L134">
        <v>367.2278</v>
      </c>
      <c r="M134">
        <v>0.99981730000000002</v>
      </c>
      <c r="N134">
        <v>-4.3169899999999997E-3</v>
      </c>
      <c r="O134">
        <v>1.8627100000000001E-2</v>
      </c>
      <c r="P134">
        <v>0.99282020000000004</v>
      </c>
      <c r="Q134">
        <v>0.1174941</v>
      </c>
      <c r="R134">
        <v>-2.2436069999999999E-2</v>
      </c>
      <c r="S134">
        <v>3.0230709999999998</v>
      </c>
      <c r="T134">
        <v>-3.0576829999999999E-2</v>
      </c>
      <c r="U134">
        <v>-0.1040649</v>
      </c>
      <c r="V134">
        <v>4.0855799999999998E-2</v>
      </c>
      <c r="W134">
        <v>0.1218003</v>
      </c>
      <c r="X134">
        <v>0.99171339999999997</v>
      </c>
      <c r="Y134">
        <v>5.3009300000000002E-2</v>
      </c>
      <c r="Z134">
        <v>-4.9041820000000002E-4</v>
      </c>
      <c r="AA134">
        <v>0.99859390000000003</v>
      </c>
      <c r="AB134">
        <v>24</v>
      </c>
      <c r="AC134">
        <v>110.5333</v>
      </c>
      <c r="AD134">
        <v>-1.1205397087740001</v>
      </c>
      <c r="AE134">
        <v>-3.81869999999997</v>
      </c>
      <c r="AF134">
        <v>5.8763680207658204</v>
      </c>
      <c r="AG134">
        <v>-1.1205397087740001</v>
      </c>
      <c r="AH134">
        <v>110.431654635755</v>
      </c>
      <c r="AI134">
        <v>90.5805337037729</v>
      </c>
      <c r="AJ134">
        <v>86.954008923516895</v>
      </c>
      <c r="AK134">
        <v>110.59356968623899</v>
      </c>
      <c r="AL134">
        <v>83.003985506680493</v>
      </c>
      <c r="AM134">
        <v>87.640909214281905</v>
      </c>
      <c r="AN134">
        <v>0.99999998860664496</v>
      </c>
    </row>
    <row r="135" spans="1:40" x14ac:dyDescent="0.25">
      <c r="A135" t="str">
        <f>"20190303170230624"</f>
        <v>20190303170230624</v>
      </c>
      <c r="B135" t="str">
        <f>"1551603750615567"</f>
        <v>1551603750615567</v>
      </c>
      <c r="C135" t="s">
        <v>40</v>
      </c>
      <c r="D135">
        <v>4.1097799999999998</v>
      </c>
      <c r="E135">
        <v>0.50654730000000003</v>
      </c>
      <c r="F135" t="s">
        <v>42</v>
      </c>
      <c r="G135">
        <v>-348.49329999999998</v>
      </c>
      <c r="H135" s="1">
        <v>-2.2195390000000001E-6</v>
      </c>
      <c r="I135">
        <v>363.38979999999998</v>
      </c>
      <c r="J135">
        <v>-460.09269999999998</v>
      </c>
      <c r="K135">
        <v>1.1205430000000001</v>
      </c>
      <c r="L135">
        <v>367.23289999999997</v>
      </c>
      <c r="M135">
        <v>0.99980939999999996</v>
      </c>
      <c r="N135">
        <v>-4.4729979999999997E-3</v>
      </c>
      <c r="O135">
        <v>1.900816E-2</v>
      </c>
      <c r="P135">
        <v>0.99279019999999996</v>
      </c>
      <c r="Q135">
        <v>0.11776499999999999</v>
      </c>
      <c r="R135">
        <v>-2.2342310000000001E-2</v>
      </c>
      <c r="S135">
        <v>3.0229490000000001</v>
      </c>
      <c r="T135">
        <v>-3.0284640000000002E-2</v>
      </c>
      <c r="U135">
        <v>-0.10372919999999999</v>
      </c>
      <c r="V135">
        <v>4.1141879999999999E-2</v>
      </c>
      <c r="W135">
        <v>0.1222249</v>
      </c>
      <c r="X135">
        <v>0.99164929999999996</v>
      </c>
      <c r="Y135">
        <v>5.3280559999999998E-2</v>
      </c>
      <c r="Z135">
        <v>-4.9138549999999995E-4</v>
      </c>
      <c r="AA135">
        <v>0.99857940000000001</v>
      </c>
      <c r="AB135">
        <v>25</v>
      </c>
      <c r="AC135">
        <v>111.5994</v>
      </c>
      <c r="AD135">
        <v>-1.120545219539</v>
      </c>
      <c r="AE135">
        <v>-3.84309999999999</v>
      </c>
      <c r="AF135">
        <v>5.9631254829171398</v>
      </c>
      <c r="AG135">
        <v>-1.120545219539</v>
      </c>
      <c r="AH135">
        <v>111.49495848930199</v>
      </c>
      <c r="AI135">
        <v>90.574992199603997</v>
      </c>
      <c r="AJ135">
        <v>86.938545794155999</v>
      </c>
      <c r="AK135">
        <v>111.659931289811</v>
      </c>
      <c r="AL135">
        <v>82.979474365459694</v>
      </c>
      <c r="AM135">
        <v>87.624255894240505</v>
      </c>
      <c r="AN135">
        <v>0.99999995733021596</v>
      </c>
    </row>
    <row r="136" spans="1:40" x14ac:dyDescent="0.25">
      <c r="A136" t="str">
        <f>"20190303170230645"</f>
        <v>20190303170230645</v>
      </c>
      <c r="B136" t="str">
        <f>"1551603750636063"</f>
        <v>1551603750636063</v>
      </c>
      <c r="C136" t="s">
        <v>40</v>
      </c>
      <c r="D136">
        <v>4.093845</v>
      </c>
      <c r="E136">
        <v>0.51245059999999998</v>
      </c>
      <c r="F136" t="s">
        <v>42</v>
      </c>
      <c r="G136">
        <v>-346.26350000000002</v>
      </c>
      <c r="H136" s="1">
        <v>-3.1047570000000002E-6</v>
      </c>
      <c r="I136">
        <v>363.28100000000001</v>
      </c>
      <c r="J136">
        <v>-459.85430000000002</v>
      </c>
      <c r="K136">
        <v>1.120552</v>
      </c>
      <c r="L136">
        <v>367.23779999999999</v>
      </c>
      <c r="M136">
        <v>0.99980219999999997</v>
      </c>
      <c r="N136">
        <v>-4.6102809999999999E-3</v>
      </c>
      <c r="O136">
        <v>1.9351150000000001E-2</v>
      </c>
      <c r="P136">
        <v>0.99272450000000001</v>
      </c>
      <c r="Q136">
        <v>0.118383</v>
      </c>
      <c r="R136">
        <v>-2.199069E-2</v>
      </c>
      <c r="S136">
        <v>3.0229490000000001</v>
      </c>
      <c r="T136">
        <v>-2.975821E-2</v>
      </c>
      <c r="U136">
        <v>-0.10495</v>
      </c>
      <c r="V136">
        <v>4.1132349999999998E-2</v>
      </c>
      <c r="W136">
        <v>0.1229773</v>
      </c>
      <c r="X136">
        <v>0.99155669999999996</v>
      </c>
      <c r="Y136">
        <v>5.4025940000000001E-2</v>
      </c>
      <c r="Z136">
        <v>-4.9166819999999997E-4</v>
      </c>
      <c r="AA136">
        <v>0.99853939999999997</v>
      </c>
      <c r="AB136">
        <v>25</v>
      </c>
      <c r="AC136">
        <v>113.5908</v>
      </c>
      <c r="AD136">
        <v>-1.1205551047569999</v>
      </c>
      <c r="AE136">
        <v>-3.9567999999999799</v>
      </c>
      <c r="AF136">
        <v>6.1535967506299798</v>
      </c>
      <c r="AG136">
        <v>-1.1205551047569999</v>
      </c>
      <c r="AH136">
        <v>113.481929999945</v>
      </c>
      <c r="AI136">
        <v>90.5649077129343</v>
      </c>
      <c r="AJ136">
        <v>86.896156403004298</v>
      </c>
      <c r="AK136">
        <v>113.65417208895001</v>
      </c>
      <c r="AL136">
        <v>82.936037547500703</v>
      </c>
      <c r="AM136">
        <v>87.6245840134182</v>
      </c>
      <c r="AN136">
        <v>0.99999998792335099</v>
      </c>
    </row>
    <row r="137" spans="1:40" x14ac:dyDescent="0.25">
      <c r="A137" t="str">
        <f>"20190303170230667"</f>
        <v>20190303170230667</v>
      </c>
      <c r="B137" t="str">
        <f>"1551603750655583"</f>
        <v>1551603750655583</v>
      </c>
      <c r="C137" t="s">
        <v>40</v>
      </c>
      <c r="D137">
        <v>4.0992179999999996</v>
      </c>
      <c r="E137">
        <v>0.51069409999999904</v>
      </c>
      <c r="F137" t="s">
        <v>42</v>
      </c>
      <c r="G137">
        <v>-349.97980000000001</v>
      </c>
      <c r="H137" s="1">
        <v>-5.6784209999999997E-6</v>
      </c>
      <c r="I137">
        <v>361.73809999999997</v>
      </c>
      <c r="J137">
        <v>-459.61439999999999</v>
      </c>
      <c r="K137">
        <v>1.1205529999999999</v>
      </c>
      <c r="L137">
        <v>367.24279999999999</v>
      </c>
      <c r="M137">
        <v>0.9997954</v>
      </c>
      <c r="N137">
        <v>-4.738435E-3</v>
      </c>
      <c r="O137">
        <v>1.9672309999999998E-2</v>
      </c>
      <c r="P137">
        <v>0.9926353</v>
      </c>
      <c r="Q137">
        <v>0.1193357</v>
      </c>
      <c r="R137">
        <v>-2.085238E-2</v>
      </c>
      <c r="S137">
        <v>3.022278</v>
      </c>
      <c r="T137">
        <v>-3.0822749999999999E-2</v>
      </c>
      <c r="U137">
        <v>-0.15127560000000001</v>
      </c>
      <c r="V137">
        <v>4.0314389999999999E-2</v>
      </c>
      <c r="W137">
        <v>0.1240552</v>
      </c>
      <c r="X137">
        <v>0.991456</v>
      </c>
      <c r="Y137">
        <v>6.9623610000000002E-2</v>
      </c>
      <c r="Z137">
        <v>-6.2722410000000004E-4</v>
      </c>
      <c r="AA137">
        <v>0.99757309999999999</v>
      </c>
      <c r="AB137">
        <v>25</v>
      </c>
      <c r="AC137">
        <v>109.634599999999</v>
      </c>
      <c r="AD137">
        <v>-1.120558678421</v>
      </c>
      <c r="AE137">
        <v>-5.5047000000000104</v>
      </c>
      <c r="AF137">
        <v>7.65962629151998</v>
      </c>
      <c r="AG137">
        <v>-1.120558678421</v>
      </c>
      <c r="AH137">
        <v>109.493682252878</v>
      </c>
      <c r="AI137">
        <v>90.584915359994497</v>
      </c>
      <c r="AJ137">
        <v>85.998395018650498</v>
      </c>
      <c r="AK137">
        <v>109.766989482138</v>
      </c>
      <c r="AL137">
        <v>82.873801737126996</v>
      </c>
      <c r="AM137">
        <v>87.671532934009406</v>
      </c>
      <c r="AN137">
        <v>0.99999997131205498</v>
      </c>
    </row>
    <row r="138" spans="1:40" x14ac:dyDescent="0.25">
      <c r="A138" t="str">
        <f>"20190303170230692"</f>
        <v>20190303170230692</v>
      </c>
      <c r="B138" t="str">
        <f>"1551603750685839"</f>
        <v>1551603750685839</v>
      </c>
      <c r="C138" t="s">
        <v>40</v>
      </c>
      <c r="D138">
        <v>4.2007260000000004</v>
      </c>
      <c r="E138">
        <v>0.49504150000000002</v>
      </c>
      <c r="F138" t="s">
        <v>44</v>
      </c>
      <c r="G138">
        <v>-296.74810000000002</v>
      </c>
      <c r="H138">
        <v>-0.05</v>
      </c>
      <c r="I138">
        <v>360.0376</v>
      </c>
      <c r="J138">
        <v>-459.34230000000002</v>
      </c>
      <c r="K138">
        <v>1.1205499999999999</v>
      </c>
      <c r="L138">
        <v>367.24849999999998</v>
      </c>
      <c r="M138">
        <v>0.99978809999999996</v>
      </c>
      <c r="N138">
        <v>-4.8716250000000001E-3</v>
      </c>
      <c r="O138">
        <v>2.0003190000000001E-2</v>
      </c>
      <c r="P138">
        <v>0.9927028</v>
      </c>
      <c r="Q138">
        <v>0.1188862</v>
      </c>
      <c r="R138">
        <v>-2.017913E-2</v>
      </c>
      <c r="S138">
        <v>3.0220950000000002</v>
      </c>
      <c r="T138">
        <v>-2.1720409999999999E-2</v>
      </c>
      <c r="U138">
        <v>-0.1336975</v>
      </c>
      <c r="V138">
        <v>3.9977459999999999E-2</v>
      </c>
      <c r="W138">
        <v>0.12373580000000001</v>
      </c>
      <c r="X138">
        <v>0.99150959999999999</v>
      </c>
      <c r="Y138">
        <v>6.4168989999999995E-2</v>
      </c>
      <c r="Z138">
        <v>-4.3317540000000003E-4</v>
      </c>
      <c r="AA138">
        <v>0.99793889999999996</v>
      </c>
      <c r="AB138">
        <v>25</v>
      </c>
      <c r="AC138">
        <v>162.5942</v>
      </c>
      <c r="AD138">
        <v>-1.17055</v>
      </c>
      <c r="AE138">
        <v>-7.2108999999999801</v>
      </c>
      <c r="AF138">
        <v>10.4613571470833</v>
      </c>
      <c r="AG138">
        <v>-1.17055</v>
      </c>
      <c r="AH138">
        <v>162.409023139412</v>
      </c>
      <c r="AI138">
        <v>90.412093584278196</v>
      </c>
      <c r="AJ138">
        <v>86.314461620049599</v>
      </c>
      <c r="AK138">
        <v>162.74981099147001</v>
      </c>
      <c r="AL138">
        <v>82.892244423855502</v>
      </c>
      <c r="AM138">
        <v>87.6910967775747</v>
      </c>
      <c r="AN138">
        <v>1.0000000162009199</v>
      </c>
    </row>
    <row r="139" spans="1:40" x14ac:dyDescent="0.25">
      <c r="A139" t="str">
        <f>"20190303170230714"</f>
        <v>20190303170230714</v>
      </c>
      <c r="B139" t="str">
        <f>"1551603750706335"</f>
        <v>1551603750706335</v>
      </c>
      <c r="C139" t="s">
        <v>40</v>
      </c>
      <c r="D139">
        <v>4.2580739999999997</v>
      </c>
      <c r="E139">
        <v>0.49392730000000001</v>
      </c>
      <c r="F139" t="s">
        <v>42</v>
      </c>
      <c r="G139">
        <v>-396.60829999999999</v>
      </c>
      <c r="H139" s="1">
        <v>-1.877991E-6</v>
      </c>
      <c r="I139">
        <v>367.13209999999998</v>
      </c>
      <c r="J139">
        <v>-459.09309999999999</v>
      </c>
      <c r="K139">
        <v>1.1205449999999999</v>
      </c>
      <c r="L139">
        <v>367.25380000000001</v>
      </c>
      <c r="M139">
        <v>0.99978230000000001</v>
      </c>
      <c r="N139">
        <v>-4.9819649999999997E-3</v>
      </c>
      <c r="O139">
        <v>2.026847E-2</v>
      </c>
      <c r="P139">
        <v>0.99274949999999995</v>
      </c>
      <c r="Q139">
        <v>0.11869440000000001</v>
      </c>
      <c r="R139">
        <v>-1.8977500000000001E-2</v>
      </c>
      <c r="S139">
        <v>3.0284420000000001</v>
      </c>
      <c r="T139">
        <v>-5.4093839999999997E-2</v>
      </c>
      <c r="U139">
        <v>-5.6152340000000002E-3</v>
      </c>
      <c r="V139">
        <v>3.9047279999999997E-2</v>
      </c>
      <c r="W139">
        <v>0.1236511</v>
      </c>
      <c r="X139">
        <v>0.99155720000000003</v>
      </c>
      <c r="Y139">
        <v>2.211627E-2</v>
      </c>
      <c r="Z139">
        <v>-5.1361259999999998E-4</v>
      </c>
      <c r="AA139">
        <v>0.99975530000000001</v>
      </c>
      <c r="AB139">
        <v>25</v>
      </c>
      <c r="AC139">
        <v>62.4848</v>
      </c>
      <c r="AD139">
        <v>-1.1205468779909999</v>
      </c>
      <c r="AE139">
        <v>-0.121700000000032</v>
      </c>
      <c r="AF139">
        <v>1.3877155514685</v>
      </c>
      <c r="AG139">
        <v>-1.1205468779909999</v>
      </c>
      <c r="AH139">
        <v>62.449413510111299</v>
      </c>
      <c r="AI139">
        <v>91.027709852306401</v>
      </c>
      <c r="AJ139">
        <v>88.727015091201693</v>
      </c>
      <c r="AK139">
        <v>62.474879971989097</v>
      </c>
      <c r="AL139">
        <v>82.897134694177595</v>
      </c>
      <c r="AM139">
        <v>87.744871460611705</v>
      </c>
      <c r="AN139">
        <v>0.99999998273922397</v>
      </c>
    </row>
    <row r="140" spans="1:40" x14ac:dyDescent="0.25">
      <c r="A140" t="str">
        <f>"20190303170230727"</f>
        <v>20190303170230727</v>
      </c>
      <c r="B140" t="str">
        <f>"1551603750716095"</f>
        <v>1551603750716095</v>
      </c>
      <c r="C140" t="s">
        <v>40</v>
      </c>
      <c r="D140">
        <v>4.1229009999999997</v>
      </c>
      <c r="E140">
        <v>0.49366310000000002</v>
      </c>
      <c r="F140" t="s">
        <v>42</v>
      </c>
      <c r="G140">
        <v>-396.82209999999998</v>
      </c>
      <c r="H140" s="1">
        <v>-1.741423E-6</v>
      </c>
      <c r="I140">
        <v>367.38490000000002</v>
      </c>
      <c r="J140">
        <v>-458.93369999999999</v>
      </c>
      <c r="K140">
        <v>1.1205350000000001</v>
      </c>
      <c r="L140">
        <v>367.25720000000001</v>
      </c>
      <c r="M140">
        <v>0.99977910000000003</v>
      </c>
      <c r="N140">
        <v>-5.0464239999999999E-3</v>
      </c>
      <c r="O140">
        <v>2.041258E-2</v>
      </c>
      <c r="P140">
        <v>0.99271909999999997</v>
      </c>
      <c r="Q140">
        <v>0.1189953</v>
      </c>
      <c r="R140">
        <v>-1.8688940000000001E-2</v>
      </c>
      <c r="S140">
        <v>3.0285030000000002</v>
      </c>
      <c r="T140">
        <v>-5.4496879999999998E-2</v>
      </c>
      <c r="U140">
        <v>6.3781740000000003E-3</v>
      </c>
      <c r="V140">
        <v>3.8906299999999998E-2</v>
      </c>
      <c r="W140">
        <v>0.1240141</v>
      </c>
      <c r="X140">
        <v>0.99151739999999999</v>
      </c>
      <c r="Y140">
        <v>1.8301680000000001E-2</v>
      </c>
      <c r="Z140">
        <v>-4.750919E-4</v>
      </c>
      <c r="AA140">
        <v>0.99983239999999995</v>
      </c>
      <c r="AB140">
        <v>25</v>
      </c>
      <c r="AC140">
        <v>62.111600000000003</v>
      </c>
      <c r="AD140">
        <v>-1.1205367414229901</v>
      </c>
      <c r="AE140">
        <v>0.127700000000004</v>
      </c>
      <c r="AF140">
        <v>1.1398295346299501</v>
      </c>
      <c r="AG140">
        <v>-1.1205367414229901</v>
      </c>
      <c r="AH140">
        <v>62.081059677959203</v>
      </c>
      <c r="AI140">
        <v>91.033877975657404</v>
      </c>
      <c r="AJ140">
        <v>88.948148032645705</v>
      </c>
      <c r="AK140">
        <v>62.101632705551502</v>
      </c>
      <c r="AL140">
        <v>82.876174952145206</v>
      </c>
      <c r="AM140">
        <v>87.752915126396005</v>
      </c>
      <c r="AN140">
        <v>0.99999997584062905</v>
      </c>
    </row>
    <row r="141" spans="1:40" x14ac:dyDescent="0.25">
      <c r="A141" t="str">
        <f>"20190303170230746"</f>
        <v>20190303170230746</v>
      </c>
      <c r="B141" t="str">
        <f>"1551603750735615"</f>
        <v>1551603750735615</v>
      </c>
      <c r="C141" t="s">
        <v>40</v>
      </c>
      <c r="D141">
        <v>4.0942949999999998</v>
      </c>
      <c r="E141">
        <v>0.49358869999999999</v>
      </c>
      <c r="F141" t="s">
        <v>42</v>
      </c>
      <c r="G141">
        <v>-398.3997</v>
      </c>
      <c r="H141" s="1">
        <v>-1.1085090000000001E-6</v>
      </c>
      <c r="I141">
        <v>367.44439999999997</v>
      </c>
      <c r="J141">
        <v>-458.72910000000002</v>
      </c>
      <c r="K141">
        <v>1.120519</v>
      </c>
      <c r="L141">
        <v>367.26159999999999</v>
      </c>
      <c r="M141">
        <v>0.99977530000000003</v>
      </c>
      <c r="N141">
        <v>-5.1243809999999999E-3</v>
      </c>
      <c r="O141">
        <v>2.0575079999999999E-2</v>
      </c>
      <c r="P141">
        <v>0.9926857</v>
      </c>
      <c r="Q141">
        <v>0.1192341</v>
      </c>
      <c r="R141">
        <v>-1.893684E-2</v>
      </c>
      <c r="S141">
        <v>3.028931</v>
      </c>
      <c r="T141">
        <v>-5.6068060000000003E-2</v>
      </c>
      <c r="U141">
        <v>9.3688959999999998E-3</v>
      </c>
      <c r="V141">
        <v>3.9321790000000002E-2</v>
      </c>
      <c r="W141">
        <v>0.1243278</v>
      </c>
      <c r="X141">
        <v>0.99146179999999995</v>
      </c>
      <c r="Y141">
        <v>1.7477119999999999E-2</v>
      </c>
      <c r="Z141">
        <v>-4.818995E-4</v>
      </c>
      <c r="AA141">
        <v>0.99984720000000005</v>
      </c>
      <c r="AB141">
        <v>25</v>
      </c>
      <c r="AC141">
        <v>60.3294</v>
      </c>
      <c r="AD141">
        <v>-1.120520108509</v>
      </c>
      <c r="AE141">
        <v>0.182799999999986</v>
      </c>
      <c r="AF141">
        <v>1.0581720416051601</v>
      </c>
      <c r="AG141">
        <v>-1.120520108509</v>
      </c>
      <c r="AH141">
        <v>60.299588392383598</v>
      </c>
      <c r="AI141">
        <v>91.064415310066295</v>
      </c>
      <c r="AJ141">
        <v>88.994643725592994</v>
      </c>
      <c r="AK141">
        <v>60.319280944604202</v>
      </c>
      <c r="AL141">
        <v>82.858061632950594</v>
      </c>
      <c r="AM141">
        <v>87.728815721084004</v>
      </c>
      <c r="AN141">
        <v>1.00000005294044</v>
      </c>
    </row>
    <row r="142" spans="1:40" x14ac:dyDescent="0.25">
      <c r="A142" t="str">
        <f>"20190303170230760"</f>
        <v>20190303170230760</v>
      </c>
      <c r="B142" t="str">
        <f>"1551603750746351"</f>
        <v>1551603750746351</v>
      </c>
      <c r="C142" t="s">
        <v>40</v>
      </c>
      <c r="D142">
        <v>4.1315369999999998</v>
      </c>
      <c r="E142">
        <v>0.4934075</v>
      </c>
      <c r="F142" t="s">
        <v>42</v>
      </c>
      <c r="G142">
        <v>-395.8442</v>
      </c>
      <c r="H142" s="1">
        <v>-2.1469769999999999E-6</v>
      </c>
      <c r="I142">
        <v>367.46359999999999</v>
      </c>
      <c r="J142">
        <v>-458.57299999999998</v>
      </c>
      <c r="K142">
        <v>1.1205080000000001</v>
      </c>
      <c r="L142">
        <v>367.26490000000001</v>
      </c>
      <c r="M142">
        <v>0.99977269999999896</v>
      </c>
      <c r="N142">
        <v>-5.1802180000000003E-3</v>
      </c>
      <c r="O142">
        <v>2.068159E-2</v>
      </c>
      <c r="P142">
        <v>0.99262729999999999</v>
      </c>
      <c r="Q142">
        <v>0.1197011</v>
      </c>
      <c r="R142">
        <v>-1.9051749999999999E-2</v>
      </c>
      <c r="S142">
        <v>3.028778</v>
      </c>
      <c r="T142">
        <v>-5.3968549999999997E-2</v>
      </c>
      <c r="U142">
        <v>9.7351069999999998E-3</v>
      </c>
      <c r="V142">
        <v>3.9546640000000001E-2</v>
      </c>
      <c r="W142">
        <v>0.12484770000000001</v>
      </c>
      <c r="X142">
        <v>0.99138749999999998</v>
      </c>
      <c r="Y142">
        <v>1.7463030000000001E-2</v>
      </c>
      <c r="Z142">
        <v>-4.621343E-4</v>
      </c>
      <c r="AA142">
        <v>0.99984740000000005</v>
      </c>
      <c r="AB142">
        <v>25</v>
      </c>
      <c r="AC142">
        <v>62.7288</v>
      </c>
      <c r="AD142">
        <v>-1.120510146977</v>
      </c>
      <c r="AE142">
        <v>0.19869999999997301</v>
      </c>
      <c r="AF142">
        <v>1.0983407674653001</v>
      </c>
      <c r="AG142">
        <v>-1.120510146977</v>
      </c>
      <c r="AH142">
        <v>62.6994863937255</v>
      </c>
      <c r="AI142">
        <v>91.023673838422198</v>
      </c>
      <c r="AJ142">
        <v>88.996421530238393</v>
      </c>
      <c r="AK142">
        <v>62.7191158217965</v>
      </c>
      <c r="AL142">
        <v>82.828039479827297</v>
      </c>
      <c r="AM142">
        <v>87.715671337984901</v>
      </c>
      <c r="AN142">
        <v>1.00000003004341</v>
      </c>
    </row>
    <row r="143" spans="1:40" x14ac:dyDescent="0.25">
      <c r="A143" t="str">
        <f>"20190303170230772"</f>
        <v>20190303170230772</v>
      </c>
      <c r="B143" t="str">
        <f>"1551603750765871"</f>
        <v>1551603750765871</v>
      </c>
      <c r="C143" t="s">
        <v>40</v>
      </c>
      <c r="D143">
        <v>4.1000480000000001</v>
      </c>
      <c r="E143">
        <v>0.49326540000000002</v>
      </c>
      <c r="F143" t="s">
        <v>42</v>
      </c>
      <c r="G143">
        <v>-388.77780000000001</v>
      </c>
      <c r="H143" s="1">
        <v>-9.6323360000000007E-7</v>
      </c>
      <c r="I143">
        <v>367.5068</v>
      </c>
      <c r="J143">
        <v>-458.41640000000001</v>
      </c>
      <c r="K143">
        <v>1.120493</v>
      </c>
      <c r="L143">
        <v>367.26819999999998</v>
      </c>
      <c r="M143">
        <v>0.99977059999999995</v>
      </c>
      <c r="N143">
        <v>-5.2332109999999998E-3</v>
      </c>
      <c r="O143">
        <v>2.0773130000000001E-2</v>
      </c>
      <c r="P143">
        <v>0.99256630000000001</v>
      </c>
      <c r="Q143">
        <v>0.1201624</v>
      </c>
      <c r="R143">
        <v>-1.9328359999999999E-2</v>
      </c>
      <c r="S143">
        <v>3.0283509999999998</v>
      </c>
      <c r="T143">
        <v>-4.8617840000000002E-2</v>
      </c>
      <c r="U143">
        <v>1.049805E-2</v>
      </c>
      <c r="V143">
        <v>3.9918120000000001E-2</v>
      </c>
      <c r="W143">
        <v>0.1253601</v>
      </c>
      <c r="X143">
        <v>0.99130790000000002</v>
      </c>
      <c r="Y143">
        <v>1.73032999999999E-2</v>
      </c>
      <c r="Z143">
        <v>-4.0890680000000001E-4</v>
      </c>
      <c r="AA143">
        <v>0.99985020000000002</v>
      </c>
      <c r="AB143">
        <v>25</v>
      </c>
      <c r="AC143">
        <v>69.638599999999997</v>
      </c>
      <c r="AD143">
        <v>-1.1204939632336</v>
      </c>
      <c r="AE143">
        <v>0.23860000000001899</v>
      </c>
      <c r="AF143">
        <v>1.20777019184234</v>
      </c>
      <c r="AG143">
        <v>-1.1204939632336</v>
      </c>
      <c r="AH143">
        <v>69.610507773002098</v>
      </c>
      <c r="AI143">
        <v>90.922050057213099</v>
      </c>
      <c r="AJ143">
        <v>89.005995011929997</v>
      </c>
      <c r="AK143">
        <v>69.630000775334906</v>
      </c>
      <c r="AL143">
        <v>82.798448297553406</v>
      </c>
      <c r="AM143">
        <v>87.694051679511304</v>
      </c>
      <c r="AN143">
        <v>0.99999998178937699</v>
      </c>
    </row>
    <row r="144" spans="1:40" x14ac:dyDescent="0.25">
      <c r="A144" t="str">
        <f>"20190303170230791"</f>
        <v>20190303170230791</v>
      </c>
      <c r="B144" t="str">
        <f>"1551603750786367"</f>
        <v>1551603750786367</v>
      </c>
      <c r="C144" t="s">
        <v>40</v>
      </c>
      <c r="D144">
        <v>4.1877050000000002</v>
      </c>
      <c r="E144">
        <v>0.49283359999999898</v>
      </c>
      <c r="F144" t="s">
        <v>42</v>
      </c>
      <c r="G144">
        <v>-383.91579999999999</v>
      </c>
      <c r="H144" s="1">
        <v>-2.9612379999999999E-6</v>
      </c>
      <c r="I144">
        <v>367.53699999999998</v>
      </c>
      <c r="J144">
        <v>-458.21199999999999</v>
      </c>
      <c r="K144">
        <v>1.120484</v>
      </c>
      <c r="L144">
        <v>367.27260000000001</v>
      </c>
      <c r="M144">
        <v>0.99976830000000005</v>
      </c>
      <c r="N144">
        <v>-5.2972640000000003E-3</v>
      </c>
      <c r="O144">
        <v>2.08676E-2</v>
      </c>
      <c r="P144">
        <v>0.99245159999999999</v>
      </c>
      <c r="Q144">
        <v>0.12098159999999999</v>
      </c>
      <c r="R144">
        <v>-2.0084009999999999E-2</v>
      </c>
      <c r="S144">
        <v>3.0281980000000002</v>
      </c>
      <c r="T144">
        <v>-4.5544389999999997E-2</v>
      </c>
      <c r="U144">
        <v>1.0925290000000001E-2</v>
      </c>
      <c r="V144">
        <v>4.0771549999999997E-2</v>
      </c>
      <c r="W144">
        <v>0.1262395</v>
      </c>
      <c r="X144">
        <v>0.99116159999999998</v>
      </c>
      <c r="Y144">
        <v>1.7257089999999999E-2</v>
      </c>
      <c r="Z144">
        <v>-3.7874529999999999E-4</v>
      </c>
      <c r="AA144">
        <v>0.99985100000000005</v>
      </c>
      <c r="AB144">
        <v>25</v>
      </c>
      <c r="AC144">
        <v>74.296199999999999</v>
      </c>
      <c r="AD144">
        <v>-1.120486961238</v>
      </c>
      <c r="AE144">
        <v>0.264399999999966</v>
      </c>
      <c r="AF144">
        <v>1.2857701376108299</v>
      </c>
      <c r="AG144">
        <v>-1.120486961238</v>
      </c>
      <c r="AH144">
        <v>74.268646892854093</v>
      </c>
      <c r="AI144">
        <v>90.864223192092894</v>
      </c>
      <c r="AJ144">
        <v>89.008170383183597</v>
      </c>
      <c r="AK144">
        <v>74.288226571728899</v>
      </c>
      <c r="AL144">
        <v>82.747659205198104</v>
      </c>
      <c r="AM144">
        <v>87.644459315499304</v>
      </c>
      <c r="AN144">
        <v>1.0000000239821001</v>
      </c>
    </row>
    <row r="145" spans="1:40" x14ac:dyDescent="0.25">
      <c r="A145" t="str">
        <f>"20190303170230804"</f>
        <v>20190303170230804</v>
      </c>
      <c r="B145" t="str">
        <f>"1551603750796127"</f>
        <v>1551603750796127</v>
      </c>
      <c r="C145" t="s">
        <v>40</v>
      </c>
      <c r="D145">
        <v>4.084009</v>
      </c>
      <c r="E145">
        <v>0.49287510000000001</v>
      </c>
      <c r="F145" t="s">
        <v>42</v>
      </c>
      <c r="G145">
        <v>-375.91820000000001</v>
      </c>
      <c r="H145" s="1">
        <v>-2.0894030000000001E-6</v>
      </c>
      <c r="I145">
        <v>367.60919999999999</v>
      </c>
      <c r="J145">
        <v>-458.05689999999998</v>
      </c>
      <c r="K145">
        <v>1.1204780000000001</v>
      </c>
      <c r="L145">
        <v>367.27589999999998</v>
      </c>
      <c r="M145">
        <v>0.99976690000000001</v>
      </c>
      <c r="N145">
        <v>-5.342706E-3</v>
      </c>
      <c r="O145">
        <v>2.092192E-2</v>
      </c>
      <c r="P145">
        <v>0.99238099999999996</v>
      </c>
      <c r="Q145">
        <v>0.1214872</v>
      </c>
      <c r="R145">
        <v>-2.0518189999999999E-2</v>
      </c>
      <c r="S145">
        <v>3.0281069999999999</v>
      </c>
      <c r="T145">
        <v>-4.1229719999999997E-2</v>
      </c>
      <c r="U145">
        <v>1.2390139999999999E-2</v>
      </c>
      <c r="V145">
        <v>4.1262600000000003E-2</v>
      </c>
      <c r="W145">
        <v>0.1267886</v>
      </c>
      <c r="X145">
        <v>0.99107120000000004</v>
      </c>
      <c r="Y145">
        <v>1.682838E-2</v>
      </c>
      <c r="Z145">
        <v>-3.3256600000000001E-4</v>
      </c>
      <c r="AA145">
        <v>0.99985829999999998</v>
      </c>
      <c r="AB145">
        <v>25</v>
      </c>
      <c r="AC145">
        <v>82.138699999999901</v>
      </c>
      <c r="AD145">
        <v>-1.120480089403</v>
      </c>
      <c r="AE145">
        <v>0.33330000000000798</v>
      </c>
      <c r="AF145">
        <v>1.3850389555128699</v>
      </c>
      <c r="AG145">
        <v>-1.120480089403</v>
      </c>
      <c r="AH145">
        <v>82.112414062079594</v>
      </c>
      <c r="AI145">
        <v>90.781680425426899</v>
      </c>
      <c r="AJ145">
        <v>89.033649628891595</v>
      </c>
      <c r="AK145">
        <v>82.131737785349799</v>
      </c>
      <c r="AL145">
        <v>82.715943347423405</v>
      </c>
      <c r="AM145">
        <v>87.615904672685303</v>
      </c>
      <c r="AN145">
        <v>1.0000000373590701</v>
      </c>
    </row>
    <row r="146" spans="1:40" x14ac:dyDescent="0.25">
      <c r="A146" t="str">
        <f>"20190303170230820"</f>
        <v>20190303170230820</v>
      </c>
      <c r="B146" t="str">
        <f>"1551603750805888"</f>
        <v>1551603750805888</v>
      </c>
      <c r="C146" t="s">
        <v>40</v>
      </c>
      <c r="D146">
        <v>4.1954690000000001</v>
      </c>
      <c r="E146">
        <v>0.49298779999999998</v>
      </c>
      <c r="F146" t="s">
        <v>42</v>
      </c>
      <c r="G146">
        <v>-370.91359999999997</v>
      </c>
      <c r="H146" s="1">
        <v>-4.2420929999999996E-6</v>
      </c>
      <c r="I146">
        <v>367.57709999999997</v>
      </c>
      <c r="J146">
        <v>-457.8852</v>
      </c>
      <c r="K146">
        <v>1.120468</v>
      </c>
      <c r="L146">
        <v>367.27949999999998</v>
      </c>
      <c r="M146">
        <v>0.99976560000000003</v>
      </c>
      <c r="N146">
        <v>-5.390644E-3</v>
      </c>
      <c r="O146">
        <v>2.0968359999999998E-2</v>
      </c>
      <c r="P146">
        <v>0.99236179999999996</v>
      </c>
      <c r="Q146">
        <v>0.1215504</v>
      </c>
      <c r="R146">
        <v>-2.1062060000000001E-2</v>
      </c>
      <c r="S146">
        <v>3.0280459999999998</v>
      </c>
      <c r="T146">
        <v>-3.893435E-2</v>
      </c>
      <c r="U146">
        <v>1.0467529999999999E-2</v>
      </c>
      <c r="V146">
        <v>4.1857119999999998E-2</v>
      </c>
      <c r="W146">
        <v>0.12689739999999999</v>
      </c>
      <c r="X146">
        <v>0.99103229999999998</v>
      </c>
      <c r="Y146">
        <v>1.7509819999999999E-2</v>
      </c>
      <c r="Z146">
        <v>-3.1630500000000001E-4</v>
      </c>
      <c r="AA146">
        <v>0.99984660000000003</v>
      </c>
      <c r="AB146">
        <v>26</v>
      </c>
      <c r="AC146">
        <v>86.971599999999995</v>
      </c>
      <c r="AD146">
        <v>-1.120472242093</v>
      </c>
      <c r="AE146">
        <v>0.29759999999998799</v>
      </c>
      <c r="AF146">
        <v>1.5258905015194899</v>
      </c>
      <c r="AG146">
        <v>-1.120472242093</v>
      </c>
      <c r="AH146">
        <v>86.944287560435598</v>
      </c>
      <c r="AI146">
        <v>90.738230143821298</v>
      </c>
      <c r="AJ146">
        <v>88.994550260719606</v>
      </c>
      <c r="AK146">
        <v>86.964894867179893</v>
      </c>
      <c r="AL146">
        <v>82.709658488532199</v>
      </c>
      <c r="AM146">
        <v>87.581499819807902</v>
      </c>
      <c r="AN146">
        <v>0.99999999413237195</v>
      </c>
    </row>
    <row r="147" spans="1:40" x14ac:dyDescent="0.25">
      <c r="A147" t="str">
        <f>"20190303170230836"</f>
        <v>20190303170230836</v>
      </c>
      <c r="B147" t="str">
        <f>"1551603750826383"</f>
        <v>1551603750826383</v>
      </c>
      <c r="C147" t="s">
        <v>40</v>
      </c>
      <c r="D147">
        <v>4.1090179999999998</v>
      </c>
      <c r="E147">
        <v>0.49304569999999998</v>
      </c>
      <c r="F147" t="s">
        <v>42</v>
      </c>
      <c r="G147">
        <v>-372.1189</v>
      </c>
      <c r="H147" s="1">
        <v>-3.7371690000000002E-6</v>
      </c>
      <c r="I147">
        <v>367.50850000000003</v>
      </c>
      <c r="J147">
        <v>-457.70170000000002</v>
      </c>
      <c r="K147">
        <v>1.1204540000000001</v>
      </c>
      <c r="L147">
        <v>367.28339999999997</v>
      </c>
      <c r="M147">
        <v>0.99976469999999995</v>
      </c>
      <c r="N147">
        <v>-5.4389349999999998E-3</v>
      </c>
      <c r="O147">
        <v>2.100132E-2</v>
      </c>
      <c r="P147">
        <v>0.99229080000000003</v>
      </c>
      <c r="Q147">
        <v>0.121954199999999</v>
      </c>
      <c r="R147">
        <v>-2.2051479999999998E-2</v>
      </c>
      <c r="S147">
        <v>3.0281370000000001</v>
      </c>
      <c r="T147">
        <v>-3.9560320000000003E-2</v>
      </c>
      <c r="U147">
        <v>8.0871580000000005E-3</v>
      </c>
      <c r="V147">
        <v>4.2882370000000003E-2</v>
      </c>
      <c r="W147">
        <v>0.12734719999999999</v>
      </c>
      <c r="X147">
        <v>0.9909308</v>
      </c>
      <c r="Y147">
        <v>1.832866E-2</v>
      </c>
      <c r="Z147">
        <v>-3.296749E-4</v>
      </c>
      <c r="AA147">
        <v>0.99983200000000005</v>
      </c>
      <c r="AB147">
        <v>26</v>
      </c>
      <c r="AC147">
        <v>85.582800000000006</v>
      </c>
      <c r="AD147">
        <v>-1.1204577371690001</v>
      </c>
      <c r="AE147">
        <v>0.22510000000005401</v>
      </c>
      <c r="AF147">
        <v>1.5720584654376899</v>
      </c>
      <c r="AG147">
        <v>-1.1204577371690001</v>
      </c>
      <c r="AH147">
        <v>85.553987355050694</v>
      </c>
      <c r="AI147">
        <v>90.750204615601405</v>
      </c>
      <c r="AJ147">
        <v>88.947305874963902</v>
      </c>
      <c r="AK147">
        <v>85.575764943748595</v>
      </c>
      <c r="AL147">
        <v>82.683676306594506</v>
      </c>
      <c r="AM147">
        <v>87.5220804520619</v>
      </c>
      <c r="AN147">
        <v>1.00000002869664</v>
      </c>
    </row>
    <row r="148" spans="1:40" x14ac:dyDescent="0.25">
      <c r="A148" t="str">
        <f>"20190303170230857"</f>
        <v>20190303170230857</v>
      </c>
      <c r="B148" t="str">
        <f>"1551603750845903"</f>
        <v>1551603750845903</v>
      </c>
      <c r="C148" t="s">
        <v>40</v>
      </c>
      <c r="D148">
        <v>4.2584980000000003</v>
      </c>
      <c r="E148">
        <v>0.4931622</v>
      </c>
      <c r="F148" t="s">
        <v>42</v>
      </c>
      <c r="G148">
        <v>-374.8399</v>
      </c>
      <c r="H148" s="1">
        <v>-2.5849340000000001E-6</v>
      </c>
      <c r="I148">
        <v>367.42360000000002</v>
      </c>
      <c r="J148">
        <v>-457.45479999999998</v>
      </c>
      <c r="K148">
        <v>1.1204430000000001</v>
      </c>
      <c r="L148">
        <v>367.28859999999997</v>
      </c>
      <c r="M148">
        <v>0.99976390000000004</v>
      </c>
      <c r="N148">
        <v>-5.4990589999999997E-3</v>
      </c>
      <c r="O148">
        <v>2.1022740000000002E-2</v>
      </c>
      <c r="P148">
        <v>0.99230640000000003</v>
      </c>
      <c r="Q148">
        <v>0.121753</v>
      </c>
      <c r="R148">
        <v>-2.24555E-2</v>
      </c>
      <c r="S148">
        <v>3.028381</v>
      </c>
      <c r="T148">
        <v>-4.0949699999999999E-2</v>
      </c>
      <c r="U148">
        <v>5.1269530000000001E-3</v>
      </c>
      <c r="V148">
        <v>4.3313129999999998E-2</v>
      </c>
      <c r="W148">
        <v>0.12720390000000001</v>
      </c>
      <c r="X148">
        <v>0.99093039999999999</v>
      </c>
      <c r="Y148">
        <v>1.9327279999999999E-2</v>
      </c>
      <c r="Z148">
        <v>-3.5243919999999998E-4</v>
      </c>
      <c r="AA148">
        <v>0.99981310000000001</v>
      </c>
      <c r="AB148">
        <v>26</v>
      </c>
      <c r="AC148">
        <v>82.614899999999906</v>
      </c>
      <c r="AD148">
        <v>-1.12044558493399</v>
      </c>
      <c r="AE148">
        <v>0.135000000000047</v>
      </c>
      <c r="AF148">
        <v>1.6015530341829201</v>
      </c>
      <c r="AG148">
        <v>-1.12044558493399</v>
      </c>
      <c r="AH148">
        <v>82.584289370527898</v>
      </c>
      <c r="AI148">
        <v>90.777155062156496</v>
      </c>
      <c r="AJ148">
        <v>88.889005047973299</v>
      </c>
      <c r="AK148">
        <v>82.607416260679599</v>
      </c>
      <c r="AL148">
        <v>82.691953596046602</v>
      </c>
      <c r="AM148">
        <v>87.497219854088698</v>
      </c>
      <c r="AN148">
        <v>0.99999995852488199</v>
      </c>
    </row>
    <row r="149" spans="1:40" x14ac:dyDescent="0.25">
      <c r="A149" t="str">
        <f>"20190303170230870"</f>
        <v>20190303170230870</v>
      </c>
      <c r="B149" t="str">
        <f>"1551603750855663"</f>
        <v>1551603750855663</v>
      </c>
      <c r="C149" t="s">
        <v>40</v>
      </c>
      <c r="D149">
        <v>4.0958040000000002</v>
      </c>
      <c r="E149">
        <v>0.4931779</v>
      </c>
      <c r="F149" t="s">
        <v>42</v>
      </c>
      <c r="G149">
        <v>-378.947</v>
      </c>
      <c r="H149" s="1">
        <v>-9.4123910000000005E-7</v>
      </c>
      <c r="I149">
        <v>367.3732</v>
      </c>
      <c r="J149">
        <v>-457.29610000000002</v>
      </c>
      <c r="K149">
        <v>1.1204379999999901</v>
      </c>
      <c r="L149">
        <v>367.29199999999997</v>
      </c>
      <c r="M149">
        <v>0.99976370000000003</v>
      </c>
      <c r="N149">
        <v>-5.5353659999999999E-3</v>
      </c>
      <c r="O149">
        <v>2.1027230000000001E-2</v>
      </c>
      <c r="P149">
        <v>0.99230019999999997</v>
      </c>
      <c r="Q149">
        <v>0.1217839</v>
      </c>
      <c r="R149">
        <v>-2.257033E-2</v>
      </c>
      <c r="S149">
        <v>3.0286249999999999</v>
      </c>
      <c r="T149">
        <v>-4.3223739999999997E-2</v>
      </c>
      <c r="U149">
        <v>3.2653809999999999E-3</v>
      </c>
      <c r="V149">
        <v>4.3434609999999998E-2</v>
      </c>
      <c r="W149">
        <v>0.1272701</v>
      </c>
      <c r="X149">
        <v>0.99091660000000004</v>
      </c>
      <c r="Y149">
        <v>1.994599E-2</v>
      </c>
      <c r="Z149">
        <v>-3.8119800000000002E-4</v>
      </c>
      <c r="AA149">
        <v>0.99980100000000005</v>
      </c>
      <c r="AB149">
        <v>26</v>
      </c>
      <c r="AC149">
        <v>78.349100000000007</v>
      </c>
      <c r="AD149">
        <v>-1.12043894123909</v>
      </c>
      <c r="AE149">
        <v>8.1200000000023906E-2</v>
      </c>
      <c r="AF149">
        <v>1.56598728626547</v>
      </c>
      <c r="AG149">
        <v>-1.12043894123909</v>
      </c>
      <c r="AH149">
        <v>78.317467727326402</v>
      </c>
      <c r="AI149">
        <v>90.819475122394905</v>
      </c>
      <c r="AJ149">
        <v>88.854501939175805</v>
      </c>
      <c r="AK149">
        <v>78.341135113186795</v>
      </c>
      <c r="AL149">
        <v>82.688129662567107</v>
      </c>
      <c r="AM149">
        <v>87.490174381516198</v>
      </c>
      <c r="AN149">
        <v>0.99999997592770995</v>
      </c>
    </row>
    <row r="150" spans="1:40" x14ac:dyDescent="0.25">
      <c r="A150" t="str">
        <f>"20190303170230883"</f>
        <v>20190303170230883</v>
      </c>
      <c r="B150" t="str">
        <f>"1551603750876159"</f>
        <v>1551603750876159</v>
      </c>
      <c r="C150" t="s">
        <v>40</v>
      </c>
      <c r="D150">
        <v>4.2541599999999997</v>
      </c>
      <c r="E150">
        <v>0.49322919999999998</v>
      </c>
      <c r="F150" t="s">
        <v>42</v>
      </c>
      <c r="G150">
        <v>-380.28930000000003</v>
      </c>
      <c r="H150" s="1">
        <v>-4.5475309999999999E-6</v>
      </c>
      <c r="I150">
        <v>367.36489999999998</v>
      </c>
      <c r="J150">
        <v>-457.14299999999997</v>
      </c>
      <c r="K150">
        <v>1.1204369999999999</v>
      </c>
      <c r="L150">
        <v>367.29520000000002</v>
      </c>
      <c r="M150">
        <v>0.99976350000000003</v>
      </c>
      <c r="N150">
        <v>-5.5688450000000002E-3</v>
      </c>
      <c r="O150">
        <v>2.1027819999999999E-2</v>
      </c>
      <c r="P150">
        <v>0.99229049999999996</v>
      </c>
      <c r="Q150">
        <v>0.12184780000000001</v>
      </c>
      <c r="R150">
        <v>-2.2645660000000001E-2</v>
      </c>
      <c r="S150">
        <v>3.028778</v>
      </c>
      <c r="T150">
        <v>-4.4068459999999997E-2</v>
      </c>
      <c r="U150">
        <v>2.8686520000000002E-3</v>
      </c>
      <c r="V150">
        <v>4.3512120000000001E-2</v>
      </c>
      <c r="W150">
        <v>0.12736620000000001</v>
      </c>
      <c r="X150">
        <v>0.99090089999999997</v>
      </c>
      <c r="Y150">
        <v>2.007743E-2</v>
      </c>
      <c r="Z150">
        <v>-3.907777E-4</v>
      </c>
      <c r="AA150">
        <v>0.99979839999999998</v>
      </c>
      <c r="AB150">
        <v>26</v>
      </c>
      <c r="AC150">
        <v>76.853700000000003</v>
      </c>
      <c r="AD150">
        <v>-1.1204415475309999</v>
      </c>
      <c r="AE150">
        <v>6.9699999999954798E-2</v>
      </c>
      <c r="AF150">
        <v>1.5460774401652999</v>
      </c>
      <c r="AG150">
        <v>-1.1204415475309999</v>
      </c>
      <c r="AH150">
        <v>76.821844081322695</v>
      </c>
      <c r="AI150">
        <v>90.8354267853056</v>
      </c>
      <c r="AJ150">
        <v>88.847049869227106</v>
      </c>
      <c r="AK150">
        <v>76.845568985904904</v>
      </c>
      <c r="AL150">
        <v>82.682578711557497</v>
      </c>
      <c r="AM150">
        <v>87.485661500233505</v>
      </c>
      <c r="AN150">
        <v>1.0000000235550699</v>
      </c>
    </row>
    <row r="151" spans="1:40" x14ac:dyDescent="0.25">
      <c r="A151" t="str">
        <f>"20190303170230904"</f>
        <v>20190303170230904</v>
      </c>
      <c r="B151" t="str">
        <f>"1551603750895680"</f>
        <v>1551603750895680</v>
      </c>
      <c r="C151" t="s">
        <v>40</v>
      </c>
      <c r="D151">
        <v>4.0792060000000001</v>
      </c>
      <c r="E151">
        <v>0.49323</v>
      </c>
      <c r="F151" t="s">
        <v>42</v>
      </c>
      <c r="G151">
        <v>-382.08890000000002</v>
      </c>
      <c r="H151" s="1">
        <v>-3.7770259999999999E-6</v>
      </c>
      <c r="I151">
        <v>367.35640000000001</v>
      </c>
      <c r="J151">
        <v>-456.90879999999999</v>
      </c>
      <c r="K151">
        <v>1.1204339999999999</v>
      </c>
      <c r="L151">
        <v>367.30009999999999</v>
      </c>
      <c r="M151">
        <v>0.99976330000000002</v>
      </c>
      <c r="N151">
        <v>-5.6175399999999999E-3</v>
      </c>
      <c r="O151">
        <v>2.102395E-2</v>
      </c>
      <c r="P151">
        <v>0.99223570000000005</v>
      </c>
      <c r="Q151">
        <v>0.1222448</v>
      </c>
      <c r="R151">
        <v>-2.2899880000000001E-2</v>
      </c>
      <c r="S151">
        <v>3.028931</v>
      </c>
      <c r="T151">
        <v>-4.5217159999999999E-2</v>
      </c>
      <c r="U151">
        <v>2.4719239999999999E-3</v>
      </c>
      <c r="V151">
        <v>4.3762820000000001E-2</v>
      </c>
      <c r="W151">
        <v>0.12781019999999901</v>
      </c>
      <c r="X151">
        <v>0.99083270000000001</v>
      </c>
      <c r="Y151">
        <v>2.0204340000000001E-2</v>
      </c>
      <c r="Z151">
        <v>-4.0326750000000002E-4</v>
      </c>
      <c r="AA151">
        <v>0.99979580000000001</v>
      </c>
      <c r="AB151">
        <v>26</v>
      </c>
      <c r="AC151">
        <v>74.819899999999905</v>
      </c>
      <c r="AD151">
        <v>-1.1204377770259999</v>
      </c>
      <c r="AE151">
        <v>5.63000000000215E-2</v>
      </c>
      <c r="AF151">
        <v>1.5164068676007101</v>
      </c>
      <c r="AG151">
        <v>-1.1204377770259999</v>
      </c>
      <c r="AH151">
        <v>74.787774392671295</v>
      </c>
      <c r="AI151">
        <v>90.858139781187802</v>
      </c>
      <c r="AJ151">
        <v>88.838422314474002</v>
      </c>
      <c r="AK151">
        <v>74.811537006061997</v>
      </c>
      <c r="AL151">
        <v>82.6569298511412</v>
      </c>
      <c r="AM151">
        <v>87.471019772460096</v>
      </c>
      <c r="AN151">
        <v>1.0000000355138401</v>
      </c>
    </row>
    <row r="152" spans="1:40" x14ac:dyDescent="0.25">
      <c r="A152" t="str">
        <f>"20190303170230925"</f>
        <v>20190303170230925</v>
      </c>
      <c r="B152" t="str">
        <f>"1551603750916175"</f>
        <v>1551603750916175</v>
      </c>
      <c r="C152" t="s">
        <v>40</v>
      </c>
      <c r="D152">
        <v>4.2586009999999996</v>
      </c>
      <c r="E152">
        <v>0.49325279999999999</v>
      </c>
      <c r="F152" t="s">
        <v>42</v>
      </c>
      <c r="G152">
        <v>-381.44659999999999</v>
      </c>
      <c r="H152" s="1">
        <v>-4.0546049999999996E-6</v>
      </c>
      <c r="I152">
        <v>367.3449</v>
      </c>
      <c r="J152">
        <v>-456.65679999999998</v>
      </c>
      <c r="K152">
        <v>1.1204350000000001</v>
      </c>
      <c r="L152">
        <v>367.30549999999999</v>
      </c>
      <c r="M152">
        <v>0.99976330000000002</v>
      </c>
      <c r="N152">
        <v>-5.6667189999999997E-3</v>
      </c>
      <c r="O152">
        <v>2.101563E-2</v>
      </c>
      <c r="P152">
        <v>0.99223530000000004</v>
      </c>
      <c r="Q152">
        <v>0.1222273</v>
      </c>
      <c r="R152">
        <v>-2.302535E-2</v>
      </c>
      <c r="S152">
        <v>3.029083</v>
      </c>
      <c r="T152">
        <v>-4.4974800000000002E-2</v>
      </c>
      <c r="U152">
        <v>1.8005370000000001E-3</v>
      </c>
      <c r="V152">
        <v>4.388032E-2</v>
      </c>
      <c r="W152">
        <v>0.12784139999999999</v>
      </c>
      <c r="X152">
        <v>0.99082340000000002</v>
      </c>
      <c r="Y152">
        <v>2.0417680000000001E-2</v>
      </c>
      <c r="Z152">
        <v>-4.023292E-4</v>
      </c>
      <c r="AA152">
        <v>0.9997914</v>
      </c>
      <c r="AB152">
        <v>26</v>
      </c>
      <c r="AC152">
        <v>75.210199999999901</v>
      </c>
      <c r="AD152">
        <v>-1.120439054605</v>
      </c>
      <c r="AE152">
        <v>3.9400000000000497E-2</v>
      </c>
      <c r="AF152">
        <v>1.5408815069483699</v>
      </c>
      <c r="AG152">
        <v>-1.120439054605</v>
      </c>
      <c r="AH152">
        <v>75.177732666123902</v>
      </c>
      <c r="AI152">
        <v>90.8536862808009</v>
      </c>
      <c r="AJ152">
        <v>88.825800621149099</v>
      </c>
      <c r="AK152">
        <v>75.201869579903004</v>
      </c>
      <c r="AL152">
        <v>82.655126864646704</v>
      </c>
      <c r="AM152">
        <v>87.464214725219193</v>
      </c>
      <c r="AN152">
        <v>0.99999995801241004</v>
      </c>
    </row>
    <row r="153" spans="1:40" x14ac:dyDescent="0.25">
      <c r="A153" t="str">
        <f>"20190303170230939"</f>
        <v>20190303170230939</v>
      </c>
      <c r="B153" t="str">
        <f>"1551603750926911"</f>
        <v>1551603750926911</v>
      </c>
      <c r="C153" t="s">
        <v>40</v>
      </c>
      <c r="D153">
        <v>4.2533690000000002</v>
      </c>
      <c r="E153">
        <v>0.49328680000000003</v>
      </c>
      <c r="F153" t="s">
        <v>42</v>
      </c>
      <c r="G153">
        <v>-382.42399999999998</v>
      </c>
      <c r="H153" s="1">
        <v>-3.633153E-6</v>
      </c>
      <c r="I153">
        <v>367.35700000000003</v>
      </c>
      <c r="J153">
        <v>-456.49520000000001</v>
      </c>
      <c r="K153">
        <v>1.1204430000000001</v>
      </c>
      <c r="L153">
        <v>367.30880000000002</v>
      </c>
      <c r="M153">
        <v>0.99976310000000002</v>
      </c>
      <c r="N153">
        <v>-5.6968569999999996E-3</v>
      </c>
      <c r="O153">
        <v>2.100952E-2</v>
      </c>
      <c r="P153">
        <v>0.99228470000000002</v>
      </c>
      <c r="Q153">
        <v>0.1218683</v>
      </c>
      <c r="R153">
        <v>-2.2798209999999999E-2</v>
      </c>
      <c r="S153">
        <v>3.0291440000000001</v>
      </c>
      <c r="T153">
        <v>-4.5720579999999997E-2</v>
      </c>
      <c r="U153">
        <v>2.1057129999999999E-3</v>
      </c>
      <c r="V153">
        <v>4.3648190000000003E-2</v>
      </c>
      <c r="W153">
        <v>0.12751279999999901</v>
      </c>
      <c r="X153">
        <v>0.99087599999999998</v>
      </c>
      <c r="Y153">
        <v>2.0310749999999999E-2</v>
      </c>
      <c r="Z153">
        <v>-4.0851130000000001E-4</v>
      </c>
      <c r="AA153">
        <v>0.99979359999999995</v>
      </c>
      <c r="AB153">
        <v>26</v>
      </c>
      <c r="AC153">
        <v>74.071199999999905</v>
      </c>
      <c r="AD153">
        <v>-1.1204466331530001</v>
      </c>
      <c r="AE153">
        <v>4.8199999999951601E-2</v>
      </c>
      <c r="AF153">
        <v>1.50769118302609</v>
      </c>
      <c r="AG153">
        <v>-1.1204466331530001</v>
      </c>
      <c r="AH153">
        <v>74.038921657190897</v>
      </c>
      <c r="AI153">
        <v>90.866823269306295</v>
      </c>
      <c r="AJ153">
        <v>88.833418933630796</v>
      </c>
      <c r="AK153">
        <v>74.062746732218699</v>
      </c>
      <c r="AL153">
        <v>82.674109654405001</v>
      </c>
      <c r="AM153">
        <v>87.477745563510695</v>
      </c>
      <c r="AN153">
        <v>0.999999963015057</v>
      </c>
    </row>
    <row r="154" spans="1:40" x14ac:dyDescent="0.25">
      <c r="A154" t="str">
        <f>"20190303170230959"</f>
        <v>20190303170230959</v>
      </c>
      <c r="B154" t="str">
        <f>"1551603750946431"</f>
        <v>1551603750946431</v>
      </c>
      <c r="C154" t="s">
        <v>40</v>
      </c>
      <c r="D154">
        <v>4.1156949999999997</v>
      </c>
      <c r="E154">
        <v>0.49327759999999998</v>
      </c>
      <c r="F154" t="s">
        <v>42</v>
      </c>
      <c r="G154">
        <v>-384.69229999999999</v>
      </c>
      <c r="H154" s="1">
        <v>-2.6582019999999999E-6</v>
      </c>
      <c r="I154">
        <v>367.36739999999998</v>
      </c>
      <c r="J154">
        <v>-456.26369999999997</v>
      </c>
      <c r="K154">
        <v>1.1204449999999999</v>
      </c>
      <c r="L154">
        <v>367.31369999999998</v>
      </c>
      <c r="M154">
        <v>0.99976299999999996</v>
      </c>
      <c r="N154">
        <v>-5.7380010000000004E-3</v>
      </c>
      <c r="O154">
        <v>2.1001240000000001E-2</v>
      </c>
      <c r="P154">
        <v>0.99233839999999995</v>
      </c>
      <c r="Q154">
        <v>0.1214514</v>
      </c>
      <c r="R154">
        <v>-2.267636E-2</v>
      </c>
      <c r="S154">
        <v>3.029175</v>
      </c>
      <c r="T154">
        <v>-4.7268629999999999E-2</v>
      </c>
      <c r="U154">
        <v>2.4719239999999999E-3</v>
      </c>
      <c r="V154">
        <v>4.3518699999999903E-2</v>
      </c>
      <c r="W154">
        <v>0.12713720000000001</v>
      </c>
      <c r="X154">
        <v>0.99092999999999998</v>
      </c>
      <c r="Y154">
        <v>2.0181350000000001E-2</v>
      </c>
      <c r="Z154">
        <v>-4.225214E-4</v>
      </c>
      <c r="AA154">
        <v>0.99979629999999997</v>
      </c>
      <c r="AB154">
        <v>26</v>
      </c>
      <c r="AC154">
        <v>71.571399999999898</v>
      </c>
      <c r="AD154">
        <v>-1.120447658202</v>
      </c>
      <c r="AE154">
        <v>5.3699999999991997E-2</v>
      </c>
      <c r="AF154">
        <v>1.44906957798363</v>
      </c>
      <c r="AG154">
        <v>-1.120447658202</v>
      </c>
      <c r="AH154">
        <v>71.539209499484102</v>
      </c>
      <c r="AI154">
        <v>90.897109594716795</v>
      </c>
      <c r="AJ154">
        <v>88.839598318464795</v>
      </c>
      <c r="AK154">
        <v>71.562655773857898</v>
      </c>
      <c r="AL154">
        <v>82.695806847487205</v>
      </c>
      <c r="AM154">
        <v>87.485355517723207</v>
      </c>
      <c r="AN154">
        <v>1.0000000048867601</v>
      </c>
    </row>
    <row r="155" spans="1:40" x14ac:dyDescent="0.25">
      <c r="A155" t="str">
        <f>"20190303170230982"</f>
        <v>20190303170230982</v>
      </c>
      <c r="B155" t="str">
        <f>"1551603750975711"</f>
        <v>1551603750975711</v>
      </c>
      <c r="C155" t="s">
        <v>40</v>
      </c>
      <c r="D155">
        <v>4.1121819999999998</v>
      </c>
      <c r="E155">
        <v>0.49320639999999999</v>
      </c>
      <c r="F155" t="s">
        <v>42</v>
      </c>
      <c r="G155">
        <v>-387.6943</v>
      </c>
      <c r="H155" s="1">
        <v>-1.3697059999999999E-6</v>
      </c>
      <c r="I155">
        <v>367.37099999999998</v>
      </c>
      <c r="J155">
        <v>-455.99639999999999</v>
      </c>
      <c r="K155">
        <v>1.120458</v>
      </c>
      <c r="L155">
        <v>367.3193</v>
      </c>
      <c r="M155">
        <v>0.99976290000000001</v>
      </c>
      <c r="N155">
        <v>-5.7831030000000004E-3</v>
      </c>
      <c r="O155">
        <v>2.0993970000000001E-2</v>
      </c>
      <c r="P155">
        <v>0.99233720000000003</v>
      </c>
      <c r="Q155">
        <v>0.12151530000000001</v>
      </c>
      <c r="R155">
        <v>-2.2385800000000001E-2</v>
      </c>
      <c r="S155">
        <v>3.0292659999999998</v>
      </c>
      <c r="T155">
        <v>-4.9499149999999999E-2</v>
      </c>
      <c r="U155">
        <v>2.532959E-3</v>
      </c>
      <c r="V155">
        <v>4.322032E-2</v>
      </c>
      <c r="W155">
        <v>0.127246</v>
      </c>
      <c r="X155">
        <v>0.99092910000000001</v>
      </c>
      <c r="Y155">
        <v>2.0153529999999999E-2</v>
      </c>
      <c r="Z155">
        <v>-4.445195E-4</v>
      </c>
      <c r="AA155">
        <v>0.99979680000000004</v>
      </c>
      <c r="AB155">
        <v>26</v>
      </c>
      <c r="AC155">
        <v>68.302099999999996</v>
      </c>
      <c r="AD155">
        <v>-1.1204593697059999</v>
      </c>
      <c r="AE155">
        <v>5.1699999999982503E-2</v>
      </c>
      <c r="AF155">
        <v>1.38189570156212</v>
      </c>
      <c r="AG155">
        <v>-1.1204593697059999</v>
      </c>
      <c r="AH155">
        <v>68.269759457169997</v>
      </c>
      <c r="AI155">
        <v>90.940074876237105</v>
      </c>
      <c r="AJ155">
        <v>88.840394618193699</v>
      </c>
      <c r="AK155">
        <v>68.292936100807793</v>
      </c>
      <c r="AL155">
        <v>82.689522066613407</v>
      </c>
      <c r="AM155">
        <v>87.502572662262494</v>
      </c>
      <c r="AN155">
        <v>1.0000000109018501</v>
      </c>
    </row>
    <row r="156" spans="1:40" x14ac:dyDescent="0.25">
      <c r="A156" t="str">
        <f>"20190303170231004"</f>
        <v>20190303170231004</v>
      </c>
      <c r="B156" t="str">
        <f>"1551603750996207"</f>
        <v>1551603750996207</v>
      </c>
      <c r="C156" t="s">
        <v>40</v>
      </c>
      <c r="D156">
        <v>4.1097849999999996</v>
      </c>
      <c r="E156">
        <v>0.49317800000000001</v>
      </c>
      <c r="F156" t="s">
        <v>42</v>
      </c>
      <c r="G156">
        <v>-388.43049999999999</v>
      </c>
      <c r="H156" s="1">
        <v>-1.105991E-6</v>
      </c>
      <c r="I156">
        <v>367.41460000000001</v>
      </c>
      <c r="J156">
        <v>-455.71940000000001</v>
      </c>
      <c r="K156">
        <v>1.1204639999999999</v>
      </c>
      <c r="L156">
        <v>367.32510000000002</v>
      </c>
      <c r="M156">
        <v>0.99976279999999995</v>
      </c>
      <c r="N156">
        <v>-5.827306E-3</v>
      </c>
      <c r="O156">
        <v>2.0989500000000001E-2</v>
      </c>
      <c r="P156">
        <v>0.99228559999999999</v>
      </c>
      <c r="Q156">
        <v>0.1220122</v>
      </c>
      <c r="R156">
        <v>-2.1971319999999999E-2</v>
      </c>
      <c r="S156">
        <v>3.0294490000000001</v>
      </c>
      <c r="T156">
        <v>-5.023789E-2</v>
      </c>
      <c r="U156">
        <v>4.272461E-3</v>
      </c>
      <c r="V156">
        <v>4.2800009999999999E-2</v>
      </c>
      <c r="W156">
        <v>0.1277866</v>
      </c>
      <c r="X156">
        <v>0.99087769999999997</v>
      </c>
      <c r="Y156">
        <v>1.9574979999999999E-2</v>
      </c>
      <c r="Z156">
        <v>-4.4505009999999998E-4</v>
      </c>
      <c r="AA156">
        <v>0.99980829999999998</v>
      </c>
      <c r="AB156">
        <v>26</v>
      </c>
      <c r="AC156">
        <v>67.288899999999998</v>
      </c>
      <c r="AD156">
        <v>-1.12046510599099</v>
      </c>
      <c r="AE156">
        <v>8.9499999999986798E-2</v>
      </c>
      <c r="AF156">
        <v>1.32253723794162</v>
      </c>
      <c r="AG156">
        <v>-1.12046510599099</v>
      </c>
      <c r="AH156">
        <v>67.257305391495507</v>
      </c>
      <c r="AI156">
        <v>90.954239523293793</v>
      </c>
      <c r="AJ156">
        <v>88.873489844044002</v>
      </c>
      <c r="AK156">
        <v>67.279637895312604</v>
      </c>
      <c r="AL156">
        <v>82.658292477487905</v>
      </c>
      <c r="AM156">
        <v>87.526701266783803</v>
      </c>
      <c r="AN156">
        <v>0.99999993617642302</v>
      </c>
    </row>
    <row r="157" spans="1:40" x14ac:dyDescent="0.25">
      <c r="A157" t="str">
        <f>"20190303170231026"</f>
        <v>20190303170231026</v>
      </c>
      <c r="B157" t="str">
        <f>"1551603751015728"</f>
        <v>1551603751015728</v>
      </c>
      <c r="C157" t="s">
        <v>40</v>
      </c>
      <c r="D157">
        <v>4.1393269999999998</v>
      </c>
      <c r="E157">
        <v>0.49319170000000001</v>
      </c>
      <c r="F157" t="s">
        <v>42</v>
      </c>
      <c r="G157">
        <v>-387.30419999999998</v>
      </c>
      <c r="H157" s="1">
        <v>-1.521493E-6</v>
      </c>
      <c r="I157">
        <v>367.4588</v>
      </c>
      <c r="J157">
        <v>-455.46719999999999</v>
      </c>
      <c r="K157">
        <v>1.1204719999999999</v>
      </c>
      <c r="L157">
        <v>367.3304</v>
      </c>
      <c r="M157">
        <v>0.9997625</v>
      </c>
      <c r="N157">
        <v>-5.8703310000000003E-3</v>
      </c>
      <c r="O157">
        <v>2.098771E-2</v>
      </c>
      <c r="P157">
        <v>0.99230689999999999</v>
      </c>
      <c r="Q157">
        <v>0.121842699999999</v>
      </c>
      <c r="R157">
        <v>-2.1943520000000001E-2</v>
      </c>
      <c r="S157">
        <v>3.0295100000000001</v>
      </c>
      <c r="T157">
        <v>-4.9615619999999999E-2</v>
      </c>
      <c r="U157">
        <v>5.9204100000000001E-3</v>
      </c>
      <c r="V157">
        <v>4.2770799999999998E-2</v>
      </c>
      <c r="W157">
        <v>0.12765979999999999</v>
      </c>
      <c r="X157">
        <v>0.99089539999999998</v>
      </c>
      <c r="Y157">
        <v>1.9029589999999999E-2</v>
      </c>
      <c r="Z157">
        <v>-4.3215099999999998E-4</v>
      </c>
      <c r="AA157">
        <v>0.99981880000000001</v>
      </c>
      <c r="AB157">
        <v>27</v>
      </c>
      <c r="AC157">
        <v>68.162999999999997</v>
      </c>
      <c r="AD157">
        <v>-1.1204735214929999</v>
      </c>
      <c r="AE157">
        <v>0.12839999999999899</v>
      </c>
      <c r="AF157">
        <v>1.3018864242071599</v>
      </c>
      <c r="AG157">
        <v>-1.1204735214929999</v>
      </c>
      <c r="AH157">
        <v>68.132270201631599</v>
      </c>
      <c r="AI157">
        <v>90.942004473728801</v>
      </c>
      <c r="AJ157">
        <v>88.905312845701204</v>
      </c>
      <c r="AK157">
        <v>68.153918537396194</v>
      </c>
      <c r="AL157">
        <v>82.665618266928007</v>
      </c>
      <c r="AM157">
        <v>87.528431235757907</v>
      </c>
      <c r="AN157">
        <v>1.0000000298049101</v>
      </c>
    </row>
    <row r="158" spans="1:40" x14ac:dyDescent="0.25">
      <c r="A158" t="str">
        <f>"20190303170231040"</f>
        <v>20190303170231040</v>
      </c>
      <c r="B158" t="str">
        <f>"1551603751026464"</f>
        <v>1551603751026464</v>
      </c>
      <c r="C158" t="s">
        <v>40</v>
      </c>
      <c r="D158">
        <v>4.2538580000000001</v>
      </c>
      <c r="E158">
        <v>0.4932183</v>
      </c>
      <c r="F158" t="s">
        <v>42</v>
      </c>
      <c r="G158">
        <v>-388.86779999999999</v>
      </c>
      <c r="H158" s="1">
        <v>-9.4635060000000001E-7</v>
      </c>
      <c r="I158">
        <v>367.45519999999999</v>
      </c>
      <c r="J158">
        <v>-455.3109</v>
      </c>
      <c r="K158">
        <v>1.1204780000000001</v>
      </c>
      <c r="L158">
        <v>367.33370000000002</v>
      </c>
      <c r="M158">
        <v>0.99976240000000005</v>
      </c>
      <c r="N158">
        <v>-5.9032349999999997E-3</v>
      </c>
      <c r="O158">
        <v>2.0987430000000001E-2</v>
      </c>
      <c r="P158">
        <v>0.99232819999999999</v>
      </c>
      <c r="Q158">
        <v>0.12164320000000001</v>
      </c>
      <c r="R158">
        <v>-2.208893E-2</v>
      </c>
      <c r="S158">
        <v>3.0296630000000002</v>
      </c>
      <c r="T158">
        <v>-5.0971269999999999E-2</v>
      </c>
      <c r="U158">
        <v>5.6762699999999998E-3</v>
      </c>
      <c r="V158">
        <v>4.2916360000000001E-2</v>
      </c>
      <c r="W158">
        <v>0.12749340000000001</v>
      </c>
      <c r="X158">
        <v>0.99091050000000003</v>
      </c>
      <c r="Y158">
        <v>1.91097E-2</v>
      </c>
      <c r="Z158">
        <v>-4.4630160000000001E-4</v>
      </c>
      <c r="AA158">
        <v>0.99981730000000002</v>
      </c>
      <c r="AB158">
        <v>27</v>
      </c>
      <c r="AC158">
        <v>66.443100000000001</v>
      </c>
      <c r="AD158">
        <v>-1.1204789463506</v>
      </c>
      <c r="AE158">
        <v>0.12149999999996899</v>
      </c>
      <c r="AF158">
        <v>1.2726589228037499</v>
      </c>
      <c r="AG158">
        <v>-1.1204789463506</v>
      </c>
      <c r="AH158">
        <v>66.412128137062794</v>
      </c>
      <c r="AI158">
        <v>90.966402449138002</v>
      </c>
      <c r="AJ158">
        <v>88.902172489576003</v>
      </c>
      <c r="AK158">
        <v>66.433770760785904</v>
      </c>
      <c r="AL158">
        <v>82.675230611834095</v>
      </c>
      <c r="AM158">
        <v>87.520068081293701</v>
      </c>
      <c r="AN158">
        <v>1.00000000000472</v>
      </c>
    </row>
    <row r="159" spans="1:40" x14ac:dyDescent="0.25">
      <c r="A159" t="str">
        <f>"20190303170231052"</f>
        <v>20190303170231052</v>
      </c>
      <c r="B159" t="str">
        <f>"1551603751045984"</f>
        <v>1551603751045984</v>
      </c>
      <c r="C159" t="s">
        <v>40</v>
      </c>
      <c r="D159">
        <v>4.0823809999999998</v>
      </c>
      <c r="E159">
        <v>0.49320449999999999</v>
      </c>
      <c r="F159" t="s">
        <v>42</v>
      </c>
      <c r="G159">
        <v>-389.81909999999999</v>
      </c>
      <c r="H159" s="1">
        <v>-6.2423390000000004E-7</v>
      </c>
      <c r="I159">
        <v>367.44909999999999</v>
      </c>
      <c r="J159">
        <v>-455.13839999999999</v>
      </c>
      <c r="K159">
        <v>1.120485</v>
      </c>
      <c r="L159">
        <v>367.33730000000003</v>
      </c>
      <c r="M159">
        <v>0.99976220000000005</v>
      </c>
      <c r="N159">
        <v>-5.9495499999999996E-3</v>
      </c>
      <c r="O159">
        <v>2.098765E-2</v>
      </c>
      <c r="P159">
        <v>0.9923881</v>
      </c>
      <c r="Q159">
        <v>0.1210956</v>
      </c>
      <c r="R159">
        <v>-2.241052E-2</v>
      </c>
      <c r="S159">
        <v>3.029633</v>
      </c>
      <c r="T159">
        <v>-5.1833030000000002E-2</v>
      </c>
      <c r="U159">
        <v>5.3405759999999997E-3</v>
      </c>
      <c r="V159">
        <v>4.3239090000000001E-2</v>
      </c>
      <c r="W159">
        <v>0.12699160000000001</v>
      </c>
      <c r="X159">
        <v>0.99096090000000003</v>
      </c>
      <c r="Y159">
        <v>1.9220500000000001E-2</v>
      </c>
      <c r="Z159">
        <v>-4.5574299999999999E-4</v>
      </c>
      <c r="AA159">
        <v>0.99981520000000002</v>
      </c>
      <c r="AB159">
        <v>27</v>
      </c>
      <c r="AC159">
        <v>65.319299999999998</v>
      </c>
      <c r="AD159">
        <v>-1.1204856242339001</v>
      </c>
      <c r="AE159">
        <v>0.111799999999959</v>
      </c>
      <c r="AF159">
        <v>1.2587768618412101</v>
      </c>
      <c r="AG159">
        <v>-1.1204856242339001</v>
      </c>
      <c r="AH159">
        <v>65.288046871930007</v>
      </c>
      <c r="AI159">
        <v>90.983041655923799</v>
      </c>
      <c r="AJ159">
        <v>88.895453758899706</v>
      </c>
      <c r="AK159">
        <v>65.309793075566802</v>
      </c>
      <c r="AL159">
        <v>82.704217214057806</v>
      </c>
      <c r="AM159">
        <v>87.501569513294399</v>
      </c>
      <c r="AN159">
        <v>0.99999999535169903</v>
      </c>
    </row>
    <row r="160" spans="1:40" x14ac:dyDescent="0.25">
      <c r="A160" t="str">
        <f>"20190303170231070"</f>
        <v>20190303170231070</v>
      </c>
      <c r="B160" t="str">
        <f>"1551603751055744"</f>
        <v>1551603751055744</v>
      </c>
      <c r="C160" t="s">
        <v>40</v>
      </c>
      <c r="D160">
        <v>4.1084899999999998</v>
      </c>
      <c r="E160">
        <v>0.49379879999999998</v>
      </c>
      <c r="F160" t="s">
        <v>42</v>
      </c>
      <c r="G160">
        <v>-391.9058</v>
      </c>
      <c r="H160" s="1">
        <v>-3.8430049999999998E-6</v>
      </c>
      <c r="I160">
        <v>367.4271</v>
      </c>
      <c r="J160">
        <v>-454.93939999999998</v>
      </c>
      <c r="K160">
        <v>1.120498</v>
      </c>
      <c r="L160">
        <v>367.3415</v>
      </c>
      <c r="M160">
        <v>0.99976149999999997</v>
      </c>
      <c r="N160">
        <v>-6.0319199999999996E-3</v>
      </c>
      <c r="O160">
        <v>2.098823E-2</v>
      </c>
      <c r="P160">
        <v>0.9924849</v>
      </c>
      <c r="Q160">
        <v>0.12026100000000001</v>
      </c>
      <c r="R160">
        <v>-2.2604880000000001E-2</v>
      </c>
      <c r="S160">
        <v>3.0296630000000002</v>
      </c>
      <c r="T160">
        <v>-5.3685900000000002E-2</v>
      </c>
      <c r="U160">
        <v>4.3029790000000002E-3</v>
      </c>
      <c r="V160">
        <v>4.3435960000000003E-2</v>
      </c>
      <c r="W160">
        <v>0.1262395</v>
      </c>
      <c r="X160">
        <v>0.99104840000000005</v>
      </c>
      <c r="Y160">
        <v>1.956308E-2</v>
      </c>
      <c r="Z160">
        <v>-4.7758510000000002E-4</v>
      </c>
      <c r="AA160">
        <v>0.99980849999999999</v>
      </c>
      <c r="AB160">
        <v>27</v>
      </c>
      <c r="AC160">
        <v>63.0335999999999</v>
      </c>
      <c r="AD160">
        <v>-1.120501843005</v>
      </c>
      <c r="AE160">
        <v>8.5599999999999399E-2</v>
      </c>
      <c r="AF160">
        <v>1.2370157635035799</v>
      </c>
      <c r="AG160">
        <v>-1.120501843005</v>
      </c>
      <c r="AH160">
        <v>63.001603069106601</v>
      </c>
      <c r="AI160">
        <v>91.018718378618203</v>
      </c>
      <c r="AJ160">
        <v>88.875160740744704</v>
      </c>
      <c r="AK160">
        <v>63.023707615916997</v>
      </c>
      <c r="AL160">
        <v>82.747659121930198</v>
      </c>
      <c r="AM160">
        <v>87.4904298393609</v>
      </c>
      <c r="AN160">
        <v>1.0000000125619599</v>
      </c>
    </row>
    <row r="161" spans="1:40" x14ac:dyDescent="0.25">
      <c r="A161" t="str">
        <f>"20190303170231084"</f>
        <v>20190303170231084</v>
      </c>
      <c r="B161" t="str">
        <f>"1551603751076243"</f>
        <v>1551603751076243</v>
      </c>
      <c r="C161" t="s">
        <v>40</v>
      </c>
      <c r="D161">
        <v>4.0941640000000001</v>
      </c>
      <c r="E161">
        <v>0.49462420000000001</v>
      </c>
      <c r="F161" t="s">
        <v>42</v>
      </c>
      <c r="G161">
        <v>-394.27370000000002</v>
      </c>
      <c r="H161" s="1">
        <v>-2.8465179999999998E-6</v>
      </c>
      <c r="I161">
        <v>367.31819999999999</v>
      </c>
      <c r="J161">
        <v>-454.77910000000003</v>
      </c>
      <c r="K161">
        <v>1.1205210000000001</v>
      </c>
      <c r="L161">
        <v>367.34480000000002</v>
      </c>
      <c r="M161">
        <v>0.99976109999999896</v>
      </c>
      <c r="N161">
        <v>-6.1267860000000004E-3</v>
      </c>
      <c r="O161">
        <v>2.0988590000000001E-2</v>
      </c>
      <c r="P161">
        <v>0.99255539999999998</v>
      </c>
      <c r="Q161">
        <v>0.1196444</v>
      </c>
      <c r="R161">
        <v>-2.2790609999999999E-2</v>
      </c>
      <c r="S161">
        <v>3.02948</v>
      </c>
      <c r="T161">
        <v>-5.5954690000000001E-2</v>
      </c>
      <c r="U161">
        <v>-1.159668E-3</v>
      </c>
      <c r="V161">
        <v>4.3623370000000002E-2</v>
      </c>
      <c r="W161">
        <v>0.1257173</v>
      </c>
      <c r="X161">
        <v>0.99110659999999895</v>
      </c>
      <c r="Y161">
        <v>2.1365240000000001E-2</v>
      </c>
      <c r="Z161">
        <v>-5.2176329999999995E-4</v>
      </c>
      <c r="AA161">
        <v>0.99977159999999998</v>
      </c>
      <c r="AB161">
        <v>27</v>
      </c>
      <c r="AC161">
        <v>60.505400000000002</v>
      </c>
      <c r="AD161">
        <v>-1.1205238465180001</v>
      </c>
      <c r="AE161">
        <v>-2.6600000000030301E-2</v>
      </c>
      <c r="AF161">
        <v>1.29609628899514</v>
      </c>
      <c r="AG161">
        <v>-1.1205238465180001</v>
      </c>
      <c r="AH161">
        <v>60.470773229911998</v>
      </c>
      <c r="AI161">
        <v>91.061326002884201</v>
      </c>
      <c r="AJ161">
        <v>88.772142726893705</v>
      </c>
      <c r="AK161">
        <v>60.495039914892303</v>
      </c>
      <c r="AL161">
        <v>82.7778196468131</v>
      </c>
      <c r="AM161">
        <v>87.479763722812507</v>
      </c>
      <c r="AN161">
        <v>1.0000000652465</v>
      </c>
    </row>
    <row r="162" spans="1:40" x14ac:dyDescent="0.25">
      <c r="A162" t="str">
        <f>"20190303170231097"</f>
        <v>20190303170231097</v>
      </c>
      <c r="B162" t="str">
        <f>"1551603751085999"</f>
        <v>1551603751085999</v>
      </c>
      <c r="C162" t="s">
        <v>40</v>
      </c>
      <c r="D162">
        <v>4.075704</v>
      </c>
      <c r="E162">
        <v>0.49500509999999898</v>
      </c>
      <c r="F162" t="s">
        <v>42</v>
      </c>
      <c r="G162">
        <v>-394.17160000000001</v>
      </c>
      <c r="H162" s="1">
        <v>-2.9170000000000002E-6</v>
      </c>
      <c r="I162">
        <v>367.16770000000002</v>
      </c>
      <c r="J162">
        <v>-454.60879999999997</v>
      </c>
      <c r="K162">
        <v>1.1205480000000001</v>
      </c>
      <c r="L162">
        <v>367.34840000000003</v>
      </c>
      <c r="M162">
        <v>0.99976030000000005</v>
      </c>
      <c r="N162">
        <v>-6.2536519999999898E-3</v>
      </c>
      <c r="O162">
        <v>2.09892E-2</v>
      </c>
      <c r="P162">
        <v>0.99257830000000002</v>
      </c>
      <c r="Q162">
        <v>0.1194696</v>
      </c>
      <c r="R162">
        <v>-2.2705429999999999E-2</v>
      </c>
      <c r="S162">
        <v>3.0290530000000002</v>
      </c>
      <c r="T162">
        <v>-5.6001660000000002E-2</v>
      </c>
      <c r="U162">
        <v>-8.8500980000000007E-3</v>
      </c>
      <c r="V162">
        <v>4.3539370000000001E-2</v>
      </c>
      <c r="W162">
        <v>0.12566849999999999</v>
      </c>
      <c r="X162">
        <v>0.99111640000000001</v>
      </c>
      <c r="Y162">
        <v>2.3903569999999999E-2</v>
      </c>
      <c r="Z162">
        <v>-5.5243989999999895E-4</v>
      </c>
      <c r="AA162">
        <v>0.99971410000000005</v>
      </c>
      <c r="AB162">
        <v>27</v>
      </c>
      <c r="AC162">
        <v>60.437199999999898</v>
      </c>
      <c r="AD162">
        <v>-1.1205509170000001</v>
      </c>
      <c r="AE162">
        <v>-0.180700000000001</v>
      </c>
      <c r="AF162">
        <v>1.4487152716134799</v>
      </c>
      <c r="AG162">
        <v>-1.1205509170000001</v>
      </c>
      <c r="AH162">
        <v>60.399329847109499</v>
      </c>
      <c r="AI162">
        <v>91.062545230291803</v>
      </c>
      <c r="AJ162">
        <v>88.625988755761796</v>
      </c>
      <c r="AK162">
        <v>60.427092071981498</v>
      </c>
      <c r="AL162">
        <v>82.780637439358102</v>
      </c>
      <c r="AM162">
        <v>87.484635223366595</v>
      </c>
      <c r="AN162">
        <v>0.99999998349060304</v>
      </c>
    </row>
    <row r="163" spans="1:40" x14ac:dyDescent="0.25">
      <c r="A163" t="str">
        <f>"20190303170231116"</f>
        <v>20190303170231116</v>
      </c>
      <c r="B163" t="str">
        <f>"1551603751106495"</f>
        <v>1551603751106495</v>
      </c>
      <c r="C163" t="s">
        <v>40</v>
      </c>
      <c r="D163">
        <v>4.0707100000000001</v>
      </c>
      <c r="E163">
        <v>0.4957896</v>
      </c>
      <c r="F163" t="s">
        <v>42</v>
      </c>
      <c r="G163">
        <v>-393.11279999999999</v>
      </c>
      <c r="H163" s="1">
        <v>-3.380169E-6</v>
      </c>
      <c r="I163">
        <v>367.1173</v>
      </c>
      <c r="J163">
        <v>-454.38780000000003</v>
      </c>
      <c r="K163">
        <v>1.120592</v>
      </c>
      <c r="L163">
        <v>367.35309999999998</v>
      </c>
      <c r="M163">
        <v>0.99975879999999995</v>
      </c>
      <c r="N163">
        <v>-6.4790500000000001E-3</v>
      </c>
      <c r="O163">
        <v>2.0989600000000001E-2</v>
      </c>
      <c r="P163">
        <v>0.99266089999999996</v>
      </c>
      <c r="Q163">
        <v>0.1188157</v>
      </c>
      <c r="R163">
        <v>-2.252641E-2</v>
      </c>
      <c r="S163">
        <v>3.028778</v>
      </c>
      <c r="T163">
        <v>-5.5188889999999997E-2</v>
      </c>
      <c r="U163">
        <v>-1.138306E-2</v>
      </c>
      <c r="V163">
        <v>4.3362379999999999E-2</v>
      </c>
      <c r="W163">
        <v>0.1252385</v>
      </c>
      <c r="X163">
        <v>0.99117860000000002</v>
      </c>
      <c r="Y163">
        <v>2.4740330000000001E-2</v>
      </c>
      <c r="Z163">
        <v>-5.5195980000000003E-4</v>
      </c>
      <c r="AA163">
        <v>0.99969379999999997</v>
      </c>
      <c r="AB163">
        <v>27</v>
      </c>
      <c r="AC163">
        <v>61.274999999999999</v>
      </c>
      <c r="AD163">
        <v>-1.1205953801690001</v>
      </c>
      <c r="AE163">
        <v>-0.235799999999983</v>
      </c>
      <c r="AF163">
        <v>1.5214038312372</v>
      </c>
      <c r="AG163">
        <v>-1.1205953801690001</v>
      </c>
      <c r="AH163">
        <v>61.236070647699997</v>
      </c>
      <c r="AI163">
        <v>91.048049286307105</v>
      </c>
      <c r="AJ163">
        <v>88.576785081029897</v>
      </c>
      <c r="AK163">
        <v>61.265216493487301</v>
      </c>
      <c r="AL163">
        <v>82.805470922529906</v>
      </c>
      <c r="AM163">
        <v>87.495004277184094</v>
      </c>
      <c r="AN163">
        <v>0.999999997489737</v>
      </c>
    </row>
    <row r="164" spans="1:40" x14ac:dyDescent="0.25">
      <c r="A164" t="str">
        <f>"20190303170231138"</f>
        <v>20190303170231138</v>
      </c>
      <c r="B164" t="str">
        <f>"1551603751126015"</f>
        <v>1551603751126015</v>
      </c>
      <c r="C164" t="s">
        <v>40</v>
      </c>
      <c r="D164">
        <v>4.0726120000000003</v>
      </c>
      <c r="E164">
        <v>0.49651430000000002</v>
      </c>
      <c r="F164" t="s">
        <v>42</v>
      </c>
      <c r="G164">
        <v>-393.93810000000002</v>
      </c>
      <c r="H164" s="1">
        <v>-3.046953E-6</v>
      </c>
      <c r="I164">
        <v>366.99970000000002</v>
      </c>
      <c r="J164">
        <v>-454.11619999999999</v>
      </c>
      <c r="K164">
        <v>1.120668</v>
      </c>
      <c r="L164">
        <v>367.35879999999997</v>
      </c>
      <c r="M164">
        <v>0.99975630000000004</v>
      </c>
      <c r="N164">
        <v>-6.8391249999999997E-3</v>
      </c>
      <c r="O164">
        <v>2.0988369999999999E-2</v>
      </c>
      <c r="P164">
        <v>0.99274379999999995</v>
      </c>
      <c r="Q164">
        <v>0.1181903</v>
      </c>
      <c r="R164">
        <v>-2.2160740000000002E-2</v>
      </c>
      <c r="S164">
        <v>3.0285030000000002</v>
      </c>
      <c r="T164">
        <v>-5.6141259999999998E-2</v>
      </c>
      <c r="U164">
        <v>-1.7700199999999999E-2</v>
      </c>
      <c r="V164">
        <v>4.2997229999999997E-2</v>
      </c>
      <c r="W164">
        <v>0.12497030000000001</v>
      </c>
      <c r="X164">
        <v>0.99122829999999995</v>
      </c>
      <c r="Y164">
        <v>2.6823909999999999E-2</v>
      </c>
      <c r="Z164">
        <v>-5.8582269999999997E-4</v>
      </c>
      <c r="AA164">
        <v>0.99963999999999997</v>
      </c>
      <c r="AB164">
        <v>27</v>
      </c>
      <c r="AC164">
        <v>60.178099999999901</v>
      </c>
      <c r="AD164">
        <v>-1.1206710469529999</v>
      </c>
      <c r="AE164">
        <v>-0.35909999999995501</v>
      </c>
      <c r="AF164">
        <v>1.62152837049455</v>
      </c>
      <c r="AG164">
        <v>-1.1206710469529999</v>
      </c>
      <c r="AH164">
        <v>60.136451649271898</v>
      </c>
      <c r="AI164">
        <v>91.067222400891694</v>
      </c>
      <c r="AJ164">
        <v>88.455442201272703</v>
      </c>
      <c r="AK164">
        <v>60.168746661510397</v>
      </c>
      <c r="AL164">
        <v>82.820958920619901</v>
      </c>
      <c r="AM164">
        <v>87.516196435409597</v>
      </c>
      <c r="AN164">
        <v>0.99999994019532401</v>
      </c>
    </row>
    <row r="165" spans="1:40" x14ac:dyDescent="0.25">
      <c r="A165" t="str">
        <f>"20190303170231159"</f>
        <v>20190303170231159</v>
      </c>
      <c r="B165" t="str">
        <f>"1551603751145535"</f>
        <v>1551603751145535</v>
      </c>
      <c r="C165" t="s">
        <v>40</v>
      </c>
      <c r="D165">
        <v>4.082668</v>
      </c>
      <c r="E165">
        <v>0.49718220000000002</v>
      </c>
      <c r="F165" t="s">
        <v>42</v>
      </c>
      <c r="G165">
        <v>-394.17790000000002</v>
      </c>
      <c r="H165" s="1">
        <v>-2.958533E-6</v>
      </c>
      <c r="I165">
        <v>366.91840000000002</v>
      </c>
      <c r="J165">
        <v>-453.86509999999998</v>
      </c>
      <c r="K165">
        <v>1.1207339999999999</v>
      </c>
      <c r="L165">
        <v>367.36410000000001</v>
      </c>
      <c r="M165">
        <v>0.99975380000000003</v>
      </c>
      <c r="N165">
        <v>-7.2282099999999997E-3</v>
      </c>
      <c r="O165">
        <v>2.0981929999999999E-2</v>
      </c>
      <c r="P165">
        <v>0.99280950000000001</v>
      </c>
      <c r="Q165">
        <v>0.117759199999999</v>
      </c>
      <c r="R165">
        <v>-2.149334E-2</v>
      </c>
      <c r="S165">
        <v>3.0281980000000002</v>
      </c>
      <c r="T165">
        <v>-5.6618330000000001E-2</v>
      </c>
      <c r="U165">
        <v>-2.2247309999999999E-2</v>
      </c>
      <c r="V165">
        <v>4.2326129999999997E-2</v>
      </c>
      <c r="W165">
        <v>0.1249253</v>
      </c>
      <c r="X165">
        <v>0.99126289999999995</v>
      </c>
      <c r="Y165">
        <v>2.8318579999999999E-2</v>
      </c>
      <c r="Z165">
        <v>-6.0765889999999897E-4</v>
      </c>
      <c r="AA165">
        <v>0.99959869999999995</v>
      </c>
      <c r="AB165">
        <v>27</v>
      </c>
      <c r="AC165">
        <v>59.687199999999898</v>
      </c>
      <c r="AD165">
        <v>-1.120736958533</v>
      </c>
      <c r="AE165">
        <v>-0.44569999999998799</v>
      </c>
      <c r="AF165">
        <v>1.6973887379425101</v>
      </c>
      <c r="AG165">
        <v>-1.120736958533</v>
      </c>
      <c r="AH165">
        <v>59.643680209897099</v>
      </c>
      <c r="AI165">
        <v>91.076056390286993</v>
      </c>
      <c r="AJ165">
        <v>88.369869732755205</v>
      </c>
      <c r="AK165">
        <v>59.678352598227697</v>
      </c>
      <c r="AL165">
        <v>82.823557914668996</v>
      </c>
      <c r="AM165">
        <v>87.555001417249002</v>
      </c>
      <c r="AN165">
        <v>0.99999998438863802</v>
      </c>
    </row>
    <row r="166" spans="1:40" x14ac:dyDescent="0.25">
      <c r="A166" t="str">
        <f>"20190303170231171"</f>
        <v>20190303170231171</v>
      </c>
      <c r="B166" t="str">
        <f>"1551603751167007"</f>
        <v>1551603751167007</v>
      </c>
      <c r="C166" t="s">
        <v>40</v>
      </c>
      <c r="D166">
        <v>4.045477</v>
      </c>
      <c r="E166">
        <v>0.49775649999999999</v>
      </c>
      <c r="F166" t="s">
        <v>42</v>
      </c>
      <c r="G166">
        <v>-394.46980000000002</v>
      </c>
      <c r="H166" s="1">
        <v>-2.8439669999999999E-6</v>
      </c>
      <c r="I166">
        <v>366.85820000000001</v>
      </c>
      <c r="J166">
        <v>-453.70389999999998</v>
      </c>
      <c r="K166">
        <v>1.1207800000000001</v>
      </c>
      <c r="L166">
        <v>367.36739999999998</v>
      </c>
      <c r="M166">
        <v>0.99975199999999997</v>
      </c>
      <c r="N166">
        <v>-7.5001819999999898E-3</v>
      </c>
      <c r="O166">
        <v>2.0972890000000001E-2</v>
      </c>
      <c r="P166">
        <v>0.99284419999999995</v>
      </c>
      <c r="Q166">
        <v>0.1175421</v>
      </c>
      <c r="R166">
        <v>-2.108732E-2</v>
      </c>
      <c r="S166">
        <v>3.0279240000000001</v>
      </c>
      <c r="T166">
        <v>-5.7134270000000001E-2</v>
      </c>
      <c r="U166">
        <v>-2.5787350000000001E-2</v>
      </c>
      <c r="V166">
        <v>4.1912869999999998E-2</v>
      </c>
      <c r="W166">
        <v>0.1249778</v>
      </c>
      <c r="X166">
        <v>0.99127390000000004</v>
      </c>
      <c r="Y166">
        <v>2.9478359999999999E-2</v>
      </c>
      <c r="Z166">
        <v>-6.2703770000000002E-4</v>
      </c>
      <c r="AA166">
        <v>0.99956520000000004</v>
      </c>
      <c r="AB166">
        <v>27</v>
      </c>
      <c r="AC166">
        <v>59.234099999999899</v>
      </c>
      <c r="AD166">
        <v>-1.12078284396699</v>
      </c>
      <c r="AE166">
        <v>-0.50919999999996401</v>
      </c>
      <c r="AF166">
        <v>1.75080632373079</v>
      </c>
      <c r="AG166">
        <v>-1.12078284396699</v>
      </c>
      <c r="AH166">
        <v>59.189201757728704</v>
      </c>
      <c r="AI166">
        <v>91.084325965274999</v>
      </c>
      <c r="AJ166">
        <v>88.3056948158967</v>
      </c>
      <c r="AK166">
        <v>59.225696126627902</v>
      </c>
      <c r="AL166">
        <v>82.820526541340399</v>
      </c>
      <c r="AM166">
        <v>87.578871957950696</v>
      </c>
      <c r="AN166">
        <v>1.0000000419928401</v>
      </c>
    </row>
    <row r="167" spans="1:40" x14ac:dyDescent="0.25">
      <c r="A167" t="str">
        <f>"20190303170231185"</f>
        <v>20190303170231185</v>
      </c>
      <c r="B167" t="str">
        <f>"1551603751175791"</f>
        <v>1551603751175791</v>
      </c>
      <c r="C167" t="s">
        <v>40</v>
      </c>
      <c r="D167">
        <v>4.0513769999999996</v>
      </c>
      <c r="E167">
        <v>0.49803589999999998</v>
      </c>
      <c r="F167" t="s">
        <v>42</v>
      </c>
      <c r="G167">
        <v>-393.39280000000002</v>
      </c>
      <c r="H167" s="1">
        <v>-3.3199729999999999E-6</v>
      </c>
      <c r="I167">
        <v>366.77949999999998</v>
      </c>
      <c r="J167">
        <v>-453.54599999999999</v>
      </c>
      <c r="K167">
        <v>1.1208199999999999</v>
      </c>
      <c r="L167">
        <v>367.3707</v>
      </c>
      <c r="M167">
        <v>0.99975000000000003</v>
      </c>
      <c r="N167">
        <v>-7.7810700000000002E-3</v>
      </c>
      <c r="O167">
        <v>2.0960889999999999E-2</v>
      </c>
      <c r="P167">
        <v>0.99289329999999998</v>
      </c>
      <c r="Q167">
        <v>0.1171447</v>
      </c>
      <c r="R167">
        <v>-2.098496E-2</v>
      </c>
      <c r="S167">
        <v>3.0276489999999998</v>
      </c>
      <c r="T167">
        <v>-5.6263800000000003E-2</v>
      </c>
      <c r="U167">
        <v>-2.9510499999999999E-2</v>
      </c>
      <c r="V167">
        <v>4.1800990000000003E-2</v>
      </c>
      <c r="W167">
        <v>0.1248591</v>
      </c>
      <c r="X167">
        <v>0.99129350000000005</v>
      </c>
      <c r="Y167">
        <v>3.0696190000000002E-2</v>
      </c>
      <c r="Z167">
        <v>-6.3100660000000002E-4</v>
      </c>
      <c r="AA167">
        <v>0.99952859999999999</v>
      </c>
      <c r="AB167">
        <v>27</v>
      </c>
      <c r="AC167">
        <v>60.153199999999899</v>
      </c>
      <c r="AD167">
        <v>-1.120823319973</v>
      </c>
      <c r="AE167">
        <v>-0.59120000000001405</v>
      </c>
      <c r="AF167">
        <v>1.8513302182293701</v>
      </c>
      <c r="AG167">
        <v>-1.120823319973</v>
      </c>
      <c r="AH167">
        <v>60.106724931391703</v>
      </c>
      <c r="AI167">
        <v>91.067776939115802</v>
      </c>
      <c r="AJ167">
        <v>88.235806662173502</v>
      </c>
      <c r="AK167">
        <v>60.145673580645102</v>
      </c>
      <c r="AL167">
        <v>82.827380654418704</v>
      </c>
      <c r="AM167">
        <v>87.585374815947603</v>
      </c>
      <c r="AN167">
        <v>0.99999996038001904</v>
      </c>
    </row>
    <row r="168" spans="1:40" x14ac:dyDescent="0.25">
      <c r="A168" t="str">
        <f>"20190303170231205"</f>
        <v>20190303170231205</v>
      </c>
      <c r="B168" t="str">
        <f>"1551603751196287"</f>
        <v>1551603751196287</v>
      </c>
      <c r="C168" t="s">
        <v>40</v>
      </c>
      <c r="D168">
        <v>4.0629109999999997</v>
      </c>
      <c r="E168">
        <v>0.49851610000000002</v>
      </c>
      <c r="F168" t="s">
        <v>42</v>
      </c>
      <c r="G168">
        <v>-393.66250000000002</v>
      </c>
      <c r="H168" s="1">
        <v>-3.209785E-6</v>
      </c>
      <c r="I168">
        <v>366.7484</v>
      </c>
      <c r="J168">
        <v>-453.31150000000002</v>
      </c>
      <c r="K168">
        <v>1.120876</v>
      </c>
      <c r="L168">
        <v>367.37560000000002</v>
      </c>
      <c r="M168">
        <v>0.99974719999999995</v>
      </c>
      <c r="N168">
        <v>-8.2075240000000008E-3</v>
      </c>
      <c r="O168">
        <v>2.0938379999999999E-2</v>
      </c>
      <c r="P168">
        <v>0.99300129999999998</v>
      </c>
      <c r="Q168">
        <v>0.1162803</v>
      </c>
      <c r="R168">
        <v>-2.067364E-2</v>
      </c>
      <c r="S168">
        <v>3.0275569999999998</v>
      </c>
      <c r="T168">
        <v>-5.6665899999999998E-2</v>
      </c>
      <c r="U168">
        <v>-3.1463619999999998E-2</v>
      </c>
      <c r="V168">
        <v>4.1471939999999999E-2</v>
      </c>
      <c r="W168">
        <v>0.12441770000000001</v>
      </c>
      <c r="X168">
        <v>0.99136290000000005</v>
      </c>
      <c r="Y168">
        <v>3.1318489999999997E-2</v>
      </c>
      <c r="Z168">
        <v>-6.4159639999999995E-4</v>
      </c>
      <c r="AA168">
        <v>0.99950930000000004</v>
      </c>
      <c r="AB168">
        <v>27</v>
      </c>
      <c r="AC168">
        <v>59.648999999999901</v>
      </c>
      <c r="AD168">
        <v>-1.120879209785</v>
      </c>
      <c r="AE168">
        <v>-0.62720000000001597</v>
      </c>
      <c r="AF168">
        <v>1.87539568462385</v>
      </c>
      <c r="AG168">
        <v>-1.120879209785</v>
      </c>
      <c r="AH168">
        <v>59.601745457674802</v>
      </c>
      <c r="AI168">
        <v>91.076853047996707</v>
      </c>
      <c r="AJ168">
        <v>88.197757197219701</v>
      </c>
      <c r="AK168">
        <v>59.641776807689901</v>
      </c>
      <c r="AL168">
        <v>82.852870362288499</v>
      </c>
      <c r="AM168">
        <v>87.604527595962097</v>
      </c>
      <c r="AN168">
        <v>1.00000004268853</v>
      </c>
    </row>
    <row r="169" spans="1:40" x14ac:dyDescent="0.25">
      <c r="A169" t="str">
        <f>"20190303170231218"</f>
        <v>20190303170231218</v>
      </c>
      <c r="B169" t="str">
        <f>"1551603751206048"</f>
        <v>1551603751206048</v>
      </c>
      <c r="C169" t="s">
        <v>40</v>
      </c>
      <c r="D169">
        <v>4.0818000000000003</v>
      </c>
      <c r="E169">
        <v>0.4987666</v>
      </c>
      <c r="F169" t="s">
        <v>42</v>
      </c>
      <c r="G169">
        <v>-394.40379999999999</v>
      </c>
      <c r="H169" s="1">
        <v>-2.8971199999999999E-6</v>
      </c>
      <c r="I169">
        <v>366.71809999999999</v>
      </c>
      <c r="J169">
        <v>-453.15089999999998</v>
      </c>
      <c r="K169">
        <v>1.120914</v>
      </c>
      <c r="L169">
        <v>367.37900000000002</v>
      </c>
      <c r="M169">
        <v>0.99974499999999999</v>
      </c>
      <c r="N169">
        <v>-8.5001439999999994E-3</v>
      </c>
      <c r="O169">
        <v>2.0919730000000001E-2</v>
      </c>
      <c r="P169">
        <v>0.99306519999999998</v>
      </c>
      <c r="Q169">
        <v>0.115796</v>
      </c>
      <c r="R169">
        <v>-2.0317780000000001E-2</v>
      </c>
      <c r="S169">
        <v>3.0271910000000002</v>
      </c>
      <c r="T169">
        <v>-5.7600499999999999E-2</v>
      </c>
      <c r="U169">
        <v>-3.3782960000000001E-2</v>
      </c>
      <c r="V169">
        <v>4.110055E-2</v>
      </c>
      <c r="W169">
        <v>0.12422370000000001</v>
      </c>
      <c r="X169">
        <v>0.99140260000000002</v>
      </c>
      <c r="Y169">
        <v>3.2066329999999997E-2</v>
      </c>
      <c r="Z169">
        <v>-6.6152769999999999E-4</v>
      </c>
      <c r="AA169">
        <v>0.99948559999999997</v>
      </c>
      <c r="AB169">
        <v>27</v>
      </c>
      <c r="AC169">
        <v>58.747099999999897</v>
      </c>
      <c r="AD169">
        <v>-1.1209168971200001</v>
      </c>
      <c r="AE169">
        <v>-0.66090000000002602</v>
      </c>
      <c r="AF169">
        <v>1.88908560213999</v>
      </c>
      <c r="AG169">
        <v>-1.1209168971200001</v>
      </c>
      <c r="AH169">
        <v>58.699049096776903</v>
      </c>
      <c r="AI169">
        <v>91.093421147394906</v>
      </c>
      <c r="AJ169">
        <v>88.156711403326895</v>
      </c>
      <c r="AK169">
        <v>58.740135035325601</v>
      </c>
      <c r="AL169">
        <v>82.864071977859595</v>
      </c>
      <c r="AM169">
        <v>87.626049861001107</v>
      </c>
      <c r="AN169">
        <v>0.99999994906937495</v>
      </c>
    </row>
    <row r="170" spans="1:40" x14ac:dyDescent="0.25">
      <c r="A170" t="str">
        <f>"20190303170231237"</f>
        <v>20190303170231237</v>
      </c>
      <c r="B170" t="str">
        <f>"1551603751226544"</f>
        <v>1551603751226544</v>
      </c>
      <c r="C170" t="s">
        <v>40</v>
      </c>
      <c r="D170">
        <v>4.0888809999999998</v>
      </c>
      <c r="E170">
        <v>0.49926409999999999</v>
      </c>
      <c r="F170" t="s">
        <v>42</v>
      </c>
      <c r="G170">
        <v>-395.32080000000002</v>
      </c>
      <c r="H170" s="1">
        <v>-2.5044219999999999E-6</v>
      </c>
      <c r="I170">
        <v>366.71429999999998</v>
      </c>
      <c r="J170">
        <v>-452.92380000000003</v>
      </c>
      <c r="K170">
        <v>1.1209659999999999</v>
      </c>
      <c r="L170">
        <v>367.38369999999998</v>
      </c>
      <c r="M170">
        <v>0.99974220000000003</v>
      </c>
      <c r="N170">
        <v>-8.902999E-3</v>
      </c>
      <c r="O170">
        <v>2.0887159999999998E-2</v>
      </c>
      <c r="P170">
        <v>0.99317279999999997</v>
      </c>
      <c r="Q170">
        <v>0.1147802</v>
      </c>
      <c r="R170">
        <v>-2.0812020000000001E-2</v>
      </c>
      <c r="S170">
        <v>3.0270389999999998</v>
      </c>
      <c r="T170">
        <v>-5.8672790000000002E-2</v>
      </c>
      <c r="U170">
        <v>-3.4790040000000001E-2</v>
      </c>
      <c r="V170">
        <v>4.156646E-2</v>
      </c>
      <c r="W170">
        <v>0.1236076</v>
      </c>
      <c r="X170">
        <v>0.99146020000000001</v>
      </c>
      <c r="Y170">
        <v>3.236642E-2</v>
      </c>
      <c r="Z170">
        <v>-6.7658569999999997E-4</v>
      </c>
      <c r="AA170">
        <v>0.99947580000000003</v>
      </c>
      <c r="AB170">
        <v>27</v>
      </c>
      <c r="AC170">
        <v>57.603000000000002</v>
      </c>
      <c r="AD170">
        <v>-1.1209685044219999</v>
      </c>
      <c r="AE170">
        <v>-0.669399999999996</v>
      </c>
      <c r="AF170">
        <v>1.8717559730731801</v>
      </c>
      <c r="AG170">
        <v>-1.1209685044219999</v>
      </c>
      <c r="AH170">
        <v>57.554656812827098</v>
      </c>
      <c r="AI170">
        <v>91.115195952399205</v>
      </c>
      <c r="AJ170">
        <v>88.137319566097204</v>
      </c>
      <c r="AK170">
        <v>57.595994319509302</v>
      </c>
      <c r="AL170">
        <v>82.899646229090393</v>
      </c>
      <c r="AM170">
        <v>87.599309727857502</v>
      </c>
      <c r="AN170">
        <v>0.99999996877936503</v>
      </c>
    </row>
    <row r="171" spans="1:40" x14ac:dyDescent="0.25">
      <c r="A171" t="str">
        <f>"20190303170231248"</f>
        <v>20190303170231248</v>
      </c>
      <c r="B171" t="str">
        <f>"1551603751236304"</f>
        <v>1551603751236304</v>
      </c>
      <c r="C171" t="s">
        <v>40</v>
      </c>
      <c r="D171">
        <v>6.7985600000000002</v>
      </c>
      <c r="E171">
        <v>0.49951240000000002</v>
      </c>
      <c r="F171" t="s">
        <v>42</v>
      </c>
      <c r="G171">
        <v>-397.02800000000002</v>
      </c>
      <c r="H171" s="1">
        <v>-1.7901809999999999E-6</v>
      </c>
      <c r="I171">
        <v>366.63690000000003</v>
      </c>
      <c r="J171">
        <v>-452.779</v>
      </c>
      <c r="K171">
        <v>1.1209899999999999</v>
      </c>
      <c r="L171">
        <v>367.38670000000002</v>
      </c>
      <c r="M171">
        <v>0.99974050000000003</v>
      </c>
      <c r="N171">
        <v>-9.1461240000000003E-3</v>
      </c>
      <c r="O171">
        <v>2.086298E-2</v>
      </c>
      <c r="P171">
        <v>0.99323329999999999</v>
      </c>
      <c r="Q171">
        <v>0.1142403</v>
      </c>
      <c r="R171">
        <v>-2.0912380000000001E-2</v>
      </c>
      <c r="S171">
        <v>3.0267940000000002</v>
      </c>
      <c r="T171">
        <v>-6.070101E-2</v>
      </c>
      <c r="U171">
        <v>-4.0435789999999999E-2</v>
      </c>
      <c r="V171">
        <v>4.1644970000000003E-2</v>
      </c>
      <c r="W171">
        <v>0.123309</v>
      </c>
      <c r="X171">
        <v>0.99149410000000004</v>
      </c>
      <c r="Y171">
        <v>3.4205920000000001E-2</v>
      </c>
      <c r="Z171">
        <v>-7.2692600000000003E-4</v>
      </c>
      <c r="AA171">
        <v>0.99941460000000004</v>
      </c>
      <c r="AB171">
        <v>27</v>
      </c>
      <c r="AC171">
        <v>55.750999999999898</v>
      </c>
      <c r="AD171">
        <v>-1.120991790181</v>
      </c>
      <c r="AE171">
        <v>-0.74979999999999303</v>
      </c>
      <c r="AF171">
        <v>1.9120445557152601</v>
      </c>
      <c r="AG171">
        <v>-1.120991790181</v>
      </c>
      <c r="AH171">
        <v>55.700705242536401</v>
      </c>
      <c r="AI171">
        <v>91.152258952599496</v>
      </c>
      <c r="AJ171">
        <v>88.033973125843104</v>
      </c>
      <c r="AK171">
        <v>55.744785419737802</v>
      </c>
      <c r="AL171">
        <v>82.9168867345292</v>
      </c>
      <c r="AM171">
        <v>87.594862806281995</v>
      </c>
      <c r="AN171">
        <v>0.99999998167105497</v>
      </c>
    </row>
    <row r="172" spans="1:40" x14ac:dyDescent="0.25">
      <c r="A172" t="str">
        <f>"20190303170231272"</f>
        <v>20190303170231272</v>
      </c>
      <c r="B172" t="str">
        <f>"1551603751266560"</f>
        <v>1551603751266560</v>
      </c>
      <c r="C172" t="s">
        <v>40</v>
      </c>
      <c r="D172">
        <v>4.133337</v>
      </c>
      <c r="E172">
        <v>0.50016949999999905</v>
      </c>
      <c r="F172" t="s">
        <v>42</v>
      </c>
      <c r="G172">
        <v>-398.10590000000002</v>
      </c>
      <c r="H172" s="1">
        <v>-1.430234E-6</v>
      </c>
      <c r="I172">
        <v>366.61099999999999</v>
      </c>
      <c r="J172">
        <v>-452.50319999999999</v>
      </c>
      <c r="K172">
        <v>1.121032</v>
      </c>
      <c r="L172">
        <v>367.39240000000001</v>
      </c>
      <c r="M172">
        <v>0.9997374</v>
      </c>
      <c r="N172">
        <v>-9.582452E-3</v>
      </c>
      <c r="O172">
        <v>2.0813430000000001E-2</v>
      </c>
      <c r="P172">
        <v>0.9932744</v>
      </c>
      <c r="Q172">
        <v>0.11371149999999999</v>
      </c>
      <c r="R172">
        <v>-2.1807719999999999E-2</v>
      </c>
      <c r="S172">
        <v>3.0267330000000001</v>
      </c>
      <c r="T172">
        <v>-6.205869E-2</v>
      </c>
      <c r="U172">
        <v>-4.2938230000000001E-2</v>
      </c>
      <c r="V172">
        <v>4.249344E-2</v>
      </c>
      <c r="W172">
        <v>0.1232125</v>
      </c>
      <c r="X172">
        <v>0.99147010000000002</v>
      </c>
      <c r="Y172">
        <v>3.498209E-2</v>
      </c>
      <c r="Z172">
        <v>-7.5346179999999895E-4</v>
      </c>
      <c r="AA172">
        <v>0.99938769999999999</v>
      </c>
      <c r="AB172">
        <v>27</v>
      </c>
      <c r="AC172">
        <v>54.397299999999902</v>
      </c>
      <c r="AD172">
        <v>-1.1210334302339999</v>
      </c>
      <c r="AE172">
        <v>-0.78140000000001897</v>
      </c>
      <c r="AF172">
        <v>1.91266501559168</v>
      </c>
      <c r="AG172">
        <v>-1.1210334302339999</v>
      </c>
      <c r="AH172">
        <v>54.346174785636897</v>
      </c>
      <c r="AI172">
        <v>91.180978272564104</v>
      </c>
      <c r="AJ172">
        <v>87.984358217533696</v>
      </c>
      <c r="AK172">
        <v>54.391375393940599</v>
      </c>
      <c r="AL172">
        <v>82.922458294128404</v>
      </c>
      <c r="AM172">
        <v>87.545860788329605</v>
      </c>
      <c r="AN172">
        <v>0.99999998589664596</v>
      </c>
    </row>
    <row r="173" spans="1:40" x14ac:dyDescent="0.25">
      <c r="A173" t="str">
        <f>"20190303170231286"</f>
        <v>20190303170231286</v>
      </c>
      <c r="B173" t="str">
        <f>"1551603751276319"</f>
        <v>1551603751276319</v>
      </c>
      <c r="C173" t="s">
        <v>40</v>
      </c>
      <c r="D173">
        <v>4.065086</v>
      </c>
      <c r="E173">
        <v>0.50038190000000005</v>
      </c>
      <c r="F173" t="s">
        <v>42</v>
      </c>
      <c r="G173">
        <v>-398.5179</v>
      </c>
      <c r="H173" s="1">
        <v>-1.321738E-6</v>
      </c>
      <c r="I173">
        <v>366.49189999999999</v>
      </c>
      <c r="J173">
        <v>-452.34160000000003</v>
      </c>
      <c r="K173">
        <v>1.121051</v>
      </c>
      <c r="L173">
        <v>367.39569999999998</v>
      </c>
      <c r="M173">
        <v>0.99973579999999995</v>
      </c>
      <c r="N173">
        <v>-9.8153449999999996E-3</v>
      </c>
      <c r="O173">
        <v>2.078238E-2</v>
      </c>
      <c r="P173">
        <v>0.99330669999999999</v>
      </c>
      <c r="Q173">
        <v>0.113348</v>
      </c>
      <c r="R173">
        <v>-2.222733E-2</v>
      </c>
      <c r="S173">
        <v>3.026367</v>
      </c>
      <c r="T173">
        <v>-6.2844040000000004E-2</v>
      </c>
      <c r="U173">
        <v>-5.0476069999999998E-2</v>
      </c>
      <c r="V173">
        <v>4.2883119999999997E-2</v>
      </c>
      <c r="W173">
        <v>0.12307999999999999</v>
      </c>
      <c r="X173">
        <v>0.99146979999999996</v>
      </c>
      <c r="Y173">
        <v>3.7440210000000002E-2</v>
      </c>
      <c r="Z173">
        <v>-7.9996189999999995E-4</v>
      </c>
      <c r="AA173">
        <v>0.99929860000000004</v>
      </c>
      <c r="AB173">
        <v>27</v>
      </c>
      <c r="AC173">
        <v>53.823700000000002</v>
      </c>
      <c r="AD173">
        <v>-1.121052321738</v>
      </c>
      <c r="AE173">
        <v>-0.90379999999998895</v>
      </c>
      <c r="AF173">
        <v>2.0213666478657699</v>
      </c>
      <c r="AG173">
        <v>-1.121052321738</v>
      </c>
      <c r="AH173">
        <v>53.769970528026803</v>
      </c>
      <c r="AI173">
        <v>91.193546186613204</v>
      </c>
      <c r="AJ173">
        <v>87.847101922843393</v>
      </c>
      <c r="AK173">
        <v>53.819628501300997</v>
      </c>
      <c r="AL173">
        <v>82.930108357440702</v>
      </c>
      <c r="AM173">
        <v>87.523382603308093</v>
      </c>
      <c r="AN173">
        <v>1.00000000634648</v>
      </c>
    </row>
    <row r="174" spans="1:40" x14ac:dyDescent="0.25">
      <c r="A174" t="str">
        <f>"20190303170231299"</f>
        <v>20190303170231299</v>
      </c>
      <c r="B174" t="str">
        <f>"1551603751286080"</f>
        <v>1551603751286080</v>
      </c>
      <c r="C174" t="s">
        <v>40</v>
      </c>
      <c r="D174">
        <v>4.0645860000000003</v>
      </c>
      <c r="E174">
        <v>0.50058119999999995</v>
      </c>
      <c r="F174" t="s">
        <v>42</v>
      </c>
      <c r="G174">
        <v>-398.7878</v>
      </c>
      <c r="H174" s="1">
        <v>-1.239746E-6</v>
      </c>
      <c r="I174">
        <v>366.45479999999998</v>
      </c>
      <c r="J174">
        <v>-452.17959999999999</v>
      </c>
      <c r="K174">
        <v>1.121068</v>
      </c>
      <c r="L174">
        <v>367.399</v>
      </c>
      <c r="M174">
        <v>0.99973440000000002</v>
      </c>
      <c r="N174">
        <v>-1.003747E-2</v>
      </c>
      <c r="O174">
        <v>2.0750999999999999E-2</v>
      </c>
      <c r="P174">
        <v>0.99332390000000004</v>
      </c>
      <c r="Q174">
        <v>0.1131325</v>
      </c>
      <c r="R174">
        <v>-2.2555579999999999E-2</v>
      </c>
      <c r="S174">
        <v>3.0261840000000002</v>
      </c>
      <c r="T174">
        <v>-6.3347580000000001E-2</v>
      </c>
      <c r="U174">
        <v>-5.316162E-2</v>
      </c>
      <c r="V174">
        <v>4.3181049999999999E-2</v>
      </c>
      <c r="W174">
        <v>0.12308470000000001</v>
      </c>
      <c r="X174">
        <v>0.99145629999999996</v>
      </c>
      <c r="Y174">
        <v>3.8295919999999997E-2</v>
      </c>
      <c r="Z174">
        <v>-8.1903300000000004E-4</v>
      </c>
      <c r="AA174">
        <v>0.99926610000000005</v>
      </c>
      <c r="AB174">
        <v>27</v>
      </c>
      <c r="AC174">
        <v>53.391799999999897</v>
      </c>
      <c r="AD174">
        <v>-1.121069239746</v>
      </c>
      <c r="AE174">
        <v>-0.94420000000002302</v>
      </c>
      <c r="AF174">
        <v>2.0510816147965101</v>
      </c>
      <c r="AG174">
        <v>-1.121069239746</v>
      </c>
      <c r="AH174">
        <v>53.3372004644444</v>
      </c>
      <c r="AI174">
        <v>91.2032063835575</v>
      </c>
      <c r="AJ174">
        <v>87.797776371443803</v>
      </c>
      <c r="AK174">
        <v>53.388394669770598</v>
      </c>
      <c r="AL174">
        <v>82.929837105545104</v>
      </c>
      <c r="AM174">
        <v>87.506164065580407</v>
      </c>
      <c r="AN174">
        <v>1.0000000206314399</v>
      </c>
    </row>
    <row r="175" spans="1:40" x14ac:dyDescent="0.25">
      <c r="A175" t="str">
        <f>"20190303170231318"</f>
        <v>20190303170231318</v>
      </c>
      <c r="B175" t="str">
        <f>"1551603751306575"</f>
        <v>1551603751306575</v>
      </c>
      <c r="C175" t="s">
        <v>40</v>
      </c>
      <c r="D175">
        <v>4.2514789999999998</v>
      </c>
      <c r="E175">
        <v>0.53151789999999999</v>
      </c>
      <c r="F175" t="s">
        <v>42</v>
      </c>
      <c r="G175">
        <v>-398.49</v>
      </c>
      <c r="H175" s="1">
        <v>-1.353368E-6</v>
      </c>
      <c r="I175">
        <v>366.40870000000001</v>
      </c>
      <c r="J175">
        <v>-451.95400000000001</v>
      </c>
      <c r="K175">
        <v>1.121084</v>
      </c>
      <c r="L175">
        <v>367.40370000000001</v>
      </c>
      <c r="M175">
        <v>0.99973230000000002</v>
      </c>
      <c r="N175">
        <v>-1.0320589999999999E-2</v>
      </c>
      <c r="O175">
        <v>2.0710490000000002E-2</v>
      </c>
      <c r="P175">
        <v>0.99334469999999997</v>
      </c>
      <c r="Q175">
        <v>0.1129097</v>
      </c>
      <c r="R175">
        <v>-2.2754070000000001E-2</v>
      </c>
      <c r="S175">
        <v>3.0261230000000001</v>
      </c>
      <c r="T175">
        <v>-6.3187119999999999E-2</v>
      </c>
      <c r="U175">
        <v>-5.5816650000000002E-2</v>
      </c>
      <c r="V175">
        <v>4.3340660000000003E-2</v>
      </c>
      <c r="W175">
        <v>0.1231425</v>
      </c>
      <c r="X175">
        <v>0.99144209999999999</v>
      </c>
      <c r="Y175">
        <v>3.9132020000000003E-2</v>
      </c>
      <c r="Z175">
        <v>-8.2909649999999896E-4</v>
      </c>
      <c r="AA175">
        <v>0.9992337</v>
      </c>
      <c r="AB175">
        <v>27</v>
      </c>
      <c r="AC175">
        <v>53.463999999999999</v>
      </c>
      <c r="AD175">
        <v>-1.1210853533680001</v>
      </c>
      <c r="AE175">
        <v>-0.99500000000000399</v>
      </c>
      <c r="AF175">
        <v>2.1011875472717199</v>
      </c>
      <c r="AG175">
        <v>-1.1210853533680001</v>
      </c>
      <c r="AH175">
        <v>53.408448053536198</v>
      </c>
      <c r="AI175">
        <v>91.201577649459196</v>
      </c>
      <c r="AJ175">
        <v>87.747039497125002</v>
      </c>
      <c r="AK175">
        <v>53.461520226847398</v>
      </c>
      <c r="AL175">
        <v>82.926499612419207</v>
      </c>
      <c r="AM175">
        <v>87.496922004328596</v>
      </c>
      <c r="AN175">
        <v>0.99999996288394699</v>
      </c>
    </row>
    <row r="176" spans="1:40" x14ac:dyDescent="0.25">
      <c r="A176" t="str">
        <f>"20190303170231338"</f>
        <v>20190303170231338</v>
      </c>
      <c r="B176" t="str">
        <f>"1551603751326096"</f>
        <v>1551603751326096</v>
      </c>
      <c r="C176" t="s">
        <v>40</v>
      </c>
      <c r="D176">
        <v>4.1743810000000003</v>
      </c>
      <c r="E176">
        <v>0.55262270000000002</v>
      </c>
      <c r="F176" t="s">
        <v>42</v>
      </c>
      <c r="G176">
        <v>-368.32900000000001</v>
      </c>
      <c r="H176">
        <v>7.9985870000000001E-2</v>
      </c>
      <c r="I176">
        <v>358.95929999999998</v>
      </c>
      <c r="J176">
        <v>-451.7056</v>
      </c>
      <c r="K176">
        <v>1.1211009999999999</v>
      </c>
      <c r="L176">
        <v>367.40879999999999</v>
      </c>
      <c r="M176">
        <v>0.99973029999999996</v>
      </c>
      <c r="N176">
        <v>-1.0598359999999999E-2</v>
      </c>
      <c r="O176">
        <v>2.0668909999999999E-2</v>
      </c>
      <c r="P176">
        <v>0.9933128</v>
      </c>
      <c r="Q176">
        <v>0.1132558</v>
      </c>
      <c r="R176">
        <v>-2.2430749999999999E-2</v>
      </c>
      <c r="S176">
        <v>3.0173649999999999</v>
      </c>
      <c r="T176">
        <v>-3.7564989999999999E-2</v>
      </c>
      <c r="U176">
        <v>-0.3046875</v>
      </c>
      <c r="V176">
        <v>4.2976309999999997E-2</v>
      </c>
      <c r="W176">
        <v>0.12376330000000001</v>
      </c>
      <c r="X176">
        <v>0.9913807</v>
      </c>
      <c r="Y176">
        <v>0.1209938</v>
      </c>
      <c r="Z176">
        <v>-1.432331E-3</v>
      </c>
      <c r="AA176">
        <v>0.99265219999999998</v>
      </c>
      <c r="AB176">
        <v>27</v>
      </c>
      <c r="AC176">
        <v>83.376599999999996</v>
      </c>
      <c r="AD176">
        <v>-1.0411151300000001</v>
      </c>
      <c r="AE176">
        <v>-8.4495000000000005</v>
      </c>
      <c r="AF176">
        <v>10.169525296472299</v>
      </c>
      <c r="AG176">
        <v>-1.0411151300000001</v>
      </c>
      <c r="AH176">
        <v>83.171298495288497</v>
      </c>
      <c r="AI176">
        <v>90.711874012827096</v>
      </c>
      <c r="AJ176">
        <v>83.028930286942597</v>
      </c>
      <c r="AK176">
        <v>83.797184074775998</v>
      </c>
      <c r="AL176">
        <v>82.890656504882799</v>
      </c>
      <c r="AM176">
        <v>87.5177845599964</v>
      </c>
      <c r="AN176">
        <v>1.00000000499029</v>
      </c>
    </row>
    <row r="177" spans="1:40" x14ac:dyDescent="0.25">
      <c r="A177" t="str">
        <f>"20190303170231352"</f>
        <v>20190303170231352</v>
      </c>
      <c r="B177" t="str">
        <f>"1551603751346592"</f>
        <v>1551603751346592</v>
      </c>
      <c r="C177" t="s">
        <v>40</v>
      </c>
      <c r="D177">
        <v>4.1691060000000002</v>
      </c>
      <c r="E177">
        <v>0.568604</v>
      </c>
      <c r="F177" t="s">
        <v>42</v>
      </c>
      <c r="G177">
        <v>-373.36360000000002</v>
      </c>
      <c r="H177">
        <v>7.9986039999999994E-2</v>
      </c>
      <c r="I177">
        <v>355.13209999999998</v>
      </c>
      <c r="J177">
        <v>-451.52980000000002</v>
      </c>
      <c r="K177">
        <v>1.1211180000000001</v>
      </c>
      <c r="L177">
        <v>367.41230000000002</v>
      </c>
      <c r="M177">
        <v>0.99972919999999998</v>
      </c>
      <c r="N177">
        <v>-1.077233E-2</v>
      </c>
      <c r="O177">
        <v>2.0627610000000001E-2</v>
      </c>
      <c r="P177">
        <v>0.99335980000000001</v>
      </c>
      <c r="Q177">
        <v>0.112869899999999</v>
      </c>
      <c r="R177">
        <v>-2.2287950000000001E-2</v>
      </c>
      <c r="S177">
        <v>3.0140690000000001</v>
      </c>
      <c r="T177">
        <v>-4.005504E-2</v>
      </c>
      <c r="U177">
        <v>-0.47232059999999998</v>
      </c>
      <c r="V177">
        <v>4.279173E-2</v>
      </c>
      <c r="W177">
        <v>0.1235513</v>
      </c>
      <c r="X177">
        <v>0.99141509999999999</v>
      </c>
      <c r="Y177">
        <v>0.1751354</v>
      </c>
      <c r="Z177">
        <v>-2.1575040000000002E-3</v>
      </c>
      <c r="AA177">
        <v>0.98454200000000003</v>
      </c>
      <c r="AB177">
        <v>27</v>
      </c>
      <c r="AC177">
        <v>78.166200000000003</v>
      </c>
      <c r="AD177">
        <v>-1.04113196</v>
      </c>
      <c r="AE177">
        <v>-12.280200000000001</v>
      </c>
      <c r="AF177">
        <v>13.8876578163585</v>
      </c>
      <c r="AG177">
        <v>-1.04113196</v>
      </c>
      <c r="AH177">
        <v>77.882756411295901</v>
      </c>
      <c r="AI177">
        <v>90.753989090241404</v>
      </c>
      <c r="AJ177">
        <v>79.889571427034696</v>
      </c>
      <c r="AK177">
        <v>79.118106281708094</v>
      </c>
      <c r="AL177">
        <v>82.902896966190198</v>
      </c>
      <c r="AM177">
        <v>87.528517890556998</v>
      </c>
      <c r="AN177">
        <v>0.99999997819804598</v>
      </c>
    </row>
    <row r="178" spans="1:40" x14ac:dyDescent="0.25">
      <c r="A178" t="str">
        <f>"20190303170231367"</f>
        <v>20190303170231367</v>
      </c>
      <c r="B178" t="str">
        <f>"1551603751356352"</f>
        <v>1551603751356352</v>
      </c>
      <c r="C178" t="s">
        <v>40</v>
      </c>
      <c r="D178">
        <v>4.1308150000000001</v>
      </c>
      <c r="E178">
        <v>0.57352389999999998</v>
      </c>
      <c r="F178" t="s">
        <v>45</v>
      </c>
      <c r="G178">
        <v>-404.8827</v>
      </c>
      <c r="H178">
        <v>0.58294089999999998</v>
      </c>
      <c r="I178">
        <v>358.12549999999999</v>
      </c>
      <c r="J178">
        <v>-451.36349999999999</v>
      </c>
      <c r="K178">
        <v>1.121124</v>
      </c>
      <c r="L178">
        <v>367.41570000000002</v>
      </c>
      <c r="M178">
        <v>0.99972850000000002</v>
      </c>
      <c r="N178">
        <v>-1.0916530000000001E-2</v>
      </c>
      <c r="O178">
        <v>2.0589820000000002E-2</v>
      </c>
      <c r="P178">
        <v>0.99336860000000005</v>
      </c>
      <c r="Q178">
        <v>0.1127181</v>
      </c>
      <c r="R178">
        <v>-2.266572E-2</v>
      </c>
      <c r="S178">
        <v>3.0105900000000001</v>
      </c>
      <c r="T178">
        <v>-3.4728290000000002E-2</v>
      </c>
      <c r="U178">
        <v>-0.59936519999999904</v>
      </c>
      <c r="V178">
        <v>4.3131530000000001E-2</v>
      </c>
      <c r="W178">
        <v>0.12354229999999999</v>
      </c>
      <c r="X178">
        <v>0.99140150000000005</v>
      </c>
      <c r="Y178">
        <v>0.21537980000000001</v>
      </c>
      <c r="Z178">
        <v>-2.4300810000000002E-3</v>
      </c>
      <c r="AA178">
        <v>0.97652729999999999</v>
      </c>
      <c r="AB178">
        <v>27</v>
      </c>
      <c r="AC178">
        <v>46.480799999999903</v>
      </c>
      <c r="AD178">
        <v>-0.53818309999999903</v>
      </c>
      <c r="AE178">
        <v>-9.29020000000002</v>
      </c>
      <c r="AF178">
        <v>10.243997959450899</v>
      </c>
      <c r="AG178">
        <v>-0.53818309999999903</v>
      </c>
      <c r="AH178">
        <v>46.273684966575203</v>
      </c>
      <c r="AI178">
        <v>90.650594589875794</v>
      </c>
      <c r="AJ178">
        <v>77.517268520700796</v>
      </c>
      <c r="AK178">
        <v>47.397078555837297</v>
      </c>
      <c r="AL178">
        <v>82.903416632787199</v>
      </c>
      <c r="AM178">
        <v>87.508882874360197</v>
      </c>
      <c r="AN178">
        <v>0.99999998148584002</v>
      </c>
    </row>
    <row r="179" spans="1:40" x14ac:dyDescent="0.25">
      <c r="A179" t="str">
        <f>"20190303170231383"</f>
        <v>20190303170231383</v>
      </c>
      <c r="B179" t="str">
        <f>"1551603751375872"</f>
        <v>1551603751375872</v>
      </c>
      <c r="C179" t="s">
        <v>40</v>
      </c>
      <c r="D179">
        <v>4.1256510000000004</v>
      </c>
      <c r="E179">
        <v>0.58002089999999995</v>
      </c>
      <c r="F179" t="s">
        <v>46</v>
      </c>
      <c r="G179">
        <v>-362.43819999999999</v>
      </c>
      <c r="H179">
        <v>0.13883000000000001</v>
      </c>
      <c r="I179">
        <v>348.51170000000002</v>
      </c>
      <c r="J179">
        <v>-451.16109999999998</v>
      </c>
      <c r="K179">
        <v>1.12112099999999</v>
      </c>
      <c r="L179">
        <v>367.41989999999998</v>
      </c>
      <c r="M179">
        <v>0.99972760000000005</v>
      </c>
      <c r="N179">
        <v>-1.1069580000000001E-2</v>
      </c>
      <c r="O179">
        <v>2.054657E-2</v>
      </c>
      <c r="P179">
        <v>0.99343309999999996</v>
      </c>
      <c r="Q179">
        <v>0.1121955</v>
      </c>
      <c r="R179">
        <v>-2.2425690000000002E-2</v>
      </c>
      <c r="S179">
        <v>3.0092159999999999</v>
      </c>
      <c r="T179">
        <v>-3.3237929999999999E-2</v>
      </c>
      <c r="U179">
        <v>-0.63970950000000004</v>
      </c>
      <c r="V179">
        <v>4.2849949999999998E-2</v>
      </c>
      <c r="W179">
        <v>0.1231723</v>
      </c>
      <c r="X179">
        <v>0.9914598</v>
      </c>
      <c r="Y179">
        <v>0.22796440000000001</v>
      </c>
      <c r="Z179">
        <v>-2.5205359999999999E-3</v>
      </c>
      <c r="AA179">
        <v>0.97366620000000004</v>
      </c>
      <c r="AB179">
        <v>27</v>
      </c>
      <c r="AC179">
        <v>88.722899999999896</v>
      </c>
      <c r="AD179">
        <v>-0.98229099999999903</v>
      </c>
      <c r="AE179">
        <v>-18.908199999999901</v>
      </c>
      <c r="AF179">
        <v>20.7248409107894</v>
      </c>
      <c r="AG179">
        <v>-0.98229099999999903</v>
      </c>
      <c r="AH179">
        <v>88.305291625183898</v>
      </c>
      <c r="AI179">
        <v>90.620463164891603</v>
      </c>
      <c r="AJ179">
        <v>76.791991831088495</v>
      </c>
      <c r="AK179">
        <v>90.710024007245096</v>
      </c>
      <c r="AL179">
        <v>82.924779608411896</v>
      </c>
      <c r="AM179">
        <v>87.525270949795498</v>
      </c>
      <c r="AN179">
        <v>1.00000003435916</v>
      </c>
    </row>
    <row r="180" spans="1:40" x14ac:dyDescent="0.25">
      <c r="A180" t="str">
        <f>"20190303170231399"</f>
        <v>20190303170231399</v>
      </c>
      <c r="B180" t="str">
        <f>"1551603751386608"</f>
        <v>1551603751386608</v>
      </c>
      <c r="C180" t="s">
        <v>40</v>
      </c>
      <c r="D180">
        <v>4.122916</v>
      </c>
      <c r="E180">
        <v>0.58233760000000001</v>
      </c>
      <c r="F180" t="s">
        <v>46</v>
      </c>
      <c r="G180">
        <v>-368.85680000000002</v>
      </c>
      <c r="H180">
        <v>0.26538250000000002</v>
      </c>
      <c r="I180">
        <v>348.51170000000002</v>
      </c>
      <c r="J180">
        <v>-450.98649999999998</v>
      </c>
      <c r="K180">
        <v>1.12112099999999</v>
      </c>
      <c r="L180">
        <v>367.42340000000002</v>
      </c>
      <c r="M180">
        <v>0.99972709999999998</v>
      </c>
      <c r="N180">
        <v>-1.1179710000000001E-2</v>
      </c>
      <c r="O180">
        <v>2.0512249999999999E-2</v>
      </c>
      <c r="P180">
        <v>0.99347830000000004</v>
      </c>
      <c r="Q180">
        <v>0.11183129999999999</v>
      </c>
      <c r="R180">
        <v>-2.2238930000000001E-2</v>
      </c>
      <c r="S180">
        <v>3.0077210000000001</v>
      </c>
      <c r="T180">
        <v>-3.1269190000000002E-2</v>
      </c>
      <c r="U180">
        <v>-0.69097900000000001</v>
      </c>
      <c r="V180">
        <v>4.2630250000000001E-2</v>
      </c>
      <c r="W180">
        <v>0.12291820000000001</v>
      </c>
      <c r="X180">
        <v>0.99150079999999996</v>
      </c>
      <c r="Y180">
        <v>0.24382139999999999</v>
      </c>
      <c r="Z180">
        <v>-2.6160189999999998E-3</v>
      </c>
      <c r="AA180">
        <v>0.96981660000000003</v>
      </c>
      <c r="AB180">
        <v>27</v>
      </c>
      <c r="AC180">
        <v>82.1296999999999</v>
      </c>
      <c r="AD180">
        <v>-0.85573849999999896</v>
      </c>
      <c r="AE180">
        <v>-18.9117</v>
      </c>
      <c r="AF180">
        <v>20.590367934835001</v>
      </c>
      <c r="AG180">
        <v>-0.85573849999999896</v>
      </c>
      <c r="AH180">
        <v>81.716047487536699</v>
      </c>
      <c r="AI180">
        <v>90.581801015644999</v>
      </c>
      <c r="AJ180">
        <v>75.857325224007099</v>
      </c>
      <c r="AK180">
        <v>84.274598528012106</v>
      </c>
      <c r="AL180">
        <v>82.939449908271996</v>
      </c>
      <c r="AM180">
        <v>87.538045395813896</v>
      </c>
      <c r="AN180">
        <v>1.0000000292534701</v>
      </c>
    </row>
    <row r="181" spans="1:40" x14ac:dyDescent="0.25">
      <c r="A181" t="str">
        <f>"20190303170231417"</f>
        <v>20190303170231417</v>
      </c>
      <c r="B181" t="str">
        <f>"1551603751406127"</f>
        <v>1551603751406127</v>
      </c>
      <c r="C181" t="s">
        <v>40</v>
      </c>
      <c r="D181">
        <v>4.1228870000000004</v>
      </c>
      <c r="E181">
        <v>0.58579179999999997</v>
      </c>
      <c r="F181" t="s">
        <v>46</v>
      </c>
      <c r="G181">
        <v>-370.7516</v>
      </c>
      <c r="H181">
        <v>0.27206970000000003</v>
      </c>
      <c r="I181">
        <v>348.51170000000002</v>
      </c>
      <c r="J181">
        <v>-450.7552</v>
      </c>
      <c r="K181">
        <v>1.121119</v>
      </c>
      <c r="L181">
        <v>367.42809999999997</v>
      </c>
      <c r="M181">
        <v>0.99972689999999997</v>
      </c>
      <c r="N181">
        <v>-1.128649E-2</v>
      </c>
      <c r="O181">
        <v>2.0470080000000002E-2</v>
      </c>
      <c r="P181">
        <v>0.9934847</v>
      </c>
      <c r="Q181">
        <v>0.11180759999999999</v>
      </c>
      <c r="R181">
        <v>-2.2076729999999999E-2</v>
      </c>
      <c r="S181">
        <v>3.0074160000000001</v>
      </c>
      <c r="T181">
        <v>-3.1821729999999999E-2</v>
      </c>
      <c r="U181">
        <v>-0.70886229999999995</v>
      </c>
      <c r="V181">
        <v>4.2426539999999999E-2</v>
      </c>
      <c r="W181">
        <v>0.123</v>
      </c>
      <c r="X181">
        <v>0.99149940000000003</v>
      </c>
      <c r="Y181">
        <v>0.2492673</v>
      </c>
      <c r="Z181">
        <v>-2.7126989999999998E-3</v>
      </c>
      <c r="AA181">
        <v>0.96843089999999998</v>
      </c>
      <c r="AB181">
        <v>27</v>
      </c>
      <c r="AC181">
        <v>80.003600000000006</v>
      </c>
      <c r="AD181">
        <v>-0.84904929999999901</v>
      </c>
      <c r="AE181">
        <v>-18.9163999999999</v>
      </c>
      <c r="AF181">
        <v>20.548028290826601</v>
      </c>
      <c r="AG181">
        <v>-0.84904929999999901</v>
      </c>
      <c r="AH181">
        <v>79.591099982964195</v>
      </c>
      <c r="AI181">
        <v>90.591785436083299</v>
      </c>
      <c r="AJ181">
        <v>75.524043675531104</v>
      </c>
      <c r="AK181">
        <v>82.205143074218</v>
      </c>
      <c r="AL181">
        <v>82.934727323209898</v>
      </c>
      <c r="AM181">
        <v>87.549792096200804</v>
      </c>
      <c r="AN181">
        <v>1.00000003574836</v>
      </c>
    </row>
    <row r="182" spans="1:40" x14ac:dyDescent="0.25">
      <c r="A182" t="str">
        <f>"20190303170231429"</f>
        <v>20190303170231429</v>
      </c>
      <c r="B182" t="str">
        <f>"1551603751415888"</f>
        <v>1551603751415888</v>
      </c>
      <c r="C182" t="s">
        <v>40</v>
      </c>
      <c r="D182">
        <v>4.1327239999999996</v>
      </c>
      <c r="E182">
        <v>0.58710030000000002</v>
      </c>
      <c r="F182" t="s">
        <v>46</v>
      </c>
      <c r="G182">
        <v>-372.96460000000002</v>
      </c>
      <c r="H182">
        <v>0.3254087</v>
      </c>
      <c r="I182">
        <v>348.3845</v>
      </c>
      <c r="J182">
        <v>-450.60480000000001</v>
      </c>
      <c r="K182">
        <v>1.121113</v>
      </c>
      <c r="L182">
        <v>367.43119999999999</v>
      </c>
      <c r="M182">
        <v>0.99972680000000003</v>
      </c>
      <c r="N182">
        <v>-1.1332429999999999E-2</v>
      </c>
      <c r="O182">
        <v>2.0443579999999999E-2</v>
      </c>
      <c r="P182">
        <v>0.99347390000000002</v>
      </c>
      <c r="Q182">
        <v>0.1118875</v>
      </c>
      <c r="R182">
        <v>-2.2154099999999999E-2</v>
      </c>
      <c r="S182">
        <v>3.0068049999999999</v>
      </c>
      <c r="T182">
        <v>-3.0753140000000002E-2</v>
      </c>
      <c r="U182">
        <v>-0.73608399999999996</v>
      </c>
      <c r="V182">
        <v>4.2477500000000001E-2</v>
      </c>
      <c r="W182">
        <v>0.1231254</v>
      </c>
      <c r="X182">
        <v>0.99148159999999996</v>
      </c>
      <c r="Y182">
        <v>0.25756560000000001</v>
      </c>
      <c r="Z182">
        <v>-2.7567389999999998E-3</v>
      </c>
      <c r="AA182">
        <v>0.96625689999999997</v>
      </c>
      <c r="AB182">
        <v>27</v>
      </c>
      <c r="AC182">
        <v>77.640199999999993</v>
      </c>
      <c r="AD182">
        <v>-0.79570430000000003</v>
      </c>
      <c r="AE182">
        <v>-19.046699999999898</v>
      </c>
      <c r="AF182">
        <v>20.6280207699422</v>
      </c>
      <c r="AG182">
        <v>-0.79570430000000003</v>
      </c>
      <c r="AH182">
        <v>77.226913013108899</v>
      </c>
      <c r="AI182">
        <v>90.570329939699704</v>
      </c>
      <c r="AJ182">
        <v>75.0449122196095</v>
      </c>
      <c r="AK182">
        <v>79.938379266485597</v>
      </c>
      <c r="AL182">
        <v>82.927487023762197</v>
      </c>
      <c r="AM182">
        <v>87.546808671714302</v>
      </c>
      <c r="AN182">
        <v>0.99999998263498402</v>
      </c>
    </row>
    <row r="183" spans="1:40" x14ac:dyDescent="0.25">
      <c r="A183" t="str">
        <f>"20190303170231442"</f>
        <v>20190303170231442</v>
      </c>
      <c r="B183" t="str">
        <f>"1551603751436384"</f>
        <v>1551603751436384</v>
      </c>
      <c r="C183" t="s">
        <v>40</v>
      </c>
      <c r="D183">
        <v>4.1305839999999998</v>
      </c>
      <c r="E183">
        <v>0.58937010000000001</v>
      </c>
      <c r="F183" t="s">
        <v>46</v>
      </c>
      <c r="G183">
        <v>-372.96460000000002</v>
      </c>
      <c r="H183">
        <v>0.32949610000000001</v>
      </c>
      <c r="I183">
        <v>348.14260000000002</v>
      </c>
      <c r="J183">
        <v>-450.45589999999999</v>
      </c>
      <c r="K183">
        <v>1.1211070000000001</v>
      </c>
      <c r="L183">
        <v>367.43419999999998</v>
      </c>
      <c r="M183">
        <v>0.99972700000000003</v>
      </c>
      <c r="N183">
        <v>-1.1364869999999999E-2</v>
      </c>
      <c r="O183">
        <v>2.0416520000000001E-2</v>
      </c>
      <c r="P183">
        <v>0.99341670000000004</v>
      </c>
      <c r="Q183">
        <v>0.112334199999999</v>
      </c>
      <c r="R183">
        <v>-2.2455320000000001E-2</v>
      </c>
      <c r="S183">
        <v>3.0065</v>
      </c>
      <c r="T183">
        <v>-3.0651089999999999E-2</v>
      </c>
      <c r="U183">
        <v>-0.74691770000000002</v>
      </c>
      <c r="V183">
        <v>4.2750679999999999E-2</v>
      </c>
      <c r="W183">
        <v>0.1236038</v>
      </c>
      <c r="X183">
        <v>0.99141040000000002</v>
      </c>
      <c r="Y183">
        <v>0.26084259999999998</v>
      </c>
      <c r="Z183">
        <v>-2.790949E-3</v>
      </c>
      <c r="AA183">
        <v>0.96537729999999999</v>
      </c>
      <c r="AB183">
        <v>27</v>
      </c>
      <c r="AC183">
        <v>77.491299999999896</v>
      </c>
      <c r="AD183">
        <v>-0.79161090000000001</v>
      </c>
      <c r="AE183">
        <v>-19.291599999999899</v>
      </c>
      <c r="AF183">
        <v>20.8677325803942</v>
      </c>
      <c r="AG183">
        <v>-0.79161090000000001</v>
      </c>
      <c r="AH183">
        <v>77.073679244467996</v>
      </c>
      <c r="AI183">
        <v>90.568005238108796</v>
      </c>
      <c r="AJ183">
        <v>74.850356904352495</v>
      </c>
      <c r="AK183">
        <v>79.8526201394982</v>
      </c>
      <c r="AL183">
        <v>82.899866219680803</v>
      </c>
      <c r="AM183">
        <v>87.530874150650504</v>
      </c>
      <c r="AN183">
        <v>1.0000000506215301</v>
      </c>
    </row>
    <row r="184" spans="1:40" x14ac:dyDescent="0.25">
      <c r="A184" t="str">
        <f>"20190303170231461"</f>
        <v>20190303170231461</v>
      </c>
      <c r="B184" t="str">
        <f>"1551603751455904"</f>
        <v>1551603751455904</v>
      </c>
      <c r="C184" t="s">
        <v>40</v>
      </c>
      <c r="D184">
        <v>4.0935329999999999</v>
      </c>
      <c r="E184">
        <v>0.59114769999999905</v>
      </c>
      <c r="F184" t="s">
        <v>46</v>
      </c>
      <c r="G184">
        <v>-372.96460000000002</v>
      </c>
      <c r="H184">
        <v>0.35691050000000002</v>
      </c>
      <c r="I184">
        <v>347.68650000000002</v>
      </c>
      <c r="J184">
        <v>-450.2235</v>
      </c>
      <c r="K184">
        <v>1.1210990000000001</v>
      </c>
      <c r="L184">
        <v>367.43880000000001</v>
      </c>
      <c r="M184">
        <v>0.99972760000000005</v>
      </c>
      <c r="N184">
        <v>-1.138865E-2</v>
      </c>
      <c r="O184">
        <v>2.037307E-2</v>
      </c>
      <c r="P184">
        <v>0.99336950000000002</v>
      </c>
      <c r="Q184">
        <v>0.112722699999999</v>
      </c>
      <c r="R184">
        <v>-2.2595790000000001E-2</v>
      </c>
      <c r="S184">
        <v>3.0059200000000001</v>
      </c>
      <c r="T184">
        <v>-2.9640440000000001E-2</v>
      </c>
      <c r="U184">
        <v>-0.76602169999999903</v>
      </c>
      <c r="V184">
        <v>4.2846620000000002E-2</v>
      </c>
      <c r="W184">
        <v>0.1240155</v>
      </c>
      <c r="X184">
        <v>0.99135479999999998</v>
      </c>
      <c r="Y184">
        <v>0.26661010000000002</v>
      </c>
      <c r="Z184">
        <v>-2.8055480000000002E-3</v>
      </c>
      <c r="AA184">
        <v>0.9638004</v>
      </c>
      <c r="AB184">
        <v>27</v>
      </c>
      <c r="AC184">
        <v>77.258899999999898</v>
      </c>
      <c r="AD184">
        <v>-0.76418850000000005</v>
      </c>
      <c r="AE184">
        <v>-19.752299999999899</v>
      </c>
      <c r="AF184">
        <v>21.3203449180787</v>
      </c>
      <c r="AG184">
        <v>-0.76418850000000005</v>
      </c>
      <c r="AH184">
        <v>76.833365602562694</v>
      </c>
      <c r="AI184">
        <v>90.549100951071793</v>
      </c>
      <c r="AJ184">
        <v>74.491298354574795</v>
      </c>
      <c r="AK184">
        <v>79.740248063988602</v>
      </c>
      <c r="AL184">
        <v>82.876094346335805</v>
      </c>
      <c r="AM184">
        <v>87.5252012630731</v>
      </c>
      <c r="AN184">
        <v>1.0000000082843501</v>
      </c>
    </row>
    <row r="185" spans="1:40" x14ac:dyDescent="0.25">
      <c r="A185" t="str">
        <f>"20190303170231474"</f>
        <v>20190303170231474</v>
      </c>
      <c r="B185" t="str">
        <f>"1551603751466640"</f>
        <v>1551603751466640</v>
      </c>
      <c r="C185" t="s">
        <v>40</v>
      </c>
      <c r="D185">
        <v>4.1424690000000002</v>
      </c>
      <c r="E185">
        <v>0.59191260000000001</v>
      </c>
      <c r="F185" t="s">
        <v>46</v>
      </c>
      <c r="G185">
        <v>-372.96460000000002</v>
      </c>
      <c r="H185">
        <v>0.39447379999999999</v>
      </c>
      <c r="I185">
        <v>347.3716</v>
      </c>
      <c r="J185">
        <v>-450.06310000000002</v>
      </c>
      <c r="K185">
        <v>1.121092</v>
      </c>
      <c r="L185">
        <v>367.44209999999998</v>
      </c>
      <c r="M185">
        <v>0.99972819999999996</v>
      </c>
      <c r="N185">
        <v>-1.138898E-2</v>
      </c>
      <c r="O185">
        <v>2.0342499999999999E-2</v>
      </c>
      <c r="P185">
        <v>0.99336369999999896</v>
      </c>
      <c r="Q185">
        <v>0.1127923</v>
      </c>
      <c r="R185">
        <v>-2.2505859999999999E-2</v>
      </c>
      <c r="S185">
        <v>3.0054630000000002</v>
      </c>
      <c r="T185">
        <v>-2.8263449999999999E-2</v>
      </c>
      <c r="U185">
        <v>-0.78063959999999999</v>
      </c>
      <c r="V185">
        <v>4.2725899999999997E-2</v>
      </c>
      <c r="W185">
        <v>0.124085</v>
      </c>
      <c r="X185">
        <v>0.99135130000000005</v>
      </c>
      <c r="Y185">
        <v>0.271011</v>
      </c>
      <c r="Z185">
        <v>-2.7825760000000001E-3</v>
      </c>
      <c r="AA185">
        <v>0.96257219999999999</v>
      </c>
      <c r="AB185">
        <v>27</v>
      </c>
      <c r="AC185">
        <v>77.098500000000001</v>
      </c>
      <c r="AD185">
        <v>-0.72661819999999999</v>
      </c>
      <c r="AE185">
        <v>-20.0704999999999</v>
      </c>
      <c r="AF185">
        <v>21.6330246955227</v>
      </c>
      <c r="AG185">
        <v>-0.72661819999999999</v>
      </c>
      <c r="AH185">
        <v>76.6678557072605</v>
      </c>
      <c r="AI185">
        <v>90.522599043679904</v>
      </c>
      <c r="AJ185">
        <v>74.242763965187095</v>
      </c>
      <c r="AK185">
        <v>79.664771575866496</v>
      </c>
      <c r="AL185">
        <v>82.872081196598899</v>
      </c>
      <c r="AM185">
        <v>87.532156653443806</v>
      </c>
      <c r="AN185">
        <v>0.99999999488375002</v>
      </c>
    </row>
    <row r="186" spans="1:40" x14ac:dyDescent="0.25">
      <c r="A186" t="str">
        <f>"20190303170231487"</f>
        <v>20190303170231487</v>
      </c>
      <c r="B186" t="str">
        <f>"1551603751476400"</f>
        <v>1551603751476400</v>
      </c>
      <c r="C186" t="s">
        <v>40</v>
      </c>
      <c r="D186">
        <v>4.1089070000000003</v>
      </c>
      <c r="E186">
        <v>0.59266560000000001</v>
      </c>
      <c r="F186" t="s">
        <v>46</v>
      </c>
      <c r="G186">
        <v>-372.96460000000002</v>
      </c>
      <c r="H186">
        <v>0.38746999999999998</v>
      </c>
      <c r="I186">
        <v>347.2801</v>
      </c>
      <c r="J186">
        <v>-449.91419999999999</v>
      </c>
      <c r="K186">
        <v>1.121081</v>
      </c>
      <c r="L186">
        <v>367.44510000000002</v>
      </c>
      <c r="M186">
        <v>0.99972899999999998</v>
      </c>
      <c r="N186">
        <v>-1.1371279999999999E-2</v>
      </c>
      <c r="O186">
        <v>2.031376E-2</v>
      </c>
      <c r="P186">
        <v>0.9933206</v>
      </c>
      <c r="Q186">
        <v>0.1131043</v>
      </c>
      <c r="R186">
        <v>-2.2842060000000001E-2</v>
      </c>
      <c r="S186">
        <v>3.0054319999999999</v>
      </c>
      <c r="T186">
        <v>-2.8594729999999999E-2</v>
      </c>
      <c r="U186">
        <v>-0.78594969999999997</v>
      </c>
      <c r="V186">
        <v>4.3032580000000001E-2</v>
      </c>
      <c r="W186">
        <v>0.1243789</v>
      </c>
      <c r="X186">
        <v>0.99130119999999999</v>
      </c>
      <c r="Y186">
        <v>0.27257730000000002</v>
      </c>
      <c r="Z186">
        <v>-2.813903E-3</v>
      </c>
      <c r="AA186">
        <v>0.96212980000000003</v>
      </c>
      <c r="AB186">
        <v>27</v>
      </c>
      <c r="AC186">
        <v>76.949599999999904</v>
      </c>
      <c r="AD186">
        <v>-0.73361100000000001</v>
      </c>
      <c r="AE186">
        <v>-20.164999999999999</v>
      </c>
      <c r="AF186">
        <v>21.7222277811025</v>
      </c>
      <c r="AG186">
        <v>-0.73361100000000001</v>
      </c>
      <c r="AH186">
        <v>76.517558458758899</v>
      </c>
      <c r="AI186">
        <v>90.528426242336195</v>
      </c>
      <c r="AJ186">
        <v>74.151522786258198</v>
      </c>
      <c r="AK186">
        <v>79.544516576336093</v>
      </c>
      <c r="AL186">
        <v>82.855110473405603</v>
      </c>
      <c r="AM186">
        <v>87.514339525720303</v>
      </c>
      <c r="AN186">
        <v>0.99999999141405305</v>
      </c>
    </row>
    <row r="187" spans="1:40" x14ac:dyDescent="0.25">
      <c r="A187" t="str">
        <f>"20190303170231508"</f>
        <v>20190303170231508</v>
      </c>
      <c r="B187" t="str">
        <f>"1551603751495920"</f>
        <v>1551603751495920</v>
      </c>
      <c r="C187" t="s">
        <v>40</v>
      </c>
      <c r="D187">
        <v>4.0832110000000004</v>
      </c>
      <c r="E187">
        <v>0.59404539999999995</v>
      </c>
      <c r="F187" t="s">
        <v>46</v>
      </c>
      <c r="G187">
        <v>-372.96460000000002</v>
      </c>
      <c r="H187">
        <v>0.39839340000000001</v>
      </c>
      <c r="I187">
        <v>347.1318</v>
      </c>
      <c r="J187">
        <v>-449.66149999999999</v>
      </c>
      <c r="K187">
        <v>1.1210629999999999</v>
      </c>
      <c r="L187">
        <v>367.4502</v>
      </c>
      <c r="M187">
        <v>0.99973060000000002</v>
      </c>
      <c r="N187">
        <v>-1.1322550000000001E-2</v>
      </c>
      <c r="O187">
        <v>2.026565E-2</v>
      </c>
      <c r="P187">
        <v>0.99329659999999997</v>
      </c>
      <c r="Q187">
        <v>0.1132268</v>
      </c>
      <c r="R187">
        <v>-2.3276209999999999E-2</v>
      </c>
      <c r="S187">
        <v>3.0051570000000001</v>
      </c>
      <c r="T187">
        <v>-2.822042E-2</v>
      </c>
      <c r="U187">
        <v>-0.79330440000000002</v>
      </c>
      <c r="V187">
        <v>4.3418390000000001E-2</v>
      </c>
      <c r="W187">
        <v>0.1244531</v>
      </c>
      <c r="X187">
        <v>0.99127509999999996</v>
      </c>
      <c r="Y187">
        <v>0.27475480000000002</v>
      </c>
      <c r="Z187">
        <v>-2.8118449999999999E-3</v>
      </c>
      <c r="AA187">
        <v>0.96151019999999998</v>
      </c>
      <c r="AB187">
        <v>27</v>
      </c>
      <c r="AC187">
        <v>76.6968999999999</v>
      </c>
      <c r="AD187">
        <v>-0.72266959999999902</v>
      </c>
      <c r="AE187">
        <v>-20.3184</v>
      </c>
      <c r="AF187">
        <v>21.8668246673315</v>
      </c>
      <c r="AG187">
        <v>-0.72266959999999902</v>
      </c>
      <c r="AH187">
        <v>76.263028096184996</v>
      </c>
      <c r="AI187">
        <v>90.521891087063395</v>
      </c>
      <c r="AJ187">
        <v>74.0008655073607</v>
      </c>
      <c r="AK187">
        <v>79.339332785082604</v>
      </c>
      <c r="AL187">
        <v>82.850826093294998</v>
      </c>
      <c r="AM187">
        <v>87.492016634891897</v>
      </c>
      <c r="AN187">
        <v>1.0000000272848999</v>
      </c>
    </row>
    <row r="188" spans="1:40" x14ac:dyDescent="0.25">
      <c r="A188" t="str">
        <f>"20190303170231529"</f>
        <v>20190303170231529</v>
      </c>
      <c r="B188" t="str">
        <f>"1551603751516415"</f>
        <v>1551603751516415</v>
      </c>
      <c r="C188" t="s">
        <v>40</v>
      </c>
      <c r="D188">
        <v>4.0960260000000002</v>
      </c>
      <c r="E188">
        <v>0.59519069999999996</v>
      </c>
      <c r="F188" t="s">
        <v>46</v>
      </c>
      <c r="G188">
        <v>-372.96460000000002</v>
      </c>
      <c r="H188">
        <v>0.41045739999999997</v>
      </c>
      <c r="I188">
        <v>346.89359999999999</v>
      </c>
      <c r="J188">
        <v>-449.41199999999998</v>
      </c>
      <c r="K188">
        <v>1.1210420000000001</v>
      </c>
      <c r="L188">
        <v>367.45519999999999</v>
      </c>
      <c r="M188">
        <v>0.99973230000000002</v>
      </c>
      <c r="N188">
        <v>-1.125075E-2</v>
      </c>
      <c r="O188">
        <v>2.0218679999999999E-2</v>
      </c>
      <c r="P188">
        <v>0.99324939999999995</v>
      </c>
      <c r="Q188">
        <v>0.1134575</v>
      </c>
      <c r="R188">
        <v>-2.4150709999999999E-2</v>
      </c>
      <c r="S188">
        <v>3.004578</v>
      </c>
      <c r="T188">
        <v>-2.7834649999999999E-2</v>
      </c>
      <c r="U188">
        <v>-0.80529790000000001</v>
      </c>
      <c r="V188">
        <v>4.4245029999999998E-2</v>
      </c>
      <c r="W188">
        <v>0.1246116</v>
      </c>
      <c r="X188">
        <v>0.99121859999999995</v>
      </c>
      <c r="Y188">
        <v>0.27833809999999998</v>
      </c>
      <c r="Z188">
        <v>-2.8206939999999999E-3</v>
      </c>
      <c r="AA188">
        <v>0.96047899999999997</v>
      </c>
      <c r="AB188">
        <v>27</v>
      </c>
      <c r="AC188">
        <v>76.447399999999902</v>
      </c>
      <c r="AD188">
        <v>-0.71058459999999901</v>
      </c>
      <c r="AE188">
        <v>-20.561599999999999</v>
      </c>
      <c r="AF188">
        <v>22.1013789078984</v>
      </c>
      <c r="AG188">
        <v>-0.71058459999999901</v>
      </c>
      <c r="AH188">
        <v>76.0098919402961</v>
      </c>
      <c r="AI188">
        <v>90.514318850995906</v>
      </c>
      <c r="AJ188">
        <v>73.787166168023106</v>
      </c>
      <c r="AK188">
        <v>79.161098734667306</v>
      </c>
      <c r="AL188">
        <v>82.841673219447202</v>
      </c>
      <c r="AM188">
        <v>87.444184534843302</v>
      </c>
      <c r="AN188">
        <v>0.99999999326011002</v>
      </c>
    </row>
    <row r="189" spans="1:40" x14ac:dyDescent="0.25">
      <c r="A189" t="str">
        <f>"20190303170231551"</f>
        <v>20190303170231551</v>
      </c>
      <c r="B189" t="str">
        <f>"1551603751546672"</f>
        <v>1551603751546672</v>
      </c>
      <c r="C189" t="s">
        <v>40</v>
      </c>
      <c r="D189">
        <v>4.079167</v>
      </c>
      <c r="E189">
        <v>0.59682800000000003</v>
      </c>
      <c r="F189" t="s">
        <v>46</v>
      </c>
      <c r="G189">
        <v>-372.96460000000002</v>
      </c>
      <c r="H189">
        <v>0.40259529999999999</v>
      </c>
      <c r="I189">
        <v>346.66419999999999</v>
      </c>
      <c r="J189">
        <v>-449.1429</v>
      </c>
      <c r="K189">
        <v>1.1210290000000001</v>
      </c>
      <c r="L189">
        <v>367.46050000000002</v>
      </c>
      <c r="M189">
        <v>0.99973440000000002</v>
      </c>
      <c r="N189">
        <v>-1.115732E-2</v>
      </c>
      <c r="O189">
        <v>2.0168490000000001E-2</v>
      </c>
      <c r="P189">
        <v>0.99321760000000003</v>
      </c>
      <c r="Q189">
        <v>0.1136427</v>
      </c>
      <c r="R189">
        <v>-2.4584350000000001E-2</v>
      </c>
      <c r="S189">
        <v>3.0036930000000002</v>
      </c>
      <c r="T189">
        <v>-2.8225299999999998E-2</v>
      </c>
      <c r="U189">
        <v>-0.81689449999999997</v>
      </c>
      <c r="V189">
        <v>4.4628269999999998E-2</v>
      </c>
      <c r="W189">
        <v>0.12470340000000001</v>
      </c>
      <c r="X189">
        <v>0.99118989999999996</v>
      </c>
      <c r="Y189">
        <v>0.28181430000000002</v>
      </c>
      <c r="Z189">
        <v>-2.866127E-3</v>
      </c>
      <c r="AA189">
        <v>0.95946469999999995</v>
      </c>
      <c r="AB189">
        <v>27</v>
      </c>
      <c r="AC189">
        <v>76.178299999999894</v>
      </c>
      <c r="AD189">
        <v>-0.71843369999999995</v>
      </c>
      <c r="AE189">
        <v>-20.796299999999999</v>
      </c>
      <c r="AF189">
        <v>22.326718163187099</v>
      </c>
      <c r="AG189">
        <v>-0.71843369999999995</v>
      </c>
      <c r="AH189">
        <v>75.737077939642404</v>
      </c>
      <c r="AI189">
        <v>90.521306917704393</v>
      </c>
      <c r="AJ189">
        <v>73.574881518720503</v>
      </c>
      <c r="AK189">
        <v>78.962671343839105</v>
      </c>
      <c r="AL189">
        <v>82.836372303864394</v>
      </c>
      <c r="AM189">
        <v>87.422001858708796</v>
      </c>
      <c r="AN189">
        <v>1.00000001915838</v>
      </c>
    </row>
    <row r="190" spans="1:40" x14ac:dyDescent="0.25">
      <c r="A190" t="str">
        <f>"20190303170231564"</f>
        <v>20190303170231564</v>
      </c>
      <c r="B190" t="str">
        <f>"1551603751556432"</f>
        <v>1551603751556432</v>
      </c>
      <c r="C190" t="s">
        <v>40</v>
      </c>
      <c r="D190">
        <v>4.0905849999999999</v>
      </c>
      <c r="E190">
        <v>0.59733269999999905</v>
      </c>
      <c r="F190" t="s">
        <v>46</v>
      </c>
      <c r="G190">
        <v>-372.96460000000002</v>
      </c>
      <c r="H190">
        <v>0.41423579999999999</v>
      </c>
      <c r="I190">
        <v>346.3784</v>
      </c>
      <c r="J190">
        <v>-448.98579999999998</v>
      </c>
      <c r="K190">
        <v>1.121022</v>
      </c>
      <c r="L190">
        <v>367.46370000000002</v>
      </c>
      <c r="M190">
        <v>0.99973559999999995</v>
      </c>
      <c r="N190">
        <v>-1.1097600000000001E-2</v>
      </c>
      <c r="O190">
        <v>2.013945E-2</v>
      </c>
      <c r="P190">
        <v>0.99319259999999998</v>
      </c>
      <c r="Q190">
        <v>0.1138093</v>
      </c>
      <c r="R190">
        <v>-2.4823129999999999E-2</v>
      </c>
      <c r="S190">
        <v>3.0030519999999998</v>
      </c>
      <c r="T190">
        <v>-2.785957E-2</v>
      </c>
      <c r="U190">
        <v>-0.83108519999999897</v>
      </c>
      <c r="V190">
        <v>4.4837620000000002E-2</v>
      </c>
      <c r="W190">
        <v>0.1248108</v>
      </c>
      <c r="X190">
        <v>0.99116689999999996</v>
      </c>
      <c r="Y190">
        <v>0.28605209999999998</v>
      </c>
      <c r="Z190">
        <v>-2.8832720000000001E-3</v>
      </c>
      <c r="AA190">
        <v>0.9582098</v>
      </c>
      <c r="AB190">
        <v>27</v>
      </c>
      <c r="AC190">
        <v>76.021199999999894</v>
      </c>
      <c r="AD190">
        <v>-0.70678619999999903</v>
      </c>
      <c r="AE190">
        <v>-21.0853</v>
      </c>
      <c r="AF190">
        <v>22.610327601993301</v>
      </c>
      <c r="AG190">
        <v>-0.70678619999999903</v>
      </c>
      <c r="AH190">
        <v>75.575041105309097</v>
      </c>
      <c r="AI190">
        <v>90.513340668087196</v>
      </c>
      <c r="AJ190">
        <v>73.344017086692901</v>
      </c>
      <c r="AK190">
        <v>78.887979433314996</v>
      </c>
      <c r="AL190">
        <v>82.830170042458207</v>
      </c>
      <c r="AM190">
        <v>87.409864949038706</v>
      </c>
      <c r="AN190">
        <v>0.99999998580975702</v>
      </c>
    </row>
    <row r="191" spans="1:40" x14ac:dyDescent="0.25">
      <c r="A191" t="str">
        <f>"20190303170231576"</f>
        <v>20190303170231576</v>
      </c>
      <c r="B191" t="str">
        <f>"1551603751566194"</f>
        <v>1551603751566194</v>
      </c>
      <c r="C191" t="s">
        <v>40</v>
      </c>
      <c r="D191">
        <v>4.0735140000000003</v>
      </c>
      <c r="E191">
        <v>0.59784440000000005</v>
      </c>
      <c r="F191" t="s">
        <v>46</v>
      </c>
      <c r="G191">
        <v>-372.96460000000002</v>
      </c>
      <c r="H191">
        <v>0.43532729999999997</v>
      </c>
      <c r="I191">
        <v>346.31439999999998</v>
      </c>
      <c r="J191">
        <v>-448.83010000000002</v>
      </c>
      <c r="K191">
        <v>1.1210119999999999</v>
      </c>
      <c r="L191">
        <v>367.4667</v>
      </c>
      <c r="M191">
        <v>0.99973690000000004</v>
      </c>
      <c r="N191">
        <v>-1.1036860000000001E-2</v>
      </c>
      <c r="O191">
        <v>2.0110590000000001E-2</v>
      </c>
      <c r="P191">
        <v>0.99315710000000001</v>
      </c>
      <c r="Q191">
        <v>0.11407689999999999</v>
      </c>
      <c r="R191">
        <v>-2.5016239999999999E-2</v>
      </c>
      <c r="S191">
        <v>3.0028079999999999</v>
      </c>
      <c r="T191">
        <v>-2.708149E-2</v>
      </c>
      <c r="U191">
        <v>-0.83538819999999903</v>
      </c>
      <c r="V191">
        <v>4.50015E-2</v>
      </c>
      <c r="W191">
        <v>0.12501760000000001</v>
      </c>
      <c r="X191">
        <v>0.9911335</v>
      </c>
      <c r="Y191">
        <v>0.28732020000000003</v>
      </c>
      <c r="Z191">
        <v>-2.8471009999999999E-3</v>
      </c>
      <c r="AA191">
        <v>0.95783039999999997</v>
      </c>
      <c r="AB191">
        <v>27</v>
      </c>
      <c r="AC191">
        <v>75.865499999999997</v>
      </c>
      <c r="AD191">
        <v>-0.68568470000000004</v>
      </c>
      <c r="AE191">
        <v>-21.1523</v>
      </c>
      <c r="AF191">
        <v>22.6720960225854</v>
      </c>
      <c r="AG191">
        <v>-0.68568470000000004</v>
      </c>
      <c r="AH191">
        <v>75.419027621456905</v>
      </c>
      <c r="AI191">
        <v>90.498848140329301</v>
      </c>
      <c r="AJ191">
        <v>73.268430297736899</v>
      </c>
      <c r="AK191">
        <v>78.756103439233399</v>
      </c>
      <c r="AL191">
        <v>82.818228381931903</v>
      </c>
      <c r="AM191">
        <v>87.400323572455605</v>
      </c>
      <c r="AN191">
        <v>1.0000000750671201</v>
      </c>
    </row>
    <row r="192" spans="1:40" x14ac:dyDescent="0.25">
      <c r="A192" t="str">
        <f>"20190303170231595"</f>
        <v>20190303170231595</v>
      </c>
      <c r="B192" t="str">
        <f>"1551603751585808"</f>
        <v>1551603751585808</v>
      </c>
      <c r="C192" t="s">
        <v>40</v>
      </c>
      <c r="D192">
        <v>4.0479779999999996</v>
      </c>
      <c r="E192">
        <v>0.59884819999999905</v>
      </c>
      <c r="F192" t="s">
        <v>46</v>
      </c>
      <c r="G192">
        <v>-372.96460000000002</v>
      </c>
      <c r="H192">
        <v>0.4661748</v>
      </c>
      <c r="I192">
        <v>346.23390000000001</v>
      </c>
      <c r="J192">
        <v>-448.60759999999999</v>
      </c>
      <c r="K192">
        <v>1.1210039999999999</v>
      </c>
      <c r="L192">
        <v>367.47120000000001</v>
      </c>
      <c r="M192">
        <v>0.99973869999999998</v>
      </c>
      <c r="N192">
        <v>-1.094818E-2</v>
      </c>
      <c r="O192">
        <v>2.0069360000000001E-2</v>
      </c>
      <c r="P192">
        <v>0.99311439999999995</v>
      </c>
      <c r="Q192">
        <v>0.11437219999999999</v>
      </c>
      <c r="R192">
        <v>-2.5352800000000002E-2</v>
      </c>
      <c r="S192">
        <v>3.0025330000000001</v>
      </c>
      <c r="T192">
        <v>-2.591336E-2</v>
      </c>
      <c r="U192">
        <v>-0.84033199999999997</v>
      </c>
      <c r="V192">
        <v>4.5296509999999998E-2</v>
      </c>
      <c r="W192">
        <v>0.1252248</v>
      </c>
      <c r="X192">
        <v>0.99109380000000002</v>
      </c>
      <c r="Y192">
        <v>0.28876750000000001</v>
      </c>
      <c r="Z192">
        <v>-2.7878479999999999E-3</v>
      </c>
      <c r="AA192">
        <v>0.9573952</v>
      </c>
      <c r="AB192">
        <v>27</v>
      </c>
      <c r="AC192">
        <v>75.642999999999901</v>
      </c>
      <c r="AD192">
        <v>-0.6548292</v>
      </c>
      <c r="AE192">
        <v>-21.237300000000001</v>
      </c>
      <c r="AF192">
        <v>22.749639280549701</v>
      </c>
      <c r="AG192">
        <v>-0.6548292</v>
      </c>
      <c r="AH192">
        <v>75.196294853434395</v>
      </c>
      <c r="AI192">
        <v>90.477558565199203</v>
      </c>
      <c r="AJ192">
        <v>73.167507297799901</v>
      </c>
      <c r="AK192">
        <v>78.564989966020804</v>
      </c>
      <c r="AL192">
        <v>82.806261921640299</v>
      </c>
      <c r="AM192">
        <v>87.383200179408107</v>
      </c>
      <c r="AN192">
        <v>0.99999997237582905</v>
      </c>
    </row>
    <row r="193" spans="1:40" x14ac:dyDescent="0.25">
      <c r="A193" t="str">
        <f>"20190303170231617"</f>
        <v>20190303170231617</v>
      </c>
      <c r="B193" t="str">
        <f>"1551603751606277"</f>
        <v>1551603751606277</v>
      </c>
      <c r="C193" t="s">
        <v>40</v>
      </c>
      <c r="D193">
        <v>4.0498659999999997</v>
      </c>
      <c r="E193">
        <v>0.59968520000000003</v>
      </c>
      <c r="F193" t="s">
        <v>46</v>
      </c>
      <c r="G193">
        <v>-372.96460000000002</v>
      </c>
      <c r="H193">
        <v>0.50775689999999996</v>
      </c>
      <c r="I193">
        <v>346.07350000000002</v>
      </c>
      <c r="J193">
        <v>-448.34640000000002</v>
      </c>
      <c r="K193">
        <v>1.120986</v>
      </c>
      <c r="L193">
        <v>367.47640000000001</v>
      </c>
      <c r="M193">
        <v>0.99974079999999999</v>
      </c>
      <c r="N193">
        <v>-1.0847300000000001E-2</v>
      </c>
      <c r="O193">
        <v>2.0020039999999999E-2</v>
      </c>
      <c r="P193">
        <v>0.99310180000000003</v>
      </c>
      <c r="Q193">
        <v>0.11436350000000001</v>
      </c>
      <c r="R193">
        <v>-2.5888270000000001E-2</v>
      </c>
      <c r="S193">
        <v>3.0019529999999999</v>
      </c>
      <c r="T193">
        <v>-2.4334069999999999E-2</v>
      </c>
      <c r="U193">
        <v>-0.84918209999999905</v>
      </c>
      <c r="V193">
        <v>4.5782509999999998E-2</v>
      </c>
      <c r="W193">
        <v>0.125115</v>
      </c>
      <c r="X193">
        <v>0.99108540000000001</v>
      </c>
      <c r="Y193">
        <v>0.29138459999999899</v>
      </c>
      <c r="Z193">
        <v>-2.715547E-3</v>
      </c>
      <c r="AA193">
        <v>0.95660219999999896</v>
      </c>
      <c r="AB193">
        <v>27</v>
      </c>
      <c r="AC193">
        <v>75.381799999999998</v>
      </c>
      <c r="AD193">
        <v>-0.61322909999999997</v>
      </c>
      <c r="AE193">
        <v>-21.402899999999899</v>
      </c>
      <c r="AF193">
        <v>22.9064424361408</v>
      </c>
      <c r="AG193">
        <v>-0.61322909999999997</v>
      </c>
      <c r="AH193">
        <v>74.933589022513004</v>
      </c>
      <c r="AI193">
        <v>90.448395507853803</v>
      </c>
      <c r="AJ193">
        <v>73.002136123908997</v>
      </c>
      <c r="AK193">
        <v>78.358942813211897</v>
      </c>
      <c r="AL193">
        <v>82.812603325959103</v>
      </c>
      <c r="AM193">
        <v>87.355141011782806</v>
      </c>
      <c r="AN193">
        <v>1.0000000357700201</v>
      </c>
    </row>
    <row r="194" spans="1:40" x14ac:dyDescent="0.25">
      <c r="A194" t="str">
        <f>"20190303170231627"</f>
        <v>20190303170231627</v>
      </c>
      <c r="B194" t="str">
        <f>"1551603751616038"</f>
        <v>1551603751616038</v>
      </c>
      <c r="C194" t="s">
        <v>40</v>
      </c>
      <c r="D194">
        <v>4.0439769999999999</v>
      </c>
      <c r="E194">
        <v>0.59968520000000003</v>
      </c>
      <c r="F194" t="s">
        <v>46</v>
      </c>
      <c r="G194">
        <v>-372.96460000000002</v>
      </c>
      <c r="H194">
        <v>0.51989339999999995</v>
      </c>
      <c r="I194">
        <v>345.94450000000001</v>
      </c>
      <c r="J194">
        <v>-448.20389999999998</v>
      </c>
      <c r="K194">
        <v>1.120981</v>
      </c>
      <c r="L194">
        <v>367.47919999999999</v>
      </c>
      <c r="M194">
        <v>0.99974189999999996</v>
      </c>
      <c r="N194">
        <v>-1.079371E-2</v>
      </c>
      <c r="O194">
        <v>1.9993460000000001E-2</v>
      </c>
      <c r="P194">
        <v>0.99312239999999996</v>
      </c>
      <c r="Q194">
        <v>0.1141876</v>
      </c>
      <c r="R194">
        <v>-2.586894E-2</v>
      </c>
      <c r="S194">
        <v>3.0012509999999999</v>
      </c>
      <c r="T194">
        <v>-2.392876E-2</v>
      </c>
      <c r="U194">
        <v>-0.85726930000000001</v>
      </c>
      <c r="V194">
        <v>4.5737359999999998E-2</v>
      </c>
      <c r="W194">
        <v>0.1248865</v>
      </c>
      <c r="X194">
        <v>0.99111629999999995</v>
      </c>
      <c r="Y194">
        <v>0.29380209999999901</v>
      </c>
      <c r="Z194">
        <v>-2.7099939999999999E-3</v>
      </c>
      <c r="AA194">
        <v>0.95586249999999995</v>
      </c>
      <c r="AB194">
        <v>27</v>
      </c>
      <c r="AC194">
        <v>75.239299999999901</v>
      </c>
      <c r="AD194">
        <v>-0.60108759999999894</v>
      </c>
      <c r="AE194">
        <v>-21.534699999999901</v>
      </c>
      <c r="AF194">
        <v>23.033417652810499</v>
      </c>
      <c r="AG194">
        <v>-0.60108759999999894</v>
      </c>
      <c r="AH194">
        <v>74.789268556007698</v>
      </c>
      <c r="AI194">
        <v>90.440083642190999</v>
      </c>
      <c r="AJ194">
        <v>72.882341142963099</v>
      </c>
      <c r="AK194">
        <v>78.258126263119294</v>
      </c>
      <c r="AL194">
        <v>82.825798881943399</v>
      </c>
      <c r="AM194">
        <v>87.357827893056196</v>
      </c>
      <c r="AN194">
        <v>1.00000003205385</v>
      </c>
    </row>
    <row r="195" spans="1:40" x14ac:dyDescent="0.25">
      <c r="A195" t="str">
        <f>"20190303170231641"</f>
        <v>20190303170231641</v>
      </c>
      <c r="B195" t="str">
        <f>"1551603751625797"</f>
        <v>1551603751625797</v>
      </c>
      <c r="C195" t="s">
        <v>40</v>
      </c>
      <c r="D195">
        <v>4.0347939999999998</v>
      </c>
      <c r="E195">
        <v>0.61181909999999995</v>
      </c>
      <c r="F195" t="s">
        <v>46</v>
      </c>
      <c r="G195">
        <v>-372.96460000000002</v>
      </c>
      <c r="H195">
        <v>0.50044040000000001</v>
      </c>
      <c r="I195">
        <v>345.99</v>
      </c>
      <c r="J195">
        <v>-448.05099999999999</v>
      </c>
      <c r="K195">
        <v>1.120978</v>
      </c>
      <c r="L195">
        <v>367.48219999999998</v>
      </c>
      <c r="M195">
        <v>0.9997431</v>
      </c>
      <c r="N195">
        <v>-1.073731E-2</v>
      </c>
      <c r="O195">
        <v>1.9964740000000002E-2</v>
      </c>
      <c r="P195">
        <v>0.99313580000000001</v>
      </c>
      <c r="Q195">
        <v>0.1140089</v>
      </c>
      <c r="R195">
        <v>-2.6149180000000001E-2</v>
      </c>
      <c r="S195">
        <v>3.001312</v>
      </c>
      <c r="T195">
        <v>-2.4750350000000001E-2</v>
      </c>
      <c r="U195">
        <v>-0.85720830000000003</v>
      </c>
      <c r="V195">
        <v>4.5989290000000002E-2</v>
      </c>
      <c r="W195">
        <v>0.12465229999999999</v>
      </c>
      <c r="X195">
        <v>0.99113410000000002</v>
      </c>
      <c r="Y195">
        <v>0.29375059999999997</v>
      </c>
      <c r="Z195">
        <v>-2.7469959999999998E-3</v>
      </c>
      <c r="AA195">
        <v>0.95587809999999995</v>
      </c>
      <c r="AB195">
        <v>27</v>
      </c>
      <c r="AC195">
        <v>75.086399999999898</v>
      </c>
      <c r="AD195">
        <v>-0.62053760000000002</v>
      </c>
      <c r="AE195">
        <v>-21.492199999999901</v>
      </c>
      <c r="AF195">
        <v>22.9856315354467</v>
      </c>
      <c r="AG195">
        <v>-0.62053760000000002</v>
      </c>
      <c r="AH195">
        <v>74.637609874705802</v>
      </c>
      <c r="AI195">
        <v>90.455248253174005</v>
      </c>
      <c r="AJ195">
        <v>72.883097436217994</v>
      </c>
      <c r="AK195">
        <v>78.099277408982005</v>
      </c>
      <c r="AL195">
        <v>82.839323058346096</v>
      </c>
      <c r="AM195">
        <v>87.343342749390402</v>
      </c>
      <c r="AN195">
        <v>1.0000000074363999</v>
      </c>
    </row>
    <row r="196" spans="1:40" x14ac:dyDescent="0.25">
      <c r="A196" t="str">
        <f>"20190303170231654"</f>
        <v>20190303170231654</v>
      </c>
      <c r="B196" t="str">
        <f>"1551603751646293"</f>
        <v>1551603751646293</v>
      </c>
      <c r="C196" t="s">
        <v>40</v>
      </c>
      <c r="D196">
        <v>4.0326959999999996</v>
      </c>
      <c r="E196">
        <v>0.61140479999999997</v>
      </c>
      <c r="F196" t="s">
        <v>46</v>
      </c>
      <c r="G196">
        <v>-372.96460000000002</v>
      </c>
      <c r="H196">
        <v>0.81216409999999895</v>
      </c>
      <c r="I196">
        <v>343.55029999999999</v>
      </c>
      <c r="J196">
        <v>-447.88560000000001</v>
      </c>
      <c r="K196">
        <v>1.1209750000000001</v>
      </c>
      <c r="L196">
        <v>367.4855</v>
      </c>
      <c r="M196">
        <v>0.99974430000000003</v>
      </c>
      <c r="N196">
        <v>-1.067765E-2</v>
      </c>
      <c r="O196">
        <v>1.9933719999999999E-2</v>
      </c>
      <c r="P196">
        <v>0.9931681</v>
      </c>
      <c r="Q196">
        <v>0.1137427</v>
      </c>
      <c r="R196">
        <v>-2.6079049999999999E-2</v>
      </c>
      <c r="S196">
        <v>2.9970400000000001</v>
      </c>
      <c r="T196">
        <v>-1.2323020000000001E-2</v>
      </c>
      <c r="U196">
        <v>-0.95523069999999999</v>
      </c>
      <c r="V196">
        <v>4.5888890000000002E-2</v>
      </c>
      <c r="W196">
        <v>0.1243273</v>
      </c>
      <c r="X196">
        <v>0.99117960000000005</v>
      </c>
      <c r="Y196">
        <v>0.322596299999999</v>
      </c>
      <c r="Z196">
        <v>-2.283677E-3</v>
      </c>
      <c r="AA196">
        <v>0.94653390000000004</v>
      </c>
      <c r="AB196">
        <v>27</v>
      </c>
      <c r="AC196">
        <v>74.920999999999907</v>
      </c>
      <c r="AD196">
        <v>-0.3088109</v>
      </c>
      <c r="AE196">
        <v>-23.935199999999998</v>
      </c>
      <c r="AF196">
        <v>25.423591047487399</v>
      </c>
      <c r="AG196">
        <v>-0.3088109</v>
      </c>
      <c r="AH196">
        <v>74.427819626511294</v>
      </c>
      <c r="AI196">
        <v>90.224963988067799</v>
      </c>
      <c r="AJ196">
        <v>71.140489325372599</v>
      </c>
      <c r="AK196">
        <v>78.650840302429998</v>
      </c>
      <c r="AL196">
        <v>82.858090366026403</v>
      </c>
      <c r="AM196">
        <v>87.349255775030002</v>
      </c>
      <c r="AN196">
        <v>1.00000003360344</v>
      </c>
    </row>
    <row r="197" spans="1:40" x14ac:dyDescent="0.25">
      <c r="A197" t="str">
        <f>"20190303170231666"</f>
        <v>20190303170231666</v>
      </c>
      <c r="B197" t="str">
        <f>"1551603751656053"</f>
        <v>1551603751656053</v>
      </c>
      <c r="C197" t="s">
        <v>40</v>
      </c>
      <c r="D197">
        <v>4.0265740000000001</v>
      </c>
      <c r="E197">
        <v>0.61134929999999998</v>
      </c>
      <c r="F197" t="s">
        <v>46</v>
      </c>
      <c r="G197">
        <v>-372.96460000000002</v>
      </c>
      <c r="H197">
        <v>0.85779359999999905</v>
      </c>
      <c r="I197">
        <v>343.69639999999998</v>
      </c>
      <c r="J197">
        <v>-447.74079999999998</v>
      </c>
      <c r="K197">
        <v>1.120973</v>
      </c>
      <c r="L197">
        <v>367.48829999999998</v>
      </c>
      <c r="M197">
        <v>0.99974540000000001</v>
      </c>
      <c r="N197">
        <v>-1.0628759999999999E-2</v>
      </c>
      <c r="O197">
        <v>1.9906449999999999E-2</v>
      </c>
      <c r="P197">
        <v>0.99317690000000003</v>
      </c>
      <c r="Q197">
        <v>0.11364349999999999</v>
      </c>
      <c r="R197">
        <v>-2.6171420000000001E-2</v>
      </c>
      <c r="S197">
        <v>2.9968569999999999</v>
      </c>
      <c r="T197">
        <v>-1.0524149999999999E-2</v>
      </c>
      <c r="U197">
        <v>-0.95156859999999999</v>
      </c>
      <c r="V197">
        <v>4.5954229999999999E-2</v>
      </c>
      <c r="W197">
        <v>0.1241797</v>
      </c>
      <c r="X197">
        <v>0.99119500000000005</v>
      </c>
      <c r="Y197">
        <v>0.3215383</v>
      </c>
      <c r="Z197">
        <v>-2.1628210000000001E-3</v>
      </c>
      <c r="AA197">
        <v>0.94689409999999896</v>
      </c>
      <c r="AB197">
        <v>27</v>
      </c>
      <c r="AC197">
        <v>74.776199999999903</v>
      </c>
      <c r="AD197">
        <v>-0.26317940000000001</v>
      </c>
      <c r="AE197">
        <v>-23.791899999999998</v>
      </c>
      <c r="AF197">
        <v>25.2755134156439</v>
      </c>
      <c r="AG197">
        <v>-0.26317940000000001</v>
      </c>
      <c r="AH197">
        <v>74.286906579623604</v>
      </c>
      <c r="AI197">
        <v>90.192165027087597</v>
      </c>
      <c r="AJ197">
        <v>71.209547355778199</v>
      </c>
      <c r="AK197">
        <v>78.469518483234694</v>
      </c>
      <c r="AL197">
        <v>82.866612733087706</v>
      </c>
      <c r="AM197">
        <v>87.345528027581807</v>
      </c>
      <c r="AN197">
        <v>0.99999995858599</v>
      </c>
    </row>
    <row r="198" spans="1:40" x14ac:dyDescent="0.25">
      <c r="A198" t="str">
        <f>"20190303170231685"</f>
        <v>20190303170231685</v>
      </c>
      <c r="B198" t="str">
        <f>"1551603751676549"</f>
        <v>1551603751676549</v>
      </c>
      <c r="C198" t="s">
        <v>40</v>
      </c>
      <c r="D198">
        <v>4.1228030000000002</v>
      </c>
      <c r="E198">
        <v>0.61134180000000005</v>
      </c>
      <c r="F198" t="s">
        <v>46</v>
      </c>
      <c r="G198">
        <v>-372.96460000000002</v>
      </c>
      <c r="H198">
        <v>0.85431460000000004</v>
      </c>
      <c r="I198">
        <v>343.74400000000003</v>
      </c>
      <c r="J198">
        <v>-447.51569999999998</v>
      </c>
      <c r="K198">
        <v>1.1209659999999999</v>
      </c>
      <c r="L198">
        <v>367.49279999999999</v>
      </c>
      <c r="M198">
        <v>0.99974700000000005</v>
      </c>
      <c r="N198">
        <v>-1.0556400000000001E-2</v>
      </c>
      <c r="O198">
        <v>1.9863749999999999E-2</v>
      </c>
      <c r="P198">
        <v>0.99318689999999998</v>
      </c>
      <c r="Q198">
        <v>0.1136341</v>
      </c>
      <c r="R198">
        <v>-2.5832850000000001E-2</v>
      </c>
      <c r="S198">
        <v>2.9967959999999998</v>
      </c>
      <c r="T198">
        <v>-1.0683659999999999E-2</v>
      </c>
      <c r="U198">
        <v>-0.95159910000000003</v>
      </c>
      <c r="V198">
        <v>4.5573620000000002E-2</v>
      </c>
      <c r="W198">
        <v>0.12409870000000001</v>
      </c>
      <c r="X198">
        <v>0.99122270000000001</v>
      </c>
      <c r="Y198">
        <v>0.32151210000000002</v>
      </c>
      <c r="Z198">
        <v>-2.1618179999999998E-3</v>
      </c>
      <c r="AA198">
        <v>0.94690300000000005</v>
      </c>
      <c r="AB198">
        <v>27</v>
      </c>
      <c r="AC198">
        <v>74.551099999999906</v>
      </c>
      <c r="AD198">
        <v>-0.26665139999999898</v>
      </c>
      <c r="AE198">
        <v>-23.7487999999999</v>
      </c>
      <c r="AF198">
        <v>25.224767655313801</v>
      </c>
      <c r="AG198">
        <v>-0.26665139999999898</v>
      </c>
      <c r="AH198">
        <v>74.063762434301395</v>
      </c>
      <c r="AI198">
        <v>90.195266499326095</v>
      </c>
      <c r="AJ198">
        <v>71.192092874522302</v>
      </c>
      <c r="AK198">
        <v>78.241938320559996</v>
      </c>
      <c r="AL198">
        <v>82.871289748153501</v>
      </c>
      <c r="AM198">
        <v>87.367555756160499</v>
      </c>
      <c r="AN198">
        <v>0.99999994158843997</v>
      </c>
    </row>
    <row r="199" spans="1:40" x14ac:dyDescent="0.25">
      <c r="A199" t="str">
        <f>"20190303170231698"</f>
        <v>20190303170231698</v>
      </c>
      <c r="B199" t="str">
        <f>"1551603751686309"</f>
        <v>1551603751686309</v>
      </c>
      <c r="C199" t="s">
        <v>40</v>
      </c>
      <c r="D199">
        <v>4.0943350000000001</v>
      </c>
      <c r="E199">
        <v>0.61068679999999997</v>
      </c>
      <c r="F199" t="s">
        <v>46</v>
      </c>
      <c r="G199">
        <v>-372.96460000000002</v>
      </c>
      <c r="H199">
        <v>0.87556619999999996</v>
      </c>
      <c r="I199">
        <v>343.8424</v>
      </c>
      <c r="J199">
        <v>-447.36290000000002</v>
      </c>
      <c r="K199">
        <v>1.120965</v>
      </c>
      <c r="L199">
        <v>367.49579999999997</v>
      </c>
      <c r="M199">
        <v>0.99974810000000003</v>
      </c>
      <c r="N199">
        <v>-1.0510190000000001E-2</v>
      </c>
      <c r="O199">
        <v>1.98348E-2</v>
      </c>
      <c r="P199">
        <v>0.9931567</v>
      </c>
      <c r="Q199">
        <v>0.1139754</v>
      </c>
      <c r="R199">
        <v>-2.5487039999999999E-2</v>
      </c>
      <c r="S199">
        <v>2.9969480000000002</v>
      </c>
      <c r="T199">
        <v>-9.8619459999999999E-3</v>
      </c>
      <c r="U199">
        <v>-0.95074460000000005</v>
      </c>
      <c r="V199">
        <v>4.5198580000000002E-2</v>
      </c>
      <c r="W199">
        <v>0.124394</v>
      </c>
      <c r="X199">
        <v>0.9912029</v>
      </c>
      <c r="Y199">
        <v>0.32122620000000002</v>
      </c>
      <c r="Z199">
        <v>-2.104884E-3</v>
      </c>
      <c r="AA199">
        <v>0.94700010000000001</v>
      </c>
      <c r="AB199">
        <v>27</v>
      </c>
      <c r="AC199">
        <v>74.398300000000006</v>
      </c>
      <c r="AD199">
        <v>-0.245398799999999</v>
      </c>
      <c r="AE199">
        <v>-23.653399999999898</v>
      </c>
      <c r="AF199">
        <v>25.124254728261999</v>
      </c>
      <c r="AG199">
        <v>-0.245398799999999</v>
      </c>
      <c r="AH199">
        <v>73.913745402613799</v>
      </c>
      <c r="AI199">
        <v>90.180104957492404</v>
      </c>
      <c r="AJ199">
        <v>71.226426913252595</v>
      </c>
      <c r="AK199">
        <v>78.067471815500994</v>
      </c>
      <c r="AL199">
        <v>82.854238481690402</v>
      </c>
      <c r="AM199">
        <v>87.389136808215895</v>
      </c>
      <c r="AN199">
        <v>0.99999998391921296</v>
      </c>
    </row>
    <row r="200" spans="1:40" x14ac:dyDescent="0.25">
      <c r="A200" t="str">
        <f>"20190303170231719"</f>
        <v>20190303170231719</v>
      </c>
      <c r="B200" t="str">
        <f>"1551603751705829"</f>
        <v>1551603751705829</v>
      </c>
      <c r="C200" t="s">
        <v>40</v>
      </c>
      <c r="D200">
        <v>4.0824170000000004</v>
      </c>
      <c r="E200">
        <v>0.61090639999999996</v>
      </c>
      <c r="F200" t="s">
        <v>44</v>
      </c>
      <c r="G200">
        <v>-381.21839999999997</v>
      </c>
      <c r="H200">
        <v>-0.05</v>
      </c>
      <c r="I200">
        <v>346.7312</v>
      </c>
      <c r="J200">
        <v>-447.1003</v>
      </c>
      <c r="K200">
        <v>1.12097</v>
      </c>
      <c r="L200">
        <v>367.50099999999998</v>
      </c>
      <c r="M200">
        <v>0.99974980000000002</v>
      </c>
      <c r="N200">
        <v>-1.043904E-2</v>
      </c>
      <c r="O200">
        <v>1.978512E-2</v>
      </c>
      <c r="P200">
        <v>0.9931297</v>
      </c>
      <c r="Q200">
        <v>0.1143502</v>
      </c>
      <c r="R200">
        <v>-2.4856670000000001E-2</v>
      </c>
      <c r="S200">
        <v>3.0025940000000002</v>
      </c>
      <c r="T200">
        <v>-5.3155420000000002E-2</v>
      </c>
      <c r="U200">
        <v>-0.9425964</v>
      </c>
      <c r="V200">
        <v>4.4518490000000001E-2</v>
      </c>
      <c r="W200">
        <v>0.1246982</v>
      </c>
      <c r="X200">
        <v>0.99119539999999995</v>
      </c>
      <c r="Y200">
        <v>0.31825969999999998</v>
      </c>
      <c r="Z200">
        <v>-4.5918620000000004E-3</v>
      </c>
      <c r="AA200">
        <v>0.94799239999999996</v>
      </c>
      <c r="AB200">
        <v>27</v>
      </c>
      <c r="AC200">
        <v>65.881900000000002</v>
      </c>
      <c r="AD200">
        <v>-1.1709700000000001</v>
      </c>
      <c r="AE200">
        <v>-20.769799999999901</v>
      </c>
      <c r="AF200">
        <v>22.0629465013578</v>
      </c>
      <c r="AG200">
        <v>-1.1709700000000001</v>
      </c>
      <c r="AH200">
        <v>65.439243359042393</v>
      </c>
      <c r="AI200">
        <v>90.971426661515395</v>
      </c>
      <c r="AJ200">
        <v>71.368383012810895</v>
      </c>
      <c r="AK200">
        <v>69.068367220216302</v>
      </c>
      <c r="AL200">
        <v>82.836671936633607</v>
      </c>
      <c r="AM200">
        <v>87.428349140439295</v>
      </c>
      <c r="AN200">
        <v>0.99999992900813695</v>
      </c>
    </row>
    <row r="201" spans="1:40" x14ac:dyDescent="0.25">
      <c r="A201" t="str">
        <f>"20190303170231741"</f>
        <v>20190303170231741</v>
      </c>
      <c r="B201" t="str">
        <f>"1551603751726324"</f>
        <v>1551603751726324</v>
      </c>
      <c r="C201" t="s">
        <v>40</v>
      </c>
      <c r="D201">
        <v>4.0784079999999996</v>
      </c>
      <c r="E201">
        <v>0.61152879999999998</v>
      </c>
      <c r="F201" t="s">
        <v>44</v>
      </c>
      <c r="G201">
        <v>-370.44229999999999</v>
      </c>
      <c r="H201">
        <v>-0.05</v>
      </c>
      <c r="I201">
        <v>343.42770000000002</v>
      </c>
      <c r="J201">
        <v>-446.82760000000002</v>
      </c>
      <c r="K201">
        <v>1.1209709999999999</v>
      </c>
      <c r="L201">
        <v>367.50630000000001</v>
      </c>
      <c r="M201">
        <v>0.99975139999999996</v>
      </c>
      <c r="N201">
        <v>-1.037445E-2</v>
      </c>
      <c r="O201">
        <v>1.973372E-2</v>
      </c>
      <c r="P201">
        <v>0.99318470000000003</v>
      </c>
      <c r="Q201">
        <v>0.1140843</v>
      </c>
      <c r="R201">
        <v>-2.3853470000000002E-2</v>
      </c>
      <c r="S201">
        <v>3.0024410000000001</v>
      </c>
      <c r="T201">
        <v>-4.5863029999999999E-2</v>
      </c>
      <c r="U201">
        <v>-0.94287109999999996</v>
      </c>
      <c r="V201">
        <v>4.3465709999999998E-2</v>
      </c>
      <c r="W201">
        <v>0.1243689</v>
      </c>
      <c r="X201">
        <v>0.99128349999999998</v>
      </c>
      <c r="Y201">
        <v>0.31831949999999998</v>
      </c>
      <c r="Z201">
        <v>-4.1589089999999997E-3</v>
      </c>
      <c r="AA201">
        <v>0.94797439999999999</v>
      </c>
      <c r="AB201">
        <v>27</v>
      </c>
      <c r="AC201">
        <v>76.385300000000001</v>
      </c>
      <c r="AD201">
        <v>-1.170971</v>
      </c>
      <c r="AE201">
        <v>-24.078599999999899</v>
      </c>
      <c r="AF201">
        <v>25.5758908656308</v>
      </c>
      <c r="AG201">
        <v>-1.170971</v>
      </c>
      <c r="AH201">
        <v>75.879018004821802</v>
      </c>
      <c r="AI201">
        <v>90.837817588046093</v>
      </c>
      <c r="AJ201">
        <v>71.373022509858799</v>
      </c>
      <c r="AK201">
        <v>80.081975125677104</v>
      </c>
      <c r="AL201">
        <v>82.855687504644607</v>
      </c>
      <c r="AM201">
        <v>87.489308026253994</v>
      </c>
      <c r="AN201">
        <v>0.99999993430262901</v>
      </c>
    </row>
    <row r="202" spans="1:40" x14ac:dyDescent="0.25">
      <c r="A202" t="str">
        <f>"20190303170231763"</f>
        <v>20190303170231763</v>
      </c>
      <c r="B202" t="str">
        <f>"1551603751756582"</f>
        <v>1551603751756582</v>
      </c>
      <c r="C202" t="s">
        <v>40</v>
      </c>
      <c r="D202">
        <v>4.058675</v>
      </c>
      <c r="E202">
        <v>0.61224889999999998</v>
      </c>
      <c r="F202" t="s">
        <v>44</v>
      </c>
      <c r="G202">
        <v>-373.68709999999999</v>
      </c>
      <c r="H202">
        <v>-0.05</v>
      </c>
      <c r="I202">
        <v>344.48169999999999</v>
      </c>
      <c r="J202">
        <v>-446.55900000000003</v>
      </c>
      <c r="K202">
        <v>1.1209720000000001</v>
      </c>
      <c r="L202">
        <v>367.51150000000001</v>
      </c>
      <c r="M202">
        <v>0.999753</v>
      </c>
      <c r="N202">
        <v>-1.031897E-2</v>
      </c>
      <c r="O202">
        <v>1.968311E-2</v>
      </c>
      <c r="P202">
        <v>0.99327509999999997</v>
      </c>
      <c r="Q202">
        <v>0.1134859</v>
      </c>
      <c r="R202">
        <v>-2.2923019999999999E-2</v>
      </c>
      <c r="S202">
        <v>3.003387</v>
      </c>
      <c r="T202">
        <v>-4.8083899999999999E-2</v>
      </c>
      <c r="U202">
        <v>-0.94546509999999995</v>
      </c>
      <c r="V202">
        <v>4.248706E-2</v>
      </c>
      <c r="W202">
        <v>0.12371740000000001</v>
      </c>
      <c r="X202">
        <v>0.9914075</v>
      </c>
      <c r="Y202">
        <v>0.31892659999999901</v>
      </c>
      <c r="Z202">
        <v>-4.2868309999999996E-3</v>
      </c>
      <c r="AA202">
        <v>0.94776970000000005</v>
      </c>
      <c r="AB202">
        <v>27</v>
      </c>
      <c r="AC202">
        <v>72.871899999999997</v>
      </c>
      <c r="AD202">
        <v>-1.1709719999999999</v>
      </c>
      <c r="AE202">
        <v>-23.029800000000002</v>
      </c>
      <c r="AF202">
        <v>24.454019060322999</v>
      </c>
      <c r="AG202">
        <v>-1.1709719999999999</v>
      </c>
      <c r="AH202">
        <v>72.387464826434993</v>
      </c>
      <c r="AI202">
        <v>90.878021556365994</v>
      </c>
      <c r="AJ202">
        <v>71.333942184926002</v>
      </c>
      <c r="AK202">
        <v>76.415412631391305</v>
      </c>
      <c r="AL202">
        <v>82.893306629269304</v>
      </c>
      <c r="AM202">
        <v>87.5460740564221</v>
      </c>
      <c r="AN202">
        <v>0.999999988193226</v>
      </c>
    </row>
    <row r="203" spans="1:40" x14ac:dyDescent="0.25">
      <c r="A203" t="str">
        <f>"20190303170231785"</f>
        <v>20190303170231785</v>
      </c>
      <c r="B203" t="str">
        <f>"1551603751776101"</f>
        <v>1551603751776101</v>
      </c>
      <c r="C203" t="s">
        <v>40</v>
      </c>
      <c r="D203">
        <v>4.3350070000000001</v>
      </c>
      <c r="E203">
        <v>0.61083279999999995</v>
      </c>
      <c r="F203" t="s">
        <v>44</v>
      </c>
      <c r="G203">
        <v>-377.4778</v>
      </c>
      <c r="H203">
        <v>-0.05</v>
      </c>
      <c r="I203">
        <v>345.7029</v>
      </c>
      <c r="J203">
        <v>-446.28019999999998</v>
      </c>
      <c r="K203">
        <v>1.120973</v>
      </c>
      <c r="L203">
        <v>367.517</v>
      </c>
      <c r="M203">
        <v>0.9997547</v>
      </c>
      <c r="N203">
        <v>-1.02711E-2</v>
      </c>
      <c r="O203">
        <v>1.962912E-2</v>
      </c>
      <c r="P203">
        <v>0.99331539999999996</v>
      </c>
      <c r="Q203">
        <v>0.11336930000000001</v>
      </c>
      <c r="R203">
        <v>-2.1733869999999999E-2</v>
      </c>
      <c r="S203">
        <v>3.0042420000000001</v>
      </c>
      <c r="T203">
        <v>-5.0923940000000001E-2</v>
      </c>
      <c r="U203">
        <v>-0.94842530000000003</v>
      </c>
      <c r="V203">
        <v>4.1245370000000003E-2</v>
      </c>
      <c r="W203">
        <v>0.1235537</v>
      </c>
      <c r="X203">
        <v>0.99148040000000004</v>
      </c>
      <c r="Y203">
        <v>0.31964150000000002</v>
      </c>
      <c r="Z203">
        <v>-4.4536569999999998E-3</v>
      </c>
      <c r="AA203">
        <v>0.94752809999999998</v>
      </c>
      <c r="AB203">
        <v>27</v>
      </c>
      <c r="AC203">
        <v>68.802399999999906</v>
      </c>
      <c r="AD203">
        <v>-1.170973</v>
      </c>
      <c r="AE203">
        <v>-21.8141</v>
      </c>
      <c r="AF203">
        <v>23.1544040166618</v>
      </c>
      <c r="AG203">
        <v>-1.170973</v>
      </c>
      <c r="AH203">
        <v>68.342940425294501</v>
      </c>
      <c r="AI203">
        <v>90.929699178975198</v>
      </c>
      <c r="AJ203">
        <v>71.283758280897203</v>
      </c>
      <c r="AK203">
        <v>72.168241693343802</v>
      </c>
      <c r="AL203">
        <v>82.902758838727607</v>
      </c>
      <c r="AM203">
        <v>87.617881461062495</v>
      </c>
      <c r="AN203">
        <v>1.0000000404571401</v>
      </c>
    </row>
    <row r="204" spans="1:40" x14ac:dyDescent="0.25">
      <c r="A204" t="str">
        <f>"20190303170231806"</f>
        <v>20190303170231806</v>
      </c>
      <c r="B204" t="str">
        <f>"1551603751796598"</f>
        <v>1551603751796598</v>
      </c>
      <c r="C204" t="s">
        <v>40</v>
      </c>
      <c r="D204">
        <v>4.0728980000000004</v>
      </c>
      <c r="E204">
        <v>0.53896049999999995</v>
      </c>
      <c r="F204" t="s">
        <v>44</v>
      </c>
      <c r="G204">
        <v>-372.81319999999999</v>
      </c>
      <c r="H204">
        <v>-0.05</v>
      </c>
      <c r="I204">
        <v>344.68439999999998</v>
      </c>
      <c r="J204">
        <v>-446.02629999999999</v>
      </c>
      <c r="K204">
        <v>1.1209769999999999</v>
      </c>
      <c r="L204">
        <v>367.52190000000002</v>
      </c>
      <c r="M204">
        <v>0.99975599999999998</v>
      </c>
      <c r="N204">
        <v>-1.023773E-2</v>
      </c>
      <c r="O204">
        <v>1.9579340000000001E-2</v>
      </c>
      <c r="P204">
        <v>0.99328119999999998</v>
      </c>
      <c r="Q204">
        <v>0.1140018</v>
      </c>
      <c r="R204">
        <v>-1.990865E-2</v>
      </c>
      <c r="S204">
        <v>3.0052490000000001</v>
      </c>
      <c r="T204">
        <v>-4.7899959999999998E-2</v>
      </c>
      <c r="U204">
        <v>-0.93399049999999995</v>
      </c>
      <c r="V204">
        <v>3.9370790000000003E-2</v>
      </c>
      <c r="W204">
        <v>0.1241536</v>
      </c>
      <c r="X204">
        <v>0.99148159999999996</v>
      </c>
      <c r="Y204">
        <v>0.315362799999999</v>
      </c>
      <c r="Z204">
        <v>-4.2162709999999997E-3</v>
      </c>
      <c r="AA204">
        <v>0.94896190000000002</v>
      </c>
      <c r="AB204">
        <v>27</v>
      </c>
      <c r="AC204">
        <v>73.213099999999997</v>
      </c>
      <c r="AD204">
        <v>-1.1709769999999999</v>
      </c>
      <c r="AE204">
        <v>-22.837499999999999</v>
      </c>
      <c r="AF204">
        <v>24.261004981473199</v>
      </c>
      <c r="AG204">
        <v>-1.1709769999999999</v>
      </c>
      <c r="AH204">
        <v>72.7349409813839</v>
      </c>
      <c r="AI204">
        <v>90.874956955813701</v>
      </c>
      <c r="AJ204">
        <v>71.553691080796</v>
      </c>
      <c r="AK204">
        <v>76.683369705634306</v>
      </c>
      <c r="AL204">
        <v>82.868119892678095</v>
      </c>
      <c r="AM204">
        <v>87.726033867725803</v>
      </c>
      <c r="AN204">
        <v>0.99999996931837098</v>
      </c>
    </row>
    <row r="205" spans="1:40" x14ac:dyDescent="0.25">
      <c r="A205" t="str">
        <f>"20190303170231821"</f>
        <v>20190303170231821</v>
      </c>
      <c r="B205" t="str">
        <f>"1551603751816118"</f>
        <v>1551603751816118</v>
      </c>
      <c r="C205" t="s">
        <v>40</v>
      </c>
      <c r="D205">
        <v>3.9020990000000002</v>
      </c>
      <c r="E205">
        <v>0.52301419999999998</v>
      </c>
      <c r="F205" t="s">
        <v>47</v>
      </c>
      <c r="G205">
        <v>-277.67540000000002</v>
      </c>
      <c r="H205">
        <v>3.0278700000000001</v>
      </c>
      <c r="I205">
        <v>347.4692</v>
      </c>
      <c r="J205">
        <v>-445.83690000000001</v>
      </c>
      <c r="K205">
        <v>1.1209789999999999</v>
      </c>
      <c r="L205">
        <v>367.5256</v>
      </c>
      <c r="M205">
        <v>0.99975689999999995</v>
      </c>
      <c r="N205">
        <v>-1.021939E-2</v>
      </c>
      <c r="O205">
        <v>1.9541699999999999E-2</v>
      </c>
      <c r="P205">
        <v>0.99327390000000004</v>
      </c>
      <c r="Q205">
        <v>0.11414000000000001</v>
      </c>
      <c r="R205">
        <v>-1.9478519999999999E-2</v>
      </c>
      <c r="S205">
        <v>3.0091549999999998</v>
      </c>
      <c r="T205">
        <v>3.4085749999999998E-2</v>
      </c>
      <c r="U205">
        <v>-0.358429</v>
      </c>
      <c r="V205">
        <v>3.890329E-2</v>
      </c>
      <c r="W205">
        <v>0.12427340000000001</v>
      </c>
      <c r="X205">
        <v>0.99148510000000001</v>
      </c>
      <c r="Y205">
        <v>0.13765439999999901</v>
      </c>
      <c r="Z205">
        <v>4.9055789999999995E-4</v>
      </c>
      <c r="AA205">
        <v>0.99048020000000003</v>
      </c>
      <c r="AB205">
        <v>27</v>
      </c>
      <c r="AC205">
        <v>168.16149999999999</v>
      </c>
      <c r="AD205">
        <v>1.9068909999999999</v>
      </c>
      <c r="AE205">
        <v>-20.0564</v>
      </c>
      <c r="AF205">
        <v>23.3359439727103</v>
      </c>
      <c r="AG205">
        <v>1.9068909999999999</v>
      </c>
      <c r="AH205">
        <v>167.71616469009399</v>
      </c>
      <c r="AI205">
        <v>89.354804291768602</v>
      </c>
      <c r="AJ205">
        <v>82.078750337023493</v>
      </c>
      <c r="AK205">
        <v>169.34259479746399</v>
      </c>
      <c r="AL205">
        <v>82.861202675154303</v>
      </c>
      <c r="AM205">
        <v>87.753015671259504</v>
      </c>
      <c r="AN205">
        <v>1.0000000237211899</v>
      </c>
    </row>
    <row r="206" spans="1:40" x14ac:dyDescent="0.25">
      <c r="A206" t="str">
        <f>"20190303170231866"</f>
        <v>20190303170231866</v>
      </c>
      <c r="B206" t="str">
        <f>"1551603751855966"</f>
        <v>1551603751855966</v>
      </c>
      <c r="C206" t="s">
        <v>40</v>
      </c>
      <c r="D206">
        <v>5.3481259999999997</v>
      </c>
      <c r="E206">
        <v>0.52301419999999998</v>
      </c>
      <c r="F206" t="s">
        <v>48</v>
      </c>
      <c r="G206">
        <v>0</v>
      </c>
      <c r="H206">
        <v>0</v>
      </c>
      <c r="I206">
        <v>0</v>
      </c>
      <c r="J206">
        <v>-445.28539999999998</v>
      </c>
      <c r="K206">
        <v>1.1209899999999999</v>
      </c>
      <c r="L206">
        <v>367.53629999999998</v>
      </c>
      <c r="M206">
        <v>0.99975930000000002</v>
      </c>
      <c r="N206">
        <v>-1.019724E-2</v>
      </c>
      <c r="O206">
        <v>1.9432020000000001E-2</v>
      </c>
      <c r="P206">
        <v>0.99336679999999999</v>
      </c>
      <c r="Q206">
        <v>0.1136988</v>
      </c>
      <c r="R206">
        <v>-1.7187359999999999E-2</v>
      </c>
      <c r="S206">
        <v>3.0160520000000002</v>
      </c>
      <c r="T206">
        <v>-1.911879E-3</v>
      </c>
      <c r="U206">
        <v>-0.22882079999999999</v>
      </c>
      <c r="V206">
        <v>3.6505700000000002E-2</v>
      </c>
      <c r="W206">
        <v>0.12381200000000001</v>
      </c>
      <c r="X206">
        <v>0.99163400000000002</v>
      </c>
      <c r="Y206">
        <v>9.5012079999999999E-2</v>
      </c>
      <c r="Z206">
        <v>-3.2966519999999902E-4</v>
      </c>
      <c r="AA206">
        <v>0.99547609999999997</v>
      </c>
      <c r="AB206">
        <v>28</v>
      </c>
      <c r="AC206">
        <v>3.0160520000000002</v>
      </c>
      <c r="AD206">
        <v>-1.911879E-3</v>
      </c>
      <c r="AE206">
        <v>-0.22882079999999999</v>
      </c>
      <c r="AF206">
        <v>0.28738849783957099</v>
      </c>
      <c r="AG206">
        <v>-1.911879E-3</v>
      </c>
      <c r="AH206">
        <v>3.0110345673817598</v>
      </c>
      <c r="AI206">
        <v>90.036215795677904</v>
      </c>
      <c r="AJ206">
        <v>84.547914264585501</v>
      </c>
      <c r="AK206">
        <v>3.0247189902435001</v>
      </c>
      <c r="AL206">
        <v>82.887844778470097</v>
      </c>
      <c r="AM206">
        <v>87.891683406196407</v>
      </c>
      <c r="AN206">
        <v>1.00000003371624</v>
      </c>
    </row>
    <row r="207" spans="1:40" x14ac:dyDescent="0.25">
      <c r="A207" t="str">
        <f>"20190303170231880"</f>
        <v>20190303170231880</v>
      </c>
      <c r="B207" t="str">
        <f>"1551603751876462"</f>
        <v>1551603751876462</v>
      </c>
      <c r="C207" t="s">
        <v>40</v>
      </c>
      <c r="D207">
        <v>3.8516149999999998</v>
      </c>
      <c r="E207">
        <v>0.46969719999999998</v>
      </c>
      <c r="F207" t="s">
        <v>48</v>
      </c>
      <c r="G207">
        <v>0</v>
      </c>
      <c r="H207">
        <v>0</v>
      </c>
      <c r="I207">
        <v>0</v>
      </c>
      <c r="J207">
        <v>-445.1191</v>
      </c>
      <c r="K207">
        <v>1.1209960000000001</v>
      </c>
      <c r="L207">
        <v>367.53949999999998</v>
      </c>
      <c r="M207">
        <v>0.99975990000000003</v>
      </c>
      <c r="N207">
        <v>-1.0199349999999999E-2</v>
      </c>
      <c r="O207">
        <v>1.9398450000000001E-2</v>
      </c>
      <c r="P207">
        <v>0.99335790000000002</v>
      </c>
      <c r="Q207">
        <v>0.1138513</v>
      </c>
      <c r="R207">
        <v>-1.6679260000000001E-2</v>
      </c>
      <c r="S207">
        <v>3.0165709999999999</v>
      </c>
      <c r="T207">
        <v>-3.101945E-3</v>
      </c>
      <c r="U207">
        <v>-0.22198490000000001</v>
      </c>
      <c r="V207">
        <v>3.5964339999999997E-2</v>
      </c>
      <c r="W207">
        <v>0.1239668</v>
      </c>
      <c r="X207">
        <v>0.99163440000000003</v>
      </c>
      <c r="Y207">
        <v>9.2722009999999994E-2</v>
      </c>
      <c r="Z207">
        <v>-3.4347199999999999E-4</v>
      </c>
      <c r="AA207">
        <v>0.99569200000000002</v>
      </c>
      <c r="AB207">
        <v>28</v>
      </c>
      <c r="AC207">
        <v>3.0165709999999999</v>
      </c>
      <c r="AD207">
        <v>-3.101945E-3</v>
      </c>
      <c r="AE207">
        <v>-0.22198490000000001</v>
      </c>
      <c r="AF207">
        <v>0.28046267053967799</v>
      </c>
      <c r="AG207">
        <v>-3.101945E-3</v>
      </c>
      <c r="AH207">
        <v>3.0116937660073502</v>
      </c>
      <c r="AI207">
        <v>90.058758505472696</v>
      </c>
      <c r="AJ207">
        <v>84.679699618277894</v>
      </c>
      <c r="AK207">
        <v>3.0247261482383099</v>
      </c>
      <c r="AL207">
        <v>82.878906235385301</v>
      </c>
      <c r="AM207">
        <v>87.9229218593497</v>
      </c>
      <c r="AN207">
        <v>0.99999999225861702</v>
      </c>
    </row>
    <row r="208" spans="1:40" x14ac:dyDescent="0.25">
      <c r="A208" t="str">
        <f>"20190303170231896"</f>
        <v>20190303170231896</v>
      </c>
      <c r="B208" t="str">
        <f>"1551603751886222"</f>
        <v>1551603751886222</v>
      </c>
      <c r="C208" t="s">
        <v>40</v>
      </c>
      <c r="D208">
        <v>3.919451</v>
      </c>
      <c r="E208">
        <v>0.47057850000000001</v>
      </c>
      <c r="F208" t="s">
        <v>42</v>
      </c>
      <c r="G208">
        <v>-390.89870000000002</v>
      </c>
      <c r="H208" s="1">
        <v>-4.2592010000000001E-6</v>
      </c>
      <c r="I208">
        <v>371.24549999999999</v>
      </c>
      <c r="J208">
        <v>-444.91579999999999</v>
      </c>
      <c r="K208">
        <v>1.120997</v>
      </c>
      <c r="L208">
        <v>367.54340000000002</v>
      </c>
      <c r="M208">
        <v>0.99976050000000005</v>
      </c>
      <c r="N208">
        <v>-1.0208099999999999E-2</v>
      </c>
      <c r="O208">
        <v>1.9357630000000001E-2</v>
      </c>
      <c r="P208">
        <v>0.99351469999999997</v>
      </c>
      <c r="Q208">
        <v>0.11264349999999999</v>
      </c>
      <c r="R208">
        <v>-1.549671E-2</v>
      </c>
      <c r="S208">
        <v>3.0307309999999998</v>
      </c>
      <c r="T208">
        <v>-6.2659859999999998E-2</v>
      </c>
      <c r="U208">
        <v>0.20715330000000001</v>
      </c>
      <c r="V208">
        <v>3.4744270000000001E-2</v>
      </c>
      <c r="W208">
        <v>0.12276960000000001</v>
      </c>
      <c r="X208">
        <v>0.99182680000000001</v>
      </c>
      <c r="Y208">
        <v>-4.8850989999999997E-2</v>
      </c>
      <c r="Z208">
        <v>5.5181429999999997E-4</v>
      </c>
      <c r="AA208">
        <v>0.99880590000000002</v>
      </c>
      <c r="AB208">
        <v>28</v>
      </c>
      <c r="AC208">
        <v>54.0170999999999</v>
      </c>
      <c r="AD208">
        <v>-1.1210012592009999</v>
      </c>
      <c r="AE208">
        <v>3.70209999999997</v>
      </c>
      <c r="AF208">
        <v>-2.65457079817268</v>
      </c>
      <c r="AG208">
        <v>-1.1210012592009999</v>
      </c>
      <c r="AH208">
        <v>54.055473526301199</v>
      </c>
      <c r="AI208">
        <v>91.186598823140002</v>
      </c>
      <c r="AJ208">
        <v>92.811438029486496</v>
      </c>
      <c r="AK208">
        <v>54.132223380333201</v>
      </c>
      <c r="AL208">
        <v>82.948028619816</v>
      </c>
      <c r="AM208">
        <v>87.993715896802399</v>
      </c>
      <c r="AN208">
        <v>0.99999997009011599</v>
      </c>
    </row>
    <row r="209" spans="1:40" x14ac:dyDescent="0.25">
      <c r="A209" t="str">
        <f>"20190303170231911"</f>
        <v>20190303170231911</v>
      </c>
      <c r="B209" t="str">
        <f>"1551603751906718"</f>
        <v>1551603751906718</v>
      </c>
      <c r="C209" t="s">
        <v>40</v>
      </c>
      <c r="D209">
        <v>3.9198179999999998</v>
      </c>
      <c r="E209">
        <v>0.47377079999999999</v>
      </c>
      <c r="F209" t="s">
        <v>42</v>
      </c>
      <c r="G209">
        <v>-368.05900000000003</v>
      </c>
      <c r="H209" s="1">
        <v>-1.6306769999999999E-6</v>
      </c>
      <c r="I209">
        <v>372.68180000000001</v>
      </c>
      <c r="J209">
        <v>-444.7321</v>
      </c>
      <c r="K209">
        <v>1.121</v>
      </c>
      <c r="L209">
        <v>367.54689999999999</v>
      </c>
      <c r="M209">
        <v>0.99976120000000002</v>
      </c>
      <c r="N209">
        <v>-1.022351E-2</v>
      </c>
      <c r="O209">
        <v>1.932066E-2</v>
      </c>
      <c r="P209">
        <v>0.99356040000000001</v>
      </c>
      <c r="Q209">
        <v>0.11228970000000001</v>
      </c>
      <c r="R209">
        <v>-1.513455E-2</v>
      </c>
      <c r="S209">
        <v>3.0277099999999999</v>
      </c>
      <c r="T209">
        <v>-4.4160720000000001E-2</v>
      </c>
      <c r="U209">
        <v>0.20242309999999999</v>
      </c>
      <c r="V209">
        <v>3.4346380000000003E-2</v>
      </c>
      <c r="W209">
        <v>0.1224317</v>
      </c>
      <c r="X209">
        <v>0.99188240000000005</v>
      </c>
      <c r="Y209">
        <v>-4.7408459999999999E-2</v>
      </c>
      <c r="Z209">
        <v>5.0390739999999997E-4</v>
      </c>
      <c r="AA209">
        <v>0.99887539999999997</v>
      </c>
      <c r="AB209">
        <v>28</v>
      </c>
      <c r="AC209">
        <v>76.673099999999906</v>
      </c>
      <c r="AD209">
        <v>-1.1210016306770001</v>
      </c>
      <c r="AE209">
        <v>5.1349000000000098</v>
      </c>
      <c r="AF209">
        <v>-3.6517121853003198</v>
      </c>
      <c r="AG209">
        <v>-1.1210016306770001</v>
      </c>
      <c r="AH209">
        <v>76.741670378347905</v>
      </c>
      <c r="AI209">
        <v>90.835941112716398</v>
      </c>
      <c r="AJ209">
        <v>92.724334673934706</v>
      </c>
      <c r="AK209">
        <v>76.836681467898202</v>
      </c>
      <c r="AL209">
        <v>82.967535850743701</v>
      </c>
      <c r="AM209">
        <v>88.016784413846494</v>
      </c>
      <c r="AN209">
        <v>0.99999994520687496</v>
      </c>
    </row>
    <row r="210" spans="1:40" x14ac:dyDescent="0.25">
      <c r="A210" t="str">
        <f>"20190303170231931"</f>
        <v>20190303170231931</v>
      </c>
      <c r="B210" t="str">
        <f>"1551603751926238"</f>
        <v>1551603751926238</v>
      </c>
      <c r="C210" t="s">
        <v>40</v>
      </c>
      <c r="D210">
        <v>3.9463159999999999</v>
      </c>
      <c r="E210">
        <v>0.47679729999999998</v>
      </c>
      <c r="F210" t="s">
        <v>42</v>
      </c>
      <c r="G210">
        <v>-355.34460000000001</v>
      </c>
      <c r="H210" s="1">
        <v>-2.8229760000000001E-6</v>
      </c>
      <c r="I210">
        <v>372.78649999999999</v>
      </c>
      <c r="J210">
        <v>-444.49450000000002</v>
      </c>
      <c r="K210">
        <v>1.1210039999999999</v>
      </c>
      <c r="L210">
        <v>367.55149999999998</v>
      </c>
      <c r="M210">
        <v>0.99976180000000003</v>
      </c>
      <c r="N210">
        <v>-1.024944E-2</v>
      </c>
      <c r="O210">
        <v>1.9273309999999998E-2</v>
      </c>
      <c r="P210">
        <v>0.99357399999999996</v>
      </c>
      <c r="Q210">
        <v>0.1122267</v>
      </c>
      <c r="R210">
        <v>-1.470024E-2</v>
      </c>
      <c r="S210">
        <v>3.0264280000000001</v>
      </c>
      <c r="T210">
        <v>-3.7954210000000002E-2</v>
      </c>
      <c r="U210">
        <v>0.17739869999999999</v>
      </c>
      <c r="V210">
        <v>3.3865409999999999E-2</v>
      </c>
      <c r="W210">
        <v>0.1223948</v>
      </c>
      <c r="X210">
        <v>0.99190350000000005</v>
      </c>
      <c r="Y210">
        <v>-3.9258370000000001E-2</v>
      </c>
      <c r="Z210">
        <v>4.0329660000000002E-4</v>
      </c>
      <c r="AA210">
        <v>0.99922900000000003</v>
      </c>
      <c r="AB210">
        <v>28</v>
      </c>
      <c r="AC210">
        <v>89.149900000000002</v>
      </c>
      <c r="AD210">
        <v>-1.121006822976</v>
      </c>
      <c r="AE210">
        <v>5.2350000000000101</v>
      </c>
      <c r="AF210">
        <v>-3.5151698447613899</v>
      </c>
      <c r="AG210">
        <v>-1.121006822976</v>
      </c>
      <c r="AH210">
        <v>89.220181334135404</v>
      </c>
      <c r="AI210">
        <v>90.719296854359101</v>
      </c>
      <c r="AJ210">
        <v>92.256219155624805</v>
      </c>
      <c r="AK210">
        <v>89.296437961604497</v>
      </c>
      <c r="AL210">
        <v>82.969666142549102</v>
      </c>
      <c r="AM210">
        <v>88.044576251181994</v>
      </c>
      <c r="AN210">
        <v>0.99999995318687795</v>
      </c>
    </row>
    <row r="211" spans="1:40" x14ac:dyDescent="0.25">
      <c r="A211" t="str">
        <f>"20190303170231946"</f>
        <v>20190303170231946</v>
      </c>
      <c r="B211" t="str">
        <f>"1551603751935999"</f>
        <v>1551603751935999</v>
      </c>
      <c r="C211" t="s">
        <v>40</v>
      </c>
      <c r="D211">
        <v>3.9392290000000001</v>
      </c>
      <c r="E211">
        <v>0.47809580000000002</v>
      </c>
      <c r="F211" t="s">
        <v>42</v>
      </c>
      <c r="G211">
        <v>-355.88690000000003</v>
      </c>
      <c r="H211" s="1">
        <v>-2.3990950000000001E-6</v>
      </c>
      <c r="I211">
        <v>372.06779999999998</v>
      </c>
      <c r="J211">
        <v>-444.30610000000001</v>
      </c>
      <c r="K211">
        <v>1.1210070000000001</v>
      </c>
      <c r="L211">
        <v>367.55509999999998</v>
      </c>
      <c r="M211">
        <v>0.99976220000000005</v>
      </c>
      <c r="N211">
        <v>-1.027294E-2</v>
      </c>
      <c r="O211">
        <v>1.923557E-2</v>
      </c>
      <c r="P211">
        <v>0.99353840000000004</v>
      </c>
      <c r="Q211">
        <v>0.112585199999999</v>
      </c>
      <c r="R211">
        <v>-1.4364760000000001E-2</v>
      </c>
      <c r="S211">
        <v>3.0260009999999999</v>
      </c>
      <c r="T211">
        <v>-3.8282990000000003E-2</v>
      </c>
      <c r="U211">
        <v>0.15423580000000001</v>
      </c>
      <c r="V211">
        <v>3.3491859999999998E-2</v>
      </c>
      <c r="W211">
        <v>0.1227767</v>
      </c>
      <c r="X211">
        <v>0.991869</v>
      </c>
      <c r="Y211">
        <v>-3.167851E-2</v>
      </c>
      <c r="Z211">
        <v>3.1745489999999998E-4</v>
      </c>
      <c r="AA211">
        <v>0.99949809999999994</v>
      </c>
      <c r="AB211">
        <v>28</v>
      </c>
      <c r="AC211">
        <v>88.419199999999904</v>
      </c>
      <c r="AD211">
        <v>-1.1210093990950001</v>
      </c>
      <c r="AE211">
        <v>4.5126999999999899</v>
      </c>
      <c r="AF211">
        <v>-2.8105309107425098</v>
      </c>
      <c r="AG211">
        <v>-1.1210093990950001</v>
      </c>
      <c r="AH211">
        <v>88.475463186523996</v>
      </c>
      <c r="AI211">
        <v>90.725549112612498</v>
      </c>
      <c r="AJ211">
        <v>91.819458424919503</v>
      </c>
      <c r="AK211">
        <v>88.527189790160307</v>
      </c>
      <c r="AL211">
        <v>82.947618703635897</v>
      </c>
      <c r="AM211">
        <v>88.066061730647903</v>
      </c>
      <c r="AN211">
        <v>0.99999996795507395</v>
      </c>
    </row>
    <row r="212" spans="1:40" x14ac:dyDescent="0.25">
      <c r="A212" t="str">
        <f>"20190303170231965"</f>
        <v>20190303170231965</v>
      </c>
      <c r="B212" t="str">
        <f>"1551603751956494"</f>
        <v>1551603751956494</v>
      </c>
      <c r="C212" t="s">
        <v>40</v>
      </c>
      <c r="D212">
        <v>3.883705</v>
      </c>
      <c r="E212">
        <v>0.47953279999999898</v>
      </c>
      <c r="F212" t="s">
        <v>42</v>
      </c>
      <c r="G212">
        <v>-351.89179999999999</v>
      </c>
      <c r="H212" s="1">
        <v>-4.0507909999999998E-6</v>
      </c>
      <c r="I212">
        <v>371.976</v>
      </c>
      <c r="J212">
        <v>-444.07029999999997</v>
      </c>
      <c r="K212">
        <v>1.121011</v>
      </c>
      <c r="L212">
        <v>367.55959999999999</v>
      </c>
      <c r="M212">
        <v>0.99976279999999995</v>
      </c>
      <c r="N212">
        <v>-1.0305109999999999E-2</v>
      </c>
      <c r="O212">
        <v>1.918831E-2</v>
      </c>
      <c r="P212">
        <v>0.99351979999999995</v>
      </c>
      <c r="Q212">
        <v>0.11285480000000001</v>
      </c>
      <c r="R212">
        <v>-1.351082E-2</v>
      </c>
      <c r="S212">
        <v>3.0257260000000001</v>
      </c>
      <c r="T212">
        <v>-3.6702869999999999E-2</v>
      </c>
      <c r="U212">
        <v>0.14474489999999901</v>
      </c>
      <c r="V212">
        <v>3.2591019999999998E-2</v>
      </c>
      <c r="W212">
        <v>0.1230776</v>
      </c>
      <c r="X212">
        <v>0.99186180000000002</v>
      </c>
      <c r="Y212">
        <v>-2.860335E-2</v>
      </c>
      <c r="Z212">
        <v>2.8593640000000001E-4</v>
      </c>
      <c r="AA212">
        <v>0.9995908</v>
      </c>
      <c r="AB212">
        <v>28</v>
      </c>
      <c r="AC212">
        <v>92.1785</v>
      </c>
      <c r="AD212">
        <v>-1.1210150507909999</v>
      </c>
      <c r="AE212">
        <v>4.4164000000000003</v>
      </c>
      <c r="AF212">
        <v>-2.6463527844303001</v>
      </c>
      <c r="AG212">
        <v>-1.1210150507909999</v>
      </c>
      <c r="AH212">
        <v>92.2326649016304</v>
      </c>
      <c r="AI212">
        <v>90.696064142735295</v>
      </c>
      <c r="AJ212">
        <v>91.643487787331907</v>
      </c>
      <c r="AK212">
        <v>92.277431328901898</v>
      </c>
      <c r="AL212">
        <v>82.930247232813699</v>
      </c>
      <c r="AM212">
        <v>88.118027839695799</v>
      </c>
      <c r="AN212">
        <v>1.0000000502528099</v>
      </c>
    </row>
    <row r="213" spans="1:40" x14ac:dyDescent="0.25">
      <c r="A213" t="str">
        <f>"20190303170231987"</f>
        <v>20190303170231987</v>
      </c>
      <c r="B213" t="str">
        <f>"1551603751976014"</f>
        <v>1551603751976014</v>
      </c>
      <c r="C213" t="s">
        <v>40</v>
      </c>
      <c r="D213">
        <v>3.8853</v>
      </c>
      <c r="E213">
        <v>0.48024040000000001</v>
      </c>
      <c r="F213" t="s">
        <v>42</v>
      </c>
      <c r="G213">
        <v>-338.93970000000002</v>
      </c>
      <c r="H213" s="1">
        <v>-1.1414289999999999E-6</v>
      </c>
      <c r="I213">
        <v>372.26319999999998</v>
      </c>
      <c r="J213">
        <v>-443.79689999999999</v>
      </c>
      <c r="K213">
        <v>1.1210180000000001</v>
      </c>
      <c r="L213">
        <v>367.56479999999999</v>
      </c>
      <c r="M213">
        <v>0.99976350000000003</v>
      </c>
      <c r="N213">
        <v>-1.034618E-2</v>
      </c>
      <c r="O213">
        <v>1.9133379999999998E-2</v>
      </c>
      <c r="P213">
        <v>0.99361370000000004</v>
      </c>
      <c r="Q213">
        <v>0.11209479999999999</v>
      </c>
      <c r="R213">
        <v>-1.2910299999999901E-2</v>
      </c>
      <c r="S213">
        <v>3.0250849999999998</v>
      </c>
      <c r="T213">
        <v>-3.2256600000000003E-2</v>
      </c>
      <c r="U213">
        <v>0.13534549999999901</v>
      </c>
      <c r="V213">
        <v>3.1937739999999999E-2</v>
      </c>
      <c r="W213">
        <v>0.1223602</v>
      </c>
      <c r="X213">
        <v>0.99197170000000001</v>
      </c>
      <c r="Y213">
        <v>-2.5569999999999999E-2</v>
      </c>
      <c r="Z213">
        <v>2.6262060000000002E-4</v>
      </c>
      <c r="AA213">
        <v>0.99967300000000003</v>
      </c>
      <c r="AB213">
        <v>28</v>
      </c>
      <c r="AC213">
        <v>104.857199999999</v>
      </c>
      <c r="AD213">
        <v>-1.1210191414290001</v>
      </c>
      <c r="AE213">
        <v>4.6983999999999897</v>
      </c>
      <c r="AF213">
        <v>-2.6908530282316701</v>
      </c>
      <c r="AG213">
        <v>-1.1210191414290001</v>
      </c>
      <c r="AH213">
        <v>104.915936475452</v>
      </c>
      <c r="AI213">
        <v>90.611976703442593</v>
      </c>
      <c r="AJ213">
        <v>91.469183183626697</v>
      </c>
      <c r="AK213">
        <v>104.95642476978701</v>
      </c>
      <c r="AL213">
        <v>82.971663537226306</v>
      </c>
      <c r="AM213">
        <v>88.155929434735299</v>
      </c>
      <c r="AN213">
        <v>0.99999994569061701</v>
      </c>
    </row>
    <row r="214" spans="1:40" x14ac:dyDescent="0.25">
      <c r="A214" t="str">
        <f>"20190303170232001"</f>
        <v>20190303170232001</v>
      </c>
      <c r="B214" t="str">
        <f>"1551603751996510"</f>
        <v>1551603751996510</v>
      </c>
      <c r="C214" t="s">
        <v>40</v>
      </c>
      <c r="D214">
        <v>3.9430070000000002</v>
      </c>
      <c r="E214">
        <v>0.48073569999999999</v>
      </c>
      <c r="F214" t="s">
        <v>42</v>
      </c>
      <c r="G214">
        <v>-340.24919999999997</v>
      </c>
      <c r="H214" s="1">
        <v>-5.0491340000000002E-6</v>
      </c>
      <c r="I214">
        <v>372.06029999999998</v>
      </c>
      <c r="J214">
        <v>-443.61860000000001</v>
      </c>
      <c r="K214">
        <v>1.1210199999999999</v>
      </c>
      <c r="L214">
        <v>367.56810000000002</v>
      </c>
      <c r="M214">
        <v>0.99976379999999998</v>
      </c>
      <c r="N214">
        <v>-1.037418E-2</v>
      </c>
      <c r="O214">
        <v>1.9097289999999999E-2</v>
      </c>
      <c r="P214">
        <v>0.99362890000000004</v>
      </c>
      <c r="Q214">
        <v>0.1120138</v>
      </c>
      <c r="R214">
        <v>-1.2440919999999999E-2</v>
      </c>
      <c r="S214">
        <v>3.024689</v>
      </c>
      <c r="T214">
        <v>-3.2745719999999999E-2</v>
      </c>
      <c r="U214">
        <v>0.13131709999999999</v>
      </c>
      <c r="V214">
        <v>3.1432920000000003E-2</v>
      </c>
      <c r="W214">
        <v>0.1223072</v>
      </c>
      <c r="X214">
        <v>0.99199440000000005</v>
      </c>
      <c r="Y214">
        <v>-2.4283200000000001E-2</v>
      </c>
      <c r="Z214">
        <v>2.4885409999999999E-4</v>
      </c>
      <c r="AA214">
        <v>0.99970510000000001</v>
      </c>
      <c r="AB214">
        <v>28</v>
      </c>
      <c r="AC214">
        <v>103.3694</v>
      </c>
      <c r="AD214">
        <v>-1.1210250491339999</v>
      </c>
      <c r="AE214">
        <v>4.4921999999999596</v>
      </c>
      <c r="AF214">
        <v>-2.5169035532000898</v>
      </c>
      <c r="AG214">
        <v>-1.1210250491339999</v>
      </c>
      <c r="AH214">
        <v>103.42419911162</v>
      </c>
      <c r="AI214">
        <v>90.620826466865395</v>
      </c>
      <c r="AJ214">
        <v>91.394059556682606</v>
      </c>
      <c r="AK214">
        <v>103.46089339715201</v>
      </c>
      <c r="AL214">
        <v>82.974723469666998</v>
      </c>
      <c r="AM214">
        <v>88.185099364711206</v>
      </c>
      <c r="AN214">
        <v>0.999999984631463</v>
      </c>
    </row>
    <row r="215" spans="1:40" x14ac:dyDescent="0.25">
      <c r="A215" t="str">
        <f>"20190303170232019"</f>
        <v>20190303170232019</v>
      </c>
      <c r="B215" t="str">
        <f>"1551603752006270"</f>
        <v>1551603752006270</v>
      </c>
      <c r="C215" t="s">
        <v>40</v>
      </c>
      <c r="D215">
        <v>4.0076619999999998</v>
      </c>
      <c r="E215">
        <v>0.48091020000000001</v>
      </c>
      <c r="F215" t="s">
        <v>42</v>
      </c>
      <c r="G215">
        <v>-336.19240000000002</v>
      </c>
      <c r="H215" s="1">
        <v>-2.2882099999999998E-6</v>
      </c>
      <c r="I215">
        <v>372.14359999999999</v>
      </c>
      <c r="J215">
        <v>-443.39299999999997</v>
      </c>
      <c r="K215">
        <v>1.1210260000000001</v>
      </c>
      <c r="L215">
        <v>367.57240000000002</v>
      </c>
      <c r="M215">
        <v>0.99976430000000005</v>
      </c>
      <c r="N215">
        <v>-1.041037E-2</v>
      </c>
      <c r="O215">
        <v>1.9052039999999999E-2</v>
      </c>
      <c r="P215">
        <v>0.99368449999999997</v>
      </c>
      <c r="Q215">
        <v>0.111586</v>
      </c>
      <c r="R215">
        <v>-1.1824339999999999E-2</v>
      </c>
      <c r="S215">
        <v>3.0243530000000001</v>
      </c>
      <c r="T215">
        <v>-3.1559940000000002E-2</v>
      </c>
      <c r="U215">
        <v>0.1288147</v>
      </c>
      <c r="V215">
        <v>3.0772440000000002E-2</v>
      </c>
      <c r="W215">
        <v>0.1219158</v>
      </c>
      <c r="X215">
        <v>0.99206329999999998</v>
      </c>
      <c r="Y215">
        <v>-2.3507810000000001E-2</v>
      </c>
      <c r="Z215">
        <v>2.4461900000000001E-4</v>
      </c>
      <c r="AA215">
        <v>0.99972360000000005</v>
      </c>
      <c r="AB215">
        <v>28</v>
      </c>
      <c r="AC215">
        <v>107.20059999999999</v>
      </c>
      <c r="AD215">
        <v>-1.12102828821</v>
      </c>
      <c r="AE215">
        <v>4.57119999999997</v>
      </c>
      <c r="AF215">
        <v>-2.5275935145867598</v>
      </c>
      <c r="AG215">
        <v>-1.12102828821</v>
      </c>
      <c r="AH215">
        <v>107.25652792931299</v>
      </c>
      <c r="AI215">
        <v>90.5986584351581</v>
      </c>
      <c r="AJ215">
        <v>91.349975090042193</v>
      </c>
      <c r="AK215">
        <v>107.292162886436</v>
      </c>
      <c r="AL215">
        <v>82.997318223968506</v>
      </c>
      <c r="AM215">
        <v>88.223333334632301</v>
      </c>
      <c r="AN215">
        <v>0.99999999828004105</v>
      </c>
    </row>
    <row r="216" spans="1:40" x14ac:dyDescent="0.25">
      <c r="A216" t="str">
        <f>"20190303170232032"</f>
        <v>20190303170232032</v>
      </c>
      <c r="B216" t="str">
        <f>"1551603752025791"</f>
        <v>1551603752025791</v>
      </c>
      <c r="C216" t="s">
        <v>40</v>
      </c>
      <c r="D216">
        <v>3.9566819999999998</v>
      </c>
      <c r="E216">
        <v>0.48130509999999899</v>
      </c>
      <c r="F216" t="s">
        <v>42</v>
      </c>
      <c r="G216">
        <v>-342.50199999999899</v>
      </c>
      <c r="H216" s="1">
        <v>-4.1259660000000003E-6</v>
      </c>
      <c r="I216">
        <v>371.87569999999999</v>
      </c>
      <c r="J216">
        <v>-443.22070000000002</v>
      </c>
      <c r="K216">
        <v>1.1210249999999999</v>
      </c>
      <c r="L216">
        <v>367.57569999999998</v>
      </c>
      <c r="M216">
        <v>0.99976469999999995</v>
      </c>
      <c r="N216">
        <v>-1.043901E-2</v>
      </c>
      <c r="O216">
        <v>1.9017490000000001E-2</v>
      </c>
      <c r="P216">
        <v>0.99367110000000003</v>
      </c>
      <c r="Q216">
        <v>0.11173429999999999</v>
      </c>
      <c r="R216">
        <v>-1.1544540000000001E-2</v>
      </c>
      <c r="S216">
        <v>3.024384</v>
      </c>
      <c r="T216">
        <v>-3.360486E-2</v>
      </c>
      <c r="U216">
        <v>0.1289978</v>
      </c>
      <c r="V216">
        <v>3.045817E-2</v>
      </c>
      <c r="W216">
        <v>0.1220923</v>
      </c>
      <c r="X216">
        <v>0.99205129999999997</v>
      </c>
      <c r="Y216">
        <v>-2.3602069999999999E-2</v>
      </c>
      <c r="Z216">
        <v>2.41611E-4</v>
      </c>
      <c r="AA216">
        <v>0.99972139999999998</v>
      </c>
      <c r="AB216">
        <v>28</v>
      </c>
      <c r="AC216">
        <v>100.7187</v>
      </c>
      <c r="AD216">
        <v>-1.1210291259659999</v>
      </c>
      <c r="AE216">
        <v>4.3000000000000096</v>
      </c>
      <c r="AF216">
        <v>-2.3834063842171398</v>
      </c>
      <c r="AG216">
        <v>-1.1210291259659999</v>
      </c>
      <c r="AH216">
        <v>100.769801811972</v>
      </c>
      <c r="AI216">
        <v>90.637191212328801</v>
      </c>
      <c r="AJ216">
        <v>91.354906611760896</v>
      </c>
      <c r="AK216">
        <v>100.80421761770501</v>
      </c>
      <c r="AL216">
        <v>82.987129457570404</v>
      </c>
      <c r="AM216">
        <v>88.241445206094397</v>
      </c>
      <c r="AN216">
        <v>1.00000000583536</v>
      </c>
    </row>
    <row r="217" spans="1:40" x14ac:dyDescent="0.25">
      <c r="A217" t="str">
        <f>"20190303170232044"</f>
        <v>20190303170232044</v>
      </c>
      <c r="B217" t="str">
        <f>"1551603752036526"</f>
        <v>1551603752036526</v>
      </c>
      <c r="C217" t="s">
        <v>40</v>
      </c>
      <c r="D217">
        <v>4.0200060000000004</v>
      </c>
      <c r="E217">
        <v>0.4814503</v>
      </c>
      <c r="F217" t="s">
        <v>42</v>
      </c>
      <c r="G217">
        <v>-347.97559999999999</v>
      </c>
      <c r="H217" s="1">
        <v>-1.4543549999999901E-6</v>
      </c>
      <c r="I217">
        <v>371.5591</v>
      </c>
      <c r="J217">
        <v>-443.07760000000002</v>
      </c>
      <c r="K217">
        <v>1.1210290000000001</v>
      </c>
      <c r="L217">
        <v>367.57839999999999</v>
      </c>
      <c r="M217">
        <v>0.99976489999999996</v>
      </c>
      <c r="N217">
        <v>-1.0463490000000001E-2</v>
      </c>
      <c r="O217">
        <v>1.8988990000000001E-2</v>
      </c>
      <c r="P217">
        <v>0.99367019999999995</v>
      </c>
      <c r="Q217">
        <v>0.1117716</v>
      </c>
      <c r="R217">
        <v>-1.126478E-2</v>
      </c>
      <c r="S217">
        <v>3.0245359999999999</v>
      </c>
      <c r="T217">
        <v>-3.5598520000000002E-2</v>
      </c>
      <c r="U217">
        <v>0.12649540000000001</v>
      </c>
      <c r="V217">
        <v>3.014994E-2</v>
      </c>
      <c r="W217">
        <v>0.12215429999999999</v>
      </c>
      <c r="X217">
        <v>0.99205310000000002</v>
      </c>
      <c r="Y217">
        <v>-2.2802599999999999E-2</v>
      </c>
      <c r="Z217">
        <v>2.287662E-4</v>
      </c>
      <c r="AA217">
        <v>0.99973990000000001</v>
      </c>
      <c r="AB217">
        <v>28</v>
      </c>
      <c r="AC217">
        <v>95.102000000000004</v>
      </c>
      <c r="AD217">
        <v>-1.121030454355</v>
      </c>
      <c r="AE217">
        <v>3.9807000000000099</v>
      </c>
      <c r="AF217">
        <v>-2.17369080426898</v>
      </c>
      <c r="AG217">
        <v>-1.121030454355</v>
      </c>
      <c r="AH217">
        <v>95.147246670941399</v>
      </c>
      <c r="AI217">
        <v>90.674854938248401</v>
      </c>
      <c r="AJ217">
        <v>91.308725717436801</v>
      </c>
      <c r="AK217">
        <v>95.178675080361998</v>
      </c>
      <c r="AL217">
        <v>82.983550447161903</v>
      </c>
      <c r="AM217">
        <v>88.259233546067804</v>
      </c>
      <c r="AN217">
        <v>1.00000002255505</v>
      </c>
    </row>
    <row r="218" spans="1:40" x14ac:dyDescent="0.25">
      <c r="A218" t="str">
        <f>"20190303170232057"</f>
        <v>20190303170232057</v>
      </c>
      <c r="B218" t="str">
        <f>"1551603752046286"</f>
        <v>1551603752046286</v>
      </c>
      <c r="C218" t="s">
        <v>40</v>
      </c>
      <c r="D218">
        <v>3.9718499999999999</v>
      </c>
      <c r="E218">
        <v>0.48163909999999999</v>
      </c>
      <c r="F218" t="s">
        <v>42</v>
      </c>
      <c r="G218">
        <v>-343.75150000000002</v>
      </c>
      <c r="H218" s="1">
        <v>-3.4919559999999998E-6</v>
      </c>
      <c r="I218">
        <v>371.71260000000001</v>
      </c>
      <c r="J218">
        <v>-442.91579999999999</v>
      </c>
      <c r="K218">
        <v>1.1210329999999999</v>
      </c>
      <c r="L218">
        <v>367.58139999999997</v>
      </c>
      <c r="M218">
        <v>0.99976529999999997</v>
      </c>
      <c r="N218">
        <v>-1.0491210000000001E-2</v>
      </c>
      <c r="O218">
        <v>1.8956589999999999E-2</v>
      </c>
      <c r="P218">
        <v>0.99363270000000004</v>
      </c>
      <c r="Q218">
        <v>0.112111</v>
      </c>
      <c r="R218">
        <v>-1.119387E-2</v>
      </c>
      <c r="S218">
        <v>3.024384</v>
      </c>
      <c r="T218">
        <v>-3.4134390000000001E-2</v>
      </c>
      <c r="U218">
        <v>0.125885</v>
      </c>
      <c r="V218">
        <v>3.0046469999999999E-2</v>
      </c>
      <c r="W218">
        <v>0.12252059999999999</v>
      </c>
      <c r="X218">
        <v>0.99201099999999998</v>
      </c>
      <c r="Y218">
        <v>-2.2635869999999999E-2</v>
      </c>
      <c r="Z218">
        <v>2.3148360000000001E-4</v>
      </c>
      <c r="AA218">
        <v>0.99974379999999996</v>
      </c>
      <c r="AB218">
        <v>28</v>
      </c>
      <c r="AC218">
        <v>99.164299999999898</v>
      </c>
      <c r="AD218">
        <v>-1.1210364919560001</v>
      </c>
      <c r="AE218">
        <v>4.13120000000003</v>
      </c>
      <c r="AF218">
        <v>-2.2502501219051201</v>
      </c>
      <c r="AG218">
        <v>-1.1210364919560001</v>
      </c>
      <c r="AH218">
        <v>99.212139466876295</v>
      </c>
      <c r="AI218">
        <v>90.647213272722496</v>
      </c>
      <c r="AJ218">
        <v>91.299314112177399</v>
      </c>
      <c r="AK218">
        <v>99.243987052225705</v>
      </c>
      <c r="AL218">
        <v>82.962403693425301</v>
      </c>
      <c r="AM218">
        <v>88.265130356437894</v>
      </c>
      <c r="AN218">
        <v>0.99999995595240898</v>
      </c>
    </row>
    <row r="219" spans="1:40" x14ac:dyDescent="0.25">
      <c r="A219" t="str">
        <f>"20190303170232075"</f>
        <v>20190303170232075</v>
      </c>
      <c r="B219" t="str">
        <f>"1551603752065807"</f>
        <v>1551603752065807</v>
      </c>
      <c r="C219" t="s">
        <v>40</v>
      </c>
      <c r="D219">
        <v>3.969449</v>
      </c>
      <c r="E219">
        <v>0.48182130000000001</v>
      </c>
      <c r="F219" t="s">
        <v>42</v>
      </c>
      <c r="G219">
        <v>-338.58049999999997</v>
      </c>
      <c r="H219" s="1">
        <v>-1.1946989999999999E-6</v>
      </c>
      <c r="I219">
        <v>371.88420000000002</v>
      </c>
      <c r="J219">
        <v>-442.69979999999998</v>
      </c>
      <c r="K219">
        <v>1.1210420000000001</v>
      </c>
      <c r="L219">
        <v>367.58550000000002</v>
      </c>
      <c r="M219">
        <v>0.99976589999999999</v>
      </c>
      <c r="N219">
        <v>-1.0527750000000001E-2</v>
      </c>
      <c r="O219">
        <v>1.8913650000000001E-2</v>
      </c>
      <c r="P219">
        <v>0.9935889</v>
      </c>
      <c r="Q219">
        <v>0.112471</v>
      </c>
      <c r="R219">
        <v>-1.147106E-2</v>
      </c>
      <c r="S219">
        <v>3.0243229999999999</v>
      </c>
      <c r="T219">
        <v>-3.24949E-2</v>
      </c>
      <c r="U219">
        <v>0.1247253</v>
      </c>
      <c r="V219">
        <v>3.0280339999999999E-2</v>
      </c>
      <c r="W219">
        <v>0.12291680000000001</v>
      </c>
      <c r="X219">
        <v>0.99195489999999997</v>
      </c>
      <c r="Y219">
        <v>-2.229718E-2</v>
      </c>
      <c r="Z219">
        <v>2.3313159999999999E-4</v>
      </c>
      <c r="AA219">
        <v>0.99975139999999996</v>
      </c>
      <c r="AB219">
        <v>28</v>
      </c>
      <c r="AC219">
        <v>104.1193</v>
      </c>
      <c r="AD219">
        <v>-1.121043194699</v>
      </c>
      <c r="AE219">
        <v>4.2986999999999904</v>
      </c>
      <c r="AF219">
        <v>-2.3282767879851201</v>
      </c>
      <c r="AG219">
        <v>-1.121043194699</v>
      </c>
      <c r="AH219">
        <v>104.169926283672</v>
      </c>
      <c r="AI219">
        <v>90.616420985508398</v>
      </c>
      <c r="AJ219">
        <v>91.2803909076747</v>
      </c>
      <c r="AK219">
        <v>104.201972882435</v>
      </c>
      <c r="AL219">
        <v>82.939530394084102</v>
      </c>
      <c r="AM219">
        <v>88.2515363392436</v>
      </c>
      <c r="AN219">
        <v>0.99999998117338196</v>
      </c>
    </row>
    <row r="220" spans="1:40" x14ac:dyDescent="0.25">
      <c r="A220" t="str">
        <f>"20190303170232088"</f>
        <v>20190303170232088</v>
      </c>
      <c r="B220" t="str">
        <f>"1551603752076542"</f>
        <v>1551603752076542</v>
      </c>
      <c r="C220" t="s">
        <v>40</v>
      </c>
      <c r="D220">
        <v>4.1344890000000003</v>
      </c>
      <c r="E220">
        <v>0.48195199999999999</v>
      </c>
      <c r="F220" t="s">
        <v>42</v>
      </c>
      <c r="G220">
        <v>-332.22340000000003</v>
      </c>
      <c r="H220" s="1">
        <v>-3.9525200000000004E-6</v>
      </c>
      <c r="I220">
        <v>372.05810000000002</v>
      </c>
      <c r="J220">
        <v>-442.5412</v>
      </c>
      <c r="K220">
        <v>1.1210450000000001</v>
      </c>
      <c r="L220">
        <v>367.58839999999998</v>
      </c>
      <c r="M220">
        <v>0.99976620000000005</v>
      </c>
      <c r="N220">
        <v>-1.0553379999999999E-2</v>
      </c>
      <c r="O220">
        <v>1.8881809999999999E-2</v>
      </c>
      <c r="P220">
        <v>0.99355510000000002</v>
      </c>
      <c r="Q220">
        <v>0.11276029999999999</v>
      </c>
      <c r="R220">
        <v>-1.157362E-2</v>
      </c>
      <c r="S220">
        <v>3.0242</v>
      </c>
      <c r="T220">
        <v>-3.068769E-2</v>
      </c>
      <c r="U220">
        <v>0.1224365</v>
      </c>
      <c r="V220">
        <v>3.0350390000000001E-2</v>
      </c>
      <c r="W220">
        <v>0.12323099999999999</v>
      </c>
      <c r="X220">
        <v>0.99191379999999996</v>
      </c>
      <c r="Y220">
        <v>-2.157558E-2</v>
      </c>
      <c r="Z220">
        <v>2.310518E-4</v>
      </c>
      <c r="AA220">
        <v>0.99976719999999997</v>
      </c>
      <c r="AB220">
        <v>28</v>
      </c>
      <c r="AC220">
        <v>110.317799999999</v>
      </c>
      <c r="AD220">
        <v>-1.12104895252</v>
      </c>
      <c r="AE220">
        <v>4.4697000000000404</v>
      </c>
      <c r="AF220">
        <v>-2.3855417447948599</v>
      </c>
      <c r="AG220">
        <v>-1.12104895252</v>
      </c>
      <c r="AH220">
        <v>110.371152447792</v>
      </c>
      <c r="AI220">
        <v>90.581802103299395</v>
      </c>
      <c r="AJ220">
        <v>91.238187631987699</v>
      </c>
      <c r="AK220">
        <v>110.40262158492401</v>
      </c>
      <c r="AL220">
        <v>82.921390325902195</v>
      </c>
      <c r="AM220">
        <v>88.247421424057293</v>
      </c>
      <c r="AN220">
        <v>1.00000000608229</v>
      </c>
    </row>
    <row r="221" spans="1:40" x14ac:dyDescent="0.25">
      <c r="A221" t="str">
        <f>"20190303170232100"</f>
        <v>20190303170232100</v>
      </c>
      <c r="B221" t="str">
        <f>"1551603752086302"</f>
        <v>1551603752086302</v>
      </c>
      <c r="C221" t="s">
        <v>40</v>
      </c>
      <c r="D221">
        <v>4.0184189999999997</v>
      </c>
      <c r="E221">
        <v>0.48205969999999998</v>
      </c>
      <c r="F221" t="s">
        <v>42</v>
      </c>
      <c r="G221">
        <v>-333.64800000000002</v>
      </c>
      <c r="H221" s="1">
        <v>-3.32985E-6</v>
      </c>
      <c r="I221">
        <v>371.95609999999999</v>
      </c>
      <c r="J221">
        <v>-442.39789999999999</v>
      </c>
      <c r="K221">
        <v>1.121051</v>
      </c>
      <c r="L221">
        <v>367.59109999999998</v>
      </c>
      <c r="M221">
        <v>0.99976640000000006</v>
      </c>
      <c r="N221">
        <v>-1.0575889999999999E-2</v>
      </c>
      <c r="O221">
        <v>1.8853129999999999E-2</v>
      </c>
      <c r="P221">
        <v>0.99351330000000004</v>
      </c>
      <c r="Q221">
        <v>0.11308699999999999</v>
      </c>
      <c r="R221">
        <v>-1.193933E-2</v>
      </c>
      <c r="S221">
        <v>3.024384</v>
      </c>
      <c r="T221">
        <v>-3.1135800000000002E-2</v>
      </c>
      <c r="U221">
        <v>0.121307399999999</v>
      </c>
      <c r="V221">
        <v>3.0686930000000001E-2</v>
      </c>
      <c r="W221">
        <v>0.1235792</v>
      </c>
      <c r="X221">
        <v>0.99186010000000002</v>
      </c>
      <c r="Y221">
        <v>-2.1229120000000001E-2</v>
      </c>
      <c r="Z221">
        <v>2.2690239999999999E-4</v>
      </c>
      <c r="AA221">
        <v>0.99977459999999996</v>
      </c>
      <c r="AB221">
        <v>28</v>
      </c>
      <c r="AC221">
        <v>108.749899999999</v>
      </c>
      <c r="AD221">
        <v>-1.12105432985</v>
      </c>
      <c r="AE221">
        <v>4.3650000000000002</v>
      </c>
      <c r="AF221">
        <v>-2.31358810970658</v>
      </c>
      <c r="AG221">
        <v>-1.12105432985</v>
      </c>
      <c r="AH221">
        <v>108.801324253895</v>
      </c>
      <c r="AI221">
        <v>90.590203233251998</v>
      </c>
      <c r="AJ221">
        <v>91.218173223029396</v>
      </c>
      <c r="AK221">
        <v>108.83169396895801</v>
      </c>
      <c r="AL221">
        <v>82.901286096972697</v>
      </c>
      <c r="AM221">
        <v>88.227904419417897</v>
      </c>
      <c r="AN221">
        <v>0.99999998215873698</v>
      </c>
    </row>
    <row r="222" spans="1:40" x14ac:dyDescent="0.25">
      <c r="A222" t="str">
        <f>"20190303170232112"</f>
        <v>20190303170232112</v>
      </c>
      <c r="B222" t="str">
        <f>"1551603752105823"</f>
        <v>1551603752105823</v>
      </c>
      <c r="C222" t="s">
        <v>40</v>
      </c>
      <c r="D222">
        <v>4.135764</v>
      </c>
      <c r="E222">
        <v>0.4823691</v>
      </c>
      <c r="F222" t="s">
        <v>42</v>
      </c>
      <c r="G222">
        <v>-333.31099999999998</v>
      </c>
      <c r="H222" s="1">
        <v>-3.460427E-6</v>
      </c>
      <c r="I222">
        <v>371.90350000000001</v>
      </c>
      <c r="J222">
        <v>-442.22750000000002</v>
      </c>
      <c r="K222">
        <v>1.1210549999999999</v>
      </c>
      <c r="L222">
        <v>367.59429999999998</v>
      </c>
      <c r="M222">
        <v>0.99976679999999996</v>
      </c>
      <c r="N222">
        <v>-1.060151E-2</v>
      </c>
      <c r="O222">
        <v>1.8819079999999998E-2</v>
      </c>
      <c r="P222">
        <v>0.9935022</v>
      </c>
      <c r="Q222">
        <v>0.11315839999999899</v>
      </c>
      <c r="R222">
        <v>-1.219727E-2</v>
      </c>
      <c r="S222">
        <v>3.024597</v>
      </c>
      <c r="T222">
        <v>-3.1082869999999999E-2</v>
      </c>
      <c r="U222">
        <v>0.1195679</v>
      </c>
      <c r="V222">
        <v>3.0910770000000001E-2</v>
      </c>
      <c r="W222">
        <v>0.1236762</v>
      </c>
      <c r="X222">
        <v>0.99184110000000003</v>
      </c>
      <c r="Y222">
        <v>-2.0686320000000001E-2</v>
      </c>
      <c r="Z222">
        <v>2.2212910000000001E-4</v>
      </c>
      <c r="AA222">
        <v>0.99978599999999995</v>
      </c>
      <c r="AB222">
        <v>28</v>
      </c>
      <c r="AC222">
        <v>108.9165</v>
      </c>
      <c r="AD222">
        <v>-1.121058460427</v>
      </c>
      <c r="AE222">
        <v>4.3092000000000299</v>
      </c>
      <c r="AF222">
        <v>-2.2583745824436101</v>
      </c>
      <c r="AG222">
        <v>-1.121058460427</v>
      </c>
      <c r="AH222">
        <v>108.966782900787</v>
      </c>
      <c r="AI222">
        <v>90.589315949467107</v>
      </c>
      <c r="AJ222">
        <v>91.187305035861797</v>
      </c>
      <c r="AK222">
        <v>108.99594856495099</v>
      </c>
      <c r="AL222">
        <v>82.895685732712707</v>
      </c>
      <c r="AM222">
        <v>88.214952363852007</v>
      </c>
      <c r="AN222">
        <v>1.00000002289882</v>
      </c>
    </row>
    <row r="223" spans="1:40" x14ac:dyDescent="0.25">
      <c r="A223" t="str">
        <f>"20190303170232132"</f>
        <v>20190303170232132</v>
      </c>
      <c r="B223" t="str">
        <f>"1551603752116558"</f>
        <v>1551603752116558</v>
      </c>
      <c r="C223" t="s">
        <v>40</v>
      </c>
      <c r="D223">
        <v>4.0106060000000001</v>
      </c>
      <c r="E223">
        <v>0.48250690000000002</v>
      </c>
      <c r="F223" t="s">
        <v>42</v>
      </c>
      <c r="G223">
        <v>-338.07639999999998</v>
      </c>
      <c r="H223" s="1">
        <v>-1.3322609999999999E-6</v>
      </c>
      <c r="I223">
        <v>371.58839999999998</v>
      </c>
      <c r="J223">
        <v>-441.99880000000002</v>
      </c>
      <c r="K223">
        <v>1.121054</v>
      </c>
      <c r="L223">
        <v>367.59859999999998</v>
      </c>
      <c r="M223">
        <v>0.99976719999999997</v>
      </c>
      <c r="N223">
        <v>-1.063358E-2</v>
      </c>
      <c r="O223">
        <v>1.8773660000000001E-2</v>
      </c>
      <c r="P223">
        <v>0.99342379999999997</v>
      </c>
      <c r="Q223">
        <v>0.1137614</v>
      </c>
      <c r="R223">
        <v>-1.296163E-2</v>
      </c>
      <c r="S223">
        <v>3.02475</v>
      </c>
      <c r="T223">
        <v>-3.2557610000000001E-2</v>
      </c>
      <c r="U223">
        <v>0.1159973</v>
      </c>
      <c r="V223">
        <v>3.1628400000000001E-2</v>
      </c>
      <c r="W223">
        <v>0.1243093</v>
      </c>
      <c r="X223">
        <v>0.99173929999999999</v>
      </c>
      <c r="Y223">
        <v>-1.9551289999999999E-2</v>
      </c>
      <c r="Z223">
        <v>2.0680070000000001E-4</v>
      </c>
      <c r="AA223">
        <v>0.99980880000000005</v>
      </c>
      <c r="AB223">
        <v>28</v>
      </c>
      <c r="AC223">
        <v>103.9224</v>
      </c>
      <c r="AD223">
        <v>-1.121055332261</v>
      </c>
      <c r="AE223">
        <v>3.9897999999999998</v>
      </c>
      <c r="AF223">
        <v>-2.0377458365599499</v>
      </c>
      <c r="AG223">
        <v>-1.121055332261</v>
      </c>
      <c r="AH223">
        <v>103.96690928184699</v>
      </c>
      <c r="AI223">
        <v>90.617666888365505</v>
      </c>
      <c r="AJ223">
        <v>91.122850431157005</v>
      </c>
      <c r="AK223">
        <v>103.992919945409</v>
      </c>
      <c r="AL223">
        <v>82.859129500911706</v>
      </c>
      <c r="AM223">
        <v>88.173350772633498</v>
      </c>
      <c r="AN223">
        <v>0.99999999845876997</v>
      </c>
    </row>
    <row r="224" spans="1:40" x14ac:dyDescent="0.25">
      <c r="A224" t="str">
        <f>"20190303170232155"</f>
        <v>20190303170232155</v>
      </c>
      <c r="B224" t="str">
        <f>"1551603752145838"</f>
        <v>1551603752145838</v>
      </c>
      <c r="C224" t="s">
        <v>40</v>
      </c>
      <c r="D224">
        <v>4.0003979999999997</v>
      </c>
      <c r="E224">
        <v>0.48290840000000002</v>
      </c>
      <c r="F224" t="s">
        <v>42</v>
      </c>
      <c r="G224">
        <v>-334.78149999999999</v>
      </c>
      <c r="H224" s="1">
        <v>-2.7452770000000002E-6</v>
      </c>
      <c r="I224">
        <v>371.58670000000001</v>
      </c>
      <c r="J224">
        <v>-441.70319999999998</v>
      </c>
      <c r="K224">
        <v>1.121057</v>
      </c>
      <c r="L224">
        <v>367.60399999999998</v>
      </c>
      <c r="M224">
        <v>0.99976790000000004</v>
      </c>
      <c r="N224">
        <v>-1.067159E-2</v>
      </c>
      <c r="O224">
        <v>1.87148E-2</v>
      </c>
      <c r="P224">
        <v>0.99332549999999997</v>
      </c>
      <c r="Q224">
        <v>0.1144848</v>
      </c>
      <c r="R224">
        <v>-1.405348E-2</v>
      </c>
      <c r="S224">
        <v>3.0249329999999999</v>
      </c>
      <c r="T224">
        <v>-3.1628490000000002E-2</v>
      </c>
      <c r="U224">
        <v>0.1125183</v>
      </c>
      <c r="V224">
        <v>3.2660109999999999E-2</v>
      </c>
      <c r="W224">
        <v>0.12506919999999999</v>
      </c>
      <c r="X224">
        <v>0.99161029999999994</v>
      </c>
      <c r="Y224">
        <v>-1.845977E-2</v>
      </c>
      <c r="Z224">
        <v>1.991083E-4</v>
      </c>
      <c r="AA224">
        <v>0.99982959999999999</v>
      </c>
      <c r="AB224">
        <v>28</v>
      </c>
      <c r="AC224">
        <v>106.9217</v>
      </c>
      <c r="AD224">
        <v>-1.1210597452769999</v>
      </c>
      <c r="AE224">
        <v>3.9826999999999599</v>
      </c>
      <c r="AF224">
        <v>-1.98065276403391</v>
      </c>
      <c r="AG224">
        <v>-1.1210597452769999</v>
      </c>
      <c r="AH224">
        <v>106.96576886438601</v>
      </c>
      <c r="AI224">
        <v>90.600366206178094</v>
      </c>
      <c r="AJ224">
        <v>91.060807378171603</v>
      </c>
      <c r="AK224">
        <v>106.98997835813201</v>
      </c>
      <c r="AL224">
        <v>82.815247898137301</v>
      </c>
      <c r="AM224">
        <v>88.113563121718002</v>
      </c>
      <c r="AN224">
        <v>0.99999998731996997</v>
      </c>
    </row>
    <row r="225" spans="1:40" x14ac:dyDescent="0.25">
      <c r="A225" t="str">
        <f>"20190303170232169"</f>
        <v>20190303170232169</v>
      </c>
      <c r="B225" t="str">
        <f>"1551603752156575"</f>
        <v>1551603752156575</v>
      </c>
      <c r="C225" t="s">
        <v>40</v>
      </c>
      <c r="D225">
        <v>4.0297999999999998</v>
      </c>
      <c r="E225">
        <v>0.48297679999999998</v>
      </c>
      <c r="F225" t="s">
        <v>42</v>
      </c>
      <c r="G225">
        <v>-332.9255</v>
      </c>
      <c r="H225" s="1">
        <v>-3.4981579999999999E-6</v>
      </c>
      <c r="I225">
        <v>371.42380000000003</v>
      </c>
      <c r="J225">
        <v>-441.5342</v>
      </c>
      <c r="K225">
        <v>1.1210629999999999</v>
      </c>
      <c r="L225">
        <v>367.60719999999998</v>
      </c>
      <c r="M225">
        <v>0.99976830000000005</v>
      </c>
      <c r="N225">
        <v>-1.0691020000000001E-2</v>
      </c>
      <c r="O225">
        <v>1.8681139999999999E-2</v>
      </c>
      <c r="P225">
        <v>0.99332200000000004</v>
      </c>
      <c r="Q225">
        <v>0.11445470000000001</v>
      </c>
      <c r="R225">
        <v>-1.453987E-2</v>
      </c>
      <c r="S225">
        <v>3.0251769999999998</v>
      </c>
      <c r="T225">
        <v>-3.1177400000000001E-2</v>
      </c>
      <c r="U225">
        <v>0.1062317</v>
      </c>
      <c r="V225">
        <v>3.311294E-2</v>
      </c>
      <c r="W225">
        <v>0.12505830000000001</v>
      </c>
      <c r="X225">
        <v>0.9915967</v>
      </c>
      <c r="Y225">
        <v>-1.641563E-2</v>
      </c>
      <c r="Z225">
        <v>1.7959660000000001E-4</v>
      </c>
      <c r="AA225">
        <v>0.99986520000000001</v>
      </c>
      <c r="AB225">
        <v>28</v>
      </c>
      <c r="AC225">
        <v>108.6087</v>
      </c>
      <c r="AD225">
        <v>-1.1210664981580001</v>
      </c>
      <c r="AE225">
        <v>3.81660000000005</v>
      </c>
      <c r="AF225">
        <v>-1.7866934133080501</v>
      </c>
      <c r="AG225">
        <v>-1.1210664981580001</v>
      </c>
      <c r="AH225">
        <v>108.649485497504</v>
      </c>
      <c r="AI225">
        <v>90.591088093547995</v>
      </c>
      <c r="AJ225">
        <v>90.942119193089994</v>
      </c>
      <c r="AK225">
        <v>108.669957956736</v>
      </c>
      <c r="AL225">
        <v>82.815877674830006</v>
      </c>
      <c r="AM225">
        <v>88.087400894936593</v>
      </c>
      <c r="AN225">
        <v>1.00000003032261</v>
      </c>
    </row>
    <row r="226" spans="1:40" x14ac:dyDescent="0.25">
      <c r="A226" t="str">
        <f>"20190303170232186"</f>
        <v>20190303170232186</v>
      </c>
      <c r="B226" t="str">
        <f>"1551603752176095"</f>
        <v>1551603752176095</v>
      </c>
      <c r="C226" t="s">
        <v>40</v>
      </c>
      <c r="D226">
        <v>4.040559</v>
      </c>
      <c r="E226">
        <v>0.48306900000000003</v>
      </c>
      <c r="F226" t="s">
        <v>42</v>
      </c>
      <c r="G226">
        <v>-331.53789999999998</v>
      </c>
      <c r="H226" s="1">
        <v>-4.0678479999999999E-6</v>
      </c>
      <c r="I226">
        <v>371.3931</v>
      </c>
      <c r="J226">
        <v>-441.31529999999998</v>
      </c>
      <c r="K226">
        <v>1.1210629999999999</v>
      </c>
      <c r="L226">
        <v>367.6112</v>
      </c>
      <c r="M226">
        <v>0.99976900000000002</v>
      </c>
      <c r="N226">
        <v>-1.071474E-2</v>
      </c>
      <c r="O226">
        <v>1.8636900000000001E-2</v>
      </c>
      <c r="P226">
        <v>0.99326250000000005</v>
      </c>
      <c r="Q226">
        <v>0.11485620000000001</v>
      </c>
      <c r="R226">
        <v>-1.542113E-2</v>
      </c>
      <c r="S226">
        <v>3.0252379999999999</v>
      </c>
      <c r="T226">
        <v>-3.0832769999999999E-2</v>
      </c>
      <c r="U226">
        <v>0.104126</v>
      </c>
      <c r="V226">
        <v>3.3949130000000001E-2</v>
      </c>
      <c r="W226">
        <v>0.1254826</v>
      </c>
      <c r="X226">
        <v>0.99151480000000003</v>
      </c>
      <c r="Y226">
        <v>-1.5764139999999999E-2</v>
      </c>
      <c r="Z226">
        <v>1.7459450000000001E-4</v>
      </c>
      <c r="AA226">
        <v>0.99987570000000003</v>
      </c>
      <c r="AB226">
        <v>28</v>
      </c>
      <c r="AC226">
        <v>109.7774</v>
      </c>
      <c r="AD226">
        <v>-1.1210670678479999</v>
      </c>
      <c r="AE226">
        <v>3.7818999999999998</v>
      </c>
      <c r="AF226">
        <v>-1.7350346666270899</v>
      </c>
      <c r="AG226">
        <v>-1.1210670678479999</v>
      </c>
      <c r="AH226">
        <v>109.817379239449</v>
      </c>
      <c r="AI226">
        <v>90.584808765497897</v>
      </c>
      <c r="AJ226">
        <v>90.905156307176696</v>
      </c>
      <c r="AK226">
        <v>109.836805851618</v>
      </c>
      <c r="AL226">
        <v>82.791373922710093</v>
      </c>
      <c r="AM226">
        <v>88.038978067153295</v>
      </c>
      <c r="AN226">
        <v>1.0000000124747701</v>
      </c>
    </row>
    <row r="227" spans="1:40" x14ac:dyDescent="0.25">
      <c r="A227" t="str">
        <f>"20190303170232199"</f>
        <v>20190303170232199</v>
      </c>
      <c r="B227" t="str">
        <f>"1551603752185855"</f>
        <v>1551603752185855</v>
      </c>
      <c r="C227" t="s">
        <v>40</v>
      </c>
      <c r="D227">
        <v>4.0018219999999998</v>
      </c>
      <c r="E227">
        <v>0.4831201</v>
      </c>
      <c r="F227" t="s">
        <v>42</v>
      </c>
      <c r="G227">
        <v>-325.9409</v>
      </c>
      <c r="H227" s="1">
        <v>-2.2141620000000001E-6</v>
      </c>
      <c r="I227">
        <v>371.45979999999997</v>
      </c>
      <c r="J227">
        <v>-441.16019999999997</v>
      </c>
      <c r="K227">
        <v>1.1210279999999999</v>
      </c>
      <c r="L227">
        <v>367.61410000000001</v>
      </c>
      <c r="M227">
        <v>0.99977059999999995</v>
      </c>
      <c r="N227">
        <v>-1.0607159999999999E-2</v>
      </c>
      <c r="O227">
        <v>1.860531E-2</v>
      </c>
      <c r="P227">
        <v>0.99321060000000005</v>
      </c>
      <c r="Q227">
        <v>0.1152271</v>
      </c>
      <c r="R227">
        <v>-1.5989710000000001E-2</v>
      </c>
      <c r="S227">
        <v>3.02536</v>
      </c>
      <c r="T227">
        <v>-2.939665E-2</v>
      </c>
      <c r="U227">
        <v>0.1009216</v>
      </c>
      <c r="V227">
        <v>3.4484929999999997E-2</v>
      </c>
      <c r="W227">
        <v>0.12574560000000001</v>
      </c>
      <c r="X227">
        <v>0.99146290000000004</v>
      </c>
      <c r="Y227">
        <v>-1.473677E-2</v>
      </c>
      <c r="Z227">
        <v>1.6637840000000001E-4</v>
      </c>
      <c r="AA227">
        <v>0.99989139999999999</v>
      </c>
      <c r="AB227">
        <v>28</v>
      </c>
      <c r="AC227">
        <v>115.219299999999</v>
      </c>
      <c r="AD227">
        <v>-1.1210302141619899</v>
      </c>
      <c r="AE227">
        <v>3.8456999999999599</v>
      </c>
      <c r="AF227">
        <v>-1.70106192493118</v>
      </c>
      <c r="AG227">
        <v>-1.1210302141619899</v>
      </c>
      <c r="AH227">
        <v>115.26000966631</v>
      </c>
      <c r="AI227">
        <v>90.557186153883293</v>
      </c>
      <c r="AJ227">
        <v>90.8455369206103</v>
      </c>
      <c r="AK227">
        <v>115.278012425143</v>
      </c>
      <c r="AL227">
        <v>82.776184181597202</v>
      </c>
      <c r="AM227">
        <v>88.007948913458904</v>
      </c>
      <c r="AN227">
        <v>0.99999992419643402</v>
      </c>
    </row>
    <row r="228" spans="1:40" x14ac:dyDescent="0.25">
      <c r="A228" t="str">
        <f>"20190303170232212"</f>
        <v>20190303170232212</v>
      </c>
      <c r="B228" t="str">
        <f>"1551603752206350"</f>
        <v>1551603752206350</v>
      </c>
      <c r="C228" t="s">
        <v>40</v>
      </c>
      <c r="D228">
        <v>4.069998</v>
      </c>
      <c r="E228">
        <v>0.48316540000000002</v>
      </c>
      <c r="F228" t="s">
        <v>44</v>
      </c>
      <c r="G228">
        <v>-313.404</v>
      </c>
      <c r="H228">
        <v>-0.05</v>
      </c>
      <c r="I228">
        <v>371.77670000000001</v>
      </c>
      <c r="J228">
        <v>-440.98910000000001</v>
      </c>
      <c r="K228">
        <v>1.120908</v>
      </c>
      <c r="L228">
        <v>367.61720000000003</v>
      </c>
      <c r="M228">
        <v>0.99977579999999999</v>
      </c>
      <c r="N228">
        <v>-1.0182439999999999E-2</v>
      </c>
      <c r="O228">
        <v>1.8569329999999998E-2</v>
      </c>
      <c r="P228">
        <v>0.9931622</v>
      </c>
      <c r="Q228">
        <v>0.1155876</v>
      </c>
      <c r="R228">
        <v>-1.6388710000000001E-2</v>
      </c>
      <c r="S228">
        <v>3.025299</v>
      </c>
      <c r="T228">
        <v>-2.7730230000000002E-2</v>
      </c>
      <c r="U228">
        <v>9.8571779999999998E-2</v>
      </c>
      <c r="V228">
        <v>3.4847179999999998E-2</v>
      </c>
      <c r="W228">
        <v>0.12568460000000001</v>
      </c>
      <c r="X228">
        <v>0.99145810000000001</v>
      </c>
      <c r="Y228">
        <v>-1.3997920000000001E-2</v>
      </c>
      <c r="Z228">
        <v>1.5434450000000001E-4</v>
      </c>
      <c r="AA228">
        <v>0.99990199999999996</v>
      </c>
      <c r="AB228">
        <v>28</v>
      </c>
      <c r="AC228">
        <v>127.5851</v>
      </c>
      <c r="AD228">
        <v>-1.1709080000000001</v>
      </c>
      <c r="AE228">
        <v>4.15949999999998</v>
      </c>
      <c r="AF228">
        <v>-1.7893397015032599</v>
      </c>
      <c r="AG228">
        <v>-1.1709080000000001</v>
      </c>
      <c r="AH228">
        <v>127.62960370002099</v>
      </c>
      <c r="AI228">
        <v>90.525580357857805</v>
      </c>
      <c r="AJ228">
        <v>90.803221931330697</v>
      </c>
      <c r="AK228">
        <v>127.647516633644</v>
      </c>
      <c r="AL228">
        <v>82.779708119188996</v>
      </c>
      <c r="AM228">
        <v>87.987030624632695</v>
      </c>
      <c r="AN228">
        <v>1.00000005434335</v>
      </c>
    </row>
    <row r="229" spans="1:40" x14ac:dyDescent="0.25">
      <c r="A229" t="str">
        <f>"20190303170232224"</f>
        <v>20190303170232224</v>
      </c>
      <c r="B229" t="str">
        <f>"1551603752216111"</f>
        <v>1551603752216111</v>
      </c>
      <c r="C229" t="s">
        <v>40</v>
      </c>
      <c r="D229">
        <v>4.0476660000000004</v>
      </c>
      <c r="E229">
        <v>0.48323169999999999</v>
      </c>
      <c r="F229" t="s">
        <v>44</v>
      </c>
      <c r="G229">
        <v>-311.25529999999998</v>
      </c>
      <c r="H229">
        <v>-0.05</v>
      </c>
      <c r="I229">
        <v>371.79169999999999</v>
      </c>
      <c r="J229">
        <v>-440.83699999999999</v>
      </c>
      <c r="K229">
        <v>1.120762</v>
      </c>
      <c r="L229">
        <v>367.62</v>
      </c>
      <c r="M229">
        <v>0.99978009999999995</v>
      </c>
      <c r="N229">
        <v>-9.8181680000000004E-3</v>
      </c>
      <c r="O229">
        <v>1.8536819999999999E-2</v>
      </c>
      <c r="P229">
        <v>0.99308790000000002</v>
      </c>
      <c r="Q229">
        <v>0.11617959999999999</v>
      </c>
      <c r="R229">
        <v>-1.670806E-2</v>
      </c>
      <c r="S229">
        <v>3.0254210000000001</v>
      </c>
      <c r="T229">
        <v>-2.7305840000000001E-2</v>
      </c>
      <c r="U229">
        <v>9.7351069999999998E-2</v>
      </c>
      <c r="V229">
        <v>3.5132679999999999E-2</v>
      </c>
      <c r="W229">
        <v>0.125915</v>
      </c>
      <c r="X229">
        <v>0.99141869999999999</v>
      </c>
      <c r="Y229">
        <v>-1.3626249999999999E-2</v>
      </c>
      <c r="Z229">
        <v>1.431281E-4</v>
      </c>
      <c r="AA229">
        <v>0.99990710000000005</v>
      </c>
      <c r="AB229">
        <v>28</v>
      </c>
      <c r="AC229">
        <v>129.58170000000001</v>
      </c>
      <c r="AD229">
        <v>-1.1707620000000001</v>
      </c>
      <c r="AE229">
        <v>4.17169999999998</v>
      </c>
      <c r="AF229">
        <v>-1.76869079432684</v>
      </c>
      <c r="AG229">
        <v>-1.1707620000000001</v>
      </c>
      <c r="AH229">
        <v>129.626196259149</v>
      </c>
      <c r="AI229">
        <v>90.5174236118484</v>
      </c>
      <c r="AJ229">
        <v>90.781726476209798</v>
      </c>
      <c r="AK229">
        <v>129.643548653229</v>
      </c>
      <c r="AL229">
        <v>82.766400813919802</v>
      </c>
      <c r="AM229">
        <v>87.970471686532804</v>
      </c>
      <c r="AN229">
        <v>0.99999996556933501</v>
      </c>
    </row>
    <row r="230" spans="1:40" x14ac:dyDescent="0.25">
      <c r="A230" t="str">
        <f>"20190303170232243"</f>
        <v>20190303170232243</v>
      </c>
      <c r="B230" t="str">
        <f>"1551603752236606"</f>
        <v>1551603752236606</v>
      </c>
      <c r="C230" t="s">
        <v>40</v>
      </c>
      <c r="D230">
        <v>4.0455550000000002</v>
      </c>
      <c r="E230">
        <v>0.48326400000000003</v>
      </c>
      <c r="F230" t="s">
        <v>44</v>
      </c>
      <c r="G230">
        <v>-303.97930000000002</v>
      </c>
      <c r="H230">
        <v>-0.05</v>
      </c>
      <c r="I230">
        <v>371.95190000000002</v>
      </c>
      <c r="J230">
        <v>-440.59609999999998</v>
      </c>
      <c r="K230">
        <v>1.1205000000000001</v>
      </c>
      <c r="L230">
        <v>367.62439999999998</v>
      </c>
      <c r="M230">
        <v>0.99978480000000003</v>
      </c>
      <c r="N230">
        <v>-9.4140230000000005E-3</v>
      </c>
      <c r="O230">
        <v>1.8485850000000002E-2</v>
      </c>
      <c r="P230">
        <v>0.99301260000000002</v>
      </c>
      <c r="Q230">
        <v>0.1167629</v>
      </c>
      <c r="R230">
        <v>-1.710062E-2</v>
      </c>
      <c r="S230">
        <v>3.0254819999999998</v>
      </c>
      <c r="T230">
        <v>-2.5881769999999998E-2</v>
      </c>
      <c r="U230">
        <v>9.5764160000000001E-2</v>
      </c>
      <c r="V230">
        <v>3.5473039999999997E-2</v>
      </c>
      <c r="W230">
        <v>0.1260966</v>
      </c>
      <c r="X230">
        <v>0.99138360000000003</v>
      </c>
      <c r="Y230">
        <v>-1.3152870000000001E-2</v>
      </c>
      <c r="Z230">
        <v>1.3410240000000001E-4</v>
      </c>
      <c r="AA230">
        <v>0.99991350000000001</v>
      </c>
      <c r="AB230">
        <v>28</v>
      </c>
      <c r="AC230">
        <v>136.61679999999899</v>
      </c>
      <c r="AD230">
        <v>-1.1705000000000001</v>
      </c>
      <c r="AE230">
        <v>4.3275000000000396</v>
      </c>
      <c r="AF230">
        <v>-1.80103879224577</v>
      </c>
      <c r="AG230">
        <v>-1.1705000000000001</v>
      </c>
      <c r="AH230">
        <v>136.66343226570501</v>
      </c>
      <c r="AI230">
        <v>90.4906743991599</v>
      </c>
      <c r="AJ230">
        <v>90.755037001756506</v>
      </c>
      <c r="AK230">
        <v>136.680311419107</v>
      </c>
      <c r="AL230">
        <v>82.755913030759302</v>
      </c>
      <c r="AM230">
        <v>87.950754121074098</v>
      </c>
      <c r="AN230">
        <v>1.0000000657236701</v>
      </c>
    </row>
    <row r="231" spans="1:40" x14ac:dyDescent="0.25">
      <c r="A231" t="str">
        <f>"20190303170232256"</f>
        <v>20190303170232256</v>
      </c>
      <c r="B231" t="str">
        <f>"1551603752246366"</f>
        <v>1551603752246366</v>
      </c>
      <c r="C231" t="s">
        <v>40</v>
      </c>
      <c r="D231">
        <v>4.053744</v>
      </c>
      <c r="E231">
        <v>0.48324089999999997</v>
      </c>
      <c r="F231" t="s">
        <v>44</v>
      </c>
      <c r="G231">
        <v>-297.85899999999998</v>
      </c>
      <c r="H231">
        <v>-0.05</v>
      </c>
      <c r="I231">
        <v>372.06150000000002</v>
      </c>
      <c r="J231">
        <v>-440.435</v>
      </c>
      <c r="K231">
        <v>1.120295</v>
      </c>
      <c r="L231">
        <v>367.62729999999999</v>
      </c>
      <c r="M231">
        <v>0.99978650000000002</v>
      </c>
      <c r="N231">
        <v>-9.3078150000000005E-3</v>
      </c>
      <c r="O231">
        <v>1.8451309999999999E-2</v>
      </c>
      <c r="P231">
        <v>0.99296799999999996</v>
      </c>
      <c r="Q231">
        <v>0.11715440000000001</v>
      </c>
      <c r="R231">
        <v>-1.7012869999999999E-2</v>
      </c>
      <c r="S231">
        <v>3.0256349999999999</v>
      </c>
      <c r="T231">
        <v>-2.4811389999999999E-2</v>
      </c>
      <c r="U231">
        <v>9.4055180000000002E-2</v>
      </c>
      <c r="V231">
        <v>3.5350319999999998E-2</v>
      </c>
      <c r="W231">
        <v>0.1263823</v>
      </c>
      <c r="X231">
        <v>0.99135150000000005</v>
      </c>
      <c r="Y231">
        <v>-1.262171E-2</v>
      </c>
      <c r="Z231">
        <v>1.3096789999999999E-4</v>
      </c>
      <c r="AA231">
        <v>0.99992029999999998</v>
      </c>
      <c r="AB231">
        <v>28</v>
      </c>
      <c r="AC231">
        <v>142.575999999999</v>
      </c>
      <c r="AD231">
        <v>-1.1702950000000001</v>
      </c>
      <c r="AE231">
        <v>4.4342000000000299</v>
      </c>
      <c r="AF231">
        <v>-1.8024959662947599</v>
      </c>
      <c r="AG231">
        <v>-1.1702950000000001</v>
      </c>
      <c r="AH231">
        <v>142.62394612999901</v>
      </c>
      <c r="AI231">
        <v>90.470090103245695</v>
      </c>
      <c r="AJ231">
        <v>90.724071352310702</v>
      </c>
      <c r="AK231">
        <v>142.64013667894599</v>
      </c>
      <c r="AL231">
        <v>82.739410868292893</v>
      </c>
      <c r="AM231">
        <v>87.957771463621299</v>
      </c>
      <c r="AN231">
        <v>0.99999996371482003</v>
      </c>
    </row>
    <row r="232" spans="1:40" x14ac:dyDescent="0.25">
      <c r="A232" t="str">
        <f>"20190303170232275"</f>
        <v>20190303170232275</v>
      </c>
      <c r="B232" t="str">
        <f>"1551603752265886"</f>
        <v>1551603752265886</v>
      </c>
      <c r="C232" t="s">
        <v>40</v>
      </c>
      <c r="D232">
        <v>3.989182</v>
      </c>
      <c r="E232">
        <v>0.48326360000000002</v>
      </c>
      <c r="F232" t="s">
        <v>44</v>
      </c>
      <c r="G232">
        <v>-292.29939999999999</v>
      </c>
      <c r="H232">
        <v>-0.05</v>
      </c>
      <c r="I232">
        <v>372.26949999999999</v>
      </c>
      <c r="J232">
        <v>-440.18349999999998</v>
      </c>
      <c r="K232">
        <v>1.119872</v>
      </c>
      <c r="L232">
        <v>367.63200000000001</v>
      </c>
      <c r="M232">
        <v>0.99978520000000004</v>
      </c>
      <c r="N232">
        <v>-9.5462840000000004E-3</v>
      </c>
      <c r="O232">
        <v>1.8398879999999999E-2</v>
      </c>
      <c r="P232">
        <v>0.99294959999999999</v>
      </c>
      <c r="Q232">
        <v>0.1172267</v>
      </c>
      <c r="R232">
        <v>-1.7588139999999999E-2</v>
      </c>
      <c r="S232">
        <v>3.0257260000000001</v>
      </c>
      <c r="T232">
        <v>-2.3903730000000002E-2</v>
      </c>
      <c r="U232">
        <v>9.4818120000000006E-2</v>
      </c>
      <c r="V232">
        <v>3.5873339999999997E-2</v>
      </c>
      <c r="W232">
        <v>0.12669030000000001</v>
      </c>
      <c r="X232">
        <v>0.99129339999999999</v>
      </c>
      <c r="Y232">
        <v>-1.292507E-2</v>
      </c>
      <c r="Z232">
        <v>1.430766E-4</v>
      </c>
      <c r="AA232">
        <v>0.99991640000000004</v>
      </c>
      <c r="AB232">
        <v>28</v>
      </c>
      <c r="AC232">
        <v>147.88409999999999</v>
      </c>
      <c r="AD232">
        <v>-1.169872</v>
      </c>
      <c r="AE232">
        <v>4.6375000000000401</v>
      </c>
      <c r="AF232">
        <v>-1.9155694965697101</v>
      </c>
      <c r="AG232">
        <v>-1.169872</v>
      </c>
      <c r="AH232">
        <v>147.93514487178899</v>
      </c>
      <c r="AI232">
        <v>90.453047940474804</v>
      </c>
      <c r="AJ232">
        <v>90.741865052471496</v>
      </c>
      <c r="AK232">
        <v>147.95217164756201</v>
      </c>
      <c r="AL232">
        <v>82.721620792554802</v>
      </c>
      <c r="AM232">
        <v>87.927460794526098</v>
      </c>
      <c r="AN232">
        <v>0.99999996676020197</v>
      </c>
    </row>
    <row r="233" spans="1:40" x14ac:dyDescent="0.25">
      <c r="A233" t="str">
        <f>"20190303170232289"</f>
        <v>20190303170232289</v>
      </c>
      <c r="B233" t="str">
        <f>"1551603752276623"</f>
        <v>1551603752276623</v>
      </c>
      <c r="C233" t="s">
        <v>40</v>
      </c>
      <c r="D233">
        <v>4.0058160000000003</v>
      </c>
      <c r="E233">
        <v>0.48327930000000002</v>
      </c>
      <c r="F233" t="s">
        <v>44</v>
      </c>
      <c r="G233">
        <v>-290.745</v>
      </c>
      <c r="H233">
        <v>-0.05</v>
      </c>
      <c r="I233">
        <v>372.22910000000002</v>
      </c>
      <c r="J233">
        <v>-440.01310000000001</v>
      </c>
      <c r="K233">
        <v>1.1194789999999999</v>
      </c>
      <c r="L233">
        <v>367.63510000000002</v>
      </c>
      <c r="M233">
        <v>0.99978219999999995</v>
      </c>
      <c r="N233">
        <v>-9.9260489999999993E-3</v>
      </c>
      <c r="O233">
        <v>1.8363870000000001E-2</v>
      </c>
      <c r="P233">
        <v>0.99301729999999999</v>
      </c>
      <c r="Q233">
        <v>0.1166779</v>
      </c>
      <c r="R233">
        <v>-1.7422380000000001E-2</v>
      </c>
      <c r="S233">
        <v>3.0257260000000001</v>
      </c>
      <c r="T233">
        <v>-2.3686769999999999E-2</v>
      </c>
      <c r="U233">
        <v>9.3078610000000006E-2</v>
      </c>
      <c r="V233">
        <v>3.5674659999999997E-2</v>
      </c>
      <c r="W233">
        <v>0.12651850000000001</v>
      </c>
      <c r="X233">
        <v>0.9913225</v>
      </c>
      <c r="Y233">
        <v>-1.2385760000000001E-2</v>
      </c>
      <c r="Z233">
        <v>1.4851250000000001E-4</v>
      </c>
      <c r="AA233">
        <v>0.99992329999999996</v>
      </c>
      <c r="AB233">
        <v>28</v>
      </c>
      <c r="AC233">
        <v>149.2681</v>
      </c>
      <c r="AD233">
        <v>-1.1694789999999999</v>
      </c>
      <c r="AE233">
        <v>4.5939999999999896</v>
      </c>
      <c r="AF233">
        <v>-1.85183692370429</v>
      </c>
      <c r="AG233">
        <v>-1.1694789999999999</v>
      </c>
      <c r="AH233">
        <v>149.31813722034801</v>
      </c>
      <c r="AI233">
        <v>90.448704289851506</v>
      </c>
      <c r="AJ233">
        <v>90.710543291876803</v>
      </c>
      <c r="AK233">
        <v>149.33419931173901</v>
      </c>
      <c r="AL233">
        <v>82.731543975971803</v>
      </c>
      <c r="AM233">
        <v>87.938989816062602</v>
      </c>
      <c r="AN233">
        <v>0.99999995560730603</v>
      </c>
    </row>
    <row r="234" spans="1:40" x14ac:dyDescent="0.25">
      <c r="A234" t="str">
        <f>"20190303170232301"</f>
        <v>20190303170232301</v>
      </c>
      <c r="B234" t="str">
        <f>"1551603752296142"</f>
        <v>1551603752296142</v>
      </c>
      <c r="C234" t="s">
        <v>40</v>
      </c>
      <c r="D234">
        <v>4.0004819999999999</v>
      </c>
      <c r="E234">
        <v>0.48332269999999999</v>
      </c>
      <c r="F234" t="s">
        <v>44</v>
      </c>
      <c r="G234">
        <v>-301.52859999999998</v>
      </c>
      <c r="H234">
        <v>-0.05</v>
      </c>
      <c r="I234">
        <v>371.91879999999998</v>
      </c>
      <c r="J234">
        <v>-439.84859999999998</v>
      </c>
      <c r="K234">
        <v>1.1190389999999999</v>
      </c>
      <c r="L234">
        <v>367.63810000000001</v>
      </c>
      <c r="M234">
        <v>0.9997779</v>
      </c>
      <c r="N234">
        <v>-1.0404790000000001E-2</v>
      </c>
      <c r="O234">
        <v>1.833456E-2</v>
      </c>
      <c r="P234">
        <v>0.99308160000000001</v>
      </c>
      <c r="Q234">
        <v>0.1161291</v>
      </c>
      <c r="R234">
        <v>-1.7412839999999999E-2</v>
      </c>
      <c r="S234">
        <v>3.0257869999999998</v>
      </c>
      <c r="T234">
        <v>-2.5552269999999998E-2</v>
      </c>
      <c r="U234">
        <v>9.3597410000000006E-2</v>
      </c>
      <c r="V234">
        <v>3.5638219999999998E-2</v>
      </c>
      <c r="W234">
        <v>0.12644530000000001</v>
      </c>
      <c r="X234">
        <v>0.99133320000000003</v>
      </c>
      <c r="Y234">
        <v>-1.2585499999999999E-2</v>
      </c>
      <c r="Z234">
        <v>1.545963E-4</v>
      </c>
      <c r="AA234">
        <v>0.99992080000000005</v>
      </c>
      <c r="AB234">
        <v>28</v>
      </c>
      <c r="AC234">
        <v>138.32</v>
      </c>
      <c r="AD234">
        <v>-1.1690389999999999</v>
      </c>
      <c r="AE234">
        <v>4.2806999999999604</v>
      </c>
      <c r="AF234">
        <v>-1.7436826465383699</v>
      </c>
      <c r="AG234">
        <v>-1.1690389999999999</v>
      </c>
      <c r="AH234">
        <v>138.365361819741</v>
      </c>
      <c r="AI234">
        <v>90.484037974049997</v>
      </c>
      <c r="AJ234">
        <v>90.722004170311706</v>
      </c>
      <c r="AK234">
        <v>138.38128642581401</v>
      </c>
      <c r="AL234">
        <v>82.735772343579896</v>
      </c>
      <c r="AM234">
        <v>87.941115432762103</v>
      </c>
      <c r="AN234">
        <v>1.0000000050195399</v>
      </c>
    </row>
    <row r="235" spans="1:40" x14ac:dyDescent="0.25">
      <c r="A235" t="str">
        <f>"20190303170232315"</f>
        <v>20190303170232315</v>
      </c>
      <c r="B235" t="str">
        <f>"1551603752305903"</f>
        <v>1551603752305903</v>
      </c>
      <c r="C235" t="s">
        <v>40</v>
      </c>
      <c r="D235">
        <v>3.973611</v>
      </c>
      <c r="E235">
        <v>0.48332269999999999</v>
      </c>
      <c r="F235" t="s">
        <v>44</v>
      </c>
      <c r="G235">
        <v>-310.49299999999999</v>
      </c>
      <c r="H235">
        <v>-0.05</v>
      </c>
      <c r="I235">
        <v>371.63040000000001</v>
      </c>
      <c r="J235">
        <v>-439.68110000000001</v>
      </c>
      <c r="K235">
        <v>1.118528</v>
      </c>
      <c r="L235">
        <v>367.64109999999999</v>
      </c>
      <c r="M235">
        <v>0.99977199999999999</v>
      </c>
      <c r="N235">
        <v>-1.099111E-2</v>
      </c>
      <c r="O235">
        <v>1.830874E-2</v>
      </c>
      <c r="P235">
        <v>0.99318740000000005</v>
      </c>
      <c r="Q235">
        <v>0.115273</v>
      </c>
      <c r="R235">
        <v>-1.7059370000000001E-2</v>
      </c>
      <c r="S235">
        <v>3.0257260000000001</v>
      </c>
      <c r="T235">
        <v>-2.73447E-2</v>
      </c>
      <c r="U235">
        <v>9.3383789999999994E-2</v>
      </c>
      <c r="V235">
        <v>3.5262259999999997E-2</v>
      </c>
      <c r="W235">
        <v>0.126170899999999</v>
      </c>
      <c r="X235">
        <v>0.99138159999999997</v>
      </c>
      <c r="Y235">
        <v>-1.2541170000000001E-2</v>
      </c>
      <c r="Z235">
        <v>1.6141039999999999E-4</v>
      </c>
      <c r="AA235">
        <v>0.99992130000000001</v>
      </c>
      <c r="AB235">
        <v>29</v>
      </c>
      <c r="AC235">
        <v>129.18809999999999</v>
      </c>
      <c r="AD235">
        <v>-1.168528</v>
      </c>
      <c r="AE235">
        <v>3.9893000000000098</v>
      </c>
      <c r="AF235">
        <v>-1.62308443436599</v>
      </c>
      <c r="AG235">
        <v>-1.168528</v>
      </c>
      <c r="AH235">
        <v>129.228923668173</v>
      </c>
      <c r="AI235">
        <v>90.518031230305894</v>
      </c>
      <c r="AJ235">
        <v>90.719583478266799</v>
      </c>
      <c r="AK235">
        <v>129.24439861441701</v>
      </c>
      <c r="AL235">
        <v>82.751621201004497</v>
      </c>
      <c r="AM235">
        <v>87.962916298167798</v>
      </c>
      <c r="AN235">
        <v>0.99999999990283805</v>
      </c>
    </row>
    <row r="236" spans="1:40" x14ac:dyDescent="0.25">
      <c r="A236" t="str">
        <f>"20190303170232333"</f>
        <v>20190303170232333</v>
      </c>
      <c r="B236" t="str">
        <f>"1551603752326398"</f>
        <v>1551603752326398</v>
      </c>
      <c r="C236" t="s">
        <v>40</v>
      </c>
      <c r="D236">
        <v>3.9372980000000002</v>
      </c>
      <c r="E236">
        <v>0.50176239999999905</v>
      </c>
      <c r="F236" t="s">
        <v>42</v>
      </c>
      <c r="G236">
        <v>-326.67140000000001</v>
      </c>
      <c r="H236" s="1">
        <v>-1.8233739999999999E-6</v>
      </c>
      <c r="I236">
        <v>371.16890000000001</v>
      </c>
      <c r="J236">
        <v>-439.45139999999998</v>
      </c>
      <c r="K236">
        <v>1.1177090000000001</v>
      </c>
      <c r="L236">
        <v>367.64519999999999</v>
      </c>
      <c r="M236">
        <v>0.99975780000000003</v>
      </c>
      <c r="N236">
        <v>-1.2272750000000001E-2</v>
      </c>
      <c r="O236">
        <v>1.8274970000000001E-2</v>
      </c>
      <c r="P236">
        <v>0.99329219999999896</v>
      </c>
      <c r="Q236">
        <v>0.1143315</v>
      </c>
      <c r="R236">
        <v>-1.73045E-2</v>
      </c>
      <c r="S236">
        <v>3.025665</v>
      </c>
      <c r="T236">
        <v>-2.9946919999999998E-2</v>
      </c>
      <c r="U236">
        <v>9.4451900000000005E-2</v>
      </c>
      <c r="V236">
        <v>3.5476639999999997E-2</v>
      </c>
      <c r="W236">
        <v>0.12650110000000001</v>
      </c>
      <c r="X236">
        <v>0.99133190000000004</v>
      </c>
      <c r="Y236">
        <v>-1.292768E-2</v>
      </c>
      <c r="Z236">
        <v>1.867699E-4</v>
      </c>
      <c r="AA236">
        <v>0.99991640000000004</v>
      </c>
      <c r="AB236">
        <v>29</v>
      </c>
      <c r="AC236">
        <v>112.77999999999901</v>
      </c>
      <c r="AD236">
        <v>-1.1177108233740001</v>
      </c>
      <c r="AE236">
        <v>3.5237000000000198</v>
      </c>
      <c r="AF236">
        <v>-1.4617619258942001</v>
      </c>
      <c r="AG236">
        <v>-1.1177108233740001</v>
      </c>
      <c r="AH236">
        <v>112.814493423909</v>
      </c>
      <c r="AI236">
        <v>90.567592346361707</v>
      </c>
      <c r="AJ236">
        <v>90.742352333163296</v>
      </c>
      <c r="AK236">
        <v>112.829499475562</v>
      </c>
      <c r="AL236">
        <v>82.7325495274129</v>
      </c>
      <c r="AM236">
        <v>87.950439537548505</v>
      </c>
      <c r="AN236">
        <v>1.0000000281222501</v>
      </c>
    </row>
    <row r="237" spans="1:40" x14ac:dyDescent="0.25">
      <c r="A237" t="str">
        <f>"20190303170232356"</f>
        <v>20190303170232356</v>
      </c>
      <c r="B237" t="str">
        <f>"1551603752345918"</f>
        <v>1551603752345918</v>
      </c>
      <c r="C237" t="s">
        <v>40</v>
      </c>
      <c r="D237">
        <v>3.9198780000000002</v>
      </c>
      <c r="E237">
        <v>0.50661120000000004</v>
      </c>
      <c r="F237" t="s">
        <v>41</v>
      </c>
      <c r="G237">
        <v>-170.08879999999999</v>
      </c>
      <c r="H237">
        <v>7.7165549999999996</v>
      </c>
      <c r="I237">
        <v>362.55059999999997</v>
      </c>
      <c r="J237">
        <v>-439.16669999999999</v>
      </c>
      <c r="K237">
        <v>1.116565</v>
      </c>
      <c r="L237">
        <v>367.65039999999999</v>
      </c>
      <c r="M237">
        <v>0.99973190000000001</v>
      </c>
      <c r="N237">
        <v>-1.428102E-2</v>
      </c>
      <c r="O237">
        <v>1.8229349999999998E-2</v>
      </c>
      <c r="P237">
        <v>0.99345019999999995</v>
      </c>
      <c r="Q237">
        <v>0.1129276</v>
      </c>
      <c r="R237">
        <v>-1.7439989999999999E-2</v>
      </c>
      <c r="S237">
        <v>3.010834</v>
      </c>
      <c r="T237">
        <v>7.3760389999999995E-2</v>
      </c>
      <c r="U237">
        <v>-5.6945799999999998E-2</v>
      </c>
      <c r="V237">
        <v>3.5570030000000002E-2</v>
      </c>
      <c r="W237">
        <v>0.12709089999999901</v>
      </c>
      <c r="X237">
        <v>0.9912531</v>
      </c>
      <c r="Y237">
        <v>3.7116730000000001E-2</v>
      </c>
      <c r="Z237">
        <v>8.9619799999999996E-4</v>
      </c>
      <c r="AA237">
        <v>0.99931060000000005</v>
      </c>
      <c r="AB237">
        <v>29</v>
      </c>
      <c r="AC237">
        <v>269.0779</v>
      </c>
      <c r="AD237">
        <v>6.5999899999999903</v>
      </c>
      <c r="AE237">
        <v>-5.0998000000000099</v>
      </c>
      <c r="AF237">
        <v>9.9985542878352405</v>
      </c>
      <c r="AG237">
        <v>6.5999899999999903</v>
      </c>
      <c r="AH237">
        <v>268.77855557010002</v>
      </c>
      <c r="AI237">
        <v>88.594328435258404</v>
      </c>
      <c r="AJ237">
        <v>87.869581058781094</v>
      </c>
      <c r="AK237">
        <v>269.04542904534998</v>
      </c>
      <c r="AL237">
        <v>82.698481419398902</v>
      </c>
      <c r="AM237">
        <v>87.944885600521502</v>
      </c>
      <c r="AN237">
        <v>1.00000001607831</v>
      </c>
    </row>
    <row r="238" spans="1:40" x14ac:dyDescent="0.25">
      <c r="A238" t="str">
        <f>"20190303170232376"</f>
        <v>20190303170232376</v>
      </c>
      <c r="B238" t="str">
        <f>"1551603752366415"</f>
        <v>1551603752366415</v>
      </c>
      <c r="C238" t="s">
        <v>40</v>
      </c>
      <c r="D238">
        <v>3.8865379999999998</v>
      </c>
      <c r="E238">
        <v>0.50889839999999997</v>
      </c>
      <c r="F238" t="s">
        <v>41</v>
      </c>
      <c r="G238">
        <v>-168.84350000000001</v>
      </c>
      <c r="H238">
        <v>10.439080000000001</v>
      </c>
      <c r="I238">
        <v>358.88830000000002</v>
      </c>
      <c r="J238">
        <v>-438.90710000000001</v>
      </c>
      <c r="K238">
        <v>1.1153679999999999</v>
      </c>
      <c r="L238">
        <v>367.6551</v>
      </c>
      <c r="M238">
        <v>0.99970219999999999</v>
      </c>
      <c r="N238">
        <v>-1.628282E-2</v>
      </c>
      <c r="O238">
        <v>1.8178920000000001E-2</v>
      </c>
      <c r="P238">
        <v>0.99363080000000004</v>
      </c>
      <c r="Q238">
        <v>0.11131389999999999</v>
      </c>
      <c r="R238">
        <v>-1.75254E-2</v>
      </c>
      <c r="S238">
        <v>3.006256</v>
      </c>
      <c r="T238">
        <v>0.1036763</v>
      </c>
      <c r="U238">
        <v>-9.7442630000000002E-2</v>
      </c>
      <c r="V238">
        <v>3.5608460000000001E-2</v>
      </c>
      <c r="W238">
        <v>0.12746499999999999</v>
      </c>
      <c r="X238">
        <v>0.99120370000000002</v>
      </c>
      <c r="Y238">
        <v>5.0523470000000001E-2</v>
      </c>
      <c r="Z238">
        <v>1.3815889999999999E-3</v>
      </c>
      <c r="AA238">
        <v>0.99872190000000005</v>
      </c>
      <c r="AB238">
        <v>28</v>
      </c>
      <c r="AC238">
        <v>270.06360000000001</v>
      </c>
      <c r="AD238">
        <v>9.3237119999999898</v>
      </c>
      <c r="AE238">
        <v>-8.7667999999999893</v>
      </c>
      <c r="AF238">
        <v>13.659202724632699</v>
      </c>
      <c r="AG238">
        <v>9.3237119999999898</v>
      </c>
      <c r="AH238">
        <v>269.53863883168299</v>
      </c>
      <c r="AI238">
        <v>88.021387139091502</v>
      </c>
      <c r="AJ238">
        <v>87.098947437578801</v>
      </c>
      <c r="AK238">
        <v>270.04552069561902</v>
      </c>
      <c r="AL238">
        <v>82.676871431011605</v>
      </c>
      <c r="AM238">
        <v>87.942564707803996</v>
      </c>
      <c r="AN238">
        <v>1.0000000317711299</v>
      </c>
    </row>
    <row r="239" spans="1:40" x14ac:dyDescent="0.25">
      <c r="A239" t="str">
        <f>"20190303170232389"</f>
        <v>20190303170232389</v>
      </c>
      <c r="B239" t="str">
        <f>"1551603752376174"</f>
        <v>1551603752376174</v>
      </c>
      <c r="C239" t="s">
        <v>40</v>
      </c>
      <c r="D239">
        <v>3.8930750000000001</v>
      </c>
      <c r="E239">
        <v>0.50962010000000002</v>
      </c>
      <c r="F239" t="s">
        <v>41</v>
      </c>
      <c r="G239">
        <v>-168.84350000000001</v>
      </c>
      <c r="H239">
        <v>11.952859999999999</v>
      </c>
      <c r="I239">
        <v>357.19549999999998</v>
      </c>
      <c r="J239">
        <v>-438.7362</v>
      </c>
      <c r="K239">
        <v>1.1144969999999901</v>
      </c>
      <c r="L239">
        <v>367.65809999999999</v>
      </c>
      <c r="M239">
        <v>0.9996815</v>
      </c>
      <c r="N239">
        <v>-1.754443E-2</v>
      </c>
      <c r="O239">
        <v>1.8142889999999998E-2</v>
      </c>
      <c r="P239">
        <v>0.99371960000000004</v>
      </c>
      <c r="Q239">
        <v>0.1105638</v>
      </c>
      <c r="R239">
        <v>-1.7231860000000002E-2</v>
      </c>
      <c r="S239">
        <v>3.0036930000000002</v>
      </c>
      <c r="T239">
        <v>0.1205374</v>
      </c>
      <c r="U239">
        <v>-0.11633300000000001</v>
      </c>
      <c r="V239">
        <v>3.5280949999999998E-2</v>
      </c>
      <c r="W239">
        <v>0.1279672</v>
      </c>
      <c r="X239">
        <v>0.99115070000000005</v>
      </c>
      <c r="Y239">
        <v>5.6770939999999999E-2</v>
      </c>
      <c r="Z239">
        <v>1.685424E-3</v>
      </c>
      <c r="AA239">
        <v>0.99838579999999999</v>
      </c>
      <c r="AB239">
        <v>28</v>
      </c>
      <c r="AC239">
        <v>269.89269999999999</v>
      </c>
      <c r="AD239">
        <v>10.838362999999999</v>
      </c>
      <c r="AE239">
        <v>-10.4626</v>
      </c>
      <c r="AF239">
        <v>15.3335736759844</v>
      </c>
      <c r="AG239">
        <v>10.838362999999999</v>
      </c>
      <c r="AH239">
        <v>269.22489308699198</v>
      </c>
      <c r="AI239">
        <v>87.698377096697499</v>
      </c>
      <c r="AJ239">
        <v>86.740268181556999</v>
      </c>
      <c r="AK239">
        <v>269.87892035484901</v>
      </c>
      <c r="AL239">
        <v>82.647859895275801</v>
      </c>
      <c r="AM239">
        <v>87.961363083398794</v>
      </c>
      <c r="AN239">
        <v>1.0000000299096099</v>
      </c>
    </row>
    <row r="240" spans="1:40" x14ac:dyDescent="0.25">
      <c r="A240" t="str">
        <f>"20190303170232403"</f>
        <v>20190303170232403</v>
      </c>
      <c r="B240" t="str">
        <f>"1551603752396671"</f>
        <v>1551603752396671</v>
      </c>
      <c r="C240" t="s">
        <v>40</v>
      </c>
      <c r="D240">
        <v>3.8692329999999999</v>
      </c>
      <c r="E240">
        <v>0.51088449999999996</v>
      </c>
      <c r="F240" t="s">
        <v>45</v>
      </c>
      <c r="G240">
        <v>-249.6498</v>
      </c>
      <c r="H240">
        <v>8.7094330000000006</v>
      </c>
      <c r="I240">
        <v>360.01530000000002</v>
      </c>
      <c r="J240">
        <v>-438.55630000000002</v>
      </c>
      <c r="K240">
        <v>1.113515</v>
      </c>
      <c r="L240">
        <v>367.66140000000001</v>
      </c>
      <c r="M240">
        <v>0.99966239999999995</v>
      </c>
      <c r="N240">
        <v>-1.863971E-2</v>
      </c>
      <c r="O240">
        <v>1.8102879999999998E-2</v>
      </c>
      <c r="P240">
        <v>0.99378770000000005</v>
      </c>
      <c r="Q240">
        <v>0.10995099999999999</v>
      </c>
      <c r="R240">
        <v>-1.7233140000000001E-2</v>
      </c>
      <c r="S240">
        <v>3.0034480000000001</v>
      </c>
      <c r="T240">
        <v>0.1206393</v>
      </c>
      <c r="U240">
        <v>-0.1213989</v>
      </c>
      <c r="V240">
        <v>3.5243700000000003E-2</v>
      </c>
      <c r="W240">
        <v>0.12844159999999999</v>
      </c>
      <c r="X240">
        <v>0.99109069999999999</v>
      </c>
      <c r="Y240">
        <v>5.8415090000000003E-2</v>
      </c>
      <c r="Z240">
        <v>1.6911129999999999E-3</v>
      </c>
      <c r="AA240">
        <v>0.99829100000000004</v>
      </c>
      <c r="AB240">
        <v>28</v>
      </c>
      <c r="AC240">
        <v>188.90649999999999</v>
      </c>
      <c r="AD240">
        <v>7.5959180000000002</v>
      </c>
      <c r="AE240">
        <v>-7.6460999999999899</v>
      </c>
      <c r="AF240">
        <v>11.047359826213899</v>
      </c>
      <c r="AG240">
        <v>7.5959180000000002</v>
      </c>
      <c r="AH240">
        <v>188.43292518790599</v>
      </c>
      <c r="AI240">
        <v>87.695552892193504</v>
      </c>
      <c r="AJ240">
        <v>86.644729816012799</v>
      </c>
      <c r="AK240">
        <v>188.909262409929</v>
      </c>
      <c r="AL240">
        <v>82.620452899077094</v>
      </c>
      <c r="AM240">
        <v>87.9633905007327</v>
      </c>
      <c r="AN240">
        <v>1.0000000693133599</v>
      </c>
    </row>
    <row r="241" spans="1:40" x14ac:dyDescent="0.25">
      <c r="A241" t="str">
        <f>"20190303170232422"</f>
        <v>20190303170232422</v>
      </c>
      <c r="B241" t="str">
        <f>"1551603752416191"</f>
        <v>1551603752416191</v>
      </c>
      <c r="C241" t="s">
        <v>40</v>
      </c>
      <c r="D241">
        <v>6.6075899999999903</v>
      </c>
      <c r="E241">
        <v>0.51183500000000004</v>
      </c>
      <c r="F241" t="s">
        <v>45</v>
      </c>
      <c r="G241">
        <v>-249.66329999999999</v>
      </c>
      <c r="H241">
        <v>8.9831289999999999</v>
      </c>
      <c r="I241">
        <v>359.36380000000003</v>
      </c>
      <c r="J241">
        <v>-438.32220000000001</v>
      </c>
      <c r="K241">
        <v>1.1121160000000001</v>
      </c>
      <c r="L241">
        <v>367.66559999999998</v>
      </c>
      <c r="M241">
        <v>0.99964229999999998</v>
      </c>
      <c r="N241">
        <v>-1.9741350000000001E-2</v>
      </c>
      <c r="O241">
        <v>1.8049059999999999E-2</v>
      </c>
      <c r="P241">
        <v>0.99378849999999996</v>
      </c>
      <c r="Q241">
        <v>0.1100392</v>
      </c>
      <c r="R241">
        <v>-1.661137E-2</v>
      </c>
      <c r="S241">
        <v>3.0026250000000001</v>
      </c>
      <c r="T241">
        <v>0.12509600000000001</v>
      </c>
      <c r="U241">
        <v>-0.13189699999999999</v>
      </c>
      <c r="V241">
        <v>3.4569219999999998E-2</v>
      </c>
      <c r="W241">
        <v>0.1296223</v>
      </c>
      <c r="X241">
        <v>0.99096070000000003</v>
      </c>
      <c r="Y241">
        <v>6.1850870000000002E-2</v>
      </c>
      <c r="Z241">
        <v>1.7834890000000001E-3</v>
      </c>
      <c r="AA241">
        <v>0.99808379999999997</v>
      </c>
      <c r="AB241">
        <v>28</v>
      </c>
      <c r="AC241">
        <v>188.65889999999999</v>
      </c>
      <c r="AD241">
        <v>7.8710129999999996</v>
      </c>
      <c r="AE241">
        <v>-8.3017999999999503</v>
      </c>
      <c r="AF241">
        <v>11.685924712805299</v>
      </c>
      <c r="AG241">
        <v>7.8710129999999996</v>
      </c>
      <c r="AH241">
        <v>188.151417864259</v>
      </c>
      <c r="AI241">
        <v>87.6091212979874</v>
      </c>
      <c r="AJ241">
        <v>86.445973062055302</v>
      </c>
      <c r="AK241">
        <v>188.67821741359199</v>
      </c>
      <c r="AL241">
        <v>82.552233270888493</v>
      </c>
      <c r="AM241">
        <v>88.002072588598494</v>
      </c>
      <c r="AN241">
        <v>1.0000000402865901</v>
      </c>
    </row>
    <row r="242" spans="1:40" x14ac:dyDescent="0.25">
      <c r="A242" t="str">
        <f>"20190303170232434"</f>
        <v>20190303170232434</v>
      </c>
      <c r="B242" t="str">
        <f>"1551603752425950"</f>
        <v>1551603752425950</v>
      </c>
      <c r="C242" t="s">
        <v>40</v>
      </c>
      <c r="D242">
        <v>3.8436210000000002</v>
      </c>
      <c r="E242">
        <v>0.51220089999999996</v>
      </c>
      <c r="F242" t="s">
        <v>41</v>
      </c>
      <c r="G242">
        <v>-170.08879999999999</v>
      </c>
      <c r="H242">
        <v>12.69923</v>
      </c>
      <c r="I242">
        <v>355.3408</v>
      </c>
      <c r="J242">
        <v>-438.16129999999998</v>
      </c>
      <c r="K242">
        <v>1.111102</v>
      </c>
      <c r="L242">
        <v>367.66849999999999</v>
      </c>
      <c r="M242">
        <v>0.99963060000000004</v>
      </c>
      <c r="N242">
        <v>-2.0352479999999999E-2</v>
      </c>
      <c r="O242">
        <v>1.801237E-2</v>
      </c>
      <c r="P242">
        <v>0.99386629999999998</v>
      </c>
      <c r="Q242">
        <v>0.1093513</v>
      </c>
      <c r="R242">
        <v>-1.64914E-2</v>
      </c>
      <c r="S242">
        <v>3.002075</v>
      </c>
      <c r="T242">
        <v>0.1296842</v>
      </c>
      <c r="U242">
        <v>-0.13793949999999999</v>
      </c>
      <c r="V242">
        <v>3.4414750000000001E-2</v>
      </c>
      <c r="W242">
        <v>0.12954189999999999</v>
      </c>
      <c r="X242">
        <v>0.99097659999999999</v>
      </c>
      <c r="Y242">
        <v>6.3821630000000004E-2</v>
      </c>
      <c r="Z242">
        <v>1.8706339999999999E-3</v>
      </c>
      <c r="AA242">
        <v>0.99795959999999995</v>
      </c>
      <c r="AB242">
        <v>28</v>
      </c>
      <c r="AC242">
        <v>268.07249999999999</v>
      </c>
      <c r="AD242">
        <v>11.588127999999999</v>
      </c>
      <c r="AE242">
        <v>-12.327699999999901</v>
      </c>
      <c r="AF242">
        <v>17.123390929907401</v>
      </c>
      <c r="AG242">
        <v>11.588127999999999</v>
      </c>
      <c r="AH242">
        <v>267.30844886893101</v>
      </c>
      <c r="AI242">
        <v>87.522787504546301</v>
      </c>
      <c r="AJ242">
        <v>86.334723604732702</v>
      </c>
      <c r="AK242">
        <v>268.10688552179499</v>
      </c>
      <c r="AL242">
        <v>82.556879096135802</v>
      </c>
      <c r="AM242">
        <v>88.0110248800097</v>
      </c>
      <c r="AN242">
        <v>1.0000000503103601</v>
      </c>
    </row>
    <row r="243" spans="1:40" x14ac:dyDescent="0.25">
      <c r="A243" t="str">
        <f>"20190303170232448"</f>
        <v>20190303170232448</v>
      </c>
      <c r="B243" t="str">
        <f>"1551603752435710"</f>
        <v>1551603752435710</v>
      </c>
      <c r="C243" t="s">
        <v>40</v>
      </c>
      <c r="D243">
        <v>3.8454799999999998</v>
      </c>
      <c r="E243">
        <v>0.51257180000000002</v>
      </c>
      <c r="F243" t="s">
        <v>41</v>
      </c>
      <c r="G243">
        <v>-168.84350000000001</v>
      </c>
      <c r="H243">
        <v>12.61205</v>
      </c>
      <c r="I243">
        <v>355.06659999999999</v>
      </c>
      <c r="J243">
        <v>-437.99860000000001</v>
      </c>
      <c r="K243">
        <v>1.110007</v>
      </c>
      <c r="L243">
        <v>367.67129999999997</v>
      </c>
      <c r="M243">
        <v>0.99962059999999997</v>
      </c>
      <c r="N243">
        <v>-2.0876249999999999E-2</v>
      </c>
      <c r="O243">
        <v>1.7977389999999999E-2</v>
      </c>
      <c r="P243">
        <v>0.99391510000000005</v>
      </c>
      <c r="Q243">
        <v>0.10893319999999999</v>
      </c>
      <c r="R243">
        <v>-1.6328990000000002E-2</v>
      </c>
      <c r="S243">
        <v>3.002075</v>
      </c>
      <c r="T243">
        <v>0.1282015</v>
      </c>
      <c r="U243">
        <v>-0.1404724</v>
      </c>
      <c r="V243">
        <v>3.4219140000000002E-2</v>
      </c>
      <c r="W243">
        <v>0.12964349999999999</v>
      </c>
      <c r="X243">
        <v>0.99097000000000002</v>
      </c>
      <c r="Y243">
        <v>6.4628499999999894E-2</v>
      </c>
      <c r="Z243">
        <v>1.8452270000000001E-3</v>
      </c>
      <c r="AA243">
        <v>0.99790769999999995</v>
      </c>
      <c r="AB243">
        <v>28</v>
      </c>
      <c r="AC243">
        <v>269.1551</v>
      </c>
      <c r="AD243">
        <v>11.502042999999899</v>
      </c>
      <c r="AE243">
        <v>-12.6046999999999</v>
      </c>
      <c r="AF243">
        <v>17.410696641333701</v>
      </c>
      <c r="AG243">
        <v>11.502042999999899</v>
      </c>
      <c r="AH243">
        <v>268.395867016137</v>
      </c>
      <c r="AI243">
        <v>87.551244608778703</v>
      </c>
      <c r="AJ243">
        <v>86.288453655801305</v>
      </c>
      <c r="AK243">
        <v>269.20581491129502</v>
      </c>
      <c r="AL243">
        <v>82.551007690647197</v>
      </c>
      <c r="AM243">
        <v>88.022307851715794</v>
      </c>
      <c r="AN243">
        <v>0.99999996376729405</v>
      </c>
    </row>
    <row r="244" spans="1:40" x14ac:dyDescent="0.25">
      <c r="A244" t="str">
        <f>"20190303170232465"</f>
        <v>20190303170232465</v>
      </c>
      <c r="B244" t="str">
        <f>"1551603752456206"</f>
        <v>1551603752456206</v>
      </c>
      <c r="C244" t="s">
        <v>40</v>
      </c>
      <c r="D244">
        <v>3.8272759999999999</v>
      </c>
      <c r="E244">
        <v>0.51295809999999997</v>
      </c>
      <c r="F244" t="s">
        <v>45</v>
      </c>
      <c r="G244">
        <v>-249.64689999999999</v>
      </c>
      <c r="H244">
        <v>9.1050620000000002</v>
      </c>
      <c r="I244">
        <v>358.7124</v>
      </c>
      <c r="J244">
        <v>-437.76650000000001</v>
      </c>
      <c r="K244">
        <v>1.1083799999999999</v>
      </c>
      <c r="L244">
        <v>367.67540000000002</v>
      </c>
      <c r="M244">
        <v>0.99960709999999997</v>
      </c>
      <c r="N244">
        <v>-2.1550469999999999E-2</v>
      </c>
      <c r="O244">
        <v>1.792581E-2</v>
      </c>
      <c r="P244">
        <v>0.99403600000000003</v>
      </c>
      <c r="Q244">
        <v>0.107906</v>
      </c>
      <c r="R244">
        <v>-1.578531E-2</v>
      </c>
      <c r="S244">
        <v>3.0020449999999999</v>
      </c>
      <c r="T244">
        <v>0.1274306</v>
      </c>
      <c r="U244">
        <v>-0.14279169999999999</v>
      </c>
      <c r="V244">
        <v>3.3628390000000001E-2</v>
      </c>
      <c r="W244">
        <v>0.1292875</v>
      </c>
      <c r="X244">
        <v>0.99103680000000005</v>
      </c>
      <c r="Y244">
        <v>6.5347740000000001E-2</v>
      </c>
      <c r="Z244">
        <v>1.8268E-3</v>
      </c>
      <c r="AA244">
        <v>0.99786090000000005</v>
      </c>
      <c r="AB244">
        <v>28</v>
      </c>
      <c r="AC244">
        <v>188.11959999999999</v>
      </c>
      <c r="AD244">
        <v>7.9966819999999998</v>
      </c>
      <c r="AE244">
        <v>-8.9630000000000205</v>
      </c>
      <c r="AF244">
        <v>12.3123408354943</v>
      </c>
      <c r="AG244">
        <v>7.9966819999999998</v>
      </c>
      <c r="AH244">
        <v>187.59044945471899</v>
      </c>
      <c r="AI244">
        <v>87.564284403304001</v>
      </c>
      <c r="AJ244">
        <v>86.244825918001098</v>
      </c>
      <c r="AK244">
        <v>188.16407039199001</v>
      </c>
      <c r="AL244">
        <v>82.571578625475397</v>
      </c>
      <c r="AM244">
        <v>88.056554684837195</v>
      </c>
      <c r="AN244">
        <v>1.00000003261224</v>
      </c>
    </row>
    <row r="245" spans="1:40" x14ac:dyDescent="0.25">
      <c r="A245" t="str">
        <f>"20190303170232479"</f>
        <v>20190303170232479</v>
      </c>
      <c r="B245" t="str">
        <f>"1551603752465966"</f>
        <v>1551603752465966</v>
      </c>
      <c r="C245" t="s">
        <v>40</v>
      </c>
      <c r="D245">
        <v>3.8507560000000001</v>
      </c>
      <c r="E245">
        <v>0.51313469999999906</v>
      </c>
      <c r="F245" t="s">
        <v>45</v>
      </c>
      <c r="G245">
        <v>-249.60730000000001</v>
      </c>
      <c r="H245">
        <v>8.9461890000000004</v>
      </c>
      <c r="I245">
        <v>358.661</v>
      </c>
      <c r="J245">
        <v>-437.59320000000002</v>
      </c>
      <c r="K245">
        <v>1.1071009999999999</v>
      </c>
      <c r="L245">
        <v>367.67849999999999</v>
      </c>
      <c r="M245">
        <v>0.99959889999999996</v>
      </c>
      <c r="N245">
        <v>-2.196478E-2</v>
      </c>
      <c r="O245">
        <v>1.7883960000000001E-2</v>
      </c>
      <c r="P245">
        <v>0.99409709999999996</v>
      </c>
      <c r="Q245">
        <v>0.1073441</v>
      </c>
      <c r="R245">
        <v>-1.577075E-2</v>
      </c>
      <c r="S245">
        <v>3.002167</v>
      </c>
      <c r="T245">
        <v>0.12505719999999901</v>
      </c>
      <c r="U245">
        <v>-0.14382929999999999</v>
      </c>
      <c r="V245">
        <v>3.3575180000000003E-2</v>
      </c>
      <c r="W245">
        <v>0.1291371</v>
      </c>
      <c r="X245">
        <v>0.9910582</v>
      </c>
      <c r="Y245">
        <v>6.565087E-2</v>
      </c>
      <c r="Z245">
        <v>1.7809620000000001E-3</v>
      </c>
      <c r="AA245">
        <v>0.99784110000000004</v>
      </c>
      <c r="AB245">
        <v>28</v>
      </c>
      <c r="AC245">
        <v>187.98589999999999</v>
      </c>
      <c r="AD245">
        <v>7.8390880000000003</v>
      </c>
      <c r="AE245">
        <v>-9.0174999999999805</v>
      </c>
      <c r="AF245">
        <v>12.357361128628799</v>
      </c>
      <c r="AG245">
        <v>7.8390880000000003</v>
      </c>
      <c r="AH245">
        <v>187.46926690204401</v>
      </c>
      <c r="AI245">
        <v>87.610732434842404</v>
      </c>
      <c r="AJ245">
        <v>86.228705344198403</v>
      </c>
      <c r="AK245">
        <v>188.03957484403401</v>
      </c>
      <c r="AL245">
        <v>82.580268662765206</v>
      </c>
      <c r="AM245">
        <v>88.059669300768306</v>
      </c>
      <c r="AN245">
        <v>1.00000001954784</v>
      </c>
    </row>
    <row r="246" spans="1:40" x14ac:dyDescent="0.25">
      <c r="A246" t="str">
        <f>"20190303170232491"</f>
        <v>20190303170232491</v>
      </c>
      <c r="B246" t="str">
        <f>"1551603752486462"</f>
        <v>1551603752486462</v>
      </c>
      <c r="C246" t="s">
        <v>40</v>
      </c>
      <c r="D246">
        <v>3.7983120000000001</v>
      </c>
      <c r="E246">
        <v>0.51337770000000005</v>
      </c>
      <c r="F246" t="s">
        <v>41</v>
      </c>
      <c r="G246">
        <v>-168.84350000000001</v>
      </c>
      <c r="H246">
        <v>12.178129999999999</v>
      </c>
      <c r="I246">
        <v>354.65010000000001</v>
      </c>
      <c r="J246">
        <v>-437.43209999999999</v>
      </c>
      <c r="K246">
        <v>1.1058490000000001</v>
      </c>
      <c r="L246">
        <v>367.6814</v>
      </c>
      <c r="M246">
        <v>0.99959330000000002</v>
      </c>
      <c r="N246">
        <v>-2.2247469999999998E-2</v>
      </c>
      <c r="O246">
        <v>1.784028E-2</v>
      </c>
      <c r="P246">
        <v>0.99419800000000003</v>
      </c>
      <c r="Q246">
        <v>0.106503399999999</v>
      </c>
      <c r="R246">
        <v>-1.507795E-2</v>
      </c>
      <c r="S246">
        <v>3.002167</v>
      </c>
      <c r="T246">
        <v>0.1236739</v>
      </c>
      <c r="U246">
        <v>-0.14553829999999901</v>
      </c>
      <c r="V246">
        <v>3.2843169999999998E-2</v>
      </c>
      <c r="W246">
        <v>0.12857959999999999</v>
      </c>
      <c r="X246">
        <v>0.99115520000000001</v>
      </c>
      <c r="Y246">
        <v>6.6175449999999997E-2</v>
      </c>
      <c r="Z246">
        <v>1.755553E-3</v>
      </c>
      <c r="AA246">
        <v>0.99780639999999998</v>
      </c>
      <c r="AB246">
        <v>28</v>
      </c>
      <c r="AC246">
        <v>268.58859999999999</v>
      </c>
      <c r="AD246">
        <v>11.072281</v>
      </c>
      <c r="AE246">
        <v>-13.0312999999999</v>
      </c>
      <c r="AF246">
        <v>17.791942292527501</v>
      </c>
      <c r="AG246">
        <v>11.072281</v>
      </c>
      <c r="AH246">
        <v>267.85915879887898</v>
      </c>
      <c r="AI246">
        <v>87.638156052964703</v>
      </c>
      <c r="AJ246">
        <v>86.199838873155798</v>
      </c>
      <c r="AK246">
        <v>268.67764620363602</v>
      </c>
      <c r="AL246">
        <v>82.612479522968897</v>
      </c>
      <c r="AM246">
        <v>88.102126948965406</v>
      </c>
      <c r="AN246">
        <v>1.0000000089194201</v>
      </c>
    </row>
    <row r="247" spans="1:40" x14ac:dyDescent="0.25">
      <c r="A247" t="str">
        <f>"20190303170232509"</f>
        <v>20190303170232509</v>
      </c>
      <c r="B247" t="str">
        <f>"1551603752496223"</f>
        <v>1551603752496223</v>
      </c>
      <c r="C247" t="s">
        <v>40</v>
      </c>
      <c r="D247">
        <v>3.8267509999999998</v>
      </c>
      <c r="E247">
        <v>0.5135303</v>
      </c>
      <c r="F247" t="s">
        <v>41</v>
      </c>
      <c r="G247">
        <v>-168.84350000000001</v>
      </c>
      <c r="H247">
        <v>12.129670000000001</v>
      </c>
      <c r="I247">
        <v>354.65769999999998</v>
      </c>
      <c r="J247">
        <v>-437.20420000000001</v>
      </c>
      <c r="K247">
        <v>1.1039600000000001</v>
      </c>
      <c r="L247">
        <v>367.68540000000002</v>
      </c>
      <c r="M247">
        <v>0.9995908</v>
      </c>
      <c r="N247">
        <v>-2.24198E-2</v>
      </c>
      <c r="O247">
        <v>1.7768869999999999E-2</v>
      </c>
      <c r="P247">
        <v>0.99423669999999997</v>
      </c>
      <c r="Q247">
        <v>0.1061718</v>
      </c>
      <c r="R247">
        <v>-1.4872689999999999E-2</v>
      </c>
      <c r="S247">
        <v>3.002075</v>
      </c>
      <c r="T247">
        <v>0.1232166</v>
      </c>
      <c r="U247">
        <v>-0.1455688</v>
      </c>
      <c r="V247">
        <v>3.2570929999999998E-2</v>
      </c>
      <c r="W247">
        <v>0.1284188</v>
      </c>
      <c r="X247">
        <v>0.99118499999999998</v>
      </c>
      <c r="Y247">
        <v>6.6116510000000003E-2</v>
      </c>
      <c r="Z247">
        <v>1.7401649999999999E-3</v>
      </c>
      <c r="AA247">
        <v>0.99781039999999999</v>
      </c>
      <c r="AB247">
        <v>28</v>
      </c>
      <c r="AC247">
        <v>268.36070000000001</v>
      </c>
      <c r="AD247">
        <v>11.025709999999901</v>
      </c>
      <c r="AE247">
        <v>-13.027699999999999</v>
      </c>
      <c r="AF247">
        <v>17.765389418955401</v>
      </c>
      <c r="AG247">
        <v>11.025709999999901</v>
      </c>
      <c r="AH247">
        <v>267.63605407478599</v>
      </c>
      <c r="AI247">
        <v>87.646113799126198</v>
      </c>
      <c r="AJ247">
        <v>86.202339796005504</v>
      </c>
      <c r="AK247">
        <v>268.451546434237</v>
      </c>
      <c r="AL247">
        <v>82.621769481083803</v>
      </c>
      <c r="AM247">
        <v>88.117903774018501</v>
      </c>
      <c r="AN247">
        <v>0.99999997894975201</v>
      </c>
    </row>
    <row r="248" spans="1:40" x14ac:dyDescent="0.25">
      <c r="A248" t="str">
        <f>"20190303170232523"</f>
        <v>20190303170232523</v>
      </c>
      <c r="B248" t="str">
        <f>"1551603752515743"</f>
        <v>1551603752515743</v>
      </c>
      <c r="C248" t="s">
        <v>40</v>
      </c>
      <c r="D248">
        <v>3.7928099999999998</v>
      </c>
      <c r="E248">
        <v>0.51384129999999995</v>
      </c>
      <c r="F248" t="s">
        <v>41</v>
      </c>
      <c r="G248">
        <v>-168.84350000000001</v>
      </c>
      <c r="H248">
        <v>12.00874</v>
      </c>
      <c r="I248">
        <v>354.6078</v>
      </c>
      <c r="J248">
        <v>-437.03399999999999</v>
      </c>
      <c r="K248">
        <v>1.102476</v>
      </c>
      <c r="L248">
        <v>367.6884</v>
      </c>
      <c r="M248">
        <v>0.99959240000000005</v>
      </c>
      <c r="N248">
        <v>-2.239404E-2</v>
      </c>
      <c r="O248">
        <v>1.7706739999999999E-2</v>
      </c>
      <c r="P248">
        <v>0.99425859999999999</v>
      </c>
      <c r="Q248">
        <v>0.10598349999999999</v>
      </c>
      <c r="R248">
        <v>-1.474339E-2</v>
      </c>
      <c r="S248">
        <v>3.0021969999999998</v>
      </c>
      <c r="T248">
        <v>0.12199459999999999</v>
      </c>
      <c r="U248">
        <v>-0.1463013</v>
      </c>
      <c r="V248">
        <v>3.2383229999999999E-2</v>
      </c>
      <c r="W248">
        <v>0.12820509999999999</v>
      </c>
      <c r="X248">
        <v>0.99121890000000001</v>
      </c>
      <c r="Y248">
        <v>6.6296670000000002E-2</v>
      </c>
      <c r="Z248">
        <v>1.7175389999999999E-3</v>
      </c>
      <c r="AA248">
        <v>0.99779850000000003</v>
      </c>
      <c r="AB248">
        <v>28</v>
      </c>
      <c r="AC248">
        <v>268.19049999999999</v>
      </c>
      <c r="AD248">
        <v>10.906264</v>
      </c>
      <c r="AE248">
        <v>-13.0806</v>
      </c>
      <c r="AF248">
        <v>17.799153728290001</v>
      </c>
      <c r="AG248">
        <v>10.906264</v>
      </c>
      <c r="AH248">
        <v>267.475476911366</v>
      </c>
      <c r="AI248">
        <v>87.670215452777896</v>
      </c>
      <c r="AJ248">
        <v>86.192865764684299</v>
      </c>
      <c r="AK248">
        <v>268.28881306689601</v>
      </c>
      <c r="AL248">
        <v>82.634116278134599</v>
      </c>
      <c r="AM248">
        <v>88.128806151014999</v>
      </c>
      <c r="AN248">
        <v>1.00000006448422</v>
      </c>
    </row>
    <row r="249" spans="1:40" x14ac:dyDescent="0.25">
      <c r="A249" t="str">
        <f>"20190303170232536"</f>
        <v>20190303170232536</v>
      </c>
      <c r="B249" t="str">
        <f>"1551603752526478"</f>
        <v>1551603752526478</v>
      </c>
      <c r="C249" t="s">
        <v>40</v>
      </c>
      <c r="D249">
        <v>3.789682</v>
      </c>
      <c r="E249">
        <v>0.51401819999999998</v>
      </c>
      <c r="F249" t="s">
        <v>41</v>
      </c>
      <c r="G249">
        <v>-168.84350000000001</v>
      </c>
      <c r="H249">
        <v>12.233919999999999</v>
      </c>
      <c r="I249">
        <v>354.41300000000001</v>
      </c>
      <c r="J249">
        <v>-436.87189999999998</v>
      </c>
      <c r="K249">
        <v>1.101027</v>
      </c>
      <c r="L249">
        <v>367.69119999999998</v>
      </c>
      <c r="M249">
        <v>0.99959580000000003</v>
      </c>
      <c r="N249">
        <v>-2.2294169999999999E-2</v>
      </c>
      <c r="O249">
        <v>1.7642830000000002E-2</v>
      </c>
      <c r="P249">
        <v>0.99424889999999999</v>
      </c>
      <c r="Q249">
        <v>0.10604089999999999</v>
      </c>
      <c r="R249">
        <v>-1.498621E-2</v>
      </c>
      <c r="S249">
        <v>3.0018310000000001</v>
      </c>
      <c r="T249">
        <v>0.1245942</v>
      </c>
      <c r="U249">
        <v>-0.1485901</v>
      </c>
      <c r="V249">
        <v>3.2565509999999999E-2</v>
      </c>
      <c r="W249">
        <v>0.1281621</v>
      </c>
      <c r="X249">
        <v>0.99121840000000005</v>
      </c>
      <c r="Y249">
        <v>6.699484E-2</v>
      </c>
      <c r="Z249">
        <v>1.7658299999999999E-3</v>
      </c>
      <c r="AA249">
        <v>0.99775179999999997</v>
      </c>
      <c r="AB249">
        <v>28</v>
      </c>
      <c r="AC249">
        <v>268.02839999999998</v>
      </c>
      <c r="AD249">
        <v>11.132892999999999</v>
      </c>
      <c r="AE249">
        <v>-13.278199999999901</v>
      </c>
      <c r="AF249">
        <v>17.975151343422301</v>
      </c>
      <c r="AG249">
        <v>11.132892999999999</v>
      </c>
      <c r="AH249">
        <v>267.292318594915</v>
      </c>
      <c r="AI249">
        <v>87.620341962712104</v>
      </c>
      <c r="AJ249">
        <v>86.152706666028195</v>
      </c>
      <c r="AK249">
        <v>268.12726633487699</v>
      </c>
      <c r="AL249">
        <v>82.636599837978494</v>
      </c>
      <c r="AM249">
        <v>88.118280103836497</v>
      </c>
      <c r="AN249">
        <v>0.99999997640826499</v>
      </c>
    </row>
    <row r="250" spans="1:40" x14ac:dyDescent="0.25">
      <c r="A250" t="str">
        <f>"20190303170232556"</f>
        <v>20190303170232556</v>
      </c>
      <c r="B250" t="str">
        <f>"1551603752545998"</f>
        <v>1551603752545998</v>
      </c>
      <c r="C250" t="s">
        <v>40</v>
      </c>
      <c r="D250">
        <v>3.8053499999999998</v>
      </c>
      <c r="E250">
        <v>0.5142622</v>
      </c>
      <c r="F250" t="s">
        <v>41</v>
      </c>
      <c r="G250">
        <v>-168.84350000000001</v>
      </c>
      <c r="H250">
        <v>12.316599999999999</v>
      </c>
      <c r="I250">
        <v>354.25959999999998</v>
      </c>
      <c r="J250">
        <v>-436.61399999999998</v>
      </c>
      <c r="K250">
        <v>1.098635</v>
      </c>
      <c r="L250">
        <v>367.69560000000001</v>
      </c>
      <c r="M250">
        <v>0.99960369999999998</v>
      </c>
      <c r="N250">
        <v>-2.2024439999999999E-2</v>
      </c>
      <c r="O250">
        <v>1.753122E-2</v>
      </c>
      <c r="P250">
        <v>0.99422200000000005</v>
      </c>
      <c r="Q250">
        <v>0.1063337</v>
      </c>
      <c r="R250">
        <v>-1.4683760000000001E-2</v>
      </c>
      <c r="S250">
        <v>3.0016780000000001</v>
      </c>
      <c r="T250">
        <v>0.1256053</v>
      </c>
      <c r="U250">
        <v>-0.1504211</v>
      </c>
      <c r="V250">
        <v>3.2157949999999998E-2</v>
      </c>
      <c r="W250">
        <v>0.1281853</v>
      </c>
      <c r="X250">
        <v>0.99122880000000002</v>
      </c>
      <c r="Y250">
        <v>6.7491850000000006E-2</v>
      </c>
      <c r="Z250">
        <v>1.785156E-3</v>
      </c>
      <c r="AA250">
        <v>0.9977182</v>
      </c>
      <c r="AB250">
        <v>28</v>
      </c>
      <c r="AC250">
        <v>267.77050000000003</v>
      </c>
      <c r="AD250">
        <v>11.217965</v>
      </c>
      <c r="AE250">
        <v>-13.436</v>
      </c>
      <c r="AF250">
        <v>18.097733054389099</v>
      </c>
      <c r="AG250">
        <v>11.217965</v>
      </c>
      <c r="AH250">
        <v>267.02623980537101</v>
      </c>
      <c r="AI250">
        <v>87.599877189067101</v>
      </c>
      <c r="AJ250">
        <v>86.122701672144103</v>
      </c>
      <c r="AK250">
        <v>267.87381996948699</v>
      </c>
      <c r="AL250">
        <v>82.635260209349596</v>
      </c>
      <c r="AM250">
        <v>88.1418328492868</v>
      </c>
      <c r="AN250">
        <v>1.00000006941686</v>
      </c>
    </row>
    <row r="251" spans="1:40" x14ac:dyDescent="0.25">
      <c r="A251" t="str">
        <f>"20190303170232577"</f>
        <v>20190303170232577</v>
      </c>
      <c r="B251" t="str">
        <f>"1551603752566495"</f>
        <v>1551603752566495</v>
      </c>
      <c r="C251" t="s">
        <v>40</v>
      </c>
      <c r="D251">
        <v>3.7528389999999998</v>
      </c>
      <c r="E251">
        <v>0.51452209999999998</v>
      </c>
      <c r="F251" t="s">
        <v>41</v>
      </c>
      <c r="G251">
        <v>-168.84350000000001</v>
      </c>
      <c r="H251">
        <v>12.61708</v>
      </c>
      <c r="I251">
        <v>354.13119999999998</v>
      </c>
      <c r="J251">
        <v>-436.35300000000001</v>
      </c>
      <c r="K251">
        <v>1.096171</v>
      </c>
      <c r="L251">
        <v>367.7</v>
      </c>
      <c r="M251">
        <v>0.99961359999999999</v>
      </c>
      <c r="N251">
        <v>-2.1682440000000001E-2</v>
      </c>
      <c r="O251">
        <v>1.7396040000000002E-2</v>
      </c>
      <c r="P251">
        <v>0.99420339999999996</v>
      </c>
      <c r="Q251">
        <v>0.1065127</v>
      </c>
      <c r="R251">
        <v>-1.465851E-2</v>
      </c>
      <c r="S251">
        <v>3.0013429999999999</v>
      </c>
      <c r="T251">
        <v>0.129107</v>
      </c>
      <c r="U251">
        <v>-0.1520386</v>
      </c>
      <c r="V251">
        <v>3.2003999999999998E-2</v>
      </c>
      <c r="W251">
        <v>0.12802349999999901</v>
      </c>
      <c r="X251">
        <v>0.99125459999999999</v>
      </c>
      <c r="Y251">
        <v>6.7894880000000005E-2</v>
      </c>
      <c r="Z251">
        <v>1.846147E-3</v>
      </c>
      <c r="AA251">
        <v>0.99769079999999999</v>
      </c>
      <c r="AB251">
        <v>28</v>
      </c>
      <c r="AC251">
        <v>267.5095</v>
      </c>
      <c r="AD251">
        <v>11.520909</v>
      </c>
      <c r="AE251">
        <v>-13.5688</v>
      </c>
      <c r="AF251">
        <v>18.187797779058101</v>
      </c>
      <c r="AG251">
        <v>11.520909</v>
      </c>
      <c r="AH251">
        <v>266.73942548087803</v>
      </c>
      <c r="AI251">
        <v>87.532561521732205</v>
      </c>
      <c r="AJ251">
        <v>86.099288438108204</v>
      </c>
      <c r="AK251">
        <v>267.60689161175799</v>
      </c>
      <c r="AL251">
        <v>82.644607001235897</v>
      </c>
      <c r="AM251">
        <v>88.150770374487195</v>
      </c>
      <c r="AN251">
        <v>0.99999997729470402</v>
      </c>
    </row>
    <row r="252" spans="1:40" x14ac:dyDescent="0.25">
      <c r="A252" t="str">
        <f>"20190303170232589"</f>
        <v>20190303170232589</v>
      </c>
      <c r="B252" t="str">
        <f>"1551603752576255"</f>
        <v>1551603752576255</v>
      </c>
      <c r="C252" t="s">
        <v>40</v>
      </c>
      <c r="D252">
        <v>3.7882090000000002</v>
      </c>
      <c r="E252">
        <v>0.51465519999999998</v>
      </c>
      <c r="F252" t="s">
        <v>45</v>
      </c>
      <c r="G252">
        <v>-249.65809999999999</v>
      </c>
      <c r="H252">
        <v>9.3250740000000008</v>
      </c>
      <c r="I252">
        <v>358.11250000000001</v>
      </c>
      <c r="J252">
        <v>-436.18360000000001</v>
      </c>
      <c r="K252">
        <v>1.094573</v>
      </c>
      <c r="L252">
        <v>367.7029</v>
      </c>
      <c r="M252">
        <v>0.99962169999999895</v>
      </c>
      <c r="N252">
        <v>-2.1397840000000001E-2</v>
      </c>
      <c r="O252">
        <v>1.7292660000000001E-2</v>
      </c>
      <c r="P252">
        <v>0.99416590000000005</v>
      </c>
      <c r="Q252">
        <v>0.1068735</v>
      </c>
      <c r="R252">
        <v>-1.4577690000000001E-2</v>
      </c>
      <c r="S252">
        <v>3.0010379999999999</v>
      </c>
      <c r="T252">
        <v>0.13227739999999999</v>
      </c>
      <c r="U252">
        <v>-0.1541138</v>
      </c>
      <c r="V252">
        <v>3.1823219999999999E-2</v>
      </c>
      <c r="W252">
        <v>0.12810060000000001</v>
      </c>
      <c r="X252">
        <v>0.99125050000000003</v>
      </c>
      <c r="Y252">
        <v>6.8481109999999998E-2</v>
      </c>
      <c r="Z252">
        <v>1.9050110000000001E-3</v>
      </c>
      <c r="AA252">
        <v>0.99765060000000005</v>
      </c>
      <c r="AB252">
        <v>28</v>
      </c>
      <c r="AC252">
        <v>186.52549999999999</v>
      </c>
      <c r="AD252">
        <v>8.2305010000000003</v>
      </c>
      <c r="AE252">
        <v>-9.5903999999999794</v>
      </c>
      <c r="AF252">
        <v>12.790387509014099</v>
      </c>
      <c r="AG252">
        <v>8.2305010000000003</v>
      </c>
      <c r="AH252">
        <v>185.97057627227099</v>
      </c>
      <c r="AI252">
        <v>87.471878363845406</v>
      </c>
      <c r="AJ252">
        <v>86.065598002497893</v>
      </c>
      <c r="AK252">
        <v>186.59150676915101</v>
      </c>
      <c r="AL252">
        <v>82.640153118328101</v>
      </c>
      <c r="AM252">
        <v>88.161201268744094</v>
      </c>
      <c r="AN252">
        <v>1.0000000174008801</v>
      </c>
    </row>
    <row r="253" spans="1:40" x14ac:dyDescent="0.25">
      <c r="A253" t="str">
        <f>"20190303170232603"</f>
        <v>20190303170232603</v>
      </c>
      <c r="B253" t="str">
        <f>"1551603752596751"</f>
        <v>1551603752596751</v>
      </c>
      <c r="C253" t="s">
        <v>40</v>
      </c>
      <c r="D253">
        <v>3.839083</v>
      </c>
      <c r="E253">
        <v>0.51491679999999995</v>
      </c>
      <c r="F253" t="s">
        <v>45</v>
      </c>
      <c r="G253">
        <v>-249.68539999999999</v>
      </c>
      <c r="H253">
        <v>9.4492170000000009</v>
      </c>
      <c r="I253">
        <v>358.08330000000001</v>
      </c>
      <c r="J253">
        <v>-436.0222</v>
      </c>
      <c r="K253">
        <v>1.093073</v>
      </c>
      <c r="L253">
        <v>367.70549999999997</v>
      </c>
      <c r="M253">
        <v>0.99963020000000002</v>
      </c>
      <c r="N253">
        <v>-2.1073399999999999E-2</v>
      </c>
      <c r="O253">
        <v>1.718389E-2</v>
      </c>
      <c r="P253">
        <v>0.99414340000000001</v>
      </c>
      <c r="Q253">
        <v>0.1070736</v>
      </c>
      <c r="R253">
        <v>-1.4640459999999999E-2</v>
      </c>
      <c r="S253">
        <v>3.0008849999999998</v>
      </c>
      <c r="T253">
        <v>0.13443339999999901</v>
      </c>
      <c r="U253">
        <v>-0.15478520000000001</v>
      </c>
      <c r="V253">
        <v>3.1780000000000003E-2</v>
      </c>
      <c r="W253">
        <v>0.1279777</v>
      </c>
      <c r="X253">
        <v>0.99126769999999997</v>
      </c>
      <c r="Y253">
        <v>6.8595219999999998E-2</v>
      </c>
      <c r="Z253">
        <v>1.9417480000000001E-3</v>
      </c>
      <c r="AA253">
        <v>0.99764269999999999</v>
      </c>
      <c r="AB253">
        <v>28</v>
      </c>
      <c r="AC253">
        <v>186.33680000000001</v>
      </c>
      <c r="AD253">
        <v>8.3561439999999898</v>
      </c>
      <c r="AE253">
        <v>-9.6221999999999603</v>
      </c>
      <c r="AF253">
        <v>12.797812945594201</v>
      </c>
      <c r="AG253">
        <v>8.3561439999999898</v>
      </c>
      <c r="AH253">
        <v>185.77129617421201</v>
      </c>
      <c r="AI253">
        <v>87.430606837260598</v>
      </c>
      <c r="AJ253">
        <v>86.059111427405696</v>
      </c>
      <c r="AK253">
        <v>186.398990450555</v>
      </c>
      <c r="AL253">
        <v>82.647252759880104</v>
      </c>
      <c r="AM253">
        <v>88.163728722335094</v>
      </c>
      <c r="AN253">
        <v>0.99999995658028895</v>
      </c>
    </row>
    <row r="254" spans="1:40" x14ac:dyDescent="0.25">
      <c r="A254" t="str">
        <f>"20190303170232624"</f>
        <v>20190303170232624</v>
      </c>
      <c r="B254" t="str">
        <f>"1551603752616271"</f>
        <v>1551603752616271</v>
      </c>
      <c r="C254" t="s">
        <v>40</v>
      </c>
      <c r="D254">
        <v>3.82666</v>
      </c>
      <c r="E254">
        <v>0.5150747</v>
      </c>
      <c r="F254" t="s">
        <v>41</v>
      </c>
      <c r="G254">
        <v>-170.08879999999999</v>
      </c>
      <c r="H254">
        <v>13.132129999999901</v>
      </c>
      <c r="I254">
        <v>353.77730000000003</v>
      </c>
      <c r="J254">
        <v>-435.75599999999997</v>
      </c>
      <c r="K254">
        <v>1.0906469999999999</v>
      </c>
      <c r="L254">
        <v>367.7099</v>
      </c>
      <c r="M254">
        <v>0.9996467</v>
      </c>
      <c r="N254">
        <v>-2.0442720000000001E-2</v>
      </c>
      <c r="O254">
        <v>1.6985759999999999E-2</v>
      </c>
      <c r="P254">
        <v>0.99412719999999999</v>
      </c>
      <c r="Q254">
        <v>0.10721310000000001</v>
      </c>
      <c r="R254">
        <v>-1.472159E-2</v>
      </c>
      <c r="S254">
        <v>3.0007630000000001</v>
      </c>
      <c r="T254">
        <v>0.13584830000000001</v>
      </c>
      <c r="U254">
        <v>-0.15716550000000001</v>
      </c>
      <c r="V254">
        <v>3.1667340000000002E-2</v>
      </c>
      <c r="W254">
        <v>0.12749099999999999</v>
      </c>
      <c r="X254">
        <v>0.9913341</v>
      </c>
      <c r="Y254">
        <v>6.9186750000000005E-2</v>
      </c>
      <c r="Z254">
        <v>1.9711300000000002E-3</v>
      </c>
      <c r="AA254">
        <v>0.99760179999999998</v>
      </c>
      <c r="AB254">
        <v>28</v>
      </c>
      <c r="AC254">
        <v>265.66719999999998</v>
      </c>
      <c r="AD254">
        <v>12.0414829999999</v>
      </c>
      <c r="AE254">
        <v>-13.9325999999999</v>
      </c>
      <c r="AF254">
        <v>18.406381480058698</v>
      </c>
      <c r="AG254">
        <v>12.0414829999999</v>
      </c>
      <c r="AH254">
        <v>264.84953796432802</v>
      </c>
      <c r="AI254">
        <v>87.403074000771099</v>
      </c>
      <c r="AJ254">
        <v>86.024478646372401</v>
      </c>
      <c r="AK254">
        <v>265.76130258551001</v>
      </c>
      <c r="AL254">
        <v>82.675369523059103</v>
      </c>
      <c r="AM254">
        <v>88.170356340565206</v>
      </c>
      <c r="AN254">
        <v>1.00000003666324</v>
      </c>
    </row>
    <row r="255" spans="1:40" x14ac:dyDescent="0.25">
      <c r="A255" t="str">
        <f>"20190303170232644"</f>
        <v>20190303170232644</v>
      </c>
      <c r="B255" t="str">
        <f>"1551603752635791"</f>
        <v>1551603752635791</v>
      </c>
      <c r="C255" t="s">
        <v>40</v>
      </c>
      <c r="D255">
        <v>3.7994940000000001</v>
      </c>
      <c r="E255">
        <v>0.51528419999999997</v>
      </c>
      <c r="F255" t="s">
        <v>41</v>
      </c>
      <c r="G255">
        <v>-170.08879999999999</v>
      </c>
      <c r="H255">
        <v>13.35812</v>
      </c>
      <c r="I255">
        <v>353.66430000000003</v>
      </c>
      <c r="J255">
        <v>-435.49740000000003</v>
      </c>
      <c r="K255">
        <v>1.088408</v>
      </c>
      <c r="L255">
        <v>367.71409999999997</v>
      </c>
      <c r="M255">
        <v>0.9996642</v>
      </c>
      <c r="N255">
        <v>-1.974917E-2</v>
      </c>
      <c r="O255">
        <v>1.677905E-2</v>
      </c>
      <c r="P255">
        <v>0.99405069999999995</v>
      </c>
      <c r="Q255">
        <v>0.1078636</v>
      </c>
      <c r="R255">
        <v>-1.513434E-2</v>
      </c>
      <c r="S255">
        <v>3.0004270000000002</v>
      </c>
      <c r="T255">
        <v>0.13854900000000001</v>
      </c>
      <c r="U255">
        <v>-0.15863039999999901</v>
      </c>
      <c r="V255">
        <v>3.1875939999999998E-2</v>
      </c>
      <c r="W255">
        <v>0.12745129999999999</v>
      </c>
      <c r="X255">
        <v>0.99133249999999995</v>
      </c>
      <c r="Y255">
        <v>6.9468509999999997E-2</v>
      </c>
      <c r="Z255">
        <v>2.0200069999999999E-3</v>
      </c>
      <c r="AA255">
        <v>0.99758210000000003</v>
      </c>
      <c r="AB255">
        <v>28</v>
      </c>
      <c r="AC255">
        <v>265.40859999999998</v>
      </c>
      <c r="AD255">
        <v>12.269712</v>
      </c>
      <c r="AE255">
        <v>-14.0497999999999</v>
      </c>
      <c r="AF255">
        <v>18.462646508413801</v>
      </c>
      <c r="AG255">
        <v>12.269712</v>
      </c>
      <c r="AH255">
        <v>264.57157945077898</v>
      </c>
      <c r="AI255">
        <v>87.351198670683004</v>
      </c>
      <c r="AJ255">
        <v>86.008189464603205</v>
      </c>
      <c r="AK255">
        <v>265.49865499044898</v>
      </c>
      <c r="AL255">
        <v>82.677662732771694</v>
      </c>
      <c r="AM255">
        <v>88.158309362365003</v>
      </c>
      <c r="AN255">
        <v>1.0000000174894099</v>
      </c>
    </row>
    <row r="256" spans="1:40" x14ac:dyDescent="0.25">
      <c r="A256" t="str">
        <f>"20190303170232658"</f>
        <v>20190303170232658</v>
      </c>
      <c r="B256" t="str">
        <f>"1551603752646527"</f>
        <v>1551603752646527</v>
      </c>
      <c r="C256" t="s">
        <v>40</v>
      </c>
      <c r="D256">
        <v>3.798737</v>
      </c>
      <c r="E256">
        <v>0.51534590000000002</v>
      </c>
      <c r="F256" t="s">
        <v>41</v>
      </c>
      <c r="G256">
        <v>-170.08879999999999</v>
      </c>
      <c r="H256">
        <v>13.719749999999999</v>
      </c>
      <c r="I256">
        <v>353.40989999999999</v>
      </c>
      <c r="J256">
        <v>-435.33519999999999</v>
      </c>
      <c r="K256">
        <v>1.087073</v>
      </c>
      <c r="L256">
        <v>367.7167</v>
      </c>
      <c r="M256">
        <v>0.99967519999999999</v>
      </c>
      <c r="N256">
        <v>-1.9298450000000002E-2</v>
      </c>
      <c r="O256">
        <v>1.6646439999999998E-2</v>
      </c>
      <c r="P256">
        <v>0.99397500000000005</v>
      </c>
      <c r="Q256">
        <v>0.10852059999999999</v>
      </c>
      <c r="R256">
        <v>-1.541062E-2</v>
      </c>
      <c r="S256">
        <v>2.9999389999999999</v>
      </c>
      <c r="T256">
        <v>0.14277419999999999</v>
      </c>
      <c r="U256">
        <v>-0.1616821</v>
      </c>
      <c r="V256">
        <v>3.2020390000000003E-2</v>
      </c>
      <c r="W256">
        <v>0.12765940000000001</v>
      </c>
      <c r="X256">
        <v>0.99130110000000005</v>
      </c>
      <c r="Y256">
        <v>7.0350759999999998E-2</v>
      </c>
      <c r="Z256">
        <v>2.10436E-3</v>
      </c>
      <c r="AA256">
        <v>0.99752010000000002</v>
      </c>
      <c r="AB256">
        <v>28</v>
      </c>
      <c r="AC256">
        <v>265.24639999999999</v>
      </c>
      <c r="AD256">
        <v>12.632676999999999</v>
      </c>
      <c r="AE256">
        <v>-14.306800000000001</v>
      </c>
      <c r="AF256">
        <v>18.6788021553573</v>
      </c>
      <c r="AG256">
        <v>12.632676999999999</v>
      </c>
      <c r="AH256">
        <v>264.373504840642</v>
      </c>
      <c r="AI256">
        <v>87.271083457678898</v>
      </c>
      <c r="AJ256">
        <v>85.958592538507801</v>
      </c>
      <c r="AK256">
        <v>265.33343596288501</v>
      </c>
      <c r="AL256">
        <v>82.665641518239894</v>
      </c>
      <c r="AM256">
        <v>88.149910726439401</v>
      </c>
      <c r="AN256">
        <v>1.00000004932266</v>
      </c>
    </row>
    <row r="257" spans="1:40" x14ac:dyDescent="0.25">
      <c r="A257" t="str">
        <f>"20190303170232669"</f>
        <v>20190303170232669</v>
      </c>
      <c r="B257" t="str">
        <f>"1551603752656286"</f>
        <v>1551603752656286</v>
      </c>
      <c r="C257" t="s">
        <v>40</v>
      </c>
      <c r="D257">
        <v>6.5709339999999896</v>
      </c>
      <c r="E257">
        <v>0.51545640000000004</v>
      </c>
      <c r="F257" t="s">
        <v>41</v>
      </c>
      <c r="G257">
        <v>-170.08879999999999</v>
      </c>
      <c r="H257">
        <v>14.00741</v>
      </c>
      <c r="I257">
        <v>353.29579999999999</v>
      </c>
      <c r="J257">
        <v>-435.17439999999999</v>
      </c>
      <c r="K257">
        <v>1.0858289999999999</v>
      </c>
      <c r="L257">
        <v>367.7192</v>
      </c>
      <c r="M257">
        <v>0.99968590000000002</v>
      </c>
      <c r="N257">
        <v>-1.8851280000000002E-2</v>
      </c>
      <c r="O257">
        <v>1.6513429999999999E-2</v>
      </c>
      <c r="P257">
        <v>0.99389000000000005</v>
      </c>
      <c r="Q257">
        <v>0.10925029999999999</v>
      </c>
      <c r="R257">
        <v>-1.5718010000000001E-2</v>
      </c>
      <c r="S257">
        <v>2.9996640000000001</v>
      </c>
      <c r="T257">
        <v>0.14611660000000001</v>
      </c>
      <c r="U257">
        <v>-0.16308590000000001</v>
      </c>
      <c r="V257">
        <v>3.2195340000000003E-2</v>
      </c>
      <c r="W257">
        <v>0.12794359999999999</v>
      </c>
      <c r="X257">
        <v>0.99125870000000005</v>
      </c>
      <c r="Y257">
        <v>7.0683780000000002E-2</v>
      </c>
      <c r="Z257">
        <v>2.1664169999999999E-3</v>
      </c>
      <c r="AA257">
        <v>0.99749639999999995</v>
      </c>
      <c r="AB257">
        <v>28</v>
      </c>
      <c r="AC257">
        <v>265.0856</v>
      </c>
      <c r="AD257">
        <v>12.921581</v>
      </c>
      <c r="AE257">
        <v>-14.423400000000001</v>
      </c>
      <c r="AF257">
        <v>18.7552509570944</v>
      </c>
      <c r="AG257">
        <v>12.921581</v>
      </c>
      <c r="AH257">
        <v>264.18534927604202</v>
      </c>
      <c r="AI257">
        <v>87.206853843917202</v>
      </c>
      <c r="AJ257">
        <v>85.939226558348807</v>
      </c>
      <c r="AK257">
        <v>265.16527952601098</v>
      </c>
      <c r="AL257">
        <v>82.649222747664894</v>
      </c>
      <c r="AM257">
        <v>88.139729953200799</v>
      </c>
      <c r="AN257">
        <v>0.99999995751218096</v>
      </c>
    </row>
    <row r="258" spans="1:40" x14ac:dyDescent="0.25">
      <c r="A258" t="str">
        <f>"20190303170232689"</f>
        <v>20190303170232689</v>
      </c>
      <c r="B258" t="str">
        <f>"1551603752675807"</f>
        <v>1551603752675807</v>
      </c>
      <c r="C258" t="s">
        <v>40</v>
      </c>
      <c r="D258">
        <v>3.802657</v>
      </c>
      <c r="E258">
        <v>0.51570209999999905</v>
      </c>
      <c r="F258" t="s">
        <v>41</v>
      </c>
      <c r="G258">
        <v>-170.08879999999999</v>
      </c>
      <c r="H258">
        <v>14.240259999999999</v>
      </c>
      <c r="I258">
        <v>353.16340000000002</v>
      </c>
      <c r="J258">
        <v>-434.94220000000001</v>
      </c>
      <c r="K258">
        <v>1.0841590000000001</v>
      </c>
      <c r="L258">
        <v>367.72280000000001</v>
      </c>
      <c r="M258">
        <v>0.99970079999999995</v>
      </c>
      <c r="N258">
        <v>-1.822385E-2</v>
      </c>
      <c r="O258">
        <v>1.6319770000000001E-2</v>
      </c>
      <c r="P258">
        <v>0.99374070000000003</v>
      </c>
      <c r="Q258">
        <v>0.1104513</v>
      </c>
      <c r="R258">
        <v>-1.6741320000000001E-2</v>
      </c>
      <c r="S258">
        <v>2.9995120000000002</v>
      </c>
      <c r="T258">
        <v>0.1488467</v>
      </c>
      <c r="U258">
        <v>-0.1647034</v>
      </c>
      <c r="V258">
        <v>3.302476E-2</v>
      </c>
      <c r="W258">
        <v>0.12851860000000001</v>
      </c>
      <c r="X258">
        <v>0.99115710000000001</v>
      </c>
      <c r="Y258">
        <v>7.1025619999999998E-2</v>
      </c>
      <c r="Z258">
        <v>2.217639E-3</v>
      </c>
      <c r="AA258">
        <v>0.99747200000000003</v>
      </c>
      <c r="AB258">
        <v>28</v>
      </c>
      <c r="AC258">
        <v>264.85340000000002</v>
      </c>
      <c r="AD258">
        <v>13.156101</v>
      </c>
      <c r="AE258">
        <v>-14.559399999999901</v>
      </c>
      <c r="AF258">
        <v>18.834192718416499</v>
      </c>
      <c r="AG258">
        <v>13.156101</v>
      </c>
      <c r="AH258">
        <v>263.93120313192298</v>
      </c>
      <c r="AI258">
        <v>87.153582286423202</v>
      </c>
      <c r="AJ258">
        <v>85.918278744367797</v>
      </c>
      <c r="AK258">
        <v>264.92921657594002</v>
      </c>
      <c r="AL258">
        <v>82.616003970643007</v>
      </c>
      <c r="AM258">
        <v>88.091644995469295</v>
      </c>
      <c r="AN258">
        <v>1.0000000310997099</v>
      </c>
    </row>
    <row r="259" spans="1:40" x14ac:dyDescent="0.25">
      <c r="A259" t="str">
        <f>"20190303170232701"</f>
        <v>20190303170232701</v>
      </c>
      <c r="B259" t="str">
        <f>"1551603752686542"</f>
        <v>1551603752686542</v>
      </c>
      <c r="C259" t="s">
        <v>40</v>
      </c>
      <c r="D259">
        <v>3.8251599999999999</v>
      </c>
      <c r="E259">
        <v>0.51580579999999998</v>
      </c>
      <c r="F259" t="s">
        <v>41</v>
      </c>
      <c r="G259">
        <v>-158.78319999999999</v>
      </c>
      <c r="H259">
        <v>15.216900000000001</v>
      </c>
      <c r="I259">
        <v>352.07560000000001</v>
      </c>
      <c r="J259">
        <v>-434.79300000000001</v>
      </c>
      <c r="K259">
        <v>1.0831660000000001</v>
      </c>
      <c r="L259">
        <v>367.72519999999997</v>
      </c>
      <c r="M259">
        <v>0.99970979999999998</v>
      </c>
      <c r="N259">
        <v>-1.7835299999999998E-2</v>
      </c>
      <c r="O259">
        <v>1.6195040000000001E-2</v>
      </c>
      <c r="P259">
        <v>0.99368330000000005</v>
      </c>
      <c r="Q259">
        <v>0.11089110000000001</v>
      </c>
      <c r="R259">
        <v>-1.7230510000000001E-2</v>
      </c>
      <c r="S259">
        <v>2.9989620000000001</v>
      </c>
      <c r="T259">
        <v>0.1534761</v>
      </c>
      <c r="U259">
        <v>-0.16992189999999999</v>
      </c>
      <c r="V259">
        <v>3.3389200000000001E-2</v>
      </c>
      <c r="W259">
        <v>0.12857209999999999</v>
      </c>
      <c r="X259">
        <v>0.99113790000000002</v>
      </c>
      <c r="Y259">
        <v>7.2633699999999995E-2</v>
      </c>
      <c r="Z259">
        <v>2.323323E-3</v>
      </c>
      <c r="AA259">
        <v>0.99735600000000002</v>
      </c>
      <c r="AB259">
        <v>28</v>
      </c>
      <c r="AC259">
        <v>276.00979999999998</v>
      </c>
      <c r="AD259">
        <v>14.133734</v>
      </c>
      <c r="AE259">
        <v>-15.6495999999999</v>
      </c>
      <c r="AF259">
        <v>20.0657998502952</v>
      </c>
      <c r="AG259">
        <v>14.133734</v>
      </c>
      <c r="AH259">
        <v>275.00130808708798</v>
      </c>
      <c r="AI259">
        <v>87.065650678049494</v>
      </c>
      <c r="AJ259">
        <v>85.826740567502895</v>
      </c>
      <c r="AK259">
        <v>276.09440090306902</v>
      </c>
      <c r="AL259">
        <v>82.612912624597499</v>
      </c>
      <c r="AM259">
        <v>88.070564100221503</v>
      </c>
      <c r="AN259">
        <v>0.999999980195729</v>
      </c>
    </row>
    <row r="260" spans="1:40" x14ac:dyDescent="0.25">
      <c r="A260" t="str">
        <f>"20190303170232712"</f>
        <v>20190303170232712</v>
      </c>
      <c r="B260" t="str">
        <f>"1551603752706063"</f>
        <v>1551603752706063</v>
      </c>
      <c r="C260" t="s">
        <v>40</v>
      </c>
      <c r="D260">
        <v>3.8139789999999998</v>
      </c>
      <c r="E260">
        <v>0.51600590000000002</v>
      </c>
      <c r="F260" t="s">
        <v>41</v>
      </c>
      <c r="G260">
        <v>-158.78319999999999</v>
      </c>
      <c r="H260">
        <v>15.366490000000001</v>
      </c>
      <c r="I260">
        <v>351.91410000000002</v>
      </c>
      <c r="J260">
        <v>-434.6354</v>
      </c>
      <c r="K260">
        <v>1.0821670000000001</v>
      </c>
      <c r="L260">
        <v>367.7276</v>
      </c>
      <c r="M260">
        <v>0.99971889999999997</v>
      </c>
      <c r="N260">
        <v>-1.7438579999999999E-2</v>
      </c>
      <c r="O260">
        <v>1.6063279999999999E-2</v>
      </c>
      <c r="P260">
        <v>0.99358749999999996</v>
      </c>
      <c r="Q260">
        <v>0.1117167</v>
      </c>
      <c r="R260">
        <v>-1.741916E-2</v>
      </c>
      <c r="S260">
        <v>2.9987789999999999</v>
      </c>
      <c r="T260">
        <v>0.15518570000000001</v>
      </c>
      <c r="U260">
        <v>-0.171783399999999</v>
      </c>
      <c r="V260">
        <v>3.3445509999999998E-2</v>
      </c>
      <c r="W260">
        <v>0.1290019</v>
      </c>
      <c r="X260">
        <v>0.99108019999999997</v>
      </c>
      <c r="Y260">
        <v>7.3119879999999998E-2</v>
      </c>
      <c r="Z260">
        <v>2.3604899999999998E-3</v>
      </c>
      <c r="AA260">
        <v>0.9973204</v>
      </c>
      <c r="AB260">
        <v>28</v>
      </c>
      <c r="AC260">
        <v>275.85219999999998</v>
      </c>
      <c r="AD260">
        <v>14.284323000000001</v>
      </c>
      <c r="AE260">
        <v>-15.8134999999999</v>
      </c>
      <c r="AF260">
        <v>20.189265314645301</v>
      </c>
      <c r="AG260">
        <v>14.284323000000001</v>
      </c>
      <c r="AH260">
        <v>274.82802442818797</v>
      </c>
      <c r="AI260">
        <v>87.0326822693808</v>
      </c>
      <c r="AJ260">
        <v>85.798515971322402</v>
      </c>
      <c r="AK260">
        <v>275.93856440993198</v>
      </c>
      <c r="AL260">
        <v>82.588080452755904</v>
      </c>
      <c r="AM260">
        <v>88.067200189044598</v>
      </c>
      <c r="AN260">
        <v>1.0000000275873999</v>
      </c>
    </row>
    <row r="261" spans="1:40" x14ac:dyDescent="0.25">
      <c r="A261" t="str">
        <f>"20190303170232724"</f>
        <v>20190303170232724</v>
      </c>
      <c r="B261" t="str">
        <f>"1551603752715823"</f>
        <v>1551603752715823</v>
      </c>
      <c r="C261" t="s">
        <v>40</v>
      </c>
      <c r="D261">
        <v>3.803763</v>
      </c>
      <c r="E261">
        <v>0.51609340000000004</v>
      </c>
      <c r="F261" t="s">
        <v>41</v>
      </c>
      <c r="G261">
        <v>-158.78319999999999</v>
      </c>
      <c r="H261">
        <v>15.6859</v>
      </c>
      <c r="I261">
        <v>351.69380000000001</v>
      </c>
      <c r="J261">
        <v>-434.49079999999998</v>
      </c>
      <c r="K261">
        <v>1.0813299999999999</v>
      </c>
      <c r="L261">
        <v>367.72980000000001</v>
      </c>
      <c r="M261">
        <v>0.99972680000000003</v>
      </c>
      <c r="N261">
        <v>-1.709596E-2</v>
      </c>
      <c r="O261">
        <v>1.5941759999999999E-2</v>
      </c>
      <c r="P261">
        <v>0.9935195</v>
      </c>
      <c r="Q261">
        <v>0.1122674</v>
      </c>
      <c r="R261">
        <v>-1.7751880000000001E-2</v>
      </c>
      <c r="S261">
        <v>2.9984739999999999</v>
      </c>
      <c r="T261">
        <v>0.1587414</v>
      </c>
      <c r="U261">
        <v>-0.17428589999999999</v>
      </c>
      <c r="V261">
        <v>3.3656320000000003E-2</v>
      </c>
      <c r="W261">
        <v>0.1292123</v>
      </c>
      <c r="X261">
        <v>0.99104570000000003</v>
      </c>
      <c r="Y261">
        <v>7.3828179999999993E-2</v>
      </c>
      <c r="Z261">
        <v>2.4340849999999999E-3</v>
      </c>
      <c r="AA261">
        <v>0.99726800000000004</v>
      </c>
      <c r="AB261">
        <v>28</v>
      </c>
      <c r="AC261">
        <v>275.70760000000001</v>
      </c>
      <c r="AD261">
        <v>14.604570000000001</v>
      </c>
      <c r="AE261">
        <v>-16.035999999999898</v>
      </c>
      <c r="AF261">
        <v>20.372895618809899</v>
      </c>
      <c r="AG261">
        <v>14.604570000000001</v>
      </c>
      <c r="AH261">
        <v>274.648821149311</v>
      </c>
      <c r="AI261">
        <v>86.964463130501102</v>
      </c>
      <c r="AJ261">
        <v>85.757684185246902</v>
      </c>
      <c r="AK261">
        <v>275.79036114318097</v>
      </c>
      <c r="AL261">
        <v>82.575924015246599</v>
      </c>
      <c r="AM261">
        <v>88.054959253094793</v>
      </c>
      <c r="AN261">
        <v>1.00000007291785</v>
      </c>
    </row>
    <row r="262" spans="1:40" x14ac:dyDescent="0.25">
      <c r="A262" t="str">
        <f>"20190303170232738"</f>
        <v>20190303170232738</v>
      </c>
      <c r="B262" t="str">
        <f>"1551603752726559"</f>
        <v>1551603752726559</v>
      </c>
      <c r="C262" t="s">
        <v>40</v>
      </c>
      <c r="D262">
        <v>3.8206709999999999</v>
      </c>
      <c r="E262">
        <v>0.51619809999999999</v>
      </c>
      <c r="F262" t="s">
        <v>41</v>
      </c>
      <c r="G262">
        <v>-158.78319999999999</v>
      </c>
      <c r="H262">
        <v>15.886189999999999</v>
      </c>
      <c r="I262">
        <v>351.53489999999999</v>
      </c>
      <c r="J262">
        <v>-434.31659999999999</v>
      </c>
      <c r="K262">
        <v>1.0803689999999999</v>
      </c>
      <c r="L262">
        <v>367.73239999999998</v>
      </c>
      <c r="M262">
        <v>0.99973579999999995</v>
      </c>
      <c r="N262">
        <v>-1.6696550000000001E-2</v>
      </c>
      <c r="O262">
        <v>1.5795839999999998E-2</v>
      </c>
      <c r="P262">
        <v>0.99347289999999999</v>
      </c>
      <c r="Q262">
        <v>0.11265509999999999</v>
      </c>
      <c r="R262">
        <v>-1.789746E-2</v>
      </c>
      <c r="S262">
        <v>2.9982600000000001</v>
      </c>
      <c r="T262">
        <v>0.16100049999999999</v>
      </c>
      <c r="U262">
        <v>-0.17611689999999999</v>
      </c>
      <c r="V262">
        <v>3.3655650000000002E-2</v>
      </c>
      <c r="W262">
        <v>0.12920329999999999</v>
      </c>
      <c r="X262">
        <v>0.99104680000000001</v>
      </c>
      <c r="Y262">
        <v>7.4289800000000003E-2</v>
      </c>
      <c r="Z262">
        <v>2.480576E-3</v>
      </c>
      <c r="AA262">
        <v>0.99723360000000005</v>
      </c>
      <c r="AB262">
        <v>28</v>
      </c>
      <c r="AC262">
        <v>275.53339999999997</v>
      </c>
      <c r="AD262">
        <v>14.8058209999999</v>
      </c>
      <c r="AE262">
        <v>-16.197499999999899</v>
      </c>
      <c r="AF262">
        <v>20.4894083183733</v>
      </c>
      <c r="AG262">
        <v>14.8058209999999</v>
      </c>
      <c r="AH262">
        <v>274.45338060658401</v>
      </c>
      <c r="AI262">
        <v>86.920634710510498</v>
      </c>
      <c r="AJ262">
        <v>85.730484721003194</v>
      </c>
      <c r="AK262">
        <v>275.61510538267601</v>
      </c>
      <c r="AL262">
        <v>82.576443325062002</v>
      </c>
      <c r="AM262">
        <v>88.055000100663506</v>
      </c>
      <c r="AN262">
        <v>0.99999997764902604</v>
      </c>
    </row>
    <row r="263" spans="1:40" x14ac:dyDescent="0.25">
      <c r="A263" t="str">
        <f>"20190303170232756"</f>
        <v>20190303170232756</v>
      </c>
      <c r="B263" t="str">
        <f>"1551603752746078"</f>
        <v>1551603752746078</v>
      </c>
      <c r="C263" t="s">
        <v>40</v>
      </c>
      <c r="D263">
        <v>3.8228780000000002</v>
      </c>
      <c r="E263">
        <v>0.51623739999999996</v>
      </c>
      <c r="F263" t="s">
        <v>41</v>
      </c>
      <c r="G263">
        <v>-158.78319999999999</v>
      </c>
      <c r="H263">
        <v>16.02722</v>
      </c>
      <c r="I263">
        <v>351.43729999999999</v>
      </c>
      <c r="J263">
        <v>-434.07749999999999</v>
      </c>
      <c r="K263">
        <v>1.079178</v>
      </c>
      <c r="L263">
        <v>367.73599999999999</v>
      </c>
      <c r="M263">
        <v>0.99974739999999995</v>
      </c>
      <c r="N263">
        <v>-1.6187690000000001E-2</v>
      </c>
      <c r="O263">
        <v>1.5596530000000001E-2</v>
      </c>
      <c r="P263">
        <v>0.99343669999999995</v>
      </c>
      <c r="Q263">
        <v>0.11296440000000001</v>
      </c>
      <c r="R263">
        <v>-1.7969499999999999E-2</v>
      </c>
      <c r="S263">
        <v>2.9980769999999999</v>
      </c>
      <c r="T263">
        <v>0.16263749999999999</v>
      </c>
      <c r="U263">
        <v>-0.1773071</v>
      </c>
      <c r="V263">
        <v>3.35284E-2</v>
      </c>
      <c r="W263">
        <v>0.12900809999999999</v>
      </c>
      <c r="X263">
        <v>0.99107659999999997</v>
      </c>
      <c r="Y263">
        <v>7.4486319999999995E-2</v>
      </c>
      <c r="Z263">
        <v>2.5101300000000002E-3</v>
      </c>
      <c r="AA263">
        <v>0.99721890000000002</v>
      </c>
      <c r="AB263">
        <v>28</v>
      </c>
      <c r="AC263">
        <v>275.29430000000002</v>
      </c>
      <c r="AD263">
        <v>14.948041999999999</v>
      </c>
      <c r="AE263">
        <v>-16.298699999999901</v>
      </c>
      <c r="AF263">
        <v>20.530595879044402</v>
      </c>
      <c r="AG263">
        <v>14.948041999999999</v>
      </c>
      <c r="AH263">
        <v>274.20096226776701</v>
      </c>
      <c r="AI263">
        <v>86.888307107082298</v>
      </c>
      <c r="AJ263">
        <v>85.718010450599095</v>
      </c>
      <c r="AK263">
        <v>275.374503241225</v>
      </c>
      <c r="AL263">
        <v>82.587722282830498</v>
      </c>
      <c r="AM263">
        <v>88.062406630081199</v>
      </c>
      <c r="AN263">
        <v>1.0000000352698599</v>
      </c>
    </row>
    <row r="264" spans="1:40" x14ac:dyDescent="0.25">
      <c r="A264" t="str">
        <f>"20190303170232779"</f>
        <v>20190303170232779</v>
      </c>
      <c r="B264" t="str">
        <f>"1551603752766574"</f>
        <v>1551603752766574</v>
      </c>
      <c r="C264" t="s">
        <v>40</v>
      </c>
      <c r="D264">
        <v>3.8472339999999998</v>
      </c>
      <c r="E264">
        <v>0.50611110000000004</v>
      </c>
      <c r="F264" t="s">
        <v>41</v>
      </c>
      <c r="G264">
        <v>-158.78319999999999</v>
      </c>
      <c r="H264">
        <v>16.130479999999999</v>
      </c>
      <c r="I264">
        <v>351.39249999999998</v>
      </c>
      <c r="J264">
        <v>-433.80470000000003</v>
      </c>
      <c r="K264">
        <v>1.077987</v>
      </c>
      <c r="L264">
        <v>367.73989999999998</v>
      </c>
      <c r="M264">
        <v>0.99975919999999896</v>
      </c>
      <c r="N264">
        <v>-1.5660540000000001E-2</v>
      </c>
      <c r="O264">
        <v>1.537066E-2</v>
      </c>
      <c r="P264">
        <v>0.99341990000000002</v>
      </c>
      <c r="Q264">
        <v>0.1131587</v>
      </c>
      <c r="R264">
        <v>-1.7661320000000001E-2</v>
      </c>
      <c r="S264">
        <v>2.997925</v>
      </c>
      <c r="T264">
        <v>0.1639079</v>
      </c>
      <c r="U264">
        <v>-0.17797850000000001</v>
      </c>
      <c r="V264">
        <v>3.2994799999999998E-2</v>
      </c>
      <c r="W264">
        <v>0.12867990000000001</v>
      </c>
      <c r="X264">
        <v>0.99113709999999999</v>
      </c>
      <c r="Y264">
        <v>7.4484549999999997E-2</v>
      </c>
      <c r="Z264">
        <v>2.5281230000000002E-3</v>
      </c>
      <c r="AA264">
        <v>0.99721899999999997</v>
      </c>
      <c r="AB264">
        <v>28</v>
      </c>
      <c r="AC264">
        <v>275.0215</v>
      </c>
      <c r="AD264">
        <v>15.052492999999901</v>
      </c>
      <c r="AE264">
        <v>-16.347399999999901</v>
      </c>
      <c r="AF264">
        <v>20.512019386347401</v>
      </c>
      <c r="AG264">
        <v>15.052492999999901</v>
      </c>
      <c r="AH264">
        <v>273.92003561257701</v>
      </c>
      <c r="AI264">
        <v>86.8634019685054</v>
      </c>
      <c r="AJ264">
        <v>85.717499243647396</v>
      </c>
      <c r="AK264">
        <v>275.09908468552999</v>
      </c>
      <c r="AL264">
        <v>82.606684269218704</v>
      </c>
      <c r="AM264">
        <v>88.0933365280723</v>
      </c>
      <c r="AN264">
        <v>0.999999962243729</v>
      </c>
    </row>
    <row r="265" spans="1:40" x14ac:dyDescent="0.25">
      <c r="A265" t="str">
        <f>"20190303170232790"</f>
        <v>20190303170232790</v>
      </c>
      <c r="B265" t="str">
        <f>"1551603752786095"</f>
        <v>1551603752786095</v>
      </c>
      <c r="C265" t="s">
        <v>40</v>
      </c>
      <c r="D265">
        <v>3.808411</v>
      </c>
      <c r="E265">
        <v>0.50526340000000003</v>
      </c>
      <c r="F265" t="s">
        <v>41</v>
      </c>
      <c r="G265">
        <v>-170.08879999999999</v>
      </c>
      <c r="H265">
        <v>13.88008</v>
      </c>
      <c r="I265">
        <v>359.34500000000003</v>
      </c>
      <c r="J265">
        <v>-433.63670000000002</v>
      </c>
      <c r="K265">
        <v>1.0773330000000001</v>
      </c>
      <c r="L265">
        <v>367.74239999999998</v>
      </c>
      <c r="M265">
        <v>0.99976609999999999</v>
      </c>
      <c r="N265">
        <v>-1.5361440000000001E-2</v>
      </c>
      <c r="O265">
        <v>1.5232559999999999E-2</v>
      </c>
      <c r="P265">
        <v>0.9933786</v>
      </c>
      <c r="Q265">
        <v>0.1135496</v>
      </c>
      <c r="R265">
        <v>-1.748947E-2</v>
      </c>
      <c r="S265">
        <v>3.0015869999999998</v>
      </c>
      <c r="T265">
        <v>0.14571310000000001</v>
      </c>
      <c r="U265">
        <v>-9.5550540000000003E-2</v>
      </c>
      <c r="V265">
        <v>3.2684909999999998E-2</v>
      </c>
      <c r="W265">
        <v>0.128774</v>
      </c>
      <c r="X265">
        <v>0.99113519999999999</v>
      </c>
      <c r="Y265">
        <v>4.697138E-2</v>
      </c>
      <c r="Z265">
        <v>1.7507620000000001E-3</v>
      </c>
      <c r="AA265">
        <v>0.99889470000000002</v>
      </c>
      <c r="AB265">
        <v>28</v>
      </c>
      <c r="AC265">
        <v>263.54790000000003</v>
      </c>
      <c r="AD265">
        <v>12.802747</v>
      </c>
      <c r="AE265">
        <v>-8.3973999999999407</v>
      </c>
      <c r="AF265">
        <v>12.3822171793833</v>
      </c>
      <c r="AG265">
        <v>12.802747</v>
      </c>
      <c r="AH265">
        <v>262.76991373868998</v>
      </c>
      <c r="AI265">
        <v>87.213712134755298</v>
      </c>
      <c r="AJ265">
        <v>87.302109782068598</v>
      </c>
      <c r="AK265">
        <v>263.37284825748799</v>
      </c>
      <c r="AL265">
        <v>82.601247899265502</v>
      </c>
      <c r="AM265">
        <v>88.111227425186797</v>
      </c>
      <c r="AN265">
        <v>1.0000000155483699</v>
      </c>
    </row>
    <row r="266" spans="1:40" x14ac:dyDescent="0.25">
      <c r="A266" t="str">
        <f>"20190303170232803"</f>
        <v>20190303170232803</v>
      </c>
      <c r="B266" t="str">
        <f>"1551603752795855"</f>
        <v>1551603752795855</v>
      </c>
      <c r="C266" t="s">
        <v>40</v>
      </c>
      <c r="D266">
        <v>3.8462550000000002</v>
      </c>
      <c r="E266">
        <v>0.50505849999999997</v>
      </c>
      <c r="F266" t="s">
        <v>41</v>
      </c>
      <c r="G266">
        <v>-170.08879999999999</v>
      </c>
      <c r="H266">
        <v>13.908810000000001</v>
      </c>
      <c r="I266">
        <v>359.97480000000002</v>
      </c>
      <c r="J266">
        <v>-433.48439999999999</v>
      </c>
      <c r="K266">
        <v>1.0767929999999999</v>
      </c>
      <c r="L266">
        <v>367.74459999999999</v>
      </c>
      <c r="M266">
        <v>0.99977179999999999</v>
      </c>
      <c r="N266">
        <v>-1.5108730000000001E-2</v>
      </c>
      <c r="O266">
        <v>1.5108E-2</v>
      </c>
      <c r="P266">
        <v>0.99335669999999998</v>
      </c>
      <c r="Q266">
        <v>0.11375200000000001</v>
      </c>
      <c r="R266">
        <v>-1.741796E-2</v>
      </c>
      <c r="S266">
        <v>3.001709</v>
      </c>
      <c r="T266">
        <v>0.14614649999999901</v>
      </c>
      <c r="U266">
        <v>-8.8470460000000001E-2</v>
      </c>
      <c r="V266">
        <v>3.2488990000000002E-2</v>
      </c>
      <c r="W266">
        <v>0.1287258</v>
      </c>
      <c r="X266">
        <v>0.99114789999999997</v>
      </c>
      <c r="Y266">
        <v>4.4493379999999999E-2</v>
      </c>
      <c r="Z266">
        <v>1.7089609999999999E-3</v>
      </c>
      <c r="AA266">
        <v>0.99900820000000001</v>
      </c>
      <c r="AB266">
        <v>28</v>
      </c>
      <c r="AC266">
        <v>263.3956</v>
      </c>
      <c r="AD266">
        <v>12.832017</v>
      </c>
      <c r="AE266">
        <v>-7.7697999999999698</v>
      </c>
      <c r="AF266">
        <v>11.7209532104142</v>
      </c>
      <c r="AG266">
        <v>12.832017</v>
      </c>
      <c r="AH266">
        <v>262.62535585216199</v>
      </c>
      <c r="AI266">
        <v>87.205499109887995</v>
      </c>
      <c r="AJ266">
        <v>87.444588692064798</v>
      </c>
      <c r="AK266">
        <v>263.19977002445103</v>
      </c>
      <c r="AL266">
        <v>82.604032713751195</v>
      </c>
      <c r="AM266">
        <v>88.122565024756796</v>
      </c>
      <c r="AN266">
        <v>1.0000000128656299</v>
      </c>
    </row>
    <row r="267" spans="1:40" x14ac:dyDescent="0.25">
      <c r="A267" t="str">
        <f>"20190303170232818"</f>
        <v>20190303170232818</v>
      </c>
      <c r="B267" t="str">
        <f>"1551603752806591"</f>
        <v>1551603752806591</v>
      </c>
      <c r="C267" t="s">
        <v>40</v>
      </c>
      <c r="D267">
        <v>3.8558509999999999</v>
      </c>
      <c r="E267">
        <v>0.50490299999999999</v>
      </c>
      <c r="F267" t="s">
        <v>41</v>
      </c>
      <c r="G267">
        <v>-170.08879999999999</v>
      </c>
      <c r="H267">
        <v>13.450530000000001</v>
      </c>
      <c r="I267">
        <v>360.17590000000001</v>
      </c>
      <c r="J267">
        <v>-433.30110000000002</v>
      </c>
      <c r="K267">
        <v>1.0761860000000001</v>
      </c>
      <c r="L267">
        <v>367.74720000000002</v>
      </c>
      <c r="M267">
        <v>0.99977839999999996</v>
      </c>
      <c r="N267">
        <v>-1.4819509999999999E-2</v>
      </c>
      <c r="O267">
        <v>1.4958539999999999E-2</v>
      </c>
      <c r="P267">
        <v>0.99332339999999997</v>
      </c>
      <c r="Q267">
        <v>0.11403820000000001</v>
      </c>
      <c r="R267">
        <v>-1.74412E-2</v>
      </c>
      <c r="S267">
        <v>3.0023499999999999</v>
      </c>
      <c r="T267">
        <v>0.14104459999999999</v>
      </c>
      <c r="U267">
        <v>-8.627319E-2</v>
      </c>
      <c r="V267">
        <v>3.2362950000000001E-2</v>
      </c>
      <c r="W267">
        <v>0.1287248</v>
      </c>
      <c r="X267">
        <v>0.99115220000000004</v>
      </c>
      <c r="Y267">
        <v>4.361276E-2</v>
      </c>
      <c r="Z267">
        <v>1.6239679999999999E-3</v>
      </c>
      <c r="AA267">
        <v>0.99904720000000002</v>
      </c>
      <c r="AB267">
        <v>28</v>
      </c>
      <c r="AC267">
        <v>263.21230000000003</v>
      </c>
      <c r="AD267">
        <v>12.374344000000001</v>
      </c>
      <c r="AE267">
        <v>-7.5712999999999999</v>
      </c>
      <c r="AF267">
        <v>11.4827980679294</v>
      </c>
      <c r="AG267">
        <v>12.374344000000001</v>
      </c>
      <c r="AH267">
        <v>262.48989983229899</v>
      </c>
      <c r="AI267">
        <v>87.303525821817203</v>
      </c>
      <c r="AJ267">
        <v>87.495154415915295</v>
      </c>
      <c r="AK267">
        <v>263.032177793649</v>
      </c>
      <c r="AL267">
        <v>82.604090834191695</v>
      </c>
      <c r="AM267">
        <v>88.129851399408494</v>
      </c>
      <c r="AN267">
        <v>1.0000000591162801</v>
      </c>
    </row>
    <row r="268" spans="1:40" x14ac:dyDescent="0.25">
      <c r="A268" t="str">
        <f>"20190303170232834"</f>
        <v>20190303170232834</v>
      </c>
      <c r="B268" t="str">
        <f>"1551603752826111"</f>
        <v>1551603752826111</v>
      </c>
      <c r="C268" t="s">
        <v>40</v>
      </c>
      <c r="D268">
        <v>3.8363559999999999</v>
      </c>
      <c r="E268">
        <v>0.50471599999999905</v>
      </c>
      <c r="F268" t="s">
        <v>41</v>
      </c>
      <c r="G268">
        <v>-170.08879999999999</v>
      </c>
      <c r="H268">
        <v>13.24991</v>
      </c>
      <c r="I268">
        <v>360.30239999999998</v>
      </c>
      <c r="J268">
        <v>-433.08760000000001</v>
      </c>
      <c r="K268">
        <v>1.0755490000000001</v>
      </c>
      <c r="L268">
        <v>367.75020000000001</v>
      </c>
      <c r="M268">
        <v>0.99978549999999999</v>
      </c>
      <c r="N268">
        <v>-1.450912E-2</v>
      </c>
      <c r="O268">
        <v>1.478458E-2</v>
      </c>
      <c r="P268">
        <v>0.99334</v>
      </c>
      <c r="Q268">
        <v>0.11392380000000001</v>
      </c>
      <c r="R268">
        <v>-1.7251760000000001E-2</v>
      </c>
      <c r="S268">
        <v>3.0027469999999998</v>
      </c>
      <c r="T268">
        <v>0.138879799999999</v>
      </c>
      <c r="U268">
        <v>-8.4930420000000006E-2</v>
      </c>
      <c r="V268">
        <v>3.2000470000000003E-2</v>
      </c>
      <c r="W268">
        <v>0.12830349999999999</v>
      </c>
      <c r="X268">
        <v>0.9912185</v>
      </c>
      <c r="Y268">
        <v>4.299132E-2</v>
      </c>
      <c r="Z268">
        <v>1.5790279999999999E-3</v>
      </c>
      <c r="AA268">
        <v>0.99907420000000002</v>
      </c>
      <c r="AB268">
        <v>28</v>
      </c>
      <c r="AC268">
        <v>262.99880000000002</v>
      </c>
      <c r="AD268">
        <v>12.174360999999999</v>
      </c>
      <c r="AE268">
        <v>-7.4478000000000204</v>
      </c>
      <c r="AF268">
        <v>11.3115026143058</v>
      </c>
      <c r="AG268">
        <v>12.174360999999999</v>
      </c>
      <c r="AH268">
        <v>262.29831799307402</v>
      </c>
      <c r="AI268">
        <v>87.345034710647695</v>
      </c>
      <c r="AJ268">
        <v>87.530674050118606</v>
      </c>
      <c r="AK268">
        <v>262.824224110236</v>
      </c>
      <c r="AL268">
        <v>82.628430697826005</v>
      </c>
      <c r="AM268">
        <v>88.150906906100602</v>
      </c>
      <c r="AN268">
        <v>0.999999966467359</v>
      </c>
    </row>
    <row r="269" spans="1:40" x14ac:dyDescent="0.25">
      <c r="A269" t="str">
        <f>"20190303170232848"</f>
        <v>20190303170232848</v>
      </c>
      <c r="B269" t="str">
        <f>"1551603752835871"</f>
        <v>1551603752835871</v>
      </c>
      <c r="C269" t="s">
        <v>40</v>
      </c>
      <c r="D269">
        <v>3.86944</v>
      </c>
      <c r="E269">
        <v>0.50464880000000001</v>
      </c>
      <c r="F269" t="s">
        <v>41</v>
      </c>
      <c r="G269">
        <v>-170.08879999999999</v>
      </c>
      <c r="H269">
        <v>13.05585</v>
      </c>
      <c r="I269">
        <v>360.48309999999998</v>
      </c>
      <c r="J269">
        <v>-432.93119999999999</v>
      </c>
      <c r="K269">
        <v>1.075145</v>
      </c>
      <c r="L269">
        <v>367.75229999999999</v>
      </c>
      <c r="M269">
        <v>0.99979030000000002</v>
      </c>
      <c r="N269">
        <v>-1.4304219999999999E-2</v>
      </c>
      <c r="O269">
        <v>1.4657099999999999E-2</v>
      </c>
      <c r="P269">
        <v>0.99334259999999996</v>
      </c>
      <c r="Q269">
        <v>0.113908</v>
      </c>
      <c r="R269">
        <v>-1.718542E-2</v>
      </c>
      <c r="S269">
        <v>3.0029910000000002</v>
      </c>
      <c r="T269">
        <v>0.13679530000000001</v>
      </c>
      <c r="U269">
        <v>-8.2977289999999995E-2</v>
      </c>
      <c r="V269">
        <v>3.180736E-2</v>
      </c>
      <c r="W269">
        <v>0.12808449999999999</v>
      </c>
      <c r="X269">
        <v>0.9912531</v>
      </c>
      <c r="Y269">
        <v>4.2214839999999997E-2</v>
      </c>
      <c r="Z269">
        <v>1.53542E-3</v>
      </c>
      <c r="AA269">
        <v>0.99910739999999998</v>
      </c>
      <c r="AB269">
        <v>28</v>
      </c>
      <c r="AC269">
        <v>262.8424</v>
      </c>
      <c r="AD269">
        <v>11.980705</v>
      </c>
      <c r="AE269">
        <v>-7.2692000000000103</v>
      </c>
      <c r="AF269">
        <v>11.098279546630099</v>
      </c>
      <c r="AG269">
        <v>11.980705</v>
      </c>
      <c r="AH269">
        <v>262.163333868047</v>
      </c>
      <c r="AI269">
        <v>87.385776398264497</v>
      </c>
      <c r="AJ269">
        <v>87.575919120135097</v>
      </c>
      <c r="AK269">
        <v>262.67151106658201</v>
      </c>
      <c r="AL269">
        <v>82.641083319286494</v>
      </c>
      <c r="AM269">
        <v>88.162121874699906</v>
      </c>
      <c r="AN269">
        <v>1.0000000277750101</v>
      </c>
    </row>
    <row r="270" spans="1:40" x14ac:dyDescent="0.25">
      <c r="A270" t="str">
        <f>"20190303170232862"</f>
        <v>20190303170232862</v>
      </c>
      <c r="B270" t="str">
        <f>"1551603752856366"</f>
        <v>1551603752856366</v>
      </c>
      <c r="C270" t="s">
        <v>40</v>
      </c>
      <c r="D270">
        <v>3.876369</v>
      </c>
      <c r="E270">
        <v>0.50468219999999997</v>
      </c>
      <c r="F270" t="s">
        <v>41</v>
      </c>
      <c r="G270">
        <v>-170.08879999999999</v>
      </c>
      <c r="H270">
        <v>12.85764</v>
      </c>
      <c r="I270">
        <v>360.57299999999998</v>
      </c>
      <c r="J270">
        <v>-432.738</v>
      </c>
      <c r="K270">
        <v>1.0746770000000001</v>
      </c>
      <c r="L270">
        <v>367.755</v>
      </c>
      <c r="M270">
        <v>0.99979600000000002</v>
      </c>
      <c r="N270">
        <v>-1.406394E-2</v>
      </c>
      <c r="O270">
        <v>1.4499949999999999E-2</v>
      </c>
      <c r="P270">
        <v>0.99332819999999999</v>
      </c>
      <c r="Q270">
        <v>0.1140023</v>
      </c>
      <c r="R270">
        <v>-1.7409850000000001E-2</v>
      </c>
      <c r="S270">
        <v>3.0032350000000001</v>
      </c>
      <c r="T270">
        <v>0.13462759999999999</v>
      </c>
      <c r="U270">
        <v>-8.203125E-2</v>
      </c>
      <c r="V270">
        <v>3.1875029999999999E-2</v>
      </c>
      <c r="W270">
        <v>0.12794030000000001</v>
      </c>
      <c r="X270">
        <v>0.99126950000000003</v>
      </c>
      <c r="Y270">
        <v>4.1743379999999997E-2</v>
      </c>
      <c r="Z270">
        <v>1.4945990000000001E-3</v>
      </c>
      <c r="AA270">
        <v>0.99912730000000005</v>
      </c>
      <c r="AB270">
        <v>28</v>
      </c>
      <c r="AC270">
        <v>262.64920000000001</v>
      </c>
      <c r="AD270">
        <v>11.782963000000001</v>
      </c>
      <c r="AE270">
        <v>-7.1819999999999604</v>
      </c>
      <c r="AF270">
        <v>10.967964010203801</v>
      </c>
      <c r="AG270">
        <v>11.782963000000001</v>
      </c>
      <c r="AH270">
        <v>261.99054587025398</v>
      </c>
      <c r="AI270">
        <v>87.427121742661399</v>
      </c>
      <c r="AJ270">
        <v>87.602771080945303</v>
      </c>
      <c r="AK270">
        <v>262.48462922042199</v>
      </c>
      <c r="AL270">
        <v>82.649413554994993</v>
      </c>
      <c r="AM270">
        <v>88.158244938616093</v>
      </c>
      <c r="AN270">
        <v>0.99999997976592003</v>
      </c>
    </row>
    <row r="271" spans="1:40" x14ac:dyDescent="0.25">
      <c r="A271" t="str">
        <f>"20190303170232879"</f>
        <v>20190303170232879</v>
      </c>
      <c r="B271" t="str">
        <f>"1551603752866127"</f>
        <v>1551603752866127</v>
      </c>
      <c r="C271" t="s">
        <v>40</v>
      </c>
      <c r="D271">
        <v>3.845221</v>
      </c>
      <c r="E271">
        <v>0.50469920000000001</v>
      </c>
      <c r="F271" t="s">
        <v>41</v>
      </c>
      <c r="G271">
        <v>-170.08879999999999</v>
      </c>
      <c r="H271">
        <v>12.74741</v>
      </c>
      <c r="I271">
        <v>360.49329999999998</v>
      </c>
      <c r="J271">
        <v>-432.52350000000001</v>
      </c>
      <c r="K271">
        <v>1.0742130000000001</v>
      </c>
      <c r="L271">
        <v>367.75790000000001</v>
      </c>
      <c r="M271">
        <v>0.99980190000000002</v>
      </c>
      <c r="N271">
        <v>-1.381858E-2</v>
      </c>
      <c r="O271">
        <v>1.4325869999999999E-2</v>
      </c>
      <c r="P271">
        <v>0.99334169999999999</v>
      </c>
      <c r="Q271">
        <v>0.1138202</v>
      </c>
      <c r="R271">
        <v>-1.7820699999999998E-2</v>
      </c>
      <c r="S271">
        <v>3.0034179999999999</v>
      </c>
      <c r="T271">
        <v>0.13347970000000001</v>
      </c>
      <c r="U271">
        <v>-8.3038329999999994E-2</v>
      </c>
      <c r="V271">
        <v>3.2112719999999997E-2</v>
      </c>
      <c r="W271">
        <v>0.12751560000000001</v>
      </c>
      <c r="X271">
        <v>0.99131659999999999</v>
      </c>
      <c r="Y271">
        <v>4.1903559999999999E-2</v>
      </c>
      <c r="Z271">
        <v>1.4748840000000001E-3</v>
      </c>
      <c r="AA271">
        <v>0.99912060000000003</v>
      </c>
      <c r="AB271">
        <v>28</v>
      </c>
      <c r="AC271">
        <v>262.43470000000002</v>
      </c>
      <c r="AD271">
        <v>11.673197</v>
      </c>
      <c r="AE271">
        <v>-7.2646000000000299</v>
      </c>
      <c r="AF271">
        <v>11.002067741664</v>
      </c>
      <c r="AG271">
        <v>11.673197</v>
      </c>
      <c r="AH271">
        <v>261.78613346782498</v>
      </c>
      <c r="AI271">
        <v>87.449087727299698</v>
      </c>
      <c r="AJ271">
        <v>87.593450433268501</v>
      </c>
      <c r="AK271">
        <v>262.27712195086099</v>
      </c>
      <c r="AL271">
        <v>82.673948386227593</v>
      </c>
      <c r="AM271">
        <v>88.144608753995698</v>
      </c>
      <c r="AN271">
        <v>1.00000002823235</v>
      </c>
    </row>
    <row r="272" spans="1:40" x14ac:dyDescent="0.25">
      <c r="A272" t="str">
        <f>"20190303170232892"</f>
        <v>20190303170232892</v>
      </c>
      <c r="B272" t="str">
        <f>"1551603752886623"</f>
        <v>1551603752886623</v>
      </c>
      <c r="C272" t="s">
        <v>40</v>
      </c>
      <c r="D272">
        <v>3.8965679999999998</v>
      </c>
      <c r="E272">
        <v>0.50476290000000001</v>
      </c>
      <c r="F272" t="s">
        <v>45</v>
      </c>
      <c r="G272">
        <v>-249.7218</v>
      </c>
      <c r="H272">
        <v>9.121067</v>
      </c>
      <c r="I272">
        <v>362.6352</v>
      </c>
      <c r="J272">
        <v>-432.35480000000001</v>
      </c>
      <c r="K272">
        <v>1.07389</v>
      </c>
      <c r="L272">
        <v>367.7602</v>
      </c>
      <c r="M272">
        <v>0.99980619999999998</v>
      </c>
      <c r="N272">
        <v>-1.364082E-2</v>
      </c>
      <c r="O272">
        <v>1.418877E-2</v>
      </c>
      <c r="P272">
        <v>0.99333850000000001</v>
      </c>
      <c r="Q272">
        <v>0.1137398</v>
      </c>
      <c r="R272">
        <v>-1.8490389999999999E-2</v>
      </c>
      <c r="S272">
        <v>3.0034480000000001</v>
      </c>
      <c r="T272">
        <v>0.13221189999999999</v>
      </c>
      <c r="U272">
        <v>-8.4167480000000003E-2</v>
      </c>
      <c r="V272">
        <v>3.2645750000000001E-2</v>
      </c>
      <c r="W272">
        <v>0.12725829999999999</v>
      </c>
      <c r="X272">
        <v>0.9913322</v>
      </c>
      <c r="Y272">
        <v>4.214263E-2</v>
      </c>
      <c r="Z272">
        <v>1.4569050000000001E-3</v>
      </c>
      <c r="AA272">
        <v>0.99911050000000001</v>
      </c>
      <c r="AB272">
        <v>28</v>
      </c>
      <c r="AC272">
        <v>182.63299999999899</v>
      </c>
      <c r="AD272">
        <v>8.0471769999999996</v>
      </c>
      <c r="AE272">
        <v>-5.125</v>
      </c>
      <c r="AF272">
        <v>7.7011233007114104</v>
      </c>
      <c r="AG272">
        <v>8.0471769999999996</v>
      </c>
      <c r="AH272">
        <v>182.188454077606</v>
      </c>
      <c r="AI272">
        <v>87.473170116453602</v>
      </c>
      <c r="AJ272">
        <v>87.579542851172405</v>
      </c>
      <c r="AK272">
        <v>182.52862010367099</v>
      </c>
      <c r="AL272">
        <v>82.688811290875194</v>
      </c>
      <c r="AM272">
        <v>88.113863360953403</v>
      </c>
      <c r="AN272">
        <v>0.999999975334395</v>
      </c>
    </row>
    <row r="273" spans="1:40" x14ac:dyDescent="0.25">
      <c r="A273" t="str">
        <f>"20190303170232905"</f>
        <v>20190303170232905</v>
      </c>
      <c r="B273" t="str">
        <f>"1551603752896383"</f>
        <v>1551603752896383</v>
      </c>
      <c r="C273" t="s">
        <v>40</v>
      </c>
      <c r="D273">
        <v>3.9098359999999999</v>
      </c>
      <c r="E273">
        <v>0.50478369999999995</v>
      </c>
      <c r="F273" t="s">
        <v>45</v>
      </c>
      <c r="G273">
        <v>-249.81</v>
      </c>
      <c r="H273">
        <v>8.9588590000000003</v>
      </c>
      <c r="I273">
        <v>362.49860000000001</v>
      </c>
      <c r="J273">
        <v>-432.19729999999998</v>
      </c>
      <c r="K273">
        <v>1.073617</v>
      </c>
      <c r="L273">
        <v>367.76229999999998</v>
      </c>
      <c r="M273">
        <v>0.99981019999999998</v>
      </c>
      <c r="N273">
        <v>-1.348881E-2</v>
      </c>
      <c r="O273">
        <v>1.4060639999999999E-2</v>
      </c>
      <c r="P273">
        <v>0.99331709999999995</v>
      </c>
      <c r="Q273">
        <v>0.1138632</v>
      </c>
      <c r="R273">
        <v>-1.888132E-2</v>
      </c>
      <c r="S273">
        <v>3.0037229999999999</v>
      </c>
      <c r="T273">
        <v>0.12974639999999901</v>
      </c>
      <c r="U273">
        <v>-8.6578370000000002E-2</v>
      </c>
      <c r="V273">
        <v>3.2908750000000001E-2</v>
      </c>
      <c r="W273">
        <v>0.12723090000000001</v>
      </c>
      <c r="X273">
        <v>0.99132699999999996</v>
      </c>
      <c r="Y273">
        <v>4.2814970000000001E-2</v>
      </c>
      <c r="Z273">
        <v>1.43162E-3</v>
      </c>
      <c r="AA273">
        <v>0.99908200000000003</v>
      </c>
      <c r="AB273">
        <v>28</v>
      </c>
      <c r="AC273">
        <v>182.38730000000001</v>
      </c>
      <c r="AD273">
        <v>7.8852419999999999</v>
      </c>
      <c r="AE273">
        <v>-5.2636999999999698</v>
      </c>
      <c r="AF273">
        <v>7.8133029768286004</v>
      </c>
      <c r="AG273">
        <v>7.8852419999999999</v>
      </c>
      <c r="AH273">
        <v>181.95543259049899</v>
      </c>
      <c r="AI273">
        <v>87.520857727081193</v>
      </c>
      <c r="AJ273">
        <v>87.541186714803203</v>
      </c>
      <c r="AK273">
        <v>182.29373053948399</v>
      </c>
      <c r="AL273">
        <v>82.690393906694297</v>
      </c>
      <c r="AM273">
        <v>88.098669449054</v>
      </c>
      <c r="AN273">
        <v>0.99999995433518496</v>
      </c>
    </row>
    <row r="274" spans="1:40" x14ac:dyDescent="0.25">
      <c r="A274" t="str">
        <f>"20190303170232918"</f>
        <v>20190303170232918</v>
      </c>
      <c r="B274" t="str">
        <f>"1551603752906143"</f>
        <v>1551603752906143</v>
      </c>
      <c r="C274" t="s">
        <v>40</v>
      </c>
      <c r="D274">
        <v>3.857148</v>
      </c>
      <c r="E274">
        <v>0.50475449999999999</v>
      </c>
      <c r="F274" t="s">
        <v>45</v>
      </c>
      <c r="G274">
        <v>-249.79490000000001</v>
      </c>
      <c r="H274">
        <v>8.9554379999999991</v>
      </c>
      <c r="I274">
        <v>362.42860000000002</v>
      </c>
      <c r="J274">
        <v>-432.03129999999999</v>
      </c>
      <c r="K274">
        <v>1.0733520000000001</v>
      </c>
      <c r="L274">
        <v>367.7645</v>
      </c>
      <c r="M274">
        <v>0.99981419999999999</v>
      </c>
      <c r="N274">
        <v>-1.333589E-2</v>
      </c>
      <c r="O274">
        <v>1.392559E-2</v>
      </c>
      <c r="P274">
        <v>0.99330339999999995</v>
      </c>
      <c r="Q274">
        <v>0.1138675</v>
      </c>
      <c r="R274">
        <v>-1.9570069999999998E-2</v>
      </c>
      <c r="S274">
        <v>3.0036320000000001</v>
      </c>
      <c r="T274">
        <v>0.12979189999999999</v>
      </c>
      <c r="U274">
        <v>-8.7829589999999999E-2</v>
      </c>
      <c r="V274">
        <v>3.3462980000000003E-2</v>
      </c>
      <c r="W274">
        <v>0.1270828</v>
      </c>
      <c r="X274">
        <v>0.99132750000000003</v>
      </c>
      <c r="Y274">
        <v>4.3096679999999998E-2</v>
      </c>
      <c r="Z274">
        <v>1.4298879999999901E-3</v>
      </c>
      <c r="AA274">
        <v>0.99906989999999996</v>
      </c>
      <c r="AB274">
        <v>28</v>
      </c>
      <c r="AC274">
        <v>182.2364</v>
      </c>
      <c r="AD274">
        <v>7.8820860000000001</v>
      </c>
      <c r="AE274">
        <v>-5.3358999999999801</v>
      </c>
      <c r="AF274">
        <v>7.8586684487851999</v>
      </c>
      <c r="AG274">
        <v>7.8820860000000001</v>
      </c>
      <c r="AH274">
        <v>181.804597275726</v>
      </c>
      <c r="AI274">
        <v>87.519825673604004</v>
      </c>
      <c r="AJ274">
        <v>87.524878818607604</v>
      </c>
      <c r="AK274">
        <v>182.14499043368801</v>
      </c>
      <c r="AL274">
        <v>82.698949269352994</v>
      </c>
      <c r="AM274">
        <v>88.066673421022799</v>
      </c>
      <c r="AN274">
        <v>1.0000000106712801</v>
      </c>
    </row>
    <row r="275" spans="1:40" x14ac:dyDescent="0.25">
      <c r="A275" t="str">
        <f>"20190303170232936"</f>
        <v>20190303170232936</v>
      </c>
      <c r="B275" t="str">
        <f>"1551603752925663"</f>
        <v>1551603752925663</v>
      </c>
      <c r="C275" t="s">
        <v>40</v>
      </c>
      <c r="D275">
        <v>3.9009490000000002</v>
      </c>
      <c r="E275">
        <v>0.50483129999999998</v>
      </c>
      <c r="F275" t="s">
        <v>45</v>
      </c>
      <c r="G275">
        <v>-249.77260000000001</v>
      </c>
      <c r="H275">
        <v>8.9615860000000005</v>
      </c>
      <c r="I275">
        <v>362.32560000000001</v>
      </c>
      <c r="J275">
        <v>-431.80529999999999</v>
      </c>
      <c r="K275">
        <v>1.0730379999999999</v>
      </c>
      <c r="L275">
        <v>367.76740000000001</v>
      </c>
      <c r="M275">
        <v>0.99981920000000002</v>
      </c>
      <c r="N275">
        <v>-1.314598E-2</v>
      </c>
      <c r="O275">
        <v>1.374216E-2</v>
      </c>
      <c r="P275">
        <v>0.99326769999999998</v>
      </c>
      <c r="Q275">
        <v>0.1140236</v>
      </c>
      <c r="R275">
        <v>-2.0451400000000002E-2</v>
      </c>
      <c r="S275">
        <v>3.0035400000000001</v>
      </c>
      <c r="T275">
        <v>0.129995899999999</v>
      </c>
      <c r="U275">
        <v>-8.9630130000000002E-2</v>
      </c>
      <c r="V275">
        <v>3.4161160000000003E-2</v>
      </c>
      <c r="W275">
        <v>0.12704969999999999</v>
      </c>
      <c r="X275">
        <v>0.99130790000000002</v>
      </c>
      <c r="Y275">
        <v>4.3512460000000003E-2</v>
      </c>
      <c r="Z275">
        <v>1.429689E-3</v>
      </c>
      <c r="AA275">
        <v>0.99905189999999999</v>
      </c>
      <c r="AB275">
        <v>28</v>
      </c>
      <c r="AC275">
        <v>182.03270000000001</v>
      </c>
      <c r="AD275">
        <v>7.8885479999999903</v>
      </c>
      <c r="AE275">
        <v>-5.4417999999999997</v>
      </c>
      <c r="AF275">
        <v>7.9281488416570998</v>
      </c>
      <c r="AG275">
        <v>7.8885479999999903</v>
      </c>
      <c r="AH275">
        <v>181.599979474365</v>
      </c>
      <c r="AI275">
        <v>87.515047978386406</v>
      </c>
      <c r="AJ275">
        <v>87.500213346486007</v>
      </c>
      <c r="AK275">
        <v>181.94404985789899</v>
      </c>
      <c r="AL275">
        <v>82.700861046344102</v>
      </c>
      <c r="AM275">
        <v>88.026328594466605</v>
      </c>
      <c r="AN275">
        <v>0.99999998186252204</v>
      </c>
    </row>
    <row r="276" spans="1:40" x14ac:dyDescent="0.25">
      <c r="A276" t="str">
        <f>"20190303170232958"</f>
        <v>20190303170232958</v>
      </c>
      <c r="B276" t="str">
        <f>"1551603752946158"</f>
        <v>1551603752946158</v>
      </c>
      <c r="C276" t="s">
        <v>40</v>
      </c>
      <c r="D276">
        <v>3.8998849999999998</v>
      </c>
      <c r="E276">
        <v>0.50497630000000004</v>
      </c>
      <c r="F276" t="s">
        <v>45</v>
      </c>
      <c r="G276">
        <v>-249.7353</v>
      </c>
      <c r="H276">
        <v>8.9196559999999998</v>
      </c>
      <c r="I276">
        <v>362.15300000000002</v>
      </c>
      <c r="J276">
        <v>-431.51549999999997</v>
      </c>
      <c r="K276">
        <v>1.0726979999999999</v>
      </c>
      <c r="L276">
        <v>367.77109999999999</v>
      </c>
      <c r="M276">
        <v>0.99982519999999997</v>
      </c>
      <c r="N276">
        <v>-1.293102E-2</v>
      </c>
      <c r="O276">
        <v>1.350672E-2</v>
      </c>
      <c r="P276">
        <v>0.99321619999999999</v>
      </c>
      <c r="Q276">
        <v>0.1142759</v>
      </c>
      <c r="R276">
        <v>-2.1516790000000001E-2</v>
      </c>
      <c r="S276">
        <v>3.0036010000000002</v>
      </c>
      <c r="T276">
        <v>0.1294467</v>
      </c>
      <c r="U276">
        <v>-9.2620850000000005E-2</v>
      </c>
      <c r="V276">
        <v>3.4991960000000003E-2</v>
      </c>
      <c r="W276">
        <v>0.1270876</v>
      </c>
      <c r="X276">
        <v>0.99127410000000005</v>
      </c>
      <c r="Y276">
        <v>4.427068E-2</v>
      </c>
      <c r="Z276">
        <v>1.4231179999999999E-3</v>
      </c>
      <c r="AA276">
        <v>0.99901850000000003</v>
      </c>
      <c r="AB276">
        <v>28</v>
      </c>
      <c r="AC276">
        <v>181.78020000000001</v>
      </c>
      <c r="AD276">
        <v>7.8469579999999999</v>
      </c>
      <c r="AE276">
        <v>-5.6180999999999699</v>
      </c>
      <c r="AF276">
        <v>8.0580457519742694</v>
      </c>
      <c r="AG276">
        <v>7.8469579999999999</v>
      </c>
      <c r="AH276">
        <v>181.35011882097299</v>
      </c>
      <c r="AI276">
        <v>87.524815769952895</v>
      </c>
      <c r="AJ276">
        <v>87.455813493819605</v>
      </c>
      <c r="AK276">
        <v>181.698575799525</v>
      </c>
      <c r="AL276">
        <v>82.698672057729397</v>
      </c>
      <c r="AM276">
        <v>87.978299353093604</v>
      </c>
      <c r="AN276">
        <v>1.0000000183346001</v>
      </c>
    </row>
    <row r="277" spans="1:40" x14ac:dyDescent="0.25">
      <c r="A277" t="str">
        <f>"20190303170232982"</f>
        <v>20190303170232982</v>
      </c>
      <c r="B277" t="str">
        <f>"1551603752965679"</f>
        <v>1551603752965679</v>
      </c>
      <c r="C277" t="s">
        <v>40</v>
      </c>
      <c r="D277">
        <v>3.915543</v>
      </c>
      <c r="E277">
        <v>0.50498929999999997</v>
      </c>
      <c r="F277" t="s">
        <v>45</v>
      </c>
      <c r="G277">
        <v>-249.6465</v>
      </c>
      <c r="H277">
        <v>8.9603539999999899</v>
      </c>
      <c r="I277">
        <v>361.87610000000001</v>
      </c>
      <c r="J277">
        <v>-431.22629999999998</v>
      </c>
      <c r="K277">
        <v>1.0724070000000001</v>
      </c>
      <c r="L277">
        <v>367.77480000000003</v>
      </c>
      <c r="M277">
        <v>0.99983089999999997</v>
      </c>
      <c r="N277">
        <v>-1.2742069999999999E-2</v>
      </c>
      <c r="O277">
        <v>1.3271740000000001E-2</v>
      </c>
      <c r="P277">
        <v>0.993205</v>
      </c>
      <c r="Q277">
        <v>0.11424570000000001</v>
      </c>
      <c r="R277">
        <v>-2.2191559999999999E-2</v>
      </c>
      <c r="S277">
        <v>3.003387</v>
      </c>
      <c r="T277">
        <v>0.13025829999999999</v>
      </c>
      <c r="U277">
        <v>-9.7351069999999998E-2</v>
      </c>
      <c r="V277">
        <v>3.5432779999999997E-2</v>
      </c>
      <c r="W277">
        <v>0.12687000000000001</v>
      </c>
      <c r="X277">
        <v>0.99128629999999995</v>
      </c>
      <c r="Y277">
        <v>4.5608650000000001E-2</v>
      </c>
      <c r="Z277">
        <v>1.441714E-3</v>
      </c>
      <c r="AA277">
        <v>0.99895829999999997</v>
      </c>
      <c r="AB277">
        <v>28</v>
      </c>
      <c r="AC277">
        <v>181.57980000000001</v>
      </c>
      <c r="AD277">
        <v>7.8879469999999898</v>
      </c>
      <c r="AE277">
        <v>-5.8987000000000096</v>
      </c>
      <c r="AF277">
        <v>8.2926231153764096</v>
      </c>
      <c r="AG277">
        <v>7.8879469999999898</v>
      </c>
      <c r="AH277">
        <v>181.14403772957999</v>
      </c>
      <c r="AI277">
        <v>87.5092263418301</v>
      </c>
      <c r="AJ277">
        <v>87.378876988614394</v>
      </c>
      <c r="AK277">
        <v>181.50523328814501</v>
      </c>
      <c r="AL277">
        <v>82.711241254875105</v>
      </c>
      <c r="AM277">
        <v>87.952877180486297</v>
      </c>
      <c r="AN277">
        <v>1.0000000036831</v>
      </c>
    </row>
    <row r="278" spans="1:40" x14ac:dyDescent="0.25">
      <c r="A278" t="str">
        <f>"20190303170233004"</f>
        <v>20190303170233004</v>
      </c>
      <c r="B278" t="str">
        <f>"1551603752995936"</f>
        <v>1551603752995936</v>
      </c>
      <c r="C278" t="s">
        <v>40</v>
      </c>
      <c r="D278">
        <v>3.9300809999999999</v>
      </c>
      <c r="E278">
        <v>0.50497930000000002</v>
      </c>
      <c r="F278" t="s">
        <v>41</v>
      </c>
      <c r="G278">
        <v>-168.84350000000001</v>
      </c>
      <c r="H278">
        <v>12.32804</v>
      </c>
      <c r="I278">
        <v>359.10489999999999</v>
      </c>
      <c r="J278">
        <v>-430.9366</v>
      </c>
      <c r="K278">
        <v>1.072171</v>
      </c>
      <c r="L278">
        <v>367.77839999999998</v>
      </c>
      <c r="M278">
        <v>0.9998359</v>
      </c>
      <c r="N278">
        <v>-1.25755E-2</v>
      </c>
      <c r="O278">
        <v>1.303671E-2</v>
      </c>
      <c r="P278">
        <v>0.99317230000000001</v>
      </c>
      <c r="Q278">
        <v>0.11444849999999999</v>
      </c>
      <c r="R278">
        <v>-2.258611E-2</v>
      </c>
      <c r="S278">
        <v>3.0034480000000001</v>
      </c>
      <c r="T278">
        <v>0.12884209999999999</v>
      </c>
      <c r="U278">
        <v>-9.9243159999999997E-2</v>
      </c>
      <c r="V278">
        <v>3.5593720000000002E-2</v>
      </c>
      <c r="W278">
        <v>0.1269073</v>
      </c>
      <c r="X278">
        <v>0.99127569999999998</v>
      </c>
      <c r="Y278">
        <v>4.6002990000000001E-2</v>
      </c>
      <c r="Z278">
        <v>1.4192180000000001E-3</v>
      </c>
      <c r="AA278">
        <v>0.9989403</v>
      </c>
      <c r="AB278">
        <v>28</v>
      </c>
      <c r="AC278">
        <v>262.09309999999999</v>
      </c>
      <c r="AD278">
        <v>11.255869000000001</v>
      </c>
      <c r="AE278">
        <v>-8.67349999999999</v>
      </c>
      <c r="AF278">
        <v>12.067632096379899</v>
      </c>
      <c r="AG278">
        <v>11.255869000000001</v>
      </c>
      <c r="AH278">
        <v>261.47601091056703</v>
      </c>
      <c r="AI278">
        <v>87.537703756265003</v>
      </c>
      <c r="AJ278">
        <v>87.3575621731908</v>
      </c>
      <c r="AK278">
        <v>261.99623396732602</v>
      </c>
      <c r="AL278">
        <v>82.709086273576702</v>
      </c>
      <c r="AM278">
        <v>87.9435648936376</v>
      </c>
      <c r="AN278">
        <v>0.99999994455360697</v>
      </c>
    </row>
    <row r="279" spans="1:40" x14ac:dyDescent="0.25">
      <c r="A279" t="str">
        <f>"20190303170233025"</f>
        <v>20190303170233025</v>
      </c>
      <c r="B279" t="str">
        <f>"1551603753016431"</f>
        <v>1551603753016431</v>
      </c>
      <c r="C279" t="s">
        <v>40</v>
      </c>
      <c r="D279">
        <v>3.9592869999999998</v>
      </c>
      <c r="E279">
        <v>0.50496579999999902</v>
      </c>
      <c r="F279" t="s">
        <v>45</v>
      </c>
      <c r="G279">
        <v>-249.60589999999999</v>
      </c>
      <c r="H279">
        <v>8.8970140000000004</v>
      </c>
      <c r="I279">
        <v>361.70929999999998</v>
      </c>
      <c r="J279">
        <v>-430.6617</v>
      </c>
      <c r="K279">
        <v>1.0719799999999999</v>
      </c>
      <c r="L279">
        <v>367.7817</v>
      </c>
      <c r="M279">
        <v>0.99984059999999997</v>
      </c>
      <c r="N279">
        <v>-1.2436239999999999E-2</v>
      </c>
      <c r="O279">
        <v>1.2813339999999999E-2</v>
      </c>
      <c r="P279">
        <v>0.99316439999999995</v>
      </c>
      <c r="Q279">
        <v>0.11447789999999999</v>
      </c>
      <c r="R279">
        <v>-2.2791309999999999E-2</v>
      </c>
      <c r="S279">
        <v>3.0034480000000001</v>
      </c>
      <c r="T279">
        <v>0.12960719999999901</v>
      </c>
      <c r="U279">
        <v>-0.1005249</v>
      </c>
      <c r="V279">
        <v>3.5576709999999998E-2</v>
      </c>
      <c r="W279">
        <v>0.12679860000000001</v>
      </c>
      <c r="X279">
        <v>0.99129029999999996</v>
      </c>
      <c r="Y279">
        <v>4.620519E-2</v>
      </c>
      <c r="Z279">
        <v>1.420452E-3</v>
      </c>
      <c r="AA279">
        <v>0.99893089999999995</v>
      </c>
      <c r="AB279">
        <v>29</v>
      </c>
      <c r="AC279">
        <v>181.0558</v>
      </c>
      <c r="AD279">
        <v>7.8250339999999996</v>
      </c>
      <c r="AE279">
        <v>-6.0724000000000098</v>
      </c>
      <c r="AF279">
        <v>8.3763818351714594</v>
      </c>
      <c r="AG279">
        <v>7.8250339999999996</v>
      </c>
      <c r="AH279">
        <v>180.62611258803</v>
      </c>
      <c r="AI279">
        <v>87.522059033612507</v>
      </c>
      <c r="AJ279">
        <v>87.3448593754608</v>
      </c>
      <c r="AK279">
        <v>180.98946786598799</v>
      </c>
      <c r="AL279">
        <v>82.715365623061999</v>
      </c>
      <c r="AM279">
        <v>87.944577054327496</v>
      </c>
      <c r="AN279">
        <v>1.0000000230652299</v>
      </c>
    </row>
    <row r="280" spans="1:40" x14ac:dyDescent="0.25">
      <c r="A280" t="str">
        <f>"20190303170233038"</f>
        <v>20190303170233038</v>
      </c>
      <c r="B280" t="str">
        <f>"1551603753026191"</f>
        <v>1551603753026191</v>
      </c>
      <c r="C280" t="s">
        <v>40</v>
      </c>
      <c r="D280">
        <v>3.9739740000000001</v>
      </c>
      <c r="E280">
        <v>0.50565680000000002</v>
      </c>
      <c r="F280" t="s">
        <v>45</v>
      </c>
      <c r="G280">
        <v>-249.61490000000001</v>
      </c>
      <c r="H280">
        <v>8.9108559999999901</v>
      </c>
      <c r="I280">
        <v>361.71820000000002</v>
      </c>
      <c r="J280">
        <v>-430.49740000000003</v>
      </c>
      <c r="K280">
        <v>1.0718749999999999</v>
      </c>
      <c r="L280">
        <v>367.78370000000001</v>
      </c>
      <c r="M280">
        <v>0.99984320000000004</v>
      </c>
      <c r="N280">
        <v>-1.236025E-2</v>
      </c>
      <c r="O280">
        <v>1.268003E-2</v>
      </c>
      <c r="P280">
        <v>0.99316729999999998</v>
      </c>
      <c r="Q280">
        <v>0.1143573</v>
      </c>
      <c r="R280">
        <v>-2.3258870000000001E-2</v>
      </c>
      <c r="S280">
        <v>3.0033569999999998</v>
      </c>
      <c r="T280">
        <v>0.1300393</v>
      </c>
      <c r="U280">
        <v>-0.10058590000000001</v>
      </c>
      <c r="V280">
        <v>3.5911720000000001E-2</v>
      </c>
      <c r="W280">
        <v>0.12660270000000001</v>
      </c>
      <c r="X280">
        <v>0.99130320000000005</v>
      </c>
      <c r="Y280">
        <v>4.6093200000000001E-2</v>
      </c>
      <c r="Z280">
        <v>1.417296E-3</v>
      </c>
      <c r="AA280">
        <v>0.99893609999999999</v>
      </c>
      <c r="AB280">
        <v>29</v>
      </c>
      <c r="AC280">
        <v>180.88249999999999</v>
      </c>
      <c r="AD280">
        <v>7.8389809999999898</v>
      </c>
      <c r="AE280">
        <v>-6.0654999999999797</v>
      </c>
      <c r="AF280">
        <v>8.3431311570150299</v>
      </c>
      <c r="AG280">
        <v>7.8389809999999898</v>
      </c>
      <c r="AH280">
        <v>180.45250619578599</v>
      </c>
      <c r="AI280">
        <v>87.515246783310502</v>
      </c>
      <c r="AJ280">
        <v>87.352843497240201</v>
      </c>
      <c r="AK280">
        <v>180.81527715589101</v>
      </c>
      <c r="AL280">
        <v>82.726680631087206</v>
      </c>
      <c r="AM280">
        <v>87.925265865905402</v>
      </c>
      <c r="AN280">
        <v>0.99999996480544295</v>
      </c>
    </row>
    <row r="281" spans="1:40" x14ac:dyDescent="0.25">
      <c r="A281" t="str">
        <f>"20190303170233051"</f>
        <v>20190303170233051</v>
      </c>
      <c r="B281" t="str">
        <f>"1551603753045711"</f>
        <v>1551603753045711</v>
      </c>
      <c r="C281" t="s">
        <v>40</v>
      </c>
      <c r="D281">
        <v>3.9469280000000002</v>
      </c>
      <c r="E281">
        <v>0.50645519999999999</v>
      </c>
      <c r="F281" t="s">
        <v>41</v>
      </c>
      <c r="G281">
        <v>-168.84350000000001</v>
      </c>
      <c r="H281">
        <v>11.88125</v>
      </c>
      <c r="I281">
        <v>358.42660000000001</v>
      </c>
      <c r="J281">
        <v>-430.33069999999998</v>
      </c>
      <c r="K281">
        <v>1.0717840000000001</v>
      </c>
      <c r="L281">
        <v>367.78559999999999</v>
      </c>
      <c r="M281">
        <v>0.99984589999999995</v>
      </c>
      <c r="N281">
        <v>-1.2289609999999999E-2</v>
      </c>
      <c r="O281">
        <v>1.254484E-2</v>
      </c>
      <c r="P281">
        <v>0.99314639999999998</v>
      </c>
      <c r="Q281">
        <v>0.1144855</v>
      </c>
      <c r="R281">
        <v>-2.3524389999999999E-2</v>
      </c>
      <c r="S281">
        <v>3.0038450000000001</v>
      </c>
      <c r="T281">
        <v>0.124095</v>
      </c>
      <c r="U281">
        <v>-0.1074219</v>
      </c>
      <c r="V281">
        <v>3.6042709999999999E-2</v>
      </c>
      <c r="W281">
        <v>0.12666040000000001</v>
      </c>
      <c r="X281">
        <v>0.99129109999999998</v>
      </c>
      <c r="Y281">
        <v>4.8226730000000002E-2</v>
      </c>
      <c r="Z281">
        <v>1.3708139999999999E-3</v>
      </c>
      <c r="AA281">
        <v>0.99883540000000004</v>
      </c>
      <c r="AB281">
        <v>29</v>
      </c>
      <c r="AC281">
        <v>261.48719999999997</v>
      </c>
      <c r="AD281">
        <v>10.809466</v>
      </c>
      <c r="AE281">
        <v>-9.3589999999999804</v>
      </c>
      <c r="AF281">
        <v>12.6172922313099</v>
      </c>
      <c r="AG281">
        <v>10.809466</v>
      </c>
      <c r="AH281">
        <v>260.90392553747199</v>
      </c>
      <c r="AI281">
        <v>87.630311362346404</v>
      </c>
      <c r="AJ281">
        <v>87.231337843239501</v>
      </c>
      <c r="AK281">
        <v>261.43239848824902</v>
      </c>
      <c r="AL281">
        <v>82.723348014866502</v>
      </c>
      <c r="AM281">
        <v>87.917679412583496</v>
      </c>
      <c r="AN281">
        <v>0.99999998940575696</v>
      </c>
    </row>
    <row r="282" spans="1:40" x14ac:dyDescent="0.25">
      <c r="A282" t="str">
        <f>"20190303170233069"</f>
        <v>20190303170233069</v>
      </c>
      <c r="B282" t="str">
        <f>"1551603753056448"</f>
        <v>1551603753056448</v>
      </c>
      <c r="C282" t="s">
        <v>40</v>
      </c>
      <c r="D282">
        <v>3.9490919999999998</v>
      </c>
      <c r="E282">
        <v>0.50683279999999997</v>
      </c>
      <c r="F282" t="s">
        <v>41</v>
      </c>
      <c r="G282">
        <v>-168.84350000000001</v>
      </c>
      <c r="H282">
        <v>11.179209999999999</v>
      </c>
      <c r="I282">
        <v>357.83940000000001</v>
      </c>
      <c r="J282">
        <v>-430.1157</v>
      </c>
      <c r="K282">
        <v>1.0716829999999999</v>
      </c>
      <c r="L282">
        <v>367.78809999999999</v>
      </c>
      <c r="M282">
        <v>0.99984910000000005</v>
      </c>
      <c r="N282">
        <v>-1.220648E-2</v>
      </c>
      <c r="O282">
        <v>1.237044E-2</v>
      </c>
      <c r="P282">
        <v>0.99308569999999996</v>
      </c>
      <c r="Q282">
        <v>0.1149385</v>
      </c>
      <c r="R282">
        <v>-2.3876970000000001E-2</v>
      </c>
      <c r="S282">
        <v>3.0046390000000001</v>
      </c>
      <c r="T282">
        <v>0.1161412</v>
      </c>
      <c r="U282">
        <v>-0.1142883</v>
      </c>
      <c r="V282">
        <v>3.6221589999999998E-2</v>
      </c>
      <c r="W282">
        <v>0.12703030000000001</v>
      </c>
      <c r="X282">
        <v>0.99123720000000004</v>
      </c>
      <c r="Y282">
        <v>5.0327690000000001E-2</v>
      </c>
      <c r="Z282">
        <v>1.2933109999999999E-3</v>
      </c>
      <c r="AA282">
        <v>0.99873190000000001</v>
      </c>
      <c r="AB282">
        <v>29</v>
      </c>
      <c r="AC282">
        <v>261.2722</v>
      </c>
      <c r="AD282">
        <v>10.107526999999999</v>
      </c>
      <c r="AE282">
        <v>-9.9486999999999703</v>
      </c>
      <c r="AF282">
        <v>13.160563649717499</v>
      </c>
      <c r="AG282">
        <v>10.107526999999999</v>
      </c>
      <c r="AH282">
        <v>260.739470726543</v>
      </c>
      <c r="AI282">
        <v>87.782868714294494</v>
      </c>
      <c r="AJ282">
        <v>87.110505029767793</v>
      </c>
      <c r="AK282">
        <v>261.26697864902798</v>
      </c>
      <c r="AL282">
        <v>82.7019813840284</v>
      </c>
      <c r="AM282">
        <v>87.907240329749996</v>
      </c>
      <c r="AN282">
        <v>0.99999994368202705</v>
      </c>
    </row>
    <row r="283" spans="1:40" x14ac:dyDescent="0.25">
      <c r="A283" t="str">
        <f>"20190303170233081"</f>
        <v>20190303170233081</v>
      </c>
      <c r="B283" t="str">
        <f>"1551603753075967"</f>
        <v>1551603753075967</v>
      </c>
      <c r="C283" t="s">
        <v>40</v>
      </c>
      <c r="D283">
        <v>3.954895</v>
      </c>
      <c r="E283">
        <v>0.50743669999999996</v>
      </c>
      <c r="F283" t="s">
        <v>41</v>
      </c>
      <c r="G283">
        <v>-168.84350000000001</v>
      </c>
      <c r="H283">
        <v>10.95234</v>
      </c>
      <c r="I283">
        <v>357.49810000000002</v>
      </c>
      <c r="J283">
        <v>-429.94060000000002</v>
      </c>
      <c r="K283">
        <v>1.071609</v>
      </c>
      <c r="L283">
        <v>367.79020000000003</v>
      </c>
      <c r="M283">
        <v>0.9998515</v>
      </c>
      <c r="N283">
        <v>-1.214426E-2</v>
      </c>
      <c r="O283">
        <v>1.222809E-2</v>
      </c>
      <c r="P283">
        <v>0.99308030000000003</v>
      </c>
      <c r="Q283">
        <v>0.1149456</v>
      </c>
      <c r="R283">
        <v>-2.4062420000000001E-2</v>
      </c>
      <c r="S283">
        <v>3.0049130000000002</v>
      </c>
      <c r="T283">
        <v>0.1136392</v>
      </c>
      <c r="U283">
        <v>-0.1183472</v>
      </c>
      <c r="V283">
        <v>3.6265480000000003E-2</v>
      </c>
      <c r="W283">
        <v>0.12697549999999999</v>
      </c>
      <c r="X283">
        <v>0.99124270000000003</v>
      </c>
      <c r="Y283">
        <v>5.1530439999999997E-2</v>
      </c>
      <c r="Z283">
        <v>1.2710389999999901E-3</v>
      </c>
      <c r="AA283">
        <v>0.99867059999999996</v>
      </c>
      <c r="AB283">
        <v>29</v>
      </c>
      <c r="AC283">
        <v>261.09710000000001</v>
      </c>
      <c r="AD283">
        <v>9.8807310000000008</v>
      </c>
      <c r="AE283">
        <v>-10.2921</v>
      </c>
      <c r="AF283">
        <v>13.4650312518086</v>
      </c>
      <c r="AG283">
        <v>9.8807310000000008</v>
      </c>
      <c r="AH283">
        <v>260.57911694871598</v>
      </c>
      <c r="AI283">
        <v>87.831369319563393</v>
      </c>
      <c r="AJ283">
        <v>87.041958293506099</v>
      </c>
      <c r="AK283">
        <v>261.11379148079999</v>
      </c>
      <c r="AL283">
        <v>82.705147432799507</v>
      </c>
      <c r="AM283">
        <v>87.904718389994699</v>
      </c>
      <c r="AN283">
        <v>1.00000002647158</v>
      </c>
    </row>
    <row r="284" spans="1:40" x14ac:dyDescent="0.25">
      <c r="A284" t="str">
        <f>"20190303170233094"</f>
        <v>20190303170233094</v>
      </c>
      <c r="B284" t="str">
        <f>"1551603753085727"</f>
        <v>1551603753085727</v>
      </c>
      <c r="C284" t="s">
        <v>40</v>
      </c>
      <c r="D284">
        <v>4.0088629999999998</v>
      </c>
      <c r="E284">
        <v>0.50773829999999998</v>
      </c>
      <c r="F284" t="s">
        <v>41</v>
      </c>
      <c r="G284">
        <v>-168.84350000000001</v>
      </c>
      <c r="H284">
        <v>10.295</v>
      </c>
      <c r="I284">
        <v>357.0933</v>
      </c>
      <c r="J284">
        <v>-429.78120000000001</v>
      </c>
      <c r="K284">
        <v>1.0715460000000001</v>
      </c>
      <c r="L284">
        <v>367.79199999999997</v>
      </c>
      <c r="M284">
        <v>0.99985369999999996</v>
      </c>
      <c r="N284">
        <v>-1.209089E-2</v>
      </c>
      <c r="O284">
        <v>1.209844E-2</v>
      </c>
      <c r="P284">
        <v>0.99306269999999996</v>
      </c>
      <c r="Q284">
        <v>0.1150955</v>
      </c>
      <c r="R284">
        <v>-2.4078450000000001E-2</v>
      </c>
      <c r="S284">
        <v>3.005646</v>
      </c>
      <c r="T284">
        <v>0.10617699999999999</v>
      </c>
      <c r="U284">
        <v>-0.1231384</v>
      </c>
      <c r="V284">
        <v>3.6152410000000003E-2</v>
      </c>
      <c r="W284">
        <v>0.1270724</v>
      </c>
      <c r="X284">
        <v>0.99123439999999996</v>
      </c>
      <c r="Y284">
        <v>5.2985640000000001E-2</v>
      </c>
      <c r="Z284">
        <v>1.187916E-3</v>
      </c>
      <c r="AA284">
        <v>0.9985946</v>
      </c>
      <c r="AB284">
        <v>29</v>
      </c>
      <c r="AC284">
        <v>260.93770000000001</v>
      </c>
      <c r="AD284">
        <v>9.2234539999999896</v>
      </c>
      <c r="AE284">
        <v>-10.698699999999899</v>
      </c>
      <c r="AF284">
        <v>13.837826333026801</v>
      </c>
      <c r="AG284">
        <v>9.2234539999999896</v>
      </c>
      <c r="AH284">
        <v>260.46426555342202</v>
      </c>
      <c r="AI284">
        <v>87.974766492875304</v>
      </c>
      <c r="AJ284">
        <v>86.958875117445402</v>
      </c>
      <c r="AK284">
        <v>260.99461904720698</v>
      </c>
      <c r="AL284">
        <v>82.699550037827294</v>
      </c>
      <c r="AM284">
        <v>87.911227874818707</v>
      </c>
      <c r="AN284">
        <v>1.00000001366696</v>
      </c>
    </row>
    <row r="285" spans="1:40" x14ac:dyDescent="0.25">
      <c r="A285" t="str">
        <f>"20190303170233107"</f>
        <v>20190303170233107</v>
      </c>
      <c r="B285" t="str">
        <f>"1551603753096463"</f>
        <v>1551603753096463</v>
      </c>
      <c r="C285" t="s">
        <v>40</v>
      </c>
      <c r="D285">
        <v>3.9802050000000002</v>
      </c>
      <c r="E285">
        <v>0.50804289999999996</v>
      </c>
      <c r="F285" t="s">
        <v>41</v>
      </c>
      <c r="G285">
        <v>-168.84350000000001</v>
      </c>
      <c r="H285">
        <v>10.001989999999999</v>
      </c>
      <c r="I285">
        <v>356.89080000000001</v>
      </c>
      <c r="J285">
        <v>-429.62200000000001</v>
      </c>
      <c r="K285">
        <v>1.0714980000000001</v>
      </c>
      <c r="L285">
        <v>367.79379999999998</v>
      </c>
      <c r="M285">
        <v>0.99985590000000002</v>
      </c>
      <c r="N285">
        <v>-1.204327E-2</v>
      </c>
      <c r="O285">
        <v>1.196935E-2</v>
      </c>
      <c r="P285">
        <v>0.99305410000000005</v>
      </c>
      <c r="Q285">
        <v>0.1151368</v>
      </c>
      <c r="R285">
        <v>-2.4234060000000002E-2</v>
      </c>
      <c r="S285">
        <v>3.005951</v>
      </c>
      <c r="T285">
        <v>0.102878</v>
      </c>
      <c r="U285">
        <v>-0.12557979999999999</v>
      </c>
      <c r="V285">
        <v>3.6179929999999999E-2</v>
      </c>
      <c r="W285">
        <v>0.12706680000000001</v>
      </c>
      <c r="X285">
        <v>0.99123410000000001</v>
      </c>
      <c r="Y285">
        <v>5.3664360000000001E-2</v>
      </c>
      <c r="Z285">
        <v>1.147693E-3</v>
      </c>
      <c r="AA285">
        <v>0.99855830000000001</v>
      </c>
      <c r="AB285">
        <v>29</v>
      </c>
      <c r="AC285">
        <v>260.77849999999899</v>
      </c>
      <c r="AD285">
        <v>8.9304919999999992</v>
      </c>
      <c r="AE285">
        <v>-10.902999999999899</v>
      </c>
      <c r="AF285">
        <v>14.007395600071399</v>
      </c>
      <c r="AG285">
        <v>8.9304919999999992</v>
      </c>
      <c r="AH285">
        <v>260.324540974066</v>
      </c>
      <c r="AI285">
        <v>88.038061752379505</v>
      </c>
      <c r="AJ285">
        <v>86.920031240699998</v>
      </c>
      <c r="AK285">
        <v>260.85403476315503</v>
      </c>
      <c r="AL285">
        <v>82.699873416054402</v>
      </c>
      <c r="AM285">
        <v>87.909638634027601</v>
      </c>
      <c r="AN285">
        <v>0.99999999999992695</v>
      </c>
    </row>
    <row r="286" spans="1:40" x14ac:dyDescent="0.25">
      <c r="A286" t="str">
        <f>"20190303170233124"</f>
        <v>20190303170233124</v>
      </c>
      <c r="B286" t="str">
        <f>"1551603753115983"</f>
        <v>1551603753115983</v>
      </c>
      <c r="C286" t="s">
        <v>40</v>
      </c>
      <c r="D286">
        <v>3.9662039999999998</v>
      </c>
      <c r="E286">
        <v>0.50861219999999996</v>
      </c>
      <c r="F286" t="s">
        <v>41</v>
      </c>
      <c r="G286">
        <v>-168.84350000000001</v>
      </c>
      <c r="H286">
        <v>9.7173970000000001</v>
      </c>
      <c r="I286">
        <v>356.6728</v>
      </c>
      <c r="J286">
        <v>-429.3931</v>
      </c>
      <c r="K286">
        <v>1.0714300000000001</v>
      </c>
      <c r="L286">
        <v>367.79629999999997</v>
      </c>
      <c r="M286">
        <v>0.99985889999999999</v>
      </c>
      <c r="N286">
        <v>-1.1979429999999999E-2</v>
      </c>
      <c r="O286">
        <v>1.178397E-2</v>
      </c>
      <c r="P286">
        <v>0.99306609999999995</v>
      </c>
      <c r="Q286">
        <v>0.114984199999999</v>
      </c>
      <c r="R286">
        <v>-2.4468650000000002E-2</v>
      </c>
      <c r="S286">
        <v>3.0062869999999999</v>
      </c>
      <c r="T286">
        <v>9.9671960000000004E-2</v>
      </c>
      <c r="U286">
        <v>-0.12820429999999999</v>
      </c>
      <c r="V286">
        <v>3.6230199999999997E-2</v>
      </c>
      <c r="W286">
        <v>0.12685109999999999</v>
      </c>
      <c r="X286">
        <v>0.99125989999999997</v>
      </c>
      <c r="Y286">
        <v>5.4346850000000002E-2</v>
      </c>
      <c r="Z286">
        <v>1.1059990000000001E-3</v>
      </c>
      <c r="AA286">
        <v>0.99852149999999995</v>
      </c>
      <c r="AB286">
        <v>29</v>
      </c>
      <c r="AC286">
        <v>260.5496</v>
      </c>
      <c r="AD286">
        <v>8.6459670000000006</v>
      </c>
      <c r="AE286">
        <v>-11.1234999999999</v>
      </c>
      <c r="AF286">
        <v>14.1776729200781</v>
      </c>
      <c r="AG286">
        <v>8.6459670000000006</v>
      </c>
      <c r="AH286">
        <v>260.11451428957798</v>
      </c>
      <c r="AI286">
        <v>88.099061474176096</v>
      </c>
      <c r="AJ286">
        <v>86.880151701908304</v>
      </c>
      <c r="AK286">
        <v>260.64404788695498</v>
      </c>
      <c r="AL286">
        <v>82.712333005610901</v>
      </c>
      <c r="AM286">
        <v>87.906791209109201</v>
      </c>
      <c r="AN286">
        <v>1.00000000915563</v>
      </c>
    </row>
    <row r="287" spans="1:40" x14ac:dyDescent="0.25">
      <c r="A287" t="str">
        <f>"20190303170233137"</f>
        <v>20190303170233137</v>
      </c>
      <c r="B287" t="str">
        <f>"1551603753125743"</f>
        <v>1551603753125743</v>
      </c>
      <c r="C287" t="s">
        <v>40</v>
      </c>
      <c r="D287">
        <v>3.9933860000000001</v>
      </c>
      <c r="E287">
        <v>0.50884439999999997</v>
      </c>
      <c r="F287" t="s">
        <v>41</v>
      </c>
      <c r="G287">
        <v>-168.84350000000001</v>
      </c>
      <c r="H287">
        <v>9.1033650000000002</v>
      </c>
      <c r="I287">
        <v>356.25099999999998</v>
      </c>
      <c r="J287">
        <v>-429.2362</v>
      </c>
      <c r="K287">
        <v>1.0713870000000001</v>
      </c>
      <c r="L287">
        <v>367.79809999999998</v>
      </c>
      <c r="M287">
        <v>0.99986090000000005</v>
      </c>
      <c r="N287">
        <v>-1.193898E-2</v>
      </c>
      <c r="O287">
        <v>1.16565E-2</v>
      </c>
      <c r="P287">
        <v>0.99305489999999996</v>
      </c>
      <c r="Q287">
        <v>0.11508839999999999</v>
      </c>
      <c r="R287">
        <v>-2.4429309999999999E-2</v>
      </c>
      <c r="S287">
        <v>3.0068969999999999</v>
      </c>
      <c r="T287">
        <v>9.2694280000000004E-2</v>
      </c>
      <c r="U287">
        <v>-0.13323969999999999</v>
      </c>
      <c r="V287">
        <v>3.6064369999999998E-2</v>
      </c>
      <c r="W287">
        <v>0.1269149</v>
      </c>
      <c r="X287">
        <v>0.99125779999999997</v>
      </c>
      <c r="Y287">
        <v>5.5883969999999998E-2</v>
      </c>
      <c r="Z287">
        <v>1.025069E-3</v>
      </c>
      <c r="AA287">
        <v>0.99843669999999995</v>
      </c>
      <c r="AB287">
        <v>29</v>
      </c>
      <c r="AC287">
        <v>260.39269999999999</v>
      </c>
      <c r="AD287">
        <v>8.0319780000000005</v>
      </c>
      <c r="AE287">
        <v>-11.5471</v>
      </c>
      <c r="AF287">
        <v>14.5679653530738</v>
      </c>
      <c r="AG287">
        <v>8.0319780000000005</v>
      </c>
      <c r="AH287">
        <v>259.99351208160198</v>
      </c>
      <c r="AI287">
        <v>88.233294033050797</v>
      </c>
      <c r="AJ287">
        <v>86.792954387378998</v>
      </c>
      <c r="AK287">
        <v>260.52517077942201</v>
      </c>
      <c r="AL287">
        <v>82.708647890193603</v>
      </c>
      <c r="AM287">
        <v>87.916359203808994</v>
      </c>
      <c r="AN287">
        <v>1.00000002834317</v>
      </c>
    </row>
    <row r="288" spans="1:40" x14ac:dyDescent="0.25">
      <c r="A288" t="str">
        <f>"20190303170233159"</f>
        <v>20190303170233159</v>
      </c>
      <c r="B288" t="str">
        <f>"1551603753146238"</f>
        <v>1551603753146238</v>
      </c>
      <c r="C288" t="s">
        <v>40</v>
      </c>
      <c r="D288">
        <v>3.9685280000000001</v>
      </c>
      <c r="E288">
        <v>0.50934860000000004</v>
      </c>
      <c r="F288" t="s">
        <v>41</v>
      </c>
      <c r="G288">
        <v>-168.84350000000001</v>
      </c>
      <c r="H288">
        <v>8.9016629999999992</v>
      </c>
      <c r="I288">
        <v>356.11290000000002</v>
      </c>
      <c r="J288">
        <v>-428.95749999999998</v>
      </c>
      <c r="K288">
        <v>1.0713250000000001</v>
      </c>
      <c r="L288">
        <v>367.80110000000002</v>
      </c>
      <c r="M288">
        <v>0.99986419999999998</v>
      </c>
      <c r="N288">
        <v>-1.187563E-2</v>
      </c>
      <c r="O288">
        <v>1.143046E-2</v>
      </c>
      <c r="P288">
        <v>0.99300820000000001</v>
      </c>
      <c r="Q288">
        <v>0.1155443</v>
      </c>
      <c r="R288">
        <v>-2.4173690000000001E-2</v>
      </c>
      <c r="S288">
        <v>3.0072019999999999</v>
      </c>
      <c r="T288">
        <v>9.0430620000000003E-2</v>
      </c>
      <c r="U288">
        <v>-0.1349487</v>
      </c>
      <c r="V288">
        <v>3.5584129999999999E-2</v>
      </c>
      <c r="W288">
        <v>0.127308</v>
      </c>
      <c r="X288">
        <v>0.99122469999999996</v>
      </c>
      <c r="Y288">
        <v>5.622154E-2</v>
      </c>
      <c r="Z288">
        <v>9.8978130000000001E-4</v>
      </c>
      <c r="AA288">
        <v>0.99841789999999997</v>
      </c>
      <c r="AB288">
        <v>29</v>
      </c>
      <c r="AC288">
        <v>260.11399999999998</v>
      </c>
      <c r="AD288">
        <v>7.8303380000000002</v>
      </c>
      <c r="AE288">
        <v>-11.688199999999901</v>
      </c>
      <c r="AF288">
        <v>14.6476212842582</v>
      </c>
      <c r="AG288">
        <v>7.8303380000000002</v>
      </c>
      <c r="AH288">
        <v>259.72849665699698</v>
      </c>
      <c r="AI288">
        <v>88.275898262401896</v>
      </c>
      <c r="AJ288">
        <v>86.772172312332501</v>
      </c>
      <c r="AK288">
        <v>260.25902285643298</v>
      </c>
      <c r="AL288">
        <v>82.685940385025205</v>
      </c>
      <c r="AM288">
        <v>87.944012795092206</v>
      </c>
      <c r="AN288">
        <v>0.99999998153097303</v>
      </c>
    </row>
    <row r="289" spans="1:40" x14ac:dyDescent="0.25">
      <c r="A289" t="str">
        <f>"20190303170233174"</f>
        <v>20190303170233174</v>
      </c>
      <c r="B289" t="str">
        <f>"1551603753165759"</f>
        <v>1551603753165759</v>
      </c>
      <c r="C289" t="s">
        <v>40</v>
      </c>
      <c r="D289">
        <v>3.9623390000000001</v>
      </c>
      <c r="E289">
        <v>0.50975470000000001</v>
      </c>
      <c r="F289" t="s">
        <v>41</v>
      </c>
      <c r="G289">
        <v>-168.84350000000001</v>
      </c>
      <c r="H289">
        <v>8.5681689999999993</v>
      </c>
      <c r="I289">
        <v>355.85829999999999</v>
      </c>
      <c r="J289">
        <v>-428.76339999999999</v>
      </c>
      <c r="K289">
        <v>1.0712820000000001</v>
      </c>
      <c r="L289">
        <v>367.80309999999997</v>
      </c>
      <c r="M289">
        <v>0.99986640000000004</v>
      </c>
      <c r="N289">
        <v>-1.1835699999999999E-2</v>
      </c>
      <c r="O289">
        <v>1.127265E-2</v>
      </c>
      <c r="P289">
        <v>0.99297480000000005</v>
      </c>
      <c r="Q289">
        <v>0.1157961</v>
      </c>
      <c r="R289">
        <v>-2.4337580000000001E-2</v>
      </c>
      <c r="S289">
        <v>3.00766</v>
      </c>
      <c r="T289">
        <v>8.6685899999999996E-2</v>
      </c>
      <c r="U289">
        <v>-0.13809199999999999</v>
      </c>
      <c r="V289">
        <v>3.5590910000000003E-2</v>
      </c>
      <c r="W289">
        <v>0.12751979999999999</v>
      </c>
      <c r="X289">
        <v>0.9911972</v>
      </c>
      <c r="Y289">
        <v>5.7100570000000003E-2</v>
      </c>
      <c r="Z289">
        <v>9.4210409999999996E-4</v>
      </c>
      <c r="AA289">
        <v>0.99836800000000003</v>
      </c>
      <c r="AB289">
        <v>29</v>
      </c>
      <c r="AC289">
        <v>259.91989999999998</v>
      </c>
      <c r="AD289">
        <v>7.4968870000000001</v>
      </c>
      <c r="AE289">
        <v>-11.944799999999899</v>
      </c>
      <c r="AF289">
        <v>14.861894395133501</v>
      </c>
      <c r="AG289">
        <v>7.4968870000000001</v>
      </c>
      <c r="AH289">
        <v>259.55325069948299</v>
      </c>
      <c r="AI289">
        <v>88.348243580268104</v>
      </c>
      <c r="AJ289">
        <v>86.722849620953198</v>
      </c>
      <c r="AK289">
        <v>260.086464792713</v>
      </c>
      <c r="AL289">
        <v>82.673705192686299</v>
      </c>
      <c r="AM289">
        <v>87.943564391489502</v>
      </c>
      <c r="AN289">
        <v>0.99999995077725201</v>
      </c>
    </row>
    <row r="290" spans="1:40" x14ac:dyDescent="0.25">
      <c r="A290" t="str">
        <f>"20190303170233192"</f>
        <v>20190303170233192</v>
      </c>
      <c r="B290" t="str">
        <f>"1551603753186255"</f>
        <v>1551603753186255</v>
      </c>
      <c r="C290" t="s">
        <v>40</v>
      </c>
      <c r="D290">
        <v>3.965427</v>
      </c>
      <c r="E290">
        <v>0.51017669999999904</v>
      </c>
      <c r="F290" t="s">
        <v>41</v>
      </c>
      <c r="G290">
        <v>-170.08879999999999</v>
      </c>
      <c r="H290">
        <v>8.2411879999999993</v>
      </c>
      <c r="I290">
        <v>355.62880000000001</v>
      </c>
      <c r="J290">
        <v>-428.52870000000001</v>
      </c>
      <c r="K290">
        <v>1.071242</v>
      </c>
      <c r="L290">
        <v>367.80549999999999</v>
      </c>
      <c r="M290">
        <v>0.99986900000000001</v>
      </c>
      <c r="N290">
        <v>-1.1792800000000001E-2</v>
      </c>
      <c r="O290">
        <v>1.1082130000000001E-2</v>
      </c>
      <c r="P290">
        <v>0.99298750000000002</v>
      </c>
      <c r="Q290">
        <v>0.1157943</v>
      </c>
      <c r="R290">
        <v>-2.3818430000000002E-2</v>
      </c>
      <c r="S290">
        <v>3.0080260000000001</v>
      </c>
      <c r="T290">
        <v>8.3376999999999896E-2</v>
      </c>
      <c r="U290">
        <v>-0.141571</v>
      </c>
      <c r="V290">
        <v>3.488289E-2</v>
      </c>
      <c r="W290">
        <v>0.1274759</v>
      </c>
      <c r="X290">
        <v>0.991228</v>
      </c>
      <c r="Y290">
        <v>5.8058760000000001E-2</v>
      </c>
      <c r="Z290">
        <v>8.9900820000000004E-4</v>
      </c>
      <c r="AA290">
        <v>0.9983128</v>
      </c>
      <c r="AB290">
        <v>29</v>
      </c>
      <c r="AC290">
        <v>258.43990000000002</v>
      </c>
      <c r="AD290">
        <v>7.1699460000000004</v>
      </c>
      <c r="AE290">
        <v>-12.176699999999901</v>
      </c>
      <c r="AF290">
        <v>15.028674312198</v>
      </c>
      <c r="AG290">
        <v>7.1699460000000004</v>
      </c>
      <c r="AH290">
        <v>258.09086568885198</v>
      </c>
      <c r="AI290">
        <v>88.4113818294026</v>
      </c>
      <c r="AJ290">
        <v>86.667420418882401</v>
      </c>
      <c r="AK290">
        <v>258.62746205545602</v>
      </c>
      <c r="AL290">
        <v>82.676241054494</v>
      </c>
      <c r="AM290">
        <v>87.984502137573003</v>
      </c>
      <c r="AN290">
        <v>0.99999993453977898</v>
      </c>
    </row>
    <row r="291" spans="1:40" x14ac:dyDescent="0.25">
      <c r="A291" t="str">
        <f>"20190303170233205"</f>
        <v>20190303170233205</v>
      </c>
      <c r="B291" t="str">
        <f>"1551603753196016"</f>
        <v>1551603753196016</v>
      </c>
      <c r="C291" t="s">
        <v>40</v>
      </c>
      <c r="D291">
        <v>3.9653710000000002</v>
      </c>
      <c r="E291">
        <v>0.51036250000000005</v>
      </c>
      <c r="F291" t="s">
        <v>41</v>
      </c>
      <c r="G291">
        <v>-170.08879999999999</v>
      </c>
      <c r="H291">
        <v>7.8522419999999897</v>
      </c>
      <c r="I291">
        <v>355.52910000000003</v>
      </c>
      <c r="J291">
        <v>-428.36930000000001</v>
      </c>
      <c r="K291">
        <v>1.071221</v>
      </c>
      <c r="L291">
        <v>367.80720000000002</v>
      </c>
      <c r="M291">
        <v>0.99987090000000001</v>
      </c>
      <c r="N291">
        <v>-1.1766550000000001E-2</v>
      </c>
      <c r="O291">
        <v>1.0953070000000001E-2</v>
      </c>
      <c r="P291">
        <v>0.99299970000000004</v>
      </c>
      <c r="Q291">
        <v>0.1157069</v>
      </c>
      <c r="R291">
        <v>-2.3745169999999999E-2</v>
      </c>
      <c r="S291">
        <v>3.008575</v>
      </c>
      <c r="T291">
        <v>7.8940629999999998E-2</v>
      </c>
      <c r="U291">
        <v>-0.14291379999999901</v>
      </c>
      <c r="V291">
        <v>3.4681389999999999E-2</v>
      </c>
      <c r="W291">
        <v>0.1273628</v>
      </c>
      <c r="X291">
        <v>0.99124970000000001</v>
      </c>
      <c r="Y291">
        <v>5.8368370000000003E-2</v>
      </c>
      <c r="Z291">
        <v>8.3752139999999995E-4</v>
      </c>
      <c r="AA291">
        <v>0.99829480000000004</v>
      </c>
      <c r="AB291">
        <v>29</v>
      </c>
      <c r="AC291">
        <v>258.28050000000002</v>
      </c>
      <c r="AD291">
        <v>6.7810209999999902</v>
      </c>
      <c r="AE291">
        <v>-12.278099999999901</v>
      </c>
      <c r="AF291">
        <v>15.0961410172977</v>
      </c>
      <c r="AG291">
        <v>6.7810209999999902</v>
      </c>
      <c r="AH291">
        <v>257.95310666808399</v>
      </c>
      <c r="AI291">
        <v>88.496737410756793</v>
      </c>
      <c r="AJ291">
        <v>86.6507100970247</v>
      </c>
      <c r="AK291">
        <v>258.48342492146799</v>
      </c>
      <c r="AL291">
        <v>82.682775125103902</v>
      </c>
      <c r="AM291">
        <v>87.996178915215907</v>
      </c>
      <c r="AN291">
        <v>1.00000002469313</v>
      </c>
    </row>
    <row r="292" spans="1:40" x14ac:dyDescent="0.25">
      <c r="A292" t="str">
        <f>"20190303170233219"</f>
        <v>20190303170233219</v>
      </c>
      <c r="B292" t="str">
        <f>"1551603753205776"</f>
        <v>1551603753205776</v>
      </c>
      <c r="C292" t="s">
        <v>40</v>
      </c>
      <c r="D292">
        <v>4.003088</v>
      </c>
      <c r="E292">
        <v>0.51054849999999996</v>
      </c>
      <c r="F292" t="s">
        <v>41</v>
      </c>
      <c r="G292">
        <v>-170.08879999999999</v>
      </c>
      <c r="H292">
        <v>7.6492849999999999</v>
      </c>
      <c r="I292">
        <v>355.39760000000001</v>
      </c>
      <c r="J292">
        <v>-428.19600000000003</v>
      </c>
      <c r="K292">
        <v>1.0712010000000001</v>
      </c>
      <c r="L292">
        <v>367.80889999999999</v>
      </c>
      <c r="M292">
        <v>0.99987269999999995</v>
      </c>
      <c r="N292">
        <v>-1.1739629999999999E-2</v>
      </c>
      <c r="O292">
        <v>1.0812570000000001E-2</v>
      </c>
      <c r="P292">
        <v>0.99302270000000004</v>
      </c>
      <c r="Q292">
        <v>0.1155197</v>
      </c>
      <c r="R292">
        <v>-2.3690409999999999E-2</v>
      </c>
      <c r="S292">
        <v>3.008759</v>
      </c>
      <c r="T292">
        <v>7.6630119999999996E-2</v>
      </c>
      <c r="U292">
        <v>-0.14456179999999999</v>
      </c>
      <c r="V292">
        <v>3.4487400000000001E-2</v>
      </c>
      <c r="W292">
        <v>0.1271495</v>
      </c>
      <c r="X292">
        <v>0.99128380000000005</v>
      </c>
      <c r="Y292">
        <v>5.877197E-2</v>
      </c>
      <c r="Z292">
        <v>8.0468490000000004E-4</v>
      </c>
      <c r="AA292">
        <v>0.99827109999999997</v>
      </c>
      <c r="AB292">
        <v>29</v>
      </c>
      <c r="AC292">
        <v>258.10719999999998</v>
      </c>
      <c r="AD292">
        <v>6.5780839999999996</v>
      </c>
      <c r="AE292">
        <v>-12.411299999999899</v>
      </c>
      <c r="AF292">
        <v>15.1917239582604</v>
      </c>
      <c r="AG292">
        <v>6.5780839999999996</v>
      </c>
      <c r="AH292">
        <v>257.79084594885899</v>
      </c>
      <c r="AI292">
        <v>88.5408234318365</v>
      </c>
      <c r="AJ292">
        <v>86.627435862568703</v>
      </c>
      <c r="AK292">
        <v>258.32185335538998</v>
      </c>
      <c r="AL292">
        <v>82.695096117268307</v>
      </c>
      <c r="AM292">
        <v>88.007446697719999</v>
      </c>
      <c r="AN292">
        <v>0.99999997412572394</v>
      </c>
    </row>
    <row r="293" spans="1:40" x14ac:dyDescent="0.25">
      <c r="A293" t="str">
        <f>"20190303170233236"</f>
        <v>20190303170233236</v>
      </c>
      <c r="B293" t="str">
        <f>"1551603753226271"</f>
        <v>1551603753226271</v>
      </c>
      <c r="C293" t="s">
        <v>40</v>
      </c>
      <c r="D293">
        <v>4.024114</v>
      </c>
      <c r="E293">
        <v>0.51091999999999904</v>
      </c>
      <c r="F293" t="s">
        <v>41</v>
      </c>
      <c r="G293">
        <v>-170.08879999999999</v>
      </c>
      <c r="H293">
        <v>7.4340849999999996</v>
      </c>
      <c r="I293">
        <v>355.29340000000002</v>
      </c>
      <c r="J293">
        <v>-427.97179999999997</v>
      </c>
      <c r="K293">
        <v>1.0711729999999999</v>
      </c>
      <c r="L293">
        <v>367.81119999999999</v>
      </c>
      <c r="M293">
        <v>0.99987499999999996</v>
      </c>
      <c r="N293">
        <v>-1.170825E-2</v>
      </c>
      <c r="O293">
        <v>1.063015E-2</v>
      </c>
      <c r="P293">
        <v>0.9929441</v>
      </c>
      <c r="Q293">
        <v>0.1161842</v>
      </c>
      <c r="R293">
        <v>-2.3738990000000001E-2</v>
      </c>
      <c r="S293">
        <v>3.008972</v>
      </c>
      <c r="T293">
        <v>7.4178460000000002E-2</v>
      </c>
      <c r="U293">
        <v>-0.14590449999999999</v>
      </c>
      <c r="V293">
        <v>3.4354179999999998E-2</v>
      </c>
      <c r="W293">
        <v>0.1277818</v>
      </c>
      <c r="X293">
        <v>0.99120710000000001</v>
      </c>
      <c r="Y293">
        <v>5.9032189999999998E-2</v>
      </c>
      <c r="Z293">
        <v>7.6751800000000002E-4</v>
      </c>
      <c r="AA293">
        <v>0.99825580000000003</v>
      </c>
      <c r="AB293">
        <v>29</v>
      </c>
      <c r="AC293">
        <v>257.88299999999998</v>
      </c>
      <c r="AD293">
        <v>6.3629119999999997</v>
      </c>
      <c r="AE293">
        <v>-12.5177999999999</v>
      </c>
      <c r="AF293">
        <v>15.2493535707377</v>
      </c>
      <c r="AG293">
        <v>6.3629119999999997</v>
      </c>
      <c r="AH293">
        <v>257.57890952711699</v>
      </c>
      <c r="AI293">
        <v>88.587395839192197</v>
      </c>
      <c r="AJ293">
        <v>86.611892813914096</v>
      </c>
      <c r="AK293">
        <v>258.10835721964497</v>
      </c>
      <c r="AL293">
        <v>82.658569921206094</v>
      </c>
      <c r="AM293">
        <v>88.014984017206601</v>
      </c>
      <c r="AN293">
        <v>0.99999995659256002</v>
      </c>
    </row>
    <row r="294" spans="1:40" x14ac:dyDescent="0.25">
      <c r="A294" t="str">
        <f>"20190303170233248"</f>
        <v>20190303170233248</v>
      </c>
      <c r="B294" t="str">
        <f>"1551603753236032"</f>
        <v>1551603753236032</v>
      </c>
      <c r="C294" t="s">
        <v>40</v>
      </c>
      <c r="D294">
        <v>4.0269370000000002</v>
      </c>
      <c r="E294">
        <v>0.51107230000000003</v>
      </c>
      <c r="F294" t="s">
        <v>41</v>
      </c>
      <c r="G294">
        <v>-170.08879999999999</v>
      </c>
      <c r="H294">
        <v>7.2873359999999998</v>
      </c>
      <c r="I294">
        <v>355.06709999999998</v>
      </c>
      <c r="J294">
        <v>-427.80610000000001</v>
      </c>
      <c r="K294">
        <v>1.0711599999999999</v>
      </c>
      <c r="L294">
        <v>367.81279999999998</v>
      </c>
      <c r="M294">
        <v>0.9998766</v>
      </c>
      <c r="N294">
        <v>-1.168783E-2</v>
      </c>
      <c r="O294">
        <v>1.049628E-2</v>
      </c>
      <c r="P294">
        <v>0.99292919999999996</v>
      </c>
      <c r="Q294">
        <v>0.1162879</v>
      </c>
      <c r="R294">
        <v>-2.3853849999999999E-2</v>
      </c>
      <c r="S294">
        <v>3.009277</v>
      </c>
      <c r="T294">
        <v>7.253838E-2</v>
      </c>
      <c r="U294">
        <v>-0.14871219999999999</v>
      </c>
      <c r="V294">
        <v>3.4336070000000003E-2</v>
      </c>
      <c r="W294">
        <v>0.1278656</v>
      </c>
      <c r="X294">
        <v>0.99119699999999999</v>
      </c>
      <c r="Y294">
        <v>5.9823540000000001E-2</v>
      </c>
      <c r="Z294">
        <v>7.4603149999999895E-4</v>
      </c>
      <c r="AA294">
        <v>0.99820869999999995</v>
      </c>
      <c r="AB294">
        <v>29</v>
      </c>
      <c r="AC294">
        <v>257.71730000000002</v>
      </c>
      <c r="AD294">
        <v>6.2161759999999999</v>
      </c>
      <c r="AE294">
        <v>-12.745699999999999</v>
      </c>
      <c r="AF294">
        <v>15.4412939794321</v>
      </c>
      <c r="AG294">
        <v>6.2161759999999999</v>
      </c>
      <c r="AH294">
        <v>257.419912914355</v>
      </c>
      <c r="AI294">
        <v>88.619171410401705</v>
      </c>
      <c r="AJ294">
        <v>86.567234751686897</v>
      </c>
      <c r="AK294">
        <v>257.95752745104397</v>
      </c>
      <c r="AL294">
        <v>82.653729402508205</v>
      </c>
      <c r="AM294">
        <v>88.016009393221694</v>
      </c>
      <c r="AN294">
        <v>1.0000000350877001</v>
      </c>
    </row>
    <row r="295" spans="1:40" x14ac:dyDescent="0.25">
      <c r="A295" t="str">
        <f>"20190303170233262"</f>
        <v>20190303170233262</v>
      </c>
      <c r="B295" t="str">
        <f>"1551603753256527"</f>
        <v>1551603753256527</v>
      </c>
      <c r="C295" t="s">
        <v>40</v>
      </c>
      <c r="D295">
        <v>4.0260910000000001</v>
      </c>
      <c r="E295">
        <v>0.51136490000000001</v>
      </c>
      <c r="F295" t="s">
        <v>41</v>
      </c>
      <c r="G295">
        <v>-170.08879999999999</v>
      </c>
      <c r="H295">
        <v>7.148625</v>
      </c>
      <c r="I295">
        <v>354.94959999999998</v>
      </c>
      <c r="J295">
        <v>-427.63440000000003</v>
      </c>
      <c r="K295">
        <v>1.0711440000000001</v>
      </c>
      <c r="L295">
        <v>367.81439999999998</v>
      </c>
      <c r="M295">
        <v>0.9998783</v>
      </c>
      <c r="N295">
        <v>-1.1668049999999999E-2</v>
      </c>
      <c r="O295">
        <v>1.035723E-2</v>
      </c>
      <c r="P295">
        <v>0.99290140000000005</v>
      </c>
      <c r="Q295">
        <v>0.1164994</v>
      </c>
      <c r="R295">
        <v>-2.397167E-2</v>
      </c>
      <c r="S295">
        <v>3.0094599999999998</v>
      </c>
      <c r="T295">
        <v>7.0969820000000003E-2</v>
      </c>
      <c r="U295">
        <v>-0.15020749999999999</v>
      </c>
      <c r="V295">
        <v>3.4315810000000002E-2</v>
      </c>
      <c r="W295">
        <v>0.12805710000000001</v>
      </c>
      <c r="X295">
        <v>0.99117299999999997</v>
      </c>
      <c r="Y295">
        <v>6.017728E-2</v>
      </c>
      <c r="Z295">
        <v>7.2250709999999998E-4</v>
      </c>
      <c r="AA295">
        <v>0.99818739999999995</v>
      </c>
      <c r="AB295">
        <v>29</v>
      </c>
      <c r="AC295">
        <v>257.54559999999998</v>
      </c>
      <c r="AD295">
        <v>6.0774809999999997</v>
      </c>
      <c r="AE295">
        <v>-12.864800000000001</v>
      </c>
      <c r="AF295">
        <v>15.5231278872873</v>
      </c>
      <c r="AG295">
        <v>6.0774809999999997</v>
      </c>
      <c r="AH295">
        <v>257.25563475348298</v>
      </c>
      <c r="AI295">
        <v>88.649135923486099</v>
      </c>
      <c r="AJ295">
        <v>86.546887694180398</v>
      </c>
      <c r="AK295">
        <v>257.79519950365199</v>
      </c>
      <c r="AL295">
        <v>82.642666466415903</v>
      </c>
      <c r="AM295">
        <v>88.017131139092498</v>
      </c>
      <c r="AN295">
        <v>1.00000005580268</v>
      </c>
    </row>
    <row r="296" spans="1:40" x14ac:dyDescent="0.25">
      <c r="A296" t="str">
        <f>"20190303170233274"</f>
        <v>20190303170233274</v>
      </c>
      <c r="B296" t="str">
        <f>"1551603753266289"</f>
        <v>1551603753266289</v>
      </c>
      <c r="C296" t="s">
        <v>40</v>
      </c>
      <c r="D296">
        <v>3.997471</v>
      </c>
      <c r="E296">
        <v>0.51150490000000004</v>
      </c>
      <c r="F296" t="s">
        <v>41</v>
      </c>
      <c r="G296">
        <v>-170.08879999999999</v>
      </c>
      <c r="H296">
        <v>6.9215970000000002</v>
      </c>
      <c r="I296">
        <v>354.75209999999998</v>
      </c>
      <c r="J296">
        <v>-427.4787</v>
      </c>
      <c r="K296">
        <v>1.0711280000000001</v>
      </c>
      <c r="L296">
        <v>367.8159</v>
      </c>
      <c r="M296">
        <v>0.99987990000000004</v>
      </c>
      <c r="N296">
        <v>-1.1651140000000001E-2</v>
      </c>
      <c r="O296">
        <v>1.023104E-2</v>
      </c>
      <c r="P296">
        <v>0.99289919999999998</v>
      </c>
      <c r="Q296">
        <v>0.1165147</v>
      </c>
      <c r="R296">
        <v>-2.3995140000000002E-2</v>
      </c>
      <c r="S296">
        <v>3.009735</v>
      </c>
      <c r="T296">
        <v>6.8370699999999895E-2</v>
      </c>
      <c r="U296">
        <v>-0.1526489</v>
      </c>
      <c r="V296">
        <v>3.4213970000000003E-2</v>
      </c>
      <c r="W296">
        <v>0.12805569999999999</v>
      </c>
      <c r="X296">
        <v>0.99117670000000002</v>
      </c>
      <c r="Y296">
        <v>6.0855590000000001E-2</v>
      </c>
      <c r="Z296">
        <v>6.8724779999999896E-4</v>
      </c>
      <c r="AA296">
        <v>0.99814639999999999</v>
      </c>
      <c r="AB296">
        <v>29</v>
      </c>
      <c r="AC296">
        <v>257.38990000000001</v>
      </c>
      <c r="AD296">
        <v>5.8504690000000004</v>
      </c>
      <c r="AE296">
        <v>-13.063800000000001</v>
      </c>
      <c r="AF296">
        <v>15.6885762621536</v>
      </c>
      <c r="AG296">
        <v>5.8504690000000004</v>
      </c>
      <c r="AH296">
        <v>257.110266172965</v>
      </c>
      <c r="AI296">
        <v>88.698895339364199</v>
      </c>
      <c r="AJ296">
        <v>86.508206018014704</v>
      </c>
      <c r="AK296">
        <v>257.65490172745803</v>
      </c>
      <c r="AL296">
        <v>82.6427473355334</v>
      </c>
      <c r="AM296">
        <v>88.023018452601207</v>
      </c>
      <c r="AN296">
        <v>1.00000005433426</v>
      </c>
    </row>
    <row r="297" spans="1:40" x14ac:dyDescent="0.25">
      <c r="A297" t="str">
        <f>"20190303170233293"</f>
        <v>20190303170233293</v>
      </c>
      <c r="B297" t="str">
        <f>"1551603753285808"</f>
        <v>1551603753285808</v>
      </c>
      <c r="C297" t="s">
        <v>40</v>
      </c>
      <c r="D297">
        <v>4.0074019999999999</v>
      </c>
      <c r="E297">
        <v>0.51175519999999997</v>
      </c>
      <c r="F297" t="s">
        <v>41</v>
      </c>
      <c r="G297">
        <v>-170.08879999999999</v>
      </c>
      <c r="H297">
        <v>6.8072410000000003</v>
      </c>
      <c r="I297">
        <v>354.6628</v>
      </c>
      <c r="J297">
        <v>-427.24029999999999</v>
      </c>
      <c r="K297">
        <v>1.0711090000000001</v>
      </c>
      <c r="L297">
        <v>367.81810000000002</v>
      </c>
      <c r="M297">
        <v>0.99988189999999999</v>
      </c>
      <c r="N297">
        <v>-1.1628350000000001E-2</v>
      </c>
      <c r="O297">
        <v>1.003794E-2</v>
      </c>
      <c r="P297">
        <v>0.99288030000000005</v>
      </c>
      <c r="Q297">
        <v>0.1165617</v>
      </c>
      <c r="R297">
        <v>-2.4539490000000001E-2</v>
      </c>
      <c r="S297">
        <v>3.0098569999999998</v>
      </c>
      <c r="T297">
        <v>6.707776E-2</v>
      </c>
      <c r="U297">
        <v>-0.15380859999999999</v>
      </c>
      <c r="V297">
        <v>3.4566359999999997E-2</v>
      </c>
      <c r="W297">
        <v>0.12807979999999999</v>
      </c>
      <c r="X297">
        <v>0.99116130000000002</v>
      </c>
      <c r="Y297">
        <v>6.1045040000000002E-2</v>
      </c>
      <c r="Z297">
        <v>6.6467539999999904E-4</v>
      </c>
      <c r="AA297">
        <v>0.99813479999999999</v>
      </c>
      <c r="AB297">
        <v>29</v>
      </c>
      <c r="AC297">
        <v>257.1515</v>
      </c>
      <c r="AD297">
        <v>5.7361319999999996</v>
      </c>
      <c r="AE297">
        <v>-13.1553</v>
      </c>
      <c r="AF297">
        <v>15.728277660615801</v>
      </c>
      <c r="AG297">
        <v>5.7361319999999996</v>
      </c>
      <c r="AH297">
        <v>256.87899814222197</v>
      </c>
      <c r="AI297">
        <v>88.723182791261294</v>
      </c>
      <c r="AJ297">
        <v>86.496247906780894</v>
      </c>
      <c r="AK297">
        <v>257.42397249487601</v>
      </c>
      <c r="AL297">
        <v>82.641354607148102</v>
      </c>
      <c r="AM297">
        <v>88.002641745589798</v>
      </c>
      <c r="AN297">
        <v>0.99999999551468899</v>
      </c>
    </row>
    <row r="298" spans="1:40" x14ac:dyDescent="0.25">
      <c r="A298" t="str">
        <f>"20190303170233307"</f>
        <v>20190303170233307</v>
      </c>
      <c r="B298" t="str">
        <f>"1551603753296543"</f>
        <v>1551603753296543</v>
      </c>
      <c r="C298" t="s">
        <v>40</v>
      </c>
      <c r="D298">
        <v>3.9923989999999998</v>
      </c>
      <c r="E298">
        <v>0.51187299999999902</v>
      </c>
      <c r="F298" t="s">
        <v>41</v>
      </c>
      <c r="G298">
        <v>-169.2955</v>
      </c>
      <c r="H298">
        <v>6.5751720000000002</v>
      </c>
      <c r="I298">
        <v>354.34219999999999</v>
      </c>
      <c r="J298">
        <v>-427.06599999999997</v>
      </c>
      <c r="K298">
        <v>1.071097</v>
      </c>
      <c r="L298">
        <v>367.81970000000001</v>
      </c>
      <c r="M298">
        <v>0.99988370000000004</v>
      </c>
      <c r="N298">
        <v>-1.161351E-2</v>
      </c>
      <c r="O298">
        <v>9.8961819999999999E-3</v>
      </c>
      <c r="P298">
        <v>0.99285350000000006</v>
      </c>
      <c r="Q298">
        <v>0.11675480000000001</v>
      </c>
      <c r="R298">
        <v>-2.4703619999999999E-2</v>
      </c>
      <c r="S298">
        <v>3.0100709999999999</v>
      </c>
      <c r="T298">
        <v>6.4230319999999994E-2</v>
      </c>
      <c r="U298">
        <v>-0.15725710000000001</v>
      </c>
      <c r="V298">
        <v>3.4589559999999998E-2</v>
      </c>
      <c r="W298">
        <v>0.1282576</v>
      </c>
      <c r="X298">
        <v>0.9911375</v>
      </c>
      <c r="Y298">
        <v>6.2041560000000003E-2</v>
      </c>
      <c r="Z298">
        <v>6.2671510000000005E-4</v>
      </c>
      <c r="AA298">
        <v>0.9980734</v>
      </c>
      <c r="AB298">
        <v>29</v>
      </c>
      <c r="AC298">
        <v>257.77050000000003</v>
      </c>
      <c r="AD298">
        <v>5.5040750000000003</v>
      </c>
      <c r="AE298">
        <v>-13.477499999999999</v>
      </c>
      <c r="AF298">
        <v>16.020671024173701</v>
      </c>
      <c r="AG298">
        <v>5.5040750000000003</v>
      </c>
      <c r="AH298">
        <v>257.50740453933997</v>
      </c>
      <c r="AI298">
        <v>88.777883777578595</v>
      </c>
      <c r="AJ298">
        <v>86.439965395118904</v>
      </c>
      <c r="AK298">
        <v>258.06398457409301</v>
      </c>
      <c r="AL298">
        <v>82.631082707944103</v>
      </c>
      <c r="AM298">
        <v>88.001254304583398</v>
      </c>
      <c r="AN298">
        <v>0.99999999676250095</v>
      </c>
    </row>
    <row r="299" spans="1:40" x14ac:dyDescent="0.25">
      <c r="A299" t="str">
        <f>"20190303170233319"</f>
        <v>20190303170233319</v>
      </c>
      <c r="B299" t="str">
        <f>"1551603753306303"</f>
        <v>1551603753306303</v>
      </c>
      <c r="C299" t="s">
        <v>40</v>
      </c>
      <c r="D299">
        <v>4.0161319999999998</v>
      </c>
      <c r="E299">
        <v>0.51199229999999996</v>
      </c>
      <c r="F299" t="s">
        <v>41</v>
      </c>
      <c r="G299">
        <v>-169.2955</v>
      </c>
      <c r="H299">
        <v>6.5023739999999997</v>
      </c>
      <c r="I299">
        <v>354.24369999999999</v>
      </c>
      <c r="J299">
        <v>-426.89519999999999</v>
      </c>
      <c r="K299">
        <v>1.07108799999999</v>
      </c>
      <c r="L299">
        <v>367.82130000000001</v>
      </c>
      <c r="M299">
        <v>0.99988520000000003</v>
      </c>
      <c r="N299">
        <v>-1.159994E-2</v>
      </c>
      <c r="O299">
        <v>9.757511E-3</v>
      </c>
      <c r="P299">
        <v>0.99284430000000001</v>
      </c>
      <c r="Q299">
        <v>0.11679870000000001</v>
      </c>
      <c r="R299">
        <v>-2.4868410000000001E-2</v>
      </c>
      <c r="S299">
        <v>3.0101930000000001</v>
      </c>
      <c r="T299">
        <v>6.3426380000000004E-2</v>
      </c>
      <c r="U299">
        <v>-0.15853879999999901</v>
      </c>
      <c r="V299">
        <v>3.4616479999999998E-2</v>
      </c>
      <c r="W299">
        <v>0.12828789999999901</v>
      </c>
      <c r="X299">
        <v>0.99113260000000003</v>
      </c>
      <c r="Y299">
        <v>6.2325220000000001E-2</v>
      </c>
      <c r="Z299">
        <v>6.1284899999999995E-4</v>
      </c>
      <c r="AA299">
        <v>0.99805569999999999</v>
      </c>
      <c r="AB299">
        <v>29</v>
      </c>
      <c r="AC299">
        <v>257.59969999999998</v>
      </c>
      <c r="AD299">
        <v>5.4312860000000001</v>
      </c>
      <c r="AE299">
        <v>-13.5776</v>
      </c>
      <c r="AF299">
        <v>16.083524323452998</v>
      </c>
      <c r="AG299">
        <v>5.4312860000000001</v>
      </c>
      <c r="AH299">
        <v>257.34086030091498</v>
      </c>
      <c r="AI299">
        <v>88.793282013432304</v>
      </c>
      <c r="AJ299">
        <v>86.423727600161499</v>
      </c>
      <c r="AK299">
        <v>257.90016867519103</v>
      </c>
      <c r="AL299">
        <v>82.629331900132499</v>
      </c>
      <c r="AM299">
        <v>87.999690123802196</v>
      </c>
      <c r="AN299">
        <v>0.99999995837837896</v>
      </c>
    </row>
    <row r="300" spans="1:40" x14ac:dyDescent="0.25">
      <c r="A300" t="str">
        <f>"20190303170233336"</f>
        <v>20190303170233336</v>
      </c>
      <c r="B300" t="str">
        <f>"1551603753325824"</f>
        <v>1551603753325824</v>
      </c>
      <c r="C300" t="s">
        <v>40</v>
      </c>
      <c r="D300">
        <v>4.0006459999999997</v>
      </c>
      <c r="E300">
        <v>0.51222559999999995</v>
      </c>
      <c r="F300" t="s">
        <v>41</v>
      </c>
      <c r="G300">
        <v>-169.2955</v>
      </c>
      <c r="H300">
        <v>6.3856400000000004</v>
      </c>
      <c r="I300">
        <v>354.14249999999998</v>
      </c>
      <c r="J300">
        <v>-426.68279999999999</v>
      </c>
      <c r="K300">
        <v>1.0710789999999999</v>
      </c>
      <c r="L300">
        <v>367.82319999999999</v>
      </c>
      <c r="M300">
        <v>0.99988699999999997</v>
      </c>
      <c r="N300">
        <v>-1.158461E-2</v>
      </c>
      <c r="O300">
        <v>9.5852929999999999E-3</v>
      </c>
      <c r="P300">
        <v>0.9928148</v>
      </c>
      <c r="Q300">
        <v>0.1168589</v>
      </c>
      <c r="R300">
        <v>-2.574775E-2</v>
      </c>
      <c r="S300">
        <v>3.0103149999999999</v>
      </c>
      <c r="T300">
        <v>6.2106969999999997E-2</v>
      </c>
      <c r="U300">
        <v>-0.1598511</v>
      </c>
      <c r="V300">
        <v>3.5324620000000001E-2</v>
      </c>
      <c r="W300">
        <v>0.12833230000000001</v>
      </c>
      <c r="X300">
        <v>0.99110189999999998</v>
      </c>
      <c r="Y300">
        <v>6.2585660000000001E-2</v>
      </c>
      <c r="Z300">
        <v>5.908434E-4</v>
      </c>
      <c r="AA300">
        <v>0.99803940000000002</v>
      </c>
      <c r="AB300">
        <v>29</v>
      </c>
      <c r="AC300">
        <v>257.38729999999998</v>
      </c>
      <c r="AD300">
        <v>5.3145610000000003</v>
      </c>
      <c r="AE300">
        <v>-13.6807</v>
      </c>
      <c r="AF300">
        <v>16.140507530399901</v>
      </c>
      <c r="AG300">
        <v>5.3145610000000003</v>
      </c>
      <c r="AH300">
        <v>257.135012506544</v>
      </c>
      <c r="AI300">
        <v>88.818283455156006</v>
      </c>
      <c r="AJ300">
        <v>86.408224524618305</v>
      </c>
      <c r="AK300">
        <v>257.69589674401601</v>
      </c>
      <c r="AL300">
        <v>82.626767014212206</v>
      </c>
      <c r="AM300">
        <v>87.958741417899006</v>
      </c>
      <c r="AN300">
        <v>0.99999999209252199</v>
      </c>
    </row>
    <row r="301" spans="1:40" x14ac:dyDescent="0.25">
      <c r="A301" t="str">
        <f>"20190303170233349"</f>
        <v>20190303170233349</v>
      </c>
      <c r="B301" t="str">
        <f>"1551603753336560"</f>
        <v>1551603753336560</v>
      </c>
      <c r="C301" t="s">
        <v>40</v>
      </c>
      <c r="D301">
        <v>4.0199319999999998</v>
      </c>
      <c r="E301">
        <v>0.51234190000000002</v>
      </c>
      <c r="F301" t="s">
        <v>41</v>
      </c>
      <c r="G301">
        <v>-169.2955</v>
      </c>
      <c r="H301">
        <v>6.163818</v>
      </c>
      <c r="I301">
        <v>353.78840000000002</v>
      </c>
      <c r="J301">
        <v>-426.51909999999998</v>
      </c>
      <c r="K301">
        <v>1.0710679999999999</v>
      </c>
      <c r="L301">
        <v>367.82459999999998</v>
      </c>
      <c r="M301">
        <v>0.99988849999999996</v>
      </c>
      <c r="N301">
        <v>-1.157419E-2</v>
      </c>
      <c r="O301">
        <v>9.4528570000000003E-3</v>
      </c>
      <c r="P301">
        <v>0.9928015</v>
      </c>
      <c r="Q301">
        <v>0.1169149</v>
      </c>
      <c r="R301">
        <v>-2.60103E-2</v>
      </c>
      <c r="S301">
        <v>3.0104679999999999</v>
      </c>
      <c r="T301">
        <v>5.9566969999999997E-2</v>
      </c>
      <c r="U301">
        <v>-0.1641541</v>
      </c>
      <c r="V301">
        <v>3.5455569999999999E-2</v>
      </c>
      <c r="W301">
        <v>0.12837770000000001</v>
      </c>
      <c r="X301">
        <v>0.99109139999999996</v>
      </c>
      <c r="Y301">
        <v>6.3874120000000006E-2</v>
      </c>
      <c r="Z301">
        <v>5.5765009999999996E-4</v>
      </c>
      <c r="AA301">
        <v>0.99795780000000001</v>
      </c>
      <c r="AB301">
        <v>29</v>
      </c>
      <c r="AC301">
        <v>257.22359999999998</v>
      </c>
      <c r="AD301">
        <v>5.0927499999999997</v>
      </c>
      <c r="AE301">
        <v>-14.0361999999999</v>
      </c>
      <c r="AF301">
        <v>16.460799742618999</v>
      </c>
      <c r="AG301">
        <v>5.0927499999999997</v>
      </c>
      <c r="AH301">
        <v>256.97897884528402</v>
      </c>
      <c r="AI301">
        <v>88.866995500974994</v>
      </c>
      <c r="AJ301">
        <v>86.334923523916203</v>
      </c>
      <c r="AK301">
        <v>257.55599313371499</v>
      </c>
      <c r="AL301">
        <v>82.624144498651006</v>
      </c>
      <c r="AM301">
        <v>87.9511591274686</v>
      </c>
      <c r="AN301">
        <v>1.00000004722763</v>
      </c>
    </row>
    <row r="302" spans="1:40" x14ac:dyDescent="0.25">
      <c r="A302" t="str">
        <f>"20190303170233366"</f>
        <v>20190303170233366</v>
      </c>
      <c r="B302" t="str">
        <f>"1551603753356338"</f>
        <v>1551603753356338</v>
      </c>
      <c r="C302" t="s">
        <v>40</v>
      </c>
      <c r="D302">
        <v>4.0380039999999999</v>
      </c>
      <c r="E302">
        <v>0.51265959999999999</v>
      </c>
      <c r="F302" t="s">
        <v>45</v>
      </c>
      <c r="G302">
        <v>-249.68680000000001</v>
      </c>
      <c r="H302">
        <v>4.4988799999999998</v>
      </c>
      <c r="I302">
        <v>358.0804</v>
      </c>
      <c r="J302">
        <v>-426.30900000000003</v>
      </c>
      <c r="K302">
        <v>1.0710580000000001</v>
      </c>
      <c r="L302">
        <v>367.82639999999998</v>
      </c>
      <c r="M302">
        <v>0.9998901</v>
      </c>
      <c r="N302">
        <v>-1.156197E-2</v>
      </c>
      <c r="O302">
        <v>9.2829479999999992E-3</v>
      </c>
      <c r="P302">
        <v>0.99279289999999998</v>
      </c>
      <c r="Q302">
        <v>0.11692809999999999</v>
      </c>
      <c r="R302">
        <v>-2.6273109999999999E-2</v>
      </c>
      <c r="S302">
        <v>3.0105590000000002</v>
      </c>
      <c r="T302">
        <v>5.835974E-2</v>
      </c>
      <c r="U302">
        <v>-0.1658936</v>
      </c>
      <c r="V302">
        <v>3.5549699999999997E-2</v>
      </c>
      <c r="W302">
        <v>0.12837870000000001</v>
      </c>
      <c r="X302">
        <v>0.99108790000000002</v>
      </c>
      <c r="Y302">
        <v>6.4278290000000002E-2</v>
      </c>
      <c r="Z302">
        <v>5.3762349999999896E-4</v>
      </c>
      <c r="AA302">
        <v>0.99793189999999998</v>
      </c>
      <c r="AB302">
        <v>29</v>
      </c>
      <c r="AC302">
        <v>176.62219999999999</v>
      </c>
      <c r="AD302">
        <v>3.4278219999999999</v>
      </c>
      <c r="AE302">
        <v>-9.7459999999999791</v>
      </c>
      <c r="AF302">
        <v>11.380990542090901</v>
      </c>
      <c r="AG302">
        <v>3.4278219999999999</v>
      </c>
      <c r="AH302">
        <v>176.45784880809501</v>
      </c>
      <c r="AI302">
        <v>88.889434716429307</v>
      </c>
      <c r="AJ302">
        <v>86.309709149055294</v>
      </c>
      <c r="AK302">
        <v>176.857709233619</v>
      </c>
      <c r="AL302">
        <v>82.624086735399402</v>
      </c>
      <c r="AM302">
        <v>87.945717123018497</v>
      </c>
      <c r="AN302">
        <v>1.00000004865509</v>
      </c>
    </row>
    <row r="303" spans="1:40" x14ac:dyDescent="0.25">
      <c r="A303" t="str">
        <f>"20190303170233383"</f>
        <v>20190303170233383</v>
      </c>
      <c r="B303" t="str">
        <f>"1551603753375859"</f>
        <v>1551603753375859</v>
      </c>
      <c r="C303" t="s">
        <v>40</v>
      </c>
      <c r="D303">
        <v>4.0302819999999997</v>
      </c>
      <c r="E303">
        <v>0.51289019999999996</v>
      </c>
      <c r="F303" t="s">
        <v>45</v>
      </c>
      <c r="G303">
        <v>-249.59479999999999</v>
      </c>
      <c r="H303">
        <v>4.3537030000000003</v>
      </c>
      <c r="I303">
        <v>357.90649999999999</v>
      </c>
      <c r="J303">
        <v>-426.07960000000003</v>
      </c>
      <c r="K303">
        <v>1.071045</v>
      </c>
      <c r="L303">
        <v>367.82830000000001</v>
      </c>
      <c r="M303">
        <v>0.999892</v>
      </c>
      <c r="N303">
        <v>-1.1550080000000001E-2</v>
      </c>
      <c r="O303">
        <v>9.0975980000000001E-3</v>
      </c>
      <c r="P303">
        <v>0.99282119999999996</v>
      </c>
      <c r="Q303">
        <v>0.1165569</v>
      </c>
      <c r="R303">
        <v>-2.6847070000000001E-2</v>
      </c>
      <c r="S303">
        <v>3.0107119999999998</v>
      </c>
      <c r="T303">
        <v>5.5928470000000001E-2</v>
      </c>
      <c r="U303">
        <v>-0.1690063</v>
      </c>
      <c r="V303">
        <v>3.593967E-2</v>
      </c>
      <c r="W303">
        <v>0.12799559999999999</v>
      </c>
      <c r="X303">
        <v>0.99112330000000004</v>
      </c>
      <c r="Y303">
        <v>6.5120029999999995E-2</v>
      </c>
      <c r="Z303">
        <v>5.0177339999999998E-4</v>
      </c>
      <c r="AA303">
        <v>0.99787729999999997</v>
      </c>
      <c r="AB303">
        <v>29</v>
      </c>
      <c r="AC303">
        <v>176.48480000000001</v>
      </c>
      <c r="AD303">
        <v>3.2826580000000001</v>
      </c>
      <c r="AE303">
        <v>-9.9218000000000099</v>
      </c>
      <c r="AF303">
        <v>11.5231099918776</v>
      </c>
      <c r="AG303">
        <v>3.2826580000000001</v>
      </c>
      <c r="AH303">
        <v>176.32641361762299</v>
      </c>
      <c r="AI303">
        <v>88.935720895615802</v>
      </c>
      <c r="AJ303">
        <v>86.260979454339306</v>
      </c>
      <c r="AK303">
        <v>176.73302477659001</v>
      </c>
      <c r="AL303">
        <v>82.646218720516202</v>
      </c>
      <c r="AM303">
        <v>87.923275968053403</v>
      </c>
      <c r="AN303">
        <v>0.99999996465097796</v>
      </c>
    </row>
    <row r="304" spans="1:40" x14ac:dyDescent="0.25">
      <c r="A304" t="str">
        <f>"20190303170233397"</f>
        <v>20190303170233397</v>
      </c>
      <c r="B304" t="str">
        <f>"1551603753386595"</f>
        <v>1551603753386595</v>
      </c>
      <c r="C304" t="s">
        <v>40</v>
      </c>
      <c r="D304">
        <v>4.0347619999999997</v>
      </c>
      <c r="E304">
        <v>0.51300259999999998</v>
      </c>
      <c r="F304" t="s">
        <v>41</v>
      </c>
      <c r="G304">
        <v>-158.78319999999999</v>
      </c>
      <c r="H304">
        <v>5.6949489999999896</v>
      </c>
      <c r="I304">
        <v>352.52370000000002</v>
      </c>
      <c r="J304">
        <v>-425.90300000000002</v>
      </c>
      <c r="K304">
        <v>1.0710360000000001</v>
      </c>
      <c r="L304">
        <v>367.82979999999998</v>
      </c>
      <c r="M304">
        <v>0.99989340000000004</v>
      </c>
      <c r="N304">
        <v>-1.15418E-2</v>
      </c>
      <c r="O304">
        <v>8.9553169999999904E-3</v>
      </c>
      <c r="P304">
        <v>0.99279709999999999</v>
      </c>
      <c r="Q304">
        <v>0.1166682</v>
      </c>
      <c r="R304">
        <v>-2.725052E-2</v>
      </c>
      <c r="S304">
        <v>3.0108640000000002</v>
      </c>
      <c r="T304">
        <v>5.2085279999999998E-2</v>
      </c>
      <c r="U304">
        <v>-0.17239380000000001</v>
      </c>
      <c r="V304">
        <v>3.6201659999999997E-2</v>
      </c>
      <c r="W304">
        <v>0.12809870000000001</v>
      </c>
      <c r="X304">
        <v>0.99110050000000005</v>
      </c>
      <c r="Y304">
        <v>6.6095630000000002E-2</v>
      </c>
      <c r="Z304">
        <v>4.4747210000000001E-4</v>
      </c>
      <c r="AA304">
        <v>0.99781319999999996</v>
      </c>
      <c r="AB304">
        <v>29</v>
      </c>
      <c r="AC304">
        <v>267.1198</v>
      </c>
      <c r="AD304">
        <v>4.6239129999999902</v>
      </c>
      <c r="AE304">
        <v>-15.306099999999899</v>
      </c>
      <c r="AF304">
        <v>17.692503595517898</v>
      </c>
      <c r="AG304">
        <v>4.6239129999999902</v>
      </c>
      <c r="AH304">
        <v>266.89229582761197</v>
      </c>
      <c r="AI304">
        <v>89.009622338102503</v>
      </c>
      <c r="AJ304">
        <v>86.207366027715295</v>
      </c>
      <c r="AK304">
        <v>267.51804205892898</v>
      </c>
      <c r="AL304">
        <v>82.640262897319204</v>
      </c>
      <c r="AM304">
        <v>87.908102559894999</v>
      </c>
      <c r="AN304">
        <v>1.0000000191143401</v>
      </c>
    </row>
    <row r="305" spans="1:40" x14ac:dyDescent="0.25">
      <c r="A305" t="str">
        <f>"20190303170233416"</f>
        <v>20190303170233416</v>
      </c>
      <c r="B305" t="str">
        <f>"1551603753406115"</f>
        <v>1551603753406115</v>
      </c>
      <c r="C305" t="s">
        <v>40</v>
      </c>
      <c r="D305">
        <v>4.0573350000000001</v>
      </c>
      <c r="E305">
        <v>0.51316039999999996</v>
      </c>
      <c r="F305" t="s">
        <v>41</v>
      </c>
      <c r="G305">
        <v>-158.78319999999999</v>
      </c>
      <c r="H305">
        <v>5.612088</v>
      </c>
      <c r="I305">
        <v>352.35160000000002</v>
      </c>
      <c r="J305">
        <v>-425.66500000000002</v>
      </c>
      <c r="K305">
        <v>1.0710280000000001</v>
      </c>
      <c r="L305">
        <v>367.83170000000001</v>
      </c>
      <c r="M305">
        <v>0.99989519999999998</v>
      </c>
      <c r="N305">
        <v>-1.153203E-2</v>
      </c>
      <c r="O305">
        <v>8.7635769999999998E-3</v>
      </c>
      <c r="P305">
        <v>0.99284209999999995</v>
      </c>
      <c r="Q305">
        <v>0.1162231</v>
      </c>
      <c r="R305">
        <v>-2.7507199999999999E-2</v>
      </c>
      <c r="S305">
        <v>3.0109560000000002</v>
      </c>
      <c r="T305">
        <v>5.1187400000000001E-2</v>
      </c>
      <c r="U305">
        <v>-0.17446900000000001</v>
      </c>
      <c r="V305">
        <v>3.6268330000000001E-2</v>
      </c>
      <c r="W305">
        <v>0.1276447</v>
      </c>
      <c r="X305">
        <v>0.99115660000000005</v>
      </c>
      <c r="Y305">
        <v>6.6588330000000001E-2</v>
      </c>
      <c r="Z305">
        <v>4.3102519999999999E-4</v>
      </c>
      <c r="AA305">
        <v>0.99778040000000001</v>
      </c>
      <c r="AB305">
        <v>29</v>
      </c>
      <c r="AC305">
        <v>266.8818</v>
      </c>
      <c r="AD305">
        <v>4.5410599999999999</v>
      </c>
      <c r="AE305">
        <v>-15.480099999999901</v>
      </c>
      <c r="AF305">
        <v>17.813359969992799</v>
      </c>
      <c r="AG305">
        <v>4.5410599999999999</v>
      </c>
      <c r="AH305">
        <v>266.65893621956297</v>
      </c>
      <c r="AI305">
        <v>89.026546808266502</v>
      </c>
      <c r="AJ305">
        <v>86.178203438489405</v>
      </c>
      <c r="AK305">
        <v>267.29183542542597</v>
      </c>
      <c r="AL305">
        <v>82.666490227761599</v>
      </c>
      <c r="AM305">
        <v>87.904372009245506</v>
      </c>
      <c r="AN305">
        <v>0.99999998346131902</v>
      </c>
    </row>
    <row r="306" spans="1:40" x14ac:dyDescent="0.25">
      <c r="A306" t="str">
        <f>"20190303170233438"</f>
        <v>20190303170233438</v>
      </c>
      <c r="B306" t="str">
        <f>"1551603753426610"</f>
        <v>1551603753426610</v>
      </c>
      <c r="C306" t="s">
        <v>40</v>
      </c>
      <c r="D306">
        <v>4.0075229999999999</v>
      </c>
      <c r="E306">
        <v>0.51333169999999995</v>
      </c>
      <c r="F306" t="s">
        <v>41</v>
      </c>
      <c r="G306">
        <v>-158.78319999999999</v>
      </c>
      <c r="H306">
        <v>5.2696259999999997</v>
      </c>
      <c r="I306">
        <v>352.22789999999998</v>
      </c>
      <c r="J306">
        <v>-425.38740000000001</v>
      </c>
      <c r="K306">
        <v>1.0710200000000001</v>
      </c>
      <c r="L306">
        <v>367.83390000000003</v>
      </c>
      <c r="M306">
        <v>0.99989729999999999</v>
      </c>
      <c r="N306">
        <v>-1.152225E-2</v>
      </c>
      <c r="O306">
        <v>8.5394159999999993E-3</v>
      </c>
      <c r="P306">
        <v>0.99288359999999998</v>
      </c>
      <c r="Q306">
        <v>0.1158955</v>
      </c>
      <c r="R306">
        <v>-2.7406710000000001E-2</v>
      </c>
      <c r="S306">
        <v>3.0112000000000001</v>
      </c>
      <c r="T306">
        <v>4.7373289999999998E-2</v>
      </c>
      <c r="U306">
        <v>-0.17605589999999999</v>
      </c>
      <c r="V306">
        <v>3.5945070000000003E-2</v>
      </c>
      <c r="W306">
        <v>0.127308</v>
      </c>
      <c r="X306">
        <v>0.99121170000000003</v>
      </c>
      <c r="Y306">
        <v>6.6885299999999995E-2</v>
      </c>
      <c r="Z306">
        <v>3.7249469999999998E-4</v>
      </c>
      <c r="AA306">
        <v>0.9977606</v>
      </c>
      <c r="AB306">
        <v>29</v>
      </c>
      <c r="AC306">
        <v>266.60419999999999</v>
      </c>
      <c r="AD306">
        <v>4.1986059999999998</v>
      </c>
      <c r="AE306">
        <v>-15.606</v>
      </c>
      <c r="AF306">
        <v>17.877807077767802</v>
      </c>
      <c r="AG306">
        <v>4.1986059999999998</v>
      </c>
      <c r="AH306">
        <v>266.395358799924</v>
      </c>
      <c r="AI306">
        <v>89.099073166890605</v>
      </c>
      <c r="AJ306">
        <v>86.160634061826698</v>
      </c>
      <c r="AK306">
        <v>267.02758559443498</v>
      </c>
      <c r="AL306">
        <v>82.685940554448806</v>
      </c>
      <c r="AM306">
        <v>87.923149285481102</v>
      </c>
      <c r="AN306">
        <v>1.00000000456909</v>
      </c>
    </row>
    <row r="307" spans="1:40" x14ac:dyDescent="0.25">
      <c r="A307" t="str">
        <f>"20190303170233451"</f>
        <v>20190303170233451</v>
      </c>
      <c r="B307" t="str">
        <f>"1551603753436372"</f>
        <v>1551603753436372</v>
      </c>
      <c r="C307" t="s">
        <v>40</v>
      </c>
      <c r="D307">
        <v>3.9968729999999999</v>
      </c>
      <c r="E307">
        <v>0.51341429999999999</v>
      </c>
      <c r="F307" t="s">
        <v>41</v>
      </c>
      <c r="G307">
        <v>-158.78319999999999</v>
      </c>
      <c r="H307">
        <v>5.0139959999999997</v>
      </c>
      <c r="I307">
        <v>352.14769999999999</v>
      </c>
      <c r="J307">
        <v>-425.21449999999999</v>
      </c>
      <c r="K307">
        <v>1.071016</v>
      </c>
      <c r="L307">
        <v>367.83519999999999</v>
      </c>
      <c r="M307">
        <v>0.99989850000000002</v>
      </c>
      <c r="N307">
        <v>-1.151693E-2</v>
      </c>
      <c r="O307">
        <v>8.4007500000000002E-3</v>
      </c>
      <c r="P307">
        <v>0.99285489999999998</v>
      </c>
      <c r="Q307">
        <v>0.1161253</v>
      </c>
      <c r="R307">
        <v>-2.7464579999999999E-2</v>
      </c>
      <c r="S307">
        <v>3.011444</v>
      </c>
      <c r="T307">
        <v>4.4539090000000003E-2</v>
      </c>
      <c r="U307">
        <v>-0.17718510000000001</v>
      </c>
      <c r="V307">
        <v>3.5865359999999999E-2</v>
      </c>
      <c r="W307">
        <v>0.12753219999999901</v>
      </c>
      <c r="X307">
        <v>0.99118580000000001</v>
      </c>
      <c r="Y307">
        <v>6.7115900000000006E-2</v>
      </c>
      <c r="Z307">
        <v>3.2982349999999998E-4</v>
      </c>
      <c r="AA307">
        <v>0.9977452</v>
      </c>
      <c r="AB307">
        <v>29</v>
      </c>
      <c r="AC307">
        <v>266.43130000000002</v>
      </c>
      <c r="AD307">
        <v>3.9429799999999999</v>
      </c>
      <c r="AE307">
        <v>-15.6875</v>
      </c>
      <c r="AF307">
        <v>17.9214057714658</v>
      </c>
      <c r="AG307">
        <v>3.9429799999999999</v>
      </c>
      <c r="AH307">
        <v>266.23199373018798</v>
      </c>
      <c r="AI307">
        <v>89.153409060369896</v>
      </c>
      <c r="AJ307">
        <v>86.148944554577596</v>
      </c>
      <c r="AK307">
        <v>266.86363251978798</v>
      </c>
      <c r="AL307">
        <v>82.672989519774802</v>
      </c>
      <c r="AM307">
        <v>87.927696685336301</v>
      </c>
      <c r="AN307">
        <v>1.0000000381031999</v>
      </c>
    </row>
    <row r="308" spans="1:40" x14ac:dyDescent="0.25">
      <c r="A308" t="str">
        <f>"20190303170233463"</f>
        <v>20190303170233463</v>
      </c>
      <c r="B308" t="str">
        <f>"1551603753455891"</f>
        <v>1551603753455891</v>
      </c>
      <c r="C308" t="s">
        <v>40</v>
      </c>
      <c r="D308">
        <v>4.0464449999999896</v>
      </c>
      <c r="E308">
        <v>0.51357839999999999</v>
      </c>
      <c r="F308" t="s">
        <v>41</v>
      </c>
      <c r="G308">
        <v>-158.78319999999999</v>
      </c>
      <c r="H308">
        <v>4.9980310000000001</v>
      </c>
      <c r="I308">
        <v>352.1026</v>
      </c>
      <c r="J308">
        <v>-425.05169999999998</v>
      </c>
      <c r="K308">
        <v>1.0710139999999999</v>
      </c>
      <c r="L308">
        <v>367.8365</v>
      </c>
      <c r="M308">
        <v>0.99989950000000005</v>
      </c>
      <c r="N308">
        <v>-1.1512430000000001E-2</v>
      </c>
      <c r="O308">
        <v>8.2700080000000006E-3</v>
      </c>
      <c r="P308">
        <v>0.99284059999999996</v>
      </c>
      <c r="Q308">
        <v>0.1162711</v>
      </c>
      <c r="R308">
        <v>-2.7361119999999999E-2</v>
      </c>
      <c r="S308">
        <v>3.0114749999999999</v>
      </c>
      <c r="T308">
        <v>4.438806E-2</v>
      </c>
      <c r="U308">
        <v>-0.17782590000000001</v>
      </c>
      <c r="V308">
        <v>3.563206E-2</v>
      </c>
      <c r="W308">
        <v>0.1276736</v>
      </c>
      <c r="X308">
        <v>0.99117599999999995</v>
      </c>
      <c r="Y308">
        <v>6.7196530000000004E-2</v>
      </c>
      <c r="Z308">
        <v>3.245217E-4</v>
      </c>
      <c r="AA308">
        <v>0.99773970000000001</v>
      </c>
      <c r="AB308">
        <v>29</v>
      </c>
      <c r="AC308">
        <v>266.26850000000002</v>
      </c>
      <c r="AD308">
        <v>3.92701699999999</v>
      </c>
      <c r="AE308">
        <v>-15.7339</v>
      </c>
      <c r="AF308">
        <v>17.9316637011664</v>
      </c>
      <c r="AG308">
        <v>3.92701699999999</v>
      </c>
      <c r="AH308">
        <v>266.07159231782401</v>
      </c>
      <c r="AI308">
        <v>89.156332202165999</v>
      </c>
      <c r="AJ308">
        <v>86.144430978026094</v>
      </c>
      <c r="AK308">
        <v>266.70406495618403</v>
      </c>
      <c r="AL308">
        <v>82.664821044075893</v>
      </c>
      <c r="AM308">
        <v>87.941144800247997</v>
      </c>
      <c r="AN308">
        <v>1.0000000274064</v>
      </c>
    </row>
    <row r="309" spans="1:40" x14ac:dyDescent="0.25">
      <c r="A309" t="str">
        <f>"20190303170233475"</f>
        <v>20190303170233475</v>
      </c>
      <c r="B309" t="str">
        <f>"1551603753466627"</f>
        <v>1551603753466627</v>
      </c>
      <c r="C309" t="s">
        <v>40</v>
      </c>
      <c r="D309">
        <v>4.0340109999999996</v>
      </c>
      <c r="E309">
        <v>0.51366229999999902</v>
      </c>
      <c r="F309" t="s">
        <v>41</v>
      </c>
      <c r="G309">
        <v>-158.78319999999999</v>
      </c>
      <c r="H309">
        <v>4.8708470000000004</v>
      </c>
      <c r="I309">
        <v>352.00080000000003</v>
      </c>
      <c r="J309">
        <v>-424.89819999999997</v>
      </c>
      <c r="K309">
        <v>1.0710219999999999</v>
      </c>
      <c r="L309">
        <v>367.83760000000001</v>
      </c>
      <c r="M309">
        <v>0.99990080000000003</v>
      </c>
      <c r="N309">
        <v>-1.150845E-2</v>
      </c>
      <c r="O309">
        <v>8.1462959999999904E-3</v>
      </c>
      <c r="P309">
        <v>0.99280599999999997</v>
      </c>
      <c r="Q309">
        <v>0.11658159999999999</v>
      </c>
      <c r="R309">
        <v>-2.7308880000000001E-2</v>
      </c>
      <c r="S309">
        <v>3.0115970000000001</v>
      </c>
      <c r="T309">
        <v>4.2978530000000001E-2</v>
      </c>
      <c r="U309">
        <v>-0.17910770000000001</v>
      </c>
      <c r="V309">
        <v>3.5456729999999999E-2</v>
      </c>
      <c r="W309">
        <v>0.12797999999999901</v>
      </c>
      <c r="X309">
        <v>0.99114270000000004</v>
      </c>
      <c r="Y309">
        <v>6.7494250000000006E-2</v>
      </c>
      <c r="Z309">
        <v>3.0223119999999999E-4</v>
      </c>
      <c r="AA309">
        <v>0.99771960000000004</v>
      </c>
      <c r="AB309">
        <v>29</v>
      </c>
      <c r="AC309">
        <v>266.11500000000001</v>
      </c>
      <c r="AD309">
        <v>3.7998249999999998</v>
      </c>
      <c r="AE309">
        <v>-15.836799999999901</v>
      </c>
      <c r="AF309">
        <v>18.0006119928434</v>
      </c>
      <c r="AG309">
        <v>3.7998249999999998</v>
      </c>
      <c r="AH309">
        <v>265.92312213318502</v>
      </c>
      <c r="AI309">
        <v>89.183214548327996</v>
      </c>
      <c r="AJ309">
        <v>86.127496741223098</v>
      </c>
      <c r="AK309">
        <v>266.55875072337898</v>
      </c>
      <c r="AL309">
        <v>82.647119882166393</v>
      </c>
      <c r="AM309">
        <v>87.951198110561094</v>
      </c>
      <c r="AN309">
        <v>0.99999995593279001</v>
      </c>
    </row>
    <row r="310" spans="1:40" x14ac:dyDescent="0.25">
      <c r="A310" t="str">
        <f>"20190303170233493"</f>
        <v>20190303170233493</v>
      </c>
      <c r="B310" t="str">
        <f>"1551603753486147"</f>
        <v>1551603753486147</v>
      </c>
      <c r="C310" t="s">
        <v>40</v>
      </c>
      <c r="D310">
        <v>4.0447579999999999</v>
      </c>
      <c r="E310">
        <v>0.51379830000000004</v>
      </c>
      <c r="F310" t="s">
        <v>41</v>
      </c>
      <c r="G310">
        <v>-158.78319999999999</v>
      </c>
      <c r="H310">
        <v>4.879086</v>
      </c>
      <c r="I310">
        <v>351.98739999999998</v>
      </c>
      <c r="J310">
        <v>-424.6542</v>
      </c>
      <c r="K310">
        <v>1.071021</v>
      </c>
      <c r="L310">
        <v>367.83940000000001</v>
      </c>
      <c r="M310">
        <v>0.99990230000000002</v>
      </c>
      <c r="N310">
        <v>-1.1503040000000001E-2</v>
      </c>
      <c r="O310">
        <v>7.9508859999999904E-3</v>
      </c>
      <c r="P310">
        <v>0.99275930000000001</v>
      </c>
      <c r="Q310">
        <v>0.1170474</v>
      </c>
      <c r="R310">
        <v>-2.7000320000000001E-2</v>
      </c>
      <c r="S310">
        <v>3.0117189999999998</v>
      </c>
      <c r="T310">
        <v>4.3098209999999998E-2</v>
      </c>
      <c r="U310">
        <v>-0.17938229999999999</v>
      </c>
      <c r="V310">
        <v>3.4954659999999999E-2</v>
      </c>
      <c r="W310">
        <v>0.1284401</v>
      </c>
      <c r="X310">
        <v>0.99110109999999996</v>
      </c>
      <c r="Y310">
        <v>6.7387580000000002E-2</v>
      </c>
      <c r="Z310">
        <v>2.9881789999999998E-4</v>
      </c>
      <c r="AA310">
        <v>0.99772689999999997</v>
      </c>
      <c r="AB310">
        <v>29</v>
      </c>
      <c r="AC310">
        <v>265.87099999999998</v>
      </c>
      <c r="AD310">
        <v>3.808065</v>
      </c>
      <c r="AE310">
        <v>-15.852</v>
      </c>
      <c r="AF310">
        <v>17.961876812654602</v>
      </c>
      <c r="AG310">
        <v>3.808065</v>
      </c>
      <c r="AH310">
        <v>265.68223820760898</v>
      </c>
      <c r="AI310">
        <v>89.180696862903304</v>
      </c>
      <c r="AJ310">
        <v>86.132311745719704</v>
      </c>
      <c r="AK310">
        <v>266.31594409025098</v>
      </c>
      <c r="AL310">
        <v>82.620539335470795</v>
      </c>
      <c r="AM310">
        <v>87.980100391189197</v>
      </c>
      <c r="AN310">
        <v>1.0000000389824599</v>
      </c>
    </row>
    <row r="311" spans="1:40" x14ac:dyDescent="0.25">
      <c r="A311" t="str">
        <f>"20190303170233506"</f>
        <v>20190303170233506</v>
      </c>
      <c r="B311" t="str">
        <f>"1551603753495906"</f>
        <v>1551603753495906</v>
      </c>
      <c r="C311" t="s">
        <v>40</v>
      </c>
      <c r="D311">
        <v>4.0434449999999904</v>
      </c>
      <c r="E311">
        <v>0.51385400000000003</v>
      </c>
      <c r="F311" t="s">
        <v>41</v>
      </c>
      <c r="G311">
        <v>-158.78319999999999</v>
      </c>
      <c r="H311">
        <v>4.8484889999999998</v>
      </c>
      <c r="I311">
        <v>351.98320000000001</v>
      </c>
      <c r="J311">
        <v>-424.50360000000001</v>
      </c>
      <c r="K311">
        <v>1.0710200000000001</v>
      </c>
      <c r="L311">
        <v>367.84050000000002</v>
      </c>
      <c r="M311">
        <v>0.9999034</v>
      </c>
      <c r="N311">
        <v>-1.150021E-2</v>
      </c>
      <c r="O311">
        <v>7.8294939999999993E-3</v>
      </c>
      <c r="P311">
        <v>0.99277210000000005</v>
      </c>
      <c r="Q311">
        <v>0.1169555</v>
      </c>
      <c r="R311">
        <v>-2.6928190000000001E-2</v>
      </c>
      <c r="S311">
        <v>3.0119020000000001</v>
      </c>
      <c r="T311">
        <v>4.2793749999999998E-2</v>
      </c>
      <c r="U311">
        <v>-0.17962649999999999</v>
      </c>
      <c r="V311">
        <v>3.4762000000000001E-2</v>
      </c>
      <c r="W311">
        <v>0.1283455</v>
      </c>
      <c r="X311">
        <v>0.99112009999999995</v>
      </c>
      <c r="Y311">
        <v>6.7343559999999997E-2</v>
      </c>
      <c r="Z311">
        <v>2.9147029999999999E-4</v>
      </c>
      <c r="AA311">
        <v>0.9977298</v>
      </c>
      <c r="AB311">
        <v>29</v>
      </c>
      <c r="AC311">
        <v>265.72039999999998</v>
      </c>
      <c r="AD311">
        <v>3.777469</v>
      </c>
      <c r="AE311">
        <v>-15.8573</v>
      </c>
      <c r="AF311">
        <v>17.9337959413959</v>
      </c>
      <c r="AG311">
        <v>3.777469</v>
      </c>
      <c r="AH311">
        <v>265.53461916791798</v>
      </c>
      <c r="AI311">
        <v>89.186823204500797</v>
      </c>
      <c r="AJ311">
        <v>86.136199706718401</v>
      </c>
      <c r="AK311">
        <v>266.16634701923698</v>
      </c>
      <c r="AL311">
        <v>82.626004523727303</v>
      </c>
      <c r="AM311">
        <v>87.991262826045499</v>
      </c>
      <c r="AN311">
        <v>1.0000000083191201</v>
      </c>
    </row>
    <row r="312" spans="1:40" x14ac:dyDescent="0.25">
      <c r="A312" t="str">
        <f>"20190303170233521"</f>
        <v>20190303170233521</v>
      </c>
      <c r="B312" t="str">
        <f>"1551603753506643"</f>
        <v>1551603753506643</v>
      </c>
      <c r="C312" t="s">
        <v>40</v>
      </c>
      <c r="D312">
        <v>4.0393179999999997</v>
      </c>
      <c r="E312">
        <v>0.51393100000000003</v>
      </c>
      <c r="F312" t="s">
        <v>41</v>
      </c>
      <c r="G312">
        <v>-158.78319999999999</v>
      </c>
      <c r="H312">
        <v>4.7356730000000002</v>
      </c>
      <c r="I312">
        <v>351.99959999999999</v>
      </c>
      <c r="J312">
        <v>-424.32190000000003</v>
      </c>
      <c r="K312">
        <v>1.0710170000000001</v>
      </c>
      <c r="L312">
        <v>367.84179999999998</v>
      </c>
      <c r="M312">
        <v>0.99990429999999997</v>
      </c>
      <c r="N312">
        <v>-1.149703E-2</v>
      </c>
      <c r="O312">
        <v>7.683428E-3</v>
      </c>
      <c r="P312">
        <v>0.99278599999999995</v>
      </c>
      <c r="Q312">
        <v>0.1168632</v>
      </c>
      <c r="R312">
        <v>-2.6811580000000002E-2</v>
      </c>
      <c r="S312">
        <v>3.0120849999999999</v>
      </c>
      <c r="T312">
        <v>4.1541809999999998E-2</v>
      </c>
      <c r="U312">
        <v>-0.17956539999999999</v>
      </c>
      <c r="V312">
        <v>3.4500160000000002E-2</v>
      </c>
      <c r="W312">
        <v>0.12825049999999999</v>
      </c>
      <c r="X312">
        <v>0.99114159999999996</v>
      </c>
      <c r="Y312">
        <v>6.7174410000000004E-2</v>
      </c>
      <c r="Z312">
        <v>2.7040400000000002E-4</v>
      </c>
      <c r="AA312">
        <v>0.99774119999999999</v>
      </c>
      <c r="AB312">
        <v>29</v>
      </c>
      <c r="AC312">
        <v>265.53870000000001</v>
      </c>
      <c r="AD312">
        <v>3.6646559999999999</v>
      </c>
      <c r="AE312">
        <v>-15.842199999999901</v>
      </c>
      <c r="AF312">
        <v>17.878721665241599</v>
      </c>
      <c r="AG312">
        <v>3.6646559999999999</v>
      </c>
      <c r="AH312">
        <v>265.358768551911</v>
      </c>
      <c r="AI312">
        <v>89.210574018738498</v>
      </c>
      <c r="AJ312">
        <v>86.145484602604697</v>
      </c>
      <c r="AK312">
        <v>265.98562825718301</v>
      </c>
      <c r="AL312">
        <v>82.631493375394797</v>
      </c>
      <c r="AM312">
        <v>88.006424318714807</v>
      </c>
      <c r="AN312">
        <v>1.0000000615204101</v>
      </c>
    </row>
    <row r="313" spans="1:40" x14ac:dyDescent="0.25">
      <c r="A313" t="str">
        <f>"20190303170233537"</f>
        <v>20190303170233537</v>
      </c>
      <c r="B313" t="str">
        <f>"1551603753526163"</f>
        <v>1551603753526163</v>
      </c>
      <c r="C313" t="s">
        <v>40</v>
      </c>
      <c r="D313">
        <v>4.0471959999999996</v>
      </c>
      <c r="E313">
        <v>0.51406249999999998</v>
      </c>
      <c r="F313" t="s">
        <v>41</v>
      </c>
      <c r="G313">
        <v>-158.78319999999999</v>
      </c>
      <c r="H313">
        <v>4.6308160000000003</v>
      </c>
      <c r="I313">
        <v>351.98509999999999</v>
      </c>
      <c r="J313">
        <v>-424.0967</v>
      </c>
      <c r="K313">
        <v>1.071018</v>
      </c>
      <c r="L313">
        <v>367.8433</v>
      </c>
      <c r="M313">
        <v>0.99990590000000001</v>
      </c>
      <c r="N313">
        <v>-1.1493639999999999E-2</v>
      </c>
      <c r="O313">
        <v>7.5022550000000002E-3</v>
      </c>
      <c r="P313">
        <v>0.99277680000000001</v>
      </c>
      <c r="Q313">
        <v>0.1170316</v>
      </c>
      <c r="R313">
        <v>-2.642108E-2</v>
      </c>
      <c r="S313">
        <v>3.012146</v>
      </c>
      <c r="T313">
        <v>4.0381670000000001E-2</v>
      </c>
      <c r="U313">
        <v>-0.17987059999999999</v>
      </c>
      <c r="V313">
        <v>3.3929849999999998E-2</v>
      </c>
      <c r="W313">
        <v>0.12841559999999999</v>
      </c>
      <c r="X313">
        <v>0.99113980000000002</v>
      </c>
      <c r="Y313">
        <v>6.7093479999999997E-2</v>
      </c>
      <c r="Z313">
        <v>2.5001549999999998E-4</v>
      </c>
      <c r="AA313">
        <v>0.99774660000000004</v>
      </c>
      <c r="AB313">
        <v>29</v>
      </c>
      <c r="AC313">
        <v>265.31349999999998</v>
      </c>
      <c r="AD313">
        <v>3.5597979999999998</v>
      </c>
      <c r="AE313">
        <v>-15.8582</v>
      </c>
      <c r="AF313">
        <v>17.8451333494008</v>
      </c>
      <c r="AG313">
        <v>3.5597979999999998</v>
      </c>
      <c r="AH313">
        <v>265.13949064509598</v>
      </c>
      <c r="AI313">
        <v>89.232521611748197</v>
      </c>
      <c r="AJ313">
        <v>86.149531962806904</v>
      </c>
      <c r="AK313">
        <v>265.763184895123</v>
      </c>
      <c r="AL313">
        <v>82.621954159078498</v>
      </c>
      <c r="AM313">
        <v>88.039349921977802</v>
      </c>
      <c r="AN313">
        <v>0.99999995209421</v>
      </c>
    </row>
    <row r="314" spans="1:40" x14ac:dyDescent="0.25">
      <c r="A314" t="str">
        <f>"20190303170233551"</f>
        <v>20190303170233551</v>
      </c>
      <c r="B314" t="str">
        <f>"1551603753536899"</f>
        <v>1551603753536899</v>
      </c>
      <c r="C314" t="s">
        <v>40</v>
      </c>
      <c r="D314">
        <v>4.0531300000000003</v>
      </c>
      <c r="E314">
        <v>0.51413339999999996</v>
      </c>
      <c r="F314" t="s">
        <v>41</v>
      </c>
      <c r="G314">
        <v>-158.78319999999999</v>
      </c>
      <c r="H314">
        <v>4.5384869999999999</v>
      </c>
      <c r="I314">
        <v>351.98520000000002</v>
      </c>
      <c r="J314">
        <v>-423.9237</v>
      </c>
      <c r="K314">
        <v>1.0710139999999999</v>
      </c>
      <c r="L314">
        <v>367.84449999999998</v>
      </c>
      <c r="M314">
        <v>0.99990679999999998</v>
      </c>
      <c r="N314">
        <v>-1.149145E-2</v>
      </c>
      <c r="O314">
        <v>7.3635100000000002E-3</v>
      </c>
      <c r="P314">
        <v>0.99277890000000002</v>
      </c>
      <c r="Q314">
        <v>0.1170467</v>
      </c>
      <c r="R314">
        <v>-2.6273660000000001E-2</v>
      </c>
      <c r="S314">
        <v>3.0123899999999999</v>
      </c>
      <c r="T314">
        <v>3.9370889999999999E-2</v>
      </c>
      <c r="U314">
        <v>-0.18005370000000001</v>
      </c>
      <c r="V314">
        <v>3.3644750000000001E-2</v>
      </c>
      <c r="W314">
        <v>0.12842880000000001</v>
      </c>
      <c r="X314">
        <v>0.99114789999999997</v>
      </c>
      <c r="Y314">
        <v>6.7010929999999996E-2</v>
      </c>
      <c r="Z314">
        <v>2.327985E-4</v>
      </c>
      <c r="AA314">
        <v>0.99775219999999998</v>
      </c>
      <c r="AB314">
        <v>29</v>
      </c>
      <c r="AC314">
        <v>265.14049999999997</v>
      </c>
      <c r="AD314">
        <v>3.467473</v>
      </c>
      <c r="AE314">
        <v>-15.8592999999999</v>
      </c>
      <c r="AF314">
        <v>17.808328827201599</v>
      </c>
      <c r="AG314">
        <v>3.467473</v>
      </c>
      <c r="AH314">
        <v>264.97136631873298</v>
      </c>
      <c r="AI314">
        <v>89.251945127690604</v>
      </c>
      <c r="AJ314">
        <v>86.155018720879895</v>
      </c>
      <c r="AK314">
        <v>265.59176364006402</v>
      </c>
      <c r="AL314">
        <v>82.621192212777203</v>
      </c>
      <c r="AM314">
        <v>88.055827720280902</v>
      </c>
      <c r="AN314">
        <v>1.0000000427732001</v>
      </c>
    </row>
    <row r="315" spans="1:40" x14ac:dyDescent="0.25">
      <c r="A315" t="str">
        <f>"20190303170233566"</f>
        <v>20190303170233566</v>
      </c>
      <c r="B315" t="str">
        <f>"1551603753556418"</f>
        <v>1551603753556418</v>
      </c>
      <c r="C315" t="s">
        <v>40</v>
      </c>
      <c r="D315">
        <v>4.1629209999999999</v>
      </c>
      <c r="E315">
        <v>0.51410699999999998</v>
      </c>
      <c r="F315" t="s">
        <v>41</v>
      </c>
      <c r="G315">
        <v>-158.78319999999999</v>
      </c>
      <c r="H315">
        <v>4.4684419999999996</v>
      </c>
      <c r="I315">
        <v>351.99990000000003</v>
      </c>
      <c r="J315">
        <v>-423.7432</v>
      </c>
      <c r="K315">
        <v>1.0710120000000001</v>
      </c>
      <c r="L315">
        <v>367.84559999999999</v>
      </c>
      <c r="M315">
        <v>0.99990809999999997</v>
      </c>
      <c r="N315">
        <v>-1.148948E-2</v>
      </c>
      <c r="O315">
        <v>7.2180889999999996E-3</v>
      </c>
      <c r="P315">
        <v>0.99281350000000002</v>
      </c>
      <c r="Q315">
        <v>0.1167774</v>
      </c>
      <c r="R315">
        <v>-2.616402E-2</v>
      </c>
      <c r="S315">
        <v>3.0124819999999999</v>
      </c>
      <c r="T315">
        <v>3.8601990000000003E-2</v>
      </c>
      <c r="U315">
        <v>-0.18002319999999999</v>
      </c>
      <c r="V315">
        <v>3.3391049999999999E-2</v>
      </c>
      <c r="W315">
        <v>0.12815779999999999</v>
      </c>
      <c r="X315">
        <v>0.9911915</v>
      </c>
      <c r="Y315">
        <v>6.6854159999999996E-2</v>
      </c>
      <c r="Z315">
        <v>2.1878110000000001E-4</v>
      </c>
      <c r="AA315">
        <v>0.9977627</v>
      </c>
      <c r="AB315">
        <v>29</v>
      </c>
      <c r="AC315">
        <v>264.95999999999998</v>
      </c>
      <c r="AD315">
        <v>3.3974299999999902</v>
      </c>
      <c r="AE315">
        <v>-15.8456999999999</v>
      </c>
      <c r="AF315">
        <v>17.7550091772865</v>
      </c>
      <c r="AG315">
        <v>3.3974299999999902</v>
      </c>
      <c r="AH315">
        <v>264.79533241382399</v>
      </c>
      <c r="AI315">
        <v>89.266559298001397</v>
      </c>
      <c r="AJ315">
        <v>86.163955666902496</v>
      </c>
      <c r="AK315">
        <v>265.41166317559998</v>
      </c>
      <c r="AL315">
        <v>82.636848335347494</v>
      </c>
      <c r="AM315">
        <v>88.070561540233498</v>
      </c>
      <c r="AN315">
        <v>0.99999998679659596</v>
      </c>
    </row>
    <row r="316" spans="1:40" x14ac:dyDescent="0.25">
      <c r="A316" t="str">
        <f>"20190303170233584"</f>
        <v>20190303170233584</v>
      </c>
      <c r="B316" t="str">
        <f>"1551603753575939"</f>
        <v>1551603753575939</v>
      </c>
      <c r="C316" t="s">
        <v>40</v>
      </c>
      <c r="D316">
        <v>4.0389400000000002</v>
      </c>
      <c r="E316">
        <v>0.47212920000000003</v>
      </c>
      <c r="F316" t="s">
        <v>41</v>
      </c>
      <c r="G316">
        <v>-158.78319999999999</v>
      </c>
      <c r="H316">
        <v>4.3298449999999997</v>
      </c>
      <c r="I316">
        <v>352.03410000000002</v>
      </c>
      <c r="J316">
        <v>-423.49639999999999</v>
      </c>
      <c r="K316">
        <v>1.071008</v>
      </c>
      <c r="L316">
        <v>367.84719999999999</v>
      </c>
      <c r="M316">
        <v>0.99990950000000001</v>
      </c>
      <c r="N316">
        <v>-1.148864E-2</v>
      </c>
      <c r="O316">
        <v>7.0193740000000001E-3</v>
      </c>
      <c r="P316">
        <v>0.99284689999999998</v>
      </c>
      <c r="Q316">
        <v>0.1164974</v>
      </c>
      <c r="R316">
        <v>-2.6146800000000001E-2</v>
      </c>
      <c r="S316">
        <v>3.0126339999999998</v>
      </c>
      <c r="T316">
        <v>3.7054419999999998E-2</v>
      </c>
      <c r="U316">
        <v>-0.1797791</v>
      </c>
      <c r="V316">
        <v>3.3176780000000003E-2</v>
      </c>
      <c r="W316">
        <v>0.12787780000000001</v>
      </c>
      <c r="X316">
        <v>0.99123479999999997</v>
      </c>
      <c r="Y316">
        <v>6.657267E-2</v>
      </c>
      <c r="Z316">
        <v>1.9308800000000001E-4</v>
      </c>
      <c r="AA316">
        <v>0.99778160000000005</v>
      </c>
      <c r="AB316">
        <v>29</v>
      </c>
      <c r="AC316">
        <v>264.71319999999997</v>
      </c>
      <c r="AD316">
        <v>3.2588370000000002</v>
      </c>
      <c r="AE316">
        <v>-15.813099999999899</v>
      </c>
      <c r="AF316">
        <v>17.6682854980426</v>
      </c>
      <c r="AG316">
        <v>3.2588370000000002</v>
      </c>
      <c r="AH316">
        <v>264.55571973911202</v>
      </c>
      <c r="AI316">
        <v>89.295826169355394</v>
      </c>
      <c r="AJ316">
        <v>86.1791899325587</v>
      </c>
      <c r="AK316">
        <v>265.16507533555802</v>
      </c>
      <c r="AL316">
        <v>82.653023828857798</v>
      </c>
      <c r="AM316">
        <v>88.083017137770398</v>
      </c>
      <c r="AN316">
        <v>0.99999992959752104</v>
      </c>
    </row>
    <row r="317" spans="1:40" x14ac:dyDescent="0.25">
      <c r="A317" t="str">
        <f>"20190303170233606"</f>
        <v>20190303170233606</v>
      </c>
      <c r="B317" t="str">
        <f>"1551603753596434"</f>
        <v>1551603753596434</v>
      </c>
      <c r="C317" t="s">
        <v>40</v>
      </c>
      <c r="D317">
        <v>4.0386620000000004</v>
      </c>
      <c r="E317">
        <v>0.45673019999999998</v>
      </c>
      <c r="F317" t="s">
        <v>45</v>
      </c>
      <c r="G317">
        <v>-180.0001</v>
      </c>
      <c r="H317">
        <v>2.8998750000000002</v>
      </c>
      <c r="I317">
        <v>380.39839999999998</v>
      </c>
      <c r="J317">
        <v>-423.22250000000003</v>
      </c>
      <c r="K317">
        <v>1.0710059999999999</v>
      </c>
      <c r="L317">
        <v>367.84890000000001</v>
      </c>
      <c r="M317">
        <v>0.99991079999999999</v>
      </c>
      <c r="N317">
        <v>-1.149172E-2</v>
      </c>
      <c r="O317">
        <v>6.7981029999999998E-3</v>
      </c>
      <c r="P317">
        <v>0.99292259999999999</v>
      </c>
      <c r="Q317">
        <v>0.11589530000000001</v>
      </c>
      <c r="R317">
        <v>-2.594718E-2</v>
      </c>
      <c r="S317">
        <v>3.0230100000000002</v>
      </c>
      <c r="T317">
        <v>2.270699E-2</v>
      </c>
      <c r="U317">
        <v>0.15582279999999901</v>
      </c>
      <c r="V317">
        <v>3.2757729999999999E-2</v>
      </c>
      <c r="W317">
        <v>0.12728010000000001</v>
      </c>
      <c r="X317">
        <v>0.99132569999999998</v>
      </c>
      <c r="Y317">
        <v>-4.4688390000000001E-2</v>
      </c>
      <c r="Z317">
        <v>2.1832779999999999E-4</v>
      </c>
      <c r="AA317">
        <v>0.99900100000000003</v>
      </c>
      <c r="AB317">
        <v>29</v>
      </c>
      <c r="AC317">
        <v>243.22239999999999</v>
      </c>
      <c r="AD317">
        <v>1.8288690000000001</v>
      </c>
      <c r="AE317">
        <v>12.549499999999901</v>
      </c>
      <c r="AF317">
        <v>-10.8950353901136</v>
      </c>
      <c r="AG317">
        <v>1.8288690000000001</v>
      </c>
      <c r="AH317">
        <v>243.288378386663</v>
      </c>
      <c r="AI317">
        <v>89.569730404101705</v>
      </c>
      <c r="AJ317">
        <v>92.564128852726</v>
      </c>
      <c r="AK317">
        <v>243.53907615818699</v>
      </c>
      <c r="AL317">
        <v>82.687551949436696</v>
      </c>
      <c r="AM317">
        <v>88.107385915518407</v>
      </c>
      <c r="AN317">
        <v>0.99999996810562597</v>
      </c>
    </row>
    <row r="318" spans="1:40" x14ac:dyDescent="0.25">
      <c r="A318" t="str">
        <f>"20190303170233619"</f>
        <v>20190303170233619</v>
      </c>
      <c r="B318" t="str">
        <f>"1551603753606195"</f>
        <v>1551603753606195</v>
      </c>
      <c r="C318" t="s">
        <v>40</v>
      </c>
      <c r="D318">
        <v>4.0515379999999999</v>
      </c>
      <c r="E318">
        <v>0.4512333</v>
      </c>
      <c r="F318" t="s">
        <v>48</v>
      </c>
      <c r="G318">
        <v>0</v>
      </c>
      <c r="H318">
        <v>0</v>
      </c>
      <c r="I318">
        <v>0</v>
      </c>
      <c r="J318">
        <v>-423.04739999999998</v>
      </c>
      <c r="K318">
        <v>1.071002</v>
      </c>
      <c r="L318">
        <v>367.84989999999999</v>
      </c>
      <c r="M318">
        <v>0.99991180000000002</v>
      </c>
      <c r="N318">
        <v>-1.1495490000000001E-2</v>
      </c>
      <c r="O318">
        <v>6.6562790000000002E-3</v>
      </c>
      <c r="P318">
        <v>0.99295520000000004</v>
      </c>
      <c r="Q318">
        <v>0.1156075</v>
      </c>
      <c r="R318">
        <v>-2.5983450000000002E-2</v>
      </c>
      <c r="S318">
        <v>3.0223080000000002</v>
      </c>
      <c r="T318">
        <v>5.4044960000000003E-2</v>
      </c>
      <c r="U318">
        <v>0.27835079999999901</v>
      </c>
      <c r="V318">
        <v>3.265361E-2</v>
      </c>
      <c r="W318">
        <v>0.12699630000000001</v>
      </c>
      <c r="X318">
        <v>0.99136559999999996</v>
      </c>
      <c r="Y318">
        <v>-8.5078020000000004E-2</v>
      </c>
      <c r="Z318" s="1">
        <v>-7.3835840000000005E-5</v>
      </c>
      <c r="AA318">
        <v>0.99637430000000005</v>
      </c>
      <c r="AB318">
        <v>29</v>
      </c>
      <c r="AC318">
        <v>3.0223080000000002</v>
      </c>
      <c r="AD318">
        <v>5.4044960000000003E-2</v>
      </c>
      <c r="AE318">
        <v>0.27835079999999901</v>
      </c>
      <c r="AF318">
        <v>-0.258144127227727</v>
      </c>
      <c r="AG318">
        <v>5.4044960000000003E-2</v>
      </c>
      <c r="AH318">
        <v>3.0231353734386102</v>
      </c>
      <c r="AI318">
        <v>88.979538191408693</v>
      </c>
      <c r="AJ318">
        <v>94.880620869880204</v>
      </c>
      <c r="AK318">
        <v>3.0346180540983001</v>
      </c>
      <c r="AL318">
        <v>82.703946021488505</v>
      </c>
      <c r="AM318">
        <v>88.113473085735507</v>
      </c>
      <c r="AN318">
        <v>1.0000000356615399</v>
      </c>
    </row>
    <row r="319" spans="1:40" x14ac:dyDescent="0.25">
      <c r="A319" t="str">
        <f>"20190303170233638"</f>
        <v>20190303170233638</v>
      </c>
      <c r="B319" t="str">
        <f>"1551603753626691"</f>
        <v>1551603753626691</v>
      </c>
      <c r="C319" t="s">
        <v>40</v>
      </c>
      <c r="D319">
        <v>4.0474759999999996</v>
      </c>
      <c r="E319">
        <v>0.44448890000000002</v>
      </c>
      <c r="F319" t="s">
        <v>49</v>
      </c>
      <c r="G319">
        <v>-205.25309999999999</v>
      </c>
      <c r="H319">
        <v>5.5578719999999997</v>
      </c>
      <c r="I319">
        <v>391.03649999999999</v>
      </c>
      <c r="J319">
        <v>-422.8014</v>
      </c>
      <c r="K319">
        <v>1.0709979999999999</v>
      </c>
      <c r="L319">
        <v>367.85129999999998</v>
      </c>
      <c r="M319">
        <v>0.99991300000000005</v>
      </c>
      <c r="N319">
        <v>-1.1502470000000001E-2</v>
      </c>
      <c r="O319">
        <v>6.4574530000000002E-3</v>
      </c>
      <c r="P319">
        <v>0.99304020000000004</v>
      </c>
      <c r="Q319">
        <v>0.1148559</v>
      </c>
      <c r="R319">
        <v>-2.606052E-2</v>
      </c>
      <c r="S319">
        <v>3.022491</v>
      </c>
      <c r="T319">
        <v>6.2267540000000003E-2</v>
      </c>
      <c r="U319">
        <v>0.32177729999999999</v>
      </c>
      <c r="V319">
        <v>3.2533739999999998E-2</v>
      </c>
      <c r="W319">
        <v>0.1262527</v>
      </c>
      <c r="X319">
        <v>0.99146449999999997</v>
      </c>
      <c r="Y319">
        <v>-9.9433099999999996E-2</v>
      </c>
      <c r="Z319">
        <v>-2.4102100000000001E-4</v>
      </c>
      <c r="AA319">
        <v>0.99504420000000005</v>
      </c>
      <c r="AB319">
        <v>29</v>
      </c>
      <c r="AC319">
        <v>217.54830000000001</v>
      </c>
      <c r="AD319">
        <v>4.4868739999999896</v>
      </c>
      <c r="AE319">
        <v>23.185199999999998</v>
      </c>
      <c r="AF319">
        <v>-21.7706588962747</v>
      </c>
      <c r="AG319">
        <v>4.4868739999999896</v>
      </c>
      <c r="AH319">
        <v>217.60196702938501</v>
      </c>
      <c r="AI319">
        <v>88.824615373211003</v>
      </c>
      <c r="AJ319">
        <v>95.713320602054296</v>
      </c>
      <c r="AK319">
        <v>218.73433585545601</v>
      </c>
      <c r="AL319">
        <v>82.746896783727493</v>
      </c>
      <c r="AM319">
        <v>88.120580827251004</v>
      </c>
      <c r="AN319">
        <v>1.0000000216279601</v>
      </c>
    </row>
    <row r="320" spans="1:40" x14ac:dyDescent="0.25">
      <c r="A320" t="str">
        <f>"20190303170233652"</f>
        <v>20190303170233652</v>
      </c>
      <c r="B320" t="str">
        <f>"1551603753646211"</f>
        <v>1551603753646211</v>
      </c>
      <c r="C320" t="s">
        <v>40</v>
      </c>
      <c r="D320">
        <v>4.0125169999999999</v>
      </c>
      <c r="E320">
        <v>0.43959910000000002</v>
      </c>
      <c r="F320" t="s">
        <v>49</v>
      </c>
      <c r="G320">
        <v>-234.2749</v>
      </c>
      <c r="H320">
        <v>5.7250389999999998</v>
      </c>
      <c r="I320">
        <v>391.23820000000001</v>
      </c>
      <c r="J320">
        <v>-422.62180000000001</v>
      </c>
      <c r="K320">
        <v>1.0710010000000001</v>
      </c>
      <c r="L320">
        <v>367.85239999999999</v>
      </c>
      <c r="M320">
        <v>0.99991399999999997</v>
      </c>
      <c r="N320">
        <v>-1.150813E-2</v>
      </c>
      <c r="O320">
        <v>6.312219E-3</v>
      </c>
      <c r="P320">
        <v>0.99307020000000001</v>
      </c>
      <c r="Q320">
        <v>0.1145321</v>
      </c>
      <c r="R320">
        <v>-2.6352629999999998E-2</v>
      </c>
      <c r="S320">
        <v>3.0222169999999999</v>
      </c>
      <c r="T320">
        <v>7.4607610000000005E-2</v>
      </c>
      <c r="U320">
        <v>0.37490839999999998</v>
      </c>
      <c r="V320">
        <v>3.2681700000000001E-2</v>
      </c>
      <c r="W320">
        <v>0.12593489999999999</v>
      </c>
      <c r="X320">
        <v>0.99150000000000005</v>
      </c>
      <c r="Y320">
        <v>-0.1168257</v>
      </c>
      <c r="Z320">
        <v>-5.3386589999999999E-4</v>
      </c>
      <c r="AA320">
        <v>0.99315229999999999</v>
      </c>
      <c r="AB320">
        <v>29</v>
      </c>
      <c r="AC320">
        <v>188.34690000000001</v>
      </c>
      <c r="AD320">
        <v>4.6540379999999999</v>
      </c>
      <c r="AE320">
        <v>23.3858</v>
      </c>
      <c r="AF320">
        <v>-22.183029712637602</v>
      </c>
      <c r="AG320">
        <v>4.6540379999999999</v>
      </c>
      <c r="AH320">
        <v>188.37749992123199</v>
      </c>
      <c r="AI320">
        <v>88.594451304730498</v>
      </c>
      <c r="AJ320">
        <v>96.716128033221594</v>
      </c>
      <c r="AK320">
        <v>189.736209916587</v>
      </c>
      <c r="AL320">
        <v>82.765251520407901</v>
      </c>
      <c r="AM320">
        <v>88.112107148094097</v>
      </c>
      <c r="AN320">
        <v>0.99999997127644902</v>
      </c>
    </row>
    <row r="321" spans="1:40" x14ac:dyDescent="0.25">
      <c r="A321" t="str">
        <f>"20190303170233664"</f>
        <v>20190303170233664</v>
      </c>
      <c r="B321" t="str">
        <f>"1551603753655971"</f>
        <v>1551603753655971</v>
      </c>
      <c r="C321" t="s">
        <v>40</v>
      </c>
      <c r="D321">
        <v>4.0202249999999999</v>
      </c>
      <c r="E321">
        <v>0.43798799999999999</v>
      </c>
      <c r="F321" t="s">
        <v>50</v>
      </c>
      <c r="G321">
        <v>-247.6054</v>
      </c>
      <c r="H321">
        <v>5.9002189999999999</v>
      </c>
      <c r="I321">
        <v>391.74189999999999</v>
      </c>
      <c r="J321">
        <v>-422.46120000000002</v>
      </c>
      <c r="K321">
        <v>1.0710010000000001</v>
      </c>
      <c r="L321">
        <v>367.85320000000002</v>
      </c>
      <c r="M321">
        <v>0.99991459999999999</v>
      </c>
      <c r="N321">
        <v>-1.1513290000000001E-2</v>
      </c>
      <c r="O321">
        <v>6.1819550000000003E-3</v>
      </c>
      <c r="P321">
        <v>0.99307860000000003</v>
      </c>
      <c r="Q321">
        <v>0.1144519</v>
      </c>
      <c r="R321">
        <v>-2.6378720000000001E-2</v>
      </c>
      <c r="S321">
        <v>3.022278</v>
      </c>
      <c r="T321">
        <v>8.3394049999999997E-2</v>
      </c>
      <c r="U321">
        <v>0.41253659999999998</v>
      </c>
      <c r="V321">
        <v>3.257848E-2</v>
      </c>
      <c r="W321">
        <v>0.1258601</v>
      </c>
      <c r="X321">
        <v>0.99151299999999998</v>
      </c>
      <c r="Y321">
        <v>-0.12909309999999999</v>
      </c>
      <c r="Z321">
        <v>-7.8523109999999998E-4</v>
      </c>
      <c r="AA321">
        <v>0.99163219999999996</v>
      </c>
      <c r="AB321">
        <v>29</v>
      </c>
      <c r="AC321">
        <v>174.85579999999999</v>
      </c>
      <c r="AD321">
        <v>4.829218</v>
      </c>
      <c r="AE321">
        <v>23.888699999999901</v>
      </c>
      <c r="AF321">
        <v>-22.790155988463901</v>
      </c>
      <c r="AG321">
        <v>4.829218</v>
      </c>
      <c r="AH321">
        <v>174.86920602195201</v>
      </c>
      <c r="AI321">
        <v>88.431370835250803</v>
      </c>
      <c r="AJ321">
        <v>97.425328288051702</v>
      </c>
      <c r="AK321">
        <v>176.41414844398901</v>
      </c>
      <c r="AL321">
        <v>82.769572377460804</v>
      </c>
      <c r="AM321">
        <v>88.118090122627393</v>
      </c>
      <c r="AN321">
        <v>1.00000007565005</v>
      </c>
    </row>
    <row r="322" spans="1:40" x14ac:dyDescent="0.25">
      <c r="A322" t="str">
        <f>"20190303170233684"</f>
        <v>20190303170233684</v>
      </c>
      <c r="B322" t="str">
        <f>"1551603753676468"</f>
        <v>1551603753676468</v>
      </c>
      <c r="C322" t="s">
        <v>40</v>
      </c>
      <c r="D322">
        <v>3.9577460000000002</v>
      </c>
      <c r="E322">
        <v>0.43531069999999999</v>
      </c>
      <c r="F322" t="s">
        <v>50</v>
      </c>
      <c r="G322">
        <v>-253.0462</v>
      </c>
      <c r="H322">
        <v>5.9020250000000001</v>
      </c>
      <c r="I322">
        <v>391.67779999999999</v>
      </c>
      <c r="J322">
        <v>-422.21199999999999</v>
      </c>
      <c r="K322">
        <v>1.071</v>
      </c>
      <c r="L322">
        <v>367.85449999999997</v>
      </c>
      <c r="M322">
        <v>0.99991569999999996</v>
      </c>
      <c r="N322">
        <v>-1.152132E-2</v>
      </c>
      <c r="O322">
        <v>5.9802090000000002E-3</v>
      </c>
      <c r="P322">
        <v>0.99306459999999996</v>
      </c>
      <c r="Q322">
        <v>0.1145359</v>
      </c>
      <c r="R322">
        <v>-2.6535679999999999E-2</v>
      </c>
      <c r="S322">
        <v>3.022278</v>
      </c>
      <c r="T322">
        <v>8.6183549999999998E-2</v>
      </c>
      <c r="U322">
        <v>0.42501830000000002</v>
      </c>
      <c r="V322">
        <v>3.2535099999999997E-2</v>
      </c>
      <c r="W322">
        <v>0.12595239999999999</v>
      </c>
      <c r="X322">
        <v>0.99150260000000001</v>
      </c>
      <c r="Y322">
        <v>-0.1333068</v>
      </c>
      <c r="Z322">
        <v>-8.8100159999999995E-4</v>
      </c>
      <c r="AA322">
        <v>0.99107440000000002</v>
      </c>
      <c r="AB322">
        <v>29</v>
      </c>
      <c r="AC322">
        <v>169.16579999999999</v>
      </c>
      <c r="AD322">
        <v>4.8310250000000003</v>
      </c>
      <c r="AE322">
        <v>23.8233</v>
      </c>
      <c r="AF322">
        <v>-22.792932507731798</v>
      </c>
      <c r="AG322">
        <v>4.8310250000000003</v>
      </c>
      <c r="AH322">
        <v>169.16996798273399</v>
      </c>
      <c r="AI322">
        <v>88.378876258604706</v>
      </c>
      <c r="AJ322">
        <v>97.673474711483806</v>
      </c>
      <c r="AK322">
        <v>170.76690148307901</v>
      </c>
      <c r="AL322">
        <v>82.764240807341295</v>
      </c>
      <c r="AM322">
        <v>88.120574489465895</v>
      </c>
      <c r="AN322">
        <v>0.99999997280226405</v>
      </c>
    </row>
    <row r="323" spans="1:40" x14ac:dyDescent="0.25">
      <c r="A323" t="str">
        <f>"20190303170233696"</f>
        <v>20190303170233696</v>
      </c>
      <c r="B323" t="str">
        <f>"1551603753686228"</f>
        <v>1551603753686228</v>
      </c>
      <c r="C323" t="s">
        <v>40</v>
      </c>
      <c r="D323">
        <v>3.9602040000000001</v>
      </c>
      <c r="E323">
        <v>0.43420409999999998</v>
      </c>
      <c r="F323" t="s">
        <v>50</v>
      </c>
      <c r="G323">
        <v>-261.58120000000002</v>
      </c>
      <c r="H323">
        <v>5.9048540000000003</v>
      </c>
      <c r="I323">
        <v>391.54899999999998</v>
      </c>
      <c r="J323">
        <v>-422.05</v>
      </c>
      <c r="K323">
        <v>1.071</v>
      </c>
      <c r="L323">
        <v>367.85539999999997</v>
      </c>
      <c r="M323">
        <v>0.99991660000000004</v>
      </c>
      <c r="N323">
        <v>-1.152651E-2</v>
      </c>
      <c r="O323">
        <v>5.8491089999999999E-3</v>
      </c>
      <c r="P323">
        <v>0.99305529999999997</v>
      </c>
      <c r="Q323">
        <v>0.11459270000000001</v>
      </c>
      <c r="R323">
        <v>-2.6637689999999999E-2</v>
      </c>
      <c r="S323">
        <v>3.0224000000000002</v>
      </c>
      <c r="T323">
        <v>9.0953469999999995E-2</v>
      </c>
      <c r="U323">
        <v>0.44583129999999999</v>
      </c>
      <c r="V323">
        <v>3.2507050000000003E-2</v>
      </c>
      <c r="W323">
        <v>0.1260143</v>
      </c>
      <c r="X323">
        <v>0.99149569999999998</v>
      </c>
      <c r="Y323">
        <v>-0.1401076</v>
      </c>
      <c r="Z323">
        <v>-1.042311E-3</v>
      </c>
      <c r="AA323">
        <v>0.99013569999999995</v>
      </c>
      <c r="AB323">
        <v>29</v>
      </c>
      <c r="AC323">
        <v>160.46879999999999</v>
      </c>
      <c r="AD323">
        <v>4.8338539999999997</v>
      </c>
      <c r="AE323">
        <v>23.6936</v>
      </c>
      <c r="AF323">
        <v>-22.734343583179701</v>
      </c>
      <c r="AG323">
        <v>4.8338539999999997</v>
      </c>
      <c r="AH323">
        <v>160.46215119095501</v>
      </c>
      <c r="AI323">
        <v>88.291562423468605</v>
      </c>
      <c r="AJ323">
        <v>98.0640181813081</v>
      </c>
      <c r="AK323">
        <v>162.13672775617599</v>
      </c>
      <c r="AL323">
        <v>82.760666039540695</v>
      </c>
      <c r="AM323">
        <v>88.122180609092496</v>
      </c>
      <c r="AN323">
        <v>1.0000000176113399</v>
      </c>
    </row>
    <row r="324" spans="1:40" x14ac:dyDescent="0.25">
      <c r="A324" t="str">
        <f>"20190303170233709"</f>
        <v>20190303170233709</v>
      </c>
      <c r="B324" t="str">
        <f>"1551603753695987"</f>
        <v>1551603753695987</v>
      </c>
      <c r="C324" t="s">
        <v>40</v>
      </c>
      <c r="D324">
        <v>3.951762</v>
      </c>
      <c r="E324">
        <v>0.43330000000000002</v>
      </c>
      <c r="F324" t="s">
        <v>50</v>
      </c>
      <c r="G324">
        <v>-267.0213</v>
      </c>
      <c r="H324">
        <v>5.9066599999999996</v>
      </c>
      <c r="I324">
        <v>391.13900000000001</v>
      </c>
      <c r="J324">
        <v>-421.88440000000003</v>
      </c>
      <c r="K324">
        <v>1.071002</v>
      </c>
      <c r="L324">
        <v>367.8562</v>
      </c>
      <c r="M324">
        <v>0.99991719999999895</v>
      </c>
      <c r="N324">
        <v>-1.1531659999999999E-2</v>
      </c>
      <c r="O324">
        <v>5.7147350000000003E-3</v>
      </c>
      <c r="P324">
        <v>0.99306470000000002</v>
      </c>
      <c r="Q324">
        <v>0.11446439999999999</v>
      </c>
      <c r="R324">
        <v>-2.6838509999999999E-2</v>
      </c>
      <c r="S324">
        <v>3.0223080000000002</v>
      </c>
      <c r="T324">
        <v>9.427249E-2</v>
      </c>
      <c r="U324">
        <v>0.4539185</v>
      </c>
      <c r="V324">
        <v>3.2574260000000001E-2</v>
      </c>
      <c r="W324">
        <v>0.1258909</v>
      </c>
      <c r="X324">
        <v>0.99150910000000003</v>
      </c>
      <c r="Y324">
        <v>-0.14283209999999999</v>
      </c>
      <c r="Z324">
        <v>-1.1436650000000001E-3</v>
      </c>
      <c r="AA324">
        <v>0.98974629999999997</v>
      </c>
      <c r="AB324">
        <v>29</v>
      </c>
      <c r="AC324">
        <v>154.8631</v>
      </c>
      <c r="AD324">
        <v>4.8356579999999996</v>
      </c>
      <c r="AE324">
        <v>23.282800000000002</v>
      </c>
      <c r="AF324">
        <v>-22.376024435748601</v>
      </c>
      <c r="AG324">
        <v>4.8356579999999996</v>
      </c>
      <c r="AH324">
        <v>154.845993403715</v>
      </c>
      <c r="AI324">
        <v>88.229677894068004</v>
      </c>
      <c r="AJ324">
        <v>98.222609394475199</v>
      </c>
      <c r="AK324">
        <v>156.52907631180099</v>
      </c>
      <c r="AL324">
        <v>82.767792592319196</v>
      </c>
      <c r="AM324">
        <v>88.118326321464195</v>
      </c>
      <c r="AN324">
        <v>0.99999994825008198</v>
      </c>
    </row>
    <row r="325" spans="1:40" x14ac:dyDescent="0.25">
      <c r="A325" t="str">
        <f>"20190303170233728"</f>
        <v>20190303170233728</v>
      </c>
      <c r="B325" t="str">
        <f>"1551603753716483"</f>
        <v>1551603753716483</v>
      </c>
      <c r="C325" t="s">
        <v>40</v>
      </c>
      <c r="D325">
        <v>4.1211630000000001</v>
      </c>
      <c r="E325">
        <v>0.43196830000000003</v>
      </c>
      <c r="F325" t="s">
        <v>50</v>
      </c>
      <c r="G325">
        <v>-270.66860000000003</v>
      </c>
      <c r="H325">
        <v>5.8966000000000003</v>
      </c>
      <c r="I325">
        <v>390.88350000000003</v>
      </c>
      <c r="J325">
        <v>-421.65109999999999</v>
      </c>
      <c r="K325">
        <v>1.0710010000000001</v>
      </c>
      <c r="L325">
        <v>367.85739999999998</v>
      </c>
      <c r="M325">
        <v>0.99991819999999998</v>
      </c>
      <c r="N325">
        <v>-1.1538659999999999E-2</v>
      </c>
      <c r="O325">
        <v>5.5257529999999996E-3</v>
      </c>
      <c r="P325">
        <v>0.99304309999999996</v>
      </c>
      <c r="Q325">
        <v>0.1146863</v>
      </c>
      <c r="R325">
        <v>-2.6688170000000001E-2</v>
      </c>
      <c r="S325">
        <v>3.022278</v>
      </c>
      <c r="T325">
        <v>9.6447469999999993E-2</v>
      </c>
      <c r="U325">
        <v>0.46023560000000002</v>
      </c>
      <c r="V325">
        <v>3.223637E-2</v>
      </c>
      <c r="W325">
        <v>0.1261198</v>
      </c>
      <c r="X325">
        <v>0.99149109999999996</v>
      </c>
      <c r="Y325">
        <v>-0.14503949999999999</v>
      </c>
      <c r="Z325">
        <v>-1.220042E-3</v>
      </c>
      <c r="AA325">
        <v>0.98942509999999995</v>
      </c>
      <c r="AB325">
        <v>29</v>
      </c>
      <c r="AC325">
        <v>150.98249999999899</v>
      </c>
      <c r="AD325">
        <v>4.8255989999999898</v>
      </c>
      <c r="AE325">
        <v>23.0261</v>
      </c>
      <c r="AF325">
        <v>-22.169269181137999</v>
      </c>
      <c r="AG325">
        <v>4.8255989999999898</v>
      </c>
      <c r="AH325">
        <v>150.95673859813999</v>
      </c>
      <c r="AI325">
        <v>88.188480137966394</v>
      </c>
      <c r="AJ325">
        <v>98.354646980766105</v>
      </c>
      <c r="AK325">
        <v>152.652218555518</v>
      </c>
      <c r="AL325">
        <v>82.754572551942303</v>
      </c>
      <c r="AM325">
        <v>88.137797163849598</v>
      </c>
      <c r="AN325">
        <v>0.99999999444101295</v>
      </c>
    </row>
    <row r="326" spans="1:40" x14ac:dyDescent="0.25">
      <c r="A326" t="str">
        <f>"20190303170233740"</f>
        <v>20190303170233740</v>
      </c>
      <c r="B326" t="str">
        <f>"1551603753736002"</f>
        <v>1551603753736002</v>
      </c>
      <c r="C326" t="s">
        <v>40</v>
      </c>
      <c r="D326">
        <v>3.9064220000000001</v>
      </c>
      <c r="E326">
        <v>0.43081399999999997</v>
      </c>
      <c r="F326" t="s">
        <v>50</v>
      </c>
      <c r="G326">
        <v>-275.49680000000001</v>
      </c>
      <c r="H326">
        <v>5.9094720000000001</v>
      </c>
      <c r="I326">
        <v>390.65960000000001</v>
      </c>
      <c r="J326">
        <v>-421.48419999999999</v>
      </c>
      <c r="K326">
        <v>1.071002</v>
      </c>
      <c r="L326">
        <v>367.85809999999998</v>
      </c>
      <c r="M326">
        <v>0.999919</v>
      </c>
      <c r="N326">
        <v>-1.154346E-2</v>
      </c>
      <c r="O326">
        <v>5.3900689999999999E-3</v>
      </c>
      <c r="P326">
        <v>0.99306899999999998</v>
      </c>
      <c r="Q326">
        <v>0.114533</v>
      </c>
      <c r="R326">
        <v>-2.639385E-2</v>
      </c>
      <c r="S326">
        <v>3.022125</v>
      </c>
      <c r="T326">
        <v>0.1000487</v>
      </c>
      <c r="U326">
        <v>0.47149659999999899</v>
      </c>
      <c r="V326">
        <v>3.1807229999999999E-2</v>
      </c>
      <c r="W326">
        <v>0.12597169999999999</v>
      </c>
      <c r="X326">
        <v>0.99152379999999996</v>
      </c>
      <c r="Y326">
        <v>-0.14877580000000001</v>
      </c>
      <c r="Z326">
        <v>-1.3440119999999999E-3</v>
      </c>
      <c r="AA326">
        <v>0.98887000000000003</v>
      </c>
      <c r="AB326">
        <v>29</v>
      </c>
      <c r="AC326">
        <v>145.98739999999901</v>
      </c>
      <c r="AD326">
        <v>4.83847</v>
      </c>
      <c r="AE326">
        <v>22.801500000000001</v>
      </c>
      <c r="AF326">
        <v>-21.990653589795901</v>
      </c>
      <c r="AG326">
        <v>4.83847</v>
      </c>
      <c r="AH326">
        <v>145.95168424778601</v>
      </c>
      <c r="AI326">
        <v>88.1224496333041</v>
      </c>
      <c r="AJ326">
        <v>98.568348859409795</v>
      </c>
      <c r="AK326">
        <v>147.67834564353899</v>
      </c>
      <c r="AL326">
        <v>82.763126372972295</v>
      </c>
      <c r="AM326">
        <v>88.162630801807495</v>
      </c>
      <c r="AN326">
        <v>1.0000000075238</v>
      </c>
    </row>
    <row r="327" spans="1:40" x14ac:dyDescent="0.25">
      <c r="A327" t="str">
        <f>"20190303170233753"</f>
        <v>20190303170233753</v>
      </c>
      <c r="B327" t="str">
        <f>"1551603753746739"</f>
        <v>1551603753746739</v>
      </c>
      <c r="C327" t="s">
        <v>40</v>
      </c>
      <c r="D327">
        <v>3.9550640000000001</v>
      </c>
      <c r="E327">
        <v>0.43028300000000003</v>
      </c>
      <c r="F327" t="s">
        <v>50</v>
      </c>
      <c r="G327">
        <v>-280.62959999999998</v>
      </c>
      <c r="H327">
        <v>5.9111710000000004</v>
      </c>
      <c r="I327">
        <v>390.2928</v>
      </c>
      <c r="J327">
        <v>-421.30650000000003</v>
      </c>
      <c r="K327">
        <v>1.071</v>
      </c>
      <c r="L327">
        <v>367.85899999999998</v>
      </c>
      <c r="M327">
        <v>0.99991969999999997</v>
      </c>
      <c r="N327">
        <v>-1.1548370000000001E-2</v>
      </c>
      <c r="O327">
        <v>5.2456269999999897E-3</v>
      </c>
      <c r="P327">
        <v>0.99304340000000002</v>
      </c>
      <c r="Q327">
        <v>0.1148407</v>
      </c>
      <c r="R327">
        <v>-2.6017789999999999E-2</v>
      </c>
      <c r="S327">
        <v>3.0217589999999999</v>
      </c>
      <c r="T327">
        <v>0.103836999999999</v>
      </c>
      <c r="U327">
        <v>0.48129270000000002</v>
      </c>
      <c r="V327">
        <v>3.1287620000000002E-2</v>
      </c>
      <c r="W327">
        <v>0.12628399999999901</v>
      </c>
      <c r="X327">
        <v>0.99150059999999995</v>
      </c>
      <c r="Y327">
        <v>-0.152058</v>
      </c>
      <c r="Z327">
        <v>-1.4725329999999901E-3</v>
      </c>
      <c r="AA327">
        <v>0.98837050000000004</v>
      </c>
      <c r="AB327">
        <v>29</v>
      </c>
      <c r="AC327">
        <v>140.67689999999999</v>
      </c>
      <c r="AD327">
        <v>4.8401709999999998</v>
      </c>
      <c r="AE327">
        <v>22.433799999999898</v>
      </c>
      <c r="AF327">
        <v>-21.670486487411502</v>
      </c>
      <c r="AG327">
        <v>4.8401709999999998</v>
      </c>
      <c r="AH327">
        <v>140.63030289326099</v>
      </c>
      <c r="AI327">
        <v>88.051766440775594</v>
      </c>
      <c r="AJ327">
        <v>98.760113778440399</v>
      </c>
      <c r="AK327">
        <v>142.372466901998</v>
      </c>
      <c r="AL327">
        <v>82.745088811690295</v>
      </c>
      <c r="AM327">
        <v>88.192584139342202</v>
      </c>
      <c r="AN327">
        <v>1.0000000018108099</v>
      </c>
    </row>
    <row r="328" spans="1:40" x14ac:dyDescent="0.25">
      <c r="A328" t="str">
        <f>"20190303170233775"</f>
        <v>20190303170233775</v>
      </c>
      <c r="B328" t="str">
        <f>"1551603753766259"</f>
        <v>1551603753766259</v>
      </c>
      <c r="C328" t="s">
        <v>40</v>
      </c>
      <c r="D328">
        <v>3.886933</v>
      </c>
      <c r="E328">
        <v>0.42931730000000001</v>
      </c>
      <c r="F328" t="s">
        <v>50</v>
      </c>
      <c r="G328">
        <v>-283.6771</v>
      </c>
      <c r="H328">
        <v>5.9121829999999997</v>
      </c>
      <c r="I328">
        <v>390.01940000000002</v>
      </c>
      <c r="J328">
        <v>-421.04480000000001</v>
      </c>
      <c r="K328">
        <v>1.0709959999999901</v>
      </c>
      <c r="L328">
        <v>367.86009999999999</v>
      </c>
      <c r="M328">
        <v>0.99992060000000005</v>
      </c>
      <c r="N328">
        <v>-1.1555080000000001E-2</v>
      </c>
      <c r="O328">
        <v>5.0336959999999998E-3</v>
      </c>
      <c r="P328">
        <v>0.99302420000000002</v>
      </c>
      <c r="Q328">
        <v>0.1152083</v>
      </c>
      <c r="R328">
        <v>-2.5106610000000001E-2</v>
      </c>
      <c r="S328">
        <v>3.021515</v>
      </c>
      <c r="T328">
        <v>0.1062839</v>
      </c>
      <c r="U328">
        <v>0.48651119999999998</v>
      </c>
      <c r="V328">
        <v>3.0166169999999999E-2</v>
      </c>
      <c r="W328">
        <v>0.12665850000000001</v>
      </c>
      <c r="X328">
        <v>0.99148760000000002</v>
      </c>
      <c r="Y328">
        <v>-0.15393970000000001</v>
      </c>
      <c r="Z328">
        <v>-1.5604010000000001E-3</v>
      </c>
      <c r="AA328">
        <v>0.98807900000000004</v>
      </c>
      <c r="AB328">
        <v>29</v>
      </c>
      <c r="AC328">
        <v>137.36770000000001</v>
      </c>
      <c r="AD328">
        <v>4.8411869999999997</v>
      </c>
      <c r="AE328">
        <v>22.159300000000002</v>
      </c>
      <c r="AF328">
        <v>-21.441550066965899</v>
      </c>
      <c r="AG328">
        <v>4.8411869999999997</v>
      </c>
      <c r="AH328">
        <v>137.31128979268601</v>
      </c>
      <c r="AI328">
        <v>88.004915308618493</v>
      </c>
      <c r="AJ328">
        <v>98.875225779519795</v>
      </c>
      <c r="AK328">
        <v>139.05958242916699</v>
      </c>
      <c r="AL328">
        <v>82.723457964011502</v>
      </c>
      <c r="AM328">
        <v>88.257304275151597</v>
      </c>
      <c r="AN328">
        <v>1.00000001719423</v>
      </c>
    </row>
    <row r="329" spans="1:40" x14ac:dyDescent="0.25">
      <c r="A329" t="str">
        <f>"20190303170233796"</f>
        <v>20190303170233796</v>
      </c>
      <c r="B329" t="str">
        <f>"1551603753785778"</f>
        <v>1551603753785778</v>
      </c>
      <c r="C329" t="s">
        <v>40</v>
      </c>
      <c r="D329">
        <v>3.904544</v>
      </c>
      <c r="E329">
        <v>0.42856729999999998</v>
      </c>
      <c r="F329" t="s">
        <v>50</v>
      </c>
      <c r="G329">
        <v>-286.42809999999997</v>
      </c>
      <c r="H329">
        <v>5.9761980000000001</v>
      </c>
      <c r="I329">
        <v>389.99860000000001</v>
      </c>
      <c r="J329">
        <v>-420.76240000000001</v>
      </c>
      <c r="K329">
        <v>1.0709919999999999</v>
      </c>
      <c r="L329">
        <v>367.86130000000003</v>
      </c>
      <c r="M329">
        <v>0.99992170000000002</v>
      </c>
      <c r="N329">
        <v>-1.1554409999999999E-2</v>
      </c>
      <c r="O329">
        <v>4.805007E-3</v>
      </c>
      <c r="P329">
        <v>0.99297650000000004</v>
      </c>
      <c r="Q329">
        <v>0.1157118</v>
      </c>
      <c r="R329">
        <v>-2.4664990000000001E-2</v>
      </c>
      <c r="S329">
        <v>3.0208439999999999</v>
      </c>
      <c r="T329">
        <v>0.11007500000000001</v>
      </c>
      <c r="U329">
        <v>0.49679570000000001</v>
      </c>
      <c r="V329">
        <v>2.949771E-2</v>
      </c>
      <c r="W329">
        <v>0.12716179999999999</v>
      </c>
      <c r="X329">
        <v>0.99144330000000003</v>
      </c>
      <c r="Y329">
        <v>-0.1574692</v>
      </c>
      <c r="Z329">
        <v>-1.703895E-3</v>
      </c>
      <c r="AA329">
        <v>0.98752240000000002</v>
      </c>
      <c r="AB329">
        <v>29</v>
      </c>
      <c r="AC329">
        <v>134.33430000000001</v>
      </c>
      <c r="AD329">
        <v>4.9052059999999997</v>
      </c>
      <c r="AE329">
        <v>22.1372999999999</v>
      </c>
      <c r="AF329">
        <v>-21.463662352549399</v>
      </c>
      <c r="AG329">
        <v>4.9052059999999997</v>
      </c>
      <c r="AH329">
        <v>134.26483848169599</v>
      </c>
      <c r="AI329">
        <v>87.9339076846247</v>
      </c>
      <c r="AJ329">
        <v>99.082491045622405</v>
      </c>
      <c r="AK329">
        <v>136.05806370811899</v>
      </c>
      <c r="AL329">
        <v>82.694386005318705</v>
      </c>
      <c r="AM329">
        <v>88.295821996921305</v>
      </c>
      <c r="AN329">
        <v>1.0000000276946801</v>
      </c>
    </row>
    <row r="330" spans="1:40" x14ac:dyDescent="0.25">
      <c r="A330" t="str">
        <f>"20190303170233818"</f>
        <v>20190303170233818</v>
      </c>
      <c r="B330" t="str">
        <f>"1551603753806274"</f>
        <v>1551603753806274</v>
      </c>
      <c r="C330" t="s">
        <v>40</v>
      </c>
      <c r="D330">
        <v>3.8857550000000001</v>
      </c>
      <c r="E330">
        <v>0.42793049999999999</v>
      </c>
      <c r="F330" t="s">
        <v>50</v>
      </c>
      <c r="G330">
        <v>-288.10180000000003</v>
      </c>
      <c r="H330">
        <v>6.0693039999999998</v>
      </c>
      <c r="I330">
        <v>389.99860000000001</v>
      </c>
      <c r="J330">
        <v>-420.476</v>
      </c>
      <c r="K330">
        <v>1.0709869999999999</v>
      </c>
      <c r="L330">
        <v>367.86239999999998</v>
      </c>
      <c r="M330">
        <v>0.99992289999999995</v>
      </c>
      <c r="N330">
        <v>-1.154137E-2</v>
      </c>
      <c r="O330">
        <v>4.5733559999999998E-3</v>
      </c>
      <c r="P330">
        <v>0.99298319999999995</v>
      </c>
      <c r="Q330">
        <v>0.11570569999999999</v>
      </c>
      <c r="R330">
        <v>-2.4432160000000001E-2</v>
      </c>
      <c r="S330">
        <v>3.0204469999999999</v>
      </c>
      <c r="T330">
        <v>0.1138034</v>
      </c>
      <c r="U330">
        <v>0.50402829999999998</v>
      </c>
      <c r="V330">
        <v>2.9034480000000001E-2</v>
      </c>
      <c r="W330">
        <v>0.12714339999999999</v>
      </c>
      <c r="X330">
        <v>0.99145930000000004</v>
      </c>
      <c r="Y330">
        <v>-0.1600126</v>
      </c>
      <c r="Z330">
        <v>-1.8392829999999999E-3</v>
      </c>
      <c r="AA330">
        <v>0.98711320000000002</v>
      </c>
      <c r="AB330">
        <v>29</v>
      </c>
      <c r="AC330">
        <v>132.37419999999901</v>
      </c>
      <c r="AD330">
        <v>4.9983170000000001</v>
      </c>
      <c r="AE330">
        <v>22.136199999999999</v>
      </c>
      <c r="AF330">
        <v>-21.500713219333701</v>
      </c>
      <c r="AG330">
        <v>4.9983170000000001</v>
      </c>
      <c r="AH330">
        <v>132.29057759844</v>
      </c>
      <c r="AI330">
        <v>87.864228253650694</v>
      </c>
      <c r="AJ330">
        <v>99.231360728221304</v>
      </c>
      <c r="AK330">
        <v>134.11957636042999</v>
      </c>
      <c r="AL330">
        <v>82.695448630049697</v>
      </c>
      <c r="AM330">
        <v>88.322595933524099</v>
      </c>
      <c r="AN330">
        <v>0.99999999437445997</v>
      </c>
    </row>
    <row r="331" spans="1:40" x14ac:dyDescent="0.25">
      <c r="A331" t="str">
        <f>"20190303170233839"</f>
        <v>20190303170233839</v>
      </c>
      <c r="B331" t="str">
        <f>"1551603753825795"</f>
        <v>1551603753825795</v>
      </c>
      <c r="C331" t="s">
        <v>40</v>
      </c>
      <c r="D331">
        <v>3.9210660000000002</v>
      </c>
      <c r="E331">
        <v>0.4274617</v>
      </c>
      <c r="F331" t="s">
        <v>50</v>
      </c>
      <c r="G331">
        <v>-289.26560000000001</v>
      </c>
      <c r="H331">
        <v>6.0694679999999996</v>
      </c>
      <c r="I331">
        <v>389.99860000000001</v>
      </c>
      <c r="J331">
        <v>-420.2097</v>
      </c>
      <c r="K331">
        <v>1.070983</v>
      </c>
      <c r="L331">
        <v>367.86340000000001</v>
      </c>
      <c r="M331">
        <v>0.99992420000000004</v>
      </c>
      <c r="N331">
        <v>-1.152224E-2</v>
      </c>
      <c r="O331">
        <v>4.3574800000000004E-3</v>
      </c>
      <c r="P331">
        <v>0.99293949999999997</v>
      </c>
      <c r="Q331">
        <v>0.1160356</v>
      </c>
      <c r="R331">
        <v>-2.4634280000000001E-2</v>
      </c>
      <c r="S331">
        <v>3.0203250000000001</v>
      </c>
      <c r="T331">
        <v>0.1150603</v>
      </c>
      <c r="U331">
        <v>0.509552</v>
      </c>
      <c r="V331">
        <v>2.9022269999999999E-2</v>
      </c>
      <c r="W331">
        <v>0.1274537</v>
      </c>
      <c r="X331">
        <v>0.99141990000000002</v>
      </c>
      <c r="Y331">
        <v>-0.1619845</v>
      </c>
      <c r="Z331">
        <v>-1.908075E-3</v>
      </c>
      <c r="AA331">
        <v>0.98679150000000004</v>
      </c>
      <c r="AB331">
        <v>29</v>
      </c>
      <c r="AC331">
        <v>130.94409999999999</v>
      </c>
      <c r="AD331">
        <v>4.9984849999999996</v>
      </c>
      <c r="AE331">
        <v>22.135200000000001</v>
      </c>
      <c r="AF331">
        <v>-21.533859318009199</v>
      </c>
      <c r="AG331">
        <v>4.9984849999999996</v>
      </c>
      <c r="AH331">
        <v>130.853939901659</v>
      </c>
      <c r="AI331">
        <v>87.841429369021498</v>
      </c>
      <c r="AJ331">
        <v>99.345069441102396</v>
      </c>
      <c r="AK331">
        <v>132.70812159476199</v>
      </c>
      <c r="AL331">
        <v>82.677524537449798</v>
      </c>
      <c r="AM331">
        <v>88.323234341400607</v>
      </c>
      <c r="AN331">
        <v>1.00000007795782</v>
      </c>
    </row>
    <row r="332" spans="1:40" x14ac:dyDescent="0.25">
      <c r="A332" t="str">
        <f>"20190303170233852"</f>
        <v>20190303170233852</v>
      </c>
      <c r="B332" t="str">
        <f>"1551603753846290"</f>
        <v>1551603753846290</v>
      </c>
      <c r="C332" t="s">
        <v>40</v>
      </c>
      <c r="D332">
        <v>3.8483510000000001</v>
      </c>
      <c r="E332">
        <v>0.42700260000000001</v>
      </c>
      <c r="F332" t="s">
        <v>50</v>
      </c>
      <c r="G332">
        <v>-289.88049999999998</v>
      </c>
      <c r="H332">
        <v>6.1567040000000004</v>
      </c>
      <c r="I332">
        <v>389.99860000000001</v>
      </c>
      <c r="J332">
        <v>-420.04259999999999</v>
      </c>
      <c r="K332">
        <v>1.0709820000000001</v>
      </c>
      <c r="L332">
        <v>367.86399999999998</v>
      </c>
      <c r="M332">
        <v>0.99992490000000001</v>
      </c>
      <c r="N332">
        <v>-1.150844E-2</v>
      </c>
      <c r="O332">
        <v>4.2219709999999997E-3</v>
      </c>
      <c r="P332">
        <v>0.99289269999999996</v>
      </c>
      <c r="Q332">
        <v>0.11634659999999999</v>
      </c>
      <c r="R332">
        <v>-2.505054E-2</v>
      </c>
      <c r="S332">
        <v>3.0202939999999998</v>
      </c>
      <c r="T332">
        <v>0.1178589</v>
      </c>
      <c r="U332">
        <v>0.51297000000000004</v>
      </c>
      <c r="V332">
        <v>2.9303829999999999E-2</v>
      </c>
      <c r="W332">
        <v>0.12775020000000001</v>
      </c>
      <c r="X332">
        <v>0.99137339999999996</v>
      </c>
      <c r="Y332">
        <v>-0.16319990000000001</v>
      </c>
      <c r="Z332">
        <v>-2.0026380000000002E-3</v>
      </c>
      <c r="AA332">
        <v>0.986591</v>
      </c>
      <c r="AB332">
        <v>29</v>
      </c>
      <c r="AC332">
        <v>130.16210000000001</v>
      </c>
      <c r="AD332">
        <v>5.0857219999999996</v>
      </c>
      <c r="AE332">
        <v>22.134599999999899</v>
      </c>
      <c r="AF332">
        <v>-21.552847081712301</v>
      </c>
      <c r="AG332">
        <v>5.0857219999999996</v>
      </c>
      <c r="AH332">
        <v>130.061421415333</v>
      </c>
      <c r="AI332">
        <v>87.790831495444607</v>
      </c>
      <c r="AJ332">
        <v>99.409140601967096</v>
      </c>
      <c r="AK332">
        <v>131.933176745525</v>
      </c>
      <c r="AL332">
        <v>82.660395920283094</v>
      </c>
      <c r="AM332">
        <v>88.306897230936897</v>
      </c>
      <c r="AN332">
        <v>1.00000002314013</v>
      </c>
    </row>
    <row r="333" spans="1:40" x14ac:dyDescent="0.25">
      <c r="A333" t="str">
        <f>"20190303170233873"</f>
        <v>20190303170233873</v>
      </c>
      <c r="B333" t="str">
        <f>"1551603753866788"</f>
        <v>1551603753866788</v>
      </c>
      <c r="C333" t="s">
        <v>40</v>
      </c>
      <c r="D333">
        <v>3.9049010000000002</v>
      </c>
      <c r="E333">
        <v>0.4265005</v>
      </c>
      <c r="F333" t="s">
        <v>50</v>
      </c>
      <c r="G333">
        <v>-290.29329999999999</v>
      </c>
      <c r="H333">
        <v>6.2559690000000003</v>
      </c>
      <c r="I333">
        <v>389.99860000000001</v>
      </c>
      <c r="J333">
        <v>-419.7627</v>
      </c>
      <c r="K333">
        <v>1.0709850000000001</v>
      </c>
      <c r="L333">
        <v>367.86489999999998</v>
      </c>
      <c r="M333">
        <v>0.99992619999999999</v>
      </c>
      <c r="N333">
        <v>-1.1481740000000001E-2</v>
      </c>
      <c r="O333">
        <v>3.9954040000000001E-3</v>
      </c>
      <c r="P333">
        <v>0.99279740000000005</v>
      </c>
      <c r="Q333">
        <v>0.1170306</v>
      </c>
      <c r="R333">
        <v>-2.564058E-2</v>
      </c>
      <c r="S333">
        <v>3.0203549999999999</v>
      </c>
      <c r="T333">
        <v>0.12069879999999999</v>
      </c>
      <c r="U333">
        <v>0.51525880000000002</v>
      </c>
      <c r="V333">
        <v>2.9668590000000002E-2</v>
      </c>
      <c r="W333">
        <v>0.1284061</v>
      </c>
      <c r="X333">
        <v>0.99127779999999999</v>
      </c>
      <c r="Y333">
        <v>-0.16414100000000001</v>
      </c>
      <c r="Z333">
        <v>-2.1015629999999999E-3</v>
      </c>
      <c r="AA333">
        <v>0.98643460000000005</v>
      </c>
      <c r="AB333">
        <v>29</v>
      </c>
      <c r="AC333">
        <v>129.46940000000001</v>
      </c>
      <c r="AD333">
        <v>5.184984</v>
      </c>
      <c r="AE333">
        <v>22.133700000000001</v>
      </c>
      <c r="AF333">
        <v>-21.582574686056901</v>
      </c>
      <c r="AG333">
        <v>5.184984</v>
      </c>
      <c r="AH333">
        <v>129.35523175766701</v>
      </c>
      <c r="AI333">
        <v>87.735889721070606</v>
      </c>
      <c r="AJ333">
        <v>99.472393243306598</v>
      </c>
      <c r="AK333">
        <v>131.245828780343</v>
      </c>
      <c r="AL333">
        <v>82.6225034741298</v>
      </c>
      <c r="AM333">
        <v>88.285669579775202</v>
      </c>
      <c r="AN333">
        <v>1.0000000142613099</v>
      </c>
    </row>
    <row r="334" spans="1:40" x14ac:dyDescent="0.25">
      <c r="A334" t="str">
        <f>"20190303170233886"</f>
        <v>20190303170233886</v>
      </c>
      <c r="B334" t="str">
        <f>"1551603753876547"</f>
        <v>1551603753876547</v>
      </c>
      <c r="C334" t="s">
        <v>40</v>
      </c>
      <c r="D334">
        <v>3.9430459999999998</v>
      </c>
      <c r="E334">
        <v>0.42626849999999999</v>
      </c>
      <c r="F334" t="s">
        <v>50</v>
      </c>
      <c r="G334">
        <v>-290.5301</v>
      </c>
      <c r="H334">
        <v>6.3520469999999998</v>
      </c>
      <c r="I334">
        <v>389.99860000000001</v>
      </c>
      <c r="J334">
        <v>-419.6019</v>
      </c>
      <c r="K334">
        <v>1.0709850000000001</v>
      </c>
      <c r="L334">
        <v>367.86540000000002</v>
      </c>
      <c r="M334">
        <v>0.99992689999999995</v>
      </c>
      <c r="N334">
        <v>-1.1464439999999999E-2</v>
      </c>
      <c r="O334">
        <v>3.8649190000000001E-3</v>
      </c>
      <c r="P334">
        <v>0.99275000000000002</v>
      </c>
      <c r="Q334">
        <v>0.1173469</v>
      </c>
      <c r="R334">
        <v>-2.6029759999999999E-2</v>
      </c>
      <c r="S334">
        <v>3.0205690000000001</v>
      </c>
      <c r="T334">
        <v>0.12343560000000001</v>
      </c>
      <c r="U334">
        <v>0.51733399999999996</v>
      </c>
      <c r="V334">
        <v>2.9928300000000001E-2</v>
      </c>
      <c r="W334">
        <v>0.1287045</v>
      </c>
      <c r="X334">
        <v>0.99123130000000004</v>
      </c>
      <c r="Y334">
        <v>-0.1649111</v>
      </c>
      <c r="Z334">
        <v>-2.1906930000000001E-3</v>
      </c>
      <c r="AA334">
        <v>0.98630600000000002</v>
      </c>
      <c r="AB334">
        <v>29</v>
      </c>
      <c r="AC334">
        <v>129.0718</v>
      </c>
      <c r="AD334">
        <v>5.2810620000000004</v>
      </c>
      <c r="AE334">
        <v>22.133199999999899</v>
      </c>
      <c r="AF334">
        <v>-21.599023969824799</v>
      </c>
      <c r="AG334">
        <v>5.2810620000000004</v>
      </c>
      <c r="AH334">
        <v>128.94668201725301</v>
      </c>
      <c r="AI334">
        <v>87.686928742969698</v>
      </c>
      <c r="AJ334">
        <v>99.508968498223894</v>
      </c>
      <c r="AK334">
        <v>130.84973922616501</v>
      </c>
      <c r="AL334">
        <v>82.605263409615702</v>
      </c>
      <c r="AM334">
        <v>88.270590838786802</v>
      </c>
      <c r="AN334">
        <v>1.0000000207804101</v>
      </c>
    </row>
    <row r="335" spans="1:40" x14ac:dyDescent="0.25">
      <c r="A335" t="str">
        <f>"20190303170233898"</f>
        <v>20190303170233898</v>
      </c>
      <c r="B335" t="str">
        <f>"1551603753886307"</f>
        <v>1551603753886307</v>
      </c>
      <c r="C335" t="s">
        <v>40</v>
      </c>
      <c r="D335">
        <v>3.9093079999999998</v>
      </c>
      <c r="E335">
        <v>0.42606529999999998</v>
      </c>
      <c r="F335" t="s">
        <v>50</v>
      </c>
      <c r="G335">
        <v>-290.57889999999998</v>
      </c>
      <c r="H335">
        <v>6.4051609999999997</v>
      </c>
      <c r="I335">
        <v>389.99860000000001</v>
      </c>
      <c r="J335">
        <v>-419.43520000000001</v>
      </c>
      <c r="K335">
        <v>1.070983</v>
      </c>
      <c r="L335">
        <v>367.86590000000001</v>
      </c>
      <c r="M335">
        <v>0.99992760000000003</v>
      </c>
      <c r="N335">
        <v>-1.1445540000000001E-2</v>
      </c>
      <c r="O335">
        <v>3.7297350000000001E-3</v>
      </c>
      <c r="P335">
        <v>0.99266520000000003</v>
      </c>
      <c r="Q335">
        <v>0.1179632</v>
      </c>
      <c r="R335">
        <v>-2.646894E-2</v>
      </c>
      <c r="S335">
        <v>3.020721</v>
      </c>
      <c r="T335">
        <v>0.12488580000000001</v>
      </c>
      <c r="U335">
        <v>0.51818850000000005</v>
      </c>
      <c r="V335">
        <v>3.023327E-2</v>
      </c>
      <c r="W335">
        <v>0.12930169999999999</v>
      </c>
      <c r="X335">
        <v>0.99114429999999998</v>
      </c>
      <c r="Y335">
        <v>-0.16530410000000001</v>
      </c>
      <c r="Z335">
        <v>-2.2423600000000001E-3</v>
      </c>
      <c r="AA335">
        <v>0.98624009999999995</v>
      </c>
      <c r="AB335">
        <v>29</v>
      </c>
      <c r="AC335">
        <v>128.8563</v>
      </c>
      <c r="AD335">
        <v>5.3341779999999996</v>
      </c>
      <c r="AE335">
        <v>22.1327</v>
      </c>
      <c r="AF335">
        <v>-21.615933969663299</v>
      </c>
      <c r="AG335">
        <v>5.3341779999999996</v>
      </c>
      <c r="AH335">
        <v>128.72369136822499</v>
      </c>
      <c r="AI335">
        <v>87.659807932883794</v>
      </c>
      <c r="AJ335">
        <v>99.532459983383703</v>
      </c>
      <c r="AK335">
        <v>130.63495235111699</v>
      </c>
      <c r="AL335">
        <v>82.570757908472203</v>
      </c>
      <c r="AM335">
        <v>88.252825735344302</v>
      </c>
      <c r="AN335">
        <v>1.00000000183013</v>
      </c>
    </row>
    <row r="336" spans="1:40" x14ac:dyDescent="0.25">
      <c r="A336" t="str">
        <f>"20190303170233917"</f>
        <v>20190303170233917</v>
      </c>
      <c r="B336" t="str">
        <f>"1551603753905827"</f>
        <v>1551603753905827</v>
      </c>
      <c r="C336" t="s">
        <v>40</v>
      </c>
      <c r="D336">
        <v>3.8481839999999998</v>
      </c>
      <c r="E336">
        <v>0.42586190000000002</v>
      </c>
      <c r="F336" t="s">
        <v>50</v>
      </c>
      <c r="G336">
        <v>-290.50700000000001</v>
      </c>
      <c r="H336">
        <v>6.4923820000000001</v>
      </c>
      <c r="I336">
        <v>389.99860000000001</v>
      </c>
      <c r="J336">
        <v>-419.19619999999998</v>
      </c>
      <c r="K336">
        <v>1.0709799999999901</v>
      </c>
      <c r="L336">
        <v>367.86660000000001</v>
      </c>
      <c r="M336">
        <v>0.9999287</v>
      </c>
      <c r="N336">
        <v>-1.1415689999999999E-2</v>
      </c>
      <c r="O336">
        <v>3.5362599999999998E-3</v>
      </c>
      <c r="P336">
        <v>0.99255839999999995</v>
      </c>
      <c r="Q336">
        <v>0.11870699999999999</v>
      </c>
      <c r="R336">
        <v>-2.714302E-2</v>
      </c>
      <c r="S336">
        <v>3.0208740000000001</v>
      </c>
      <c r="T336">
        <v>0.1270278</v>
      </c>
      <c r="U336">
        <v>0.51858519999999997</v>
      </c>
      <c r="V336">
        <v>3.0715269999999999E-2</v>
      </c>
      <c r="W336">
        <v>0.1300142</v>
      </c>
      <c r="X336">
        <v>0.99103620000000003</v>
      </c>
      <c r="Y336">
        <v>-0.16560800000000001</v>
      </c>
      <c r="Z336">
        <v>-2.3150789999999998E-3</v>
      </c>
      <c r="AA336">
        <v>0.98618890000000003</v>
      </c>
      <c r="AB336">
        <v>29</v>
      </c>
      <c r="AC336">
        <v>128.689199999999</v>
      </c>
      <c r="AD336">
        <v>5.4214019999999996</v>
      </c>
      <c r="AE336">
        <v>22.132000000000001</v>
      </c>
      <c r="AF336">
        <v>-21.639452020326001</v>
      </c>
      <c r="AG336">
        <v>5.4214019999999996</v>
      </c>
      <c r="AH336">
        <v>128.54508229555699</v>
      </c>
      <c r="AI336">
        <v>87.618445912696004</v>
      </c>
      <c r="AJ336">
        <v>99.5556554707495</v>
      </c>
      <c r="AK336">
        <v>130.466454177912</v>
      </c>
      <c r="AL336">
        <v>82.529586630050801</v>
      </c>
      <c r="AM336">
        <v>88.224795246368004</v>
      </c>
      <c r="AN336">
        <v>0.99999993486162397</v>
      </c>
    </row>
    <row r="337" spans="1:40" x14ac:dyDescent="0.25">
      <c r="A337" t="str">
        <f>"20190303170233942"</f>
        <v>20190303170233942</v>
      </c>
      <c r="B337" t="str">
        <f>"1551603753936084"</f>
        <v>1551603753936084</v>
      </c>
      <c r="C337" t="s">
        <v>40</v>
      </c>
      <c r="D337">
        <v>3.919575</v>
      </c>
      <c r="E337">
        <v>0.42518020000000001</v>
      </c>
      <c r="F337" t="s">
        <v>50</v>
      </c>
      <c r="G337">
        <v>-290.18610000000001</v>
      </c>
      <c r="H337">
        <v>6.6065649999999998</v>
      </c>
      <c r="I337">
        <v>389.99860000000001</v>
      </c>
      <c r="J337">
        <v>-418.8682</v>
      </c>
      <c r="K337">
        <v>1.070972</v>
      </c>
      <c r="L337">
        <v>367.86750000000001</v>
      </c>
      <c r="M337">
        <v>0.99993010000000004</v>
      </c>
      <c r="N337">
        <v>-1.137228E-2</v>
      </c>
      <c r="O337">
        <v>3.2714580000000001E-3</v>
      </c>
      <c r="P337">
        <v>0.99248400000000003</v>
      </c>
      <c r="Q337">
        <v>0.1191726</v>
      </c>
      <c r="R337">
        <v>-2.7817149999999999E-2</v>
      </c>
      <c r="S337">
        <v>3.021118</v>
      </c>
      <c r="T337">
        <v>0.1296313</v>
      </c>
      <c r="U337">
        <v>0.51827999999999996</v>
      </c>
      <c r="V337">
        <v>3.1126770000000002E-2</v>
      </c>
      <c r="W337">
        <v>0.13043589999999999</v>
      </c>
      <c r="X337">
        <v>0.99096799999999996</v>
      </c>
      <c r="Y337">
        <v>-0.1657535</v>
      </c>
      <c r="Z337">
        <v>-2.4028650000000001E-3</v>
      </c>
      <c r="AA337">
        <v>0.98616429999999999</v>
      </c>
      <c r="AB337">
        <v>29</v>
      </c>
      <c r="AC337">
        <v>128.68209999999999</v>
      </c>
      <c r="AD337">
        <v>5.5355930000000004</v>
      </c>
      <c r="AE337">
        <v>22.1311</v>
      </c>
      <c r="AF337">
        <v>-21.671025869136699</v>
      </c>
      <c r="AG337">
        <v>5.5355930000000004</v>
      </c>
      <c r="AH337">
        <v>128.52281641050899</v>
      </c>
      <c r="AI337">
        <v>87.568031433341105</v>
      </c>
      <c r="AJ337">
        <v>99.570967521454904</v>
      </c>
      <c r="AK337">
        <v>130.45455335162501</v>
      </c>
      <c r="AL337">
        <v>82.5052178853295</v>
      </c>
      <c r="AM337">
        <v>88.200904190789899</v>
      </c>
      <c r="AN337">
        <v>0.999999988421721</v>
      </c>
    </row>
    <row r="338" spans="1:40" x14ac:dyDescent="0.25">
      <c r="A338" t="str">
        <f>"20190303170233956"</f>
        <v>20190303170233956</v>
      </c>
      <c r="B338" t="str">
        <f>"1551603753945843"</f>
        <v>1551603753945843</v>
      </c>
      <c r="C338" t="s">
        <v>40</v>
      </c>
      <c r="D338">
        <v>3.9349750000000001</v>
      </c>
      <c r="E338">
        <v>0.42491669999999998</v>
      </c>
      <c r="F338" t="s">
        <v>50</v>
      </c>
      <c r="G338">
        <v>-290.68529999999998</v>
      </c>
      <c r="H338">
        <v>6.6861410000000001</v>
      </c>
      <c r="I338">
        <v>389.99860000000001</v>
      </c>
      <c r="J338">
        <v>-418.68939999999998</v>
      </c>
      <c r="K338">
        <v>1.0709660000000001</v>
      </c>
      <c r="L338">
        <v>367.86790000000002</v>
      </c>
      <c r="M338">
        <v>0.99993089999999996</v>
      </c>
      <c r="N338">
        <v>-1.1348759999999999E-2</v>
      </c>
      <c r="O338">
        <v>3.1271739999999999E-3</v>
      </c>
      <c r="P338">
        <v>0.99248210000000003</v>
      </c>
      <c r="Q338">
        <v>0.1190935</v>
      </c>
      <c r="R338">
        <v>-2.821533E-2</v>
      </c>
      <c r="S338">
        <v>3.0214840000000001</v>
      </c>
      <c r="T338">
        <v>0.13235949999999999</v>
      </c>
      <c r="U338">
        <v>0.52166749999999995</v>
      </c>
      <c r="V338">
        <v>3.138196E-2</v>
      </c>
      <c r="W338">
        <v>0.1303329</v>
      </c>
      <c r="X338">
        <v>0.99097349999999995</v>
      </c>
      <c r="Y338">
        <v>-0.16694329999999999</v>
      </c>
      <c r="Z338">
        <v>-2.502284E-3</v>
      </c>
      <c r="AA338">
        <v>0.98596329999999999</v>
      </c>
      <c r="AB338">
        <v>29</v>
      </c>
      <c r="AC338">
        <v>128.00409999999999</v>
      </c>
      <c r="AD338">
        <v>5.6151749999999998</v>
      </c>
      <c r="AE338">
        <v>22.130699999999901</v>
      </c>
      <c r="AF338">
        <v>-21.689748205197201</v>
      </c>
      <c r="AG338">
        <v>5.6151749999999998</v>
      </c>
      <c r="AH338">
        <v>127.833830586631</v>
      </c>
      <c r="AI338">
        <v>87.520261889792593</v>
      </c>
      <c r="AJ338">
        <v>99.629747153634199</v>
      </c>
      <c r="AK338">
        <v>129.78237018153499</v>
      </c>
      <c r="AL338">
        <v>82.511170136189193</v>
      </c>
      <c r="AM338">
        <v>88.186174339958995</v>
      </c>
      <c r="AN338">
        <v>0.99999998496904996</v>
      </c>
    </row>
    <row r="339" spans="1:40" x14ac:dyDescent="0.25">
      <c r="A339" t="str">
        <f>"20190303170233976"</f>
        <v>20190303170233976</v>
      </c>
      <c r="B339" t="str">
        <f>"1551603753966340"</f>
        <v>1551603753966340</v>
      </c>
      <c r="C339" t="s">
        <v>40</v>
      </c>
      <c r="D339">
        <v>3.9156589999999998</v>
      </c>
      <c r="E339">
        <v>0.42451220000000001</v>
      </c>
      <c r="F339" t="s">
        <v>50</v>
      </c>
      <c r="G339">
        <v>-290.66090000000003</v>
      </c>
      <c r="H339">
        <v>6.6949639999999997</v>
      </c>
      <c r="I339">
        <v>389.99860000000001</v>
      </c>
      <c r="J339">
        <v>-418.4479</v>
      </c>
      <c r="K339">
        <v>1.070959</v>
      </c>
      <c r="L339">
        <v>367.86840000000001</v>
      </c>
      <c r="M339">
        <v>0.99993160000000003</v>
      </c>
      <c r="N339">
        <v>-1.1318430000000001E-2</v>
      </c>
      <c r="O339">
        <v>2.932091E-3</v>
      </c>
      <c r="P339">
        <v>0.99247600000000002</v>
      </c>
      <c r="Q339">
        <v>0.1190316</v>
      </c>
      <c r="R339">
        <v>-2.868679E-2</v>
      </c>
      <c r="S339">
        <v>3.0216059999999998</v>
      </c>
      <c r="T339">
        <v>0.13273299999999999</v>
      </c>
      <c r="U339">
        <v>0.52230829999999995</v>
      </c>
      <c r="V339">
        <v>3.1659609999999998E-2</v>
      </c>
      <c r="W339">
        <v>0.1302411</v>
      </c>
      <c r="X339">
        <v>0.99097679999999999</v>
      </c>
      <c r="Y339">
        <v>-0.1673306</v>
      </c>
      <c r="Z339">
        <v>-2.5314780000000002E-3</v>
      </c>
      <c r="AA339">
        <v>0.98589760000000004</v>
      </c>
      <c r="AB339">
        <v>29</v>
      </c>
      <c r="AC339">
        <v>127.786999999999</v>
      </c>
      <c r="AD339">
        <v>5.6240050000000004</v>
      </c>
      <c r="AE339">
        <v>22.130199999999999</v>
      </c>
      <c r="AF339">
        <v>-21.7145624496385</v>
      </c>
      <c r="AG339">
        <v>5.6240050000000004</v>
      </c>
      <c r="AH339">
        <v>127.611363247185</v>
      </c>
      <c r="AI339">
        <v>87.512244162385997</v>
      </c>
      <c r="AJ339">
        <v>99.657047801515603</v>
      </c>
      <c r="AK339">
        <v>129.56778798923901</v>
      </c>
      <c r="AL339">
        <v>82.516475570444797</v>
      </c>
      <c r="AM339">
        <v>88.170143578338198</v>
      </c>
      <c r="AN339">
        <v>1.0000000465864001</v>
      </c>
    </row>
    <row r="340" spans="1:40" x14ac:dyDescent="0.25">
      <c r="A340" t="str">
        <f>"20190303170233998"</f>
        <v>20190303170233998</v>
      </c>
      <c r="B340" t="str">
        <f>"1551603753985858"</f>
        <v>1551603753985858</v>
      </c>
      <c r="C340" t="s">
        <v>40</v>
      </c>
      <c r="D340">
        <v>3.8777439999999999</v>
      </c>
      <c r="E340">
        <v>0.4242435</v>
      </c>
      <c r="F340" t="s">
        <v>50</v>
      </c>
      <c r="G340">
        <v>-290.94740000000002</v>
      </c>
      <c r="H340">
        <v>6.7062099999999996</v>
      </c>
      <c r="I340">
        <v>389.99860000000001</v>
      </c>
      <c r="J340">
        <v>-418.14890000000003</v>
      </c>
      <c r="K340">
        <v>1.070953</v>
      </c>
      <c r="L340">
        <v>367.86900000000003</v>
      </c>
      <c r="M340">
        <v>0.99993279999999995</v>
      </c>
      <c r="N340">
        <v>-1.128411E-2</v>
      </c>
      <c r="O340">
        <v>2.6897079999999999E-3</v>
      </c>
      <c r="P340">
        <v>0.99244140000000003</v>
      </c>
      <c r="Q340">
        <v>0.1191604</v>
      </c>
      <c r="R340">
        <v>-2.9349489999999999E-2</v>
      </c>
      <c r="S340">
        <v>3.021881</v>
      </c>
      <c r="T340">
        <v>0.1335614</v>
      </c>
      <c r="U340">
        <v>0.52450559999999902</v>
      </c>
      <c r="V340">
        <v>3.2081650000000003E-2</v>
      </c>
      <c r="W340">
        <v>0.13033529999999999</v>
      </c>
      <c r="X340">
        <v>0.99095080000000002</v>
      </c>
      <c r="Y340">
        <v>-0.1682476</v>
      </c>
      <c r="Z340">
        <v>-2.5840479999999998E-3</v>
      </c>
      <c r="AA340">
        <v>0.98574139999999999</v>
      </c>
      <c r="AB340">
        <v>29</v>
      </c>
      <c r="AC340">
        <v>127.2015</v>
      </c>
      <c r="AD340">
        <v>5.6352570000000002</v>
      </c>
      <c r="AE340">
        <v>22.1295999999999</v>
      </c>
      <c r="AF340">
        <v>-21.745937433923999</v>
      </c>
      <c r="AG340">
        <v>5.6352570000000002</v>
      </c>
      <c r="AH340">
        <v>127.018596222418</v>
      </c>
      <c r="AI340">
        <v>87.496086779629493</v>
      </c>
      <c r="AJ340">
        <v>99.715010799981201</v>
      </c>
      <c r="AK340">
        <v>128.98978914104001</v>
      </c>
      <c r="AL340">
        <v>82.511031596842201</v>
      </c>
      <c r="AM340">
        <v>88.145718886512299</v>
      </c>
      <c r="AN340">
        <v>1.00000000535672</v>
      </c>
    </row>
    <row r="341" spans="1:40" x14ac:dyDescent="0.25">
      <c r="A341" t="str">
        <f>"20190303170234019"</f>
        <v>20190303170234019</v>
      </c>
      <c r="B341" t="str">
        <f>"1551603754006356"</f>
        <v>1551603754006356</v>
      </c>
      <c r="C341" t="s">
        <v>40</v>
      </c>
      <c r="D341">
        <v>3.9191850000000001</v>
      </c>
      <c r="E341">
        <v>0.42401759999999999</v>
      </c>
      <c r="F341" t="s">
        <v>50</v>
      </c>
      <c r="G341">
        <v>-290.65129999999999</v>
      </c>
      <c r="H341">
        <v>6.7393039999999997</v>
      </c>
      <c r="I341">
        <v>389.99860000000001</v>
      </c>
      <c r="J341">
        <v>-417.88420000000002</v>
      </c>
      <c r="K341">
        <v>1.0709489999999999</v>
      </c>
      <c r="L341">
        <v>367.86950000000002</v>
      </c>
      <c r="M341">
        <v>0.99993359999999998</v>
      </c>
      <c r="N341">
        <v>-1.1256209999999999E-2</v>
      </c>
      <c r="O341">
        <v>2.475891E-3</v>
      </c>
      <c r="P341">
        <v>0.99247419999999997</v>
      </c>
      <c r="Q341">
        <v>0.118797</v>
      </c>
      <c r="R341">
        <v>-2.9703670000000001E-2</v>
      </c>
      <c r="S341">
        <v>3.0222470000000001</v>
      </c>
      <c r="T341">
        <v>0.13436519999999999</v>
      </c>
      <c r="U341">
        <v>0.52456669999999905</v>
      </c>
      <c r="V341">
        <v>3.2223809999999999E-2</v>
      </c>
      <c r="W341">
        <v>0.1299447</v>
      </c>
      <c r="X341">
        <v>0.99099749999999998</v>
      </c>
      <c r="Y341">
        <v>-0.16845550000000001</v>
      </c>
      <c r="Z341">
        <v>-2.622742E-3</v>
      </c>
      <c r="AA341">
        <v>0.98570579999999997</v>
      </c>
      <c r="AB341">
        <v>29</v>
      </c>
      <c r="AC341">
        <v>127.2329</v>
      </c>
      <c r="AD341">
        <v>5.668355</v>
      </c>
      <c r="AE341">
        <v>22.129099999999902</v>
      </c>
      <c r="AF341">
        <v>-21.7720532221343</v>
      </c>
      <c r="AG341">
        <v>5.668355</v>
      </c>
      <c r="AH341">
        <v>127.04255323832299</v>
      </c>
      <c r="AI341">
        <v>87.481946080536602</v>
      </c>
      <c r="AJ341">
        <v>99.724656173112294</v>
      </c>
      <c r="AK341">
        <v>129.01923454751099</v>
      </c>
      <c r="AL341">
        <v>82.533603411349901</v>
      </c>
      <c r="AM341">
        <v>88.137595689029794</v>
      </c>
      <c r="AN341">
        <v>1.0000000219976199</v>
      </c>
    </row>
    <row r="342" spans="1:40" x14ac:dyDescent="0.25">
      <c r="A342" t="str">
        <f>"20190303170234041"</f>
        <v>20190303170234041</v>
      </c>
      <c r="B342" t="str">
        <f>"1551603754036612"</f>
        <v>1551603754036612</v>
      </c>
      <c r="C342" t="s">
        <v>40</v>
      </c>
      <c r="D342">
        <v>4.0102520000000004</v>
      </c>
      <c r="E342">
        <v>0.4237534</v>
      </c>
      <c r="F342" t="s">
        <v>50</v>
      </c>
      <c r="G342">
        <v>-290.58390000000003</v>
      </c>
      <c r="H342">
        <v>6.6718009999999897</v>
      </c>
      <c r="I342">
        <v>389.99860000000001</v>
      </c>
      <c r="J342">
        <v>-417.58909999999997</v>
      </c>
      <c r="K342">
        <v>1.070943</v>
      </c>
      <c r="L342">
        <v>367.87</v>
      </c>
      <c r="M342">
        <v>0.99993460000000001</v>
      </c>
      <c r="N342">
        <v>-1.122455E-2</v>
      </c>
      <c r="O342">
        <v>2.2374809999999999E-3</v>
      </c>
      <c r="P342">
        <v>0.99248219999999998</v>
      </c>
      <c r="Q342">
        <v>0.1186939</v>
      </c>
      <c r="R342">
        <v>-2.9855409999999999E-2</v>
      </c>
      <c r="S342">
        <v>3.0225520000000001</v>
      </c>
      <c r="T342">
        <v>0.1329844</v>
      </c>
      <c r="U342">
        <v>0.52542109999999997</v>
      </c>
      <c r="V342">
        <v>3.2138809999999997E-2</v>
      </c>
      <c r="W342">
        <v>0.12980999999999901</v>
      </c>
      <c r="X342">
        <v>0.99101790000000001</v>
      </c>
      <c r="Y342">
        <v>-0.16894629999999999</v>
      </c>
      <c r="Z342">
        <v>-2.6090290000000001E-3</v>
      </c>
      <c r="AA342">
        <v>0.98562179999999999</v>
      </c>
      <c r="AB342">
        <v>29</v>
      </c>
      <c r="AC342">
        <v>127.00519999999899</v>
      </c>
      <c r="AD342">
        <v>5.6008579999999997</v>
      </c>
      <c r="AE342">
        <v>22.128599999999999</v>
      </c>
      <c r="AF342">
        <v>-21.803202289384501</v>
      </c>
      <c r="AG342">
        <v>5.6008579999999997</v>
      </c>
      <c r="AH342">
        <v>126.815038915466</v>
      </c>
      <c r="AI342">
        <v>87.507663738693395</v>
      </c>
      <c r="AJ342">
        <v>99.755438651454</v>
      </c>
      <c r="AK342">
        <v>128.797528452759</v>
      </c>
      <c r="AL342">
        <v>82.541386979820004</v>
      </c>
      <c r="AM342">
        <v>88.142543104630903</v>
      </c>
      <c r="AN342">
        <v>1.0000000086643099</v>
      </c>
    </row>
    <row r="343" spans="1:40" x14ac:dyDescent="0.25">
      <c r="A343" t="str">
        <f>"20190303170234054"</f>
        <v>20190303170234054</v>
      </c>
      <c r="B343" t="str">
        <f>"1551603754046370"</f>
        <v>1551603754046370</v>
      </c>
      <c r="C343" t="s">
        <v>40</v>
      </c>
      <c r="D343">
        <v>4.0089249999999996</v>
      </c>
      <c r="E343">
        <v>0.39847250000000001</v>
      </c>
      <c r="F343" t="s">
        <v>50</v>
      </c>
      <c r="G343">
        <v>-290.73559999999998</v>
      </c>
      <c r="H343">
        <v>6.6435979999999999</v>
      </c>
      <c r="I343">
        <v>389.99860000000001</v>
      </c>
      <c r="J343">
        <v>-417.41340000000002</v>
      </c>
      <c r="K343">
        <v>1.0709409999999999</v>
      </c>
      <c r="L343">
        <v>367.87020000000001</v>
      </c>
      <c r="M343">
        <v>0.99993500000000002</v>
      </c>
      <c r="N343">
        <v>-1.120545E-2</v>
      </c>
      <c r="O343">
        <v>2.0957929999999999E-3</v>
      </c>
      <c r="P343">
        <v>0.99244339999999998</v>
      </c>
      <c r="Q343">
        <v>0.11892220000000001</v>
      </c>
      <c r="R343">
        <v>-3.022524E-2</v>
      </c>
      <c r="S343">
        <v>3.022675</v>
      </c>
      <c r="T343">
        <v>0.1327864</v>
      </c>
      <c r="U343">
        <v>0.52728269999999899</v>
      </c>
      <c r="V343">
        <v>3.2368519999999998E-2</v>
      </c>
      <c r="W343">
        <v>0.13001940000000001</v>
      </c>
      <c r="X343">
        <v>0.9909829</v>
      </c>
      <c r="Y343">
        <v>-0.16966789999999901</v>
      </c>
      <c r="Z343">
        <v>-2.6243820000000002E-3</v>
      </c>
      <c r="AA343">
        <v>0.98549779999999998</v>
      </c>
      <c r="AB343">
        <v>29</v>
      </c>
      <c r="AC343">
        <v>126.6778</v>
      </c>
      <c r="AD343">
        <v>5.5726570000000004</v>
      </c>
      <c r="AE343">
        <v>22.128399999999999</v>
      </c>
      <c r="AF343">
        <v>-21.821865253729499</v>
      </c>
      <c r="AG343">
        <v>5.5726570000000004</v>
      </c>
      <c r="AH343">
        <v>126.486373961015</v>
      </c>
      <c r="AI343">
        <v>87.514008571424895</v>
      </c>
      <c r="AJ343">
        <v>99.788508262392895</v>
      </c>
      <c r="AK343">
        <v>128.475877529587</v>
      </c>
      <c r="AL343">
        <v>82.529286155764296</v>
      </c>
      <c r="AM343">
        <v>88.129210431029506</v>
      </c>
      <c r="AN343">
        <v>0.99999993677787802</v>
      </c>
    </row>
    <row r="344" spans="1:40" x14ac:dyDescent="0.25">
      <c r="A344" t="str">
        <f>"20190303170234067"</f>
        <v>20190303170234067</v>
      </c>
      <c r="B344" t="str">
        <f>"1551603754056131"</f>
        <v>1551603754056131</v>
      </c>
      <c r="C344" t="s">
        <v>40</v>
      </c>
      <c r="D344">
        <v>4.0534910000000002</v>
      </c>
      <c r="E344">
        <v>0.39906740000000002</v>
      </c>
      <c r="F344" t="s">
        <v>51</v>
      </c>
      <c r="G344">
        <v>-311.61009999999999</v>
      </c>
      <c r="H344">
        <v>5.4151550000000004</v>
      </c>
      <c r="I344">
        <v>393.29390000000001</v>
      </c>
      <c r="J344">
        <v>-417.25069999999999</v>
      </c>
      <c r="K344">
        <v>1.07094</v>
      </c>
      <c r="L344">
        <v>367.87040000000002</v>
      </c>
      <c r="M344">
        <v>0.99993549999999998</v>
      </c>
      <c r="N344">
        <v>-1.118826E-2</v>
      </c>
      <c r="O344">
        <v>1.9639929999999998E-3</v>
      </c>
      <c r="P344">
        <v>0.99243990000000004</v>
      </c>
      <c r="Q344">
        <v>0.11897089999999901</v>
      </c>
      <c r="R344">
        <v>-3.0150779999999999E-2</v>
      </c>
      <c r="S344">
        <v>3.030151</v>
      </c>
      <c r="T344">
        <v>0.1244155</v>
      </c>
      <c r="U344">
        <v>0.72811890000000001</v>
      </c>
      <c r="V344">
        <v>3.216314E-2</v>
      </c>
      <c r="W344">
        <v>0.1300511</v>
      </c>
      <c r="X344">
        <v>0.99098549999999996</v>
      </c>
      <c r="Y344">
        <v>-0.2316009</v>
      </c>
      <c r="Z344">
        <v>-3.2707330000000001E-3</v>
      </c>
      <c r="AA344">
        <v>0.97280540000000004</v>
      </c>
      <c r="AB344">
        <v>29</v>
      </c>
      <c r="AC344">
        <v>105.64060000000001</v>
      </c>
      <c r="AD344">
        <v>4.3442150000000002</v>
      </c>
      <c r="AE344">
        <v>25.423499999999901</v>
      </c>
      <c r="AF344">
        <v>-25.1757175184758</v>
      </c>
      <c r="AG344">
        <v>4.3442150000000002</v>
      </c>
      <c r="AH344">
        <v>105.52165592205399</v>
      </c>
      <c r="AI344">
        <v>87.7068161075034</v>
      </c>
      <c r="AJ344">
        <v>103.418965007672</v>
      </c>
      <c r="AK344">
        <v>108.57029439523799</v>
      </c>
      <c r="AL344">
        <v>82.527454866546094</v>
      </c>
      <c r="AM344">
        <v>88.141077210322706</v>
      </c>
      <c r="AN344">
        <v>1.0000000086980501</v>
      </c>
    </row>
    <row r="345" spans="1:40" x14ac:dyDescent="0.25">
      <c r="A345" t="str">
        <f>"20190303170234085"</f>
        <v>20190303170234085</v>
      </c>
      <c r="B345" t="str">
        <f>"1551603754076627"</f>
        <v>1551603754076627</v>
      </c>
      <c r="C345" t="s">
        <v>40</v>
      </c>
      <c r="D345">
        <v>3.8075909999999999</v>
      </c>
      <c r="E345">
        <v>0.39577839999999997</v>
      </c>
      <c r="F345" t="s">
        <v>51</v>
      </c>
      <c r="G345">
        <v>-311.61009999999999</v>
      </c>
      <c r="H345">
        <v>3.5161989999999999</v>
      </c>
      <c r="I345">
        <v>393.11</v>
      </c>
      <c r="J345">
        <v>-417.01010000000002</v>
      </c>
      <c r="K345">
        <v>1.0709390000000001</v>
      </c>
      <c r="L345">
        <v>367.8707</v>
      </c>
      <c r="M345">
        <v>0.99993620000000005</v>
      </c>
      <c r="N345">
        <v>-1.1163879999999999E-2</v>
      </c>
      <c r="O345">
        <v>1.768936E-3</v>
      </c>
      <c r="P345">
        <v>0.9924269</v>
      </c>
      <c r="Q345">
        <v>0.119061</v>
      </c>
      <c r="R345">
        <v>-3.0231049999999999E-2</v>
      </c>
      <c r="S345">
        <v>3.036438</v>
      </c>
      <c r="T345">
        <v>7.0283769999999995E-2</v>
      </c>
      <c r="U345">
        <v>0.72546390000000005</v>
      </c>
      <c r="V345">
        <v>3.20497E-2</v>
      </c>
      <c r="W345">
        <v>0.1301168</v>
      </c>
      <c r="X345">
        <v>0.99098059999999999</v>
      </c>
      <c r="Y345">
        <v>-0.2306298</v>
      </c>
      <c r="Z345">
        <v>-1.2666000000000001E-3</v>
      </c>
      <c r="AA345">
        <v>0.97304080000000004</v>
      </c>
      <c r="AB345">
        <v>29</v>
      </c>
      <c r="AC345">
        <v>105.4</v>
      </c>
      <c r="AD345">
        <v>2.44525999999999</v>
      </c>
      <c r="AE345">
        <v>25.2393</v>
      </c>
      <c r="AF345">
        <v>-25.040056615098202</v>
      </c>
      <c r="AG345">
        <v>2.44525999999999</v>
      </c>
      <c r="AH345">
        <v>105.390836229756</v>
      </c>
      <c r="AI345">
        <v>88.7068569323107</v>
      </c>
      <c r="AJ345">
        <v>103.36522716754401</v>
      </c>
      <c r="AK345">
        <v>108.352259288684</v>
      </c>
      <c r="AL345">
        <v>82.523658639178507</v>
      </c>
      <c r="AM345">
        <v>88.147619937358201</v>
      </c>
      <c r="AN345">
        <v>1.0000000572443399</v>
      </c>
    </row>
    <row r="346" spans="1:40" x14ac:dyDescent="0.25">
      <c r="A346" t="str">
        <f>"20190303170234099"</f>
        <v>20190303170234099</v>
      </c>
      <c r="B346" t="str">
        <f>"1551603754086388"</f>
        <v>1551603754086388</v>
      </c>
      <c r="C346" t="s">
        <v>40</v>
      </c>
      <c r="D346">
        <v>3.868652</v>
      </c>
      <c r="E346">
        <v>0.39404630000000002</v>
      </c>
      <c r="F346" t="s">
        <v>50</v>
      </c>
      <c r="G346">
        <v>-301.14359999999999</v>
      </c>
      <c r="H346">
        <v>4.013363</v>
      </c>
      <c r="I346">
        <v>396.53539999999998</v>
      </c>
      <c r="J346">
        <v>-416.84690000000001</v>
      </c>
      <c r="K346">
        <v>1.0709390000000001</v>
      </c>
      <c r="L346">
        <v>367.87090000000001</v>
      </c>
      <c r="M346">
        <v>0.99993670000000001</v>
      </c>
      <c r="N346">
        <v>-1.11482E-2</v>
      </c>
      <c r="O346">
        <v>1.636827E-3</v>
      </c>
      <c r="P346">
        <v>0.99240759999999995</v>
      </c>
      <c r="Q346">
        <v>0.1192009</v>
      </c>
      <c r="R346">
        <v>-3.0315849999999998E-2</v>
      </c>
      <c r="S346">
        <v>3.03653</v>
      </c>
      <c r="T346">
        <v>7.7113269999999998E-2</v>
      </c>
      <c r="U346">
        <v>0.75122069999999996</v>
      </c>
      <c r="V346">
        <v>3.2003480000000001E-2</v>
      </c>
      <c r="W346">
        <v>0.1302412</v>
      </c>
      <c r="X346">
        <v>0.99096569999999995</v>
      </c>
      <c r="Y346">
        <v>-0.23852670000000001</v>
      </c>
      <c r="Z346">
        <v>-1.574899E-3</v>
      </c>
      <c r="AA346">
        <v>0.97113470000000002</v>
      </c>
      <c r="AB346">
        <v>29</v>
      </c>
      <c r="AC346">
        <v>115.7033</v>
      </c>
      <c r="AD346">
        <v>2.9424239999999999</v>
      </c>
      <c r="AE346">
        <v>28.664499999999901</v>
      </c>
      <c r="AF346">
        <v>-28.4577235399377</v>
      </c>
      <c r="AG346">
        <v>2.9424239999999999</v>
      </c>
      <c r="AH346">
        <v>115.67958012374</v>
      </c>
      <c r="AI346">
        <v>88.585106338270705</v>
      </c>
      <c r="AJ346">
        <v>103.820594914818</v>
      </c>
      <c r="AK346">
        <v>119.16486539947999</v>
      </c>
      <c r="AL346">
        <v>82.516469484242606</v>
      </c>
      <c r="AM346">
        <v>88.150261670116393</v>
      </c>
      <c r="AN346">
        <v>1.0000000057430201</v>
      </c>
    </row>
    <row r="347" spans="1:40" x14ac:dyDescent="0.25">
      <c r="A347" t="str">
        <f>"20190303170234111"</f>
        <v>20190303170234111</v>
      </c>
      <c r="B347" t="str">
        <f>"1551603754105907"</f>
        <v>1551603754105907</v>
      </c>
      <c r="C347" t="s">
        <v>40</v>
      </c>
      <c r="D347">
        <v>3.8128549999999999</v>
      </c>
      <c r="E347">
        <v>0.39169880000000001</v>
      </c>
      <c r="F347" t="s">
        <v>50</v>
      </c>
      <c r="G347">
        <v>-301.14330000000001</v>
      </c>
      <c r="H347">
        <v>5.0408580000000001</v>
      </c>
      <c r="I347">
        <v>397.00970000000001</v>
      </c>
      <c r="J347">
        <v>-416.65679999999998</v>
      </c>
      <c r="K347">
        <v>1.0709379999999999</v>
      </c>
      <c r="L347">
        <v>367.87110000000001</v>
      </c>
      <c r="M347">
        <v>0.99993710000000002</v>
      </c>
      <c r="N347">
        <v>-1.113112E-2</v>
      </c>
      <c r="O347">
        <v>1.4831499999999999E-3</v>
      </c>
      <c r="P347">
        <v>0.99240450000000002</v>
      </c>
      <c r="Q347">
        <v>0.119200399999999</v>
      </c>
      <c r="R347">
        <v>-3.0407150000000001E-2</v>
      </c>
      <c r="S347">
        <v>3.0338129999999999</v>
      </c>
      <c r="T347">
        <v>0.1040943</v>
      </c>
      <c r="U347">
        <v>0.76403809999999905</v>
      </c>
      <c r="V347">
        <v>3.1942440000000002E-2</v>
      </c>
      <c r="W347">
        <v>0.1302237</v>
      </c>
      <c r="X347">
        <v>0.99097000000000002</v>
      </c>
      <c r="Y347">
        <v>-0.2426893</v>
      </c>
      <c r="Z347">
        <v>-2.6602510000000002E-3</v>
      </c>
      <c r="AA347">
        <v>0.97010039999999997</v>
      </c>
      <c r="AB347">
        <v>29</v>
      </c>
      <c r="AC347">
        <v>115.513499999999</v>
      </c>
      <c r="AD347">
        <v>3.9699199999999899</v>
      </c>
      <c r="AE347">
        <v>29.1386</v>
      </c>
      <c r="AF347">
        <v>-28.935101947270098</v>
      </c>
      <c r="AG347">
        <v>3.9699199999999899</v>
      </c>
      <c r="AH347">
        <v>115.428412724829</v>
      </c>
      <c r="AI347">
        <v>88.089280109624497</v>
      </c>
      <c r="AJ347">
        <v>104.072676859222</v>
      </c>
      <c r="AK347">
        <v>119.06602728603499</v>
      </c>
      <c r="AL347">
        <v>82.517481002285606</v>
      </c>
      <c r="AM347">
        <v>88.153795223948805</v>
      </c>
      <c r="AN347">
        <v>1.00000003620742</v>
      </c>
    </row>
    <row r="348" spans="1:40" x14ac:dyDescent="0.25">
      <c r="A348" t="str">
        <f>"20190303170234131"</f>
        <v>20190303170234131</v>
      </c>
      <c r="B348" t="str">
        <f>"1551603754126402"</f>
        <v>1551603754126402</v>
      </c>
      <c r="C348" t="s">
        <v>40</v>
      </c>
      <c r="D348">
        <v>3.845844</v>
      </c>
      <c r="E348">
        <v>0.38967210000000002</v>
      </c>
      <c r="F348" t="s">
        <v>50</v>
      </c>
      <c r="G348">
        <v>-302.93790000000001</v>
      </c>
      <c r="H348">
        <v>5.9723810000000004</v>
      </c>
      <c r="I348">
        <v>397.18490000000003</v>
      </c>
      <c r="J348">
        <v>-416.42230000000001</v>
      </c>
      <c r="K348">
        <v>1.0709420000000001</v>
      </c>
      <c r="L348">
        <v>367.87119999999999</v>
      </c>
      <c r="M348">
        <v>0.99993750000000003</v>
      </c>
      <c r="N348">
        <v>-1.1112149999999999E-2</v>
      </c>
      <c r="O348">
        <v>1.2938959999999999E-3</v>
      </c>
      <c r="P348">
        <v>0.99234029999999995</v>
      </c>
      <c r="Q348">
        <v>0.1196393</v>
      </c>
      <c r="R348">
        <v>-3.0775009999999998E-2</v>
      </c>
      <c r="S348">
        <v>3.0312190000000001</v>
      </c>
      <c r="T348">
        <v>0.1306505</v>
      </c>
      <c r="U348">
        <v>0.78137209999999901</v>
      </c>
      <c r="V348">
        <v>3.2122680000000001E-2</v>
      </c>
      <c r="W348">
        <v>0.13064300000000001</v>
      </c>
      <c r="X348">
        <v>0.99090889999999998</v>
      </c>
      <c r="Y348">
        <v>-0.2482058</v>
      </c>
      <c r="Z348">
        <v>-3.7899959999999999E-3</v>
      </c>
      <c r="AA348">
        <v>0.96869989999999995</v>
      </c>
      <c r="AB348">
        <v>29</v>
      </c>
      <c r="AC348">
        <v>113.48439999999999</v>
      </c>
      <c r="AD348">
        <v>4.9014389999999999</v>
      </c>
      <c r="AE348">
        <v>29.313700000000001</v>
      </c>
      <c r="AF348">
        <v>-29.115913419893399</v>
      </c>
      <c r="AG348">
        <v>4.9014389999999999</v>
      </c>
      <c r="AH348">
        <v>113.32406262693</v>
      </c>
      <c r="AI348">
        <v>87.601225630840403</v>
      </c>
      <c r="AJ348">
        <v>104.409125394459</v>
      </c>
      <c r="AK348">
        <v>117.107231582075</v>
      </c>
      <c r="AL348">
        <v>82.493249257854998</v>
      </c>
      <c r="AM348">
        <v>88.143270607728297</v>
      </c>
      <c r="AN348">
        <v>0.99999995405929498</v>
      </c>
    </row>
    <row r="349" spans="1:40" x14ac:dyDescent="0.25">
      <c r="A349" t="str">
        <f>"20190303170234153"</f>
        <v>20190303170234153</v>
      </c>
      <c r="B349" t="str">
        <f>"1551603754145923"</f>
        <v>1551603754145923</v>
      </c>
      <c r="C349" t="s">
        <v>40</v>
      </c>
      <c r="D349">
        <v>3.8780830000000002</v>
      </c>
      <c r="E349">
        <v>0.38825179999999998</v>
      </c>
      <c r="F349" t="s">
        <v>50</v>
      </c>
      <c r="G349">
        <v>-302.93770000000001</v>
      </c>
      <c r="H349">
        <v>6.7634550000000004</v>
      </c>
      <c r="I349">
        <v>397.67930000000001</v>
      </c>
      <c r="J349">
        <v>-416.12419999999997</v>
      </c>
      <c r="K349">
        <v>1.070943</v>
      </c>
      <c r="L349">
        <v>367.87130000000002</v>
      </c>
      <c r="M349">
        <v>0.99993810000000005</v>
      </c>
      <c r="N349">
        <v>-1.1090650000000001E-2</v>
      </c>
      <c r="O349">
        <v>1.0530419999999999E-3</v>
      </c>
      <c r="P349">
        <v>0.99228950000000005</v>
      </c>
      <c r="Q349">
        <v>0.1198771</v>
      </c>
      <c r="R349">
        <v>-3.1487279999999999E-2</v>
      </c>
      <c r="S349">
        <v>3.029541</v>
      </c>
      <c r="T349">
        <v>0.15196570000000001</v>
      </c>
      <c r="U349">
        <v>0.79574579999999995</v>
      </c>
      <c r="V349">
        <v>3.2596170000000001E-2</v>
      </c>
      <c r="W349">
        <v>0.13085859999999999</v>
      </c>
      <c r="X349">
        <v>0.99086510000000005</v>
      </c>
      <c r="Y349">
        <v>-0.25279970000000002</v>
      </c>
      <c r="Z349">
        <v>-4.7416209999999997E-3</v>
      </c>
      <c r="AA349">
        <v>0.96750700000000001</v>
      </c>
      <c r="AB349">
        <v>29</v>
      </c>
      <c r="AC349">
        <v>113.186499999999</v>
      </c>
      <c r="AD349">
        <v>5.6925119999999998</v>
      </c>
      <c r="AE349">
        <v>29.808</v>
      </c>
      <c r="AF349">
        <v>-29.618727135112302</v>
      </c>
      <c r="AG349">
        <v>5.6925119999999998</v>
      </c>
      <c r="AH349">
        <v>112.950659521801</v>
      </c>
      <c r="AI349">
        <v>87.209041308186002</v>
      </c>
      <c r="AJ349">
        <v>104.693676406157</v>
      </c>
      <c r="AK349">
        <v>116.908191228777</v>
      </c>
      <c r="AL349">
        <v>82.480790160540096</v>
      </c>
      <c r="AM349">
        <v>88.115838676841193</v>
      </c>
      <c r="AN349">
        <v>1.00000006494531</v>
      </c>
    </row>
    <row r="350" spans="1:40" x14ac:dyDescent="0.25">
      <c r="A350" t="str">
        <f>"20190303170234166"</f>
        <v>20190303170234166</v>
      </c>
      <c r="B350" t="str">
        <f>"1551603754156659"</f>
        <v>1551603754156659</v>
      </c>
      <c r="C350" t="s">
        <v>40</v>
      </c>
      <c r="D350">
        <v>3.8437030000000001</v>
      </c>
      <c r="E350">
        <v>0.3876463</v>
      </c>
      <c r="F350" t="s">
        <v>51</v>
      </c>
      <c r="G350">
        <v>-314.19349999999997</v>
      </c>
      <c r="H350">
        <v>6.674086</v>
      </c>
      <c r="I350">
        <v>394.94569999999999</v>
      </c>
      <c r="J350">
        <v>-415.96409999999997</v>
      </c>
      <c r="K350">
        <v>1.07094</v>
      </c>
      <c r="L350">
        <v>367.87130000000002</v>
      </c>
      <c r="M350">
        <v>0.99993840000000001</v>
      </c>
      <c r="N350">
        <v>-1.1080639999999999E-2</v>
      </c>
      <c r="O350">
        <v>9.2358030000000001E-4</v>
      </c>
      <c r="P350">
        <v>0.99228590000000005</v>
      </c>
      <c r="Q350">
        <v>0.1198719</v>
      </c>
      <c r="R350">
        <v>-3.1617689999999997E-2</v>
      </c>
      <c r="S350">
        <v>3.0287169999999999</v>
      </c>
      <c r="T350">
        <v>0.16648840000000001</v>
      </c>
      <c r="U350">
        <v>0.80447389999999996</v>
      </c>
      <c r="V350">
        <v>3.2598099999999998E-2</v>
      </c>
      <c r="W350">
        <v>0.1308434</v>
      </c>
      <c r="X350">
        <v>0.99086700000000005</v>
      </c>
      <c r="Y350">
        <v>-0.25553900000000002</v>
      </c>
      <c r="Z350">
        <v>-5.3982029999999999E-3</v>
      </c>
      <c r="AA350">
        <v>0.96678370000000002</v>
      </c>
      <c r="AB350">
        <v>29</v>
      </c>
      <c r="AC350">
        <v>101.7706</v>
      </c>
      <c r="AD350">
        <v>5.6031459999999997</v>
      </c>
      <c r="AE350">
        <v>27.074399999999901</v>
      </c>
      <c r="AF350">
        <v>-26.904226746139901</v>
      </c>
      <c r="AG350">
        <v>5.6031459999999997</v>
      </c>
      <c r="AH350">
        <v>101.50820596571</v>
      </c>
      <c r="AI350">
        <v>86.945786287928001</v>
      </c>
      <c r="AJ350">
        <v>104.844627877813</v>
      </c>
      <c r="AK350">
        <v>105.16248637362099</v>
      </c>
      <c r="AL350">
        <v>82.481668281183502</v>
      </c>
      <c r="AM350">
        <v>88.115730807690895</v>
      </c>
      <c r="AN350">
        <v>1.00000002156808</v>
      </c>
    </row>
    <row r="351" spans="1:40" x14ac:dyDescent="0.25">
      <c r="A351" t="str">
        <f>"20190303170234180"</f>
        <v>20190303170234180</v>
      </c>
      <c r="B351" t="str">
        <f>"1551603754176178"</f>
        <v>1551603754176178</v>
      </c>
      <c r="C351" t="s">
        <v>40</v>
      </c>
      <c r="D351">
        <v>3.8664749999999999</v>
      </c>
      <c r="E351">
        <v>0.38668229999999998</v>
      </c>
      <c r="F351" t="s">
        <v>51</v>
      </c>
      <c r="G351">
        <v>-317.10599999999999</v>
      </c>
      <c r="H351">
        <v>6.674086</v>
      </c>
      <c r="I351">
        <v>394.2715</v>
      </c>
      <c r="J351">
        <v>-415.7808</v>
      </c>
      <c r="K351">
        <v>1.0709379999999999</v>
      </c>
      <c r="L351">
        <v>367.87130000000002</v>
      </c>
      <c r="M351">
        <v>0.99993849999999995</v>
      </c>
      <c r="N351">
        <v>-1.106995E-2</v>
      </c>
      <c r="O351">
        <v>7.7546789999999896E-4</v>
      </c>
      <c r="P351">
        <v>0.99224900000000005</v>
      </c>
      <c r="Q351">
        <v>0.1200282</v>
      </c>
      <c r="R351">
        <v>-3.217449E-2</v>
      </c>
      <c r="S351">
        <v>3.0283199999999999</v>
      </c>
      <c r="T351">
        <v>0.17164079999999901</v>
      </c>
      <c r="U351">
        <v>0.80871579999999998</v>
      </c>
      <c r="V351">
        <v>3.3008040000000002E-2</v>
      </c>
      <c r="W351">
        <v>0.1309891</v>
      </c>
      <c r="X351">
        <v>0.9908342</v>
      </c>
      <c r="Y351">
        <v>-0.25695560000000001</v>
      </c>
      <c r="Z351">
        <v>-5.6518769999999996E-3</v>
      </c>
      <c r="AA351">
        <v>0.96640669999999995</v>
      </c>
      <c r="AB351">
        <v>29</v>
      </c>
      <c r="AC351">
        <v>98.674800000000005</v>
      </c>
      <c r="AD351">
        <v>5.603148</v>
      </c>
      <c r="AE351">
        <v>26.400199999999899</v>
      </c>
      <c r="AF351">
        <v>-26.244697179046</v>
      </c>
      <c r="AG351">
        <v>5.603148</v>
      </c>
      <c r="AH351">
        <v>98.399158152314499</v>
      </c>
      <c r="AI351">
        <v>86.850779864542304</v>
      </c>
      <c r="AJ351">
        <v>104.93409267202399</v>
      </c>
      <c r="AK351">
        <v>101.993008204552</v>
      </c>
      <c r="AL351">
        <v>82.473247980665406</v>
      </c>
      <c r="AM351">
        <v>88.091989322443496</v>
      </c>
      <c r="AN351">
        <v>1.0000000434565399</v>
      </c>
    </row>
    <row r="352" spans="1:40" x14ac:dyDescent="0.25">
      <c r="A352" t="str">
        <f>"20190303170234198"</f>
        <v>20190303170234198</v>
      </c>
      <c r="B352" t="str">
        <f>"1551603754185939"</f>
        <v>1551603754185939</v>
      </c>
      <c r="C352" t="s">
        <v>40</v>
      </c>
      <c r="D352">
        <v>3.8645230000000002</v>
      </c>
      <c r="E352">
        <v>0.38629730000000001</v>
      </c>
      <c r="F352" t="s">
        <v>51</v>
      </c>
      <c r="G352">
        <v>-321.74930000000001</v>
      </c>
      <c r="H352">
        <v>6.674086</v>
      </c>
      <c r="I352">
        <v>393.16230000000002</v>
      </c>
      <c r="J352">
        <v>-415.54140000000001</v>
      </c>
      <c r="K352">
        <v>1.070935</v>
      </c>
      <c r="L352">
        <v>367.87130000000002</v>
      </c>
      <c r="M352">
        <v>0.99993880000000002</v>
      </c>
      <c r="N352">
        <v>-1.10577E-2</v>
      </c>
      <c r="O352">
        <v>5.815916E-4</v>
      </c>
      <c r="P352">
        <v>0.99228369999999999</v>
      </c>
      <c r="Q352">
        <v>0.1195687</v>
      </c>
      <c r="R352">
        <v>-3.2816930000000001E-2</v>
      </c>
      <c r="S352">
        <v>3.0280149999999999</v>
      </c>
      <c r="T352">
        <v>0.1804328</v>
      </c>
      <c r="U352">
        <v>0.8144226</v>
      </c>
      <c r="V352">
        <v>3.345774E-2</v>
      </c>
      <c r="W352">
        <v>0.1305172</v>
      </c>
      <c r="X352">
        <v>0.99088129999999996</v>
      </c>
      <c r="Y352">
        <v>-0.25882699999999997</v>
      </c>
      <c r="Z352">
        <v>-6.0731350000000003E-3</v>
      </c>
      <c r="AA352">
        <v>0.9659046</v>
      </c>
      <c r="AB352">
        <v>29</v>
      </c>
      <c r="AC352">
        <v>93.792100000000005</v>
      </c>
      <c r="AD352">
        <v>5.6031510000000004</v>
      </c>
      <c r="AE352">
        <v>25.291</v>
      </c>
      <c r="AF352">
        <v>-25.152761106247102</v>
      </c>
      <c r="AG352">
        <v>5.6031510000000004</v>
      </c>
      <c r="AH352">
        <v>93.495736157813695</v>
      </c>
      <c r="AI352">
        <v>86.687882730061006</v>
      </c>
      <c r="AJ352">
        <v>105.057535099258</v>
      </c>
      <c r="AK352">
        <v>96.982005403519295</v>
      </c>
      <c r="AL352">
        <v>82.500519324390297</v>
      </c>
      <c r="AM352">
        <v>88.066106140861805</v>
      </c>
      <c r="AN352">
        <v>0.99999995527571695</v>
      </c>
    </row>
    <row r="353" spans="1:40" x14ac:dyDescent="0.25">
      <c r="A353" t="str">
        <f>"20190303170234221"</f>
        <v>20190303170234221</v>
      </c>
      <c r="B353" t="str">
        <f>"1551603754216195"</f>
        <v>1551603754216195</v>
      </c>
      <c r="C353" t="s">
        <v>40</v>
      </c>
      <c r="D353">
        <v>3.8682249999999998</v>
      </c>
      <c r="E353">
        <v>0.3851041</v>
      </c>
      <c r="F353" t="s">
        <v>51</v>
      </c>
      <c r="G353">
        <v>-322.46339999999998</v>
      </c>
      <c r="H353">
        <v>6.6740880000000002</v>
      </c>
      <c r="I353">
        <v>392.93209999999999</v>
      </c>
      <c r="J353">
        <v>-415.24549999999999</v>
      </c>
      <c r="K353">
        <v>1.070926</v>
      </c>
      <c r="L353">
        <v>367.87119999999999</v>
      </c>
      <c r="M353">
        <v>0.99993900000000002</v>
      </c>
      <c r="N353">
        <v>-1.104574E-2</v>
      </c>
      <c r="O353">
        <v>3.4253019999999998E-4</v>
      </c>
      <c r="P353">
        <v>0.99233419999999894</v>
      </c>
      <c r="Q353">
        <v>0.1190097</v>
      </c>
      <c r="R353">
        <v>-3.3312969999999997E-2</v>
      </c>
      <c r="S353">
        <v>3.0283509999999998</v>
      </c>
      <c r="T353">
        <v>0.18230150000000001</v>
      </c>
      <c r="U353">
        <v>0.81536869999999995</v>
      </c>
      <c r="V353">
        <v>3.3716540000000003E-2</v>
      </c>
      <c r="W353">
        <v>0.12994710000000001</v>
      </c>
      <c r="X353">
        <v>0.99094749999999998</v>
      </c>
      <c r="Y353">
        <v>-0.25930320000000001</v>
      </c>
      <c r="Z353">
        <v>-6.1795620000000004E-3</v>
      </c>
      <c r="AA353">
        <v>0.96577619999999997</v>
      </c>
      <c r="AB353">
        <v>29</v>
      </c>
      <c r="AC353">
        <v>92.7821</v>
      </c>
      <c r="AD353">
        <v>5.6031620000000002</v>
      </c>
      <c r="AE353">
        <v>25.0609</v>
      </c>
      <c r="AF353">
        <v>-24.944329244731701</v>
      </c>
      <c r="AG353">
        <v>5.6031620000000002</v>
      </c>
      <c r="AH353">
        <v>92.4763487424716</v>
      </c>
      <c r="AI353">
        <v>86.6520456703891</v>
      </c>
      <c r="AJ353">
        <v>105.09555027938001</v>
      </c>
      <c r="AK353">
        <v>95.945245127661494</v>
      </c>
      <c r="AL353">
        <v>82.533464566493393</v>
      </c>
      <c r="AM353">
        <v>88.051288800850301</v>
      </c>
      <c r="AN353">
        <v>1.0000000008121099</v>
      </c>
    </row>
    <row r="354" spans="1:40" x14ac:dyDescent="0.25">
      <c r="A354" t="str">
        <f>"20190303170234242"</f>
        <v>20190303170234242</v>
      </c>
      <c r="B354" t="str">
        <f>"1551603754225956"</f>
        <v>1551603754225956</v>
      </c>
      <c r="C354" t="s">
        <v>40</v>
      </c>
      <c r="D354">
        <v>3.8909449999999999</v>
      </c>
      <c r="E354">
        <v>0.38484279999999998</v>
      </c>
      <c r="F354" t="s">
        <v>51</v>
      </c>
      <c r="G354">
        <v>-324.64999999999998</v>
      </c>
      <c r="H354">
        <v>6.6740880000000002</v>
      </c>
      <c r="I354">
        <v>392.4864</v>
      </c>
      <c r="J354">
        <v>-414.9658</v>
      </c>
      <c r="K354">
        <v>1.0709169999999999</v>
      </c>
      <c r="L354">
        <v>367.87110000000001</v>
      </c>
      <c r="M354">
        <v>0.99993900000000002</v>
      </c>
      <c r="N354">
        <v>-1.1041179999999999E-2</v>
      </c>
      <c r="O354">
        <v>1.168338E-4</v>
      </c>
      <c r="P354">
        <v>0.99240539999999999</v>
      </c>
      <c r="Q354">
        <v>0.1182044</v>
      </c>
      <c r="R354">
        <v>-3.404633E-2</v>
      </c>
      <c r="S354">
        <v>3.0283509999999998</v>
      </c>
      <c r="T354">
        <v>0.18729709999999999</v>
      </c>
      <c r="U354">
        <v>0.82281489999999902</v>
      </c>
      <c r="V354">
        <v>3.4225749999999999E-2</v>
      </c>
      <c r="W354">
        <v>0.12913759999999999</v>
      </c>
      <c r="X354">
        <v>0.99103589999999997</v>
      </c>
      <c r="Y354">
        <v>-0.26170749999999998</v>
      </c>
      <c r="Z354">
        <v>-6.4618030000000003E-3</v>
      </c>
      <c r="AA354">
        <v>0.96512560000000003</v>
      </c>
      <c r="AB354">
        <v>29</v>
      </c>
      <c r="AC354">
        <v>90.315799999999996</v>
      </c>
      <c r="AD354">
        <v>5.6031709999999997</v>
      </c>
      <c r="AE354">
        <v>24.615299999999898</v>
      </c>
      <c r="AF354">
        <v>-24.5169081774091</v>
      </c>
      <c r="AG354">
        <v>5.6031709999999997</v>
      </c>
      <c r="AH354">
        <v>89.996237327237907</v>
      </c>
      <c r="AI354">
        <v>86.562321243836195</v>
      </c>
      <c r="AJ354">
        <v>105.238809777827</v>
      </c>
      <c r="AK354">
        <v>93.444085125251704</v>
      </c>
      <c r="AL354">
        <v>82.5802399135857</v>
      </c>
      <c r="AM354">
        <v>88.022057560481102</v>
      </c>
      <c r="AN354">
        <v>1.00000003839281</v>
      </c>
    </row>
    <row r="355" spans="1:40" x14ac:dyDescent="0.25">
      <c r="A355" t="str">
        <f>"20190303170234255"</f>
        <v>20190303170234255</v>
      </c>
      <c r="B355" t="str">
        <f>"1551603754246451"</f>
        <v>1551603754246451</v>
      </c>
      <c r="C355" t="s">
        <v>40</v>
      </c>
      <c r="D355">
        <v>4.1566199999999904</v>
      </c>
      <c r="E355">
        <v>0.38755089999999998</v>
      </c>
      <c r="F355" t="s">
        <v>51</v>
      </c>
      <c r="G355">
        <v>-324.36259999999999</v>
      </c>
      <c r="H355">
        <v>6.6740869999999903</v>
      </c>
      <c r="I355">
        <v>392.4905</v>
      </c>
      <c r="J355">
        <v>-414.79570000000001</v>
      </c>
      <c r="K355">
        <v>1.0709150000000001</v>
      </c>
      <c r="L355">
        <v>367.87099999999998</v>
      </c>
      <c r="M355">
        <v>0.99993920000000003</v>
      </c>
      <c r="N355">
        <v>-1.104194E-2</v>
      </c>
      <c r="O355" s="1">
        <v>-2.0737050000000002E-5</v>
      </c>
      <c r="P355">
        <v>0.99246230000000002</v>
      </c>
      <c r="Q355">
        <v>0.1176029</v>
      </c>
      <c r="R355">
        <v>-3.447269E-2</v>
      </c>
      <c r="S355">
        <v>3.02887</v>
      </c>
      <c r="T355">
        <v>0.1873137</v>
      </c>
      <c r="U355">
        <v>0.8230286</v>
      </c>
      <c r="V355">
        <v>3.4515209999999998E-2</v>
      </c>
      <c r="W355">
        <v>0.12853709999999999</v>
      </c>
      <c r="X355">
        <v>0.99110390000000004</v>
      </c>
      <c r="Y355">
        <v>-0.26186130000000002</v>
      </c>
      <c r="Z355">
        <v>-6.4746559999999996E-3</v>
      </c>
      <c r="AA355">
        <v>0.96508380000000005</v>
      </c>
      <c r="AB355">
        <v>29</v>
      </c>
      <c r="AC355">
        <v>90.433099999999996</v>
      </c>
      <c r="AD355">
        <v>5.60317199999999</v>
      </c>
      <c r="AE355">
        <v>24.619499999999999</v>
      </c>
      <c r="AF355">
        <v>-24.533690417128</v>
      </c>
      <c r="AG355">
        <v>5.60317199999999</v>
      </c>
      <c r="AH355">
        <v>90.110528516297293</v>
      </c>
      <c r="AI355">
        <v>86.566532033014795</v>
      </c>
      <c r="AJ355">
        <v>105.230313654271</v>
      </c>
      <c r="AK355">
        <v>93.558563752504796</v>
      </c>
      <c r="AL355">
        <v>82.614935000761406</v>
      </c>
      <c r="AM355">
        <v>88.0054795594681</v>
      </c>
      <c r="AN355">
        <v>1.0000000131964799</v>
      </c>
    </row>
    <row r="356" spans="1:40" x14ac:dyDescent="0.25">
      <c r="A356" t="str">
        <f>"20190303170234275"</f>
        <v>20190303170234275</v>
      </c>
      <c r="B356" t="str">
        <f>"1551603754265972"</f>
        <v>1551603754265972</v>
      </c>
      <c r="C356" t="s">
        <v>40</v>
      </c>
      <c r="D356">
        <v>4.020378</v>
      </c>
      <c r="E356">
        <v>0.47445619999999999</v>
      </c>
      <c r="F356" t="s">
        <v>51</v>
      </c>
      <c r="G356">
        <v>-314.38889999999998</v>
      </c>
      <c r="H356">
        <v>6.674086</v>
      </c>
      <c r="I356">
        <v>394.41</v>
      </c>
      <c r="J356">
        <v>-414.52980000000002</v>
      </c>
      <c r="K356">
        <v>1.070919</v>
      </c>
      <c r="L356">
        <v>367.8707</v>
      </c>
      <c r="M356">
        <v>0.99993900000000002</v>
      </c>
      <c r="N356">
        <v>-1.105298E-2</v>
      </c>
      <c r="O356">
        <v>-2.3525759999999999E-4</v>
      </c>
      <c r="P356">
        <v>0.99250700000000003</v>
      </c>
      <c r="Q356">
        <v>0.1169973</v>
      </c>
      <c r="R356">
        <v>-3.5240580000000001E-2</v>
      </c>
      <c r="S356">
        <v>3.0305789999999999</v>
      </c>
      <c r="T356">
        <v>0.16911999999999999</v>
      </c>
      <c r="U356">
        <v>0.8010254</v>
      </c>
      <c r="V356">
        <v>3.5069980000000001E-2</v>
      </c>
      <c r="W356">
        <v>0.1279431</v>
      </c>
      <c r="X356">
        <v>0.99116130000000002</v>
      </c>
      <c r="Y356">
        <v>-0.25547150000000002</v>
      </c>
      <c r="Z356">
        <v>-5.5816260000000001E-3</v>
      </c>
      <c r="AA356">
        <v>0.96680049999999995</v>
      </c>
      <c r="AB356">
        <v>29</v>
      </c>
      <c r="AC356">
        <v>100.1409</v>
      </c>
      <c r="AD356">
        <v>5.603167</v>
      </c>
      <c r="AE356">
        <v>26.539300000000001</v>
      </c>
      <c r="AF356">
        <v>-26.485382911592101</v>
      </c>
      <c r="AG356">
        <v>5.603167</v>
      </c>
      <c r="AH356">
        <v>99.842587495642803</v>
      </c>
      <c r="AI356">
        <v>86.895095740137293</v>
      </c>
      <c r="AJ356">
        <v>104.85675577747401</v>
      </c>
      <c r="AK356">
        <v>103.44763538249001</v>
      </c>
      <c r="AL356">
        <v>82.649252179644293</v>
      </c>
      <c r="AM356">
        <v>87.973565009393198</v>
      </c>
      <c r="AN356">
        <v>1.0000000314762401</v>
      </c>
    </row>
    <row r="357" spans="1:40" x14ac:dyDescent="0.25">
      <c r="A357" t="str">
        <f>"20190303170234290"</f>
        <v>20190303170234290</v>
      </c>
      <c r="B357" t="str">
        <f>"1551603754276707"</f>
        <v>1551603754276707</v>
      </c>
      <c r="C357" t="s">
        <v>40</v>
      </c>
      <c r="D357">
        <v>4.0140260000000003</v>
      </c>
      <c r="E357">
        <v>0.48339569999999998</v>
      </c>
      <c r="F357" t="s">
        <v>42</v>
      </c>
      <c r="G357">
        <v>-380.37799999999999</v>
      </c>
      <c r="H357" s="1">
        <v>-4.189927E-6</v>
      </c>
      <c r="I357">
        <v>369.16640000000001</v>
      </c>
      <c r="J357">
        <v>-414.33199999999999</v>
      </c>
      <c r="K357">
        <v>1.070924</v>
      </c>
      <c r="L357">
        <v>367.87049999999999</v>
      </c>
      <c r="M357">
        <v>0.99993869999999896</v>
      </c>
      <c r="N357">
        <v>-1.1066350000000001E-2</v>
      </c>
      <c r="O357">
        <v>-3.9531100000000002E-4</v>
      </c>
      <c r="P357">
        <v>0.99256750000000005</v>
      </c>
      <c r="Q357">
        <v>0.1163167</v>
      </c>
      <c r="R357">
        <v>-3.5782880000000003E-2</v>
      </c>
      <c r="S357">
        <v>3.0379330000000002</v>
      </c>
      <c r="T357">
        <v>-9.5262529999999998E-2</v>
      </c>
      <c r="U357">
        <v>0.1152649</v>
      </c>
      <c r="V357">
        <v>3.5453129999999999E-2</v>
      </c>
      <c r="W357">
        <v>0.12727629999999901</v>
      </c>
      <c r="X357">
        <v>0.99123349999999999</v>
      </c>
      <c r="Y357">
        <v>-3.828413E-2</v>
      </c>
      <c r="Z357">
        <v>8.198894E-4</v>
      </c>
      <c r="AA357">
        <v>0.9992666</v>
      </c>
      <c r="AB357">
        <v>29</v>
      </c>
      <c r="AC357">
        <v>33.953999999999901</v>
      </c>
      <c r="AD357">
        <v>-1.070928189927</v>
      </c>
      <c r="AE357">
        <v>1.29590000000001</v>
      </c>
      <c r="AF357">
        <v>-1.3080237717823699</v>
      </c>
      <c r="AG357">
        <v>-1.070928189927</v>
      </c>
      <c r="AH357">
        <v>33.9197904701768</v>
      </c>
      <c r="AI357">
        <v>91.807020694901198</v>
      </c>
      <c r="AJ357">
        <v>92.208360521657497</v>
      </c>
      <c r="AK357">
        <v>33.961890390792803</v>
      </c>
      <c r="AL357">
        <v>82.687771812594207</v>
      </c>
      <c r="AM357">
        <v>87.951593450251394</v>
      </c>
      <c r="AN357">
        <v>1.0000000162453599</v>
      </c>
    </row>
    <row r="358" spans="1:40" x14ac:dyDescent="0.25">
      <c r="A358" t="str">
        <f>"20190303170234308"</f>
        <v>20190303170234308</v>
      </c>
      <c r="B358" t="str">
        <f>"1551603754296227"</f>
        <v>1551603754296227</v>
      </c>
      <c r="C358" t="s">
        <v>40</v>
      </c>
      <c r="D358">
        <v>4.0288459999999997</v>
      </c>
      <c r="E358">
        <v>0.49607649999999998</v>
      </c>
      <c r="F358" t="s">
        <v>42</v>
      </c>
      <c r="G358">
        <v>-385.1112</v>
      </c>
      <c r="H358" s="1">
        <v>-2.3159160000000002E-6</v>
      </c>
      <c r="I358">
        <v>368.28390000000002</v>
      </c>
      <c r="J358">
        <v>-414.10019999999997</v>
      </c>
      <c r="K358">
        <v>1.0709249999999999</v>
      </c>
      <c r="L358">
        <v>367.87020000000001</v>
      </c>
      <c r="M358">
        <v>0.99993849999999995</v>
      </c>
      <c r="N358">
        <v>-1.108635E-2</v>
      </c>
      <c r="O358">
        <v>-5.8234930000000001E-4</v>
      </c>
      <c r="P358">
        <v>0.99261169999999999</v>
      </c>
      <c r="Q358">
        <v>0.1157609</v>
      </c>
      <c r="R358">
        <v>-3.6357720000000003E-2</v>
      </c>
      <c r="S358">
        <v>3.037048</v>
      </c>
      <c r="T358">
        <v>-0.111306</v>
      </c>
      <c r="U358">
        <v>4.296875E-2</v>
      </c>
      <c r="V358">
        <v>3.5842159999999998E-2</v>
      </c>
      <c r="W358">
        <v>0.1267404</v>
      </c>
      <c r="X358">
        <v>0.99128819999999995</v>
      </c>
      <c r="Y358">
        <v>-1.471604E-2</v>
      </c>
      <c r="Z358">
        <v>3.6605889999999998E-4</v>
      </c>
      <c r="AA358">
        <v>0.99989159999999999</v>
      </c>
      <c r="AB358">
        <v>29</v>
      </c>
      <c r="AC358">
        <v>28.988999999999901</v>
      </c>
      <c r="AD358">
        <v>-1.070927315916</v>
      </c>
      <c r="AE358">
        <v>0.41370000000000501</v>
      </c>
      <c r="AF358">
        <v>-0.42999597104724302</v>
      </c>
      <c r="AG358">
        <v>-1.070927315916</v>
      </c>
      <c r="AH358">
        <v>28.949253663610801</v>
      </c>
      <c r="AI358">
        <v>92.118358229404805</v>
      </c>
      <c r="AJ358">
        <v>90.850976782852797</v>
      </c>
      <c r="AK358">
        <v>28.9722465392516</v>
      </c>
      <c r="AL358">
        <v>82.718727501014001</v>
      </c>
      <c r="AM358">
        <v>87.929249759715802</v>
      </c>
      <c r="AN358">
        <v>1.00000004244243</v>
      </c>
    </row>
    <row r="359" spans="1:40" x14ac:dyDescent="0.25">
      <c r="A359" t="str">
        <f>"20190303170234321"</f>
        <v>20190303170234321</v>
      </c>
      <c r="B359" t="str">
        <f>"1551603754305987"</f>
        <v>1551603754305987</v>
      </c>
      <c r="C359" t="s">
        <v>40</v>
      </c>
      <c r="D359">
        <v>4.0964159999999996</v>
      </c>
      <c r="E359">
        <v>0.49988840000000001</v>
      </c>
      <c r="F359" t="s">
        <v>42</v>
      </c>
      <c r="G359">
        <v>-392.78769999999997</v>
      </c>
      <c r="H359" s="1">
        <v>-3.4592260000000001E-6</v>
      </c>
      <c r="I359">
        <v>367.45800000000003</v>
      </c>
      <c r="J359">
        <v>-413.92590000000001</v>
      </c>
      <c r="K359">
        <v>1.0709249999999999</v>
      </c>
      <c r="L359">
        <v>367.87</v>
      </c>
      <c r="M359">
        <v>0.99993810000000005</v>
      </c>
      <c r="N359">
        <v>-1.1104889999999999E-2</v>
      </c>
      <c r="O359">
        <v>-7.227682E-4</v>
      </c>
      <c r="P359">
        <v>0.99265610000000004</v>
      </c>
      <c r="Q359">
        <v>0.115271</v>
      </c>
      <c r="R359">
        <v>-3.6694560000000001E-2</v>
      </c>
      <c r="S359">
        <v>3.0379640000000001</v>
      </c>
      <c r="T359">
        <v>-0.15265319999999999</v>
      </c>
      <c r="U359">
        <v>-5.8746340000000001E-2</v>
      </c>
      <c r="V359">
        <v>3.6039500000000002E-2</v>
      </c>
      <c r="W359">
        <v>0.12626979999999999</v>
      </c>
      <c r="X359">
        <v>0.99134109999999998</v>
      </c>
      <c r="Y359">
        <v>1.8583039999999999E-2</v>
      </c>
      <c r="Z359">
        <v>-5.415509E-4</v>
      </c>
      <c r="AA359">
        <v>0.99982709999999997</v>
      </c>
      <c r="AB359">
        <v>29</v>
      </c>
      <c r="AC359">
        <v>21.138200000000001</v>
      </c>
      <c r="AD359">
        <v>-1.070928459226</v>
      </c>
      <c r="AE359">
        <v>-0.411999999999977</v>
      </c>
      <c r="AF359">
        <v>0.39570563694677502</v>
      </c>
      <c r="AG359">
        <v>-1.070928459226</v>
      </c>
      <c r="AH359">
        <v>21.084394291776199</v>
      </c>
      <c r="AI359">
        <v>92.907184298361202</v>
      </c>
      <c r="AJ359">
        <v>88.924816086713193</v>
      </c>
      <c r="AK359">
        <v>21.115282460033001</v>
      </c>
      <c r="AL359">
        <v>82.745909272088298</v>
      </c>
      <c r="AM359">
        <v>87.917969626574802</v>
      </c>
      <c r="AN359">
        <v>1.00000004225074</v>
      </c>
    </row>
    <row r="360" spans="1:40" x14ac:dyDescent="0.25">
      <c r="A360" t="str">
        <f>"20190303170234333"</f>
        <v>20190303170234333</v>
      </c>
      <c r="B360" t="str">
        <f>"1551603754326483"</f>
        <v>1551603754326483</v>
      </c>
      <c r="C360" t="s">
        <v>40</v>
      </c>
      <c r="D360">
        <v>4.0846960000000001</v>
      </c>
      <c r="E360">
        <v>0.50484499999999999</v>
      </c>
      <c r="F360" t="s">
        <v>42</v>
      </c>
      <c r="G360">
        <v>-394.52940000000001</v>
      </c>
      <c r="H360" s="1">
        <v>-2.7404410000000001E-6</v>
      </c>
      <c r="I360">
        <v>367.29770000000002</v>
      </c>
      <c r="J360">
        <v>-413.7595</v>
      </c>
      <c r="K360">
        <v>1.0709219999999999</v>
      </c>
      <c r="L360">
        <v>367.8698</v>
      </c>
      <c r="M360">
        <v>0.99993790000000005</v>
      </c>
      <c r="N360">
        <v>-1.1125029999999999E-2</v>
      </c>
      <c r="O360">
        <v>-8.5723479999999996E-4</v>
      </c>
      <c r="P360">
        <v>0.99270659999999999</v>
      </c>
      <c r="Q360">
        <v>0.1147468</v>
      </c>
      <c r="R360">
        <v>-3.6976040000000002E-2</v>
      </c>
      <c r="S360">
        <v>3.0383909999999998</v>
      </c>
      <c r="T360">
        <v>-0.16775609999999999</v>
      </c>
      <c r="U360">
        <v>-8.9630130000000002E-2</v>
      </c>
      <c r="V360">
        <v>3.618731E-2</v>
      </c>
      <c r="W360">
        <v>0.1257665</v>
      </c>
      <c r="X360">
        <v>0.99139960000000005</v>
      </c>
      <c r="Y360">
        <v>2.8578019999999999E-2</v>
      </c>
      <c r="Z360">
        <v>-9.095517E-4</v>
      </c>
      <c r="AA360">
        <v>0.99959120000000001</v>
      </c>
      <c r="AB360">
        <v>29</v>
      </c>
      <c r="AC360">
        <v>19.2301</v>
      </c>
      <c r="AD360">
        <v>-1.0709247404409901</v>
      </c>
      <c r="AE360">
        <v>-0.57209999999997696</v>
      </c>
      <c r="AF360">
        <v>0.55389773351237104</v>
      </c>
      <c r="AG360">
        <v>-1.0709247404409901</v>
      </c>
      <c r="AH360">
        <v>19.1711788770087</v>
      </c>
      <c r="AI360">
        <v>93.195956249096795</v>
      </c>
      <c r="AJ360">
        <v>88.345058674307694</v>
      </c>
      <c r="AK360">
        <v>19.209054688691602</v>
      </c>
      <c r="AL360">
        <v>82.774977307422205</v>
      </c>
      <c r="AM360">
        <v>87.909561336868293</v>
      </c>
      <c r="AN360">
        <v>0.99999995040372103</v>
      </c>
    </row>
    <row r="361" spans="1:40" x14ac:dyDescent="0.25">
      <c r="A361" t="str">
        <f>"20190303170234346"</f>
        <v>20190303170234346</v>
      </c>
      <c r="B361" t="str">
        <f>"1551603754336244"</f>
        <v>1551603754336244</v>
      </c>
      <c r="C361" t="s">
        <v>40</v>
      </c>
      <c r="D361">
        <v>4.0879629999999896</v>
      </c>
      <c r="E361">
        <v>0.50643000000000005</v>
      </c>
      <c r="F361" t="s">
        <v>42</v>
      </c>
      <c r="G361">
        <v>-396.32569999999998</v>
      </c>
      <c r="H361" s="1">
        <v>-1.9999600000000001E-6</v>
      </c>
      <c r="I361">
        <v>367.12790000000001</v>
      </c>
      <c r="J361">
        <v>-413.6037</v>
      </c>
      <c r="K361">
        <v>1.0709229999999901</v>
      </c>
      <c r="L361">
        <v>367.86939999999998</v>
      </c>
      <c r="M361">
        <v>0.99993750000000003</v>
      </c>
      <c r="N361">
        <v>-1.1146799999999899E-2</v>
      </c>
      <c r="O361">
        <v>-9.8253370000000008E-4</v>
      </c>
      <c r="P361">
        <v>0.99272729999999998</v>
      </c>
      <c r="Q361">
        <v>0.11459519999999999</v>
      </c>
      <c r="R361">
        <v>-3.6884319999999998E-2</v>
      </c>
      <c r="S361">
        <v>3.038818</v>
      </c>
      <c r="T361">
        <v>-0.18666859999999999</v>
      </c>
      <c r="U361">
        <v>-0.129303</v>
      </c>
      <c r="V361">
        <v>3.5971320000000001E-2</v>
      </c>
      <c r="W361">
        <v>0.12563630000000001</v>
      </c>
      <c r="X361">
        <v>0.99142399999999997</v>
      </c>
      <c r="Y361">
        <v>4.1439289999999997E-2</v>
      </c>
      <c r="Z361">
        <v>-1.452989E-3</v>
      </c>
      <c r="AA361">
        <v>0.99914000000000003</v>
      </c>
      <c r="AB361">
        <v>29</v>
      </c>
      <c r="AC361">
        <v>17.277999999999999</v>
      </c>
      <c r="AD361">
        <v>-1.0709249999599999</v>
      </c>
      <c r="AE361">
        <v>-0.74149999999997296</v>
      </c>
      <c r="AF361">
        <v>0.72175465519563398</v>
      </c>
      <c r="AG361">
        <v>-1.0709249999599999</v>
      </c>
      <c r="AH361">
        <v>17.212714558287399</v>
      </c>
      <c r="AI361">
        <v>93.5570698796854</v>
      </c>
      <c r="AJ361">
        <v>87.598909550375396</v>
      </c>
      <c r="AK361">
        <v>17.261093609702598</v>
      </c>
      <c r="AL361">
        <v>82.782497089997406</v>
      </c>
      <c r="AM361">
        <v>87.922078594306299</v>
      </c>
      <c r="AN361">
        <v>0.999999981758116</v>
      </c>
    </row>
    <row r="362" spans="1:40" x14ac:dyDescent="0.25">
      <c r="A362" t="str">
        <f>"20190303170234365"</f>
        <v>20190303170234365</v>
      </c>
      <c r="B362" t="str">
        <f>"1551603754356739"</f>
        <v>1551603754356739</v>
      </c>
      <c r="C362" t="s">
        <v>40</v>
      </c>
      <c r="D362">
        <v>4.0679949999999998</v>
      </c>
      <c r="E362">
        <v>0.50836250000000005</v>
      </c>
      <c r="F362" t="s">
        <v>42</v>
      </c>
      <c r="G362">
        <v>-396.75970000000001</v>
      </c>
      <c r="H362" s="1">
        <v>-1.821561E-6</v>
      </c>
      <c r="I362">
        <v>367.084</v>
      </c>
      <c r="J362">
        <v>-413.35309999999998</v>
      </c>
      <c r="K362">
        <v>1.070924</v>
      </c>
      <c r="L362">
        <v>367.86900000000003</v>
      </c>
      <c r="M362">
        <v>0.99993690000000002</v>
      </c>
      <c r="N362">
        <v>-1.1184639999999999E-2</v>
      </c>
      <c r="O362">
        <v>-1.1846960000000001E-3</v>
      </c>
      <c r="P362">
        <v>0.99278900000000003</v>
      </c>
      <c r="Q362">
        <v>0.114134</v>
      </c>
      <c r="R362">
        <v>-3.6654800000000001E-2</v>
      </c>
      <c r="S362">
        <v>3.0390630000000001</v>
      </c>
      <c r="T362">
        <v>-0.19322</v>
      </c>
      <c r="U362">
        <v>-0.14169309999999999</v>
      </c>
      <c r="V362">
        <v>3.5540990000000001E-2</v>
      </c>
      <c r="W362">
        <v>0.1252134</v>
      </c>
      <c r="X362">
        <v>0.99149299999999996</v>
      </c>
      <c r="Y362">
        <v>4.5284129999999999E-2</v>
      </c>
      <c r="Z362">
        <v>-1.6290429999999999E-3</v>
      </c>
      <c r="AA362">
        <v>0.99897279999999999</v>
      </c>
      <c r="AB362">
        <v>29</v>
      </c>
      <c r="AC362">
        <v>16.5933999999999</v>
      </c>
      <c r="AD362">
        <v>-1.070925821561</v>
      </c>
      <c r="AE362">
        <v>-0.78500000000002501</v>
      </c>
      <c r="AF362">
        <v>0.762172487266912</v>
      </c>
      <c r="AG362">
        <v>-1.070925821561</v>
      </c>
      <c r="AH362">
        <v>16.5256375967591</v>
      </c>
      <c r="AI362">
        <v>93.703879380072905</v>
      </c>
      <c r="AJ362">
        <v>87.359354950027694</v>
      </c>
      <c r="AK362">
        <v>16.577831190932301</v>
      </c>
      <c r="AL362">
        <v>82.806920209595404</v>
      </c>
      <c r="AM362">
        <v>87.947058416489099</v>
      </c>
      <c r="AN362">
        <v>0.99999996327936902</v>
      </c>
    </row>
    <row r="363" spans="1:40" x14ac:dyDescent="0.25">
      <c r="A363" t="str">
        <f>"20190303170234388"</f>
        <v>20190303170234388</v>
      </c>
      <c r="B363" t="str">
        <f>"1551603754376258"</f>
        <v>1551603754376258</v>
      </c>
      <c r="C363" t="s">
        <v>40</v>
      </c>
      <c r="D363">
        <v>4.1050890000000004</v>
      </c>
      <c r="E363">
        <v>0.50960399999999995</v>
      </c>
      <c r="F363" t="s">
        <v>42</v>
      </c>
      <c r="G363">
        <v>-397.1497</v>
      </c>
      <c r="H363" s="1">
        <v>-1.6629519999999999E-6</v>
      </c>
      <c r="I363">
        <v>367.0351</v>
      </c>
      <c r="J363">
        <v>-413.05029999999999</v>
      </c>
      <c r="K363">
        <v>1.0709310000000001</v>
      </c>
      <c r="L363">
        <v>367.86840000000001</v>
      </c>
      <c r="M363">
        <v>0.99993600000000005</v>
      </c>
      <c r="N363">
        <v>-1.1234630000000001E-2</v>
      </c>
      <c r="O363">
        <v>-1.4293649999999999E-3</v>
      </c>
      <c r="P363">
        <v>0.99280599999999997</v>
      </c>
      <c r="Q363">
        <v>0.11407680000000001</v>
      </c>
      <c r="R363">
        <v>-3.6371840000000003E-2</v>
      </c>
      <c r="S363">
        <v>3.0391539999999999</v>
      </c>
      <c r="T363">
        <v>-0.20086409999999999</v>
      </c>
      <c r="U363">
        <v>-0.1564026</v>
      </c>
      <c r="V363">
        <v>3.5015119999999997E-2</v>
      </c>
      <c r="W363">
        <v>0.12520680000000001</v>
      </c>
      <c r="X363">
        <v>0.99151259999999997</v>
      </c>
      <c r="Y363">
        <v>4.9842089999999999E-2</v>
      </c>
      <c r="Z363">
        <v>-1.8464639999999999E-3</v>
      </c>
      <c r="AA363">
        <v>0.99875539999999996</v>
      </c>
      <c r="AB363">
        <v>29</v>
      </c>
      <c r="AC363">
        <v>15.900599999999899</v>
      </c>
      <c r="AD363">
        <v>-1.070932662952</v>
      </c>
      <c r="AE363">
        <v>-0.83330000000000803</v>
      </c>
      <c r="AF363">
        <v>0.80691959000354296</v>
      </c>
      <c r="AG363">
        <v>-1.070932662952</v>
      </c>
      <c r="AH363">
        <v>15.830161977216401</v>
      </c>
      <c r="AI363">
        <v>93.865239680070403</v>
      </c>
      <c r="AJ363">
        <v>87.081956156439304</v>
      </c>
      <c r="AK363">
        <v>15.8868512996823</v>
      </c>
      <c r="AL363">
        <v>82.807301761887004</v>
      </c>
      <c r="AM363">
        <v>87.977448589456699</v>
      </c>
      <c r="AN363">
        <v>1.0000000186768001</v>
      </c>
    </row>
    <row r="364" spans="1:40" x14ac:dyDescent="0.25">
      <c r="A364" t="str">
        <f>"20190303170234415"</f>
        <v>20190303170234415</v>
      </c>
      <c r="B364" t="str">
        <f>"1551603754407491"</f>
        <v>1551603754407491</v>
      </c>
      <c r="C364" t="s">
        <v>40</v>
      </c>
      <c r="D364">
        <v>4.1080120000000004</v>
      </c>
      <c r="E364">
        <v>0.51094220000000001</v>
      </c>
      <c r="F364" t="s">
        <v>42</v>
      </c>
      <c r="G364">
        <v>-397.12569999999999</v>
      </c>
      <c r="H364" s="1">
        <v>-1.6789349999999901E-6</v>
      </c>
      <c r="I364">
        <v>367.00290000000001</v>
      </c>
      <c r="J364">
        <v>-412.70049999999998</v>
      </c>
      <c r="K364">
        <v>1.0709390000000001</v>
      </c>
      <c r="L364">
        <v>367.86759999999998</v>
      </c>
      <c r="M364">
        <v>0.99993480000000001</v>
      </c>
      <c r="N364">
        <v>-1.129693E-2</v>
      </c>
      <c r="O364">
        <v>-1.712964E-3</v>
      </c>
      <c r="P364">
        <v>0.99280760000000001</v>
      </c>
      <c r="Q364">
        <v>0.1140687</v>
      </c>
      <c r="R364">
        <v>-3.6351219999999997E-2</v>
      </c>
      <c r="S364">
        <v>3.0391539999999999</v>
      </c>
      <c r="T364">
        <v>-0.2043828</v>
      </c>
      <c r="U364">
        <v>-0.16516110000000001</v>
      </c>
      <c r="V364">
        <v>3.4713029999999999E-2</v>
      </c>
      <c r="W364">
        <v>0.1252607</v>
      </c>
      <c r="X364">
        <v>0.99151639999999996</v>
      </c>
      <c r="Y364">
        <v>5.2418439999999997E-2</v>
      </c>
      <c r="Z364">
        <v>-1.9603260000000001E-3</v>
      </c>
      <c r="AA364">
        <v>0.99862329999999999</v>
      </c>
      <c r="AB364">
        <v>29</v>
      </c>
      <c r="AC364">
        <v>15.5747999999999</v>
      </c>
      <c r="AD364">
        <v>-1.07094067893499</v>
      </c>
      <c r="AE364">
        <v>-0.86469999999997005</v>
      </c>
      <c r="AF364">
        <v>0.83408644047930502</v>
      </c>
      <c r="AG364">
        <v>-1.07094067893499</v>
      </c>
      <c r="AH364">
        <v>15.503183217843601</v>
      </c>
      <c r="AI364">
        <v>93.945955140087307</v>
      </c>
      <c r="AJ364">
        <v>86.920400005667702</v>
      </c>
      <c r="AK364">
        <v>15.5624967153095</v>
      </c>
      <c r="AL364">
        <v>82.804188910615196</v>
      </c>
      <c r="AM364">
        <v>87.994891354452704</v>
      </c>
      <c r="AN364">
        <v>1.0000000044426101</v>
      </c>
    </row>
    <row r="365" spans="1:40" x14ac:dyDescent="0.25">
      <c r="A365" t="str">
        <f>"20190303170234433"</f>
        <v>20190303170234433</v>
      </c>
      <c r="B365" t="str">
        <f>"1551603754426035"</f>
        <v>1551603754426035</v>
      </c>
      <c r="C365" t="s">
        <v>40</v>
      </c>
      <c r="D365">
        <v>4.1326260000000001</v>
      </c>
      <c r="E365">
        <v>0.51157810000000004</v>
      </c>
      <c r="F365" t="s">
        <v>42</v>
      </c>
      <c r="G365">
        <v>-397.09449999999998</v>
      </c>
      <c r="H365" s="1">
        <v>-1.698717E-6</v>
      </c>
      <c r="I365">
        <v>366.96679999999998</v>
      </c>
      <c r="J365">
        <v>-412.45049999999998</v>
      </c>
      <c r="K365">
        <v>1.0709519999999999</v>
      </c>
      <c r="L365">
        <v>367.86689999999999</v>
      </c>
      <c r="M365">
        <v>0.99993390000000004</v>
      </c>
      <c r="N365">
        <v>-1.134655E-2</v>
      </c>
      <c r="O365">
        <v>-1.9165090000000001E-3</v>
      </c>
      <c r="P365">
        <v>0.99284510000000004</v>
      </c>
      <c r="Q365">
        <v>0.1137565</v>
      </c>
      <c r="R365">
        <v>-3.6309220000000003E-2</v>
      </c>
      <c r="S365">
        <v>3.0392760000000001</v>
      </c>
      <c r="T365">
        <v>-0.20856569999999999</v>
      </c>
      <c r="U365">
        <v>-0.17541499999999999</v>
      </c>
      <c r="V365">
        <v>3.4468619999999998E-2</v>
      </c>
      <c r="W365">
        <v>0.1249982</v>
      </c>
      <c r="X365">
        <v>0.9915581</v>
      </c>
      <c r="Y365">
        <v>5.5557870000000002E-2</v>
      </c>
      <c r="Z365">
        <v>-2.108824E-3</v>
      </c>
      <c r="AA365">
        <v>0.99845329999999999</v>
      </c>
      <c r="AB365">
        <v>29</v>
      </c>
      <c r="AC365">
        <v>15.3559999999999</v>
      </c>
      <c r="AD365">
        <v>-1.0709536987170001</v>
      </c>
      <c r="AE365">
        <v>-0.900100000000009</v>
      </c>
      <c r="AF365">
        <v>0.86646656136583</v>
      </c>
      <c r="AG365">
        <v>-1.0709536987170001</v>
      </c>
      <c r="AH365">
        <v>15.2836134295045</v>
      </c>
      <c r="AI365">
        <v>94.001874355745201</v>
      </c>
      <c r="AJ365">
        <v>86.755231168833305</v>
      </c>
      <c r="AK365">
        <v>15.3455708785725</v>
      </c>
      <c r="AL365">
        <v>82.819348532355804</v>
      </c>
      <c r="AM365">
        <v>88.009081329445195</v>
      </c>
      <c r="AN365">
        <v>1.0000000507217699</v>
      </c>
    </row>
    <row r="366" spans="1:40" x14ac:dyDescent="0.25">
      <c r="A366" t="str">
        <f>"20190303170234447"</f>
        <v>20190303170234447</v>
      </c>
      <c r="B366" t="str">
        <f>"1551603754435796"</f>
        <v>1551603754435796</v>
      </c>
      <c r="C366" t="s">
        <v>40</v>
      </c>
      <c r="D366">
        <v>4.0983830000000001</v>
      </c>
      <c r="E366">
        <v>0.51179479999999999</v>
      </c>
      <c r="F366" t="s">
        <v>42</v>
      </c>
      <c r="G366">
        <v>-397.08280000000002</v>
      </c>
      <c r="H366" s="1">
        <v>-1.7059099999999999E-6</v>
      </c>
      <c r="I366">
        <v>366.9547</v>
      </c>
      <c r="J366">
        <v>-412.28269999999998</v>
      </c>
      <c r="K366">
        <v>1.0709569999999999</v>
      </c>
      <c r="L366">
        <v>367.8664</v>
      </c>
      <c r="M366">
        <v>0.99993319999999997</v>
      </c>
      <c r="N366">
        <v>-1.138669E-2</v>
      </c>
      <c r="O366">
        <v>-2.0550389999999998E-3</v>
      </c>
      <c r="P366">
        <v>0.9928517</v>
      </c>
      <c r="Q366">
        <v>0.1136895</v>
      </c>
      <c r="R366">
        <v>-3.6337069999999999E-2</v>
      </c>
      <c r="S366">
        <v>3.0393370000000002</v>
      </c>
      <c r="T366">
        <v>-0.21180560000000001</v>
      </c>
      <c r="U366">
        <v>-0.18038940000000001</v>
      </c>
      <c r="V366">
        <v>3.4359279999999999E-2</v>
      </c>
      <c r="W366">
        <v>0.1249712</v>
      </c>
      <c r="X366">
        <v>0.99156520000000004</v>
      </c>
      <c r="Y366">
        <v>5.703859E-2</v>
      </c>
      <c r="Z366">
        <v>-2.189248E-3</v>
      </c>
      <c r="AA366">
        <v>0.99836959999999997</v>
      </c>
      <c r="AB366">
        <v>29</v>
      </c>
      <c r="AC366">
        <v>15.1998999999999</v>
      </c>
      <c r="AD366">
        <v>-1.0709587059100001</v>
      </c>
      <c r="AE366">
        <v>-0.91169999999999596</v>
      </c>
      <c r="AF366">
        <v>0.87612584690763096</v>
      </c>
      <c r="AG366">
        <v>-1.0709587059100001</v>
      </c>
      <c r="AH366">
        <v>15.126915223668099</v>
      </c>
      <c r="AI366">
        <v>94.042929287648505</v>
      </c>
      <c r="AJ366">
        <v>86.685226653349403</v>
      </c>
      <c r="AK366">
        <v>15.1900662682368</v>
      </c>
      <c r="AL366">
        <v>82.820907042270093</v>
      </c>
      <c r="AM366">
        <v>88.015405984196605</v>
      </c>
      <c r="AN366">
        <v>0.99999995340129799</v>
      </c>
    </row>
    <row r="367" spans="1:40" x14ac:dyDescent="0.25">
      <c r="A367" t="str">
        <f>"20190303170234466"</f>
        <v>20190303170234466</v>
      </c>
      <c r="B367" t="str">
        <f>"1551603754456291"</f>
        <v>1551603754456291</v>
      </c>
      <c r="C367" t="s">
        <v>40</v>
      </c>
      <c r="D367">
        <v>4.1619619999999999</v>
      </c>
      <c r="E367">
        <v>0.51224479999999994</v>
      </c>
      <c r="F367" t="s">
        <v>42</v>
      </c>
      <c r="G367">
        <v>-396.96839999999997</v>
      </c>
      <c r="H367" s="1">
        <v>-1.756339E-6</v>
      </c>
      <c r="I367">
        <v>366.947</v>
      </c>
      <c r="J367">
        <v>-412.03699999999998</v>
      </c>
      <c r="K367">
        <v>1.0709679999999999</v>
      </c>
      <c r="L367">
        <v>367.8657</v>
      </c>
      <c r="M367">
        <v>0.99993189999999998</v>
      </c>
      <c r="N367">
        <v>-1.14562E-2</v>
      </c>
      <c r="O367">
        <v>-2.2575400000000002E-3</v>
      </c>
      <c r="P367">
        <v>0.99282930000000003</v>
      </c>
      <c r="Q367">
        <v>0.11378389999999999</v>
      </c>
      <c r="R367">
        <v>-3.6652549999999999E-2</v>
      </c>
      <c r="S367">
        <v>3.0392459999999999</v>
      </c>
      <c r="T367">
        <v>-0.21253929999999999</v>
      </c>
      <c r="U367">
        <v>-0.1824646</v>
      </c>
      <c r="V367">
        <v>3.4474480000000002E-2</v>
      </c>
      <c r="W367">
        <v>0.125134</v>
      </c>
      <c r="X367">
        <v>0.99154070000000005</v>
      </c>
      <c r="Y367">
        <v>5.7515299999999998E-2</v>
      </c>
      <c r="Z367">
        <v>-2.2053210000000001E-3</v>
      </c>
      <c r="AA367">
        <v>0.99834219999999896</v>
      </c>
      <c r="AB367">
        <v>29</v>
      </c>
      <c r="AC367">
        <v>15.0686</v>
      </c>
      <c r="AD367">
        <v>-1.0709697563389999</v>
      </c>
      <c r="AE367">
        <v>-0.91870000000005703</v>
      </c>
      <c r="AF367">
        <v>0.88024747808516002</v>
      </c>
      <c r="AG367">
        <v>-1.0709697563389999</v>
      </c>
      <c r="AH367">
        <v>14.9951701933399</v>
      </c>
      <c r="AI367">
        <v>94.078187265675098</v>
      </c>
      <c r="AJ367">
        <v>86.640474699674996</v>
      </c>
      <c r="AK367">
        <v>15.0591148799954</v>
      </c>
      <c r="AL367">
        <v>82.811505707029596</v>
      </c>
      <c r="AM367">
        <v>88.008708211069504</v>
      </c>
      <c r="AN367">
        <v>0.99999998374188004</v>
      </c>
    </row>
    <row r="368" spans="1:40" x14ac:dyDescent="0.25">
      <c r="A368" t="str">
        <f>"20190303170234478"</f>
        <v>20190303170234478</v>
      </c>
      <c r="B368" t="str">
        <f>"1551603754467027"</f>
        <v>1551603754467027</v>
      </c>
      <c r="C368" t="s">
        <v>40</v>
      </c>
      <c r="D368">
        <v>4.1025400000000003</v>
      </c>
      <c r="E368">
        <v>0.51242639999999995</v>
      </c>
      <c r="F368" t="s">
        <v>42</v>
      </c>
      <c r="G368">
        <v>-396.83780000000002</v>
      </c>
      <c r="H368" s="1">
        <v>-1.815369E-6</v>
      </c>
      <c r="I368">
        <v>366.93009999999998</v>
      </c>
      <c r="J368">
        <v>-411.863</v>
      </c>
      <c r="K368">
        <v>1.070978</v>
      </c>
      <c r="L368">
        <v>367.86509999999998</v>
      </c>
      <c r="M368">
        <v>0.99993100000000001</v>
      </c>
      <c r="N368">
        <v>-1.15145E-2</v>
      </c>
      <c r="O368">
        <v>-2.398818E-3</v>
      </c>
      <c r="P368">
        <v>0.99283869999999996</v>
      </c>
      <c r="Q368">
        <v>0.113702</v>
      </c>
      <c r="R368">
        <v>-3.6655300000000002E-2</v>
      </c>
      <c r="S368">
        <v>3.039307</v>
      </c>
      <c r="T368">
        <v>-0.2141557</v>
      </c>
      <c r="U368">
        <v>-0.18707280000000001</v>
      </c>
      <c r="V368">
        <v>3.433754E-2</v>
      </c>
      <c r="W368">
        <v>0.12510979999999999</v>
      </c>
      <c r="X368">
        <v>0.99154850000000005</v>
      </c>
      <c r="Y368">
        <v>5.8875070000000002E-2</v>
      </c>
      <c r="Z368">
        <v>-2.2683999999999998E-3</v>
      </c>
      <c r="AA368">
        <v>0.99826280000000001</v>
      </c>
      <c r="AB368">
        <v>29</v>
      </c>
      <c r="AC368">
        <v>15.0252</v>
      </c>
      <c r="AD368">
        <v>-1.070979815369</v>
      </c>
      <c r="AE368">
        <v>-0.93500000000000205</v>
      </c>
      <c r="AF368">
        <v>0.89442544379422595</v>
      </c>
      <c r="AG368">
        <v>-1.070979815369</v>
      </c>
      <c r="AH368">
        <v>14.951727860367299</v>
      </c>
      <c r="AI368">
        <v>94.089765289893293</v>
      </c>
      <c r="AJ368">
        <v>86.576596037185993</v>
      </c>
      <c r="AK368">
        <v>15.016696063046499</v>
      </c>
      <c r="AL368">
        <v>82.812903208206293</v>
      </c>
      <c r="AM368">
        <v>88.016627307283699</v>
      </c>
      <c r="AN368">
        <v>0.99999997828077003</v>
      </c>
    </row>
    <row r="369" spans="1:40" x14ac:dyDescent="0.25">
      <c r="A369" t="str">
        <f>"20190303170234492"</f>
        <v>20190303170234492</v>
      </c>
      <c r="B369" t="str">
        <f>"1551603754486547"</f>
        <v>1551603754486547</v>
      </c>
      <c r="C369" t="s">
        <v>40</v>
      </c>
      <c r="D369">
        <v>4.2222229999999996</v>
      </c>
      <c r="E369">
        <v>0.51544259999999997</v>
      </c>
      <c r="F369" t="s">
        <v>43</v>
      </c>
      <c r="G369">
        <v>-410.91250000000002</v>
      </c>
      <c r="H369">
        <v>1.0034149999999999</v>
      </c>
      <c r="I369">
        <v>367.80610000000001</v>
      </c>
      <c r="J369">
        <v>-411.67669999999998</v>
      </c>
      <c r="K369">
        <v>1.070989</v>
      </c>
      <c r="L369">
        <v>367.86450000000002</v>
      </c>
      <c r="M369">
        <v>0.99992959999999997</v>
      </c>
      <c r="N369">
        <v>-1.158673E-2</v>
      </c>
      <c r="O369">
        <v>-2.5445889999999999E-3</v>
      </c>
      <c r="P369">
        <v>0.99282809999999999</v>
      </c>
      <c r="Q369">
        <v>0.11373129999999999</v>
      </c>
      <c r="R369">
        <v>-3.6845589999999998E-2</v>
      </c>
      <c r="S369">
        <v>3.0394899999999998</v>
      </c>
      <c r="T369">
        <v>-0.2162415</v>
      </c>
      <c r="U369">
        <v>-0.18795780000000001</v>
      </c>
      <c r="V369">
        <v>3.4383560000000001E-2</v>
      </c>
      <c r="W369">
        <v>0.12521109999999999</v>
      </c>
      <c r="X369">
        <v>0.99153420000000003</v>
      </c>
      <c r="Y369">
        <v>5.9012160000000001E-2</v>
      </c>
      <c r="Z369">
        <v>-2.2860530000000001E-3</v>
      </c>
      <c r="AA369">
        <v>0.99825469999999905</v>
      </c>
      <c r="AB369">
        <v>29</v>
      </c>
      <c r="AC369">
        <v>0.76419999999995902</v>
      </c>
      <c r="AD369">
        <v>-6.7573999999999995E-2</v>
      </c>
      <c r="AE369">
        <v>-5.8400000000005899E-2</v>
      </c>
      <c r="AF369">
        <v>5.6019637043936803E-2</v>
      </c>
      <c r="AG369">
        <v>-6.7573999999999995E-2</v>
      </c>
      <c r="AH369">
        <v>0.75845033013926899</v>
      </c>
      <c r="AI369">
        <v>95.077555856243706</v>
      </c>
      <c r="AJ369">
        <v>85.775766760134005</v>
      </c>
      <c r="AK369">
        <v>0.763512507100506</v>
      </c>
      <c r="AL369">
        <v>82.807053729307597</v>
      </c>
      <c r="AM369">
        <v>88.013942650831794</v>
      </c>
      <c r="AN369">
        <v>1.00000005926556</v>
      </c>
    </row>
    <row r="370" spans="1:40" x14ac:dyDescent="0.25">
      <c r="A370" t="str">
        <f>"20190303170234510"</f>
        <v>20190303170234510</v>
      </c>
      <c r="B370" t="str">
        <f>"1551603754496308"</f>
        <v>1551603754496308</v>
      </c>
      <c r="C370" t="s">
        <v>40</v>
      </c>
      <c r="D370">
        <v>4.2175849999999997</v>
      </c>
      <c r="E370">
        <v>0.51657310000000001</v>
      </c>
      <c r="F370" t="s">
        <v>43</v>
      </c>
      <c r="G370">
        <v>-410.9341</v>
      </c>
      <c r="H370">
        <v>0.96651860000000001</v>
      </c>
      <c r="I370">
        <v>367.81450000000001</v>
      </c>
      <c r="J370">
        <v>-411.44690000000003</v>
      </c>
      <c r="K370">
        <v>1.071007</v>
      </c>
      <c r="L370">
        <v>367.86380000000003</v>
      </c>
      <c r="M370">
        <v>0.99992809999999999</v>
      </c>
      <c r="N370">
        <v>-1.168869E-2</v>
      </c>
      <c r="O370">
        <v>-2.7211470000000001E-3</v>
      </c>
      <c r="P370">
        <v>0.99286620000000003</v>
      </c>
      <c r="Q370">
        <v>0.1134275</v>
      </c>
      <c r="R370">
        <v>-3.675867E-2</v>
      </c>
      <c r="S370">
        <v>3.0634160000000001</v>
      </c>
      <c r="T370">
        <v>-0.4311545</v>
      </c>
      <c r="U370">
        <v>-0.20489499999999999</v>
      </c>
      <c r="V370">
        <v>3.4121020000000002E-2</v>
      </c>
      <c r="W370">
        <v>0.1250086</v>
      </c>
      <c r="X370">
        <v>0.99156869999999997</v>
      </c>
      <c r="Y370">
        <v>6.3368250000000001E-2</v>
      </c>
      <c r="Z370">
        <v>-4.4562600000000001E-3</v>
      </c>
      <c r="AA370">
        <v>0.99798019999999998</v>
      </c>
      <c r="AB370">
        <v>29</v>
      </c>
      <c r="AC370">
        <v>0.51280000000002701</v>
      </c>
      <c r="AD370">
        <v>-0.1044884</v>
      </c>
      <c r="AE370">
        <v>-4.9300000000016497E-2</v>
      </c>
      <c r="AF370">
        <v>4.6011491504161103E-2</v>
      </c>
      <c r="AG370">
        <v>-0.1044884</v>
      </c>
      <c r="AH370">
        <v>0.492664949472219</v>
      </c>
      <c r="AI370">
        <v>101.92392568706499</v>
      </c>
      <c r="AJ370">
        <v>84.664448106047004</v>
      </c>
      <c r="AK370">
        <v>0.50572090674942505</v>
      </c>
      <c r="AL370">
        <v>82.818747149399996</v>
      </c>
      <c r="AM370">
        <v>88.029163956117301</v>
      </c>
      <c r="AN370">
        <v>0.99999994044974305</v>
      </c>
    </row>
    <row r="371" spans="1:40" x14ac:dyDescent="0.25">
      <c r="A371" t="str">
        <f>"20190303170234525"</f>
        <v>20190303170234525</v>
      </c>
      <c r="B371" t="str">
        <f>"1551603754515828"</f>
        <v>1551603754515828</v>
      </c>
      <c r="C371" t="s">
        <v>40</v>
      </c>
      <c r="D371">
        <v>4.2141760000000001</v>
      </c>
      <c r="E371">
        <v>0.51790049999999999</v>
      </c>
      <c r="F371" t="s">
        <v>43</v>
      </c>
      <c r="G371">
        <v>-410.6823</v>
      </c>
      <c r="H371">
        <v>0.94568339999999995</v>
      </c>
      <c r="I371">
        <v>367.8109</v>
      </c>
      <c r="J371">
        <v>-411.25580000000002</v>
      </c>
      <c r="K371">
        <v>1.0710219999999999</v>
      </c>
      <c r="L371">
        <v>367.863</v>
      </c>
      <c r="M371">
        <v>0.99992639999999999</v>
      </c>
      <c r="N371">
        <v>-1.178537E-2</v>
      </c>
      <c r="O371">
        <v>-2.8701E-3</v>
      </c>
      <c r="P371">
        <v>0.99285319999999999</v>
      </c>
      <c r="Q371">
        <v>0.11356769999999999</v>
      </c>
      <c r="R371">
        <v>-3.6673989999999997E-2</v>
      </c>
      <c r="S371">
        <v>3.071259</v>
      </c>
      <c r="T371">
        <v>-0.50352410000000003</v>
      </c>
      <c r="U371">
        <v>-0.21124270000000001</v>
      </c>
      <c r="V371">
        <v>3.3887769999999998E-2</v>
      </c>
      <c r="W371">
        <v>0.12524460000000001</v>
      </c>
      <c r="X371">
        <v>0.99154699999999996</v>
      </c>
      <c r="Y371">
        <v>6.4862530000000002E-2</v>
      </c>
      <c r="Z371">
        <v>-5.227743E-3</v>
      </c>
      <c r="AA371">
        <v>0.99788049999999995</v>
      </c>
      <c r="AB371">
        <v>29</v>
      </c>
      <c r="AC371">
        <v>0.57350000000002399</v>
      </c>
      <c r="AD371">
        <v>-0.125338599999999</v>
      </c>
      <c r="AE371">
        <v>-5.2100000000052597E-2</v>
      </c>
      <c r="AF371">
        <v>4.8171621559095802E-2</v>
      </c>
      <c r="AG371">
        <v>-0.125338599999999</v>
      </c>
      <c r="AH371">
        <v>0.54770080364208895</v>
      </c>
      <c r="AI371">
        <v>102.841976005512</v>
      </c>
      <c r="AJ371">
        <v>84.9736305296409</v>
      </c>
      <c r="AK371">
        <v>0.56392059732180699</v>
      </c>
      <c r="AL371">
        <v>82.805118821793997</v>
      </c>
      <c r="AM371">
        <v>88.042583196862907</v>
      </c>
      <c r="AN371">
        <v>1.0000000219968599</v>
      </c>
    </row>
    <row r="372" spans="1:40" x14ac:dyDescent="0.25">
      <c r="A372" t="str">
        <f>"20190303170234544"</f>
        <v>20190303170234544</v>
      </c>
      <c r="B372" t="str">
        <f>"1551603754536323"</f>
        <v>1551603754536323</v>
      </c>
      <c r="C372" t="s">
        <v>40</v>
      </c>
      <c r="D372">
        <v>4.2033820000000004</v>
      </c>
      <c r="E372">
        <v>0.51866210000000001</v>
      </c>
      <c r="F372" t="s">
        <v>43</v>
      </c>
      <c r="G372">
        <v>-410.4348</v>
      </c>
      <c r="H372">
        <v>0.91626169999999996</v>
      </c>
      <c r="I372">
        <v>367.80439999999999</v>
      </c>
      <c r="J372">
        <v>-411.00409999999999</v>
      </c>
      <c r="K372">
        <v>1.071051</v>
      </c>
      <c r="L372">
        <v>367.8621</v>
      </c>
      <c r="M372">
        <v>0.99992420000000004</v>
      </c>
      <c r="N372">
        <v>-1.1928070000000001E-2</v>
      </c>
      <c r="O372">
        <v>-3.071383E-3</v>
      </c>
      <c r="P372">
        <v>0.99286339999999995</v>
      </c>
      <c r="Q372">
        <v>0.11348220000000001</v>
      </c>
      <c r="R372">
        <v>-3.6669859999999999E-2</v>
      </c>
      <c r="S372">
        <v>3.079895</v>
      </c>
      <c r="T372">
        <v>-0.58066169999999995</v>
      </c>
      <c r="U372">
        <v>-0.21893309999999999</v>
      </c>
      <c r="V372">
        <v>3.3681540000000003E-2</v>
      </c>
      <c r="W372">
        <v>0.12530189999999999</v>
      </c>
      <c r="X372">
        <v>0.99154679999999995</v>
      </c>
      <c r="Y372">
        <v>6.6644969999999998E-2</v>
      </c>
      <c r="Z372">
        <v>-6.0845659999999996E-3</v>
      </c>
      <c r="AA372">
        <v>0.99775820000000004</v>
      </c>
      <c r="AB372">
        <v>29</v>
      </c>
      <c r="AC372">
        <v>0.56929999999999803</v>
      </c>
      <c r="AD372">
        <v>-0.15478929999999899</v>
      </c>
      <c r="AE372">
        <v>-5.7700000000011097E-2</v>
      </c>
      <c r="AF372">
        <v>5.2136026268243901E-2</v>
      </c>
      <c r="AG372">
        <v>-0.15478929999999899</v>
      </c>
      <c r="AH372">
        <v>0.53064476593786503</v>
      </c>
      <c r="AI372">
        <v>106.188151434521</v>
      </c>
      <c r="AJ372">
        <v>84.388679795479206</v>
      </c>
      <c r="AK372">
        <v>0.55521325654813503</v>
      </c>
      <c r="AL372">
        <v>82.801809795407294</v>
      </c>
      <c r="AM372">
        <v>88.054485827595599</v>
      </c>
      <c r="AN372">
        <v>1.0000000344353099</v>
      </c>
    </row>
    <row r="373" spans="1:40" x14ac:dyDescent="0.25">
      <c r="A373" t="str">
        <f>"20190303170234557"</f>
        <v>20190303170234557</v>
      </c>
      <c r="B373" t="str">
        <f>"1551603754546083"</f>
        <v>1551603754546083</v>
      </c>
      <c r="C373" t="s">
        <v>40</v>
      </c>
      <c r="D373">
        <v>4.1992479999999999</v>
      </c>
      <c r="E373">
        <v>0.51912329999999995</v>
      </c>
      <c r="F373" t="s">
        <v>43</v>
      </c>
      <c r="G373">
        <v>-410.17869999999999</v>
      </c>
      <c r="H373">
        <v>0.90496779999999999</v>
      </c>
      <c r="I373">
        <v>367.80220000000003</v>
      </c>
      <c r="J373">
        <v>-410.83679999999998</v>
      </c>
      <c r="K373">
        <v>1.071072</v>
      </c>
      <c r="L373">
        <v>367.8614</v>
      </c>
      <c r="M373">
        <v>0.99992259999999999</v>
      </c>
      <c r="N373">
        <v>-1.2030910000000001E-2</v>
      </c>
      <c r="O373">
        <v>-3.2072490000000001E-3</v>
      </c>
      <c r="P373">
        <v>0.99289490000000002</v>
      </c>
      <c r="Q373">
        <v>0.11316759999999999</v>
      </c>
      <c r="R373">
        <v>-3.678559E-2</v>
      </c>
      <c r="S373">
        <v>3.0842589999999999</v>
      </c>
      <c r="T373">
        <v>-0.62062879999999998</v>
      </c>
      <c r="U373">
        <v>-0.22366330000000001</v>
      </c>
      <c r="V373">
        <v>3.3660870000000002E-2</v>
      </c>
      <c r="W373">
        <v>0.125089899999999</v>
      </c>
      <c r="X373">
        <v>0.99157419999999996</v>
      </c>
      <c r="Y373">
        <v>6.7751130000000007E-2</v>
      </c>
      <c r="Z373">
        <v>-6.5527800000000002E-3</v>
      </c>
      <c r="AA373">
        <v>0.99768069999999998</v>
      </c>
      <c r="AB373">
        <v>29</v>
      </c>
      <c r="AC373">
        <v>0.65809999999999003</v>
      </c>
      <c r="AD373">
        <v>-0.16610420000000001</v>
      </c>
      <c r="AE373">
        <v>-5.9199999999975703E-2</v>
      </c>
      <c r="AF373">
        <v>5.3695601587829898E-2</v>
      </c>
      <c r="AG373">
        <v>-0.16610420000000001</v>
      </c>
      <c r="AH373">
        <v>0.61915922334956797</v>
      </c>
      <c r="AI373">
        <v>104.963719037812</v>
      </c>
      <c r="AJ373">
        <v>85.043515401134798</v>
      </c>
      <c r="AK373">
        <v>0.64329772791947504</v>
      </c>
      <c r="AL373">
        <v>82.814052331251801</v>
      </c>
      <c r="AM373">
        <v>88.055732537967501</v>
      </c>
      <c r="AN373">
        <v>0.99999996567840199</v>
      </c>
    </row>
    <row r="374" spans="1:40" x14ac:dyDescent="0.25">
      <c r="A374" t="str">
        <f>"20190303170234570"</f>
        <v>20190303170234570</v>
      </c>
      <c r="B374" t="str">
        <f>"1551603754555843"</f>
        <v>1551603754555843</v>
      </c>
      <c r="C374" t="s">
        <v>40</v>
      </c>
      <c r="D374">
        <v>4.180993</v>
      </c>
      <c r="E374">
        <v>0.51948739999999904</v>
      </c>
      <c r="F374" t="s">
        <v>43</v>
      </c>
      <c r="G374">
        <v>-409.92759999999998</v>
      </c>
      <c r="H374">
        <v>0.88424340000000001</v>
      </c>
      <c r="I374">
        <v>367.79430000000002</v>
      </c>
      <c r="J374">
        <v>-410.66129999999998</v>
      </c>
      <c r="K374">
        <v>1.0710959999999901</v>
      </c>
      <c r="L374">
        <v>367.86070000000001</v>
      </c>
      <c r="M374">
        <v>0.99992060000000005</v>
      </c>
      <c r="N374">
        <v>-1.2147420000000001E-2</v>
      </c>
      <c r="O374">
        <v>-3.3503719999999999E-3</v>
      </c>
      <c r="P374">
        <v>0.99288889999999996</v>
      </c>
      <c r="Q374">
        <v>0.1131721</v>
      </c>
      <c r="R374">
        <v>-3.6928379999999997E-2</v>
      </c>
      <c r="S374">
        <v>3.0853269999999999</v>
      </c>
      <c r="T374">
        <v>-0.63408569999999997</v>
      </c>
      <c r="U374">
        <v>-0.22668460000000001</v>
      </c>
      <c r="V374">
        <v>3.3660490000000001E-2</v>
      </c>
      <c r="W374">
        <v>0.12521060000000001</v>
      </c>
      <c r="X374">
        <v>0.99155899999999997</v>
      </c>
      <c r="Y374">
        <v>6.8484009999999998E-2</v>
      </c>
      <c r="Z374">
        <v>-6.7362250000000002E-3</v>
      </c>
      <c r="AA374">
        <v>0.99762949999999995</v>
      </c>
      <c r="AB374">
        <v>29</v>
      </c>
      <c r="AC374">
        <v>0.73369999999999802</v>
      </c>
      <c r="AD374">
        <v>-0.18685259999999901</v>
      </c>
      <c r="AE374">
        <v>-6.6399999999987303E-2</v>
      </c>
      <c r="AF374">
        <v>6.0076509861086903E-2</v>
      </c>
      <c r="AG374">
        <v>-0.18685259999999901</v>
      </c>
      <c r="AH374">
        <v>0.68955853193245398</v>
      </c>
      <c r="AI374">
        <v>105.106993164427</v>
      </c>
      <c r="AJ374">
        <v>85.020784087982904</v>
      </c>
      <c r="AK374">
        <v>0.71694773179408999</v>
      </c>
      <c r="AL374">
        <v>82.807082079794696</v>
      </c>
      <c r="AM374">
        <v>88.055724688864203</v>
      </c>
      <c r="AN374">
        <v>0.99999998671019996</v>
      </c>
    </row>
    <row r="375" spans="1:40" x14ac:dyDescent="0.25">
      <c r="A375" t="str">
        <f>"20190303170234590"</f>
        <v>20190303170234590</v>
      </c>
      <c r="B375" t="str">
        <f>"1551603754576340"</f>
        <v>1551603754576340</v>
      </c>
      <c r="C375" t="s">
        <v>40</v>
      </c>
      <c r="D375">
        <v>4.191891</v>
      </c>
      <c r="E375">
        <v>0.52003969999999999</v>
      </c>
      <c r="F375" t="s">
        <v>43</v>
      </c>
      <c r="G375">
        <v>-409.91230000000002</v>
      </c>
      <c r="H375">
        <v>0.91510760000000002</v>
      </c>
      <c r="I375">
        <v>367.80459999999999</v>
      </c>
      <c r="J375">
        <v>-410.41969999999998</v>
      </c>
      <c r="K375">
        <v>1.0711250000000001</v>
      </c>
      <c r="L375">
        <v>367.85969999999998</v>
      </c>
      <c r="M375">
        <v>0.99991790000000003</v>
      </c>
      <c r="N375">
        <v>-1.231572E-2</v>
      </c>
      <c r="O375">
        <v>-3.545936E-3</v>
      </c>
      <c r="P375">
        <v>0.99293390000000004</v>
      </c>
      <c r="Q375">
        <v>0.11269410000000001</v>
      </c>
      <c r="R375">
        <v>-3.7184090000000003E-2</v>
      </c>
      <c r="S375">
        <v>3.086182</v>
      </c>
      <c r="T375">
        <v>-0.64285839999999905</v>
      </c>
      <c r="U375">
        <v>-0.2296753</v>
      </c>
      <c r="V375">
        <v>3.3720840000000002E-2</v>
      </c>
      <c r="W375">
        <v>0.1249002</v>
      </c>
      <c r="X375">
        <v>0.99159609999999998</v>
      </c>
      <c r="Y375">
        <v>6.9179099999999993E-2</v>
      </c>
      <c r="Z375">
        <v>-6.8638099999999997E-3</v>
      </c>
      <c r="AA375">
        <v>0.99758060000000004</v>
      </c>
      <c r="AB375">
        <v>29</v>
      </c>
      <c r="AC375">
        <v>0.50739999999996099</v>
      </c>
      <c r="AD375">
        <v>-0.1560174</v>
      </c>
      <c r="AE375">
        <v>-5.5099999999981698E-2</v>
      </c>
      <c r="AF375">
        <v>4.8745326648901202E-2</v>
      </c>
      <c r="AG375">
        <v>-0.1560174</v>
      </c>
      <c r="AH375">
        <v>0.46421396478886201</v>
      </c>
      <c r="AI375">
        <v>108.48229185893101</v>
      </c>
      <c r="AJ375">
        <v>84.005557861661799</v>
      </c>
      <c r="AK375">
        <v>0.49215052684911698</v>
      </c>
      <c r="AL375">
        <v>82.825007433891599</v>
      </c>
      <c r="AM375">
        <v>88.052314292214405</v>
      </c>
      <c r="AN375">
        <v>0.99999999027277697</v>
      </c>
    </row>
    <row r="376" spans="1:40" x14ac:dyDescent="0.25">
      <c r="A376" t="str">
        <f>"20190303170234606"</f>
        <v>20190303170234606</v>
      </c>
      <c r="B376" t="str">
        <f>"1551603754595859"</f>
        <v>1551603754595859</v>
      </c>
      <c r="C376" t="s">
        <v>40</v>
      </c>
      <c r="D376">
        <v>4.2021350000000002</v>
      </c>
      <c r="E376">
        <v>0.52035419999999999</v>
      </c>
      <c r="F376" t="s">
        <v>43</v>
      </c>
      <c r="G376">
        <v>-409.65460000000002</v>
      </c>
      <c r="H376">
        <v>0.90840200000000004</v>
      </c>
      <c r="I376">
        <v>367.8014</v>
      </c>
      <c r="J376">
        <v>-410.19920000000002</v>
      </c>
      <c r="K376">
        <v>1.07115</v>
      </c>
      <c r="L376">
        <v>367.8587</v>
      </c>
      <c r="M376">
        <v>0.9999152</v>
      </c>
      <c r="N376">
        <v>-1.2480079999999999E-2</v>
      </c>
      <c r="O376">
        <v>-3.7216189999999998E-3</v>
      </c>
      <c r="P376">
        <v>0.99294450000000001</v>
      </c>
      <c r="Q376">
        <v>0.1125043</v>
      </c>
      <c r="R376">
        <v>-3.7472079999999998E-2</v>
      </c>
      <c r="S376">
        <v>3.087097</v>
      </c>
      <c r="T376">
        <v>-0.65663099999999996</v>
      </c>
      <c r="U376">
        <v>-0.23406979999999999</v>
      </c>
      <c r="V376">
        <v>3.3834200000000002E-2</v>
      </c>
      <c r="W376">
        <v>0.12487379999999999</v>
      </c>
      <c r="X376">
        <v>0.99159560000000002</v>
      </c>
      <c r="Y376">
        <v>7.0308410000000002E-2</v>
      </c>
      <c r="Z376">
        <v>-7.0930639999999996E-3</v>
      </c>
      <c r="AA376">
        <v>0.9975001</v>
      </c>
      <c r="AB376">
        <v>29</v>
      </c>
      <c r="AC376">
        <v>0.54460000000000197</v>
      </c>
      <c r="AD376">
        <v>-0.162748</v>
      </c>
      <c r="AE376">
        <v>-5.7299999999997901E-2</v>
      </c>
      <c r="AF376">
        <v>5.0786793327930999E-2</v>
      </c>
      <c r="AG376">
        <v>-0.162748</v>
      </c>
      <c r="AH376">
        <v>0.50059344639588199</v>
      </c>
      <c r="AI376">
        <v>107.92379031176</v>
      </c>
      <c r="AJ376">
        <v>84.206982483576596</v>
      </c>
      <c r="AK376">
        <v>0.52882890281738604</v>
      </c>
      <c r="AL376">
        <v>82.826532239266598</v>
      </c>
      <c r="AM376">
        <v>88.045770803213799</v>
      </c>
      <c r="AN376">
        <v>1.00000002647771</v>
      </c>
    </row>
    <row r="377" spans="1:40" x14ac:dyDescent="0.25">
      <c r="A377" t="str">
        <f>"20190303170234623"</f>
        <v>20190303170234623</v>
      </c>
      <c r="B377" t="str">
        <f>"1551603754616356"</f>
        <v>1551603754616356</v>
      </c>
      <c r="C377" t="s">
        <v>40</v>
      </c>
      <c r="D377">
        <v>4.164542</v>
      </c>
      <c r="E377">
        <v>0.52066800000000002</v>
      </c>
      <c r="F377" t="s">
        <v>43</v>
      </c>
      <c r="G377">
        <v>-409.39870000000002</v>
      </c>
      <c r="H377">
        <v>0.89891889999999997</v>
      </c>
      <c r="I377">
        <v>367.79680000000002</v>
      </c>
      <c r="J377">
        <v>-409.97460000000001</v>
      </c>
      <c r="K377">
        <v>1.071177</v>
      </c>
      <c r="L377">
        <v>367.85770000000002</v>
      </c>
      <c r="M377">
        <v>0.99991240000000003</v>
      </c>
      <c r="N377">
        <v>-1.265785E-2</v>
      </c>
      <c r="O377">
        <v>-3.8980180000000001E-3</v>
      </c>
      <c r="P377">
        <v>0.99299000000000004</v>
      </c>
      <c r="Q377">
        <v>0.1119914</v>
      </c>
      <c r="R377">
        <v>-3.7802479999999999E-2</v>
      </c>
      <c r="S377">
        <v>3.0876459999999999</v>
      </c>
      <c r="T377">
        <v>-0.66441619999999901</v>
      </c>
      <c r="U377">
        <v>-0.23742679999999999</v>
      </c>
      <c r="V377">
        <v>3.3989350000000002E-2</v>
      </c>
      <c r="W377">
        <v>0.1245378</v>
      </c>
      <c r="X377">
        <v>0.99163250000000003</v>
      </c>
      <c r="Y377">
        <v>7.1143670000000006E-2</v>
      </c>
      <c r="Z377">
        <v>-7.2341139999999998E-3</v>
      </c>
      <c r="AA377">
        <v>0.99743990000000005</v>
      </c>
      <c r="AB377">
        <v>29</v>
      </c>
      <c r="AC377">
        <v>0.57589999999998998</v>
      </c>
      <c r="AD377">
        <v>-0.172258099999999</v>
      </c>
      <c r="AE377">
        <v>-6.0900000000003701E-2</v>
      </c>
      <c r="AF377">
        <v>5.3886698580774099E-2</v>
      </c>
      <c r="AG377">
        <v>-0.172258099999999</v>
      </c>
      <c r="AH377">
        <v>0.52930146598262495</v>
      </c>
      <c r="AI377">
        <v>107.940430953763</v>
      </c>
      <c r="AJ377">
        <v>84.186905751406997</v>
      </c>
      <c r="AK377">
        <v>0.559228639458765</v>
      </c>
      <c r="AL377">
        <v>82.845934730298893</v>
      </c>
      <c r="AM377">
        <v>88.036889487820702</v>
      </c>
      <c r="AN377">
        <v>0.99999997729925605</v>
      </c>
    </row>
    <row r="378" spans="1:40" x14ac:dyDescent="0.25">
      <c r="A378" t="str">
        <f>"20190303170234645"</f>
        <v>20190303170234645</v>
      </c>
      <c r="B378" t="str">
        <f>"1551603754635876"</f>
        <v>1551603754635876</v>
      </c>
      <c r="C378" t="s">
        <v>40</v>
      </c>
      <c r="D378">
        <v>4.1647439999999998</v>
      </c>
      <c r="E378">
        <v>0.52082870000000003</v>
      </c>
      <c r="F378" t="s">
        <v>43</v>
      </c>
      <c r="G378">
        <v>-409.14280000000002</v>
      </c>
      <c r="H378">
        <v>0.89012519999999995</v>
      </c>
      <c r="I378">
        <v>367.7928</v>
      </c>
      <c r="J378">
        <v>-409.69</v>
      </c>
      <c r="K378">
        <v>1.071205</v>
      </c>
      <c r="L378">
        <v>367.85640000000001</v>
      </c>
      <c r="M378">
        <v>0.99990840000000003</v>
      </c>
      <c r="N378">
        <v>-1.289618E-2</v>
      </c>
      <c r="O378">
        <v>-4.1189529999999999E-3</v>
      </c>
      <c r="P378">
        <v>0.99297899999999995</v>
      </c>
      <c r="Q378">
        <v>0.1117954</v>
      </c>
      <c r="R378">
        <v>-3.8659039999999999E-2</v>
      </c>
      <c r="S378">
        <v>3.0878299999999999</v>
      </c>
      <c r="T378">
        <v>-0.67212609999999995</v>
      </c>
      <c r="U378">
        <v>-0.24017330000000001</v>
      </c>
      <c r="V378">
        <v>3.4626959999999998E-2</v>
      </c>
      <c r="W378">
        <v>0.1245771</v>
      </c>
      <c r="X378">
        <v>0.99160550000000003</v>
      </c>
      <c r="Y378">
        <v>7.1751910000000002E-2</v>
      </c>
      <c r="Z378">
        <v>-7.3441139999999997E-3</v>
      </c>
      <c r="AA378">
        <v>0.99739549999999999</v>
      </c>
      <c r="AB378">
        <v>29</v>
      </c>
      <c r="AC378">
        <v>0.54719999999997504</v>
      </c>
      <c r="AD378">
        <v>-0.18107979999999901</v>
      </c>
      <c r="AE378">
        <v>-6.3600000000008095E-2</v>
      </c>
      <c r="AF378">
        <v>5.5363426171361703E-2</v>
      </c>
      <c r="AG378">
        <v>-0.18107979999999901</v>
      </c>
      <c r="AH378">
        <v>0.49407328322211702</v>
      </c>
      <c r="AI378">
        <v>110.012858070932</v>
      </c>
      <c r="AJ378">
        <v>83.606387388877906</v>
      </c>
      <c r="AK378">
        <v>0.529115688785878</v>
      </c>
      <c r="AL378">
        <v>82.843665308614305</v>
      </c>
      <c r="AM378">
        <v>88.000038498191401</v>
      </c>
      <c r="AN378">
        <v>0.99999997391675</v>
      </c>
    </row>
    <row r="379" spans="1:40" x14ac:dyDescent="0.25">
      <c r="A379" t="str">
        <f>"20190303170234658"</f>
        <v>20190303170234658</v>
      </c>
      <c r="B379" t="str">
        <f>"1551603754646612"</f>
        <v>1551603754646612</v>
      </c>
      <c r="C379" t="s">
        <v>40</v>
      </c>
      <c r="D379">
        <v>4.1449889999999998</v>
      </c>
      <c r="E379">
        <v>0.52093800000000001</v>
      </c>
      <c r="F379" t="s">
        <v>43</v>
      </c>
      <c r="G379">
        <v>-408.88099999999997</v>
      </c>
      <c r="H379">
        <v>0.89418880000000001</v>
      </c>
      <c r="I379">
        <v>367.7921</v>
      </c>
      <c r="J379">
        <v>-409.51870000000002</v>
      </c>
      <c r="K379">
        <v>1.071224</v>
      </c>
      <c r="L379">
        <v>367.85550000000001</v>
      </c>
      <c r="M379">
        <v>0.99990590000000001</v>
      </c>
      <c r="N379">
        <v>-1.304344E-2</v>
      </c>
      <c r="O379">
        <v>-4.2519120000000001E-3</v>
      </c>
      <c r="P379">
        <v>0.99299649999999995</v>
      </c>
      <c r="Q379">
        <v>0.1115377</v>
      </c>
      <c r="R379">
        <v>-3.8950489999999997E-2</v>
      </c>
      <c r="S379">
        <v>3.087799</v>
      </c>
      <c r="T379">
        <v>-0.67565019999999998</v>
      </c>
      <c r="U379">
        <v>-0.24420169999999999</v>
      </c>
      <c r="V379">
        <v>3.4786650000000002E-2</v>
      </c>
      <c r="W379">
        <v>0.1244659</v>
      </c>
      <c r="X379">
        <v>0.99161390000000005</v>
      </c>
      <c r="Y379">
        <v>7.2870019999999994E-2</v>
      </c>
      <c r="Z379">
        <v>-7.4859430000000001E-3</v>
      </c>
      <c r="AA379">
        <v>0.99731340000000002</v>
      </c>
      <c r="AB379">
        <v>29</v>
      </c>
      <c r="AC379">
        <v>0.637700000000052</v>
      </c>
      <c r="AD379">
        <v>-0.177035199999999</v>
      </c>
      <c r="AE379">
        <v>-6.34000000000014E-2</v>
      </c>
      <c r="AF379">
        <v>5.63847046682023E-2</v>
      </c>
      <c r="AG379">
        <v>-0.177035199999999</v>
      </c>
      <c r="AH379">
        <v>0.59272919107930799</v>
      </c>
      <c r="AI379">
        <v>106.55909597537099</v>
      </c>
      <c r="AJ379">
        <v>84.565961267473796</v>
      </c>
      <c r="AK379">
        <v>0.621167119958141</v>
      </c>
      <c r="AL379">
        <v>82.850086756893404</v>
      </c>
      <c r="AM379">
        <v>87.990839774504593</v>
      </c>
      <c r="AN379">
        <v>0.999999998977121</v>
      </c>
    </row>
    <row r="380" spans="1:40" x14ac:dyDescent="0.25">
      <c r="A380" t="str">
        <f>"20190303170234676"</f>
        <v>20190303170234676</v>
      </c>
      <c r="B380" t="str">
        <f>"1551603754665941"</f>
        <v>1551603754665941</v>
      </c>
      <c r="C380" t="s">
        <v>40</v>
      </c>
      <c r="D380">
        <v>4.2408519999999896</v>
      </c>
      <c r="E380">
        <v>0.52131549999999904</v>
      </c>
      <c r="F380" t="s">
        <v>43</v>
      </c>
      <c r="G380">
        <v>-408.63069999999999</v>
      </c>
      <c r="H380">
        <v>0.87621740000000004</v>
      </c>
      <c r="I380">
        <v>367.78469999999999</v>
      </c>
      <c r="J380">
        <v>-409.27890000000002</v>
      </c>
      <c r="K380">
        <v>1.071256</v>
      </c>
      <c r="L380">
        <v>367.85419999999999</v>
      </c>
      <c r="M380">
        <v>0.99990239999999997</v>
      </c>
      <c r="N380">
        <v>-1.324959E-2</v>
      </c>
      <c r="O380">
        <v>-4.439279E-3</v>
      </c>
      <c r="P380">
        <v>0.99296549999999995</v>
      </c>
      <c r="Q380">
        <v>0.111592899999999</v>
      </c>
      <c r="R380">
        <v>-3.9580570000000002E-2</v>
      </c>
      <c r="S380">
        <v>3.0876769999999998</v>
      </c>
      <c r="T380">
        <v>-0.67808749999999995</v>
      </c>
      <c r="U380">
        <v>-0.2461853</v>
      </c>
      <c r="V380">
        <v>3.5230860000000003E-2</v>
      </c>
      <c r="W380">
        <v>0.12472519999999999</v>
      </c>
      <c r="X380">
        <v>0.99156560000000005</v>
      </c>
      <c r="Y380">
        <v>7.3302160000000005E-2</v>
      </c>
      <c r="Z380">
        <v>-7.5306430000000001E-3</v>
      </c>
      <c r="AA380">
        <v>0.99728139999999998</v>
      </c>
      <c r="AB380">
        <v>29</v>
      </c>
      <c r="AC380">
        <v>0.64820000000003097</v>
      </c>
      <c r="AD380">
        <v>-0.19503859999999901</v>
      </c>
      <c r="AE380">
        <v>-6.9500000000005002E-2</v>
      </c>
      <c r="AF380">
        <v>6.1148297726983498E-2</v>
      </c>
      <c r="AG380">
        <v>-0.19503859999999901</v>
      </c>
      <c r="AH380">
        <v>0.59522512491149304</v>
      </c>
      <c r="AI380">
        <v>108.053714080625</v>
      </c>
      <c r="AJ380">
        <v>84.1345021289588</v>
      </c>
      <c r="AK380">
        <v>0.62934260870432901</v>
      </c>
      <c r="AL380">
        <v>82.835113030599501</v>
      </c>
      <c r="AM380">
        <v>87.965106092587007</v>
      </c>
      <c r="AN380">
        <v>0.99999996405736902</v>
      </c>
    </row>
    <row r="381" spans="1:40" x14ac:dyDescent="0.25">
      <c r="A381" t="str">
        <f>"20190303170234690"</f>
        <v>20190303170234690</v>
      </c>
      <c r="B381" t="str">
        <f>"1551603754676677"</f>
        <v>1551603754676677</v>
      </c>
      <c r="C381" t="s">
        <v>40</v>
      </c>
      <c r="D381">
        <v>4.2567810000000001</v>
      </c>
      <c r="E381">
        <v>0.54521140000000001</v>
      </c>
      <c r="F381" t="s">
        <v>43</v>
      </c>
      <c r="G381">
        <v>-408.37400000000002</v>
      </c>
      <c r="H381">
        <v>0.87216779999999905</v>
      </c>
      <c r="I381">
        <v>367.78030000000001</v>
      </c>
      <c r="J381">
        <v>-409.10759999999999</v>
      </c>
      <c r="K381">
        <v>1.071272</v>
      </c>
      <c r="L381">
        <v>367.85329999999999</v>
      </c>
      <c r="M381">
        <v>0.99989989999999995</v>
      </c>
      <c r="N381">
        <v>-1.339222E-2</v>
      </c>
      <c r="O381">
        <v>-4.5741250000000001E-3</v>
      </c>
      <c r="P381">
        <v>0.99294729999999998</v>
      </c>
      <c r="Q381">
        <v>0.1116509</v>
      </c>
      <c r="R381">
        <v>-3.9871040000000003E-2</v>
      </c>
      <c r="S381">
        <v>3.0875849999999998</v>
      </c>
      <c r="T381">
        <v>-0.67934819999999996</v>
      </c>
      <c r="U381">
        <v>-0.2507935</v>
      </c>
      <c r="V381">
        <v>3.5387670000000003E-2</v>
      </c>
      <c r="W381">
        <v>0.1249239</v>
      </c>
      <c r="X381">
        <v>0.9915351</v>
      </c>
      <c r="Y381">
        <v>7.4611179999999999E-2</v>
      </c>
      <c r="Z381">
        <v>-7.6725769999999999E-3</v>
      </c>
      <c r="AA381">
        <v>0.99718320000000005</v>
      </c>
      <c r="AB381">
        <v>29</v>
      </c>
      <c r="AC381">
        <v>0.73359999999996695</v>
      </c>
      <c r="AD381">
        <v>-0.19910420000000001</v>
      </c>
      <c r="AE381">
        <v>-7.2999999999978998E-2</v>
      </c>
      <c r="AF381">
        <v>6.4908930761813602E-2</v>
      </c>
      <c r="AG381">
        <v>-0.19910420000000001</v>
      </c>
      <c r="AH381">
        <v>0.68403320863745098</v>
      </c>
      <c r="AI381">
        <v>106.160118394085</v>
      </c>
      <c r="AJ381">
        <v>84.579349089397596</v>
      </c>
      <c r="AK381">
        <v>0.71537198873671903</v>
      </c>
      <c r="AL381">
        <v>82.823639316629198</v>
      </c>
      <c r="AM381">
        <v>87.955993773546396</v>
      </c>
      <c r="AN381">
        <v>1.0000000612556199</v>
      </c>
    </row>
    <row r="382" spans="1:40" x14ac:dyDescent="0.25">
      <c r="A382" t="str">
        <f>"20190303170234703"</f>
        <v>20190303170234703</v>
      </c>
      <c r="B382" t="str">
        <f>"1551603754696196"</f>
        <v>1551603754696196</v>
      </c>
      <c r="C382" t="s">
        <v>40</v>
      </c>
      <c r="D382">
        <v>4.4624819999999996</v>
      </c>
      <c r="E382">
        <v>0.54829209999999995</v>
      </c>
      <c r="F382" t="s">
        <v>43</v>
      </c>
      <c r="G382">
        <v>-408.36</v>
      </c>
      <c r="H382">
        <v>0.89962819999999899</v>
      </c>
      <c r="I382">
        <v>367.74599999999998</v>
      </c>
      <c r="J382">
        <v>-408.94170000000003</v>
      </c>
      <c r="K382">
        <v>1.0712870000000001</v>
      </c>
      <c r="L382">
        <v>367.85239999999999</v>
      </c>
      <c r="M382">
        <v>0.99989749999999999</v>
      </c>
      <c r="N382">
        <v>-1.3524929999999999E-2</v>
      </c>
      <c r="O382">
        <v>-4.7050970000000001E-3</v>
      </c>
      <c r="P382">
        <v>0.99295009999999995</v>
      </c>
      <c r="Q382">
        <v>0.1115597</v>
      </c>
      <c r="R382">
        <v>-4.0059560000000001E-2</v>
      </c>
      <c r="S382">
        <v>3.0832519999999999</v>
      </c>
      <c r="T382">
        <v>-0.70792690000000003</v>
      </c>
      <c r="U382">
        <v>-0.44073489999999999</v>
      </c>
      <c r="V382">
        <v>3.5445869999999997E-2</v>
      </c>
      <c r="W382">
        <v>0.1249646</v>
      </c>
      <c r="X382">
        <v>0.99152790000000002</v>
      </c>
      <c r="Y382">
        <v>0.13334360000000001</v>
      </c>
      <c r="Z382">
        <v>-1.495776E-2</v>
      </c>
      <c r="AA382">
        <v>0.99095699999999998</v>
      </c>
      <c r="AB382">
        <v>29</v>
      </c>
      <c r="AC382">
        <v>0.58170000000001199</v>
      </c>
      <c r="AD382">
        <v>-0.1716588</v>
      </c>
      <c r="AE382">
        <v>-0.106400000000007</v>
      </c>
      <c r="AF382">
        <v>9.5605520765406904E-2</v>
      </c>
      <c r="AG382">
        <v>-0.1716588</v>
      </c>
      <c r="AH382">
        <v>0.53694881529772098</v>
      </c>
      <c r="AI382">
        <v>107.471021453482</v>
      </c>
      <c r="AJ382">
        <v>79.904098848192405</v>
      </c>
      <c r="AK382">
        <v>0.571770224362803</v>
      </c>
      <c r="AL382">
        <v>82.821289014439799</v>
      </c>
      <c r="AM382">
        <v>87.952620122034105</v>
      </c>
      <c r="AN382">
        <v>1.0000000687158099</v>
      </c>
    </row>
    <row r="383" spans="1:40" x14ac:dyDescent="0.25">
      <c r="A383" t="str">
        <f>"20190303170234715"</f>
        <v>20190303170234715</v>
      </c>
      <c r="B383" t="str">
        <f>"1551603754705956"</f>
        <v>1551603754705956</v>
      </c>
      <c r="C383" t="s">
        <v>40</v>
      </c>
      <c r="D383">
        <v>4.2425889999999997</v>
      </c>
      <c r="E383">
        <v>0.54887180000000002</v>
      </c>
      <c r="F383" t="s">
        <v>43</v>
      </c>
      <c r="G383">
        <v>-408.11070000000001</v>
      </c>
      <c r="H383">
        <v>0.87967439999999997</v>
      </c>
      <c r="I383">
        <v>367.72649999999999</v>
      </c>
      <c r="J383">
        <v>-408.77670000000001</v>
      </c>
      <c r="K383">
        <v>1.0713010000000001</v>
      </c>
      <c r="L383">
        <v>367.85160000000002</v>
      </c>
      <c r="M383">
        <v>0.99989519999999998</v>
      </c>
      <c r="N383">
        <v>-1.3652900000000001E-2</v>
      </c>
      <c r="O383">
        <v>-4.8356850000000002E-3</v>
      </c>
      <c r="P383">
        <v>0.99294510000000002</v>
      </c>
      <c r="Q383">
        <v>0.1115186</v>
      </c>
      <c r="R383">
        <v>-4.0294160000000002E-2</v>
      </c>
      <c r="S383">
        <v>3.0823969999999998</v>
      </c>
      <c r="T383">
        <v>-0.71085169999999998</v>
      </c>
      <c r="U383">
        <v>-0.46566770000000002</v>
      </c>
      <c r="V383">
        <v>3.5550999999999999E-2</v>
      </c>
      <c r="W383">
        <v>0.12505069999999999</v>
      </c>
      <c r="X383">
        <v>0.99151319999999998</v>
      </c>
      <c r="Y383">
        <v>0.14086560000000001</v>
      </c>
      <c r="Z383">
        <v>-1.589575E-2</v>
      </c>
      <c r="AA383">
        <v>0.98990109999999998</v>
      </c>
      <c r="AB383">
        <v>29</v>
      </c>
      <c r="AC383">
        <v>0.66599999999999604</v>
      </c>
      <c r="AD383">
        <v>-0.19162660000000001</v>
      </c>
      <c r="AE383">
        <v>-0.12510000000003099</v>
      </c>
      <c r="AF383">
        <v>0.112853274059441</v>
      </c>
      <c r="AG383">
        <v>-0.19162660000000001</v>
      </c>
      <c r="AH383">
        <v>0.61723921437823903</v>
      </c>
      <c r="AI383">
        <v>106.98241198714101</v>
      </c>
      <c r="AJ383">
        <v>79.638737803876595</v>
      </c>
      <c r="AK383">
        <v>0.65607992124417303</v>
      </c>
      <c r="AL383">
        <v>82.816316265887906</v>
      </c>
      <c r="AM383">
        <v>87.946522507701204</v>
      </c>
      <c r="AN383">
        <v>0.99999998847286398</v>
      </c>
    </row>
    <row r="384" spans="1:40" x14ac:dyDescent="0.25">
      <c r="A384" t="str">
        <f>"20190303170234734"</f>
        <v>20190303170234734</v>
      </c>
      <c r="B384" t="str">
        <f>"1551603754726475"</f>
        <v>1551603754726475</v>
      </c>
      <c r="C384" t="s">
        <v>40</v>
      </c>
      <c r="D384">
        <v>4.2132899999999998</v>
      </c>
      <c r="E384">
        <v>0.54978079999999996</v>
      </c>
      <c r="F384" t="s">
        <v>43</v>
      </c>
      <c r="G384">
        <v>-407.8614</v>
      </c>
      <c r="H384">
        <v>0.85946909999999899</v>
      </c>
      <c r="I384">
        <v>367.71120000000002</v>
      </c>
      <c r="J384">
        <v>-408.53609999999998</v>
      </c>
      <c r="K384">
        <v>1.0713060000000001</v>
      </c>
      <c r="L384">
        <v>367.85019999999997</v>
      </c>
      <c r="M384">
        <v>0.9998918</v>
      </c>
      <c r="N384">
        <v>-1.382502E-2</v>
      </c>
      <c r="O384">
        <v>-5.0264339999999998E-3</v>
      </c>
      <c r="P384">
        <v>0.99296220000000002</v>
      </c>
      <c r="Q384">
        <v>0.111304399999999</v>
      </c>
      <c r="R384">
        <v>-4.0469280000000003E-2</v>
      </c>
      <c r="S384">
        <v>3.082306</v>
      </c>
      <c r="T384">
        <v>-0.71341189999999999</v>
      </c>
      <c r="U384">
        <v>-0.47109990000000002</v>
      </c>
      <c r="V384">
        <v>3.5536400000000003E-2</v>
      </c>
      <c r="W384">
        <v>0.1250076</v>
      </c>
      <c r="X384">
        <v>0.99151920000000004</v>
      </c>
      <c r="Y384">
        <v>0.142322799999999</v>
      </c>
      <c r="Z384">
        <v>-1.6094859999999999E-2</v>
      </c>
      <c r="AA384">
        <v>0.98968940000000005</v>
      </c>
      <c r="AB384">
        <v>29</v>
      </c>
      <c r="AC384">
        <v>0.67469999999997299</v>
      </c>
      <c r="AD384">
        <v>-0.21183689999999999</v>
      </c>
      <c r="AE384">
        <v>-0.13899999999995299</v>
      </c>
      <c r="AF384">
        <v>0.123890871946832</v>
      </c>
      <c r="AG384">
        <v>-0.21183689999999999</v>
      </c>
      <c r="AH384">
        <v>0.61703996935315397</v>
      </c>
      <c r="AI384">
        <v>108.602916199022</v>
      </c>
      <c r="AJ384">
        <v>78.646960501294799</v>
      </c>
      <c r="AK384">
        <v>0.66404980546092895</v>
      </c>
      <c r="AL384">
        <v>82.818805543749505</v>
      </c>
      <c r="AM384">
        <v>87.947377513940296</v>
      </c>
      <c r="AN384">
        <v>1.0000000298756699</v>
      </c>
    </row>
    <row r="385" spans="1:40" x14ac:dyDescent="0.25">
      <c r="A385" t="str">
        <f>"20190303170234746"</f>
        <v>20190303170234746</v>
      </c>
      <c r="B385" t="str">
        <f>"1551603754736235"</f>
        <v>1551603754736235</v>
      </c>
      <c r="C385" t="s">
        <v>40</v>
      </c>
      <c r="D385">
        <v>4.2646090000000001</v>
      </c>
      <c r="E385">
        <v>0.5501798</v>
      </c>
      <c r="F385" t="s">
        <v>43</v>
      </c>
      <c r="G385">
        <v>-407.83890000000002</v>
      </c>
      <c r="H385">
        <v>0.90983519999999896</v>
      </c>
      <c r="I385">
        <v>367.7414</v>
      </c>
      <c r="J385">
        <v>-408.37880000000001</v>
      </c>
      <c r="K385">
        <v>1.071312</v>
      </c>
      <c r="L385">
        <v>367.84930000000003</v>
      </c>
      <c r="M385">
        <v>0.9998899</v>
      </c>
      <c r="N385">
        <v>-1.392766E-2</v>
      </c>
      <c r="O385">
        <v>-5.1512570000000002E-3</v>
      </c>
      <c r="P385">
        <v>0.99299789999999999</v>
      </c>
      <c r="Q385">
        <v>0.11098280000000001</v>
      </c>
      <c r="R385">
        <v>-4.0475440000000001E-2</v>
      </c>
      <c r="S385">
        <v>3.0817570000000001</v>
      </c>
      <c r="T385">
        <v>-0.71387719999999999</v>
      </c>
      <c r="U385">
        <v>-0.47924800000000001</v>
      </c>
      <c r="V385">
        <v>3.5418280000000003E-2</v>
      </c>
      <c r="W385">
        <v>0.1247881</v>
      </c>
      <c r="X385">
        <v>0.99155099999999996</v>
      </c>
      <c r="Y385">
        <v>0.14471229999999999</v>
      </c>
      <c r="Z385">
        <v>-1.6374130000000001E-2</v>
      </c>
      <c r="AA385">
        <v>0.9893383</v>
      </c>
      <c r="AB385">
        <v>29</v>
      </c>
      <c r="AC385">
        <v>0.53989999999998795</v>
      </c>
      <c r="AD385">
        <v>-0.1614768</v>
      </c>
      <c r="AE385">
        <v>-0.107900000000029</v>
      </c>
      <c r="AF385">
        <v>9.6791414169959594E-2</v>
      </c>
      <c r="AG385">
        <v>-0.1614768</v>
      </c>
      <c r="AH385">
        <v>0.49764288985376298</v>
      </c>
      <c r="AI385">
        <v>107.667430764497</v>
      </c>
      <c r="AJ385">
        <v>78.9934062351563</v>
      </c>
      <c r="AK385">
        <v>0.53206369977406398</v>
      </c>
      <c r="AL385">
        <v>82.831480683210003</v>
      </c>
      <c r="AM385">
        <v>87.954260006233596</v>
      </c>
      <c r="AN385">
        <v>0.99999995503038297</v>
      </c>
    </row>
    <row r="386" spans="1:40" x14ac:dyDescent="0.25">
      <c r="A386" t="str">
        <f>"20190303170234766"</f>
        <v>20190303170234766</v>
      </c>
      <c r="B386" t="str">
        <f>"1551603754756733"</f>
        <v>1551603754756733</v>
      </c>
      <c r="C386" t="s">
        <v>40</v>
      </c>
      <c r="D386">
        <v>4.2189249999999996</v>
      </c>
      <c r="E386">
        <v>0.55070980000000003</v>
      </c>
      <c r="F386" t="s">
        <v>43</v>
      </c>
      <c r="G386">
        <v>-407.59120000000001</v>
      </c>
      <c r="H386">
        <v>0.88923369999999902</v>
      </c>
      <c r="I386">
        <v>367.72579999999999</v>
      </c>
      <c r="J386">
        <v>-408.12779999999998</v>
      </c>
      <c r="K386">
        <v>1.0713250000000001</v>
      </c>
      <c r="L386">
        <v>367.84780000000001</v>
      </c>
      <c r="M386">
        <v>0.99988659999999996</v>
      </c>
      <c r="N386">
        <v>-1.408127E-2</v>
      </c>
      <c r="O386">
        <v>-5.3498809999999999E-3</v>
      </c>
      <c r="P386">
        <v>0.99295829999999996</v>
      </c>
      <c r="Q386">
        <v>0.1113087</v>
      </c>
      <c r="R386">
        <v>-4.0550589999999997E-2</v>
      </c>
      <c r="S386">
        <v>3.0811160000000002</v>
      </c>
      <c r="T386">
        <v>-0.71221199999999996</v>
      </c>
      <c r="U386">
        <v>-0.48266599999999998</v>
      </c>
      <c r="V386">
        <v>3.5296499999999897E-2</v>
      </c>
      <c r="W386">
        <v>0.12526590000000001</v>
      </c>
      <c r="X386">
        <v>0.99149509999999996</v>
      </c>
      <c r="Y386">
        <v>0.14561199999999999</v>
      </c>
      <c r="Z386">
        <v>-1.6419550000000002E-2</v>
      </c>
      <c r="AA386">
        <v>0.98920549999999996</v>
      </c>
      <c r="AB386">
        <v>29</v>
      </c>
      <c r="AC386">
        <v>0.53659999999996399</v>
      </c>
      <c r="AD386">
        <v>-0.18209130000000001</v>
      </c>
      <c r="AE386">
        <v>-0.122000000000014</v>
      </c>
      <c r="AF386">
        <v>0.107370807000104</v>
      </c>
      <c r="AG386">
        <v>-0.18209130000000001</v>
      </c>
      <c r="AH386">
        <v>0.48422547894903201</v>
      </c>
      <c r="AI386">
        <v>110.159670664614</v>
      </c>
      <c r="AJ386">
        <v>77.497676405219593</v>
      </c>
      <c r="AK386">
        <v>0.52835598434669295</v>
      </c>
      <c r="AL386">
        <v>82.803888292740993</v>
      </c>
      <c r="AM386">
        <v>87.9611731603663</v>
      </c>
      <c r="AN386">
        <v>0.99999996096953403</v>
      </c>
    </row>
    <row r="387" spans="1:40" x14ac:dyDescent="0.25">
      <c r="A387" t="str">
        <f>"20190303170234780"</f>
        <v>20190303170234780</v>
      </c>
      <c r="B387" t="str">
        <f>"1551603754766494"</f>
        <v>1551603754766494</v>
      </c>
      <c r="C387" t="s">
        <v>40</v>
      </c>
      <c r="D387">
        <v>4.2333239999999996</v>
      </c>
      <c r="E387">
        <v>0.55086610000000003</v>
      </c>
      <c r="F387" t="s">
        <v>43</v>
      </c>
      <c r="G387">
        <v>-407.33440000000002</v>
      </c>
      <c r="H387">
        <v>0.88898739999999998</v>
      </c>
      <c r="I387">
        <v>367.72190000000001</v>
      </c>
      <c r="J387">
        <v>-407.95260000000002</v>
      </c>
      <c r="K387">
        <v>1.071332</v>
      </c>
      <c r="L387">
        <v>367.8467</v>
      </c>
      <c r="M387">
        <v>0.99988449999999995</v>
      </c>
      <c r="N387">
        <v>-1.417966E-2</v>
      </c>
      <c r="O387">
        <v>-5.4887499999999997E-3</v>
      </c>
      <c r="P387">
        <v>0.9929308</v>
      </c>
      <c r="Q387">
        <v>0.1114938</v>
      </c>
      <c r="R387">
        <v>-4.0716170000000003E-2</v>
      </c>
      <c r="S387">
        <v>3.0807500000000001</v>
      </c>
      <c r="T387">
        <v>-0.70801709999999995</v>
      </c>
      <c r="U387">
        <v>-0.4873962</v>
      </c>
      <c r="V387">
        <v>3.5324500000000002E-2</v>
      </c>
      <c r="W387">
        <v>0.12554789999999999</v>
      </c>
      <c r="X387">
        <v>0.99145850000000002</v>
      </c>
      <c r="Y387">
        <v>0.14698249999999999</v>
      </c>
      <c r="Z387">
        <v>-1.6474550000000001E-2</v>
      </c>
      <c r="AA387">
        <v>0.98900189999999999</v>
      </c>
      <c r="AB387">
        <v>29</v>
      </c>
      <c r="AC387">
        <v>0.61820000000000097</v>
      </c>
      <c r="AD387">
        <v>-0.1823446</v>
      </c>
      <c r="AE387">
        <v>-0.124799999999993</v>
      </c>
      <c r="AF387">
        <v>0.112038766256677</v>
      </c>
      <c r="AG387">
        <v>-0.1823446</v>
      </c>
      <c r="AH387">
        <v>0.57113203592846995</v>
      </c>
      <c r="AI387">
        <v>107.395638002117</v>
      </c>
      <c r="AJ387">
        <v>78.901244648438507</v>
      </c>
      <c r="AK387">
        <v>0.60991314197783697</v>
      </c>
      <c r="AL387">
        <v>82.787602784899804</v>
      </c>
      <c r="AM387">
        <v>87.959481906920601</v>
      </c>
      <c r="AN387">
        <v>1.0000000263584501</v>
      </c>
    </row>
    <row r="388" spans="1:40" x14ac:dyDescent="0.25">
      <c r="A388" t="str">
        <f>"20190303170234801"</f>
        <v>20190303170234801</v>
      </c>
      <c r="B388" t="str">
        <f>"1551603754786011"</f>
        <v>1551603754786011</v>
      </c>
      <c r="C388" t="s">
        <v>40</v>
      </c>
      <c r="D388">
        <v>4.2364040000000003</v>
      </c>
      <c r="E388">
        <v>0.55108950000000001</v>
      </c>
      <c r="F388" t="s">
        <v>43</v>
      </c>
      <c r="G388">
        <v>-407.08550000000002</v>
      </c>
      <c r="H388">
        <v>0.87241179999999996</v>
      </c>
      <c r="I388">
        <v>367.70890000000003</v>
      </c>
      <c r="J388">
        <v>-407.68020000000001</v>
      </c>
      <c r="K388">
        <v>1.0713509999999999</v>
      </c>
      <c r="L388">
        <v>367.8449</v>
      </c>
      <c r="M388">
        <v>0.99988140000000003</v>
      </c>
      <c r="N388">
        <v>-1.43169E-2</v>
      </c>
      <c r="O388">
        <v>-5.7039530000000003E-3</v>
      </c>
      <c r="P388">
        <v>0.99288460000000001</v>
      </c>
      <c r="Q388">
        <v>0.1118855</v>
      </c>
      <c r="R388">
        <v>-4.0766990000000003E-2</v>
      </c>
      <c r="S388">
        <v>3.0806580000000001</v>
      </c>
      <c r="T388">
        <v>-0.706740699999999</v>
      </c>
      <c r="U388">
        <v>-0.48870849999999999</v>
      </c>
      <c r="V388">
        <v>3.5161890000000001E-2</v>
      </c>
      <c r="W388">
        <v>0.12607579999999999</v>
      </c>
      <c r="X388">
        <v>0.99139730000000004</v>
      </c>
      <c r="Y388">
        <v>0.1471952</v>
      </c>
      <c r="Z388">
        <v>-1.6438640000000001E-2</v>
      </c>
      <c r="AA388">
        <v>0.98897089999999999</v>
      </c>
      <c r="AB388">
        <v>29</v>
      </c>
      <c r="AC388">
        <v>0.59469999999998802</v>
      </c>
      <c r="AD388">
        <v>-0.19893919999999901</v>
      </c>
      <c r="AE388">
        <v>-0.13599999999996701</v>
      </c>
      <c r="AF388">
        <v>0.119859190687628</v>
      </c>
      <c r="AG388">
        <v>-0.19893919999999901</v>
      </c>
      <c r="AH388">
        <v>0.53822954407962997</v>
      </c>
      <c r="AI388">
        <v>109.83843902835601</v>
      </c>
      <c r="AJ388">
        <v>77.445567820088897</v>
      </c>
      <c r="AK388">
        <v>0.58620309877132204</v>
      </c>
      <c r="AL388">
        <v>82.757114155095806</v>
      </c>
      <c r="AM388">
        <v>87.968741901263897</v>
      </c>
      <c r="AN388">
        <v>1.00000003615065</v>
      </c>
    </row>
    <row r="389" spans="1:40" x14ac:dyDescent="0.25">
      <c r="A389" t="str">
        <f>"20190303170234824"</f>
        <v>20190303170234824</v>
      </c>
      <c r="B389" t="str">
        <f>"1551603754816268"</f>
        <v>1551603754816268</v>
      </c>
      <c r="C389" t="s">
        <v>40</v>
      </c>
      <c r="D389">
        <v>4.2145570000000001</v>
      </c>
      <c r="E389">
        <v>0.5512224</v>
      </c>
      <c r="F389" t="s">
        <v>43</v>
      </c>
      <c r="G389">
        <v>-406.8279</v>
      </c>
      <c r="H389">
        <v>0.87666769999999905</v>
      </c>
      <c r="I389">
        <v>367.70859999999999</v>
      </c>
      <c r="J389">
        <v>-407.38979999999998</v>
      </c>
      <c r="K389">
        <v>1.0713649999999999</v>
      </c>
      <c r="L389">
        <v>367.84300000000002</v>
      </c>
      <c r="M389">
        <v>0.99987820000000005</v>
      </c>
      <c r="N389">
        <v>-1.4444719999999999E-2</v>
      </c>
      <c r="O389">
        <v>-5.9312310000000004E-3</v>
      </c>
      <c r="P389">
        <v>0.99289340000000004</v>
      </c>
      <c r="Q389">
        <v>0.1117847</v>
      </c>
      <c r="R389">
        <v>-4.0831350000000002E-2</v>
      </c>
      <c r="S389">
        <v>3.0805660000000001</v>
      </c>
      <c r="T389">
        <v>-0.70359019999999906</v>
      </c>
      <c r="U389">
        <v>-0.49157709999999999</v>
      </c>
      <c r="V389">
        <v>3.4999849999999999E-2</v>
      </c>
      <c r="W389">
        <v>0.12610179999999999</v>
      </c>
      <c r="X389">
        <v>0.99139969999999999</v>
      </c>
      <c r="Y389">
        <v>0.14789040000000001</v>
      </c>
      <c r="Z389">
        <v>-1.6417169999999998E-2</v>
      </c>
      <c r="AA389">
        <v>0.98886750000000001</v>
      </c>
      <c r="AB389">
        <v>29</v>
      </c>
      <c r="AC389">
        <v>0.56189999999997997</v>
      </c>
      <c r="AD389">
        <v>-0.19469729999999999</v>
      </c>
      <c r="AE389">
        <v>-0.134400000000027</v>
      </c>
      <c r="AF389">
        <v>0.11769826269342901</v>
      </c>
      <c r="AG389">
        <v>-0.19469729999999999</v>
      </c>
      <c r="AH389">
        <v>0.50530318459730805</v>
      </c>
      <c r="AI389">
        <v>110.56922941420299</v>
      </c>
      <c r="AJ389">
        <v>76.888111714957205</v>
      </c>
      <c r="AK389">
        <v>0.55415812547730703</v>
      </c>
      <c r="AL389">
        <v>82.755612284477195</v>
      </c>
      <c r="AM389">
        <v>87.9780998511376</v>
      </c>
      <c r="AN389">
        <v>1.0000000093116701</v>
      </c>
    </row>
    <row r="390" spans="1:40" x14ac:dyDescent="0.25">
      <c r="A390" t="str">
        <f>"20190303170234846"</f>
        <v>20190303170234846</v>
      </c>
      <c r="B390" t="str">
        <f>"1551603754835787"</f>
        <v>1551603754835787</v>
      </c>
      <c r="C390" t="s">
        <v>40</v>
      </c>
      <c r="D390">
        <v>4.2483399999999998</v>
      </c>
      <c r="E390">
        <v>0.55129709999999998</v>
      </c>
      <c r="F390" t="s">
        <v>43</v>
      </c>
      <c r="G390">
        <v>-406.56900000000002</v>
      </c>
      <c r="H390">
        <v>0.88417829999999997</v>
      </c>
      <c r="I390">
        <v>367.71170000000001</v>
      </c>
      <c r="J390">
        <v>-407.11009999999999</v>
      </c>
      <c r="K390">
        <v>1.071375</v>
      </c>
      <c r="L390">
        <v>367.84109999999998</v>
      </c>
      <c r="M390">
        <v>0.99987519999999996</v>
      </c>
      <c r="N390">
        <v>-1.4551720000000001E-2</v>
      </c>
      <c r="O390">
        <v>-6.1460459999999996E-3</v>
      </c>
      <c r="P390">
        <v>0.99289380000000005</v>
      </c>
      <c r="Q390">
        <v>0.1116969</v>
      </c>
      <c r="R390">
        <v>-4.1061140000000003E-2</v>
      </c>
      <c r="S390">
        <v>3.0803829999999999</v>
      </c>
      <c r="T390">
        <v>-0.70258699999999996</v>
      </c>
      <c r="U390">
        <v>-0.49273679999999997</v>
      </c>
      <c r="V390">
        <v>3.5015020000000001E-2</v>
      </c>
      <c r="W390">
        <v>0.12612080000000001</v>
      </c>
      <c r="X390">
        <v>0.99139670000000002</v>
      </c>
      <c r="Y390">
        <v>0.14805879999999999</v>
      </c>
      <c r="Z390">
        <v>-1.6380189999999999E-2</v>
      </c>
      <c r="AA390">
        <v>0.98884289999999997</v>
      </c>
      <c r="AB390">
        <v>29</v>
      </c>
      <c r="AC390">
        <v>0.54109999999997105</v>
      </c>
      <c r="AD390">
        <v>-0.18719669999999899</v>
      </c>
      <c r="AE390">
        <v>-0.12939999999997501</v>
      </c>
      <c r="AF390">
        <v>0.113250388223763</v>
      </c>
      <c r="AG390">
        <v>-0.18719669999999899</v>
      </c>
      <c r="AH390">
        <v>0.48677668599825802</v>
      </c>
      <c r="AI390">
        <v>110.533957412379</v>
      </c>
      <c r="AJ390">
        <v>76.902913745882699</v>
      </c>
      <c r="AK390">
        <v>0.533685110299294</v>
      </c>
      <c r="AL390">
        <v>82.754514560804196</v>
      </c>
      <c r="AM390">
        <v>87.977218110025404</v>
      </c>
      <c r="AN390">
        <v>0.999999962294564</v>
      </c>
    </row>
    <row r="391" spans="1:40" x14ac:dyDescent="0.25">
      <c r="A391" t="str">
        <f>"20190303170234867"</f>
        <v>20190303170234867</v>
      </c>
      <c r="B391" t="str">
        <f>"1551603754856283"</f>
        <v>1551603754856283</v>
      </c>
      <c r="C391" t="s">
        <v>40</v>
      </c>
      <c r="D391">
        <v>4.2516949999999998</v>
      </c>
      <c r="E391">
        <v>0.55131830000000004</v>
      </c>
      <c r="F391" t="s">
        <v>43</v>
      </c>
      <c r="G391">
        <v>-406.31180000000001</v>
      </c>
      <c r="H391">
        <v>0.88949319999999898</v>
      </c>
      <c r="I391">
        <v>367.71249999999998</v>
      </c>
      <c r="J391">
        <v>-406.83199999999999</v>
      </c>
      <c r="K391">
        <v>1.0713839999999999</v>
      </c>
      <c r="L391">
        <v>367.83920000000001</v>
      </c>
      <c r="M391">
        <v>0.99987269999999995</v>
      </c>
      <c r="N391">
        <v>-1.4643969999999999E-2</v>
      </c>
      <c r="O391">
        <v>-6.350334E-3</v>
      </c>
      <c r="P391">
        <v>0.99287709999999996</v>
      </c>
      <c r="Q391">
        <v>0.11164</v>
      </c>
      <c r="R391">
        <v>-4.1618700000000002E-2</v>
      </c>
      <c r="S391">
        <v>3.0800169999999998</v>
      </c>
      <c r="T391">
        <v>-0.70182840000000002</v>
      </c>
      <c r="U391">
        <v>-0.49423220000000001</v>
      </c>
      <c r="V391">
        <v>3.536781E-2</v>
      </c>
      <c r="W391">
        <v>0.12615580000000001</v>
      </c>
      <c r="X391">
        <v>0.99137969999999997</v>
      </c>
      <c r="Y391">
        <v>0.148345799999999</v>
      </c>
      <c r="Z391">
        <v>-1.6364409999999999E-2</v>
      </c>
      <c r="AA391">
        <v>0.98880020000000002</v>
      </c>
      <c r="AB391">
        <v>29</v>
      </c>
      <c r="AC391">
        <v>0.52019999999998801</v>
      </c>
      <c r="AD391">
        <v>-0.18189079999999999</v>
      </c>
      <c r="AE391">
        <v>-0.12670000000002801</v>
      </c>
      <c r="AF391">
        <v>0.110626018387688</v>
      </c>
      <c r="AG391">
        <v>-0.18189079999999999</v>
      </c>
      <c r="AH391">
        <v>0.46708654266465699</v>
      </c>
      <c r="AI391">
        <v>110.75333268360799</v>
      </c>
      <c r="AJ391">
        <v>76.675438738318107</v>
      </c>
      <c r="AK391">
        <v>0.51331493004526496</v>
      </c>
      <c r="AL391">
        <v>82.752492890247794</v>
      </c>
      <c r="AM391">
        <v>87.956819973545393</v>
      </c>
      <c r="AN391">
        <v>0.99999993871496096</v>
      </c>
    </row>
    <row r="392" spans="1:40" x14ac:dyDescent="0.25">
      <c r="A392" t="str">
        <f>"20190303170234880"</f>
        <v>20190303170234880</v>
      </c>
      <c r="B392" t="str">
        <f>"1551603754866045"</f>
        <v>1551603754866045</v>
      </c>
      <c r="C392" t="s">
        <v>40</v>
      </c>
      <c r="D392">
        <v>4.2575699999999896</v>
      </c>
      <c r="E392">
        <v>0.5513304</v>
      </c>
      <c r="F392" t="s">
        <v>43</v>
      </c>
      <c r="G392">
        <v>-406.05520000000001</v>
      </c>
      <c r="H392">
        <v>0.89439959999999996</v>
      </c>
      <c r="I392">
        <v>367.71409999999997</v>
      </c>
      <c r="J392">
        <v>-406.6671</v>
      </c>
      <c r="K392">
        <v>1.071393</v>
      </c>
      <c r="L392">
        <v>367.83800000000002</v>
      </c>
      <c r="M392">
        <v>0.99987119999999996</v>
      </c>
      <c r="N392">
        <v>-1.4692739999999999E-2</v>
      </c>
      <c r="O392">
        <v>-6.4650310000000004E-3</v>
      </c>
      <c r="P392">
        <v>0.99286430000000003</v>
      </c>
      <c r="Q392">
        <v>0.11163049999999999</v>
      </c>
      <c r="R392">
        <v>-4.1942939999999998E-2</v>
      </c>
      <c r="S392">
        <v>3.0796199999999998</v>
      </c>
      <c r="T392">
        <v>-0.70167299999999999</v>
      </c>
      <c r="U392">
        <v>-0.4960022</v>
      </c>
      <c r="V392">
        <v>3.5576389999999999E-2</v>
      </c>
      <c r="W392">
        <v>0.126195</v>
      </c>
      <c r="X392">
        <v>0.99136729999999995</v>
      </c>
      <c r="Y392">
        <v>0.14879690000000001</v>
      </c>
      <c r="Z392">
        <v>-1.6396230000000001E-2</v>
      </c>
      <c r="AA392">
        <v>0.9887319</v>
      </c>
      <c r="AB392">
        <v>28</v>
      </c>
      <c r="AC392">
        <v>0.61189999999999101</v>
      </c>
      <c r="AD392">
        <v>-0.1769934</v>
      </c>
      <c r="AE392">
        <v>-0.123900000000048</v>
      </c>
      <c r="AF392">
        <v>0.111018311839767</v>
      </c>
      <c r="AG392">
        <v>-0.1769934</v>
      </c>
      <c r="AH392">
        <v>0.56710886832211105</v>
      </c>
      <c r="AI392">
        <v>107.028993648764</v>
      </c>
      <c r="AJ392">
        <v>78.923742270851804</v>
      </c>
      <c r="AK392">
        <v>0.60437091073023796</v>
      </c>
      <c r="AL392">
        <v>82.750229178493797</v>
      </c>
      <c r="AM392">
        <v>87.944755033668301</v>
      </c>
      <c r="AN392">
        <v>0.99999999052986099</v>
      </c>
    </row>
    <row r="393" spans="1:40" x14ac:dyDescent="0.25">
      <c r="A393" t="str">
        <f>"20190303170234893"</f>
        <v>20190303170234893</v>
      </c>
      <c r="B393" t="str">
        <f>"1551603754886539"</f>
        <v>1551603754886539</v>
      </c>
      <c r="C393" t="s">
        <v>40</v>
      </c>
      <c r="D393">
        <v>4.287998</v>
      </c>
      <c r="E393">
        <v>0.55142619999999998</v>
      </c>
      <c r="F393" t="s">
        <v>43</v>
      </c>
      <c r="G393">
        <v>-405.80959999999999</v>
      </c>
      <c r="H393">
        <v>0.87600669999999903</v>
      </c>
      <c r="I393">
        <v>367.69959999999998</v>
      </c>
      <c r="J393">
        <v>-406.4957</v>
      </c>
      <c r="K393">
        <v>1.071404</v>
      </c>
      <c r="L393">
        <v>367.83679999999998</v>
      </c>
      <c r="M393">
        <v>0.99986980000000003</v>
      </c>
      <c r="N393">
        <v>-1.4739469999999999E-2</v>
      </c>
      <c r="O393">
        <v>-6.579087E-3</v>
      </c>
      <c r="P393">
        <v>0.99283180000000004</v>
      </c>
      <c r="Q393">
        <v>0.1117708</v>
      </c>
      <c r="R393">
        <v>-4.2337630000000001E-2</v>
      </c>
      <c r="S393">
        <v>3.0794980000000001</v>
      </c>
      <c r="T393">
        <v>-0.70179340000000001</v>
      </c>
      <c r="U393">
        <v>-0.49603269999999999</v>
      </c>
      <c r="V393">
        <v>3.5855930000000001E-2</v>
      </c>
      <c r="W393">
        <v>0.12638179999999999</v>
      </c>
      <c r="X393">
        <v>0.99133340000000003</v>
      </c>
      <c r="Y393">
        <v>0.14870249999999999</v>
      </c>
      <c r="Z393">
        <v>-1.636808E-2</v>
      </c>
      <c r="AA393">
        <v>0.98874649999999997</v>
      </c>
      <c r="AB393">
        <v>28</v>
      </c>
      <c r="AC393">
        <v>0.68610000000001004</v>
      </c>
      <c r="AD393">
        <v>-0.1953973</v>
      </c>
      <c r="AE393">
        <v>-0.13720000000000701</v>
      </c>
      <c r="AF393">
        <v>0.123083462156023</v>
      </c>
      <c r="AG393">
        <v>-0.1953973</v>
      </c>
      <c r="AH393">
        <v>0.63728650707289103</v>
      </c>
      <c r="AI393">
        <v>106.75415322778601</v>
      </c>
      <c r="AJ393">
        <v>79.068671047643207</v>
      </c>
      <c r="AK393">
        <v>0.67783754366423998</v>
      </c>
      <c r="AL393">
        <v>82.7394397098398</v>
      </c>
      <c r="AM393">
        <v>87.928549272822096</v>
      </c>
      <c r="AN393">
        <v>0.99999995852148105</v>
      </c>
    </row>
    <row r="394" spans="1:40" x14ac:dyDescent="0.25">
      <c r="A394" t="str">
        <f>"20190303170234911"</f>
        <v>20190303170234911</v>
      </c>
      <c r="B394" t="str">
        <f>"1551603754906059"</f>
        <v>1551603754906059</v>
      </c>
      <c r="C394" t="s">
        <v>40</v>
      </c>
      <c r="D394">
        <v>4.2841459999999998</v>
      </c>
      <c r="E394">
        <v>0.55171559999999997</v>
      </c>
      <c r="F394" t="s">
        <v>43</v>
      </c>
      <c r="G394">
        <v>-405.79329999999999</v>
      </c>
      <c r="H394">
        <v>0.91147339999999999</v>
      </c>
      <c r="I394">
        <v>367.72280000000001</v>
      </c>
      <c r="J394">
        <v>-406.2645</v>
      </c>
      <c r="K394">
        <v>1.0714189999999999</v>
      </c>
      <c r="L394">
        <v>367.83510000000001</v>
      </c>
      <c r="M394">
        <v>0.99986799999999998</v>
      </c>
      <c r="N394">
        <v>-1.47948E-2</v>
      </c>
      <c r="O394">
        <v>-6.718974E-3</v>
      </c>
      <c r="P394">
        <v>0.99283149999999998</v>
      </c>
      <c r="Q394">
        <v>0.1116413</v>
      </c>
      <c r="R394">
        <v>-4.2684729999999997E-2</v>
      </c>
      <c r="S394">
        <v>3.0793460000000001</v>
      </c>
      <c r="T394">
        <v>-0.70118899999999995</v>
      </c>
      <c r="U394">
        <v>-0.49813839999999998</v>
      </c>
      <c r="V394">
        <v>3.6060160000000001E-2</v>
      </c>
      <c r="W394">
        <v>0.12630810000000001</v>
      </c>
      <c r="X394">
        <v>0.99133550000000004</v>
      </c>
      <c r="Y394">
        <v>0.14922539999999901</v>
      </c>
      <c r="Z394">
        <v>-1.639301E-2</v>
      </c>
      <c r="AA394">
        <v>0.98866730000000003</v>
      </c>
      <c r="AB394">
        <v>28</v>
      </c>
      <c r="AC394">
        <v>0.47120000000001</v>
      </c>
      <c r="AD394">
        <v>-0.15994559999999999</v>
      </c>
      <c r="AE394">
        <v>-0.11230000000000399</v>
      </c>
      <c r="AF394">
        <v>9.8402438666949699E-2</v>
      </c>
      <c r="AG394">
        <v>-0.15994559999999999</v>
      </c>
      <c r="AH394">
        <v>0.42554709935538099</v>
      </c>
      <c r="AI394">
        <v>110.112520904691</v>
      </c>
      <c r="AJ394">
        <v>76.979913652392398</v>
      </c>
      <c r="AK394">
        <v>0.46514080520283502</v>
      </c>
      <c r="AL394">
        <v>82.743697352367505</v>
      </c>
      <c r="AM394">
        <v>87.916765375736503</v>
      </c>
      <c r="AN394">
        <v>1.00000007241254</v>
      </c>
    </row>
    <row r="395" spans="1:40" x14ac:dyDescent="0.25">
      <c r="A395" t="str">
        <f>"20190303170234925"</f>
        <v>20190303170234925</v>
      </c>
      <c r="B395" t="str">
        <f>"1551603754915820"</f>
        <v>1551603754915820</v>
      </c>
      <c r="C395" t="s">
        <v>40</v>
      </c>
      <c r="D395">
        <v>4.2944129999999996</v>
      </c>
      <c r="E395">
        <v>0.55183199999999999</v>
      </c>
      <c r="F395" t="s">
        <v>43</v>
      </c>
      <c r="G395">
        <v>-405.54199999999997</v>
      </c>
      <c r="H395">
        <v>0.90687300000000004</v>
      </c>
      <c r="I395">
        <v>367.71710000000002</v>
      </c>
      <c r="J395">
        <v>-406.09890000000001</v>
      </c>
      <c r="K395">
        <v>1.071431</v>
      </c>
      <c r="L395">
        <v>367.83390000000003</v>
      </c>
      <c r="M395">
        <v>0.99986679999999994</v>
      </c>
      <c r="N395">
        <v>-1.482997E-2</v>
      </c>
      <c r="O395">
        <v>-6.8074850000000003E-3</v>
      </c>
      <c r="P395">
        <v>0.99288270000000001</v>
      </c>
      <c r="Q395">
        <v>0.11116479999999999</v>
      </c>
      <c r="R395">
        <v>-4.2734660000000001E-2</v>
      </c>
      <c r="S395">
        <v>3.0789490000000002</v>
      </c>
      <c r="T395">
        <v>-0.70120079999999996</v>
      </c>
      <c r="U395">
        <v>-0.50170899999999996</v>
      </c>
      <c r="V395">
        <v>3.6018229999999998E-2</v>
      </c>
      <c r="W395">
        <v>0.12586820000000001</v>
      </c>
      <c r="X395">
        <v>0.99139290000000002</v>
      </c>
      <c r="Y395">
        <v>0.15024879999999999</v>
      </c>
      <c r="Z395">
        <v>-1.650039E-2</v>
      </c>
      <c r="AA395">
        <v>0.98851049999999996</v>
      </c>
      <c r="AB395">
        <v>28</v>
      </c>
      <c r="AC395">
        <v>0.55690000000004103</v>
      </c>
      <c r="AD395">
        <v>-0.16455800000000001</v>
      </c>
      <c r="AE395">
        <v>-0.11680000000001101</v>
      </c>
      <c r="AF395">
        <v>0.104283993223155</v>
      </c>
      <c r="AG395">
        <v>-0.16455800000000001</v>
      </c>
      <c r="AH395">
        <v>0.51464033809182197</v>
      </c>
      <c r="AI395">
        <v>107.40016779640401</v>
      </c>
      <c r="AJ395">
        <v>78.544989909077302</v>
      </c>
      <c r="AK395">
        <v>0.55028098658579105</v>
      </c>
      <c r="AL395">
        <v>82.769104007190094</v>
      </c>
      <c r="AM395">
        <v>87.919305956586498</v>
      </c>
      <c r="AN395">
        <v>0.99999999941699103</v>
      </c>
    </row>
    <row r="396" spans="1:40" x14ac:dyDescent="0.25">
      <c r="A396" t="str">
        <f>"20190303170234946"</f>
        <v>20190303170234946</v>
      </c>
      <c r="B396" t="str">
        <f>"1551603754936316"</f>
        <v>1551603754936316</v>
      </c>
      <c r="C396" t="s">
        <v>40</v>
      </c>
      <c r="D396">
        <v>4.3083920000000004</v>
      </c>
      <c r="E396">
        <v>0.55200340000000003</v>
      </c>
      <c r="F396" t="s">
        <v>43</v>
      </c>
      <c r="G396">
        <v>-405.29759999999999</v>
      </c>
      <c r="H396">
        <v>0.88835429999999904</v>
      </c>
      <c r="I396">
        <v>367.70280000000002</v>
      </c>
      <c r="J396">
        <v>-405.84339999999997</v>
      </c>
      <c r="K396">
        <v>1.0714520000000001</v>
      </c>
      <c r="L396">
        <v>367.83199999999999</v>
      </c>
      <c r="M396">
        <v>0.99986540000000002</v>
      </c>
      <c r="N396">
        <v>-1.4878789999999999E-2</v>
      </c>
      <c r="O396">
        <v>-6.9274109999999996E-3</v>
      </c>
      <c r="P396">
        <v>0.99295809999999995</v>
      </c>
      <c r="Q396">
        <v>0.1103712</v>
      </c>
      <c r="R396">
        <v>-4.3042299999999999E-2</v>
      </c>
      <c r="S396">
        <v>3.0786129999999998</v>
      </c>
      <c r="T396">
        <v>-0.7033623</v>
      </c>
      <c r="U396">
        <v>-0.50292970000000004</v>
      </c>
      <c r="V396">
        <v>3.6200099999999999E-2</v>
      </c>
      <c r="W396">
        <v>0.1251264</v>
      </c>
      <c r="X396">
        <v>0.99148020000000003</v>
      </c>
      <c r="Y396">
        <v>0.15050089999999999</v>
      </c>
      <c r="Z396">
        <v>-1.6556669999999999E-2</v>
      </c>
      <c r="AA396">
        <v>0.98847119999999999</v>
      </c>
      <c r="AB396">
        <v>28</v>
      </c>
      <c r="AC396">
        <v>0.54579999999998496</v>
      </c>
      <c r="AD396">
        <v>-0.1830977</v>
      </c>
      <c r="AE396">
        <v>-0.12919999999996801</v>
      </c>
      <c r="AF396">
        <v>0.1133375231156</v>
      </c>
      <c r="AG396">
        <v>-0.1830977</v>
      </c>
      <c r="AH396">
        <v>0.49403451889901201</v>
      </c>
      <c r="AI396">
        <v>109.86140561163801</v>
      </c>
      <c r="AJ396">
        <v>77.079228476163195</v>
      </c>
      <c r="AK396">
        <v>0.53892510403120697</v>
      </c>
      <c r="AL396">
        <v>82.811944903437606</v>
      </c>
      <c r="AM396">
        <v>87.908992996838094</v>
      </c>
      <c r="AN396">
        <v>1.0000000251045</v>
      </c>
    </row>
    <row r="397" spans="1:40" x14ac:dyDescent="0.25">
      <c r="A397" t="str">
        <f>"20190303170234961"</f>
        <v>20190303170234961</v>
      </c>
      <c r="B397" t="str">
        <f>"1551603754955836"</f>
        <v>1551603754955836</v>
      </c>
      <c r="C397" t="s">
        <v>40</v>
      </c>
      <c r="D397">
        <v>4.2964129999999896</v>
      </c>
      <c r="E397">
        <v>0.55209209999999997</v>
      </c>
      <c r="F397" t="s">
        <v>43</v>
      </c>
      <c r="G397">
        <v>-405.04520000000002</v>
      </c>
      <c r="H397">
        <v>0.88820049999999995</v>
      </c>
      <c r="I397">
        <v>367.70069999999998</v>
      </c>
      <c r="J397">
        <v>-405.64479999999998</v>
      </c>
      <c r="K397">
        <v>1.0714699999999999</v>
      </c>
      <c r="L397">
        <v>367.8306</v>
      </c>
      <c r="M397">
        <v>0.99986430000000004</v>
      </c>
      <c r="N397">
        <v>-1.4912129999999999E-2</v>
      </c>
      <c r="O397">
        <v>-7.0040040000000003E-3</v>
      </c>
      <c r="P397">
        <v>0.99294230000000006</v>
      </c>
      <c r="Q397">
        <v>0.1103483</v>
      </c>
      <c r="R397">
        <v>-4.3459970000000001E-2</v>
      </c>
      <c r="S397">
        <v>3.0779420000000002</v>
      </c>
      <c r="T397">
        <v>-0.70666229999999997</v>
      </c>
      <c r="U397">
        <v>-0.50506589999999996</v>
      </c>
      <c r="V397">
        <v>3.6536819999999998E-2</v>
      </c>
      <c r="W397">
        <v>0.12513730000000001</v>
      </c>
      <c r="X397">
        <v>0.99146650000000003</v>
      </c>
      <c r="Y397">
        <v>0.15107719999999999</v>
      </c>
      <c r="Z397">
        <v>-1.6685249999999999E-2</v>
      </c>
      <c r="AA397">
        <v>0.98838110000000001</v>
      </c>
      <c r="AB397">
        <v>28</v>
      </c>
      <c r="AC397">
        <v>0.59959999999995195</v>
      </c>
      <c r="AD397">
        <v>-0.1832695</v>
      </c>
      <c r="AE397">
        <v>-0.12990000000002</v>
      </c>
      <c r="AF397">
        <v>0.115399056608364</v>
      </c>
      <c r="AG397">
        <v>-0.1832695</v>
      </c>
      <c r="AH397">
        <v>0.55129972248250503</v>
      </c>
      <c r="AI397">
        <v>108.023838999772</v>
      </c>
      <c r="AJ397">
        <v>78.177442057445404</v>
      </c>
      <c r="AK397">
        <v>0.59231413616900697</v>
      </c>
      <c r="AL397">
        <v>82.811315625128103</v>
      </c>
      <c r="AM397">
        <v>87.889531590828497</v>
      </c>
      <c r="AN397">
        <v>1.0000000518446199</v>
      </c>
    </row>
    <row r="398" spans="1:40" x14ac:dyDescent="0.25">
      <c r="A398" t="str">
        <f>"20190303170234980"</f>
        <v>20190303170234980</v>
      </c>
      <c r="B398" t="str">
        <f>"1551603754966572"</f>
        <v>1551603754966572</v>
      </c>
      <c r="C398" t="s">
        <v>40</v>
      </c>
      <c r="D398">
        <v>4.3232359999999996</v>
      </c>
      <c r="E398">
        <v>0.55213279999999998</v>
      </c>
      <c r="F398" t="s">
        <v>43</v>
      </c>
      <c r="G398">
        <v>-404.79829999999998</v>
      </c>
      <c r="H398">
        <v>0.87705480000000002</v>
      </c>
      <c r="I398">
        <v>367.69060000000002</v>
      </c>
      <c r="J398">
        <v>-405.42189999999999</v>
      </c>
      <c r="K398">
        <v>1.0714900000000001</v>
      </c>
      <c r="L398">
        <v>367.82889999999998</v>
      </c>
      <c r="M398">
        <v>0.99986330000000001</v>
      </c>
      <c r="N398">
        <v>-1.4945160000000001E-2</v>
      </c>
      <c r="O398">
        <v>-7.0719700000000003E-3</v>
      </c>
      <c r="P398">
        <v>0.99289910000000003</v>
      </c>
      <c r="Q398">
        <v>0.1106478</v>
      </c>
      <c r="R398">
        <v>-4.368607E-2</v>
      </c>
      <c r="S398">
        <v>3.077728</v>
      </c>
      <c r="T398">
        <v>-0.70702169999999998</v>
      </c>
      <c r="U398">
        <v>-0.50738530000000004</v>
      </c>
      <c r="V398">
        <v>3.6690100000000003E-2</v>
      </c>
      <c r="W398">
        <v>0.12547079999999999</v>
      </c>
      <c r="X398">
        <v>0.99141869999999999</v>
      </c>
      <c r="Y398">
        <v>0.15172579999999999</v>
      </c>
      <c r="Z398">
        <v>-1.675958E-2</v>
      </c>
      <c r="AA398">
        <v>0.98828050000000001</v>
      </c>
      <c r="AB398">
        <v>28</v>
      </c>
      <c r="AC398">
        <v>0.62360000000001004</v>
      </c>
      <c r="AD398">
        <v>-0.1944352</v>
      </c>
      <c r="AE398">
        <v>-0.13829999999995801</v>
      </c>
      <c r="AF398">
        <v>0.122532301724847</v>
      </c>
      <c r="AG398">
        <v>-0.1944352</v>
      </c>
      <c r="AH398">
        <v>0.57159902554564501</v>
      </c>
      <c r="AI398">
        <v>108.39732228146001</v>
      </c>
      <c r="AJ398">
        <v>77.900758184359404</v>
      </c>
      <c r="AK398">
        <v>0.61607195843485696</v>
      </c>
      <c r="AL398">
        <v>82.792055757048303</v>
      </c>
      <c r="AM398">
        <v>87.880583681349506</v>
      </c>
      <c r="AN398">
        <v>1.0000000619001601</v>
      </c>
    </row>
    <row r="399" spans="1:40" x14ac:dyDescent="0.25">
      <c r="A399" t="str">
        <f>"20190303170235003"</f>
        <v>20190303170235003</v>
      </c>
      <c r="B399" t="str">
        <f>"1551603754995852"</f>
        <v>1551603754995852</v>
      </c>
      <c r="C399" t="s">
        <v>40</v>
      </c>
      <c r="D399">
        <v>4.3491929999999996</v>
      </c>
      <c r="E399">
        <v>0.55222019999999905</v>
      </c>
      <c r="F399" t="s">
        <v>43</v>
      </c>
      <c r="G399">
        <v>-404.54910000000001</v>
      </c>
      <c r="H399">
        <v>0.87114570000000002</v>
      </c>
      <c r="I399">
        <v>367.68450000000001</v>
      </c>
      <c r="J399">
        <v>-405.11540000000002</v>
      </c>
      <c r="K399">
        <v>1.071526</v>
      </c>
      <c r="L399">
        <v>367.82670000000002</v>
      </c>
      <c r="M399">
        <v>0.99986229999999998</v>
      </c>
      <c r="N399">
        <v>-1.4983450000000001E-2</v>
      </c>
      <c r="O399">
        <v>-7.1323519999999998E-3</v>
      </c>
      <c r="P399">
        <v>0.99280550000000001</v>
      </c>
      <c r="Q399">
        <v>0.1116031</v>
      </c>
      <c r="R399">
        <v>-4.3383199999999997E-2</v>
      </c>
      <c r="S399">
        <v>3.07782</v>
      </c>
      <c r="T399">
        <v>-0.70654340000000004</v>
      </c>
      <c r="U399">
        <v>-0.5083008</v>
      </c>
      <c r="V399">
        <v>3.6320230000000002E-2</v>
      </c>
      <c r="W399">
        <v>0.12646459999999901</v>
      </c>
      <c r="X399">
        <v>0.99130600000000002</v>
      </c>
      <c r="Y399">
        <v>0.15194769999999999</v>
      </c>
      <c r="Z399">
        <v>-1.6765769999999999E-2</v>
      </c>
      <c r="AA399">
        <v>0.98824630000000002</v>
      </c>
      <c r="AB399">
        <v>28</v>
      </c>
      <c r="AC399">
        <v>0.56630000000001202</v>
      </c>
      <c r="AD399">
        <v>-0.20038030000000001</v>
      </c>
      <c r="AE399">
        <v>-0.14220000000000199</v>
      </c>
      <c r="AF399">
        <v>0.123599633585514</v>
      </c>
      <c r="AG399">
        <v>-0.20038030000000001</v>
      </c>
      <c r="AH399">
        <v>0.50752495425578403</v>
      </c>
      <c r="AI399">
        <v>110.98715423839801</v>
      </c>
      <c r="AJ399">
        <v>76.312959921890496</v>
      </c>
      <c r="AK399">
        <v>0.55947360370521404</v>
      </c>
      <c r="AL399">
        <v>82.734657694841601</v>
      </c>
      <c r="AM399">
        <v>87.901691845467198</v>
      </c>
      <c r="AN399">
        <v>1.0000000198982</v>
      </c>
    </row>
    <row r="400" spans="1:40" x14ac:dyDescent="0.25">
      <c r="A400" t="str">
        <f>"20190303170235026"</f>
        <v>20190303170235026</v>
      </c>
      <c r="B400" t="str">
        <f>"1551603755016347"</f>
        <v>1551603755016347</v>
      </c>
      <c r="C400" t="s">
        <v>40</v>
      </c>
      <c r="D400">
        <v>4.3314370000000002</v>
      </c>
      <c r="E400">
        <v>0.55230579999999996</v>
      </c>
      <c r="F400" t="s">
        <v>43</v>
      </c>
      <c r="G400">
        <v>-404.29270000000002</v>
      </c>
      <c r="H400">
        <v>0.883584499999999</v>
      </c>
      <c r="I400">
        <v>367.6902</v>
      </c>
      <c r="J400">
        <v>-404.83440000000002</v>
      </c>
      <c r="K400">
        <v>1.0715509999999999</v>
      </c>
      <c r="L400">
        <v>367.82459999999998</v>
      </c>
      <c r="M400">
        <v>0.99986169999999996</v>
      </c>
      <c r="N400">
        <v>-1.501276E-2</v>
      </c>
      <c r="O400">
        <v>-7.1620140000000004E-3</v>
      </c>
      <c r="P400">
        <v>0.99284930000000005</v>
      </c>
      <c r="Q400">
        <v>0.111452</v>
      </c>
      <c r="R400">
        <v>-4.2764179999999999E-2</v>
      </c>
      <c r="S400">
        <v>3.0785520000000002</v>
      </c>
      <c r="T400">
        <v>-0.70338269999999903</v>
      </c>
      <c r="U400">
        <v>-0.50906370000000001</v>
      </c>
      <c r="V400">
        <v>3.5665519999999999E-2</v>
      </c>
      <c r="W400">
        <v>0.1263454</v>
      </c>
      <c r="X400">
        <v>0.99134489999999997</v>
      </c>
      <c r="Y400">
        <v>0.15214929999999999</v>
      </c>
      <c r="Z400">
        <v>-1.6714610000000001E-2</v>
      </c>
      <c r="AA400">
        <v>0.98821619999999999</v>
      </c>
      <c r="AB400">
        <v>28</v>
      </c>
      <c r="AC400">
        <v>0.54169999999999097</v>
      </c>
      <c r="AD400">
        <v>-0.18796650000000001</v>
      </c>
      <c r="AE400">
        <v>-0.13439999999997099</v>
      </c>
      <c r="AF400">
        <v>0.11722094409242</v>
      </c>
      <c r="AG400">
        <v>-0.18796650000000001</v>
      </c>
      <c r="AH400">
        <v>0.487369998632112</v>
      </c>
      <c r="AI400">
        <v>110.55511868331</v>
      </c>
      <c r="AJ400">
        <v>76.476242034040396</v>
      </c>
      <c r="AK400">
        <v>0.53535191269186</v>
      </c>
      <c r="AL400">
        <v>82.741542067762396</v>
      </c>
      <c r="AM400">
        <v>87.939563918092801</v>
      </c>
      <c r="AN400">
        <v>0.99999995008701803</v>
      </c>
    </row>
    <row r="401" spans="1:40" x14ac:dyDescent="0.25">
      <c r="A401" t="str">
        <f>"20190303170235047"</f>
        <v>20190303170235047</v>
      </c>
      <c r="B401" t="str">
        <f>"1551603755035868"</f>
        <v>1551603755035868</v>
      </c>
      <c r="C401" t="s">
        <v>40</v>
      </c>
      <c r="D401">
        <v>4.3515410000000001</v>
      </c>
      <c r="E401">
        <v>0.55230219999999997</v>
      </c>
      <c r="F401" t="s">
        <v>43</v>
      </c>
      <c r="G401">
        <v>-404.0394</v>
      </c>
      <c r="H401">
        <v>0.88973769999999996</v>
      </c>
      <c r="I401">
        <v>367.69310000000002</v>
      </c>
      <c r="J401">
        <v>-404.57119999999998</v>
      </c>
      <c r="K401">
        <v>1.071564</v>
      </c>
      <c r="L401">
        <v>367.82279999999997</v>
      </c>
      <c r="M401">
        <v>0.99986129999999995</v>
      </c>
      <c r="N401">
        <v>-1.5035659999999999E-2</v>
      </c>
      <c r="O401">
        <v>-7.1730259999999999E-3</v>
      </c>
      <c r="P401">
        <v>0.99292060000000004</v>
      </c>
      <c r="Q401">
        <v>0.1111043</v>
      </c>
      <c r="R401">
        <v>-4.2007490000000001E-2</v>
      </c>
      <c r="S401">
        <v>3.0787960000000001</v>
      </c>
      <c r="T401">
        <v>-0.70408839999999995</v>
      </c>
      <c r="U401">
        <v>-0.50808719999999996</v>
      </c>
      <c r="V401">
        <v>3.4893199999999999E-2</v>
      </c>
      <c r="W401">
        <v>0.1260223</v>
      </c>
      <c r="X401">
        <v>0.99141349999999995</v>
      </c>
      <c r="Y401">
        <v>0.15182209999999999</v>
      </c>
      <c r="Z401">
        <v>-1.6689349999999999E-2</v>
      </c>
      <c r="AA401">
        <v>0.98826689999999995</v>
      </c>
      <c r="AB401">
        <v>28</v>
      </c>
      <c r="AC401">
        <v>0.53179999999997496</v>
      </c>
      <c r="AD401">
        <v>-0.181826299999999</v>
      </c>
      <c r="AE401">
        <v>-0.12969999999995699</v>
      </c>
      <c r="AF401">
        <v>0.113372386514256</v>
      </c>
      <c r="AG401">
        <v>-0.181826299999999</v>
      </c>
      <c r="AH401">
        <v>0.47977911654856398</v>
      </c>
      <c r="AI401">
        <v>110.245077212872</v>
      </c>
      <c r="AJ401">
        <v>76.704817147320696</v>
      </c>
      <c r="AK401">
        <v>0.52545418646324304</v>
      </c>
      <c r="AL401">
        <v>82.760203437599799</v>
      </c>
      <c r="AM401">
        <v>87.984283840882597</v>
      </c>
      <c r="AN401">
        <v>0.99999994174288798</v>
      </c>
    </row>
    <row r="402" spans="1:40" x14ac:dyDescent="0.25">
      <c r="A402" t="str">
        <f>"20190303170235061"</f>
        <v>20190303170235061</v>
      </c>
      <c r="B402" t="str">
        <f>"1551603755046605"</f>
        <v>1551603755046605</v>
      </c>
      <c r="C402" t="s">
        <v>40</v>
      </c>
      <c r="D402">
        <v>4.3647859999999996</v>
      </c>
      <c r="E402">
        <v>0.55227599999999999</v>
      </c>
      <c r="F402" t="s">
        <v>43</v>
      </c>
      <c r="G402">
        <v>-403.78820000000002</v>
      </c>
      <c r="H402">
        <v>0.89213569999999998</v>
      </c>
      <c r="I402">
        <v>367.69389999999999</v>
      </c>
      <c r="J402">
        <v>-404.40159999999997</v>
      </c>
      <c r="K402">
        <v>1.071572</v>
      </c>
      <c r="L402">
        <v>367.82150000000001</v>
      </c>
      <c r="M402">
        <v>0.99986109999999995</v>
      </c>
      <c r="N402">
        <v>-1.504846E-2</v>
      </c>
      <c r="O402">
        <v>-7.1744369999999997E-3</v>
      </c>
      <c r="P402">
        <v>0.99295080000000002</v>
      </c>
      <c r="Q402">
        <v>0.1109832</v>
      </c>
      <c r="R402">
        <v>-4.1614699999999998E-2</v>
      </c>
      <c r="S402">
        <v>3.0789789999999999</v>
      </c>
      <c r="T402">
        <v>-0.70574689999999995</v>
      </c>
      <c r="U402">
        <v>-0.50543209999999905</v>
      </c>
      <c r="V402">
        <v>3.449696E-2</v>
      </c>
      <c r="W402">
        <v>0.125915</v>
      </c>
      <c r="X402">
        <v>0.99144109999999996</v>
      </c>
      <c r="Y402">
        <v>0.15098599999999901</v>
      </c>
      <c r="Z402">
        <v>-1.6625290000000001E-2</v>
      </c>
      <c r="AA402">
        <v>0.9883961</v>
      </c>
      <c r="AB402">
        <v>28</v>
      </c>
      <c r="AC402">
        <v>0.61339999999995598</v>
      </c>
      <c r="AD402">
        <v>-0.17943629999999999</v>
      </c>
      <c r="AE402">
        <v>-0.127600000000029</v>
      </c>
      <c r="AF402">
        <v>0.113856569157207</v>
      </c>
      <c r="AG402">
        <v>-0.17943629999999999</v>
      </c>
      <c r="AH402">
        <v>0.56773267860097398</v>
      </c>
      <c r="AI402">
        <v>107.217556054063</v>
      </c>
      <c r="AJ402">
        <v>78.659985416384899</v>
      </c>
      <c r="AK402">
        <v>0.60620219271244602</v>
      </c>
      <c r="AL402">
        <v>82.766401363357801</v>
      </c>
      <c r="AM402">
        <v>88.007210768982802</v>
      </c>
      <c r="AN402">
        <v>1.00000004112172</v>
      </c>
    </row>
    <row r="403" spans="1:40" x14ac:dyDescent="0.25">
      <c r="A403" t="str">
        <f>"20190303170235074"</f>
        <v>20190303170235074</v>
      </c>
      <c r="B403" t="str">
        <f>"1551603755066863"</f>
        <v>1551603755066863</v>
      </c>
      <c r="C403" t="s">
        <v>40</v>
      </c>
      <c r="D403">
        <v>4.3757479999999997</v>
      </c>
      <c r="E403">
        <v>0.55225469999999999</v>
      </c>
      <c r="F403" t="s">
        <v>43</v>
      </c>
      <c r="G403">
        <v>-403.5462</v>
      </c>
      <c r="H403">
        <v>0.87541159999999996</v>
      </c>
      <c r="I403">
        <v>367.68110000000001</v>
      </c>
      <c r="J403">
        <v>-404.22460000000001</v>
      </c>
      <c r="K403">
        <v>1.07158</v>
      </c>
      <c r="L403">
        <v>367.8202</v>
      </c>
      <c r="M403">
        <v>0.99986090000000005</v>
      </c>
      <c r="N403">
        <v>-1.5060479999999999E-2</v>
      </c>
      <c r="O403">
        <v>-7.1725299999999999E-3</v>
      </c>
      <c r="P403">
        <v>0.99293089999999995</v>
      </c>
      <c r="Q403">
        <v>0.11121830000000001</v>
      </c>
      <c r="R403">
        <v>-4.1456590000000001E-2</v>
      </c>
      <c r="S403">
        <v>3.0791019999999998</v>
      </c>
      <c r="T403">
        <v>-0.70616509999999999</v>
      </c>
      <c r="U403">
        <v>-0.50396730000000001</v>
      </c>
      <c r="V403">
        <v>3.4339499999999898E-2</v>
      </c>
      <c r="W403">
        <v>0.12616189999999999</v>
      </c>
      <c r="X403">
        <v>0.99141509999999999</v>
      </c>
      <c r="Y403">
        <v>0.15053129999999901</v>
      </c>
      <c r="Z403">
        <v>-1.6580890000000001E-2</v>
      </c>
      <c r="AA403">
        <v>0.98846619999999996</v>
      </c>
      <c r="AB403">
        <v>28</v>
      </c>
      <c r="AC403">
        <v>0.67840000000001</v>
      </c>
      <c r="AD403">
        <v>-0.19616839999999999</v>
      </c>
      <c r="AE403">
        <v>-0.13909999999998399</v>
      </c>
      <c r="AF403">
        <v>0.12425922792325</v>
      </c>
      <c r="AG403">
        <v>-0.19616839999999999</v>
      </c>
      <c r="AH403">
        <v>0.62891501864010602</v>
      </c>
      <c r="AI403">
        <v>107.014118406644</v>
      </c>
      <c r="AJ403">
        <v>78.823610183493102</v>
      </c>
      <c r="AK403">
        <v>0.67041516805165402</v>
      </c>
      <c r="AL403">
        <v>82.752140750759196</v>
      </c>
      <c r="AM403">
        <v>88.016247511040604</v>
      </c>
      <c r="AN403">
        <v>0.99999996338993402</v>
      </c>
    </row>
    <row r="404" spans="1:40" x14ac:dyDescent="0.25">
      <c r="A404" t="str">
        <f>"20190303170235092"</f>
        <v>20190303170235092</v>
      </c>
      <c r="B404" t="str">
        <f>"1551603755076624"</f>
        <v>1551603755076624</v>
      </c>
      <c r="C404" t="s">
        <v>40</v>
      </c>
      <c r="D404">
        <v>4.3700260000000002</v>
      </c>
      <c r="E404">
        <v>0.55226129999999996</v>
      </c>
      <c r="F404" t="s">
        <v>43</v>
      </c>
      <c r="G404">
        <v>-403.52929999999998</v>
      </c>
      <c r="H404">
        <v>0.91224209999999994</v>
      </c>
      <c r="I404">
        <v>367.70609999999999</v>
      </c>
      <c r="J404">
        <v>-404.01609999999999</v>
      </c>
      <c r="K404">
        <v>1.071591</v>
      </c>
      <c r="L404">
        <v>367.81880000000001</v>
      </c>
      <c r="M404">
        <v>0.99986090000000005</v>
      </c>
      <c r="N404">
        <v>-1.507235E-2</v>
      </c>
      <c r="O404">
        <v>-7.1651450000000004E-3</v>
      </c>
      <c r="P404">
        <v>0.9929249</v>
      </c>
      <c r="Q404">
        <v>0.1112856</v>
      </c>
      <c r="R404">
        <v>-4.1424160000000002E-2</v>
      </c>
      <c r="S404">
        <v>3.0793759999999999</v>
      </c>
      <c r="T404">
        <v>-0.70572139999999906</v>
      </c>
      <c r="U404">
        <v>-0.50381469999999995</v>
      </c>
      <c r="V404">
        <v>3.4313099999999999E-2</v>
      </c>
      <c r="W404">
        <v>0.1262414</v>
      </c>
      <c r="X404">
        <v>0.99140600000000001</v>
      </c>
      <c r="Y404">
        <v>0.15048300000000001</v>
      </c>
      <c r="Z404">
        <v>-1.656697E-2</v>
      </c>
      <c r="AA404">
        <v>0.98847379999999996</v>
      </c>
      <c r="AB404">
        <v>28</v>
      </c>
      <c r="AC404">
        <v>0.486800000000016</v>
      </c>
      <c r="AD404">
        <v>-0.15934889999999899</v>
      </c>
      <c r="AE404">
        <v>-0.11270000000001799</v>
      </c>
      <c r="AF404">
        <v>9.9127430399122099E-2</v>
      </c>
      <c r="AG404">
        <v>-0.15934889999999899</v>
      </c>
      <c r="AH404">
        <v>0.44258416941012002</v>
      </c>
      <c r="AI404">
        <v>109.35828914618099</v>
      </c>
      <c r="AJ404">
        <v>77.375571333277094</v>
      </c>
      <c r="AK404">
        <v>0.48072764264309598</v>
      </c>
      <c r="AL404">
        <v>82.747549788921305</v>
      </c>
      <c r="AM404">
        <v>88.017753210717203</v>
      </c>
      <c r="AN404">
        <v>1.0000000683707799</v>
      </c>
    </row>
    <row r="405" spans="1:40" x14ac:dyDescent="0.25">
      <c r="A405" t="str">
        <f>"20190303170235103"</f>
        <v>20190303170235103</v>
      </c>
      <c r="B405" t="str">
        <f>"1551603755096143"</f>
        <v>1551603755096143</v>
      </c>
      <c r="C405" t="s">
        <v>40</v>
      </c>
      <c r="D405">
        <v>4.4144860000000001</v>
      </c>
      <c r="E405">
        <v>0.5522473</v>
      </c>
      <c r="F405" t="s">
        <v>43</v>
      </c>
      <c r="G405">
        <v>-403.28399999999999</v>
      </c>
      <c r="H405">
        <v>0.90387070000000003</v>
      </c>
      <c r="I405">
        <v>367.6986</v>
      </c>
      <c r="J405">
        <v>-403.85390000000001</v>
      </c>
      <c r="K405">
        <v>1.0716030000000001</v>
      </c>
      <c r="L405">
        <v>367.81760000000003</v>
      </c>
      <c r="M405">
        <v>0.99986079999999999</v>
      </c>
      <c r="N405">
        <v>-1.508045E-2</v>
      </c>
      <c r="O405">
        <v>-7.1554840000000001E-3</v>
      </c>
      <c r="P405">
        <v>0.99291879999999999</v>
      </c>
      <c r="Q405">
        <v>0.111343899999999</v>
      </c>
      <c r="R405">
        <v>-4.1416059999999998E-2</v>
      </c>
      <c r="S405">
        <v>3.0793759999999999</v>
      </c>
      <c r="T405">
        <v>-0.70554150000000004</v>
      </c>
      <c r="U405">
        <v>-0.50378420000000002</v>
      </c>
      <c r="V405">
        <v>3.4313320000000001E-2</v>
      </c>
      <c r="W405">
        <v>0.12630810000000001</v>
      </c>
      <c r="X405">
        <v>0.99139739999999998</v>
      </c>
      <c r="Y405">
        <v>0.15048449999999999</v>
      </c>
      <c r="Z405">
        <v>-1.6566060000000001E-2</v>
      </c>
      <c r="AA405">
        <v>0.9884735</v>
      </c>
      <c r="AB405">
        <v>28</v>
      </c>
      <c r="AC405">
        <v>0.56990000000001795</v>
      </c>
      <c r="AD405">
        <v>-0.1677323</v>
      </c>
      <c r="AE405">
        <v>-0.119000000000028</v>
      </c>
      <c r="AF405">
        <v>0.106110897983583</v>
      </c>
      <c r="AG405">
        <v>-0.1677323</v>
      </c>
      <c r="AH405">
        <v>0.52699412625506603</v>
      </c>
      <c r="AI405">
        <v>107.32891442377399</v>
      </c>
      <c r="AJ405">
        <v>78.6156466470255</v>
      </c>
      <c r="AK405">
        <v>0.563130940582661</v>
      </c>
      <c r="AL405">
        <v>82.743696622674705</v>
      </c>
      <c r="AM405">
        <v>88.017723329952702</v>
      </c>
      <c r="AN405">
        <v>0.999999972390895</v>
      </c>
    </row>
    <row r="406" spans="1:40" x14ac:dyDescent="0.25">
      <c r="A406" t="str">
        <f>"20190303170235118"</f>
        <v>20190303170235118</v>
      </c>
      <c r="B406" t="str">
        <f>"1551603755105903"</f>
        <v>1551603755105903</v>
      </c>
      <c r="C406" t="s">
        <v>40</v>
      </c>
      <c r="D406">
        <v>4.3760940000000002</v>
      </c>
      <c r="E406">
        <v>0.55223750000000005</v>
      </c>
      <c r="F406" t="s">
        <v>43</v>
      </c>
      <c r="G406">
        <v>-403.04360000000003</v>
      </c>
      <c r="H406">
        <v>0.88590309999999906</v>
      </c>
      <c r="I406">
        <v>367.68470000000002</v>
      </c>
      <c r="J406">
        <v>-403.68639999999999</v>
      </c>
      <c r="K406">
        <v>1.071612</v>
      </c>
      <c r="L406">
        <v>367.81639999999999</v>
      </c>
      <c r="M406">
        <v>0.99986059999999999</v>
      </c>
      <c r="N406">
        <v>-1.508804E-2</v>
      </c>
      <c r="O406">
        <v>-7.1429509999999998E-3</v>
      </c>
      <c r="P406">
        <v>0.99288419999999999</v>
      </c>
      <c r="Q406">
        <v>0.11155329999999999</v>
      </c>
      <c r="R406">
        <v>-4.1671850000000003E-2</v>
      </c>
      <c r="S406">
        <v>3.0795590000000002</v>
      </c>
      <c r="T406">
        <v>-0.70589290000000005</v>
      </c>
      <c r="U406">
        <v>-0.50357059999999998</v>
      </c>
      <c r="V406">
        <v>3.4580769999999997E-2</v>
      </c>
      <c r="W406">
        <v>0.12652469999999999</v>
      </c>
      <c r="X406">
        <v>0.99136049999999998</v>
      </c>
      <c r="Y406">
        <v>0.15041879999999999</v>
      </c>
      <c r="Z406">
        <v>-1.6568079999999999E-2</v>
      </c>
      <c r="AA406">
        <v>0.98848349999999996</v>
      </c>
      <c r="AB406">
        <v>28</v>
      </c>
      <c r="AC406">
        <v>0.64279999999996495</v>
      </c>
      <c r="AD406">
        <v>-0.18570890000000001</v>
      </c>
      <c r="AE406">
        <v>-0.13169999999996601</v>
      </c>
      <c r="AF406">
        <v>0.117678117398358</v>
      </c>
      <c r="AG406">
        <v>-0.18570890000000001</v>
      </c>
      <c r="AH406">
        <v>0.59598364499207301</v>
      </c>
      <c r="AI406">
        <v>106.99831212407</v>
      </c>
      <c r="AJ406">
        <v>78.830514910843803</v>
      </c>
      <c r="AK406">
        <v>0.63524203257629996</v>
      </c>
      <c r="AL406">
        <v>82.731186080272494</v>
      </c>
      <c r="AM406">
        <v>88.002210946069894</v>
      </c>
      <c r="AN406">
        <v>0.99999998516206601</v>
      </c>
    </row>
    <row r="407" spans="1:40" x14ac:dyDescent="0.25">
      <c r="A407" t="str">
        <f>"20190303170235135"</f>
        <v>20190303170235135</v>
      </c>
      <c r="B407" t="str">
        <f>"1551603755126399"</f>
        <v>1551603755126399</v>
      </c>
      <c r="C407" t="s">
        <v>40</v>
      </c>
      <c r="D407">
        <v>4.42</v>
      </c>
      <c r="E407">
        <v>0.55219910000000005</v>
      </c>
      <c r="F407" t="s">
        <v>43</v>
      </c>
      <c r="G407">
        <v>-402.80259999999998</v>
      </c>
      <c r="H407">
        <v>0.86915830000000005</v>
      </c>
      <c r="I407">
        <v>367.67149999999998</v>
      </c>
      <c r="J407">
        <v>-403.46859999999998</v>
      </c>
      <c r="K407">
        <v>1.0716289999999999</v>
      </c>
      <c r="L407">
        <v>367.81490000000002</v>
      </c>
      <c r="M407">
        <v>0.99986079999999999</v>
      </c>
      <c r="N407">
        <v>-1.509629E-2</v>
      </c>
      <c r="O407">
        <v>-7.1227510000000001E-3</v>
      </c>
      <c r="P407">
        <v>0.99284280000000003</v>
      </c>
      <c r="Q407">
        <v>0.1117991</v>
      </c>
      <c r="R407">
        <v>-4.2002030000000003E-2</v>
      </c>
      <c r="S407">
        <v>3.0796199999999998</v>
      </c>
      <c r="T407">
        <v>-0.70541299999999996</v>
      </c>
      <c r="U407">
        <v>-0.50430299999999995</v>
      </c>
      <c r="V407">
        <v>3.492928E-2</v>
      </c>
      <c r="W407">
        <v>0.12677869999999999</v>
      </c>
      <c r="X407">
        <v>0.99131579999999997</v>
      </c>
      <c r="Y407">
        <v>0.15066280000000001</v>
      </c>
      <c r="Z407">
        <v>-1.6591580000000002E-2</v>
      </c>
      <c r="AA407">
        <v>0.98844600000000005</v>
      </c>
      <c r="AB407">
        <v>28</v>
      </c>
      <c r="AC407">
        <v>0.66599999999999604</v>
      </c>
      <c r="AD407">
        <v>-0.2024707</v>
      </c>
      <c r="AE407">
        <v>-0.14340000000004199</v>
      </c>
      <c r="AF407">
        <v>0.12739924946470599</v>
      </c>
      <c r="AG407">
        <v>-0.2024707</v>
      </c>
      <c r="AH407">
        <v>0.61287140141144403</v>
      </c>
      <c r="AI407">
        <v>107.92378457007599</v>
      </c>
      <c r="AJ407">
        <v>78.257006408849705</v>
      </c>
      <c r="AK407">
        <v>0.657902962290556</v>
      </c>
      <c r="AL407">
        <v>82.716514582308506</v>
      </c>
      <c r="AM407">
        <v>87.982002585988596</v>
      </c>
      <c r="AN407">
        <v>0.99999995435232303</v>
      </c>
    </row>
    <row r="408" spans="1:40" x14ac:dyDescent="0.25">
      <c r="A408" t="str">
        <f>"20190303170235157"</f>
        <v>20190303170235157</v>
      </c>
      <c r="B408" t="str">
        <f>"1551603755145920"</f>
        <v>1551603755145920</v>
      </c>
      <c r="C408" t="s">
        <v>40</v>
      </c>
      <c r="D408">
        <v>4.4322470000000003</v>
      </c>
      <c r="E408">
        <v>0.55218919999999905</v>
      </c>
      <c r="F408" t="s">
        <v>43</v>
      </c>
      <c r="G408">
        <v>-402.5573</v>
      </c>
      <c r="H408">
        <v>0.86298259999999904</v>
      </c>
      <c r="I408">
        <v>367.6651</v>
      </c>
      <c r="J408">
        <v>-403.19920000000002</v>
      </c>
      <c r="K408">
        <v>1.0716460000000001</v>
      </c>
      <c r="L408">
        <v>367.81299999999999</v>
      </c>
      <c r="M408">
        <v>0.99986090000000005</v>
      </c>
      <c r="N408">
        <v>-1.5104319999999999E-2</v>
      </c>
      <c r="O408">
        <v>-7.0916729999999997E-3</v>
      </c>
      <c r="P408">
        <v>0.99276690000000001</v>
      </c>
      <c r="Q408">
        <v>0.112439</v>
      </c>
      <c r="R408">
        <v>-4.209069E-2</v>
      </c>
      <c r="S408">
        <v>3.0796510000000001</v>
      </c>
      <c r="T408">
        <v>-0.70524989999999999</v>
      </c>
      <c r="U408">
        <v>-0.50466920000000004</v>
      </c>
      <c r="V408">
        <v>3.5046889999999997E-2</v>
      </c>
      <c r="W408">
        <v>0.1274257</v>
      </c>
      <c r="X408">
        <v>0.99122880000000002</v>
      </c>
      <c r="Y408">
        <v>0.15080360000000001</v>
      </c>
      <c r="Z408">
        <v>-1.6611939999999999E-2</v>
      </c>
      <c r="AA408">
        <v>0.98842419999999998</v>
      </c>
      <c r="AB408">
        <v>28</v>
      </c>
      <c r="AC408">
        <v>0.64190000000002101</v>
      </c>
      <c r="AD408">
        <v>-0.208663399999999</v>
      </c>
      <c r="AE408">
        <v>-0.14790000000004899</v>
      </c>
      <c r="AF408">
        <v>0.130271598769889</v>
      </c>
      <c r="AG408">
        <v>-0.208663399999999</v>
      </c>
      <c r="AH408">
        <v>0.584301486049569</v>
      </c>
      <c r="AI408">
        <v>109.21640908071799</v>
      </c>
      <c r="AJ408">
        <v>77.431314286756503</v>
      </c>
      <c r="AK408">
        <v>0.63397108021214799</v>
      </c>
      <c r="AL408">
        <v>82.679141902783002</v>
      </c>
      <c r="AM408">
        <v>87.975035887765898</v>
      </c>
      <c r="AN408">
        <v>1.0000000637342901</v>
      </c>
    </row>
    <row r="409" spans="1:40" x14ac:dyDescent="0.25">
      <c r="A409" t="str">
        <f>"20190303170235168"</f>
        <v>20190303170235168</v>
      </c>
      <c r="B409" t="str">
        <f>"1551603755156750"</f>
        <v>1551603755156750</v>
      </c>
      <c r="C409" t="s">
        <v>40</v>
      </c>
      <c r="D409">
        <v>4.4274950000000004</v>
      </c>
      <c r="E409">
        <v>0.55217329999999998</v>
      </c>
      <c r="F409" t="s">
        <v>43</v>
      </c>
      <c r="G409">
        <v>-402.30790000000002</v>
      </c>
      <c r="H409">
        <v>0.86797199999999997</v>
      </c>
      <c r="I409">
        <v>367.66629999999998</v>
      </c>
      <c r="J409">
        <v>-403.0532</v>
      </c>
      <c r="K409">
        <v>1.071652</v>
      </c>
      <c r="L409">
        <v>367.81200000000001</v>
      </c>
      <c r="M409">
        <v>0.99986090000000005</v>
      </c>
      <c r="N409">
        <v>-1.5107819999999999E-2</v>
      </c>
      <c r="O409">
        <v>-7.072559E-3</v>
      </c>
      <c r="P409">
        <v>0.99269649999999998</v>
      </c>
      <c r="Q409">
        <v>0.11308319999999999</v>
      </c>
      <c r="R409">
        <v>-4.202326E-2</v>
      </c>
      <c r="S409">
        <v>3.0802</v>
      </c>
      <c r="T409">
        <v>-0.70399250000000002</v>
      </c>
      <c r="U409">
        <v>-0.50555419999999995</v>
      </c>
      <c r="V409">
        <v>3.4997720000000003E-2</v>
      </c>
      <c r="W409">
        <v>0.1280732</v>
      </c>
      <c r="X409">
        <v>0.991147</v>
      </c>
      <c r="Y409">
        <v>0.15107779999999901</v>
      </c>
      <c r="Z409">
        <v>-1.6619390000000001E-2</v>
      </c>
      <c r="AA409">
        <v>0.98838219999999999</v>
      </c>
      <c r="AB409">
        <v>28</v>
      </c>
      <c r="AC409">
        <v>0.74529999999998597</v>
      </c>
      <c r="AD409">
        <v>-0.20368</v>
      </c>
      <c r="AE409">
        <v>-0.14569999999997599</v>
      </c>
      <c r="AF409">
        <v>0.13100089303190801</v>
      </c>
      <c r="AG409">
        <v>-0.20368</v>
      </c>
      <c r="AH409">
        <v>0.69622807064451298</v>
      </c>
      <c r="AI409">
        <v>106.040090672292</v>
      </c>
      <c r="AJ409">
        <v>79.343927913404698</v>
      </c>
      <c r="AK409">
        <v>0.73714333933675202</v>
      </c>
      <c r="AL409">
        <v>82.641735786832101</v>
      </c>
      <c r="AM409">
        <v>87.977707758032693</v>
      </c>
      <c r="AN409">
        <v>0.99999998028621895</v>
      </c>
    </row>
    <row r="410" spans="1:40" x14ac:dyDescent="0.25">
      <c r="A410" t="str">
        <f>"20190303170235182"</f>
        <v>20190303170235182</v>
      </c>
      <c r="B410" t="str">
        <f>"1551603755176200"</f>
        <v>1551603755176200</v>
      </c>
      <c r="C410" t="s">
        <v>40</v>
      </c>
      <c r="D410">
        <v>4.478491</v>
      </c>
      <c r="E410">
        <v>0.552118</v>
      </c>
      <c r="F410" t="s">
        <v>43</v>
      </c>
      <c r="G410">
        <v>-402.2944</v>
      </c>
      <c r="H410">
        <v>0.89872090000000004</v>
      </c>
      <c r="I410">
        <v>367.68700000000001</v>
      </c>
      <c r="J410">
        <v>-402.89620000000002</v>
      </c>
      <c r="K410">
        <v>1.071658</v>
      </c>
      <c r="L410">
        <v>367.8109</v>
      </c>
      <c r="M410">
        <v>0.99986109999999995</v>
      </c>
      <c r="N410">
        <v>-1.5111070000000001E-2</v>
      </c>
      <c r="O410">
        <v>-7.0511810000000001E-3</v>
      </c>
      <c r="P410">
        <v>0.99270689999999995</v>
      </c>
      <c r="Q410">
        <v>0.1129999</v>
      </c>
      <c r="R410">
        <v>-4.2004649999999998E-2</v>
      </c>
      <c r="S410">
        <v>3.0806879999999999</v>
      </c>
      <c r="T410">
        <v>-0.70222180000000001</v>
      </c>
      <c r="U410">
        <v>-0.5055847</v>
      </c>
      <c r="V410">
        <v>3.4999019999999999E-2</v>
      </c>
      <c r="W410">
        <v>0.1279933</v>
      </c>
      <c r="X410">
        <v>0.99115730000000002</v>
      </c>
      <c r="Y410">
        <v>0.15110209999999999</v>
      </c>
      <c r="Z410">
        <v>-1.658695E-2</v>
      </c>
      <c r="AA410">
        <v>0.98837900000000001</v>
      </c>
      <c r="AB410">
        <v>28</v>
      </c>
      <c r="AC410">
        <v>0.60180000000002498</v>
      </c>
      <c r="AD410">
        <v>-0.17293709999999901</v>
      </c>
      <c r="AE410">
        <v>-0.123900000000048</v>
      </c>
      <c r="AF410">
        <v>0.11086977091807</v>
      </c>
      <c r="AG410">
        <v>-0.17293709999999901</v>
      </c>
      <c r="AH410">
        <v>0.55841994170254805</v>
      </c>
      <c r="AI410">
        <v>106.896733363279</v>
      </c>
      <c r="AJ410">
        <v>78.770418338586595</v>
      </c>
      <c r="AK410">
        <v>0.59500603186094903</v>
      </c>
      <c r="AL410">
        <v>82.646351890544693</v>
      </c>
      <c r="AM410">
        <v>87.977653700575203</v>
      </c>
      <c r="AN410">
        <v>1.0000000047945701</v>
      </c>
    </row>
    <row r="411" spans="1:40" x14ac:dyDescent="0.25">
      <c r="A411" t="str">
        <f>"20190303170235193"</f>
        <v>20190303170235193</v>
      </c>
      <c r="B411" t="str">
        <f>"1551603755185960"</f>
        <v>1551603755185960</v>
      </c>
      <c r="C411" t="s">
        <v>40</v>
      </c>
      <c r="D411">
        <v>4.4694370000000001</v>
      </c>
      <c r="E411">
        <v>0.55209949999999997</v>
      </c>
      <c r="F411" t="s">
        <v>43</v>
      </c>
      <c r="G411">
        <v>-402.05610000000001</v>
      </c>
      <c r="H411">
        <v>0.87999059999999996</v>
      </c>
      <c r="I411">
        <v>367.6728</v>
      </c>
      <c r="J411">
        <v>-402.74029999999999</v>
      </c>
      <c r="K411">
        <v>1.0716650000000001</v>
      </c>
      <c r="L411">
        <v>367.8098</v>
      </c>
      <c r="M411">
        <v>0.99986109999999995</v>
      </c>
      <c r="N411">
        <v>-1.511382E-2</v>
      </c>
      <c r="O411">
        <v>-7.0288529999999998E-3</v>
      </c>
      <c r="P411">
        <v>0.99269669999999999</v>
      </c>
      <c r="Q411">
        <v>0.1131379</v>
      </c>
      <c r="R411">
        <v>-4.1869669999999998E-2</v>
      </c>
      <c r="S411">
        <v>3.0806580000000001</v>
      </c>
      <c r="T411">
        <v>-0.70288319999999904</v>
      </c>
      <c r="U411">
        <v>-0.50527949999999999</v>
      </c>
      <c r="V411">
        <v>3.488542E-2</v>
      </c>
      <c r="W411">
        <v>0.12813369999999999</v>
      </c>
      <c r="X411">
        <v>0.9911432</v>
      </c>
      <c r="Y411">
        <v>0.15102479999999999</v>
      </c>
      <c r="Z411">
        <v>-1.6596949999999999E-2</v>
      </c>
      <c r="AA411">
        <v>0.98839060000000001</v>
      </c>
      <c r="AB411">
        <v>28</v>
      </c>
      <c r="AC411">
        <v>0.68419999999997505</v>
      </c>
      <c r="AD411">
        <v>-0.191674399999999</v>
      </c>
      <c r="AE411">
        <v>-0.13700000000000001</v>
      </c>
      <c r="AF411">
        <v>0.12291252490651799</v>
      </c>
      <c r="AG411">
        <v>-0.191674399999999</v>
      </c>
      <c r="AH411">
        <v>0.63707544794508997</v>
      </c>
      <c r="AI411">
        <v>106.45809746795101</v>
      </c>
      <c r="AJ411">
        <v>79.079957755732195</v>
      </c>
      <c r="AK411">
        <v>0.67654393114467604</v>
      </c>
      <c r="AL411">
        <v>82.638241038474604</v>
      </c>
      <c r="AM411">
        <v>87.984183765599198</v>
      </c>
      <c r="AN411">
        <v>1.00000004025525</v>
      </c>
    </row>
    <row r="412" spans="1:40" x14ac:dyDescent="0.25">
      <c r="A412" t="str">
        <f>"20190303170235206"</f>
        <v>20190303170235206</v>
      </c>
      <c r="B412" t="str">
        <f>"1551603755196696"</f>
        <v>1551603755196696</v>
      </c>
      <c r="C412" t="s">
        <v>40</v>
      </c>
      <c r="D412">
        <v>4.4778949999999904</v>
      </c>
      <c r="E412">
        <v>0.55208809999999997</v>
      </c>
      <c r="F412" t="s">
        <v>43</v>
      </c>
      <c r="G412">
        <v>-402.0412</v>
      </c>
      <c r="H412">
        <v>0.91223670000000001</v>
      </c>
      <c r="I412">
        <v>367.69490000000002</v>
      </c>
      <c r="J412">
        <v>-402.59160000000003</v>
      </c>
      <c r="K412">
        <v>1.0716650000000001</v>
      </c>
      <c r="L412">
        <v>367.80880000000002</v>
      </c>
      <c r="M412">
        <v>0.99986120000000001</v>
      </c>
      <c r="N412">
        <v>-1.5115669999999999E-2</v>
      </c>
      <c r="O412">
        <v>-7.0051169999999999E-3</v>
      </c>
      <c r="P412">
        <v>0.99264810000000003</v>
      </c>
      <c r="Q412">
        <v>0.1135888</v>
      </c>
      <c r="R412">
        <v>-4.180412E-2</v>
      </c>
      <c r="S412">
        <v>3.0808719999999998</v>
      </c>
      <c r="T412">
        <v>-0.70270669999999902</v>
      </c>
      <c r="U412">
        <v>-0.50518799999999997</v>
      </c>
      <c r="V412">
        <v>3.4843140000000002E-2</v>
      </c>
      <c r="W412">
        <v>0.1285858</v>
      </c>
      <c r="X412">
        <v>0.99108609999999997</v>
      </c>
      <c r="Y412">
        <v>0.1510109</v>
      </c>
      <c r="Z412">
        <v>-1.6595639999999998E-2</v>
      </c>
      <c r="AA412">
        <v>0.98839279999999996</v>
      </c>
      <c r="AB412">
        <v>28</v>
      </c>
      <c r="AC412">
        <v>0.55040000000002398</v>
      </c>
      <c r="AD412">
        <v>-0.159428299999999</v>
      </c>
      <c r="AE412">
        <v>-0.1139</v>
      </c>
      <c r="AF412">
        <v>0.101846872922463</v>
      </c>
      <c r="AG412">
        <v>-0.159428299999999</v>
      </c>
      <c r="AH412">
        <v>0.51014021083336203</v>
      </c>
      <c r="AI412">
        <v>107.038762484866</v>
      </c>
      <c r="AJ412">
        <v>78.709634057768298</v>
      </c>
      <c r="AK412">
        <v>0.54408933372570401</v>
      </c>
      <c r="AL412">
        <v>82.612121286391897</v>
      </c>
      <c r="AM412">
        <v>87.9865089554782</v>
      </c>
      <c r="AN412">
        <v>1.00000000498995</v>
      </c>
    </row>
    <row r="413" spans="1:40" x14ac:dyDescent="0.25">
      <c r="A413" t="str">
        <f>"20190303170235220"</f>
        <v>20190303170235220</v>
      </c>
      <c r="B413" t="str">
        <f>"1551603755206456"</f>
        <v>1551603755206456</v>
      </c>
      <c r="C413" t="s">
        <v>40</v>
      </c>
      <c r="D413">
        <v>4.4610190000000003</v>
      </c>
      <c r="E413">
        <v>0.55207130000000004</v>
      </c>
      <c r="F413" t="s">
        <v>43</v>
      </c>
      <c r="G413">
        <v>-401.80399999999997</v>
      </c>
      <c r="H413">
        <v>0.89236530000000003</v>
      </c>
      <c r="I413">
        <v>367.67939999999999</v>
      </c>
      <c r="J413">
        <v>-402.42739999999998</v>
      </c>
      <c r="K413">
        <v>1.071669</v>
      </c>
      <c r="L413">
        <v>367.80759999999998</v>
      </c>
      <c r="M413">
        <v>0.99986140000000001</v>
      </c>
      <c r="N413">
        <v>-1.511739E-2</v>
      </c>
      <c r="O413">
        <v>-6.978405E-3</v>
      </c>
      <c r="P413">
        <v>0.99264790000000003</v>
      </c>
      <c r="Q413">
        <v>0.1136593</v>
      </c>
      <c r="R413">
        <v>-4.1619200000000002E-2</v>
      </c>
      <c r="S413">
        <v>3.0812680000000001</v>
      </c>
      <c r="T413">
        <v>-0.70154910000000004</v>
      </c>
      <c r="U413">
        <v>-0.50479129999999905</v>
      </c>
      <c r="V413">
        <v>3.4684329999999999E-2</v>
      </c>
      <c r="W413">
        <v>0.1286582</v>
      </c>
      <c r="X413">
        <v>0.99108229999999997</v>
      </c>
      <c r="Y413">
        <v>0.15090819999999999</v>
      </c>
      <c r="Z413">
        <v>-1.656266E-2</v>
      </c>
      <c r="AA413">
        <v>0.98840899999999998</v>
      </c>
      <c r="AB413">
        <v>28</v>
      </c>
      <c r="AC413">
        <v>0.623399999999946</v>
      </c>
      <c r="AD413">
        <v>-0.17930369999999901</v>
      </c>
      <c r="AE413">
        <v>-0.12819999999999199</v>
      </c>
      <c r="AF413">
        <v>0.1147391978039</v>
      </c>
      <c r="AG413">
        <v>-0.17930369999999901</v>
      </c>
      <c r="AH413">
        <v>0.57837402930696802</v>
      </c>
      <c r="AI413">
        <v>106.913854669882</v>
      </c>
      <c r="AJ413">
        <v>78.779215039965095</v>
      </c>
      <c r="AK413">
        <v>0.61630464716984801</v>
      </c>
      <c r="AL413">
        <v>82.607938514976894</v>
      </c>
      <c r="AM413">
        <v>87.995670975889198</v>
      </c>
      <c r="AN413">
        <v>1.0000000302740299</v>
      </c>
    </row>
    <row r="414" spans="1:40" x14ac:dyDescent="0.25">
      <c r="A414" t="str">
        <f>"20190303170235237"</f>
        <v>20190303170235237</v>
      </c>
      <c r="B414" t="str">
        <f>"1551603755225977"</f>
        <v>1551603755225977</v>
      </c>
      <c r="C414" t="s">
        <v>40</v>
      </c>
      <c r="D414">
        <v>4.4897859999999996</v>
      </c>
      <c r="E414">
        <v>0.55201519999999904</v>
      </c>
      <c r="F414" t="s">
        <v>43</v>
      </c>
      <c r="G414">
        <v>-401.56569999999999</v>
      </c>
      <c r="H414">
        <v>0.87539909999999999</v>
      </c>
      <c r="I414">
        <v>367.66640000000001</v>
      </c>
      <c r="J414">
        <v>-402.21589999999998</v>
      </c>
      <c r="K414">
        <v>1.0716730000000001</v>
      </c>
      <c r="L414">
        <v>367.80619999999999</v>
      </c>
      <c r="M414">
        <v>0.99986169999999996</v>
      </c>
      <c r="N414">
        <v>-1.511885E-2</v>
      </c>
      <c r="O414">
        <v>-6.9425199999999998E-3</v>
      </c>
      <c r="P414">
        <v>0.9927011</v>
      </c>
      <c r="Q414">
        <v>0.1133054</v>
      </c>
      <c r="R414">
        <v>-4.1312340000000003E-2</v>
      </c>
      <c r="S414">
        <v>3.0814509999999999</v>
      </c>
      <c r="T414">
        <v>-0.70200629999999997</v>
      </c>
      <c r="U414">
        <v>-0.50411989999999995</v>
      </c>
      <c r="V414">
        <v>3.4412720000000001E-2</v>
      </c>
      <c r="W414">
        <v>0.12830630000000001</v>
      </c>
      <c r="X414">
        <v>0.9911373</v>
      </c>
      <c r="Y414">
        <v>0.1507241</v>
      </c>
      <c r="Z414">
        <v>-1.655738E-2</v>
      </c>
      <c r="AA414">
        <v>0.98843720000000002</v>
      </c>
      <c r="AB414">
        <v>28</v>
      </c>
      <c r="AC414">
        <v>0.65019999999998301</v>
      </c>
      <c r="AD414">
        <v>-0.196273899999999</v>
      </c>
      <c r="AE414">
        <v>-0.139799999999979</v>
      </c>
      <c r="AF414">
        <v>0.124443415846769</v>
      </c>
      <c r="AG414">
        <v>-0.196273899999999</v>
      </c>
      <c r="AH414">
        <v>0.59898508266667705</v>
      </c>
      <c r="AI414">
        <v>107.78762600734601</v>
      </c>
      <c r="AJ414">
        <v>78.263355964837302</v>
      </c>
      <c r="AK414">
        <v>0.64248948382524396</v>
      </c>
      <c r="AL414">
        <v>82.628268771140895</v>
      </c>
      <c r="AM414">
        <v>88.0114643166267</v>
      </c>
      <c r="AN414">
        <v>0.99999994468438702</v>
      </c>
    </row>
    <row r="415" spans="1:40" x14ac:dyDescent="0.25">
      <c r="A415" t="str">
        <f>"20190303170235259"</f>
        <v>20190303170235259</v>
      </c>
      <c r="B415" t="str">
        <f>"1551603755246471"</f>
        <v>1551603755246471</v>
      </c>
      <c r="C415" t="s">
        <v>40</v>
      </c>
      <c r="D415">
        <v>4.4736010000000004</v>
      </c>
      <c r="E415">
        <v>0.55197819999999997</v>
      </c>
      <c r="F415" t="s">
        <v>43</v>
      </c>
      <c r="G415">
        <v>-401.32330000000002</v>
      </c>
      <c r="H415">
        <v>0.86789620000000001</v>
      </c>
      <c r="I415">
        <v>367.66030000000001</v>
      </c>
      <c r="J415">
        <v>-401.9511</v>
      </c>
      <c r="K415">
        <v>1.07168</v>
      </c>
      <c r="L415">
        <v>367.80439999999999</v>
      </c>
      <c r="M415">
        <v>0.99986189999999997</v>
      </c>
      <c r="N415">
        <v>-1.511963E-2</v>
      </c>
      <c r="O415">
        <v>-6.8957979999999999E-3</v>
      </c>
      <c r="P415">
        <v>0.99267680000000003</v>
      </c>
      <c r="Q415">
        <v>0.11369310000000001</v>
      </c>
      <c r="R415">
        <v>-4.0822839999999999E-2</v>
      </c>
      <c r="S415">
        <v>3.0814509999999999</v>
      </c>
      <c r="T415">
        <v>-0.70363219999999904</v>
      </c>
      <c r="U415">
        <v>-0.50265499999999996</v>
      </c>
      <c r="V415">
        <v>3.3969720000000002E-2</v>
      </c>
      <c r="W415">
        <v>0.12869449999999999</v>
      </c>
      <c r="X415">
        <v>0.99110229999999999</v>
      </c>
      <c r="Y415">
        <v>0.150305299999999</v>
      </c>
      <c r="Z415">
        <v>-1.6552210000000001E-2</v>
      </c>
      <c r="AA415">
        <v>0.98850110000000002</v>
      </c>
      <c r="AB415">
        <v>28</v>
      </c>
      <c r="AC415">
        <v>0.62779999999997904</v>
      </c>
      <c r="AD415">
        <v>-0.20378379999999999</v>
      </c>
      <c r="AE415">
        <v>-0.14409999999997999</v>
      </c>
      <c r="AF415">
        <v>0.127050216017769</v>
      </c>
      <c r="AG415">
        <v>-0.20378379999999999</v>
      </c>
      <c r="AH415">
        <v>0.57156947195771601</v>
      </c>
      <c r="AI415">
        <v>109.18989667887099</v>
      </c>
      <c r="AJ415">
        <v>77.467870163534798</v>
      </c>
      <c r="AK415">
        <v>0.61996875389540695</v>
      </c>
      <c r="AL415">
        <v>82.605840963016206</v>
      </c>
      <c r="AM415">
        <v>88.036973605807901</v>
      </c>
      <c r="AN415">
        <v>0.99999999263620898</v>
      </c>
    </row>
    <row r="416" spans="1:40" x14ac:dyDescent="0.25">
      <c r="A416" t="str">
        <f>"20190303170235271"</f>
        <v>20190303170235271</v>
      </c>
      <c r="B416" t="str">
        <f>"1551603755265992"</f>
        <v>1551603755265992</v>
      </c>
      <c r="C416" t="s">
        <v>40</v>
      </c>
      <c r="D416">
        <v>4.4581600000000003</v>
      </c>
      <c r="E416">
        <v>0.5519328</v>
      </c>
      <c r="F416" t="s">
        <v>43</v>
      </c>
      <c r="G416">
        <v>-401.07659999999998</v>
      </c>
      <c r="H416">
        <v>0.87222420000000001</v>
      </c>
      <c r="I416">
        <v>367.66219999999998</v>
      </c>
      <c r="J416">
        <v>-401.78440000000001</v>
      </c>
      <c r="K416">
        <v>1.071688</v>
      </c>
      <c r="L416">
        <v>367.80329999999998</v>
      </c>
      <c r="M416">
        <v>0.99986209999999998</v>
      </c>
      <c r="N416">
        <v>-1.511962E-2</v>
      </c>
      <c r="O416">
        <v>-6.8662300000000001E-3</v>
      </c>
      <c r="P416">
        <v>0.99256639999999996</v>
      </c>
      <c r="Q416">
        <v>0.1147244</v>
      </c>
      <c r="R416">
        <v>-4.062619E-2</v>
      </c>
      <c r="S416">
        <v>3.0820620000000001</v>
      </c>
      <c r="T416">
        <v>-0.702941699999999</v>
      </c>
      <c r="U416">
        <v>-0.50073239999999997</v>
      </c>
      <c r="V416">
        <v>3.3803029999999998E-2</v>
      </c>
      <c r="W416">
        <v>0.1297239</v>
      </c>
      <c r="X416">
        <v>0.99097380000000002</v>
      </c>
      <c r="Y416">
        <v>0.14972579999999999</v>
      </c>
      <c r="Z416">
        <v>-1.6472179999999999E-2</v>
      </c>
      <c r="AA416">
        <v>0.98859039999999998</v>
      </c>
      <c r="AB416">
        <v>27</v>
      </c>
      <c r="AC416">
        <v>0.70780000000001997</v>
      </c>
      <c r="AD416">
        <v>-0.1994638</v>
      </c>
      <c r="AE416">
        <v>-0.14109999999999401</v>
      </c>
      <c r="AF416">
        <v>0.12656881868494099</v>
      </c>
      <c r="AG416">
        <v>-0.1994638</v>
      </c>
      <c r="AH416">
        <v>0.65845887336562003</v>
      </c>
      <c r="AI416">
        <v>106.566655696434</v>
      </c>
      <c r="AJ416">
        <v>79.119330484008202</v>
      </c>
      <c r="AK416">
        <v>0.699552400673219</v>
      </c>
      <c r="AL416">
        <v>82.546362177000105</v>
      </c>
      <c r="AM416">
        <v>88.046345626998601</v>
      </c>
      <c r="AN416">
        <v>1.0000000036774099</v>
      </c>
    </row>
    <row r="417" spans="1:40" x14ac:dyDescent="0.25">
      <c r="A417" t="str">
        <f>"20190303170235284"</f>
        <v>20190303170235284</v>
      </c>
      <c r="B417" t="str">
        <f>"1551603755276729"</f>
        <v>1551603755276729</v>
      </c>
      <c r="C417" t="s">
        <v>40</v>
      </c>
      <c r="D417">
        <v>4.4679339999999996</v>
      </c>
      <c r="E417">
        <v>0.55191979999999996</v>
      </c>
      <c r="F417" t="s">
        <v>43</v>
      </c>
      <c r="G417">
        <v>-401.06079999999997</v>
      </c>
      <c r="H417">
        <v>0.90726589999999996</v>
      </c>
      <c r="I417">
        <v>367.68599999999998</v>
      </c>
      <c r="J417">
        <v>-401.63010000000003</v>
      </c>
      <c r="K417">
        <v>1.0716950000000001</v>
      </c>
      <c r="L417">
        <v>367.80220000000003</v>
      </c>
      <c r="M417">
        <v>0.99986229999999998</v>
      </c>
      <c r="N417">
        <v>-1.5119250000000001E-2</v>
      </c>
      <c r="O417">
        <v>-6.8383180000000003E-3</v>
      </c>
      <c r="P417">
        <v>0.99248720000000001</v>
      </c>
      <c r="Q417">
        <v>0.1154143</v>
      </c>
      <c r="R417">
        <v>-4.0603319999999998E-2</v>
      </c>
      <c r="S417">
        <v>3.0829770000000001</v>
      </c>
      <c r="T417">
        <v>-0.70054890000000003</v>
      </c>
      <c r="U417">
        <v>-0.49942019999999998</v>
      </c>
      <c r="V417">
        <v>3.3808240000000003E-2</v>
      </c>
      <c r="W417">
        <v>0.13041230000000001</v>
      </c>
      <c r="X417">
        <v>0.99088330000000002</v>
      </c>
      <c r="Y417">
        <v>0.14933350000000001</v>
      </c>
      <c r="Z417">
        <v>-1.6376689999999999E-2</v>
      </c>
      <c r="AA417">
        <v>0.98865130000000001</v>
      </c>
      <c r="AB417">
        <v>27</v>
      </c>
      <c r="AC417">
        <v>0.56930000000005498</v>
      </c>
      <c r="AD417">
        <v>-0.16442909999999999</v>
      </c>
      <c r="AE417">
        <v>-0.116200000000048</v>
      </c>
      <c r="AF417">
        <v>0.10397684698406</v>
      </c>
      <c r="AG417">
        <v>-0.16442909999999999</v>
      </c>
      <c r="AH417">
        <v>0.52781183178140001</v>
      </c>
      <c r="AI417">
        <v>106.996053793838</v>
      </c>
      <c r="AJ417">
        <v>78.855656521612403</v>
      </c>
      <c r="AK417">
        <v>0.56252417139532196</v>
      </c>
      <c r="AL417">
        <v>82.506582101258303</v>
      </c>
      <c r="AM417">
        <v>88.045866425607699</v>
      </c>
      <c r="AN417">
        <v>1.00000003965103</v>
      </c>
    </row>
    <row r="418" spans="1:40" x14ac:dyDescent="0.25">
      <c r="A418" t="str">
        <f>"20190303170235304"</f>
        <v>20190303170235304</v>
      </c>
      <c r="B418" t="str">
        <f>"1551603755296248"</f>
        <v>1551603755296248</v>
      </c>
      <c r="C418" t="s">
        <v>40</v>
      </c>
      <c r="D418">
        <v>4.4768080000000001</v>
      </c>
      <c r="E418">
        <v>0.55187830000000004</v>
      </c>
      <c r="F418" t="s">
        <v>43</v>
      </c>
      <c r="G418">
        <v>-400.82459999999998</v>
      </c>
      <c r="H418">
        <v>0.88918600000000003</v>
      </c>
      <c r="I418">
        <v>367.67140000000001</v>
      </c>
      <c r="J418">
        <v>-401.39350000000002</v>
      </c>
      <c r="K418">
        <v>1.0717000000000001</v>
      </c>
      <c r="L418">
        <v>367.80070000000001</v>
      </c>
      <c r="M418">
        <v>0.99986269999999999</v>
      </c>
      <c r="N418">
        <v>-1.511821E-2</v>
      </c>
      <c r="O418">
        <v>-6.7922499999999997E-3</v>
      </c>
      <c r="P418">
        <v>0.9923881</v>
      </c>
      <c r="Q418">
        <v>0.1161389</v>
      </c>
      <c r="R418">
        <v>-4.0963239999999998E-2</v>
      </c>
      <c r="S418">
        <v>3.0835569999999999</v>
      </c>
      <c r="T418">
        <v>-0.69877979999999995</v>
      </c>
      <c r="U418">
        <v>-0.49911499999999998</v>
      </c>
      <c r="V418">
        <v>3.4213609999999998E-2</v>
      </c>
      <c r="W418">
        <v>0.13113459999999999</v>
      </c>
      <c r="X418">
        <v>0.99077400000000004</v>
      </c>
      <c r="Y418">
        <v>0.14927460000000001</v>
      </c>
      <c r="Z418">
        <v>-1.6339199999999901E-2</v>
      </c>
      <c r="AA418">
        <v>0.98866080000000001</v>
      </c>
      <c r="AB418">
        <v>27</v>
      </c>
      <c r="AC418">
        <v>0.56890000000004104</v>
      </c>
      <c r="AD418">
        <v>-0.18251400000000001</v>
      </c>
      <c r="AE418">
        <v>-0.1293</v>
      </c>
      <c r="AF418">
        <v>0.114250814486519</v>
      </c>
      <c r="AG418">
        <v>-0.18251400000000001</v>
      </c>
      <c r="AH418">
        <v>0.51897361628644501</v>
      </c>
      <c r="AI418">
        <v>108.955456356968</v>
      </c>
      <c r="AJ418">
        <v>77.584513343928805</v>
      </c>
      <c r="AK418">
        <v>0.56187029037693703</v>
      </c>
      <c r="AL418">
        <v>82.464838480326605</v>
      </c>
      <c r="AM418">
        <v>88.022236340419298</v>
      </c>
      <c r="AN418">
        <v>0.99999998675119595</v>
      </c>
    </row>
    <row r="419" spans="1:40" x14ac:dyDescent="0.25">
      <c r="A419" t="str">
        <f>"20190303170235316"</f>
        <v>20190303170235316</v>
      </c>
      <c r="B419" t="str">
        <f>"1551603755306009"</f>
        <v>1551603755306009</v>
      </c>
      <c r="C419" t="s">
        <v>40</v>
      </c>
      <c r="D419">
        <v>4.4689769999999998</v>
      </c>
      <c r="E419">
        <v>0.55185740000000005</v>
      </c>
      <c r="F419" t="s">
        <v>43</v>
      </c>
      <c r="G419">
        <v>-400.58100000000002</v>
      </c>
      <c r="H419">
        <v>0.88794680000000004</v>
      </c>
      <c r="I419">
        <v>367.66860000000003</v>
      </c>
      <c r="J419">
        <v>-401.24270000000001</v>
      </c>
      <c r="K419">
        <v>1.0717190000000001</v>
      </c>
      <c r="L419">
        <v>367.79969999999997</v>
      </c>
      <c r="M419">
        <v>0.99986209999999998</v>
      </c>
      <c r="N419">
        <v>-1.5174770000000001E-2</v>
      </c>
      <c r="O419">
        <v>-6.7608049999999999E-3</v>
      </c>
      <c r="P419">
        <v>0.99244549999999998</v>
      </c>
      <c r="Q419">
        <v>0.1156478</v>
      </c>
      <c r="R419">
        <v>-4.0959540000000003E-2</v>
      </c>
      <c r="S419">
        <v>3.084015</v>
      </c>
      <c r="T419">
        <v>-0.69756030000000002</v>
      </c>
      <c r="U419">
        <v>-0.49963380000000002</v>
      </c>
      <c r="V419">
        <v>3.4240010000000001E-2</v>
      </c>
      <c r="W419">
        <v>0.1307007</v>
      </c>
      <c r="X419">
        <v>0.9908304</v>
      </c>
      <c r="Y419">
        <v>0.149452</v>
      </c>
      <c r="Z419">
        <v>-1.6343380000000001E-2</v>
      </c>
      <c r="AA419">
        <v>0.98863389999999995</v>
      </c>
      <c r="AB419">
        <v>27</v>
      </c>
      <c r="AC419">
        <v>0.66170000000005302</v>
      </c>
      <c r="AD419">
        <v>-0.1837722</v>
      </c>
      <c r="AE419">
        <v>-0.13109999999994601</v>
      </c>
      <c r="AF419">
        <v>0.117874336499179</v>
      </c>
      <c r="AG419">
        <v>-0.1837722</v>
      </c>
      <c r="AH419">
        <v>0.61679346145010505</v>
      </c>
      <c r="AI419">
        <v>106.312192380993</v>
      </c>
      <c r="AJ419">
        <v>79.180758185731904</v>
      </c>
      <c r="AK419">
        <v>0.65429408891229002</v>
      </c>
      <c r="AL419">
        <v>82.489914792959198</v>
      </c>
      <c r="AM419">
        <v>88.020824041698901</v>
      </c>
      <c r="AN419">
        <v>0.999999966414724</v>
      </c>
    </row>
    <row r="420" spans="1:40" x14ac:dyDescent="0.25">
      <c r="A420" t="str">
        <f>"20190303170235329"</f>
        <v>20190303170235329</v>
      </c>
      <c r="B420" t="str">
        <f>"1551603755316745"</f>
        <v>1551603755316745</v>
      </c>
      <c r="C420" t="s">
        <v>40</v>
      </c>
      <c r="D420">
        <v>4.4562749999999998</v>
      </c>
      <c r="E420">
        <v>0.55184119999999903</v>
      </c>
      <c r="F420" t="s">
        <v>43</v>
      </c>
      <c r="G420">
        <v>-400.34879999999998</v>
      </c>
      <c r="H420">
        <v>0.86890900000000004</v>
      </c>
      <c r="I420">
        <v>367.65480000000002</v>
      </c>
      <c r="J420">
        <v>-401.08460000000002</v>
      </c>
      <c r="K420">
        <v>1.0718700000000001</v>
      </c>
      <c r="L420">
        <v>367.79860000000002</v>
      </c>
      <c r="M420">
        <v>0.99985360000000001</v>
      </c>
      <c r="N420">
        <v>-1.5739099999999999E-2</v>
      </c>
      <c r="O420">
        <v>-6.7307850000000004E-3</v>
      </c>
      <c r="P420">
        <v>0.99251599999999995</v>
      </c>
      <c r="Q420">
        <v>0.1149057</v>
      </c>
      <c r="R420">
        <v>-4.1335650000000002E-2</v>
      </c>
      <c r="S420">
        <v>3.0838009999999998</v>
      </c>
      <c r="T420">
        <v>-0.69975140000000002</v>
      </c>
      <c r="U420">
        <v>-0.49899290000000002</v>
      </c>
      <c r="V420">
        <v>3.4645429999999998E-2</v>
      </c>
      <c r="W420">
        <v>0.13051869999999999</v>
      </c>
      <c r="X420">
        <v>0.99084030000000001</v>
      </c>
      <c r="Y420">
        <v>0.1492628</v>
      </c>
      <c r="Z420">
        <v>-1.6421359999999999E-2</v>
      </c>
      <c r="AA420">
        <v>0.98866120000000002</v>
      </c>
      <c r="AB420">
        <v>27</v>
      </c>
      <c r="AC420">
        <v>0.73580000000003998</v>
      </c>
      <c r="AD420">
        <v>-0.202961</v>
      </c>
      <c r="AE420">
        <v>-0.14379999999999801</v>
      </c>
      <c r="AF420">
        <v>0.12936299072648</v>
      </c>
      <c r="AG420">
        <v>-0.202961</v>
      </c>
      <c r="AH420">
        <v>0.68644391432274998</v>
      </c>
      <c r="AI420">
        <v>106.201522882163</v>
      </c>
      <c r="AJ420">
        <v>79.327558994529895</v>
      </c>
      <c r="AK420">
        <v>0.727415423538324</v>
      </c>
      <c r="AL420">
        <v>82.500432738854798</v>
      </c>
      <c r="AM420">
        <v>87.997428503616206</v>
      </c>
      <c r="AN420">
        <v>0.99999996848683204</v>
      </c>
    </row>
    <row r="421" spans="1:40" x14ac:dyDescent="0.25">
      <c r="A421" t="str">
        <f>"20190303170235342"</f>
        <v>20190303170235342</v>
      </c>
      <c r="B421" t="str">
        <f>"1551603755336264"</f>
        <v>1551603755336264</v>
      </c>
      <c r="C421" t="s">
        <v>40</v>
      </c>
      <c r="D421">
        <v>4.4696800000000003</v>
      </c>
      <c r="E421">
        <v>0.55182889999999996</v>
      </c>
      <c r="F421" t="s">
        <v>43</v>
      </c>
      <c r="G421">
        <v>-400.33449999999999</v>
      </c>
      <c r="H421">
        <v>0.90098069999999997</v>
      </c>
      <c r="I421">
        <v>367.67680000000001</v>
      </c>
      <c r="J421">
        <v>-400.92720000000003</v>
      </c>
      <c r="K421">
        <v>1.0721590000000001</v>
      </c>
      <c r="L421">
        <v>367.79759999999999</v>
      </c>
      <c r="M421">
        <v>0.99984320000000004</v>
      </c>
      <c r="N421">
        <v>-1.639434E-2</v>
      </c>
      <c r="O421">
        <v>-6.6992719999999896E-3</v>
      </c>
      <c r="P421">
        <v>0.99262550000000005</v>
      </c>
      <c r="Q421">
        <v>0.11381960000000001</v>
      </c>
      <c r="R421">
        <v>-4.1711140000000001E-2</v>
      </c>
      <c r="S421">
        <v>3.0831599999999999</v>
      </c>
      <c r="T421">
        <v>-0.70254490000000003</v>
      </c>
      <c r="U421">
        <v>-0.4995117</v>
      </c>
      <c r="V421">
        <v>3.5051110000000003E-2</v>
      </c>
      <c r="W421">
        <v>0.13008419999999901</v>
      </c>
      <c r="X421">
        <v>0.99088319999999996</v>
      </c>
      <c r="Y421">
        <v>0.149440299999999</v>
      </c>
      <c r="Z421">
        <v>-1.656533E-2</v>
      </c>
      <c r="AA421">
        <v>0.98863199999999996</v>
      </c>
      <c r="AB421">
        <v>27</v>
      </c>
      <c r="AC421">
        <v>0.59270000000003598</v>
      </c>
      <c r="AD421">
        <v>-0.17117830000000001</v>
      </c>
      <c r="AE421">
        <v>-0.120799999999974</v>
      </c>
      <c r="AF421">
        <v>0.108163788825929</v>
      </c>
      <c r="AG421">
        <v>-0.17117830000000001</v>
      </c>
      <c r="AH421">
        <v>0.54949010793026098</v>
      </c>
      <c r="AI421">
        <v>106.996120055969</v>
      </c>
      <c r="AJ421">
        <v>78.864047449428099</v>
      </c>
      <c r="AK421">
        <v>0.58561147044544803</v>
      </c>
      <c r="AL421">
        <v>82.525542045269603</v>
      </c>
      <c r="AM421">
        <v>87.974086501667401</v>
      </c>
      <c r="AN421">
        <v>0.99999999772205495</v>
      </c>
    </row>
    <row r="422" spans="1:40" x14ac:dyDescent="0.25">
      <c r="A422" t="str">
        <f>"20190303170235358"</f>
        <v>20190303170235358</v>
      </c>
      <c r="B422" t="str">
        <f>"1551603755346024"</f>
        <v>1551603755346024</v>
      </c>
      <c r="C422" t="s">
        <v>40</v>
      </c>
      <c r="D422">
        <v>4.4334239999999996</v>
      </c>
      <c r="E422">
        <v>0.55179119999999904</v>
      </c>
      <c r="F422" t="s">
        <v>43</v>
      </c>
      <c r="G422">
        <v>-400.10579999999999</v>
      </c>
      <c r="H422">
        <v>0.88394329999999999</v>
      </c>
      <c r="I422">
        <v>367.66379999999998</v>
      </c>
      <c r="J422">
        <v>-400.7457</v>
      </c>
      <c r="K422">
        <v>1.0726439999999999</v>
      </c>
      <c r="L422">
        <v>367.79640000000001</v>
      </c>
      <c r="M422">
        <v>0.99983100000000003</v>
      </c>
      <c r="N422">
        <v>-1.7139700000000001E-2</v>
      </c>
      <c r="O422">
        <v>-6.6577320000000004E-3</v>
      </c>
      <c r="P422">
        <v>0.99272199999999999</v>
      </c>
      <c r="Q422">
        <v>0.1126475</v>
      </c>
      <c r="R422">
        <v>-4.2587470000000002E-2</v>
      </c>
      <c r="S422">
        <v>3.0822449999999999</v>
      </c>
      <c r="T422">
        <v>-0.70635099999999995</v>
      </c>
      <c r="U422">
        <v>-0.50091549999999996</v>
      </c>
      <c r="V422">
        <v>3.596738E-2</v>
      </c>
      <c r="W422">
        <v>0.1296525</v>
      </c>
      <c r="X422">
        <v>0.99090699999999998</v>
      </c>
      <c r="Y422">
        <v>0.14989729999999901</v>
      </c>
      <c r="Z422">
        <v>-1.677551E-2</v>
      </c>
      <c r="AA422">
        <v>0.98855919999999997</v>
      </c>
      <c r="AB422">
        <v>27</v>
      </c>
      <c r="AC422">
        <v>0.63990000000001102</v>
      </c>
      <c r="AD422">
        <v>-0.1887007</v>
      </c>
      <c r="AE422">
        <v>-0.132600000000024</v>
      </c>
      <c r="AF422">
        <v>0.118459004802847</v>
      </c>
      <c r="AG422">
        <v>-0.1887007</v>
      </c>
      <c r="AH422">
        <v>0.591453213232911</v>
      </c>
      <c r="AI422">
        <v>107.37140865594</v>
      </c>
      <c r="AJ422">
        <v>78.6743859541223</v>
      </c>
      <c r="AK422">
        <v>0.63202641831090101</v>
      </c>
      <c r="AL422">
        <v>82.550488307294899</v>
      </c>
      <c r="AM422">
        <v>87.921222919062302</v>
      </c>
      <c r="AN422">
        <v>1.00000005291465</v>
      </c>
    </row>
    <row r="423" spans="1:40" x14ac:dyDescent="0.25">
      <c r="A423" t="str">
        <f>"20190303170235372"</f>
        <v>20190303170235372</v>
      </c>
      <c r="B423" t="str">
        <f>"1551603755366522"</f>
        <v>1551603755366522</v>
      </c>
      <c r="C423" t="s">
        <v>40</v>
      </c>
      <c r="D423">
        <v>4.551399</v>
      </c>
      <c r="E423">
        <v>0.55091259999999997</v>
      </c>
      <c r="F423" t="s">
        <v>43</v>
      </c>
      <c r="G423">
        <v>-399.88010000000003</v>
      </c>
      <c r="H423">
        <v>0.865178</v>
      </c>
      <c r="I423">
        <v>367.65530000000001</v>
      </c>
      <c r="J423">
        <v>-400.57240000000002</v>
      </c>
      <c r="K423">
        <v>1.0732330000000001</v>
      </c>
      <c r="L423">
        <v>367.7953</v>
      </c>
      <c r="M423">
        <v>0.99982510000000002</v>
      </c>
      <c r="N423">
        <v>-1.750324E-2</v>
      </c>
      <c r="O423">
        <v>-6.6048969999999898E-3</v>
      </c>
      <c r="P423">
        <v>0.99269569999999996</v>
      </c>
      <c r="Q423">
        <v>0.1126948</v>
      </c>
      <c r="R423">
        <v>-4.3074050000000003E-2</v>
      </c>
      <c r="S423">
        <v>3.0844119999999999</v>
      </c>
      <c r="T423">
        <v>-0.73934609999999901</v>
      </c>
      <c r="U423">
        <v>-0.50161739999999999</v>
      </c>
      <c r="V423">
        <v>3.6504050000000003E-2</v>
      </c>
      <c r="W423">
        <v>0.13006099999999901</v>
      </c>
      <c r="X423">
        <v>0.99083379999999999</v>
      </c>
      <c r="Y423">
        <v>0.14970520000000001</v>
      </c>
      <c r="Z423">
        <v>-1.7481440000000001E-2</v>
      </c>
      <c r="AA423">
        <v>0.98857609999999996</v>
      </c>
      <c r="AB423">
        <v>26</v>
      </c>
      <c r="AC423">
        <v>0.69229999999998804</v>
      </c>
      <c r="AD423">
        <v>-0.20805499999999999</v>
      </c>
      <c r="AE423">
        <v>-0.139999999999986</v>
      </c>
      <c r="AF423">
        <v>0.124611364933935</v>
      </c>
      <c r="AG423">
        <v>-0.20805499999999999</v>
      </c>
      <c r="AH423">
        <v>0.63786342819588604</v>
      </c>
      <c r="AI423">
        <v>107.751082677268</v>
      </c>
      <c r="AJ423">
        <v>78.946062863326802</v>
      </c>
      <c r="AK423">
        <v>0.682410894055412</v>
      </c>
      <c r="AL423">
        <v>82.526882821533704</v>
      </c>
      <c r="AM423">
        <v>87.890077545831204</v>
      </c>
      <c r="AN423">
        <v>1.0000000143049199</v>
      </c>
    </row>
    <row r="424" spans="1:40" x14ac:dyDescent="0.25">
      <c r="A424" t="str">
        <f>"20190303170235385"</f>
        <v>20190303170235385</v>
      </c>
      <c r="B424" t="str">
        <f>"1551603755376280"</f>
        <v>1551603755376280</v>
      </c>
      <c r="C424" t="s">
        <v>40</v>
      </c>
      <c r="D424">
        <v>4.5156369999999999</v>
      </c>
      <c r="E424">
        <v>0.55091259999999997</v>
      </c>
      <c r="F424" t="s">
        <v>43</v>
      </c>
      <c r="G424">
        <v>-399.863</v>
      </c>
      <c r="H424">
        <v>0.90336019999999995</v>
      </c>
      <c r="I424">
        <v>367.68079999999998</v>
      </c>
      <c r="J424">
        <v>-400.42970000000003</v>
      </c>
      <c r="K424">
        <v>1.0736810000000001</v>
      </c>
      <c r="L424">
        <v>367.7944</v>
      </c>
      <c r="M424">
        <v>0.99983420000000001</v>
      </c>
      <c r="N424">
        <v>-1.6997809999999999E-2</v>
      </c>
      <c r="O424">
        <v>-6.5436359999999898E-3</v>
      </c>
      <c r="P424">
        <v>0.99255040000000005</v>
      </c>
      <c r="Q424">
        <v>0.113842</v>
      </c>
      <c r="R424">
        <v>-4.3406510000000002E-2</v>
      </c>
      <c r="S424">
        <v>3.084381</v>
      </c>
      <c r="T424">
        <v>-0.73861999999999906</v>
      </c>
      <c r="U424">
        <v>-0.49652099999999999</v>
      </c>
      <c r="V424">
        <v>3.6894870000000003E-2</v>
      </c>
      <c r="W424">
        <v>0.1307054</v>
      </c>
      <c r="X424">
        <v>0.99073449999999996</v>
      </c>
      <c r="Y424">
        <v>0.148234</v>
      </c>
      <c r="Z424">
        <v>-1.725411E-2</v>
      </c>
      <c r="AA424">
        <v>0.98880179999999995</v>
      </c>
      <c r="AB424">
        <v>26</v>
      </c>
      <c r="AC424">
        <v>0.56669999999996801</v>
      </c>
      <c r="AD424">
        <v>-0.170320799999999</v>
      </c>
      <c r="AE424">
        <v>-0.11360000000001901</v>
      </c>
      <c r="AF424">
        <v>0.101108508802501</v>
      </c>
      <c r="AG424">
        <v>-0.170320799999999</v>
      </c>
      <c r="AH424">
        <v>0.52209287838588803</v>
      </c>
      <c r="AI424">
        <v>107.759037899814</v>
      </c>
      <c r="AJ424">
        <v>79.039773238718794</v>
      </c>
      <c r="AK424">
        <v>0.55840225565999202</v>
      </c>
      <c r="AL424">
        <v>82.489643360350399</v>
      </c>
      <c r="AM424">
        <v>87.867295480199104</v>
      </c>
      <c r="AN424">
        <v>0.99999999125586303</v>
      </c>
    </row>
    <row r="425" spans="1:40" x14ac:dyDescent="0.25">
      <c r="A425" t="str">
        <f>"20190303170235405"</f>
        <v>20190303170235405</v>
      </c>
      <c r="B425" t="str">
        <f>"1551603755396777"</f>
        <v>1551603755396777</v>
      </c>
      <c r="C425" t="s">
        <v>40</v>
      </c>
      <c r="D425">
        <v>4.4742410000000001</v>
      </c>
      <c r="E425">
        <v>0.52397780000000005</v>
      </c>
      <c r="F425" t="s">
        <v>43</v>
      </c>
      <c r="G425">
        <v>-399.63589999999999</v>
      </c>
      <c r="H425">
        <v>0.88456000000000001</v>
      </c>
      <c r="I425">
        <v>367.66629999999998</v>
      </c>
      <c r="J425">
        <v>-400.19209999999998</v>
      </c>
      <c r="K425">
        <v>1.074457</v>
      </c>
      <c r="L425">
        <v>367.79300000000001</v>
      </c>
      <c r="M425">
        <v>0.99986070000000005</v>
      </c>
      <c r="N425">
        <v>-1.540592E-2</v>
      </c>
      <c r="O425">
        <v>-6.4255140000000002E-3</v>
      </c>
      <c r="P425">
        <v>0.99228629999999995</v>
      </c>
      <c r="Q425">
        <v>0.115965</v>
      </c>
      <c r="R425">
        <v>-4.3819709999999998E-2</v>
      </c>
      <c r="S425">
        <v>3.085083</v>
      </c>
      <c r="T425">
        <v>-0.73508680000000004</v>
      </c>
      <c r="U425">
        <v>-0.49752809999999997</v>
      </c>
      <c r="V425">
        <v>3.7420599999999998E-2</v>
      </c>
      <c r="W425">
        <v>0.13124849999999999</v>
      </c>
      <c r="X425">
        <v>0.99064300000000005</v>
      </c>
      <c r="Y425">
        <v>0.14868529999999999</v>
      </c>
      <c r="Z425">
        <v>-1.712752E-2</v>
      </c>
      <c r="AA425">
        <v>0.98873619999999995</v>
      </c>
      <c r="AB425">
        <v>26</v>
      </c>
      <c r="AC425">
        <v>0.55619999999998904</v>
      </c>
      <c r="AD425">
        <v>-0.18989700000000001</v>
      </c>
      <c r="AE425">
        <v>-0.12670000000002801</v>
      </c>
      <c r="AF425">
        <v>0.11084019190913</v>
      </c>
      <c r="AG425">
        <v>-0.18989700000000001</v>
      </c>
      <c r="AH425">
        <v>0.50143551027873901</v>
      </c>
      <c r="AI425">
        <v>110.293410744306</v>
      </c>
      <c r="AJ425">
        <v>77.535442697770407</v>
      </c>
      <c r="AK425">
        <v>0.54752533249152202</v>
      </c>
      <c r="AL425">
        <v>82.458255784977098</v>
      </c>
      <c r="AM425">
        <v>87.8367347712895</v>
      </c>
      <c r="AN425">
        <v>1.0000000117528001</v>
      </c>
    </row>
    <row r="426" spans="1:40" x14ac:dyDescent="0.25">
      <c r="A426" t="str">
        <f>"20190303170235421"</f>
        <v>20190303170235421</v>
      </c>
      <c r="B426" t="str">
        <f>"1551603755406536"</f>
        <v>1551603755406536</v>
      </c>
      <c r="C426" t="s">
        <v>40</v>
      </c>
      <c r="D426">
        <v>4.4242439999999998</v>
      </c>
      <c r="E426">
        <v>0.49283700000000003</v>
      </c>
      <c r="F426" t="s">
        <v>43</v>
      </c>
      <c r="G426">
        <v>-399.38220000000001</v>
      </c>
      <c r="H426">
        <v>0.91941119999999998</v>
      </c>
      <c r="I426">
        <v>367.71690000000001</v>
      </c>
      <c r="J426">
        <v>-400.0129</v>
      </c>
      <c r="K426">
        <v>1.0751409999999999</v>
      </c>
      <c r="L426">
        <v>367.79199999999997</v>
      </c>
      <c r="M426">
        <v>0.9998842</v>
      </c>
      <c r="N426">
        <v>-1.3846310000000001E-2</v>
      </c>
      <c r="O426">
        <v>-6.3239209999999997E-3</v>
      </c>
      <c r="P426">
        <v>0.99213050000000003</v>
      </c>
      <c r="Q426">
        <v>0.11726350000000001</v>
      </c>
      <c r="R426">
        <v>-4.3893309999999998E-2</v>
      </c>
      <c r="S426">
        <v>3.0794679999999999</v>
      </c>
      <c r="T426">
        <v>-0.58967899999999995</v>
      </c>
      <c r="U426">
        <v>-0.28854370000000001</v>
      </c>
      <c r="V426">
        <v>3.7591329999999999E-2</v>
      </c>
      <c r="W426">
        <v>0.1310009</v>
      </c>
      <c r="X426">
        <v>0.99066929999999997</v>
      </c>
      <c r="Y426">
        <v>8.5437020000000002E-2</v>
      </c>
      <c r="Z426">
        <v>-7.5769100000000001E-3</v>
      </c>
      <c r="AA426">
        <v>0.99631479999999994</v>
      </c>
      <c r="AB426">
        <v>26</v>
      </c>
      <c r="AC426">
        <v>0.63069999999999005</v>
      </c>
      <c r="AD426">
        <v>-0.1557298</v>
      </c>
      <c r="AE426">
        <v>-7.5099999999963502E-2</v>
      </c>
      <c r="AF426">
        <v>6.7077264625857599E-2</v>
      </c>
      <c r="AG426">
        <v>-0.1557298</v>
      </c>
      <c r="AH426">
        <v>0.59537155693539501</v>
      </c>
      <c r="AI426">
        <v>104.570082532051</v>
      </c>
      <c r="AJ426">
        <v>83.571903624014197</v>
      </c>
      <c r="AK426">
        <v>0.61904638020539604</v>
      </c>
      <c r="AL426">
        <v>82.472565707160896</v>
      </c>
      <c r="AM426">
        <v>87.826932037157704</v>
      </c>
      <c r="AN426">
        <v>1.00000000292723</v>
      </c>
    </row>
    <row r="427" spans="1:40" x14ac:dyDescent="0.25">
      <c r="A427" t="str">
        <f>"20190303170235438"</f>
        <v>20190303170235438</v>
      </c>
      <c r="B427" t="str">
        <f>"1551603755426056"</f>
        <v>1551603755426056</v>
      </c>
      <c r="C427" t="s">
        <v>40</v>
      </c>
      <c r="D427">
        <v>4.5188139999999999</v>
      </c>
      <c r="E427">
        <v>0.48782039999999999</v>
      </c>
      <c r="F427" t="s">
        <v>43</v>
      </c>
      <c r="G427">
        <v>-399.10489999999999</v>
      </c>
      <c r="H427">
        <v>0.99408819999999998</v>
      </c>
      <c r="I427">
        <v>367.77640000000002</v>
      </c>
      <c r="J427">
        <v>-399.7912</v>
      </c>
      <c r="K427">
        <v>1.0761810000000001</v>
      </c>
      <c r="L427">
        <v>367.79070000000002</v>
      </c>
      <c r="M427">
        <v>0.99990979999999996</v>
      </c>
      <c r="N427">
        <v>-1.193143E-2</v>
      </c>
      <c r="O427">
        <v>-6.1802369999999999E-3</v>
      </c>
      <c r="P427">
        <v>0.99201030000000001</v>
      </c>
      <c r="Q427">
        <v>0.11832869999999999</v>
      </c>
      <c r="R427">
        <v>-4.3747880000000003E-2</v>
      </c>
      <c r="S427">
        <v>3.053741</v>
      </c>
      <c r="T427">
        <v>-0.27277240000000003</v>
      </c>
      <c r="U427">
        <v>-5.1574710000000003E-2</v>
      </c>
      <c r="V427">
        <v>3.7583980000000003E-2</v>
      </c>
      <c r="W427">
        <v>0.130168899999999</v>
      </c>
      <c r="X427">
        <v>0.99077919999999997</v>
      </c>
      <c r="Y427">
        <v>1.067677E-2</v>
      </c>
      <c r="Z427" s="1">
        <v>-6.2422360000000005E-5</v>
      </c>
      <c r="AA427">
        <v>0.99994300000000003</v>
      </c>
      <c r="AB427">
        <v>27</v>
      </c>
      <c r="AC427">
        <v>0.68630000000001701</v>
      </c>
      <c r="AD427">
        <v>-8.2092799999999994E-2</v>
      </c>
      <c r="AE427">
        <v>-1.42999999999915E-2</v>
      </c>
      <c r="AF427">
        <v>9.9161094430127595E-3</v>
      </c>
      <c r="AG427">
        <v>-8.2092799999999994E-2</v>
      </c>
      <c r="AH427">
        <v>0.67669722135816301</v>
      </c>
      <c r="AI427">
        <v>96.916240523865696</v>
      </c>
      <c r="AJ427">
        <v>89.160465654198802</v>
      </c>
      <c r="AK427">
        <v>0.681730655341378</v>
      </c>
      <c r="AL427">
        <v>82.520647197021205</v>
      </c>
      <c r="AM427">
        <v>87.827597281236393</v>
      </c>
      <c r="AN427">
        <v>0.99999996061624397</v>
      </c>
    </row>
    <row r="428" spans="1:40" x14ac:dyDescent="0.25">
      <c r="A428" t="str">
        <f>"20190303170235460"</f>
        <v>20190303170235460</v>
      </c>
      <c r="B428" t="str">
        <f>"1551603755446552"</f>
        <v>1551603755446552</v>
      </c>
      <c r="C428" t="s">
        <v>40</v>
      </c>
      <c r="D428">
        <v>4.5661050000000003</v>
      </c>
      <c r="E428">
        <v>0.48537710000000001</v>
      </c>
      <c r="F428" t="s">
        <v>42</v>
      </c>
      <c r="G428">
        <v>-382.49979999999999</v>
      </c>
      <c r="H428" s="1">
        <v>-3.538068E-6</v>
      </c>
      <c r="I428">
        <v>367.70979999999997</v>
      </c>
      <c r="J428">
        <v>-399.53609999999998</v>
      </c>
      <c r="K428">
        <v>1.0776159999999999</v>
      </c>
      <c r="L428">
        <v>367.7894</v>
      </c>
      <c r="M428">
        <v>0.99993259999999995</v>
      </c>
      <c r="N428">
        <v>-9.9589250000000004E-3</v>
      </c>
      <c r="O428">
        <v>-5.9826310000000004E-3</v>
      </c>
      <c r="P428">
        <v>0.99186249999999998</v>
      </c>
      <c r="Q428">
        <v>0.1196335</v>
      </c>
      <c r="R428">
        <v>-4.3553809999999998E-2</v>
      </c>
      <c r="S428">
        <v>3.0461429999999998</v>
      </c>
      <c r="T428">
        <v>-0.189585</v>
      </c>
      <c r="U428">
        <v>-1.4251710000000001E-2</v>
      </c>
      <c r="V428">
        <v>3.7581469999999999E-2</v>
      </c>
      <c r="W428">
        <v>0.12951869999999999</v>
      </c>
      <c r="X428">
        <v>0.99086450000000004</v>
      </c>
      <c r="Y428">
        <v>-1.293317E-3</v>
      </c>
      <c r="Z428">
        <v>3.5910150000000002E-4</v>
      </c>
      <c r="AA428">
        <v>0.99999910000000003</v>
      </c>
      <c r="AB428">
        <v>27</v>
      </c>
      <c r="AC428">
        <v>17.036299999999901</v>
      </c>
      <c r="AD428">
        <v>-1.07761953806799</v>
      </c>
      <c r="AE428">
        <v>-7.9600000000027593E-2</v>
      </c>
      <c r="AF428">
        <v>-2.2239386605037999E-2</v>
      </c>
      <c r="AG428">
        <v>-1.07761953806799</v>
      </c>
      <c r="AH428">
        <v>16.968579677099299</v>
      </c>
      <c r="AI428">
        <v>93.633786363685303</v>
      </c>
      <c r="AJ428">
        <v>90.075093041732799</v>
      </c>
      <c r="AK428">
        <v>17.002777852963099</v>
      </c>
      <c r="AL428">
        <v>82.558218967967804</v>
      </c>
      <c r="AM428">
        <v>87.827929046317607</v>
      </c>
      <c r="AN428">
        <v>0.99999995894864901</v>
      </c>
    </row>
    <row r="429" spans="1:40" x14ac:dyDescent="0.25">
      <c r="A429" t="str">
        <f>"20190303170235482"</f>
        <v>20190303170235482</v>
      </c>
      <c r="B429" t="str">
        <f>"1551603755475832"</f>
        <v>1551603755475832</v>
      </c>
      <c r="C429" t="s">
        <v>40</v>
      </c>
      <c r="D429">
        <v>4.4448379999999998</v>
      </c>
      <c r="E429">
        <v>0.4844617</v>
      </c>
      <c r="F429" t="s">
        <v>42</v>
      </c>
      <c r="G429">
        <v>-377.41480000000001</v>
      </c>
      <c r="H429" s="1">
        <v>-1.410066E-6</v>
      </c>
      <c r="I429">
        <v>367.81970000000001</v>
      </c>
      <c r="J429">
        <v>-399.27379999999999</v>
      </c>
      <c r="K429">
        <v>1.079213</v>
      </c>
      <c r="L429">
        <v>367.78809999999999</v>
      </c>
      <c r="M429">
        <v>0.99995069999999997</v>
      </c>
      <c r="N429">
        <v>-8.0988710000000005E-3</v>
      </c>
      <c r="O429">
        <v>-5.7402769999999898E-3</v>
      </c>
      <c r="P429">
        <v>0.99145660000000002</v>
      </c>
      <c r="Q429">
        <v>0.12316879999999999</v>
      </c>
      <c r="R429">
        <v>-4.2933789999999999E-2</v>
      </c>
      <c r="S429">
        <v>3.0426639999999998</v>
      </c>
      <c r="T429">
        <v>-0.14821989999999999</v>
      </c>
      <c r="U429">
        <v>4.1809079999999997E-3</v>
      </c>
      <c r="V429">
        <v>3.719898E-2</v>
      </c>
      <c r="W429">
        <v>0.131208399999999</v>
      </c>
      <c r="X429">
        <v>0.99065669999999995</v>
      </c>
      <c r="Y429">
        <v>-7.0999779999999998E-3</v>
      </c>
      <c r="Z429">
        <v>4.3459919999999999E-4</v>
      </c>
      <c r="AA429">
        <v>0.99997469999999999</v>
      </c>
      <c r="AB429">
        <v>27</v>
      </c>
      <c r="AC429">
        <v>21.858999999999899</v>
      </c>
      <c r="AD429">
        <v>-1.0792144100659999</v>
      </c>
      <c r="AE429">
        <v>3.1600000000025802E-2</v>
      </c>
      <c r="AF429">
        <v>-0.15669835259120801</v>
      </c>
      <c r="AG429">
        <v>-1.0792144100659999</v>
      </c>
      <c r="AH429">
        <v>21.805306858266299</v>
      </c>
      <c r="AI429">
        <v>92.833366358921296</v>
      </c>
      <c r="AJ429">
        <v>90.411734619137803</v>
      </c>
      <c r="AK429">
        <v>21.832559751429802</v>
      </c>
      <c r="AL429">
        <v>82.460573699246595</v>
      </c>
      <c r="AM429">
        <v>87.8495641540419</v>
      </c>
      <c r="AN429">
        <v>1.0000000527992401</v>
      </c>
    </row>
    <row r="430" spans="1:40" x14ac:dyDescent="0.25">
      <c r="A430" t="str">
        <f>"20190303170235505"</f>
        <v>20190303170235505</v>
      </c>
      <c r="B430" t="str">
        <f>"1551603755496329"</f>
        <v>1551603755496329</v>
      </c>
      <c r="C430" t="s">
        <v>40</v>
      </c>
      <c r="D430">
        <v>4.4419979999999999</v>
      </c>
      <c r="E430">
        <v>0.48422150000000003</v>
      </c>
      <c r="F430" t="s">
        <v>42</v>
      </c>
      <c r="G430">
        <v>-370.55349999999999</v>
      </c>
      <c r="H430" s="1">
        <v>-4.3380739999999997E-6</v>
      </c>
      <c r="I430">
        <v>367.90679999999998</v>
      </c>
      <c r="J430">
        <v>-399.00040000000001</v>
      </c>
      <c r="K430">
        <v>1.080892</v>
      </c>
      <c r="L430">
        <v>367.78680000000003</v>
      </c>
      <c r="M430">
        <v>0.99996549999999995</v>
      </c>
      <c r="N430">
        <v>-6.2869010000000001E-3</v>
      </c>
      <c r="O430">
        <v>-5.4593350000000001E-3</v>
      </c>
      <c r="P430">
        <v>0.9908304</v>
      </c>
      <c r="Q430">
        <v>0.1282094</v>
      </c>
      <c r="R430">
        <v>-4.2637630000000003E-2</v>
      </c>
      <c r="S430">
        <v>3.0405579999999999</v>
      </c>
      <c r="T430">
        <v>-0.1142541</v>
      </c>
      <c r="U430">
        <v>1.2573239999999999E-2</v>
      </c>
      <c r="V430">
        <v>3.7179219999999999E-2</v>
      </c>
      <c r="W430">
        <v>0.13445099999999999</v>
      </c>
      <c r="X430">
        <v>0.99022250000000001</v>
      </c>
      <c r="Y430">
        <v>-9.5839089999999998E-3</v>
      </c>
      <c r="Z430">
        <v>3.8089880000000001E-4</v>
      </c>
      <c r="AA430">
        <v>0.99995400000000001</v>
      </c>
      <c r="AB430">
        <v>27</v>
      </c>
      <c r="AC430">
        <v>28.446899999999999</v>
      </c>
      <c r="AD430">
        <v>-1.080896338074</v>
      </c>
      <c r="AE430">
        <v>0.119999999999947</v>
      </c>
      <c r="AF430">
        <v>-0.27490551858309598</v>
      </c>
      <c r="AG430">
        <v>-1.080896338074</v>
      </c>
      <c r="AH430">
        <v>28.404811624024902</v>
      </c>
      <c r="AI430">
        <v>92.179139083867</v>
      </c>
      <c r="AJ430">
        <v>90.554498809536398</v>
      </c>
      <c r="AK430">
        <v>28.426699304248199</v>
      </c>
      <c r="AL430">
        <v>82.273124778580097</v>
      </c>
      <c r="AM430">
        <v>87.849763834326794</v>
      </c>
      <c r="AN430">
        <v>0.99999998265352896</v>
      </c>
    </row>
    <row r="431" spans="1:40" x14ac:dyDescent="0.25">
      <c r="A431" t="str">
        <f>"20190303170235517"</f>
        <v>20190303170235517</v>
      </c>
      <c r="B431" t="str">
        <f>"1551603755506088"</f>
        <v>1551603755506088</v>
      </c>
      <c r="C431" t="s">
        <v>40</v>
      </c>
      <c r="D431">
        <v>4.5004530000000003</v>
      </c>
      <c r="E431">
        <v>0.48411720000000003</v>
      </c>
      <c r="F431" t="s">
        <v>42</v>
      </c>
      <c r="G431">
        <v>-362.96010000000001</v>
      </c>
      <c r="H431" s="1">
        <v>-3.294463E-6</v>
      </c>
      <c r="I431">
        <v>367.96980000000002</v>
      </c>
      <c r="J431">
        <v>-398.85</v>
      </c>
      <c r="K431">
        <v>1.0818019999999999</v>
      </c>
      <c r="L431">
        <v>367.78620000000001</v>
      </c>
      <c r="M431">
        <v>0.99997170000000002</v>
      </c>
      <c r="N431">
        <v>-5.3477289999999999E-3</v>
      </c>
      <c r="O431">
        <v>-5.2967700000000001E-3</v>
      </c>
      <c r="P431">
        <v>0.99088900000000002</v>
      </c>
      <c r="Q431">
        <v>0.12792029999999999</v>
      </c>
      <c r="R431">
        <v>-4.2138399999999999E-2</v>
      </c>
      <c r="S431">
        <v>3.0402529999999999</v>
      </c>
      <c r="T431">
        <v>-9.1180919999999999E-2</v>
      </c>
      <c r="U431">
        <v>1.544189E-2</v>
      </c>
      <c r="V431">
        <v>3.6839070000000002E-2</v>
      </c>
      <c r="W431">
        <v>0.13323279999999901</v>
      </c>
      <c r="X431">
        <v>0.9903999</v>
      </c>
      <c r="Y431">
        <v>-1.036869E-2</v>
      </c>
      <c r="Z431">
        <v>3.136805E-4</v>
      </c>
      <c r="AA431">
        <v>0.99994620000000001</v>
      </c>
      <c r="AB431">
        <v>27</v>
      </c>
      <c r="AC431">
        <v>35.889899999999997</v>
      </c>
      <c r="AD431">
        <v>-1.0818052944629999</v>
      </c>
      <c r="AE431">
        <v>0.183600000000012</v>
      </c>
      <c r="AF431">
        <v>-0.37336147063457198</v>
      </c>
      <c r="AG431">
        <v>-1.0818052944629999</v>
      </c>
      <c r="AH431">
        <v>35.855847678171003</v>
      </c>
      <c r="AI431">
        <v>91.728050722994993</v>
      </c>
      <c r="AJ431">
        <v>90.5965906476832</v>
      </c>
      <c r="AK431">
        <v>35.874106458601602</v>
      </c>
      <c r="AL431">
        <v>82.343556552794993</v>
      </c>
      <c r="AM431">
        <v>87.869799253594906</v>
      </c>
      <c r="AN431">
        <v>1.00000002899715</v>
      </c>
    </row>
    <row r="432" spans="1:40" x14ac:dyDescent="0.25">
      <c r="A432" t="str">
        <f>"20190303170235530"</f>
        <v>20190303170235530</v>
      </c>
      <c r="B432" t="str">
        <f>"1551603755515848"</f>
        <v>1551603755515848</v>
      </c>
      <c r="C432" t="s">
        <v>40</v>
      </c>
      <c r="D432">
        <v>4.375095</v>
      </c>
      <c r="E432">
        <v>0.48406779999999999</v>
      </c>
      <c r="F432" t="s">
        <v>42</v>
      </c>
      <c r="G432">
        <v>-361.834</v>
      </c>
      <c r="H432" s="1">
        <v>-3.772044E-6</v>
      </c>
      <c r="I432">
        <v>368.0009</v>
      </c>
      <c r="J432">
        <v>-398.70010000000002</v>
      </c>
      <c r="K432">
        <v>1.0826769999999999</v>
      </c>
      <c r="L432">
        <v>367.78550000000001</v>
      </c>
      <c r="M432">
        <v>0.9999768</v>
      </c>
      <c r="N432">
        <v>-4.4822960000000002E-3</v>
      </c>
      <c r="O432">
        <v>-5.1298050000000003E-3</v>
      </c>
      <c r="P432">
        <v>0.99093569999999997</v>
      </c>
      <c r="Q432">
        <v>0.12760050000000001</v>
      </c>
      <c r="R432">
        <v>-4.200276E-2</v>
      </c>
      <c r="S432">
        <v>3.0397949999999998</v>
      </c>
      <c r="T432">
        <v>-8.8838929999999997E-2</v>
      </c>
      <c r="U432">
        <v>1.7639160000000001E-2</v>
      </c>
      <c r="V432">
        <v>3.6867469999999999E-2</v>
      </c>
      <c r="W432">
        <v>0.13205639999999999</v>
      </c>
      <c r="X432">
        <v>0.9905564</v>
      </c>
      <c r="Y432">
        <v>-1.092539E-2</v>
      </c>
      <c r="Z432">
        <v>3.1100319999999998E-4</v>
      </c>
      <c r="AA432">
        <v>0.9999403</v>
      </c>
      <c r="AB432">
        <v>27</v>
      </c>
      <c r="AC432">
        <v>36.866100000000003</v>
      </c>
      <c r="AD432">
        <v>-1.0826807720439999</v>
      </c>
      <c r="AE432">
        <v>0.21539999999998799</v>
      </c>
      <c r="AF432">
        <v>-0.40416639763859402</v>
      </c>
      <c r="AG432">
        <v>-1.0826807720439999</v>
      </c>
      <c r="AH432">
        <v>36.832743720369798</v>
      </c>
      <c r="AI432">
        <v>91.683595747859002</v>
      </c>
      <c r="AJ432">
        <v>90.628682446920493</v>
      </c>
      <c r="AK432">
        <v>36.850869163448202</v>
      </c>
      <c r="AL432">
        <v>82.411560315089702</v>
      </c>
      <c r="AM432">
        <v>87.868495055725504</v>
      </c>
      <c r="AN432">
        <v>1.00000004235305</v>
      </c>
    </row>
    <row r="433" spans="1:40" x14ac:dyDescent="0.25">
      <c r="A433" t="str">
        <f>"20190303170235548"</f>
        <v>20190303170235548</v>
      </c>
      <c r="B433" t="str">
        <f>"1551603755536344"</f>
        <v>1551603755536344</v>
      </c>
      <c r="C433" t="s">
        <v>40</v>
      </c>
      <c r="D433">
        <v>4.5466989999999896</v>
      </c>
      <c r="E433">
        <v>0.48405759999999998</v>
      </c>
      <c r="F433" t="s">
        <v>42</v>
      </c>
      <c r="G433">
        <v>-360.08120000000002</v>
      </c>
      <c r="H433" s="1">
        <v>-4.5207959999999999E-6</v>
      </c>
      <c r="I433">
        <v>368.01889999999997</v>
      </c>
      <c r="J433">
        <v>-398.49619999999999</v>
      </c>
      <c r="K433">
        <v>1.083955</v>
      </c>
      <c r="L433">
        <v>367.78469999999999</v>
      </c>
      <c r="M433">
        <v>0.99998069999999895</v>
      </c>
      <c r="N433">
        <v>-3.844774E-3</v>
      </c>
      <c r="O433">
        <v>-4.8937540000000002E-3</v>
      </c>
      <c r="P433">
        <v>0.99099429999999999</v>
      </c>
      <c r="Q433">
        <v>0.1274248</v>
      </c>
      <c r="R433">
        <v>-4.1151710000000001E-2</v>
      </c>
      <c r="S433">
        <v>3.0391849999999998</v>
      </c>
      <c r="T433">
        <v>-8.5203409999999993E-2</v>
      </c>
      <c r="U433">
        <v>1.8371579999999998E-2</v>
      </c>
      <c r="V433">
        <v>3.6249440000000001E-2</v>
      </c>
      <c r="W433">
        <v>0.13124910000000001</v>
      </c>
      <c r="X433">
        <v>0.99068650000000003</v>
      </c>
      <c r="Y433">
        <v>-1.093211E-2</v>
      </c>
      <c r="Z433">
        <v>2.9258579999999999E-4</v>
      </c>
      <c r="AA433">
        <v>0.99994019999999995</v>
      </c>
      <c r="AB433">
        <v>27</v>
      </c>
      <c r="AC433">
        <v>38.4149999999999</v>
      </c>
      <c r="AD433">
        <v>-1.083959520796</v>
      </c>
      <c r="AE433">
        <v>0.234199999999987</v>
      </c>
      <c r="AF433">
        <v>-0.42185626135231102</v>
      </c>
      <c r="AG433">
        <v>-1.083959520796</v>
      </c>
      <c r="AH433">
        <v>38.382834430414498</v>
      </c>
      <c r="AI433">
        <v>91.617547427016802</v>
      </c>
      <c r="AJ433">
        <v>90.629698419201404</v>
      </c>
      <c r="AK433">
        <v>38.400454552786002</v>
      </c>
      <c r="AL433">
        <v>82.458221357583298</v>
      </c>
      <c r="AM433">
        <v>87.904469511014497</v>
      </c>
      <c r="AN433">
        <v>1.0000000447166799</v>
      </c>
    </row>
    <row r="434" spans="1:40" x14ac:dyDescent="0.25">
      <c r="A434" t="str">
        <f>"20190303170235560"</f>
        <v>20190303170235560</v>
      </c>
      <c r="B434" t="str">
        <f>"1551603755556841"</f>
        <v>1551603755556841</v>
      </c>
      <c r="C434" t="s">
        <v>40</v>
      </c>
      <c r="D434">
        <v>4.4490939999999997</v>
      </c>
      <c r="E434">
        <v>0.48406929999999998</v>
      </c>
      <c r="F434" t="s">
        <v>42</v>
      </c>
      <c r="G434">
        <v>-359.10899999999998</v>
      </c>
      <c r="H434" s="1">
        <v>-7.0579129999999997E-7</v>
      </c>
      <c r="I434">
        <v>368.05090000000001</v>
      </c>
      <c r="J434">
        <v>-398.34890000000001</v>
      </c>
      <c r="K434">
        <v>1.085008</v>
      </c>
      <c r="L434">
        <v>367.7842</v>
      </c>
      <c r="M434">
        <v>0.99998180000000003</v>
      </c>
      <c r="N434">
        <v>-3.7433969999999999E-3</v>
      </c>
      <c r="O434">
        <v>-4.7147609999999996E-3</v>
      </c>
      <c r="P434">
        <v>0.99105520000000003</v>
      </c>
      <c r="Q434">
        <v>0.12719459999999999</v>
      </c>
      <c r="R434">
        <v>-4.0383479999999999E-2</v>
      </c>
      <c r="S434">
        <v>3.0388489999999999</v>
      </c>
      <c r="T434">
        <v>-8.3630560000000007E-2</v>
      </c>
      <c r="U434">
        <v>2.053833E-2</v>
      </c>
      <c r="V434">
        <v>3.5657870000000001E-2</v>
      </c>
      <c r="W434">
        <v>0.1309186</v>
      </c>
      <c r="X434">
        <v>0.99075159999999995</v>
      </c>
      <c r="Y434">
        <v>-1.1466779999999999E-2</v>
      </c>
      <c r="Z434">
        <v>2.9130170000000002E-4</v>
      </c>
      <c r="AA434">
        <v>0.9999342</v>
      </c>
      <c r="AB434">
        <v>27</v>
      </c>
      <c r="AC434">
        <v>39.239899999999899</v>
      </c>
      <c r="AD434">
        <v>-1.0850087057913</v>
      </c>
      <c r="AE434">
        <v>0.26670000000001398</v>
      </c>
      <c r="AF434">
        <v>-0.45136002156990002</v>
      </c>
      <c r="AG434">
        <v>-1.0850087057913</v>
      </c>
      <c r="AH434">
        <v>39.208230827063097</v>
      </c>
      <c r="AI434">
        <v>91.585035615731201</v>
      </c>
      <c r="AJ434">
        <v>90.659552380395397</v>
      </c>
      <c r="AK434">
        <v>39.225837586327899</v>
      </c>
      <c r="AL434">
        <v>82.477321699470707</v>
      </c>
      <c r="AM434">
        <v>87.938772946319204</v>
      </c>
      <c r="AN434">
        <v>0.99999994821072702</v>
      </c>
    </row>
    <row r="435" spans="1:40" x14ac:dyDescent="0.25">
      <c r="A435" t="str">
        <f>"20190303170235572"</f>
        <v>20190303170235572</v>
      </c>
      <c r="B435" t="str">
        <f>"1551603755556841"</f>
        <v>1551603755556841</v>
      </c>
      <c r="C435" t="s">
        <v>40</v>
      </c>
      <c r="D435">
        <v>4.4490939999999997</v>
      </c>
      <c r="E435">
        <v>0.48406929999999998</v>
      </c>
      <c r="F435" t="s">
        <v>42</v>
      </c>
      <c r="G435">
        <v>-358.5718</v>
      </c>
      <c r="H435" s="1">
        <v>-8.7986900000000003E-7</v>
      </c>
      <c r="I435">
        <v>368.0838</v>
      </c>
      <c r="J435">
        <v>-398.2054</v>
      </c>
      <c r="K435">
        <v>1.0861860000000001</v>
      </c>
      <c r="L435">
        <v>367.78370000000001</v>
      </c>
      <c r="M435">
        <v>0.99998200000000004</v>
      </c>
      <c r="N435">
        <v>-3.942185E-3</v>
      </c>
      <c r="O435">
        <v>-4.5318650000000004E-3</v>
      </c>
      <c r="P435">
        <v>0.99116300000000002</v>
      </c>
      <c r="Q435">
        <v>0.126468</v>
      </c>
      <c r="R435">
        <v>-4.0024200000000003E-2</v>
      </c>
      <c r="S435">
        <v>3.038605</v>
      </c>
      <c r="T435">
        <v>-8.2884429999999995E-2</v>
      </c>
      <c r="U435">
        <v>2.2888180000000001E-2</v>
      </c>
      <c r="V435">
        <v>3.547869E-2</v>
      </c>
      <c r="W435">
        <v>0.13038959999999999</v>
      </c>
      <c r="X435">
        <v>0.99082789999999998</v>
      </c>
      <c r="Y435">
        <v>-1.205758E-2</v>
      </c>
      <c r="Z435">
        <v>2.9391660000000001E-4</v>
      </c>
      <c r="AA435">
        <v>0.99992729999999996</v>
      </c>
      <c r="AB435">
        <v>26</v>
      </c>
      <c r="AC435">
        <v>39.633600000000001</v>
      </c>
      <c r="AD435">
        <v>-1.086186879869</v>
      </c>
      <c r="AE435">
        <v>0.30009999999998599</v>
      </c>
      <c r="AF435">
        <v>-0.47935242355636998</v>
      </c>
      <c r="AG435">
        <v>-1.086186879869</v>
      </c>
      <c r="AH435">
        <v>39.602090625216697</v>
      </c>
      <c r="AI435">
        <v>91.570971870698799</v>
      </c>
      <c r="AJ435">
        <v>90.693486862463203</v>
      </c>
      <c r="AK435">
        <v>39.619883424511002</v>
      </c>
      <c r="AL435">
        <v>82.507894042185796</v>
      </c>
      <c r="AM435">
        <v>87.949279494743493</v>
      </c>
      <c r="AN435">
        <v>1.0000000563253399</v>
      </c>
    </row>
    <row r="436" spans="1:40" x14ac:dyDescent="0.25">
      <c r="A436" t="str">
        <f>"20190303170235584"</f>
        <v>20190303170235584</v>
      </c>
      <c r="B436" t="str">
        <f>"1551603755576362"</f>
        <v>1551603755576362</v>
      </c>
      <c r="C436" t="s">
        <v>40</v>
      </c>
      <c r="D436">
        <v>4.434539</v>
      </c>
      <c r="E436">
        <v>0.4840856</v>
      </c>
      <c r="F436" t="s">
        <v>42</v>
      </c>
      <c r="G436">
        <v>-359.44080000000002</v>
      </c>
      <c r="H436" s="1">
        <v>-5.8443149999999999E-7</v>
      </c>
      <c r="I436">
        <v>368.08269999999999</v>
      </c>
      <c r="J436">
        <v>-398.07</v>
      </c>
      <c r="K436">
        <v>1.087394</v>
      </c>
      <c r="L436">
        <v>367.78320000000002</v>
      </c>
      <c r="M436">
        <v>0.99998220000000004</v>
      </c>
      <c r="N436">
        <v>-4.111834E-3</v>
      </c>
      <c r="O436">
        <v>-4.3604910000000002E-3</v>
      </c>
      <c r="P436">
        <v>0.99126890000000001</v>
      </c>
      <c r="Q436">
        <v>0.12565509999999999</v>
      </c>
      <c r="R436">
        <v>-3.9963230000000002E-2</v>
      </c>
      <c r="S436">
        <v>3.0385439999999999</v>
      </c>
      <c r="T436">
        <v>-8.5140110000000005E-2</v>
      </c>
      <c r="U436">
        <v>2.34375E-2</v>
      </c>
      <c r="V436">
        <v>3.5586E-2</v>
      </c>
      <c r="W436">
        <v>0.12974569999999999</v>
      </c>
      <c r="X436">
        <v>0.99090849999999997</v>
      </c>
      <c r="Y436">
        <v>-1.2066820000000001E-2</v>
      </c>
      <c r="Z436">
        <v>2.9806430000000001E-4</v>
      </c>
      <c r="AA436">
        <v>0.99992720000000002</v>
      </c>
      <c r="AB436">
        <v>26</v>
      </c>
      <c r="AC436">
        <v>38.629199999999898</v>
      </c>
      <c r="AD436">
        <v>-1.0873945844315001</v>
      </c>
      <c r="AE436">
        <v>0.29949999999996602</v>
      </c>
      <c r="AF436">
        <v>-0.46757034929952701</v>
      </c>
      <c r="AG436">
        <v>-1.0873945844315001</v>
      </c>
      <c r="AH436">
        <v>38.596944498416399</v>
      </c>
      <c r="AI436">
        <v>91.613653043058704</v>
      </c>
      <c r="AJ436">
        <v>90.694057459875793</v>
      </c>
      <c r="AK436">
        <v>38.615089973061501</v>
      </c>
      <c r="AL436">
        <v>82.545102325860398</v>
      </c>
      <c r="AM436">
        <v>87.943249303737105</v>
      </c>
      <c r="AN436">
        <v>0.99999998271836898</v>
      </c>
    </row>
    <row r="437" spans="1:40" x14ac:dyDescent="0.25">
      <c r="A437" t="str">
        <f>"20190303170235604"</f>
        <v>20190303170235604</v>
      </c>
      <c r="B437" t="str">
        <f>"1551603755595881"</f>
        <v>1551603755595881</v>
      </c>
      <c r="C437" t="s">
        <v>40</v>
      </c>
      <c r="D437">
        <v>4.4929949999999996</v>
      </c>
      <c r="E437">
        <v>0.48423519999999998</v>
      </c>
      <c r="F437" t="s">
        <v>42</v>
      </c>
      <c r="G437">
        <v>-359.8766</v>
      </c>
      <c r="H437" s="1">
        <v>-4.371306E-7</v>
      </c>
      <c r="I437">
        <v>368.07900000000001</v>
      </c>
      <c r="J437">
        <v>-397.83539999999999</v>
      </c>
      <c r="K437">
        <v>1.0895729999999999</v>
      </c>
      <c r="L437">
        <v>367.78250000000003</v>
      </c>
      <c r="M437">
        <v>0.99998290000000001</v>
      </c>
      <c r="N437">
        <v>-4.2245970000000001E-3</v>
      </c>
      <c r="O437">
        <v>-4.0630060000000001E-3</v>
      </c>
      <c r="P437">
        <v>0.99127399999999999</v>
      </c>
      <c r="Q437">
        <v>0.12550510000000001</v>
      </c>
      <c r="R437">
        <v>-4.030769E-2</v>
      </c>
      <c r="S437">
        <v>3.0383300000000002</v>
      </c>
      <c r="T437">
        <v>-8.6503150000000001E-2</v>
      </c>
      <c r="U437">
        <v>2.3529049999999999E-2</v>
      </c>
      <c r="V437">
        <v>3.6223180000000001E-2</v>
      </c>
      <c r="W437">
        <v>0.1297083</v>
      </c>
      <c r="X437">
        <v>0.9908903</v>
      </c>
      <c r="Y437">
        <v>-1.180002E-2</v>
      </c>
      <c r="Z437">
        <v>2.9136180000000002E-4</v>
      </c>
      <c r="AA437">
        <v>0.99993030000000005</v>
      </c>
      <c r="AB437">
        <v>26</v>
      </c>
      <c r="AC437">
        <v>37.958799999999997</v>
      </c>
      <c r="AD437">
        <v>-1.0895734371305901</v>
      </c>
      <c r="AE437">
        <v>0.29649999999998</v>
      </c>
      <c r="AF437">
        <v>-0.450354712873548</v>
      </c>
      <c r="AG437">
        <v>-1.0895734371305901</v>
      </c>
      <c r="AH437">
        <v>37.926035658821696</v>
      </c>
      <c r="AI437">
        <v>91.645476376051704</v>
      </c>
      <c r="AJ437">
        <v>90.680329783534603</v>
      </c>
      <c r="AK437">
        <v>37.944356239584799</v>
      </c>
      <c r="AL437">
        <v>82.547263386593698</v>
      </c>
      <c r="AM437">
        <v>87.906416513848896</v>
      </c>
      <c r="AN437">
        <v>0.99999997424614495</v>
      </c>
    </row>
    <row r="438" spans="1:40" x14ac:dyDescent="0.25">
      <c r="A438" t="str">
        <f>"20190303170235618"</f>
        <v>20190303170235618</v>
      </c>
      <c r="B438" t="str">
        <f>"1551603755606616"</f>
        <v>1551603755606616</v>
      </c>
      <c r="C438" t="s">
        <v>40</v>
      </c>
      <c r="D438">
        <v>4.4940870000000004</v>
      </c>
      <c r="E438">
        <v>0.48428110000000002</v>
      </c>
      <c r="F438" t="s">
        <v>42</v>
      </c>
      <c r="G438">
        <v>-359.54360000000003</v>
      </c>
      <c r="H438" s="1">
        <v>-5.6014259999999999E-7</v>
      </c>
      <c r="I438">
        <v>368.04239999999999</v>
      </c>
      <c r="J438">
        <v>-397.67989999999998</v>
      </c>
      <c r="K438">
        <v>1.0910580000000001</v>
      </c>
      <c r="L438">
        <v>367.78199999999998</v>
      </c>
      <c r="M438">
        <v>0.99998390000000004</v>
      </c>
      <c r="N438">
        <v>-4.163043E-3</v>
      </c>
      <c r="O438">
        <v>-3.866899E-3</v>
      </c>
      <c r="P438">
        <v>0.9911991</v>
      </c>
      <c r="Q438">
        <v>0.12606989999999901</v>
      </c>
      <c r="R438">
        <v>-4.0388809999999997E-2</v>
      </c>
      <c r="S438">
        <v>3.0382389999999999</v>
      </c>
      <c r="T438">
        <v>-8.645129E-2</v>
      </c>
      <c r="U438">
        <v>2.062988E-2</v>
      </c>
      <c r="V438">
        <v>3.649778E-2</v>
      </c>
      <c r="W438">
        <v>0.13021179999999999</v>
      </c>
      <c r="X438">
        <v>0.99081419999999998</v>
      </c>
      <c r="Y438">
        <v>-1.0650629999999999E-2</v>
      </c>
      <c r="Z438">
        <v>2.6758320000000002E-4</v>
      </c>
      <c r="AA438">
        <v>0.99994329999999998</v>
      </c>
      <c r="AB438">
        <v>26</v>
      </c>
      <c r="AC438">
        <v>38.136299999999899</v>
      </c>
      <c r="AD438">
        <v>-1.0910585601425999</v>
      </c>
      <c r="AE438">
        <v>0.26040000000000402</v>
      </c>
      <c r="AF438">
        <v>-0.40753499303711999</v>
      </c>
      <c r="AG438">
        <v>-1.0910585601425999</v>
      </c>
      <c r="AH438">
        <v>38.103821373247399</v>
      </c>
      <c r="AI438">
        <v>91.640056032792202</v>
      </c>
      <c r="AJ438">
        <v>90.612776986089202</v>
      </c>
      <c r="AK438">
        <v>38.1216171849589</v>
      </c>
      <c r="AL438">
        <v>82.518168328574504</v>
      </c>
      <c r="AM438">
        <v>87.890397929362905</v>
      </c>
      <c r="AN438">
        <v>0.99999998986290395</v>
      </c>
    </row>
    <row r="439" spans="1:40" x14ac:dyDescent="0.25">
      <c r="A439" t="str">
        <f>"20190303170235631"</f>
        <v>20190303170235631</v>
      </c>
      <c r="B439" t="str">
        <f>"1551603755626136"</f>
        <v>1551603755626136</v>
      </c>
      <c r="C439" t="s">
        <v>40</v>
      </c>
      <c r="D439">
        <v>4.4967829999999998</v>
      </c>
      <c r="E439">
        <v>0.48431689999999999</v>
      </c>
      <c r="F439" t="s">
        <v>42</v>
      </c>
      <c r="G439">
        <v>-358.39620000000002</v>
      </c>
      <c r="H439" s="1">
        <v>-9.5051529999999996E-7</v>
      </c>
      <c r="I439">
        <v>368.0428</v>
      </c>
      <c r="J439">
        <v>-397.51369999999997</v>
      </c>
      <c r="K439">
        <v>1.0927119999999999</v>
      </c>
      <c r="L439">
        <v>367.78160000000003</v>
      </c>
      <c r="M439">
        <v>0.99998500000000001</v>
      </c>
      <c r="N439">
        <v>-4.0849679999999996E-3</v>
      </c>
      <c r="O439">
        <v>-3.6625479999999998E-3</v>
      </c>
      <c r="P439">
        <v>0.99112259999999996</v>
      </c>
      <c r="Q439">
        <v>0.1265811</v>
      </c>
      <c r="R439">
        <v>-4.0664930000000002E-2</v>
      </c>
      <c r="S439">
        <v>3.0381770000000001</v>
      </c>
      <c r="T439">
        <v>-8.4381700000000004E-2</v>
      </c>
      <c r="U439">
        <v>2.0172120000000002E-2</v>
      </c>
      <c r="V439">
        <v>3.6976389999999998E-2</v>
      </c>
      <c r="W439">
        <v>0.13064539999999999</v>
      </c>
      <c r="X439">
        <v>0.99073940000000005</v>
      </c>
      <c r="Y439">
        <v>-1.029627E-2</v>
      </c>
      <c r="Z439">
        <v>2.5073249999999999E-4</v>
      </c>
      <c r="AA439">
        <v>0.99994700000000003</v>
      </c>
      <c r="AB439">
        <v>26</v>
      </c>
      <c r="AC439">
        <v>39.1174999999999</v>
      </c>
      <c r="AD439">
        <v>-1.0927129505152999</v>
      </c>
      <c r="AE439">
        <v>0.26119999999997301</v>
      </c>
      <c r="AF439">
        <v>-0.404153804322749</v>
      </c>
      <c r="AG439">
        <v>-1.0927129505152999</v>
      </c>
      <c r="AH439">
        <v>39.085783097150603</v>
      </c>
      <c r="AI439">
        <v>91.601303282353896</v>
      </c>
      <c r="AJ439">
        <v>90.592427225331605</v>
      </c>
      <c r="AK439">
        <v>39.103143124399502</v>
      </c>
      <c r="AL439">
        <v>82.493111029429997</v>
      </c>
      <c r="AM439">
        <v>87.862598151473094</v>
      </c>
      <c r="AN439">
        <v>1.0000000163354701</v>
      </c>
    </row>
    <row r="440" spans="1:40" x14ac:dyDescent="0.25">
      <c r="A440" t="str">
        <f>"20190303170235651"</f>
        <v>20190303170235651</v>
      </c>
      <c r="B440" t="str">
        <f>"1551603755646633"</f>
        <v>1551603755646633</v>
      </c>
      <c r="C440" t="s">
        <v>40</v>
      </c>
      <c r="D440">
        <v>4.4918670000000001</v>
      </c>
      <c r="E440">
        <v>0.484375</v>
      </c>
      <c r="F440" t="s">
        <v>42</v>
      </c>
      <c r="G440">
        <v>-357.03269999999998</v>
      </c>
      <c r="H440" s="1">
        <v>-1.5359030000000001E-6</v>
      </c>
      <c r="I440">
        <v>368.03440000000001</v>
      </c>
      <c r="J440">
        <v>-397.30630000000002</v>
      </c>
      <c r="K440">
        <v>1.0948549999999999</v>
      </c>
      <c r="L440">
        <v>367.78109999999998</v>
      </c>
      <c r="M440">
        <v>0.99998560000000003</v>
      </c>
      <c r="N440">
        <v>-4.1795870000000002E-3</v>
      </c>
      <c r="O440">
        <v>-3.4170350000000001E-3</v>
      </c>
      <c r="P440">
        <v>0.99103490000000005</v>
      </c>
      <c r="Q440">
        <v>0.12717000000000001</v>
      </c>
      <c r="R440">
        <v>-4.0961400000000002E-2</v>
      </c>
      <c r="S440">
        <v>3.0381469999999999</v>
      </c>
      <c r="T440">
        <v>-8.2009200000000004E-2</v>
      </c>
      <c r="U440">
        <v>1.8981930000000001E-2</v>
      </c>
      <c r="V440">
        <v>3.7516620000000001E-2</v>
      </c>
      <c r="W440">
        <v>0.13132849999999999</v>
      </c>
      <c r="X440">
        <v>0.99062879999999998</v>
      </c>
      <c r="Y440">
        <v>-9.6597539999999996E-3</v>
      </c>
      <c r="Z440">
        <v>2.2847960000000001E-4</v>
      </c>
      <c r="AA440">
        <v>0.99995330000000004</v>
      </c>
      <c r="AB440">
        <v>26</v>
      </c>
      <c r="AC440">
        <v>40.273600000000002</v>
      </c>
      <c r="AD440">
        <v>-1.09485653590299</v>
      </c>
      <c r="AE440">
        <v>0.25330000000002401</v>
      </c>
      <c r="AF440">
        <v>-0.39062731872352902</v>
      </c>
      <c r="AG440">
        <v>-1.09485653590299</v>
      </c>
      <c r="AH440">
        <v>40.242759118603502</v>
      </c>
      <c r="AI440">
        <v>91.558348300370696</v>
      </c>
      <c r="AJ440">
        <v>90.556139646550903</v>
      </c>
      <c r="AK440">
        <v>40.259544980219196</v>
      </c>
      <c r="AL440">
        <v>82.453632357449195</v>
      </c>
      <c r="AM440">
        <v>87.831158140815802</v>
      </c>
      <c r="AN440">
        <v>1.0000000455389499</v>
      </c>
    </row>
    <row r="441" spans="1:40" x14ac:dyDescent="0.25">
      <c r="A441" t="str">
        <f>"20190303170235672"</f>
        <v>20190303170235672</v>
      </c>
      <c r="B441" t="str">
        <f>"1551603755666152"</f>
        <v>1551603755666152</v>
      </c>
      <c r="C441" t="s">
        <v>40</v>
      </c>
      <c r="D441">
        <v>4.4344679999999999</v>
      </c>
      <c r="E441">
        <v>0.48441459999999997</v>
      </c>
      <c r="F441" t="s">
        <v>42</v>
      </c>
      <c r="G441">
        <v>-355.96480000000003</v>
      </c>
      <c r="H441" s="1">
        <v>-1.9954859999999998E-6</v>
      </c>
      <c r="I441">
        <v>368.02600000000001</v>
      </c>
      <c r="J441">
        <v>-397.02170000000001</v>
      </c>
      <c r="K441">
        <v>1.097907</v>
      </c>
      <c r="L441">
        <v>367.78039999999999</v>
      </c>
      <c r="M441">
        <v>0.99998430000000005</v>
      </c>
      <c r="N441">
        <v>-4.6862809999999996E-3</v>
      </c>
      <c r="O441">
        <v>-3.09202E-3</v>
      </c>
      <c r="P441">
        <v>0.99103209999999997</v>
      </c>
      <c r="Q441">
        <v>0.12724540000000001</v>
      </c>
      <c r="R441">
        <v>-4.0792450000000001E-2</v>
      </c>
      <c r="S441">
        <v>3.038208</v>
      </c>
      <c r="T441">
        <v>-8.0461500000000005E-2</v>
      </c>
      <c r="U441">
        <v>1.800537E-2</v>
      </c>
      <c r="V441">
        <v>3.7670509999999997E-2</v>
      </c>
      <c r="W441">
        <v>0.13190560000000001</v>
      </c>
      <c r="X441">
        <v>0.99054620000000004</v>
      </c>
      <c r="Y441">
        <v>-9.0137269999999992E-3</v>
      </c>
      <c r="Z441">
        <v>2.0784300000000001E-4</v>
      </c>
      <c r="AA441">
        <v>0.9999593</v>
      </c>
      <c r="AB441">
        <v>26</v>
      </c>
      <c r="AC441">
        <v>41.056899999999899</v>
      </c>
      <c r="AD441">
        <v>-1.097908995486</v>
      </c>
      <c r="AE441">
        <v>0.24560000000002399</v>
      </c>
      <c r="AF441">
        <v>-0.37228276216591699</v>
      </c>
      <c r="AG441">
        <v>-1.097908995486</v>
      </c>
      <c r="AH441">
        <v>41.026607677822803</v>
      </c>
      <c r="AI441">
        <v>91.532857757251506</v>
      </c>
      <c r="AJ441">
        <v>90.519897862508401</v>
      </c>
      <c r="AK441">
        <v>41.042984006616301</v>
      </c>
      <c r="AL441">
        <v>82.420276173969697</v>
      </c>
      <c r="AM441">
        <v>87.822088860864298</v>
      </c>
      <c r="AN441">
        <v>0.99999996448472905</v>
      </c>
    </row>
    <row r="442" spans="1:40" x14ac:dyDescent="0.25">
      <c r="A442" t="str">
        <f>"20190303170235685"</f>
        <v>20190303170235685</v>
      </c>
      <c r="B442" t="str">
        <f>"1551603755675913"</f>
        <v>1551603755675913</v>
      </c>
      <c r="C442" t="s">
        <v>40</v>
      </c>
      <c r="D442">
        <v>4.4524860000000004</v>
      </c>
      <c r="E442">
        <v>0.48420340000000001</v>
      </c>
      <c r="F442" t="s">
        <v>42</v>
      </c>
      <c r="G442">
        <v>-355.5693</v>
      </c>
      <c r="H442" s="1">
        <v>-2.1648020000000001E-6</v>
      </c>
      <c r="I442">
        <v>368.02809999999999</v>
      </c>
      <c r="J442">
        <v>-396.87419999999997</v>
      </c>
      <c r="K442">
        <v>1.0994839999999999</v>
      </c>
      <c r="L442">
        <v>367.78019999999998</v>
      </c>
      <c r="M442">
        <v>0.9999827</v>
      </c>
      <c r="N442">
        <v>-5.1172279999999997E-3</v>
      </c>
      <c r="O442">
        <v>-2.928122E-3</v>
      </c>
      <c r="P442">
        <v>0.99109570000000002</v>
      </c>
      <c r="Q442">
        <v>0.12678800000000001</v>
      </c>
      <c r="R442">
        <v>-4.067051E-2</v>
      </c>
      <c r="S442">
        <v>3.0382389999999999</v>
      </c>
      <c r="T442">
        <v>-8.0470680000000003E-2</v>
      </c>
      <c r="U442">
        <v>1.8157960000000001E-2</v>
      </c>
      <c r="V442">
        <v>3.7711179999999997E-2</v>
      </c>
      <c r="W442">
        <v>0.13187489999999999</v>
      </c>
      <c r="X442">
        <v>0.99054880000000001</v>
      </c>
      <c r="Y442">
        <v>-8.9000590000000001E-3</v>
      </c>
      <c r="Z442">
        <v>2.0317680000000001E-4</v>
      </c>
      <c r="AA442">
        <v>0.99996039999999997</v>
      </c>
      <c r="AB442">
        <v>26</v>
      </c>
      <c r="AC442">
        <v>41.304899999999897</v>
      </c>
      <c r="AD442">
        <v>-1.099486164802</v>
      </c>
      <c r="AE442">
        <v>0.247900000000015</v>
      </c>
      <c r="AF442">
        <v>-0.36858514238467799</v>
      </c>
      <c r="AG442">
        <v>-1.099486164802</v>
      </c>
      <c r="AH442">
        <v>41.2747524633483</v>
      </c>
      <c r="AI442">
        <v>91.525836232457095</v>
      </c>
      <c r="AJ442">
        <v>90.511639936054095</v>
      </c>
      <c r="AK442">
        <v>41.291039170072402</v>
      </c>
      <c r="AL442">
        <v>82.422051107615502</v>
      </c>
      <c r="AM442">
        <v>87.8197455201488</v>
      </c>
      <c r="AN442">
        <v>1.0000000237642199</v>
      </c>
    </row>
    <row r="443" spans="1:40" x14ac:dyDescent="0.25">
      <c r="A443" t="str">
        <f>"20190303170235698"</f>
        <v>20190303170235698</v>
      </c>
      <c r="B443" t="str">
        <f>"1551603755686649"</f>
        <v>1551603755686649</v>
      </c>
      <c r="C443" t="s">
        <v>40</v>
      </c>
      <c r="D443">
        <v>4.4893099999999997</v>
      </c>
      <c r="E443">
        <v>0.48422189999999998</v>
      </c>
      <c r="F443" t="s">
        <v>42</v>
      </c>
      <c r="G443">
        <v>-355.58150000000001</v>
      </c>
      <c r="H443" s="1">
        <v>-2.1542399999999999E-6</v>
      </c>
      <c r="I443">
        <v>368.05799999999999</v>
      </c>
      <c r="J443">
        <v>-396.72989999999999</v>
      </c>
      <c r="K443">
        <v>1.101002</v>
      </c>
      <c r="L443">
        <v>367.7799</v>
      </c>
      <c r="M443">
        <v>0.99998069999999895</v>
      </c>
      <c r="N443">
        <v>-5.5656909999999898E-3</v>
      </c>
      <c r="O443">
        <v>-2.7697300000000002E-3</v>
      </c>
      <c r="P443">
        <v>0.99113510000000005</v>
      </c>
      <c r="Q443">
        <v>0.1264855</v>
      </c>
      <c r="R443">
        <v>-4.0657350000000002E-2</v>
      </c>
      <c r="S443">
        <v>3.0380859999999998</v>
      </c>
      <c r="T443">
        <v>-8.0893870000000007E-2</v>
      </c>
      <c r="U443">
        <v>2.0446780000000001E-2</v>
      </c>
      <c r="V443">
        <v>3.7855340000000001E-2</v>
      </c>
      <c r="W443">
        <v>0.13201669999999999</v>
      </c>
      <c r="X443">
        <v>0.99052439999999997</v>
      </c>
      <c r="Y443">
        <v>-9.4950020000000006E-3</v>
      </c>
      <c r="Z443">
        <v>2.111367E-4</v>
      </c>
      <c r="AA443">
        <v>0.99995489999999998</v>
      </c>
      <c r="AB443">
        <v>26</v>
      </c>
      <c r="AC443">
        <v>41.148399999999903</v>
      </c>
      <c r="AD443">
        <v>-1.10100415424</v>
      </c>
      <c r="AE443">
        <v>0.27810000000005097</v>
      </c>
      <c r="AF443">
        <v>-0.39179017121226101</v>
      </c>
      <c r="AG443">
        <v>-1.10100415424</v>
      </c>
      <c r="AH443">
        <v>41.118035499232597</v>
      </c>
      <c r="AI443">
        <v>91.533754201700006</v>
      </c>
      <c r="AJ443">
        <v>90.545922091701499</v>
      </c>
      <c r="AK443">
        <v>41.134639332344598</v>
      </c>
      <c r="AL443">
        <v>82.413854812133906</v>
      </c>
      <c r="AM443">
        <v>87.811365205855694</v>
      </c>
      <c r="AN443">
        <v>1.00000001142038</v>
      </c>
    </row>
    <row r="444" spans="1:40" x14ac:dyDescent="0.25">
      <c r="A444" t="str">
        <f>"20190303170235715"</f>
        <v>20190303170235715</v>
      </c>
      <c r="B444" t="str">
        <f>"1551603755706169"</f>
        <v>1551603755706169</v>
      </c>
      <c r="C444" t="s">
        <v>40</v>
      </c>
      <c r="D444">
        <v>4.4299400000000002</v>
      </c>
      <c r="E444">
        <v>0.484236</v>
      </c>
      <c r="F444" t="s">
        <v>42</v>
      </c>
      <c r="G444">
        <v>-355.95729999999998</v>
      </c>
      <c r="H444" s="1">
        <v>-1.9935769999999999E-6</v>
      </c>
      <c r="I444">
        <v>368.05509999999998</v>
      </c>
      <c r="J444">
        <v>-396.52940000000001</v>
      </c>
      <c r="K444">
        <v>1.10303</v>
      </c>
      <c r="L444">
        <v>367.77949999999998</v>
      </c>
      <c r="M444">
        <v>0.99997740000000002</v>
      </c>
      <c r="N444">
        <v>-6.2248570000000003E-3</v>
      </c>
      <c r="O444">
        <v>-2.5549499999999998E-3</v>
      </c>
      <c r="P444">
        <v>0.99125149999999995</v>
      </c>
      <c r="Q444">
        <v>0.12566189999999999</v>
      </c>
      <c r="R444">
        <v>-4.0373930000000002E-2</v>
      </c>
      <c r="S444">
        <v>3.0381469999999999</v>
      </c>
      <c r="T444">
        <v>-8.2040429999999998E-2</v>
      </c>
      <c r="U444">
        <v>2.0507810000000001E-2</v>
      </c>
      <c r="V444">
        <v>3.77855E-2</v>
      </c>
      <c r="W444">
        <v>0.13184650000000001</v>
      </c>
      <c r="X444">
        <v>0.99054969999999998</v>
      </c>
      <c r="Y444">
        <v>-9.3001460000000005E-3</v>
      </c>
      <c r="Z444">
        <v>2.0757410000000001E-4</v>
      </c>
      <c r="AA444">
        <v>0.99995670000000003</v>
      </c>
      <c r="AB444">
        <v>26</v>
      </c>
      <c r="AC444">
        <v>40.572099999999999</v>
      </c>
      <c r="AD444">
        <v>-1.1030319935770001</v>
      </c>
      <c r="AE444">
        <v>0.27559999999999701</v>
      </c>
      <c r="AF444">
        <v>-0.37898068840065602</v>
      </c>
      <c r="AG444">
        <v>-1.1030319935770001</v>
      </c>
      <c r="AH444">
        <v>40.541299477511501</v>
      </c>
      <c r="AI444">
        <v>91.558428862932402</v>
      </c>
      <c r="AJ444">
        <v>90.535586223925606</v>
      </c>
      <c r="AK444">
        <v>40.558072800199902</v>
      </c>
      <c r="AL444">
        <v>82.423692276183402</v>
      </c>
      <c r="AM444">
        <v>87.815454885428593</v>
      </c>
      <c r="AN444">
        <v>0.99999997587129397</v>
      </c>
    </row>
    <row r="445" spans="1:40" x14ac:dyDescent="0.25">
      <c r="A445" t="str">
        <f>"20190303170235727"</f>
        <v>20190303170235727</v>
      </c>
      <c r="B445" t="str">
        <f>"1551603755715928"</f>
        <v>1551603755715928</v>
      </c>
      <c r="C445" t="s">
        <v>40</v>
      </c>
      <c r="D445">
        <v>4.4932019999999904</v>
      </c>
      <c r="E445">
        <v>0.48421530000000002</v>
      </c>
      <c r="F445" t="s">
        <v>42</v>
      </c>
      <c r="G445">
        <v>-357.26100000000002</v>
      </c>
      <c r="H445" s="1">
        <v>-1.435529E-6</v>
      </c>
      <c r="I445">
        <v>368.04809999999998</v>
      </c>
      <c r="J445">
        <v>-396.38420000000002</v>
      </c>
      <c r="K445">
        <v>1.1043940000000001</v>
      </c>
      <c r="L445">
        <v>367.77929999999998</v>
      </c>
      <c r="M445">
        <v>0.99997469999999999</v>
      </c>
      <c r="N445">
        <v>-6.6872750000000003E-3</v>
      </c>
      <c r="O445">
        <v>-2.408552E-3</v>
      </c>
      <c r="P445">
        <v>0.99136610000000003</v>
      </c>
      <c r="Q445">
        <v>0.124864</v>
      </c>
      <c r="R445">
        <v>-4.0029719999999998E-2</v>
      </c>
      <c r="S445">
        <v>3.0381469999999999</v>
      </c>
      <c r="T445">
        <v>-8.5340020000000003E-2</v>
      </c>
      <c r="U445">
        <v>2.0782470000000001E-2</v>
      </c>
      <c r="V445">
        <v>3.758777E-2</v>
      </c>
      <c r="W445">
        <v>0.1315067</v>
      </c>
      <c r="X445">
        <v>0.99060239999999999</v>
      </c>
      <c r="Y445">
        <v>-9.243813E-3</v>
      </c>
      <c r="Z445">
        <v>2.122529E-4</v>
      </c>
      <c r="AA445">
        <v>0.99995730000000005</v>
      </c>
      <c r="AB445">
        <v>26</v>
      </c>
      <c r="AC445">
        <v>39.123199999999997</v>
      </c>
      <c r="AD445">
        <v>-1.104395435529</v>
      </c>
      <c r="AE445">
        <v>0.26879999999999798</v>
      </c>
      <c r="AF445">
        <v>-0.36274255229781899</v>
      </c>
      <c r="AG445">
        <v>-1.104395435529</v>
      </c>
      <c r="AH445">
        <v>39.091290378891998</v>
      </c>
      <c r="AI445">
        <v>91.618203128804097</v>
      </c>
      <c r="AJ445">
        <v>90.531653485713605</v>
      </c>
      <c r="AK445">
        <v>39.108570095621197</v>
      </c>
      <c r="AL445">
        <v>82.443332454312795</v>
      </c>
      <c r="AM445">
        <v>87.826991032408301</v>
      </c>
      <c r="AN445">
        <v>0.99999998374211096</v>
      </c>
    </row>
    <row r="446" spans="1:40" x14ac:dyDescent="0.25">
      <c r="A446" t="str">
        <f>"20190303170235741"</f>
        <v>20190303170235741</v>
      </c>
      <c r="B446" t="str">
        <f>"1551603755736424"</f>
        <v>1551603755736424</v>
      </c>
      <c r="C446" t="s">
        <v>40</v>
      </c>
      <c r="D446">
        <v>4.4905039999999996</v>
      </c>
      <c r="E446">
        <v>0.4842243</v>
      </c>
      <c r="F446" t="s">
        <v>42</v>
      </c>
      <c r="G446">
        <v>-358.25420000000003</v>
      </c>
      <c r="H446" s="1">
        <v>-1.008225E-6</v>
      </c>
      <c r="I446">
        <v>368.05509999999998</v>
      </c>
      <c r="J446">
        <v>-396.23289999999997</v>
      </c>
      <c r="K446">
        <v>1.1057650000000001</v>
      </c>
      <c r="L446">
        <v>367.77910000000003</v>
      </c>
      <c r="M446">
        <v>0.99997190000000002</v>
      </c>
      <c r="N446">
        <v>-7.1575450000000004E-3</v>
      </c>
      <c r="O446">
        <v>-2.2614649999999998E-3</v>
      </c>
      <c r="P446">
        <v>0.99145950000000005</v>
      </c>
      <c r="Q446">
        <v>0.1241454</v>
      </c>
      <c r="R446">
        <v>-3.9952509999999997E-2</v>
      </c>
      <c r="S446">
        <v>3.0380549999999999</v>
      </c>
      <c r="T446">
        <v>-8.7993859999999993E-2</v>
      </c>
      <c r="U446">
        <v>2.1972660000000001E-2</v>
      </c>
      <c r="V446">
        <v>3.765785E-2</v>
      </c>
      <c r="W446">
        <v>0.13125419999999999</v>
      </c>
      <c r="X446">
        <v>0.99063319999999999</v>
      </c>
      <c r="Y446">
        <v>-9.4882300000000003E-3</v>
      </c>
      <c r="Z446">
        <v>2.2064569999999999E-4</v>
      </c>
      <c r="AA446">
        <v>0.99995489999999998</v>
      </c>
      <c r="AB446">
        <v>26</v>
      </c>
      <c r="AC446">
        <v>37.978699999999897</v>
      </c>
      <c r="AD446">
        <v>-1.10576600822499</v>
      </c>
      <c r="AE446">
        <v>0.27599999999995301</v>
      </c>
      <c r="AF446">
        <v>-0.36158248867981302</v>
      </c>
      <c r="AG446">
        <v>-1.10576600822499</v>
      </c>
      <c r="AH446">
        <v>37.945813428017303</v>
      </c>
      <c r="AI446">
        <v>91.669088673005604</v>
      </c>
      <c r="AJ446">
        <v>90.545950176554499</v>
      </c>
      <c r="AK446">
        <v>37.9636433588106</v>
      </c>
      <c r="AL446">
        <v>82.457925939946506</v>
      </c>
      <c r="AM446">
        <v>87.823011112778303</v>
      </c>
      <c r="AN446">
        <v>0.99999995781325002</v>
      </c>
    </row>
    <row r="447" spans="1:40" x14ac:dyDescent="0.25">
      <c r="A447" t="str">
        <f>"20190303170235753"</f>
        <v>20190303170235753</v>
      </c>
      <c r="B447" t="str">
        <f>"1551603755746184"</f>
        <v>1551603755746184</v>
      </c>
      <c r="C447" t="s">
        <v>40</v>
      </c>
      <c r="D447">
        <v>4.5478680000000002</v>
      </c>
      <c r="E447">
        <v>0.48422330000000002</v>
      </c>
      <c r="F447" t="s">
        <v>42</v>
      </c>
      <c r="G447">
        <v>-359.0992</v>
      </c>
      <c r="H447" s="1">
        <v>-7.0931500000000002E-7</v>
      </c>
      <c r="I447">
        <v>368.05029999999999</v>
      </c>
      <c r="J447">
        <v>-396.08370000000002</v>
      </c>
      <c r="K447">
        <v>1.1070530000000001</v>
      </c>
      <c r="L447">
        <v>367.77890000000002</v>
      </c>
      <c r="M447">
        <v>0.99996890000000005</v>
      </c>
      <c r="N447">
        <v>-7.6067319999999997E-3</v>
      </c>
      <c r="O447">
        <v>-2.122891E-3</v>
      </c>
      <c r="P447">
        <v>0.99156100000000003</v>
      </c>
      <c r="Q447">
        <v>0.1234541</v>
      </c>
      <c r="R447">
        <v>-3.9573289999999997E-2</v>
      </c>
      <c r="S447">
        <v>3.0380549999999999</v>
      </c>
      <c r="T447">
        <v>-9.0466740000000004E-2</v>
      </c>
      <c r="U447">
        <v>2.2186279999999999E-2</v>
      </c>
      <c r="V447">
        <v>3.7417680000000002E-2</v>
      </c>
      <c r="W447">
        <v>0.1310084</v>
      </c>
      <c r="X447">
        <v>0.99067490000000002</v>
      </c>
      <c r="Y447">
        <v>-9.4197110000000008E-3</v>
      </c>
      <c r="Z447">
        <v>2.2310869999999999E-4</v>
      </c>
      <c r="AA447">
        <v>0.99995560000000006</v>
      </c>
      <c r="AB447">
        <v>26</v>
      </c>
      <c r="AC447">
        <v>36.984499999999997</v>
      </c>
      <c r="AD447">
        <v>-1.1070537093149999</v>
      </c>
      <c r="AE447">
        <v>0.271399999999971</v>
      </c>
      <c r="AF447">
        <v>-0.34960249586494302</v>
      </c>
      <c r="AG447">
        <v>-1.1070537093149999</v>
      </c>
      <c r="AH447">
        <v>36.9507351837008</v>
      </c>
      <c r="AI447">
        <v>91.716006472071399</v>
      </c>
      <c r="AJ447">
        <v>90.542077167314105</v>
      </c>
      <c r="AK447">
        <v>36.968968344226298</v>
      </c>
      <c r="AL447">
        <v>82.472132386774106</v>
      </c>
      <c r="AM447">
        <v>87.836973000731803</v>
      </c>
      <c r="AN447">
        <v>1.00000002056857</v>
      </c>
    </row>
    <row r="448" spans="1:40" x14ac:dyDescent="0.25">
      <c r="A448" t="str">
        <f>"20190303170235765"</f>
        <v>20190303170235765</v>
      </c>
      <c r="B448" t="str">
        <f>"1551603755755944"</f>
        <v>1551603755755944</v>
      </c>
      <c r="C448" t="s">
        <v>40</v>
      </c>
      <c r="D448">
        <v>4.4918930000000001</v>
      </c>
      <c r="E448">
        <v>0.48421059999999999</v>
      </c>
      <c r="F448" t="s">
        <v>42</v>
      </c>
      <c r="G448">
        <v>-359.9074</v>
      </c>
      <c r="H448" s="1">
        <v>-4.3279860000000001E-7</v>
      </c>
      <c r="I448">
        <v>368.05579999999998</v>
      </c>
      <c r="J448">
        <v>-395.94330000000002</v>
      </c>
      <c r="K448">
        <v>1.1081669999999999</v>
      </c>
      <c r="L448">
        <v>367.77879999999999</v>
      </c>
      <c r="M448">
        <v>0.99996600000000002</v>
      </c>
      <c r="N448">
        <v>-8.0106099999999996E-3</v>
      </c>
      <c r="O448">
        <v>-2.0057349999999998E-3</v>
      </c>
      <c r="P448">
        <v>0.99156920000000004</v>
      </c>
      <c r="Q448">
        <v>0.12336320000000001</v>
      </c>
      <c r="R448">
        <v>-3.9651359999999997E-2</v>
      </c>
      <c r="S448">
        <v>3.0380250000000002</v>
      </c>
      <c r="T448">
        <v>-9.2968229999999999E-2</v>
      </c>
      <c r="U448">
        <v>2.325439E-2</v>
      </c>
      <c r="V448">
        <v>3.7614540000000002E-2</v>
      </c>
      <c r="W448">
        <v>0.13131660000000001</v>
      </c>
      <c r="X448">
        <v>0.99062660000000002</v>
      </c>
      <c r="Y448">
        <v>-9.6537319999999999E-3</v>
      </c>
      <c r="Z448">
        <v>2.3165060000000001E-4</v>
      </c>
      <c r="AA448">
        <v>0.99995339999999999</v>
      </c>
      <c r="AB448">
        <v>26</v>
      </c>
      <c r="AC448">
        <v>36.035899999999998</v>
      </c>
      <c r="AD448">
        <v>-1.1081674327986</v>
      </c>
      <c r="AE448">
        <v>0.27699999999998598</v>
      </c>
      <c r="AF448">
        <v>-0.34895024822439702</v>
      </c>
      <c r="AG448">
        <v>-1.1081674327986</v>
      </c>
      <c r="AH448">
        <v>36.001228600896603</v>
      </c>
      <c r="AI448">
        <v>91.7630035988809</v>
      </c>
      <c r="AJ448">
        <v>90.555335225380006</v>
      </c>
      <c r="AK448">
        <v>36.019970323542204</v>
      </c>
      <c r="AL448">
        <v>82.454319650105106</v>
      </c>
      <c r="AM448">
        <v>87.825497972371295</v>
      </c>
      <c r="AN448">
        <v>0.99999998184126504</v>
      </c>
    </row>
    <row r="449" spans="1:40" x14ac:dyDescent="0.25">
      <c r="A449" t="str">
        <f>"20190303170235785"</f>
        <v>20190303170235785</v>
      </c>
      <c r="B449" t="str">
        <f>"1551603755776440"</f>
        <v>1551603755776440</v>
      </c>
      <c r="C449" t="s">
        <v>40</v>
      </c>
      <c r="D449">
        <v>4.5509019999999998</v>
      </c>
      <c r="E449">
        <v>0.48422290000000001</v>
      </c>
      <c r="F449" t="s">
        <v>42</v>
      </c>
      <c r="G449">
        <v>-359.9117</v>
      </c>
      <c r="H449" s="1">
        <v>-4.3263430000000001E-7</v>
      </c>
      <c r="I449">
        <v>368.05090000000001</v>
      </c>
      <c r="J449">
        <v>-395.71050000000002</v>
      </c>
      <c r="K449">
        <v>1.109891</v>
      </c>
      <c r="L449">
        <v>367.77859999999998</v>
      </c>
      <c r="M449">
        <v>0.99996079999999998</v>
      </c>
      <c r="N449">
        <v>-8.6563969999999997E-3</v>
      </c>
      <c r="O449">
        <v>-1.830281E-3</v>
      </c>
      <c r="P449">
        <v>0.99154089999999995</v>
      </c>
      <c r="Q449">
        <v>0.12356300000000001</v>
      </c>
      <c r="R449">
        <v>-3.9731160000000001E-2</v>
      </c>
      <c r="S449">
        <v>3.0380549999999999</v>
      </c>
      <c r="T449">
        <v>-9.3436480000000002E-2</v>
      </c>
      <c r="U449">
        <v>2.2949219999999999E-2</v>
      </c>
      <c r="V449">
        <v>3.787418E-2</v>
      </c>
      <c r="W449">
        <v>0.1321542</v>
      </c>
      <c r="X449">
        <v>0.99050530000000003</v>
      </c>
      <c r="Y449">
        <v>-9.3778590000000005E-3</v>
      </c>
      <c r="Z449">
        <v>2.252124E-4</v>
      </c>
      <c r="AA449">
        <v>0.99995599999999996</v>
      </c>
      <c r="AB449">
        <v>26</v>
      </c>
      <c r="AC449">
        <v>35.7988</v>
      </c>
      <c r="AD449">
        <v>-1.1098914326342999</v>
      </c>
      <c r="AE449">
        <v>0.27230000000002902</v>
      </c>
      <c r="AF449">
        <v>-0.33749947271684699</v>
      </c>
      <c r="AG449">
        <v>-1.1098914326342999</v>
      </c>
      <c r="AH449">
        <v>35.763866574687398</v>
      </c>
      <c r="AI449">
        <v>91.777460571070094</v>
      </c>
      <c r="AJ449">
        <v>90.540677595321498</v>
      </c>
      <c r="AK449">
        <v>35.7826762171076</v>
      </c>
      <c r="AL449">
        <v>82.405906672601901</v>
      </c>
      <c r="AM449">
        <v>87.810234833720102</v>
      </c>
      <c r="AN449">
        <v>0.99999996770819999</v>
      </c>
    </row>
    <row r="450" spans="1:40" x14ac:dyDescent="0.25">
      <c r="A450" t="str">
        <f>"20190303170235797"</f>
        <v>20190303170235797</v>
      </c>
      <c r="B450" t="str">
        <f>"1551603755786200"</f>
        <v>1551603755786200</v>
      </c>
      <c r="C450" t="s">
        <v>40</v>
      </c>
      <c r="D450">
        <v>4.4240519999999997</v>
      </c>
      <c r="E450">
        <v>0.49709229999999999</v>
      </c>
      <c r="F450" t="s">
        <v>42</v>
      </c>
      <c r="G450">
        <v>-359.4</v>
      </c>
      <c r="H450" s="1">
        <v>-6.0713519999999997E-7</v>
      </c>
      <c r="I450">
        <v>368.04950000000002</v>
      </c>
      <c r="J450">
        <v>-395.56889999999999</v>
      </c>
      <c r="K450">
        <v>1.1108579999999999</v>
      </c>
      <c r="L450">
        <v>367.77839999999998</v>
      </c>
      <c r="M450">
        <v>0.99995769999999995</v>
      </c>
      <c r="N450">
        <v>-9.0331439999999999E-3</v>
      </c>
      <c r="O450">
        <v>-1.7360749999999999E-3</v>
      </c>
      <c r="P450">
        <v>0.99159600000000003</v>
      </c>
      <c r="Q450">
        <v>0.1230714</v>
      </c>
      <c r="R450">
        <v>-3.9886940000000003E-2</v>
      </c>
      <c r="S450">
        <v>3.038116</v>
      </c>
      <c r="T450">
        <v>-9.2864989999999994E-2</v>
      </c>
      <c r="U450">
        <v>2.267456E-2</v>
      </c>
      <c r="V450">
        <v>3.8127910000000001E-2</v>
      </c>
      <c r="W450">
        <v>0.13203509999999999</v>
      </c>
      <c r="X450">
        <v>0.99051149999999999</v>
      </c>
      <c r="Y450">
        <v>-9.1932750000000008E-3</v>
      </c>
      <c r="Z450">
        <v>2.1937820000000001E-4</v>
      </c>
      <c r="AA450">
        <v>0.99995769999999995</v>
      </c>
      <c r="AB450">
        <v>26</v>
      </c>
      <c r="AC450">
        <v>36.168900000000001</v>
      </c>
      <c r="AD450">
        <v>-1.11085860713519</v>
      </c>
      <c r="AE450">
        <v>0.27110000000004603</v>
      </c>
      <c r="AF450">
        <v>-0.333579430342899</v>
      </c>
      <c r="AG450">
        <v>-1.11085860713519</v>
      </c>
      <c r="AH450">
        <v>36.1342914833523</v>
      </c>
      <c r="AI450">
        <v>91.760786168943895</v>
      </c>
      <c r="AJ450">
        <v>90.528920030915501</v>
      </c>
      <c r="AK450">
        <v>36.152901724277399</v>
      </c>
      <c r="AL450">
        <v>82.412791312960593</v>
      </c>
      <c r="AM450">
        <v>87.795593177860496</v>
      </c>
      <c r="AN450">
        <v>1.0000000183926101</v>
      </c>
    </row>
    <row r="451" spans="1:40" x14ac:dyDescent="0.25">
      <c r="A451" t="str">
        <f>"20190303170235809"</f>
        <v>20190303170235809</v>
      </c>
      <c r="B451" t="str">
        <f>"1551603755795961"</f>
        <v>1551603755795961</v>
      </c>
      <c r="C451" t="s">
        <v>40</v>
      </c>
      <c r="D451">
        <v>4.450126</v>
      </c>
      <c r="E451">
        <v>0.50368500000000005</v>
      </c>
      <c r="F451" t="s">
        <v>43</v>
      </c>
      <c r="G451">
        <v>-394.61950000000002</v>
      </c>
      <c r="H451">
        <v>1.042041</v>
      </c>
      <c r="I451">
        <v>367.75450000000001</v>
      </c>
      <c r="J451">
        <v>-395.42110000000002</v>
      </c>
      <c r="K451">
        <v>1.111775</v>
      </c>
      <c r="L451">
        <v>367.77820000000003</v>
      </c>
      <c r="M451">
        <v>0.99995449999999997</v>
      </c>
      <c r="N451">
        <v>-9.4050720000000004E-3</v>
      </c>
      <c r="O451">
        <v>-1.653051E-3</v>
      </c>
      <c r="P451">
        <v>0.99170320000000001</v>
      </c>
      <c r="Q451">
        <v>0.12218560000000001</v>
      </c>
      <c r="R451">
        <v>-3.9946339999999997E-2</v>
      </c>
      <c r="S451">
        <v>3.0498660000000002</v>
      </c>
      <c r="T451">
        <v>-0.22130250000000001</v>
      </c>
      <c r="U451">
        <v>-7.5927729999999999E-2</v>
      </c>
      <c r="V451">
        <v>3.8275080000000003E-2</v>
      </c>
      <c r="W451">
        <v>0.13151749999999901</v>
      </c>
      <c r="X451">
        <v>0.99057470000000003</v>
      </c>
      <c r="Y451">
        <v>2.3169579999999999E-2</v>
      </c>
      <c r="Z451">
        <v>-8.4426819999999997E-4</v>
      </c>
      <c r="AA451">
        <v>0.99973120000000004</v>
      </c>
      <c r="AB451">
        <v>26</v>
      </c>
      <c r="AC451">
        <v>0.80160000000000697</v>
      </c>
      <c r="AD451">
        <v>-6.9733999999999893E-2</v>
      </c>
      <c r="AE451">
        <v>-2.3700000000019299E-2</v>
      </c>
      <c r="AF451">
        <v>2.2206911184166799E-2</v>
      </c>
      <c r="AG451">
        <v>-6.9733999999999893E-2</v>
      </c>
      <c r="AH451">
        <v>0.79562217623920395</v>
      </c>
      <c r="AI451">
        <v>95.007070276899299</v>
      </c>
      <c r="AJ451">
        <v>88.401210938992705</v>
      </c>
      <c r="AK451">
        <v>0.79898099162867997</v>
      </c>
      <c r="AL451">
        <v>82.442708631104296</v>
      </c>
      <c r="AM451">
        <v>87.787233872383794</v>
      </c>
      <c r="AN451">
        <v>1.0000000354176699</v>
      </c>
    </row>
    <row r="452" spans="1:40" x14ac:dyDescent="0.25">
      <c r="A452" t="str">
        <f>"20190303170235828"</f>
        <v>20190303170235828</v>
      </c>
      <c r="B452" t="str">
        <f>"1551603755816457"</f>
        <v>1551603755816457</v>
      </c>
      <c r="C452" t="s">
        <v>40</v>
      </c>
      <c r="D452">
        <v>4.4992570000000001</v>
      </c>
      <c r="E452">
        <v>0.51414950000000004</v>
      </c>
      <c r="F452" t="s">
        <v>43</v>
      </c>
      <c r="G452">
        <v>-394.63209999999998</v>
      </c>
      <c r="H452">
        <v>1.0401049999999901</v>
      </c>
      <c r="I452">
        <v>367.74509999999998</v>
      </c>
      <c r="J452">
        <v>-395.21789999999999</v>
      </c>
      <c r="K452">
        <v>1.112927</v>
      </c>
      <c r="L452">
        <v>367.77800000000002</v>
      </c>
      <c r="M452">
        <v>0.99994989999999995</v>
      </c>
      <c r="N452">
        <v>-9.8867880000000005E-3</v>
      </c>
      <c r="O452">
        <v>-1.559174E-3</v>
      </c>
      <c r="P452">
        <v>0.99194689999999996</v>
      </c>
      <c r="Q452">
        <v>0.1201706</v>
      </c>
      <c r="R452">
        <v>-4.000306E-2</v>
      </c>
      <c r="S452">
        <v>3.0541990000000001</v>
      </c>
      <c r="T452">
        <v>-0.27767180000000002</v>
      </c>
      <c r="U452">
        <v>-0.1269226</v>
      </c>
      <c r="V452">
        <v>3.8432880000000003E-2</v>
      </c>
      <c r="W452">
        <v>0.1299797</v>
      </c>
      <c r="X452">
        <v>0.99077150000000003</v>
      </c>
      <c r="Y452">
        <v>3.9786349999999998E-2</v>
      </c>
      <c r="Z452">
        <v>-1.8752879999999999E-3</v>
      </c>
      <c r="AA452">
        <v>0.99920640000000005</v>
      </c>
      <c r="AB452">
        <v>26</v>
      </c>
      <c r="AC452">
        <v>0.58580000000000598</v>
      </c>
      <c r="AD452">
        <v>-7.2822000000000095E-2</v>
      </c>
      <c r="AE452">
        <v>-3.2900000000040501E-2</v>
      </c>
      <c r="AF452">
        <v>3.1501277333509201E-2</v>
      </c>
      <c r="AG452">
        <v>-7.2822000000000095E-2</v>
      </c>
      <c r="AH452">
        <v>0.57696253947474796</v>
      </c>
      <c r="AI452">
        <v>97.183028918287505</v>
      </c>
      <c r="AJ452">
        <v>86.874840457675305</v>
      </c>
      <c r="AK452">
        <v>0.58239260479061095</v>
      </c>
      <c r="AL452">
        <v>82.531580642859595</v>
      </c>
      <c r="AM452">
        <v>87.778561130228894</v>
      </c>
      <c r="AN452">
        <v>0.99999998694471703</v>
      </c>
    </row>
    <row r="453" spans="1:40" x14ac:dyDescent="0.25">
      <c r="A453" t="str">
        <f>"20190303170235842"</f>
        <v>20190303170235842</v>
      </c>
      <c r="B453" t="str">
        <f>"1551603755835977"</f>
        <v>1551603755835977</v>
      </c>
      <c r="C453" t="s">
        <v>40</v>
      </c>
      <c r="D453">
        <v>4.4903969999999997</v>
      </c>
      <c r="E453">
        <v>0.51947589999999999</v>
      </c>
      <c r="F453" t="s">
        <v>43</v>
      </c>
      <c r="G453">
        <v>-394.42020000000002</v>
      </c>
      <c r="H453">
        <v>1.0047630000000001</v>
      </c>
      <c r="I453">
        <v>367.7242</v>
      </c>
      <c r="J453">
        <v>-395.04669999999999</v>
      </c>
      <c r="K453">
        <v>1.113804</v>
      </c>
      <c r="L453">
        <v>367.77789999999999</v>
      </c>
      <c r="M453">
        <v>0.99994620000000001</v>
      </c>
      <c r="N453">
        <v>-1.0265720000000001E-2</v>
      </c>
      <c r="O453">
        <v>-1.4999239999999999E-3</v>
      </c>
      <c r="P453">
        <v>0.99209270000000005</v>
      </c>
      <c r="Q453">
        <v>0.11904670000000001</v>
      </c>
      <c r="R453">
        <v>-3.9754829999999998E-2</v>
      </c>
      <c r="S453">
        <v>3.0664669999999998</v>
      </c>
      <c r="T453">
        <v>-0.41590909999999898</v>
      </c>
      <c r="U453">
        <v>-0.20626829999999999</v>
      </c>
      <c r="V453">
        <v>3.8250060000000002E-2</v>
      </c>
      <c r="W453">
        <v>0.12923029999999999</v>
      </c>
      <c r="X453">
        <v>0.9908766</v>
      </c>
      <c r="Y453">
        <v>6.4991300000000002E-2</v>
      </c>
      <c r="Z453">
        <v>-4.5310999999999997E-3</v>
      </c>
      <c r="AA453">
        <v>0.99787559999999997</v>
      </c>
      <c r="AB453">
        <v>26</v>
      </c>
      <c r="AC453">
        <v>0.62649999999996397</v>
      </c>
      <c r="AD453">
        <v>-0.109041</v>
      </c>
      <c r="AE453">
        <v>-5.3699999999991997E-2</v>
      </c>
      <c r="AF453">
        <v>5.1219916152596197E-2</v>
      </c>
      <c r="AG453">
        <v>-0.109041</v>
      </c>
      <c r="AH453">
        <v>0.60828758464958399</v>
      </c>
      <c r="AI453">
        <v>100.127747630649</v>
      </c>
      <c r="AJ453">
        <v>85.186851420328594</v>
      </c>
      <c r="AK453">
        <v>0.62010257629726395</v>
      </c>
      <c r="AL453">
        <v>82.574883329624001</v>
      </c>
      <c r="AM453">
        <v>87.789351973028204</v>
      </c>
      <c r="AN453">
        <v>0.99999998697782599</v>
      </c>
    </row>
    <row r="454" spans="1:40" x14ac:dyDescent="0.25">
      <c r="A454" t="str">
        <f>"20190303170235863"</f>
        <v>20190303170235863</v>
      </c>
      <c r="B454" t="str">
        <f>"1551603755856472"</f>
        <v>1551603755856472</v>
      </c>
      <c r="C454" t="s">
        <v>40</v>
      </c>
      <c r="D454">
        <v>4.4629779999999997</v>
      </c>
      <c r="E454">
        <v>0.52234670000000005</v>
      </c>
      <c r="F454" t="s">
        <v>43</v>
      </c>
      <c r="G454">
        <v>-394.20600000000002</v>
      </c>
      <c r="H454">
        <v>0.97024350000000004</v>
      </c>
      <c r="I454">
        <v>367.7106</v>
      </c>
      <c r="J454">
        <v>-394.80739999999997</v>
      </c>
      <c r="K454">
        <v>1.1149</v>
      </c>
      <c r="L454">
        <v>367.77760000000001</v>
      </c>
      <c r="M454">
        <v>0.99994119999999997</v>
      </c>
      <c r="N454">
        <v>-1.07536E-2</v>
      </c>
      <c r="O454">
        <v>-1.4462030000000001E-3</v>
      </c>
      <c r="P454">
        <v>0.99224939999999995</v>
      </c>
      <c r="Q454">
        <v>0.11776440000000001</v>
      </c>
      <c r="R454">
        <v>-3.9660760000000003E-2</v>
      </c>
      <c r="S454">
        <v>3.0771480000000002</v>
      </c>
      <c r="T454">
        <v>-0.5254896</v>
      </c>
      <c r="U454">
        <v>-0.24499509999999999</v>
      </c>
      <c r="V454">
        <v>3.8218389999999998E-2</v>
      </c>
      <c r="W454">
        <v>0.12843070000000001</v>
      </c>
      <c r="X454">
        <v>0.99098180000000002</v>
      </c>
      <c r="Y454">
        <v>7.6767619999999995E-2</v>
      </c>
      <c r="Z454">
        <v>-6.684873E-3</v>
      </c>
      <c r="AA454">
        <v>0.99702659999999999</v>
      </c>
      <c r="AB454">
        <v>26</v>
      </c>
      <c r="AC454">
        <v>0.60140000000001204</v>
      </c>
      <c r="AD454">
        <v>-0.14465649999999999</v>
      </c>
      <c r="AE454">
        <v>-6.7000000000007207E-2</v>
      </c>
      <c r="AF454">
        <v>6.2555297391484105E-2</v>
      </c>
      <c r="AG454">
        <v>-0.14465649999999999</v>
      </c>
      <c r="AH454">
        <v>0.56898083162227697</v>
      </c>
      <c r="AI454">
        <v>104.182566266118</v>
      </c>
      <c r="AJ454">
        <v>83.725944481628204</v>
      </c>
      <c r="AK454">
        <v>0.59040482296265595</v>
      </c>
      <c r="AL454">
        <v>82.621082191028293</v>
      </c>
      <c r="AM454">
        <v>87.791414765410707</v>
      </c>
      <c r="AN454">
        <v>1.00000000898396</v>
      </c>
    </row>
    <row r="455" spans="1:40" x14ac:dyDescent="0.25">
      <c r="A455" t="str">
        <f>"20190303170235883"</f>
        <v>20190303170235883</v>
      </c>
      <c r="B455" t="str">
        <f>"1551603755875993"</f>
        <v>1551603755875993</v>
      </c>
      <c r="C455" t="s">
        <v>40</v>
      </c>
      <c r="D455">
        <v>4.462027</v>
      </c>
      <c r="E455">
        <v>0.52425459999999902</v>
      </c>
      <c r="F455" t="s">
        <v>43</v>
      </c>
      <c r="G455">
        <v>-393.98200000000003</v>
      </c>
      <c r="H455">
        <v>0.95643849999999997</v>
      </c>
      <c r="I455">
        <v>367.70639999999997</v>
      </c>
      <c r="J455">
        <v>-394.56670000000003</v>
      </c>
      <c r="K455">
        <v>1.1158619999999999</v>
      </c>
      <c r="L455">
        <v>367.77730000000003</v>
      </c>
      <c r="M455">
        <v>0.9999363</v>
      </c>
      <c r="N455">
        <v>-1.119798E-2</v>
      </c>
      <c r="O455">
        <v>-1.4210529999999901E-3</v>
      </c>
      <c r="P455">
        <v>0.99240980000000001</v>
      </c>
      <c r="Q455">
        <v>0.11644259999999999</v>
      </c>
      <c r="R455">
        <v>-3.9549750000000002E-2</v>
      </c>
      <c r="S455">
        <v>3.0831300000000001</v>
      </c>
      <c r="T455">
        <v>-0.59199309999999905</v>
      </c>
      <c r="U455">
        <v>-0.265625</v>
      </c>
      <c r="V455">
        <v>3.8139390000000002E-2</v>
      </c>
      <c r="W455">
        <v>0.12754869999999999</v>
      </c>
      <c r="X455">
        <v>0.99109879999999995</v>
      </c>
      <c r="Y455">
        <v>8.2851110000000006E-2</v>
      </c>
      <c r="Z455">
        <v>-8.08299E-3</v>
      </c>
      <c r="AA455">
        <v>0.9965292</v>
      </c>
      <c r="AB455">
        <v>26</v>
      </c>
      <c r="AC455">
        <v>0.58470000000005395</v>
      </c>
      <c r="AD455">
        <v>-0.1594235</v>
      </c>
      <c r="AE455">
        <v>-7.0900000000051394E-2</v>
      </c>
      <c r="AF455">
        <v>6.5285793260409994E-2</v>
      </c>
      <c r="AG455">
        <v>-0.1594235</v>
      </c>
      <c r="AH455">
        <v>0.54487933594668503</v>
      </c>
      <c r="AI455">
        <v>106.198957053404</v>
      </c>
      <c r="AJ455">
        <v>83.167564561443299</v>
      </c>
      <c r="AK455">
        <v>0.57146441524874603</v>
      </c>
      <c r="AL455">
        <v>82.672036499342099</v>
      </c>
      <c r="AM455">
        <v>87.796235483944301</v>
      </c>
      <c r="AN455">
        <v>1.0000000576513399</v>
      </c>
    </row>
    <row r="456" spans="1:40" x14ac:dyDescent="0.25">
      <c r="A456" t="str">
        <f>"20190303170235896"</f>
        <v>20190303170235896</v>
      </c>
      <c r="B456" t="str">
        <f>"1551603755886729"</f>
        <v>1551603755886729</v>
      </c>
      <c r="C456" t="s">
        <v>40</v>
      </c>
      <c r="D456">
        <v>4.4526409999999998</v>
      </c>
      <c r="E456">
        <v>0.52501569999999997</v>
      </c>
      <c r="F456" t="s">
        <v>43</v>
      </c>
      <c r="G456">
        <v>-393.75529999999998</v>
      </c>
      <c r="H456">
        <v>0.94893459999999996</v>
      </c>
      <c r="I456">
        <v>367.70359999999999</v>
      </c>
      <c r="J456">
        <v>-394.42430000000002</v>
      </c>
      <c r="K456">
        <v>1.1163829999999999</v>
      </c>
      <c r="L456">
        <v>367.77710000000002</v>
      </c>
      <c r="M456">
        <v>0.99993350000000003</v>
      </c>
      <c r="N456">
        <v>-1.144393E-2</v>
      </c>
      <c r="O456">
        <v>-1.416769E-3</v>
      </c>
      <c r="P456">
        <v>0.99250539999999998</v>
      </c>
      <c r="Q456">
        <v>0.1156736</v>
      </c>
      <c r="R456">
        <v>-3.940681E-2</v>
      </c>
      <c r="S456">
        <v>3.0863339999999999</v>
      </c>
      <c r="T456">
        <v>-0.63508869999999995</v>
      </c>
      <c r="U456">
        <v>-0.27874759999999998</v>
      </c>
      <c r="V456">
        <v>3.8004219999999998E-2</v>
      </c>
      <c r="W456">
        <v>0.12702369999999999</v>
      </c>
      <c r="X456">
        <v>0.99117140000000004</v>
      </c>
      <c r="Y456">
        <v>8.6661550000000004E-2</v>
      </c>
      <c r="Z456">
        <v>-9.0369270000000002E-3</v>
      </c>
      <c r="AA456">
        <v>0.99619679999999999</v>
      </c>
      <c r="AB456">
        <v>26</v>
      </c>
      <c r="AC456">
        <v>0.66900000000003901</v>
      </c>
      <c r="AD456">
        <v>-0.167448399999999</v>
      </c>
      <c r="AE456">
        <v>-7.3500000000024102E-2</v>
      </c>
      <c r="AF456">
        <v>6.8322783694710801E-2</v>
      </c>
      <c r="AG456">
        <v>-0.167448399999999</v>
      </c>
      <c r="AH456">
        <v>0.63009955230418002</v>
      </c>
      <c r="AI456">
        <v>104.79941615845701</v>
      </c>
      <c r="AJ456">
        <v>83.811497651327301</v>
      </c>
      <c r="AK456">
        <v>0.65553978921822997</v>
      </c>
      <c r="AL456">
        <v>82.702363350605694</v>
      </c>
      <c r="AM456">
        <v>87.804198886069699</v>
      </c>
      <c r="AN456">
        <v>1.0000000426387201</v>
      </c>
    </row>
    <row r="457" spans="1:40" x14ac:dyDescent="0.25">
      <c r="A457" t="str">
        <f>"20190303170235909"</f>
        <v>20190303170235909</v>
      </c>
      <c r="B457" t="str">
        <f>"1551603755896489"</f>
        <v>1551603755896489</v>
      </c>
      <c r="C457" t="s">
        <v>40</v>
      </c>
      <c r="D457">
        <v>4.4772699999999999</v>
      </c>
      <c r="E457">
        <v>0.52553280000000002</v>
      </c>
      <c r="F457" t="s">
        <v>43</v>
      </c>
      <c r="G457">
        <v>-393.5351</v>
      </c>
      <c r="H457">
        <v>0.92888800000000005</v>
      </c>
      <c r="I457">
        <v>367.6952</v>
      </c>
      <c r="J457">
        <v>-394.27249999999998</v>
      </c>
      <c r="K457">
        <v>1.1168709999999999</v>
      </c>
      <c r="L457">
        <v>367.77690000000001</v>
      </c>
      <c r="M457">
        <v>0.99993069999999895</v>
      </c>
      <c r="N457">
        <v>-1.168375E-2</v>
      </c>
      <c r="O457">
        <v>-1.4296420000000001E-3</v>
      </c>
      <c r="P457">
        <v>0.99260570000000004</v>
      </c>
      <c r="Q457">
        <v>0.11491560000000001</v>
      </c>
      <c r="R457">
        <v>-3.9096499999999999E-2</v>
      </c>
      <c r="S457">
        <v>3.08725</v>
      </c>
      <c r="T457">
        <v>-0.65098210000000001</v>
      </c>
      <c r="U457">
        <v>-0.28402709999999998</v>
      </c>
      <c r="V457">
        <v>3.7684620000000002E-2</v>
      </c>
      <c r="W457">
        <v>0.1265039</v>
      </c>
      <c r="X457">
        <v>0.99124999999999996</v>
      </c>
      <c r="Y457">
        <v>8.8184540000000006E-2</v>
      </c>
      <c r="Z457">
        <v>-9.4185689999999999E-3</v>
      </c>
      <c r="AA457">
        <v>0.99605960000000004</v>
      </c>
      <c r="AB457">
        <v>26</v>
      </c>
      <c r="AC457">
        <v>0.73739999999997896</v>
      </c>
      <c r="AD457">
        <v>-0.18798299999999901</v>
      </c>
      <c r="AE457">
        <v>-8.1700000000012096E-2</v>
      </c>
      <c r="AF457">
        <v>7.5780547309427002E-2</v>
      </c>
      <c r="AG457">
        <v>-0.18798299999999901</v>
      </c>
      <c r="AH457">
        <v>0.69302419488625799</v>
      </c>
      <c r="AI457">
        <v>105.090509313111</v>
      </c>
      <c r="AJ457">
        <v>83.759635789194107</v>
      </c>
      <c r="AK457">
        <v>0.72205459235244995</v>
      </c>
      <c r="AL457">
        <v>82.7323873380073</v>
      </c>
      <c r="AM457">
        <v>87.822819314573593</v>
      </c>
      <c r="AN457">
        <v>0.99999996489987597</v>
      </c>
    </row>
    <row r="458" spans="1:40" x14ac:dyDescent="0.25">
      <c r="A458" t="str">
        <f>"20190303170235927"</f>
        <v>20190303170235927</v>
      </c>
      <c r="B458" t="str">
        <f>"1551603755916009"</f>
        <v>1551603755916009</v>
      </c>
      <c r="C458" t="s">
        <v>40</v>
      </c>
      <c r="D458">
        <v>4.4859289999999996</v>
      </c>
      <c r="E458">
        <v>0.52638300000000005</v>
      </c>
      <c r="F458" t="s">
        <v>43</v>
      </c>
      <c r="G458">
        <v>-393.5222</v>
      </c>
      <c r="H458">
        <v>0.95536390000000004</v>
      </c>
      <c r="I458">
        <v>367.70699999999999</v>
      </c>
      <c r="J458">
        <v>-394.06760000000003</v>
      </c>
      <c r="K458">
        <v>1.117467</v>
      </c>
      <c r="L458">
        <v>367.7765</v>
      </c>
      <c r="M458">
        <v>0.99992720000000002</v>
      </c>
      <c r="N458">
        <v>-1.1985930000000001E-2</v>
      </c>
      <c r="O458">
        <v>-1.4656490000000001E-3</v>
      </c>
      <c r="P458">
        <v>0.99289919999999998</v>
      </c>
      <c r="Q458">
        <v>0.1125126</v>
      </c>
      <c r="R458">
        <v>-3.8633309999999997E-2</v>
      </c>
      <c r="S458">
        <v>3.0880130000000001</v>
      </c>
      <c r="T458">
        <v>-0.66475949999999995</v>
      </c>
      <c r="U458">
        <v>-0.28704829999999998</v>
      </c>
      <c r="V458">
        <v>3.7189729999999997E-2</v>
      </c>
      <c r="W458">
        <v>0.1244025</v>
      </c>
      <c r="X458">
        <v>0.99153469999999999</v>
      </c>
      <c r="Y458">
        <v>8.8989589999999993E-2</v>
      </c>
      <c r="Z458">
        <v>-9.6971479999999992E-3</v>
      </c>
      <c r="AA458">
        <v>0.99598529999999996</v>
      </c>
      <c r="AB458">
        <v>26</v>
      </c>
      <c r="AC458">
        <v>0.54540000000002897</v>
      </c>
      <c r="AD458">
        <v>-0.162103099999999</v>
      </c>
      <c r="AE458">
        <v>-6.9500000000005002E-2</v>
      </c>
      <c r="AF458">
        <v>6.3206154537613995E-2</v>
      </c>
      <c r="AG458">
        <v>-0.162103099999999</v>
      </c>
      <c r="AH458">
        <v>0.50187461422270696</v>
      </c>
      <c r="AI458">
        <v>107.76877328211</v>
      </c>
      <c r="AJ458">
        <v>82.821952978285097</v>
      </c>
      <c r="AK458">
        <v>0.53117846473876695</v>
      </c>
      <c r="AL458">
        <v>82.853748199111394</v>
      </c>
      <c r="AM458">
        <v>87.852000330656296</v>
      </c>
      <c r="AN458">
        <v>1.0000000596639</v>
      </c>
    </row>
    <row r="459" spans="1:40" x14ac:dyDescent="0.25">
      <c r="A459" t="str">
        <f>"20190303170235941"</f>
        <v>20190303170235941</v>
      </c>
      <c r="B459" t="str">
        <f>"1551603755936505"</f>
        <v>1551603755936505</v>
      </c>
      <c r="C459" t="s">
        <v>40</v>
      </c>
      <c r="D459">
        <v>4.491066</v>
      </c>
      <c r="E459">
        <v>0.52710059999999903</v>
      </c>
      <c r="F459" t="s">
        <v>43</v>
      </c>
      <c r="G459">
        <v>-393.29770000000002</v>
      </c>
      <c r="H459">
        <v>0.94512399999999996</v>
      </c>
      <c r="I459">
        <v>367.70350000000002</v>
      </c>
      <c r="J459">
        <v>-393.9178</v>
      </c>
      <c r="K459">
        <v>1.1178629999999901</v>
      </c>
      <c r="L459">
        <v>367.77620000000002</v>
      </c>
      <c r="M459">
        <v>0.99992460000000005</v>
      </c>
      <c r="N459">
        <v>-1.2191240000000001E-2</v>
      </c>
      <c r="O459">
        <v>-1.5063170000000001E-3</v>
      </c>
      <c r="P459">
        <v>0.99301519999999999</v>
      </c>
      <c r="Q459">
        <v>0.1115477</v>
      </c>
      <c r="R459">
        <v>-3.844877E-2</v>
      </c>
      <c r="S459">
        <v>3.08847</v>
      </c>
      <c r="T459">
        <v>-0.69144510000000003</v>
      </c>
      <c r="U459">
        <v>-0.29196169999999999</v>
      </c>
      <c r="V459">
        <v>3.6968719999999997E-2</v>
      </c>
      <c r="W459">
        <v>0.12364120000000001</v>
      </c>
      <c r="X459">
        <v>0.99163809999999997</v>
      </c>
      <c r="Y459">
        <v>9.0305990000000003E-2</v>
      </c>
      <c r="Z459">
        <v>-1.020831E-2</v>
      </c>
      <c r="AA459">
        <v>0.99586180000000002</v>
      </c>
      <c r="AB459">
        <v>26</v>
      </c>
      <c r="AC459">
        <v>0.620099999999979</v>
      </c>
      <c r="AD459">
        <v>-0.172738999999999</v>
      </c>
      <c r="AE459">
        <v>-7.2699999999997503E-2</v>
      </c>
      <c r="AF459">
        <v>6.6662928693609E-2</v>
      </c>
      <c r="AG459">
        <v>-0.172738999999999</v>
      </c>
      <c r="AH459">
        <v>0.576109329157932</v>
      </c>
      <c r="AI459">
        <v>106.586152902778</v>
      </c>
      <c r="AJ459">
        <v>83.3995284401813</v>
      </c>
      <c r="AK459">
        <v>0.60513194208024701</v>
      </c>
      <c r="AL459">
        <v>82.897706267674394</v>
      </c>
      <c r="AM459">
        <v>87.864975987109801</v>
      </c>
      <c r="AN459">
        <v>0.99999997698374399</v>
      </c>
    </row>
    <row r="460" spans="1:40" x14ac:dyDescent="0.25">
      <c r="A460" t="str">
        <f>"20190303170235953"</f>
        <v>20190303170235953</v>
      </c>
      <c r="B460" t="str">
        <f>"1551603755946264"</f>
        <v>1551603755946264</v>
      </c>
      <c r="C460" t="s">
        <v>40</v>
      </c>
      <c r="D460">
        <v>4.5001100000000003</v>
      </c>
      <c r="E460">
        <v>0.52745690000000001</v>
      </c>
      <c r="F460" t="s">
        <v>43</v>
      </c>
      <c r="G460">
        <v>-393.07819999999998</v>
      </c>
      <c r="H460">
        <v>0.92535210000000001</v>
      </c>
      <c r="I460">
        <v>367.69529999999997</v>
      </c>
      <c r="J460">
        <v>-393.76609999999999</v>
      </c>
      <c r="K460">
        <v>1.1182299999999901</v>
      </c>
      <c r="L460">
        <v>367.77600000000001</v>
      </c>
      <c r="M460">
        <v>0.99992210000000004</v>
      </c>
      <c r="N460">
        <v>-1.238651E-2</v>
      </c>
      <c r="O460">
        <v>-1.559731E-3</v>
      </c>
      <c r="P460">
        <v>0.993062</v>
      </c>
      <c r="Q460">
        <v>0.1110607</v>
      </c>
      <c r="R460">
        <v>-3.8644190000000002E-2</v>
      </c>
      <c r="S460">
        <v>3.089172</v>
      </c>
      <c r="T460">
        <v>-0.70832530000000005</v>
      </c>
      <c r="U460">
        <v>-0.29699710000000001</v>
      </c>
      <c r="V460">
        <v>3.7115719999999998E-2</v>
      </c>
      <c r="W460">
        <v>0.1233474</v>
      </c>
      <c r="X460">
        <v>0.99166920000000003</v>
      </c>
      <c r="Y460">
        <v>9.1693540000000004E-2</v>
      </c>
      <c r="Z460">
        <v>-1.059831E-2</v>
      </c>
      <c r="AA460">
        <v>0.99573089999999997</v>
      </c>
      <c r="AB460">
        <v>26</v>
      </c>
      <c r="AC460">
        <v>0.68790000000001295</v>
      </c>
      <c r="AD460">
        <v>-0.19287789999999899</v>
      </c>
      <c r="AE460">
        <v>-8.0700000000035702E-2</v>
      </c>
      <c r="AF460">
        <v>7.3896273325142398E-2</v>
      </c>
      <c r="AG460">
        <v>-0.19287789999999899</v>
      </c>
      <c r="AH460">
        <v>0.63850908466464296</v>
      </c>
      <c r="AI460">
        <v>106.703055959171</v>
      </c>
      <c r="AJ460">
        <v>83.398383857514403</v>
      </c>
      <c r="AK460">
        <v>0.671085981614155</v>
      </c>
      <c r="AL460">
        <v>82.914669639254797</v>
      </c>
      <c r="AM460">
        <v>87.856561481087198</v>
      </c>
      <c r="AN460">
        <v>0.99999997999325896</v>
      </c>
    </row>
    <row r="461" spans="1:40" x14ac:dyDescent="0.25">
      <c r="A461" t="str">
        <f>"20190303170235973"</f>
        <v>20190303170235973</v>
      </c>
      <c r="B461" t="str">
        <f>"1551603755966762"</f>
        <v>1551603755966762</v>
      </c>
      <c r="C461" t="s">
        <v>40</v>
      </c>
      <c r="D461">
        <v>4.4541459999999997</v>
      </c>
      <c r="E461">
        <v>0.52795990000000004</v>
      </c>
      <c r="F461" t="s">
        <v>43</v>
      </c>
      <c r="G461">
        <v>-393.0634</v>
      </c>
      <c r="H461">
        <v>0.95554280000000003</v>
      </c>
      <c r="I461">
        <v>367.70749999999998</v>
      </c>
      <c r="J461">
        <v>-393.53500000000003</v>
      </c>
      <c r="K461">
        <v>1.118711</v>
      </c>
      <c r="L461">
        <v>367.77550000000002</v>
      </c>
      <c r="M461">
        <v>0.99991870000000005</v>
      </c>
      <c r="N461">
        <v>-1.265607E-2</v>
      </c>
      <c r="O461">
        <v>-1.6684130000000001E-3</v>
      </c>
      <c r="P461">
        <v>0.99291320000000005</v>
      </c>
      <c r="Q461">
        <v>0.1122146</v>
      </c>
      <c r="R461">
        <v>-3.9141799999999997E-2</v>
      </c>
      <c r="S461">
        <v>3.0892940000000002</v>
      </c>
      <c r="T461">
        <v>-0.71524790000000005</v>
      </c>
      <c r="U461">
        <v>-0.2998962</v>
      </c>
      <c r="V461">
        <v>3.7513419999999999E-2</v>
      </c>
      <c r="W461">
        <v>0.1247645</v>
      </c>
      <c r="X461">
        <v>0.99147700000000005</v>
      </c>
      <c r="Y461">
        <v>9.2440380000000003E-2</v>
      </c>
      <c r="Z461">
        <v>-1.077241E-2</v>
      </c>
      <c r="AA461">
        <v>0.99565990000000004</v>
      </c>
      <c r="AB461">
        <v>26</v>
      </c>
      <c r="AC461">
        <v>0.471600000000023</v>
      </c>
      <c r="AD461">
        <v>-0.16316820000000001</v>
      </c>
      <c r="AE461">
        <v>-6.8000000000040403E-2</v>
      </c>
      <c r="AF461">
        <v>6.0158262682180101E-2</v>
      </c>
      <c r="AG461">
        <v>-0.16316820000000001</v>
      </c>
      <c r="AH461">
        <v>0.42220128304566101</v>
      </c>
      <c r="AI461">
        <v>110.937137456153</v>
      </c>
      <c r="AJ461">
        <v>81.890673086751704</v>
      </c>
      <c r="AK461">
        <v>0.45661449984158498</v>
      </c>
      <c r="AL461">
        <v>82.832844121723795</v>
      </c>
      <c r="AM461">
        <v>87.833196454864904</v>
      </c>
      <c r="AN461">
        <v>1.00000003933467</v>
      </c>
    </row>
    <row r="462" spans="1:40" x14ac:dyDescent="0.25">
      <c r="A462" t="str">
        <f>"20190303170235989"</f>
        <v>20190303170235989</v>
      </c>
      <c r="B462" t="str">
        <f>"1551603755976883"</f>
        <v>1551603755976883</v>
      </c>
      <c r="C462" t="s">
        <v>40</v>
      </c>
      <c r="D462">
        <v>4.4883480000000002</v>
      </c>
      <c r="E462">
        <v>0.52815369999999995</v>
      </c>
      <c r="F462" t="s">
        <v>43</v>
      </c>
      <c r="G462">
        <v>-392.8347</v>
      </c>
      <c r="H462">
        <v>0.95540020000000003</v>
      </c>
      <c r="I462">
        <v>367.70600000000002</v>
      </c>
      <c r="J462">
        <v>-393.37020000000001</v>
      </c>
      <c r="K462">
        <v>1.1190070000000001</v>
      </c>
      <c r="L462">
        <v>367.77510000000001</v>
      </c>
      <c r="M462">
        <v>0.99991620000000003</v>
      </c>
      <c r="N462">
        <v>-1.2829409999999999E-2</v>
      </c>
      <c r="O462">
        <v>-1.7647209999999999E-3</v>
      </c>
      <c r="P462">
        <v>0.99285219999999996</v>
      </c>
      <c r="Q462">
        <v>0.1126669</v>
      </c>
      <c r="R462">
        <v>-3.9383439999999999E-2</v>
      </c>
      <c r="S462">
        <v>3.0908199999999999</v>
      </c>
      <c r="T462">
        <v>-0.72085169999999998</v>
      </c>
      <c r="U462">
        <v>-0.30520629999999999</v>
      </c>
      <c r="V462">
        <v>3.7665570000000002E-2</v>
      </c>
      <c r="W462">
        <v>0.12538560000000001</v>
      </c>
      <c r="X462">
        <v>0.99139290000000002</v>
      </c>
      <c r="Y462">
        <v>9.3915180000000001E-2</v>
      </c>
      <c r="Z462">
        <v>-1.1010819999999999E-2</v>
      </c>
      <c r="AA462">
        <v>0.9955193</v>
      </c>
      <c r="AB462">
        <v>26</v>
      </c>
      <c r="AC462">
        <v>0.53550000000001297</v>
      </c>
      <c r="AD462">
        <v>-0.163606799999999</v>
      </c>
      <c r="AE462">
        <v>-6.9100000000048498E-2</v>
      </c>
      <c r="AF462">
        <v>6.2423422807881497E-2</v>
      </c>
      <c r="AG462">
        <v>-0.163606799999999</v>
      </c>
      <c r="AH462">
        <v>0.490578804590452</v>
      </c>
      <c r="AI462">
        <v>108.305763901655</v>
      </c>
      <c r="AJ462">
        <v>82.748400581929602</v>
      </c>
      <c r="AK462">
        <v>0.52089483798045899</v>
      </c>
      <c r="AL462">
        <v>82.796976223536404</v>
      </c>
      <c r="AM462">
        <v>87.824232205841298</v>
      </c>
      <c r="AN462">
        <v>1.0000000630105901</v>
      </c>
    </row>
    <row r="463" spans="1:40" x14ac:dyDescent="0.25">
      <c r="A463" t="str">
        <f>"20190303170236006"</f>
        <v>20190303170236006</v>
      </c>
      <c r="B463" t="str">
        <f>"1551603755995935"</f>
        <v>1551603755995935</v>
      </c>
      <c r="C463" t="s">
        <v>40</v>
      </c>
      <c r="D463">
        <v>4.4947049999999997</v>
      </c>
      <c r="E463">
        <v>0.543695699999999</v>
      </c>
      <c r="F463" t="s">
        <v>43</v>
      </c>
      <c r="G463">
        <v>-392.61320000000001</v>
      </c>
      <c r="H463">
        <v>0.94181559999999998</v>
      </c>
      <c r="I463">
        <v>367.69979999999998</v>
      </c>
      <c r="J463">
        <v>-393.16460000000001</v>
      </c>
      <c r="K463">
        <v>1.1193379999999999</v>
      </c>
      <c r="L463">
        <v>367.7747</v>
      </c>
      <c r="M463">
        <v>0.99991339999999995</v>
      </c>
      <c r="N463">
        <v>-1.3030119999999999E-2</v>
      </c>
      <c r="O463">
        <v>-1.8994190000000001E-3</v>
      </c>
      <c r="P463">
        <v>0.99269220000000002</v>
      </c>
      <c r="Q463">
        <v>0.1138062</v>
      </c>
      <c r="R463">
        <v>-4.0133420000000003E-2</v>
      </c>
      <c r="S463">
        <v>3.0915530000000002</v>
      </c>
      <c r="T463">
        <v>-0.72358500000000003</v>
      </c>
      <c r="U463">
        <v>-0.30700680000000002</v>
      </c>
      <c r="V463">
        <v>3.8288999999999997E-2</v>
      </c>
      <c r="W463">
        <v>0.12672</v>
      </c>
      <c r="X463">
        <v>0.99119930000000001</v>
      </c>
      <c r="Y463">
        <v>9.4304509999999994E-2</v>
      </c>
      <c r="Z463">
        <v>-1.107459E-2</v>
      </c>
      <c r="AA463">
        <v>0.99548179999999997</v>
      </c>
      <c r="AB463">
        <v>26</v>
      </c>
      <c r="AC463">
        <v>0.551400000000001</v>
      </c>
      <c r="AD463">
        <v>-0.1775224</v>
      </c>
      <c r="AE463">
        <v>-7.4900000000013706E-2</v>
      </c>
      <c r="AF463">
        <v>6.7030538978195095E-2</v>
      </c>
      <c r="AG463">
        <v>-0.1775224</v>
      </c>
      <c r="AH463">
        <v>0.50059431093265205</v>
      </c>
      <c r="AI463">
        <v>109.36587423136601</v>
      </c>
      <c r="AJ463">
        <v>82.373350488450697</v>
      </c>
      <c r="AK463">
        <v>0.53535218295585896</v>
      </c>
      <c r="AL463">
        <v>82.7199057380043</v>
      </c>
      <c r="AM463">
        <v>87.787823412567207</v>
      </c>
      <c r="AN463">
        <v>1.00000002912074</v>
      </c>
    </row>
    <row r="464" spans="1:40" x14ac:dyDescent="0.25">
      <c r="A464" t="str">
        <f>"20190303170236028"</f>
        <v>20190303170236028</v>
      </c>
      <c r="B464" t="str">
        <f>"1551603756016431"</f>
        <v>1551603756016431</v>
      </c>
      <c r="C464" t="s">
        <v>40</v>
      </c>
      <c r="D464">
        <v>4.4795730000000002</v>
      </c>
      <c r="E464">
        <v>0.54523159999999904</v>
      </c>
      <c r="F464" t="s">
        <v>43</v>
      </c>
      <c r="G464">
        <v>-392.39269999999999</v>
      </c>
      <c r="H464">
        <v>0.92469500000000004</v>
      </c>
      <c r="I464">
        <v>367.6669</v>
      </c>
      <c r="J464">
        <v>-392.9169</v>
      </c>
      <c r="K464">
        <v>1.119683</v>
      </c>
      <c r="L464">
        <v>367.774</v>
      </c>
      <c r="M464">
        <v>0.99991010000000002</v>
      </c>
      <c r="N464">
        <v>-1.324756E-2</v>
      </c>
      <c r="O464">
        <v>-2.0821590000000001E-3</v>
      </c>
      <c r="P464">
        <v>0.99267859999999997</v>
      </c>
      <c r="Q464">
        <v>0.1138401</v>
      </c>
      <c r="R464">
        <v>-4.0368399999999999E-2</v>
      </c>
      <c r="S464">
        <v>3.0940859999999999</v>
      </c>
      <c r="T464">
        <v>-0.78025869999999997</v>
      </c>
      <c r="U464">
        <v>-0.43103029999999998</v>
      </c>
      <c r="V464">
        <v>3.8348790000000001E-2</v>
      </c>
      <c r="W464">
        <v>0.12696740000000001</v>
      </c>
      <c r="X464">
        <v>0.99116530000000003</v>
      </c>
      <c r="Y464">
        <v>0.13170209999999999</v>
      </c>
      <c r="Z464">
        <v>-1.6678169999999999E-2</v>
      </c>
      <c r="AA464">
        <v>0.99114899999999995</v>
      </c>
      <c r="AB464">
        <v>26</v>
      </c>
      <c r="AC464">
        <v>0.52420000000000699</v>
      </c>
      <c r="AD464">
        <v>-0.194987999999999</v>
      </c>
      <c r="AE464">
        <v>-0.107100000000002</v>
      </c>
      <c r="AF464">
        <v>9.3579096784200899E-2</v>
      </c>
      <c r="AG464">
        <v>-0.194987999999999</v>
      </c>
      <c r="AH464">
        <v>0.462935170055992</v>
      </c>
      <c r="AI464">
        <v>112.433231067135</v>
      </c>
      <c r="AJ464">
        <v>78.572054834687506</v>
      </c>
      <c r="AK464">
        <v>0.51096608417165701</v>
      </c>
      <c r="AL464">
        <v>82.705615129690997</v>
      </c>
      <c r="AM464">
        <v>87.784296512064699</v>
      </c>
      <c r="AN464">
        <v>1.00000000114065</v>
      </c>
    </row>
    <row r="465" spans="1:40" x14ac:dyDescent="0.25">
      <c r="A465" t="str">
        <f>"20190303170236041"</f>
        <v>20190303170236041</v>
      </c>
      <c r="B465" t="str">
        <f>"1551603756026190"</f>
        <v>1551603756026190</v>
      </c>
      <c r="C465" t="s">
        <v>40</v>
      </c>
      <c r="D465">
        <v>4.479095</v>
      </c>
      <c r="E465">
        <v>0.54569109999999998</v>
      </c>
      <c r="F465" t="s">
        <v>43</v>
      </c>
      <c r="G465">
        <v>-392.16239999999999</v>
      </c>
      <c r="H465">
        <v>0.93074239999999997</v>
      </c>
      <c r="I465">
        <v>367.66570000000002</v>
      </c>
      <c r="J465">
        <v>-392.76499999999999</v>
      </c>
      <c r="K465">
        <v>1.1198709999999901</v>
      </c>
      <c r="L465">
        <v>367.77359999999999</v>
      </c>
      <c r="M465">
        <v>0.99990829999999997</v>
      </c>
      <c r="N465">
        <v>-1.336874E-2</v>
      </c>
      <c r="O465">
        <v>-2.203637E-3</v>
      </c>
      <c r="P465">
        <v>0.99267910000000004</v>
      </c>
      <c r="Q465">
        <v>0.11375150000000001</v>
      </c>
      <c r="R465">
        <v>-4.0608239999999997E-2</v>
      </c>
      <c r="S465">
        <v>3.0928960000000001</v>
      </c>
      <c r="T465">
        <v>-0.77451749999999997</v>
      </c>
      <c r="U465">
        <v>-0.44381710000000002</v>
      </c>
      <c r="V465">
        <v>3.8470570000000003E-2</v>
      </c>
      <c r="W465">
        <v>0.12699869999999999</v>
      </c>
      <c r="X465">
        <v>0.99115660000000005</v>
      </c>
      <c r="Y465">
        <v>0.13558619999999999</v>
      </c>
      <c r="Z465">
        <v>-1.7050450000000002E-2</v>
      </c>
      <c r="AA465">
        <v>0.99061880000000002</v>
      </c>
      <c r="AB465">
        <v>25</v>
      </c>
      <c r="AC465">
        <v>0.60259999999999503</v>
      </c>
      <c r="AD465">
        <v>-0.18912859999999901</v>
      </c>
      <c r="AE465">
        <v>-0.107899999999972</v>
      </c>
      <c r="AF465">
        <v>9.7286275307722103E-2</v>
      </c>
      <c r="AG465">
        <v>-0.18912859999999901</v>
      </c>
      <c r="AH465">
        <v>0.55031210840434797</v>
      </c>
      <c r="AI465">
        <v>108.69723227097801</v>
      </c>
      <c r="AJ465">
        <v>79.974616435316193</v>
      </c>
      <c r="AK465">
        <v>0.58998107033840397</v>
      </c>
      <c r="AL465">
        <v>82.703807348621197</v>
      </c>
      <c r="AM465">
        <v>87.777247903672006</v>
      </c>
      <c r="AN465">
        <v>1.00000003014068</v>
      </c>
    </row>
    <row r="466" spans="1:40" x14ac:dyDescent="0.25">
      <c r="A466" t="str">
        <f>"20190303170236056"</f>
        <v>20190303170236056</v>
      </c>
      <c r="B466" t="str">
        <f>"1551603756046686"</f>
        <v>1551603756046686</v>
      </c>
      <c r="C466" t="s">
        <v>40</v>
      </c>
      <c r="D466">
        <v>4.4778099999999998</v>
      </c>
      <c r="E466">
        <v>0.54613979999999995</v>
      </c>
      <c r="F466" t="s">
        <v>43</v>
      </c>
      <c r="G466">
        <v>-391.9427</v>
      </c>
      <c r="H466">
        <v>0.91430560000000005</v>
      </c>
      <c r="I466">
        <v>367.65410000000003</v>
      </c>
      <c r="J466">
        <v>-392.6019</v>
      </c>
      <c r="K466">
        <v>1.120053</v>
      </c>
      <c r="L466">
        <v>367.7731</v>
      </c>
      <c r="M466">
        <v>0.99990639999999997</v>
      </c>
      <c r="N466">
        <v>-1.34906E-2</v>
      </c>
      <c r="O466">
        <v>-2.3395130000000001E-3</v>
      </c>
      <c r="P466">
        <v>0.99268219999999996</v>
      </c>
      <c r="Q466">
        <v>0.113625</v>
      </c>
      <c r="R466">
        <v>-4.0889330000000002E-2</v>
      </c>
      <c r="S466">
        <v>3.0924070000000001</v>
      </c>
      <c r="T466">
        <v>-0.77311649999999998</v>
      </c>
      <c r="U466">
        <v>-0.44784550000000001</v>
      </c>
      <c r="V466">
        <v>3.8618390000000002E-2</v>
      </c>
      <c r="W466">
        <v>0.12699199999999999</v>
      </c>
      <c r="X466">
        <v>0.99115169999999997</v>
      </c>
      <c r="Y466">
        <v>0.13671759999999999</v>
      </c>
      <c r="Z466">
        <v>-1.7146850000000002E-2</v>
      </c>
      <c r="AA466">
        <v>0.99046160000000005</v>
      </c>
      <c r="AB466">
        <v>25</v>
      </c>
      <c r="AC466">
        <v>0.65919999999999801</v>
      </c>
      <c r="AD466">
        <v>-0.205747399999999</v>
      </c>
      <c r="AE466">
        <v>-0.118999999999971</v>
      </c>
      <c r="AF466">
        <v>0.107331417510289</v>
      </c>
      <c r="AG466">
        <v>-0.205747399999999</v>
      </c>
      <c r="AH466">
        <v>0.60262362911229805</v>
      </c>
      <c r="AI466">
        <v>108.579023768116</v>
      </c>
      <c r="AJ466">
        <v>79.901124284445601</v>
      </c>
      <c r="AK466">
        <v>0.64576099615570204</v>
      </c>
      <c r="AL466">
        <v>82.704194291405301</v>
      </c>
      <c r="AM466">
        <v>87.768704757890603</v>
      </c>
      <c r="AN466">
        <v>1.00000002026154</v>
      </c>
    </row>
    <row r="467" spans="1:40" x14ac:dyDescent="0.25">
      <c r="A467" t="str">
        <f>"20190303170236074"</f>
        <v>20190303170236074</v>
      </c>
      <c r="B467" t="str">
        <f>"1551603756066206"</f>
        <v>1551603756066206</v>
      </c>
      <c r="C467" t="s">
        <v>40</v>
      </c>
      <c r="D467">
        <v>4.4825369999999998</v>
      </c>
      <c r="E467">
        <v>0.5463344</v>
      </c>
      <c r="F467" t="s">
        <v>43</v>
      </c>
      <c r="G467">
        <v>-391.72179999999997</v>
      </c>
      <c r="H467">
        <v>0.89995069999999999</v>
      </c>
      <c r="I467">
        <v>367.64429999999999</v>
      </c>
      <c r="J467">
        <v>-392.38720000000001</v>
      </c>
      <c r="K467">
        <v>1.120266</v>
      </c>
      <c r="L467">
        <v>367.77229999999997</v>
      </c>
      <c r="M467">
        <v>0.99990400000000002</v>
      </c>
      <c r="N467">
        <v>-1.363499E-2</v>
      </c>
      <c r="O467">
        <v>-2.5263999999999998E-3</v>
      </c>
      <c r="P467">
        <v>0.9926758</v>
      </c>
      <c r="Q467">
        <v>0.1135684</v>
      </c>
      <c r="R467">
        <v>-4.1197539999999998E-2</v>
      </c>
      <c r="S467">
        <v>3.0920719999999999</v>
      </c>
      <c r="T467">
        <v>-0.77334399999999903</v>
      </c>
      <c r="U467">
        <v>-0.45141599999999998</v>
      </c>
      <c r="V467">
        <v>3.8741860000000003E-2</v>
      </c>
      <c r="W467">
        <v>0.1270781</v>
      </c>
      <c r="X467">
        <v>0.99113580000000001</v>
      </c>
      <c r="Y467">
        <v>0.1376385</v>
      </c>
      <c r="Z467">
        <v>-1.723833E-2</v>
      </c>
      <c r="AA467">
        <v>0.99033249999999995</v>
      </c>
      <c r="AB467">
        <v>25</v>
      </c>
      <c r="AC467">
        <v>0.66540000000003297</v>
      </c>
      <c r="AD467">
        <v>-0.22031529999999999</v>
      </c>
      <c r="AE467">
        <v>-0.12799999999998499</v>
      </c>
      <c r="AF467">
        <v>0.114241182199603</v>
      </c>
      <c r="AG467">
        <v>-0.22031529999999999</v>
      </c>
      <c r="AH467">
        <v>0.60207226665620495</v>
      </c>
      <c r="AI467">
        <v>109.774202983129</v>
      </c>
      <c r="AJ467">
        <v>79.256044918713201</v>
      </c>
      <c r="AK467">
        <v>0.65121493640809003</v>
      </c>
      <c r="AL467">
        <v>82.699220496080997</v>
      </c>
      <c r="AM467">
        <v>87.761542274609496</v>
      </c>
      <c r="AN467">
        <v>0.99999997462875401</v>
      </c>
    </row>
    <row r="468" spans="1:40" x14ac:dyDescent="0.25">
      <c r="A468" t="str">
        <f>"20190303170236095"</f>
        <v>20190303170236095</v>
      </c>
      <c r="B468" t="str">
        <f>"1551603756086702"</f>
        <v>1551603756086702</v>
      </c>
      <c r="C468" t="s">
        <v>40</v>
      </c>
      <c r="D468">
        <v>4.4408479999999999</v>
      </c>
      <c r="E468">
        <v>0.5463095</v>
      </c>
      <c r="F468" t="s">
        <v>43</v>
      </c>
      <c r="G468">
        <v>-391.70069999999998</v>
      </c>
      <c r="H468">
        <v>0.94808099999999995</v>
      </c>
      <c r="I468">
        <v>367.67140000000001</v>
      </c>
      <c r="J468">
        <v>-392.154</v>
      </c>
      <c r="K468">
        <v>1.120471</v>
      </c>
      <c r="L468">
        <v>367.7715</v>
      </c>
      <c r="M468">
        <v>0.9999015</v>
      </c>
      <c r="N468">
        <v>-1.3775310000000001E-2</v>
      </c>
      <c r="O468">
        <v>-2.7321749999999999E-3</v>
      </c>
      <c r="P468">
        <v>0.99256460000000002</v>
      </c>
      <c r="Q468">
        <v>0.1144073</v>
      </c>
      <c r="R468">
        <v>-4.1555340000000003E-2</v>
      </c>
      <c r="S468">
        <v>3.0920719999999999</v>
      </c>
      <c r="T468">
        <v>-0.77548240000000002</v>
      </c>
      <c r="U468">
        <v>-0.4536133</v>
      </c>
      <c r="V468">
        <v>3.8896060000000003E-2</v>
      </c>
      <c r="W468">
        <v>0.12805519999999901</v>
      </c>
      <c r="X468">
        <v>0.991004</v>
      </c>
      <c r="Y468">
        <v>0.13808989999999999</v>
      </c>
      <c r="Z468">
        <v>-1.730232E-2</v>
      </c>
      <c r="AA468">
        <v>0.9902685</v>
      </c>
      <c r="AB468">
        <v>25</v>
      </c>
      <c r="AC468">
        <v>0.45330000000001203</v>
      </c>
      <c r="AD468">
        <v>-0.17238999999999999</v>
      </c>
      <c r="AE468">
        <v>-0.100099999999997</v>
      </c>
      <c r="AF468">
        <v>8.6879968789439793E-2</v>
      </c>
      <c r="AG468">
        <v>-0.17238999999999999</v>
      </c>
      <c r="AH468">
        <v>0.39860309288344298</v>
      </c>
      <c r="AI468">
        <v>112.907189817592</v>
      </c>
      <c r="AJ468">
        <v>77.704056283202803</v>
      </c>
      <c r="AK468">
        <v>0.44288922625539301</v>
      </c>
      <c r="AL468">
        <v>82.642775692574006</v>
      </c>
      <c r="AM468">
        <v>87.752343318687906</v>
      </c>
      <c r="AN468">
        <v>0.99999998287328096</v>
      </c>
    </row>
    <row r="469" spans="1:40" x14ac:dyDescent="0.25">
      <c r="A469" t="str">
        <f>"20190303170236108"</f>
        <v>20190303170236108</v>
      </c>
      <c r="B469" t="str">
        <f>"1551603756096463"</f>
        <v>1551603756096463</v>
      </c>
      <c r="C469" t="s">
        <v>40</v>
      </c>
      <c r="D469">
        <v>4.4415300000000002</v>
      </c>
      <c r="E469">
        <v>0.54625140000000005</v>
      </c>
      <c r="F469" t="s">
        <v>43</v>
      </c>
      <c r="G469">
        <v>-391.27010000000001</v>
      </c>
      <c r="H469">
        <v>0.89922190000000002</v>
      </c>
      <c r="I469">
        <v>367.64190000000002</v>
      </c>
      <c r="J469">
        <v>-392.0043</v>
      </c>
      <c r="K469">
        <v>1.120584</v>
      </c>
      <c r="L469">
        <v>367.77100000000002</v>
      </c>
      <c r="M469">
        <v>0.99990000000000001</v>
      </c>
      <c r="N469">
        <v>-1.3855599999999999E-2</v>
      </c>
      <c r="O469">
        <v>-2.8640860000000001E-3</v>
      </c>
      <c r="P469">
        <v>0.99252030000000002</v>
      </c>
      <c r="Q469">
        <v>0.11470610000000001</v>
      </c>
      <c r="R469">
        <v>-4.1788499999999999E-2</v>
      </c>
      <c r="S469">
        <v>3.0927120000000001</v>
      </c>
      <c r="T469">
        <v>-0.77415310000000004</v>
      </c>
      <c r="U469">
        <v>-0.45324710000000001</v>
      </c>
      <c r="V469">
        <v>3.8998159999999997E-2</v>
      </c>
      <c r="W469">
        <v>0.12843260000000001</v>
      </c>
      <c r="X469">
        <v>0.99095120000000003</v>
      </c>
      <c r="Y469">
        <v>0.13784109999999999</v>
      </c>
      <c r="Z469">
        <v>-1.72150999999999E-2</v>
      </c>
      <c r="AA469">
        <v>0.99030479999999999</v>
      </c>
      <c r="AB469">
        <v>25</v>
      </c>
      <c r="AC469">
        <v>0.73419999999998697</v>
      </c>
      <c r="AD469">
        <v>-0.22136209999999901</v>
      </c>
      <c r="AE469">
        <v>-0.12909999999993699</v>
      </c>
      <c r="AF469">
        <v>0.116705742816045</v>
      </c>
      <c r="AG469">
        <v>-0.22136209999999901</v>
      </c>
      <c r="AH469">
        <v>0.67504372594401696</v>
      </c>
      <c r="AI469">
        <v>107.907152344119</v>
      </c>
      <c r="AJ469">
        <v>80.191309653299101</v>
      </c>
      <c r="AK469">
        <v>0.71993433149075203</v>
      </c>
      <c r="AL469">
        <v>82.6209726130338</v>
      </c>
      <c r="AM469">
        <v>87.746329469379106</v>
      </c>
      <c r="AN469">
        <v>1.0000000350037901</v>
      </c>
    </row>
    <row r="470" spans="1:40" x14ac:dyDescent="0.25">
      <c r="A470" t="str">
        <f>"20190303170236120"</f>
        <v>20190303170236120</v>
      </c>
      <c r="B470" t="str">
        <f>"1551603756106223"</f>
        <v>1551603756106223</v>
      </c>
      <c r="C470" t="s">
        <v>40</v>
      </c>
      <c r="D470">
        <v>4.4446219999999999</v>
      </c>
      <c r="E470">
        <v>0.54622939999999998</v>
      </c>
      <c r="F470" t="s">
        <v>43</v>
      </c>
      <c r="G470">
        <v>-391.25549999999998</v>
      </c>
      <c r="H470">
        <v>0.93341220000000003</v>
      </c>
      <c r="I470">
        <v>367.66120000000001</v>
      </c>
      <c r="J470">
        <v>-391.86779999999999</v>
      </c>
      <c r="K470">
        <v>1.120679</v>
      </c>
      <c r="L470">
        <v>367.7704</v>
      </c>
      <c r="M470">
        <v>0.99989870000000003</v>
      </c>
      <c r="N470">
        <v>-1.3925089999999999E-2</v>
      </c>
      <c r="O470">
        <v>-2.983168E-3</v>
      </c>
      <c r="P470">
        <v>0.99245260000000002</v>
      </c>
      <c r="Q470">
        <v>0.11517869999999999</v>
      </c>
      <c r="R470">
        <v>-4.2097839999999997E-2</v>
      </c>
      <c r="S470">
        <v>3.0929259999999998</v>
      </c>
      <c r="T470">
        <v>-0.77313050000000005</v>
      </c>
      <c r="U470">
        <v>-0.453125</v>
      </c>
      <c r="V470">
        <v>3.9189229999999999E-2</v>
      </c>
      <c r="W470">
        <v>0.12897310000000001</v>
      </c>
      <c r="X470">
        <v>0.99087349999999996</v>
      </c>
      <c r="Y470">
        <v>0.13769319999999999</v>
      </c>
      <c r="Z470">
        <v>-1.7151650000000001E-2</v>
      </c>
      <c r="AA470">
        <v>0.99032640000000005</v>
      </c>
      <c r="AB470">
        <v>25</v>
      </c>
      <c r="AC470">
        <v>0.61230000000000395</v>
      </c>
      <c r="AD470">
        <v>-0.18726680000000001</v>
      </c>
      <c r="AE470">
        <v>-0.109199999999987</v>
      </c>
      <c r="AF470">
        <v>9.8447888135534803E-2</v>
      </c>
      <c r="AG470">
        <v>-0.18726680000000001</v>
      </c>
      <c r="AH470">
        <v>0.56170165211341005</v>
      </c>
      <c r="AI470">
        <v>108.179471688221</v>
      </c>
      <c r="AJ470">
        <v>80.058899434132201</v>
      </c>
      <c r="AK470">
        <v>0.60022461383012404</v>
      </c>
      <c r="AL470">
        <v>82.589744822617106</v>
      </c>
      <c r="AM470">
        <v>87.735121762465397</v>
      </c>
      <c r="AN470">
        <v>1.00000007463692</v>
      </c>
    </row>
    <row r="471" spans="1:40" x14ac:dyDescent="0.25">
      <c r="A471" t="str">
        <f>"20190303170236133"</f>
        <v>20190303170236133</v>
      </c>
      <c r="B471" t="str">
        <f>"1551603756126719"</f>
        <v>1551603756126719</v>
      </c>
      <c r="C471" t="s">
        <v>40</v>
      </c>
      <c r="D471">
        <v>4.4192090000000004</v>
      </c>
      <c r="E471">
        <v>0.54626169999999996</v>
      </c>
      <c r="F471" t="s">
        <v>43</v>
      </c>
      <c r="G471">
        <v>-391.03890000000001</v>
      </c>
      <c r="H471">
        <v>0.91378389999999998</v>
      </c>
      <c r="I471">
        <v>367.64859999999999</v>
      </c>
      <c r="J471">
        <v>-391.72120000000001</v>
      </c>
      <c r="K471">
        <v>1.1207739999999999</v>
      </c>
      <c r="L471">
        <v>367.76979999999998</v>
      </c>
      <c r="M471">
        <v>0.99989720000000004</v>
      </c>
      <c r="N471">
        <v>-1.399511E-2</v>
      </c>
      <c r="O471">
        <v>-3.1097619999999999E-3</v>
      </c>
      <c r="P471">
        <v>0.99245099999999997</v>
      </c>
      <c r="Q471">
        <v>0.1152006</v>
      </c>
      <c r="R471">
        <v>-4.2070539999999997E-2</v>
      </c>
      <c r="S471">
        <v>3.0932010000000001</v>
      </c>
      <c r="T471">
        <v>-0.77209130000000004</v>
      </c>
      <c r="U471">
        <v>-0.45318599999999998</v>
      </c>
      <c r="V471">
        <v>3.9035930000000003E-2</v>
      </c>
      <c r="W471">
        <v>0.12906480000000001</v>
      </c>
      <c r="X471">
        <v>0.99086759999999996</v>
      </c>
      <c r="Y471">
        <v>0.13759160000000001</v>
      </c>
      <c r="Z471">
        <v>-1.709192E-2</v>
      </c>
      <c r="AA471">
        <v>0.99034149999999999</v>
      </c>
      <c r="AB471">
        <v>25</v>
      </c>
      <c r="AC471">
        <v>0.68229999999999702</v>
      </c>
      <c r="AD471">
        <v>-0.20699009999999901</v>
      </c>
      <c r="AE471">
        <v>-0.121199999999987</v>
      </c>
      <c r="AF471">
        <v>0.109323685959617</v>
      </c>
      <c r="AG471">
        <v>-0.20699009999999901</v>
      </c>
      <c r="AH471">
        <v>0.62675527885839799</v>
      </c>
      <c r="AI471">
        <v>108.022007936452</v>
      </c>
      <c r="AJ471">
        <v>80.105555474919498</v>
      </c>
      <c r="AK471">
        <v>0.66904315958439897</v>
      </c>
      <c r="AL471">
        <v>82.584446435022699</v>
      </c>
      <c r="AM471">
        <v>87.743958896432503</v>
      </c>
      <c r="AN471">
        <v>1.00000006357988</v>
      </c>
    </row>
    <row r="472" spans="1:40" x14ac:dyDescent="0.25">
      <c r="A472" t="str">
        <f>"20190303170236152"</f>
        <v>20190303170236152</v>
      </c>
      <c r="B472" t="str">
        <f>"1551603756146239"</f>
        <v>1551603756146239</v>
      </c>
      <c r="C472" t="s">
        <v>40</v>
      </c>
      <c r="D472">
        <v>4.4111149999999997</v>
      </c>
      <c r="E472">
        <v>0.54629289999999997</v>
      </c>
      <c r="F472" t="s">
        <v>43</v>
      </c>
      <c r="G472">
        <v>-391.024</v>
      </c>
      <c r="H472">
        <v>0.94664760000000003</v>
      </c>
      <c r="I472">
        <v>367.66730000000001</v>
      </c>
      <c r="J472">
        <v>-391.5181</v>
      </c>
      <c r="K472">
        <v>1.1208800000000001</v>
      </c>
      <c r="L472">
        <v>367.76900000000001</v>
      </c>
      <c r="M472">
        <v>0.99989550000000005</v>
      </c>
      <c r="N472">
        <v>-1.408236E-2</v>
      </c>
      <c r="O472">
        <v>-3.282245E-3</v>
      </c>
      <c r="P472">
        <v>0.99248720000000001</v>
      </c>
      <c r="Q472">
        <v>0.1148127</v>
      </c>
      <c r="R472">
        <v>-4.2275109999999998E-2</v>
      </c>
      <c r="S472">
        <v>3.0932919999999999</v>
      </c>
      <c r="T472">
        <v>-0.77258899999999997</v>
      </c>
      <c r="U472">
        <v>-0.45333859999999898</v>
      </c>
      <c r="V472">
        <v>3.9068400000000003E-2</v>
      </c>
      <c r="W472">
        <v>0.12876460000000001</v>
      </c>
      <c r="X472">
        <v>0.99090529999999999</v>
      </c>
      <c r="Y472">
        <v>0.13746649999999999</v>
      </c>
      <c r="Z472">
        <v>-1.7051859999999999E-2</v>
      </c>
      <c r="AA472">
        <v>0.99035960000000001</v>
      </c>
      <c r="AB472">
        <v>25</v>
      </c>
      <c r="AC472">
        <v>0.49410000000000298</v>
      </c>
      <c r="AD472">
        <v>-0.17423239999999901</v>
      </c>
      <c r="AE472">
        <v>-0.101699999999993</v>
      </c>
      <c r="AF472">
        <v>8.9411532446463896E-2</v>
      </c>
      <c r="AG472">
        <v>-0.17423239999999901</v>
      </c>
      <c r="AH472">
        <v>0.44173599489905402</v>
      </c>
      <c r="AI472">
        <v>111.13584784369699</v>
      </c>
      <c r="AJ472">
        <v>78.557388504177197</v>
      </c>
      <c r="AK472">
        <v>0.48319979359850901</v>
      </c>
      <c r="AL472">
        <v>82.601790794922707</v>
      </c>
      <c r="AM472">
        <v>87.742170083700202</v>
      </c>
      <c r="AN472">
        <v>0.99999998782990396</v>
      </c>
    </row>
    <row r="473" spans="1:40" x14ac:dyDescent="0.25">
      <c r="A473" t="str">
        <f>"20190303170236173"</f>
        <v>20190303170236173</v>
      </c>
      <c r="B473" t="str">
        <f>"1551603756166734"</f>
        <v>1551603756166734</v>
      </c>
      <c r="C473" t="s">
        <v>40</v>
      </c>
      <c r="D473">
        <v>4.3759059999999996</v>
      </c>
      <c r="E473">
        <v>0.54629949999999905</v>
      </c>
      <c r="F473" t="s">
        <v>43</v>
      </c>
      <c r="G473">
        <v>-390.80149999999998</v>
      </c>
      <c r="H473">
        <v>0.94159669999999895</v>
      </c>
      <c r="I473">
        <v>367.6635</v>
      </c>
      <c r="J473">
        <v>-391.2688</v>
      </c>
      <c r="K473">
        <v>1.120995</v>
      </c>
      <c r="L473">
        <v>367.7679</v>
      </c>
      <c r="M473">
        <v>0.99989349999999999</v>
      </c>
      <c r="N473">
        <v>-1.417824E-2</v>
      </c>
      <c r="O473">
        <v>-3.4899620000000001E-3</v>
      </c>
      <c r="P473">
        <v>0.99251250000000002</v>
      </c>
      <c r="Q473">
        <v>0.114431199999999</v>
      </c>
      <c r="R473">
        <v>-4.2717419999999999E-2</v>
      </c>
      <c r="S473">
        <v>3.0928650000000002</v>
      </c>
      <c r="T473">
        <v>-0.77383550000000001</v>
      </c>
      <c r="U473">
        <v>-0.45458979999999999</v>
      </c>
      <c r="V473">
        <v>3.9303690000000002E-2</v>
      </c>
      <c r="W473">
        <v>0.12847800000000001</v>
      </c>
      <c r="X473">
        <v>0.99093319999999996</v>
      </c>
      <c r="Y473">
        <v>0.13765639999999901</v>
      </c>
      <c r="Z473">
        <v>-1.7062359999999999E-2</v>
      </c>
      <c r="AA473">
        <v>0.99033309999999997</v>
      </c>
      <c r="AB473">
        <v>25</v>
      </c>
      <c r="AC473">
        <v>0.46730000000002198</v>
      </c>
      <c r="AD473">
        <v>-0.17939830000000001</v>
      </c>
      <c r="AE473">
        <v>-0.10439999999999799</v>
      </c>
      <c r="AF473">
        <v>9.0117967232481194E-2</v>
      </c>
      <c r="AG473">
        <v>-0.17939830000000001</v>
      </c>
      <c r="AH473">
        <v>0.41009426734894699</v>
      </c>
      <c r="AI473">
        <v>113.135162092174</v>
      </c>
      <c r="AJ473">
        <v>77.606277915905494</v>
      </c>
      <c r="AK473">
        <v>0.45659862699473203</v>
      </c>
      <c r="AL473">
        <v>82.618349332853001</v>
      </c>
      <c r="AM473">
        <v>87.728650355918802</v>
      </c>
      <c r="AN473">
        <v>0.99999999169692799</v>
      </c>
    </row>
    <row r="474" spans="1:40" x14ac:dyDescent="0.25">
      <c r="A474" t="str">
        <f>"20190303170236186"</f>
        <v>20190303170236186</v>
      </c>
      <c r="B474" t="str">
        <f>"1551603756176494"</f>
        <v>1551603756176494</v>
      </c>
      <c r="C474" t="s">
        <v>40</v>
      </c>
      <c r="D474">
        <v>4.3757630000000001</v>
      </c>
      <c r="E474">
        <v>0.54626450000000004</v>
      </c>
      <c r="F474" t="s">
        <v>43</v>
      </c>
      <c r="G474">
        <v>-390.57459999999998</v>
      </c>
      <c r="H474">
        <v>0.94684219999999997</v>
      </c>
      <c r="I474">
        <v>367.6653</v>
      </c>
      <c r="J474">
        <v>-391.1327</v>
      </c>
      <c r="K474">
        <v>1.121048</v>
      </c>
      <c r="L474">
        <v>367.76729999999998</v>
      </c>
      <c r="M474">
        <v>0.99989249999999996</v>
      </c>
      <c r="N474">
        <v>-1.4224519999999999E-2</v>
      </c>
      <c r="O474">
        <v>-3.6020919999999999E-3</v>
      </c>
      <c r="P474">
        <v>0.99252220000000002</v>
      </c>
      <c r="Q474">
        <v>0.1141921</v>
      </c>
      <c r="R474">
        <v>-4.3132469999999999E-2</v>
      </c>
      <c r="S474">
        <v>3.092438</v>
      </c>
      <c r="T474">
        <v>-0.77579679999999995</v>
      </c>
      <c r="U474">
        <v>-0.4558411</v>
      </c>
      <c r="V474">
        <v>3.9606849999999999E-2</v>
      </c>
      <c r="W474">
        <v>0.1282855</v>
      </c>
      <c r="X474">
        <v>0.99094610000000005</v>
      </c>
      <c r="Y474">
        <v>0.137929</v>
      </c>
      <c r="Z474">
        <v>-1.711644E-2</v>
      </c>
      <c r="AA474">
        <v>0.99029420000000001</v>
      </c>
      <c r="AB474">
        <v>25</v>
      </c>
      <c r="AC474">
        <v>0.55810000000002402</v>
      </c>
      <c r="AD474">
        <v>-0.17420579999999999</v>
      </c>
      <c r="AE474">
        <v>-0.101999999999975</v>
      </c>
      <c r="AF474">
        <v>9.13738402328656E-2</v>
      </c>
      <c r="AG474">
        <v>-0.17420579999999999</v>
      </c>
      <c r="AH474">
        <v>0.51034696749623998</v>
      </c>
      <c r="AI474">
        <v>108.572591914691</v>
      </c>
      <c r="AJ474">
        <v>79.849169429948205</v>
      </c>
      <c r="AK474">
        <v>0.54694685908701401</v>
      </c>
      <c r="AL474">
        <v>82.629471031613406</v>
      </c>
      <c r="AM474">
        <v>87.711179147330995</v>
      </c>
      <c r="AN474">
        <v>1.00000002259119</v>
      </c>
    </row>
    <row r="475" spans="1:40" x14ac:dyDescent="0.25">
      <c r="A475" t="str">
        <f>"20190303170236198"</f>
        <v>20190303170236198</v>
      </c>
      <c r="B475" t="str">
        <f>"1551603756186255"</f>
        <v>1551603756186255</v>
      </c>
      <c r="C475" t="s">
        <v>40</v>
      </c>
      <c r="D475">
        <v>4.365907</v>
      </c>
      <c r="E475">
        <v>0.54629649999999996</v>
      </c>
      <c r="F475" t="s">
        <v>43</v>
      </c>
      <c r="G475">
        <v>-390.3596</v>
      </c>
      <c r="H475">
        <v>0.92687679999999995</v>
      </c>
      <c r="I475">
        <v>367.65309999999999</v>
      </c>
      <c r="J475">
        <v>-390.99130000000002</v>
      </c>
      <c r="K475">
        <v>1.1210960000000001</v>
      </c>
      <c r="L475">
        <v>367.76670000000001</v>
      </c>
      <c r="M475">
        <v>0.99989130000000004</v>
      </c>
      <c r="N475">
        <v>-1.427049E-2</v>
      </c>
      <c r="O475">
        <v>-3.7180339999999998E-3</v>
      </c>
      <c r="P475">
        <v>0.9925273</v>
      </c>
      <c r="Q475">
        <v>0.11405410000000001</v>
      </c>
      <c r="R475">
        <v>-4.3374990000000002E-2</v>
      </c>
      <c r="S475">
        <v>3.092133</v>
      </c>
      <c r="T475">
        <v>-0.77664429999999995</v>
      </c>
      <c r="U475">
        <v>-0.45654299999999998</v>
      </c>
      <c r="V475">
        <v>3.9733930000000001E-2</v>
      </c>
      <c r="W475">
        <v>0.12819330000000001</v>
      </c>
      <c r="X475">
        <v>0.99095290000000003</v>
      </c>
      <c r="Y475">
        <v>0.1380374</v>
      </c>
      <c r="Z475">
        <v>-1.7125419999999999E-2</v>
      </c>
      <c r="AA475">
        <v>0.99027900000000002</v>
      </c>
      <c r="AB475">
        <v>25</v>
      </c>
      <c r="AC475">
        <v>0.63170000000002302</v>
      </c>
      <c r="AD475">
        <v>-0.19421919999999901</v>
      </c>
      <c r="AE475">
        <v>-0.11360000000001901</v>
      </c>
      <c r="AF475">
        <v>0.101917951227668</v>
      </c>
      <c r="AG475">
        <v>-0.19421919999999901</v>
      </c>
      <c r="AH475">
        <v>0.57909218948153096</v>
      </c>
      <c r="AI475">
        <v>108.278856548213</v>
      </c>
      <c r="AJ475">
        <v>80.018388955227493</v>
      </c>
      <c r="AK475">
        <v>0.61923834696310498</v>
      </c>
      <c r="AL475">
        <v>82.634797358096606</v>
      </c>
      <c r="AM475">
        <v>87.703858970885705</v>
      </c>
      <c r="AN475">
        <v>0.99999997868827195</v>
      </c>
    </row>
    <row r="476" spans="1:40" x14ac:dyDescent="0.25">
      <c r="A476" t="str">
        <f>"20190303170236211"</f>
        <v>20190303170236211</v>
      </c>
      <c r="B476" t="str">
        <f>"1551603756206750"</f>
        <v>1551603756206750</v>
      </c>
      <c r="C476" t="s">
        <v>40</v>
      </c>
      <c r="D476">
        <v>4.3690689999999996</v>
      </c>
      <c r="E476">
        <v>0.54631379999999996</v>
      </c>
      <c r="F476" t="s">
        <v>43</v>
      </c>
      <c r="G476">
        <v>-390.14409999999998</v>
      </c>
      <c r="H476">
        <v>0.90819720000000004</v>
      </c>
      <c r="I476">
        <v>367.64089999999999</v>
      </c>
      <c r="J476">
        <v>-390.84449999999998</v>
      </c>
      <c r="K476">
        <v>1.1211450000000001</v>
      </c>
      <c r="L476">
        <v>367.76600000000002</v>
      </c>
      <c r="M476">
        <v>0.99989019999999995</v>
      </c>
      <c r="N476">
        <v>-1.431414E-2</v>
      </c>
      <c r="O476">
        <v>-3.8378930000000002E-3</v>
      </c>
      <c r="P476">
        <v>0.99246789999999996</v>
      </c>
      <c r="Q476">
        <v>0.11440889999999999</v>
      </c>
      <c r="R476">
        <v>-4.380307E-2</v>
      </c>
      <c r="S476">
        <v>3.091888</v>
      </c>
      <c r="T476">
        <v>-0.77703639999999996</v>
      </c>
      <c r="U476">
        <v>-0.45770260000000001</v>
      </c>
      <c r="V476">
        <v>4.0042899999999999E-2</v>
      </c>
      <c r="W476">
        <v>0.1285905</v>
      </c>
      <c r="X476">
        <v>0.99088900000000002</v>
      </c>
      <c r="Y476">
        <v>0.138283399999999</v>
      </c>
      <c r="Z476">
        <v>-1.7141630000000001E-2</v>
      </c>
      <c r="AA476">
        <v>0.99024429999999997</v>
      </c>
      <c r="AB476">
        <v>25</v>
      </c>
      <c r="AC476">
        <v>0.70040000000000102</v>
      </c>
      <c r="AD476">
        <v>-0.21294779999999999</v>
      </c>
      <c r="AE476">
        <v>-0.12509999999997401</v>
      </c>
      <c r="AF476">
        <v>0.112346629976431</v>
      </c>
      <c r="AG476">
        <v>-0.21294779999999999</v>
      </c>
      <c r="AH476">
        <v>0.64325192061129999</v>
      </c>
      <c r="AI476">
        <v>108.061785568354</v>
      </c>
      <c r="AJ476">
        <v>80.092981458255494</v>
      </c>
      <c r="AK476">
        <v>0.68683445178734903</v>
      </c>
      <c r="AL476">
        <v>82.611849559393505</v>
      </c>
      <c r="AM476">
        <v>87.685874511685</v>
      </c>
      <c r="AN476">
        <v>0.99999998042582905</v>
      </c>
    </row>
    <row r="477" spans="1:40" x14ac:dyDescent="0.25">
      <c r="A477" t="str">
        <f>"20190303170236229"</f>
        <v>20190303170236229</v>
      </c>
      <c r="B477" t="str">
        <f>"1551603756216511"</f>
        <v>1551603756216511</v>
      </c>
      <c r="C477" t="s">
        <v>40</v>
      </c>
      <c r="D477">
        <v>4.3840309999999896</v>
      </c>
      <c r="E477">
        <v>0.54633390000000004</v>
      </c>
      <c r="F477" t="s">
        <v>43</v>
      </c>
      <c r="G477">
        <v>-390.12920000000003</v>
      </c>
      <c r="H477">
        <v>0.94169029999999998</v>
      </c>
      <c r="I477">
        <v>367.65940000000001</v>
      </c>
      <c r="J477">
        <v>-390.65480000000002</v>
      </c>
      <c r="K477">
        <v>1.1211990000000001</v>
      </c>
      <c r="L477">
        <v>367.76510000000002</v>
      </c>
      <c r="M477">
        <v>0.99988889999999997</v>
      </c>
      <c r="N477">
        <v>-1.4365040000000001E-2</v>
      </c>
      <c r="O477">
        <v>-3.9924899999999996E-3</v>
      </c>
      <c r="P477">
        <v>0.99236120000000005</v>
      </c>
      <c r="Q477">
        <v>0.11518059999999999</v>
      </c>
      <c r="R477">
        <v>-4.4191840000000003E-2</v>
      </c>
      <c r="S477">
        <v>3.0919189999999999</v>
      </c>
      <c r="T477">
        <v>-0.77584489999999995</v>
      </c>
      <c r="U477">
        <v>-0.459198</v>
      </c>
      <c r="V477">
        <v>4.027857E-2</v>
      </c>
      <c r="W477">
        <v>0.1294109</v>
      </c>
      <c r="X477">
        <v>0.99077269999999995</v>
      </c>
      <c r="Y477">
        <v>0.138603799999999</v>
      </c>
      <c r="Z477">
        <v>-1.7126699999999901E-2</v>
      </c>
      <c r="AA477">
        <v>0.99019979999999996</v>
      </c>
      <c r="AB477">
        <v>25</v>
      </c>
      <c r="AC477">
        <v>0.52559999999999696</v>
      </c>
      <c r="AD477">
        <v>-0.17950869999999999</v>
      </c>
      <c r="AE477">
        <v>-0.10570000000001301</v>
      </c>
      <c r="AF477">
        <v>9.3156739000502697E-2</v>
      </c>
      <c r="AG477">
        <v>-0.17950869999999999</v>
      </c>
      <c r="AH477">
        <v>0.47299109607867701</v>
      </c>
      <c r="AI477">
        <v>110.423558805301</v>
      </c>
      <c r="AJ477">
        <v>78.858063305937804</v>
      </c>
      <c r="AK477">
        <v>0.51441435474392205</v>
      </c>
      <c r="AL477">
        <v>82.564448509013502</v>
      </c>
      <c r="AM477">
        <v>87.671996871861595</v>
      </c>
      <c r="AN477">
        <v>1.0000000436526699</v>
      </c>
    </row>
    <row r="478" spans="1:40" x14ac:dyDescent="0.25">
      <c r="A478" t="str">
        <f>"20190303170236241"</f>
        <v>20190303170236241</v>
      </c>
      <c r="B478" t="str">
        <f>"1551603756236030"</f>
        <v>1551603756236030</v>
      </c>
      <c r="C478" t="s">
        <v>40</v>
      </c>
      <c r="D478">
        <v>4.3678100000000004</v>
      </c>
      <c r="E478">
        <v>0.54636039999999997</v>
      </c>
      <c r="F478" t="s">
        <v>43</v>
      </c>
      <c r="G478">
        <v>-389.9092</v>
      </c>
      <c r="H478">
        <v>0.93472239999999995</v>
      </c>
      <c r="I478">
        <v>367.65379999999999</v>
      </c>
      <c r="J478">
        <v>-390.51280000000003</v>
      </c>
      <c r="K478">
        <v>1.121235</v>
      </c>
      <c r="L478">
        <v>367.76440000000002</v>
      </c>
      <c r="M478">
        <v>0.999888</v>
      </c>
      <c r="N478">
        <v>-1.439994E-2</v>
      </c>
      <c r="O478">
        <v>-4.1082380000000002E-3</v>
      </c>
      <c r="P478">
        <v>0.99228419999999895</v>
      </c>
      <c r="Q478">
        <v>0.1157671</v>
      </c>
      <c r="R478">
        <v>-4.4387759999999998E-2</v>
      </c>
      <c r="S478">
        <v>3.0923159999999998</v>
      </c>
      <c r="T478">
        <v>-0.77341369999999998</v>
      </c>
      <c r="U478">
        <v>-0.46084589999999998</v>
      </c>
      <c r="V478">
        <v>4.035979E-2</v>
      </c>
      <c r="W478">
        <v>0.13003129999999999</v>
      </c>
      <c r="X478">
        <v>0.99068809999999996</v>
      </c>
      <c r="Y478">
        <v>0.13900409999999999</v>
      </c>
      <c r="Z478">
        <v>-1.7103130000000001E-2</v>
      </c>
      <c r="AA478">
        <v>0.99014409999999997</v>
      </c>
      <c r="AB478">
        <v>25</v>
      </c>
      <c r="AC478">
        <v>0.603600000000028</v>
      </c>
      <c r="AD478">
        <v>-0.186512599999999</v>
      </c>
      <c r="AE478">
        <v>-0.11060000000003301</v>
      </c>
      <c r="AF478">
        <v>9.8975738975343203E-2</v>
      </c>
      <c r="AG478">
        <v>-0.186512599999999</v>
      </c>
      <c r="AH478">
        <v>0.55296650435374795</v>
      </c>
      <c r="AI478">
        <v>108.36709391169801</v>
      </c>
      <c r="AJ478">
        <v>79.852062223185897</v>
      </c>
      <c r="AK478">
        <v>0.591908018024489</v>
      </c>
      <c r="AL478">
        <v>82.528598834649699</v>
      </c>
      <c r="AM478">
        <v>87.667108753776603</v>
      </c>
      <c r="AN478">
        <v>0.99999998155507097</v>
      </c>
    </row>
    <row r="479" spans="1:40" x14ac:dyDescent="0.25">
      <c r="A479" t="str">
        <f>"20190303170236264"</f>
        <v>20190303170236264</v>
      </c>
      <c r="B479" t="str">
        <f>"1551603756256526"</f>
        <v>1551603756256526</v>
      </c>
      <c r="C479" t="s">
        <v>40</v>
      </c>
      <c r="D479">
        <v>4.359413</v>
      </c>
      <c r="E479">
        <v>0.5463768</v>
      </c>
      <c r="F479" t="s">
        <v>43</v>
      </c>
      <c r="G479">
        <v>-389.69439999999997</v>
      </c>
      <c r="H479">
        <v>0.91711960000000003</v>
      </c>
      <c r="I479">
        <v>367.64210000000003</v>
      </c>
      <c r="J479">
        <v>-390.26440000000002</v>
      </c>
      <c r="K479">
        <v>1.121297</v>
      </c>
      <c r="L479">
        <v>367.76319999999998</v>
      </c>
      <c r="M479">
        <v>0.99988630000000001</v>
      </c>
      <c r="N479">
        <v>-1.4454389999999999E-2</v>
      </c>
      <c r="O479">
        <v>-4.3103100000000004E-3</v>
      </c>
      <c r="P479">
        <v>0.99224789999999996</v>
      </c>
      <c r="Q479">
        <v>0.1158571</v>
      </c>
      <c r="R479">
        <v>-4.4961979999999999E-2</v>
      </c>
      <c r="S479">
        <v>3.0927120000000001</v>
      </c>
      <c r="T479">
        <v>-0.77145580000000002</v>
      </c>
      <c r="U479">
        <v>-0.46148679999999997</v>
      </c>
      <c r="V479">
        <v>4.0733400000000003E-2</v>
      </c>
      <c r="W479">
        <v>0.1301745</v>
      </c>
      <c r="X479">
        <v>0.99065409999999998</v>
      </c>
      <c r="Y479">
        <v>0.13901259999999999</v>
      </c>
      <c r="Z479">
        <v>-1.7020170000000001E-2</v>
      </c>
      <c r="AA479">
        <v>0.99014429999999998</v>
      </c>
      <c r="AB479">
        <v>25</v>
      </c>
      <c r="AC479">
        <v>0.57000000000005002</v>
      </c>
      <c r="AD479">
        <v>-0.20417739999999901</v>
      </c>
      <c r="AE479">
        <v>-0.12109999999995499</v>
      </c>
      <c r="AF479">
        <v>0.10566878766691901</v>
      </c>
      <c r="AG479">
        <v>-0.20417739999999901</v>
      </c>
      <c r="AH479">
        <v>0.50813323491972195</v>
      </c>
      <c r="AI479">
        <v>111.47478890320301</v>
      </c>
      <c r="AJ479">
        <v>78.252494236963997</v>
      </c>
      <c r="AK479">
        <v>0.55772187314802202</v>
      </c>
      <c r="AL479">
        <v>82.520324470861695</v>
      </c>
      <c r="AM479">
        <v>87.645456688807897</v>
      </c>
      <c r="AN479">
        <v>1.0000000780863001</v>
      </c>
    </row>
    <row r="480" spans="1:40" x14ac:dyDescent="0.25">
      <c r="A480" t="str">
        <f>"20190303170236286"</f>
        <v>20190303170236286</v>
      </c>
      <c r="B480" t="str">
        <f>"1551603756276046"</f>
        <v>1551603756276046</v>
      </c>
      <c r="C480" t="s">
        <v>40</v>
      </c>
      <c r="D480">
        <v>4.3853499999999999</v>
      </c>
      <c r="E480">
        <v>0.54637769999999997</v>
      </c>
      <c r="F480" t="s">
        <v>43</v>
      </c>
      <c r="G480">
        <v>-389.46949999999998</v>
      </c>
      <c r="H480">
        <v>0.92291869999999998</v>
      </c>
      <c r="I480">
        <v>367.64420000000001</v>
      </c>
      <c r="J480">
        <v>-390.0138</v>
      </c>
      <c r="K480">
        <v>1.1213439999999999</v>
      </c>
      <c r="L480">
        <v>367.76179999999999</v>
      </c>
      <c r="M480">
        <v>0.99988469999999996</v>
      </c>
      <c r="N480">
        <v>-1.450185E-2</v>
      </c>
      <c r="O480">
        <v>-4.5142430000000002E-3</v>
      </c>
      <c r="P480">
        <v>0.99225010000000002</v>
      </c>
      <c r="Q480">
        <v>0.11557199999999999</v>
      </c>
      <c r="R480">
        <v>-4.563888E-2</v>
      </c>
      <c r="S480">
        <v>3.0926209999999998</v>
      </c>
      <c r="T480">
        <v>-0.77180519999999997</v>
      </c>
      <c r="U480">
        <v>-0.46212769999999997</v>
      </c>
      <c r="V480">
        <v>4.1207550000000003E-2</v>
      </c>
      <c r="W480">
        <v>0.12993669999999999</v>
      </c>
      <c r="X480">
        <v>0.99066560000000004</v>
      </c>
      <c r="Y480">
        <v>0.13901640000000001</v>
      </c>
      <c r="Z480">
        <v>-1.6984530000000001E-2</v>
      </c>
      <c r="AA480">
        <v>0.99014440000000004</v>
      </c>
      <c r="AB480">
        <v>25</v>
      </c>
      <c r="AC480">
        <v>0.54430000000002099</v>
      </c>
      <c r="AD480">
        <v>-0.1984253</v>
      </c>
      <c r="AE480">
        <v>-0.117599999999981</v>
      </c>
      <c r="AF480">
        <v>0.102168983400013</v>
      </c>
      <c r="AG480">
        <v>-0.1984253</v>
      </c>
      <c r="AH480">
        <v>0.48344240977395198</v>
      </c>
      <c r="AI480">
        <v>111.87904739269101</v>
      </c>
      <c r="AJ480">
        <v>78.066904104873402</v>
      </c>
      <c r="AK480">
        <v>0.53247315840061604</v>
      </c>
      <c r="AL480">
        <v>82.534065303541396</v>
      </c>
      <c r="AM480">
        <v>87.618108044749704</v>
      </c>
      <c r="AN480">
        <v>0.99999996960362503</v>
      </c>
    </row>
    <row r="481" spans="1:40" x14ac:dyDescent="0.25">
      <c r="A481" t="str">
        <f>"20190303170236301"</f>
        <v>20190303170236301</v>
      </c>
      <c r="B481" t="str">
        <f>"1551603756286783"</f>
        <v>1551603756286783</v>
      </c>
      <c r="C481" t="s">
        <v>40</v>
      </c>
      <c r="D481">
        <v>4.3717059999999996</v>
      </c>
      <c r="E481">
        <v>0.54641569999999995</v>
      </c>
      <c r="F481" t="s">
        <v>43</v>
      </c>
      <c r="G481">
        <v>-389.2448</v>
      </c>
      <c r="H481">
        <v>0.92894889999999997</v>
      </c>
      <c r="I481">
        <v>367.6465</v>
      </c>
      <c r="J481">
        <v>-389.86360000000002</v>
      </c>
      <c r="K481">
        <v>1.12137</v>
      </c>
      <c r="L481">
        <v>367.76100000000002</v>
      </c>
      <c r="M481">
        <v>0.99988370000000004</v>
      </c>
      <c r="N481">
        <v>-1.452721E-2</v>
      </c>
      <c r="O481">
        <v>-4.6364869999999999E-3</v>
      </c>
      <c r="P481">
        <v>0.99220299999999995</v>
      </c>
      <c r="Q481">
        <v>0.1158226</v>
      </c>
      <c r="R481">
        <v>-4.6025580000000003E-2</v>
      </c>
      <c r="S481">
        <v>3.0921940000000001</v>
      </c>
      <c r="T481">
        <v>-0.77372929999999995</v>
      </c>
      <c r="U481">
        <v>-0.46347050000000001</v>
      </c>
      <c r="V481">
        <v>4.1473000000000003E-2</v>
      </c>
      <c r="W481">
        <v>0.13021179999999999</v>
      </c>
      <c r="X481">
        <v>0.99061840000000001</v>
      </c>
      <c r="Y481">
        <v>0.13930809999999999</v>
      </c>
      <c r="Z481">
        <v>-1.7036320000000001E-2</v>
      </c>
      <c r="AA481">
        <v>0.9901025</v>
      </c>
      <c r="AB481">
        <v>25</v>
      </c>
      <c r="AC481">
        <v>0.618800000000021</v>
      </c>
      <c r="AD481">
        <v>-0.19242110000000001</v>
      </c>
      <c r="AE481">
        <v>-0.11449999999996401</v>
      </c>
      <c r="AF481">
        <v>0.102085057148318</v>
      </c>
      <c r="AG481">
        <v>-0.19242110000000001</v>
      </c>
      <c r="AH481">
        <v>0.56637185275953505</v>
      </c>
      <c r="AI481">
        <v>108.487645227914</v>
      </c>
      <c r="AJ481">
        <v>79.782492391076204</v>
      </c>
      <c r="AK481">
        <v>0.60681489287628199</v>
      </c>
      <c r="AL481">
        <v>82.518168167851698</v>
      </c>
      <c r="AM481">
        <v>87.602668175030601</v>
      </c>
      <c r="AN481">
        <v>0.99999996850339901</v>
      </c>
    </row>
    <row r="482" spans="1:40" x14ac:dyDescent="0.25">
      <c r="A482" t="str">
        <f>"20190303170236314"</f>
        <v>20190303170236314</v>
      </c>
      <c r="B482" t="str">
        <f>"1551603756306303"</f>
        <v>1551603756306303</v>
      </c>
      <c r="C482" t="s">
        <v>40</v>
      </c>
      <c r="D482">
        <v>4.3890029999999998</v>
      </c>
      <c r="E482">
        <v>0.54645059999999901</v>
      </c>
      <c r="F482" t="s">
        <v>43</v>
      </c>
      <c r="G482">
        <v>-389.03030000000001</v>
      </c>
      <c r="H482">
        <v>0.91298040000000003</v>
      </c>
      <c r="I482">
        <v>367.63569999999999</v>
      </c>
      <c r="J482">
        <v>-389.70119999999997</v>
      </c>
      <c r="K482">
        <v>1.1213959999999901</v>
      </c>
      <c r="L482">
        <v>367.76010000000002</v>
      </c>
      <c r="M482">
        <v>0.99988270000000001</v>
      </c>
      <c r="N482">
        <v>-1.4552320000000001E-2</v>
      </c>
      <c r="O482">
        <v>-4.7687440000000001E-3</v>
      </c>
      <c r="P482">
        <v>0.99216110000000002</v>
      </c>
      <c r="Q482">
        <v>0.11614289999999899</v>
      </c>
      <c r="R482">
        <v>-4.6122290000000003E-2</v>
      </c>
      <c r="S482">
        <v>3.092285</v>
      </c>
      <c r="T482">
        <v>-0.77321119999999899</v>
      </c>
      <c r="U482">
        <v>-0.4647522</v>
      </c>
      <c r="V482">
        <v>4.1438679999999999E-2</v>
      </c>
      <c r="W482">
        <v>0.13055649999999999</v>
      </c>
      <c r="X482">
        <v>0.99057450000000002</v>
      </c>
      <c r="Y482">
        <v>0.1395749</v>
      </c>
      <c r="Z482">
        <v>-1.7031109999999999E-2</v>
      </c>
      <c r="AA482">
        <v>0.99006499999999997</v>
      </c>
      <c r="AB482">
        <v>25</v>
      </c>
      <c r="AC482">
        <v>0.67089999999995997</v>
      </c>
      <c r="AD482">
        <v>-0.20841559999999901</v>
      </c>
      <c r="AE482">
        <v>-0.124400000000036</v>
      </c>
      <c r="AF482">
        <v>0.110856410486593</v>
      </c>
      <c r="AG482">
        <v>-0.20841559999999901</v>
      </c>
      <c r="AH482">
        <v>0.614184559146006</v>
      </c>
      <c r="AI482">
        <v>108.46628455306001</v>
      </c>
      <c r="AJ482">
        <v>79.7686324343656</v>
      </c>
      <c r="AK482">
        <v>0.65798850959777899</v>
      </c>
      <c r="AL482">
        <v>82.498248519213206</v>
      </c>
      <c r="AM482">
        <v>87.604543685729993</v>
      </c>
      <c r="AN482">
        <v>1.00000000197132</v>
      </c>
    </row>
    <row r="483" spans="1:40" x14ac:dyDescent="0.25">
      <c r="A483" t="str">
        <f>"20190303170236329"</f>
        <v>20190303170236329</v>
      </c>
      <c r="B483" t="str">
        <f>"1551603756316063"</f>
        <v>1551603756316063</v>
      </c>
      <c r="C483" t="s">
        <v>40</v>
      </c>
      <c r="D483">
        <v>4.3769519999999904</v>
      </c>
      <c r="E483">
        <v>0.54646300000000003</v>
      </c>
      <c r="F483" t="s">
        <v>43</v>
      </c>
      <c r="G483">
        <v>-389.01369999999997</v>
      </c>
      <c r="H483">
        <v>0.94960960000000005</v>
      </c>
      <c r="I483">
        <v>367.6567</v>
      </c>
      <c r="J483">
        <v>-389.53609999999998</v>
      </c>
      <c r="K483">
        <v>1.1214200000000001</v>
      </c>
      <c r="L483">
        <v>367.75909999999999</v>
      </c>
      <c r="M483">
        <v>0.99988169999999998</v>
      </c>
      <c r="N483">
        <v>-1.4574490000000001E-2</v>
      </c>
      <c r="O483">
        <v>-4.9034819999999998E-3</v>
      </c>
      <c r="P483">
        <v>0.9920445</v>
      </c>
      <c r="Q483">
        <v>0.1167728</v>
      </c>
      <c r="R483">
        <v>-4.7034300000000001E-2</v>
      </c>
      <c r="S483">
        <v>3.0925289999999999</v>
      </c>
      <c r="T483">
        <v>-0.77281519999999904</v>
      </c>
      <c r="U483">
        <v>-0.46517940000000002</v>
      </c>
      <c r="V483">
        <v>4.2217589999999999E-2</v>
      </c>
      <c r="W483">
        <v>0.1312065</v>
      </c>
      <c r="X483">
        <v>0.99045570000000005</v>
      </c>
      <c r="Y483">
        <v>0.1395721</v>
      </c>
      <c r="Z483">
        <v>-1.6992090000000001E-2</v>
      </c>
      <c r="AA483">
        <v>0.99006609999999995</v>
      </c>
      <c r="AB483">
        <v>25</v>
      </c>
      <c r="AC483">
        <v>0.52240000000000397</v>
      </c>
      <c r="AD483">
        <v>-0.1718104</v>
      </c>
      <c r="AE483">
        <v>-0.102399999999988</v>
      </c>
      <c r="AF483">
        <v>9.04185482866805E-2</v>
      </c>
      <c r="AG483">
        <v>-0.1718104</v>
      </c>
      <c r="AH483">
        <v>0.47356717680293198</v>
      </c>
      <c r="AI483">
        <v>109.61419115321</v>
      </c>
      <c r="AJ483">
        <v>79.190570322446504</v>
      </c>
      <c r="AK483">
        <v>0.511820474744349</v>
      </c>
      <c r="AL483">
        <v>82.460682974464405</v>
      </c>
      <c r="AM483">
        <v>87.559278611951299</v>
      </c>
      <c r="AN483">
        <v>0.99999998210507302</v>
      </c>
    </row>
    <row r="484" spans="1:40" x14ac:dyDescent="0.25">
      <c r="A484" t="str">
        <f>"20190303170236341"</f>
        <v>20190303170236341</v>
      </c>
      <c r="B484" t="str">
        <f>"1551603756326799"</f>
        <v>1551603756326799</v>
      </c>
      <c r="C484" t="s">
        <v>40</v>
      </c>
      <c r="D484">
        <v>4.3726209999999996</v>
      </c>
      <c r="E484">
        <v>0.54649389999999998</v>
      </c>
      <c r="F484" t="s">
        <v>43</v>
      </c>
      <c r="G484">
        <v>-388.79829999999998</v>
      </c>
      <c r="H484">
        <v>0.93744669999999997</v>
      </c>
      <c r="I484">
        <v>367.64760000000001</v>
      </c>
      <c r="J484">
        <v>-389.4076</v>
      </c>
      <c r="K484">
        <v>1.1214360000000001</v>
      </c>
      <c r="L484">
        <v>367.75839999999999</v>
      </c>
      <c r="M484">
        <v>0.99988100000000002</v>
      </c>
      <c r="N484">
        <v>-1.4590519999999999E-2</v>
      </c>
      <c r="O484">
        <v>-5.0084960000000003E-3</v>
      </c>
      <c r="P484">
        <v>0.9919521</v>
      </c>
      <c r="Q484">
        <v>0.1173307</v>
      </c>
      <c r="R484">
        <v>-4.7587190000000001E-2</v>
      </c>
      <c r="S484">
        <v>3.092651</v>
      </c>
      <c r="T484">
        <v>-0.77119890000000002</v>
      </c>
      <c r="U484">
        <v>-0.46698000000000001</v>
      </c>
      <c r="V484">
        <v>4.2666919999999997E-2</v>
      </c>
      <c r="W484">
        <v>0.1317789</v>
      </c>
      <c r="X484">
        <v>0.99036040000000003</v>
      </c>
      <c r="Y484">
        <v>0.14003189999999999</v>
      </c>
      <c r="Z484">
        <v>-1.6995240000000002E-2</v>
      </c>
      <c r="AA484">
        <v>0.99000109999999997</v>
      </c>
      <c r="AB484">
        <v>25</v>
      </c>
      <c r="AC484">
        <v>0.60930000000001805</v>
      </c>
      <c r="AD484">
        <v>-0.18398929999999999</v>
      </c>
      <c r="AE484">
        <v>-0.110799999999983</v>
      </c>
      <c r="AF484">
        <v>9.9007600996715697E-2</v>
      </c>
      <c r="AG484">
        <v>-0.18398929999999999</v>
      </c>
      <c r="AH484">
        <v>0.56038444839058499</v>
      </c>
      <c r="AI484">
        <v>107.917030070162</v>
      </c>
      <c r="AJ484">
        <v>79.980495951744302</v>
      </c>
      <c r="AK484">
        <v>0.59806797069199003</v>
      </c>
      <c r="AL484">
        <v>82.427599238579205</v>
      </c>
      <c r="AM484">
        <v>87.533096389814602</v>
      </c>
      <c r="AN484">
        <v>0.99999993321782599</v>
      </c>
    </row>
    <row r="485" spans="1:40" x14ac:dyDescent="0.25">
      <c r="A485" t="str">
        <f>"20190303170236353"</f>
        <v>20190303170236353</v>
      </c>
      <c r="B485" t="str">
        <f>"1551603756346318"</f>
        <v>1551603756346318</v>
      </c>
      <c r="C485" t="s">
        <v>40</v>
      </c>
      <c r="D485">
        <v>4.3845229999999997</v>
      </c>
      <c r="E485">
        <v>0.54652909999999999</v>
      </c>
      <c r="F485" t="s">
        <v>43</v>
      </c>
      <c r="G485">
        <v>-388.58679999999998</v>
      </c>
      <c r="H485">
        <v>0.91718630000000001</v>
      </c>
      <c r="I485">
        <v>367.63420000000002</v>
      </c>
      <c r="J485">
        <v>-389.26889999999997</v>
      </c>
      <c r="K485">
        <v>1.1214519999999999</v>
      </c>
      <c r="L485">
        <v>367.75760000000002</v>
      </c>
      <c r="M485">
        <v>0.9998802</v>
      </c>
      <c r="N485">
        <v>-1.460669E-2</v>
      </c>
      <c r="O485">
        <v>-5.1216159999999998E-3</v>
      </c>
      <c r="P485">
        <v>0.99188670000000001</v>
      </c>
      <c r="Q485">
        <v>0.1176445</v>
      </c>
      <c r="R485">
        <v>-4.8174139999999997E-2</v>
      </c>
      <c r="S485">
        <v>3.0929259999999998</v>
      </c>
      <c r="T485">
        <v>-0.76966769999999995</v>
      </c>
      <c r="U485">
        <v>-0.46841430000000001</v>
      </c>
      <c r="V485">
        <v>4.3141980000000003E-2</v>
      </c>
      <c r="W485">
        <v>0.13210740000000001</v>
      </c>
      <c r="X485">
        <v>0.99029610000000001</v>
      </c>
      <c r="Y485">
        <v>0.140365299999999</v>
      </c>
      <c r="Z485">
        <v>-1.6981139999999999E-2</v>
      </c>
      <c r="AA485">
        <v>0.98995420000000001</v>
      </c>
      <c r="AB485">
        <v>25</v>
      </c>
      <c r="AC485">
        <v>0.68209999999999105</v>
      </c>
      <c r="AD485">
        <v>-0.20426569999999999</v>
      </c>
      <c r="AE485">
        <v>-0.12340000000000299</v>
      </c>
      <c r="AF485">
        <v>0.110324248790877</v>
      </c>
      <c r="AG485">
        <v>-0.20426569999999999</v>
      </c>
      <c r="AH485">
        <v>0.628173938908416</v>
      </c>
      <c r="AI485">
        <v>107.758804098544</v>
      </c>
      <c r="AJ485">
        <v>80.038906166479606</v>
      </c>
      <c r="AK485">
        <v>0.66970024159430896</v>
      </c>
      <c r="AL485">
        <v>82.408611931864598</v>
      </c>
      <c r="AM485">
        <v>87.505502256103696</v>
      </c>
      <c r="AN485">
        <v>0.99999998062414497</v>
      </c>
    </row>
    <row r="486" spans="1:40" x14ac:dyDescent="0.25">
      <c r="A486" t="str">
        <f>"20190303170236365"</f>
        <v>20190303170236365</v>
      </c>
      <c r="B486" t="str">
        <f>"1551603756356079"</f>
        <v>1551603756356079</v>
      </c>
      <c r="C486" t="s">
        <v>40</v>
      </c>
      <c r="D486">
        <v>4.4151300000000004</v>
      </c>
      <c r="E486">
        <v>0.54654499999999995</v>
      </c>
      <c r="F486" t="s">
        <v>43</v>
      </c>
      <c r="G486">
        <v>-388.57249999999999</v>
      </c>
      <c r="H486">
        <v>0.94829620000000003</v>
      </c>
      <c r="I486">
        <v>367.65159999999997</v>
      </c>
      <c r="J486">
        <v>-389.14060000000001</v>
      </c>
      <c r="K486">
        <v>1.121462</v>
      </c>
      <c r="L486">
        <v>367.7568</v>
      </c>
      <c r="M486">
        <v>0.99987950000000003</v>
      </c>
      <c r="N486">
        <v>-1.461984E-2</v>
      </c>
      <c r="O486">
        <v>-5.2267279999999999E-3</v>
      </c>
      <c r="P486">
        <v>0.99180610000000002</v>
      </c>
      <c r="Q486">
        <v>0.1182363</v>
      </c>
      <c r="R486">
        <v>-4.8383389999999998E-2</v>
      </c>
      <c r="S486">
        <v>3.0928960000000001</v>
      </c>
      <c r="T486">
        <v>-0.76911350000000001</v>
      </c>
      <c r="U486">
        <v>-0.47085569999999999</v>
      </c>
      <c r="V486">
        <v>4.3247590000000002E-2</v>
      </c>
      <c r="W486">
        <v>0.132711</v>
      </c>
      <c r="X486">
        <v>0.99021079999999995</v>
      </c>
      <c r="Y486">
        <v>0.141015</v>
      </c>
      <c r="Z486">
        <v>-1.7030239999999999E-2</v>
      </c>
      <c r="AA486">
        <v>0.98986099999999999</v>
      </c>
      <c r="AB486">
        <v>25</v>
      </c>
      <c r="AC486">
        <v>0.56810000000001504</v>
      </c>
      <c r="AD486">
        <v>-0.17316580000000001</v>
      </c>
      <c r="AE486">
        <v>-0.105200000000024</v>
      </c>
      <c r="AF486">
        <v>9.3802462970800596E-2</v>
      </c>
      <c r="AG486">
        <v>-0.17316580000000001</v>
      </c>
      <c r="AH486">
        <v>0.52177038573702095</v>
      </c>
      <c r="AI486">
        <v>108.08934970053799</v>
      </c>
      <c r="AJ486">
        <v>79.808386957787405</v>
      </c>
      <c r="AK486">
        <v>0.55770030642020296</v>
      </c>
      <c r="AL486">
        <v>82.373721106151606</v>
      </c>
      <c r="AM486">
        <v>87.499188421971297</v>
      </c>
      <c r="AN486">
        <v>0.99999999599922396</v>
      </c>
    </row>
    <row r="487" spans="1:40" x14ac:dyDescent="0.25">
      <c r="A487" t="str">
        <f>"20190303170236380"</f>
        <v>20190303170236380</v>
      </c>
      <c r="B487" t="str">
        <f>"1551603756366816"</f>
        <v>1551603756366816</v>
      </c>
      <c r="C487" t="s">
        <v>40</v>
      </c>
      <c r="D487">
        <v>4.387956</v>
      </c>
      <c r="E487">
        <v>0.54654910000000001</v>
      </c>
      <c r="F487" t="s">
        <v>43</v>
      </c>
      <c r="G487">
        <v>-388.36160000000001</v>
      </c>
      <c r="H487">
        <v>0.92816810000000005</v>
      </c>
      <c r="I487">
        <v>367.63780000000003</v>
      </c>
      <c r="J487">
        <v>-388.97949999999997</v>
      </c>
      <c r="K487">
        <v>1.1214770000000001</v>
      </c>
      <c r="L487">
        <v>367.75580000000002</v>
      </c>
      <c r="M487">
        <v>0.99987859999999995</v>
      </c>
      <c r="N487">
        <v>-1.463531E-2</v>
      </c>
      <c r="O487">
        <v>-5.3586769999999896E-3</v>
      </c>
      <c r="P487">
        <v>0.99174890000000004</v>
      </c>
      <c r="Q487">
        <v>0.1185553</v>
      </c>
      <c r="R487">
        <v>-4.8775829999999999E-2</v>
      </c>
      <c r="S487">
        <v>3.0933229999999998</v>
      </c>
      <c r="T487">
        <v>-0.76757410000000004</v>
      </c>
      <c r="U487">
        <v>-0.47109990000000002</v>
      </c>
      <c r="V487">
        <v>4.3509300000000001E-2</v>
      </c>
      <c r="W487">
        <v>0.13304469999999999</v>
      </c>
      <c r="X487">
        <v>0.9901546</v>
      </c>
      <c r="Y487">
        <v>0.140963</v>
      </c>
      <c r="Z487">
        <v>-1.696139E-2</v>
      </c>
      <c r="AA487">
        <v>0.98986949999999996</v>
      </c>
      <c r="AB487">
        <v>25</v>
      </c>
      <c r="AC487">
        <v>0.61789999999996303</v>
      </c>
      <c r="AD487">
        <v>-0.19330890000000001</v>
      </c>
      <c r="AE487">
        <v>-0.117999999999994</v>
      </c>
      <c r="AF487">
        <v>0.104791356807449</v>
      </c>
      <c r="AG487">
        <v>-0.19330890000000001</v>
      </c>
      <c r="AH487">
        <v>0.56515575339122004</v>
      </c>
      <c r="AI487">
        <v>108.588454886885</v>
      </c>
      <c r="AJ487">
        <v>79.495498371783498</v>
      </c>
      <c r="AK487">
        <v>0.60642442634837401</v>
      </c>
      <c r="AL487">
        <v>82.354430793942299</v>
      </c>
      <c r="AM487">
        <v>87.4839316923116</v>
      </c>
      <c r="AN487">
        <v>1.00000004164286</v>
      </c>
    </row>
    <row r="488" spans="1:40" x14ac:dyDescent="0.25">
      <c r="A488" t="str">
        <f>"20190303170236397"</f>
        <v>20190303170236397</v>
      </c>
      <c r="B488" t="str">
        <f>"1551603756386335"</f>
        <v>1551603756386335</v>
      </c>
      <c r="C488" t="s">
        <v>40</v>
      </c>
      <c r="D488">
        <v>4.4151230000000004</v>
      </c>
      <c r="E488">
        <v>0.54656800000000005</v>
      </c>
      <c r="F488" t="s">
        <v>43</v>
      </c>
      <c r="G488">
        <v>-388.1474</v>
      </c>
      <c r="H488">
        <v>0.91523390000000004</v>
      </c>
      <c r="I488">
        <v>367.62849999999997</v>
      </c>
      <c r="J488">
        <v>-388.80029999999999</v>
      </c>
      <c r="K488">
        <v>1.1214980000000001</v>
      </c>
      <c r="L488">
        <v>367.75470000000001</v>
      </c>
      <c r="M488">
        <v>0.99987760000000003</v>
      </c>
      <c r="N488">
        <v>-1.4650710000000001E-2</v>
      </c>
      <c r="O488">
        <v>-5.5051680000000004E-3</v>
      </c>
      <c r="P488">
        <v>0.99164240000000003</v>
      </c>
      <c r="Q488">
        <v>0.1193226</v>
      </c>
      <c r="R488">
        <v>-4.9068309999999997E-2</v>
      </c>
      <c r="S488">
        <v>3.093353</v>
      </c>
      <c r="T488">
        <v>-0.76673290000000005</v>
      </c>
      <c r="U488">
        <v>-0.47268680000000002</v>
      </c>
      <c r="V488">
        <v>4.365716E-2</v>
      </c>
      <c r="W488">
        <v>0.13382529999999901</v>
      </c>
      <c r="X488">
        <v>0.99004289999999995</v>
      </c>
      <c r="Y488">
        <v>0.14131479999999999</v>
      </c>
      <c r="Z488">
        <v>-1.6956889999999999E-2</v>
      </c>
      <c r="AA488">
        <v>0.98981949999999996</v>
      </c>
      <c r="AB488">
        <v>25</v>
      </c>
      <c r="AC488">
        <v>0.65289999999998805</v>
      </c>
      <c r="AD488">
        <v>-0.20626409999999901</v>
      </c>
      <c r="AE488">
        <v>-0.126200000000039</v>
      </c>
      <c r="AF488">
        <v>0.111842884943953</v>
      </c>
      <c r="AG488">
        <v>-0.20626409999999901</v>
      </c>
      <c r="AH488">
        <v>0.59622194515045801</v>
      </c>
      <c r="AI488">
        <v>108.77912093719701</v>
      </c>
      <c r="AJ488">
        <v>79.375585158956198</v>
      </c>
      <c r="AK488">
        <v>0.64072951995392802</v>
      </c>
      <c r="AL488">
        <v>82.309302223109796</v>
      </c>
      <c r="AM488">
        <v>87.475107779831404</v>
      </c>
      <c r="AN488">
        <v>1.0000000511898799</v>
      </c>
    </row>
    <row r="489" spans="1:40" x14ac:dyDescent="0.25">
      <c r="A489" t="str">
        <f>"20190303170236408"</f>
        <v>20190303170236408</v>
      </c>
      <c r="B489" t="str">
        <f>"1551603756396095"</f>
        <v>1551603756396095</v>
      </c>
      <c r="C489" t="s">
        <v>40</v>
      </c>
      <c r="D489">
        <v>4.4030009999999997</v>
      </c>
      <c r="E489">
        <v>0.54657749999999905</v>
      </c>
      <c r="F489" t="s">
        <v>43</v>
      </c>
      <c r="G489">
        <v>-387.93150000000003</v>
      </c>
      <c r="H489">
        <v>0.90673610000000004</v>
      </c>
      <c r="I489">
        <v>367.62150000000003</v>
      </c>
      <c r="J489">
        <v>-388.66539999999998</v>
      </c>
      <c r="K489">
        <v>1.1215059999999999</v>
      </c>
      <c r="L489">
        <v>367.75380000000001</v>
      </c>
      <c r="M489">
        <v>0.99987669999999995</v>
      </c>
      <c r="N489">
        <v>-1.466073E-2</v>
      </c>
      <c r="O489">
        <v>-5.6153820000000004E-3</v>
      </c>
      <c r="P489">
        <v>0.9916104</v>
      </c>
      <c r="Q489">
        <v>0.1194891</v>
      </c>
      <c r="R489">
        <v>-4.930843E-2</v>
      </c>
      <c r="S489">
        <v>3.0939030000000001</v>
      </c>
      <c r="T489">
        <v>-0.7648315</v>
      </c>
      <c r="U489">
        <v>-0.47332760000000001</v>
      </c>
      <c r="V489">
        <v>4.3788220000000003E-2</v>
      </c>
      <c r="W489">
        <v>0.1340016</v>
      </c>
      <c r="X489">
        <v>0.99001320000000004</v>
      </c>
      <c r="Y489">
        <v>0.14140169999999999</v>
      </c>
      <c r="Z489">
        <v>-1.6902650000000002E-2</v>
      </c>
      <c r="AA489">
        <v>0.98980800000000002</v>
      </c>
      <c r="AB489">
        <v>25</v>
      </c>
      <c r="AC489">
        <v>0.73389999999994804</v>
      </c>
      <c r="AD489">
        <v>-0.21476990000000001</v>
      </c>
      <c r="AE489">
        <v>-0.13229999999998601</v>
      </c>
      <c r="AF489">
        <v>0.118359176239498</v>
      </c>
      <c r="AG489">
        <v>-0.21476990000000001</v>
      </c>
      <c r="AH489">
        <v>0.67836520216507901</v>
      </c>
      <c r="AI489">
        <v>107.322049679613</v>
      </c>
      <c r="AJ489">
        <v>80.102828166966006</v>
      </c>
      <c r="AK489">
        <v>0.72132818609463201</v>
      </c>
      <c r="AL489">
        <v>82.299108668710701</v>
      </c>
      <c r="AM489">
        <v>87.467461963165405</v>
      </c>
      <c r="AN489">
        <v>0.99999998659378397</v>
      </c>
    </row>
    <row r="490" spans="1:40" x14ac:dyDescent="0.25">
      <c r="A490" t="str">
        <f>"20190303170236422"</f>
        <v>20190303170236422</v>
      </c>
      <c r="B490" t="str">
        <f>"1551603756416591"</f>
        <v>1551603756416591</v>
      </c>
      <c r="C490" t="s">
        <v>40</v>
      </c>
      <c r="D490">
        <v>4.3976129999999998</v>
      </c>
      <c r="E490">
        <v>0.54659179999999996</v>
      </c>
      <c r="F490" t="s">
        <v>43</v>
      </c>
      <c r="G490">
        <v>-387.91829999999999</v>
      </c>
      <c r="H490">
        <v>0.93688419999999895</v>
      </c>
      <c r="I490">
        <v>367.63909999999998</v>
      </c>
      <c r="J490">
        <v>-388.51679999999999</v>
      </c>
      <c r="K490">
        <v>1.1215139999999999</v>
      </c>
      <c r="L490">
        <v>367.75279999999998</v>
      </c>
      <c r="M490">
        <v>0.99987599999999999</v>
      </c>
      <c r="N490">
        <v>-1.467094E-2</v>
      </c>
      <c r="O490">
        <v>-5.7371599999999998E-3</v>
      </c>
      <c r="P490">
        <v>0.99164350000000001</v>
      </c>
      <c r="Q490">
        <v>0.11923209999999999</v>
      </c>
      <c r="R490">
        <v>-4.9263809999999998E-2</v>
      </c>
      <c r="S490">
        <v>3.0939939999999999</v>
      </c>
      <c r="T490">
        <v>-0.76467959999999902</v>
      </c>
      <c r="U490">
        <v>-0.4736938</v>
      </c>
      <c r="V490">
        <v>4.3622370000000001E-2</v>
      </c>
      <c r="W490">
        <v>0.13375589999999901</v>
      </c>
      <c r="X490">
        <v>0.99005379999999998</v>
      </c>
      <c r="Y490">
        <v>0.14139640000000001</v>
      </c>
      <c r="Z490">
        <v>-1.6871420000000002E-2</v>
      </c>
      <c r="AA490">
        <v>0.9898093</v>
      </c>
      <c r="AB490">
        <v>25</v>
      </c>
      <c r="AC490">
        <v>0.59850000000000103</v>
      </c>
      <c r="AD490">
        <v>-0.18462980000000001</v>
      </c>
      <c r="AE490">
        <v>-0.113699999999994</v>
      </c>
      <c r="AF490">
        <v>0.100988324389469</v>
      </c>
      <c r="AG490">
        <v>-0.18462980000000001</v>
      </c>
      <c r="AH490">
        <v>0.54874086507556596</v>
      </c>
      <c r="AI490">
        <v>108.30957177681201</v>
      </c>
      <c r="AJ490">
        <v>79.572171081866102</v>
      </c>
      <c r="AK490">
        <v>0.58771025319872805</v>
      </c>
      <c r="AL490">
        <v>82.313314531980197</v>
      </c>
      <c r="AM490">
        <v>87.477144982855506</v>
      </c>
      <c r="AN490">
        <v>1.00000003942183</v>
      </c>
    </row>
    <row r="491" spans="1:40" x14ac:dyDescent="0.25">
      <c r="A491" t="str">
        <f>"20190303170236434"</f>
        <v>20190303170236434</v>
      </c>
      <c r="B491" t="str">
        <f>"1551603756426351"</f>
        <v>1551603756426351</v>
      </c>
      <c r="C491" t="s">
        <v>40</v>
      </c>
      <c r="D491">
        <v>4.4276249999999999</v>
      </c>
      <c r="E491">
        <v>0.54662519999999903</v>
      </c>
      <c r="F491" t="s">
        <v>43</v>
      </c>
      <c r="G491">
        <v>-387.70670000000001</v>
      </c>
      <c r="H491">
        <v>0.92091369999999895</v>
      </c>
      <c r="I491">
        <v>367.62869999999998</v>
      </c>
      <c r="J491">
        <v>-388.3793</v>
      </c>
      <c r="K491">
        <v>1.121516</v>
      </c>
      <c r="L491">
        <v>367.75189999999998</v>
      </c>
      <c r="M491">
        <v>0.99987519999999996</v>
      </c>
      <c r="N491">
        <v>-1.46797E-2</v>
      </c>
      <c r="O491">
        <v>-5.8498680000000003E-3</v>
      </c>
      <c r="P491">
        <v>0.99165449999999999</v>
      </c>
      <c r="Q491">
        <v>0.1192472</v>
      </c>
      <c r="R491">
        <v>-4.9009709999999998E-2</v>
      </c>
      <c r="S491">
        <v>3.0938110000000001</v>
      </c>
      <c r="T491">
        <v>-0.7659996</v>
      </c>
      <c r="U491">
        <v>-0.4736938</v>
      </c>
      <c r="V491">
        <v>4.3256379999999997E-2</v>
      </c>
      <c r="W491">
        <v>0.1337795</v>
      </c>
      <c r="X491">
        <v>0.99006660000000002</v>
      </c>
      <c r="Y491">
        <v>0.14128540000000001</v>
      </c>
      <c r="Z491">
        <v>-1.6859409999999998E-2</v>
      </c>
      <c r="AA491">
        <v>0.98982539999999997</v>
      </c>
      <c r="AB491">
        <v>25</v>
      </c>
      <c r="AC491">
        <v>0.67259999999998799</v>
      </c>
      <c r="AD491">
        <v>-0.20060230000000001</v>
      </c>
      <c r="AE491">
        <v>-0.12319999999999701</v>
      </c>
      <c r="AF491">
        <v>0.10981189587674001</v>
      </c>
      <c r="AG491">
        <v>-0.20060230000000001</v>
      </c>
      <c r="AH491">
        <v>0.61995306687643104</v>
      </c>
      <c r="AI491">
        <v>107.672759019796</v>
      </c>
      <c r="AJ491">
        <v>79.955418903454301</v>
      </c>
      <c r="AK491">
        <v>0.66078872597133997</v>
      </c>
      <c r="AL491">
        <v>82.311949557727303</v>
      </c>
      <c r="AM491">
        <v>87.498316935474904</v>
      </c>
      <c r="AN491">
        <v>0.99999997073325597</v>
      </c>
    </row>
    <row r="492" spans="1:40" x14ac:dyDescent="0.25">
      <c r="A492" t="str">
        <f>"20190303170236455"</f>
        <v>20190303170236455</v>
      </c>
      <c r="B492" t="str">
        <f>"1551603756446846"</f>
        <v>1551603756446846</v>
      </c>
      <c r="C492" t="s">
        <v>40</v>
      </c>
      <c r="D492">
        <v>4.4348000000000001</v>
      </c>
      <c r="E492">
        <v>0.54666079999999995</v>
      </c>
      <c r="F492" t="s">
        <v>43</v>
      </c>
      <c r="G492">
        <v>-387.69260000000003</v>
      </c>
      <c r="H492">
        <v>0.95138999999999996</v>
      </c>
      <c r="I492">
        <v>367.64690000000002</v>
      </c>
      <c r="J492">
        <v>-388.15809999999999</v>
      </c>
      <c r="K492">
        <v>1.1215250000000001</v>
      </c>
      <c r="L492">
        <v>367.75040000000001</v>
      </c>
      <c r="M492">
        <v>0.99987400000000004</v>
      </c>
      <c r="N492">
        <v>-1.4691640000000001E-2</v>
      </c>
      <c r="O492">
        <v>-6.0310090000000004E-3</v>
      </c>
      <c r="P492">
        <v>0.99166980000000005</v>
      </c>
      <c r="Q492">
        <v>0.11924999999999999</v>
      </c>
      <c r="R492">
        <v>-4.869047E-2</v>
      </c>
      <c r="S492">
        <v>3.094055</v>
      </c>
      <c r="T492">
        <v>-0.76652980000000004</v>
      </c>
      <c r="U492">
        <v>-0.47280879999999997</v>
      </c>
      <c r="V492">
        <v>4.2757049999999998E-2</v>
      </c>
      <c r="W492">
        <v>0.13379469999999999</v>
      </c>
      <c r="X492">
        <v>0.99008629999999997</v>
      </c>
      <c r="Y492">
        <v>0.1408314</v>
      </c>
      <c r="Z492">
        <v>-1.6770190000000001E-2</v>
      </c>
      <c r="AA492">
        <v>0.98989150000000004</v>
      </c>
      <c r="AB492">
        <v>25</v>
      </c>
      <c r="AC492">
        <v>0.465499999999963</v>
      </c>
      <c r="AD492">
        <v>-0.17013500000000001</v>
      </c>
      <c r="AE492">
        <v>-0.103499999999996</v>
      </c>
      <c r="AF492">
        <v>8.9320793426795997E-2</v>
      </c>
      <c r="AG492">
        <v>-0.17013500000000001</v>
      </c>
      <c r="AH492">
        <v>0.41348373042540398</v>
      </c>
      <c r="AI492">
        <v>111.909506750906</v>
      </c>
      <c r="AJ492">
        <v>77.8102669393882</v>
      </c>
      <c r="AK492">
        <v>0.45595275817775299</v>
      </c>
      <c r="AL492">
        <v>82.311071252968105</v>
      </c>
      <c r="AM492">
        <v>87.5272081974896</v>
      </c>
      <c r="AN492">
        <v>1.00000003426024</v>
      </c>
    </row>
    <row r="493" spans="1:40" x14ac:dyDescent="0.25">
      <c r="A493" t="str">
        <f>"20190303170236470"</f>
        <v>20190303170236470</v>
      </c>
      <c r="B493" t="str">
        <f>"1551603756456607"</f>
        <v>1551603756456607</v>
      </c>
      <c r="C493" t="s">
        <v>40</v>
      </c>
      <c r="D493">
        <v>4.400245</v>
      </c>
      <c r="E493">
        <v>0.54665730000000001</v>
      </c>
      <c r="F493" t="s">
        <v>43</v>
      </c>
      <c r="G493">
        <v>-387.47379999999998</v>
      </c>
      <c r="H493">
        <v>0.95188280000000003</v>
      </c>
      <c r="I493">
        <v>367.64580000000001</v>
      </c>
      <c r="J493">
        <v>-387.99209999999999</v>
      </c>
      <c r="K493">
        <v>1.1215389999999901</v>
      </c>
      <c r="L493">
        <v>367.74930000000001</v>
      </c>
      <c r="M493">
        <v>0.99987300000000001</v>
      </c>
      <c r="N493">
        <v>-1.469903E-2</v>
      </c>
      <c r="O493">
        <v>-6.163824E-3</v>
      </c>
      <c r="P493">
        <v>0.99165530000000002</v>
      </c>
      <c r="Q493">
        <v>0.11942079999999999</v>
      </c>
      <c r="R493">
        <v>-4.8566650000000003E-2</v>
      </c>
      <c r="S493">
        <v>3.0943299999999998</v>
      </c>
      <c r="T493">
        <v>-0.76717809999999997</v>
      </c>
      <c r="U493">
        <v>-0.4719238</v>
      </c>
      <c r="V493">
        <v>4.250114E-2</v>
      </c>
      <c r="W493">
        <v>0.13397329999999999</v>
      </c>
      <c r="X493">
        <v>0.99007310000000004</v>
      </c>
      <c r="Y493">
        <v>0.14041999999999999</v>
      </c>
      <c r="Z493">
        <v>-1.6699200000000001E-2</v>
      </c>
      <c r="AA493">
        <v>0.98995120000000003</v>
      </c>
      <c r="AB493">
        <v>24</v>
      </c>
      <c r="AC493">
        <v>0.51830000000000997</v>
      </c>
      <c r="AD493">
        <v>-0.16965619999999901</v>
      </c>
      <c r="AE493">
        <v>-0.103499999999996</v>
      </c>
      <c r="AF493">
        <v>9.0933426947029494E-2</v>
      </c>
      <c r="AG493">
        <v>-0.16965619999999901</v>
      </c>
      <c r="AH493">
        <v>0.47045380110602503</v>
      </c>
      <c r="AI493">
        <v>109.49747561043201</v>
      </c>
      <c r="AJ493">
        <v>79.060277032981901</v>
      </c>
      <c r="AK493">
        <v>0.50830983987119305</v>
      </c>
      <c r="AL493">
        <v>82.300744746567801</v>
      </c>
      <c r="AM493">
        <v>87.541957442199504</v>
      </c>
      <c r="AN493">
        <v>0.99999996767889898</v>
      </c>
    </row>
    <row r="494" spans="1:40" x14ac:dyDescent="0.25">
      <c r="A494" t="str">
        <f>"20190303170236488"</f>
        <v>20190303170236488</v>
      </c>
      <c r="B494" t="str">
        <f>"1551603756476127"</f>
        <v>1551603756476127</v>
      </c>
      <c r="C494" t="s">
        <v>40</v>
      </c>
      <c r="D494">
        <v>4.4032669999999996</v>
      </c>
      <c r="E494">
        <v>0.54667030000000005</v>
      </c>
      <c r="F494" t="s">
        <v>43</v>
      </c>
      <c r="G494">
        <v>-387.26100000000002</v>
      </c>
      <c r="H494">
        <v>0.94034899999999999</v>
      </c>
      <c r="I494">
        <v>367.63780000000003</v>
      </c>
      <c r="J494">
        <v>-387.7921</v>
      </c>
      <c r="K494">
        <v>1.1215520000000001</v>
      </c>
      <c r="L494">
        <v>367.74790000000002</v>
      </c>
      <c r="M494">
        <v>0.99987199999999998</v>
      </c>
      <c r="N494">
        <v>-1.4706769999999999E-2</v>
      </c>
      <c r="O494">
        <v>-6.3174520000000003E-3</v>
      </c>
      <c r="P494">
        <v>0.99164609999999997</v>
      </c>
      <c r="Q494">
        <v>0.1197295</v>
      </c>
      <c r="R494">
        <v>-4.799163E-2</v>
      </c>
      <c r="S494">
        <v>3.0945130000000001</v>
      </c>
      <c r="T494">
        <v>-0.76699600000000001</v>
      </c>
      <c r="U494">
        <v>-0.47109990000000002</v>
      </c>
      <c r="V494">
        <v>4.1772339999999998E-2</v>
      </c>
      <c r="W494">
        <v>0.13428979999999999</v>
      </c>
      <c r="X494">
        <v>0.99006130000000003</v>
      </c>
      <c r="Y494">
        <v>0.14002029999999999</v>
      </c>
      <c r="Z494">
        <v>-1.6608990000000001E-2</v>
      </c>
      <c r="AA494">
        <v>0.99000929999999998</v>
      </c>
      <c r="AB494">
        <v>24</v>
      </c>
      <c r="AC494">
        <v>0.53110000000003699</v>
      </c>
      <c r="AD494">
        <v>-0.181203</v>
      </c>
      <c r="AE494">
        <v>-0.110099999999988</v>
      </c>
      <c r="AF494">
        <v>9.6024881776456697E-2</v>
      </c>
      <c r="AG494">
        <v>-0.181203</v>
      </c>
      <c r="AH494">
        <v>0.47839162557214299</v>
      </c>
      <c r="AI494">
        <v>110.373388129131</v>
      </c>
      <c r="AJ494">
        <v>78.650163252499993</v>
      </c>
      <c r="AK494">
        <v>0.52049385447547802</v>
      </c>
      <c r="AL494">
        <v>82.282445739510294</v>
      </c>
      <c r="AM494">
        <v>87.584028265135601</v>
      </c>
      <c r="AN494">
        <v>1.0000000282654</v>
      </c>
    </row>
    <row r="495" spans="1:40" x14ac:dyDescent="0.25">
      <c r="A495" t="str">
        <f>"20190303170236508"</f>
        <v>20190303170236508</v>
      </c>
      <c r="B495" t="str">
        <f>"1551603756496623"</f>
        <v>1551603756496623</v>
      </c>
      <c r="C495" t="s">
        <v>40</v>
      </c>
      <c r="D495">
        <v>4.4366680000000001</v>
      </c>
      <c r="E495">
        <v>0.54665240000000004</v>
      </c>
      <c r="F495" t="s">
        <v>43</v>
      </c>
      <c r="G495">
        <v>-387.04500000000002</v>
      </c>
      <c r="H495">
        <v>0.93661709999999998</v>
      </c>
      <c r="I495">
        <v>367.63409999999999</v>
      </c>
      <c r="J495">
        <v>-387.58100000000002</v>
      </c>
      <c r="K495">
        <v>1.121567</v>
      </c>
      <c r="L495">
        <v>367.74639999999999</v>
      </c>
      <c r="M495">
        <v>0.99987099999999995</v>
      </c>
      <c r="N495">
        <v>-1.4713530000000001E-2</v>
      </c>
      <c r="O495">
        <v>-6.4672940000000002E-3</v>
      </c>
      <c r="P495">
        <v>0.99153749999999996</v>
      </c>
      <c r="Q495">
        <v>0.12060990000000001</v>
      </c>
      <c r="R495">
        <v>-4.8032470000000001E-2</v>
      </c>
      <c r="S495">
        <v>3.0951230000000001</v>
      </c>
      <c r="T495">
        <v>-0.76633050000000003</v>
      </c>
      <c r="U495">
        <v>-0.46920780000000001</v>
      </c>
      <c r="V495">
        <v>4.1662539999999998E-2</v>
      </c>
      <c r="W495">
        <v>0.13517670000000001</v>
      </c>
      <c r="X495">
        <v>0.98994519999999997</v>
      </c>
      <c r="Y495">
        <v>0.139286299999999</v>
      </c>
      <c r="Z495">
        <v>-1.6465440000000001E-2</v>
      </c>
      <c r="AA495">
        <v>0.99011519999999997</v>
      </c>
      <c r="AB495">
        <v>24</v>
      </c>
      <c r="AC495">
        <v>0.53599999999994397</v>
      </c>
      <c r="AD495">
        <v>-0.1849499</v>
      </c>
      <c r="AE495">
        <v>-0.11230000000000399</v>
      </c>
      <c r="AF495">
        <v>9.7688741489654396E-2</v>
      </c>
      <c r="AG495">
        <v>-0.1849499</v>
      </c>
      <c r="AH495">
        <v>0.48176640921768499</v>
      </c>
      <c r="AI495">
        <v>110.618435977667</v>
      </c>
      <c r="AJ495">
        <v>78.537433602480405</v>
      </c>
      <c r="AK495">
        <v>0.52521274620323599</v>
      </c>
      <c r="AL495">
        <v>82.231162311313795</v>
      </c>
      <c r="AM495">
        <v>87.590088966591196</v>
      </c>
      <c r="AN495">
        <v>1.00000000323259</v>
      </c>
    </row>
    <row r="496" spans="1:40" x14ac:dyDescent="0.25">
      <c r="A496" t="str">
        <f>"20190303170236521"</f>
        <v>20190303170236521</v>
      </c>
      <c r="B496" t="str">
        <f>"1551603756506383"</f>
        <v>1551603756506383</v>
      </c>
      <c r="C496" t="s">
        <v>40</v>
      </c>
      <c r="D496">
        <v>4.4535400000000003</v>
      </c>
      <c r="E496">
        <v>0.54663839999999997</v>
      </c>
      <c r="F496" t="s">
        <v>43</v>
      </c>
      <c r="G496">
        <v>-386.82810000000001</v>
      </c>
      <c r="H496">
        <v>0.93580839999999998</v>
      </c>
      <c r="I496">
        <v>367.63209999999998</v>
      </c>
      <c r="J496">
        <v>-387.43970000000002</v>
      </c>
      <c r="K496">
        <v>1.1215820000000001</v>
      </c>
      <c r="L496">
        <v>367.74540000000002</v>
      </c>
      <c r="M496">
        <v>0.99987020000000004</v>
      </c>
      <c r="N496">
        <v>-1.4717340000000001E-2</v>
      </c>
      <c r="O496">
        <v>-6.5582339999999996E-3</v>
      </c>
      <c r="P496">
        <v>0.99151129999999998</v>
      </c>
      <c r="Q496">
        <v>0.12073970000000001</v>
      </c>
      <c r="R496">
        <v>-4.8243660000000001E-2</v>
      </c>
      <c r="S496">
        <v>3.095825</v>
      </c>
      <c r="T496">
        <v>-0.76379359999999996</v>
      </c>
      <c r="U496">
        <v>-0.4692383</v>
      </c>
      <c r="V496">
        <v>4.1780879999999999E-2</v>
      </c>
      <c r="W496">
        <v>0.1353104</v>
      </c>
      <c r="X496">
        <v>0.98992190000000002</v>
      </c>
      <c r="Y496">
        <v>0.13920569999999999</v>
      </c>
      <c r="Z496">
        <v>-1.6382009999999999E-2</v>
      </c>
      <c r="AA496">
        <v>0.99012800000000001</v>
      </c>
      <c r="AB496">
        <v>24</v>
      </c>
      <c r="AC496">
        <v>0.61160000000000903</v>
      </c>
      <c r="AD496">
        <v>-0.18577360000000001</v>
      </c>
      <c r="AE496">
        <v>-0.113300000000037</v>
      </c>
      <c r="AF496">
        <v>0.100335864770088</v>
      </c>
      <c r="AG496">
        <v>-0.18577360000000001</v>
      </c>
      <c r="AH496">
        <v>0.56218174381685804</v>
      </c>
      <c r="AI496">
        <v>108.020255922993</v>
      </c>
      <c r="AJ496">
        <v>79.880635433616007</v>
      </c>
      <c r="AK496">
        <v>0.60052263012902796</v>
      </c>
      <c r="AL496">
        <v>82.223430471491</v>
      </c>
      <c r="AM496">
        <v>87.583195044496193</v>
      </c>
      <c r="AN496">
        <v>0.99999995719067103</v>
      </c>
    </row>
    <row r="497" spans="1:40" x14ac:dyDescent="0.25">
      <c r="A497" t="str">
        <f>"20190303170236532"</f>
        <v>20190303170236532</v>
      </c>
      <c r="B497" t="str">
        <f>"1551603756526879"</f>
        <v>1551603756526879</v>
      </c>
      <c r="C497" t="s">
        <v>40</v>
      </c>
      <c r="D497">
        <v>4.4221830000000004</v>
      </c>
      <c r="E497">
        <v>0.54665909999999995</v>
      </c>
      <c r="F497" t="s">
        <v>43</v>
      </c>
      <c r="G497">
        <v>-386.61880000000002</v>
      </c>
      <c r="H497">
        <v>0.91915749999999996</v>
      </c>
      <c r="I497">
        <v>367.62049999999999</v>
      </c>
      <c r="J497">
        <v>-387.30650000000003</v>
      </c>
      <c r="K497">
        <v>1.1215949999999999</v>
      </c>
      <c r="L497">
        <v>367.74439999999998</v>
      </c>
      <c r="M497">
        <v>0.99986960000000003</v>
      </c>
      <c r="N497">
        <v>-1.4720499999999999E-2</v>
      </c>
      <c r="O497">
        <v>-6.6369869999999996E-3</v>
      </c>
      <c r="P497">
        <v>0.99149390000000004</v>
      </c>
      <c r="Q497">
        <v>0.1207843</v>
      </c>
      <c r="R497">
        <v>-4.8488860000000002E-2</v>
      </c>
      <c r="S497">
        <v>3.095825</v>
      </c>
      <c r="T497">
        <v>-0.76344899999999905</v>
      </c>
      <c r="U497">
        <v>-0.46926879999999999</v>
      </c>
      <c r="V497">
        <v>4.1944719999999998E-2</v>
      </c>
      <c r="W497">
        <v>0.13535910000000001</v>
      </c>
      <c r="X497">
        <v>0.98990829999999996</v>
      </c>
      <c r="Y497">
        <v>0.13914470000000001</v>
      </c>
      <c r="Z497">
        <v>-1.6349840000000001E-2</v>
      </c>
      <c r="AA497">
        <v>0.99013709999999999</v>
      </c>
      <c r="AB497">
        <v>24</v>
      </c>
      <c r="AC497">
        <v>0.68770000000000597</v>
      </c>
      <c r="AD497">
        <v>-0.20243749999999999</v>
      </c>
      <c r="AE497">
        <v>-0.123899999999991</v>
      </c>
      <c r="AF497">
        <v>0.110092586349645</v>
      </c>
      <c r="AG497">
        <v>-0.20243749999999999</v>
      </c>
      <c r="AH497">
        <v>0.635196049478429</v>
      </c>
      <c r="AI497">
        <v>107.43328691454801</v>
      </c>
      <c r="AJ497">
        <v>80.167142052224406</v>
      </c>
      <c r="AK497">
        <v>0.67570358904508399</v>
      </c>
      <c r="AL497">
        <v>82.220614153895696</v>
      </c>
      <c r="AM497">
        <v>87.573695769015202</v>
      </c>
      <c r="AN497">
        <v>0.999999943948787</v>
      </c>
    </row>
    <row r="498" spans="1:40" x14ac:dyDescent="0.25">
      <c r="A498" t="str">
        <f>"20190303170236545"</f>
        <v>20190303170236545</v>
      </c>
      <c r="B498" t="str">
        <f>"1551603756536639"</f>
        <v>1551603756536639</v>
      </c>
      <c r="C498" t="s">
        <v>40</v>
      </c>
      <c r="D498">
        <v>4.428712</v>
      </c>
      <c r="E498">
        <v>0.54665249999999999</v>
      </c>
      <c r="F498" t="s">
        <v>43</v>
      </c>
      <c r="G498">
        <v>-386.60520000000002</v>
      </c>
      <c r="H498">
        <v>0.94866569999999995</v>
      </c>
      <c r="I498">
        <v>367.63740000000001</v>
      </c>
      <c r="J498">
        <v>-387.1771</v>
      </c>
      <c r="K498">
        <v>1.1216109999999999</v>
      </c>
      <c r="L498">
        <v>367.74340000000001</v>
      </c>
      <c r="M498">
        <v>0.99986920000000001</v>
      </c>
      <c r="N498">
        <v>-1.472298E-2</v>
      </c>
      <c r="O498">
        <v>-6.7011519999999897E-3</v>
      </c>
      <c r="P498">
        <v>0.99151449999999997</v>
      </c>
      <c r="Q498">
        <v>0.1205246</v>
      </c>
      <c r="R498">
        <v>-4.8713739999999998E-2</v>
      </c>
      <c r="S498">
        <v>3.095764</v>
      </c>
      <c r="T498">
        <v>-0.76346700000000001</v>
      </c>
      <c r="U498">
        <v>-0.47027590000000002</v>
      </c>
      <c r="V498">
        <v>4.210183E-2</v>
      </c>
      <c r="W498">
        <v>0.13510349999999999</v>
      </c>
      <c r="X498">
        <v>0.98993660000000006</v>
      </c>
      <c r="Y498">
        <v>0.13939270000000001</v>
      </c>
      <c r="Z498">
        <v>-1.63676E-2</v>
      </c>
      <c r="AA498">
        <v>0.99010189999999998</v>
      </c>
      <c r="AB498">
        <v>24</v>
      </c>
      <c r="AC498">
        <v>0.57189999999997099</v>
      </c>
      <c r="AD498">
        <v>-0.1729453</v>
      </c>
      <c r="AE498">
        <v>-0.105999999999994</v>
      </c>
      <c r="AF498">
        <v>9.3865990576636193E-2</v>
      </c>
      <c r="AG498">
        <v>-0.1729453</v>
      </c>
      <c r="AH498">
        <v>0.52608558577770803</v>
      </c>
      <c r="AI498">
        <v>107.933077971595</v>
      </c>
      <c r="AJ498">
        <v>79.883546640044599</v>
      </c>
      <c r="AK498">
        <v>0.56168224517256904</v>
      </c>
      <c r="AL498">
        <v>82.235395135494997</v>
      </c>
      <c r="AM498">
        <v>87.564688156599999</v>
      </c>
      <c r="AN498">
        <v>0.99999999591057898</v>
      </c>
    </row>
    <row r="499" spans="1:40" x14ac:dyDescent="0.25">
      <c r="A499" t="str">
        <f>"20190303170236558"</f>
        <v>20190303170236558</v>
      </c>
      <c r="B499" t="str">
        <f>"1551603756546399"</f>
        <v>1551603756546399</v>
      </c>
      <c r="C499" t="s">
        <v>40</v>
      </c>
      <c r="D499">
        <v>4.4325479999999997</v>
      </c>
      <c r="E499">
        <v>0.54664809999999997</v>
      </c>
      <c r="F499" t="s">
        <v>43</v>
      </c>
      <c r="G499">
        <v>-386.39769999999999</v>
      </c>
      <c r="H499">
        <v>0.92918829999999997</v>
      </c>
      <c r="I499">
        <v>367.62459999999999</v>
      </c>
      <c r="J499">
        <v>-387.04250000000002</v>
      </c>
      <c r="K499">
        <v>1.1216250000000001</v>
      </c>
      <c r="L499">
        <v>367.74239999999998</v>
      </c>
      <c r="M499">
        <v>0.9998688</v>
      </c>
      <c r="N499">
        <v>-1.472532E-2</v>
      </c>
      <c r="O499">
        <v>-6.7612360000000003E-3</v>
      </c>
      <c r="P499">
        <v>0.99150720000000003</v>
      </c>
      <c r="Q499">
        <v>0.1204778</v>
      </c>
      <c r="R499">
        <v>-4.897642E-2</v>
      </c>
      <c r="S499">
        <v>3.0954280000000001</v>
      </c>
      <c r="T499">
        <v>-0.7642719</v>
      </c>
      <c r="U499">
        <v>-0.47036739999999999</v>
      </c>
      <c r="V499">
        <v>4.230039E-2</v>
      </c>
      <c r="W499">
        <v>0.1350605</v>
      </c>
      <c r="X499">
        <v>0.98993399999999998</v>
      </c>
      <c r="Y499">
        <v>0.13937079999999999</v>
      </c>
      <c r="Z499">
        <v>-1.6368480000000001E-2</v>
      </c>
      <c r="AA499">
        <v>0.99010500000000001</v>
      </c>
      <c r="AB499">
        <v>24</v>
      </c>
      <c r="AC499">
        <v>0.64480000000003201</v>
      </c>
      <c r="AD499">
        <v>-0.19243669999999999</v>
      </c>
      <c r="AE499">
        <v>-0.117799999999988</v>
      </c>
      <c r="AF499">
        <v>0.10443566610680199</v>
      </c>
      <c r="AG499">
        <v>-0.19243669999999999</v>
      </c>
      <c r="AH499">
        <v>0.59435329395129999</v>
      </c>
      <c r="AI499">
        <v>107.686935618745</v>
      </c>
      <c r="AJ499">
        <v>80.034115170183199</v>
      </c>
      <c r="AK499">
        <v>0.63339918684256502</v>
      </c>
      <c r="AL499">
        <v>82.237881621622407</v>
      </c>
      <c r="AM499">
        <v>87.553210283895197</v>
      </c>
      <c r="AN499">
        <v>0.99999999300520004</v>
      </c>
    </row>
    <row r="500" spans="1:40" x14ac:dyDescent="0.25">
      <c r="A500" t="str">
        <f>"20190303170236575"</f>
        <v>20190303170236575</v>
      </c>
      <c r="B500" t="str">
        <f>"1551603756565919"</f>
        <v>1551603756565919</v>
      </c>
      <c r="C500" t="s">
        <v>40</v>
      </c>
      <c r="D500">
        <v>4.421176</v>
      </c>
      <c r="E500">
        <v>0.5466396</v>
      </c>
      <c r="F500" t="s">
        <v>43</v>
      </c>
      <c r="G500">
        <v>-386.18950000000001</v>
      </c>
      <c r="H500">
        <v>0.91101909999999997</v>
      </c>
      <c r="I500">
        <v>367.61200000000002</v>
      </c>
      <c r="J500">
        <v>-386.85169999999999</v>
      </c>
      <c r="K500">
        <v>1.1216539999999999</v>
      </c>
      <c r="L500">
        <v>367.74099999999999</v>
      </c>
      <c r="M500">
        <v>0.99986830000000004</v>
      </c>
      <c r="N500">
        <v>-1.4727870000000001E-2</v>
      </c>
      <c r="O500">
        <v>-6.8239090000000004E-3</v>
      </c>
      <c r="P500">
        <v>0.99150130000000003</v>
      </c>
      <c r="Q500">
        <v>0.1203138</v>
      </c>
      <c r="R500">
        <v>-4.949394E-2</v>
      </c>
      <c r="S500">
        <v>3.0952760000000001</v>
      </c>
      <c r="T500">
        <v>-0.76444630000000002</v>
      </c>
      <c r="U500">
        <v>-0.47122190000000003</v>
      </c>
      <c r="V500">
        <v>4.2748410000000001E-2</v>
      </c>
      <c r="W500">
        <v>0.1349013</v>
      </c>
      <c r="X500">
        <v>0.9899365</v>
      </c>
      <c r="Y500">
        <v>0.13957639999999999</v>
      </c>
      <c r="Z500">
        <v>-1.6384659999999999E-2</v>
      </c>
      <c r="AA500">
        <v>0.99007579999999995</v>
      </c>
      <c r="AB500">
        <v>24</v>
      </c>
      <c r="AC500">
        <v>0.66219999999998402</v>
      </c>
      <c r="AD500">
        <v>-0.21063490000000001</v>
      </c>
      <c r="AE500">
        <v>-0.12900000000001899</v>
      </c>
      <c r="AF500">
        <v>0.113421610321361</v>
      </c>
      <c r="AG500">
        <v>-0.21063490000000001</v>
      </c>
      <c r="AH500">
        <v>0.60417156857432697</v>
      </c>
      <c r="AI500">
        <v>108.91395050871201</v>
      </c>
      <c r="AJ500">
        <v>79.367570649736805</v>
      </c>
      <c r="AK500">
        <v>0.649811362673402</v>
      </c>
      <c r="AL500">
        <v>82.247087652630697</v>
      </c>
      <c r="AM500">
        <v>87.527333609210203</v>
      </c>
      <c r="AN500">
        <v>1.00000003066573</v>
      </c>
    </row>
    <row r="501" spans="1:40" x14ac:dyDescent="0.25">
      <c r="A501" t="str">
        <f>"20190303170236588"</f>
        <v>20190303170236588</v>
      </c>
      <c r="B501" t="str">
        <f>"1551603756576655"</f>
        <v>1551603756576655</v>
      </c>
      <c r="C501" t="s">
        <v>40</v>
      </c>
      <c r="D501">
        <v>4.4285860000000001</v>
      </c>
      <c r="E501">
        <v>0.54663399999999995</v>
      </c>
      <c r="F501" t="s">
        <v>43</v>
      </c>
      <c r="G501">
        <v>-385.97629999999998</v>
      </c>
      <c r="H501">
        <v>0.90514859999999997</v>
      </c>
      <c r="I501">
        <v>367.60730000000001</v>
      </c>
      <c r="J501">
        <v>-386.7131</v>
      </c>
      <c r="K501">
        <v>1.1216710000000001</v>
      </c>
      <c r="L501">
        <v>367.74009999999998</v>
      </c>
      <c r="M501">
        <v>0.99986819999999998</v>
      </c>
      <c r="N501">
        <v>-1.472913E-2</v>
      </c>
      <c r="O501">
        <v>-6.8518769999999897E-3</v>
      </c>
      <c r="P501">
        <v>0.99150669999999996</v>
      </c>
      <c r="Q501">
        <v>0.1201151</v>
      </c>
      <c r="R501">
        <v>-4.9869650000000001E-2</v>
      </c>
      <c r="S501">
        <v>3.0950319999999998</v>
      </c>
      <c r="T501">
        <v>-0.76552449999999905</v>
      </c>
      <c r="U501">
        <v>-0.4721069</v>
      </c>
      <c r="V501">
        <v>4.3091070000000002E-2</v>
      </c>
      <c r="W501">
        <v>0.1347052</v>
      </c>
      <c r="X501">
        <v>0.9899483</v>
      </c>
      <c r="Y501">
        <v>0.13981849999999901</v>
      </c>
      <c r="Z501">
        <v>-1.6431310000000001E-2</v>
      </c>
      <c r="AA501">
        <v>0.99004080000000005</v>
      </c>
      <c r="AB501">
        <v>24</v>
      </c>
      <c r="AC501">
        <v>0.736800000000016</v>
      </c>
      <c r="AD501">
        <v>-0.2165224</v>
      </c>
      <c r="AE501">
        <v>-0.13279999999997399</v>
      </c>
      <c r="AF501">
        <v>0.11788756926163001</v>
      </c>
      <c r="AG501">
        <v>-0.2165224</v>
      </c>
      <c r="AH501">
        <v>0.680753434127228</v>
      </c>
      <c r="AI501">
        <v>107.40090777893199</v>
      </c>
      <c r="AJ501">
        <v>80.175399298870502</v>
      </c>
      <c r="AK501">
        <v>0.72401979721841203</v>
      </c>
      <c r="AL501">
        <v>82.258426490633497</v>
      </c>
      <c r="AM501">
        <v>87.507567935128606</v>
      </c>
      <c r="AN501">
        <v>0.99999998394683698</v>
      </c>
    </row>
    <row r="502" spans="1:40" x14ac:dyDescent="0.25">
      <c r="A502" t="str">
        <f>"20190303170236601"</f>
        <v>20190303170236601</v>
      </c>
      <c r="B502" t="str">
        <f>"1551603756586415"</f>
        <v>1551603756586415</v>
      </c>
      <c r="C502" t="s">
        <v>40</v>
      </c>
      <c r="D502">
        <v>4.4186100000000001</v>
      </c>
      <c r="E502">
        <v>0.54662889999999997</v>
      </c>
      <c r="F502" t="s">
        <v>43</v>
      </c>
      <c r="G502">
        <v>-385.96289999999999</v>
      </c>
      <c r="H502">
        <v>0.9359691</v>
      </c>
      <c r="I502">
        <v>367.62520000000001</v>
      </c>
      <c r="J502">
        <v>-386.58409999999998</v>
      </c>
      <c r="K502">
        <v>1.121683</v>
      </c>
      <c r="L502">
        <v>367.73910000000001</v>
      </c>
      <c r="M502">
        <v>0.99986799999999998</v>
      </c>
      <c r="N502">
        <v>-1.473009E-2</v>
      </c>
      <c r="O502">
        <v>-6.8720179999999997E-3</v>
      </c>
      <c r="P502">
        <v>0.99146939999999995</v>
      </c>
      <c r="Q502">
        <v>0.1202961</v>
      </c>
      <c r="R502">
        <v>-5.0175480000000001E-2</v>
      </c>
      <c r="S502">
        <v>3.094757</v>
      </c>
      <c r="T502">
        <v>-0.76616379999999995</v>
      </c>
      <c r="U502">
        <v>-0.47296139999999998</v>
      </c>
      <c r="V502">
        <v>4.3372569999999999E-2</v>
      </c>
      <c r="W502">
        <v>0.13488849999999999</v>
      </c>
      <c r="X502">
        <v>0.98991110000000004</v>
      </c>
      <c r="Y502">
        <v>0.14006440000000001</v>
      </c>
      <c r="Z502">
        <v>-1.6471900000000001E-2</v>
      </c>
      <c r="AA502">
        <v>0.99000540000000004</v>
      </c>
      <c r="AB502">
        <v>24</v>
      </c>
      <c r="AC502">
        <v>0.62119999999998698</v>
      </c>
      <c r="AD502">
        <v>-0.18571389999999999</v>
      </c>
      <c r="AE502">
        <v>-0.1139</v>
      </c>
      <c r="AF502">
        <v>0.10090287794597599</v>
      </c>
      <c r="AG502">
        <v>-0.18571389999999999</v>
      </c>
      <c r="AH502">
        <v>0.57246692256982201</v>
      </c>
      <c r="AI502">
        <v>107.717900828884</v>
      </c>
      <c r="AJ502">
        <v>80.0037358004287</v>
      </c>
      <c r="AK502">
        <v>0.61023718410758399</v>
      </c>
      <c r="AL502">
        <v>82.247827849775803</v>
      </c>
      <c r="AM502">
        <v>87.491212264557007</v>
      </c>
      <c r="AN502">
        <v>1.0000000365819299</v>
      </c>
    </row>
    <row r="503" spans="1:40" x14ac:dyDescent="0.25">
      <c r="A503" t="str">
        <f>"20190303170236613"</f>
        <v>20190303170236613</v>
      </c>
      <c r="B503" t="str">
        <f>"1551603756606911"</f>
        <v>1551603756606911</v>
      </c>
      <c r="C503" t="s">
        <v>40</v>
      </c>
      <c r="D503">
        <v>4.409116</v>
      </c>
      <c r="E503">
        <v>0.54662169999999999</v>
      </c>
      <c r="F503" t="s">
        <v>43</v>
      </c>
      <c r="G503">
        <v>-385.75630000000001</v>
      </c>
      <c r="H503">
        <v>0.9168963</v>
      </c>
      <c r="I503">
        <v>367.6121</v>
      </c>
      <c r="J503">
        <v>-386.43459999999999</v>
      </c>
      <c r="K503">
        <v>1.1216999999999999</v>
      </c>
      <c r="L503">
        <v>367.73809999999997</v>
      </c>
      <c r="M503">
        <v>0.99986779999999997</v>
      </c>
      <c r="N503">
        <v>-1.473087E-2</v>
      </c>
      <c r="O503">
        <v>-6.8859539999999997E-3</v>
      </c>
      <c r="P503">
        <v>0.99144390000000004</v>
      </c>
      <c r="Q503">
        <v>0.12040149999999999</v>
      </c>
      <c r="R503">
        <v>-5.0420529999999998E-2</v>
      </c>
      <c r="S503">
        <v>3.094757</v>
      </c>
      <c r="T503">
        <v>-0.76565150000000004</v>
      </c>
      <c r="U503">
        <v>-0.47396850000000001</v>
      </c>
      <c r="V503">
        <v>4.3599590000000001E-2</v>
      </c>
      <c r="W503">
        <v>0.1349958</v>
      </c>
      <c r="X503">
        <v>0.9898865</v>
      </c>
      <c r="Y503">
        <v>0.14036199999999999</v>
      </c>
      <c r="Z503">
        <v>-1.6496790000000001E-2</v>
      </c>
      <c r="AA503">
        <v>0.98996280000000003</v>
      </c>
      <c r="AB503">
        <v>24</v>
      </c>
      <c r="AC503">
        <v>0.67829999999997803</v>
      </c>
      <c r="AD503">
        <v>-0.20480369999999901</v>
      </c>
      <c r="AE503">
        <v>-0.12599999999997599</v>
      </c>
      <c r="AF503">
        <v>0.111499845101142</v>
      </c>
      <c r="AG503">
        <v>-0.20480369999999901</v>
      </c>
      <c r="AH503">
        <v>0.62414858067434698</v>
      </c>
      <c r="AI503">
        <v>107.901447191694</v>
      </c>
      <c r="AJ503">
        <v>79.871348130283295</v>
      </c>
      <c r="AK503">
        <v>0.66628689147323805</v>
      </c>
      <c r="AL503">
        <v>82.241623262407998</v>
      </c>
      <c r="AM503">
        <v>87.478035126561196</v>
      </c>
      <c r="AN503">
        <v>1.00000003657402</v>
      </c>
    </row>
    <row r="504" spans="1:40" x14ac:dyDescent="0.25">
      <c r="A504" t="str">
        <f>"20190303170236626"</f>
        <v>20190303170236626</v>
      </c>
      <c r="B504" t="str">
        <f>"1551603756616671"</f>
        <v>1551603756616671</v>
      </c>
      <c r="C504" t="s">
        <v>40</v>
      </c>
      <c r="D504">
        <v>4.3980819999999996</v>
      </c>
      <c r="E504">
        <v>0.54660699999999995</v>
      </c>
      <c r="F504" t="s">
        <v>43</v>
      </c>
      <c r="G504">
        <v>-385.74110000000002</v>
      </c>
      <c r="H504">
        <v>0.95017359999999995</v>
      </c>
      <c r="I504">
        <v>367.63150000000002</v>
      </c>
      <c r="J504">
        <v>-386.30419999999998</v>
      </c>
      <c r="K504">
        <v>1.121713</v>
      </c>
      <c r="L504">
        <v>367.73719999999997</v>
      </c>
      <c r="M504">
        <v>0.99986799999999998</v>
      </c>
      <c r="N504">
        <v>-1.473114E-2</v>
      </c>
      <c r="O504">
        <v>-6.8840969999999996E-3</v>
      </c>
      <c r="P504">
        <v>0.99141900000000005</v>
      </c>
      <c r="Q504">
        <v>0.120533399999999</v>
      </c>
      <c r="R504">
        <v>-5.060183E-2</v>
      </c>
      <c r="S504">
        <v>3.0947269999999998</v>
      </c>
      <c r="T504">
        <v>-0.7654879</v>
      </c>
      <c r="U504">
        <v>-0.47421259999999998</v>
      </c>
      <c r="V504">
        <v>4.3779329999999998E-2</v>
      </c>
      <c r="W504">
        <v>0.13512850000000001</v>
      </c>
      <c r="X504">
        <v>0.98986039999999997</v>
      </c>
      <c r="Y504">
        <v>0.14044079999999901</v>
      </c>
      <c r="Z504">
        <v>-1.6504250000000002E-2</v>
      </c>
      <c r="AA504">
        <v>0.98995149999999998</v>
      </c>
      <c r="AB504">
        <v>24</v>
      </c>
      <c r="AC504">
        <v>0.56309999999996296</v>
      </c>
      <c r="AD504">
        <v>-0.17153940000000001</v>
      </c>
      <c r="AE504">
        <v>-0.105699999999956</v>
      </c>
      <c r="AF504">
        <v>9.3444014391120697E-2</v>
      </c>
      <c r="AG504">
        <v>-0.17153940000000001</v>
      </c>
      <c r="AH504">
        <v>0.51743025043301505</v>
      </c>
      <c r="AI504">
        <v>108.06862833914801</v>
      </c>
      <c r="AJ504">
        <v>79.763148187193593</v>
      </c>
      <c r="AK504">
        <v>0.55307469083394201</v>
      </c>
      <c r="AL504">
        <v>82.233949331363206</v>
      </c>
      <c r="AM504">
        <v>87.467585108815797</v>
      </c>
      <c r="AN504">
        <v>0.999999976367829</v>
      </c>
    </row>
    <row r="505" spans="1:40" x14ac:dyDescent="0.25">
      <c r="A505" t="str">
        <f>"20190303170236644"</f>
        <v>20190303170236644</v>
      </c>
      <c r="B505" t="str">
        <f>"1551603756636191"</f>
        <v>1551603756636191</v>
      </c>
      <c r="C505" t="s">
        <v>40</v>
      </c>
      <c r="D505">
        <v>4.3905629999999896</v>
      </c>
      <c r="E505">
        <v>0.54658839999999997</v>
      </c>
      <c r="F505" t="s">
        <v>43</v>
      </c>
      <c r="G505">
        <v>-385.53489999999999</v>
      </c>
      <c r="H505">
        <v>0.93151340000000005</v>
      </c>
      <c r="I505">
        <v>367.6191</v>
      </c>
      <c r="J505">
        <v>-386.11099999999999</v>
      </c>
      <c r="K505">
        <v>1.1217349999999999</v>
      </c>
      <c r="L505">
        <v>367.73579999999998</v>
      </c>
      <c r="M505">
        <v>0.99986799999999998</v>
      </c>
      <c r="N505">
        <v>-1.473119E-2</v>
      </c>
      <c r="O505">
        <v>-6.8648659999999999E-3</v>
      </c>
      <c r="P505">
        <v>0.99131670000000005</v>
      </c>
      <c r="Q505">
        <v>0.1212593</v>
      </c>
      <c r="R505">
        <v>-5.0870369999999998E-2</v>
      </c>
      <c r="S505">
        <v>3.0948180000000001</v>
      </c>
      <c r="T505">
        <v>-0.7652042</v>
      </c>
      <c r="U505">
        <v>-0.47445680000000001</v>
      </c>
      <c r="V505">
        <v>4.4062249999999997E-2</v>
      </c>
      <c r="W505">
        <v>0.13585459999999999</v>
      </c>
      <c r="X505">
        <v>0.98974850000000003</v>
      </c>
      <c r="Y505">
        <v>0.14053160000000001</v>
      </c>
      <c r="Z505">
        <v>-1.6514270000000001E-2</v>
      </c>
      <c r="AA505">
        <v>0.9899384</v>
      </c>
      <c r="AB505">
        <v>24</v>
      </c>
      <c r="AC505">
        <v>0.57609999999999595</v>
      </c>
      <c r="AD505">
        <v>-0.19022159999999899</v>
      </c>
      <c r="AE505">
        <v>-0.11669999999998</v>
      </c>
      <c r="AF505">
        <v>0.102054141154153</v>
      </c>
      <c r="AG505">
        <v>-0.19022159999999899</v>
      </c>
      <c r="AH505">
        <v>0.52219924682594698</v>
      </c>
      <c r="AI505">
        <v>109.67232139215</v>
      </c>
      <c r="AJ505">
        <v>78.941979786984703</v>
      </c>
      <c r="AK505">
        <v>0.56505872103601495</v>
      </c>
      <c r="AL505">
        <v>82.191960028310405</v>
      </c>
      <c r="AM505">
        <v>87.450953336415395</v>
      </c>
      <c r="AN505">
        <v>1.0000000237342299</v>
      </c>
    </row>
    <row r="506" spans="1:40" x14ac:dyDescent="0.25">
      <c r="A506" t="str">
        <f>"20190303170236659"</f>
        <v>20190303170236659</v>
      </c>
      <c r="B506" t="str">
        <f>"1551603756645951"</f>
        <v>1551603756645951</v>
      </c>
      <c r="C506" t="s">
        <v>40</v>
      </c>
      <c r="D506">
        <v>4.4005780000000003</v>
      </c>
      <c r="E506">
        <v>0.54657330000000004</v>
      </c>
      <c r="F506" t="s">
        <v>43</v>
      </c>
      <c r="G506">
        <v>-385.32240000000002</v>
      </c>
      <c r="H506">
        <v>0.92732950000000003</v>
      </c>
      <c r="I506">
        <v>367.61470000000003</v>
      </c>
      <c r="J506">
        <v>-385.94869999999997</v>
      </c>
      <c r="K506">
        <v>1.121753</v>
      </c>
      <c r="L506">
        <v>367.73469999999998</v>
      </c>
      <c r="M506">
        <v>0.99986819999999998</v>
      </c>
      <c r="N506">
        <v>-1.473087E-2</v>
      </c>
      <c r="O506">
        <v>-6.8307699999999999E-3</v>
      </c>
      <c r="P506">
        <v>0.99128839999999996</v>
      </c>
      <c r="Q506">
        <v>0.12143809999999999</v>
      </c>
      <c r="R506">
        <v>-5.0991809999999999E-2</v>
      </c>
      <c r="S506">
        <v>3.0952449999999998</v>
      </c>
      <c r="T506">
        <v>-0.76311779999999996</v>
      </c>
      <c r="U506">
        <v>-0.47503659999999998</v>
      </c>
      <c r="V506">
        <v>4.4213370000000002E-2</v>
      </c>
      <c r="W506">
        <v>0.13603419999999999</v>
      </c>
      <c r="X506">
        <v>0.98971710000000002</v>
      </c>
      <c r="Y506">
        <v>0.1407418</v>
      </c>
      <c r="Z506">
        <v>-1.6505969999999998E-2</v>
      </c>
      <c r="AA506">
        <v>0.98990880000000003</v>
      </c>
      <c r="AB506">
        <v>24</v>
      </c>
      <c r="AC506">
        <v>0.626299999999957</v>
      </c>
      <c r="AD506">
        <v>-0.1944235</v>
      </c>
      <c r="AE506">
        <v>-0.119999999999947</v>
      </c>
      <c r="AF506">
        <v>0.10587679741304699</v>
      </c>
      <c r="AG506">
        <v>-0.1944235</v>
      </c>
      <c r="AH506">
        <v>0.57377009958580105</v>
      </c>
      <c r="AI506">
        <v>108.42945552570799</v>
      </c>
      <c r="AJ506">
        <v>79.544918393275296</v>
      </c>
      <c r="AK506">
        <v>0.61499798435555297</v>
      </c>
      <c r="AL506">
        <v>82.181573344647305</v>
      </c>
      <c r="AM506">
        <v>87.442141438125603</v>
      </c>
      <c r="AN506">
        <v>1.0000000318444</v>
      </c>
    </row>
    <row r="507" spans="1:40" x14ac:dyDescent="0.25">
      <c r="A507" t="str">
        <f>"20190303170236677"</f>
        <v>20190303170236677</v>
      </c>
      <c r="B507" t="str">
        <f>"1551603756666266"</f>
        <v>1551603756666266</v>
      </c>
      <c r="C507" t="s">
        <v>40</v>
      </c>
      <c r="D507">
        <v>4.3618370000000004</v>
      </c>
      <c r="E507">
        <v>0.54657579999999995</v>
      </c>
      <c r="F507" t="s">
        <v>43</v>
      </c>
      <c r="G507">
        <v>-385.11340000000001</v>
      </c>
      <c r="H507">
        <v>0.91596560000000005</v>
      </c>
      <c r="I507">
        <v>367.60629999999998</v>
      </c>
      <c r="J507">
        <v>-385.7552</v>
      </c>
      <c r="K507">
        <v>1.1217790000000001</v>
      </c>
      <c r="L507">
        <v>367.73349999999999</v>
      </c>
      <c r="M507">
        <v>0.9998686</v>
      </c>
      <c r="N507">
        <v>-1.473007E-2</v>
      </c>
      <c r="O507">
        <v>-6.769555E-3</v>
      </c>
      <c r="P507">
        <v>0.99122120000000002</v>
      </c>
      <c r="Q507">
        <v>0.1220487</v>
      </c>
      <c r="R507">
        <v>-5.0840589999999998E-2</v>
      </c>
      <c r="S507">
        <v>3.0952760000000001</v>
      </c>
      <c r="T507">
        <v>-0.76249840000000002</v>
      </c>
      <c r="U507">
        <v>-0.4754333</v>
      </c>
      <c r="V507">
        <v>4.4117879999999998E-2</v>
      </c>
      <c r="W507">
        <v>0.1366445</v>
      </c>
      <c r="X507">
        <v>0.98963730000000005</v>
      </c>
      <c r="Y507">
        <v>0.1409243</v>
      </c>
      <c r="Z507">
        <v>-1.653079E-2</v>
      </c>
      <c r="AA507">
        <v>0.98988229999999999</v>
      </c>
      <c r="AB507">
        <v>24</v>
      </c>
      <c r="AC507">
        <v>0.64179999999998905</v>
      </c>
      <c r="AD507">
        <v>-0.20581340000000001</v>
      </c>
      <c r="AE507">
        <v>-0.12720000000001599</v>
      </c>
      <c r="AF507">
        <v>0.111790280613843</v>
      </c>
      <c r="AG507">
        <v>-0.20581340000000001</v>
      </c>
      <c r="AH507">
        <v>0.584782342118633</v>
      </c>
      <c r="AI507">
        <v>109.069700779069</v>
      </c>
      <c r="AJ507">
        <v>79.177588394255906</v>
      </c>
      <c r="AK507">
        <v>0.62994175136518504</v>
      </c>
      <c r="AL507">
        <v>82.146276245354898</v>
      </c>
      <c r="AM507">
        <v>87.447452932449494</v>
      </c>
      <c r="AN507">
        <v>1.00000004613361</v>
      </c>
    </row>
    <row r="508" spans="1:40" x14ac:dyDescent="0.25">
      <c r="A508" t="str">
        <f>"20190303170236699"</f>
        <v>20190303170236699</v>
      </c>
      <c r="B508" t="str">
        <f>"1551603756686735"</f>
        <v>1551603756686735</v>
      </c>
      <c r="C508" t="s">
        <v>40</v>
      </c>
      <c r="D508">
        <v>4.3726320000000003</v>
      </c>
      <c r="E508">
        <v>0.54660699999999995</v>
      </c>
      <c r="F508" t="s">
        <v>43</v>
      </c>
      <c r="G508">
        <v>-384.90140000000002</v>
      </c>
      <c r="H508">
        <v>0.91209709999999999</v>
      </c>
      <c r="I508">
        <v>367.60210000000001</v>
      </c>
      <c r="J508">
        <v>-385.5256</v>
      </c>
      <c r="K508">
        <v>1.121796</v>
      </c>
      <c r="L508">
        <v>367.73200000000003</v>
      </c>
      <c r="M508">
        <v>0.99986929999999996</v>
      </c>
      <c r="N508">
        <v>-1.472856E-2</v>
      </c>
      <c r="O508">
        <v>-6.6723989999999999E-3</v>
      </c>
      <c r="P508">
        <v>0.99121369999999998</v>
      </c>
      <c r="Q508">
        <v>0.12224930000000001</v>
      </c>
      <c r="R508">
        <v>-5.0501789999999998E-2</v>
      </c>
      <c r="S508">
        <v>3.095825</v>
      </c>
      <c r="T508">
        <v>-0.760445699999999</v>
      </c>
      <c r="U508">
        <v>-0.47506710000000002</v>
      </c>
      <c r="V508">
        <v>4.3868770000000001E-2</v>
      </c>
      <c r="W508">
        <v>0.13684569999999999</v>
      </c>
      <c r="X508">
        <v>0.98962050000000001</v>
      </c>
      <c r="Y508">
        <v>0.14090079999999999</v>
      </c>
      <c r="Z508">
        <v>-1.6506860000000002E-2</v>
      </c>
      <c r="AA508">
        <v>0.98988609999999999</v>
      </c>
      <c r="AB508">
        <v>24</v>
      </c>
      <c r="AC508">
        <v>0.624199999999973</v>
      </c>
      <c r="AD508">
        <v>-0.20969889999999999</v>
      </c>
      <c r="AE508">
        <v>-0.12989999999996299</v>
      </c>
      <c r="AF508">
        <v>0.11345825065274801</v>
      </c>
      <c r="AG508">
        <v>-0.20969889999999999</v>
      </c>
      <c r="AH508">
        <v>0.56403745476979805</v>
      </c>
      <c r="AI508">
        <v>110.025838379398</v>
      </c>
      <c r="AJ508">
        <v>78.626519001427098</v>
      </c>
      <c r="AK508">
        <v>0.61235990535434603</v>
      </c>
      <c r="AL508">
        <v>82.134638449506298</v>
      </c>
      <c r="AM508">
        <v>87.461803862497206</v>
      </c>
      <c r="AN508">
        <v>0.99999997430502596</v>
      </c>
    </row>
    <row r="509" spans="1:40" x14ac:dyDescent="0.25">
      <c r="A509" t="str">
        <f>"20190303170236711"</f>
        <v>20190303170236711</v>
      </c>
      <c r="B509" t="str">
        <f>"1551603756696495"</f>
        <v>1551603756696495</v>
      </c>
      <c r="C509" t="s">
        <v>40</v>
      </c>
      <c r="D509">
        <v>4.3422879999999999</v>
      </c>
      <c r="E509">
        <v>0.54660439999999999</v>
      </c>
      <c r="F509" t="s">
        <v>43</v>
      </c>
      <c r="G509">
        <v>-384.68669999999997</v>
      </c>
      <c r="H509">
        <v>0.91600919999999997</v>
      </c>
      <c r="I509">
        <v>367.60289999999998</v>
      </c>
      <c r="J509">
        <v>-385.3895</v>
      </c>
      <c r="K509">
        <v>1.1218079999999999</v>
      </c>
      <c r="L509">
        <v>367.7312</v>
      </c>
      <c r="M509">
        <v>0.99986980000000003</v>
      </c>
      <c r="N509">
        <v>-1.472744E-2</v>
      </c>
      <c r="O509">
        <v>-6.6055640000000004E-3</v>
      </c>
      <c r="P509">
        <v>0.99122770000000004</v>
      </c>
      <c r="Q509">
        <v>0.12234630000000001</v>
      </c>
      <c r="R509">
        <v>-4.9994919999999998E-2</v>
      </c>
      <c r="S509">
        <v>3.096069</v>
      </c>
      <c r="T509">
        <v>-0.75960179999999999</v>
      </c>
      <c r="U509">
        <v>-0.47488399999999997</v>
      </c>
      <c r="V509">
        <v>4.342435E-2</v>
      </c>
      <c r="W509">
        <v>0.13694210000000001</v>
      </c>
      <c r="X509">
        <v>0.98962680000000003</v>
      </c>
      <c r="Y509">
        <v>0.14090559999999999</v>
      </c>
      <c r="Z509">
        <v>-1.65048E-2</v>
      </c>
      <c r="AA509">
        <v>0.98988540000000003</v>
      </c>
      <c r="AB509">
        <v>24</v>
      </c>
      <c r="AC509">
        <v>0.70280000000002396</v>
      </c>
      <c r="AD509">
        <v>-0.2057988</v>
      </c>
      <c r="AE509">
        <v>-0.12830000000002401</v>
      </c>
      <c r="AF509">
        <v>0.114179452081821</v>
      </c>
      <c r="AG509">
        <v>-0.2057988</v>
      </c>
      <c r="AH509">
        <v>0.64971731962614698</v>
      </c>
      <c r="AI509">
        <v>107.326383849435</v>
      </c>
      <c r="AJ509">
        <v>80.032780612398099</v>
      </c>
      <c r="AK509">
        <v>0.69103016488524605</v>
      </c>
      <c r="AL509">
        <v>82.129062911694206</v>
      </c>
      <c r="AM509">
        <v>87.487500342437301</v>
      </c>
      <c r="AN509">
        <v>1.0000000081017799</v>
      </c>
    </row>
    <row r="510" spans="1:40" x14ac:dyDescent="0.25">
      <c r="A510" t="str">
        <f>"20190303170236724"</f>
        <v>20190303170236724</v>
      </c>
      <c r="B510" t="str">
        <f>"1551603756716015"</f>
        <v>1551603756716015</v>
      </c>
      <c r="C510" t="s">
        <v>40</v>
      </c>
      <c r="D510">
        <v>4.3571739999999997</v>
      </c>
      <c r="E510">
        <v>0.54662159999999904</v>
      </c>
      <c r="F510" t="s">
        <v>43</v>
      </c>
      <c r="G510">
        <v>-384.67320000000001</v>
      </c>
      <c r="H510">
        <v>0.94611060000000002</v>
      </c>
      <c r="I510">
        <v>367.62130000000002</v>
      </c>
      <c r="J510">
        <v>-385.2484</v>
      </c>
      <c r="K510">
        <v>1.12182</v>
      </c>
      <c r="L510">
        <v>367.7303</v>
      </c>
      <c r="M510">
        <v>0.99987020000000004</v>
      </c>
      <c r="N510">
        <v>-1.4725449999999999E-2</v>
      </c>
      <c r="O510">
        <v>-6.5296809999999999E-3</v>
      </c>
      <c r="P510">
        <v>0.99130419999999997</v>
      </c>
      <c r="Q510">
        <v>0.121875</v>
      </c>
      <c r="R510">
        <v>-4.9622579999999999E-2</v>
      </c>
      <c r="S510">
        <v>3.0964659999999999</v>
      </c>
      <c r="T510">
        <v>-0.75962209999999997</v>
      </c>
      <c r="U510">
        <v>-0.47311399999999998</v>
      </c>
      <c r="V510">
        <v>4.3123769999999999E-2</v>
      </c>
      <c r="W510">
        <v>0.1364716</v>
      </c>
      <c r="X510">
        <v>0.9897049</v>
      </c>
      <c r="Y510">
        <v>0.1404222</v>
      </c>
      <c r="Z510">
        <v>-1.6459129999999999E-2</v>
      </c>
      <c r="AA510">
        <v>0.98995489999999997</v>
      </c>
      <c r="AB510">
        <v>24</v>
      </c>
      <c r="AC510">
        <v>0.57519999999999505</v>
      </c>
      <c r="AD510">
        <v>-0.17570939999999999</v>
      </c>
      <c r="AE510">
        <v>-0.10899999999998</v>
      </c>
      <c r="AF510">
        <v>9.6544619610443902E-2</v>
      </c>
      <c r="AG510">
        <v>-0.17570939999999999</v>
      </c>
      <c r="AH510">
        <v>0.528309248644112</v>
      </c>
      <c r="AI510">
        <v>108.11654983803101</v>
      </c>
      <c r="AJ510">
        <v>79.643890053408896</v>
      </c>
      <c r="AK510">
        <v>0.56507107431454295</v>
      </c>
      <c r="AL510">
        <v>82.156275789257904</v>
      </c>
      <c r="AM510">
        <v>87.505066263185597</v>
      </c>
      <c r="AN510">
        <v>0.99999997311479105</v>
      </c>
    </row>
    <row r="511" spans="1:40" x14ac:dyDescent="0.25">
      <c r="A511" t="str">
        <f>"20190303170236737"</f>
        <v>20190303170236737</v>
      </c>
      <c r="B511" t="str">
        <f>"1551603756726751"</f>
        <v>1551603756726751</v>
      </c>
      <c r="C511" t="s">
        <v>40</v>
      </c>
      <c r="D511">
        <v>4.355842</v>
      </c>
      <c r="E511">
        <v>0.54661610000000005</v>
      </c>
      <c r="F511" t="s">
        <v>43</v>
      </c>
      <c r="G511">
        <v>-384.46780000000001</v>
      </c>
      <c r="H511">
        <v>0.929975</v>
      </c>
      <c r="I511">
        <v>367.61090000000002</v>
      </c>
      <c r="J511">
        <v>-385.1164</v>
      </c>
      <c r="K511">
        <v>1.1218250000000001</v>
      </c>
      <c r="L511">
        <v>367.7296</v>
      </c>
      <c r="M511">
        <v>0.99987079999999995</v>
      </c>
      <c r="N511">
        <v>-1.471984E-2</v>
      </c>
      <c r="O511">
        <v>-6.4551130000000002E-3</v>
      </c>
      <c r="P511">
        <v>0.99134250000000002</v>
      </c>
      <c r="Q511">
        <v>0.1217937</v>
      </c>
      <c r="R511">
        <v>-4.9055019999999998E-2</v>
      </c>
      <c r="S511">
        <v>3.0962830000000001</v>
      </c>
      <c r="T511">
        <v>-0.76104659999999902</v>
      </c>
      <c r="U511">
        <v>-0.47195429999999999</v>
      </c>
      <c r="V511">
        <v>4.2627289999999998E-2</v>
      </c>
      <c r="W511">
        <v>0.1363856</v>
      </c>
      <c r="X511">
        <v>0.98973829999999996</v>
      </c>
      <c r="Y511">
        <v>0.1401338</v>
      </c>
      <c r="Z511">
        <v>-1.6467889999999999E-2</v>
      </c>
      <c r="AA511">
        <v>0.98999559999999998</v>
      </c>
      <c r="AB511">
        <v>24</v>
      </c>
      <c r="AC511">
        <v>0.64859999999998696</v>
      </c>
      <c r="AD511">
        <v>-0.19184999999999999</v>
      </c>
      <c r="AE511">
        <v>-0.11869999999998899</v>
      </c>
      <c r="AF511">
        <v>0.105572818275744</v>
      </c>
      <c r="AG511">
        <v>-0.19184999999999999</v>
      </c>
      <c r="AH511">
        <v>0.59867114244523301</v>
      </c>
      <c r="AI511">
        <v>107.515188298597</v>
      </c>
      <c r="AJ511">
        <v>79.998984257042807</v>
      </c>
      <c r="AK511">
        <v>0.63746308069986601</v>
      </c>
      <c r="AL511">
        <v>82.161250025121404</v>
      </c>
      <c r="AM511">
        <v>87.533837657149107</v>
      </c>
      <c r="AN511">
        <v>1.00000001011349</v>
      </c>
    </row>
    <row r="512" spans="1:40" x14ac:dyDescent="0.25">
      <c r="A512" t="str">
        <f>"20190303170236756"</f>
        <v>20190303170236756</v>
      </c>
      <c r="B512" t="str">
        <f>"1551603756746270"</f>
        <v>1551603756746270</v>
      </c>
      <c r="C512" t="s">
        <v>40</v>
      </c>
      <c r="D512">
        <v>4.3668930000000001</v>
      </c>
      <c r="E512">
        <v>0.5466529</v>
      </c>
      <c r="F512" t="s">
        <v>43</v>
      </c>
      <c r="G512">
        <v>-384.26319999999998</v>
      </c>
      <c r="H512">
        <v>0.91212269999999895</v>
      </c>
      <c r="I512">
        <v>367.59989999999999</v>
      </c>
      <c r="J512">
        <v>-384.92320000000001</v>
      </c>
      <c r="K512">
        <v>1.1218239999999999</v>
      </c>
      <c r="L512">
        <v>367.72840000000002</v>
      </c>
      <c r="M512">
        <v>0.99987210000000004</v>
      </c>
      <c r="N512">
        <v>-1.4688390000000001E-2</v>
      </c>
      <c r="O512">
        <v>-6.3366129999999996E-3</v>
      </c>
      <c r="P512">
        <v>0.99144019999999999</v>
      </c>
      <c r="Q512">
        <v>0.1212275</v>
      </c>
      <c r="R512">
        <v>-4.848355E-2</v>
      </c>
      <c r="S512">
        <v>3.0964049999999999</v>
      </c>
      <c r="T512">
        <v>-0.76108560000000003</v>
      </c>
      <c r="U512">
        <v>-0.47006229999999899</v>
      </c>
      <c r="V512">
        <v>4.2169829999999998E-2</v>
      </c>
      <c r="W512">
        <v>0.13579040000000001</v>
      </c>
      <c r="X512">
        <v>0.98983969999999999</v>
      </c>
      <c r="Y512">
        <v>0.1396654</v>
      </c>
      <c r="Z512">
        <v>-1.6433150000000001E-2</v>
      </c>
      <c r="AA512">
        <v>0.99006240000000001</v>
      </c>
      <c r="AB512">
        <v>24</v>
      </c>
      <c r="AC512">
        <v>0.66000000000002501</v>
      </c>
      <c r="AD512">
        <v>-0.20970130000000001</v>
      </c>
      <c r="AE512">
        <v>-0.12850000000003001</v>
      </c>
      <c r="AF512">
        <v>0.113295165511256</v>
      </c>
      <c r="AG512">
        <v>-0.20970130000000001</v>
      </c>
      <c r="AH512">
        <v>0.60222569098741796</v>
      </c>
      <c r="AI512">
        <v>108.89132852474</v>
      </c>
      <c r="AJ512">
        <v>79.345621048638606</v>
      </c>
      <c r="AK512">
        <v>0.64767755298079199</v>
      </c>
      <c r="AL512">
        <v>82.195672475633302</v>
      </c>
      <c r="AM512">
        <v>87.560521054257094</v>
      </c>
      <c r="AN512">
        <v>0.999999979495239</v>
      </c>
    </row>
    <row r="513" spans="1:40" x14ac:dyDescent="0.25">
      <c r="A513" t="str">
        <f>"20190303170236768"</f>
        <v>20190303170236768</v>
      </c>
      <c r="B513" t="str">
        <f>"1551603756756032"</f>
        <v>1551603756756032</v>
      </c>
      <c r="C513" t="s">
        <v>40</v>
      </c>
      <c r="D513">
        <v>4.3833359999999999</v>
      </c>
      <c r="E513">
        <v>0.5466491</v>
      </c>
      <c r="F513" t="s">
        <v>43</v>
      </c>
      <c r="G513">
        <v>-384.05279999999999</v>
      </c>
      <c r="H513">
        <v>0.90741689999999997</v>
      </c>
      <c r="I513">
        <v>367.59589999999997</v>
      </c>
      <c r="J513">
        <v>-384.78829999999999</v>
      </c>
      <c r="K513">
        <v>1.121818</v>
      </c>
      <c r="L513">
        <v>367.72770000000003</v>
      </c>
      <c r="M513">
        <v>0.99987349999999997</v>
      </c>
      <c r="N513">
        <v>-1.4636E-2</v>
      </c>
      <c r="O513">
        <v>-6.2484519999999998E-3</v>
      </c>
      <c r="P513">
        <v>0.99145700000000003</v>
      </c>
      <c r="Q513">
        <v>0.1212384</v>
      </c>
      <c r="R513">
        <v>-4.8110479999999997E-2</v>
      </c>
      <c r="S513">
        <v>3.0961910000000001</v>
      </c>
      <c r="T513">
        <v>-0.76276529999999998</v>
      </c>
      <c r="U513">
        <v>-0.46948240000000002</v>
      </c>
      <c r="V513">
        <v>4.188323E-2</v>
      </c>
      <c r="W513">
        <v>0.13575029999999999</v>
      </c>
      <c r="X513">
        <v>0.9898574</v>
      </c>
      <c r="Y513">
        <v>0.1395652</v>
      </c>
      <c r="Z513">
        <v>-1.6470309999999998E-2</v>
      </c>
      <c r="AA513">
        <v>0.99007590000000001</v>
      </c>
      <c r="AB513">
        <v>24</v>
      </c>
      <c r="AC513">
        <v>0.73550000000000104</v>
      </c>
      <c r="AD513">
        <v>-0.21440109999999901</v>
      </c>
      <c r="AE513">
        <v>-0.13180000000005501</v>
      </c>
      <c r="AF513">
        <v>0.117525259511716</v>
      </c>
      <c r="AG513">
        <v>-0.21440109999999901</v>
      </c>
      <c r="AH513">
        <v>0.68029971010404899</v>
      </c>
      <c r="AI513">
        <v>107.252532718493</v>
      </c>
      <c r="AJ513">
        <v>80.198601911195894</v>
      </c>
      <c r="AK513">
        <v>0.72290228514797195</v>
      </c>
      <c r="AL513">
        <v>82.197991754267903</v>
      </c>
      <c r="AM513">
        <v>87.577124000868494</v>
      </c>
      <c r="AN513">
        <v>1.00000001062004</v>
      </c>
    </row>
    <row r="514" spans="1:40" x14ac:dyDescent="0.25">
      <c r="A514" t="str">
        <f>"20190303170236780"</f>
        <v>20190303170236780</v>
      </c>
      <c r="B514" t="str">
        <f>"1551603756766580"</f>
        <v>1551603756766580</v>
      </c>
      <c r="C514" t="s">
        <v>40</v>
      </c>
      <c r="D514">
        <v>4.3630500000000003</v>
      </c>
      <c r="E514">
        <v>0.54666079999999995</v>
      </c>
      <c r="F514" t="s">
        <v>43</v>
      </c>
      <c r="G514">
        <v>-384.03980000000001</v>
      </c>
      <c r="H514">
        <v>0.93748489999999995</v>
      </c>
      <c r="I514">
        <v>367.6139</v>
      </c>
      <c r="J514">
        <v>-384.6635</v>
      </c>
      <c r="K514">
        <v>1.121804</v>
      </c>
      <c r="L514">
        <v>367.72699999999998</v>
      </c>
      <c r="M514">
        <v>0.99987490000000001</v>
      </c>
      <c r="N514">
        <v>-1.457468E-2</v>
      </c>
      <c r="O514">
        <v>-6.16549E-3</v>
      </c>
      <c r="P514">
        <v>0.99146619999999996</v>
      </c>
      <c r="Q514">
        <v>0.121269</v>
      </c>
      <c r="R514">
        <v>-4.7844930000000001E-2</v>
      </c>
      <c r="S514">
        <v>3.0963750000000001</v>
      </c>
      <c r="T514">
        <v>-0.7625189</v>
      </c>
      <c r="U514">
        <v>-0.46853640000000002</v>
      </c>
      <c r="V514">
        <v>4.1699340000000001E-2</v>
      </c>
      <c r="W514">
        <v>0.13572000000000001</v>
      </c>
      <c r="X514">
        <v>0.98986929999999995</v>
      </c>
      <c r="Y514">
        <v>0.13935139999999999</v>
      </c>
      <c r="Z514">
        <v>-1.645162E-2</v>
      </c>
      <c r="AA514">
        <v>0.99010629999999999</v>
      </c>
      <c r="AB514">
        <v>24</v>
      </c>
      <c r="AC514">
        <v>0.62369999999998504</v>
      </c>
      <c r="AD514">
        <v>-0.18431910000000001</v>
      </c>
      <c r="AE514">
        <v>-0.113099999999974</v>
      </c>
      <c r="AF514">
        <v>0.10073444987928599</v>
      </c>
      <c r="AG514">
        <v>-0.18431910000000001</v>
      </c>
      <c r="AH514">
        <v>0.57570679198838104</v>
      </c>
      <c r="AI514">
        <v>107.503714759009</v>
      </c>
      <c r="AJ514">
        <v>80.075129463718994</v>
      </c>
      <c r="AK514">
        <v>0.61282890790076505</v>
      </c>
      <c r="AL514">
        <v>82.199743889011799</v>
      </c>
      <c r="AM514">
        <v>87.587778106522705</v>
      </c>
      <c r="AN514">
        <v>0.99999999221946201</v>
      </c>
    </row>
    <row r="515" spans="1:40" x14ac:dyDescent="0.25">
      <c r="A515" t="str">
        <f>"20190303170236792"</f>
        <v>20190303170236792</v>
      </c>
      <c r="B515" t="str">
        <f>"1551603756787052"</f>
        <v>1551603756787052</v>
      </c>
      <c r="C515" t="s">
        <v>40</v>
      </c>
      <c r="D515">
        <v>4.3630370000000003</v>
      </c>
      <c r="E515">
        <v>0.54666630000000005</v>
      </c>
      <c r="F515" t="s">
        <v>43</v>
      </c>
      <c r="G515">
        <v>-383.83629999999999</v>
      </c>
      <c r="H515">
        <v>0.91815659999999999</v>
      </c>
      <c r="I515">
        <v>367.60180000000003</v>
      </c>
      <c r="J515">
        <v>-384.52350000000001</v>
      </c>
      <c r="K515">
        <v>1.121785</v>
      </c>
      <c r="L515">
        <v>367.72620000000001</v>
      </c>
      <c r="M515">
        <v>0.99987669999999995</v>
      </c>
      <c r="N515">
        <v>-1.448663E-2</v>
      </c>
      <c r="O515">
        <v>-6.0699559999999996E-3</v>
      </c>
      <c r="P515">
        <v>0.9914946</v>
      </c>
      <c r="Q515">
        <v>0.1210799</v>
      </c>
      <c r="R515">
        <v>-4.7731000000000003E-2</v>
      </c>
      <c r="S515">
        <v>3.0964360000000002</v>
      </c>
      <c r="T515">
        <v>-0.76245830000000003</v>
      </c>
      <c r="U515">
        <v>-0.46777340000000001</v>
      </c>
      <c r="V515">
        <v>4.1679750000000002E-2</v>
      </c>
      <c r="W515">
        <v>0.13544410000000001</v>
      </c>
      <c r="X515">
        <v>0.98990789999999995</v>
      </c>
      <c r="Y515">
        <v>0.13920869999999999</v>
      </c>
      <c r="Z515">
        <v>-1.644702E-2</v>
      </c>
      <c r="AA515">
        <v>0.99012650000000002</v>
      </c>
      <c r="AB515">
        <v>24</v>
      </c>
      <c r="AC515">
        <v>0.68720000000001802</v>
      </c>
      <c r="AD515">
        <v>-0.20362839999999999</v>
      </c>
      <c r="AE515">
        <v>-0.12439999999998</v>
      </c>
      <c r="AF515">
        <v>0.110805612554406</v>
      </c>
      <c r="AG515">
        <v>-0.20362839999999999</v>
      </c>
      <c r="AH515">
        <v>0.63403834829422001</v>
      </c>
      <c r="AI515">
        <v>107.555609843414</v>
      </c>
      <c r="AJ515">
        <v>80.087003516441797</v>
      </c>
      <c r="AK515">
        <v>0.675090391109057</v>
      </c>
      <c r="AL515">
        <v>82.215699013125402</v>
      </c>
      <c r="AM515">
        <v>87.589003916373002</v>
      </c>
      <c r="AN515">
        <v>0.99999997813364006</v>
      </c>
    </row>
    <row r="516" spans="1:40" x14ac:dyDescent="0.25">
      <c r="A516" t="str">
        <f>"20190303170236810"</f>
        <v>20190303170236810</v>
      </c>
      <c r="B516" t="str">
        <f>"1551603756796812"</f>
        <v>1551603756796812</v>
      </c>
      <c r="C516" t="s">
        <v>40</v>
      </c>
      <c r="D516">
        <v>4.3761320000000001</v>
      </c>
      <c r="E516">
        <v>0.5466453</v>
      </c>
      <c r="F516" t="s">
        <v>43</v>
      </c>
      <c r="G516">
        <v>-383.82220000000001</v>
      </c>
      <c r="H516">
        <v>0.94902620000000004</v>
      </c>
      <c r="I516">
        <v>367.62009999999998</v>
      </c>
      <c r="J516">
        <v>-384.34390000000002</v>
      </c>
      <c r="K516">
        <v>1.1217509999999999</v>
      </c>
      <c r="L516">
        <v>367.7253</v>
      </c>
      <c r="M516">
        <v>0.99987950000000003</v>
      </c>
      <c r="N516">
        <v>-1.4335820000000001E-2</v>
      </c>
      <c r="O516">
        <v>-5.9491919999999998E-3</v>
      </c>
      <c r="P516">
        <v>0.99151129999999998</v>
      </c>
      <c r="Q516">
        <v>0.120668</v>
      </c>
      <c r="R516">
        <v>-4.8424450000000001E-2</v>
      </c>
      <c r="S516">
        <v>3.0963750000000001</v>
      </c>
      <c r="T516">
        <v>-0.76295159999999995</v>
      </c>
      <c r="U516">
        <v>-0.4676208</v>
      </c>
      <c r="V516">
        <v>4.2492549999999997E-2</v>
      </c>
      <c r="W516">
        <v>0.1348838</v>
      </c>
      <c r="X516">
        <v>0.98994990000000005</v>
      </c>
      <c r="Y516">
        <v>0.1392757</v>
      </c>
      <c r="Z516">
        <v>-1.648142E-2</v>
      </c>
      <c r="AA516">
        <v>0.99011649999999995</v>
      </c>
      <c r="AB516">
        <v>24</v>
      </c>
      <c r="AC516">
        <v>0.52170000000000905</v>
      </c>
      <c r="AD516">
        <v>-0.17272479999999901</v>
      </c>
      <c r="AE516">
        <v>-0.105200000000024</v>
      </c>
      <c r="AF516">
        <v>9.2365169839562999E-2</v>
      </c>
      <c r="AG516">
        <v>-0.17272479999999901</v>
      </c>
      <c r="AH516">
        <v>0.47254304943252001</v>
      </c>
      <c r="AI516">
        <v>109.73459308516701</v>
      </c>
      <c r="AJ516">
        <v>78.9401800831873</v>
      </c>
      <c r="AK516">
        <v>0.51152919242357597</v>
      </c>
      <c r="AL516">
        <v>82.248099575496497</v>
      </c>
      <c r="AM516">
        <v>87.542148165068198</v>
      </c>
      <c r="AN516">
        <v>1.00000003040897</v>
      </c>
    </row>
    <row r="517" spans="1:40" x14ac:dyDescent="0.25">
      <c r="A517" t="str">
        <f>"20190303170236833"</f>
        <v>20190303170236833</v>
      </c>
      <c r="B517" t="str">
        <f>"1551603756826091"</f>
        <v>1551603756826091</v>
      </c>
      <c r="C517" t="s">
        <v>40</v>
      </c>
      <c r="D517">
        <v>4.3821199999999996</v>
      </c>
      <c r="E517">
        <v>0.54659869999999899</v>
      </c>
      <c r="F517" t="s">
        <v>43</v>
      </c>
      <c r="G517">
        <v>-383.61360000000002</v>
      </c>
      <c r="H517">
        <v>0.94144170000000005</v>
      </c>
      <c r="I517">
        <v>367.61439999999999</v>
      </c>
      <c r="J517">
        <v>-384.0926</v>
      </c>
      <c r="K517">
        <v>1.1217010000000001</v>
      </c>
      <c r="L517">
        <v>367.72399999999999</v>
      </c>
      <c r="M517">
        <v>0.9998842</v>
      </c>
      <c r="N517">
        <v>-1.4082320000000001E-2</v>
      </c>
      <c r="O517">
        <v>-5.7817719999999897E-3</v>
      </c>
      <c r="P517">
        <v>0.99149200000000004</v>
      </c>
      <c r="Q517">
        <v>0.120695899999999</v>
      </c>
      <c r="R517">
        <v>-4.8744259999999998E-2</v>
      </c>
      <c r="S517">
        <v>3.0957949999999999</v>
      </c>
      <c r="T517">
        <v>-0.76433379999999995</v>
      </c>
      <c r="U517">
        <v>-0.46960449999999998</v>
      </c>
      <c r="V517">
        <v>4.2979360000000001E-2</v>
      </c>
      <c r="W517">
        <v>0.1346598</v>
      </c>
      <c r="X517">
        <v>0.98995940000000004</v>
      </c>
      <c r="Y517">
        <v>0.140049799999999</v>
      </c>
      <c r="Z517">
        <v>-1.6628500000000001E-2</v>
      </c>
      <c r="AA517">
        <v>0.99000480000000002</v>
      </c>
      <c r="AB517">
        <v>24</v>
      </c>
      <c r="AC517">
        <v>0.47899999999998399</v>
      </c>
      <c r="AD517">
        <v>-0.18025930000000001</v>
      </c>
      <c r="AE517">
        <v>-0.1096</v>
      </c>
      <c r="AF517">
        <v>9.4157266429158198E-2</v>
      </c>
      <c r="AG517">
        <v>-0.18025930000000001</v>
      </c>
      <c r="AH517">
        <v>0.42273625705323498</v>
      </c>
      <c r="AI517">
        <v>112.59764662387499</v>
      </c>
      <c r="AJ517">
        <v>77.443313332757299</v>
      </c>
      <c r="AK517">
        <v>0.469110806830625</v>
      </c>
      <c r="AL517">
        <v>82.2610521546017</v>
      </c>
      <c r="AM517">
        <v>87.514049079539504</v>
      </c>
      <c r="AN517">
        <v>1.0000000503852</v>
      </c>
    </row>
    <row r="518" spans="1:40" x14ac:dyDescent="0.25">
      <c r="A518" t="str">
        <f>"20190303170236846"</f>
        <v>20190303170236846</v>
      </c>
      <c r="B518" t="str">
        <f>"1551603756836827"</f>
        <v>1551603756836827</v>
      </c>
      <c r="C518" t="s">
        <v>40</v>
      </c>
      <c r="D518">
        <v>4.3954789999999999</v>
      </c>
      <c r="E518">
        <v>0.54658289999999998</v>
      </c>
      <c r="F518" t="s">
        <v>43</v>
      </c>
      <c r="G518">
        <v>-383.39729999999997</v>
      </c>
      <c r="H518">
        <v>0.95004489999999997</v>
      </c>
      <c r="I518">
        <v>367.61840000000001</v>
      </c>
      <c r="J518">
        <v>-383.96379999999999</v>
      </c>
      <c r="K518">
        <v>1.121672</v>
      </c>
      <c r="L518">
        <v>367.72340000000003</v>
      </c>
      <c r="M518">
        <v>0.99988679999999996</v>
      </c>
      <c r="N518">
        <v>-1.3936749999999999E-2</v>
      </c>
      <c r="O518">
        <v>-5.6966650000000001E-3</v>
      </c>
      <c r="P518">
        <v>0.99147450000000004</v>
      </c>
      <c r="Q518">
        <v>0.120882</v>
      </c>
      <c r="R518">
        <v>-4.864077E-2</v>
      </c>
      <c r="S518">
        <v>3.0957029999999999</v>
      </c>
      <c r="T518">
        <v>-0.76431919999999898</v>
      </c>
      <c r="U518">
        <v>-0.47036739999999999</v>
      </c>
      <c r="V518">
        <v>4.2961350000000002E-2</v>
      </c>
      <c r="W518">
        <v>0.1347014</v>
      </c>
      <c r="X518">
        <v>0.98995449999999996</v>
      </c>
      <c r="Y518">
        <v>0.14036760000000001</v>
      </c>
      <c r="Z518">
        <v>-1.6677270000000001E-2</v>
      </c>
      <c r="AA518">
        <v>0.98995900000000003</v>
      </c>
      <c r="AB518">
        <v>24</v>
      </c>
      <c r="AC518">
        <v>0.56650000000001899</v>
      </c>
      <c r="AD518">
        <v>-0.17162709999999901</v>
      </c>
      <c r="AE518">
        <v>-0.105000000000018</v>
      </c>
      <c r="AF518">
        <v>9.3476075601282904E-2</v>
      </c>
      <c r="AG518">
        <v>-0.17162709999999901</v>
      </c>
      <c r="AH518">
        <v>0.52086889326556995</v>
      </c>
      <c r="AI518">
        <v>107.968931330419</v>
      </c>
      <c r="AJ518">
        <v>79.825897229205296</v>
      </c>
      <c r="AK518">
        <v>0.55632548219178901</v>
      </c>
      <c r="AL518">
        <v>82.258646563530505</v>
      </c>
      <c r="AM518">
        <v>87.515077198059004</v>
      </c>
      <c r="AN518">
        <v>1.0000000284130099</v>
      </c>
    </row>
    <row r="519" spans="1:40" x14ac:dyDescent="0.25">
      <c r="A519" t="str">
        <f>"20190303170236859"</f>
        <v>20190303170236859</v>
      </c>
      <c r="B519" t="str">
        <f>"1551603756846589"</f>
        <v>1551603756846589</v>
      </c>
      <c r="C519" t="s">
        <v>40</v>
      </c>
      <c r="D519">
        <v>4.375788</v>
      </c>
      <c r="E519">
        <v>0.54657369999999905</v>
      </c>
      <c r="F519" t="s">
        <v>43</v>
      </c>
      <c r="G519">
        <v>-383.19349999999997</v>
      </c>
      <c r="H519">
        <v>0.93165279999999995</v>
      </c>
      <c r="I519">
        <v>367.60599999999999</v>
      </c>
      <c r="J519">
        <v>-383.82440000000003</v>
      </c>
      <c r="K519">
        <v>1.121637</v>
      </c>
      <c r="L519">
        <v>367.7226</v>
      </c>
      <c r="M519">
        <v>0.99988940000000004</v>
      </c>
      <c r="N519">
        <v>-1.377692E-2</v>
      </c>
      <c r="O519">
        <v>-5.6048019999999999E-3</v>
      </c>
      <c r="P519">
        <v>0.99139560000000004</v>
      </c>
      <c r="Q519">
        <v>0.1214803</v>
      </c>
      <c r="R519">
        <v>-4.8759299999999998E-2</v>
      </c>
      <c r="S519">
        <v>3.095825</v>
      </c>
      <c r="T519">
        <v>-0.76369129999999996</v>
      </c>
      <c r="U519">
        <v>-0.4703369</v>
      </c>
      <c r="V519">
        <v>4.3172330000000002E-2</v>
      </c>
      <c r="W519">
        <v>0.13514029999999999</v>
      </c>
      <c r="X519">
        <v>0.98988540000000003</v>
      </c>
      <c r="Y519">
        <v>0.1404482</v>
      </c>
      <c r="Z519">
        <v>-1.6683130000000001E-2</v>
      </c>
      <c r="AA519">
        <v>0.98994740000000003</v>
      </c>
      <c r="AB519">
        <v>24</v>
      </c>
      <c r="AC519">
        <v>0.63090000000005297</v>
      </c>
      <c r="AD519">
        <v>-0.18998419999999899</v>
      </c>
      <c r="AE519">
        <v>-0.11660000000000501</v>
      </c>
      <c r="AF519">
        <v>0.103947113152858</v>
      </c>
      <c r="AG519">
        <v>-0.18998419999999899</v>
      </c>
      <c r="AH519">
        <v>0.58063079508512105</v>
      </c>
      <c r="AI519">
        <v>107.85284021402801</v>
      </c>
      <c r="AJ519">
        <v>79.850175788581694</v>
      </c>
      <c r="AK519">
        <v>0.61970244374508698</v>
      </c>
      <c r="AL519">
        <v>82.233266603759901</v>
      </c>
      <c r="AM519">
        <v>87.502715243449799</v>
      </c>
      <c r="AN519">
        <v>0.99999992794743597</v>
      </c>
    </row>
    <row r="520" spans="1:40" x14ac:dyDescent="0.25">
      <c r="A520" t="str">
        <f>"20190303170236877"</f>
        <v>20190303170236877</v>
      </c>
      <c r="B520" t="str">
        <f>"1551603756866108"</f>
        <v>1551603756866108</v>
      </c>
      <c r="C520" t="s">
        <v>40</v>
      </c>
      <c r="D520">
        <v>4.3714389999999996</v>
      </c>
      <c r="E520">
        <v>0.54656510000000003</v>
      </c>
      <c r="F520" t="s">
        <v>43</v>
      </c>
      <c r="G520">
        <v>-382.98790000000002</v>
      </c>
      <c r="H520">
        <v>0.91582859999999999</v>
      </c>
      <c r="I520">
        <v>367.59550000000002</v>
      </c>
      <c r="J520">
        <v>-383.62959999999998</v>
      </c>
      <c r="K520">
        <v>1.121597</v>
      </c>
      <c r="L520">
        <v>367.7217</v>
      </c>
      <c r="M520">
        <v>0.99989320000000004</v>
      </c>
      <c r="N520">
        <v>-1.355117E-2</v>
      </c>
      <c r="O520">
        <v>-5.4784350000000002E-3</v>
      </c>
      <c r="P520">
        <v>0.99135530000000005</v>
      </c>
      <c r="Q520">
        <v>0.1218677</v>
      </c>
      <c r="R520">
        <v>-4.8609989999999999E-2</v>
      </c>
      <c r="S520">
        <v>3.0962519999999998</v>
      </c>
      <c r="T520">
        <v>-0.76181019999999999</v>
      </c>
      <c r="U520">
        <v>-0.4703369</v>
      </c>
      <c r="V520">
        <v>4.3150059999999997E-2</v>
      </c>
      <c r="W520">
        <v>0.1353029</v>
      </c>
      <c r="X520">
        <v>0.98986419999999997</v>
      </c>
      <c r="Y520">
        <v>0.140571</v>
      </c>
      <c r="Z520">
        <v>-1.6670609999999999E-2</v>
      </c>
      <c r="AA520">
        <v>0.98993030000000004</v>
      </c>
      <c r="AB520">
        <v>24</v>
      </c>
      <c r="AC520">
        <v>0.64169999999995697</v>
      </c>
      <c r="AD520">
        <v>-0.20576839999999999</v>
      </c>
      <c r="AE520">
        <v>-0.12619999999998299</v>
      </c>
      <c r="AF520">
        <v>0.111631341011899</v>
      </c>
      <c r="AG520">
        <v>-0.20576839999999999</v>
      </c>
      <c r="AH520">
        <v>0.58451756844715697</v>
      </c>
      <c r="AI520">
        <v>109.074449352088</v>
      </c>
      <c r="AJ520">
        <v>79.187832560968204</v>
      </c>
      <c r="AK520">
        <v>0.62965306205723504</v>
      </c>
      <c r="AL520">
        <v>82.223864266294498</v>
      </c>
      <c r="AM520">
        <v>87.5039484229832</v>
      </c>
      <c r="AN520">
        <v>0.99999996843402605</v>
      </c>
    </row>
    <row r="521" spans="1:40" x14ac:dyDescent="0.25">
      <c r="A521" t="str">
        <f>"20190303170236892"</f>
        <v>20190303170236892</v>
      </c>
      <c r="B521" t="str">
        <f>"1551603756876844"</f>
        <v>1551603756876844</v>
      </c>
      <c r="C521" t="s">
        <v>40</v>
      </c>
      <c r="D521">
        <v>4.3896829999999998</v>
      </c>
      <c r="E521">
        <v>0.54656359999999904</v>
      </c>
      <c r="F521" t="s">
        <v>43</v>
      </c>
      <c r="G521">
        <v>-382.77679999999998</v>
      </c>
      <c r="H521">
        <v>0.91216140000000001</v>
      </c>
      <c r="I521">
        <v>367.59210000000002</v>
      </c>
      <c r="J521">
        <v>-383.47</v>
      </c>
      <c r="K521">
        <v>1.121572</v>
      </c>
      <c r="L521">
        <v>367.721</v>
      </c>
      <c r="M521">
        <v>0.99989629999999996</v>
      </c>
      <c r="N521">
        <v>-1.337027E-2</v>
      </c>
      <c r="O521">
        <v>-5.3766710000000004E-3</v>
      </c>
      <c r="P521">
        <v>0.99133760000000004</v>
      </c>
      <c r="Q521">
        <v>0.1219956</v>
      </c>
      <c r="R521">
        <v>-4.865477E-2</v>
      </c>
      <c r="S521">
        <v>3.0966490000000002</v>
      </c>
      <c r="T521">
        <v>-0.7606636</v>
      </c>
      <c r="U521">
        <v>-0.46981810000000002</v>
      </c>
      <c r="V521">
        <v>4.3296300000000003E-2</v>
      </c>
      <c r="W521">
        <v>0.13525090000000001</v>
      </c>
      <c r="X521">
        <v>0.98986490000000005</v>
      </c>
      <c r="Y521">
        <v>0.140506399999999</v>
      </c>
      <c r="Z521">
        <v>-1.6646959999999999E-2</v>
      </c>
      <c r="AA521">
        <v>0.98993980000000004</v>
      </c>
      <c r="AB521">
        <v>24</v>
      </c>
      <c r="AC521">
        <v>0.693200000000047</v>
      </c>
      <c r="AD521">
        <v>-0.2094106</v>
      </c>
      <c r="AE521">
        <v>-0.128899999999987</v>
      </c>
      <c r="AF521">
        <v>0.115024403920784</v>
      </c>
      <c r="AG521">
        <v>-0.2094106</v>
      </c>
      <c r="AH521">
        <v>0.63763717905754702</v>
      </c>
      <c r="AI521">
        <v>107.91083241018001</v>
      </c>
      <c r="AJ521">
        <v>79.774293752351696</v>
      </c>
      <c r="AK521">
        <v>0.68092920704443105</v>
      </c>
      <c r="AL521">
        <v>82.226871127359402</v>
      </c>
      <c r="AM521">
        <v>87.495501569203398</v>
      </c>
      <c r="AN521">
        <v>0.99999994789825297</v>
      </c>
    </row>
    <row r="522" spans="1:40" x14ac:dyDescent="0.25">
      <c r="A522" t="str">
        <f>"20190303170236906"</f>
        <v>20190303170236906</v>
      </c>
      <c r="B522" t="str">
        <f>"1551603756896365"</f>
        <v>1551603756896365</v>
      </c>
      <c r="C522" t="s">
        <v>40</v>
      </c>
      <c r="D522">
        <v>4.3716889999999999</v>
      </c>
      <c r="E522">
        <v>0.54657369999999905</v>
      </c>
      <c r="F522" t="s">
        <v>43</v>
      </c>
      <c r="G522">
        <v>-382.76100000000002</v>
      </c>
      <c r="H522">
        <v>0.94755409999999995</v>
      </c>
      <c r="I522">
        <v>367.61329999999998</v>
      </c>
      <c r="J522">
        <v>-383.32369999999997</v>
      </c>
      <c r="K522">
        <v>1.1215489999999999</v>
      </c>
      <c r="L522">
        <v>367.72030000000001</v>
      </c>
      <c r="M522">
        <v>0.99989879999999998</v>
      </c>
      <c r="N522">
        <v>-1.3211840000000001E-2</v>
      </c>
      <c r="O522">
        <v>-5.2850639999999999E-3</v>
      </c>
      <c r="P522">
        <v>0.99129889999999998</v>
      </c>
      <c r="Q522">
        <v>0.1224107</v>
      </c>
      <c r="R522">
        <v>-4.8395819999999999E-2</v>
      </c>
      <c r="S522">
        <v>3.0967709999999999</v>
      </c>
      <c r="T522">
        <v>-0.76028039999999997</v>
      </c>
      <c r="U522">
        <v>-0.46945189999999998</v>
      </c>
      <c r="V522">
        <v>4.3128960000000001E-2</v>
      </c>
      <c r="W522">
        <v>0.135508399999999</v>
      </c>
      <c r="X522">
        <v>0.98983710000000003</v>
      </c>
      <c r="Y522">
        <v>0.14048250000000001</v>
      </c>
      <c r="Z522">
        <v>-1.664442E-2</v>
      </c>
      <c r="AA522">
        <v>0.98994329999999997</v>
      </c>
      <c r="AB522">
        <v>24</v>
      </c>
      <c r="AC522">
        <v>0.56270000000000597</v>
      </c>
      <c r="AD522">
        <v>-0.17399489999999901</v>
      </c>
      <c r="AE522">
        <v>-0.107000000000027</v>
      </c>
      <c r="AF522">
        <v>9.5236237636947996E-2</v>
      </c>
      <c r="AG522">
        <v>-0.17399489999999901</v>
      </c>
      <c r="AH522">
        <v>0.51567299641671505</v>
      </c>
      <c r="AI522">
        <v>108.355955026263</v>
      </c>
      <c r="AJ522">
        <v>79.536322898706203</v>
      </c>
      <c r="AK522">
        <v>0.55250593247371105</v>
      </c>
      <c r="AL522">
        <v>82.211981247450495</v>
      </c>
      <c r="AM522">
        <v>87.505099209876903</v>
      </c>
      <c r="AN522">
        <v>1.0000000590988201</v>
      </c>
    </row>
    <row r="523" spans="1:40" x14ac:dyDescent="0.25">
      <c r="A523" t="str">
        <f>"20190303170236922"</f>
        <v>20190303170236922</v>
      </c>
      <c r="B523" t="str">
        <f>"1551603756916861"</f>
        <v>1551603756916861</v>
      </c>
      <c r="C523" t="s">
        <v>40</v>
      </c>
      <c r="D523">
        <v>4.4096409999999997</v>
      </c>
      <c r="E523">
        <v>0.5465565</v>
      </c>
      <c r="F523" t="s">
        <v>43</v>
      </c>
      <c r="G523">
        <v>-382.55489999999998</v>
      </c>
      <c r="H523">
        <v>0.93320740000000002</v>
      </c>
      <c r="I523">
        <v>367.60390000000001</v>
      </c>
      <c r="J523">
        <v>-383.14949999999999</v>
      </c>
      <c r="K523">
        <v>1.121532</v>
      </c>
      <c r="L523">
        <v>367.71949999999998</v>
      </c>
      <c r="M523">
        <v>0.99990179999999995</v>
      </c>
      <c r="N523">
        <v>-1.30306E-2</v>
      </c>
      <c r="O523">
        <v>-5.1778179999999998E-3</v>
      </c>
      <c r="P523">
        <v>0.99128910000000003</v>
      </c>
      <c r="Q523">
        <v>0.122699</v>
      </c>
      <c r="R523">
        <v>-4.7862960000000003E-2</v>
      </c>
      <c r="S523">
        <v>3.0971069999999998</v>
      </c>
      <c r="T523">
        <v>-0.75878800000000002</v>
      </c>
      <c r="U523">
        <v>-0.46929929999999997</v>
      </c>
      <c r="V523">
        <v>4.2702850000000001E-2</v>
      </c>
      <c r="W523">
        <v>0.13561709999999999</v>
      </c>
      <c r="X523">
        <v>0.98984059999999996</v>
      </c>
      <c r="Y523">
        <v>0.14054029999999901</v>
      </c>
      <c r="Z523">
        <v>-1.663075E-2</v>
      </c>
      <c r="AA523">
        <v>0.98993529999999996</v>
      </c>
      <c r="AB523">
        <v>24</v>
      </c>
      <c r="AC523">
        <v>0.59460000000001401</v>
      </c>
      <c r="AD523">
        <v>-0.18832459999999901</v>
      </c>
      <c r="AE523">
        <v>-0.115599999999972</v>
      </c>
      <c r="AF523">
        <v>0.10260185397600501</v>
      </c>
      <c r="AG523">
        <v>-0.18832459999999901</v>
      </c>
      <c r="AH523">
        <v>0.54272979457930703</v>
      </c>
      <c r="AI523">
        <v>108.82711282416599</v>
      </c>
      <c r="AJ523">
        <v>79.294700253290898</v>
      </c>
      <c r="AK523">
        <v>0.58356569923922996</v>
      </c>
      <c r="AL523">
        <v>82.205694487632798</v>
      </c>
      <c r="AM523">
        <v>87.529726627711895</v>
      </c>
      <c r="AN523">
        <v>0.99999997230944504</v>
      </c>
    </row>
    <row r="524" spans="1:40" x14ac:dyDescent="0.25">
      <c r="A524" t="str">
        <f>"20190303170236935"</f>
        <v>20190303170236935</v>
      </c>
      <c r="B524" t="str">
        <f>"1551603756926620"</f>
        <v>1551603756926620</v>
      </c>
      <c r="C524" t="s">
        <v>40</v>
      </c>
      <c r="D524">
        <v>4.3996199999999996</v>
      </c>
      <c r="E524">
        <v>0.54655769999999904</v>
      </c>
      <c r="F524" t="s">
        <v>43</v>
      </c>
      <c r="G524">
        <v>-382.3458</v>
      </c>
      <c r="H524">
        <v>0.92501140000000004</v>
      </c>
      <c r="I524">
        <v>367.59780000000001</v>
      </c>
      <c r="J524">
        <v>-383.01350000000002</v>
      </c>
      <c r="K524">
        <v>1.121524</v>
      </c>
      <c r="L524">
        <v>367.71879999999999</v>
      </c>
      <c r="M524">
        <v>0.99990400000000002</v>
      </c>
      <c r="N524">
        <v>-1.289413E-2</v>
      </c>
      <c r="O524">
        <v>-5.0949419999999999E-3</v>
      </c>
      <c r="P524">
        <v>0.99126020000000004</v>
      </c>
      <c r="Q524">
        <v>0.1230248</v>
      </c>
      <c r="R524">
        <v>-4.7629329999999998E-2</v>
      </c>
      <c r="S524">
        <v>3.097534</v>
      </c>
      <c r="T524">
        <v>-0.75754259999999995</v>
      </c>
      <c r="U524">
        <v>-0.46768189999999998</v>
      </c>
      <c r="V524">
        <v>4.2551369999999998E-2</v>
      </c>
      <c r="W524">
        <v>0.13580739999999999</v>
      </c>
      <c r="X524">
        <v>0.98982110000000001</v>
      </c>
      <c r="Y524">
        <v>0.14012359999999999</v>
      </c>
      <c r="Z524">
        <v>-1.6559890000000001E-2</v>
      </c>
      <c r="AA524">
        <v>0.98999550000000003</v>
      </c>
      <c r="AB524">
        <v>24</v>
      </c>
      <c r="AC524">
        <v>0.66770000000002405</v>
      </c>
      <c r="AD524">
        <v>-0.19651260000000001</v>
      </c>
      <c r="AE524">
        <v>-0.12099999999998</v>
      </c>
      <c r="AF524">
        <v>0.108497062078695</v>
      </c>
      <c r="AG524">
        <v>-0.19651260000000001</v>
      </c>
      <c r="AH524">
        <v>0.61659651677343597</v>
      </c>
      <c r="AI524">
        <v>107.426191643454</v>
      </c>
      <c r="AJ524">
        <v>80.020327093459102</v>
      </c>
      <c r="AK524">
        <v>0.65618600940251903</v>
      </c>
      <c r="AL524">
        <v>82.194689811239002</v>
      </c>
      <c r="AM524">
        <v>87.538430207708103</v>
      </c>
      <c r="AN524">
        <v>1.00000003949442</v>
      </c>
    </row>
    <row r="525" spans="1:40" x14ac:dyDescent="0.25">
      <c r="A525" t="str">
        <f>"20190303170236947"</f>
        <v>20190303170236947</v>
      </c>
      <c r="B525" t="str">
        <f>"1551603756936380"</f>
        <v>1551603756936380</v>
      </c>
      <c r="C525" t="s">
        <v>40</v>
      </c>
      <c r="D525">
        <v>4.401192</v>
      </c>
      <c r="E525">
        <v>0.54655739999999997</v>
      </c>
      <c r="F525" t="s">
        <v>43</v>
      </c>
      <c r="G525">
        <v>-382.13979999999998</v>
      </c>
      <c r="H525">
        <v>0.90815460000000003</v>
      </c>
      <c r="I525">
        <v>367.5872</v>
      </c>
      <c r="J525">
        <v>-382.88499999999999</v>
      </c>
      <c r="K525">
        <v>1.121515</v>
      </c>
      <c r="L525">
        <v>367.7183</v>
      </c>
      <c r="M525">
        <v>0.99990590000000001</v>
      </c>
      <c r="N525">
        <v>-1.277386E-2</v>
      </c>
      <c r="O525">
        <v>-5.0177720000000002E-3</v>
      </c>
      <c r="P525">
        <v>0.9912453</v>
      </c>
      <c r="Q525">
        <v>0.1232774</v>
      </c>
      <c r="R525">
        <v>-4.728036E-2</v>
      </c>
      <c r="S525">
        <v>3.0979000000000001</v>
      </c>
      <c r="T525">
        <v>-0.75645660000000003</v>
      </c>
      <c r="U525">
        <v>-0.46688839999999998</v>
      </c>
      <c r="V525">
        <v>4.2278990000000002E-2</v>
      </c>
      <c r="W525">
        <v>0.13594059999999999</v>
      </c>
      <c r="X525">
        <v>0.98981450000000004</v>
      </c>
      <c r="Y525">
        <v>0.1399522</v>
      </c>
      <c r="Z525">
        <v>-1.6523320000000001E-2</v>
      </c>
      <c r="AA525">
        <v>0.99002040000000002</v>
      </c>
      <c r="AB525">
        <v>24</v>
      </c>
      <c r="AC525">
        <v>0.74520000000001096</v>
      </c>
      <c r="AD525">
        <v>-0.21336039999999901</v>
      </c>
      <c r="AE525">
        <v>-0.13110000000000299</v>
      </c>
      <c r="AF525">
        <v>0.117977890286252</v>
      </c>
      <c r="AG525">
        <v>-0.21336039999999901</v>
      </c>
      <c r="AH525">
        <v>0.69091128390943202</v>
      </c>
      <c r="AI525">
        <v>106.93046472497601</v>
      </c>
      <c r="AJ525">
        <v>80.309809180520702</v>
      </c>
      <c r="AK525">
        <v>0.73266625766301996</v>
      </c>
      <c r="AL525">
        <v>82.186986673706201</v>
      </c>
      <c r="AM525">
        <v>87.554151732635404</v>
      </c>
      <c r="AN525">
        <v>1.00000005206701</v>
      </c>
    </row>
    <row r="526" spans="1:40" x14ac:dyDescent="0.25">
      <c r="A526" t="str">
        <f>"20190303170236967"</f>
        <v>20190303170236967</v>
      </c>
      <c r="B526" t="str">
        <f>"1551603756955900"</f>
        <v>1551603756955900</v>
      </c>
      <c r="C526" t="s">
        <v>40</v>
      </c>
      <c r="D526">
        <v>4.4149240000000001</v>
      </c>
      <c r="E526">
        <v>0.54654879999999995</v>
      </c>
      <c r="F526" t="s">
        <v>43</v>
      </c>
      <c r="G526">
        <v>-382.12740000000002</v>
      </c>
      <c r="H526">
        <v>0.93678139999999999</v>
      </c>
      <c r="I526">
        <v>367.60449999999997</v>
      </c>
      <c r="J526">
        <v>-382.68169999999998</v>
      </c>
      <c r="K526">
        <v>1.1214980000000001</v>
      </c>
      <c r="L526">
        <v>367.7174</v>
      </c>
      <c r="M526">
        <v>0.99990889999999999</v>
      </c>
      <c r="N526">
        <v>-1.258927E-2</v>
      </c>
      <c r="O526">
        <v>-4.8959829999999996E-3</v>
      </c>
      <c r="P526">
        <v>0.99118289999999998</v>
      </c>
      <c r="Q526">
        <v>0.12394040000000001</v>
      </c>
      <c r="R526">
        <v>-4.6858209999999997E-2</v>
      </c>
      <c r="S526">
        <v>3.098236</v>
      </c>
      <c r="T526">
        <v>-0.75546820000000003</v>
      </c>
      <c r="U526">
        <v>-0.46600340000000001</v>
      </c>
      <c r="V526">
        <v>4.197758E-2</v>
      </c>
      <c r="W526">
        <v>0.1364196</v>
      </c>
      <c r="X526">
        <v>0.98976140000000001</v>
      </c>
      <c r="Y526">
        <v>0.13979629999999901</v>
      </c>
      <c r="Z526">
        <v>-1.649608E-2</v>
      </c>
      <c r="AA526">
        <v>0.99004289999999995</v>
      </c>
      <c r="AB526">
        <v>24</v>
      </c>
      <c r="AC526">
        <v>0.55429999999995505</v>
      </c>
      <c r="AD526">
        <v>-0.18471659999999901</v>
      </c>
      <c r="AE526">
        <v>-0.112900000000024</v>
      </c>
      <c r="AF526">
        <v>9.9567920625400194E-2</v>
      </c>
      <c r="AG526">
        <v>-0.18471659999999901</v>
      </c>
      <c r="AH526">
        <v>0.50138480089241699</v>
      </c>
      <c r="AI526">
        <v>109.867648847361</v>
      </c>
      <c r="AJ526">
        <v>78.767997843846203</v>
      </c>
      <c r="AK526">
        <v>0.54352618308518996</v>
      </c>
      <c r="AL526">
        <v>82.159283720253697</v>
      </c>
      <c r="AM526">
        <v>87.571437285833099</v>
      </c>
      <c r="AN526">
        <v>1.00000002670838</v>
      </c>
    </row>
    <row r="527" spans="1:40" x14ac:dyDescent="0.25">
      <c r="A527" t="str">
        <f>"20190303170236980"</f>
        <v>20190303170236980</v>
      </c>
      <c r="B527" t="str">
        <f>"1551603756965660"</f>
        <v>1551603756965660</v>
      </c>
      <c r="C527" t="s">
        <v>40</v>
      </c>
      <c r="D527">
        <v>4.4006080000000001</v>
      </c>
      <c r="E527">
        <v>0.54654799999999903</v>
      </c>
      <c r="F527" t="s">
        <v>43</v>
      </c>
      <c r="G527">
        <v>-381.91500000000002</v>
      </c>
      <c r="H527">
        <v>0.93518299999999999</v>
      </c>
      <c r="I527">
        <v>367.60219999999998</v>
      </c>
      <c r="J527">
        <v>-382.5333</v>
      </c>
      <c r="K527">
        <v>1.12148799999999</v>
      </c>
      <c r="L527">
        <v>367.71679999999998</v>
      </c>
      <c r="M527">
        <v>0.99991099999999999</v>
      </c>
      <c r="N527">
        <v>-1.245625E-2</v>
      </c>
      <c r="O527">
        <v>-4.8069509999999899E-3</v>
      </c>
      <c r="P527">
        <v>0.9911605</v>
      </c>
      <c r="Q527">
        <v>0.1242993</v>
      </c>
      <c r="R527">
        <v>-4.6380360000000002E-2</v>
      </c>
      <c r="S527">
        <v>3.098846</v>
      </c>
      <c r="T527">
        <v>-0.75315669999999901</v>
      </c>
      <c r="U527">
        <v>-0.4649353</v>
      </c>
      <c r="V527">
        <v>4.1587989999999998E-2</v>
      </c>
      <c r="W527">
        <v>0.13664689999999999</v>
      </c>
      <c r="X527">
        <v>0.98974649999999997</v>
      </c>
      <c r="Y527">
        <v>0.1395547</v>
      </c>
      <c r="Z527">
        <v>-1.6426880000000001E-2</v>
      </c>
      <c r="AA527">
        <v>0.99007809999999896</v>
      </c>
      <c r="AB527">
        <v>24</v>
      </c>
      <c r="AC527">
        <v>0.61829999999997598</v>
      </c>
      <c r="AD527">
        <v>-0.186304999999999</v>
      </c>
      <c r="AE527">
        <v>-0.114599999999995</v>
      </c>
      <c r="AF527">
        <v>0.102618726889289</v>
      </c>
      <c r="AG527">
        <v>-0.186304999999999</v>
      </c>
      <c r="AH527">
        <v>0.56890675295678494</v>
      </c>
      <c r="AI527">
        <v>107.862991242714</v>
      </c>
      <c r="AJ527">
        <v>79.775004231067697</v>
      </c>
      <c r="AK527">
        <v>0.60736731035939895</v>
      </c>
      <c r="AL527">
        <v>82.146137347233207</v>
      </c>
      <c r="AM527">
        <v>87.593913758167105</v>
      </c>
      <c r="AN527">
        <v>1.00000003522704</v>
      </c>
    </row>
    <row r="528" spans="1:40" x14ac:dyDescent="0.25">
      <c r="A528" t="str">
        <f>"20190303170236994"</f>
        <v>20190303170236994</v>
      </c>
      <c r="B528" t="str">
        <f>"1551603756986620"</f>
        <v>1551603756986620</v>
      </c>
      <c r="C528" t="s">
        <v>40</v>
      </c>
      <c r="D528">
        <v>4.4258449999999998</v>
      </c>
      <c r="E528">
        <v>0.54653289999999999</v>
      </c>
      <c r="F528" t="s">
        <v>43</v>
      </c>
      <c r="G528">
        <v>-381.7079</v>
      </c>
      <c r="H528">
        <v>0.92122979999999999</v>
      </c>
      <c r="I528">
        <v>367.59309999999999</v>
      </c>
      <c r="J528">
        <v>-382.37830000000002</v>
      </c>
      <c r="K528">
        <v>1.121475</v>
      </c>
      <c r="L528">
        <v>367.71609999999998</v>
      </c>
      <c r="M528">
        <v>0.9999131</v>
      </c>
      <c r="N528">
        <v>-1.2315609999999999E-2</v>
      </c>
      <c r="O528">
        <v>-4.7134739999999996E-3</v>
      </c>
      <c r="P528">
        <v>0.99114270000000004</v>
      </c>
      <c r="Q528">
        <v>0.1246067</v>
      </c>
      <c r="R528">
        <v>-4.5926849999999998E-2</v>
      </c>
      <c r="S528">
        <v>3.0993040000000001</v>
      </c>
      <c r="T528">
        <v>-0.752021099999999</v>
      </c>
      <c r="U528">
        <v>-0.46417239999999999</v>
      </c>
      <c r="V528">
        <v>4.122733E-2</v>
      </c>
      <c r="W528">
        <v>0.13681460000000001</v>
      </c>
      <c r="X528">
        <v>0.98973840000000002</v>
      </c>
      <c r="Y528">
        <v>0.13940469999999999</v>
      </c>
      <c r="Z528">
        <v>-1.6393850000000001E-2</v>
      </c>
      <c r="AA528">
        <v>0.99009979999999997</v>
      </c>
      <c r="AB528">
        <v>24</v>
      </c>
      <c r="AC528">
        <v>0.67040000000002897</v>
      </c>
      <c r="AD528">
        <v>-0.20024519999999901</v>
      </c>
      <c r="AE528">
        <v>-0.12299999999999001</v>
      </c>
      <c r="AF528">
        <v>0.11031668653625</v>
      </c>
      <c r="AG528">
        <v>-0.20024519999999901</v>
      </c>
      <c r="AH528">
        <v>0.61766008831439201</v>
      </c>
      <c r="AI528">
        <v>107.700446189662</v>
      </c>
      <c r="AJ528">
        <v>79.873508661499201</v>
      </c>
      <c r="AK528">
        <v>0.65861361673436403</v>
      </c>
      <c r="AL528">
        <v>82.136437580939301</v>
      </c>
      <c r="AM528">
        <v>87.614736152276905</v>
      </c>
      <c r="AN528">
        <v>1.0000000139733201</v>
      </c>
    </row>
    <row r="529" spans="1:40" x14ac:dyDescent="0.25">
      <c r="A529" t="str">
        <f>"20190303170237011"</f>
        <v>20190303170237011</v>
      </c>
      <c r="B529" t="str">
        <f>"1551603757006140"</f>
        <v>1551603757006140</v>
      </c>
      <c r="C529" t="s">
        <v>40</v>
      </c>
      <c r="D529">
        <v>4.3916320000000004</v>
      </c>
      <c r="E529">
        <v>0.54654519999999995</v>
      </c>
      <c r="F529" t="s">
        <v>43</v>
      </c>
      <c r="G529">
        <v>-381.69229999999999</v>
      </c>
      <c r="H529">
        <v>0.95533230000000002</v>
      </c>
      <c r="I529">
        <v>367.61360000000002</v>
      </c>
      <c r="J529">
        <v>-382.1961</v>
      </c>
      <c r="K529">
        <v>1.1214599999999999</v>
      </c>
      <c r="L529">
        <v>367.71539999999999</v>
      </c>
      <c r="M529">
        <v>0.99991569999999996</v>
      </c>
      <c r="N529">
        <v>-1.214177E-2</v>
      </c>
      <c r="O529">
        <v>-4.6031199999999996E-3</v>
      </c>
      <c r="P529">
        <v>0.99113739999999995</v>
      </c>
      <c r="Q529">
        <v>0.1248618</v>
      </c>
      <c r="R529">
        <v>-4.5345290000000003E-2</v>
      </c>
      <c r="S529">
        <v>3.0997919999999999</v>
      </c>
      <c r="T529">
        <v>-0.75085400000000002</v>
      </c>
      <c r="U529">
        <v>-0.4628601</v>
      </c>
      <c r="V529">
        <v>4.0755E-2</v>
      </c>
      <c r="W529">
        <v>0.1368972</v>
      </c>
      <c r="X529">
        <v>0.98974649999999997</v>
      </c>
      <c r="Y529">
        <v>0.13910339999999999</v>
      </c>
      <c r="Z529">
        <v>-1.6342639999999999E-2</v>
      </c>
      <c r="AA529">
        <v>0.990143</v>
      </c>
      <c r="AB529">
        <v>24</v>
      </c>
      <c r="AC529">
        <v>0.50380000000001202</v>
      </c>
      <c r="AD529">
        <v>-0.16612769999999999</v>
      </c>
      <c r="AE529">
        <v>-0.101799999999968</v>
      </c>
      <c r="AF529">
        <v>9.0070148388295398E-2</v>
      </c>
      <c r="AG529">
        <v>-0.16612769999999999</v>
      </c>
      <c r="AH529">
        <v>0.45656621780331902</v>
      </c>
      <c r="AI529">
        <v>109.645702229764</v>
      </c>
      <c r="AJ529">
        <v>78.840145293434702</v>
      </c>
      <c r="AK529">
        <v>0.49412929034535802</v>
      </c>
      <c r="AL529">
        <v>82.131659679289598</v>
      </c>
      <c r="AM529">
        <v>87.642051705610001</v>
      </c>
      <c r="AN529">
        <v>0.99999997382754402</v>
      </c>
    </row>
    <row r="530" spans="1:40" x14ac:dyDescent="0.25">
      <c r="A530" t="str">
        <f>"20190303170237026"</f>
        <v>20190303170237026</v>
      </c>
      <c r="B530" t="str">
        <f>"1551603757016877"</f>
        <v>1551603757016877</v>
      </c>
      <c r="C530" t="s">
        <v>40</v>
      </c>
      <c r="D530">
        <v>4.4218039999999998</v>
      </c>
      <c r="E530">
        <v>0.54653980000000002</v>
      </c>
      <c r="F530" t="s">
        <v>43</v>
      </c>
      <c r="G530">
        <v>-381.48169999999999</v>
      </c>
      <c r="H530">
        <v>0.9486947</v>
      </c>
      <c r="I530">
        <v>367.60860000000002</v>
      </c>
      <c r="J530">
        <v>-382.0444</v>
      </c>
      <c r="K530">
        <v>1.1214409999999999</v>
      </c>
      <c r="L530">
        <v>367.71480000000003</v>
      </c>
      <c r="M530">
        <v>0.99991799999999997</v>
      </c>
      <c r="N530">
        <v>-1.198858E-2</v>
      </c>
      <c r="O530">
        <v>-4.5106679999999998E-3</v>
      </c>
      <c r="P530">
        <v>0.9911527</v>
      </c>
      <c r="Q530">
        <v>0.1248431</v>
      </c>
      <c r="R530">
        <v>-4.5064359999999998E-2</v>
      </c>
      <c r="S530">
        <v>3.1001590000000001</v>
      </c>
      <c r="T530">
        <v>-0.7498283</v>
      </c>
      <c r="U530">
        <v>-0.46163939999999998</v>
      </c>
      <c r="V530">
        <v>4.0565810000000001E-2</v>
      </c>
      <c r="W530">
        <v>0.13672719999999999</v>
      </c>
      <c r="X530">
        <v>0.98977780000000004</v>
      </c>
      <c r="Y530">
        <v>0.13881650000000001</v>
      </c>
      <c r="Z530">
        <v>-1.6294260000000001E-2</v>
      </c>
      <c r="AA530">
        <v>0.99018410000000001</v>
      </c>
      <c r="AB530">
        <v>24</v>
      </c>
      <c r="AC530">
        <v>0.56270000000000597</v>
      </c>
      <c r="AD530">
        <v>-0.17274629999999899</v>
      </c>
      <c r="AE530">
        <v>-0.106200000000001</v>
      </c>
      <c r="AF530">
        <v>9.5013886333759401E-2</v>
      </c>
      <c r="AG530">
        <v>-0.17274629999999899</v>
      </c>
      <c r="AH530">
        <v>0.51619705114891301</v>
      </c>
      <c r="AI530">
        <v>108.217562011016</v>
      </c>
      <c r="AJ530">
        <v>79.570581076986002</v>
      </c>
      <c r="AK530">
        <v>0.55256521639962797</v>
      </c>
      <c r="AL530">
        <v>82.141492648162597</v>
      </c>
      <c r="AM530">
        <v>87.653059475871501</v>
      </c>
      <c r="AN530">
        <v>1.0000000027668099</v>
      </c>
    </row>
    <row r="531" spans="1:40" x14ac:dyDescent="0.25">
      <c r="A531" t="str">
        <f>"20190303170237041"</f>
        <v>20190303170237041</v>
      </c>
      <c r="B531" t="str">
        <f>"1551603757026637"</f>
        <v>1551603757026637</v>
      </c>
      <c r="C531" t="s">
        <v>40</v>
      </c>
      <c r="D531">
        <v>4.3979359999999996</v>
      </c>
      <c r="E531">
        <v>0.54653300000000005</v>
      </c>
      <c r="F531" t="s">
        <v>43</v>
      </c>
      <c r="G531">
        <v>-381.27390000000003</v>
      </c>
      <c r="H531">
        <v>0.93511840000000002</v>
      </c>
      <c r="I531">
        <v>367.60019999999997</v>
      </c>
      <c r="J531">
        <v>-381.88490000000002</v>
      </c>
      <c r="K531">
        <v>1.121418</v>
      </c>
      <c r="L531">
        <v>367.71420000000001</v>
      </c>
      <c r="M531">
        <v>0.99992049999999999</v>
      </c>
      <c r="N531">
        <v>-1.1821180000000001E-2</v>
      </c>
      <c r="O531">
        <v>-4.4129E-3</v>
      </c>
      <c r="P531">
        <v>0.99116369999999998</v>
      </c>
      <c r="Q531">
        <v>0.1248239</v>
      </c>
      <c r="R531">
        <v>-4.487621E-2</v>
      </c>
      <c r="S531">
        <v>3.1002809999999998</v>
      </c>
      <c r="T531">
        <v>-0.74976719999999997</v>
      </c>
      <c r="U531">
        <v>-0.46084589999999998</v>
      </c>
      <c r="V531">
        <v>4.047456E-2</v>
      </c>
      <c r="W531">
        <v>0.13654249999999901</v>
      </c>
      <c r="X531">
        <v>0.98980699999999999</v>
      </c>
      <c r="Y531">
        <v>0.13866539999999999</v>
      </c>
      <c r="Z531">
        <v>-1.6283329999999999E-2</v>
      </c>
      <c r="AA531">
        <v>0.99020540000000001</v>
      </c>
      <c r="AB531">
        <v>24</v>
      </c>
      <c r="AC531">
        <v>0.61099999999999</v>
      </c>
      <c r="AD531">
        <v>-0.18629959999999901</v>
      </c>
      <c r="AE531">
        <v>-0.11400000000003201</v>
      </c>
      <c r="AF531">
        <v>0.102127103618163</v>
      </c>
      <c r="AG531">
        <v>-0.18629959999999901</v>
      </c>
      <c r="AH531">
        <v>0.56108783144049601</v>
      </c>
      <c r="AI531">
        <v>108.090441967095</v>
      </c>
      <c r="AJ531">
        <v>79.684168533341307</v>
      </c>
      <c r="AK531">
        <v>0.59996419963544001</v>
      </c>
      <c r="AL531">
        <v>82.152175114109497</v>
      </c>
      <c r="AM531">
        <v>87.658401877664303</v>
      </c>
      <c r="AN531">
        <v>0.99999997078122105</v>
      </c>
    </row>
    <row r="532" spans="1:40" x14ac:dyDescent="0.25">
      <c r="A532" t="str">
        <f>"20190303170237055"</f>
        <v>20190303170237055</v>
      </c>
      <c r="B532" t="str">
        <f>"1551603757046157"</f>
        <v>1551603757046157</v>
      </c>
      <c r="C532" t="s">
        <v>40</v>
      </c>
      <c r="D532">
        <v>4.4121739999999896</v>
      </c>
      <c r="E532">
        <v>0.54654309999999995</v>
      </c>
      <c r="F532" t="s">
        <v>43</v>
      </c>
      <c r="G532">
        <v>-381.06490000000002</v>
      </c>
      <c r="H532">
        <v>0.92311639999999995</v>
      </c>
      <c r="I532">
        <v>367.59210000000002</v>
      </c>
      <c r="J532">
        <v>-381.72949999999997</v>
      </c>
      <c r="K532">
        <v>1.1213919999999999</v>
      </c>
      <c r="L532">
        <v>367.71370000000002</v>
      </c>
      <c r="M532">
        <v>0.99992289999999995</v>
      </c>
      <c r="N532">
        <v>-1.1652350000000001E-2</v>
      </c>
      <c r="O532">
        <v>-4.3172829999999999E-3</v>
      </c>
      <c r="P532">
        <v>0.99118019999999996</v>
      </c>
      <c r="Q532">
        <v>0.12466049999999999</v>
      </c>
      <c r="R532">
        <v>-4.4966970000000002E-2</v>
      </c>
      <c r="S532">
        <v>3.1003419999999999</v>
      </c>
      <c r="T532">
        <v>-0.74983080000000002</v>
      </c>
      <c r="U532">
        <v>-0.46026610000000001</v>
      </c>
      <c r="V532">
        <v>4.0660259999999997E-2</v>
      </c>
      <c r="W532">
        <v>0.13621179999999999</v>
      </c>
      <c r="X532">
        <v>0.98984499999999997</v>
      </c>
      <c r="Y532">
        <v>0.13857849999999999</v>
      </c>
      <c r="Z532">
        <v>-1.6282580000000001E-2</v>
      </c>
      <c r="AA532">
        <v>0.99021760000000003</v>
      </c>
      <c r="AB532">
        <v>24</v>
      </c>
      <c r="AC532">
        <v>0.66459999999995001</v>
      </c>
      <c r="AD532">
        <v>-0.198275599999999</v>
      </c>
      <c r="AE532">
        <v>-0.1216</v>
      </c>
      <c r="AF532">
        <v>0.10931492213104201</v>
      </c>
      <c r="AG532">
        <v>-0.198275599999999</v>
      </c>
      <c r="AH532">
        <v>0.61237914735018695</v>
      </c>
      <c r="AI532">
        <v>107.679191596804</v>
      </c>
      <c r="AJ532">
        <v>79.8788189586068</v>
      </c>
      <c r="AK532">
        <v>0.65289446763257097</v>
      </c>
      <c r="AL532">
        <v>82.171301896247101</v>
      </c>
      <c r="AM532">
        <v>87.647760713378005</v>
      </c>
      <c r="AN532">
        <v>1.00000001761375</v>
      </c>
    </row>
    <row r="533" spans="1:40" x14ac:dyDescent="0.25">
      <c r="A533" t="str">
        <f>"20190303170237069"</f>
        <v>20190303170237069</v>
      </c>
      <c r="B533" t="str">
        <f>"1551603757056893"</f>
        <v>1551603757056893</v>
      </c>
      <c r="C533" t="s">
        <v>40</v>
      </c>
      <c r="D533">
        <v>4.4302190000000001</v>
      </c>
      <c r="E533">
        <v>0.54654499999999995</v>
      </c>
      <c r="F533" t="s">
        <v>43</v>
      </c>
      <c r="G533">
        <v>-380.85550000000001</v>
      </c>
      <c r="H533">
        <v>0.90983890000000001</v>
      </c>
      <c r="I533">
        <v>367.58339999999998</v>
      </c>
      <c r="J533">
        <v>-381.5779</v>
      </c>
      <c r="K533">
        <v>1.121372</v>
      </c>
      <c r="L533">
        <v>367.7131</v>
      </c>
      <c r="M533">
        <v>0.99992519999999996</v>
      </c>
      <c r="N533">
        <v>-1.1484619999999999E-2</v>
      </c>
      <c r="O533">
        <v>-4.2239479999999999E-3</v>
      </c>
      <c r="P533">
        <v>0.99117330000000003</v>
      </c>
      <c r="Q533">
        <v>0.12474</v>
      </c>
      <c r="R533">
        <v>-4.4898779999999999E-2</v>
      </c>
      <c r="S533">
        <v>3.1001280000000002</v>
      </c>
      <c r="T533">
        <v>-0.75039140000000004</v>
      </c>
      <c r="U533">
        <v>-0.46154790000000001</v>
      </c>
      <c r="V533">
        <v>4.0684480000000002E-2</v>
      </c>
      <c r="W533">
        <v>0.13612539999999901</v>
      </c>
      <c r="X533">
        <v>0.98985590000000001</v>
      </c>
      <c r="Y533">
        <v>0.13906170000000001</v>
      </c>
      <c r="Z533">
        <v>-1.6363079999999999E-2</v>
      </c>
      <c r="AA533">
        <v>0.99014849999999999</v>
      </c>
      <c r="AB533">
        <v>24</v>
      </c>
      <c r="AC533">
        <v>0.72239999999999305</v>
      </c>
      <c r="AD533">
        <v>-0.211533099999999</v>
      </c>
      <c r="AE533">
        <v>-0.129700000000013</v>
      </c>
      <c r="AF533">
        <v>0.116934032481867</v>
      </c>
      <c r="AG533">
        <v>-0.211533099999999</v>
      </c>
      <c r="AH533">
        <v>0.66749534335012395</v>
      </c>
      <c r="AI533">
        <v>107.335862037911</v>
      </c>
      <c r="AJ533">
        <v>80.063564945169006</v>
      </c>
      <c r="AK533">
        <v>0.70990834178940398</v>
      </c>
      <c r="AL533">
        <v>82.176298868920696</v>
      </c>
      <c r="AM533">
        <v>87.646387024308396</v>
      </c>
      <c r="AN533">
        <v>1.00000002710141</v>
      </c>
    </row>
    <row r="534" spans="1:40" x14ac:dyDescent="0.25">
      <c r="A534" t="str">
        <f>"20190303170237084"</f>
        <v>20190303170237084</v>
      </c>
      <c r="B534" t="str">
        <f>"1551603757075945"</f>
        <v>1551603757075945</v>
      </c>
      <c r="C534" t="s">
        <v>40</v>
      </c>
      <c r="D534">
        <v>4.3942610000000002</v>
      </c>
      <c r="E534">
        <v>0.54655159999999903</v>
      </c>
      <c r="F534" t="s">
        <v>43</v>
      </c>
      <c r="G534">
        <v>-380.84100000000001</v>
      </c>
      <c r="H534">
        <v>0.94311250000000002</v>
      </c>
      <c r="I534">
        <v>367.60329999999999</v>
      </c>
      <c r="J534">
        <v>-381.42899999999997</v>
      </c>
      <c r="K534">
        <v>1.1213500000000001</v>
      </c>
      <c r="L534">
        <v>367.71260000000001</v>
      </c>
      <c r="M534">
        <v>0.99992729999999996</v>
      </c>
      <c r="N534">
        <v>-1.131969E-2</v>
      </c>
      <c r="O534">
        <v>-4.1318359999999998E-3</v>
      </c>
      <c r="P534">
        <v>0.99116090000000001</v>
      </c>
      <c r="Q534">
        <v>0.12479179999999999</v>
      </c>
      <c r="R534">
        <v>-4.5022310000000003E-2</v>
      </c>
      <c r="S534">
        <v>3.1002200000000002</v>
      </c>
      <c r="T534">
        <v>-0.74997380000000002</v>
      </c>
      <c r="U534">
        <v>-0.46130369999999998</v>
      </c>
      <c r="V534">
        <v>4.0899610000000003E-2</v>
      </c>
      <c r="W534">
        <v>0.13601340000000001</v>
      </c>
      <c r="X534">
        <v>0.98986240000000003</v>
      </c>
      <c r="Y534">
        <v>0.1390769</v>
      </c>
      <c r="Z534">
        <v>-1.6364650000000001E-2</v>
      </c>
      <c r="AA534">
        <v>0.99014630000000003</v>
      </c>
      <c r="AB534">
        <v>24</v>
      </c>
      <c r="AC534">
        <v>0.58800000000002195</v>
      </c>
      <c r="AD534">
        <v>-0.17823749999999999</v>
      </c>
      <c r="AE534">
        <v>-0.10930000000001799</v>
      </c>
      <c r="AF534">
        <v>9.8151937743973794E-2</v>
      </c>
      <c r="AG534">
        <v>-0.17823749999999999</v>
      </c>
      <c r="AH534">
        <v>0.54044638155723101</v>
      </c>
      <c r="AI534">
        <v>107.977671300525</v>
      </c>
      <c r="AJ534">
        <v>79.706549292654501</v>
      </c>
      <c r="AK534">
        <v>0.57748134223319403</v>
      </c>
      <c r="AL534">
        <v>82.182776003352899</v>
      </c>
      <c r="AM534">
        <v>87.633971296098807</v>
      </c>
      <c r="AN534">
        <v>0.99999999700573605</v>
      </c>
    </row>
    <row r="535" spans="1:40" x14ac:dyDescent="0.25">
      <c r="A535" t="str">
        <f>"20190303170237103"</f>
        <v>20190303170237103</v>
      </c>
      <c r="B535" t="str">
        <f>"1551603757096440"</f>
        <v>1551603757096440</v>
      </c>
      <c r="C535" t="s">
        <v>40</v>
      </c>
      <c r="D535">
        <v>4.4229629999999904</v>
      </c>
      <c r="E535">
        <v>0.54656490000000002</v>
      </c>
      <c r="F535" t="s">
        <v>43</v>
      </c>
      <c r="G535">
        <v>-380.63220000000001</v>
      </c>
      <c r="H535">
        <v>0.92869230000000003</v>
      </c>
      <c r="I535">
        <v>367.59339999999997</v>
      </c>
      <c r="J535">
        <v>-381.22570000000002</v>
      </c>
      <c r="K535">
        <v>1.1213200000000001</v>
      </c>
      <c r="L535">
        <v>367.71190000000001</v>
      </c>
      <c r="M535">
        <v>0.9999306</v>
      </c>
      <c r="N535">
        <v>-1.109487E-2</v>
      </c>
      <c r="O535">
        <v>-4.0066269999999996E-3</v>
      </c>
      <c r="P535">
        <v>0.99115249999999999</v>
      </c>
      <c r="Q535">
        <v>0.1248423</v>
      </c>
      <c r="R535">
        <v>-4.5074299999999998E-2</v>
      </c>
      <c r="S535">
        <v>3.1001280000000002</v>
      </c>
      <c r="T535">
        <v>-0.74968089999999998</v>
      </c>
      <c r="U535">
        <v>-0.46228029999999998</v>
      </c>
      <c r="V535">
        <v>4.1075639999999997E-2</v>
      </c>
      <c r="W535">
        <v>0.1358415</v>
      </c>
      <c r="X535">
        <v>0.9898787</v>
      </c>
      <c r="Y535">
        <v>0.1395015</v>
      </c>
      <c r="Z535">
        <v>-1.642306E-2</v>
      </c>
      <c r="AA535">
        <v>0.99008569999999996</v>
      </c>
      <c r="AB535">
        <v>24</v>
      </c>
      <c r="AC535">
        <v>0.59350000000000502</v>
      </c>
      <c r="AD535">
        <v>-0.19262770000000001</v>
      </c>
      <c r="AE535">
        <v>-0.11850000000004</v>
      </c>
      <c r="AF535">
        <v>0.10543969510304101</v>
      </c>
      <c r="AG535">
        <v>-0.19262770000000001</v>
      </c>
      <c r="AH535">
        <v>0.53933429219984697</v>
      </c>
      <c r="AI535">
        <v>109.31671515683</v>
      </c>
      <c r="AJ535">
        <v>78.9382114042224</v>
      </c>
      <c r="AK535">
        <v>0.58232674578231602</v>
      </c>
      <c r="AL535">
        <v>82.192717290603298</v>
      </c>
      <c r="AM535">
        <v>87.6238387505921</v>
      </c>
      <c r="AN535">
        <v>0.99999998101867404</v>
      </c>
    </row>
    <row r="536" spans="1:40" x14ac:dyDescent="0.25">
      <c r="A536" t="str">
        <f>"20190303170237123"</f>
        <v>20190303170237123</v>
      </c>
      <c r="B536" t="str">
        <f>"1551603757116937"</f>
        <v>1551603757116937</v>
      </c>
      <c r="C536" t="s">
        <v>40</v>
      </c>
      <c r="D536">
        <v>4.4109819999999997</v>
      </c>
      <c r="E536">
        <v>0.54657670000000003</v>
      </c>
      <c r="F536" t="s">
        <v>43</v>
      </c>
      <c r="G536">
        <v>-380.41759999999999</v>
      </c>
      <c r="H536">
        <v>0.92597770000000001</v>
      </c>
      <c r="I536">
        <v>367.59100000000001</v>
      </c>
      <c r="J536">
        <v>-380.99669999999998</v>
      </c>
      <c r="K536">
        <v>1.1212879999999901</v>
      </c>
      <c r="L536">
        <v>367.71109999999999</v>
      </c>
      <c r="M536">
        <v>0.99993379999999998</v>
      </c>
      <c r="N536">
        <v>-1.0842900000000001E-2</v>
      </c>
      <c r="O536">
        <v>-3.8660330000000001E-3</v>
      </c>
      <c r="P536">
        <v>0.99118910000000005</v>
      </c>
      <c r="Q536">
        <v>0.1246839</v>
      </c>
      <c r="R536">
        <v>-4.4700459999999997E-2</v>
      </c>
      <c r="S536">
        <v>3.1001590000000001</v>
      </c>
      <c r="T536">
        <v>-0.74948159999999997</v>
      </c>
      <c r="U536">
        <v>-0.4625244</v>
      </c>
      <c r="V536">
        <v>4.0840990000000001E-2</v>
      </c>
      <c r="W536">
        <v>0.1354342</v>
      </c>
      <c r="X536">
        <v>0.98994420000000005</v>
      </c>
      <c r="Y536">
        <v>0.13971229999999901</v>
      </c>
      <c r="Z536">
        <v>-1.645785E-2</v>
      </c>
      <c r="AA536">
        <v>0.99005540000000003</v>
      </c>
      <c r="AB536">
        <v>24</v>
      </c>
      <c r="AC536">
        <v>0.57909999999998196</v>
      </c>
      <c r="AD536">
        <v>-0.19531029999999899</v>
      </c>
      <c r="AE536">
        <v>-0.120099999999979</v>
      </c>
      <c r="AF536">
        <v>0.106270580323491</v>
      </c>
      <c r="AG536">
        <v>-0.19531029999999899</v>
      </c>
      <c r="AH536">
        <v>0.52256999453777198</v>
      </c>
      <c r="AI536">
        <v>110.115403994262</v>
      </c>
      <c r="AJ536">
        <v>78.504999689656998</v>
      </c>
      <c r="AK536">
        <v>0.56790751775230897</v>
      </c>
      <c r="AL536">
        <v>82.216271406319706</v>
      </c>
      <c r="AM536">
        <v>87.637553603795794</v>
      </c>
      <c r="AN536">
        <v>0.99999996405372904</v>
      </c>
    </row>
    <row r="537" spans="1:40" x14ac:dyDescent="0.25">
      <c r="A537" t="str">
        <f>"20190303170237136"</f>
        <v>20190303170237136</v>
      </c>
      <c r="B537" t="str">
        <f>"1551603757126697"</f>
        <v>1551603757126697</v>
      </c>
      <c r="C537" t="s">
        <v>40</v>
      </c>
      <c r="D537">
        <v>4.3903919999999896</v>
      </c>
      <c r="E537">
        <v>0.54659209999999903</v>
      </c>
      <c r="F537" t="s">
        <v>43</v>
      </c>
      <c r="G537">
        <v>-380.20010000000002</v>
      </c>
      <c r="H537">
        <v>0.92866349999999998</v>
      </c>
      <c r="I537">
        <v>367.59210000000002</v>
      </c>
      <c r="J537">
        <v>-380.8646</v>
      </c>
      <c r="K537">
        <v>1.1212690000000001</v>
      </c>
      <c r="L537">
        <v>367.7106</v>
      </c>
      <c r="M537">
        <v>0.99993569999999998</v>
      </c>
      <c r="N537">
        <v>-1.0698910000000001E-2</v>
      </c>
      <c r="O537">
        <v>-3.7850420000000002E-3</v>
      </c>
      <c r="P537">
        <v>0.99121809999999999</v>
      </c>
      <c r="Q537">
        <v>0.1245168</v>
      </c>
      <c r="R537">
        <v>-4.4524969999999997E-2</v>
      </c>
      <c r="S537">
        <v>3.1001280000000002</v>
      </c>
      <c r="T537">
        <v>-0.74967709999999999</v>
      </c>
      <c r="U537">
        <v>-0.46218870000000001</v>
      </c>
      <c r="V537">
        <v>4.0745509999999999E-2</v>
      </c>
      <c r="W537">
        <v>0.1351243</v>
      </c>
      <c r="X537">
        <v>0.9899905</v>
      </c>
      <c r="Y537">
        <v>0.13968800000000001</v>
      </c>
      <c r="Z537">
        <v>-1.646661E-2</v>
      </c>
      <c r="AA537">
        <v>0.99005869999999996</v>
      </c>
      <c r="AB537">
        <v>24</v>
      </c>
      <c r="AC537">
        <v>0.664499999999975</v>
      </c>
      <c r="AD537">
        <v>-0.19260550000000001</v>
      </c>
      <c r="AE537">
        <v>-0.11849999999998299</v>
      </c>
      <c r="AF537">
        <v>0.107251060001274</v>
      </c>
      <c r="AG537">
        <v>-0.19260550000000001</v>
      </c>
      <c r="AH537">
        <v>0.61487809277903205</v>
      </c>
      <c r="AI537">
        <v>107.14931998470701</v>
      </c>
      <c r="AJ537">
        <v>80.105637933357798</v>
      </c>
      <c r="AK537">
        <v>0.653203442643429</v>
      </c>
      <c r="AL537">
        <v>82.234192241748403</v>
      </c>
      <c r="AM537">
        <v>87.643180511859299</v>
      </c>
      <c r="AN537">
        <v>0.999999981562949</v>
      </c>
    </row>
    <row r="538" spans="1:40" x14ac:dyDescent="0.25">
      <c r="A538" t="str">
        <f>"20190303170237147"</f>
        <v>20190303170237147</v>
      </c>
      <c r="B538" t="str">
        <f>"1551603757136456"</f>
        <v>1551603757136456</v>
      </c>
      <c r="C538" t="s">
        <v>40</v>
      </c>
      <c r="D538">
        <v>4.419842</v>
      </c>
      <c r="E538">
        <v>0.54660399999999998</v>
      </c>
      <c r="F538" t="s">
        <v>43</v>
      </c>
      <c r="G538">
        <v>-379.99110000000002</v>
      </c>
      <c r="H538">
        <v>0.90989569999999997</v>
      </c>
      <c r="I538">
        <v>367.5804</v>
      </c>
      <c r="J538">
        <v>-380.73160000000001</v>
      </c>
      <c r="K538">
        <v>1.1212530000000001</v>
      </c>
      <c r="L538">
        <v>367.71019999999999</v>
      </c>
      <c r="M538">
        <v>0.99993739999999998</v>
      </c>
      <c r="N538">
        <v>-1.055934E-2</v>
      </c>
      <c r="O538">
        <v>-3.7032509999999999E-3</v>
      </c>
      <c r="P538">
        <v>0.99121219999999999</v>
      </c>
      <c r="Q538">
        <v>0.1245898</v>
      </c>
      <c r="R538">
        <v>-4.4450509999999999E-2</v>
      </c>
      <c r="S538">
        <v>3.1000670000000001</v>
      </c>
      <c r="T538">
        <v>-0.75011300000000003</v>
      </c>
      <c r="U538">
        <v>-0.46182250000000002</v>
      </c>
      <c r="V538">
        <v>4.0752009999999998E-2</v>
      </c>
      <c r="W538">
        <v>0.1350596</v>
      </c>
      <c r="X538">
        <v>0.98999910000000002</v>
      </c>
      <c r="Y538">
        <v>0.1396541</v>
      </c>
      <c r="Z538">
        <v>-1.6479779999999999E-2</v>
      </c>
      <c r="AA538">
        <v>0.99006320000000003</v>
      </c>
      <c r="AB538">
        <v>24</v>
      </c>
      <c r="AC538">
        <v>0.74049999999999705</v>
      </c>
      <c r="AD538">
        <v>-0.2113573</v>
      </c>
      <c r="AE538">
        <v>-0.12979999999998801</v>
      </c>
      <c r="AF538">
        <v>0.117749869553538</v>
      </c>
      <c r="AG538">
        <v>-0.2113573</v>
      </c>
      <c r="AH538">
        <v>0.68669959239780598</v>
      </c>
      <c r="AI538">
        <v>106.875680152131</v>
      </c>
      <c r="AJ538">
        <v>80.2699947424355</v>
      </c>
      <c r="AK538">
        <v>0.72807504437556303</v>
      </c>
      <c r="AL538">
        <v>82.237933875000195</v>
      </c>
      <c r="AM538">
        <v>87.642825413666401</v>
      </c>
      <c r="AN538">
        <v>1.000000019936</v>
      </c>
    </row>
    <row r="539" spans="1:40" x14ac:dyDescent="0.25">
      <c r="A539" t="str">
        <f>"20190303170237160"</f>
        <v>20190303170237160</v>
      </c>
      <c r="B539" t="str">
        <f>"1551603757146217"</f>
        <v>1551603757146217</v>
      </c>
      <c r="C539" t="s">
        <v>40</v>
      </c>
      <c r="D539">
        <v>4.3936549999999999</v>
      </c>
      <c r="E539">
        <v>0.54661119999999996</v>
      </c>
      <c r="F539" t="s">
        <v>43</v>
      </c>
      <c r="G539">
        <v>-379.9785</v>
      </c>
      <c r="H539">
        <v>0.93910150000000003</v>
      </c>
      <c r="I539">
        <v>367.59809999999999</v>
      </c>
      <c r="J539">
        <v>-380.59739999999999</v>
      </c>
      <c r="K539">
        <v>1.121237</v>
      </c>
      <c r="L539">
        <v>367.70979999999997</v>
      </c>
      <c r="M539">
        <v>0.99993920000000003</v>
      </c>
      <c r="N539">
        <v>-1.042122E-2</v>
      </c>
      <c r="O539">
        <v>-3.62124E-3</v>
      </c>
      <c r="P539">
        <v>0.99122569999999999</v>
      </c>
      <c r="Q539">
        <v>0.1245182</v>
      </c>
      <c r="R539">
        <v>-4.435004E-2</v>
      </c>
      <c r="S539">
        <v>3.1001280000000002</v>
      </c>
      <c r="T539">
        <v>-0.74987239999999999</v>
      </c>
      <c r="U539">
        <v>-0.46136470000000002</v>
      </c>
      <c r="V539">
        <v>4.0732770000000001E-2</v>
      </c>
      <c r="W539">
        <v>0.1348512</v>
      </c>
      <c r="X539">
        <v>0.99002829999999997</v>
      </c>
      <c r="Y539">
        <v>0.139594</v>
      </c>
      <c r="Z539">
        <v>-1.647556E-2</v>
      </c>
      <c r="AA539">
        <v>0.99007179999999995</v>
      </c>
      <c r="AB539">
        <v>24</v>
      </c>
      <c r="AC539">
        <v>0.61889999999999601</v>
      </c>
      <c r="AD539">
        <v>-0.18213550000000001</v>
      </c>
      <c r="AE539">
        <v>-0.11169999999998401</v>
      </c>
      <c r="AF539">
        <v>0.100987718950743</v>
      </c>
      <c r="AG539">
        <v>-0.18213550000000001</v>
      </c>
      <c r="AH539">
        <v>0.57137681081310998</v>
      </c>
      <c r="AI539">
        <v>107.427114195595</v>
      </c>
      <c r="AJ539">
        <v>79.976799910784294</v>
      </c>
      <c r="AK539">
        <v>0.60814744895796802</v>
      </c>
      <c r="AL539">
        <v>82.249984557341605</v>
      </c>
      <c r="AM539">
        <v>87.644006449499898</v>
      </c>
      <c r="AN539">
        <v>1.0000000197471</v>
      </c>
    </row>
    <row r="540" spans="1:40" x14ac:dyDescent="0.25">
      <c r="A540" t="str">
        <f>"20190303170237172"</f>
        <v>20190303170237172</v>
      </c>
      <c r="B540" t="str">
        <f>"1551603757165736"</f>
        <v>1551603757165736</v>
      </c>
      <c r="C540" t="s">
        <v>40</v>
      </c>
      <c r="D540">
        <v>4.3851699999999996</v>
      </c>
      <c r="E540">
        <v>0.54663189999999995</v>
      </c>
      <c r="F540" t="s">
        <v>43</v>
      </c>
      <c r="G540">
        <v>-379.76929999999999</v>
      </c>
      <c r="H540">
        <v>0.92084469999999996</v>
      </c>
      <c r="I540">
        <v>367.58629999999999</v>
      </c>
      <c r="J540">
        <v>-380.45249999999999</v>
      </c>
      <c r="K540">
        <v>1.121218</v>
      </c>
      <c r="L540">
        <v>367.70940000000002</v>
      </c>
      <c r="M540">
        <v>0.99994099999999997</v>
      </c>
      <c r="N540">
        <v>-1.027573E-2</v>
      </c>
      <c r="O540">
        <v>-3.5328859999999998E-3</v>
      </c>
      <c r="P540">
        <v>0.99117719999999998</v>
      </c>
      <c r="Q540">
        <v>0.1248769</v>
      </c>
      <c r="R540">
        <v>-4.4428330000000002E-2</v>
      </c>
      <c r="S540">
        <v>3.1001889999999999</v>
      </c>
      <c r="T540">
        <v>-0.75028509999999904</v>
      </c>
      <c r="U540">
        <v>-0.46096799999999999</v>
      </c>
      <c r="V540">
        <v>4.0898610000000002E-2</v>
      </c>
      <c r="W540">
        <v>0.1350652</v>
      </c>
      <c r="X540">
        <v>0.98999230000000005</v>
      </c>
      <c r="Y540">
        <v>0.13955200000000001</v>
      </c>
      <c r="Z540">
        <v>-1.6487789999999999E-2</v>
      </c>
      <c r="AA540">
        <v>0.9900774</v>
      </c>
      <c r="AB540">
        <v>24</v>
      </c>
      <c r="AC540">
        <v>0.68319999999999903</v>
      </c>
      <c r="AD540">
        <v>-0.2003733</v>
      </c>
      <c r="AE540">
        <v>-0.123100000000022</v>
      </c>
      <c r="AF540">
        <v>0.111404116944177</v>
      </c>
      <c r="AG540">
        <v>-0.2003733</v>
      </c>
      <c r="AH540">
        <v>0.63105600644383397</v>
      </c>
      <c r="AI540">
        <v>107.363711744349</v>
      </c>
      <c r="AJ540">
        <v>79.988384396083504</v>
      </c>
      <c r="AK540">
        <v>0.67141047049762503</v>
      </c>
      <c r="AL540">
        <v>82.237610124652207</v>
      </c>
      <c r="AM540">
        <v>87.634339173774706</v>
      </c>
      <c r="AN540">
        <v>1.0000000293051301</v>
      </c>
    </row>
    <row r="541" spans="1:40" x14ac:dyDescent="0.25">
      <c r="A541" t="str">
        <f>"20190303170237190"</f>
        <v>20190303170237190</v>
      </c>
      <c r="B541" t="str">
        <f>"1551603757176840"</f>
        <v>1551603757176840</v>
      </c>
      <c r="C541" t="s">
        <v>40</v>
      </c>
      <c r="D541">
        <v>4.3969430000000003</v>
      </c>
      <c r="E541">
        <v>0.54665140000000001</v>
      </c>
      <c r="F541" t="s">
        <v>43</v>
      </c>
      <c r="G541">
        <v>-379.75490000000002</v>
      </c>
      <c r="H541">
        <v>0.95274910000000002</v>
      </c>
      <c r="I541">
        <v>367.60520000000002</v>
      </c>
      <c r="J541">
        <v>-380.27910000000003</v>
      </c>
      <c r="K541">
        <v>1.121202</v>
      </c>
      <c r="L541">
        <v>367.70890000000003</v>
      </c>
      <c r="M541">
        <v>0.99994320000000003</v>
      </c>
      <c r="N541">
        <v>-1.010804E-2</v>
      </c>
      <c r="O541">
        <v>-3.4282230000000002E-3</v>
      </c>
      <c r="P541">
        <v>0.99120319999999995</v>
      </c>
      <c r="Q541">
        <v>0.1246665</v>
      </c>
      <c r="R541">
        <v>-4.4438039999999998E-2</v>
      </c>
      <c r="S541">
        <v>3.1003720000000001</v>
      </c>
      <c r="T541">
        <v>-0.74877050000000001</v>
      </c>
      <c r="U541">
        <v>-0.46130369999999998</v>
      </c>
      <c r="V541">
        <v>4.1012149999999997E-2</v>
      </c>
      <c r="W541">
        <v>0.13468910000000001</v>
      </c>
      <c r="X541">
        <v>0.9900388</v>
      </c>
      <c r="Y541">
        <v>0.13976229999999901</v>
      </c>
      <c r="Z541">
        <v>-1.6493089999999998E-2</v>
      </c>
      <c r="AA541">
        <v>0.99004769999999997</v>
      </c>
      <c r="AB541">
        <v>24</v>
      </c>
      <c r="AC541">
        <v>0.52420000000000699</v>
      </c>
      <c r="AD541">
        <v>-0.16845289999999999</v>
      </c>
      <c r="AE541">
        <v>-0.103700000000003</v>
      </c>
      <c r="AF541">
        <v>9.2690783033313198E-2</v>
      </c>
      <c r="AG541">
        <v>-0.16845289999999999</v>
      </c>
      <c r="AH541">
        <v>0.47713557780808602</v>
      </c>
      <c r="AI541">
        <v>109.114850020853</v>
      </c>
      <c r="AJ541">
        <v>79.006361696369197</v>
      </c>
      <c r="AK541">
        <v>0.51441842928494896</v>
      </c>
      <c r="AL541">
        <v>82.259357466637496</v>
      </c>
      <c r="AM541">
        <v>87.627890566760499</v>
      </c>
      <c r="AN541">
        <v>0.99999998780593602</v>
      </c>
    </row>
    <row r="542" spans="1:40" x14ac:dyDescent="0.25">
      <c r="A542" t="str">
        <f>"20190303170237202"</f>
        <v>20190303170237202</v>
      </c>
      <c r="B542" t="str">
        <f>"1551603757196359"</f>
        <v>1551603757196359</v>
      </c>
      <c r="C542" t="s">
        <v>40</v>
      </c>
      <c r="D542">
        <v>4.4004399999999997</v>
      </c>
      <c r="E542">
        <v>0.54667940000000004</v>
      </c>
      <c r="F542" t="s">
        <v>43</v>
      </c>
      <c r="G542">
        <v>-379.54149999999998</v>
      </c>
      <c r="H542">
        <v>0.94291619999999998</v>
      </c>
      <c r="I542">
        <v>367.59879999999998</v>
      </c>
      <c r="J542">
        <v>-380.14100000000002</v>
      </c>
      <c r="K542">
        <v>1.1211850000000001</v>
      </c>
      <c r="L542">
        <v>367.70850000000002</v>
      </c>
      <c r="M542">
        <v>0.99994470000000002</v>
      </c>
      <c r="N542">
        <v>-9.9767599999999994E-3</v>
      </c>
      <c r="O542">
        <v>-3.3448520000000002E-3</v>
      </c>
      <c r="P542">
        <v>0.99120589999999997</v>
      </c>
      <c r="Q542">
        <v>0.12464749999999999</v>
      </c>
      <c r="R542">
        <v>-4.4428679999999998E-2</v>
      </c>
      <c r="S542">
        <v>3.1002200000000002</v>
      </c>
      <c r="T542">
        <v>-0.7494712</v>
      </c>
      <c r="U542">
        <v>-0.46099849999999998</v>
      </c>
      <c r="V542">
        <v>4.1085740000000003E-2</v>
      </c>
      <c r="W542">
        <v>0.134540299999999</v>
      </c>
      <c r="X542">
        <v>0.99005600000000005</v>
      </c>
      <c r="Y542">
        <v>0.1397494</v>
      </c>
      <c r="Z542">
        <v>-1.6515820000000001E-2</v>
      </c>
      <c r="AA542">
        <v>0.99004919999999996</v>
      </c>
      <c r="AB542">
        <v>24</v>
      </c>
      <c r="AC542">
        <v>0.59949999999997705</v>
      </c>
      <c r="AD542">
        <v>-0.17826880000000001</v>
      </c>
      <c r="AE542">
        <v>-0.10970000000003199</v>
      </c>
      <c r="AF542">
        <v>9.9206022491974896E-2</v>
      </c>
      <c r="AG542">
        <v>-0.17826880000000001</v>
      </c>
      <c r="AH542">
        <v>0.55258468277359896</v>
      </c>
      <c r="AI542">
        <v>107.616327078119</v>
      </c>
      <c r="AJ542">
        <v>79.822062650676301</v>
      </c>
      <c r="AK542">
        <v>0.58904280963960298</v>
      </c>
      <c r="AL542">
        <v>82.267961538849306</v>
      </c>
      <c r="AM542">
        <v>87.623680292750805</v>
      </c>
      <c r="AN542">
        <v>1.00000000674571</v>
      </c>
    </row>
    <row r="543" spans="1:40" x14ac:dyDescent="0.25">
      <c r="A543" t="str">
        <f>"20190303170237212"</f>
        <v>20190303170237212</v>
      </c>
      <c r="B543" t="str">
        <f>"1551603757206119"</f>
        <v>1551603757206119</v>
      </c>
      <c r="C543" t="s">
        <v>40</v>
      </c>
      <c r="D543">
        <v>4.4202450000000004</v>
      </c>
      <c r="E543">
        <v>0.54669639999999997</v>
      </c>
      <c r="F543" t="s">
        <v>43</v>
      </c>
      <c r="G543">
        <v>-379.33080000000001</v>
      </c>
      <c r="H543">
        <v>0.92543450000000005</v>
      </c>
      <c r="I543">
        <v>367.58760000000001</v>
      </c>
      <c r="J543">
        <v>-380.01609999999999</v>
      </c>
      <c r="K543">
        <v>1.1211709999999999</v>
      </c>
      <c r="L543">
        <v>367.70819999999998</v>
      </c>
      <c r="M543">
        <v>0.99994609999999995</v>
      </c>
      <c r="N543">
        <v>-9.859161E-3</v>
      </c>
      <c r="O543">
        <v>-3.2694239999999999E-3</v>
      </c>
      <c r="P543">
        <v>0.99120589999999997</v>
      </c>
      <c r="Q543">
        <v>0.1246012</v>
      </c>
      <c r="R543">
        <v>-4.4559880000000003E-2</v>
      </c>
      <c r="S543">
        <v>3.1001889999999999</v>
      </c>
      <c r="T543">
        <v>-0.74912239999999997</v>
      </c>
      <c r="U543">
        <v>-0.46133420000000003</v>
      </c>
      <c r="V543">
        <v>4.129153E-2</v>
      </c>
      <c r="W543">
        <v>0.13437769999999999</v>
      </c>
      <c r="X543">
        <v>0.99006950000000005</v>
      </c>
      <c r="Y543">
        <v>0.13992879999999999</v>
      </c>
      <c r="Z543">
        <v>-1.653924E-2</v>
      </c>
      <c r="AA543">
        <v>0.9900234</v>
      </c>
      <c r="AB543">
        <v>24</v>
      </c>
      <c r="AC543">
        <v>0.68529999999998303</v>
      </c>
      <c r="AD543">
        <v>-0.19573650000000001</v>
      </c>
      <c r="AE543">
        <v>-0.120599999999967</v>
      </c>
      <c r="AF543">
        <v>0.109679840072227</v>
      </c>
      <c r="AG543">
        <v>-0.19573650000000001</v>
      </c>
      <c r="AH543">
        <v>0.63541112000975597</v>
      </c>
      <c r="AI543">
        <v>106.88608394515499</v>
      </c>
      <c r="AJ543">
        <v>80.2065423562359</v>
      </c>
      <c r="AK543">
        <v>0.67386180792694494</v>
      </c>
      <c r="AL543">
        <v>82.277363044628999</v>
      </c>
      <c r="AM543">
        <v>87.611824070985804</v>
      </c>
      <c r="AN543">
        <v>0.99999998576864002</v>
      </c>
    </row>
    <row r="544" spans="1:40" x14ac:dyDescent="0.25">
      <c r="A544" t="str">
        <f>"20190303170237225"</f>
        <v>20190303170237225</v>
      </c>
      <c r="B544" t="str">
        <f>"1551603757216856"</f>
        <v>1551603757216856</v>
      </c>
      <c r="C544" t="s">
        <v>40</v>
      </c>
      <c r="D544">
        <v>4.395543</v>
      </c>
      <c r="E544">
        <v>0.54670569999999996</v>
      </c>
      <c r="F544" t="s">
        <v>43</v>
      </c>
      <c r="G544">
        <v>-379.31849999999997</v>
      </c>
      <c r="H544">
        <v>0.95262369999999996</v>
      </c>
      <c r="I544">
        <v>367.60390000000001</v>
      </c>
      <c r="J544">
        <v>-379.8886</v>
      </c>
      <c r="K544">
        <v>1.121159</v>
      </c>
      <c r="L544">
        <v>367.70780000000002</v>
      </c>
      <c r="M544">
        <v>0.99994749999999999</v>
      </c>
      <c r="N544">
        <v>-9.7417430000000006E-3</v>
      </c>
      <c r="O544">
        <v>-3.1930489999999999E-3</v>
      </c>
      <c r="P544">
        <v>0.99121210000000004</v>
      </c>
      <c r="Q544">
        <v>0.12461129999999999</v>
      </c>
      <c r="R544">
        <v>-4.4392760000000003E-2</v>
      </c>
      <c r="S544">
        <v>3.1000369999999999</v>
      </c>
      <c r="T544">
        <v>-0.74917270000000002</v>
      </c>
      <c r="U544">
        <v>-0.46170040000000001</v>
      </c>
      <c r="V544">
        <v>4.1200250000000001E-2</v>
      </c>
      <c r="W544">
        <v>0.13427140000000001</v>
      </c>
      <c r="X544">
        <v>0.99008770000000001</v>
      </c>
      <c r="Y544">
        <v>0.14011960000000001</v>
      </c>
      <c r="Z544">
        <v>-1.6573060000000001E-2</v>
      </c>
      <c r="AA544">
        <v>0.98999590000000004</v>
      </c>
      <c r="AB544">
        <v>24</v>
      </c>
      <c r="AC544">
        <v>0.57010000000002403</v>
      </c>
      <c r="AD544">
        <v>-0.1685353</v>
      </c>
      <c r="AE544">
        <v>-0.10390000000001</v>
      </c>
      <c r="AF544">
        <v>9.4118122585450895E-2</v>
      </c>
      <c r="AG544">
        <v>-0.1685353</v>
      </c>
      <c r="AH544">
        <v>0.52594245588839605</v>
      </c>
      <c r="AI544">
        <v>107.50702096950999</v>
      </c>
      <c r="AJ544">
        <v>79.854233452824801</v>
      </c>
      <c r="AK544">
        <v>0.56024801226868903</v>
      </c>
      <c r="AL544">
        <v>82.283509099237605</v>
      </c>
      <c r="AM544">
        <v>87.617141087428905</v>
      </c>
      <c r="AN544">
        <v>0.99999996157465498</v>
      </c>
    </row>
    <row r="545" spans="1:40" x14ac:dyDescent="0.25">
      <c r="A545" t="str">
        <f>"20190303170237238"</f>
        <v>20190303170237238</v>
      </c>
      <c r="B545" t="str">
        <f>"1551603757226615"</f>
        <v>1551603757226615</v>
      </c>
      <c r="C545" t="s">
        <v>40</v>
      </c>
      <c r="D545">
        <v>4.4025499999999997</v>
      </c>
      <c r="E545">
        <v>0.54671539999999996</v>
      </c>
      <c r="F545" t="s">
        <v>43</v>
      </c>
      <c r="G545">
        <v>-379.10840000000002</v>
      </c>
      <c r="H545">
        <v>0.93266110000000002</v>
      </c>
      <c r="I545">
        <v>367.59160000000003</v>
      </c>
      <c r="J545">
        <v>-379.74990000000003</v>
      </c>
      <c r="K545">
        <v>1.1211450000000001</v>
      </c>
      <c r="L545">
        <v>367.70749999999998</v>
      </c>
      <c r="M545">
        <v>0.99994899999999998</v>
      </c>
      <c r="N545">
        <v>-9.6149029999999993E-3</v>
      </c>
      <c r="O545">
        <v>-3.1099610000000001E-3</v>
      </c>
      <c r="P545">
        <v>0.99117929999999999</v>
      </c>
      <c r="Q545">
        <v>0.1248992</v>
      </c>
      <c r="R545">
        <v>-4.43203E-2</v>
      </c>
      <c r="S545">
        <v>3.100098</v>
      </c>
      <c r="T545">
        <v>-0.74903229999999998</v>
      </c>
      <c r="U545">
        <v>-0.46130369999999998</v>
      </c>
      <c r="V545">
        <v>4.1210259999999999E-2</v>
      </c>
      <c r="W545">
        <v>0.134433</v>
      </c>
      <c r="X545">
        <v>0.99006539999999998</v>
      </c>
      <c r="Y545">
        <v>0.140077799999999</v>
      </c>
      <c r="Z545">
        <v>-1.6574289999999998E-2</v>
      </c>
      <c r="AA545">
        <v>0.99000169999999998</v>
      </c>
      <c r="AB545">
        <v>24</v>
      </c>
      <c r="AC545">
        <v>0.64150000000000695</v>
      </c>
      <c r="AD545">
        <v>-0.18848390000000001</v>
      </c>
      <c r="AE545">
        <v>-0.115899999999953</v>
      </c>
      <c r="AF545">
        <v>0.10511657699106999</v>
      </c>
      <c r="AG545">
        <v>-0.18848390000000001</v>
      </c>
      <c r="AH545">
        <v>0.59233798969681795</v>
      </c>
      <c r="AI545">
        <v>107.396199056567</v>
      </c>
      <c r="AJ545">
        <v>79.937026484679805</v>
      </c>
      <c r="AK545">
        <v>0.63042840145062995</v>
      </c>
      <c r="AL545">
        <v>82.274165737828696</v>
      </c>
      <c r="AM545">
        <v>87.616509194274698</v>
      </c>
      <c r="AN545">
        <v>1.0000000066477099</v>
      </c>
    </row>
    <row r="546" spans="1:40" x14ac:dyDescent="0.25">
      <c r="A546" t="str">
        <f>"20190303170237250"</f>
        <v>20190303170237250</v>
      </c>
      <c r="B546" t="str">
        <f>"1551603757236375"</f>
        <v>1551603757236375</v>
      </c>
      <c r="C546" t="s">
        <v>40</v>
      </c>
      <c r="D546">
        <v>4.3823100000000004</v>
      </c>
      <c r="E546">
        <v>0.54673619999999901</v>
      </c>
      <c r="F546" t="s">
        <v>43</v>
      </c>
      <c r="G546">
        <v>-378.89600000000002</v>
      </c>
      <c r="H546">
        <v>0.91514600000000002</v>
      </c>
      <c r="I546">
        <v>367.58010000000002</v>
      </c>
      <c r="J546">
        <v>-379.6121</v>
      </c>
      <c r="K546">
        <v>1.1211310000000001</v>
      </c>
      <c r="L546">
        <v>367.7072</v>
      </c>
      <c r="M546">
        <v>0.99995029999999996</v>
      </c>
      <c r="N546">
        <v>-9.4905990000000006E-3</v>
      </c>
      <c r="O546">
        <v>-3.0274859999999998E-3</v>
      </c>
      <c r="P546">
        <v>0.9911816</v>
      </c>
      <c r="Q546">
        <v>0.1249011</v>
      </c>
      <c r="R546">
        <v>-4.426107E-2</v>
      </c>
      <c r="S546">
        <v>3.1003419999999999</v>
      </c>
      <c r="T546">
        <v>-0.74797369999999996</v>
      </c>
      <c r="U546">
        <v>-0.4610901</v>
      </c>
      <c r="V546">
        <v>4.1232789999999998E-2</v>
      </c>
      <c r="W546">
        <v>0.13431209999999999</v>
      </c>
      <c r="X546">
        <v>0.99008090000000004</v>
      </c>
      <c r="Y546">
        <v>0.14009250000000001</v>
      </c>
      <c r="Z546">
        <v>-1.6562629999999998E-2</v>
      </c>
      <c r="AA546">
        <v>0.98999990000000004</v>
      </c>
      <c r="AB546">
        <v>25</v>
      </c>
      <c r="AC546">
        <v>0.71610000000003904</v>
      </c>
      <c r="AD546">
        <v>-0.205985</v>
      </c>
      <c r="AE546">
        <v>-0.127099999999984</v>
      </c>
      <c r="AF546">
        <v>0.115654179428733</v>
      </c>
      <c r="AG546">
        <v>-0.205985</v>
      </c>
      <c r="AH546">
        <v>0.66327700738297402</v>
      </c>
      <c r="AI546">
        <v>107.010989114393</v>
      </c>
      <c r="AJ546">
        <v>80.108902054541304</v>
      </c>
      <c r="AK546">
        <v>0.70408955251959804</v>
      </c>
      <c r="AL546">
        <v>82.281156421659801</v>
      </c>
      <c r="AM546">
        <v>87.615244915121707</v>
      </c>
      <c r="AN546">
        <v>1.0000000358612</v>
      </c>
    </row>
    <row r="547" spans="1:40" x14ac:dyDescent="0.25">
      <c r="A547" t="str">
        <f>"20190303170237267"</f>
        <v>20190303170237267</v>
      </c>
      <c r="B547" t="str">
        <f>"1551603757255895"</f>
        <v>1551603757255895</v>
      </c>
      <c r="C547" t="s">
        <v>40</v>
      </c>
      <c r="D547">
        <v>4.3817579999999996</v>
      </c>
      <c r="E547">
        <v>0.54677580000000003</v>
      </c>
      <c r="F547" t="s">
        <v>43</v>
      </c>
      <c r="G547">
        <v>-378.88290000000001</v>
      </c>
      <c r="H547">
        <v>0.94525250000000005</v>
      </c>
      <c r="I547">
        <v>367.59840000000003</v>
      </c>
      <c r="J547">
        <v>-379.4203</v>
      </c>
      <c r="K547">
        <v>1.1211150000000001</v>
      </c>
      <c r="L547">
        <v>367.70670000000001</v>
      </c>
      <c r="M547">
        <v>0.99995239999999996</v>
      </c>
      <c r="N547">
        <v>-9.3222570000000005E-3</v>
      </c>
      <c r="O547">
        <v>-2.913227E-3</v>
      </c>
      <c r="P547">
        <v>0.99113470000000004</v>
      </c>
      <c r="Q547">
        <v>0.1252596</v>
      </c>
      <c r="R547">
        <v>-4.4300220000000001E-2</v>
      </c>
      <c r="S547">
        <v>3.100311</v>
      </c>
      <c r="T547">
        <v>-0.74787099999999995</v>
      </c>
      <c r="U547">
        <v>-0.46099849999999998</v>
      </c>
      <c r="V547">
        <v>4.138526E-2</v>
      </c>
      <c r="W547">
        <v>0.13450299999999901</v>
      </c>
      <c r="X547">
        <v>0.99004859999999995</v>
      </c>
      <c r="Y547">
        <v>0.140177</v>
      </c>
      <c r="Z547">
        <v>-1.658453E-2</v>
      </c>
      <c r="AA547">
        <v>0.98998759999999997</v>
      </c>
      <c r="AB547">
        <v>25</v>
      </c>
      <c r="AC547">
        <v>0.537399999999991</v>
      </c>
      <c r="AD547">
        <v>-0.17586249999999901</v>
      </c>
      <c r="AE547">
        <v>-0.10829999999998501</v>
      </c>
      <c r="AF547">
        <v>9.6774715778792195E-2</v>
      </c>
      <c r="AG547">
        <v>-0.17586249999999901</v>
      </c>
      <c r="AH547">
        <v>0.48753997962375401</v>
      </c>
      <c r="AI547">
        <v>109.484347212782</v>
      </c>
      <c r="AJ547">
        <v>78.772952215426997</v>
      </c>
      <c r="AK547">
        <v>0.52724585939753699</v>
      </c>
      <c r="AL547">
        <v>82.270118327708502</v>
      </c>
      <c r="AM547">
        <v>87.606358842096498</v>
      </c>
      <c r="AN547">
        <v>1.00000001355811</v>
      </c>
    </row>
    <row r="548" spans="1:40" x14ac:dyDescent="0.25">
      <c r="A548" t="str">
        <f>"20190303170237284"</f>
        <v>20190303170237284</v>
      </c>
      <c r="B548" t="str">
        <f>"1551603757276689"</f>
        <v>1551603757276689</v>
      </c>
      <c r="C548" t="s">
        <v>40</v>
      </c>
      <c r="D548">
        <v>4.3604649999999996</v>
      </c>
      <c r="E548">
        <v>0.54680139999999999</v>
      </c>
      <c r="F548" t="s">
        <v>43</v>
      </c>
      <c r="G548">
        <v>-378.6651</v>
      </c>
      <c r="H548">
        <v>0.93930550000000002</v>
      </c>
      <c r="I548">
        <v>367.5942</v>
      </c>
      <c r="J548">
        <v>-379.25799999999998</v>
      </c>
      <c r="K548">
        <v>1.1211009999999999</v>
      </c>
      <c r="L548">
        <v>367.7063</v>
      </c>
      <c r="M548">
        <v>0.99995389999999995</v>
      </c>
      <c r="N548">
        <v>-9.1836109999999995E-3</v>
      </c>
      <c r="O548">
        <v>-2.8168759999999998E-3</v>
      </c>
      <c r="P548">
        <v>0.99113359999999995</v>
      </c>
      <c r="Q548">
        <v>0.12524759999999999</v>
      </c>
      <c r="R548">
        <v>-4.43541E-2</v>
      </c>
      <c r="S548">
        <v>3.1005859999999998</v>
      </c>
      <c r="T548">
        <v>-0.74656699999999998</v>
      </c>
      <c r="U548">
        <v>-0.46063229999999999</v>
      </c>
      <c r="V548">
        <v>4.1534830000000002E-2</v>
      </c>
      <c r="W548">
        <v>0.13435369999999999</v>
      </c>
      <c r="X548">
        <v>0.99006260000000001</v>
      </c>
      <c r="Y548">
        <v>0.1401598</v>
      </c>
      <c r="Z548">
        <v>-1.6565779999999999E-2</v>
      </c>
      <c r="AA548">
        <v>0.98999029999999999</v>
      </c>
      <c r="AB548">
        <v>25</v>
      </c>
      <c r="AC548">
        <v>0.59290000000004195</v>
      </c>
      <c r="AD548">
        <v>-0.1817955</v>
      </c>
      <c r="AE548">
        <v>-0.11209999999999801</v>
      </c>
      <c r="AF548">
        <v>0.10123968405432</v>
      </c>
      <c r="AG548">
        <v>-0.1817955</v>
      </c>
      <c r="AH548">
        <v>0.54384758730873695</v>
      </c>
      <c r="AI548">
        <v>108.19212343863801</v>
      </c>
      <c r="AJ548">
        <v>79.454835255319594</v>
      </c>
      <c r="AK548">
        <v>0.58229655302878403</v>
      </c>
      <c r="AL548">
        <v>82.278750879335007</v>
      </c>
      <c r="AM548">
        <v>87.597752057002594</v>
      </c>
      <c r="AN548">
        <v>1.00000000536278</v>
      </c>
    </row>
    <row r="549" spans="1:40" x14ac:dyDescent="0.25">
      <c r="A549" t="str">
        <f>"20190303170237298"</f>
        <v>20190303170237298</v>
      </c>
      <c r="B549" t="str">
        <f>"1551603757286449"</f>
        <v>1551603757286449</v>
      </c>
      <c r="C549" t="s">
        <v>40</v>
      </c>
      <c r="D549">
        <v>4.3576230000000002</v>
      </c>
      <c r="E549">
        <v>0.54681459999999904</v>
      </c>
      <c r="F549" t="s">
        <v>43</v>
      </c>
      <c r="G549">
        <v>-378.44959999999998</v>
      </c>
      <c r="H549">
        <v>0.9265544</v>
      </c>
      <c r="I549">
        <v>367.58569999999997</v>
      </c>
      <c r="J549">
        <v>-379.08850000000001</v>
      </c>
      <c r="K549">
        <v>1.1210850000000001</v>
      </c>
      <c r="L549">
        <v>367.70589999999999</v>
      </c>
      <c r="M549">
        <v>0.99995540000000005</v>
      </c>
      <c r="N549">
        <v>-9.0421249999999998E-3</v>
      </c>
      <c r="O549">
        <v>-2.7161099999999999E-3</v>
      </c>
      <c r="P549">
        <v>0.99112549999999999</v>
      </c>
      <c r="Q549">
        <v>0.12540019999999999</v>
      </c>
      <c r="R549">
        <v>-4.4103539999999997E-2</v>
      </c>
      <c r="S549">
        <v>3.1004939999999999</v>
      </c>
      <c r="T549">
        <v>-0.74626559999999997</v>
      </c>
      <c r="U549">
        <v>-0.46145629999999999</v>
      </c>
      <c r="V549">
        <v>4.1383839999999998E-2</v>
      </c>
      <c r="W549">
        <v>0.1343664</v>
      </c>
      <c r="X549">
        <v>0.99006719999999904</v>
      </c>
      <c r="Y549">
        <v>0.14051379999999999</v>
      </c>
      <c r="Z549">
        <v>-1.6615499999999998E-2</v>
      </c>
      <c r="AA549">
        <v>0.98993929999999997</v>
      </c>
      <c r="AB549">
        <v>25</v>
      </c>
      <c r="AC549">
        <v>0.638900000000035</v>
      </c>
      <c r="AD549">
        <v>-0.1945306</v>
      </c>
      <c r="AE549">
        <v>-0.12020000000001101</v>
      </c>
      <c r="AF549">
        <v>0.10872887366331099</v>
      </c>
      <c r="AG549">
        <v>-0.1945306</v>
      </c>
      <c r="AH549">
        <v>0.58669320983698003</v>
      </c>
      <c r="AI549">
        <v>108.05699815747801</v>
      </c>
      <c r="AJ549">
        <v>79.500782284020303</v>
      </c>
      <c r="AK549">
        <v>0.62759305666432597</v>
      </c>
      <c r="AL549">
        <v>82.278016570240396</v>
      </c>
      <c r="AM549">
        <v>87.606485791099004</v>
      </c>
      <c r="AN549">
        <v>1.00000000608897</v>
      </c>
    </row>
    <row r="550" spans="1:40" x14ac:dyDescent="0.25">
      <c r="A550" t="str">
        <f>"20190303170237315"</f>
        <v>20190303170237315</v>
      </c>
      <c r="B550" t="str">
        <f>"1551603757306945"</f>
        <v>1551603757306945</v>
      </c>
      <c r="C550" t="s">
        <v>40</v>
      </c>
      <c r="D550">
        <v>4.3537520000000001</v>
      </c>
      <c r="E550">
        <v>0.54684330000000003</v>
      </c>
      <c r="F550" t="s">
        <v>43</v>
      </c>
      <c r="G550">
        <v>-378.23239999999998</v>
      </c>
      <c r="H550">
        <v>0.91522369999999997</v>
      </c>
      <c r="I550">
        <v>367.57830000000001</v>
      </c>
      <c r="J550">
        <v>-378.89589999999998</v>
      </c>
      <c r="K550">
        <v>1.121068</v>
      </c>
      <c r="L550">
        <v>367.70549999999997</v>
      </c>
      <c r="M550">
        <v>0.99995719999999999</v>
      </c>
      <c r="N550">
        <v>-8.8854219999999901E-3</v>
      </c>
      <c r="O550">
        <v>-2.6021730000000002E-3</v>
      </c>
      <c r="P550">
        <v>0.99111260000000001</v>
      </c>
      <c r="Q550">
        <v>0.12552869999999999</v>
      </c>
      <c r="R550">
        <v>-4.4033650000000001E-2</v>
      </c>
      <c r="S550">
        <v>3.1006770000000001</v>
      </c>
      <c r="T550">
        <v>-0.74569129999999995</v>
      </c>
      <c r="U550">
        <v>-0.46066279999999998</v>
      </c>
      <c r="V550">
        <v>4.1426600000000001E-2</v>
      </c>
      <c r="W550">
        <v>0.1343395</v>
      </c>
      <c r="X550">
        <v>0.99006899999999998</v>
      </c>
      <c r="Y550">
        <v>0.14038010000000001</v>
      </c>
      <c r="Z550">
        <v>-1.6600770000000001E-2</v>
      </c>
      <c r="AA550">
        <v>0.98995849999999996</v>
      </c>
      <c r="AB550">
        <v>25</v>
      </c>
      <c r="AC550">
        <v>0.66349999999999898</v>
      </c>
      <c r="AD550">
        <v>-0.20584430000000001</v>
      </c>
      <c r="AE550">
        <v>-0.12719999999995901</v>
      </c>
      <c r="AF550">
        <v>0.114813986801499</v>
      </c>
      <c r="AG550">
        <v>-0.20584430000000001</v>
      </c>
      <c r="AH550">
        <v>0.60743627265849198</v>
      </c>
      <c r="AI550">
        <v>108.416626805718</v>
      </c>
      <c r="AJ550">
        <v>79.296565558334095</v>
      </c>
      <c r="AK550">
        <v>0.651561933164443</v>
      </c>
      <c r="AL550">
        <v>82.279571450706896</v>
      </c>
      <c r="AM550">
        <v>87.604019915681803</v>
      </c>
      <c r="AN550">
        <v>0.999999944604403</v>
      </c>
    </row>
    <row r="551" spans="1:40" x14ac:dyDescent="0.25">
      <c r="A551" t="str">
        <f>"20190303170237335"</f>
        <v>20190303170237335</v>
      </c>
      <c r="B551" t="str">
        <f>"1551603757326465"</f>
        <v>1551603757326465</v>
      </c>
      <c r="C551" t="s">
        <v>40</v>
      </c>
      <c r="D551">
        <v>4.3618519999999998</v>
      </c>
      <c r="E551">
        <v>0.54685490000000003</v>
      </c>
      <c r="F551" t="s">
        <v>43</v>
      </c>
      <c r="G551">
        <v>-378.01229999999998</v>
      </c>
      <c r="H551">
        <v>0.90879259999999995</v>
      </c>
      <c r="I551">
        <v>367.57400000000001</v>
      </c>
      <c r="J551">
        <v>-378.67579999999998</v>
      </c>
      <c r="K551">
        <v>1.121048</v>
      </c>
      <c r="L551">
        <v>367.70499999999998</v>
      </c>
      <c r="M551">
        <v>0.99995909999999999</v>
      </c>
      <c r="N551">
        <v>-8.7148609999999904E-3</v>
      </c>
      <c r="O551">
        <v>-2.4717379999999998E-3</v>
      </c>
      <c r="P551">
        <v>0.99108439999999998</v>
      </c>
      <c r="Q551">
        <v>0.12582879999999999</v>
      </c>
      <c r="R551">
        <v>-4.3809180000000003E-2</v>
      </c>
      <c r="S551">
        <v>3.1007690000000001</v>
      </c>
      <c r="T551">
        <v>-0.74502729999999995</v>
      </c>
      <c r="U551">
        <v>-0.46051029999999998</v>
      </c>
      <c r="V551">
        <v>4.1331340000000001E-2</v>
      </c>
      <c r="W551">
        <v>0.13447039999999999</v>
      </c>
      <c r="X551">
        <v>0.99005529999999997</v>
      </c>
      <c r="Y551">
        <v>0.14046159999999999</v>
      </c>
      <c r="Z551">
        <v>-1.6613490000000002E-2</v>
      </c>
      <c r="AA551">
        <v>0.98994669999999896</v>
      </c>
      <c r="AB551">
        <v>25</v>
      </c>
      <c r="AC551">
        <v>0.66349999999999898</v>
      </c>
      <c r="AD551">
        <v>-0.21225540000000001</v>
      </c>
      <c r="AE551">
        <v>-0.130999999999971</v>
      </c>
      <c r="AF551">
        <v>0.11776036978337399</v>
      </c>
      <c r="AG551">
        <v>-0.21225540000000001</v>
      </c>
      <c r="AH551">
        <v>0.60429945014447395</v>
      </c>
      <c r="AI551">
        <v>109.02199469806899</v>
      </c>
      <c r="AJ551">
        <v>78.972917816382505</v>
      </c>
      <c r="AK551">
        <v>0.65122782877084695</v>
      </c>
      <c r="AL551">
        <v>82.272003442320695</v>
      </c>
      <c r="AM551">
        <v>87.609490006027102</v>
      </c>
      <c r="AN551">
        <v>1.0000000326002201</v>
      </c>
    </row>
    <row r="552" spans="1:40" x14ac:dyDescent="0.25">
      <c r="A552" t="str">
        <f>"20190303170237346"</f>
        <v>20190303170237346</v>
      </c>
      <c r="B552" t="str">
        <f>"1551603757336226"</f>
        <v>1551603757336226</v>
      </c>
      <c r="C552" t="s">
        <v>40</v>
      </c>
      <c r="D552">
        <v>4.361745</v>
      </c>
      <c r="E552">
        <v>0.54815409999999998</v>
      </c>
      <c r="F552" t="s">
        <v>43</v>
      </c>
      <c r="G552">
        <v>-377.78919999999999</v>
      </c>
      <c r="H552">
        <v>0.9084219</v>
      </c>
      <c r="I552">
        <v>367.57319999999999</v>
      </c>
      <c r="J552">
        <v>-378.54079999999999</v>
      </c>
      <c r="K552">
        <v>1.1210329999999999</v>
      </c>
      <c r="L552">
        <v>367.70479999999998</v>
      </c>
      <c r="M552">
        <v>0.99996019999999997</v>
      </c>
      <c r="N552">
        <v>-8.6182110000000006E-3</v>
      </c>
      <c r="O552">
        <v>-2.392173E-3</v>
      </c>
      <c r="P552">
        <v>0.99099780000000004</v>
      </c>
      <c r="Q552">
        <v>0.12654000000000001</v>
      </c>
      <c r="R552">
        <v>-4.3719269999999998E-2</v>
      </c>
      <c r="S552">
        <v>3.1010740000000001</v>
      </c>
      <c r="T552">
        <v>-0.74374750000000001</v>
      </c>
      <c r="U552">
        <v>-0.46060180000000001</v>
      </c>
      <c r="V552">
        <v>4.1320330000000002E-2</v>
      </c>
      <c r="W552">
        <v>0.1350855</v>
      </c>
      <c r="X552">
        <v>0.98997199999999996</v>
      </c>
      <c r="Y552">
        <v>0.14056550000000001</v>
      </c>
      <c r="Z552">
        <v>-1.6608789999999998E-2</v>
      </c>
      <c r="AA552">
        <v>0.98993209999999998</v>
      </c>
      <c r="AB552">
        <v>25</v>
      </c>
      <c r="AC552">
        <v>0.75159999999999605</v>
      </c>
      <c r="AD552">
        <v>-0.212611099999999</v>
      </c>
      <c r="AE552">
        <v>-0.131599999999991</v>
      </c>
      <c r="AF552">
        <v>0.120449903981189</v>
      </c>
      <c r="AG552">
        <v>-0.212611099999999</v>
      </c>
      <c r="AH552">
        <v>0.69774031415971904</v>
      </c>
      <c r="AI552">
        <v>106.71356651979301</v>
      </c>
      <c r="AJ552">
        <v>80.205643529374996</v>
      </c>
      <c r="AK552">
        <v>0.73929236788701602</v>
      </c>
      <c r="AL552">
        <v>82.236436122301697</v>
      </c>
      <c r="AM552">
        <v>87.609925200883794</v>
      </c>
      <c r="AN552">
        <v>1.0000000113827701</v>
      </c>
    </row>
    <row r="553" spans="1:40" x14ac:dyDescent="0.25">
      <c r="A553" t="str">
        <f>"20190303170237359"</f>
        <v>20190303170237359</v>
      </c>
      <c r="B553" t="str">
        <f>"1551603757345985"</f>
        <v>1551603757345985</v>
      </c>
      <c r="C553" t="s">
        <v>40</v>
      </c>
      <c r="D553">
        <v>4.3602759999999998</v>
      </c>
      <c r="E553">
        <v>0.54780079999999998</v>
      </c>
      <c r="F553" t="s">
        <v>43</v>
      </c>
      <c r="G553">
        <v>-377.774</v>
      </c>
      <c r="H553">
        <v>0.94363929999999996</v>
      </c>
      <c r="I553">
        <v>367.58789999999999</v>
      </c>
      <c r="J553">
        <v>-378.40570000000002</v>
      </c>
      <c r="K553">
        <v>1.121024</v>
      </c>
      <c r="L553">
        <v>367.70460000000003</v>
      </c>
      <c r="M553">
        <v>0.99996110000000005</v>
      </c>
      <c r="N553">
        <v>-8.5248319999999995E-3</v>
      </c>
      <c r="O553">
        <v>-2.3126259999999999E-3</v>
      </c>
      <c r="P553">
        <v>0.99096640000000003</v>
      </c>
      <c r="Q553">
        <v>0.12682550000000001</v>
      </c>
      <c r="R553">
        <v>-4.3601460000000002E-2</v>
      </c>
      <c r="S553">
        <v>3.0980219999999998</v>
      </c>
      <c r="T553">
        <v>-0.71683390000000002</v>
      </c>
      <c r="U553">
        <v>-0.47155760000000002</v>
      </c>
      <c r="V553">
        <v>4.1281409999999998E-2</v>
      </c>
      <c r="W553">
        <v>0.135277799999999</v>
      </c>
      <c r="X553">
        <v>0.98994729999999997</v>
      </c>
      <c r="Y553">
        <v>0.14437559999999999</v>
      </c>
      <c r="Z553">
        <v>-1.6515780000000001E-2</v>
      </c>
      <c r="AA553">
        <v>0.98938510000000002</v>
      </c>
      <c r="AB553">
        <v>25</v>
      </c>
      <c r="AC553">
        <v>0.63170000000002302</v>
      </c>
      <c r="AD553">
        <v>-0.17738470000000001</v>
      </c>
      <c r="AE553">
        <v>-0.116700000000037</v>
      </c>
      <c r="AF553">
        <v>0.10707439922197801</v>
      </c>
      <c r="AG553">
        <v>-0.17738470000000001</v>
      </c>
      <c r="AH553">
        <v>0.58719498659616098</v>
      </c>
      <c r="AI553">
        <v>106.551303131315</v>
      </c>
      <c r="AJ553">
        <v>79.665717710020402</v>
      </c>
      <c r="AK553">
        <v>0.62267825644268604</v>
      </c>
      <c r="AL553">
        <v>82.225315570524202</v>
      </c>
      <c r="AM553">
        <v>87.612114318109505</v>
      </c>
      <c r="AN553">
        <v>0.99999994738085696</v>
      </c>
    </row>
    <row r="554" spans="1:40" x14ac:dyDescent="0.25">
      <c r="A554" t="str">
        <f>"20190303170237371"</f>
        <v>20190303170237371</v>
      </c>
      <c r="B554" t="str">
        <f>"1551603757356722"</f>
        <v>1551603757356722</v>
      </c>
      <c r="C554" t="s">
        <v>40</v>
      </c>
      <c r="D554">
        <v>4.3594059999999999</v>
      </c>
      <c r="E554">
        <v>0.54749740000000002</v>
      </c>
      <c r="F554" t="s">
        <v>43</v>
      </c>
      <c r="G554">
        <v>-377.55829999999997</v>
      </c>
      <c r="H554">
        <v>0.92501509999999998</v>
      </c>
      <c r="I554">
        <v>367.57650000000001</v>
      </c>
      <c r="J554">
        <v>-378.26580000000001</v>
      </c>
      <c r="K554">
        <v>1.121014</v>
      </c>
      <c r="L554">
        <v>367.70429999999999</v>
      </c>
      <c r="M554">
        <v>0.99996209999999996</v>
      </c>
      <c r="N554">
        <v>-8.4343339999999999E-3</v>
      </c>
      <c r="O554">
        <v>-2.2305910000000001E-3</v>
      </c>
      <c r="P554">
        <v>0.99096890000000004</v>
      </c>
      <c r="Q554">
        <v>0.12676950000000001</v>
      </c>
      <c r="R554">
        <v>-4.3708950000000003E-2</v>
      </c>
      <c r="S554">
        <v>3.0985109999999998</v>
      </c>
      <c r="T554">
        <v>-0.71677100000000005</v>
      </c>
      <c r="U554">
        <v>-0.46743770000000001</v>
      </c>
      <c r="V554">
        <v>4.1469930000000002E-2</v>
      </c>
      <c r="W554">
        <v>0.1351328</v>
      </c>
      <c r="X554">
        <v>0.98995929999999999</v>
      </c>
      <c r="Y554">
        <v>0.14318</v>
      </c>
      <c r="Z554">
        <v>-1.638365E-2</v>
      </c>
      <c r="AA554">
        <v>0.98956109999999997</v>
      </c>
      <c r="AB554">
        <v>25</v>
      </c>
      <c r="AC554">
        <v>0.70750000000003799</v>
      </c>
      <c r="AD554">
        <v>-0.1959989</v>
      </c>
      <c r="AE554">
        <v>-0.12779999999997901</v>
      </c>
      <c r="AF554">
        <v>0.11748957344911901</v>
      </c>
      <c r="AG554">
        <v>-0.1959989</v>
      </c>
      <c r="AH554">
        <v>0.65881938875290202</v>
      </c>
      <c r="AI554">
        <v>106.32422345211199</v>
      </c>
      <c r="AJ554">
        <v>79.888539416682903</v>
      </c>
      <c r="AK554">
        <v>0.69732514343540897</v>
      </c>
      <c r="AL554">
        <v>82.233701036901493</v>
      </c>
      <c r="AM554">
        <v>87.601251302480605</v>
      </c>
      <c r="AN554">
        <v>1.0000000221932599</v>
      </c>
    </row>
    <row r="555" spans="1:40" x14ac:dyDescent="0.25">
      <c r="A555" t="str">
        <f>"20190303170237383"</f>
        <v>20190303170237383</v>
      </c>
      <c r="B555" t="str">
        <f>"1551603757376242"</f>
        <v>1551603757376242</v>
      </c>
      <c r="C555" t="s">
        <v>40</v>
      </c>
      <c r="D555">
        <v>4.3564400000000001</v>
      </c>
      <c r="E555">
        <v>0.54749959999999998</v>
      </c>
      <c r="F555" t="s">
        <v>43</v>
      </c>
      <c r="G555">
        <v>-377.5455</v>
      </c>
      <c r="H555">
        <v>0.95375279999999996</v>
      </c>
      <c r="I555">
        <v>367.596</v>
      </c>
      <c r="J555">
        <v>-378.1404</v>
      </c>
      <c r="K555">
        <v>1.121008</v>
      </c>
      <c r="L555">
        <v>367.70409999999998</v>
      </c>
      <c r="M555">
        <v>0.99996280000000004</v>
      </c>
      <c r="N555">
        <v>-8.3592519999999993E-3</v>
      </c>
      <c r="O555">
        <v>-2.1570880000000001E-3</v>
      </c>
      <c r="P555">
        <v>0.99093810000000004</v>
      </c>
      <c r="Q555">
        <v>0.12697700000000001</v>
      </c>
      <c r="R555">
        <v>-4.3802639999999997E-2</v>
      </c>
      <c r="S555">
        <v>3.098938</v>
      </c>
      <c r="T555">
        <v>-0.71968540000000003</v>
      </c>
      <c r="U555">
        <v>-0.46490480000000001</v>
      </c>
      <c r="V555">
        <v>4.1636630000000001E-2</v>
      </c>
      <c r="W555">
        <v>0.135266</v>
      </c>
      <c r="X555">
        <v>0.98993410000000004</v>
      </c>
      <c r="Y555">
        <v>0.1424319</v>
      </c>
      <c r="Z555">
        <v>-1.636696E-2</v>
      </c>
      <c r="AA555">
        <v>0.98966929999999997</v>
      </c>
      <c r="AB555">
        <v>25</v>
      </c>
      <c r="AC555">
        <v>0.59489999999999499</v>
      </c>
      <c r="AD555">
        <v>-0.16725519999999899</v>
      </c>
      <c r="AE555">
        <v>-0.108099999999979</v>
      </c>
      <c r="AF555">
        <v>9.9224037406596993E-2</v>
      </c>
      <c r="AG555">
        <v>-0.16725519999999899</v>
      </c>
      <c r="AH555">
        <v>0.55283038661605399</v>
      </c>
      <c r="AI555">
        <v>106.582740211946</v>
      </c>
      <c r="AJ555">
        <v>79.824682882889604</v>
      </c>
      <c r="AK555">
        <v>0.58603852082637098</v>
      </c>
      <c r="AL555">
        <v>82.225998430534403</v>
      </c>
      <c r="AM555">
        <v>87.591558955327997</v>
      </c>
      <c r="AN555">
        <v>1.0000000110282801</v>
      </c>
    </row>
    <row r="556" spans="1:40" x14ac:dyDescent="0.25">
      <c r="A556" t="str">
        <f>"20190303170237396"</f>
        <v>20190303170237396</v>
      </c>
      <c r="B556" t="str">
        <f>"1551603757386002"</f>
        <v>1551603757386002</v>
      </c>
      <c r="C556" t="s">
        <v>40</v>
      </c>
      <c r="D556">
        <v>4.3587540000000002</v>
      </c>
      <c r="E556">
        <v>0.54750959999999904</v>
      </c>
      <c r="F556" t="s">
        <v>43</v>
      </c>
      <c r="G556">
        <v>-377.33030000000002</v>
      </c>
      <c r="H556">
        <v>0.93281320000000001</v>
      </c>
      <c r="I556">
        <v>367.58260000000001</v>
      </c>
      <c r="J556">
        <v>-377.99360000000001</v>
      </c>
      <c r="K556">
        <v>1.1209990000000001</v>
      </c>
      <c r="L556">
        <v>367.70389999999998</v>
      </c>
      <c r="M556">
        <v>0.99996359999999995</v>
      </c>
      <c r="N556">
        <v>-8.2750900000000006E-3</v>
      </c>
      <c r="O556">
        <v>-2.0707970000000001E-3</v>
      </c>
      <c r="P556">
        <v>0.99092219999999998</v>
      </c>
      <c r="Q556">
        <v>0.12701750000000001</v>
      </c>
      <c r="R556">
        <v>-4.4043440000000003E-2</v>
      </c>
      <c r="S556">
        <v>3.0991819999999999</v>
      </c>
      <c r="T556">
        <v>-0.71999380000000002</v>
      </c>
      <c r="U556">
        <v>-0.46481319999999998</v>
      </c>
      <c r="V556">
        <v>4.1962779999999998E-2</v>
      </c>
      <c r="W556">
        <v>0.13522300000000001</v>
      </c>
      <c r="X556">
        <v>0.98992619999999998</v>
      </c>
      <c r="Y556">
        <v>0.14247290000000001</v>
      </c>
      <c r="Z556">
        <v>-1.6389910000000001E-2</v>
      </c>
      <c r="AA556">
        <v>0.98966299999999996</v>
      </c>
      <c r="AB556">
        <v>25</v>
      </c>
      <c r="AC556">
        <v>0.66329999999999201</v>
      </c>
      <c r="AD556">
        <v>-0.18818579999999999</v>
      </c>
      <c r="AE556">
        <v>-0.12129999999996199</v>
      </c>
      <c r="AF556">
        <v>0.11126035192299499</v>
      </c>
      <c r="AG556">
        <v>-0.18818579999999999</v>
      </c>
      <c r="AH556">
        <v>0.61560211610913396</v>
      </c>
      <c r="AI556">
        <v>106.742350179078</v>
      </c>
      <c r="AJ556">
        <v>79.755285486748605</v>
      </c>
      <c r="AK556">
        <v>0.65326772964054503</v>
      </c>
      <c r="AL556">
        <v>82.228484971581096</v>
      </c>
      <c r="AM556">
        <v>87.572696171663694</v>
      </c>
      <c r="AN556">
        <v>1.0000000080403799</v>
      </c>
    </row>
    <row r="557" spans="1:40" x14ac:dyDescent="0.25">
      <c r="A557" t="str">
        <f>"20190303170237413"</f>
        <v>20190303170237413</v>
      </c>
      <c r="B557" t="str">
        <f>"1551603757406497"</f>
        <v>1551603757406497</v>
      </c>
      <c r="C557" t="s">
        <v>40</v>
      </c>
      <c r="D557">
        <v>4.4664519999999897</v>
      </c>
      <c r="E557">
        <v>0.54736439999999997</v>
      </c>
      <c r="F557" t="s">
        <v>43</v>
      </c>
      <c r="G557">
        <v>-377.11180000000002</v>
      </c>
      <c r="H557">
        <v>0.91601480000000002</v>
      </c>
      <c r="I557">
        <v>367.57130000000001</v>
      </c>
      <c r="J557">
        <v>-377.7946</v>
      </c>
      <c r="K557">
        <v>1.1209880000000001</v>
      </c>
      <c r="L557">
        <v>367.70359999999999</v>
      </c>
      <c r="M557">
        <v>0.99996470000000004</v>
      </c>
      <c r="N557">
        <v>-8.1734730000000005E-3</v>
      </c>
      <c r="O557">
        <v>-1.9539219999999999E-3</v>
      </c>
      <c r="P557">
        <v>0.99091019999999996</v>
      </c>
      <c r="Q557">
        <v>0.12716759999999999</v>
      </c>
      <c r="R557">
        <v>-4.387692E-2</v>
      </c>
      <c r="S557">
        <v>3.0991209999999998</v>
      </c>
      <c r="T557">
        <v>-0.72050919999999996</v>
      </c>
      <c r="U557">
        <v>-0.46560669999999998</v>
      </c>
      <c r="V557">
        <v>4.1912209999999998E-2</v>
      </c>
      <c r="W557">
        <v>0.13527210000000001</v>
      </c>
      <c r="X557">
        <v>0.98992159999999996</v>
      </c>
      <c r="Y557">
        <v>0.14282329999999999</v>
      </c>
      <c r="Z557">
        <v>-1.6460519999999999E-2</v>
      </c>
      <c r="AA557">
        <v>0.98961129999999997</v>
      </c>
      <c r="AB557">
        <v>25</v>
      </c>
      <c r="AC557">
        <v>0.68279999999998597</v>
      </c>
      <c r="AD557">
        <v>-0.204973199999999</v>
      </c>
      <c r="AE557">
        <v>-0.13229999999998601</v>
      </c>
      <c r="AF557">
        <v>0.12049943970967</v>
      </c>
      <c r="AG557">
        <v>-0.204973199999999</v>
      </c>
      <c r="AH557">
        <v>0.62847062899775896</v>
      </c>
      <c r="AI557">
        <v>107.760860406745</v>
      </c>
      <c r="AJ557">
        <v>79.146152032763993</v>
      </c>
      <c r="AK557">
        <v>0.67194453580740099</v>
      </c>
      <c r="AL557">
        <v>82.225645396587694</v>
      </c>
      <c r="AM557">
        <v>87.575606608668096</v>
      </c>
      <c r="AN557">
        <v>0.99999997426602605</v>
      </c>
    </row>
    <row r="558" spans="1:40" x14ac:dyDescent="0.25">
      <c r="A558" t="str">
        <f>"20190303170237426"</f>
        <v>20190303170237426</v>
      </c>
      <c r="B558" t="str">
        <f>"1551603757416258"</f>
        <v>1551603757416258</v>
      </c>
      <c r="C558" t="s">
        <v>40</v>
      </c>
      <c r="D558">
        <v>4.4069960000000004</v>
      </c>
      <c r="E558">
        <v>0.53034150000000002</v>
      </c>
      <c r="F558" t="s">
        <v>43</v>
      </c>
      <c r="G558">
        <v>-377.09350000000001</v>
      </c>
      <c r="H558">
        <v>0.95806619999999998</v>
      </c>
      <c r="I558">
        <v>367.5985</v>
      </c>
      <c r="J558">
        <v>-377.65679999999998</v>
      </c>
      <c r="K558">
        <v>1.1209800000000001</v>
      </c>
      <c r="L558">
        <v>367.70350000000002</v>
      </c>
      <c r="M558">
        <v>0.9999654</v>
      </c>
      <c r="N558">
        <v>-8.1109219999999996E-3</v>
      </c>
      <c r="O558">
        <v>-1.872851E-3</v>
      </c>
      <c r="P558">
        <v>0.99090389999999995</v>
      </c>
      <c r="Q558">
        <v>0.12725510000000001</v>
      </c>
      <c r="R558">
        <v>-4.3769139999999998E-2</v>
      </c>
      <c r="S558">
        <v>3.0994259999999998</v>
      </c>
      <c r="T558">
        <v>-0.72030019999999995</v>
      </c>
      <c r="U558">
        <v>-0.46383669999999999</v>
      </c>
      <c r="V558">
        <v>4.1884600000000001E-2</v>
      </c>
      <c r="W558">
        <v>0.13529769999999999</v>
      </c>
      <c r="X558">
        <v>0.98991929999999995</v>
      </c>
      <c r="Y558">
        <v>0.142350799999999</v>
      </c>
      <c r="Z558">
        <v>-1.6412489999999998E-2</v>
      </c>
      <c r="AA558">
        <v>0.98968020000000001</v>
      </c>
      <c r="AB558">
        <v>25</v>
      </c>
      <c r="AC558">
        <v>0.56329999999996905</v>
      </c>
      <c r="AD558">
        <v>-0.162913799999999</v>
      </c>
      <c r="AE558">
        <v>-0.105000000000018</v>
      </c>
      <c r="AF558">
        <v>9.6170781157070701E-2</v>
      </c>
      <c r="AG558">
        <v>-0.162913799999999</v>
      </c>
      <c r="AH558">
        <v>0.52135187479682099</v>
      </c>
      <c r="AI558">
        <v>107.082134688111</v>
      </c>
      <c r="AJ558">
        <v>79.548465250205695</v>
      </c>
      <c r="AK558">
        <v>0.55461473360609603</v>
      </c>
      <c r="AL558">
        <v>82.224165247130202</v>
      </c>
      <c r="AM558">
        <v>87.577196170755599</v>
      </c>
      <c r="AN558">
        <v>1.0000000039274699</v>
      </c>
    </row>
    <row r="559" spans="1:40" x14ac:dyDescent="0.25">
      <c r="A559" t="str">
        <f>"20190303170237439"</f>
        <v>20190303170237439</v>
      </c>
      <c r="B559" t="str">
        <f>"1551603757426018"</f>
        <v>1551603757426018</v>
      </c>
      <c r="C559" t="s">
        <v>40</v>
      </c>
      <c r="D559">
        <v>4.2936370000000004</v>
      </c>
      <c r="E559">
        <v>0.52227279999999998</v>
      </c>
      <c r="F559" t="s">
        <v>43</v>
      </c>
      <c r="G559">
        <v>-376.8655</v>
      </c>
      <c r="H559">
        <v>0.96282590000000001</v>
      </c>
      <c r="I559">
        <v>367.61829999999998</v>
      </c>
      <c r="J559">
        <v>-377.50310000000002</v>
      </c>
      <c r="K559">
        <v>1.120973</v>
      </c>
      <c r="L559">
        <v>367.70330000000001</v>
      </c>
      <c r="M559">
        <v>0.99996629999999997</v>
      </c>
      <c r="N559">
        <v>-8.0451769999999902E-3</v>
      </c>
      <c r="O559">
        <v>-1.7824710000000001E-3</v>
      </c>
      <c r="P559">
        <v>0.99091819999999997</v>
      </c>
      <c r="Q559">
        <v>0.1270908</v>
      </c>
      <c r="R559">
        <v>-4.3923909999999997E-2</v>
      </c>
      <c r="S559">
        <v>3.0922550000000002</v>
      </c>
      <c r="T559">
        <v>-0.61808790000000002</v>
      </c>
      <c r="U559">
        <v>-0.33181759999999999</v>
      </c>
      <c r="V559">
        <v>4.212896E-2</v>
      </c>
      <c r="W559">
        <v>0.13506850000000001</v>
      </c>
      <c r="X559">
        <v>0.98994020000000005</v>
      </c>
      <c r="Y559">
        <v>0.102858199999999</v>
      </c>
      <c r="Z559">
        <v>-1.02323E-2</v>
      </c>
      <c r="AA559">
        <v>0.99464339999999996</v>
      </c>
      <c r="AB559">
        <v>25</v>
      </c>
      <c r="AC559">
        <v>0.63760000000002004</v>
      </c>
      <c r="AD559">
        <v>-0.15814709999999901</v>
      </c>
      <c r="AE559">
        <v>-8.5000000000036297E-2</v>
      </c>
      <c r="AF559">
        <v>7.9082989834946202E-2</v>
      </c>
      <c r="AG559">
        <v>-0.15814709999999901</v>
      </c>
      <c r="AH559">
        <v>0.60139776820880697</v>
      </c>
      <c r="AI559">
        <v>104.612923729955</v>
      </c>
      <c r="AJ559">
        <v>82.508665260376105</v>
      </c>
      <c r="AK559">
        <v>0.62685237506623404</v>
      </c>
      <c r="AL559">
        <v>82.237418870109195</v>
      </c>
      <c r="AM559">
        <v>87.563129608333398</v>
      </c>
      <c r="AN559">
        <v>0.99999997426948495</v>
      </c>
    </row>
    <row r="560" spans="1:40" x14ac:dyDescent="0.25">
      <c r="A560" t="str">
        <f>"20190303170237457"</f>
        <v>20190303170237457</v>
      </c>
      <c r="B560" t="str">
        <f>"1551603757446513"</f>
        <v>1551603757446513</v>
      </c>
      <c r="C560" t="s">
        <v>40</v>
      </c>
      <c r="D560">
        <v>4.3031810000000004</v>
      </c>
      <c r="E560">
        <v>0.51303329999999903</v>
      </c>
      <c r="F560" t="s">
        <v>43</v>
      </c>
      <c r="G560">
        <v>-376.63760000000002</v>
      </c>
      <c r="H560">
        <v>0.96526420000000002</v>
      </c>
      <c r="I560">
        <v>367.62720000000002</v>
      </c>
      <c r="J560">
        <v>-377.30360000000002</v>
      </c>
      <c r="K560">
        <v>1.120967</v>
      </c>
      <c r="L560">
        <v>367.70299999999997</v>
      </c>
      <c r="M560">
        <v>0.99996700000000005</v>
      </c>
      <c r="N560">
        <v>-7.9690230000000004E-3</v>
      </c>
      <c r="O560">
        <v>-1.6651120000000001E-3</v>
      </c>
      <c r="P560">
        <v>0.99097109999999999</v>
      </c>
      <c r="Q560">
        <v>0.12664249999999999</v>
      </c>
      <c r="R560">
        <v>-4.4024210000000001E-2</v>
      </c>
      <c r="S560">
        <v>3.0867610000000001</v>
      </c>
      <c r="T560">
        <v>-0.55544569999999904</v>
      </c>
      <c r="U560">
        <v>-0.27066040000000002</v>
      </c>
      <c r="V560">
        <v>4.2345470000000003E-2</v>
      </c>
      <c r="W560">
        <v>0.13454549999999901</v>
      </c>
      <c r="X560">
        <v>0.99000220000000005</v>
      </c>
      <c r="Y560">
        <v>8.4309789999999996E-2</v>
      </c>
      <c r="Z560">
        <v>-7.5668640000000004E-3</v>
      </c>
      <c r="AA560">
        <v>0.99641080000000004</v>
      </c>
      <c r="AB560">
        <v>25</v>
      </c>
      <c r="AC560">
        <v>0.66599999999999604</v>
      </c>
      <c r="AD560">
        <v>-0.1557028</v>
      </c>
      <c r="AE560">
        <v>-7.5800000000015105E-2</v>
      </c>
      <c r="AF560">
        <v>7.0867059301441507E-2</v>
      </c>
      <c r="AG560">
        <v>-0.1557028</v>
      </c>
      <c r="AH560">
        <v>0.63202269432749802</v>
      </c>
      <c r="AI560">
        <v>103.75668623595099</v>
      </c>
      <c r="AJ560">
        <v>83.602295927907505</v>
      </c>
      <c r="AK560">
        <v>0.65476575060617204</v>
      </c>
      <c r="AL560">
        <v>82.267660761657694</v>
      </c>
      <c r="AM560">
        <v>87.550774416982506</v>
      </c>
      <c r="AN560">
        <v>0.99999999320230504</v>
      </c>
    </row>
    <row r="561" spans="1:40" x14ac:dyDescent="0.25">
      <c r="A561" t="str">
        <f>"20190303170237469"</f>
        <v>20190303170237469</v>
      </c>
      <c r="B561" t="str">
        <f>"1551603757456274"</f>
        <v>1551603757456274</v>
      </c>
      <c r="C561" t="s">
        <v>40</v>
      </c>
      <c r="D561">
        <v>4.2345920000000001</v>
      </c>
      <c r="E561">
        <v>0.51048119999999997</v>
      </c>
      <c r="F561" t="s">
        <v>43</v>
      </c>
      <c r="G561">
        <v>-376.399</v>
      </c>
      <c r="H561">
        <v>0.98812520000000004</v>
      </c>
      <c r="I561">
        <v>367.64370000000002</v>
      </c>
      <c r="J561">
        <v>-377.15929999999997</v>
      </c>
      <c r="K561">
        <v>1.120965</v>
      </c>
      <c r="L561">
        <v>367.7029</v>
      </c>
      <c r="M561">
        <v>0.99996739999999995</v>
      </c>
      <c r="N561">
        <v>-7.9208119999999993E-3</v>
      </c>
      <c r="O561">
        <v>-1.580405E-3</v>
      </c>
      <c r="P561">
        <v>0.99092709999999995</v>
      </c>
      <c r="Q561">
        <v>0.12700149999999999</v>
      </c>
      <c r="R561">
        <v>-4.398051E-2</v>
      </c>
      <c r="S561">
        <v>3.0761409999999998</v>
      </c>
      <c r="T561">
        <v>-0.45180730000000002</v>
      </c>
      <c r="U561">
        <v>-0.20132449999999999</v>
      </c>
      <c r="V561">
        <v>4.2385550000000001E-2</v>
      </c>
      <c r="W561">
        <v>0.13485639999999999</v>
      </c>
      <c r="X561">
        <v>0.98995820000000001</v>
      </c>
      <c r="Y561">
        <v>6.3035090000000002E-2</v>
      </c>
      <c r="Z561">
        <v>-4.6327080000000001E-3</v>
      </c>
      <c r="AA561">
        <v>0.99800060000000002</v>
      </c>
      <c r="AB561">
        <v>25</v>
      </c>
      <c r="AC561">
        <v>0.760299999999972</v>
      </c>
      <c r="AD561">
        <v>-0.13283979999999901</v>
      </c>
      <c r="AE561">
        <v>-5.9199999999975703E-2</v>
      </c>
      <c r="AF561">
        <v>5.6290279369763302E-2</v>
      </c>
      <c r="AG561">
        <v>-0.13283979999999901</v>
      </c>
      <c r="AH561">
        <v>0.73799935276392503</v>
      </c>
      <c r="AI561">
        <v>100.175032591841</v>
      </c>
      <c r="AJ561">
        <v>85.638258071643605</v>
      </c>
      <c r="AK561">
        <v>0.75196944930997001</v>
      </c>
      <c r="AL561">
        <v>82.249683801430095</v>
      </c>
      <c r="AM561">
        <v>87.548350222219995</v>
      </c>
      <c r="AN561">
        <v>1.0000000106085001</v>
      </c>
    </row>
    <row r="562" spans="1:40" x14ac:dyDescent="0.25">
      <c r="A562" t="str">
        <f>"20190303170237483"</f>
        <v>20190303170237483</v>
      </c>
      <c r="B562" t="str">
        <f>"1551603757476770"</f>
        <v>1551603757476770</v>
      </c>
      <c r="C562" t="s">
        <v>40</v>
      </c>
      <c r="D562">
        <v>4.2515460000000003</v>
      </c>
      <c r="E562">
        <v>0.5070808</v>
      </c>
      <c r="F562" t="s">
        <v>43</v>
      </c>
      <c r="G562">
        <v>-376.3852</v>
      </c>
      <c r="H562">
        <v>1.01613</v>
      </c>
      <c r="I562">
        <v>367.65679999999998</v>
      </c>
      <c r="J562">
        <v>-377.00819999999999</v>
      </c>
      <c r="K562">
        <v>1.12096</v>
      </c>
      <c r="L562">
        <v>367.70269999999999</v>
      </c>
      <c r="M562">
        <v>0.99996810000000003</v>
      </c>
      <c r="N562">
        <v>-7.8747499999999998E-3</v>
      </c>
      <c r="O562">
        <v>-1.4921299999999999E-3</v>
      </c>
      <c r="P562">
        <v>0.9909308</v>
      </c>
      <c r="Q562">
        <v>0.12701019999999999</v>
      </c>
      <c r="R562">
        <v>-4.387249E-2</v>
      </c>
      <c r="S562">
        <v>3.0727229999999999</v>
      </c>
      <c r="T562">
        <v>-0.41620610000000002</v>
      </c>
      <c r="U562">
        <v>-0.1824646</v>
      </c>
      <c r="V562">
        <v>4.2365E-2</v>
      </c>
      <c r="W562">
        <v>0.13481960000000001</v>
      </c>
      <c r="X562">
        <v>0.98996410000000001</v>
      </c>
      <c r="Y562">
        <v>5.7248449999999999E-2</v>
      </c>
      <c r="Z562">
        <v>-3.8935969999999999E-3</v>
      </c>
      <c r="AA562">
        <v>0.99835229999999997</v>
      </c>
      <c r="AB562">
        <v>25</v>
      </c>
      <c r="AC562">
        <v>0.62299999999999001</v>
      </c>
      <c r="AD562">
        <v>-0.10482999999999899</v>
      </c>
      <c r="AE562">
        <v>-4.5900000000017302E-2</v>
      </c>
      <c r="AF562">
        <v>4.3738611650812498E-2</v>
      </c>
      <c r="AG562">
        <v>-0.10482999999999899</v>
      </c>
      <c r="AH562">
        <v>0.60600232385250596</v>
      </c>
      <c r="AI562">
        <v>99.789280010222001</v>
      </c>
      <c r="AJ562">
        <v>85.871798318764604</v>
      </c>
      <c r="AK562">
        <v>0.61655592736083398</v>
      </c>
      <c r="AL562">
        <v>82.251811780712501</v>
      </c>
      <c r="AM562">
        <v>87.549552005142104</v>
      </c>
      <c r="AN562">
        <v>1.0000000185289799</v>
      </c>
    </row>
    <row r="563" spans="1:40" x14ac:dyDescent="0.25">
      <c r="A563" t="str">
        <f>"20190303170237497"</f>
        <v>20190303170237497</v>
      </c>
      <c r="B563" t="str">
        <f>"1551603757486531"</f>
        <v>1551603757486531</v>
      </c>
      <c r="C563" t="s">
        <v>40</v>
      </c>
      <c r="D563">
        <v>4.308929</v>
      </c>
      <c r="E563">
        <v>0.50602910000000001</v>
      </c>
      <c r="F563" t="s">
        <v>43</v>
      </c>
      <c r="G563">
        <v>-376.15629999999999</v>
      </c>
      <c r="H563">
        <v>1.0179320000000001</v>
      </c>
      <c r="I563">
        <v>367.65899999999999</v>
      </c>
      <c r="J563">
        <v>-376.85109999999997</v>
      </c>
      <c r="K563">
        <v>1.1209559999999901</v>
      </c>
      <c r="L563">
        <v>367.70249999999999</v>
      </c>
      <c r="M563">
        <v>0.99996839999999998</v>
      </c>
      <c r="N563">
        <v>-7.8307399999999992E-3</v>
      </c>
      <c r="O563">
        <v>-1.4001679999999901E-3</v>
      </c>
      <c r="P563">
        <v>0.99090440000000002</v>
      </c>
      <c r="Q563">
        <v>0.12731780000000001</v>
      </c>
      <c r="R563">
        <v>-4.3574439999999999E-2</v>
      </c>
      <c r="S563">
        <v>3.068085</v>
      </c>
      <c r="T563">
        <v>-0.37114629999999998</v>
      </c>
      <c r="U563">
        <v>-0.1567993</v>
      </c>
      <c r="V563">
        <v>4.2157890000000003E-2</v>
      </c>
      <c r="W563">
        <v>0.13508319999999999</v>
      </c>
      <c r="X563">
        <v>0.98993699999999996</v>
      </c>
      <c r="Y563">
        <v>4.9268779999999998E-2</v>
      </c>
      <c r="Z563">
        <v>-3.0033310000000001E-3</v>
      </c>
      <c r="AA563">
        <v>0.99878100000000003</v>
      </c>
      <c r="AB563">
        <v>25</v>
      </c>
      <c r="AC563">
        <v>0.69479999999998598</v>
      </c>
      <c r="AD563">
        <v>-0.10302399999999901</v>
      </c>
      <c r="AE563">
        <v>-4.3499999999994501E-2</v>
      </c>
      <c r="AF563">
        <v>4.1615677945017998E-2</v>
      </c>
      <c r="AG563">
        <v>-0.10302399999999901</v>
      </c>
      <c r="AH563">
        <v>0.67996843648332295</v>
      </c>
      <c r="AI563">
        <v>98.599673191482296</v>
      </c>
      <c r="AJ563">
        <v>86.497731153857899</v>
      </c>
      <c r="AK563">
        <v>0.68898685316949104</v>
      </c>
      <c r="AL563">
        <v>82.236569120928706</v>
      </c>
      <c r="AM563">
        <v>87.561450353176696</v>
      </c>
      <c r="AN563">
        <v>1.0000000112902401</v>
      </c>
    </row>
    <row r="564" spans="1:40" x14ac:dyDescent="0.25">
      <c r="A564" t="str">
        <f>"20190303170237516"</f>
        <v>20190303170237516</v>
      </c>
      <c r="B564" t="str">
        <f>"1551603757506050"</f>
        <v>1551603757506050</v>
      </c>
      <c r="C564" t="s">
        <v>40</v>
      </c>
      <c r="D564">
        <v>4.2984289999999996</v>
      </c>
      <c r="E564">
        <v>0.50462949999999995</v>
      </c>
      <c r="F564" t="s">
        <v>43</v>
      </c>
      <c r="G564">
        <v>-375.92939999999999</v>
      </c>
      <c r="H564">
        <v>1.0138469999999999</v>
      </c>
      <c r="I564">
        <v>367.6576</v>
      </c>
      <c r="J564">
        <v>-376.63830000000002</v>
      </c>
      <c r="K564">
        <v>1.120951</v>
      </c>
      <c r="L564">
        <v>367.70240000000001</v>
      </c>
      <c r="M564">
        <v>0.99996890000000005</v>
      </c>
      <c r="N564">
        <v>-7.7790719999999997E-3</v>
      </c>
      <c r="O564">
        <v>-1.2762310000000001E-3</v>
      </c>
      <c r="P564">
        <v>0.99084000000000005</v>
      </c>
      <c r="Q564">
        <v>0.1279381</v>
      </c>
      <c r="R564">
        <v>-4.3220599999999998E-2</v>
      </c>
      <c r="S564">
        <v>3.0668030000000002</v>
      </c>
      <c r="T564">
        <v>-0.3566223</v>
      </c>
      <c r="U564">
        <v>-0.14837649999999999</v>
      </c>
      <c r="V564">
        <v>4.1926690000000003E-2</v>
      </c>
      <c r="W564">
        <v>0.13565150000000001</v>
      </c>
      <c r="X564">
        <v>0.98986909999999895</v>
      </c>
      <c r="Y564">
        <v>4.6722319999999998E-2</v>
      </c>
      <c r="Z564">
        <v>-2.750415E-3</v>
      </c>
      <c r="AA564">
        <v>0.99890409999999996</v>
      </c>
      <c r="AB564">
        <v>26</v>
      </c>
      <c r="AC564">
        <v>0.70890000000002795</v>
      </c>
      <c r="AD564">
        <v>-0.107104</v>
      </c>
      <c r="AE564">
        <v>-4.4800000000009201E-2</v>
      </c>
      <c r="AF564">
        <v>4.2919408512638701E-2</v>
      </c>
      <c r="AG564">
        <v>-0.107104</v>
      </c>
      <c r="AH564">
        <v>0.69319622309025297</v>
      </c>
      <c r="AI564">
        <v>98.766647687276304</v>
      </c>
      <c r="AJ564">
        <v>86.457040914700002</v>
      </c>
      <c r="AK564">
        <v>0.70273348159146898</v>
      </c>
      <c r="AL564">
        <v>82.203705393025899</v>
      </c>
      <c r="AM564">
        <v>87.574641545263106</v>
      </c>
      <c r="AN564">
        <v>1.0000000059606999</v>
      </c>
    </row>
    <row r="565" spans="1:40" x14ac:dyDescent="0.25">
      <c r="A565" t="str">
        <f>"20190303170237537"</f>
        <v>20190303170237537</v>
      </c>
      <c r="B565" t="str">
        <f>"1551603757526546"</f>
        <v>1551603757526546</v>
      </c>
      <c r="C565" t="s">
        <v>40</v>
      </c>
      <c r="D565">
        <v>4.2727760000000004</v>
      </c>
      <c r="E565">
        <v>0.50382669999999996</v>
      </c>
      <c r="F565" t="s">
        <v>43</v>
      </c>
      <c r="G565">
        <v>-375.6977</v>
      </c>
      <c r="H565">
        <v>1.0184029999999999</v>
      </c>
      <c r="I565">
        <v>367.6601</v>
      </c>
      <c r="J565">
        <v>-376.3922</v>
      </c>
      <c r="K565">
        <v>1.1209439999999999</v>
      </c>
      <c r="L565">
        <v>367.7022</v>
      </c>
      <c r="M565">
        <v>0.99996949999999996</v>
      </c>
      <c r="N565">
        <v>-7.7295289999999997E-3</v>
      </c>
      <c r="O565">
        <v>-1.133946E-3</v>
      </c>
      <c r="P565">
        <v>0.99077899999999997</v>
      </c>
      <c r="Q565">
        <v>0.12861739999999999</v>
      </c>
      <c r="R565">
        <v>-4.2600239999999998E-2</v>
      </c>
      <c r="S565">
        <v>3.0649410000000001</v>
      </c>
      <c r="T565">
        <v>-0.33440449999999999</v>
      </c>
      <c r="U565">
        <v>-0.13674929999999999</v>
      </c>
      <c r="V565">
        <v>4.1447079999999997E-2</v>
      </c>
      <c r="W565">
        <v>0.13628129999999999</v>
      </c>
      <c r="X565">
        <v>0.98980279999999998</v>
      </c>
      <c r="Y565">
        <v>4.3171880000000003E-2</v>
      </c>
      <c r="Z565">
        <v>-2.3999440000000002E-3</v>
      </c>
      <c r="AA565">
        <v>0.99906479999999998</v>
      </c>
      <c r="AB565">
        <v>26</v>
      </c>
      <c r="AC565">
        <v>0.694500000000005</v>
      </c>
      <c r="AD565">
        <v>-0.10254099999999899</v>
      </c>
      <c r="AE565">
        <v>-4.2100000000004897E-2</v>
      </c>
      <c r="AF565">
        <v>4.04341975838034E-2</v>
      </c>
      <c r="AG565">
        <v>-0.10254099999999899</v>
      </c>
      <c r="AH565">
        <v>0.67978249283069703</v>
      </c>
      <c r="AI565">
        <v>98.563134333346198</v>
      </c>
      <c r="AJ565">
        <v>86.595995766349901</v>
      </c>
      <c r="AK565">
        <v>0.68866088793713498</v>
      </c>
      <c r="AL565">
        <v>82.167282360555603</v>
      </c>
      <c r="AM565">
        <v>87.602192853812895</v>
      </c>
      <c r="AN565">
        <v>1.0000000180290201</v>
      </c>
    </row>
    <row r="566" spans="1:40" x14ac:dyDescent="0.25">
      <c r="A566" t="str">
        <f>"20190303170237549"</f>
        <v>20190303170237549</v>
      </c>
      <c r="B566" t="str">
        <f>"1551603757536306"</f>
        <v>1551603757536306</v>
      </c>
      <c r="C566" t="s">
        <v>40</v>
      </c>
      <c r="D566">
        <v>4.2762060000000002</v>
      </c>
      <c r="E566">
        <v>0.5035174</v>
      </c>
      <c r="F566" t="s">
        <v>43</v>
      </c>
      <c r="G566">
        <v>-375.46460000000002</v>
      </c>
      <c r="H566">
        <v>1.0242389999999999</v>
      </c>
      <c r="I566">
        <v>367.66309999999999</v>
      </c>
      <c r="J566">
        <v>-376.23700000000002</v>
      </c>
      <c r="K566">
        <v>1.1209420000000001</v>
      </c>
      <c r="L566">
        <v>367.70209999999997</v>
      </c>
      <c r="M566">
        <v>0.99996980000000002</v>
      </c>
      <c r="N566">
        <v>-7.7030880000000003E-3</v>
      </c>
      <c r="O566">
        <v>-1.0456370000000001E-3</v>
      </c>
      <c r="P566">
        <v>0.9907994</v>
      </c>
      <c r="Q566">
        <v>0.12865099999999999</v>
      </c>
      <c r="R566">
        <v>-4.2017289999999999E-2</v>
      </c>
      <c r="S566">
        <v>3.063904</v>
      </c>
      <c r="T566">
        <v>-0.31953920000000002</v>
      </c>
      <c r="U566">
        <v>-0.1285095</v>
      </c>
      <c r="V566">
        <v>4.095178E-2</v>
      </c>
      <c r="W566">
        <v>0.136288299999999</v>
      </c>
      <c r="X566">
        <v>0.98982239999999999</v>
      </c>
      <c r="Y566">
        <v>4.0629970000000001E-2</v>
      </c>
      <c r="Z566">
        <v>-2.1683660000000001E-3</v>
      </c>
      <c r="AA566">
        <v>0.9991719</v>
      </c>
      <c r="AB566">
        <v>26</v>
      </c>
      <c r="AC566">
        <v>0.77239999999994702</v>
      </c>
      <c r="AD566">
        <v>-9.6703000000000205E-2</v>
      </c>
      <c r="AE566">
        <v>-3.8999999999987198E-2</v>
      </c>
      <c r="AF566">
        <v>3.7604371621826498E-2</v>
      </c>
      <c r="AG566">
        <v>-9.6703000000000205E-2</v>
      </c>
      <c r="AH566">
        <v>0.76054939674653799</v>
      </c>
      <c r="AI566">
        <v>97.237464073747205</v>
      </c>
      <c r="AJ566">
        <v>87.169390154198595</v>
      </c>
      <c r="AK566">
        <v>0.76759425731671205</v>
      </c>
      <c r="AL566">
        <v>82.166877104790004</v>
      </c>
      <c r="AM566">
        <v>87.630861088529102</v>
      </c>
      <c r="AN566">
        <v>0.99999996627190801</v>
      </c>
    </row>
    <row r="567" spans="1:40" x14ac:dyDescent="0.25">
      <c r="A567" t="str">
        <f>"20190303170237570"</f>
        <v>20190303170237570</v>
      </c>
      <c r="B567" t="str">
        <f>"1551603757556802"</f>
        <v>1551603757556802</v>
      </c>
      <c r="C567" t="s">
        <v>40</v>
      </c>
      <c r="D567">
        <v>4.2712379999999897</v>
      </c>
      <c r="E567">
        <v>0.50318960000000001</v>
      </c>
      <c r="F567" t="s">
        <v>43</v>
      </c>
      <c r="G567">
        <v>-375.45639999999997</v>
      </c>
      <c r="H567">
        <v>1.040862</v>
      </c>
      <c r="I567">
        <v>367.67020000000002</v>
      </c>
      <c r="J567">
        <v>-376.01310000000001</v>
      </c>
      <c r="K567">
        <v>1.1209389999999999</v>
      </c>
      <c r="L567">
        <v>367.702</v>
      </c>
      <c r="M567">
        <v>0.99997020000000003</v>
      </c>
      <c r="N567">
        <v>-7.6723719999999898E-3</v>
      </c>
      <c r="O567">
        <v>-9.2180219999999995E-4</v>
      </c>
      <c r="P567">
        <v>0.9907823</v>
      </c>
      <c r="Q567">
        <v>0.12901550000000001</v>
      </c>
      <c r="R567">
        <v>-4.1300440000000001E-2</v>
      </c>
      <c r="S567">
        <v>3.0633849999999998</v>
      </c>
      <c r="T567">
        <v>-0.31444860000000002</v>
      </c>
      <c r="U567">
        <v>-0.1247253</v>
      </c>
      <c r="V567">
        <v>4.0358239999999997E-2</v>
      </c>
      <c r="W567">
        <v>0.1366223</v>
      </c>
      <c r="X567">
        <v>0.98980080000000004</v>
      </c>
      <c r="Y567">
        <v>3.9541189999999997E-2</v>
      </c>
      <c r="Z567">
        <v>-2.08815E-3</v>
      </c>
      <c r="AA567">
        <v>0.99921579999999999</v>
      </c>
      <c r="AB567">
        <v>26</v>
      </c>
      <c r="AC567">
        <v>0.55670000000003395</v>
      </c>
      <c r="AD567">
        <v>-8.0076999999999704E-2</v>
      </c>
      <c r="AE567">
        <v>-3.1799999999975598E-2</v>
      </c>
      <c r="AF567">
        <v>3.06546047167604E-2</v>
      </c>
      <c r="AG567">
        <v>-8.0076999999999704E-2</v>
      </c>
      <c r="AH567">
        <v>0.54547948518132605</v>
      </c>
      <c r="AI567">
        <v>98.338461575146297</v>
      </c>
      <c r="AJ567">
        <v>86.783501417515396</v>
      </c>
      <c r="AK567">
        <v>0.55217741666336295</v>
      </c>
      <c r="AL567">
        <v>82.147560142046501</v>
      </c>
      <c r="AM567">
        <v>87.665109338094993</v>
      </c>
      <c r="AN567">
        <v>1.00000003203691</v>
      </c>
    </row>
    <row r="568" spans="1:40" x14ac:dyDescent="0.25">
      <c r="A568" t="str">
        <f>"20190303170237582"</f>
        <v>20190303170237582</v>
      </c>
      <c r="B568" t="str">
        <f>"1551603757576321"</f>
        <v>1551603757576321</v>
      </c>
      <c r="C568" t="s">
        <v>40</v>
      </c>
      <c r="D568">
        <v>4.23733</v>
      </c>
      <c r="E568">
        <v>0.50286070000000005</v>
      </c>
      <c r="F568" t="s">
        <v>43</v>
      </c>
      <c r="G568">
        <v>-375.22489999999999</v>
      </c>
      <c r="H568">
        <v>1.0422439999999999</v>
      </c>
      <c r="I568">
        <v>367.67079999999999</v>
      </c>
      <c r="J568">
        <v>-375.8734</v>
      </c>
      <c r="K568">
        <v>1.120938</v>
      </c>
      <c r="L568">
        <v>367.702</v>
      </c>
      <c r="M568">
        <v>0.99997040000000004</v>
      </c>
      <c r="N568">
        <v>-7.6579300000000003E-3</v>
      </c>
      <c r="O568">
        <v>-8.4822089999999999E-4</v>
      </c>
      <c r="P568">
        <v>0.9908226</v>
      </c>
      <c r="Q568">
        <v>0.12883889999999901</v>
      </c>
      <c r="R568">
        <v>-4.0881050000000002E-2</v>
      </c>
      <c r="S568">
        <v>3.0627439999999999</v>
      </c>
      <c r="T568">
        <v>-0.30598750000000002</v>
      </c>
      <c r="U568">
        <v>-0.1203613</v>
      </c>
      <c r="V568">
        <v>4.0012680000000002E-2</v>
      </c>
      <c r="W568">
        <v>0.13643150000000001</v>
      </c>
      <c r="X568">
        <v>0.98984110000000003</v>
      </c>
      <c r="Y568">
        <v>3.8219570000000001E-2</v>
      </c>
      <c r="Z568">
        <v>-1.9724880000000001E-3</v>
      </c>
      <c r="AA568">
        <v>0.99926740000000003</v>
      </c>
      <c r="AB568">
        <v>26</v>
      </c>
      <c r="AC568">
        <v>0.64850000000001196</v>
      </c>
      <c r="AD568">
        <v>-7.8694E-2</v>
      </c>
      <c r="AE568">
        <v>-3.1200000000012499E-2</v>
      </c>
      <c r="AF568">
        <v>3.0206135100334101E-2</v>
      </c>
      <c r="AG568">
        <v>-7.8694E-2</v>
      </c>
      <c r="AH568">
        <v>0.63913650811916101</v>
      </c>
      <c r="AI568">
        <v>97.011495260172495</v>
      </c>
      <c r="AJ568">
        <v>87.294166091709798</v>
      </c>
      <c r="AK568">
        <v>0.64467094881377596</v>
      </c>
      <c r="AL568">
        <v>82.158595144329098</v>
      </c>
      <c r="AM568">
        <v>87.685173712390394</v>
      </c>
      <c r="AN568">
        <v>0.99999998600112106</v>
      </c>
    </row>
    <row r="569" spans="1:40" x14ac:dyDescent="0.25">
      <c r="A569" t="str">
        <f>"20190303170237594"</f>
        <v>20190303170237594</v>
      </c>
      <c r="B569" t="str">
        <f>"1551603757586082"</f>
        <v>1551603757586082</v>
      </c>
      <c r="C569" t="s">
        <v>40</v>
      </c>
      <c r="D569">
        <v>4.1944359999999996</v>
      </c>
      <c r="E569">
        <v>0.50277729999999998</v>
      </c>
      <c r="F569" t="s">
        <v>43</v>
      </c>
      <c r="G569">
        <v>-374.99689999999998</v>
      </c>
      <c r="H569">
        <v>1.0352440000000001</v>
      </c>
      <c r="I569">
        <v>367.66820000000001</v>
      </c>
      <c r="J569">
        <v>-375.72269999999997</v>
      </c>
      <c r="K569">
        <v>1.120932</v>
      </c>
      <c r="L569">
        <v>367.70190000000002</v>
      </c>
      <c r="M569">
        <v>0.99997060000000004</v>
      </c>
      <c r="N569">
        <v>-7.6450540000000001E-3</v>
      </c>
      <c r="O569">
        <v>-7.7155669999999998E-4</v>
      </c>
      <c r="P569">
        <v>0.99078900000000003</v>
      </c>
      <c r="Q569">
        <v>0.12913269999999999</v>
      </c>
      <c r="R569">
        <v>-4.0772940000000001E-2</v>
      </c>
      <c r="S569">
        <v>3.0619200000000002</v>
      </c>
      <c r="T569">
        <v>-0.29955300000000001</v>
      </c>
      <c r="U569">
        <v>-0.11685180000000001</v>
      </c>
      <c r="V569">
        <v>3.9981629999999997E-2</v>
      </c>
      <c r="W569">
        <v>0.13671159999999999</v>
      </c>
      <c r="X569">
        <v>0.98980369999999995</v>
      </c>
      <c r="Y569">
        <v>3.7176099999999997E-2</v>
      </c>
      <c r="Z569">
        <v>-1.886649E-3</v>
      </c>
      <c r="AA569">
        <v>0.99930699999999995</v>
      </c>
      <c r="AB569">
        <v>26</v>
      </c>
      <c r="AC569">
        <v>0.72579999999999201</v>
      </c>
      <c r="AD569">
        <v>-8.5687999999999903E-2</v>
      </c>
      <c r="AE569">
        <v>-3.3700000000010201E-2</v>
      </c>
      <c r="AF569">
        <v>3.2685383102718603E-2</v>
      </c>
      <c r="AG569">
        <v>-8.5687999999999903E-2</v>
      </c>
      <c r="AH569">
        <v>0.71586933512858097</v>
      </c>
      <c r="AI569">
        <v>96.818668346586904</v>
      </c>
      <c r="AJ569">
        <v>87.385787202217202</v>
      </c>
      <c r="AK569">
        <v>0.72171994055174105</v>
      </c>
      <c r="AL569">
        <v>82.142394742466905</v>
      </c>
      <c r="AM569">
        <v>87.686880771458604</v>
      </c>
      <c r="AN569">
        <v>0.99999997842285304</v>
      </c>
    </row>
    <row r="570" spans="1:40" x14ac:dyDescent="0.25">
      <c r="A570" t="str">
        <f>"20190303170237606"</f>
        <v>20190303170237606</v>
      </c>
      <c r="B570" t="str">
        <f>"1551603757596818"</f>
        <v>1551603757596818</v>
      </c>
      <c r="C570" t="s">
        <v>40</v>
      </c>
      <c r="D570">
        <v>4.2271029999999996</v>
      </c>
      <c r="E570">
        <v>0.50269039999999998</v>
      </c>
      <c r="F570" t="s">
        <v>43</v>
      </c>
      <c r="G570">
        <v>-374.98719999999997</v>
      </c>
      <c r="H570">
        <v>1.049898</v>
      </c>
      <c r="I570">
        <v>367.6739</v>
      </c>
      <c r="J570">
        <v>-375.58499999999998</v>
      </c>
      <c r="K570">
        <v>1.1209229999999999</v>
      </c>
      <c r="L570">
        <v>367.70190000000002</v>
      </c>
      <c r="M570">
        <v>0.99997069999999999</v>
      </c>
      <c r="N570">
        <v>-7.6394669999999996E-3</v>
      </c>
      <c r="O570">
        <v>-7.0936190000000002E-4</v>
      </c>
      <c r="P570">
        <v>0.99079539999999999</v>
      </c>
      <c r="Q570">
        <v>0.12907199999999999</v>
      </c>
      <c r="R570">
        <v>-4.0806450000000001E-2</v>
      </c>
      <c r="S570">
        <v>3.0617070000000002</v>
      </c>
      <c r="T570">
        <v>-0.29597400000000001</v>
      </c>
      <c r="U570">
        <v>-0.1156006</v>
      </c>
      <c r="V570">
        <v>4.0078629999999997E-2</v>
      </c>
      <c r="W570">
        <v>0.1366445</v>
      </c>
      <c r="X570">
        <v>0.98980900000000005</v>
      </c>
      <c r="Y570">
        <v>3.6838830000000003E-2</v>
      </c>
      <c r="Z570">
        <v>-1.853964E-3</v>
      </c>
      <c r="AA570">
        <v>0.99931950000000003</v>
      </c>
      <c r="AB570">
        <v>26</v>
      </c>
      <c r="AC570">
        <v>0.59780000000000599</v>
      </c>
      <c r="AD570">
        <v>-7.1024999999999894E-2</v>
      </c>
      <c r="AE570">
        <v>-2.8000000000019998E-2</v>
      </c>
      <c r="AF570">
        <v>2.7192910115129199E-2</v>
      </c>
      <c r="AG570">
        <v>-7.1024999999999894E-2</v>
      </c>
      <c r="AH570">
        <v>0.58951633486427601</v>
      </c>
      <c r="AI570">
        <v>96.862662914424902</v>
      </c>
      <c r="AJ570">
        <v>87.358961470664795</v>
      </c>
      <c r="AK570">
        <v>0.59440181195664199</v>
      </c>
      <c r="AL570">
        <v>82.146275376691804</v>
      </c>
      <c r="AM570">
        <v>87.681287400211502</v>
      </c>
      <c r="AN570">
        <v>0.99999993622196104</v>
      </c>
    </row>
    <row r="571" spans="1:40" x14ac:dyDescent="0.25">
      <c r="A571" t="str">
        <f>"20190303170237619"</f>
        <v>20190303170237619</v>
      </c>
      <c r="B571" t="str">
        <f>"1551603757606579"</f>
        <v>1551603757606579</v>
      </c>
      <c r="C571" t="s">
        <v>40</v>
      </c>
      <c r="D571">
        <v>4.3018239999999999</v>
      </c>
      <c r="E571">
        <v>0.50269039999999998</v>
      </c>
      <c r="F571" t="s">
        <v>43</v>
      </c>
      <c r="G571">
        <v>-374.76139999999998</v>
      </c>
      <c r="H571">
        <v>1.0420259999999999</v>
      </c>
      <c r="I571">
        <v>367.67059999999998</v>
      </c>
      <c r="J571">
        <v>-375.44139999999999</v>
      </c>
      <c r="K571">
        <v>1.1209169999999999</v>
      </c>
      <c r="L571">
        <v>367.70179999999999</v>
      </c>
      <c r="M571">
        <v>0.99997069999999999</v>
      </c>
      <c r="N571">
        <v>-7.6355349999999997E-3</v>
      </c>
      <c r="O571">
        <v>-6.4801720000000004E-4</v>
      </c>
      <c r="P571">
        <v>0.99076989999999998</v>
      </c>
      <c r="Q571">
        <v>0.1292528</v>
      </c>
      <c r="R571">
        <v>-4.0851789999999999E-2</v>
      </c>
      <c r="S571">
        <v>3.0613100000000002</v>
      </c>
      <c r="T571">
        <v>-0.29343340000000001</v>
      </c>
      <c r="U571">
        <v>-0.1152039</v>
      </c>
      <c r="V571">
        <v>4.0187130000000001E-2</v>
      </c>
      <c r="W571">
        <v>0.13682069999999999</v>
      </c>
      <c r="X571">
        <v>0.98978029999999995</v>
      </c>
      <c r="Y571">
        <v>3.6778699999999998E-2</v>
      </c>
      <c r="Z571">
        <v>-1.841809E-3</v>
      </c>
      <c r="AA571">
        <v>0.99932180000000004</v>
      </c>
      <c r="AB571">
        <v>26</v>
      </c>
      <c r="AC571">
        <v>0.68000000000000604</v>
      </c>
      <c r="AD571">
        <v>-7.8890999999999795E-2</v>
      </c>
      <c r="AE571">
        <v>-3.1200000000012499E-2</v>
      </c>
      <c r="AF571">
        <v>3.03516612816798E-2</v>
      </c>
      <c r="AG571">
        <v>-7.8890999999999795E-2</v>
      </c>
      <c r="AH571">
        <v>0.67100745449019505</v>
      </c>
      <c r="AI571">
        <v>96.698749893719594</v>
      </c>
      <c r="AJ571">
        <v>87.410106982852895</v>
      </c>
      <c r="AK571">
        <v>0.676310592261402</v>
      </c>
      <c r="AL571">
        <v>82.136084456882799</v>
      </c>
      <c r="AM571">
        <v>87.674949768836399</v>
      </c>
      <c r="AN571">
        <v>0.99999997581710798</v>
      </c>
    </row>
    <row r="572" spans="1:40" x14ac:dyDescent="0.25">
      <c r="A572" t="str">
        <f>"20190303170237635"</f>
        <v>20190303170237635</v>
      </c>
      <c r="B572" t="str">
        <f>"1551603757626098"</f>
        <v>1551603757626098</v>
      </c>
      <c r="C572" t="s">
        <v>40</v>
      </c>
      <c r="D572">
        <v>4.2149599999999996</v>
      </c>
      <c r="E572">
        <v>0.489315</v>
      </c>
      <c r="F572" t="s">
        <v>43</v>
      </c>
      <c r="G572">
        <v>-374.53250000000003</v>
      </c>
      <c r="H572">
        <v>1.0340049999999901</v>
      </c>
      <c r="I572">
        <v>367.66739999999999</v>
      </c>
      <c r="J572">
        <v>-375.24669999999998</v>
      </c>
      <c r="K572">
        <v>1.120911</v>
      </c>
      <c r="L572">
        <v>367.70179999999999</v>
      </c>
      <c r="M572">
        <v>0.99997069999999999</v>
      </c>
      <c r="N572">
        <v>-7.6354500000000002E-3</v>
      </c>
      <c r="O572">
        <v>-5.7492730000000003E-4</v>
      </c>
      <c r="P572">
        <v>0.99073339999999999</v>
      </c>
      <c r="Q572">
        <v>0.1296445</v>
      </c>
      <c r="R572">
        <v>-4.0493210000000002E-2</v>
      </c>
      <c r="S572">
        <v>3.0614319999999999</v>
      </c>
      <c r="T572">
        <v>-0.2928905</v>
      </c>
      <c r="U572">
        <v>-0.11502080000000001</v>
      </c>
      <c r="V572">
        <v>3.9904540000000002E-2</v>
      </c>
      <c r="W572">
        <v>0.13721129999999901</v>
      </c>
      <c r="X572">
        <v>0.98973770000000005</v>
      </c>
      <c r="Y572">
        <v>3.6790870000000003E-2</v>
      </c>
      <c r="Z572">
        <v>-1.8456620000000001E-3</v>
      </c>
      <c r="AA572">
        <v>0.99932129999999997</v>
      </c>
      <c r="AB572">
        <v>26</v>
      </c>
      <c r="AC572">
        <v>0.71419999999994799</v>
      </c>
      <c r="AD572">
        <v>-8.6906000000000094E-2</v>
      </c>
      <c r="AE572">
        <v>-3.4400000000005003E-2</v>
      </c>
      <c r="AF572">
        <v>3.3494571332527798E-2</v>
      </c>
      <c r="AG572">
        <v>-8.6906000000000094E-2</v>
      </c>
      <c r="AH572">
        <v>0.70382245571301905</v>
      </c>
      <c r="AI572">
        <v>97.031212784472004</v>
      </c>
      <c r="AJ572">
        <v>87.275377110632107</v>
      </c>
      <c r="AK572">
        <v>0.70995815954931696</v>
      </c>
      <c r="AL572">
        <v>82.113491951074096</v>
      </c>
      <c r="AM572">
        <v>87.691182163056197</v>
      </c>
      <c r="AN572">
        <v>1.0000000139807901</v>
      </c>
    </row>
    <row r="573" spans="1:40" x14ac:dyDescent="0.25">
      <c r="A573" t="str">
        <f>"20190303170237647"</f>
        <v>20190303170237647</v>
      </c>
      <c r="B573" t="str">
        <f>"1551603757636834"</f>
        <v>1551603757636834</v>
      </c>
      <c r="C573" t="s">
        <v>40</v>
      </c>
      <c r="D573">
        <v>4.1780359999999996</v>
      </c>
      <c r="E573">
        <v>0.48734670000000002</v>
      </c>
      <c r="F573" t="s">
        <v>42</v>
      </c>
      <c r="G573">
        <v>-350.10950000000003</v>
      </c>
      <c r="H573" s="1">
        <v>-4.5858589999999999E-6</v>
      </c>
      <c r="I573">
        <v>367.58359999999999</v>
      </c>
      <c r="J573">
        <v>-375.10480000000001</v>
      </c>
      <c r="K573">
        <v>1.1208990000000001</v>
      </c>
      <c r="L573">
        <v>367.70179999999999</v>
      </c>
      <c r="M573">
        <v>0.99997080000000005</v>
      </c>
      <c r="N573">
        <v>-7.6389459999999998E-3</v>
      </c>
      <c r="O573">
        <v>-5.3246949999999999E-4</v>
      </c>
      <c r="P573">
        <v>0.99073120000000003</v>
      </c>
      <c r="Q573">
        <v>0.12973519999999999</v>
      </c>
      <c r="R573">
        <v>-4.0259440000000001E-2</v>
      </c>
      <c r="S573">
        <v>3.0452270000000001</v>
      </c>
      <c r="T573">
        <v>-0.135792</v>
      </c>
      <c r="U573">
        <v>-1.4312739999999999E-2</v>
      </c>
      <c r="V573">
        <v>3.9716130000000002E-2</v>
      </c>
      <c r="W573">
        <v>0.13730439999999999</v>
      </c>
      <c r="X573">
        <v>0.98973239999999996</v>
      </c>
      <c r="Y573">
        <v>4.163043E-3</v>
      </c>
      <c r="Z573" s="1">
        <v>-8.901634E-5</v>
      </c>
      <c r="AA573">
        <v>0.99999139999999997</v>
      </c>
      <c r="AB573">
        <v>26</v>
      </c>
      <c r="AC573">
        <v>24.995299999999901</v>
      </c>
      <c r="AD573">
        <v>-1.120903585859</v>
      </c>
      <c r="AE573">
        <v>-0.118200000000001</v>
      </c>
      <c r="AF573">
        <v>0.104679851370372</v>
      </c>
      <c r="AG573">
        <v>-1.120903585859</v>
      </c>
      <c r="AH573">
        <v>24.945194837171101</v>
      </c>
      <c r="AI573">
        <v>92.572812453689593</v>
      </c>
      <c r="AJ573">
        <v>89.759565779418196</v>
      </c>
      <c r="AK573">
        <v>24.9705852591505</v>
      </c>
      <c r="AL573">
        <v>82.108107002675794</v>
      </c>
      <c r="AM573">
        <v>87.702059281901299</v>
      </c>
      <c r="AN573">
        <v>1.00000004642564</v>
      </c>
    </row>
    <row r="574" spans="1:40" x14ac:dyDescent="0.25">
      <c r="A574" t="str">
        <f>"20190303170237660"</f>
        <v>20190303170237660</v>
      </c>
      <c r="B574" t="str">
        <f>"1551603757646593"</f>
        <v>1551603757646593</v>
      </c>
      <c r="C574" t="s">
        <v>40</v>
      </c>
      <c r="D574">
        <v>4.5103200000000001</v>
      </c>
      <c r="E574">
        <v>0.48617369999999999</v>
      </c>
      <c r="F574" t="s">
        <v>42</v>
      </c>
      <c r="G574">
        <v>-344.75290000000001</v>
      </c>
      <c r="H574" s="1">
        <v>-2.7988070000000002E-6</v>
      </c>
      <c r="I574">
        <v>367.71089999999998</v>
      </c>
      <c r="J574">
        <v>-374.96499999999997</v>
      </c>
      <c r="K574">
        <v>1.120889</v>
      </c>
      <c r="L574">
        <v>367.70179999999999</v>
      </c>
      <c r="M574">
        <v>0.99997069999999999</v>
      </c>
      <c r="N574">
        <v>-7.6433469999999896E-3</v>
      </c>
      <c r="O574">
        <v>-4.9514160000000004E-4</v>
      </c>
      <c r="P574">
        <v>0.99075219999999997</v>
      </c>
      <c r="Q574">
        <v>0.12958410000000001</v>
      </c>
      <c r="R574">
        <v>-4.0225610000000002E-2</v>
      </c>
      <c r="S574">
        <v>3.0428470000000001</v>
      </c>
      <c r="T574">
        <v>-0.1123729</v>
      </c>
      <c r="U574">
        <v>9.1552729999999996E-4</v>
      </c>
      <c r="V574">
        <v>3.9722670000000002E-2</v>
      </c>
      <c r="W574">
        <v>0.137157</v>
      </c>
      <c r="X574">
        <v>0.98975250000000004</v>
      </c>
      <c r="Y574">
        <v>-7.9516799999999996E-4</v>
      </c>
      <c r="Z574" s="1">
        <v>3.2213879999999999E-5</v>
      </c>
      <c r="AA574">
        <v>0.99999970000000005</v>
      </c>
      <c r="AB574">
        <v>26</v>
      </c>
      <c r="AC574">
        <v>30.2120999999999</v>
      </c>
      <c r="AD574">
        <v>-1.120891798807</v>
      </c>
      <c r="AE574">
        <v>9.0999999999894499E-3</v>
      </c>
      <c r="AF574">
        <v>-2.40266310603479E-2</v>
      </c>
      <c r="AG574">
        <v>-1.120891798807</v>
      </c>
      <c r="AH574">
        <v>30.170563033456599</v>
      </c>
      <c r="AI574">
        <v>92.127664159557895</v>
      </c>
      <c r="AJ574">
        <v>90.045628060143699</v>
      </c>
      <c r="AK574">
        <v>30.1913870078772</v>
      </c>
      <c r="AL574">
        <v>82.116632475486895</v>
      </c>
      <c r="AM574">
        <v>87.701727913394905</v>
      </c>
      <c r="AN574">
        <v>0.99999997220858905</v>
      </c>
    </row>
    <row r="575" spans="1:40" x14ac:dyDescent="0.25">
      <c r="A575" t="str">
        <f>"20190303170237671"</f>
        <v>20190303170237671</v>
      </c>
      <c r="B575" t="str">
        <f>"1551603757656354"</f>
        <v>1551603757656354</v>
      </c>
      <c r="C575" t="s">
        <v>40</v>
      </c>
      <c r="D575">
        <v>4.186674</v>
      </c>
      <c r="E575">
        <v>0.48500919999999997</v>
      </c>
      <c r="F575" t="s">
        <v>42</v>
      </c>
      <c r="G575">
        <v>-339.1902</v>
      </c>
      <c r="H575" s="1">
        <v>-7.4129949999999999E-7</v>
      </c>
      <c r="I575">
        <v>367.81369999999998</v>
      </c>
      <c r="J575">
        <v>-374.8261</v>
      </c>
      <c r="K575">
        <v>1.1208720000000001</v>
      </c>
      <c r="L575">
        <v>367.70170000000002</v>
      </c>
      <c r="M575">
        <v>0.99997069999999999</v>
      </c>
      <c r="N575">
        <v>-7.6490719999999998E-3</v>
      </c>
      <c r="O575">
        <v>-4.6485370000000001E-4</v>
      </c>
      <c r="P575">
        <v>0.99079379999999995</v>
      </c>
      <c r="Q575">
        <v>0.12928729999999999</v>
      </c>
      <c r="R575">
        <v>-4.0155830000000003E-2</v>
      </c>
      <c r="S575">
        <v>3.0408629999999999</v>
      </c>
      <c r="T575">
        <v>-9.5275639999999995E-2</v>
      </c>
      <c r="U575">
        <v>9.5214840000000002E-3</v>
      </c>
      <c r="V575">
        <v>3.9686020000000002E-2</v>
      </c>
      <c r="W575">
        <v>0.13686509999999999</v>
      </c>
      <c r="X575">
        <v>0.98979439999999996</v>
      </c>
      <c r="Y575">
        <v>-3.5937030000000002E-3</v>
      </c>
      <c r="Z575" s="1">
        <v>8.103927E-5</v>
      </c>
      <c r="AA575">
        <v>0.99999360000000004</v>
      </c>
      <c r="AB575">
        <v>26</v>
      </c>
      <c r="AC575">
        <v>35.6358999999999</v>
      </c>
      <c r="AD575">
        <v>-1.1208727412995001</v>
      </c>
      <c r="AE575">
        <v>0.111999999999966</v>
      </c>
      <c r="AF575">
        <v>-0.12843888544962101</v>
      </c>
      <c r="AG575">
        <v>-1.1208727412995001</v>
      </c>
      <c r="AH575">
        <v>35.600623993486302</v>
      </c>
      <c r="AI575">
        <v>91.803329404098406</v>
      </c>
      <c r="AJ575">
        <v>90.206709133382802</v>
      </c>
      <c r="AK575">
        <v>35.618496332314102</v>
      </c>
      <c r="AL575">
        <v>82.133516517630298</v>
      </c>
      <c r="AM575">
        <v>87.703943233197293</v>
      </c>
      <c r="AN575">
        <v>0.99999999502640502</v>
      </c>
    </row>
    <row r="576" spans="1:40" x14ac:dyDescent="0.25">
      <c r="A576" t="str">
        <f>"20190303170237684"</f>
        <v>20190303170237684</v>
      </c>
      <c r="B576" t="str">
        <f>"1551603757676850"</f>
        <v>1551603757676850</v>
      </c>
      <c r="C576" t="s">
        <v>40</v>
      </c>
      <c r="D576">
        <v>4.1278480000000002</v>
      </c>
      <c r="E576">
        <v>0.4839657</v>
      </c>
      <c r="F576" t="s">
        <v>42</v>
      </c>
      <c r="G576">
        <v>-334.02440000000001</v>
      </c>
      <c r="H576" s="1">
        <v>-2.8414220000000002E-6</v>
      </c>
      <c r="I576">
        <v>367.94990000000001</v>
      </c>
      <c r="J576">
        <v>-374.678</v>
      </c>
      <c r="K576">
        <v>1.12086</v>
      </c>
      <c r="L576">
        <v>367.70170000000002</v>
      </c>
      <c r="M576">
        <v>0.99997069999999999</v>
      </c>
      <c r="N576">
        <v>-7.6563990000000004E-3</v>
      </c>
      <c r="O576">
        <v>-4.4148780000000001E-4</v>
      </c>
      <c r="P576">
        <v>0.99081900000000001</v>
      </c>
      <c r="Q576">
        <v>0.1290637</v>
      </c>
      <c r="R576">
        <v>-4.0255430000000002E-2</v>
      </c>
      <c r="S576">
        <v>3.0394899999999998</v>
      </c>
      <c r="T576">
        <v>-8.349848E-2</v>
      </c>
      <c r="U576">
        <v>1.849365E-2</v>
      </c>
      <c r="V576">
        <v>3.9811970000000002E-2</v>
      </c>
      <c r="W576">
        <v>0.13664780000000001</v>
      </c>
      <c r="X576">
        <v>0.98981929999999996</v>
      </c>
      <c r="Y576">
        <v>-6.5226059999999898E-3</v>
      </c>
      <c r="Z576">
        <v>1.232967E-4</v>
      </c>
      <c r="AA576">
        <v>0.9999787</v>
      </c>
      <c r="AB576">
        <v>26</v>
      </c>
      <c r="AC576">
        <v>40.653599999999997</v>
      </c>
      <c r="AD576">
        <v>-1.1208628414220001</v>
      </c>
      <c r="AE576">
        <v>0.24819999999999701</v>
      </c>
      <c r="AF576">
        <v>-0.26594641320076201</v>
      </c>
      <c r="AG576">
        <v>-1.1208628414220001</v>
      </c>
      <c r="AH576">
        <v>40.622607790922203</v>
      </c>
      <c r="AI576">
        <v>91.580475710830299</v>
      </c>
      <c r="AJ576">
        <v>90.375096287323501</v>
      </c>
      <c r="AK576">
        <v>40.638938528695299</v>
      </c>
      <c r="AL576">
        <v>82.146084464459193</v>
      </c>
      <c r="AM576">
        <v>87.696722042432796</v>
      </c>
      <c r="AN576">
        <v>0.99999993042630297</v>
      </c>
    </row>
    <row r="577" spans="1:40" x14ac:dyDescent="0.25">
      <c r="A577" t="str">
        <f>"20190303170237705"</f>
        <v>20190303170237705</v>
      </c>
      <c r="B577" t="str">
        <f>"1551603757696370"</f>
        <v>1551603757696370</v>
      </c>
      <c r="C577" t="s">
        <v>40</v>
      </c>
      <c r="D577">
        <v>4.1703669999999997</v>
      </c>
      <c r="E577">
        <v>0.48338140000000002</v>
      </c>
      <c r="F577" t="s">
        <v>42</v>
      </c>
      <c r="G577">
        <v>-326.9914</v>
      </c>
      <c r="H577" s="1">
        <v>-1.5402619999999999E-6</v>
      </c>
      <c r="I577">
        <v>368.10969999999998</v>
      </c>
      <c r="J577">
        <v>-374.43639999999999</v>
      </c>
      <c r="K577">
        <v>1.120843</v>
      </c>
      <c r="L577">
        <v>367.70159999999998</v>
      </c>
      <c r="M577">
        <v>0.99997060000000004</v>
      </c>
      <c r="N577">
        <v>-7.6699069999999897E-3</v>
      </c>
      <c r="O577">
        <v>-4.159209E-4</v>
      </c>
      <c r="P577">
        <v>0.99085970000000001</v>
      </c>
      <c r="Q577">
        <v>0.12866449999999999</v>
      </c>
      <c r="R577">
        <v>-4.0535170000000002E-2</v>
      </c>
      <c r="S577">
        <v>3.0381770000000001</v>
      </c>
      <c r="T577">
        <v>-7.1411489999999994E-2</v>
      </c>
      <c r="U577">
        <v>2.600098E-2</v>
      </c>
      <c r="V577">
        <v>4.0121440000000001E-2</v>
      </c>
      <c r="W577">
        <v>0.13626089999999999</v>
      </c>
      <c r="X577">
        <v>0.98986019999999997</v>
      </c>
      <c r="Y577">
        <v>-8.9703500000000002E-3</v>
      </c>
      <c r="Z577">
        <v>1.4639939999999999E-4</v>
      </c>
      <c r="AA577">
        <v>0.99995979999999995</v>
      </c>
      <c r="AB577">
        <v>26</v>
      </c>
      <c r="AC577">
        <v>47.444999999999901</v>
      </c>
      <c r="AD577">
        <v>-1.120844540262</v>
      </c>
      <c r="AE577">
        <v>0.40809999999999003</v>
      </c>
      <c r="AF577">
        <v>-0.42759528818391201</v>
      </c>
      <c r="AG577">
        <v>-1.120844540262</v>
      </c>
      <c r="AH577">
        <v>47.4183640543744</v>
      </c>
      <c r="AI577">
        <v>91.3540133061517</v>
      </c>
      <c r="AJ577">
        <v>90.516650918143199</v>
      </c>
      <c r="AK577">
        <v>47.433536446348803</v>
      </c>
      <c r="AL577">
        <v>82.168461973126</v>
      </c>
      <c r="AM577">
        <v>87.678933305165103</v>
      </c>
      <c r="AN577">
        <v>0.99999998918026101</v>
      </c>
    </row>
    <row r="578" spans="1:40" x14ac:dyDescent="0.25">
      <c r="A578" t="str">
        <f>"20190303170237725"</f>
        <v>20190303170237725</v>
      </c>
      <c r="B578" t="str">
        <f>"1551603757716866"</f>
        <v>1551603757716866</v>
      </c>
      <c r="C578" t="s">
        <v>40</v>
      </c>
      <c r="D578">
        <v>4.1356900000000003</v>
      </c>
      <c r="E578">
        <v>0.48297649999999998</v>
      </c>
      <c r="F578" t="s">
        <v>42</v>
      </c>
      <c r="G578">
        <v>-321.16739999999999</v>
      </c>
      <c r="H578" s="1">
        <v>-4.0193139999999997E-6</v>
      </c>
      <c r="I578">
        <v>368.21910000000003</v>
      </c>
      <c r="J578">
        <v>-374.19260000000003</v>
      </c>
      <c r="K578">
        <v>1.1208260000000001</v>
      </c>
      <c r="L578">
        <v>367.70150000000001</v>
      </c>
      <c r="M578">
        <v>0.99997060000000004</v>
      </c>
      <c r="N578">
        <v>-7.6851100000000002E-3</v>
      </c>
      <c r="O578">
        <v>-4.0403889999999999E-4</v>
      </c>
      <c r="P578">
        <v>0.99088390000000004</v>
      </c>
      <c r="Q578">
        <v>0.1283242</v>
      </c>
      <c r="R578">
        <v>-4.1017390000000001E-2</v>
      </c>
      <c r="S578">
        <v>3.037201</v>
      </c>
      <c r="T578">
        <v>-6.390643E-2</v>
      </c>
      <c r="U578">
        <v>2.9510499999999999E-2</v>
      </c>
      <c r="V578">
        <v>4.0619120000000002E-2</v>
      </c>
      <c r="W578">
        <v>0.135935</v>
      </c>
      <c r="X578">
        <v>0.98988469999999995</v>
      </c>
      <c r="Y578">
        <v>-1.011683E-2</v>
      </c>
      <c r="Z578">
        <v>1.5069829999999999E-4</v>
      </c>
      <c r="AA578">
        <v>0.99994879999999997</v>
      </c>
      <c r="AB578">
        <v>26</v>
      </c>
      <c r="AC578">
        <v>53.025199999999998</v>
      </c>
      <c r="AD578">
        <v>-1.1208300193139999</v>
      </c>
      <c r="AE578">
        <v>0.51760000000001505</v>
      </c>
      <c r="AF578">
        <v>-0.53878412261175801</v>
      </c>
      <c r="AG578">
        <v>-1.1208300193139999</v>
      </c>
      <c r="AH578">
        <v>53.001307713484202</v>
      </c>
      <c r="AI578">
        <v>91.211402994647699</v>
      </c>
      <c r="AJ578">
        <v>90.582419460026699</v>
      </c>
      <c r="AK578">
        <v>53.015895423942602</v>
      </c>
      <c r="AL578">
        <v>82.187309955759403</v>
      </c>
      <c r="AM578">
        <v>87.650232174010299</v>
      </c>
      <c r="AN578">
        <v>0.99999997821433095</v>
      </c>
    </row>
    <row r="579" spans="1:40" x14ac:dyDescent="0.25">
      <c r="A579" t="str">
        <f>"20190303170237739"</f>
        <v>20190303170237739</v>
      </c>
      <c r="B579" t="str">
        <f>"1551603757726626"</f>
        <v>1551603757726626</v>
      </c>
      <c r="C579" t="s">
        <v>40</v>
      </c>
      <c r="D579">
        <v>4.1645830000000004</v>
      </c>
      <c r="E579">
        <v>0.4828691</v>
      </c>
      <c r="F579" t="s">
        <v>44</v>
      </c>
      <c r="G579">
        <v>-315.15469999999999</v>
      </c>
      <c r="H579">
        <v>-0.05</v>
      </c>
      <c r="I579">
        <v>368.30430000000001</v>
      </c>
      <c r="J579">
        <v>-374.03899999999999</v>
      </c>
      <c r="K579">
        <v>1.120822</v>
      </c>
      <c r="L579">
        <v>367.70139999999998</v>
      </c>
      <c r="M579">
        <v>0.99997049999999998</v>
      </c>
      <c r="N579">
        <v>-7.6951719999999897E-3</v>
      </c>
      <c r="O579">
        <v>-4.0114360000000001E-4</v>
      </c>
      <c r="P579">
        <v>0.990892</v>
      </c>
      <c r="Q579">
        <v>0.1281458</v>
      </c>
      <c r="R579">
        <v>-4.1375309999999998E-2</v>
      </c>
      <c r="S579">
        <v>3.0366520000000001</v>
      </c>
      <c r="T579">
        <v>-6.0222150000000002E-2</v>
      </c>
      <c r="U579">
        <v>3.100586E-2</v>
      </c>
      <c r="V579">
        <v>4.09816E-2</v>
      </c>
      <c r="W579">
        <v>0.13576589999999999</v>
      </c>
      <c r="X579">
        <v>0.98989300000000002</v>
      </c>
      <c r="Y579">
        <v>-1.060822E-2</v>
      </c>
      <c r="Z579">
        <v>1.5086780000000001E-4</v>
      </c>
      <c r="AA579">
        <v>0.99994369999999999</v>
      </c>
      <c r="AB579">
        <v>26</v>
      </c>
      <c r="AC579">
        <v>58.884300000000003</v>
      </c>
      <c r="AD579">
        <v>-1.170822</v>
      </c>
      <c r="AE579">
        <v>0.60290000000003297</v>
      </c>
      <c r="AF579">
        <v>-0.62627413443563895</v>
      </c>
      <c r="AG579">
        <v>-1.170822</v>
      </c>
      <c r="AH579">
        <v>58.860785181136698</v>
      </c>
      <c r="AI579">
        <v>91.139477126895798</v>
      </c>
      <c r="AJ579">
        <v>90.609599593820803</v>
      </c>
      <c r="AK579">
        <v>58.875759660382002</v>
      </c>
      <c r="AL579">
        <v>82.197089593174198</v>
      </c>
      <c r="AM579">
        <v>87.629306811218996</v>
      </c>
      <c r="AN579">
        <v>1.0000000112951799</v>
      </c>
    </row>
    <row r="580" spans="1:40" x14ac:dyDescent="0.25">
      <c r="A580" t="str">
        <f>"20190303170237751"</f>
        <v>20190303170237751</v>
      </c>
      <c r="B580" t="str">
        <f>"1551603757736386"</f>
        <v>1551603757736386</v>
      </c>
      <c r="C580" t="s">
        <v>40</v>
      </c>
      <c r="D580">
        <v>4.1451479999999998</v>
      </c>
      <c r="E580">
        <v>0.4828228</v>
      </c>
      <c r="F580" t="s">
        <v>44</v>
      </c>
      <c r="G580">
        <v>-313.94560000000001</v>
      </c>
      <c r="H580">
        <v>-0.05</v>
      </c>
      <c r="I580">
        <v>368.30779999999999</v>
      </c>
      <c r="J580">
        <v>-373.88560000000001</v>
      </c>
      <c r="K580">
        <v>1.120814</v>
      </c>
      <c r="L580">
        <v>367.70139999999998</v>
      </c>
      <c r="M580">
        <v>0.99997029999999998</v>
      </c>
      <c r="N580">
        <v>-7.7055359999999998E-3</v>
      </c>
      <c r="O580">
        <v>-4.0192759999999999E-4</v>
      </c>
      <c r="P580">
        <v>0.99091640000000003</v>
      </c>
      <c r="Q580">
        <v>0.1278608</v>
      </c>
      <c r="R580">
        <v>-4.1671560000000003E-2</v>
      </c>
      <c r="S580">
        <v>3.0364689999999999</v>
      </c>
      <c r="T580">
        <v>-5.9160709999999998E-2</v>
      </c>
      <c r="U580">
        <v>3.0639650000000001E-2</v>
      </c>
      <c r="V580">
        <v>4.1278009999999997E-2</v>
      </c>
      <c r="W580">
        <v>0.13549140000000001</v>
      </c>
      <c r="X580">
        <v>0.98991830000000003</v>
      </c>
      <c r="Y580">
        <v>-1.0489149999999999E-2</v>
      </c>
      <c r="Z580">
        <v>1.4732229999999999E-4</v>
      </c>
      <c r="AA580">
        <v>0.99994499999999997</v>
      </c>
      <c r="AB580">
        <v>26</v>
      </c>
      <c r="AC580">
        <v>59.94</v>
      </c>
      <c r="AD580">
        <v>-1.170814</v>
      </c>
      <c r="AE580">
        <v>0.60640000000000704</v>
      </c>
      <c r="AF580">
        <v>-0.63025176205418598</v>
      </c>
      <c r="AG580">
        <v>-1.170814</v>
      </c>
      <c r="AH580">
        <v>59.916892951257502</v>
      </c>
      <c r="AI580">
        <v>91.119391407052504</v>
      </c>
      <c r="AJ580">
        <v>90.602658657480106</v>
      </c>
      <c r="AK580">
        <v>59.931645093711701</v>
      </c>
      <c r="AL580">
        <v>82.212964013527994</v>
      </c>
      <c r="AM580">
        <v>87.612240893169599</v>
      </c>
      <c r="AN580">
        <v>1.0000000171292001</v>
      </c>
    </row>
    <row r="581" spans="1:40" x14ac:dyDescent="0.25">
      <c r="A581" t="str">
        <f>"20190303170237763"</f>
        <v>20190303170237763</v>
      </c>
      <c r="B581" t="str">
        <f>"1551603757755906"</f>
        <v>1551603757755906</v>
      </c>
      <c r="C581" t="s">
        <v>40</v>
      </c>
      <c r="D581">
        <v>4.0755919999999897</v>
      </c>
      <c r="E581">
        <v>0.48263230000000001</v>
      </c>
      <c r="F581" t="s">
        <v>44</v>
      </c>
      <c r="G581">
        <v>-312.90280000000001</v>
      </c>
      <c r="H581">
        <v>-0.05</v>
      </c>
      <c r="I581">
        <v>368.30259999999998</v>
      </c>
      <c r="J581">
        <v>-373.74310000000003</v>
      </c>
      <c r="K581">
        <v>1.1208089999999999</v>
      </c>
      <c r="L581">
        <v>367.7013</v>
      </c>
      <c r="M581">
        <v>0.99997020000000003</v>
      </c>
      <c r="N581">
        <v>-7.7153619999999999E-3</v>
      </c>
      <c r="O581">
        <v>-4.0424660000000002E-4</v>
      </c>
      <c r="P581">
        <v>0.99094990000000005</v>
      </c>
      <c r="Q581">
        <v>0.12749750000000001</v>
      </c>
      <c r="R581">
        <v>-4.1985250000000002E-2</v>
      </c>
      <c r="S581">
        <v>3.0362550000000001</v>
      </c>
      <c r="T581">
        <v>-5.8293339999999999E-2</v>
      </c>
      <c r="U581">
        <v>2.9937740000000001E-2</v>
      </c>
      <c r="V581">
        <v>4.1589849999999998E-2</v>
      </c>
      <c r="W581">
        <v>0.13513800000000001</v>
      </c>
      <c r="X581">
        <v>0.98995350000000004</v>
      </c>
      <c r="Y581">
        <v>-1.026117E-2</v>
      </c>
      <c r="Z581">
        <v>1.427237E-4</v>
      </c>
      <c r="AA581">
        <v>0.99994740000000004</v>
      </c>
      <c r="AB581">
        <v>26</v>
      </c>
      <c r="AC581">
        <v>60.840299999999999</v>
      </c>
      <c r="AD581">
        <v>-1.170809</v>
      </c>
      <c r="AE581">
        <v>0.60129999999997996</v>
      </c>
      <c r="AF581">
        <v>-0.625663486608102</v>
      </c>
      <c r="AG581">
        <v>-1.170809</v>
      </c>
      <c r="AH581">
        <v>60.817531564444799</v>
      </c>
      <c r="AI581">
        <v>91.102816558825893</v>
      </c>
      <c r="AJ581">
        <v>90.589412488443202</v>
      </c>
      <c r="AK581">
        <v>60.832017836869397</v>
      </c>
      <c r="AL581">
        <v>82.233399881283304</v>
      </c>
      <c r="AM581">
        <v>87.594308819444294</v>
      </c>
      <c r="AN581">
        <v>0.99999996341463504</v>
      </c>
    </row>
    <row r="582" spans="1:40" x14ac:dyDescent="0.25">
      <c r="A582" t="str">
        <f>"20190303170237776"</f>
        <v>20190303170237776</v>
      </c>
      <c r="B582" t="str">
        <f>"1551603757766642"</f>
        <v>1551603757766642</v>
      </c>
      <c r="C582" t="s">
        <v>40</v>
      </c>
      <c r="D582">
        <v>4.1701519999999999</v>
      </c>
      <c r="E582">
        <v>0.48258990000000002</v>
      </c>
      <c r="F582" t="s">
        <v>44</v>
      </c>
      <c r="G582">
        <v>-310.78910000000002</v>
      </c>
      <c r="H582">
        <v>-0.05</v>
      </c>
      <c r="I582">
        <v>368.33409999999998</v>
      </c>
      <c r="J582">
        <v>-373.59829999999999</v>
      </c>
      <c r="K582">
        <v>1.1208039999999999</v>
      </c>
      <c r="L582">
        <v>367.7013</v>
      </c>
      <c r="M582">
        <v>0.99997020000000003</v>
      </c>
      <c r="N582">
        <v>-7.7254239999999998E-3</v>
      </c>
      <c r="O582">
        <v>-4.0739660000000002E-4</v>
      </c>
      <c r="P582">
        <v>0.99098770000000003</v>
      </c>
      <c r="Q582">
        <v>0.12715789999999999</v>
      </c>
      <c r="R582">
        <v>-4.2124880000000003E-2</v>
      </c>
      <c r="S582">
        <v>3.0359500000000001</v>
      </c>
      <c r="T582">
        <v>-5.6462169999999999E-2</v>
      </c>
      <c r="U582">
        <v>3.0517579999999999E-2</v>
      </c>
      <c r="V582">
        <v>4.1726850000000003E-2</v>
      </c>
      <c r="W582">
        <v>0.13480819999999999</v>
      </c>
      <c r="X582">
        <v>0.98999269999999995</v>
      </c>
      <c r="Y582">
        <v>-1.045637E-2</v>
      </c>
      <c r="Z582">
        <v>1.4204739999999999E-4</v>
      </c>
      <c r="AA582">
        <v>0.99994530000000004</v>
      </c>
      <c r="AB582">
        <v>26</v>
      </c>
      <c r="AC582">
        <v>62.809199999999898</v>
      </c>
      <c r="AD582">
        <v>-1.170804</v>
      </c>
      <c r="AE582">
        <v>0.63279999999997405</v>
      </c>
      <c r="AF582">
        <v>-0.65816029229574202</v>
      </c>
      <c r="AG582">
        <v>-1.170804</v>
      </c>
      <c r="AH582">
        <v>62.787122323148701</v>
      </c>
      <c r="AI582">
        <v>91.068223352453202</v>
      </c>
      <c r="AJ582">
        <v>90.600575794711702</v>
      </c>
      <c r="AK582">
        <v>62.801486340681599</v>
      </c>
      <c r="AL582">
        <v>82.252470540835802</v>
      </c>
      <c r="AM582">
        <v>87.586489110220199</v>
      </c>
      <c r="AN582">
        <v>0.99999996342572495</v>
      </c>
    </row>
    <row r="583" spans="1:40" x14ac:dyDescent="0.25">
      <c r="A583" t="str">
        <f>"20190303170237792"</f>
        <v>20190303170237792</v>
      </c>
      <c r="B583" t="str">
        <f>"1551603757786163"</f>
        <v>1551603757786163</v>
      </c>
      <c r="C583" t="s">
        <v>40</v>
      </c>
      <c r="D583">
        <v>4.108384</v>
      </c>
      <c r="E583">
        <v>0.48250979999999999</v>
      </c>
      <c r="F583" t="s">
        <v>44</v>
      </c>
      <c r="G583">
        <v>-310.70030000000003</v>
      </c>
      <c r="H583">
        <v>-0.05</v>
      </c>
      <c r="I583">
        <v>368.32589999999999</v>
      </c>
      <c r="J583">
        <v>-373.39049999999997</v>
      </c>
      <c r="K583">
        <v>1.1208</v>
      </c>
      <c r="L583">
        <v>367.70119999999997</v>
      </c>
      <c r="M583">
        <v>0.99997000000000003</v>
      </c>
      <c r="N583">
        <v>-7.7400719999999998E-3</v>
      </c>
      <c r="O583">
        <v>-4.1282120000000002E-4</v>
      </c>
      <c r="P583">
        <v>0.99107749999999994</v>
      </c>
      <c r="Q583">
        <v>0.126363</v>
      </c>
      <c r="R583">
        <v>-4.2404039999999997E-2</v>
      </c>
      <c r="S583">
        <v>3.0358580000000002</v>
      </c>
      <c r="T583">
        <v>-5.6510449999999997E-2</v>
      </c>
      <c r="U583">
        <v>3.015137E-2</v>
      </c>
      <c r="V583">
        <v>4.2000599999999999E-2</v>
      </c>
      <c r="W583">
        <v>0.13402849999999999</v>
      </c>
      <c r="X583">
        <v>0.99008700000000005</v>
      </c>
      <c r="Y583">
        <v>-1.034151E-2</v>
      </c>
      <c r="Z583">
        <v>1.4075630000000001E-4</v>
      </c>
      <c r="AA583">
        <v>0.99994649999999996</v>
      </c>
      <c r="AB583">
        <v>27</v>
      </c>
      <c r="AC583">
        <v>62.690199999999898</v>
      </c>
      <c r="AD583">
        <v>-1.1708000000000001</v>
      </c>
      <c r="AE583">
        <v>0.62470000000001802</v>
      </c>
      <c r="AF583">
        <v>-0.65035374911688104</v>
      </c>
      <c r="AG583">
        <v>-1.1708000000000001</v>
      </c>
      <c r="AH583">
        <v>62.668080825761997</v>
      </c>
      <c r="AI583">
        <v>91.070249542720603</v>
      </c>
      <c r="AJ583">
        <v>90.5945799985262</v>
      </c>
      <c r="AK583">
        <v>62.6823905656383</v>
      </c>
      <c r="AL583">
        <v>82.297553318878201</v>
      </c>
      <c r="AM583">
        <v>87.570905224346205</v>
      </c>
      <c r="AN583">
        <v>0.99999997839080401</v>
      </c>
    </row>
    <row r="584" spans="1:40" x14ac:dyDescent="0.25">
      <c r="A584" t="str">
        <f>"20190303170237805"</f>
        <v>20190303170237805</v>
      </c>
      <c r="B584" t="str">
        <f>"1551603757795922"</f>
        <v>1551603757795922</v>
      </c>
      <c r="C584" t="s">
        <v>40</v>
      </c>
      <c r="D584">
        <v>4.1203949999999896</v>
      </c>
      <c r="E584">
        <v>0.4824658</v>
      </c>
      <c r="F584" t="s">
        <v>44</v>
      </c>
      <c r="G584">
        <v>-311.19400000000002</v>
      </c>
      <c r="H584">
        <v>-0.05</v>
      </c>
      <c r="I584">
        <v>368.32389999999998</v>
      </c>
      <c r="J584">
        <v>-373.25009999999997</v>
      </c>
      <c r="K584">
        <v>1.1208</v>
      </c>
      <c r="L584">
        <v>367.7011</v>
      </c>
      <c r="M584">
        <v>0.99996989999999997</v>
      </c>
      <c r="N584">
        <v>-7.7499539999999999E-3</v>
      </c>
      <c r="O584">
        <v>-4.161972E-4</v>
      </c>
      <c r="P584">
        <v>0.99111119999999997</v>
      </c>
      <c r="Q584">
        <v>0.12611259999999999</v>
      </c>
      <c r="R584">
        <v>-4.2357180000000001E-2</v>
      </c>
      <c r="S584">
        <v>3.0355829999999999</v>
      </c>
      <c r="T584">
        <v>-5.7142499999999999E-2</v>
      </c>
      <c r="U584">
        <v>3.0395510000000001E-2</v>
      </c>
      <c r="V584">
        <v>4.1950500000000002E-2</v>
      </c>
      <c r="W584">
        <v>0.13378799999999999</v>
      </c>
      <c r="X584">
        <v>0.99012169999999999</v>
      </c>
      <c r="Y584">
        <v>-1.0426120000000001E-2</v>
      </c>
      <c r="Z584">
        <v>1.431367E-4</v>
      </c>
      <c r="AA584">
        <v>0.99994559999999999</v>
      </c>
      <c r="AB584">
        <v>27</v>
      </c>
      <c r="AC584">
        <v>62.056099999999901</v>
      </c>
      <c r="AD584">
        <v>-1.1708000000000001</v>
      </c>
      <c r="AE584">
        <v>0.62279999999998303</v>
      </c>
      <c r="AF584">
        <v>-0.64839751849132898</v>
      </c>
      <c r="AG584">
        <v>-1.1708000000000001</v>
      </c>
      <c r="AH584">
        <v>62.033756337908898</v>
      </c>
      <c r="AI584">
        <v>91.081189926091</v>
      </c>
      <c r="AJ584">
        <v>90.5988527960738</v>
      </c>
      <c r="AK584">
        <v>62.048191894470499</v>
      </c>
      <c r="AL584">
        <v>82.311458561902498</v>
      </c>
      <c r="AM584">
        <v>87.573884208963605</v>
      </c>
      <c r="AN584">
        <v>1.00000002710256</v>
      </c>
    </row>
    <row r="585" spans="1:40" x14ac:dyDescent="0.25">
      <c r="A585" t="str">
        <f>"20190303170237826"</f>
        <v>20190303170237826</v>
      </c>
      <c r="B585" t="str">
        <f>"1551603757816418"</f>
        <v>1551603757816418</v>
      </c>
      <c r="C585" t="s">
        <v>40</v>
      </c>
      <c r="D585">
        <v>4.0852490000000001</v>
      </c>
      <c r="E585">
        <v>0.48236620000000002</v>
      </c>
      <c r="F585" t="s">
        <v>44</v>
      </c>
      <c r="G585">
        <v>-310.91759999999999</v>
      </c>
      <c r="H585">
        <v>-0.05</v>
      </c>
      <c r="I585">
        <v>368.34410000000003</v>
      </c>
      <c r="J585">
        <v>-373.00599999999997</v>
      </c>
      <c r="K585">
        <v>1.1208</v>
      </c>
      <c r="L585">
        <v>367.70100000000002</v>
      </c>
      <c r="M585">
        <v>0.99996980000000002</v>
      </c>
      <c r="N585">
        <v>-7.7672389999999996E-3</v>
      </c>
      <c r="O585">
        <v>-4.2150690000000002E-4</v>
      </c>
      <c r="P585">
        <v>0.99110509999999996</v>
      </c>
      <c r="Q585">
        <v>0.12620029999999999</v>
      </c>
      <c r="R585">
        <v>-4.2240729999999997E-2</v>
      </c>
      <c r="S585">
        <v>3.0354610000000002</v>
      </c>
      <c r="T585">
        <v>-5.7015540000000003E-2</v>
      </c>
      <c r="U585">
        <v>3.1311039999999998E-2</v>
      </c>
      <c r="V585">
        <v>4.1828589999999999E-2</v>
      </c>
      <c r="W585">
        <v>0.13389289999999901</v>
      </c>
      <c r="X585">
        <v>0.99011269999999996</v>
      </c>
      <c r="Y585">
        <v>-1.0733329999999999E-2</v>
      </c>
      <c r="Z585">
        <v>1.4712500000000001E-4</v>
      </c>
      <c r="AA585">
        <v>0.99994240000000001</v>
      </c>
      <c r="AB585">
        <v>27</v>
      </c>
      <c r="AC585">
        <v>62.088399999999901</v>
      </c>
      <c r="AD585">
        <v>-1.1708000000000001</v>
      </c>
      <c r="AE585">
        <v>0.64310000000005996</v>
      </c>
      <c r="AF585">
        <v>-0.66903354657765501</v>
      </c>
      <c r="AG585">
        <v>-1.1708000000000001</v>
      </c>
      <c r="AH585">
        <v>62.066055960049397</v>
      </c>
      <c r="AI585">
        <v>91.080623650054505</v>
      </c>
      <c r="AJ585">
        <v>90.617589008819706</v>
      </c>
      <c r="AK585">
        <v>62.080702967689</v>
      </c>
      <c r="AL585">
        <v>82.305393839022102</v>
      </c>
      <c r="AM585">
        <v>87.580904257443706</v>
      </c>
      <c r="AN585">
        <v>1.0000000491565399</v>
      </c>
    </row>
    <row r="586" spans="1:40" x14ac:dyDescent="0.25">
      <c r="A586" t="str">
        <f>"20190303170237838"</f>
        <v>20190303170237838</v>
      </c>
      <c r="B586" t="str">
        <f>"1551603757826178"</f>
        <v>1551603757826178</v>
      </c>
      <c r="C586" t="s">
        <v>40</v>
      </c>
      <c r="D586">
        <v>4.1198980000000001</v>
      </c>
      <c r="E586">
        <v>0.48235459999999902</v>
      </c>
      <c r="F586" t="s">
        <v>44</v>
      </c>
      <c r="G586">
        <v>-307.75299999999999</v>
      </c>
      <c r="H586">
        <v>-0.05</v>
      </c>
      <c r="I586">
        <v>368.3997</v>
      </c>
      <c r="J586">
        <v>-372.85719999999998</v>
      </c>
      <c r="K586">
        <v>1.1207990000000001</v>
      </c>
      <c r="L586">
        <v>367.70100000000002</v>
      </c>
      <c r="M586">
        <v>0.99996960000000001</v>
      </c>
      <c r="N586">
        <v>-7.7778430000000004E-3</v>
      </c>
      <c r="O586">
        <v>-4.2416820000000001E-4</v>
      </c>
      <c r="P586">
        <v>0.99107259999999997</v>
      </c>
      <c r="Q586">
        <v>0.12646470000000001</v>
      </c>
      <c r="R586">
        <v>-4.2209249999999997E-2</v>
      </c>
      <c r="S586">
        <v>3.0352480000000002</v>
      </c>
      <c r="T586">
        <v>-5.4459809999999997E-2</v>
      </c>
      <c r="U586">
        <v>3.2501219999999997E-2</v>
      </c>
      <c r="V586">
        <v>4.1794619999999998E-2</v>
      </c>
      <c r="W586">
        <v>0.1341675</v>
      </c>
      <c r="X586">
        <v>0.99007690000000004</v>
      </c>
      <c r="Y586">
        <v>-1.1128880000000001E-2</v>
      </c>
      <c r="Z586">
        <v>1.4742600000000001E-4</v>
      </c>
      <c r="AA586">
        <v>0.99993810000000005</v>
      </c>
      <c r="AB586">
        <v>27</v>
      </c>
      <c r="AC586">
        <v>65.104199999999906</v>
      </c>
      <c r="AD586">
        <v>-1.1707989999999999</v>
      </c>
      <c r="AE586">
        <v>0.69870000000002996</v>
      </c>
      <c r="AF586">
        <v>-0.72608111431994904</v>
      </c>
      <c r="AG586">
        <v>-1.1707989999999999</v>
      </c>
      <c r="AH586">
        <v>65.082852074598506</v>
      </c>
      <c r="AI586">
        <v>91.030539251327298</v>
      </c>
      <c r="AJ586">
        <v>90.639180003728399</v>
      </c>
      <c r="AK586">
        <v>65.097431579495094</v>
      </c>
      <c r="AL586">
        <v>82.289516693908695</v>
      </c>
      <c r="AM586">
        <v>87.582779234950195</v>
      </c>
      <c r="AN586">
        <v>0.99999998811540203</v>
      </c>
    </row>
    <row r="587" spans="1:40" x14ac:dyDescent="0.25">
      <c r="A587" t="str">
        <f>"20190303170237860"</f>
        <v>20190303170237860</v>
      </c>
      <c r="B587" t="str">
        <f>"1551603757846674"</f>
        <v>1551603757846674</v>
      </c>
      <c r="C587" t="s">
        <v>40</v>
      </c>
      <c r="D587">
        <v>4.1165029999999998</v>
      </c>
      <c r="E587">
        <v>0.48228330000000003</v>
      </c>
      <c r="F587" t="s">
        <v>44</v>
      </c>
      <c r="G587">
        <v>-305.42860000000002</v>
      </c>
      <c r="H587">
        <v>-0.05</v>
      </c>
      <c r="I587">
        <v>368.42169999999999</v>
      </c>
      <c r="J587">
        <v>-372.59620000000001</v>
      </c>
      <c r="K587">
        <v>1.1208</v>
      </c>
      <c r="L587">
        <v>367.70089999999999</v>
      </c>
      <c r="M587">
        <v>0.99996949999999996</v>
      </c>
      <c r="N587">
        <v>-7.796412E-3</v>
      </c>
      <c r="O587">
        <v>-4.2674150000000002E-4</v>
      </c>
      <c r="P587">
        <v>0.991039</v>
      </c>
      <c r="Q587">
        <v>0.12677160000000001</v>
      </c>
      <c r="R587">
        <v>-4.208191E-2</v>
      </c>
      <c r="S587">
        <v>3.0350950000000001</v>
      </c>
      <c r="T587">
        <v>-5.2700039999999997E-2</v>
      </c>
      <c r="U587">
        <v>3.2440190000000001E-2</v>
      </c>
      <c r="V587">
        <v>4.1664380000000001E-2</v>
      </c>
      <c r="W587">
        <v>0.13449259999999999</v>
      </c>
      <c r="X587">
        <v>0.99003830000000004</v>
      </c>
      <c r="Y587">
        <v>-1.111203E-2</v>
      </c>
      <c r="Z587">
        <v>1.4386790000000001E-4</v>
      </c>
      <c r="AA587">
        <v>0.9999382</v>
      </c>
      <c r="AB587">
        <v>27</v>
      </c>
      <c r="AC587">
        <v>67.167599999999993</v>
      </c>
      <c r="AD587">
        <v>-1.1708000000000001</v>
      </c>
      <c r="AE587">
        <v>0.720799999999997</v>
      </c>
      <c r="AF587">
        <v>-0.74923638618436394</v>
      </c>
      <c r="AG587">
        <v>-1.1708000000000001</v>
      </c>
      <c r="AH587">
        <v>67.146886679852003</v>
      </c>
      <c r="AI587">
        <v>90.998868757755304</v>
      </c>
      <c r="AJ587">
        <v>90.639289525666001</v>
      </c>
      <c r="AK587">
        <v>67.161272461138395</v>
      </c>
      <c r="AL587">
        <v>82.270719622411505</v>
      </c>
      <c r="AM587">
        <v>87.590209022925194</v>
      </c>
      <c r="AN587">
        <v>1.0000000077412099</v>
      </c>
    </row>
    <row r="588" spans="1:40" x14ac:dyDescent="0.25">
      <c r="A588" t="str">
        <f>"20190303170237871"</f>
        <v>20190303170237871</v>
      </c>
      <c r="B588" t="str">
        <f>"1551603757866194"</f>
        <v>1551603757866194</v>
      </c>
      <c r="C588" t="s">
        <v>40</v>
      </c>
      <c r="D588">
        <v>4.1263300000000003</v>
      </c>
      <c r="E588">
        <v>0.48207420000000001</v>
      </c>
      <c r="F588" t="s">
        <v>44</v>
      </c>
      <c r="G588">
        <v>-300.76420000000002</v>
      </c>
      <c r="H588">
        <v>-0.05</v>
      </c>
      <c r="I588">
        <v>368.48680000000002</v>
      </c>
      <c r="J588">
        <v>-372.45940000000002</v>
      </c>
      <c r="K588">
        <v>1.120795</v>
      </c>
      <c r="L588">
        <v>367.70089999999999</v>
      </c>
      <c r="M588">
        <v>0.99996949999999996</v>
      </c>
      <c r="N588">
        <v>-7.8060999999999998E-3</v>
      </c>
      <c r="O588">
        <v>-4.276134E-4</v>
      </c>
      <c r="P588">
        <v>0.99105089999999996</v>
      </c>
      <c r="Q588">
        <v>0.12668180000000001</v>
      </c>
      <c r="R588">
        <v>-4.206973E-2</v>
      </c>
      <c r="S588">
        <v>3.0348510000000002</v>
      </c>
      <c r="T588">
        <v>-4.9465420000000003E-2</v>
      </c>
      <c r="U588">
        <v>3.3203129999999997E-2</v>
      </c>
      <c r="V588">
        <v>4.1651529999999999E-2</v>
      </c>
      <c r="W588">
        <v>0.13441220000000001</v>
      </c>
      <c r="X588">
        <v>0.99004970000000003</v>
      </c>
      <c r="Y588">
        <v>-1.136531E-2</v>
      </c>
      <c r="Z588">
        <v>1.4061029999999999E-4</v>
      </c>
      <c r="AA588">
        <v>0.99993540000000003</v>
      </c>
      <c r="AB588">
        <v>27</v>
      </c>
      <c r="AC588">
        <v>71.6952</v>
      </c>
      <c r="AD588">
        <v>-1.170795</v>
      </c>
      <c r="AE588">
        <v>0.78590000000002602</v>
      </c>
      <c r="AF588">
        <v>-0.81634101745680299</v>
      </c>
      <c r="AG588">
        <v>-1.170795</v>
      </c>
      <c r="AH588">
        <v>71.675745573023704</v>
      </c>
      <c r="AI588">
        <v>90.935760027637201</v>
      </c>
      <c r="AJ588">
        <v>90.652534163476005</v>
      </c>
      <c r="AK588">
        <v>71.689955203205699</v>
      </c>
      <c r="AL588">
        <v>82.275367957032799</v>
      </c>
      <c r="AM588">
        <v>87.590979073976797</v>
      </c>
      <c r="AN588">
        <v>0.999999948965134</v>
      </c>
    </row>
    <row r="589" spans="1:40" x14ac:dyDescent="0.25">
      <c r="A589" t="str">
        <f>"20190303170237883"</f>
        <v>20190303170237883</v>
      </c>
      <c r="B589" t="str">
        <f>"1551603757875954"</f>
        <v>1551603757875954</v>
      </c>
      <c r="C589" t="s">
        <v>40</v>
      </c>
      <c r="D589">
        <v>4.0862379999999998</v>
      </c>
      <c r="E589">
        <v>0.48201240000000001</v>
      </c>
      <c r="F589" t="s">
        <v>44</v>
      </c>
      <c r="G589">
        <v>-296.85500000000002</v>
      </c>
      <c r="H589">
        <v>-0.05</v>
      </c>
      <c r="I589">
        <v>368.55930000000001</v>
      </c>
      <c r="J589">
        <v>-372.31720000000001</v>
      </c>
      <c r="K589">
        <v>1.1207940000000001</v>
      </c>
      <c r="L589">
        <v>367.70080000000002</v>
      </c>
      <c r="M589">
        <v>0.99996940000000001</v>
      </c>
      <c r="N589">
        <v>-7.8161319999999999E-3</v>
      </c>
      <c r="O589">
        <v>-4.2812939999999999E-4</v>
      </c>
      <c r="P589">
        <v>0.99106839999999996</v>
      </c>
      <c r="Q589">
        <v>0.12655430000000001</v>
      </c>
      <c r="R589">
        <v>-4.204488E-2</v>
      </c>
      <c r="S589">
        <v>3.0345759999999999</v>
      </c>
      <c r="T589">
        <v>-4.6992899999999997E-2</v>
      </c>
      <c r="U589">
        <v>3.4454350000000002E-2</v>
      </c>
      <c r="V589">
        <v>4.1625870000000002E-2</v>
      </c>
      <c r="W589">
        <v>0.1342951</v>
      </c>
      <c r="X589">
        <v>0.99006669999999997</v>
      </c>
      <c r="Y589">
        <v>-1.177917E-2</v>
      </c>
      <c r="Z589">
        <v>1.4051990000000001E-4</v>
      </c>
      <c r="AA589">
        <v>0.9999306</v>
      </c>
      <c r="AB589">
        <v>27</v>
      </c>
      <c r="AC589">
        <v>75.462199999999996</v>
      </c>
      <c r="AD589">
        <v>-1.1707939999999999</v>
      </c>
      <c r="AE589">
        <v>0.85849999999999205</v>
      </c>
      <c r="AF589">
        <v>-0.89059414232356704</v>
      </c>
      <c r="AG589">
        <v>-1.1707939999999999</v>
      </c>
      <c r="AH589">
        <v>75.443667497153797</v>
      </c>
      <c r="AI589">
        <v>90.889027540268103</v>
      </c>
      <c r="AJ589">
        <v>90.676331324402696</v>
      </c>
      <c r="AK589">
        <v>75.458007407682601</v>
      </c>
      <c r="AL589">
        <v>82.282138911120697</v>
      </c>
      <c r="AM589">
        <v>87.592502727863106</v>
      </c>
      <c r="AN589">
        <v>0.999999978693078</v>
      </c>
    </row>
    <row r="590" spans="1:40" x14ac:dyDescent="0.25">
      <c r="A590" t="str">
        <f>"20190303170237907"</f>
        <v>20190303170237907</v>
      </c>
      <c r="B590" t="str">
        <f>"1551603757896450"</f>
        <v>1551603757896450</v>
      </c>
      <c r="C590" t="s">
        <v>40</v>
      </c>
      <c r="D590">
        <v>4.087097</v>
      </c>
      <c r="E590">
        <v>0.48186250000000003</v>
      </c>
      <c r="F590" t="s">
        <v>44</v>
      </c>
      <c r="G590">
        <v>-295.01839999999999</v>
      </c>
      <c r="H590">
        <v>-0.05</v>
      </c>
      <c r="I590">
        <v>368.58940000000001</v>
      </c>
      <c r="J590">
        <v>-372.03629999999998</v>
      </c>
      <c r="K590">
        <v>1.12079</v>
      </c>
      <c r="L590">
        <v>367.70069999999998</v>
      </c>
      <c r="M590">
        <v>0.99996940000000001</v>
      </c>
      <c r="N590">
        <v>-7.8341880000000006E-3</v>
      </c>
      <c r="O590">
        <v>-4.283194E-4</v>
      </c>
      <c r="P590">
        <v>0.99108379999999996</v>
      </c>
      <c r="Q590">
        <v>0.1265838</v>
      </c>
      <c r="R590">
        <v>-4.1590040000000002E-2</v>
      </c>
      <c r="S590">
        <v>3.034424</v>
      </c>
      <c r="T590">
        <v>-4.5960429999999997E-2</v>
      </c>
      <c r="U590">
        <v>3.4881589999999997E-2</v>
      </c>
      <c r="V590">
        <v>4.1170999999999999E-2</v>
      </c>
      <c r="W590">
        <v>0.13434279999999901</v>
      </c>
      <c r="X590">
        <v>0.9900793</v>
      </c>
      <c r="Y590">
        <v>-1.1920750000000001E-2</v>
      </c>
      <c r="Z590">
        <v>1.4010229999999999E-4</v>
      </c>
      <c r="AA590">
        <v>0.99992899999999996</v>
      </c>
      <c r="AB590">
        <v>27</v>
      </c>
      <c r="AC590">
        <v>77.017899999999997</v>
      </c>
      <c r="AD590">
        <v>-1.17079</v>
      </c>
      <c r="AE590">
        <v>0.88870000000002802</v>
      </c>
      <c r="AF590">
        <v>-0.92147627321667303</v>
      </c>
      <c r="AG590">
        <v>-1.17079</v>
      </c>
      <c r="AH590">
        <v>76.999721044921102</v>
      </c>
      <c r="AI590">
        <v>90.871059712279703</v>
      </c>
      <c r="AJ590">
        <v>90.685641200274702</v>
      </c>
      <c r="AK590">
        <v>77.014134473756599</v>
      </c>
      <c r="AL590">
        <v>82.279381306153994</v>
      </c>
      <c r="AM590">
        <v>87.618810664406496</v>
      </c>
      <c r="AN590">
        <v>1.0000000297206599</v>
      </c>
    </row>
    <row r="591" spans="1:40" x14ac:dyDescent="0.25">
      <c r="A591" t="str">
        <f>"20190303170237921"</f>
        <v>20190303170237921</v>
      </c>
      <c r="B591" t="str">
        <f>"1551603757915970"</f>
        <v>1551603757915970</v>
      </c>
      <c r="C591" t="s">
        <v>40</v>
      </c>
      <c r="D591">
        <v>4.109216</v>
      </c>
      <c r="E591">
        <v>0.48174060000000002</v>
      </c>
      <c r="F591" t="s">
        <v>44</v>
      </c>
      <c r="G591">
        <v>-291.6857</v>
      </c>
      <c r="H591">
        <v>-0.05</v>
      </c>
      <c r="I591">
        <v>368.69229999999999</v>
      </c>
      <c r="J591">
        <v>-371.85750000000002</v>
      </c>
      <c r="K591">
        <v>1.120789</v>
      </c>
      <c r="L591">
        <v>367.70060000000001</v>
      </c>
      <c r="M591">
        <v>0.99996910000000006</v>
      </c>
      <c r="N591">
        <v>-7.8434390000000007E-3</v>
      </c>
      <c r="O591">
        <v>-4.2787869999999999E-4</v>
      </c>
      <c r="P591">
        <v>0.99114749999999996</v>
      </c>
      <c r="Q591">
        <v>0.1261514</v>
      </c>
      <c r="R591">
        <v>-4.1383629999999998E-2</v>
      </c>
      <c r="S591">
        <v>3.0342099999999999</v>
      </c>
      <c r="T591">
        <v>-4.4211510000000002E-2</v>
      </c>
      <c r="U591">
        <v>3.7445069999999997E-2</v>
      </c>
      <c r="V591">
        <v>4.0964830000000001E-2</v>
      </c>
      <c r="W591">
        <v>0.13391989999999901</v>
      </c>
      <c r="X591">
        <v>0.9901451</v>
      </c>
      <c r="Y591">
        <v>-1.2765790000000001E-2</v>
      </c>
      <c r="Z591">
        <v>1.45945499999999E-4</v>
      </c>
      <c r="AA591">
        <v>0.99991850000000004</v>
      </c>
      <c r="AB591">
        <v>27</v>
      </c>
      <c r="AC591">
        <v>80.171800000000005</v>
      </c>
      <c r="AD591">
        <v>-1.1707889999999901</v>
      </c>
      <c r="AE591">
        <v>0.99169999999998004</v>
      </c>
      <c r="AF591">
        <v>-1.0257860436766599</v>
      </c>
      <c r="AG591">
        <v>-1.1707889999999901</v>
      </c>
      <c r="AH591">
        <v>80.154277053441604</v>
      </c>
      <c r="AI591">
        <v>90.836773898126296</v>
      </c>
      <c r="AJ591">
        <v>90.733211062983401</v>
      </c>
      <c r="AK591">
        <v>80.169390130209905</v>
      </c>
      <c r="AL591">
        <v>82.303832320607995</v>
      </c>
      <c r="AM591">
        <v>87.630878477644202</v>
      </c>
      <c r="AN591">
        <v>0.999999987983474</v>
      </c>
    </row>
    <row r="592" spans="1:40" x14ac:dyDescent="0.25">
      <c r="A592" t="str">
        <f>"20190303170237937"</f>
        <v>20190303170237937</v>
      </c>
      <c r="B592" t="str">
        <f>"1551603757926706"</f>
        <v>1551603757926706</v>
      </c>
      <c r="C592" t="s">
        <v>40</v>
      </c>
      <c r="D592">
        <v>4.1299830000000002</v>
      </c>
      <c r="E592">
        <v>0.48170020000000002</v>
      </c>
      <c r="F592" t="s">
        <v>44</v>
      </c>
      <c r="G592">
        <v>-291.33240000000001</v>
      </c>
      <c r="H592">
        <v>-0.05</v>
      </c>
      <c r="I592">
        <v>368.72359999999998</v>
      </c>
      <c r="J592">
        <v>-371.66019999999997</v>
      </c>
      <c r="K592">
        <v>1.120787</v>
      </c>
      <c r="L592">
        <v>367.70049999999998</v>
      </c>
      <c r="M592">
        <v>0.99996910000000006</v>
      </c>
      <c r="N592">
        <v>-7.8517150000000004E-3</v>
      </c>
      <c r="O592">
        <v>-4.2755320000000002E-4</v>
      </c>
      <c r="P592">
        <v>0.9912128</v>
      </c>
      <c r="Q592">
        <v>0.12593699999999999</v>
      </c>
      <c r="R592">
        <v>-4.0460690000000001E-2</v>
      </c>
      <c r="S592">
        <v>3.0339969999999998</v>
      </c>
      <c r="T592">
        <v>-4.4112560000000002E-2</v>
      </c>
      <c r="U592">
        <v>3.8543699999999903E-2</v>
      </c>
      <c r="V592">
        <v>4.0042300000000003E-2</v>
      </c>
      <c r="W592">
        <v>0.13371479999999999</v>
      </c>
      <c r="X592">
        <v>0.99021060000000005</v>
      </c>
      <c r="Y592">
        <v>-1.3128300000000001E-2</v>
      </c>
      <c r="Z592">
        <v>1.498359E-4</v>
      </c>
      <c r="AA592">
        <v>0.99991379999999996</v>
      </c>
      <c r="AB592">
        <v>27</v>
      </c>
      <c r="AC592">
        <v>80.327799999999897</v>
      </c>
      <c r="AD592">
        <v>-1.170787</v>
      </c>
      <c r="AE592">
        <v>1.0230999999999899</v>
      </c>
      <c r="AF592">
        <v>-1.05722081933043</v>
      </c>
      <c r="AG592">
        <v>-1.170787</v>
      </c>
      <c r="AH592">
        <v>80.3102973433557</v>
      </c>
      <c r="AI592">
        <v>90.835143113566403</v>
      </c>
      <c r="AJ592">
        <v>90.754209537644002</v>
      </c>
      <c r="AK592">
        <v>80.325788620083898</v>
      </c>
      <c r="AL592">
        <v>82.315690683542798</v>
      </c>
      <c r="AM592">
        <v>87.684325474649597</v>
      </c>
      <c r="AN592">
        <v>1.00000003294034</v>
      </c>
    </row>
    <row r="593" spans="1:40" x14ac:dyDescent="0.25">
      <c r="A593" t="str">
        <f>"20190303170237949"</f>
        <v>20190303170237949</v>
      </c>
      <c r="B593" t="str">
        <f>"1551603757936465"</f>
        <v>1551603757936465</v>
      </c>
      <c r="C593" t="s">
        <v>40</v>
      </c>
      <c r="D593">
        <v>4.091037</v>
      </c>
      <c r="E593">
        <v>0.48166350000000002</v>
      </c>
      <c r="F593" t="s">
        <v>44</v>
      </c>
      <c r="G593">
        <v>-291.54239999999999</v>
      </c>
      <c r="H593">
        <v>-0.05</v>
      </c>
      <c r="I593">
        <v>368.80540000000002</v>
      </c>
      <c r="J593">
        <v>-371.52019999999999</v>
      </c>
      <c r="K593">
        <v>1.120784</v>
      </c>
      <c r="L593">
        <v>367.70049999999998</v>
      </c>
      <c r="M593">
        <v>0.99996910000000006</v>
      </c>
      <c r="N593">
        <v>-7.8565660000000006E-3</v>
      </c>
      <c r="O593">
        <v>-4.273333E-4</v>
      </c>
      <c r="P593">
        <v>0.99120609999999998</v>
      </c>
      <c r="Q593">
        <v>0.12603410000000001</v>
      </c>
      <c r="R593">
        <v>-4.0324069999999997E-2</v>
      </c>
      <c r="S593">
        <v>3.0339360000000002</v>
      </c>
      <c r="T593">
        <v>-4.4335840000000001E-2</v>
      </c>
      <c r="U593">
        <v>4.1839599999999998E-2</v>
      </c>
      <c r="V593">
        <v>3.9905830000000003E-2</v>
      </c>
      <c r="W593">
        <v>0.1338164</v>
      </c>
      <c r="X593">
        <v>0.99020240000000004</v>
      </c>
      <c r="Y593">
        <v>-1.421419E-2</v>
      </c>
      <c r="Z593">
        <v>1.6258010000000001E-4</v>
      </c>
      <c r="AA593">
        <v>0.99989899999999998</v>
      </c>
      <c r="AB593">
        <v>27</v>
      </c>
      <c r="AC593">
        <v>79.977800000000002</v>
      </c>
      <c r="AD593">
        <v>-1.170784</v>
      </c>
      <c r="AE593">
        <v>1.10490000000004</v>
      </c>
      <c r="AF593">
        <v>-1.1388341279379799</v>
      </c>
      <c r="AG593">
        <v>-1.170784</v>
      </c>
      <c r="AH593">
        <v>79.960188619964597</v>
      </c>
      <c r="AI593">
        <v>90.838784758766394</v>
      </c>
      <c r="AJ593">
        <v>90.815980786971593</v>
      </c>
      <c r="AK593">
        <v>79.976868171277701</v>
      </c>
      <c r="AL593">
        <v>82.309816763456993</v>
      </c>
      <c r="AM593">
        <v>87.692189993040003</v>
      </c>
      <c r="AN593">
        <v>1.0000000485713501</v>
      </c>
    </row>
    <row r="594" spans="1:40" x14ac:dyDescent="0.25">
      <c r="A594" t="str">
        <f>"20190303170237961"</f>
        <v>20190303170237961</v>
      </c>
      <c r="B594" t="str">
        <f>"1551603757955986"</f>
        <v>1551603757955986</v>
      </c>
      <c r="C594" t="s">
        <v>40</v>
      </c>
      <c r="D594">
        <v>4.105378</v>
      </c>
      <c r="E594">
        <v>0.48160219999999998</v>
      </c>
      <c r="F594" t="s">
        <v>44</v>
      </c>
      <c r="G594">
        <v>-289.15280000000001</v>
      </c>
      <c r="H594">
        <v>-0.05</v>
      </c>
      <c r="I594">
        <v>368.8546</v>
      </c>
      <c r="J594">
        <v>-371.36619999999999</v>
      </c>
      <c r="K594">
        <v>1.1207819999999999</v>
      </c>
      <c r="L594">
        <v>367.7004</v>
      </c>
      <c r="M594">
        <v>0.99996910000000006</v>
      </c>
      <c r="N594">
        <v>-7.8616729999999996E-3</v>
      </c>
      <c r="O594">
        <v>-4.2711430000000002E-4</v>
      </c>
      <c r="P594">
        <v>0.99119109999999999</v>
      </c>
      <c r="Q594">
        <v>0.1262027</v>
      </c>
      <c r="R594">
        <v>-4.0163169999999998E-2</v>
      </c>
      <c r="S594">
        <v>3.0338129999999999</v>
      </c>
      <c r="T594">
        <v>-4.3123130000000003E-2</v>
      </c>
      <c r="U594">
        <v>4.2510989999999999E-2</v>
      </c>
      <c r="V594">
        <v>3.9745240000000001E-2</v>
      </c>
      <c r="W594">
        <v>0.13398979999999999</v>
      </c>
      <c r="X594">
        <v>0.99018539999999999</v>
      </c>
      <c r="Y594">
        <v>-1.443583E-2</v>
      </c>
      <c r="Z594">
        <v>1.6205230000000001E-4</v>
      </c>
      <c r="AA594">
        <v>0.9998958</v>
      </c>
      <c r="AB594">
        <v>27</v>
      </c>
      <c r="AC594">
        <v>82.213399999999893</v>
      </c>
      <c r="AD594">
        <v>-1.170782</v>
      </c>
      <c r="AE594">
        <v>1.1541999999999999</v>
      </c>
      <c r="AF594">
        <v>-1.1890743992146999</v>
      </c>
      <c r="AG594">
        <v>-1.170782</v>
      </c>
      <c r="AH594">
        <v>82.196233440776993</v>
      </c>
      <c r="AI594">
        <v>90.815965792179995</v>
      </c>
      <c r="AJ594">
        <v>90.828799445176301</v>
      </c>
      <c r="AK594">
        <v>82.213170600999803</v>
      </c>
      <c r="AL594">
        <v>82.299791313476902</v>
      </c>
      <c r="AM594">
        <v>87.701427736297305</v>
      </c>
      <c r="AN594">
        <v>1.0000000384899199</v>
      </c>
    </row>
    <row r="595" spans="1:40" x14ac:dyDescent="0.25">
      <c r="A595" t="str">
        <f>"20190303170237975"</f>
        <v>20190303170237975</v>
      </c>
      <c r="B595" t="str">
        <f>"1551603757966722"</f>
        <v>1551603757966722</v>
      </c>
      <c r="C595" t="s">
        <v>40</v>
      </c>
      <c r="D595">
        <v>4.1468660000000002</v>
      </c>
      <c r="E595">
        <v>0.48153309999999999</v>
      </c>
      <c r="F595" t="s">
        <v>44</v>
      </c>
      <c r="G595">
        <v>-283.51760000000002</v>
      </c>
      <c r="H595">
        <v>-0.05</v>
      </c>
      <c r="I595">
        <v>368.96069999999997</v>
      </c>
      <c r="J595">
        <v>-371.2029</v>
      </c>
      <c r="K595">
        <v>1.1207720000000001</v>
      </c>
      <c r="L595">
        <v>367.7004</v>
      </c>
      <c r="M595">
        <v>0.99996890000000005</v>
      </c>
      <c r="N595">
        <v>-7.866863E-3</v>
      </c>
      <c r="O595">
        <v>-4.2677630000000002E-4</v>
      </c>
      <c r="P595">
        <v>0.99120129999999995</v>
      </c>
      <c r="Q595">
        <v>0.1261081</v>
      </c>
      <c r="R595">
        <v>-4.0209679999999998E-2</v>
      </c>
      <c r="S595">
        <v>3.0335390000000002</v>
      </c>
      <c r="T595">
        <v>-4.0428760000000001E-2</v>
      </c>
      <c r="U595">
        <v>4.3518069999999999E-2</v>
      </c>
      <c r="V595">
        <v>3.979187E-2</v>
      </c>
      <c r="W595">
        <v>0.13390050000000001</v>
      </c>
      <c r="X595">
        <v>0.99019559999999995</v>
      </c>
      <c r="Y595">
        <v>-1.476882E-2</v>
      </c>
      <c r="Z595">
        <v>1.588347E-4</v>
      </c>
      <c r="AA595">
        <v>0.99989090000000003</v>
      </c>
      <c r="AB595">
        <v>27</v>
      </c>
      <c r="AC595">
        <v>87.685299999999899</v>
      </c>
      <c r="AD595">
        <v>-1.1707719999999999</v>
      </c>
      <c r="AE595">
        <v>1.26029999999997</v>
      </c>
      <c r="AF595">
        <v>-1.2974917906622601</v>
      </c>
      <c r="AG595">
        <v>-1.1707719999999999</v>
      </c>
      <c r="AH595">
        <v>87.669128122989207</v>
      </c>
      <c r="AI595">
        <v>90.765023726391505</v>
      </c>
      <c r="AJ595">
        <v>90.847908244182193</v>
      </c>
      <c r="AK595">
        <v>87.686545249929395</v>
      </c>
      <c r="AL595">
        <v>82.304954298020505</v>
      </c>
      <c r="AM595">
        <v>87.698757577633302</v>
      </c>
      <c r="AN595">
        <v>1.00000003153885</v>
      </c>
    </row>
    <row r="596" spans="1:40" x14ac:dyDescent="0.25">
      <c r="A596" t="str">
        <f>"20190303170237988"</f>
        <v>20190303170237988</v>
      </c>
      <c r="B596" t="str">
        <f>"1551603757976482"</f>
        <v>1551603757976482</v>
      </c>
      <c r="C596" t="s">
        <v>40</v>
      </c>
      <c r="D596">
        <v>4.1316709999999999</v>
      </c>
      <c r="E596">
        <v>0.48147980000000001</v>
      </c>
      <c r="F596" t="s">
        <v>44</v>
      </c>
      <c r="G596">
        <v>-282.3218</v>
      </c>
      <c r="H596">
        <v>-0.05</v>
      </c>
      <c r="I596">
        <v>368.99779999999998</v>
      </c>
      <c r="J596">
        <v>-371.0401</v>
      </c>
      <c r="K596">
        <v>1.12077</v>
      </c>
      <c r="L596">
        <v>367.70030000000003</v>
      </c>
      <c r="M596">
        <v>0.999969</v>
      </c>
      <c r="N596">
        <v>-7.8721620000000003E-3</v>
      </c>
      <c r="O596">
        <v>-4.2655759999999998E-4</v>
      </c>
      <c r="P596">
        <v>0.99119259999999998</v>
      </c>
      <c r="Q596">
        <v>0.1261774</v>
      </c>
      <c r="R596">
        <v>-4.0211160000000003E-2</v>
      </c>
      <c r="S596">
        <v>3.0334780000000001</v>
      </c>
      <c r="T596">
        <v>-3.9958E-2</v>
      </c>
      <c r="U596">
        <v>4.4281010000000003E-2</v>
      </c>
      <c r="V596">
        <v>3.979357E-2</v>
      </c>
      <c r="W596">
        <v>0.1339747</v>
      </c>
      <c r="X596">
        <v>0.99018539999999999</v>
      </c>
      <c r="Y596">
        <v>-1.502032E-2</v>
      </c>
      <c r="Z596">
        <v>1.6030659999999999E-4</v>
      </c>
      <c r="AA596">
        <v>0.99988719999999998</v>
      </c>
      <c r="AB596">
        <v>27</v>
      </c>
      <c r="AC596">
        <v>88.718299999999999</v>
      </c>
      <c r="AD596">
        <v>-1.1707700000000001</v>
      </c>
      <c r="AE596">
        <v>1.2974999999999499</v>
      </c>
      <c r="AF596">
        <v>-1.3351120603743001</v>
      </c>
      <c r="AG596">
        <v>-1.1707700000000001</v>
      </c>
      <c r="AH596">
        <v>88.702294490805002</v>
      </c>
      <c r="AI596">
        <v>90.756109966497405</v>
      </c>
      <c r="AJ596">
        <v>90.862328428976795</v>
      </c>
      <c r="AK596">
        <v>88.720066921413903</v>
      </c>
      <c r="AL596">
        <v>82.300663568315002</v>
      </c>
      <c r="AM596">
        <v>87.698635688126998</v>
      </c>
      <c r="AN596">
        <v>0.99999993741329496</v>
      </c>
    </row>
    <row r="597" spans="1:40" x14ac:dyDescent="0.25">
      <c r="A597" t="str">
        <f>"20190303170238006"</f>
        <v>20190303170238006</v>
      </c>
      <c r="B597" t="str">
        <f>"1551603757996002"</f>
        <v>1551603757996002</v>
      </c>
      <c r="C597" t="s">
        <v>40</v>
      </c>
      <c r="D597">
        <v>4.1668699999999896</v>
      </c>
      <c r="E597">
        <v>0.48142239999999997</v>
      </c>
      <c r="F597" t="s">
        <v>44</v>
      </c>
      <c r="G597">
        <v>-280.32839999999999</v>
      </c>
      <c r="H597">
        <v>-0.05</v>
      </c>
      <c r="I597">
        <v>369.03089999999997</v>
      </c>
      <c r="J597">
        <v>-370.82490000000001</v>
      </c>
      <c r="K597">
        <v>1.12077</v>
      </c>
      <c r="L597">
        <v>367.7002</v>
      </c>
      <c r="M597">
        <v>0.999969</v>
      </c>
      <c r="N597">
        <v>-7.8792910000000001E-3</v>
      </c>
      <c r="O597">
        <v>-4.2622660000000002E-4</v>
      </c>
      <c r="P597">
        <v>0.99118790000000001</v>
      </c>
      <c r="Q597">
        <v>0.1262567</v>
      </c>
      <c r="R597">
        <v>-4.0071490000000001E-2</v>
      </c>
      <c r="S597">
        <v>3.0334780000000001</v>
      </c>
      <c r="T597">
        <v>-3.915155E-2</v>
      </c>
      <c r="U597">
        <v>4.449463E-2</v>
      </c>
      <c r="V597">
        <v>3.965436E-2</v>
      </c>
      <c r="W597">
        <v>0.1340616</v>
      </c>
      <c r="X597">
        <v>0.99017929999999998</v>
      </c>
      <c r="Y597">
        <v>-1.509045E-2</v>
      </c>
      <c r="Z597">
        <v>1.589746E-4</v>
      </c>
      <c r="AA597">
        <v>0.9998861</v>
      </c>
      <c r="AB597">
        <v>27</v>
      </c>
      <c r="AC597">
        <v>90.496499999999997</v>
      </c>
      <c r="AD597">
        <v>-1.1707700000000001</v>
      </c>
      <c r="AE597">
        <v>1.33069999999997</v>
      </c>
      <c r="AF597">
        <v>-1.3690439984816201</v>
      </c>
      <c r="AG597">
        <v>-1.1707700000000001</v>
      </c>
      <c r="AH597">
        <v>90.480784017539804</v>
      </c>
      <c r="AI597">
        <v>90.7412486650273</v>
      </c>
      <c r="AJ597">
        <v>90.866863154392306</v>
      </c>
      <c r="AK597">
        <v>90.498714136121094</v>
      </c>
      <c r="AL597">
        <v>82.295639829468897</v>
      </c>
      <c r="AM597">
        <v>87.706663835802004</v>
      </c>
      <c r="AN597">
        <v>1.00000001350502</v>
      </c>
    </row>
    <row r="598" spans="1:40" x14ac:dyDescent="0.25">
      <c r="A598" t="str">
        <f>"20190303170238022"</f>
        <v>20190303170238022</v>
      </c>
      <c r="B598" t="str">
        <f>"1551603758016498"</f>
        <v>1551603758016498</v>
      </c>
      <c r="C598" t="s">
        <v>40</v>
      </c>
      <c r="D598">
        <v>4.2596449999999999</v>
      </c>
      <c r="E598">
        <v>0.48207509999999998</v>
      </c>
      <c r="F598" t="s">
        <v>44</v>
      </c>
      <c r="G598">
        <v>-277.327</v>
      </c>
      <c r="H598">
        <v>-0.05</v>
      </c>
      <c r="I598">
        <v>369.10180000000003</v>
      </c>
      <c r="J598">
        <v>-370.64120000000003</v>
      </c>
      <c r="K598">
        <v>1.12077</v>
      </c>
      <c r="L598">
        <v>367.7002</v>
      </c>
      <c r="M598">
        <v>0.99996890000000005</v>
      </c>
      <c r="N598">
        <v>-7.8855269999999998E-3</v>
      </c>
      <c r="O598">
        <v>-4.2601169999999998E-4</v>
      </c>
      <c r="P598">
        <v>0.99118130000000004</v>
      </c>
      <c r="Q598">
        <v>0.12621940000000001</v>
      </c>
      <c r="R598">
        <v>-4.035532E-2</v>
      </c>
      <c r="S598">
        <v>3.033325</v>
      </c>
      <c r="T598">
        <v>-3.798294E-2</v>
      </c>
      <c r="U598">
        <v>4.5471190000000002E-2</v>
      </c>
      <c r="V598">
        <v>3.9938220000000003E-2</v>
      </c>
      <c r="W598">
        <v>0.13403039999999999</v>
      </c>
      <c r="X598">
        <v>0.9901721</v>
      </c>
      <c r="Y598">
        <v>-1.541286E-2</v>
      </c>
      <c r="Z598">
        <v>1.5924209999999901E-4</v>
      </c>
      <c r="AA598">
        <v>0.99988120000000003</v>
      </c>
      <c r="AB598">
        <v>27</v>
      </c>
      <c r="AC598">
        <v>93.3142</v>
      </c>
      <c r="AD598">
        <v>-1.1707700000000001</v>
      </c>
      <c r="AE598">
        <v>1.4016000000000299</v>
      </c>
      <c r="AF598">
        <v>-1.44112724182728</v>
      </c>
      <c r="AG598">
        <v>-1.1707700000000001</v>
      </c>
      <c r="AH598">
        <v>93.298911026415496</v>
      </c>
      <c r="AI598">
        <v>90.718857902783398</v>
      </c>
      <c r="AJ598">
        <v>90.884940048153993</v>
      </c>
      <c r="AK598">
        <v>93.317385029988003</v>
      </c>
      <c r="AL598">
        <v>82.297443622177695</v>
      </c>
      <c r="AM598">
        <v>87.690248260395506</v>
      </c>
      <c r="AN598">
        <v>0.99999999857966904</v>
      </c>
    </row>
    <row r="599" spans="1:40" x14ac:dyDescent="0.25">
      <c r="A599" t="str">
        <f>"20190303170238034"</f>
        <v>20190303170238034</v>
      </c>
      <c r="B599" t="str">
        <f>"1551603758026258"</f>
        <v>1551603758026258</v>
      </c>
      <c r="C599" t="s">
        <v>40</v>
      </c>
      <c r="D599">
        <v>4.1612</v>
      </c>
      <c r="E599">
        <v>0.48300209999999999</v>
      </c>
      <c r="F599" t="s">
        <v>41</v>
      </c>
      <c r="G599">
        <v>-158.19499999999999</v>
      </c>
      <c r="H599">
        <v>0.38407160000000001</v>
      </c>
      <c r="I599">
        <v>370.40089999999998</v>
      </c>
      <c r="J599">
        <v>-370.4794</v>
      </c>
      <c r="K599">
        <v>1.12077</v>
      </c>
      <c r="L599">
        <v>367.70010000000002</v>
      </c>
      <c r="M599">
        <v>0.99996879999999999</v>
      </c>
      <c r="N599">
        <v>-7.8911450000000005E-3</v>
      </c>
      <c r="O599">
        <v>-4.2567540000000001E-4</v>
      </c>
      <c r="P599">
        <v>0.99119599999999997</v>
      </c>
      <c r="Q599">
        <v>0.12597929999999999</v>
      </c>
      <c r="R599">
        <v>-4.0742899999999999E-2</v>
      </c>
      <c r="S599">
        <v>3.0295719999999999</v>
      </c>
      <c r="T599">
        <v>-1.0504360000000001E-2</v>
      </c>
      <c r="U599">
        <v>3.8513180000000001E-2</v>
      </c>
      <c r="V599">
        <v>4.032616E-2</v>
      </c>
      <c r="W599">
        <v>0.1337961</v>
      </c>
      <c r="X599">
        <v>0.99018810000000002</v>
      </c>
      <c r="Y599">
        <v>-1.3136790000000001E-2</v>
      </c>
      <c r="Z599" s="1">
        <v>7.2725859999999998E-5</v>
      </c>
      <c r="AA599">
        <v>0.99991370000000002</v>
      </c>
      <c r="AB599">
        <v>27</v>
      </c>
      <c r="AC599">
        <v>212.28440000000001</v>
      </c>
      <c r="AD599">
        <v>-0.73669839999999998</v>
      </c>
      <c r="AE599">
        <v>2.7007999999999499</v>
      </c>
      <c r="AF599">
        <v>-2.7911332045981299</v>
      </c>
      <c r="AG599">
        <v>-0.73669839999999998</v>
      </c>
      <c r="AH599">
        <v>212.28067493291499</v>
      </c>
      <c r="AI599">
        <v>90.198821167321597</v>
      </c>
      <c r="AJ599">
        <v>90.753299555504796</v>
      </c>
      <c r="AK599">
        <v>212.300301693314</v>
      </c>
      <c r="AL599">
        <v>82.310990312741197</v>
      </c>
      <c r="AM599">
        <v>87.667874777882304</v>
      </c>
      <c r="AN599">
        <v>1.00000003446858</v>
      </c>
    </row>
    <row r="600" spans="1:40" x14ac:dyDescent="0.25">
      <c r="A600" t="str">
        <f>"20190303170238049"</f>
        <v>20190303170238049</v>
      </c>
      <c r="B600" t="str">
        <f>"1551603758036018"</f>
        <v>1551603758036018</v>
      </c>
      <c r="C600" t="s">
        <v>40</v>
      </c>
      <c r="D600">
        <v>4.2660780000000003</v>
      </c>
      <c r="E600">
        <v>0.48300209999999999</v>
      </c>
      <c r="F600" t="s">
        <v>52</v>
      </c>
      <c r="G600">
        <v>-206.05619999999999</v>
      </c>
      <c r="H600" s="1">
        <v>-3.5079759999999999E-6</v>
      </c>
      <c r="I600">
        <v>369.34100000000001</v>
      </c>
      <c r="J600">
        <v>-370.29930000000002</v>
      </c>
      <c r="K600">
        <v>1.1207640000000001</v>
      </c>
      <c r="L600">
        <v>367.7</v>
      </c>
      <c r="M600">
        <v>0.99996870000000004</v>
      </c>
      <c r="N600">
        <v>-7.8956949999999994E-3</v>
      </c>
      <c r="O600">
        <v>-4.2545430000000002E-4</v>
      </c>
      <c r="P600">
        <v>0.99122969999999999</v>
      </c>
      <c r="Q600">
        <v>0.1255734</v>
      </c>
      <c r="R600">
        <v>-4.1170760000000001E-2</v>
      </c>
      <c r="S600">
        <v>3.030548</v>
      </c>
      <c r="T600">
        <v>-2.0657419999999999E-2</v>
      </c>
      <c r="U600">
        <v>3.024292E-2</v>
      </c>
      <c r="V600">
        <v>4.0754150000000003E-2</v>
      </c>
      <c r="W600">
        <v>0.13339489999999901</v>
      </c>
      <c r="X600">
        <v>0.99022469999999996</v>
      </c>
      <c r="Y600">
        <v>-1.040378E-2</v>
      </c>
      <c r="Z600" s="1">
        <v>7.6072860000000005E-5</v>
      </c>
      <c r="AA600">
        <v>0.99994590000000005</v>
      </c>
      <c r="AB600">
        <v>27</v>
      </c>
      <c r="AC600">
        <v>164.2431</v>
      </c>
      <c r="AD600">
        <v>-1.12076750797599</v>
      </c>
      <c r="AE600">
        <v>1.64100000000001</v>
      </c>
      <c r="AF600">
        <v>-1.71080031058477</v>
      </c>
      <c r="AG600">
        <v>-1.12076750797599</v>
      </c>
      <c r="AH600">
        <v>164.23474016400201</v>
      </c>
      <c r="AI600">
        <v>90.390969460056695</v>
      </c>
      <c r="AJ600">
        <v>90.596817044226398</v>
      </c>
      <c r="AK600">
        <v>164.247474361851</v>
      </c>
      <c r="AL600">
        <v>82.334185252349499</v>
      </c>
      <c r="AM600">
        <v>87.643238222310799</v>
      </c>
      <c r="AN600">
        <v>1.0000000282891599</v>
      </c>
    </row>
    <row r="601" spans="1:40" x14ac:dyDescent="0.25">
      <c r="A601" t="str">
        <f>"20190303170238063"</f>
        <v>20190303170238063</v>
      </c>
      <c r="B601" t="str">
        <f>"1551603758056514"</f>
        <v>1551603758056514</v>
      </c>
      <c r="C601" t="s">
        <v>40</v>
      </c>
      <c r="D601">
        <v>4.1316800000000002</v>
      </c>
      <c r="E601">
        <v>0.50442240000000005</v>
      </c>
      <c r="F601" t="s">
        <v>42</v>
      </c>
      <c r="G601">
        <v>-215.73330000000001</v>
      </c>
      <c r="H601" s="1">
        <v>-1.893408E-6</v>
      </c>
      <c r="I601">
        <v>369.16149999999999</v>
      </c>
      <c r="J601">
        <v>-370.12650000000002</v>
      </c>
      <c r="K601">
        <v>1.120768</v>
      </c>
      <c r="L601">
        <v>367.7</v>
      </c>
      <c r="M601">
        <v>0.99996879999999999</v>
      </c>
      <c r="N601">
        <v>-7.8989030000000005E-3</v>
      </c>
      <c r="O601">
        <v>-4.2522810000000002E-4</v>
      </c>
      <c r="P601">
        <v>0.99123320000000004</v>
      </c>
      <c r="Q601">
        <v>0.12554129999999999</v>
      </c>
      <c r="R601">
        <v>-4.1184070000000003E-2</v>
      </c>
      <c r="S601">
        <v>3.0304869999999999</v>
      </c>
      <c r="T601">
        <v>-2.1974210000000001E-2</v>
      </c>
      <c r="U601">
        <v>2.8656009999999999E-2</v>
      </c>
      <c r="V601">
        <v>4.0767709999999999E-2</v>
      </c>
      <c r="W601">
        <v>0.1333656</v>
      </c>
      <c r="X601">
        <v>0.99022809999999994</v>
      </c>
      <c r="Y601">
        <v>-9.8801649999999998E-3</v>
      </c>
      <c r="Z601" s="1">
        <v>7.4567710000000002E-5</v>
      </c>
      <c r="AA601">
        <v>0.99995120000000004</v>
      </c>
      <c r="AB601">
        <v>27</v>
      </c>
      <c r="AC601">
        <v>154.39320000000001</v>
      </c>
      <c r="AD601">
        <v>-1.1207698934079999</v>
      </c>
      <c r="AE601">
        <v>1.4615</v>
      </c>
      <c r="AF601">
        <v>-1.5270737741572999</v>
      </c>
      <c r="AG601">
        <v>-1.1207698934079999</v>
      </c>
      <c r="AH601">
        <v>154.38442985747099</v>
      </c>
      <c r="AI601">
        <v>90.415917043620098</v>
      </c>
      <c r="AJ601">
        <v>90.566715367833396</v>
      </c>
      <c r="AK601">
        <v>154.39605002033599</v>
      </c>
      <c r="AL601">
        <v>82.335879242012595</v>
      </c>
      <c r="AM601">
        <v>87.642463034649097</v>
      </c>
      <c r="AN601">
        <v>1.0000000397358</v>
      </c>
    </row>
    <row r="602" spans="1:40" x14ac:dyDescent="0.25">
      <c r="A602" t="str">
        <f>"20190303170238076"</f>
        <v>20190303170238076</v>
      </c>
      <c r="B602" t="str">
        <f>"1551603758066276"</f>
        <v>1551603758066276</v>
      </c>
      <c r="C602" t="s">
        <v>40</v>
      </c>
      <c r="D602">
        <v>4.1161989999999999</v>
      </c>
      <c r="E602">
        <v>0.50571080000000002</v>
      </c>
      <c r="F602" t="s">
        <v>42</v>
      </c>
      <c r="G602">
        <v>-276.43130000000002</v>
      </c>
      <c r="H602" s="1">
        <v>-2.87629E-6</v>
      </c>
      <c r="I602">
        <v>363.31810000000002</v>
      </c>
      <c r="J602">
        <v>-369.97300000000001</v>
      </c>
      <c r="K602">
        <v>1.1207659999999999</v>
      </c>
      <c r="L602">
        <v>367.69990000000001</v>
      </c>
      <c r="M602">
        <v>0.99996879999999999</v>
      </c>
      <c r="N602">
        <v>-7.9010109999999995E-3</v>
      </c>
      <c r="O602">
        <v>-4.251169E-4</v>
      </c>
      <c r="P602">
        <v>0.99124029999999996</v>
      </c>
      <c r="Q602">
        <v>0.12542130000000001</v>
      </c>
      <c r="R602">
        <v>-4.1384890000000001E-2</v>
      </c>
      <c r="S602">
        <v>3.0252379999999999</v>
      </c>
      <c r="T602">
        <v>-3.6187530000000002E-2</v>
      </c>
      <c r="U602">
        <v>-0.14147950000000001</v>
      </c>
      <c r="V602">
        <v>4.096847E-2</v>
      </c>
      <c r="W602">
        <v>0.1332479</v>
      </c>
      <c r="X602">
        <v>0.99023559999999999</v>
      </c>
      <c r="Y602">
        <v>4.6285189999999997E-2</v>
      </c>
      <c r="Z602">
        <v>-4.57906E-4</v>
      </c>
      <c r="AA602">
        <v>0.99892820000000004</v>
      </c>
      <c r="AB602">
        <v>27</v>
      </c>
      <c r="AC602">
        <v>93.541700000000006</v>
      </c>
      <c r="AD602">
        <v>-1.1207688762900001</v>
      </c>
      <c r="AE602">
        <v>-4.3817999999999904</v>
      </c>
      <c r="AF602">
        <v>4.3414103380465203</v>
      </c>
      <c r="AG602">
        <v>-1.1207688762900001</v>
      </c>
      <c r="AH602">
        <v>93.530156956691201</v>
      </c>
      <c r="AI602">
        <v>90.685802299749895</v>
      </c>
      <c r="AJ602">
        <v>87.3423964707859</v>
      </c>
      <c r="AK602">
        <v>93.637568459142798</v>
      </c>
      <c r="AL602">
        <v>82.342683232982296</v>
      </c>
      <c r="AM602">
        <v>87.630884497356206</v>
      </c>
      <c r="AN602">
        <v>0.99999998094795495</v>
      </c>
    </row>
    <row r="603" spans="1:40" x14ac:dyDescent="0.25">
      <c r="A603" t="str">
        <f>"20190303170238087"</f>
        <v>20190303170238087</v>
      </c>
      <c r="B603" t="str">
        <f>"1551603758076035"</f>
        <v>1551603758076035</v>
      </c>
      <c r="C603" t="s">
        <v>40</v>
      </c>
      <c r="D603">
        <v>4.10358</v>
      </c>
      <c r="E603">
        <v>0.50640839999999998</v>
      </c>
      <c r="F603" t="s">
        <v>42</v>
      </c>
      <c r="G603">
        <v>-274.41500000000002</v>
      </c>
      <c r="H603" s="1">
        <v>-3.6777130000000001E-6</v>
      </c>
      <c r="I603">
        <v>362.88490000000002</v>
      </c>
      <c r="J603">
        <v>-369.82279999999997</v>
      </c>
      <c r="K603">
        <v>1.1207640000000001</v>
      </c>
      <c r="L603">
        <v>367.69979999999998</v>
      </c>
      <c r="M603">
        <v>0.99996859999999999</v>
      </c>
      <c r="N603">
        <v>-7.9023610000000001E-3</v>
      </c>
      <c r="O603">
        <v>-4.2464519999999998E-4</v>
      </c>
      <c r="P603">
        <v>0.99122869999999996</v>
      </c>
      <c r="Q603">
        <v>0.1255153</v>
      </c>
      <c r="R603">
        <v>-4.1369959999999997E-2</v>
      </c>
      <c r="S603">
        <v>3.0246279999999999</v>
      </c>
      <c r="T603">
        <v>-3.5474899999999997E-2</v>
      </c>
      <c r="U603">
        <v>-0.15240479999999901</v>
      </c>
      <c r="V603">
        <v>4.09541E-2</v>
      </c>
      <c r="W603">
        <v>0.13334289999999999</v>
      </c>
      <c r="X603">
        <v>0.99022339999999998</v>
      </c>
      <c r="Y603">
        <v>4.9894239999999999E-2</v>
      </c>
      <c r="Z603">
        <v>-4.8805829999999998E-4</v>
      </c>
      <c r="AA603">
        <v>0.99875440000000004</v>
      </c>
      <c r="AB603">
        <v>28</v>
      </c>
      <c r="AC603">
        <v>95.407799999999895</v>
      </c>
      <c r="AD603">
        <v>-1.12076767771299</v>
      </c>
      <c r="AE603">
        <v>-4.8148999999999598</v>
      </c>
      <c r="AF603">
        <v>4.7737267559422101</v>
      </c>
      <c r="AG603">
        <v>-1.12076767771299</v>
      </c>
      <c r="AH603">
        <v>95.396705257223402</v>
      </c>
      <c r="AI603">
        <v>90.672267086987503</v>
      </c>
      <c r="AJ603">
        <v>87.135263355302399</v>
      </c>
      <c r="AK603">
        <v>95.522646326729102</v>
      </c>
      <c r="AL603">
        <v>82.337191075221995</v>
      </c>
      <c r="AM603">
        <v>87.631685391020895</v>
      </c>
      <c r="AN603">
        <v>0.99999997459738899</v>
      </c>
    </row>
    <row r="604" spans="1:40" x14ac:dyDescent="0.25">
      <c r="A604" t="str">
        <f>"20190303170238102"</f>
        <v>20190303170238102</v>
      </c>
      <c r="B604" t="str">
        <f>"1551603758096530"</f>
        <v>1551603758096530</v>
      </c>
      <c r="C604" t="s">
        <v>40</v>
      </c>
      <c r="D604">
        <v>4.0707420000000001</v>
      </c>
      <c r="E604">
        <v>0.50714579999999998</v>
      </c>
      <c r="F604" t="s">
        <v>42</v>
      </c>
      <c r="G604">
        <v>-271.36430000000001</v>
      </c>
      <c r="H604" s="1">
        <v>-4.936489E-6</v>
      </c>
      <c r="I604">
        <v>362.57220000000001</v>
      </c>
      <c r="J604">
        <v>-369.65170000000001</v>
      </c>
      <c r="K604">
        <v>1.120762</v>
      </c>
      <c r="L604">
        <v>367.69979999999998</v>
      </c>
      <c r="M604">
        <v>0.99996879999999999</v>
      </c>
      <c r="N604">
        <v>-7.9039179999999994E-3</v>
      </c>
      <c r="O604">
        <v>-4.2465109999999999E-4</v>
      </c>
      <c r="P604">
        <v>0.99122589999999999</v>
      </c>
      <c r="Q604">
        <v>0.1254644</v>
      </c>
      <c r="R604">
        <v>-4.1595149999999997E-2</v>
      </c>
      <c r="S604">
        <v>3.024292</v>
      </c>
      <c r="T604">
        <v>-3.442597E-2</v>
      </c>
      <c r="U604">
        <v>-0.15750120000000001</v>
      </c>
      <c r="V604">
        <v>4.1179350000000003E-2</v>
      </c>
      <c r="W604">
        <v>0.13329369999999999</v>
      </c>
      <c r="X604">
        <v>0.99022069999999995</v>
      </c>
      <c r="Y604">
        <v>5.1578480000000003E-2</v>
      </c>
      <c r="Z604">
        <v>-4.9586680000000003E-4</v>
      </c>
      <c r="AA604">
        <v>0.99866880000000002</v>
      </c>
      <c r="AB604">
        <v>28</v>
      </c>
      <c r="AC604">
        <v>98.287400000000005</v>
      </c>
      <c r="AD604">
        <v>-1.1207669364890001</v>
      </c>
      <c r="AE604">
        <v>-5.12759999999997</v>
      </c>
      <c r="AF604">
        <v>5.0852009658004604</v>
      </c>
      <c r="AG604">
        <v>-1.1207669364890001</v>
      </c>
      <c r="AH604">
        <v>98.276824649459698</v>
      </c>
      <c r="AI604">
        <v>90.652510398069296</v>
      </c>
      <c r="AJ604">
        <v>87.037949269837199</v>
      </c>
      <c r="AK604">
        <v>98.414682088442206</v>
      </c>
      <c r="AL604">
        <v>82.340035552560494</v>
      </c>
      <c r="AM604">
        <v>87.618667987843196</v>
      </c>
      <c r="AN604">
        <v>0.99999999201730105</v>
      </c>
    </row>
    <row r="605" spans="1:40" x14ac:dyDescent="0.25">
      <c r="A605" t="str">
        <f>"20190303170238118"</f>
        <v>20190303170238118</v>
      </c>
      <c r="B605" t="str">
        <f>"1551603758106290"</f>
        <v>1551603758106290</v>
      </c>
      <c r="C605" t="s">
        <v>40</v>
      </c>
      <c r="D605">
        <v>4.105467</v>
      </c>
      <c r="E605">
        <v>0.50734570000000001</v>
      </c>
      <c r="F605" t="s">
        <v>42</v>
      </c>
      <c r="G605">
        <v>-272.2269</v>
      </c>
      <c r="H605" s="1">
        <v>-4.5944590000000002E-6</v>
      </c>
      <c r="I605">
        <v>362.41419999999999</v>
      </c>
      <c r="J605">
        <v>-369.45670000000001</v>
      </c>
      <c r="K605">
        <v>1.1207609999999999</v>
      </c>
      <c r="L605">
        <v>367.69970000000001</v>
      </c>
      <c r="M605">
        <v>0.99996879999999999</v>
      </c>
      <c r="N605">
        <v>-7.9057940000000007E-3</v>
      </c>
      <c r="O605">
        <v>-4.2442000000000001E-4</v>
      </c>
      <c r="P605">
        <v>0.99120379999999997</v>
      </c>
      <c r="Q605">
        <v>0.1255511</v>
      </c>
      <c r="R605">
        <v>-4.1858989999999999E-2</v>
      </c>
      <c r="S605">
        <v>3.0240779999999998</v>
      </c>
      <c r="T605">
        <v>-3.4788729999999997E-2</v>
      </c>
      <c r="U605">
        <v>-0.1640625</v>
      </c>
      <c r="V605">
        <v>4.1443389999999997E-2</v>
      </c>
      <c r="W605">
        <v>0.1333821</v>
      </c>
      <c r="X605">
        <v>0.99019780000000002</v>
      </c>
      <c r="Y605">
        <v>5.3742600000000001E-2</v>
      </c>
      <c r="Z605">
        <v>-5.1997209999999998E-4</v>
      </c>
      <c r="AA605">
        <v>0.99855470000000002</v>
      </c>
      <c r="AB605">
        <v>28</v>
      </c>
      <c r="AC605">
        <v>97.229799999999997</v>
      </c>
      <c r="AD605">
        <v>-1.120765594459</v>
      </c>
      <c r="AE605">
        <v>-5.2855000000000096</v>
      </c>
      <c r="AF605">
        <v>5.2435373061849004</v>
      </c>
      <c r="AG605">
        <v>-1.120765594459</v>
      </c>
      <c r="AH605">
        <v>97.219155020573993</v>
      </c>
      <c r="AI605">
        <v>90.659531635638103</v>
      </c>
      <c r="AJ605">
        <v>86.912730372971097</v>
      </c>
      <c r="AK605">
        <v>97.366908659531106</v>
      </c>
      <c r="AL605">
        <v>82.3349251189005</v>
      </c>
      <c r="AM605">
        <v>87.603361388716607</v>
      </c>
      <c r="AN605">
        <v>1.0000000111499701</v>
      </c>
    </row>
    <row r="606" spans="1:40" x14ac:dyDescent="0.25">
      <c r="A606" t="str">
        <f>"20190303170238132"</f>
        <v>20190303170238132</v>
      </c>
      <c r="B606" t="str">
        <f>"1551603758116050"</f>
        <v>1551603758116050</v>
      </c>
      <c r="C606" t="s">
        <v>40</v>
      </c>
      <c r="D606">
        <v>4.1092959999999996</v>
      </c>
      <c r="E606">
        <v>0.50746270000000004</v>
      </c>
      <c r="F606" t="s">
        <v>42</v>
      </c>
      <c r="G606">
        <v>-269.70100000000002</v>
      </c>
      <c r="H606" s="1">
        <v>-2.0568899999999999E-6</v>
      </c>
      <c r="I606">
        <v>362.2158</v>
      </c>
      <c r="J606">
        <v>-369.27569999999997</v>
      </c>
      <c r="K606">
        <v>1.1207590000000001</v>
      </c>
      <c r="L606">
        <v>367.69959999999998</v>
      </c>
      <c r="M606">
        <v>0.99996859999999999</v>
      </c>
      <c r="N606">
        <v>-7.9079570000000002E-3</v>
      </c>
      <c r="O606">
        <v>-4.2395159999999998E-4</v>
      </c>
      <c r="P606">
        <v>0.99115629999999999</v>
      </c>
      <c r="Q606">
        <v>0.1259441</v>
      </c>
      <c r="R606">
        <v>-4.1801850000000002E-2</v>
      </c>
      <c r="S606">
        <v>3.0238649999999998</v>
      </c>
      <c r="T606">
        <v>-3.3973339999999998E-2</v>
      </c>
      <c r="U606">
        <v>-0.16622919999999999</v>
      </c>
      <c r="V606">
        <v>4.1386609999999997E-2</v>
      </c>
      <c r="W606">
        <v>0.1337767</v>
      </c>
      <c r="X606">
        <v>0.99014690000000005</v>
      </c>
      <c r="Y606">
        <v>5.4460399999999999E-2</v>
      </c>
      <c r="Z606">
        <v>-5.1979619999999995E-4</v>
      </c>
      <c r="AA606">
        <v>0.99851579999999995</v>
      </c>
      <c r="AB606">
        <v>28</v>
      </c>
      <c r="AC606">
        <v>99.574700000000007</v>
      </c>
      <c r="AD606">
        <v>-1.1207610568899999</v>
      </c>
      <c r="AE606">
        <v>-5.4837999999999703</v>
      </c>
      <c r="AF606">
        <v>5.4408961317610398</v>
      </c>
      <c r="AG606">
        <v>-1.1207610568899999</v>
      </c>
      <c r="AH606">
        <v>99.564440725535604</v>
      </c>
      <c r="AI606">
        <v>90.643969975518203</v>
      </c>
      <c r="AJ606">
        <v>86.872069770245105</v>
      </c>
      <c r="AK606">
        <v>99.719292581987006</v>
      </c>
      <c r="AL606">
        <v>82.312111437410806</v>
      </c>
      <c r="AM606">
        <v>87.606518219338696</v>
      </c>
      <c r="AN606">
        <v>0.99999997026489496</v>
      </c>
    </row>
    <row r="607" spans="1:40" x14ac:dyDescent="0.25">
      <c r="A607" t="str">
        <f>"20190303170238146"</f>
        <v>20190303170238146</v>
      </c>
      <c r="B607" t="str">
        <f>"1551603758136546"</f>
        <v>1551603758136546</v>
      </c>
      <c r="C607" t="s">
        <v>40</v>
      </c>
      <c r="D607">
        <v>4.0867329999999997</v>
      </c>
      <c r="E607">
        <v>0.50737349999999903</v>
      </c>
      <c r="F607" t="s">
        <v>42</v>
      </c>
      <c r="G607">
        <v>-264.9228</v>
      </c>
      <c r="H607" s="1">
        <v>-3.7588989999999999E-6</v>
      </c>
      <c r="I607">
        <v>361.93029999999999</v>
      </c>
      <c r="J607">
        <v>-369.10129999999998</v>
      </c>
      <c r="K607">
        <v>1.1207560000000001</v>
      </c>
      <c r="L607">
        <v>367.69959999999998</v>
      </c>
      <c r="M607">
        <v>0.99996879999999999</v>
      </c>
      <c r="N607">
        <v>-7.9105349999999998E-3</v>
      </c>
      <c r="O607">
        <v>-4.237232E-4</v>
      </c>
      <c r="P607">
        <v>0.99111199999999999</v>
      </c>
      <c r="Q607">
        <v>0.12631199999999901</v>
      </c>
      <c r="R607">
        <v>-4.1744129999999997E-2</v>
      </c>
      <c r="S607">
        <v>3.0238339999999999</v>
      </c>
      <c r="T607">
        <v>-3.2476310000000001E-2</v>
      </c>
      <c r="U607">
        <v>-0.1671753</v>
      </c>
      <c r="V607">
        <v>4.1329150000000002E-2</v>
      </c>
      <c r="W607">
        <v>0.13414670000000001</v>
      </c>
      <c r="X607">
        <v>0.99009930000000002</v>
      </c>
      <c r="Y607">
        <v>5.4773009999999997E-2</v>
      </c>
      <c r="Z607">
        <v>-5.0952470000000004E-4</v>
      </c>
      <c r="AA607">
        <v>0.99849869999999996</v>
      </c>
      <c r="AB607">
        <v>28</v>
      </c>
      <c r="AC607">
        <v>104.1785</v>
      </c>
      <c r="AD607">
        <v>-1.1207597588989999</v>
      </c>
      <c r="AE607">
        <v>-5.7692999999999799</v>
      </c>
      <c r="AF607">
        <v>5.7244947562644697</v>
      </c>
      <c r="AG607">
        <v>-1.1207597588989999</v>
      </c>
      <c r="AH607">
        <v>104.16891606607</v>
      </c>
      <c r="AI607">
        <v>90.615496414155899</v>
      </c>
      <c r="AJ607">
        <v>86.854533679453297</v>
      </c>
      <c r="AK607">
        <v>104.33210923311999</v>
      </c>
      <c r="AL607">
        <v>82.290719641158702</v>
      </c>
      <c r="AM607">
        <v>87.609722629074</v>
      </c>
      <c r="AN607">
        <v>1.00000002981055</v>
      </c>
    </row>
    <row r="608" spans="1:40" x14ac:dyDescent="0.25">
      <c r="A608" t="str">
        <f>"20190303170238161"</f>
        <v>20190303170238161</v>
      </c>
      <c r="B608" t="str">
        <f>"1551603758156066"</f>
        <v>1551603758156066</v>
      </c>
      <c r="C608" t="s">
        <v>40</v>
      </c>
      <c r="D608">
        <v>4.0768620000000002</v>
      </c>
      <c r="E608">
        <v>0.50751229999999903</v>
      </c>
      <c r="F608" t="s">
        <v>42</v>
      </c>
      <c r="G608">
        <v>-259.7319</v>
      </c>
      <c r="H608" s="1">
        <v>-2.1870399999999998E-6</v>
      </c>
      <c r="I608">
        <v>361.68720000000002</v>
      </c>
      <c r="J608">
        <v>-368.90690000000001</v>
      </c>
      <c r="K608">
        <v>1.1207560000000001</v>
      </c>
      <c r="L608">
        <v>367.6995</v>
      </c>
      <c r="M608">
        <v>0.99996859999999999</v>
      </c>
      <c r="N608">
        <v>-7.91390199999999E-3</v>
      </c>
      <c r="O608">
        <v>-4.2349800000000002E-4</v>
      </c>
      <c r="P608">
        <v>0.99110750000000003</v>
      </c>
      <c r="Q608">
        <v>0.12641859999999999</v>
      </c>
      <c r="R608">
        <v>-4.1526489999999999E-2</v>
      </c>
      <c r="S608">
        <v>3.0238649999999998</v>
      </c>
      <c r="T608">
        <v>-3.0986909999999999E-2</v>
      </c>
      <c r="U608">
        <v>-0.16622919999999999</v>
      </c>
      <c r="V608">
        <v>4.1111920000000003E-2</v>
      </c>
      <c r="W608">
        <v>0.13425680000000001</v>
      </c>
      <c r="X608">
        <v>0.99009340000000001</v>
      </c>
      <c r="Y608">
        <v>5.4461639999999999E-2</v>
      </c>
      <c r="Z608">
        <v>-4.9351940000000002E-4</v>
      </c>
      <c r="AA608">
        <v>0.99851570000000001</v>
      </c>
      <c r="AB608">
        <v>28</v>
      </c>
      <c r="AC608">
        <v>109.175</v>
      </c>
      <c r="AD608">
        <v>-1.1207581870400001</v>
      </c>
      <c r="AE608">
        <v>-6.0122999999999802</v>
      </c>
      <c r="AF608">
        <v>5.9654358542967199</v>
      </c>
      <c r="AG608">
        <v>-1.1207581870400001</v>
      </c>
      <c r="AH608">
        <v>109.166066840365</v>
      </c>
      <c r="AI608">
        <v>90.587332742664103</v>
      </c>
      <c r="AJ608">
        <v>86.872153580078006</v>
      </c>
      <c r="AK608">
        <v>109.334681932316</v>
      </c>
      <c r="AL608">
        <v>82.284353633208795</v>
      </c>
      <c r="AM608">
        <v>87.622257547340695</v>
      </c>
      <c r="AN608">
        <v>1.00000000951794</v>
      </c>
    </row>
    <row r="609" spans="1:40" x14ac:dyDescent="0.25">
      <c r="A609" t="str">
        <f>"20190303170238173"</f>
        <v>20190303170238173</v>
      </c>
      <c r="B609" t="str">
        <f>"1551603758166802"</f>
        <v>1551603758166802</v>
      </c>
      <c r="C609" t="s">
        <v>40</v>
      </c>
      <c r="D609">
        <v>4.0653579999999998</v>
      </c>
      <c r="E609">
        <v>0.50748490000000002</v>
      </c>
      <c r="F609" t="s">
        <v>42</v>
      </c>
      <c r="G609">
        <v>-247.04089999999999</v>
      </c>
      <c r="H609" s="1">
        <v>-3.4192170000000001E-6</v>
      </c>
      <c r="I609">
        <v>360.97719999999998</v>
      </c>
      <c r="J609">
        <v>-368.75049999999999</v>
      </c>
      <c r="K609">
        <v>1.120754</v>
      </c>
      <c r="L609">
        <v>367.6995</v>
      </c>
      <c r="M609">
        <v>0.99996859999999999</v>
      </c>
      <c r="N609">
        <v>-7.9169870000000003E-3</v>
      </c>
      <c r="O609">
        <v>-4.2327169999999999E-4</v>
      </c>
      <c r="P609">
        <v>0.99112040000000001</v>
      </c>
      <c r="Q609">
        <v>0.1262867</v>
      </c>
      <c r="R609">
        <v>-4.161811E-2</v>
      </c>
      <c r="S609">
        <v>3.0234679999999998</v>
      </c>
      <c r="T609">
        <v>-2.780581E-2</v>
      </c>
      <c r="U609">
        <v>-0.1667786</v>
      </c>
      <c r="V609">
        <v>4.1203669999999998E-2</v>
      </c>
      <c r="W609">
        <v>0.13412779999999999</v>
      </c>
      <c r="X609">
        <v>0.99010710000000002</v>
      </c>
      <c r="Y609">
        <v>5.465068E-2</v>
      </c>
      <c r="Z609">
        <v>-4.6707509999999999E-4</v>
      </c>
      <c r="AA609">
        <v>0.99850539999999999</v>
      </c>
      <c r="AB609">
        <v>28</v>
      </c>
      <c r="AC609">
        <v>121.70959999999999</v>
      </c>
      <c r="AD609">
        <v>-1.120757419217</v>
      </c>
      <c r="AE609">
        <v>-6.7223000000000104</v>
      </c>
      <c r="AF609">
        <v>6.6702176701859397</v>
      </c>
      <c r="AG609">
        <v>-1.120757419217</v>
      </c>
      <c r="AH609">
        <v>121.70214611839801</v>
      </c>
      <c r="AI609">
        <v>90.526832393262893</v>
      </c>
      <c r="AJ609">
        <v>86.862887378013497</v>
      </c>
      <c r="AK609">
        <v>121.889951475846</v>
      </c>
      <c r="AL609">
        <v>82.291812480628494</v>
      </c>
      <c r="AM609">
        <v>87.616990155630404</v>
      </c>
      <c r="AN609">
        <v>1.00000003931235</v>
      </c>
    </row>
    <row r="610" spans="1:40" x14ac:dyDescent="0.25">
      <c r="A610" t="str">
        <f>"20190303170238186"</f>
        <v>20190303170238186</v>
      </c>
      <c r="B610" t="str">
        <f>"1551603758176562"</f>
        <v>1551603758176562</v>
      </c>
      <c r="C610" t="s">
        <v>40</v>
      </c>
      <c r="D610">
        <v>4.0868989999999998</v>
      </c>
      <c r="E610">
        <v>0.5075577</v>
      </c>
      <c r="F610" t="s">
        <v>42</v>
      </c>
      <c r="G610">
        <v>-244.8552</v>
      </c>
      <c r="H610" s="1">
        <v>-4.2927670000000004E-6</v>
      </c>
      <c r="I610">
        <v>360.84870000000001</v>
      </c>
      <c r="J610">
        <v>-368.6028</v>
      </c>
      <c r="K610">
        <v>1.1207549999999999</v>
      </c>
      <c r="L610">
        <v>367.69940000000003</v>
      </c>
      <c r="M610">
        <v>0.99996859999999999</v>
      </c>
      <c r="N610">
        <v>-7.9205890000000004E-3</v>
      </c>
      <c r="O610">
        <v>-4.2292829999999998E-4</v>
      </c>
      <c r="P610">
        <v>0.99112860000000003</v>
      </c>
      <c r="Q610">
        <v>0.12623760000000001</v>
      </c>
      <c r="R610">
        <v>-4.157624E-2</v>
      </c>
      <c r="S610">
        <v>3.0233460000000001</v>
      </c>
      <c r="T610">
        <v>-2.7349229999999999E-2</v>
      </c>
      <c r="U610">
        <v>-0.1671753</v>
      </c>
      <c r="V610">
        <v>4.1161910000000003E-2</v>
      </c>
      <c r="W610">
        <v>0.13408239999999999</v>
      </c>
      <c r="X610">
        <v>0.99011490000000002</v>
      </c>
      <c r="Y610">
        <v>5.4783970000000001E-2</v>
      </c>
      <c r="Z610">
        <v>-4.6425660000000001E-4</v>
      </c>
      <c r="AA610">
        <v>0.99849810000000006</v>
      </c>
      <c r="AB610">
        <v>28</v>
      </c>
      <c r="AC610">
        <v>123.74760000000001</v>
      </c>
      <c r="AD610">
        <v>-1.120759292767</v>
      </c>
      <c r="AE610">
        <v>-6.8507000000000096</v>
      </c>
      <c r="AF610">
        <v>6.79780549385071</v>
      </c>
      <c r="AG610">
        <v>-1.120759292767</v>
      </c>
      <c r="AH610">
        <v>123.74036747178999</v>
      </c>
      <c r="AI610">
        <v>90.518152243895699</v>
      </c>
      <c r="AJ610">
        <v>86.855557629939796</v>
      </c>
      <c r="AK610">
        <v>123.932016859963</v>
      </c>
      <c r="AL610">
        <v>82.294436758419494</v>
      </c>
      <c r="AM610">
        <v>87.6194212931603</v>
      </c>
      <c r="AN610">
        <v>0.99999995401330799</v>
      </c>
    </row>
    <row r="611" spans="1:40" x14ac:dyDescent="0.25">
      <c r="A611" t="str">
        <f>"20190303170238198"</f>
        <v>20190303170238198</v>
      </c>
      <c r="B611" t="str">
        <f>"1551603758187299"</f>
        <v>1551603758187299</v>
      </c>
      <c r="C611" t="s">
        <v>40</v>
      </c>
      <c r="D611">
        <v>4.0789439999999999</v>
      </c>
      <c r="E611">
        <v>0.50765819999999995</v>
      </c>
      <c r="F611" t="s">
        <v>42</v>
      </c>
      <c r="G611">
        <v>-241.5575</v>
      </c>
      <c r="H611" s="1">
        <v>-5.6096569999999997E-6</v>
      </c>
      <c r="I611">
        <v>360.65879999999999</v>
      </c>
      <c r="J611">
        <v>-368.45260000000002</v>
      </c>
      <c r="K611">
        <v>1.120757</v>
      </c>
      <c r="L611">
        <v>367.69929999999999</v>
      </c>
      <c r="M611">
        <v>0.99996859999999999</v>
      </c>
      <c r="N611">
        <v>-7.9240339999999999E-3</v>
      </c>
      <c r="O611">
        <v>-4.2294199999999999E-4</v>
      </c>
      <c r="P611">
        <v>0.99113189999999995</v>
      </c>
      <c r="Q611">
        <v>0.1262489</v>
      </c>
      <c r="R611">
        <v>-4.1459120000000002E-2</v>
      </c>
      <c r="S611">
        <v>3.0232239999999999</v>
      </c>
      <c r="T611">
        <v>-2.6670099999999902E-2</v>
      </c>
      <c r="U611">
        <v>-0.16754150000000001</v>
      </c>
      <c r="V611">
        <v>4.1044949999999997E-2</v>
      </c>
      <c r="W611">
        <v>0.1340971</v>
      </c>
      <c r="X611">
        <v>0.99011780000000005</v>
      </c>
      <c r="Y611">
        <v>5.4906900000000002E-2</v>
      </c>
      <c r="Z611">
        <v>-4.5933779999999998E-4</v>
      </c>
      <c r="AA611">
        <v>0.99849129999999997</v>
      </c>
      <c r="AB611">
        <v>28</v>
      </c>
      <c r="AC611">
        <v>126.8951</v>
      </c>
      <c r="AD611">
        <v>-1.120762609657</v>
      </c>
      <c r="AE611">
        <v>-7.0404999999999998</v>
      </c>
      <c r="AF611">
        <v>6.98628511076208</v>
      </c>
      <c r="AG611">
        <v>-1.120762609657</v>
      </c>
      <c r="AH611">
        <v>126.888198584355</v>
      </c>
      <c r="AI611">
        <v>90.505296744331801</v>
      </c>
      <c r="AJ611">
        <v>86.848557161603395</v>
      </c>
      <c r="AK611">
        <v>127.085322631918</v>
      </c>
      <c r="AL611">
        <v>82.293587106284605</v>
      </c>
      <c r="AM611">
        <v>87.626184812634406</v>
      </c>
      <c r="AN611">
        <v>0.99999998901287601</v>
      </c>
    </row>
    <row r="612" spans="1:40" x14ac:dyDescent="0.25">
      <c r="A612" t="str">
        <f>"20190303170238209"</f>
        <v>20190303170238209</v>
      </c>
      <c r="B612" t="str">
        <f>"1551603758196082"</f>
        <v>1551603758196082</v>
      </c>
      <c r="C612" t="s">
        <v>40</v>
      </c>
      <c r="D612">
        <v>4.0720869999999998</v>
      </c>
      <c r="E612">
        <v>0.5077081</v>
      </c>
      <c r="F612" t="s">
        <v>42</v>
      </c>
      <c r="G612">
        <v>-235.4641</v>
      </c>
      <c r="H612" s="1">
        <v>-4.0043699999999997E-6</v>
      </c>
      <c r="I612">
        <v>360.31549999999999</v>
      </c>
      <c r="J612">
        <v>-368.2998</v>
      </c>
      <c r="K612">
        <v>1.1207590000000001</v>
      </c>
      <c r="L612">
        <v>367.69929999999999</v>
      </c>
      <c r="M612">
        <v>0.99996839999999998</v>
      </c>
      <c r="N612">
        <v>-7.9267019999999903E-3</v>
      </c>
      <c r="O612">
        <v>-4.2271410000000001E-4</v>
      </c>
      <c r="P612">
        <v>0.99114219999999997</v>
      </c>
      <c r="Q612">
        <v>0.12624089999999999</v>
      </c>
      <c r="R612">
        <v>-4.1239169999999999E-2</v>
      </c>
      <c r="S612">
        <v>3.0230709999999998</v>
      </c>
      <c r="T612">
        <v>-2.5476929999999998E-2</v>
      </c>
      <c r="U612">
        <v>-0.16784669999999999</v>
      </c>
      <c r="V612">
        <v>4.0825170000000001E-2</v>
      </c>
      <c r="W612">
        <v>0.13409190000000001</v>
      </c>
      <c r="X612">
        <v>0.9901276</v>
      </c>
      <c r="Y612">
        <v>5.5010660000000003E-2</v>
      </c>
      <c r="Z612">
        <v>-4.4961259999999999E-4</v>
      </c>
      <c r="AA612">
        <v>0.99848570000000003</v>
      </c>
      <c r="AB612">
        <v>28</v>
      </c>
      <c r="AC612">
        <v>132.8357</v>
      </c>
      <c r="AD612">
        <v>-1.1207630043700001</v>
      </c>
      <c r="AE612">
        <v>-7.3837999999999999</v>
      </c>
      <c r="AF612">
        <v>7.3271260612773501</v>
      </c>
      <c r="AG612">
        <v>-1.1207630043700001</v>
      </c>
      <c r="AH612">
        <v>132.829382926335</v>
      </c>
      <c r="AI612">
        <v>90.482694386746502</v>
      </c>
      <c r="AJ612">
        <v>86.842653654565893</v>
      </c>
      <c r="AK612">
        <v>133.03603968331501</v>
      </c>
      <c r="AL612">
        <v>82.293887831032293</v>
      </c>
      <c r="AM612">
        <v>87.638904603553598</v>
      </c>
      <c r="AN612">
        <v>0.99999999821644903</v>
      </c>
    </row>
    <row r="613" spans="1:40" x14ac:dyDescent="0.25">
      <c r="A613" t="str">
        <f>"20190303170238222"</f>
        <v>20190303170238222</v>
      </c>
      <c r="B613" t="str">
        <f>"1551603758216579"</f>
        <v>1551603758216579</v>
      </c>
      <c r="C613" t="s">
        <v>40</v>
      </c>
      <c r="D613">
        <v>4.0758239999999999</v>
      </c>
      <c r="E613">
        <v>0.50780449999999999</v>
      </c>
      <c r="F613" t="s">
        <v>42</v>
      </c>
      <c r="G613">
        <v>-234.18790000000001</v>
      </c>
      <c r="H613" s="1">
        <v>-4.455316E-6</v>
      </c>
      <c r="I613">
        <v>360.25299999999999</v>
      </c>
      <c r="J613">
        <v>-368.14870000000002</v>
      </c>
      <c r="K613">
        <v>1.1207579999999999</v>
      </c>
      <c r="L613">
        <v>367.69920000000002</v>
      </c>
      <c r="M613">
        <v>0.99996850000000004</v>
      </c>
      <c r="N613">
        <v>-7.9285150000000006E-3</v>
      </c>
      <c r="O613">
        <v>-4.2248280000000001E-4</v>
      </c>
      <c r="P613">
        <v>0.9910698</v>
      </c>
      <c r="Q613">
        <v>0.12679749999999901</v>
      </c>
      <c r="R613">
        <v>-4.1269100000000003E-2</v>
      </c>
      <c r="S613">
        <v>3.0230410000000001</v>
      </c>
      <c r="T613">
        <v>-2.5263310000000001E-2</v>
      </c>
      <c r="U613">
        <v>-0.16784669999999999</v>
      </c>
      <c r="V613">
        <v>4.0855500000000003E-2</v>
      </c>
      <c r="W613">
        <v>0.13464989999999999</v>
      </c>
      <c r="X613">
        <v>0.9900506</v>
      </c>
      <c r="Y613">
        <v>5.5011499999999998E-2</v>
      </c>
      <c r="Z613">
        <v>-4.4776009999999999E-4</v>
      </c>
      <c r="AA613">
        <v>0.99848559999999997</v>
      </c>
      <c r="AB613">
        <v>28</v>
      </c>
      <c r="AC613">
        <v>133.96080000000001</v>
      </c>
      <c r="AD613">
        <v>-1.1207624553159901</v>
      </c>
      <c r="AE613">
        <v>-7.44619999999997</v>
      </c>
      <c r="AF613">
        <v>7.3890858122174903</v>
      </c>
      <c r="AG613">
        <v>-1.1207624553159901</v>
      </c>
      <c r="AH613">
        <v>133.95458666244701</v>
      </c>
      <c r="AI613">
        <v>90.478639783513302</v>
      </c>
      <c r="AJ613">
        <v>86.842699993090704</v>
      </c>
      <c r="AK613">
        <v>134.16290838204301</v>
      </c>
      <c r="AL613">
        <v>82.261624040518498</v>
      </c>
      <c r="AM613">
        <v>87.636968917102294</v>
      </c>
      <c r="AN613">
        <v>0.99999997900530901</v>
      </c>
    </row>
    <row r="614" spans="1:40" x14ac:dyDescent="0.25">
      <c r="A614" t="str">
        <f>"20190303170238240"</f>
        <v>20190303170238240</v>
      </c>
      <c r="B614" t="str">
        <f>"1551603758226339"</f>
        <v>1551603758226339</v>
      </c>
      <c r="C614" t="s">
        <v>40</v>
      </c>
      <c r="D614">
        <v>4.1037249999999998</v>
      </c>
      <c r="E614">
        <v>0.50792009999999999</v>
      </c>
      <c r="F614" t="s">
        <v>42</v>
      </c>
      <c r="G614">
        <v>-223.47550000000001</v>
      </c>
      <c r="H614">
        <v>2.5135749999999998E-2</v>
      </c>
      <c r="I614">
        <v>359.6164</v>
      </c>
      <c r="J614">
        <v>-367.9393</v>
      </c>
      <c r="K614">
        <v>1.1207659999999999</v>
      </c>
      <c r="L614">
        <v>367.69909999999999</v>
      </c>
      <c r="M614">
        <v>0.99996850000000004</v>
      </c>
      <c r="N614">
        <v>-7.9300949999999999E-3</v>
      </c>
      <c r="O614">
        <v>-4.2236999999999998E-4</v>
      </c>
      <c r="P614">
        <v>0.99101870000000003</v>
      </c>
      <c r="Q614">
        <v>0.1272083</v>
      </c>
      <c r="R614">
        <v>-4.1234920000000001E-2</v>
      </c>
      <c r="S614">
        <v>3.0228579999999998</v>
      </c>
      <c r="T614">
        <v>-2.289236E-2</v>
      </c>
      <c r="U614">
        <v>-0.16888429999999999</v>
      </c>
      <c r="V614">
        <v>4.0821410000000002E-2</v>
      </c>
      <c r="W614">
        <v>0.1350614</v>
      </c>
      <c r="X614">
        <v>0.98999599999999999</v>
      </c>
      <c r="Y614">
        <v>5.5357120000000003E-2</v>
      </c>
      <c r="Z614">
        <v>-4.2927109999999998E-4</v>
      </c>
      <c r="AA614">
        <v>0.99846659999999998</v>
      </c>
      <c r="AB614">
        <v>28</v>
      </c>
      <c r="AC614">
        <v>144.46379999999999</v>
      </c>
      <c r="AD614">
        <v>-1.0956302499999999</v>
      </c>
      <c r="AE614">
        <v>-8.0826999999999796</v>
      </c>
      <c r="AF614">
        <v>8.0212202557646997</v>
      </c>
      <c r="AG614">
        <v>-1.0956302499999999</v>
      </c>
      <c r="AH614">
        <v>144.45891793352399</v>
      </c>
      <c r="AI614">
        <v>90.433875896684498</v>
      </c>
      <c r="AJ614">
        <v>86.821860303735505</v>
      </c>
      <c r="AK614">
        <v>144.68558791586901</v>
      </c>
      <c r="AL614">
        <v>82.237829825712694</v>
      </c>
      <c r="AM614">
        <v>87.638808338519198</v>
      </c>
      <c r="AN614">
        <v>1.0000000246501699</v>
      </c>
    </row>
    <row r="615" spans="1:40" x14ac:dyDescent="0.25">
      <c r="A615" t="str">
        <f>"20190303170238250"</f>
        <v>20190303170238250</v>
      </c>
      <c r="B615" t="str">
        <f>"1551603758236098"</f>
        <v>1551603758236098</v>
      </c>
      <c r="C615" t="s">
        <v>40</v>
      </c>
      <c r="D615">
        <v>4.097404</v>
      </c>
      <c r="E615">
        <v>0.50795679999999999</v>
      </c>
      <c r="F615" t="s">
        <v>42</v>
      </c>
      <c r="G615">
        <v>-223.57560000000001</v>
      </c>
      <c r="H615">
        <v>6.0231439999999997E-2</v>
      </c>
      <c r="I615">
        <v>359.6062</v>
      </c>
      <c r="J615">
        <v>-367.78949999999998</v>
      </c>
      <c r="K615">
        <v>1.1207670000000001</v>
      </c>
      <c r="L615">
        <v>367.69909999999999</v>
      </c>
      <c r="M615">
        <v>0.99996850000000004</v>
      </c>
      <c r="N615">
        <v>-7.9308239999999995E-3</v>
      </c>
      <c r="O615">
        <v>-4.2201519999999999E-4</v>
      </c>
      <c r="P615">
        <v>0.99096419999999996</v>
      </c>
      <c r="Q615">
        <v>0.1276003</v>
      </c>
      <c r="R615">
        <v>-4.1331119999999999E-2</v>
      </c>
      <c r="S615">
        <v>3.0229490000000001</v>
      </c>
      <c r="T615">
        <v>-2.2207379999999999E-2</v>
      </c>
      <c r="U615">
        <v>-0.16946410000000001</v>
      </c>
      <c r="V615">
        <v>4.0918089999999997E-2</v>
      </c>
      <c r="W615">
        <v>0.13545399999999999</v>
      </c>
      <c r="X615">
        <v>0.98993830000000005</v>
      </c>
      <c r="Y615">
        <v>5.554684E-2</v>
      </c>
      <c r="Z615">
        <v>-4.2456319999999999E-4</v>
      </c>
      <c r="AA615">
        <v>0.99845600000000001</v>
      </c>
      <c r="AB615">
        <v>28</v>
      </c>
      <c r="AC615">
        <v>144.213899999999</v>
      </c>
      <c r="AD615">
        <v>-1.0605355599999999</v>
      </c>
      <c r="AE615">
        <v>-8.0928999999999807</v>
      </c>
      <c r="AF615">
        <v>8.0316039245522397</v>
      </c>
      <c r="AG615">
        <v>-1.0605355599999999</v>
      </c>
      <c r="AH615">
        <v>144.20952823084201</v>
      </c>
      <c r="AI615">
        <v>90.420701051178099</v>
      </c>
      <c r="AJ615">
        <v>86.812262675735496</v>
      </c>
      <c r="AK615">
        <v>144.436904667183</v>
      </c>
      <c r="AL615">
        <v>82.215126343380405</v>
      </c>
      <c r="AM615">
        <v>87.633084732371898</v>
      </c>
      <c r="AN615">
        <v>0.99999995700606803</v>
      </c>
    </row>
    <row r="616" spans="1:40" x14ac:dyDescent="0.25">
      <c r="A616" t="str">
        <f>"20190303170238263"</f>
        <v>20190303170238263</v>
      </c>
      <c r="B616" t="str">
        <f>"1551603758256595"</f>
        <v>1551603758256595</v>
      </c>
      <c r="C616" t="s">
        <v>40</v>
      </c>
      <c r="D616">
        <v>4.0732330000000001</v>
      </c>
      <c r="E616">
        <v>0.50807769999999997</v>
      </c>
      <c r="F616" t="s">
        <v>42</v>
      </c>
      <c r="G616">
        <v>-223.34790000000001</v>
      </c>
      <c r="H616">
        <v>7.9985840000000002E-2</v>
      </c>
      <c r="I616">
        <v>359.58609999999999</v>
      </c>
      <c r="J616">
        <v>-367.63389999999998</v>
      </c>
      <c r="K616">
        <v>1.120765</v>
      </c>
      <c r="L616">
        <v>367.69900000000001</v>
      </c>
      <c r="M616">
        <v>0.99996850000000004</v>
      </c>
      <c r="N616">
        <v>-7.9317190000000003E-3</v>
      </c>
      <c r="O616">
        <v>-4.2178030000000001E-4</v>
      </c>
      <c r="P616">
        <v>0.99093969999999998</v>
      </c>
      <c r="Q616">
        <v>0.12778349999999999</v>
      </c>
      <c r="R616">
        <v>-4.1352979999999998E-2</v>
      </c>
      <c r="S616">
        <v>3.0230709999999998</v>
      </c>
      <c r="T616">
        <v>-2.1782880000000001E-2</v>
      </c>
      <c r="U616">
        <v>-0.169799799999999</v>
      </c>
      <c r="V616">
        <v>4.0940009999999999E-2</v>
      </c>
      <c r="W616">
        <v>0.1356378</v>
      </c>
      <c r="X616">
        <v>0.98991229999999997</v>
      </c>
      <c r="Y616">
        <v>5.5655419999999997E-2</v>
      </c>
      <c r="Z616">
        <v>-4.2156430000000003E-4</v>
      </c>
      <c r="AA616">
        <v>0.9984499</v>
      </c>
      <c r="AB616">
        <v>28</v>
      </c>
      <c r="AC616">
        <v>144.28599999999901</v>
      </c>
      <c r="AD616">
        <v>-1.04077916</v>
      </c>
      <c r="AE616">
        <v>-8.1129000000000193</v>
      </c>
      <c r="AF616">
        <v>8.0516227542837804</v>
      </c>
      <c r="AG616">
        <v>-1.04077916</v>
      </c>
      <c r="AH616">
        <v>144.281925546667</v>
      </c>
      <c r="AI616">
        <v>90.412654511340406</v>
      </c>
      <c r="AJ616">
        <v>86.805933855350602</v>
      </c>
      <c r="AK616">
        <v>144.51015843078699</v>
      </c>
      <c r="AL616">
        <v>82.204497852002604</v>
      </c>
      <c r="AM616">
        <v>87.631756079368998</v>
      </c>
      <c r="AN616">
        <v>1.00000002944946</v>
      </c>
    </row>
    <row r="617" spans="1:40" x14ac:dyDescent="0.25">
      <c r="A617" t="str">
        <f>"20190303170238274"</f>
        <v>20190303170238274</v>
      </c>
      <c r="B617" t="str">
        <f>"1551603758266354"</f>
        <v>1551603758266354</v>
      </c>
      <c r="C617" t="s">
        <v>40</v>
      </c>
      <c r="D617">
        <v>4.1076360000000003</v>
      </c>
      <c r="E617">
        <v>0.50810840000000002</v>
      </c>
      <c r="F617" t="s">
        <v>42</v>
      </c>
      <c r="G617">
        <v>-220.4426</v>
      </c>
      <c r="H617">
        <v>7.9986699999999994E-2</v>
      </c>
      <c r="I617">
        <v>359.37799999999999</v>
      </c>
      <c r="J617">
        <v>-367.49110000000002</v>
      </c>
      <c r="K617">
        <v>1.1207640000000001</v>
      </c>
      <c r="L617">
        <v>367.69900000000001</v>
      </c>
      <c r="M617">
        <v>0.99996850000000004</v>
      </c>
      <c r="N617">
        <v>-7.9326090000000002E-3</v>
      </c>
      <c r="O617">
        <v>-4.2166460000000002E-4</v>
      </c>
      <c r="P617">
        <v>0.99093039999999999</v>
      </c>
      <c r="Q617">
        <v>0.12786839999999999</v>
      </c>
      <c r="R617">
        <v>-4.1317409999999999E-2</v>
      </c>
      <c r="S617">
        <v>3.0230410000000001</v>
      </c>
      <c r="T617">
        <v>-2.1375660000000001E-2</v>
      </c>
      <c r="U617">
        <v>-0.17089840000000001</v>
      </c>
      <c r="V617">
        <v>4.0904540000000003E-2</v>
      </c>
      <c r="W617">
        <v>0.13572379999999901</v>
      </c>
      <c r="X617">
        <v>0.98990199999999995</v>
      </c>
      <c r="Y617">
        <v>5.6017869999999997E-2</v>
      </c>
      <c r="Z617">
        <v>-4.20622E-4</v>
      </c>
      <c r="AA617">
        <v>0.99842969999999998</v>
      </c>
      <c r="AB617">
        <v>28</v>
      </c>
      <c r="AC617">
        <v>147.04849999999999</v>
      </c>
      <c r="AD617">
        <v>-1.04077729999999</v>
      </c>
      <c r="AE617">
        <v>-8.3209999999999695</v>
      </c>
      <c r="AF617">
        <v>8.2585797724808696</v>
      </c>
      <c r="AG617">
        <v>-1.04077729999999</v>
      </c>
      <c r="AH617">
        <v>147.04465301695299</v>
      </c>
      <c r="AI617">
        <v>90.404892836752097</v>
      </c>
      <c r="AJ617">
        <v>86.785431052006501</v>
      </c>
      <c r="AK617">
        <v>147.28006429290599</v>
      </c>
      <c r="AL617">
        <v>82.199524588613798</v>
      </c>
      <c r="AM617">
        <v>87.633780975745395</v>
      </c>
      <c r="AN617">
        <v>1.0000000504415201</v>
      </c>
    </row>
    <row r="618" spans="1:40" x14ac:dyDescent="0.25">
      <c r="A618" t="str">
        <f>"20190303170238287"</f>
        <v>20190303170238287</v>
      </c>
      <c r="B618" t="str">
        <f>"1551603758276115"</f>
        <v>1551603758276115</v>
      </c>
      <c r="C618" t="s">
        <v>40</v>
      </c>
      <c r="D618">
        <v>7.0378410000000002</v>
      </c>
      <c r="E618">
        <v>0.50819780000000003</v>
      </c>
      <c r="F618" t="s">
        <v>42</v>
      </c>
      <c r="G618">
        <v>-216.61070000000001</v>
      </c>
      <c r="H618">
        <v>7.9986379999999996E-2</v>
      </c>
      <c r="I618">
        <v>359.17079999999999</v>
      </c>
      <c r="J618">
        <v>-367.33120000000002</v>
      </c>
      <c r="K618">
        <v>1.120765</v>
      </c>
      <c r="L618">
        <v>367.69889999999998</v>
      </c>
      <c r="M618">
        <v>0.99996859999999999</v>
      </c>
      <c r="N618">
        <v>-7.9341569999999903E-3</v>
      </c>
      <c r="O618">
        <v>-4.2167080000000002E-4</v>
      </c>
      <c r="P618">
        <v>0.99094329999999997</v>
      </c>
      <c r="Q618">
        <v>0.1277653</v>
      </c>
      <c r="R618">
        <v>-4.1327370000000002E-2</v>
      </c>
      <c r="S618">
        <v>3.0230100000000002</v>
      </c>
      <c r="T618">
        <v>-2.0852800000000001E-2</v>
      </c>
      <c r="U618">
        <v>-0.17086789999999999</v>
      </c>
      <c r="V618">
        <v>4.0914569999999997E-2</v>
      </c>
      <c r="W618">
        <v>0.1356222</v>
      </c>
      <c r="X618">
        <v>0.9899154</v>
      </c>
      <c r="Y618">
        <v>5.6008500000000003E-2</v>
      </c>
      <c r="Z618">
        <v>-4.1583080000000001E-4</v>
      </c>
      <c r="AA618">
        <v>0.99843020000000005</v>
      </c>
      <c r="AB618">
        <v>28</v>
      </c>
      <c r="AC618">
        <v>150.72049999999999</v>
      </c>
      <c r="AD618">
        <v>-1.04077862</v>
      </c>
      <c r="AE618">
        <v>-8.5280999999999896</v>
      </c>
      <c r="AF618">
        <v>8.4641405024656997</v>
      </c>
      <c r="AG618">
        <v>-1.04077862</v>
      </c>
      <c r="AH618">
        <v>150.71691892284301</v>
      </c>
      <c r="AI618">
        <v>90.395028411762894</v>
      </c>
      <c r="AJ618">
        <v>86.785691590671405</v>
      </c>
      <c r="AK618">
        <v>150.957989335365</v>
      </c>
      <c r="AL618">
        <v>82.205399309978304</v>
      </c>
      <c r="AM618">
        <v>87.633233428372606</v>
      </c>
      <c r="AN618">
        <v>0.99999994116414004</v>
      </c>
    </row>
    <row r="619" spans="1:40" x14ac:dyDescent="0.25">
      <c r="A619" t="str">
        <f>"20190303170238307"</f>
        <v>20190303170238307</v>
      </c>
      <c r="B619" t="str">
        <f>"1551603758296610"</f>
        <v>1551603758296610</v>
      </c>
      <c r="C619" t="s">
        <v>40</v>
      </c>
      <c r="D619">
        <v>4.1158700000000001</v>
      </c>
      <c r="E619">
        <v>0.50830920000000002</v>
      </c>
      <c r="F619" t="s">
        <v>42</v>
      </c>
      <c r="G619">
        <v>-223.3784</v>
      </c>
      <c r="H619">
        <v>7.9985829999999994E-2</v>
      </c>
      <c r="I619">
        <v>359.52910000000003</v>
      </c>
      <c r="J619">
        <v>-367.08620000000002</v>
      </c>
      <c r="K619">
        <v>1.1207659999999999</v>
      </c>
      <c r="L619">
        <v>367.69880000000001</v>
      </c>
      <c r="M619">
        <v>0.99996850000000004</v>
      </c>
      <c r="N619">
        <v>-7.9371819999999992E-3</v>
      </c>
      <c r="O619">
        <v>-4.2120610000000001E-4</v>
      </c>
      <c r="P619">
        <v>0.99096070000000003</v>
      </c>
      <c r="Q619">
        <v>0.127475</v>
      </c>
      <c r="R619">
        <v>-4.179679E-2</v>
      </c>
      <c r="S619">
        <v>3.0231020000000002</v>
      </c>
      <c r="T619">
        <v>-2.1857020000000001E-2</v>
      </c>
      <c r="U619">
        <v>-0.17156979999999999</v>
      </c>
      <c r="V619">
        <v>4.1384579999999997E-2</v>
      </c>
      <c r="W619">
        <v>0.13533499999999901</v>
      </c>
      <c r="X619">
        <v>0.98993520000000002</v>
      </c>
      <c r="Y619">
        <v>5.6238110000000001E-2</v>
      </c>
      <c r="Z619">
        <v>-4.268074E-4</v>
      </c>
      <c r="AA619">
        <v>0.99841729999999995</v>
      </c>
      <c r="AB619">
        <v>28</v>
      </c>
      <c r="AC619">
        <v>143.70779999999999</v>
      </c>
      <c r="AD619">
        <v>-1.0407801699999999</v>
      </c>
      <c r="AE619">
        <v>-8.1696999999999704</v>
      </c>
      <c r="AF619">
        <v>8.1087428268287507</v>
      </c>
      <c r="AG619">
        <v>-1.0407801699999999</v>
      </c>
      <c r="AH619">
        <v>143.70371530291999</v>
      </c>
      <c r="AI619">
        <v>90.414300808083993</v>
      </c>
      <c r="AJ619">
        <v>86.770406455571504</v>
      </c>
      <c r="AK619">
        <v>143.936071661889</v>
      </c>
      <c r="AL619">
        <v>82.222008033210798</v>
      </c>
      <c r="AM619">
        <v>87.606124251006904</v>
      </c>
      <c r="AN619">
        <v>0.99999997294290699</v>
      </c>
    </row>
    <row r="620" spans="1:40" x14ac:dyDescent="0.25">
      <c r="A620" t="str">
        <f>"20190303170238321"</f>
        <v>20190303170238321</v>
      </c>
      <c r="B620" t="str">
        <f>"1551603758306370"</f>
        <v>1551603758306370</v>
      </c>
      <c r="C620" t="s">
        <v>40</v>
      </c>
      <c r="D620">
        <v>4.0918570000000001</v>
      </c>
      <c r="E620">
        <v>0.50830920000000002</v>
      </c>
      <c r="F620" t="s">
        <v>42</v>
      </c>
      <c r="G620">
        <v>-226.80269999999999</v>
      </c>
      <c r="H620" s="1">
        <v>-3.7298179999999999E-6</v>
      </c>
      <c r="I620">
        <v>359.63529999999997</v>
      </c>
      <c r="J620">
        <v>-366.90620000000001</v>
      </c>
      <c r="K620">
        <v>1.1207640000000001</v>
      </c>
      <c r="L620">
        <v>367.69880000000001</v>
      </c>
      <c r="M620">
        <v>0.99996850000000004</v>
      </c>
      <c r="N620">
        <v>-7.939181E-3</v>
      </c>
      <c r="O620">
        <v>-4.2085720000000003E-4</v>
      </c>
      <c r="P620">
        <v>0.99097820000000003</v>
      </c>
      <c r="Q620">
        <v>0.12731029999999999</v>
      </c>
      <c r="R620">
        <v>-4.1889349999999999E-2</v>
      </c>
      <c r="S620">
        <v>3.0231020000000002</v>
      </c>
      <c r="T620">
        <v>-2.415252E-2</v>
      </c>
      <c r="U620">
        <v>-0.17376710000000001</v>
      </c>
      <c r="V620">
        <v>4.1477350000000003E-2</v>
      </c>
      <c r="W620">
        <v>0.1351725</v>
      </c>
      <c r="X620">
        <v>0.98995359999999999</v>
      </c>
      <c r="Y620">
        <v>5.6961209999999998E-2</v>
      </c>
      <c r="Z620">
        <v>-4.5363819999999998E-4</v>
      </c>
      <c r="AA620">
        <v>0.99837629999999999</v>
      </c>
      <c r="AB620">
        <v>28</v>
      </c>
      <c r="AC620">
        <v>140.1035</v>
      </c>
      <c r="AD620">
        <v>-1.1207677298180001</v>
      </c>
      <c r="AE620">
        <v>-8.0635000000000296</v>
      </c>
      <c r="AF620">
        <v>8.0040233555774893</v>
      </c>
      <c r="AG620">
        <v>-1.1207677298180001</v>
      </c>
      <c r="AH620">
        <v>140.09794557504199</v>
      </c>
      <c r="AI620">
        <v>90.457603808102306</v>
      </c>
      <c r="AJ620">
        <v>86.730153510257196</v>
      </c>
      <c r="AK620">
        <v>140.33087637625701</v>
      </c>
      <c r="AL620">
        <v>82.231405569657596</v>
      </c>
      <c r="AM620">
        <v>87.600808810315698</v>
      </c>
      <c r="AN620">
        <v>1.0000000527361099</v>
      </c>
    </row>
    <row r="621" spans="1:40" x14ac:dyDescent="0.25">
      <c r="A621" t="str">
        <f>"20190303170238334"</f>
        <v>20190303170238334</v>
      </c>
      <c r="B621" t="str">
        <f>"1551603758326867"</f>
        <v>1551603758326867</v>
      </c>
      <c r="C621" t="s">
        <v>40</v>
      </c>
      <c r="D621">
        <v>4.1800540000000002</v>
      </c>
      <c r="E621">
        <v>0.50912709999999906</v>
      </c>
      <c r="F621" t="s">
        <v>42</v>
      </c>
      <c r="G621">
        <v>-229.54640000000001</v>
      </c>
      <c r="H621" s="1">
        <v>-2.7580690000000001E-6</v>
      </c>
      <c r="I621">
        <v>359.77839999999998</v>
      </c>
      <c r="J621">
        <v>-366.72669999999999</v>
      </c>
      <c r="K621">
        <v>1.120762</v>
      </c>
      <c r="L621">
        <v>367.69869999999997</v>
      </c>
      <c r="M621">
        <v>0.99996850000000004</v>
      </c>
      <c r="N621">
        <v>-7.940374E-3</v>
      </c>
      <c r="O621">
        <v>-4.201486E-4</v>
      </c>
      <c r="P621">
        <v>0.99096719999999905</v>
      </c>
      <c r="Q621">
        <v>0.12731589999999901</v>
      </c>
      <c r="R621">
        <v>-4.213306E-2</v>
      </c>
      <c r="S621">
        <v>3.0231319999999999</v>
      </c>
      <c r="T621">
        <v>-2.4666790000000001E-2</v>
      </c>
      <c r="U621">
        <v>-0.17431640000000001</v>
      </c>
      <c r="V621">
        <v>4.17217E-2</v>
      </c>
      <c r="W621">
        <v>0.1351791</v>
      </c>
      <c r="X621">
        <v>0.9899424</v>
      </c>
      <c r="Y621">
        <v>5.7142030000000003E-2</v>
      </c>
      <c r="Z621">
        <v>-4.5989549999999999E-4</v>
      </c>
      <c r="AA621">
        <v>0.99836590000000003</v>
      </c>
      <c r="AB621">
        <v>28</v>
      </c>
      <c r="AC621">
        <v>137.18029999999999</v>
      </c>
      <c r="AD621">
        <v>-1.1207647580689899</v>
      </c>
      <c r="AE621">
        <v>-7.9202999999999903</v>
      </c>
      <c r="AF621">
        <v>7.86213833228227</v>
      </c>
      <c r="AG621">
        <v>-1.1207647580689899</v>
      </c>
      <c r="AH621">
        <v>137.174489845647</v>
      </c>
      <c r="AI621">
        <v>90.467349685469799</v>
      </c>
      <c r="AJ621">
        <v>86.719688522919796</v>
      </c>
      <c r="AK621">
        <v>137.404184787845</v>
      </c>
      <c r="AL621">
        <v>82.231023676821906</v>
      </c>
      <c r="AM621">
        <v>87.586664164825294</v>
      </c>
      <c r="AN621">
        <v>1.0000000223227199</v>
      </c>
    </row>
    <row r="622" spans="1:40" x14ac:dyDescent="0.25">
      <c r="A622" t="str">
        <f>"20190303170238353"</f>
        <v>20190303170238353</v>
      </c>
      <c r="B622" t="str">
        <f>"1551603758346386"</f>
        <v>1551603758346386</v>
      </c>
      <c r="C622" t="s">
        <v>40</v>
      </c>
      <c r="D622">
        <v>4.247509</v>
      </c>
      <c r="E622">
        <v>0.54315150000000001</v>
      </c>
      <c r="F622" t="s">
        <v>42</v>
      </c>
      <c r="G622">
        <v>-256.43779999999998</v>
      </c>
      <c r="H622" s="1">
        <v>-3.4673050000000002E-6</v>
      </c>
      <c r="I622">
        <v>361.08870000000002</v>
      </c>
      <c r="J622">
        <v>-366.4973</v>
      </c>
      <c r="K622">
        <v>1.120763</v>
      </c>
      <c r="L622">
        <v>367.69850000000002</v>
      </c>
      <c r="M622">
        <v>0.99996839999999998</v>
      </c>
      <c r="N622">
        <v>-7.9402680000000003E-3</v>
      </c>
      <c r="O622">
        <v>-4.1967129999999998E-4</v>
      </c>
      <c r="P622">
        <v>0.99095180000000005</v>
      </c>
      <c r="Q622">
        <v>0.12738269999999999</v>
      </c>
      <c r="R622">
        <v>-4.2288560000000003E-2</v>
      </c>
      <c r="S622">
        <v>3.02359</v>
      </c>
      <c r="T622">
        <v>-3.072596E-2</v>
      </c>
      <c r="U622">
        <v>-0.1812134</v>
      </c>
      <c r="V622">
        <v>4.1877789999999998E-2</v>
      </c>
      <c r="W622">
        <v>0.1352457</v>
      </c>
      <c r="X622">
        <v>0.98992670000000005</v>
      </c>
      <c r="Y622">
        <v>5.9401450000000001E-2</v>
      </c>
      <c r="Z622">
        <v>-5.366689E-4</v>
      </c>
      <c r="AA622">
        <v>0.99823399999999995</v>
      </c>
      <c r="AB622">
        <v>28</v>
      </c>
      <c r="AC622">
        <v>110.0595</v>
      </c>
      <c r="AD622">
        <v>-1.120766467305</v>
      </c>
      <c r="AE622">
        <v>-6.6097999999999999</v>
      </c>
      <c r="AF622">
        <v>6.5629310244079999</v>
      </c>
      <c r="AG622">
        <v>-1.120766467305</v>
      </c>
      <c r="AH622">
        <v>110.05089316778501</v>
      </c>
      <c r="AI622">
        <v>90.582449584997704</v>
      </c>
      <c r="AJ622">
        <v>86.587184164810694</v>
      </c>
      <c r="AK622">
        <v>110.25210777183599</v>
      </c>
      <c r="AL622">
        <v>82.227172314181402</v>
      </c>
      <c r="AM622">
        <v>87.577607710816395</v>
      </c>
      <c r="AN622">
        <v>1.0000000100183299</v>
      </c>
    </row>
    <row r="623" spans="1:40" x14ac:dyDescent="0.25">
      <c r="A623" t="str">
        <f>"20190303170238365"</f>
        <v>20190303170238365</v>
      </c>
      <c r="B623" t="str">
        <f>"1551603758356146"</f>
        <v>1551603758356146</v>
      </c>
      <c r="C623" t="s">
        <v>40</v>
      </c>
      <c r="D623">
        <v>4.2102760000000004</v>
      </c>
      <c r="E623">
        <v>0.54610219999999998</v>
      </c>
      <c r="F623" t="s">
        <v>43</v>
      </c>
      <c r="G623">
        <v>-365.75389999999999</v>
      </c>
      <c r="H623">
        <v>1.017817</v>
      </c>
      <c r="I623">
        <v>367.59280000000001</v>
      </c>
      <c r="J623">
        <v>-366.33300000000003</v>
      </c>
      <c r="K623">
        <v>1.1207640000000001</v>
      </c>
      <c r="L623">
        <v>367.69850000000002</v>
      </c>
      <c r="M623">
        <v>0.99996839999999998</v>
      </c>
      <c r="N623">
        <v>-7.9398490000000006E-3</v>
      </c>
      <c r="O623">
        <v>-4.1931180000000001E-4</v>
      </c>
      <c r="P623">
        <v>0.99092619999999998</v>
      </c>
      <c r="Q623">
        <v>0.127525</v>
      </c>
      <c r="R623">
        <v>-4.2458170000000003E-2</v>
      </c>
      <c r="S623">
        <v>3.0633240000000002</v>
      </c>
      <c r="T623">
        <v>-0.42414689999999999</v>
      </c>
      <c r="U623">
        <v>-0.43563839999999998</v>
      </c>
      <c r="V623">
        <v>4.2047809999999998E-2</v>
      </c>
      <c r="W623">
        <v>0.13538699999999901</v>
      </c>
      <c r="X623">
        <v>0.98990020000000001</v>
      </c>
      <c r="Y623">
        <v>0.139006399999999</v>
      </c>
      <c r="Z623">
        <v>-1.003357E-2</v>
      </c>
      <c r="AA623">
        <v>0.99024060000000003</v>
      </c>
      <c r="AB623">
        <v>28</v>
      </c>
      <c r="AC623">
        <v>0.57910000000003903</v>
      </c>
      <c r="AD623">
        <v>-0.102946999999999</v>
      </c>
      <c r="AE623">
        <v>-0.10570000000001301</v>
      </c>
      <c r="AF623">
        <v>0.10232762103318201</v>
      </c>
      <c r="AG623">
        <v>-0.102946999999999</v>
      </c>
      <c r="AH623">
        <v>0.56195763086859696</v>
      </c>
      <c r="AI623">
        <v>100.21673362075801</v>
      </c>
      <c r="AJ623">
        <v>79.680003978334497</v>
      </c>
      <c r="AK623">
        <v>0.58040107316127298</v>
      </c>
      <c r="AL623">
        <v>82.219001439270301</v>
      </c>
      <c r="AM623">
        <v>87.567719773157805</v>
      </c>
      <c r="AN623">
        <v>1.0000000320274101</v>
      </c>
    </row>
    <row r="624" spans="1:40" x14ac:dyDescent="0.25">
      <c r="A624" t="str">
        <f>"20190303170238378"</f>
        <v>20190303170238378</v>
      </c>
      <c r="B624" t="str">
        <f>"1551603758366883"</f>
        <v>1551603758366883</v>
      </c>
      <c r="C624" t="s">
        <v>40</v>
      </c>
      <c r="D624">
        <v>4.220415</v>
      </c>
      <c r="E624">
        <v>0.54750379999999998</v>
      </c>
      <c r="F624" t="s">
        <v>43</v>
      </c>
      <c r="G624">
        <v>-365.50979999999998</v>
      </c>
      <c r="H624">
        <v>0.99404009999999998</v>
      </c>
      <c r="I624">
        <v>367.57530000000003</v>
      </c>
      <c r="J624">
        <v>-366.17349999999999</v>
      </c>
      <c r="K624">
        <v>1.1207640000000001</v>
      </c>
      <c r="L624">
        <v>367.69839999999999</v>
      </c>
      <c r="M624">
        <v>0.99996839999999998</v>
      </c>
      <c r="N624">
        <v>-7.9394689999999993E-3</v>
      </c>
      <c r="O624">
        <v>-4.191908E-4</v>
      </c>
      <c r="P624">
        <v>0.9908882</v>
      </c>
      <c r="Q624">
        <v>0.127828</v>
      </c>
      <c r="R624">
        <v>-4.2434189999999997E-2</v>
      </c>
      <c r="S624">
        <v>3.068756</v>
      </c>
      <c r="T624">
        <v>-0.47253440000000002</v>
      </c>
      <c r="U624">
        <v>-0.45745849999999999</v>
      </c>
      <c r="V624">
        <v>4.202413E-2</v>
      </c>
      <c r="W624">
        <v>0.1356898</v>
      </c>
      <c r="X624">
        <v>0.98985970000000001</v>
      </c>
      <c r="Y624">
        <v>0.14526629999999999</v>
      </c>
      <c r="Z624">
        <v>-1.158146E-2</v>
      </c>
      <c r="AA624">
        <v>0.9893248</v>
      </c>
      <c r="AB624">
        <v>28</v>
      </c>
      <c r="AC624">
        <v>0.66370000000000495</v>
      </c>
      <c r="AD624">
        <v>-0.126723899999999</v>
      </c>
      <c r="AE624">
        <v>-0.123099999999965</v>
      </c>
      <c r="AF624">
        <v>0.118640408121107</v>
      </c>
      <c r="AG624">
        <v>-0.126723899999999</v>
      </c>
      <c r="AH624">
        <v>0.64115472730456602</v>
      </c>
      <c r="AI624">
        <v>100.998335896497</v>
      </c>
      <c r="AJ624">
        <v>79.5164676074981</v>
      </c>
      <c r="AK624">
        <v>0.66423932254522999</v>
      </c>
      <c r="AL624">
        <v>82.201490340813606</v>
      </c>
      <c r="AM624">
        <v>87.568988571778803</v>
      </c>
      <c r="AN624">
        <v>0.99999998750519303</v>
      </c>
    </row>
    <row r="625" spans="1:40" x14ac:dyDescent="0.25">
      <c r="A625" t="str">
        <f>"20190303170238391"</f>
        <v>20190303170238391</v>
      </c>
      <c r="B625" t="str">
        <f>"1551603758376724"</f>
        <v>1551603758376724</v>
      </c>
      <c r="C625" t="s">
        <v>40</v>
      </c>
      <c r="D625">
        <v>4.2184689999999998</v>
      </c>
      <c r="E625">
        <v>0.54821260000000005</v>
      </c>
      <c r="F625" t="s">
        <v>43</v>
      </c>
      <c r="G625">
        <v>-365.26479999999998</v>
      </c>
      <c r="H625">
        <v>0.97034050000000005</v>
      </c>
      <c r="I625">
        <v>367.55990000000003</v>
      </c>
      <c r="J625">
        <v>-366.00650000000002</v>
      </c>
      <c r="K625">
        <v>1.120763</v>
      </c>
      <c r="L625">
        <v>367.69830000000002</v>
      </c>
      <c r="M625">
        <v>0.99996850000000004</v>
      </c>
      <c r="N625">
        <v>-7.9393390000000001E-3</v>
      </c>
      <c r="O625">
        <v>-4.1895149999999999E-4</v>
      </c>
      <c r="P625">
        <v>0.99087970000000003</v>
      </c>
      <c r="Q625">
        <v>0.1279025</v>
      </c>
      <c r="R625">
        <v>-4.2410030000000001E-2</v>
      </c>
      <c r="S625">
        <v>3.0732729999999999</v>
      </c>
      <c r="T625">
        <v>-0.50890849999999999</v>
      </c>
      <c r="U625">
        <v>-0.46719359999999999</v>
      </c>
      <c r="V625">
        <v>4.2000099999999999E-2</v>
      </c>
      <c r="W625">
        <v>0.135764</v>
      </c>
      <c r="X625">
        <v>0.98985060000000002</v>
      </c>
      <c r="Y625">
        <v>0.14781739999999999</v>
      </c>
      <c r="Z625">
        <v>-1.2616840000000001E-2</v>
      </c>
      <c r="AA625">
        <v>0.98893419999999999</v>
      </c>
      <c r="AB625">
        <v>29</v>
      </c>
      <c r="AC625">
        <v>0.741700000000037</v>
      </c>
      <c r="AD625">
        <v>-0.15042249999999899</v>
      </c>
      <c r="AE625">
        <v>-0.13839999999999</v>
      </c>
      <c r="AF625">
        <v>0.132810422026611</v>
      </c>
      <c r="AG625">
        <v>-0.15042249999999899</v>
      </c>
      <c r="AH625">
        <v>0.71340229757700502</v>
      </c>
      <c r="AI625">
        <v>101.71102894724601</v>
      </c>
      <c r="AJ625">
        <v>79.454263710512507</v>
      </c>
      <c r="AK625">
        <v>0.74108594298723995</v>
      </c>
      <c r="AL625">
        <v>82.197199707377393</v>
      </c>
      <c r="AM625">
        <v>87.570354683171004</v>
      </c>
      <c r="AN625">
        <v>1.00000004120818</v>
      </c>
    </row>
    <row r="626" spans="1:40" x14ac:dyDescent="0.25">
      <c r="A626" t="str">
        <f>"20190303170238406"</f>
        <v>20190303170238406</v>
      </c>
      <c r="B626" t="str">
        <f>"1551603758396246"</f>
        <v>1551603758396246</v>
      </c>
      <c r="C626" t="s">
        <v>40</v>
      </c>
      <c r="D626">
        <v>4.2132610000000001</v>
      </c>
      <c r="E626">
        <v>0.54914830000000003</v>
      </c>
      <c r="F626" t="s">
        <v>43</v>
      </c>
      <c r="G626">
        <v>-365.25569999999999</v>
      </c>
      <c r="H626">
        <v>0.99061580000000005</v>
      </c>
      <c r="I626">
        <v>367.5829</v>
      </c>
      <c r="J626">
        <v>-365.81169999999997</v>
      </c>
      <c r="K626">
        <v>1.120763</v>
      </c>
      <c r="L626">
        <v>367.69819999999999</v>
      </c>
      <c r="M626">
        <v>0.99996839999999998</v>
      </c>
      <c r="N626">
        <v>-7.9398209999999997E-3</v>
      </c>
      <c r="O626">
        <v>-4.187145E-4</v>
      </c>
      <c r="P626">
        <v>0.99091609999999997</v>
      </c>
      <c r="Q626">
        <v>0.12766530000000001</v>
      </c>
      <c r="R626">
        <v>-4.2271360000000001E-2</v>
      </c>
      <c r="S626">
        <v>3.0762939999999999</v>
      </c>
      <c r="T626">
        <v>-0.53348949999999995</v>
      </c>
      <c r="U626">
        <v>-0.47155760000000002</v>
      </c>
      <c r="V626">
        <v>4.1861599999999999E-2</v>
      </c>
      <c r="W626">
        <v>0.135527799999999</v>
      </c>
      <c r="X626">
        <v>0.98988880000000001</v>
      </c>
      <c r="Y626">
        <v>0.148836</v>
      </c>
      <c r="Z626">
        <v>-1.3267569999999999E-2</v>
      </c>
      <c r="AA626">
        <v>0.98877289999999995</v>
      </c>
      <c r="AB626">
        <v>29</v>
      </c>
      <c r="AC626">
        <v>0.55599999999998295</v>
      </c>
      <c r="AD626">
        <v>-0.13014719999999899</v>
      </c>
      <c r="AE626">
        <v>-0.11529999999998999</v>
      </c>
      <c r="AF626">
        <v>0.109324032869037</v>
      </c>
      <c r="AG626">
        <v>-0.13014719999999899</v>
      </c>
      <c r="AH626">
        <v>0.52829517908038104</v>
      </c>
      <c r="AI626">
        <v>103.5629982498</v>
      </c>
      <c r="AJ626">
        <v>78.308386265410903</v>
      </c>
      <c r="AK626">
        <v>0.55496471425682803</v>
      </c>
      <c r="AL626">
        <v>82.210858953444301</v>
      </c>
      <c r="AM626">
        <v>87.578450495142803</v>
      </c>
      <c r="AN626">
        <v>1.0000000072464199</v>
      </c>
    </row>
    <row r="627" spans="1:40" x14ac:dyDescent="0.25">
      <c r="A627" t="str">
        <f>"20190303170238419"</f>
        <v>20190303170238419</v>
      </c>
      <c r="B627" t="str">
        <f>"1551603758406982"</f>
        <v>1551603758406982</v>
      </c>
      <c r="C627" t="s">
        <v>40</v>
      </c>
      <c r="D627">
        <v>4.237927</v>
      </c>
      <c r="E627">
        <v>0.54955759999999998</v>
      </c>
      <c r="F627" t="s">
        <v>43</v>
      </c>
      <c r="G627">
        <v>-365.00760000000002</v>
      </c>
      <c r="H627">
        <v>0.97271799999999997</v>
      </c>
      <c r="I627">
        <v>367.57330000000002</v>
      </c>
      <c r="J627">
        <v>-365.65019999999998</v>
      </c>
      <c r="K627">
        <v>1.1207579999999999</v>
      </c>
      <c r="L627">
        <v>367.69819999999999</v>
      </c>
      <c r="M627">
        <v>0.99996839999999998</v>
      </c>
      <c r="N627">
        <v>-7.9400649999999996E-3</v>
      </c>
      <c r="O627">
        <v>-4.1847679999999998E-4</v>
      </c>
      <c r="P627">
        <v>0.99093620000000004</v>
      </c>
      <c r="Q627">
        <v>0.12748319999999999</v>
      </c>
      <c r="R627">
        <v>-4.2349360000000003E-2</v>
      </c>
      <c r="S627">
        <v>3.0802610000000001</v>
      </c>
      <c r="T627">
        <v>-0.56731049999999905</v>
      </c>
      <c r="U627">
        <v>-0.47650150000000002</v>
      </c>
      <c r="V627">
        <v>4.1939869999999997E-2</v>
      </c>
      <c r="W627">
        <v>0.13534589999999999</v>
      </c>
      <c r="X627">
        <v>0.98991039999999997</v>
      </c>
      <c r="Y627">
        <v>0.1498969</v>
      </c>
      <c r="Z627">
        <v>-1.414062E-2</v>
      </c>
      <c r="AA627">
        <v>0.98860049999999999</v>
      </c>
      <c r="AB627">
        <v>29</v>
      </c>
      <c r="AC627">
        <v>0.64259999999995898</v>
      </c>
      <c r="AD627">
        <v>-0.14803999999999901</v>
      </c>
      <c r="AE627">
        <v>-0.12489999999996799</v>
      </c>
      <c r="AF627">
        <v>0.118567373262152</v>
      </c>
      <c r="AG627">
        <v>-0.14803999999999901</v>
      </c>
      <c r="AH627">
        <v>0.61138515799760096</v>
      </c>
      <c r="AI627">
        <v>103.37159889819399</v>
      </c>
      <c r="AJ627">
        <v>79.0247326284439</v>
      </c>
      <c r="AK627">
        <v>0.64012957674367699</v>
      </c>
      <c r="AL627">
        <v>82.221378177276705</v>
      </c>
      <c r="AM627">
        <v>87.573981123847602</v>
      </c>
      <c r="AN627">
        <v>1.00000003268529</v>
      </c>
    </row>
    <row r="628" spans="1:40" x14ac:dyDescent="0.25">
      <c r="A628" t="str">
        <f>"20190303170238430"</f>
        <v>20190303170238430</v>
      </c>
      <c r="B628" t="str">
        <f>"1551603758416743"</f>
        <v>1551603758416743</v>
      </c>
      <c r="C628" t="s">
        <v>40</v>
      </c>
      <c r="D628">
        <v>4.2335589999999996</v>
      </c>
      <c r="E628">
        <v>0.54985640000000002</v>
      </c>
      <c r="F628" t="s">
        <v>43</v>
      </c>
      <c r="G628">
        <v>-364.75920000000002</v>
      </c>
      <c r="H628">
        <v>0.9531847</v>
      </c>
      <c r="I628">
        <v>367.55939999999998</v>
      </c>
      <c r="J628">
        <v>-365.50299999999999</v>
      </c>
      <c r="K628">
        <v>1.120752</v>
      </c>
      <c r="L628">
        <v>367.69810000000001</v>
      </c>
      <c r="M628">
        <v>0.99996839999999998</v>
      </c>
      <c r="N628">
        <v>-7.9396640000000008E-3</v>
      </c>
      <c r="O628">
        <v>-4.183557E-4</v>
      </c>
      <c r="P628">
        <v>0.99098629999999999</v>
      </c>
      <c r="Q628">
        <v>0.1271659</v>
      </c>
      <c r="R628">
        <v>-4.2133610000000002E-2</v>
      </c>
      <c r="S628">
        <v>3.081512</v>
      </c>
      <c r="T628">
        <v>-0.57961019999999996</v>
      </c>
      <c r="U628">
        <v>-0.47940060000000001</v>
      </c>
      <c r="V628">
        <v>4.1724120000000003E-2</v>
      </c>
      <c r="W628">
        <v>0.13502839999999999</v>
      </c>
      <c r="X628">
        <v>0.98996289999999998</v>
      </c>
      <c r="Y628">
        <v>0.15062500000000001</v>
      </c>
      <c r="Z628">
        <v>-1.449336E-2</v>
      </c>
      <c r="AA628">
        <v>0.98848469999999999</v>
      </c>
      <c r="AB628">
        <v>29</v>
      </c>
      <c r="AC628">
        <v>0.743800000000021</v>
      </c>
      <c r="AD628">
        <v>-0.167567299999999</v>
      </c>
      <c r="AE628">
        <v>-0.138700000000028</v>
      </c>
      <c r="AF628">
        <v>0.13191847008388199</v>
      </c>
      <c r="AG628">
        <v>-0.167567299999999</v>
      </c>
      <c r="AH628">
        <v>0.70907906412160604</v>
      </c>
      <c r="AI628">
        <v>103.07951033741099</v>
      </c>
      <c r="AJ628">
        <v>79.4610674611706</v>
      </c>
      <c r="AK628">
        <v>0.74045553678403597</v>
      </c>
      <c r="AL628">
        <v>82.239738320915393</v>
      </c>
      <c r="AM628">
        <v>87.586574267476607</v>
      </c>
      <c r="AN628">
        <v>1.0000000571863701</v>
      </c>
    </row>
    <row r="629" spans="1:40" x14ac:dyDescent="0.25">
      <c r="A629" t="str">
        <f>"20190303170238452"</f>
        <v>20190303170238452</v>
      </c>
      <c r="B629" t="str">
        <f>"1551603758446021"</f>
        <v>1551603758446021</v>
      </c>
      <c r="C629" t="s">
        <v>40</v>
      </c>
      <c r="D629">
        <v>4.2277009999999997</v>
      </c>
      <c r="E629">
        <v>0.55068549999999905</v>
      </c>
      <c r="F629" t="s">
        <v>43</v>
      </c>
      <c r="G629">
        <v>-364.74889999999999</v>
      </c>
      <c r="H629">
        <v>0.97644719999999996</v>
      </c>
      <c r="I629">
        <v>367.58030000000002</v>
      </c>
      <c r="J629">
        <v>-365.21629999999999</v>
      </c>
      <c r="K629">
        <v>1.1207469999999999</v>
      </c>
      <c r="L629">
        <v>367.6979</v>
      </c>
      <c r="M629">
        <v>0.99996850000000004</v>
      </c>
      <c r="N629">
        <v>-7.9373329999999995E-3</v>
      </c>
      <c r="O629">
        <v>-4.1810760000000002E-4</v>
      </c>
      <c r="P629">
        <v>0.99097939999999995</v>
      </c>
      <c r="Q629">
        <v>0.12730150000000001</v>
      </c>
      <c r="R629">
        <v>-4.1888410000000001E-2</v>
      </c>
      <c r="S629">
        <v>3.0825499999999999</v>
      </c>
      <c r="T629">
        <v>-0.58989740000000002</v>
      </c>
      <c r="U629">
        <v>-0.4807129</v>
      </c>
      <c r="V629">
        <v>4.1479019999999998E-2</v>
      </c>
      <c r="W629">
        <v>0.13516159999999999</v>
      </c>
      <c r="X629">
        <v>0.98995489999999997</v>
      </c>
      <c r="Y629">
        <v>0.150889299999999</v>
      </c>
      <c r="Z629">
        <v>-1.4756460000000001E-2</v>
      </c>
      <c r="AA629">
        <v>0.98844050000000006</v>
      </c>
      <c r="AB629">
        <v>29</v>
      </c>
      <c r="AC629">
        <v>0.46739999999999698</v>
      </c>
      <c r="AD629">
        <v>-0.14429979999999901</v>
      </c>
      <c r="AE629">
        <v>-0.117599999999981</v>
      </c>
      <c r="AF629">
        <v>0.107746306083139</v>
      </c>
      <c r="AG629">
        <v>-0.14429979999999901</v>
      </c>
      <c r="AH629">
        <v>0.42899455537616799</v>
      </c>
      <c r="AI629">
        <v>108.06814405045399</v>
      </c>
      <c r="AJ629">
        <v>75.901215900204207</v>
      </c>
      <c r="AK629">
        <v>0.46526124628749999</v>
      </c>
      <c r="AL629">
        <v>82.232034962736904</v>
      </c>
      <c r="AM629">
        <v>87.600715471754498</v>
      </c>
      <c r="AN629">
        <v>0.99999993562436296</v>
      </c>
    </row>
    <row r="630" spans="1:40" x14ac:dyDescent="0.25">
      <c r="A630" t="str">
        <f>"20190303170238465"</f>
        <v>20190303170238465</v>
      </c>
      <c r="B630" t="str">
        <f>"1551603758456757"</f>
        <v>1551603758456757</v>
      </c>
      <c r="C630" t="s">
        <v>40</v>
      </c>
      <c r="D630">
        <v>4.2319089999999999</v>
      </c>
      <c r="E630">
        <v>0.55078719999999903</v>
      </c>
      <c r="F630" t="s">
        <v>43</v>
      </c>
      <c r="G630">
        <v>-364.49059999999997</v>
      </c>
      <c r="H630">
        <v>0.97782970000000002</v>
      </c>
      <c r="I630">
        <v>367.58300000000003</v>
      </c>
      <c r="J630">
        <v>-365.05779999999999</v>
      </c>
      <c r="K630">
        <v>1.120746</v>
      </c>
      <c r="L630">
        <v>367.6979</v>
      </c>
      <c r="M630">
        <v>0.99996839999999998</v>
      </c>
      <c r="N630">
        <v>-7.9357030000000005E-3</v>
      </c>
      <c r="O630">
        <v>-4.1786269999999999E-4</v>
      </c>
      <c r="P630">
        <v>0.99095800000000001</v>
      </c>
      <c r="Q630">
        <v>0.12746389999999999</v>
      </c>
      <c r="R630">
        <v>-4.1896460000000003E-2</v>
      </c>
      <c r="S630">
        <v>3.0848080000000002</v>
      </c>
      <c r="T630">
        <v>-0.60759839999999998</v>
      </c>
      <c r="U630">
        <v>-0.48666379999999998</v>
      </c>
      <c r="V630">
        <v>4.1487530000000002E-2</v>
      </c>
      <c r="W630">
        <v>0.1353222</v>
      </c>
      <c r="X630">
        <v>0.9899327</v>
      </c>
      <c r="Y630">
        <v>0.15245049999999999</v>
      </c>
      <c r="Z630">
        <v>-1.5318689999999999E-2</v>
      </c>
      <c r="AA630">
        <v>0.98819239999999997</v>
      </c>
      <c r="AB630">
        <v>29</v>
      </c>
      <c r="AC630">
        <v>0.56720000000001303</v>
      </c>
      <c r="AD630">
        <v>-0.1429163</v>
      </c>
      <c r="AE630">
        <v>-0.11489999999997701</v>
      </c>
      <c r="AF630">
        <v>0.10807215682195601</v>
      </c>
      <c r="AG630">
        <v>-0.1429163</v>
      </c>
      <c r="AH630">
        <v>0.53464261873368402</v>
      </c>
      <c r="AI630">
        <v>104.682168918096</v>
      </c>
      <c r="AJ630">
        <v>78.572270805583599</v>
      </c>
      <c r="AK630">
        <v>0.56386823784661899</v>
      </c>
      <c r="AL630">
        <v>82.222748688572295</v>
      </c>
      <c r="AM630">
        <v>87.600170046565196</v>
      </c>
      <c r="AN630">
        <v>1.00000003174381</v>
      </c>
    </row>
    <row r="631" spans="1:40" x14ac:dyDescent="0.25">
      <c r="A631" t="str">
        <f>"20190303170238476"</f>
        <v>20190303170238476</v>
      </c>
      <c r="B631" t="str">
        <f>"1551603758466518"</f>
        <v>1551603758466518</v>
      </c>
      <c r="C631" t="s">
        <v>40</v>
      </c>
      <c r="D631">
        <v>4.2317109999999998</v>
      </c>
      <c r="E631">
        <v>0.55099549999999997</v>
      </c>
      <c r="F631" t="s">
        <v>43</v>
      </c>
      <c r="G631">
        <v>-364.24090000000001</v>
      </c>
      <c r="H631">
        <v>0.95881249999999996</v>
      </c>
      <c r="I631">
        <v>367.5686</v>
      </c>
      <c r="J631">
        <v>-364.9101</v>
      </c>
      <c r="K631">
        <v>1.120744</v>
      </c>
      <c r="L631">
        <v>367.69779999999997</v>
      </c>
      <c r="M631">
        <v>0.99996850000000004</v>
      </c>
      <c r="N631">
        <v>-7.9342030000000008E-3</v>
      </c>
      <c r="O631">
        <v>-4.1785660000000002E-4</v>
      </c>
      <c r="P631">
        <v>0.99095109999999997</v>
      </c>
      <c r="Q631">
        <v>0.1275694</v>
      </c>
      <c r="R631">
        <v>-4.1735330000000001E-2</v>
      </c>
      <c r="S631">
        <v>3.0854189999999999</v>
      </c>
      <c r="T631">
        <v>-0.61169839999999998</v>
      </c>
      <c r="U631">
        <v>-0.48718260000000002</v>
      </c>
      <c r="V631">
        <v>4.1326630000000003E-2</v>
      </c>
      <c r="W631">
        <v>0.1354262</v>
      </c>
      <c r="X631">
        <v>0.98992519999999995</v>
      </c>
      <c r="Y631">
        <v>0.15254289999999901</v>
      </c>
      <c r="Z631">
        <v>-1.542236E-2</v>
      </c>
      <c r="AA631">
        <v>0.98817650000000001</v>
      </c>
      <c r="AB631">
        <v>29</v>
      </c>
      <c r="AC631">
        <v>0.66919999999998903</v>
      </c>
      <c r="AD631">
        <v>-0.16193150000000001</v>
      </c>
      <c r="AE631">
        <v>-0.12919999999996801</v>
      </c>
      <c r="AF631">
        <v>0.122031766263737</v>
      </c>
      <c r="AG631">
        <v>-0.16193150000000001</v>
      </c>
      <c r="AH631">
        <v>0.63349377355299397</v>
      </c>
      <c r="AI631">
        <v>104.09026181027301</v>
      </c>
      <c r="AJ631">
        <v>79.096503465084893</v>
      </c>
      <c r="AK631">
        <v>0.66515255678687002</v>
      </c>
      <c r="AL631">
        <v>82.216734502678307</v>
      </c>
      <c r="AM631">
        <v>87.609448335279694</v>
      </c>
      <c r="AN631">
        <v>1.0000000237943101</v>
      </c>
    </row>
    <row r="632" spans="1:40" x14ac:dyDescent="0.25">
      <c r="A632" t="str">
        <f>"20190303170238487"</f>
        <v>20190303170238487</v>
      </c>
      <c r="B632" t="str">
        <f>"1551603758476277"</f>
        <v>1551603758476277</v>
      </c>
      <c r="C632" t="s">
        <v>40</v>
      </c>
      <c r="D632">
        <v>4.2474589999999903</v>
      </c>
      <c r="E632">
        <v>0.55109790000000003</v>
      </c>
      <c r="F632" t="s">
        <v>43</v>
      </c>
      <c r="G632">
        <v>-363.99130000000002</v>
      </c>
      <c r="H632">
        <v>0.93753710000000001</v>
      </c>
      <c r="I632">
        <v>367.55200000000002</v>
      </c>
      <c r="J632">
        <v>-364.75619999999998</v>
      </c>
      <c r="K632">
        <v>1.120743</v>
      </c>
      <c r="L632">
        <v>367.6977</v>
      </c>
      <c r="M632">
        <v>0.99996850000000004</v>
      </c>
      <c r="N632">
        <v>-7.9329780000000003E-3</v>
      </c>
      <c r="O632">
        <v>-4.174941E-4</v>
      </c>
      <c r="P632">
        <v>0.99098900000000001</v>
      </c>
      <c r="Q632">
        <v>0.12734119999999999</v>
      </c>
      <c r="R632">
        <v>-4.1535900000000001E-2</v>
      </c>
      <c r="S632">
        <v>3.0860599999999998</v>
      </c>
      <c r="T632">
        <v>-0.61548919999999996</v>
      </c>
      <c r="U632">
        <v>-0.48825069999999998</v>
      </c>
      <c r="V632">
        <v>4.1127200000000003E-2</v>
      </c>
      <c r="W632">
        <v>0.13519700000000001</v>
      </c>
      <c r="X632">
        <v>0.98996479999999998</v>
      </c>
      <c r="Y632">
        <v>0.1528051</v>
      </c>
      <c r="Z632">
        <v>-1.553584E-2</v>
      </c>
      <c r="AA632">
        <v>0.98813419999999996</v>
      </c>
      <c r="AB632">
        <v>29</v>
      </c>
      <c r="AC632">
        <v>0.76489999999995395</v>
      </c>
      <c r="AD632">
        <v>-0.1832059</v>
      </c>
      <c r="AE632">
        <v>-0.145700000000033</v>
      </c>
      <c r="AF632">
        <v>0.137754629250043</v>
      </c>
      <c r="AG632">
        <v>-0.1832059</v>
      </c>
      <c r="AH632">
        <v>0.72483440250398101</v>
      </c>
      <c r="AI632">
        <v>103.945124052724</v>
      </c>
      <c r="AJ632">
        <v>79.239279326779894</v>
      </c>
      <c r="AK632">
        <v>0.7602142137108</v>
      </c>
      <c r="AL632">
        <v>82.229988329917504</v>
      </c>
      <c r="AM632">
        <v>87.621066193536507</v>
      </c>
      <c r="AN632">
        <v>0.99999999031393905</v>
      </c>
    </row>
    <row r="633" spans="1:40" x14ac:dyDescent="0.25">
      <c r="A633" t="str">
        <f>"20190303170238501"</f>
        <v>20190303170238501</v>
      </c>
      <c r="B633" t="str">
        <f>"1551603758496773"</f>
        <v>1551603758496773</v>
      </c>
      <c r="C633" t="s">
        <v>40</v>
      </c>
      <c r="D633">
        <v>4.2295870000000004</v>
      </c>
      <c r="E633">
        <v>0.55133769999999904</v>
      </c>
      <c r="F633" t="s">
        <v>43</v>
      </c>
      <c r="G633">
        <v>-363.97930000000002</v>
      </c>
      <c r="H633">
        <v>0.9647464</v>
      </c>
      <c r="I633">
        <v>367.57440000000003</v>
      </c>
      <c r="J633">
        <v>-364.5967</v>
      </c>
      <c r="K633">
        <v>1.1207370000000001</v>
      </c>
      <c r="L633">
        <v>367.6977</v>
      </c>
      <c r="M633">
        <v>0.99996859999999999</v>
      </c>
      <c r="N633">
        <v>-7.9320759999999997E-3</v>
      </c>
      <c r="O633">
        <v>-4.1725209999999999E-4</v>
      </c>
      <c r="P633">
        <v>0.99100449999999995</v>
      </c>
      <c r="Q633">
        <v>0.1272037</v>
      </c>
      <c r="R633">
        <v>-4.1588060000000003E-2</v>
      </c>
      <c r="S633">
        <v>3.086487</v>
      </c>
      <c r="T633">
        <v>-0.61997309999999906</v>
      </c>
      <c r="U633">
        <v>-0.48825069999999998</v>
      </c>
      <c r="V633">
        <v>4.1179599999999997E-2</v>
      </c>
      <c r="W633">
        <v>0.13505909999999999</v>
      </c>
      <c r="X633">
        <v>0.98998149999999996</v>
      </c>
      <c r="Y633">
        <v>0.15274299999999999</v>
      </c>
      <c r="Z633">
        <v>-1.563407E-2</v>
      </c>
      <c r="AA633">
        <v>0.98814230000000003</v>
      </c>
      <c r="AB633">
        <v>29</v>
      </c>
      <c r="AC633">
        <v>0.61739999999997497</v>
      </c>
      <c r="AD633">
        <v>-0.15599060000000001</v>
      </c>
      <c r="AE633">
        <v>-0.123299999999972</v>
      </c>
      <c r="AF633">
        <v>0.115925980251883</v>
      </c>
      <c r="AG633">
        <v>-0.15599060000000001</v>
      </c>
      <c r="AH633">
        <v>0.58173991912367495</v>
      </c>
      <c r="AI633">
        <v>104.73372672027099</v>
      </c>
      <c r="AJ633">
        <v>78.730037795249402</v>
      </c>
      <c r="AK633">
        <v>0.613345933130513</v>
      </c>
      <c r="AL633">
        <v>82.237962984686405</v>
      </c>
      <c r="AM633">
        <v>87.618078827500796</v>
      </c>
      <c r="AN633">
        <v>1.0000000451455999</v>
      </c>
    </row>
    <row r="634" spans="1:40" x14ac:dyDescent="0.25">
      <c r="A634" t="str">
        <f>"20190303170238515"</f>
        <v>20190303170238515</v>
      </c>
      <c r="B634" t="str">
        <f>"1551603758506534"</f>
        <v>1551603758506534</v>
      </c>
      <c r="C634" t="s">
        <v>40</v>
      </c>
      <c r="D634">
        <v>4.2539660000000001</v>
      </c>
      <c r="E634">
        <v>0.55133160000000003</v>
      </c>
      <c r="F634" t="s">
        <v>43</v>
      </c>
      <c r="G634">
        <v>-363.72859999999997</v>
      </c>
      <c r="H634">
        <v>0.94489489999999998</v>
      </c>
      <c r="I634">
        <v>367.55959999999999</v>
      </c>
      <c r="J634">
        <v>-364.4067</v>
      </c>
      <c r="K634">
        <v>1.120736</v>
      </c>
      <c r="L634">
        <v>367.69760000000002</v>
      </c>
      <c r="M634">
        <v>0.99996850000000004</v>
      </c>
      <c r="N634">
        <v>-7.9315569999999901E-3</v>
      </c>
      <c r="O634">
        <v>-4.1689240000000001E-4</v>
      </c>
      <c r="P634">
        <v>0.99103370000000002</v>
      </c>
      <c r="Q634">
        <v>0.12697719999999901</v>
      </c>
      <c r="R634">
        <v>-4.1584320000000001E-2</v>
      </c>
      <c r="S634">
        <v>3.0869749999999998</v>
      </c>
      <c r="T634">
        <v>-0.6252953</v>
      </c>
      <c r="U634">
        <v>-0.49041750000000001</v>
      </c>
      <c r="V634">
        <v>4.1176089999999999E-2</v>
      </c>
      <c r="W634">
        <v>0.13483229999999999</v>
      </c>
      <c r="X634">
        <v>0.99001249999999996</v>
      </c>
      <c r="Y634">
        <v>0.1533332</v>
      </c>
      <c r="Z634">
        <v>-1.581869E-2</v>
      </c>
      <c r="AA634">
        <v>0.98804789999999998</v>
      </c>
      <c r="AB634">
        <v>29</v>
      </c>
      <c r="AC634">
        <v>0.67810000000002801</v>
      </c>
      <c r="AD634">
        <v>-0.175841099999999</v>
      </c>
      <c r="AE634">
        <v>-0.13800000000003301</v>
      </c>
      <c r="AF634">
        <v>0.129364268895998</v>
      </c>
      <c r="AG634">
        <v>-0.175841099999999</v>
      </c>
      <c r="AH634">
        <v>0.63702494724998904</v>
      </c>
      <c r="AI634">
        <v>105.136981993589</v>
      </c>
      <c r="AJ634">
        <v>78.520722996426002</v>
      </c>
      <c r="AK634">
        <v>0.67339140916339102</v>
      </c>
      <c r="AL634">
        <v>82.251077156381797</v>
      </c>
      <c r="AM634">
        <v>87.618356112266</v>
      </c>
      <c r="AN634">
        <v>0.99999998483361396</v>
      </c>
    </row>
    <row r="635" spans="1:40" x14ac:dyDescent="0.25">
      <c r="A635" t="str">
        <f>"20190303170238530"</f>
        <v>20190303170238530</v>
      </c>
      <c r="B635" t="str">
        <f>"1551603758516293"</f>
        <v>1551603758516293</v>
      </c>
      <c r="C635" t="s">
        <v>40</v>
      </c>
      <c r="D635">
        <v>4.2179979999999997</v>
      </c>
      <c r="E635">
        <v>0.55138909999999997</v>
      </c>
      <c r="F635" t="s">
        <v>43</v>
      </c>
      <c r="G635">
        <v>-363.47430000000003</v>
      </c>
      <c r="H635">
        <v>0.93099560000000003</v>
      </c>
      <c r="I635">
        <v>367.54930000000002</v>
      </c>
      <c r="J635">
        <v>-364.19880000000001</v>
      </c>
      <c r="K635">
        <v>1.1207389999999999</v>
      </c>
      <c r="L635">
        <v>367.69749999999999</v>
      </c>
      <c r="M635">
        <v>0.99996850000000004</v>
      </c>
      <c r="N635">
        <v>-7.9321749999999996E-3</v>
      </c>
      <c r="O635">
        <v>-4.1665639999999998E-4</v>
      </c>
      <c r="P635">
        <v>0.99111179999999999</v>
      </c>
      <c r="Q635">
        <v>0.12636500000000001</v>
      </c>
      <c r="R635">
        <v>-4.158601E-2</v>
      </c>
      <c r="S635">
        <v>3.0870669999999998</v>
      </c>
      <c r="T635">
        <v>-0.62827730000000004</v>
      </c>
      <c r="U635">
        <v>-0.48989870000000002</v>
      </c>
      <c r="V635">
        <v>4.1178310000000003E-2</v>
      </c>
      <c r="W635">
        <v>0.13422129999999999</v>
      </c>
      <c r="X635">
        <v>0.99009539999999996</v>
      </c>
      <c r="Y635">
        <v>0.15314169999999999</v>
      </c>
      <c r="Z635">
        <v>-1.5869689999999999E-2</v>
      </c>
      <c r="AA635">
        <v>0.98807679999999998</v>
      </c>
      <c r="AB635">
        <v>29</v>
      </c>
      <c r="AC635">
        <v>0.72449999999997705</v>
      </c>
      <c r="AD635">
        <v>-0.18974339999999901</v>
      </c>
      <c r="AE635">
        <v>-0.14819999999997399</v>
      </c>
      <c r="AF635">
        <v>0.13876271734770701</v>
      </c>
      <c r="AG635">
        <v>-0.18974339999999901</v>
      </c>
      <c r="AH635">
        <v>0.679806852066838</v>
      </c>
      <c r="AI635">
        <v>105.294967017923</v>
      </c>
      <c r="AJ635">
        <v>78.463225060642401</v>
      </c>
      <c r="AK635">
        <v>0.71930174870238095</v>
      </c>
      <c r="AL635">
        <v>82.2864057947573</v>
      </c>
      <c r="AM635">
        <v>87.618427048815093</v>
      </c>
      <c r="AN635">
        <v>0.99999995584465196</v>
      </c>
    </row>
    <row r="636" spans="1:40" x14ac:dyDescent="0.25">
      <c r="A636" t="str">
        <f>"20190303170238544"</f>
        <v>20190303170238544</v>
      </c>
      <c r="B636" t="str">
        <f>"1551603758536789"</f>
        <v>1551603758536789</v>
      </c>
      <c r="C636" t="s">
        <v>40</v>
      </c>
      <c r="D636">
        <v>4.2471139999999998</v>
      </c>
      <c r="E636">
        <v>0.55171689999999995</v>
      </c>
      <c r="F636" t="s">
        <v>43</v>
      </c>
      <c r="G636">
        <v>-363.45780000000002</v>
      </c>
      <c r="H636">
        <v>0.96902250000000001</v>
      </c>
      <c r="I636">
        <v>367.57929999999999</v>
      </c>
      <c r="J636">
        <v>-364.02859999999998</v>
      </c>
      <c r="K636">
        <v>1.1207370000000001</v>
      </c>
      <c r="L636">
        <v>367.69740000000002</v>
      </c>
      <c r="M636">
        <v>0.99996850000000004</v>
      </c>
      <c r="N636">
        <v>-7.9334290000000005E-3</v>
      </c>
      <c r="O636">
        <v>-4.1642300000000002E-4</v>
      </c>
      <c r="P636">
        <v>0.99109190000000003</v>
      </c>
      <c r="Q636">
        <v>0.126557</v>
      </c>
      <c r="R636">
        <v>-4.1480339999999997E-2</v>
      </c>
      <c r="S636">
        <v>3.086884</v>
      </c>
      <c r="T636">
        <v>-0.63211850000000003</v>
      </c>
      <c r="U636">
        <v>-0.49093629999999999</v>
      </c>
      <c r="V636">
        <v>4.1072549999999999E-2</v>
      </c>
      <c r="W636">
        <v>0.1344146</v>
      </c>
      <c r="X636">
        <v>0.9900736</v>
      </c>
      <c r="Y636">
        <v>0.15343080000000001</v>
      </c>
      <c r="Z636">
        <v>-1.5992079999999999E-2</v>
      </c>
      <c r="AA636">
        <v>0.98802999999999996</v>
      </c>
      <c r="AB636">
        <v>29</v>
      </c>
      <c r="AC636">
        <v>0.570799999999962</v>
      </c>
      <c r="AD636">
        <v>-0.1517145</v>
      </c>
      <c r="AE636">
        <v>-0.118100000000026</v>
      </c>
      <c r="AF636">
        <v>0.110384233008315</v>
      </c>
      <c r="AG636">
        <v>-0.1517145</v>
      </c>
      <c r="AH636">
        <v>0.53463024179791296</v>
      </c>
      <c r="AI636">
        <v>105.53129550218</v>
      </c>
      <c r="AJ636">
        <v>78.3341589327691</v>
      </c>
      <c r="AK636">
        <v>0.56659638531496104</v>
      </c>
      <c r="AL636">
        <v>82.275229477544897</v>
      </c>
      <c r="AM636">
        <v>87.624484483325105</v>
      </c>
      <c r="AN636">
        <v>0.99999998623681097</v>
      </c>
    </row>
    <row r="637" spans="1:40" x14ac:dyDescent="0.25">
      <c r="A637" t="str">
        <f>"20190303170238559"</f>
        <v>20190303170238559</v>
      </c>
      <c r="B637" t="str">
        <f>"1551603758546550"</f>
        <v>1551603758546550</v>
      </c>
      <c r="C637" t="s">
        <v>40</v>
      </c>
      <c r="D637">
        <v>4.2560969999999996</v>
      </c>
      <c r="E637">
        <v>0.55180879999999999</v>
      </c>
      <c r="F637" t="s">
        <v>43</v>
      </c>
      <c r="G637">
        <v>-363.20499999999998</v>
      </c>
      <c r="H637">
        <v>0.95106800000000002</v>
      </c>
      <c r="I637">
        <v>367.56549999999999</v>
      </c>
      <c r="J637">
        <v>-363.84230000000002</v>
      </c>
      <c r="K637">
        <v>1.1207389999999999</v>
      </c>
      <c r="L637">
        <v>367.69729999999998</v>
      </c>
      <c r="M637">
        <v>0.99996839999999998</v>
      </c>
      <c r="N637">
        <v>-7.9364550000000002E-3</v>
      </c>
      <c r="O637">
        <v>-4.1607729999999999E-4</v>
      </c>
      <c r="P637">
        <v>0.99111859999999996</v>
      </c>
      <c r="Q637">
        <v>0.1264219</v>
      </c>
      <c r="R637">
        <v>-4.1253619999999998E-2</v>
      </c>
      <c r="S637">
        <v>3.087555</v>
      </c>
      <c r="T637">
        <v>-0.63613640000000005</v>
      </c>
      <c r="U637">
        <v>-0.4934692</v>
      </c>
      <c r="V637">
        <v>4.084604E-2</v>
      </c>
      <c r="W637">
        <v>0.13428280000000001</v>
      </c>
      <c r="X637">
        <v>0.99010089999999995</v>
      </c>
      <c r="Y637">
        <v>0.1541351</v>
      </c>
      <c r="Z637">
        <v>-1.6158200000000001E-2</v>
      </c>
      <c r="AA637">
        <v>0.98791770000000001</v>
      </c>
      <c r="AB637">
        <v>29</v>
      </c>
      <c r="AC637">
        <v>0.63730000000003795</v>
      </c>
      <c r="AD637">
        <v>-0.16967099999999899</v>
      </c>
      <c r="AE637">
        <v>-0.131799999999998</v>
      </c>
      <c r="AF637">
        <v>0.123163010833706</v>
      </c>
      <c r="AG637">
        <v>-0.16967099999999899</v>
      </c>
      <c r="AH637">
        <v>0.59678903149888396</v>
      </c>
      <c r="AI637">
        <v>105.55926662758</v>
      </c>
      <c r="AJ637">
        <v>78.339227736612202</v>
      </c>
      <c r="AK637">
        <v>0.63254606440637895</v>
      </c>
      <c r="AL637">
        <v>82.282850495270907</v>
      </c>
      <c r="AM637">
        <v>87.637635336745404</v>
      </c>
      <c r="AN637">
        <v>1.00000003077016</v>
      </c>
    </row>
    <row r="638" spans="1:40" x14ac:dyDescent="0.25">
      <c r="A638" t="str">
        <f>"20190303170238573"</f>
        <v>20190303170238573</v>
      </c>
      <c r="B638" t="str">
        <f>"1551603758566069"</f>
        <v>1551603758566069</v>
      </c>
      <c r="C638" t="s">
        <v>40</v>
      </c>
      <c r="D638">
        <v>4.2495640000000003</v>
      </c>
      <c r="E638">
        <v>0.55197220000000002</v>
      </c>
      <c r="F638" t="s">
        <v>43</v>
      </c>
      <c r="G638">
        <v>-362.9502</v>
      </c>
      <c r="H638">
        <v>0.93615809999999999</v>
      </c>
      <c r="I638">
        <v>367.55410000000001</v>
      </c>
      <c r="J638">
        <v>-363.63249999999999</v>
      </c>
      <c r="K638">
        <v>1.1207389999999999</v>
      </c>
      <c r="L638">
        <v>367.69720000000001</v>
      </c>
      <c r="M638">
        <v>0.99996830000000003</v>
      </c>
      <c r="N638">
        <v>-7.944263E-3</v>
      </c>
      <c r="O638">
        <v>-4.1586990000000001E-4</v>
      </c>
      <c r="P638">
        <v>0.99111640000000001</v>
      </c>
      <c r="Q638">
        <v>0.12642139999999999</v>
      </c>
      <c r="R638">
        <v>-4.1306250000000003E-2</v>
      </c>
      <c r="S638">
        <v>3.087799</v>
      </c>
      <c r="T638">
        <v>-0.63904039999999995</v>
      </c>
      <c r="U638">
        <v>-0.49383539999999998</v>
      </c>
      <c r="V638">
        <v>4.0899020000000001E-2</v>
      </c>
      <c r="W638">
        <v>0.13428989999999999</v>
      </c>
      <c r="X638">
        <v>0.99009769999999997</v>
      </c>
      <c r="Y638">
        <v>0.15420719999999999</v>
      </c>
      <c r="Z638">
        <v>-1.6234680000000001E-2</v>
      </c>
      <c r="AA638">
        <v>0.98790509999999998</v>
      </c>
      <c r="AB638">
        <v>29</v>
      </c>
      <c r="AC638">
        <v>0.68229999999999702</v>
      </c>
      <c r="AD638">
        <v>-0.18458089999999899</v>
      </c>
      <c r="AE638">
        <v>-0.143100000000004</v>
      </c>
      <c r="AF638">
        <v>0.133460448709359</v>
      </c>
      <c r="AG638">
        <v>-0.18458089999999899</v>
      </c>
      <c r="AH638">
        <v>0.63765860852674205</v>
      </c>
      <c r="AI638">
        <v>105.818884930292</v>
      </c>
      <c r="AJ638">
        <v>78.178768269530295</v>
      </c>
      <c r="AK638">
        <v>0.67711911879873399</v>
      </c>
      <c r="AL638">
        <v>82.282439592987899</v>
      </c>
      <c r="AM638">
        <v>87.634567036301803</v>
      </c>
      <c r="AN638">
        <v>0.99999998131212997</v>
      </c>
    </row>
    <row r="639" spans="1:40" x14ac:dyDescent="0.25">
      <c r="A639" t="str">
        <f>"20190303170238586"</f>
        <v>20190303170238586</v>
      </c>
      <c r="B639" t="str">
        <f>"1551603758576807"</f>
        <v>1551603758576807</v>
      </c>
      <c r="C639" t="s">
        <v>40</v>
      </c>
      <c r="D639">
        <v>4.2278060000000002</v>
      </c>
      <c r="E639">
        <v>0.5520427</v>
      </c>
      <c r="F639" t="s">
        <v>43</v>
      </c>
      <c r="G639">
        <v>-362.93299999999999</v>
      </c>
      <c r="H639">
        <v>0.97480990000000001</v>
      </c>
      <c r="I639">
        <v>367.58460000000002</v>
      </c>
      <c r="J639">
        <v>-363.47829999999999</v>
      </c>
      <c r="K639">
        <v>1.1207400000000001</v>
      </c>
      <c r="L639">
        <v>367.69709999999998</v>
      </c>
      <c r="M639">
        <v>0.99996850000000004</v>
      </c>
      <c r="N639">
        <v>-7.9543849999999996E-3</v>
      </c>
      <c r="O639">
        <v>-4.156718E-4</v>
      </c>
      <c r="P639">
        <v>0.9910949</v>
      </c>
      <c r="Q639">
        <v>0.12663530000000001</v>
      </c>
      <c r="R639">
        <v>-4.1167259999999997E-2</v>
      </c>
      <c r="S639">
        <v>3.08847</v>
      </c>
      <c r="T639">
        <v>-0.64444639999999997</v>
      </c>
      <c r="U639">
        <v>-0.49481199999999997</v>
      </c>
      <c r="V639">
        <v>4.076026E-2</v>
      </c>
      <c r="W639">
        <v>0.13451379999999999</v>
      </c>
      <c r="X639">
        <v>0.99007299999999998</v>
      </c>
      <c r="Y639">
        <v>0.15442069999999999</v>
      </c>
      <c r="Z639">
        <v>-1.6384030000000001E-2</v>
      </c>
      <c r="AA639">
        <v>0.98786929999999995</v>
      </c>
      <c r="AB639">
        <v>29</v>
      </c>
      <c r="AC639">
        <v>0.54529999999994005</v>
      </c>
      <c r="AD639">
        <v>-0.14593010000000001</v>
      </c>
      <c r="AE639">
        <v>-0.112499999999954</v>
      </c>
      <c r="AF639">
        <v>0.105056599544767</v>
      </c>
      <c r="AG639">
        <v>-0.14593010000000001</v>
      </c>
      <c r="AH639">
        <v>0.51029285559989701</v>
      </c>
      <c r="AI639">
        <v>105.647501030214</v>
      </c>
      <c r="AJ639">
        <v>78.366763926263104</v>
      </c>
      <c r="AK639">
        <v>0.54104646904884002</v>
      </c>
      <c r="AL639">
        <v>82.269493389399599</v>
      </c>
      <c r="AM639">
        <v>87.642524535036003</v>
      </c>
      <c r="AN639">
        <v>0.99999995325735203</v>
      </c>
    </row>
    <row r="640" spans="1:40" x14ac:dyDescent="0.25">
      <c r="A640" t="str">
        <f>"20190303170238599"</f>
        <v>20190303170238599</v>
      </c>
      <c r="B640" t="str">
        <f>"1551603758586565"</f>
        <v>1551603758586565</v>
      </c>
      <c r="C640" t="s">
        <v>40</v>
      </c>
      <c r="D640">
        <v>4.2304120000000003</v>
      </c>
      <c r="E640">
        <v>0.55208519999999905</v>
      </c>
      <c r="F640" t="s">
        <v>43</v>
      </c>
      <c r="G640">
        <v>-362.68060000000003</v>
      </c>
      <c r="H640">
        <v>0.95385070000000005</v>
      </c>
      <c r="I640">
        <v>367.56920000000002</v>
      </c>
      <c r="J640">
        <v>-363.31619999999998</v>
      </c>
      <c r="K640">
        <v>1.1207419999999999</v>
      </c>
      <c r="L640">
        <v>367.69709999999998</v>
      </c>
      <c r="M640">
        <v>0.99996819999999997</v>
      </c>
      <c r="N640">
        <v>-7.966707E-3</v>
      </c>
      <c r="O640">
        <v>-4.1536330000000002E-4</v>
      </c>
      <c r="P640">
        <v>0.99110670000000001</v>
      </c>
      <c r="Q640">
        <v>0.12654389999999999</v>
      </c>
      <c r="R640">
        <v>-4.1162450000000003E-2</v>
      </c>
      <c r="S640">
        <v>3.0889890000000002</v>
      </c>
      <c r="T640">
        <v>-0.64632279999999998</v>
      </c>
      <c r="U640">
        <v>-0.49447629999999998</v>
      </c>
      <c r="V640">
        <v>4.0755800000000002E-2</v>
      </c>
      <c r="W640">
        <v>0.13443450000000001</v>
      </c>
      <c r="X640">
        <v>0.99008399999999996</v>
      </c>
      <c r="Y640">
        <v>0.1542753</v>
      </c>
      <c r="Z640">
        <v>-1.6412039999999999E-2</v>
      </c>
      <c r="AA640">
        <v>0.98789159999999998</v>
      </c>
      <c r="AB640">
        <v>29</v>
      </c>
      <c r="AC640">
        <v>0.63559999999995398</v>
      </c>
      <c r="AD640">
        <v>-0.16689129999999899</v>
      </c>
      <c r="AE640">
        <v>-0.12789999999995399</v>
      </c>
      <c r="AF640">
        <v>0.119704205497939</v>
      </c>
      <c r="AG640">
        <v>-0.16689129999999899</v>
      </c>
      <c r="AH640">
        <v>0.59615124598732305</v>
      </c>
      <c r="AI640">
        <v>105.347987693622</v>
      </c>
      <c r="AJ640">
        <v>78.646274529797097</v>
      </c>
      <c r="AK640">
        <v>0.63053795359345399</v>
      </c>
      <c r="AL640">
        <v>82.2740789438446</v>
      </c>
      <c r="AM640">
        <v>87.642808359266795</v>
      </c>
      <c r="AN640">
        <v>0.99999999853994503</v>
      </c>
    </row>
    <row r="641" spans="1:40" x14ac:dyDescent="0.25">
      <c r="A641" t="str">
        <f>"20190303170238610"</f>
        <v>20190303170238610</v>
      </c>
      <c r="B641" t="str">
        <f>"1551603758596325"</f>
        <v>1551603758596325</v>
      </c>
      <c r="C641" t="s">
        <v>40</v>
      </c>
      <c r="D641">
        <v>4.238626</v>
      </c>
      <c r="E641">
        <v>0.55208639999999998</v>
      </c>
      <c r="F641" t="s">
        <v>43</v>
      </c>
      <c r="G641">
        <v>-362.42680000000001</v>
      </c>
      <c r="H641">
        <v>0.93399140000000003</v>
      </c>
      <c r="I641">
        <v>367.55419999999998</v>
      </c>
      <c r="J641">
        <v>-363.15859999999998</v>
      </c>
      <c r="K641">
        <v>1.120741</v>
      </c>
      <c r="L641">
        <v>367.697</v>
      </c>
      <c r="M641">
        <v>0.99996819999999997</v>
      </c>
      <c r="N641">
        <v>-7.982042E-3</v>
      </c>
      <c r="O641">
        <v>-4.1530540000000001E-4</v>
      </c>
      <c r="P641">
        <v>0.99107100000000004</v>
      </c>
      <c r="Q641">
        <v>0.1269188</v>
      </c>
      <c r="R641">
        <v>-4.0868269999999998E-2</v>
      </c>
      <c r="S641">
        <v>3.0892029999999999</v>
      </c>
      <c r="T641">
        <v>-0.64880789999999999</v>
      </c>
      <c r="U641">
        <v>-0.49468990000000002</v>
      </c>
      <c r="V641">
        <v>4.0461770000000001E-2</v>
      </c>
      <c r="W641">
        <v>0.13482429999999901</v>
      </c>
      <c r="X641">
        <v>0.99004300000000001</v>
      </c>
      <c r="Y641">
        <v>0.15430559999999999</v>
      </c>
      <c r="Z641">
        <v>-1.6474829999999999E-2</v>
      </c>
      <c r="AA641">
        <v>0.98788580000000004</v>
      </c>
      <c r="AB641">
        <v>29</v>
      </c>
      <c r="AC641">
        <v>0.73179999999996403</v>
      </c>
      <c r="AD641">
        <v>-0.18674959999999999</v>
      </c>
      <c r="AE641">
        <v>-0.14279999999996501</v>
      </c>
      <c r="AF641">
        <v>0.13408437585451799</v>
      </c>
      <c r="AG641">
        <v>-0.18674959999999999</v>
      </c>
      <c r="AH641">
        <v>0.68865687711246204</v>
      </c>
      <c r="AI641">
        <v>104.90543314993801</v>
      </c>
      <c r="AJ641">
        <v>78.982119991540998</v>
      </c>
      <c r="AK641">
        <v>0.72601813155233597</v>
      </c>
      <c r="AL641">
        <v>82.251539430353702</v>
      </c>
      <c r="AM641">
        <v>87.659698379876403</v>
      </c>
      <c r="AN641">
        <v>0.99999994427550898</v>
      </c>
    </row>
    <row r="642" spans="1:40" x14ac:dyDescent="0.25">
      <c r="A642" t="str">
        <f>"20190303170238623"</f>
        <v>20190303170238623</v>
      </c>
      <c r="B642" t="str">
        <f>"1551603758616822"</f>
        <v>1551603758616822</v>
      </c>
      <c r="C642" t="s">
        <v>40</v>
      </c>
      <c r="D642">
        <v>4.2148690000000002</v>
      </c>
      <c r="E642">
        <v>0.55212659999999902</v>
      </c>
      <c r="F642" t="s">
        <v>43</v>
      </c>
      <c r="G642">
        <v>-362.4135</v>
      </c>
      <c r="H642">
        <v>0.96412739999999997</v>
      </c>
      <c r="I642">
        <v>367.57729999999998</v>
      </c>
      <c r="J642">
        <v>-362.99400000000003</v>
      </c>
      <c r="K642">
        <v>1.120746</v>
      </c>
      <c r="L642">
        <v>367.69690000000003</v>
      </c>
      <c r="M642">
        <v>0.99996810000000003</v>
      </c>
      <c r="N642">
        <v>-8.0004569999999903E-3</v>
      </c>
      <c r="O642">
        <v>-4.1502169999999998E-4</v>
      </c>
      <c r="P642">
        <v>0.99112520000000004</v>
      </c>
      <c r="Q642">
        <v>0.12656010000000001</v>
      </c>
      <c r="R642">
        <v>-4.0668019999999999E-2</v>
      </c>
      <c r="S642">
        <v>3.0898439999999998</v>
      </c>
      <c r="T642">
        <v>-0.64965469999999903</v>
      </c>
      <c r="U642">
        <v>-0.49447629999999998</v>
      </c>
      <c r="V642">
        <v>4.0261659999999998E-2</v>
      </c>
      <c r="W642">
        <v>0.1344841</v>
      </c>
      <c r="X642">
        <v>0.99009749999999996</v>
      </c>
      <c r="Y642">
        <v>0.15420200000000001</v>
      </c>
      <c r="Z642">
        <v>-1.648237E-2</v>
      </c>
      <c r="AA642">
        <v>0.9879019</v>
      </c>
      <c r="AB642">
        <v>29</v>
      </c>
      <c r="AC642">
        <v>0.58050000000002899</v>
      </c>
      <c r="AD642">
        <v>-0.1566186</v>
      </c>
      <c r="AE642">
        <v>-0.119600000000048</v>
      </c>
      <c r="AF642">
        <v>0.11156848980032</v>
      </c>
      <c r="AG642">
        <v>-0.1566186</v>
      </c>
      <c r="AH642">
        <v>0.54265708657360101</v>
      </c>
      <c r="AI642">
        <v>105.785664405475</v>
      </c>
      <c r="AJ642">
        <v>78.382069724792203</v>
      </c>
      <c r="AK642">
        <v>0.57572009465610396</v>
      </c>
      <c r="AL642">
        <v>82.271211173240303</v>
      </c>
      <c r="AM642">
        <v>87.6713879772594</v>
      </c>
      <c r="AN642">
        <v>1.0000000169625001</v>
      </c>
    </row>
    <row r="643" spans="1:40" x14ac:dyDescent="0.25">
      <c r="A643" t="str">
        <f>"20190303170238635"</f>
        <v>20190303170238635</v>
      </c>
      <c r="B643" t="str">
        <f>"1551603758626582"</f>
        <v>1551603758626582</v>
      </c>
      <c r="C643" t="s">
        <v>40</v>
      </c>
      <c r="D643">
        <v>4.1947330000000003</v>
      </c>
      <c r="E643">
        <v>0.55215329999999996</v>
      </c>
      <c r="F643" t="s">
        <v>43</v>
      </c>
      <c r="G643">
        <v>-362.15940000000001</v>
      </c>
      <c r="H643">
        <v>0.94411149999999999</v>
      </c>
      <c r="I643">
        <v>367.56319999999999</v>
      </c>
      <c r="J643">
        <v>-362.83370000000002</v>
      </c>
      <c r="K643">
        <v>1.1207499999999999</v>
      </c>
      <c r="L643">
        <v>367.6968</v>
      </c>
      <c r="M643">
        <v>0.99996779999999996</v>
      </c>
      <c r="N643">
        <v>-8.0197210000000005E-3</v>
      </c>
      <c r="O643">
        <v>-4.147415E-4</v>
      </c>
      <c r="P643">
        <v>0.991124</v>
      </c>
      <c r="Q643">
        <v>0.12668840000000001</v>
      </c>
      <c r="R643">
        <v>-4.0294610000000002E-2</v>
      </c>
      <c r="S643">
        <v>3.0900880000000002</v>
      </c>
      <c r="T643">
        <v>-0.65408290000000002</v>
      </c>
      <c r="U643">
        <v>-0.49468990000000002</v>
      </c>
      <c r="V643">
        <v>3.9888390000000003E-2</v>
      </c>
      <c r="W643">
        <v>0.13463149999999999</v>
      </c>
      <c r="X643">
        <v>0.99009259999999999</v>
      </c>
      <c r="Y643">
        <v>0.1542113</v>
      </c>
      <c r="Z643">
        <v>-1.65895E-2</v>
      </c>
      <c r="AA643">
        <v>0.98789859999999896</v>
      </c>
      <c r="AB643">
        <v>29</v>
      </c>
      <c r="AC643">
        <v>0.674300000000016</v>
      </c>
      <c r="AD643">
        <v>-0.176638499999999</v>
      </c>
      <c r="AE643">
        <v>-0.133600000000001</v>
      </c>
      <c r="AF643">
        <v>0.125062436067882</v>
      </c>
      <c r="AG643">
        <v>-0.176638499999999</v>
      </c>
      <c r="AH643">
        <v>0.63258566791341297</v>
      </c>
      <c r="AI643">
        <v>105.31926612770199</v>
      </c>
      <c r="AJ643">
        <v>78.816813459588005</v>
      </c>
      <c r="AK643">
        <v>0.66858537214550395</v>
      </c>
      <c r="AL643">
        <v>82.262688449323505</v>
      </c>
      <c r="AM643">
        <v>87.692941937814894</v>
      </c>
      <c r="AN643">
        <v>1.0000000405119001</v>
      </c>
    </row>
    <row r="644" spans="1:40" x14ac:dyDescent="0.25">
      <c r="A644" t="str">
        <f>"20190303170238653"</f>
        <v>20190303170238653</v>
      </c>
      <c r="B644" t="str">
        <f>"1551603758646102"</f>
        <v>1551603758646102</v>
      </c>
      <c r="C644" t="s">
        <v>40</v>
      </c>
      <c r="D644">
        <v>4.1789500000000004</v>
      </c>
      <c r="E644">
        <v>0.55224010000000001</v>
      </c>
      <c r="F644" t="s">
        <v>43</v>
      </c>
      <c r="G644">
        <v>-361.90429999999998</v>
      </c>
      <c r="H644">
        <v>0.92377359999999997</v>
      </c>
      <c r="I644">
        <v>367.54809999999998</v>
      </c>
      <c r="J644">
        <v>-362.58519999999999</v>
      </c>
      <c r="K644">
        <v>1.1207549999999999</v>
      </c>
      <c r="L644">
        <v>367.69670000000002</v>
      </c>
      <c r="M644">
        <v>0.99996759999999996</v>
      </c>
      <c r="N644">
        <v>-8.0549619999999902E-3</v>
      </c>
      <c r="O644">
        <v>-4.145261E-4</v>
      </c>
      <c r="P644">
        <v>0.99120030000000003</v>
      </c>
      <c r="Q644">
        <v>0.12611</v>
      </c>
      <c r="R644">
        <v>-4.0234289999999999E-2</v>
      </c>
      <c r="S644">
        <v>3.0905459999999998</v>
      </c>
      <c r="T644">
        <v>-0.65512300000000001</v>
      </c>
      <c r="U644">
        <v>-0.4933167</v>
      </c>
      <c r="V644">
        <v>3.9828259999999997E-2</v>
      </c>
      <c r="W644">
        <v>0.13408900000000001</v>
      </c>
      <c r="X644">
        <v>0.99016859999999995</v>
      </c>
      <c r="Y644">
        <v>0.15376029999999999</v>
      </c>
      <c r="Z644">
        <v>-1.6566569999999999E-2</v>
      </c>
      <c r="AA644">
        <v>0.98796930000000005</v>
      </c>
      <c r="AB644">
        <v>29</v>
      </c>
      <c r="AC644">
        <v>0.68090000000000805</v>
      </c>
      <c r="AD644">
        <v>-0.1969814</v>
      </c>
      <c r="AE644">
        <v>-0.148600000000044</v>
      </c>
      <c r="AF644">
        <v>0.137345595408011</v>
      </c>
      <c r="AG644">
        <v>-0.1969814</v>
      </c>
      <c r="AH644">
        <v>0.63058590604101095</v>
      </c>
      <c r="AI644">
        <v>106.97336560870001</v>
      </c>
      <c r="AJ644">
        <v>77.712522647469399</v>
      </c>
      <c r="AK644">
        <v>0.67476223176871997</v>
      </c>
      <c r="AL644">
        <v>82.294055542595402</v>
      </c>
      <c r="AM644">
        <v>87.696592597577805</v>
      </c>
      <c r="AN644">
        <v>1.0000000033207901</v>
      </c>
    </row>
    <row r="645" spans="1:40" x14ac:dyDescent="0.25">
      <c r="A645" t="str">
        <f>"20190303170238666"</f>
        <v>20190303170238666</v>
      </c>
      <c r="B645" t="str">
        <f>"1551603758656838"</f>
        <v>1551603758656838</v>
      </c>
      <c r="C645" t="s">
        <v>40</v>
      </c>
      <c r="D645">
        <v>4.169861</v>
      </c>
      <c r="E645">
        <v>0.55222859999999996</v>
      </c>
      <c r="F645" t="s">
        <v>43</v>
      </c>
      <c r="G645">
        <v>-361.88389999999998</v>
      </c>
      <c r="H645">
        <v>0.97106579999999998</v>
      </c>
      <c r="I645">
        <v>367.58460000000002</v>
      </c>
      <c r="J645">
        <v>-362.43380000000002</v>
      </c>
      <c r="K645">
        <v>1.1207560000000001</v>
      </c>
      <c r="L645">
        <v>367.69670000000002</v>
      </c>
      <c r="M645">
        <v>0.99996719999999895</v>
      </c>
      <c r="N645">
        <v>-8.0802649999999997E-3</v>
      </c>
      <c r="O645">
        <v>-4.1415179999999997E-4</v>
      </c>
      <c r="P645">
        <v>0.99122069999999995</v>
      </c>
      <c r="Q645">
        <v>0.12603139999999999</v>
      </c>
      <c r="R645">
        <v>-3.9971470000000002E-2</v>
      </c>
      <c r="S645">
        <v>3.090576</v>
      </c>
      <c r="T645">
        <v>-0.65975240000000002</v>
      </c>
      <c r="U645">
        <v>-0.49276730000000002</v>
      </c>
      <c r="V645">
        <v>3.9565919999999997E-2</v>
      </c>
      <c r="W645">
        <v>0.1340356</v>
      </c>
      <c r="X645">
        <v>0.99018629999999996</v>
      </c>
      <c r="Y645">
        <v>0.15354479999999901</v>
      </c>
      <c r="Z645">
        <v>-1.6655449999999999E-2</v>
      </c>
      <c r="AA645">
        <v>0.98800129999999997</v>
      </c>
      <c r="AB645">
        <v>29</v>
      </c>
      <c r="AC645">
        <v>0.54990000000003603</v>
      </c>
      <c r="AD645">
        <v>-0.149690199999999</v>
      </c>
      <c r="AE645">
        <v>-0.11209999999999801</v>
      </c>
      <c r="AF645">
        <v>0.104441863282771</v>
      </c>
      <c r="AG645">
        <v>-0.149690199999999</v>
      </c>
      <c r="AH645">
        <v>0.51341981059752995</v>
      </c>
      <c r="AI645">
        <v>105.944835065177</v>
      </c>
      <c r="AJ645">
        <v>78.501562170453099</v>
      </c>
      <c r="AK645">
        <v>0.54489922067848595</v>
      </c>
      <c r="AL645">
        <v>82.297142644437898</v>
      </c>
      <c r="AM645">
        <v>87.711789314938599</v>
      </c>
      <c r="AN645">
        <v>0.99999995640024697</v>
      </c>
    </row>
    <row r="646" spans="1:40" x14ac:dyDescent="0.25">
      <c r="A646" t="str">
        <f>"20190303170238679"</f>
        <v>20190303170238679</v>
      </c>
      <c r="B646" t="str">
        <f>"1551603758666597"</f>
        <v>1551603758666597</v>
      </c>
      <c r="C646" t="s">
        <v>40</v>
      </c>
      <c r="D646">
        <v>4.1603089999999998</v>
      </c>
      <c r="E646">
        <v>0.55226660000000005</v>
      </c>
      <c r="F646" t="s">
        <v>43</v>
      </c>
      <c r="G646">
        <v>-361.62979999999999</v>
      </c>
      <c r="H646">
        <v>0.94874599999999998</v>
      </c>
      <c r="I646">
        <v>367.56830000000002</v>
      </c>
      <c r="J646">
        <v>-362.262</v>
      </c>
      <c r="K646">
        <v>1.1207590000000001</v>
      </c>
      <c r="L646">
        <v>367.69659999999999</v>
      </c>
      <c r="M646">
        <v>0.9999671</v>
      </c>
      <c r="N646">
        <v>-8.1102180000000006E-3</v>
      </c>
      <c r="O646">
        <v>-4.1415430000000001E-4</v>
      </c>
      <c r="P646">
        <v>0.99128629999999995</v>
      </c>
      <c r="Q646">
        <v>0.12550020000000001</v>
      </c>
      <c r="R646">
        <v>-4.0019399999999997E-2</v>
      </c>
      <c r="S646">
        <v>3.0908509999999998</v>
      </c>
      <c r="T646">
        <v>-0.66134110000000002</v>
      </c>
      <c r="U646">
        <v>-0.49200440000000001</v>
      </c>
      <c r="V646">
        <v>3.9613790000000003E-2</v>
      </c>
      <c r="W646">
        <v>0.13353429999999999</v>
      </c>
      <c r="X646">
        <v>0.99025209999999997</v>
      </c>
      <c r="Y646">
        <v>0.1532828</v>
      </c>
      <c r="Z646">
        <v>-1.6665849999999999E-2</v>
      </c>
      <c r="AA646">
        <v>0.98804179999999997</v>
      </c>
      <c r="AB646">
        <v>29</v>
      </c>
      <c r="AC646">
        <v>0.63219999999995402</v>
      </c>
      <c r="AD646">
        <v>-0.172013</v>
      </c>
      <c r="AE646">
        <v>-0.128299999999967</v>
      </c>
      <c r="AF646">
        <v>0.11953864433033901</v>
      </c>
      <c r="AG646">
        <v>-0.172013</v>
      </c>
      <c r="AH646">
        <v>0.59028246865540501</v>
      </c>
      <c r="AI646">
        <v>105.939884994414</v>
      </c>
      <c r="AJ646">
        <v>78.551802849272505</v>
      </c>
      <c r="AK646">
        <v>0.62634762908408503</v>
      </c>
      <c r="AL646">
        <v>82.3261254512486</v>
      </c>
      <c r="AM646">
        <v>87.709175871545497</v>
      </c>
      <c r="AN646">
        <v>0.99999994159452998</v>
      </c>
    </row>
    <row r="647" spans="1:40" x14ac:dyDescent="0.25">
      <c r="A647" t="str">
        <f>"20190303170238690"</f>
        <v>20190303170238690</v>
      </c>
      <c r="B647" t="str">
        <f>"1551603758676364"</f>
        <v>1551603758676364</v>
      </c>
      <c r="C647" t="s">
        <v>40</v>
      </c>
      <c r="D647">
        <v>4.1627099999999997</v>
      </c>
      <c r="E647">
        <v>0.55227979999999999</v>
      </c>
      <c r="F647" t="s">
        <v>43</v>
      </c>
      <c r="G647">
        <v>-361.3734</v>
      </c>
      <c r="H647">
        <v>0.92988499999999996</v>
      </c>
      <c r="I647">
        <v>367.55439999999999</v>
      </c>
      <c r="J647">
        <v>-362.1044</v>
      </c>
      <c r="K647">
        <v>1.1207579999999999</v>
      </c>
      <c r="L647">
        <v>367.69650000000001</v>
      </c>
      <c r="M647">
        <v>0.99996669999999999</v>
      </c>
      <c r="N647">
        <v>-8.1397610000000006E-3</v>
      </c>
      <c r="O647">
        <v>-4.1379809999999998E-4</v>
      </c>
      <c r="P647">
        <v>0.99141959999999996</v>
      </c>
      <c r="Q647">
        <v>0.1245795</v>
      </c>
      <c r="R647">
        <v>-3.9591250000000001E-2</v>
      </c>
      <c r="S647">
        <v>3.0905459999999998</v>
      </c>
      <c r="T647">
        <v>-0.66407299999999903</v>
      </c>
      <c r="U647">
        <v>-0.49288939999999998</v>
      </c>
      <c r="V647">
        <v>3.91858E-2</v>
      </c>
      <c r="W647">
        <v>0.13264389999999901</v>
      </c>
      <c r="X647">
        <v>0.99038890000000002</v>
      </c>
      <c r="Y647">
        <v>0.15353910000000001</v>
      </c>
      <c r="Z647">
        <v>-1.67624E-2</v>
      </c>
      <c r="AA647">
        <v>0.9880004</v>
      </c>
      <c r="AB647">
        <v>30</v>
      </c>
      <c r="AC647">
        <v>0.73099999999999399</v>
      </c>
      <c r="AD647">
        <v>-0.19087299999999899</v>
      </c>
      <c r="AE647">
        <v>-0.14210000000002701</v>
      </c>
      <c r="AF647">
        <v>0.133056102958896</v>
      </c>
      <c r="AG647">
        <v>-0.19087299999999899</v>
      </c>
      <c r="AH647">
        <v>0.68599116983736796</v>
      </c>
      <c r="AI647">
        <v>105.277839469051</v>
      </c>
      <c r="AJ647">
        <v>79.023105915059602</v>
      </c>
      <c r="AK647">
        <v>0.72437580975516402</v>
      </c>
      <c r="AL647">
        <v>82.377600375569301</v>
      </c>
      <c r="AM647">
        <v>87.734212827769696</v>
      </c>
      <c r="AN647">
        <v>1.0000000521860199</v>
      </c>
    </row>
    <row r="648" spans="1:40" x14ac:dyDescent="0.25">
      <c r="A648" t="str">
        <f>"20190303170238703"</f>
        <v>20190303170238703</v>
      </c>
      <c r="B648" t="str">
        <f>"1551603758696831"</f>
        <v>1551603758696831</v>
      </c>
      <c r="C648" t="s">
        <v>40</v>
      </c>
      <c r="D648">
        <v>4.1818160000000004</v>
      </c>
      <c r="E648">
        <v>0.55232380000000003</v>
      </c>
      <c r="F648" t="s">
        <v>43</v>
      </c>
      <c r="G648">
        <v>-361.3603</v>
      </c>
      <c r="H648">
        <v>0.95999469999999998</v>
      </c>
      <c r="I648">
        <v>367.57760000000002</v>
      </c>
      <c r="J648">
        <v>-361.94</v>
      </c>
      <c r="K648">
        <v>1.120762</v>
      </c>
      <c r="L648">
        <v>367.69639999999998</v>
      </c>
      <c r="M648">
        <v>0.99996660000000004</v>
      </c>
      <c r="N648">
        <v>-8.1723500000000001E-3</v>
      </c>
      <c r="O648">
        <v>-4.1357390000000001E-4</v>
      </c>
      <c r="P648">
        <v>0.99151429999999996</v>
      </c>
      <c r="Q648">
        <v>0.1239377</v>
      </c>
      <c r="R648">
        <v>-3.9224599999999998E-2</v>
      </c>
      <c r="S648">
        <v>3.0903019999999999</v>
      </c>
      <c r="T648">
        <v>-0.66781899999999905</v>
      </c>
      <c r="U648">
        <v>-0.49200440000000001</v>
      </c>
      <c r="V648">
        <v>3.8819739999999998E-2</v>
      </c>
      <c r="W648">
        <v>0.13203509999999999</v>
      </c>
      <c r="X648">
        <v>0.99048460000000005</v>
      </c>
      <c r="Y648">
        <v>0.153242299999999</v>
      </c>
      <c r="Z648">
        <v>-1.6822839999999999E-2</v>
      </c>
      <c r="AA648">
        <v>0.98804550000000002</v>
      </c>
      <c r="AB648">
        <v>30</v>
      </c>
      <c r="AC648">
        <v>0.57970000000000199</v>
      </c>
      <c r="AD648">
        <v>-0.1607673</v>
      </c>
      <c r="AE648">
        <v>-0.118799999999964</v>
      </c>
      <c r="AF648">
        <v>0.110410691590924</v>
      </c>
      <c r="AG648">
        <v>-0.1607673</v>
      </c>
      <c r="AH648">
        <v>0.53989854549569505</v>
      </c>
      <c r="AI648">
        <v>106.263827113828</v>
      </c>
      <c r="AJ648">
        <v>78.442222409408402</v>
      </c>
      <c r="AK648">
        <v>0.57404449740002195</v>
      </c>
      <c r="AL648">
        <v>82.412791106509403</v>
      </c>
      <c r="AM648">
        <v>87.755573918642</v>
      </c>
      <c r="AN648">
        <v>0.99999999134141804</v>
      </c>
    </row>
    <row r="649" spans="1:40" x14ac:dyDescent="0.25">
      <c r="A649" t="str">
        <f>"20190303170238716"</f>
        <v>20190303170238716</v>
      </c>
      <c r="B649" t="str">
        <f>"1551603758706591"</f>
        <v>1551603758706591</v>
      </c>
      <c r="C649" t="s">
        <v>40</v>
      </c>
      <c r="D649">
        <v>4.1461769999999998</v>
      </c>
      <c r="E649">
        <v>0.55230590000000002</v>
      </c>
      <c r="F649" t="s">
        <v>43</v>
      </c>
      <c r="G649">
        <v>-361.10449999999997</v>
      </c>
      <c r="H649">
        <v>0.93925650000000005</v>
      </c>
      <c r="I649">
        <v>367.56330000000003</v>
      </c>
      <c r="J649">
        <v>-361.7715</v>
      </c>
      <c r="K649">
        <v>1.1207659999999999</v>
      </c>
      <c r="L649">
        <v>367.69639999999998</v>
      </c>
      <c r="M649">
        <v>0.99996629999999997</v>
      </c>
      <c r="N649">
        <v>-8.2067979999999995E-3</v>
      </c>
      <c r="O649">
        <v>-4.1335779999999999E-4</v>
      </c>
      <c r="P649">
        <v>0.99161410000000005</v>
      </c>
      <c r="Q649">
        <v>0.12320730000000001</v>
      </c>
      <c r="R649">
        <v>-3.9008859999999999E-2</v>
      </c>
      <c r="S649">
        <v>3.090179</v>
      </c>
      <c r="T649">
        <v>-0.67144139999999997</v>
      </c>
      <c r="U649">
        <v>-0.49136350000000001</v>
      </c>
      <c r="V649">
        <v>3.8603800000000001E-2</v>
      </c>
      <c r="W649">
        <v>0.13133979999999901</v>
      </c>
      <c r="X649">
        <v>0.99058550000000001</v>
      </c>
      <c r="Y649">
        <v>0.15301529999999999</v>
      </c>
      <c r="Z649">
        <v>-1.688717E-2</v>
      </c>
      <c r="AA649">
        <v>0.9880795</v>
      </c>
      <c r="AB649">
        <v>30</v>
      </c>
      <c r="AC649">
        <v>0.66700000000003001</v>
      </c>
      <c r="AD649">
        <v>-0.18150949999999899</v>
      </c>
      <c r="AE649">
        <v>-0.133099999999956</v>
      </c>
      <c r="AF649">
        <v>0.123993706433794</v>
      </c>
      <c r="AG649">
        <v>-0.18150949999999899</v>
      </c>
      <c r="AH649">
        <v>0.62270711077912799</v>
      </c>
      <c r="AI649">
        <v>105.953769338971</v>
      </c>
      <c r="AJ649">
        <v>78.738533175611195</v>
      </c>
      <c r="AK649">
        <v>0.66036677963108503</v>
      </c>
      <c r="AL649">
        <v>82.452979023454901</v>
      </c>
      <c r="AM649">
        <v>87.768273291834902</v>
      </c>
      <c r="AN649">
        <v>1.0000000146243599</v>
      </c>
    </row>
    <row r="650" spans="1:40" x14ac:dyDescent="0.25">
      <c r="A650" t="str">
        <f>"20190303170238731"</f>
        <v>20190303170238731</v>
      </c>
      <c r="B650" t="str">
        <f>"1551603758726111"</f>
        <v>1551603758726111</v>
      </c>
      <c r="C650" t="s">
        <v>40</v>
      </c>
      <c r="D650">
        <v>4.1468970000000001</v>
      </c>
      <c r="E650">
        <v>0.55225709999999995</v>
      </c>
      <c r="F650" t="s">
        <v>43</v>
      </c>
      <c r="G650">
        <v>-360.84730000000002</v>
      </c>
      <c r="H650">
        <v>0.91895839999999995</v>
      </c>
      <c r="I650">
        <v>367.54939999999999</v>
      </c>
      <c r="J650">
        <v>-361.5634</v>
      </c>
      <c r="K650">
        <v>1.120768</v>
      </c>
      <c r="L650">
        <v>367.69630000000001</v>
      </c>
      <c r="M650">
        <v>0.99996589999999996</v>
      </c>
      <c r="N650">
        <v>-8.2513389999999999E-3</v>
      </c>
      <c r="O650">
        <v>-4.1318419999999999E-4</v>
      </c>
      <c r="P650">
        <v>0.99159759999999997</v>
      </c>
      <c r="Q650">
        <v>0.123304</v>
      </c>
      <c r="R650">
        <v>-3.9119580000000001E-2</v>
      </c>
      <c r="S650">
        <v>3.0899049999999999</v>
      </c>
      <c r="T650">
        <v>-0.67479180000000005</v>
      </c>
      <c r="U650">
        <v>-0.49063109999999999</v>
      </c>
      <c r="V650">
        <v>3.8715050000000001E-2</v>
      </c>
      <c r="W650">
        <v>0.13148019999999999</v>
      </c>
      <c r="X650">
        <v>0.99056250000000001</v>
      </c>
      <c r="Y650">
        <v>0.15276989999999999</v>
      </c>
      <c r="Z650">
        <v>-1.6944319999999999E-2</v>
      </c>
      <c r="AA650">
        <v>0.98811649999999995</v>
      </c>
      <c r="AB650">
        <v>30</v>
      </c>
      <c r="AC650">
        <v>0.71609999999998297</v>
      </c>
      <c r="AD650">
        <v>-0.20180959999999901</v>
      </c>
      <c r="AE650">
        <v>-0.14690000000001599</v>
      </c>
      <c r="AF650">
        <v>0.13622207528820099</v>
      </c>
      <c r="AG650">
        <v>-0.20180959999999901</v>
      </c>
      <c r="AH650">
        <v>0.66544449194765498</v>
      </c>
      <c r="AI650">
        <v>106.54715864701799</v>
      </c>
      <c r="AJ650">
        <v>78.430908491260993</v>
      </c>
      <c r="AK650">
        <v>0.70859010740445405</v>
      </c>
      <c r="AL650">
        <v>82.444864080282997</v>
      </c>
      <c r="AM650">
        <v>87.761796427276906</v>
      </c>
      <c r="AN650">
        <v>0.99999998224739595</v>
      </c>
    </row>
    <row r="651" spans="1:40" x14ac:dyDescent="0.25">
      <c r="A651" t="str">
        <f>"20190303170238745"</f>
        <v>20190303170238745</v>
      </c>
      <c r="B651" t="str">
        <f>"1551603758736847"</f>
        <v>1551603758736847</v>
      </c>
      <c r="C651" t="s">
        <v>40</v>
      </c>
      <c r="D651">
        <v>4.1656389999999996</v>
      </c>
      <c r="E651">
        <v>0.55225690000000005</v>
      </c>
      <c r="F651" t="s">
        <v>43</v>
      </c>
      <c r="G651">
        <v>-360.8297</v>
      </c>
      <c r="H651">
        <v>0.96031610000000001</v>
      </c>
      <c r="I651">
        <v>367.57929999999999</v>
      </c>
      <c r="J651">
        <v>-361.38440000000003</v>
      </c>
      <c r="K651">
        <v>1.1207750000000001</v>
      </c>
      <c r="L651">
        <v>367.69619999999998</v>
      </c>
      <c r="M651">
        <v>0.99996569999999996</v>
      </c>
      <c r="N651">
        <v>-8.2896949999999997E-3</v>
      </c>
      <c r="O651">
        <v>-4.1298579999999999E-4</v>
      </c>
      <c r="P651">
        <v>0.9915602</v>
      </c>
      <c r="Q651">
        <v>0.1235671</v>
      </c>
      <c r="R651">
        <v>-3.9242150000000003E-2</v>
      </c>
      <c r="S651">
        <v>3.0900569999999998</v>
      </c>
      <c r="T651">
        <v>-0.67589350000000004</v>
      </c>
      <c r="U651">
        <v>-0.49133300000000002</v>
      </c>
      <c r="V651">
        <v>3.8837429999999999E-2</v>
      </c>
      <c r="W651">
        <v>0.13178129999999999</v>
      </c>
      <c r="X651">
        <v>0.99051769999999995</v>
      </c>
      <c r="Y651">
        <v>0.15296509999999999</v>
      </c>
      <c r="Z651">
        <v>-1.699415E-2</v>
      </c>
      <c r="AA651">
        <v>0.9880854</v>
      </c>
      <c r="AB651">
        <v>30</v>
      </c>
      <c r="AC651">
        <v>0.55470000000002495</v>
      </c>
      <c r="AD651">
        <v>-0.16045889999999999</v>
      </c>
      <c r="AE651">
        <v>-0.116899999999986</v>
      </c>
      <c r="AF651">
        <v>0.10801664575818</v>
      </c>
      <c r="AG651">
        <v>-0.16045889999999999</v>
      </c>
      <c r="AH651">
        <v>0.51359888225897299</v>
      </c>
      <c r="AI651">
        <v>107.000084407355</v>
      </c>
      <c r="AJ651">
        <v>78.123032597595397</v>
      </c>
      <c r="AK651">
        <v>0.54881551199626699</v>
      </c>
      <c r="AL651">
        <v>82.427460917197195</v>
      </c>
      <c r="AM651">
        <v>87.754627148388394</v>
      </c>
      <c r="AN651">
        <v>0.99999998550599201</v>
      </c>
    </row>
    <row r="652" spans="1:40" x14ac:dyDescent="0.25">
      <c r="A652" t="str">
        <f>"20190303170238761"</f>
        <v>20190303170238761</v>
      </c>
      <c r="B652" t="str">
        <f>"1551603758746607"</f>
        <v>1551603758746607</v>
      </c>
      <c r="C652" t="s">
        <v>40</v>
      </c>
      <c r="D652">
        <v>4.15123</v>
      </c>
      <c r="E652">
        <v>0.55227510000000002</v>
      </c>
      <c r="F652" t="s">
        <v>43</v>
      </c>
      <c r="G652">
        <v>-360.57139999999998</v>
      </c>
      <c r="H652">
        <v>0.94300079999999997</v>
      </c>
      <c r="I652">
        <v>367.56670000000003</v>
      </c>
      <c r="J652">
        <v>-361.17989999999998</v>
      </c>
      <c r="K652">
        <v>1.120779</v>
      </c>
      <c r="L652">
        <v>367.6961</v>
      </c>
      <c r="M652">
        <v>0.99996529999999995</v>
      </c>
      <c r="N652">
        <v>-8.3332040000000003E-3</v>
      </c>
      <c r="O652">
        <v>-4.1280979999999999E-4</v>
      </c>
      <c r="P652">
        <v>0.99154140000000002</v>
      </c>
      <c r="Q652">
        <v>0.1238127</v>
      </c>
      <c r="R652">
        <v>-3.8937380000000001E-2</v>
      </c>
      <c r="S652">
        <v>3.0903019999999999</v>
      </c>
      <c r="T652">
        <v>-0.67581309999999895</v>
      </c>
      <c r="U652">
        <v>-0.49148560000000002</v>
      </c>
      <c r="V652">
        <v>3.8533009999999999E-2</v>
      </c>
      <c r="W652">
        <v>0.13206960000000001</v>
      </c>
      <c r="X652">
        <v>0.99049120000000002</v>
      </c>
      <c r="Y652">
        <v>0.15300050000000001</v>
      </c>
      <c r="Z652">
        <v>-1.6998340000000001E-2</v>
      </c>
      <c r="AA652">
        <v>0.98807990000000001</v>
      </c>
      <c r="AB652">
        <v>30</v>
      </c>
      <c r="AC652">
        <v>0.60849999999999205</v>
      </c>
      <c r="AD652">
        <v>-0.1777782</v>
      </c>
      <c r="AE652">
        <v>-0.12939999999997501</v>
      </c>
      <c r="AF652">
        <v>0.11939831439029699</v>
      </c>
      <c r="AG652">
        <v>-0.1777782</v>
      </c>
      <c r="AH652">
        <v>0.56260882374226795</v>
      </c>
      <c r="AI652">
        <v>107.176633228409</v>
      </c>
      <c r="AJ652">
        <v>78.018308015424793</v>
      </c>
      <c r="AK652">
        <v>0.60198815140095796</v>
      </c>
      <c r="AL652">
        <v>82.410796964227103</v>
      </c>
      <c r="AM652">
        <v>87.772149741015696</v>
      </c>
      <c r="AN652">
        <v>0.99999999469062995</v>
      </c>
    </row>
    <row r="653" spans="1:40" x14ac:dyDescent="0.25">
      <c r="A653" t="str">
        <f>"20190303170238776"</f>
        <v>20190303170238776</v>
      </c>
      <c r="B653" t="str">
        <f>"1551603758766127"</f>
        <v>1551603758766127</v>
      </c>
      <c r="C653" t="s">
        <v>40</v>
      </c>
      <c r="D653">
        <v>4.1416829999999996</v>
      </c>
      <c r="E653">
        <v>0.5522494</v>
      </c>
      <c r="F653" t="s">
        <v>43</v>
      </c>
      <c r="G653">
        <v>-360.31029999999998</v>
      </c>
      <c r="H653">
        <v>0.93064460000000004</v>
      </c>
      <c r="I653">
        <v>367.5575</v>
      </c>
      <c r="J653">
        <v>-360.97370000000001</v>
      </c>
      <c r="K653">
        <v>1.1207860000000001</v>
      </c>
      <c r="L653">
        <v>367.69600000000003</v>
      </c>
      <c r="M653">
        <v>0.99996490000000005</v>
      </c>
      <c r="N653">
        <v>-8.3762869999999996E-3</v>
      </c>
      <c r="O653">
        <v>-4.1251370000000001E-4</v>
      </c>
      <c r="P653">
        <v>0.9914269</v>
      </c>
      <c r="Q653">
        <v>0.1248673</v>
      </c>
      <c r="R653">
        <v>-3.8482629999999997E-2</v>
      </c>
      <c r="S653">
        <v>3.0906980000000002</v>
      </c>
      <c r="T653">
        <v>-0.67580200000000001</v>
      </c>
      <c r="U653">
        <v>-0.49114989999999997</v>
      </c>
      <c r="V653">
        <v>3.8078649999999999E-2</v>
      </c>
      <c r="W653">
        <v>0.13316610000000001</v>
      </c>
      <c r="X653">
        <v>0.99036190000000002</v>
      </c>
      <c r="Y653">
        <v>0.1528796</v>
      </c>
      <c r="Z653">
        <v>-1.6986109999999999E-2</v>
      </c>
      <c r="AA653">
        <v>0.98809880000000005</v>
      </c>
      <c r="AB653">
        <v>30</v>
      </c>
      <c r="AC653">
        <v>0.66340000000002397</v>
      </c>
      <c r="AD653">
        <v>-0.19014139999999999</v>
      </c>
      <c r="AE653">
        <v>-0.13849999999996401</v>
      </c>
      <c r="AF653">
        <v>0.128139435179106</v>
      </c>
      <c r="AG653">
        <v>-0.19014139999999999</v>
      </c>
      <c r="AH653">
        <v>0.61504217972577702</v>
      </c>
      <c r="AI653">
        <v>106.838597445483</v>
      </c>
      <c r="AJ653">
        <v>78.231206825589396</v>
      </c>
      <c r="AK653">
        <v>0.65639191774717598</v>
      </c>
      <c r="AL653">
        <v>82.347411881744506</v>
      </c>
      <c r="AM653">
        <v>87.798106162830194</v>
      </c>
      <c r="AN653">
        <v>0.99999994337331899</v>
      </c>
    </row>
    <row r="654" spans="1:40" x14ac:dyDescent="0.25">
      <c r="A654" t="str">
        <f>"20190303170238789"</f>
        <v>20190303170238789</v>
      </c>
      <c r="B654" t="str">
        <f>"1551603758776516"</f>
        <v>1551603758776516</v>
      </c>
      <c r="C654" t="s">
        <v>40</v>
      </c>
      <c r="D654">
        <v>4.1556309999999996</v>
      </c>
      <c r="E654">
        <v>0.55224899999999999</v>
      </c>
      <c r="F654" t="s">
        <v>43</v>
      </c>
      <c r="G654">
        <v>-360.0478</v>
      </c>
      <c r="H654">
        <v>0.91913160000000005</v>
      </c>
      <c r="I654">
        <v>367.54899999999998</v>
      </c>
      <c r="J654">
        <v>-360.7946</v>
      </c>
      <c r="K654">
        <v>1.1207910000000001</v>
      </c>
      <c r="L654">
        <v>367.69589999999999</v>
      </c>
      <c r="M654">
        <v>0.99996459999999998</v>
      </c>
      <c r="N654">
        <v>-8.4120389999999996E-3</v>
      </c>
      <c r="O654">
        <v>-4.1230690000000001E-4</v>
      </c>
      <c r="P654">
        <v>0.99143890000000001</v>
      </c>
      <c r="Q654">
        <v>0.1248457</v>
      </c>
      <c r="R654">
        <v>-3.8242900000000003E-2</v>
      </c>
      <c r="S654">
        <v>3.091675</v>
      </c>
      <c r="T654">
        <v>-0.67335080000000003</v>
      </c>
      <c r="U654">
        <v>-0.49035640000000003</v>
      </c>
      <c r="V654">
        <v>3.7839129999999999E-2</v>
      </c>
      <c r="W654">
        <v>0.13317979999999999</v>
      </c>
      <c r="X654">
        <v>0.99036930000000001</v>
      </c>
      <c r="Y654">
        <v>0.15261739999999999</v>
      </c>
      <c r="Z654">
        <v>-1.6897160000000001E-2</v>
      </c>
      <c r="AA654">
        <v>0.98814089999999999</v>
      </c>
      <c r="AB654">
        <v>30</v>
      </c>
      <c r="AC654">
        <v>0.74680000000000701</v>
      </c>
      <c r="AD654">
        <v>-0.20165939999999999</v>
      </c>
      <c r="AE654">
        <v>-0.14689999999995901</v>
      </c>
      <c r="AF654">
        <v>0.136976246748469</v>
      </c>
      <c r="AG654">
        <v>-0.20165939999999999</v>
      </c>
      <c r="AH654">
        <v>0.69786961825355298</v>
      </c>
      <c r="AI654">
        <v>105.830894779674</v>
      </c>
      <c r="AJ654">
        <v>78.895282604279302</v>
      </c>
      <c r="AK654">
        <v>0.73922324764783898</v>
      </c>
      <c r="AL654">
        <v>82.346620346634396</v>
      </c>
      <c r="AM654">
        <v>87.811959209655697</v>
      </c>
      <c r="AN654">
        <v>1.0000000046348401</v>
      </c>
    </row>
    <row r="655" spans="1:40" x14ac:dyDescent="0.25">
      <c r="A655" t="str">
        <f>"20190303170238808"</f>
        <v>20190303170238808</v>
      </c>
      <c r="B655" t="str">
        <f>"1551603758796020"</f>
        <v>1551603758796020</v>
      </c>
      <c r="C655" t="s">
        <v>40</v>
      </c>
      <c r="D655">
        <v>4.1915809999999896</v>
      </c>
      <c r="E655">
        <v>0.5522224</v>
      </c>
      <c r="F655" t="s">
        <v>43</v>
      </c>
      <c r="G655">
        <v>-360.03280000000001</v>
      </c>
      <c r="H655">
        <v>0.95466359999999995</v>
      </c>
      <c r="I655">
        <v>367.57530000000003</v>
      </c>
      <c r="J655">
        <v>-360.5351</v>
      </c>
      <c r="K655">
        <v>1.1207940000000001</v>
      </c>
      <c r="L655">
        <v>367.69580000000002</v>
      </c>
      <c r="M655">
        <v>0.99996419999999997</v>
      </c>
      <c r="N655">
        <v>-8.4616459999999998E-3</v>
      </c>
      <c r="O655">
        <v>-4.1204030000000001E-4</v>
      </c>
      <c r="P655">
        <v>0.99146440000000002</v>
      </c>
      <c r="Q655">
        <v>0.1247062</v>
      </c>
      <c r="R655">
        <v>-3.8033579999999997E-2</v>
      </c>
      <c r="S655">
        <v>3.0919189999999999</v>
      </c>
      <c r="T655">
        <v>-0.67421319999999996</v>
      </c>
      <c r="U655">
        <v>-0.48904419999999998</v>
      </c>
      <c r="V655">
        <v>3.7630179999999999E-2</v>
      </c>
      <c r="W655">
        <v>0.1330896</v>
      </c>
      <c r="X655">
        <v>0.99038939999999998</v>
      </c>
      <c r="Y655">
        <v>0.1521969</v>
      </c>
      <c r="Z655">
        <v>-1.6873840000000001E-2</v>
      </c>
      <c r="AA655">
        <v>0.98820609999999998</v>
      </c>
      <c r="AB655">
        <v>30</v>
      </c>
      <c r="AC655">
        <v>0.50229999999999098</v>
      </c>
      <c r="AD655">
        <v>-0.16613039999999901</v>
      </c>
      <c r="AE655">
        <v>-0.120499999999992</v>
      </c>
      <c r="AF655">
        <v>0.109016778247396</v>
      </c>
      <c r="AG655">
        <v>-0.16613039999999901</v>
      </c>
      <c r="AH655">
        <v>0.45525948656406001</v>
      </c>
      <c r="AI655">
        <v>109.53879573331599</v>
      </c>
      <c r="AJ655">
        <v>76.533484295663797</v>
      </c>
      <c r="AK655">
        <v>0.49673450438858502</v>
      </c>
      <c r="AL655">
        <v>82.351834947345907</v>
      </c>
      <c r="AM655">
        <v>87.824074177557705</v>
      </c>
      <c r="AN655">
        <v>1.0000000178536701</v>
      </c>
    </row>
    <row r="656" spans="1:40" x14ac:dyDescent="0.25">
      <c r="A656" t="str">
        <f>"20190303170238823"</f>
        <v>20190303170238823</v>
      </c>
      <c r="B656" t="str">
        <f>"1551603758816516"</f>
        <v>1551603758816516</v>
      </c>
      <c r="C656" t="s">
        <v>40</v>
      </c>
      <c r="D656">
        <v>4.1998949999999997</v>
      </c>
      <c r="E656">
        <v>0.55222599999999999</v>
      </c>
      <c r="F656" t="s">
        <v>43</v>
      </c>
      <c r="G656">
        <v>-359.7663</v>
      </c>
      <c r="H656">
        <v>0.95273699999999995</v>
      </c>
      <c r="I656">
        <v>367.57420000000002</v>
      </c>
      <c r="J656">
        <v>-360.34949999999998</v>
      </c>
      <c r="K656">
        <v>1.1208009999999999</v>
      </c>
      <c r="L656">
        <v>367.69569999999999</v>
      </c>
      <c r="M656">
        <v>0.99996390000000002</v>
      </c>
      <c r="N656">
        <v>-8.4952220000000002E-3</v>
      </c>
      <c r="O656">
        <v>-4.1182570000000002E-4</v>
      </c>
      <c r="P656">
        <v>0.99150479999999996</v>
      </c>
      <c r="Q656">
        <v>0.1244456</v>
      </c>
      <c r="R656">
        <v>-3.7839169999999998E-2</v>
      </c>
      <c r="S656">
        <v>3.092133</v>
      </c>
      <c r="T656">
        <v>-0.67597200000000002</v>
      </c>
      <c r="U656">
        <v>-0.48776249999999999</v>
      </c>
      <c r="V656">
        <v>3.7435679999999999E-2</v>
      </c>
      <c r="W656">
        <v>0.13286319999999999</v>
      </c>
      <c r="X656">
        <v>0.9904271</v>
      </c>
      <c r="Y656">
        <v>0.1517782</v>
      </c>
      <c r="Z656">
        <v>-1.6870509999999998E-2</v>
      </c>
      <c r="AA656">
        <v>0.9882706</v>
      </c>
      <c r="AB656">
        <v>30</v>
      </c>
      <c r="AC656">
        <v>0.58319999999997596</v>
      </c>
      <c r="AD656">
        <v>-0.16806399999999899</v>
      </c>
      <c r="AE656">
        <v>-0.12149999999996899</v>
      </c>
      <c r="AF656">
        <v>0.11232016291977399</v>
      </c>
      <c r="AG656">
        <v>-0.16806399999999899</v>
      </c>
      <c r="AH656">
        <v>0.54025102700437899</v>
      </c>
      <c r="AI656">
        <v>106.93928052130801</v>
      </c>
      <c r="AJ656">
        <v>78.2553077929945</v>
      </c>
      <c r="AK656">
        <v>0.57682969694149</v>
      </c>
      <c r="AL656">
        <v>82.364922424073498</v>
      </c>
      <c r="AM656">
        <v>87.835392528824002</v>
      </c>
      <c r="AN656">
        <v>0.99999995023285404</v>
      </c>
    </row>
    <row r="657" spans="1:40" x14ac:dyDescent="0.25">
      <c r="A657" t="str">
        <f>"20190303170238836"</f>
        <v>20190303170238836</v>
      </c>
      <c r="B657" t="str">
        <f>"1551603758826275"</f>
        <v>1551603758826275</v>
      </c>
      <c r="C657" t="s">
        <v>40</v>
      </c>
      <c r="D657">
        <v>4.1980079999999997</v>
      </c>
      <c r="E657">
        <v>0.55222439999999995</v>
      </c>
      <c r="F657" t="s">
        <v>43</v>
      </c>
      <c r="G657">
        <v>-359.5059</v>
      </c>
      <c r="H657">
        <v>0.93590609999999996</v>
      </c>
      <c r="I657">
        <v>367.56270000000001</v>
      </c>
      <c r="J657">
        <v>-360.17020000000002</v>
      </c>
      <c r="K657">
        <v>1.120803</v>
      </c>
      <c r="L657">
        <v>367.69560000000001</v>
      </c>
      <c r="M657">
        <v>0.99996350000000001</v>
      </c>
      <c r="N657">
        <v>-8.5265099999999993E-3</v>
      </c>
      <c r="O657">
        <v>-4.1160179999999999E-4</v>
      </c>
      <c r="P657">
        <v>0.99147339999999995</v>
      </c>
      <c r="Q657">
        <v>0.12471260000000001</v>
      </c>
      <c r="R657">
        <v>-3.7783329999999997E-2</v>
      </c>
      <c r="S657">
        <v>3.0921940000000001</v>
      </c>
      <c r="T657">
        <v>-0.6777744</v>
      </c>
      <c r="U657">
        <v>-0.48715209999999998</v>
      </c>
      <c r="V657">
        <v>3.7380009999999998E-2</v>
      </c>
      <c r="W657">
        <v>0.1331609</v>
      </c>
      <c r="X657">
        <v>0.99038930000000003</v>
      </c>
      <c r="Y657">
        <v>0.15157079999999901</v>
      </c>
      <c r="Z657">
        <v>-1.6891949999999999E-2</v>
      </c>
      <c r="AA657">
        <v>0.98830209999999996</v>
      </c>
      <c r="AB657">
        <v>30</v>
      </c>
      <c r="AC657">
        <v>0.66430000000002498</v>
      </c>
      <c r="AD657">
        <v>-0.1848969</v>
      </c>
      <c r="AE657">
        <v>-0.13290000000000601</v>
      </c>
      <c r="AF657">
        <v>0.12343230416581601</v>
      </c>
      <c r="AG657">
        <v>-0.1848969</v>
      </c>
      <c r="AH657">
        <v>0.61829870323598202</v>
      </c>
      <c r="AI657">
        <v>106.344035113076</v>
      </c>
      <c r="AJ657">
        <v>78.710334167692693</v>
      </c>
      <c r="AK657">
        <v>0.65705074671945196</v>
      </c>
      <c r="AL657">
        <v>82.347713148500901</v>
      </c>
      <c r="AM657">
        <v>87.838526011507795</v>
      </c>
      <c r="AN657">
        <v>1.00000002799544</v>
      </c>
    </row>
    <row r="658" spans="1:40" x14ac:dyDescent="0.25">
      <c r="A658" t="str">
        <f>"20190303170238847"</f>
        <v>20190303170238847</v>
      </c>
      <c r="B658" t="str">
        <f>"1551603758837012"</f>
        <v>1551603758837012</v>
      </c>
      <c r="C658" t="s">
        <v>40</v>
      </c>
      <c r="D658">
        <v>4.2296709999999997</v>
      </c>
      <c r="E658">
        <v>0.55222609999999905</v>
      </c>
      <c r="F658" t="s">
        <v>43</v>
      </c>
      <c r="G658">
        <v>-359.24470000000002</v>
      </c>
      <c r="H658">
        <v>0.91808299999999998</v>
      </c>
      <c r="I658">
        <v>367.54930000000002</v>
      </c>
      <c r="J658">
        <v>-360.00810000000001</v>
      </c>
      <c r="K658">
        <v>1.120808</v>
      </c>
      <c r="L658">
        <v>367.69560000000001</v>
      </c>
      <c r="M658">
        <v>0.99996339999999995</v>
      </c>
      <c r="N658">
        <v>-8.5531289999999996E-3</v>
      </c>
      <c r="O658">
        <v>-4.1147759999999998E-4</v>
      </c>
      <c r="P658">
        <v>0.99145899999999998</v>
      </c>
      <c r="Q658">
        <v>0.1248678</v>
      </c>
      <c r="R658">
        <v>-3.7651629999999998E-2</v>
      </c>
      <c r="S658">
        <v>3.092438</v>
      </c>
      <c r="T658">
        <v>-0.67748430000000004</v>
      </c>
      <c r="U658">
        <v>-0.48721310000000001</v>
      </c>
      <c r="V658">
        <v>3.7248549999999998E-2</v>
      </c>
      <c r="W658">
        <v>0.13334190000000001</v>
      </c>
      <c r="X658">
        <v>0.99036990000000003</v>
      </c>
      <c r="Y658">
        <v>0.15158079999999999</v>
      </c>
      <c r="Z658">
        <v>-1.688711E-2</v>
      </c>
      <c r="AA658">
        <v>0.98830059999999997</v>
      </c>
      <c r="AB658">
        <v>30</v>
      </c>
      <c r="AC658">
        <v>0.76339999999998998</v>
      </c>
      <c r="AD658">
        <v>-0.20272499999999999</v>
      </c>
      <c r="AE658">
        <v>-0.14629999999999599</v>
      </c>
      <c r="AF658">
        <v>0.136688128347974</v>
      </c>
      <c r="AG658">
        <v>-0.20272499999999999</v>
      </c>
      <c r="AH658">
        <v>0.71483595291900504</v>
      </c>
      <c r="AI658">
        <v>105.565171107899</v>
      </c>
      <c r="AJ658">
        <v>79.174799389866706</v>
      </c>
      <c r="AK658">
        <v>0.75549421549201501</v>
      </c>
      <c r="AL658">
        <v>82.337249297384403</v>
      </c>
      <c r="AM658">
        <v>87.846078273738499</v>
      </c>
      <c r="AN658">
        <v>1.0000000277993599</v>
      </c>
    </row>
    <row r="659" spans="1:40" x14ac:dyDescent="0.25">
      <c r="A659" t="str">
        <f>"20190303170238864"</f>
        <v>20190303170238864</v>
      </c>
      <c r="B659" t="str">
        <f>"1551603758856532"</f>
        <v>1551603758856532</v>
      </c>
      <c r="C659" t="s">
        <v>40</v>
      </c>
      <c r="D659">
        <v>4.1993619999999998</v>
      </c>
      <c r="E659">
        <v>0.55221049999999905</v>
      </c>
      <c r="F659" t="s">
        <v>43</v>
      </c>
      <c r="G659">
        <v>-359.23099999999999</v>
      </c>
      <c r="H659">
        <v>0.95062709999999995</v>
      </c>
      <c r="I659">
        <v>367.57279999999997</v>
      </c>
      <c r="J659">
        <v>-359.78480000000002</v>
      </c>
      <c r="K659">
        <v>1.120811</v>
      </c>
      <c r="L659">
        <v>367.69549999999998</v>
      </c>
      <c r="M659">
        <v>0.99996320000000005</v>
      </c>
      <c r="N659">
        <v>-8.5881209999999902E-3</v>
      </c>
      <c r="O659">
        <v>-4.1127040000000001E-4</v>
      </c>
      <c r="P659">
        <v>0.99136219999999997</v>
      </c>
      <c r="Q659">
        <v>0.12549920000000001</v>
      </c>
      <c r="R659">
        <v>-3.8097260000000001E-2</v>
      </c>
      <c r="S659">
        <v>3.0926819999999999</v>
      </c>
      <c r="T659">
        <v>-0.6775099</v>
      </c>
      <c r="U659">
        <v>-0.48672490000000002</v>
      </c>
      <c r="V659">
        <v>3.7694569999999997E-2</v>
      </c>
      <c r="W659">
        <v>0.13400680000000001</v>
      </c>
      <c r="X659">
        <v>0.99026320000000001</v>
      </c>
      <c r="Y659">
        <v>0.15142030000000001</v>
      </c>
      <c r="Z659">
        <v>-1.687143E-2</v>
      </c>
      <c r="AA659">
        <v>0.98832549999999997</v>
      </c>
      <c r="AB659">
        <v>30</v>
      </c>
      <c r="AC659">
        <v>0.55380000000002305</v>
      </c>
      <c r="AD659">
        <v>-0.170183899999999</v>
      </c>
      <c r="AE659">
        <v>-0.122700000000008</v>
      </c>
      <c r="AF659">
        <v>0.112358205768</v>
      </c>
      <c r="AG659">
        <v>-0.170183899999999</v>
      </c>
      <c r="AH659">
        <v>0.50811228345863202</v>
      </c>
      <c r="AI659">
        <v>108.109475903934</v>
      </c>
      <c r="AJ659">
        <v>77.530912187962201</v>
      </c>
      <c r="AK659">
        <v>0.54750800800002897</v>
      </c>
      <c r="AL659">
        <v>82.298807767759499</v>
      </c>
      <c r="AM659">
        <v>87.820076973279797</v>
      </c>
      <c r="AN659">
        <v>0.99999995416398102</v>
      </c>
    </row>
    <row r="660" spans="1:40" x14ac:dyDescent="0.25">
      <c r="A660" t="str">
        <f>"20190303170238877"</f>
        <v>20190303170238877</v>
      </c>
      <c r="B660" t="str">
        <f>"1551603758866291"</f>
        <v>1551603758866291</v>
      </c>
      <c r="C660" t="s">
        <v>40</v>
      </c>
      <c r="D660">
        <v>4.2569489999999996</v>
      </c>
      <c r="E660">
        <v>0.55219269999999998</v>
      </c>
      <c r="F660" t="s">
        <v>43</v>
      </c>
      <c r="G660">
        <v>-358.96620000000001</v>
      </c>
      <c r="H660">
        <v>0.94175569999999997</v>
      </c>
      <c r="I660">
        <v>367.56610000000001</v>
      </c>
      <c r="J660">
        <v>-359.6232</v>
      </c>
      <c r="K660">
        <v>1.1208119999999999</v>
      </c>
      <c r="L660">
        <v>367.69540000000001</v>
      </c>
      <c r="M660">
        <v>0.99996289999999999</v>
      </c>
      <c r="N660">
        <v>-8.6123659999999998E-3</v>
      </c>
      <c r="O660">
        <v>-4.1101750000000002E-4</v>
      </c>
      <c r="P660">
        <v>0.99130119999999999</v>
      </c>
      <c r="Q660">
        <v>0.12595809999999999</v>
      </c>
      <c r="R660">
        <v>-3.8164389999999999E-2</v>
      </c>
      <c r="S660">
        <v>3.0931090000000001</v>
      </c>
      <c r="T660">
        <v>-0.67673300000000003</v>
      </c>
      <c r="U660">
        <v>-0.4877319</v>
      </c>
      <c r="V660">
        <v>3.7761950000000002E-2</v>
      </c>
      <c r="W660">
        <v>0.1344892</v>
      </c>
      <c r="X660">
        <v>0.9901953</v>
      </c>
      <c r="Y660">
        <v>0.151715299999999</v>
      </c>
      <c r="Z660">
        <v>-1.688564E-2</v>
      </c>
      <c r="AA660">
        <v>0.98828000000000005</v>
      </c>
      <c r="AB660">
        <v>30</v>
      </c>
      <c r="AC660">
        <v>0.65699999999998204</v>
      </c>
      <c r="AD660">
        <v>-0.1790563</v>
      </c>
      <c r="AE660">
        <v>-0.1293</v>
      </c>
      <c r="AF660">
        <v>0.120419193915158</v>
      </c>
      <c r="AG660">
        <v>-0.1790563</v>
      </c>
      <c r="AH660">
        <v>0.61320499120774996</v>
      </c>
      <c r="AI660">
        <v>105.988499488264</v>
      </c>
      <c r="AJ660">
        <v>78.889819175563005</v>
      </c>
      <c r="AK660">
        <v>0.65006330620560504</v>
      </c>
      <c r="AL660">
        <v>82.270916316948501</v>
      </c>
      <c r="AM660">
        <v>87.816034470660597</v>
      </c>
      <c r="AN660">
        <v>1.00000002096326</v>
      </c>
    </row>
    <row r="661" spans="1:40" x14ac:dyDescent="0.25">
      <c r="A661" t="str">
        <f>"20190303170238888"</f>
        <v>20190303170238888</v>
      </c>
      <c r="B661" t="str">
        <f>"1551603758877027"</f>
        <v>1551603758877027</v>
      </c>
      <c r="C661" t="s">
        <v>40</v>
      </c>
      <c r="D661">
        <v>4.2366529999999996</v>
      </c>
      <c r="E661">
        <v>0.55213959999999995</v>
      </c>
      <c r="F661" t="s">
        <v>43</v>
      </c>
      <c r="G661">
        <v>-358.70569999999998</v>
      </c>
      <c r="H661">
        <v>0.92041249999999997</v>
      </c>
      <c r="I661">
        <v>367.55020000000002</v>
      </c>
      <c r="J661">
        <v>-359.45639999999997</v>
      </c>
      <c r="K661">
        <v>1.1208129999999901</v>
      </c>
      <c r="L661">
        <v>367.69529999999997</v>
      </c>
      <c r="M661">
        <v>0.99996260000000003</v>
      </c>
      <c r="N661">
        <v>-8.636009E-3</v>
      </c>
      <c r="O661">
        <v>-4.1076220000000002E-4</v>
      </c>
      <c r="P661">
        <v>0.99125280000000004</v>
      </c>
      <c r="Q661">
        <v>0.12621379999999999</v>
      </c>
      <c r="R661">
        <v>-3.857592E-2</v>
      </c>
      <c r="S661">
        <v>3.0933839999999999</v>
      </c>
      <c r="T661">
        <v>-0.67576809999999998</v>
      </c>
      <c r="U661">
        <v>-0.48745729999999998</v>
      </c>
      <c r="V661">
        <v>3.8173779999999997E-2</v>
      </c>
      <c r="W661">
        <v>0.134768</v>
      </c>
      <c r="X661">
        <v>0.99014159999999996</v>
      </c>
      <c r="Y661">
        <v>0.15162870000000001</v>
      </c>
      <c r="Z661">
        <v>-1.6853949999999999E-2</v>
      </c>
      <c r="AA661">
        <v>0.9882938</v>
      </c>
      <c r="AB661">
        <v>30</v>
      </c>
      <c r="AC661">
        <v>0.75069999999999404</v>
      </c>
      <c r="AD661">
        <v>-0.20040049999999901</v>
      </c>
      <c r="AE661">
        <v>-0.14509999999995599</v>
      </c>
      <c r="AF661">
        <v>0.135484301799014</v>
      </c>
      <c r="AG661">
        <v>-0.20040049999999901</v>
      </c>
      <c r="AH661">
        <v>0.70250014622045798</v>
      </c>
      <c r="AI661">
        <v>105.647869652971</v>
      </c>
      <c r="AJ661">
        <v>79.083950017341806</v>
      </c>
      <c r="AK661">
        <v>0.742982376556794</v>
      </c>
      <c r="AL661">
        <v>82.254795481984701</v>
      </c>
      <c r="AM661">
        <v>87.792120072012906</v>
      </c>
      <c r="AN661">
        <v>1.00000001967702</v>
      </c>
    </row>
    <row r="662" spans="1:40" x14ac:dyDescent="0.25">
      <c r="A662" t="str">
        <f>"20190303170238901"</f>
        <v>20190303170238901</v>
      </c>
      <c r="B662" t="str">
        <f>"1551603758886787"</f>
        <v>1551603758886787</v>
      </c>
      <c r="C662" t="s">
        <v>40</v>
      </c>
      <c r="D662">
        <v>4.2320729999999998</v>
      </c>
      <c r="E662">
        <v>0.55211449999999995</v>
      </c>
      <c r="F662" t="s">
        <v>43</v>
      </c>
      <c r="G662">
        <v>-358.69159999999999</v>
      </c>
      <c r="H662">
        <v>0.95379910000000001</v>
      </c>
      <c r="I662">
        <v>367.57400000000001</v>
      </c>
      <c r="J662">
        <v>-359.303</v>
      </c>
      <c r="K662">
        <v>1.1208199999999999</v>
      </c>
      <c r="L662">
        <v>367.6952</v>
      </c>
      <c r="M662">
        <v>0.99996249999999998</v>
      </c>
      <c r="N662">
        <v>-8.656993E-3</v>
      </c>
      <c r="O662">
        <v>-4.100156E-4</v>
      </c>
      <c r="P662">
        <v>0.9912415</v>
      </c>
      <c r="Q662">
        <v>0.12627389999999999</v>
      </c>
      <c r="R662">
        <v>-3.867102E-2</v>
      </c>
      <c r="S662">
        <v>3.0935060000000001</v>
      </c>
      <c r="T662">
        <v>-0.67568930000000005</v>
      </c>
      <c r="U662">
        <v>-0.4883728</v>
      </c>
      <c r="V662">
        <v>3.826943E-2</v>
      </c>
      <c r="W662">
        <v>0.13484930000000001</v>
      </c>
      <c r="X662">
        <v>0.99012679999999997</v>
      </c>
      <c r="Y662">
        <v>0.15190319999999999</v>
      </c>
      <c r="Z662">
        <v>-1.688359E-2</v>
      </c>
      <c r="AA662">
        <v>0.98825110000000005</v>
      </c>
      <c r="AB662">
        <v>30</v>
      </c>
      <c r="AC662">
        <v>0.61140000000006001</v>
      </c>
      <c r="AD662">
        <v>-0.1670209</v>
      </c>
      <c r="AE662">
        <v>-0.121199999999987</v>
      </c>
      <c r="AF662">
        <v>0.112846422927839</v>
      </c>
      <c r="AG662">
        <v>-0.1670209</v>
      </c>
      <c r="AH662">
        <v>0.57048620320994403</v>
      </c>
      <c r="AI662">
        <v>106.02430217067</v>
      </c>
      <c r="AJ662">
        <v>78.810910298992496</v>
      </c>
      <c r="AK662">
        <v>0.60504942298734299</v>
      </c>
      <c r="AL662">
        <v>82.250094124839407</v>
      </c>
      <c r="AM662">
        <v>87.786560348658597</v>
      </c>
      <c r="AN662">
        <v>0.99999998153062697</v>
      </c>
    </row>
    <row r="663" spans="1:40" x14ac:dyDescent="0.25">
      <c r="A663" t="str">
        <f>"20190303170238915"</f>
        <v>20190303170238915</v>
      </c>
      <c r="B663" t="str">
        <f>"1551603758906308"</f>
        <v>1551603758906308</v>
      </c>
      <c r="C663" t="s">
        <v>40</v>
      </c>
      <c r="D663">
        <v>4.22262</v>
      </c>
      <c r="E663">
        <v>0.55207469999999903</v>
      </c>
      <c r="F663" t="s">
        <v>43</v>
      </c>
      <c r="G663">
        <v>-358.43209999999999</v>
      </c>
      <c r="H663">
        <v>0.93056059999999996</v>
      </c>
      <c r="I663">
        <v>367.55759999999998</v>
      </c>
      <c r="J663">
        <v>-359.1096</v>
      </c>
      <c r="K663">
        <v>1.1208209999999901</v>
      </c>
      <c r="L663">
        <v>367.6952</v>
      </c>
      <c r="M663">
        <v>0.99996220000000002</v>
      </c>
      <c r="N663">
        <v>-8.6824740000000008E-3</v>
      </c>
      <c r="O663">
        <v>-4.079722E-4</v>
      </c>
      <c r="P663">
        <v>0.99122109999999997</v>
      </c>
      <c r="Q663">
        <v>0.12631210000000001</v>
      </c>
      <c r="R663">
        <v>-3.9065500000000003E-2</v>
      </c>
      <c r="S663">
        <v>3.0935670000000002</v>
      </c>
      <c r="T663">
        <v>-0.67586950000000001</v>
      </c>
      <c r="U663">
        <v>-0.48834230000000001</v>
      </c>
      <c r="V663">
        <v>3.866584E-2</v>
      </c>
      <c r="W663">
        <v>0.13491210000000001</v>
      </c>
      <c r="X663">
        <v>0.99010279999999995</v>
      </c>
      <c r="Y663">
        <v>0.15189069999999999</v>
      </c>
      <c r="Z663">
        <v>-1.6888529999999999E-2</v>
      </c>
      <c r="AA663">
        <v>0.98825300000000005</v>
      </c>
      <c r="AB663">
        <v>30</v>
      </c>
      <c r="AC663">
        <v>0.67750000000000898</v>
      </c>
      <c r="AD663">
        <v>-0.190260399999999</v>
      </c>
      <c r="AE663">
        <v>-0.13760000000002001</v>
      </c>
      <c r="AF663">
        <v>0.127655027023761</v>
      </c>
      <c r="AG663">
        <v>-0.190260399999999</v>
      </c>
      <c r="AH663">
        <v>0.629851347922044</v>
      </c>
      <c r="AI663">
        <v>106.49152525867601</v>
      </c>
      <c r="AJ663">
        <v>78.5427805603493</v>
      </c>
      <c r="AK663">
        <v>0.670229472801527</v>
      </c>
      <c r="AL663">
        <v>82.246462428167803</v>
      </c>
      <c r="AM663">
        <v>87.763601665422101</v>
      </c>
      <c r="AN663">
        <v>0.99999993823857503</v>
      </c>
    </row>
    <row r="664" spans="1:40" x14ac:dyDescent="0.25">
      <c r="A664" t="str">
        <f>"20190303170238928"</f>
        <v>20190303170238928</v>
      </c>
      <c r="B664" t="str">
        <f>"1551603758916068"</f>
        <v>1551603758916068</v>
      </c>
      <c r="C664" t="s">
        <v>40</v>
      </c>
      <c r="D664">
        <v>4.2723589999999998</v>
      </c>
      <c r="E664">
        <v>0.55205090000000001</v>
      </c>
      <c r="F664" t="s">
        <v>43</v>
      </c>
      <c r="G664">
        <v>-358.41500000000002</v>
      </c>
      <c r="H664">
        <v>0.96885100000000002</v>
      </c>
      <c r="I664">
        <v>367.58530000000002</v>
      </c>
      <c r="J664">
        <v>-358.92700000000002</v>
      </c>
      <c r="K664">
        <v>1.1208209999999901</v>
      </c>
      <c r="L664">
        <v>367.69510000000002</v>
      </c>
      <c r="M664">
        <v>0.99996209999999996</v>
      </c>
      <c r="N664">
        <v>-8.7030639999999999E-3</v>
      </c>
      <c r="O664">
        <v>-4.0195489999999998E-4</v>
      </c>
      <c r="P664">
        <v>0.99119610000000002</v>
      </c>
      <c r="Q664">
        <v>0.12644159999999999</v>
      </c>
      <c r="R664">
        <v>-3.9277949999999999E-2</v>
      </c>
      <c r="S664">
        <v>3.0935670000000002</v>
      </c>
      <c r="T664">
        <v>-0.67691519999999905</v>
      </c>
      <c r="U664">
        <v>-0.48904419999999998</v>
      </c>
      <c r="V664">
        <v>3.888349E-2</v>
      </c>
      <c r="W664">
        <v>0.13506189999999901</v>
      </c>
      <c r="X664">
        <v>0.99007389999999995</v>
      </c>
      <c r="Y664">
        <v>0.15209919999999999</v>
      </c>
      <c r="Z664">
        <v>-1.6938979999999999E-2</v>
      </c>
      <c r="AA664">
        <v>0.98822010000000005</v>
      </c>
      <c r="AB664">
        <v>30</v>
      </c>
      <c r="AC664">
        <v>0.51199999999994295</v>
      </c>
      <c r="AD664">
        <v>-0.15196999999999899</v>
      </c>
      <c r="AE664">
        <v>-0.109800000000006</v>
      </c>
      <c r="AF664">
        <v>0.10108053348844399</v>
      </c>
      <c r="AG664">
        <v>-0.15196999999999899</v>
      </c>
      <c r="AH664">
        <v>0.47226676760150998</v>
      </c>
      <c r="AI664">
        <v>107.466799601985</v>
      </c>
      <c r="AJ664">
        <v>77.919103610200395</v>
      </c>
      <c r="AK664">
        <v>0.50630826077705604</v>
      </c>
      <c r="AL664">
        <v>82.237800603573106</v>
      </c>
      <c r="AM664">
        <v>87.750960290731697</v>
      </c>
      <c r="AN664">
        <v>0.99999998504369902</v>
      </c>
    </row>
    <row r="665" spans="1:40" x14ac:dyDescent="0.25">
      <c r="A665" t="str">
        <f>"20190303170238945"</f>
        <v>20190303170238945</v>
      </c>
      <c r="B665" t="str">
        <f>"1551603758936564"</f>
        <v>1551603758936564</v>
      </c>
      <c r="C665" t="s">
        <v>40</v>
      </c>
      <c r="D665">
        <v>4.285139</v>
      </c>
      <c r="E665">
        <v>0.55197069999999904</v>
      </c>
      <c r="F665" t="s">
        <v>43</v>
      </c>
      <c r="G665">
        <v>-358.15269999999998</v>
      </c>
      <c r="H665">
        <v>0.951407</v>
      </c>
      <c r="I665">
        <v>367.57229999999998</v>
      </c>
      <c r="J665">
        <v>-358.70800000000003</v>
      </c>
      <c r="K665">
        <v>1.1208260000000001</v>
      </c>
      <c r="L665">
        <v>367.69499999999999</v>
      </c>
      <c r="M665">
        <v>0.99996200000000002</v>
      </c>
      <c r="N665">
        <v>-8.7238249999999993E-3</v>
      </c>
      <c r="O665">
        <v>-3.9031290000000001E-4</v>
      </c>
      <c r="P665">
        <v>0.9911894</v>
      </c>
      <c r="Q665">
        <v>0.12631880000000001</v>
      </c>
      <c r="R665">
        <v>-3.9842790000000003E-2</v>
      </c>
      <c r="S665">
        <v>3.0936279999999998</v>
      </c>
      <c r="T665">
        <v>-0.67702030000000002</v>
      </c>
      <c r="U665">
        <v>-0.48956300000000003</v>
      </c>
      <c r="V665">
        <v>3.9458159999999999E-2</v>
      </c>
      <c r="W665">
        <v>0.13496029999999901</v>
      </c>
      <c r="X665">
        <v>0.99006499999999997</v>
      </c>
      <c r="Y665">
        <v>0.15226400000000001</v>
      </c>
      <c r="Z665">
        <v>-1.6963410000000002E-2</v>
      </c>
      <c r="AA665">
        <v>0.98819429999999997</v>
      </c>
      <c r="AB665">
        <v>30</v>
      </c>
      <c r="AC665">
        <v>0.55530000000004498</v>
      </c>
      <c r="AD665">
        <v>-0.16941899999999999</v>
      </c>
      <c r="AE665">
        <v>-0.122700000000008</v>
      </c>
      <c r="AF665">
        <v>0.112499003764504</v>
      </c>
      <c r="AG665">
        <v>-0.16941899999999999</v>
      </c>
      <c r="AH665">
        <v>0.51007859616632201</v>
      </c>
      <c r="AI665">
        <v>107.970363017572</v>
      </c>
      <c r="AJ665">
        <v>77.562401806241496</v>
      </c>
      <c r="AK665">
        <v>0.54912566656095296</v>
      </c>
      <c r="AL665">
        <v>82.243675502279999</v>
      </c>
      <c r="AM665">
        <v>87.717735500677307</v>
      </c>
      <c r="AN665">
        <v>0.99999996659583701</v>
      </c>
    </row>
    <row r="666" spans="1:40" x14ac:dyDescent="0.25">
      <c r="A666" t="str">
        <f>"20190303170238966"</f>
        <v>20190303170238966</v>
      </c>
      <c r="B666" t="str">
        <f>"1551603758956084"</f>
        <v>1551603758956084</v>
      </c>
      <c r="C666" t="s">
        <v>40</v>
      </c>
      <c r="D666">
        <v>4.3163529999999897</v>
      </c>
      <c r="E666">
        <v>0.55191749999999995</v>
      </c>
      <c r="F666" t="s">
        <v>43</v>
      </c>
      <c r="G666">
        <v>-357.88679999999999</v>
      </c>
      <c r="H666">
        <v>0.94071649999999996</v>
      </c>
      <c r="I666">
        <v>367.56439999999998</v>
      </c>
      <c r="J666">
        <v>-358.41789999999997</v>
      </c>
      <c r="K666">
        <v>1.1208290000000001</v>
      </c>
      <c r="L666">
        <v>367.69490000000002</v>
      </c>
      <c r="M666">
        <v>0.99996169999999995</v>
      </c>
      <c r="N666">
        <v>-8.7441580000000001E-3</v>
      </c>
      <c r="O666">
        <v>-3.6599199999999999E-4</v>
      </c>
      <c r="P666">
        <v>0.99117549999999999</v>
      </c>
      <c r="Q666">
        <v>0.1263765</v>
      </c>
      <c r="R666">
        <v>-4.0000899999999999E-2</v>
      </c>
      <c r="S666">
        <v>3.0934750000000002</v>
      </c>
      <c r="T666">
        <v>-0.67859480000000005</v>
      </c>
      <c r="U666">
        <v>-0.4910583</v>
      </c>
      <c r="V666">
        <v>3.9637600000000002E-2</v>
      </c>
      <c r="W666">
        <v>0.13503879999999999</v>
      </c>
      <c r="X666">
        <v>0.99004720000000002</v>
      </c>
      <c r="Y666">
        <v>0.1527328</v>
      </c>
      <c r="Z666">
        <v>-1.7059870000000001E-2</v>
      </c>
      <c r="AA666">
        <v>0.98812029999999995</v>
      </c>
      <c r="AB666">
        <v>30</v>
      </c>
      <c r="AC666">
        <v>0.53109999999998003</v>
      </c>
      <c r="AD666">
        <v>-0.18011250000000001</v>
      </c>
      <c r="AE666">
        <v>-0.13050000000004</v>
      </c>
      <c r="AF666">
        <v>0.117555389837754</v>
      </c>
      <c r="AG666">
        <v>-0.18011250000000001</v>
      </c>
      <c r="AH666">
        <v>0.47917568874315303</v>
      </c>
      <c r="AI666">
        <v>110.054851982588</v>
      </c>
      <c r="AJ666">
        <v>76.215951914179499</v>
      </c>
      <c r="AK666">
        <v>0.525232446654462</v>
      </c>
      <c r="AL666">
        <v>82.239136783315104</v>
      </c>
      <c r="AM666">
        <v>87.707326545304895</v>
      </c>
      <c r="AN666">
        <v>1.0000000375335101</v>
      </c>
    </row>
    <row r="667" spans="1:40" x14ac:dyDescent="0.25">
      <c r="A667" t="str">
        <f>"20190303170238980"</f>
        <v>20190303170238980</v>
      </c>
      <c r="B667" t="str">
        <f>"1551603758966820"</f>
        <v>1551603758966820</v>
      </c>
      <c r="C667" t="s">
        <v>40</v>
      </c>
      <c r="D667">
        <v>4.345567</v>
      </c>
      <c r="E667">
        <v>0.55186279999999999</v>
      </c>
      <c r="F667" t="s">
        <v>43</v>
      </c>
      <c r="G667">
        <v>-357.61410000000001</v>
      </c>
      <c r="H667">
        <v>0.94426969999999999</v>
      </c>
      <c r="I667">
        <v>367.56720000000001</v>
      </c>
      <c r="J667">
        <v>-358.23200000000003</v>
      </c>
      <c r="K667">
        <v>1.120835</v>
      </c>
      <c r="L667">
        <v>367.69490000000002</v>
      </c>
      <c r="M667">
        <v>0.99996169999999995</v>
      </c>
      <c r="N667">
        <v>-8.7533550000000009E-3</v>
      </c>
      <c r="O667">
        <v>-3.4546449999999998E-4</v>
      </c>
      <c r="P667">
        <v>0.99114029999999997</v>
      </c>
      <c r="Q667">
        <v>0.12667519999999999</v>
      </c>
      <c r="R667">
        <v>-3.9932490000000001E-2</v>
      </c>
      <c r="S667">
        <v>3.0935359999999998</v>
      </c>
      <c r="T667">
        <v>-0.6795175</v>
      </c>
      <c r="U667">
        <v>-0.49084470000000002</v>
      </c>
      <c r="V667">
        <v>3.9587650000000002E-2</v>
      </c>
      <c r="W667">
        <v>0.1353473</v>
      </c>
      <c r="X667">
        <v>0.99000699999999997</v>
      </c>
      <c r="Y667">
        <v>0.15267459999999999</v>
      </c>
      <c r="Z667">
        <v>-1.7079859999999999E-2</v>
      </c>
      <c r="AA667">
        <v>0.98812889999999998</v>
      </c>
      <c r="AB667">
        <v>30</v>
      </c>
      <c r="AC667">
        <v>0.61789999999996303</v>
      </c>
      <c r="AD667">
        <v>-0.17656530000000001</v>
      </c>
      <c r="AE667">
        <v>-0.127700000000004</v>
      </c>
      <c r="AF667">
        <v>0.11822822083573301</v>
      </c>
      <c r="AG667">
        <v>-0.17656530000000001</v>
      </c>
      <c r="AH667">
        <v>0.57306786830237699</v>
      </c>
      <c r="AI667">
        <v>106.791221605065</v>
      </c>
      <c r="AJ667">
        <v>78.342997298623601</v>
      </c>
      <c r="AK667">
        <v>0.611195548942156</v>
      </c>
      <c r="AL667">
        <v>82.221296702940606</v>
      </c>
      <c r="AM667">
        <v>87.710119740160707</v>
      </c>
      <c r="AN667">
        <v>0.99999996684940495</v>
      </c>
    </row>
    <row r="668" spans="1:40" x14ac:dyDescent="0.25">
      <c r="A668" t="str">
        <f>"20190303170239000"</f>
        <v>20190303170239000</v>
      </c>
      <c r="B668" t="str">
        <f>"1551603758986341"</f>
        <v>1551603758986341</v>
      </c>
      <c r="C668" t="s">
        <v>40</v>
      </c>
      <c r="D668">
        <v>4.3333180000000002</v>
      </c>
      <c r="E668">
        <v>0.55176999999999998</v>
      </c>
      <c r="F668" t="s">
        <v>43</v>
      </c>
      <c r="G668">
        <v>-357.34980000000002</v>
      </c>
      <c r="H668">
        <v>0.92723699999999998</v>
      </c>
      <c r="I668">
        <v>367.55509999999998</v>
      </c>
      <c r="J668">
        <v>-357.96359999999999</v>
      </c>
      <c r="K668">
        <v>1.120844</v>
      </c>
      <c r="L668">
        <v>367.69490000000002</v>
      </c>
      <c r="M668">
        <v>0.99996169999999995</v>
      </c>
      <c r="N668">
        <v>-8.7609369999999999E-3</v>
      </c>
      <c r="O668">
        <v>-3.0869330000000001E-4</v>
      </c>
      <c r="P668">
        <v>0.99106329999999998</v>
      </c>
      <c r="Q668">
        <v>0.12736649999999999</v>
      </c>
      <c r="R668">
        <v>-3.9640250000000002E-2</v>
      </c>
      <c r="S668">
        <v>3.093842</v>
      </c>
      <c r="T668">
        <v>-0.67885299999999904</v>
      </c>
      <c r="U668">
        <v>-0.49041750000000001</v>
      </c>
      <c r="V668">
        <v>3.932923E-2</v>
      </c>
      <c r="W668">
        <v>0.13604550000000001</v>
      </c>
      <c r="X668">
        <v>0.98992159999999996</v>
      </c>
      <c r="Y668">
        <v>0.15257190000000001</v>
      </c>
      <c r="Z668">
        <v>-1.705945E-2</v>
      </c>
      <c r="AA668">
        <v>0.9881451</v>
      </c>
      <c r="AB668">
        <v>30</v>
      </c>
      <c r="AC668">
        <v>0.61379999999996904</v>
      </c>
      <c r="AD668">
        <v>-0.193606999999999</v>
      </c>
      <c r="AE668">
        <v>-0.13980000000003601</v>
      </c>
      <c r="AF668">
        <v>0.127546476147676</v>
      </c>
      <c r="AG668">
        <v>-0.193606999999999</v>
      </c>
      <c r="AH668">
        <v>0.56079966879918697</v>
      </c>
      <c r="AI668">
        <v>108.605131033521</v>
      </c>
      <c r="AJ668">
        <v>77.186795879119998</v>
      </c>
      <c r="AK668">
        <v>0.60683444410478904</v>
      </c>
      <c r="AL668">
        <v>82.180919342413603</v>
      </c>
      <c r="AM668">
        <v>87.724855796171795</v>
      </c>
      <c r="AN668">
        <v>0.99999997027459997</v>
      </c>
    </row>
    <row r="669" spans="1:40" x14ac:dyDescent="0.25">
      <c r="A669" t="str">
        <f>"20190303170239012"</f>
        <v>20190303170239012</v>
      </c>
      <c r="B669" t="str">
        <f>"1551603759006836"</f>
        <v>1551603759006836</v>
      </c>
      <c r="C669" t="s">
        <v>40</v>
      </c>
      <c r="D669">
        <v>4.3187110000000004</v>
      </c>
      <c r="E669">
        <v>0.55168689999999998</v>
      </c>
      <c r="F669" t="s">
        <v>43</v>
      </c>
      <c r="G669">
        <v>-357.07769999999999</v>
      </c>
      <c r="H669">
        <v>0.92687870000000006</v>
      </c>
      <c r="I669">
        <v>367.55439999999999</v>
      </c>
      <c r="J669">
        <v>-357.77510000000001</v>
      </c>
      <c r="K669">
        <v>1.120849</v>
      </c>
      <c r="L669">
        <v>367.69479999999999</v>
      </c>
      <c r="M669">
        <v>0.99996160000000001</v>
      </c>
      <c r="N669">
        <v>-8.7634400000000008E-3</v>
      </c>
      <c r="O669">
        <v>-2.7872969999999999E-4</v>
      </c>
      <c r="P669">
        <v>0.99105010000000004</v>
      </c>
      <c r="Q669">
        <v>0.1275136</v>
      </c>
      <c r="R669">
        <v>-3.9500439999999998E-2</v>
      </c>
      <c r="S669">
        <v>3.0945740000000002</v>
      </c>
      <c r="T669">
        <v>-0.67775649999999998</v>
      </c>
      <c r="U669">
        <v>-0.48913570000000001</v>
      </c>
      <c r="V669">
        <v>3.921707E-2</v>
      </c>
      <c r="W669">
        <v>0.13619579999999901</v>
      </c>
      <c r="X669">
        <v>0.98990540000000005</v>
      </c>
      <c r="Y669">
        <v>0.15218760000000001</v>
      </c>
      <c r="Z669">
        <v>-1.6993649999999999E-2</v>
      </c>
      <c r="AA669">
        <v>0.98820560000000002</v>
      </c>
      <c r="AB669">
        <v>30</v>
      </c>
      <c r="AC669">
        <v>0.69740000000001501</v>
      </c>
      <c r="AD669">
        <v>-0.19397029999999901</v>
      </c>
      <c r="AE669">
        <v>-0.140399999999999</v>
      </c>
      <c r="AF669">
        <v>0.13050332126779801</v>
      </c>
      <c r="AG669">
        <v>-0.19397029999999901</v>
      </c>
      <c r="AH669">
        <v>0.64917606242008197</v>
      </c>
      <c r="AI669">
        <v>106.327106540598</v>
      </c>
      <c r="AJ669">
        <v>78.6333799495184</v>
      </c>
      <c r="AK669">
        <v>0.68998924206342405</v>
      </c>
      <c r="AL669">
        <v>82.172227016879205</v>
      </c>
      <c r="AM669">
        <v>87.731300227067095</v>
      </c>
      <c r="AN669">
        <v>0.99999998773309196</v>
      </c>
    </row>
    <row r="670" spans="1:40" x14ac:dyDescent="0.25">
      <c r="A670" t="str">
        <f>"20190303170239027"</f>
        <v>20190303170239027</v>
      </c>
      <c r="B670" t="str">
        <f>"1551603759016596"</f>
        <v>1551603759016596</v>
      </c>
      <c r="C670" t="s">
        <v>40</v>
      </c>
      <c r="D670">
        <v>4.3452299999999999</v>
      </c>
      <c r="E670">
        <v>0.55163759999999995</v>
      </c>
      <c r="F670" t="s">
        <v>43</v>
      </c>
      <c r="G670">
        <v>-357.06119999999999</v>
      </c>
      <c r="H670">
        <v>0.96442369999999999</v>
      </c>
      <c r="I670">
        <v>367.58179999999999</v>
      </c>
      <c r="J670">
        <v>-357.59879999999998</v>
      </c>
      <c r="K670">
        <v>1.1208530000000001</v>
      </c>
      <c r="L670">
        <v>367.69479999999999</v>
      </c>
      <c r="M670">
        <v>0.99996160000000001</v>
      </c>
      <c r="N670">
        <v>-8.7642290000000001E-3</v>
      </c>
      <c r="O670">
        <v>-2.468646E-4</v>
      </c>
      <c r="P670">
        <v>0.99103739999999996</v>
      </c>
      <c r="Q670">
        <v>0.1277423</v>
      </c>
      <c r="R670">
        <v>-3.9079179999999998E-2</v>
      </c>
      <c r="S670">
        <v>3.0949399999999998</v>
      </c>
      <c r="T670">
        <v>-0.67843069999999905</v>
      </c>
      <c r="U670">
        <v>-0.4880371</v>
      </c>
      <c r="V670">
        <v>3.8826289999999999E-2</v>
      </c>
      <c r="W670">
        <v>0.13642580000000001</v>
      </c>
      <c r="X670">
        <v>0.98988909999999997</v>
      </c>
      <c r="Y670">
        <v>0.15185950000000001</v>
      </c>
      <c r="Z670">
        <v>-1.6977929999999999E-2</v>
      </c>
      <c r="AA670">
        <v>0.98825629999999998</v>
      </c>
      <c r="AB670">
        <v>30</v>
      </c>
      <c r="AC670">
        <v>0.53759999999999697</v>
      </c>
      <c r="AD670">
        <v>-0.15642929999999999</v>
      </c>
      <c r="AE670">
        <v>-0.112999999999999</v>
      </c>
      <c r="AF670">
        <v>0.10440183016186</v>
      </c>
      <c r="AG670">
        <v>-0.15642929999999999</v>
      </c>
      <c r="AH670">
        <v>0.49730387870599702</v>
      </c>
      <c r="AI670">
        <v>107.110673145014</v>
      </c>
      <c r="AJ670">
        <v>78.143750288626194</v>
      </c>
      <c r="AK670">
        <v>0.53167754872259199</v>
      </c>
      <c r="AL670">
        <v>82.158924568096793</v>
      </c>
      <c r="AM670">
        <v>87.753846554826794</v>
      </c>
      <c r="AN670">
        <v>0.99999995499980598</v>
      </c>
    </row>
    <row r="671" spans="1:40" x14ac:dyDescent="0.25">
      <c r="A671" t="str">
        <f>"20190303170239040"</f>
        <v>20190303170239040</v>
      </c>
      <c r="B671" t="str">
        <f>"1551603759026356"</f>
        <v>1551603759026356</v>
      </c>
      <c r="C671" t="s">
        <v>40</v>
      </c>
      <c r="D671">
        <v>4.350168</v>
      </c>
      <c r="E671">
        <v>0.55157999999999996</v>
      </c>
      <c r="F671" t="s">
        <v>43</v>
      </c>
      <c r="G671">
        <v>-356.79719999999998</v>
      </c>
      <c r="H671">
        <v>0.94530239999999999</v>
      </c>
      <c r="I671">
        <v>367.5686</v>
      </c>
      <c r="J671">
        <v>-357.41520000000003</v>
      </c>
      <c r="K671">
        <v>1.1208579999999999</v>
      </c>
      <c r="L671">
        <v>367.69479999999999</v>
      </c>
      <c r="M671">
        <v>0.99996160000000001</v>
      </c>
      <c r="N671">
        <v>-8.7638960000000002E-3</v>
      </c>
      <c r="O671">
        <v>-2.1154109999999999E-4</v>
      </c>
      <c r="P671">
        <v>0.99104420000000004</v>
      </c>
      <c r="Q671">
        <v>0.12783900000000001</v>
      </c>
      <c r="R671">
        <v>-3.8586839999999997E-2</v>
      </c>
      <c r="S671">
        <v>3.0953059999999999</v>
      </c>
      <c r="T671">
        <v>-0.67798780000000003</v>
      </c>
      <c r="U671">
        <v>-0.48651119999999998</v>
      </c>
      <c r="V671">
        <v>3.8367610000000003E-2</v>
      </c>
      <c r="W671">
        <v>0.13652220000000001</v>
      </c>
      <c r="X671">
        <v>0.98989369999999999</v>
      </c>
      <c r="Y671">
        <v>0.151416</v>
      </c>
      <c r="Z671">
        <v>-1.6923810000000001E-2</v>
      </c>
      <c r="AA671">
        <v>0.98832520000000001</v>
      </c>
      <c r="AB671">
        <v>30</v>
      </c>
      <c r="AC671">
        <v>0.61800000000005095</v>
      </c>
      <c r="AD671">
        <v>-0.17555559999999901</v>
      </c>
      <c r="AE671">
        <v>-0.12619999999998299</v>
      </c>
      <c r="AF671">
        <v>0.11700535621232</v>
      </c>
      <c r="AG671">
        <v>-0.17555559999999901</v>
      </c>
      <c r="AH671">
        <v>0.57359289973883598</v>
      </c>
      <c r="AI671">
        <v>106.693325488019</v>
      </c>
      <c r="AJ671">
        <v>78.470597993272193</v>
      </c>
      <c r="AK671">
        <v>0.611161874387251</v>
      </c>
      <c r="AL671">
        <v>82.153349135517601</v>
      </c>
      <c r="AM671">
        <v>87.780365418377301</v>
      </c>
      <c r="AN671">
        <v>0.99999996094482002</v>
      </c>
    </row>
    <row r="672" spans="1:40" x14ac:dyDescent="0.25">
      <c r="A672" t="str">
        <f>"20190303170239055"</f>
        <v>20190303170239055</v>
      </c>
      <c r="B672" t="str">
        <f>"1551603759046852"</f>
        <v>1551603759046852</v>
      </c>
      <c r="C672" t="s">
        <v>40</v>
      </c>
      <c r="D672">
        <v>4.3705959999999999</v>
      </c>
      <c r="E672">
        <v>0.55148819999999998</v>
      </c>
      <c r="F672" t="s">
        <v>43</v>
      </c>
      <c r="G672">
        <v>-356.53179999999998</v>
      </c>
      <c r="H672">
        <v>0.92735610000000002</v>
      </c>
      <c r="I672">
        <v>367.55599999999998</v>
      </c>
      <c r="J672">
        <v>-357.20100000000002</v>
      </c>
      <c r="K672">
        <v>1.120859</v>
      </c>
      <c r="L672">
        <v>367.69479999999999</v>
      </c>
      <c r="M672">
        <v>0.99996160000000001</v>
      </c>
      <c r="N672">
        <v>-8.7614919999999992E-3</v>
      </c>
      <c r="O672">
        <v>-1.677464E-4</v>
      </c>
      <c r="P672">
        <v>0.99102420000000002</v>
      </c>
      <c r="Q672">
        <v>0.1281101</v>
      </c>
      <c r="R672">
        <v>-3.8196479999999998E-2</v>
      </c>
      <c r="S672">
        <v>3.0957340000000002</v>
      </c>
      <c r="T672">
        <v>-0.678226</v>
      </c>
      <c r="U672">
        <v>-0.48468020000000001</v>
      </c>
      <c r="V672">
        <v>3.8019820000000003E-2</v>
      </c>
      <c r="W672">
        <v>0.13679089999999999</v>
      </c>
      <c r="X672">
        <v>0.98987009999999998</v>
      </c>
      <c r="Y672">
        <v>0.15087799999999901</v>
      </c>
      <c r="Z672">
        <v>-1.6876470000000001E-2</v>
      </c>
      <c r="AA672">
        <v>0.98840830000000002</v>
      </c>
      <c r="AB672">
        <v>30</v>
      </c>
      <c r="AC672">
        <v>0.66919999999998903</v>
      </c>
      <c r="AD672">
        <v>-0.19350290000000001</v>
      </c>
      <c r="AE672">
        <v>-0.138800000000003</v>
      </c>
      <c r="AF672">
        <v>0.12839526782501701</v>
      </c>
      <c r="AG672">
        <v>-0.19350290000000001</v>
      </c>
      <c r="AH672">
        <v>0.619558029577711</v>
      </c>
      <c r="AI672">
        <v>107.004992122196</v>
      </c>
      <c r="AJ672">
        <v>78.291933605684406</v>
      </c>
      <c r="AK672">
        <v>0.66165011080062797</v>
      </c>
      <c r="AL672">
        <v>82.137808552628798</v>
      </c>
      <c r="AM672">
        <v>87.800413448437396</v>
      </c>
      <c r="AN672">
        <v>1.00000003595482</v>
      </c>
    </row>
    <row r="673" spans="1:40" x14ac:dyDescent="0.25">
      <c r="A673" t="str">
        <f>"20190303170239067"</f>
        <v>20190303170239067</v>
      </c>
      <c r="B673" t="str">
        <f>"1551603759056614"</f>
        <v>1551603759056614</v>
      </c>
      <c r="C673" t="s">
        <v>40</v>
      </c>
      <c r="D673">
        <v>4.3628559999999998</v>
      </c>
      <c r="E673">
        <v>0.55143929999999997</v>
      </c>
      <c r="F673" t="s">
        <v>43</v>
      </c>
      <c r="G673">
        <v>-356.26280000000003</v>
      </c>
      <c r="H673">
        <v>0.91547480000000003</v>
      </c>
      <c r="I673">
        <v>367.54829999999998</v>
      </c>
      <c r="J673">
        <v>-357.03140000000002</v>
      </c>
      <c r="K673">
        <v>1.12086</v>
      </c>
      <c r="L673">
        <v>367.69479999999999</v>
      </c>
      <c r="M673">
        <v>0.99996169999999995</v>
      </c>
      <c r="N673">
        <v>-8.7577869999999995E-3</v>
      </c>
      <c r="O673">
        <v>-1.3087489999999999E-4</v>
      </c>
      <c r="P673">
        <v>0.99100460000000001</v>
      </c>
      <c r="Q673">
        <v>0.12827369999999999</v>
      </c>
      <c r="R673">
        <v>-3.8157650000000001E-2</v>
      </c>
      <c r="S673">
        <v>3.0962519999999998</v>
      </c>
      <c r="T673">
        <v>-0.67786789999999997</v>
      </c>
      <c r="U673">
        <v>-0.4829407</v>
      </c>
      <c r="V673">
        <v>3.8016689999999999E-2</v>
      </c>
      <c r="W673">
        <v>0.13695109999999999</v>
      </c>
      <c r="X673">
        <v>0.98984799999999995</v>
      </c>
      <c r="Y673">
        <v>0.1503632</v>
      </c>
      <c r="Z673">
        <v>-1.6815790000000001E-2</v>
      </c>
      <c r="AA673">
        <v>0.98848780000000003</v>
      </c>
      <c r="AB673">
        <v>31</v>
      </c>
      <c r="AC673">
        <v>0.76859999999999196</v>
      </c>
      <c r="AD673">
        <v>-0.20538519999999999</v>
      </c>
      <c r="AE673">
        <v>-0.14650000000000299</v>
      </c>
      <c r="AF673">
        <v>0.13696227113377599</v>
      </c>
      <c r="AG673">
        <v>-0.20538519999999999</v>
      </c>
      <c r="AH673">
        <v>0.71907278033399802</v>
      </c>
      <c r="AI673">
        <v>105.673099312239</v>
      </c>
      <c r="AJ673">
        <v>79.216007598303193</v>
      </c>
      <c r="AK673">
        <v>0.76026798400986695</v>
      </c>
      <c r="AL673">
        <v>82.128542025938998</v>
      </c>
      <c r="AM673">
        <v>87.800545295460296</v>
      </c>
      <c r="AN673">
        <v>0.99999996780688205</v>
      </c>
    </row>
    <row r="674" spans="1:40" x14ac:dyDescent="0.25">
      <c r="A674" t="str">
        <f>"20190303170239080"</f>
        <v>20190303170239080</v>
      </c>
      <c r="B674" t="str">
        <f>"1551603759066372"</f>
        <v>1551603759066372</v>
      </c>
      <c r="C674" t="s">
        <v>40</v>
      </c>
      <c r="D674">
        <v>4.346946</v>
      </c>
      <c r="E674">
        <v>0.55136790000000002</v>
      </c>
      <c r="F674" t="s">
        <v>43</v>
      </c>
      <c r="G674">
        <v>-356.24860000000001</v>
      </c>
      <c r="H674">
        <v>0.94956039999999997</v>
      </c>
      <c r="I674">
        <v>367.5727</v>
      </c>
      <c r="J674">
        <v>-356.87699999999899</v>
      </c>
      <c r="K674">
        <v>1.120859</v>
      </c>
      <c r="L674">
        <v>367.69479999999999</v>
      </c>
      <c r="M674">
        <v>0.99996169999999995</v>
      </c>
      <c r="N674">
        <v>-8.7541900000000002E-3</v>
      </c>
      <c r="O674" s="1">
        <v>-9.6987870000000005E-5</v>
      </c>
      <c r="P674">
        <v>0.9909905</v>
      </c>
      <c r="Q674">
        <v>0.128396699999999</v>
      </c>
      <c r="R674">
        <v>-3.8106370000000001E-2</v>
      </c>
      <c r="S674">
        <v>3.0963750000000001</v>
      </c>
      <c r="T674">
        <v>-0.67766029999999999</v>
      </c>
      <c r="U674">
        <v>-0.48254390000000003</v>
      </c>
      <c r="V674">
        <v>3.7998629999999999E-2</v>
      </c>
      <c r="W674">
        <v>0.13707059999999999</v>
      </c>
      <c r="X674">
        <v>0.98983220000000005</v>
      </c>
      <c r="Y674">
        <v>0.15027099999999999</v>
      </c>
      <c r="Z674">
        <v>-1.680688E-2</v>
      </c>
      <c r="AA674">
        <v>0.98850199999999999</v>
      </c>
      <c r="AB674">
        <v>31</v>
      </c>
      <c r="AC674">
        <v>0.628399999999942</v>
      </c>
      <c r="AD674">
        <v>-0.1712986</v>
      </c>
      <c r="AE674">
        <v>-0.122099999999989</v>
      </c>
      <c r="AF674">
        <v>0.113884401390804</v>
      </c>
      <c r="AG674">
        <v>-0.1712986</v>
      </c>
      <c r="AH674">
        <v>0.58642136466485695</v>
      </c>
      <c r="AI674">
        <v>106.000301963759</v>
      </c>
      <c r="AJ674">
        <v>79.009825945322504</v>
      </c>
      <c r="AK674">
        <v>0.62145223805011396</v>
      </c>
      <c r="AL674">
        <v>82.121630368366596</v>
      </c>
      <c r="AM674">
        <v>87.801554073619499</v>
      </c>
      <c r="AN674">
        <v>1.00000001471153</v>
      </c>
    </row>
    <row r="675" spans="1:40" x14ac:dyDescent="0.25">
      <c r="A675" t="str">
        <f>"20190303170239091"</f>
        <v>20190303170239091</v>
      </c>
      <c r="B675" t="str">
        <f>"1551603759086868"</f>
        <v>1551603759086868</v>
      </c>
      <c r="C675" t="s">
        <v>40</v>
      </c>
      <c r="D675">
        <v>4.386609</v>
      </c>
      <c r="E675">
        <v>0.55125959999999996</v>
      </c>
      <c r="F675" t="s">
        <v>43</v>
      </c>
      <c r="G675">
        <v>-355.98480000000001</v>
      </c>
      <c r="H675">
        <v>0.92558370000000001</v>
      </c>
      <c r="I675">
        <v>367.55549999999999</v>
      </c>
      <c r="J675">
        <v>-356.69279999999998</v>
      </c>
      <c r="K675">
        <v>1.1208610000000001</v>
      </c>
      <c r="L675">
        <v>367.69490000000002</v>
      </c>
      <c r="M675">
        <v>0.99996180000000001</v>
      </c>
      <c r="N675">
        <v>-8.7494249999999999E-3</v>
      </c>
      <c r="O675" s="1">
        <v>-5.5825300000000002E-5</v>
      </c>
      <c r="P675">
        <v>0.99101130000000004</v>
      </c>
      <c r="Q675">
        <v>0.1282257</v>
      </c>
      <c r="R675">
        <v>-3.8142469999999998E-2</v>
      </c>
      <c r="S675">
        <v>3.0965579999999999</v>
      </c>
      <c r="T675">
        <v>-0.67782449999999905</v>
      </c>
      <c r="U675">
        <v>-0.48178100000000001</v>
      </c>
      <c r="V675">
        <v>3.8075119999999997E-2</v>
      </c>
      <c r="W675">
        <v>0.1368953</v>
      </c>
      <c r="X675">
        <v>0.98985350000000005</v>
      </c>
      <c r="Y675">
        <v>0.1500677</v>
      </c>
      <c r="Z675">
        <v>-1.6795419999999998E-2</v>
      </c>
      <c r="AA675">
        <v>0.98853310000000005</v>
      </c>
      <c r="AB675">
        <v>31</v>
      </c>
      <c r="AC675">
        <v>0.70799999999996899</v>
      </c>
      <c r="AD675">
        <v>-0.19527729999999999</v>
      </c>
      <c r="AE675">
        <v>-0.13940000000002301</v>
      </c>
      <c r="AF675">
        <v>0.12985084113359399</v>
      </c>
      <c r="AG675">
        <v>-0.19527729999999999</v>
      </c>
      <c r="AH675">
        <v>0.65969498603497301</v>
      </c>
      <c r="AI675">
        <v>106.19533687736499</v>
      </c>
      <c r="AJ675">
        <v>78.864558178369407</v>
      </c>
      <c r="AK675">
        <v>0.700137086175326</v>
      </c>
      <c r="AL675">
        <v>82.131769741126703</v>
      </c>
      <c r="AM675">
        <v>87.797180384574602</v>
      </c>
      <c r="AN675">
        <v>0.99999999469367695</v>
      </c>
    </row>
    <row r="676" spans="1:40" x14ac:dyDescent="0.25">
      <c r="A676" t="str">
        <f>"20190303170239105"</f>
        <v>20190303170239105</v>
      </c>
      <c r="B676" t="str">
        <f>"1551603759096627"</f>
        <v>1551603759096627</v>
      </c>
      <c r="C676" t="s">
        <v>40</v>
      </c>
      <c r="D676">
        <v>4.3816490000000003</v>
      </c>
      <c r="E676">
        <v>0.55121849999999994</v>
      </c>
      <c r="F676" t="s">
        <v>43</v>
      </c>
      <c r="G676">
        <v>-355.96890000000002</v>
      </c>
      <c r="H676">
        <v>0.96202639999999995</v>
      </c>
      <c r="I676">
        <v>367.58190000000002</v>
      </c>
      <c r="J676">
        <v>-356.52890000000002</v>
      </c>
      <c r="K676">
        <v>1.120857</v>
      </c>
      <c r="L676">
        <v>367.69490000000002</v>
      </c>
      <c r="M676">
        <v>0.99996189999999996</v>
      </c>
      <c r="N676">
        <v>-8.7440460000000001E-3</v>
      </c>
      <c r="O676" s="1">
        <v>-1.865853E-5</v>
      </c>
      <c r="P676">
        <v>0.99100429999999995</v>
      </c>
      <c r="Q676">
        <v>0.1282201</v>
      </c>
      <c r="R676">
        <v>-3.8347739999999998E-2</v>
      </c>
      <c r="S676">
        <v>3.0966490000000002</v>
      </c>
      <c r="T676">
        <v>-0.67958809999999903</v>
      </c>
      <c r="U676">
        <v>-0.48098750000000001</v>
      </c>
      <c r="V676">
        <v>3.8316589999999998E-2</v>
      </c>
      <c r="W676">
        <v>0.13688400000000001</v>
      </c>
      <c r="X676">
        <v>0.9898458</v>
      </c>
      <c r="Y676">
        <v>0.14983920000000001</v>
      </c>
      <c r="Z676">
        <v>-1.6817929999999998E-2</v>
      </c>
      <c r="AA676">
        <v>0.98856739999999999</v>
      </c>
      <c r="AB676">
        <v>31</v>
      </c>
      <c r="AC676">
        <v>0.56000000000000205</v>
      </c>
      <c r="AD676">
        <v>-0.15883059999999899</v>
      </c>
      <c r="AE676">
        <v>-0.112999999999999</v>
      </c>
      <c r="AF676">
        <v>0.104882507134423</v>
      </c>
      <c r="AG676">
        <v>-0.15883059999999899</v>
      </c>
      <c r="AH676">
        <v>0.51982174201543696</v>
      </c>
      <c r="AI676">
        <v>106.673615237082</v>
      </c>
      <c r="AJ676">
        <v>78.592791748328906</v>
      </c>
      <c r="AK676">
        <v>0.55357216627204597</v>
      </c>
      <c r="AL676">
        <v>82.132423767348399</v>
      </c>
      <c r="AM676">
        <v>87.783206908419302</v>
      </c>
      <c r="AN676">
        <v>1.00000004915143</v>
      </c>
    </row>
    <row r="677" spans="1:40" x14ac:dyDescent="0.25">
      <c r="A677" t="str">
        <f>"20190303170239120"</f>
        <v>20190303170239120</v>
      </c>
      <c r="B677" t="str">
        <f>"1551603759106390"</f>
        <v>1551603759106390</v>
      </c>
      <c r="C677" t="s">
        <v>40</v>
      </c>
      <c r="D677">
        <v>4.3732939999999996</v>
      </c>
      <c r="E677">
        <v>0.55116180000000004</v>
      </c>
      <c r="F677" t="s">
        <v>43</v>
      </c>
      <c r="G677">
        <v>-355.70420000000001</v>
      </c>
      <c r="H677">
        <v>0.93973459999999998</v>
      </c>
      <c r="I677">
        <v>367.56670000000003</v>
      </c>
      <c r="J677">
        <v>-356.32229999999998</v>
      </c>
      <c r="K677">
        <v>1.120857</v>
      </c>
      <c r="L677">
        <v>367.69490000000002</v>
      </c>
      <c r="M677">
        <v>0.99996189999999996</v>
      </c>
      <c r="N677">
        <v>-8.7364739999999993E-3</v>
      </c>
      <c r="O677" s="1">
        <v>2.8233760000000001E-5</v>
      </c>
      <c r="P677">
        <v>0.99101139999999999</v>
      </c>
      <c r="Q677">
        <v>0.12812460000000001</v>
      </c>
      <c r="R677">
        <v>-3.8477869999999997E-2</v>
      </c>
      <c r="S677">
        <v>3.0966490000000002</v>
      </c>
      <c r="T677">
        <v>-0.68012259999999902</v>
      </c>
      <c r="U677">
        <v>-0.48074339999999999</v>
      </c>
      <c r="V677">
        <v>3.8493119999999999E-2</v>
      </c>
      <c r="W677">
        <v>0.1367815</v>
      </c>
      <c r="X677">
        <v>0.98985310000000004</v>
      </c>
      <c r="Y677">
        <v>0.14980389999999999</v>
      </c>
      <c r="Z677">
        <v>-1.6835619999999999E-2</v>
      </c>
      <c r="AA677">
        <v>0.98857240000000002</v>
      </c>
      <c r="AB677">
        <v>31</v>
      </c>
      <c r="AC677">
        <v>0.61809999999996901</v>
      </c>
      <c r="AD677">
        <v>-0.18112239999999999</v>
      </c>
      <c r="AE677">
        <v>-0.12819999999999199</v>
      </c>
      <c r="AF677">
        <v>0.118464773112573</v>
      </c>
      <c r="AG677">
        <v>-0.18112239999999999</v>
      </c>
      <c r="AH677">
        <v>0.57108175477285905</v>
      </c>
      <c r="AI677">
        <v>107.251947177105</v>
      </c>
      <c r="AJ677">
        <v>78.280815895530907</v>
      </c>
      <c r="AK677">
        <v>0.61071564322917204</v>
      </c>
      <c r="AL677">
        <v>82.138352190693993</v>
      </c>
      <c r="AM677">
        <v>87.773020493022599</v>
      </c>
      <c r="AN677">
        <v>1.0000000293045901</v>
      </c>
    </row>
    <row r="678" spans="1:40" x14ac:dyDescent="0.25">
      <c r="A678" t="str">
        <f>"20190303170239134"</f>
        <v>20190303170239134</v>
      </c>
      <c r="B678" t="str">
        <f>"1551603759126884"</f>
        <v>1551603759126884</v>
      </c>
      <c r="C678" t="s">
        <v>40</v>
      </c>
      <c r="D678">
        <v>4.3495910000000002</v>
      </c>
      <c r="E678">
        <v>0.55104889999999995</v>
      </c>
      <c r="F678" t="s">
        <v>43</v>
      </c>
      <c r="G678">
        <v>-355.43490000000003</v>
      </c>
      <c r="H678">
        <v>0.92575629999999998</v>
      </c>
      <c r="I678">
        <v>367.55680000000001</v>
      </c>
      <c r="J678">
        <v>-356.1114</v>
      </c>
      <c r="K678">
        <v>1.1208560000000001</v>
      </c>
      <c r="L678">
        <v>367.69490000000002</v>
      </c>
      <c r="M678">
        <v>0.99996200000000002</v>
      </c>
      <c r="N678">
        <v>-8.7277699999999993E-3</v>
      </c>
      <c r="O678" s="1">
        <v>7.6142200000000004E-5</v>
      </c>
      <c r="P678">
        <v>0.99096810000000002</v>
      </c>
      <c r="Q678">
        <v>0.12825710000000001</v>
      </c>
      <c r="R678">
        <v>-3.9142650000000001E-2</v>
      </c>
      <c r="S678">
        <v>3.0965880000000001</v>
      </c>
      <c r="T678">
        <v>-0.68092319999999995</v>
      </c>
      <c r="U678">
        <v>-0.4807129</v>
      </c>
      <c r="V678">
        <v>3.92051E-2</v>
      </c>
      <c r="W678">
        <v>0.13690479999999899</v>
      </c>
      <c r="X678">
        <v>0.98980809999999997</v>
      </c>
      <c r="Y678">
        <v>0.14983460000000001</v>
      </c>
      <c r="Z678">
        <v>-1.6867279999999998E-2</v>
      </c>
      <c r="AA678">
        <v>0.98856719999999998</v>
      </c>
      <c r="AB678">
        <v>31</v>
      </c>
      <c r="AC678">
        <v>0.67649999999997501</v>
      </c>
      <c r="AD678">
        <v>-0.19509969999999899</v>
      </c>
      <c r="AE678">
        <v>-0.13810000000000799</v>
      </c>
      <c r="AF678">
        <v>0.12793645841933801</v>
      </c>
      <c r="AG678">
        <v>-0.19509969999999899</v>
      </c>
      <c r="AH678">
        <v>0.62646921077262696</v>
      </c>
      <c r="AI678">
        <v>106.968504168057</v>
      </c>
      <c r="AJ678">
        <v>78.457863829942895</v>
      </c>
      <c r="AK678">
        <v>0.668502283002124</v>
      </c>
      <c r="AL678">
        <v>82.131220454011299</v>
      </c>
      <c r="AM678">
        <v>87.731769249370302</v>
      </c>
      <c r="AN678">
        <v>1.00000001947732</v>
      </c>
    </row>
    <row r="679" spans="1:40" x14ac:dyDescent="0.25">
      <c r="A679" t="str">
        <f>"20190303170239149"</f>
        <v>20190303170239149</v>
      </c>
      <c r="B679" t="str">
        <f>"1551603759136644"</f>
        <v>1551603759136644</v>
      </c>
      <c r="C679" t="s">
        <v>40</v>
      </c>
      <c r="D679">
        <v>4.3776469999999996</v>
      </c>
      <c r="E679">
        <v>0.55099679999999995</v>
      </c>
      <c r="F679" t="s">
        <v>43</v>
      </c>
      <c r="G679">
        <v>-355.41629999999998</v>
      </c>
      <c r="H679">
        <v>0.96793430000000003</v>
      </c>
      <c r="I679">
        <v>367.58629999999999</v>
      </c>
      <c r="J679">
        <v>-355.92419999999998</v>
      </c>
      <c r="K679">
        <v>1.1208560000000001</v>
      </c>
      <c r="L679">
        <v>367.69499999999999</v>
      </c>
      <c r="M679">
        <v>0.99996200000000002</v>
      </c>
      <c r="N679">
        <v>-8.7199559999999992E-3</v>
      </c>
      <c r="O679">
        <v>1.185014E-4</v>
      </c>
      <c r="P679">
        <v>0.99095820000000001</v>
      </c>
      <c r="Q679">
        <v>0.12826499999999999</v>
      </c>
      <c r="R679">
        <v>-3.937334E-2</v>
      </c>
      <c r="S679">
        <v>3.0964659999999999</v>
      </c>
      <c r="T679">
        <v>-0.68132689999999996</v>
      </c>
      <c r="U679">
        <v>-0.48220829999999998</v>
      </c>
      <c r="V679">
        <v>3.9477320000000003E-2</v>
      </c>
      <c r="W679">
        <v>0.13690529999999901</v>
      </c>
      <c r="X679">
        <v>0.98979720000000004</v>
      </c>
      <c r="Y679">
        <v>0.150331399999999</v>
      </c>
      <c r="Z679">
        <v>-1.6940839999999999E-2</v>
      </c>
      <c r="AA679">
        <v>0.98849050000000005</v>
      </c>
      <c r="AB679">
        <v>31</v>
      </c>
      <c r="AC679">
        <v>0.50790000000000601</v>
      </c>
      <c r="AD679">
        <v>-0.15292169999999899</v>
      </c>
      <c r="AE679">
        <v>-0.10869999999999801</v>
      </c>
      <c r="AF679">
        <v>0.10008460253359899</v>
      </c>
      <c r="AG679">
        <v>-0.15292169999999899</v>
      </c>
      <c r="AH679">
        <v>0.46737396078399301</v>
      </c>
      <c r="AI679">
        <v>107.741549834011</v>
      </c>
      <c r="AJ679">
        <v>77.913091514176898</v>
      </c>
      <c r="AK679">
        <v>0.50183701857686402</v>
      </c>
      <c r="AL679">
        <v>82.131191447246394</v>
      </c>
      <c r="AM679">
        <v>87.716011320899895</v>
      </c>
      <c r="AN679">
        <v>1.0000000085451499</v>
      </c>
    </row>
    <row r="680" spans="1:40" x14ac:dyDescent="0.25">
      <c r="A680" t="str">
        <f>"20190303170239162"</f>
        <v>20190303170239162</v>
      </c>
      <c r="B680" t="str">
        <f>"1551603759156164"</f>
        <v>1551603759156164</v>
      </c>
      <c r="C680" t="s">
        <v>40</v>
      </c>
      <c r="D680">
        <v>4.3716689999999998</v>
      </c>
      <c r="E680">
        <v>0.55088970000000004</v>
      </c>
      <c r="F680" t="s">
        <v>43</v>
      </c>
      <c r="G680">
        <v>-355.14870000000002</v>
      </c>
      <c r="H680">
        <v>0.95010879999999998</v>
      </c>
      <c r="I680">
        <v>367.57400000000001</v>
      </c>
      <c r="J680">
        <v>-355.72559999999999</v>
      </c>
      <c r="K680">
        <v>1.1208499999999999</v>
      </c>
      <c r="L680">
        <v>367.69510000000002</v>
      </c>
      <c r="M680">
        <v>0.99996220000000002</v>
      </c>
      <c r="N680">
        <v>-8.712104E-3</v>
      </c>
      <c r="O680">
        <v>1.6336399999999999E-4</v>
      </c>
      <c r="P680">
        <v>0.99088529999999997</v>
      </c>
      <c r="Q680">
        <v>0.1288272</v>
      </c>
      <c r="R680">
        <v>-3.9375670000000002E-2</v>
      </c>
      <c r="S680">
        <v>3.0964360000000002</v>
      </c>
      <c r="T680">
        <v>-0.6818031</v>
      </c>
      <c r="U680">
        <v>-0.48226930000000001</v>
      </c>
      <c r="V680">
        <v>3.9523849999999999E-2</v>
      </c>
      <c r="W680">
        <v>0.13745879999999999</v>
      </c>
      <c r="X680">
        <v>0.9897186</v>
      </c>
      <c r="Y680">
        <v>0.15038899999999999</v>
      </c>
      <c r="Z680">
        <v>-1.6967300000000001E-2</v>
      </c>
      <c r="AA680">
        <v>0.98848130000000001</v>
      </c>
      <c r="AB680">
        <v>31</v>
      </c>
      <c r="AC680">
        <v>0.576899999999966</v>
      </c>
      <c r="AD680">
        <v>-0.17074119999999901</v>
      </c>
      <c r="AE680">
        <v>-0.121100000000012</v>
      </c>
      <c r="AF680">
        <v>0.11181339724110501</v>
      </c>
      <c r="AG680">
        <v>-0.17074119999999901</v>
      </c>
      <c r="AH680">
        <v>0.53222770607487602</v>
      </c>
      <c r="AI680">
        <v>107.42975000849</v>
      </c>
      <c r="AJ680">
        <v>78.135521504733504</v>
      </c>
      <c r="AK680">
        <v>0.57001852978106005</v>
      </c>
      <c r="AL680">
        <v>82.099175337450205</v>
      </c>
      <c r="AM680">
        <v>87.713140743181299</v>
      </c>
      <c r="AN680">
        <v>0.99999998180111105</v>
      </c>
    </row>
    <row r="681" spans="1:40" x14ac:dyDescent="0.25">
      <c r="A681" t="str">
        <f>"20190303170239177"</f>
        <v>20190303170239177</v>
      </c>
      <c r="B681" t="str">
        <f>"1551603759166900"</f>
        <v>1551603759166900</v>
      </c>
      <c r="C681" t="s">
        <v>40</v>
      </c>
      <c r="D681">
        <v>4.3524019999999997</v>
      </c>
      <c r="E681">
        <v>0.55084250000000001</v>
      </c>
      <c r="F681" t="s">
        <v>43</v>
      </c>
      <c r="G681">
        <v>-354.87920000000003</v>
      </c>
      <c r="H681">
        <v>0.93486389999999997</v>
      </c>
      <c r="I681">
        <v>367.56279999999998</v>
      </c>
      <c r="J681">
        <v>-355.53050000000002</v>
      </c>
      <c r="K681">
        <v>1.120843</v>
      </c>
      <c r="L681">
        <v>367.69510000000002</v>
      </c>
      <c r="M681">
        <v>0.99996229999999997</v>
      </c>
      <c r="N681">
        <v>-8.704659E-3</v>
      </c>
      <c r="O681">
        <v>2.072706E-4</v>
      </c>
      <c r="P681">
        <v>0.99088399999999999</v>
      </c>
      <c r="Q681">
        <v>0.12872690000000001</v>
      </c>
      <c r="R681">
        <v>-3.9731519999999999E-2</v>
      </c>
      <c r="S681">
        <v>3.0969540000000002</v>
      </c>
      <c r="T681">
        <v>-0.68071839999999995</v>
      </c>
      <c r="U681">
        <v>-0.48175050000000003</v>
      </c>
      <c r="V681">
        <v>3.9923090000000001E-2</v>
      </c>
      <c r="W681">
        <v>0.1373511</v>
      </c>
      <c r="X681">
        <v>0.98971750000000003</v>
      </c>
      <c r="Y681">
        <v>0.15026010000000001</v>
      </c>
      <c r="Z681">
        <v>-1.6933549999999999E-2</v>
      </c>
      <c r="AA681">
        <v>0.98850150000000003</v>
      </c>
      <c r="AB681">
        <v>31</v>
      </c>
      <c r="AC681">
        <v>0.651299999999992</v>
      </c>
      <c r="AD681">
        <v>-0.18597909999999901</v>
      </c>
      <c r="AE681">
        <v>-0.13230000000004299</v>
      </c>
      <c r="AF681">
        <v>0.122817418119941</v>
      </c>
      <c r="AG681">
        <v>-0.18597909999999901</v>
      </c>
      <c r="AH681">
        <v>0.60397641217970499</v>
      </c>
      <c r="AI681">
        <v>106.791131435606</v>
      </c>
      <c r="AJ681">
        <v>78.505736441601201</v>
      </c>
      <c r="AK681">
        <v>0.64378556235747297</v>
      </c>
      <c r="AL681">
        <v>82.105404960882495</v>
      </c>
      <c r="AM681">
        <v>87.690062956231799</v>
      </c>
      <c r="AN681">
        <v>0.99999995379630302</v>
      </c>
    </row>
    <row r="682" spans="1:40" x14ac:dyDescent="0.25">
      <c r="A682" t="str">
        <f>"20190303170239190"</f>
        <v>20190303170239190</v>
      </c>
      <c r="B682" t="str">
        <f>"1551603759176660"</f>
        <v>1551603759176660</v>
      </c>
      <c r="C682" t="s">
        <v>40</v>
      </c>
      <c r="D682">
        <v>4.3731589999999896</v>
      </c>
      <c r="E682">
        <v>0.55079129999999998</v>
      </c>
      <c r="F682" t="s">
        <v>43</v>
      </c>
      <c r="G682">
        <v>-354.60919999999999</v>
      </c>
      <c r="H682">
        <v>0.9181376</v>
      </c>
      <c r="I682">
        <v>367.55160000000001</v>
      </c>
      <c r="J682">
        <v>-355.34690000000001</v>
      </c>
      <c r="K682">
        <v>1.1208419999999999</v>
      </c>
      <c r="L682">
        <v>367.6952</v>
      </c>
      <c r="M682">
        <v>0.99996220000000002</v>
      </c>
      <c r="N682">
        <v>-8.6970290000000002E-3</v>
      </c>
      <c r="O682">
        <v>2.4873339999999998E-4</v>
      </c>
      <c r="P682">
        <v>0.99088100000000001</v>
      </c>
      <c r="Q682">
        <v>0.12872210000000001</v>
      </c>
      <c r="R682">
        <v>-3.9820979999999999E-2</v>
      </c>
      <c r="S682">
        <v>3.0968019999999998</v>
      </c>
      <c r="T682">
        <v>-0.68146479999999998</v>
      </c>
      <c r="U682">
        <v>-0.48211670000000001</v>
      </c>
      <c r="V682">
        <v>4.0053369999999998E-2</v>
      </c>
      <c r="W682">
        <v>0.13733879999999901</v>
      </c>
      <c r="X682">
        <v>0.98971399999999998</v>
      </c>
      <c r="Y682">
        <v>0.15041019999999999</v>
      </c>
      <c r="Z682">
        <v>-1.697655E-2</v>
      </c>
      <c r="AA682">
        <v>0.98847790000000002</v>
      </c>
      <c r="AB682">
        <v>31</v>
      </c>
      <c r="AC682">
        <v>0.73770000000001701</v>
      </c>
      <c r="AD682">
        <v>-0.20270440000000001</v>
      </c>
      <c r="AE682">
        <v>-0.14359999999999201</v>
      </c>
      <c r="AF682">
        <v>0.13403300599957499</v>
      </c>
      <c r="AG682">
        <v>-0.20270440000000001</v>
      </c>
      <c r="AH682">
        <v>0.68764053325015495</v>
      </c>
      <c r="AI682">
        <v>106.137132870625</v>
      </c>
      <c r="AJ682">
        <v>78.970358269848305</v>
      </c>
      <c r="AK682">
        <v>0.729317093893459</v>
      </c>
      <c r="AL682">
        <v>82.106116888914499</v>
      </c>
      <c r="AM682">
        <v>87.682525016512699</v>
      </c>
      <c r="AN682">
        <v>1.00000001011489</v>
      </c>
    </row>
    <row r="683" spans="1:40" x14ac:dyDescent="0.25">
      <c r="A683" t="str">
        <f>"20190303170239201"</f>
        <v>20190303170239201</v>
      </c>
      <c r="B683" t="str">
        <f>"1551603759186420"</f>
        <v>1551603759186420</v>
      </c>
      <c r="C683" t="s">
        <v>40</v>
      </c>
      <c r="D683">
        <v>4.3421810000000001</v>
      </c>
      <c r="E683">
        <v>0.55073119999999998</v>
      </c>
      <c r="F683" t="s">
        <v>43</v>
      </c>
      <c r="G683">
        <v>-354.59359999999998</v>
      </c>
      <c r="H683">
        <v>0.955013</v>
      </c>
      <c r="I683">
        <v>367.57780000000002</v>
      </c>
      <c r="J683">
        <v>-355.2022</v>
      </c>
      <c r="K683">
        <v>1.120841</v>
      </c>
      <c r="L683">
        <v>367.69529999999997</v>
      </c>
      <c r="M683">
        <v>0.99996220000000002</v>
      </c>
      <c r="N683">
        <v>-8.6908119999999991E-3</v>
      </c>
      <c r="O683">
        <v>2.8130780000000001E-4</v>
      </c>
      <c r="P683">
        <v>0.99084760000000005</v>
      </c>
      <c r="Q683">
        <v>0.12898860000000001</v>
      </c>
      <c r="R683">
        <v>-3.9782199999999997E-2</v>
      </c>
      <c r="S683">
        <v>3.0968019999999998</v>
      </c>
      <c r="T683">
        <v>-0.68171859999999995</v>
      </c>
      <c r="U683">
        <v>-0.4822998</v>
      </c>
      <c r="V683">
        <v>4.0046900000000003E-2</v>
      </c>
      <c r="W683">
        <v>0.1375991</v>
      </c>
      <c r="X683">
        <v>0.98967810000000001</v>
      </c>
      <c r="Y683">
        <v>0.15049419999999999</v>
      </c>
      <c r="Z683">
        <v>-1.6998159999999998E-2</v>
      </c>
      <c r="AA683">
        <v>0.98846480000000003</v>
      </c>
      <c r="AB683">
        <v>31</v>
      </c>
      <c r="AC683">
        <v>0.60860000000002301</v>
      </c>
      <c r="AD683">
        <v>-0.165828</v>
      </c>
      <c r="AE683">
        <v>-0.11749999999994901</v>
      </c>
      <c r="AF683">
        <v>0.10981150565959601</v>
      </c>
      <c r="AG683">
        <v>-0.165828</v>
      </c>
      <c r="AH683">
        <v>0.56791845947589004</v>
      </c>
      <c r="AI683">
        <v>105.996678925498</v>
      </c>
      <c r="AJ683">
        <v>79.056459209195793</v>
      </c>
      <c r="AK683">
        <v>0.60173820634283703</v>
      </c>
      <c r="AL683">
        <v>82.091059799100506</v>
      </c>
      <c r="AM683">
        <v>87.682815000668896</v>
      </c>
      <c r="AN683">
        <v>1.0000000040700101</v>
      </c>
    </row>
    <row r="684" spans="1:40" x14ac:dyDescent="0.25">
      <c r="A684" t="str">
        <f>"20190303170239211"</f>
        <v>20190303170239211</v>
      </c>
      <c r="B684" t="str">
        <f>"1551603759206917"</f>
        <v>1551603759206917</v>
      </c>
      <c r="C684" t="s">
        <v>40</v>
      </c>
      <c r="D684">
        <v>4.3447800000000001</v>
      </c>
      <c r="E684">
        <v>0.55062619999999995</v>
      </c>
      <c r="F684" t="s">
        <v>43</v>
      </c>
      <c r="G684">
        <v>-354.3279</v>
      </c>
      <c r="H684">
        <v>0.92858560000000001</v>
      </c>
      <c r="I684">
        <v>367.55900000000003</v>
      </c>
      <c r="J684">
        <v>-355.0471</v>
      </c>
      <c r="K684">
        <v>1.120843</v>
      </c>
      <c r="L684">
        <v>367.69540000000001</v>
      </c>
      <c r="M684">
        <v>0.99996229999999997</v>
      </c>
      <c r="N684">
        <v>-8.6839480000000004E-3</v>
      </c>
      <c r="O684">
        <v>3.1609040000000002E-4</v>
      </c>
      <c r="P684">
        <v>0.99090089999999997</v>
      </c>
      <c r="Q684">
        <v>0.12857060000000001</v>
      </c>
      <c r="R684">
        <v>-3.9815379999999997E-2</v>
      </c>
      <c r="S684">
        <v>3.0970460000000002</v>
      </c>
      <c r="T684">
        <v>-0.68106940000000005</v>
      </c>
      <c r="U684">
        <v>-0.48175050000000003</v>
      </c>
      <c r="V684">
        <v>4.0114280000000002E-2</v>
      </c>
      <c r="W684">
        <v>0.13717489999999999</v>
      </c>
      <c r="X684">
        <v>0.98973420000000001</v>
      </c>
      <c r="Y684">
        <v>0.1503555</v>
      </c>
      <c r="Z684">
        <v>-1.697301E-2</v>
      </c>
      <c r="AA684">
        <v>0.98848630000000004</v>
      </c>
      <c r="AB684">
        <v>31</v>
      </c>
      <c r="AC684">
        <v>0.71919999999999995</v>
      </c>
      <c r="AD684">
        <v>-0.19225739999999999</v>
      </c>
      <c r="AE684">
        <v>-0.13639999999998001</v>
      </c>
      <c r="AF684">
        <v>0.12781099664061699</v>
      </c>
      <c r="AG684">
        <v>-0.19225739999999999</v>
      </c>
      <c r="AH684">
        <v>0.67275083823221404</v>
      </c>
      <c r="AI684">
        <v>105.682415924259</v>
      </c>
      <c r="AJ684">
        <v>79.242991571037507</v>
      </c>
      <c r="AK684">
        <v>0.71126102737263297</v>
      </c>
      <c r="AL684">
        <v>82.115596899806604</v>
      </c>
      <c r="AM684">
        <v>87.679051953564098</v>
      </c>
      <c r="AN684">
        <v>0.99999994764978195</v>
      </c>
    </row>
    <row r="685" spans="1:40" x14ac:dyDescent="0.25">
      <c r="A685" t="str">
        <f>"20190303170239222"</f>
        <v>20190303170239222</v>
      </c>
      <c r="B685" t="str">
        <f>"1551603759216676"</f>
        <v>1551603759216676</v>
      </c>
      <c r="C685" t="s">
        <v>40</v>
      </c>
      <c r="D685">
        <v>4.3376679999999999</v>
      </c>
      <c r="E685">
        <v>0.55056919999999898</v>
      </c>
      <c r="F685" t="s">
        <v>43</v>
      </c>
      <c r="G685">
        <v>-354.31439999999998</v>
      </c>
      <c r="H685">
        <v>0.95930499999999996</v>
      </c>
      <c r="I685">
        <v>367.58109999999999</v>
      </c>
      <c r="J685">
        <v>-354.89780000000002</v>
      </c>
      <c r="K685">
        <v>1.1208450000000001</v>
      </c>
      <c r="L685">
        <v>367.69540000000001</v>
      </c>
      <c r="M685">
        <v>0.99996229999999997</v>
      </c>
      <c r="N685">
        <v>-8.6775519999999998E-3</v>
      </c>
      <c r="O685">
        <v>3.494994E-4</v>
      </c>
      <c r="P685">
        <v>0.99085590000000001</v>
      </c>
      <c r="Q685">
        <v>0.12902269999999999</v>
      </c>
      <c r="R685">
        <v>-3.9469160000000003E-2</v>
      </c>
      <c r="S685">
        <v>3.0967709999999999</v>
      </c>
      <c r="T685">
        <v>-0.68273539999999999</v>
      </c>
      <c r="U685">
        <v>-0.48178100000000001</v>
      </c>
      <c r="V685">
        <v>3.9800990000000001E-2</v>
      </c>
      <c r="W685">
        <v>0.1376204</v>
      </c>
      <c r="X685">
        <v>0.98968509999999998</v>
      </c>
      <c r="Y685">
        <v>0.15039179999999999</v>
      </c>
      <c r="Z685">
        <v>-1.7023980000000001E-2</v>
      </c>
      <c r="AA685">
        <v>0.98847989999999997</v>
      </c>
      <c r="AB685">
        <v>31</v>
      </c>
      <c r="AC685">
        <v>0.58340000000004</v>
      </c>
      <c r="AD685">
        <v>-0.16153999999999999</v>
      </c>
      <c r="AE685">
        <v>-0.114300000000014</v>
      </c>
      <c r="AF685">
        <v>0.106630699588615</v>
      </c>
      <c r="AG685">
        <v>-0.16153999999999999</v>
      </c>
      <c r="AH685">
        <v>0.54324863395148304</v>
      </c>
      <c r="AI685">
        <v>106.26679138033801</v>
      </c>
      <c r="AJ685">
        <v>78.894967301137399</v>
      </c>
      <c r="AK685">
        <v>0.57670127101031199</v>
      </c>
      <c r="AL685">
        <v>82.089828004921301</v>
      </c>
      <c r="AM685">
        <v>87.697044695189206</v>
      </c>
      <c r="AN685">
        <v>1.00000004523157</v>
      </c>
    </row>
    <row r="686" spans="1:40" x14ac:dyDescent="0.25">
      <c r="A686" t="str">
        <f>"20190303170239234"</f>
        <v>20190303170239234</v>
      </c>
      <c r="B686" t="str">
        <f>"1551603759226436"</f>
        <v>1551603759226436</v>
      </c>
      <c r="C686" t="s">
        <v>40</v>
      </c>
      <c r="D686">
        <v>4.3197039999999998</v>
      </c>
      <c r="E686">
        <v>0.55052889999999999</v>
      </c>
      <c r="F686" t="s">
        <v>43</v>
      </c>
      <c r="G686">
        <v>-354.04790000000003</v>
      </c>
      <c r="H686">
        <v>0.93388459999999995</v>
      </c>
      <c r="I686">
        <v>367.56330000000003</v>
      </c>
      <c r="J686">
        <v>-354.72910000000002</v>
      </c>
      <c r="K686">
        <v>1.1208450000000001</v>
      </c>
      <c r="L686">
        <v>367.69549999999998</v>
      </c>
      <c r="M686">
        <v>0.99996240000000003</v>
      </c>
      <c r="N686">
        <v>-8.670423E-3</v>
      </c>
      <c r="O686">
        <v>3.8726279999999998E-4</v>
      </c>
      <c r="P686">
        <v>0.99086079999999999</v>
      </c>
      <c r="Q686">
        <v>0.12905030000000001</v>
      </c>
      <c r="R686">
        <v>-3.925932E-2</v>
      </c>
      <c r="S686">
        <v>3.0972599999999999</v>
      </c>
      <c r="T686">
        <v>-0.68145359999999999</v>
      </c>
      <c r="U686">
        <v>-0.48052980000000001</v>
      </c>
      <c r="V686">
        <v>3.9628480000000001E-2</v>
      </c>
      <c r="W686">
        <v>0.1376407</v>
      </c>
      <c r="X686">
        <v>0.98968920000000005</v>
      </c>
      <c r="Y686">
        <v>0.15003759999999999</v>
      </c>
      <c r="Z686">
        <v>-1.6959370000000001E-2</v>
      </c>
      <c r="AA686">
        <v>0.98853480000000005</v>
      </c>
      <c r="AB686">
        <v>31</v>
      </c>
      <c r="AC686">
        <v>0.68119999999998904</v>
      </c>
      <c r="AD686">
        <v>-0.1869604</v>
      </c>
      <c r="AE686">
        <v>-0.13219999999995399</v>
      </c>
      <c r="AF686">
        <v>0.12349868505598</v>
      </c>
      <c r="AG686">
        <v>-0.1869604</v>
      </c>
      <c r="AH686">
        <v>0.63504876725137405</v>
      </c>
      <c r="AI686">
        <v>106.118727047562</v>
      </c>
      <c r="AJ686">
        <v>78.994982959881597</v>
      </c>
      <c r="AK686">
        <v>0.67341892842881002</v>
      </c>
      <c r="AL686">
        <v>82.088653729194306</v>
      </c>
      <c r="AM686">
        <v>87.707025238698407</v>
      </c>
      <c r="AN686">
        <v>1.0000000456601099</v>
      </c>
    </row>
    <row r="687" spans="1:40" x14ac:dyDescent="0.25">
      <c r="A687" t="str">
        <f>"20190303170239245"</f>
        <v>20190303170239245</v>
      </c>
      <c r="B687" t="str">
        <f>"1551603759236196"</f>
        <v>1551603759236196</v>
      </c>
      <c r="C687" t="s">
        <v>40</v>
      </c>
      <c r="D687">
        <v>4.3097949999999896</v>
      </c>
      <c r="E687">
        <v>0.55046700000000004</v>
      </c>
      <c r="F687" t="s">
        <v>43</v>
      </c>
      <c r="G687">
        <v>-354.03280000000001</v>
      </c>
      <c r="H687">
        <v>0.96756900000000001</v>
      </c>
      <c r="I687">
        <v>367.58769999999998</v>
      </c>
      <c r="J687">
        <v>-354.58120000000002</v>
      </c>
      <c r="K687">
        <v>1.120844</v>
      </c>
      <c r="L687">
        <v>367.69560000000001</v>
      </c>
      <c r="M687">
        <v>0.99996240000000003</v>
      </c>
      <c r="N687">
        <v>-8.6649689999999998E-3</v>
      </c>
      <c r="O687">
        <v>4.2030920000000002E-4</v>
      </c>
      <c r="P687">
        <v>0.99085760000000001</v>
      </c>
      <c r="Q687">
        <v>0.1290452</v>
      </c>
      <c r="R687">
        <v>-3.9351169999999998E-2</v>
      </c>
      <c r="S687">
        <v>3.0975039999999998</v>
      </c>
      <c r="T687">
        <v>-0.6819923</v>
      </c>
      <c r="U687">
        <v>-0.47875980000000001</v>
      </c>
      <c r="V687">
        <v>3.9753169999999997E-2</v>
      </c>
      <c r="W687">
        <v>0.13763029999999901</v>
      </c>
      <c r="X687">
        <v>0.98968560000000005</v>
      </c>
      <c r="Y687">
        <v>0.14951349999999999</v>
      </c>
      <c r="Z687">
        <v>-1.6918829999999999E-2</v>
      </c>
      <c r="AA687">
        <v>0.98861489999999996</v>
      </c>
      <c r="AB687">
        <v>31</v>
      </c>
      <c r="AC687">
        <v>0.54840000000001499</v>
      </c>
      <c r="AD687">
        <v>-0.153274999999999</v>
      </c>
      <c r="AE687">
        <v>-0.107900000000029</v>
      </c>
      <c r="AF687">
        <v>0.10056723658038801</v>
      </c>
      <c r="AG687">
        <v>-0.153274999999999</v>
      </c>
      <c r="AH687">
        <v>0.50999956838708105</v>
      </c>
      <c r="AI687">
        <v>106.428754145044</v>
      </c>
      <c r="AJ687">
        <v>78.844914037537905</v>
      </c>
      <c r="AK687">
        <v>0.54194700336234503</v>
      </c>
      <c r="AL687">
        <v>82.089254970614206</v>
      </c>
      <c r="AM687">
        <v>87.699809831543803</v>
      </c>
      <c r="AN687">
        <v>1.0000000004252401</v>
      </c>
    </row>
    <row r="688" spans="1:40" x14ac:dyDescent="0.25">
      <c r="A688" t="str">
        <f>"20190303170239257"</f>
        <v>20190303170239257</v>
      </c>
      <c r="B688" t="str">
        <f>"1551603759246932"</f>
        <v>1551603759246932</v>
      </c>
      <c r="C688" t="s">
        <v>40</v>
      </c>
      <c r="D688">
        <v>4.3172879999999996</v>
      </c>
      <c r="E688">
        <v>0.550421099999999</v>
      </c>
      <c r="F688" t="s">
        <v>43</v>
      </c>
      <c r="G688">
        <v>-353.7663</v>
      </c>
      <c r="H688">
        <v>0.94136609999999998</v>
      </c>
      <c r="I688">
        <v>367.56950000000001</v>
      </c>
      <c r="J688">
        <v>-354.41300000000001</v>
      </c>
      <c r="K688">
        <v>1.120843</v>
      </c>
      <c r="L688">
        <v>367.69569999999999</v>
      </c>
      <c r="M688">
        <v>0.99996260000000003</v>
      </c>
      <c r="N688">
        <v>-8.6590139999999996E-3</v>
      </c>
      <c r="O688">
        <v>4.5776859999999999E-4</v>
      </c>
      <c r="P688">
        <v>0.99088529999999997</v>
      </c>
      <c r="Q688">
        <v>0.12884229999999999</v>
      </c>
      <c r="R688">
        <v>-3.9319430000000002E-2</v>
      </c>
      <c r="S688">
        <v>3.097534</v>
      </c>
      <c r="T688">
        <v>-0.68237689999999995</v>
      </c>
      <c r="U688">
        <v>-0.47805789999999998</v>
      </c>
      <c r="V688">
        <v>3.9758469999999997E-2</v>
      </c>
      <c r="W688">
        <v>0.13742199999999999</v>
      </c>
      <c r="X688">
        <v>0.98971430000000005</v>
      </c>
      <c r="Y688">
        <v>0.14932999999999999</v>
      </c>
      <c r="Z688">
        <v>-1.691457E-2</v>
      </c>
      <c r="AA688">
        <v>0.98864280000000004</v>
      </c>
      <c r="AB688">
        <v>31</v>
      </c>
      <c r="AC688">
        <v>0.64670000000000905</v>
      </c>
      <c r="AD688">
        <v>-0.17947689999999999</v>
      </c>
      <c r="AE688">
        <v>-0.12619999999998299</v>
      </c>
      <c r="AF688">
        <v>0.117758814021761</v>
      </c>
      <c r="AG688">
        <v>-0.17947689999999999</v>
      </c>
      <c r="AH688">
        <v>0.60197786242640705</v>
      </c>
      <c r="AI688">
        <v>106.30944623054999</v>
      </c>
      <c r="AJ688">
        <v>78.931581645679699</v>
      </c>
      <c r="AK688">
        <v>0.63910597146708703</v>
      </c>
      <c r="AL688">
        <v>82.101303920154805</v>
      </c>
      <c r="AM688">
        <v>87.699570132182203</v>
      </c>
      <c r="AN688">
        <v>0.99999996882261499</v>
      </c>
    </row>
    <row r="689" spans="1:40" x14ac:dyDescent="0.25">
      <c r="A689" t="str">
        <f>"20190303170239269"</f>
        <v>20190303170239269</v>
      </c>
      <c r="B689" t="str">
        <f>"1551603759256692"</f>
        <v>1551603759256692</v>
      </c>
      <c r="C689" t="s">
        <v>40</v>
      </c>
      <c r="D689">
        <v>4.3012009999999998</v>
      </c>
      <c r="E689">
        <v>0.55038580000000004</v>
      </c>
      <c r="F689" t="s">
        <v>43</v>
      </c>
      <c r="G689">
        <v>-353.49689999999998</v>
      </c>
      <c r="H689">
        <v>0.91874460000000002</v>
      </c>
      <c r="I689">
        <v>367.55439999999999</v>
      </c>
      <c r="J689">
        <v>-354.24590000000001</v>
      </c>
      <c r="K689">
        <v>1.120843</v>
      </c>
      <c r="L689">
        <v>367.69580000000002</v>
      </c>
      <c r="M689">
        <v>0.99996240000000003</v>
      </c>
      <c r="N689">
        <v>-8.6540030000000004E-3</v>
      </c>
      <c r="O689">
        <v>4.9540269999999995E-4</v>
      </c>
      <c r="P689">
        <v>0.99093690000000001</v>
      </c>
      <c r="Q689">
        <v>0.12855039999999901</v>
      </c>
      <c r="R689">
        <v>-3.8976810000000001E-2</v>
      </c>
      <c r="S689">
        <v>3.097534</v>
      </c>
      <c r="T689">
        <v>-0.68345699999999998</v>
      </c>
      <c r="U689">
        <v>-0.47714230000000002</v>
      </c>
      <c r="V689">
        <v>3.9452830000000001E-2</v>
      </c>
      <c r="W689">
        <v>0.13712539999999901</v>
      </c>
      <c r="X689">
        <v>0.98976770000000003</v>
      </c>
      <c r="Y689">
        <v>0.14907579999999901</v>
      </c>
      <c r="Z689">
        <v>-1.6918860000000001E-2</v>
      </c>
      <c r="AA689">
        <v>0.98868100000000003</v>
      </c>
      <c r="AB689">
        <v>31</v>
      </c>
      <c r="AC689">
        <v>0.74900000000002298</v>
      </c>
      <c r="AD689">
        <v>-0.20209839999999901</v>
      </c>
      <c r="AE689">
        <v>-0.141400000000032</v>
      </c>
      <c r="AF689">
        <v>0.13245921214829801</v>
      </c>
      <c r="AG689">
        <v>-0.20209839999999901</v>
      </c>
      <c r="AH689">
        <v>0.69973846136609497</v>
      </c>
      <c r="AI689">
        <v>105.84289209719999</v>
      </c>
      <c r="AJ689">
        <v>79.280848574633694</v>
      </c>
      <c r="AK689">
        <v>0.74028583701196005</v>
      </c>
      <c r="AL689">
        <v>82.118460517010107</v>
      </c>
      <c r="AM689">
        <v>87.717358748202699</v>
      </c>
      <c r="AN689">
        <v>1.00000000054172</v>
      </c>
    </row>
    <row r="690" spans="1:40" x14ac:dyDescent="0.25">
      <c r="A690" t="str">
        <f>"20190303170239282"</f>
        <v>20190303170239282</v>
      </c>
      <c r="B690" t="str">
        <f>"1551603759266452"</f>
        <v>1551603759266452</v>
      </c>
      <c r="C690" t="s">
        <v>40</v>
      </c>
      <c r="D690">
        <v>4.2879189999999996</v>
      </c>
      <c r="E690">
        <v>0.55034939999999999</v>
      </c>
      <c r="F690" t="s">
        <v>43</v>
      </c>
      <c r="G690">
        <v>-353.48270000000002</v>
      </c>
      <c r="H690">
        <v>0.95222949999999995</v>
      </c>
      <c r="I690">
        <v>367.57819999999998</v>
      </c>
      <c r="J690">
        <v>-354.07600000000002</v>
      </c>
      <c r="K690">
        <v>1.120841</v>
      </c>
      <c r="L690">
        <v>367.69600000000003</v>
      </c>
      <c r="M690">
        <v>0.99996240000000003</v>
      </c>
      <c r="N690">
        <v>-8.6496860000000002E-3</v>
      </c>
      <c r="O690">
        <v>5.3333160000000005E-4</v>
      </c>
      <c r="P690">
        <v>0.99093719999999996</v>
      </c>
      <c r="Q690">
        <v>0.128639</v>
      </c>
      <c r="R690">
        <v>-3.8672079999999998E-2</v>
      </c>
      <c r="S690">
        <v>3.0975039999999998</v>
      </c>
      <c r="T690">
        <v>-0.68446870000000004</v>
      </c>
      <c r="U690">
        <v>-0.47625729999999999</v>
      </c>
      <c r="V690">
        <v>3.9185820000000003E-2</v>
      </c>
      <c r="W690">
        <v>0.1372099</v>
      </c>
      <c r="X690">
        <v>0.98976660000000005</v>
      </c>
      <c r="Y690">
        <v>0.1488332</v>
      </c>
      <c r="Z690">
        <v>-1.692308E-2</v>
      </c>
      <c r="AA690">
        <v>0.98871750000000003</v>
      </c>
      <c r="AB690">
        <v>31</v>
      </c>
      <c r="AC690">
        <v>0.59329999999994198</v>
      </c>
      <c r="AD690">
        <v>-0.168611499999999</v>
      </c>
      <c r="AE690">
        <v>-0.117799999999988</v>
      </c>
      <c r="AF690">
        <v>0.10960023462426501</v>
      </c>
      <c r="AG690">
        <v>-0.168611499999999</v>
      </c>
      <c r="AH690">
        <v>0.55046473213039004</v>
      </c>
      <c r="AI690">
        <v>106.720838465216</v>
      </c>
      <c r="AJ690">
        <v>78.739388019501604</v>
      </c>
      <c r="AK690">
        <v>0.58604903436600397</v>
      </c>
      <c r="AL690">
        <v>82.113572850370304</v>
      </c>
      <c r="AM690">
        <v>87.732788580332297</v>
      </c>
      <c r="AN690">
        <v>1.0000000038113199</v>
      </c>
    </row>
    <row r="691" spans="1:40" x14ac:dyDescent="0.25">
      <c r="A691" t="str">
        <f>"20190303170239293"</f>
        <v>20190303170239293</v>
      </c>
      <c r="B691" t="str">
        <f>"1551603759286948"</f>
        <v>1551603759286948</v>
      </c>
      <c r="C691" t="s">
        <v>40</v>
      </c>
      <c r="D691">
        <v>4.2604829999999998</v>
      </c>
      <c r="E691">
        <v>0.55027939999999997</v>
      </c>
      <c r="F691" t="s">
        <v>43</v>
      </c>
      <c r="G691">
        <v>-353.21300000000002</v>
      </c>
      <c r="H691">
        <v>0.93029609999999996</v>
      </c>
      <c r="I691">
        <v>367.56319999999999</v>
      </c>
      <c r="J691">
        <v>-353.9024</v>
      </c>
      <c r="K691">
        <v>1.1208389999999999</v>
      </c>
      <c r="L691">
        <v>367.69600000000003</v>
      </c>
      <c r="M691">
        <v>0.99996249999999998</v>
      </c>
      <c r="N691">
        <v>-8.6459589999999999E-3</v>
      </c>
      <c r="O691">
        <v>5.7227109999999999E-4</v>
      </c>
      <c r="P691">
        <v>0.99096419999999996</v>
      </c>
      <c r="Q691">
        <v>0.12849859999999999</v>
      </c>
      <c r="R691">
        <v>-3.8447820000000001E-2</v>
      </c>
      <c r="S691">
        <v>3.0977169999999998</v>
      </c>
      <c r="T691">
        <v>-0.68419669999999999</v>
      </c>
      <c r="U691">
        <v>-0.4749756</v>
      </c>
      <c r="V691">
        <v>3.8999939999999997E-2</v>
      </c>
      <c r="W691">
        <v>0.13706589999999999</v>
      </c>
      <c r="X691">
        <v>0.9897939</v>
      </c>
      <c r="Y691">
        <v>0.14847279999999999</v>
      </c>
      <c r="Z691">
        <v>-1.6883289999999999E-2</v>
      </c>
      <c r="AA691">
        <v>0.98877230000000005</v>
      </c>
      <c r="AB691">
        <v>31</v>
      </c>
      <c r="AC691">
        <v>0.68939999999997703</v>
      </c>
      <c r="AD691">
        <v>-0.19054289999999999</v>
      </c>
      <c r="AE691">
        <v>-0.13279999999997399</v>
      </c>
      <c r="AF691">
        <v>0.12405675327071999</v>
      </c>
      <c r="AG691">
        <v>-0.19054289999999999</v>
      </c>
      <c r="AH691">
        <v>0.64203306159546303</v>
      </c>
      <c r="AI691">
        <v>106.24563146336899</v>
      </c>
      <c r="AJ691">
        <v>79.063805425787194</v>
      </c>
      <c r="AK691">
        <v>0.681104343661179</v>
      </c>
      <c r="AL691">
        <v>82.121902189990607</v>
      </c>
      <c r="AM691">
        <v>87.743594246165102</v>
      </c>
      <c r="AN691">
        <v>1.00000001037001</v>
      </c>
    </row>
    <row r="692" spans="1:40" x14ac:dyDescent="0.25">
      <c r="A692" t="str">
        <f>"20190303170239308"</f>
        <v>20190303170239308</v>
      </c>
      <c r="B692" t="str">
        <f>"1551603759296708"</f>
        <v>1551603759296708</v>
      </c>
      <c r="C692" t="s">
        <v>40</v>
      </c>
      <c r="D692">
        <v>4.2726759999999997</v>
      </c>
      <c r="E692">
        <v>0.55026009999999903</v>
      </c>
      <c r="F692" t="s">
        <v>43</v>
      </c>
      <c r="G692">
        <v>-353.19749999999999</v>
      </c>
      <c r="H692">
        <v>0.96507129999999997</v>
      </c>
      <c r="I692">
        <v>367.58769999999998</v>
      </c>
      <c r="J692">
        <v>-353.71260000000001</v>
      </c>
      <c r="K692">
        <v>1.1208419999999999</v>
      </c>
      <c r="L692">
        <v>367.69619999999998</v>
      </c>
      <c r="M692">
        <v>0.99996260000000003</v>
      </c>
      <c r="N692">
        <v>-8.6433120000000002E-3</v>
      </c>
      <c r="O692">
        <v>6.1478189999999999E-4</v>
      </c>
      <c r="P692">
        <v>0.99098839999999999</v>
      </c>
      <c r="Q692">
        <v>0.12833610000000001</v>
      </c>
      <c r="R692">
        <v>-3.8365990000000003E-2</v>
      </c>
      <c r="S692">
        <v>3.0977779999999999</v>
      </c>
      <c r="T692">
        <v>-0.68475140000000001</v>
      </c>
      <c r="U692">
        <v>-0.47439579999999998</v>
      </c>
      <c r="V692">
        <v>3.8960300000000003E-2</v>
      </c>
      <c r="W692">
        <v>0.13690099999999999</v>
      </c>
      <c r="X692">
        <v>0.98981830000000004</v>
      </c>
      <c r="Y692">
        <v>0.14832809999999999</v>
      </c>
      <c r="Z692">
        <v>-1.6888380000000001E-2</v>
      </c>
      <c r="AA692">
        <v>0.98879399999999995</v>
      </c>
      <c r="AB692">
        <v>31</v>
      </c>
      <c r="AC692">
        <v>0.51510000000001799</v>
      </c>
      <c r="AD692">
        <v>-0.15577070000000001</v>
      </c>
      <c r="AE692">
        <v>-0.10849999999999201</v>
      </c>
      <c r="AF692">
        <v>0.100055245961646</v>
      </c>
      <c r="AG692">
        <v>-0.15577070000000001</v>
      </c>
      <c r="AH692">
        <v>0.473565082437303</v>
      </c>
      <c r="AI692">
        <v>107.83959163199199</v>
      </c>
      <c r="AJ692">
        <v>78.069949917502001</v>
      </c>
      <c r="AK692">
        <v>0.50846774777441395</v>
      </c>
      <c r="AL692">
        <v>82.131440314102605</v>
      </c>
      <c r="AM692">
        <v>87.7459408255379</v>
      </c>
      <c r="AN692">
        <v>1.00000002789598</v>
      </c>
    </row>
    <row r="693" spans="1:40" x14ac:dyDescent="0.25">
      <c r="A693" t="str">
        <f>"20190303170239325"</f>
        <v>20190303170239325</v>
      </c>
      <c r="B693" t="str">
        <f>"1551603759316228"</f>
        <v>1551603759316228</v>
      </c>
      <c r="C693" t="s">
        <v>40</v>
      </c>
      <c r="D693">
        <v>4.2564129999999896</v>
      </c>
      <c r="E693">
        <v>0.55019940000000001</v>
      </c>
      <c r="F693" t="s">
        <v>43</v>
      </c>
      <c r="G693">
        <v>-352.92590000000001</v>
      </c>
      <c r="H693">
        <v>0.94683439999999996</v>
      </c>
      <c r="I693">
        <v>367.57580000000002</v>
      </c>
      <c r="J693">
        <v>-353.48399999999998</v>
      </c>
      <c r="K693">
        <v>1.120838</v>
      </c>
      <c r="L693">
        <v>367.69639999999998</v>
      </c>
      <c r="M693">
        <v>0.99996249999999998</v>
      </c>
      <c r="N693">
        <v>-8.6412260000000001E-3</v>
      </c>
      <c r="O693">
        <v>6.6599300000000003E-4</v>
      </c>
      <c r="P693">
        <v>0.99100809999999995</v>
      </c>
      <c r="Q693">
        <v>0.12822449999999999</v>
      </c>
      <c r="R693">
        <v>-3.8228360000000003E-2</v>
      </c>
      <c r="S693">
        <v>3.0976870000000001</v>
      </c>
      <c r="T693">
        <v>-0.68524810000000003</v>
      </c>
      <c r="U693">
        <v>-0.47378540000000002</v>
      </c>
      <c r="V693">
        <v>3.8873499999999998E-2</v>
      </c>
      <c r="W693">
        <v>0.13678760000000001</v>
      </c>
      <c r="X693">
        <v>0.98983730000000003</v>
      </c>
      <c r="Y693">
        <v>0.1481895</v>
      </c>
      <c r="Z693">
        <v>-1.6895449999999999E-2</v>
      </c>
      <c r="AA693">
        <v>0.98881470000000005</v>
      </c>
      <c r="AB693">
        <v>31</v>
      </c>
      <c r="AC693">
        <v>0.55810000000002402</v>
      </c>
      <c r="AD693">
        <v>-0.17400359999999901</v>
      </c>
      <c r="AE693">
        <v>-0.120599999999967</v>
      </c>
      <c r="AF693">
        <v>0.110691805163257</v>
      </c>
      <c r="AG693">
        <v>-0.17400359999999901</v>
      </c>
      <c r="AH693">
        <v>0.510600439069126</v>
      </c>
      <c r="AI693">
        <v>108.420136558232</v>
      </c>
      <c r="AJ693">
        <v>77.768263346713795</v>
      </c>
      <c r="AK693">
        <v>0.55067480142171399</v>
      </c>
      <c r="AL693">
        <v>82.137998651755893</v>
      </c>
      <c r="AM693">
        <v>87.751000627655301</v>
      </c>
      <c r="AN693">
        <v>0.99999993849364799</v>
      </c>
    </row>
    <row r="694" spans="1:40" x14ac:dyDescent="0.25">
      <c r="A694" t="str">
        <f>"20190303170239339"</f>
        <v>20190303170239339</v>
      </c>
      <c r="B694" t="str">
        <f>"1551603759326964"</f>
        <v>1551603759326964</v>
      </c>
      <c r="C694" t="s">
        <v>40</v>
      </c>
      <c r="D694">
        <v>4.2535769999999999</v>
      </c>
      <c r="E694">
        <v>0.55016779999999998</v>
      </c>
      <c r="F694" t="s">
        <v>43</v>
      </c>
      <c r="G694">
        <v>-352.65019999999998</v>
      </c>
      <c r="H694">
        <v>0.93631229999999999</v>
      </c>
      <c r="I694">
        <v>367.5686</v>
      </c>
      <c r="J694">
        <v>-353.27710000000002</v>
      </c>
      <c r="K694">
        <v>1.1208389999999999</v>
      </c>
      <c r="L694">
        <v>367.69659999999999</v>
      </c>
      <c r="M694">
        <v>0.99996240000000003</v>
      </c>
      <c r="N694">
        <v>-8.640455E-3</v>
      </c>
      <c r="O694">
        <v>7.1236979999999997E-4</v>
      </c>
      <c r="P694">
        <v>0.99100909999999998</v>
      </c>
      <c r="Q694">
        <v>0.128169899999999</v>
      </c>
      <c r="R694">
        <v>-3.8389380000000001E-2</v>
      </c>
      <c r="S694">
        <v>3.0976870000000001</v>
      </c>
      <c r="T694">
        <v>-0.68556709999999998</v>
      </c>
      <c r="U694">
        <v>-0.47341919999999998</v>
      </c>
      <c r="V694">
        <v>3.9080190000000001E-2</v>
      </c>
      <c r="W694">
        <v>0.136732399999999</v>
      </c>
      <c r="X694">
        <v>0.98983690000000002</v>
      </c>
      <c r="Y694">
        <v>0.14811849999999999</v>
      </c>
      <c r="Z694">
        <v>-1.6904590000000001E-2</v>
      </c>
      <c r="AA694">
        <v>0.98882510000000001</v>
      </c>
      <c r="AB694">
        <v>31</v>
      </c>
      <c r="AC694">
        <v>0.62690000000003399</v>
      </c>
      <c r="AD694">
        <v>-0.18452669999999999</v>
      </c>
      <c r="AE694">
        <v>-0.12799999999998499</v>
      </c>
      <c r="AF694">
        <v>0.118583585205397</v>
      </c>
      <c r="AG694">
        <v>-0.18452669999999999</v>
      </c>
      <c r="AH694">
        <v>0.57867810818166299</v>
      </c>
      <c r="AI694">
        <v>107.348007624872</v>
      </c>
      <c r="AJ694">
        <v>78.419190237274293</v>
      </c>
      <c r="AK694">
        <v>0.61885420139299696</v>
      </c>
      <c r="AL694">
        <v>82.141192255293006</v>
      </c>
      <c r="AM694">
        <v>87.739054185385996</v>
      </c>
      <c r="AN694">
        <v>1.0000000495309</v>
      </c>
    </row>
    <row r="695" spans="1:40" x14ac:dyDescent="0.25">
      <c r="A695" t="str">
        <f>"20190303170239351"</f>
        <v>20190303170239351</v>
      </c>
      <c r="B695" t="str">
        <f>"1551603759336724"</f>
        <v>1551603759336724</v>
      </c>
      <c r="C695" t="s">
        <v>40</v>
      </c>
      <c r="D695">
        <v>4.2166579999999998</v>
      </c>
      <c r="E695">
        <v>0.55014819999999998</v>
      </c>
      <c r="F695" t="s">
        <v>43</v>
      </c>
      <c r="G695">
        <v>-352.37549999999999</v>
      </c>
      <c r="H695">
        <v>0.92126479999999999</v>
      </c>
      <c r="I695">
        <v>367.55860000000001</v>
      </c>
      <c r="J695">
        <v>-353.09140000000002</v>
      </c>
      <c r="K695">
        <v>1.120841</v>
      </c>
      <c r="L695">
        <v>367.6968</v>
      </c>
      <c r="M695">
        <v>0.99996240000000003</v>
      </c>
      <c r="N695">
        <v>-8.6408170000000003E-3</v>
      </c>
      <c r="O695">
        <v>7.5432929999999997E-4</v>
      </c>
      <c r="P695">
        <v>0.99104700000000001</v>
      </c>
      <c r="Q695">
        <v>0.12789110000000001</v>
      </c>
      <c r="R695">
        <v>-3.8338709999999998E-2</v>
      </c>
      <c r="S695">
        <v>3.0975950000000001</v>
      </c>
      <c r="T695">
        <v>-0.68571419999999905</v>
      </c>
      <c r="U695">
        <v>-0.47378540000000002</v>
      </c>
      <c r="V695">
        <v>3.9071229999999998E-2</v>
      </c>
      <c r="W695">
        <v>0.1364542</v>
      </c>
      <c r="X695">
        <v>0.98987559999999997</v>
      </c>
      <c r="Y695">
        <v>0.14827219999999999</v>
      </c>
      <c r="Z695">
        <v>-1.6934520000000002E-2</v>
      </c>
      <c r="AA695">
        <v>0.98880159999999995</v>
      </c>
      <c r="AB695">
        <v>31</v>
      </c>
      <c r="AC695">
        <v>0.71590000000003295</v>
      </c>
      <c r="AD695">
        <v>-0.19957619999999901</v>
      </c>
      <c r="AE695">
        <v>-0.138199999999983</v>
      </c>
      <c r="AF695">
        <v>0.129069559080567</v>
      </c>
      <c r="AG695">
        <v>-0.19957619999999901</v>
      </c>
      <c r="AH695">
        <v>0.66590321336986502</v>
      </c>
      <c r="AI695">
        <v>106.395546040013</v>
      </c>
      <c r="AJ695">
        <v>79.030589622665403</v>
      </c>
      <c r="AK695">
        <v>0.70704787692489701</v>
      </c>
      <c r="AL695">
        <v>82.157282414386998</v>
      </c>
      <c r="AM695">
        <v>87.7396603011899</v>
      </c>
      <c r="AN695">
        <v>1.0000000065933501</v>
      </c>
    </row>
    <row r="696" spans="1:40" x14ac:dyDescent="0.25">
      <c r="A696" t="str">
        <f>"20190303170239366"</f>
        <v>20190303170239366</v>
      </c>
      <c r="B696" t="str">
        <f>"1551603759356245"</f>
        <v>1551603759356245</v>
      </c>
      <c r="C696" t="s">
        <v>40</v>
      </c>
      <c r="D696">
        <v>4.2176989999999996</v>
      </c>
      <c r="E696">
        <v>0.55009790000000003</v>
      </c>
      <c r="F696" t="s">
        <v>43</v>
      </c>
      <c r="G696">
        <v>-352.35939999999999</v>
      </c>
      <c r="H696">
        <v>0.95855990000000002</v>
      </c>
      <c r="I696">
        <v>367.5849</v>
      </c>
      <c r="J696">
        <v>-352.87979999999999</v>
      </c>
      <c r="K696">
        <v>1.1208419999999999</v>
      </c>
      <c r="L696">
        <v>367.697</v>
      </c>
      <c r="M696">
        <v>0.99996240000000003</v>
      </c>
      <c r="N696">
        <v>-8.642393E-3</v>
      </c>
      <c r="O696">
        <v>8.0164929999999998E-4</v>
      </c>
      <c r="P696">
        <v>0.99101490000000003</v>
      </c>
      <c r="Q696">
        <v>0.12827769999999999</v>
      </c>
      <c r="R696">
        <v>-3.787401E-2</v>
      </c>
      <c r="S696">
        <v>3.0974119999999998</v>
      </c>
      <c r="T696">
        <v>-0.68676289999999995</v>
      </c>
      <c r="U696">
        <v>-0.47326659999999998</v>
      </c>
      <c r="V696">
        <v>3.8653409999999999E-2</v>
      </c>
      <c r="W696">
        <v>0.13684199999999999</v>
      </c>
      <c r="X696">
        <v>0.98983849999999995</v>
      </c>
      <c r="Y696">
        <v>0.14815619999999999</v>
      </c>
      <c r="Z696">
        <v>-1.6956869999999999E-2</v>
      </c>
      <c r="AA696">
        <v>0.98881859999999999</v>
      </c>
      <c r="AB696">
        <v>31</v>
      </c>
      <c r="AC696">
        <v>0.52039999999999498</v>
      </c>
      <c r="AD696">
        <v>-0.16228210000000001</v>
      </c>
      <c r="AE696">
        <v>-0.112099999999941</v>
      </c>
      <c r="AF696">
        <v>0.10294976787971</v>
      </c>
      <c r="AG696">
        <v>-0.16228210000000001</v>
      </c>
      <c r="AH696">
        <v>0.47606774921898198</v>
      </c>
      <c r="AI696">
        <v>108.42698267177001</v>
      </c>
      <c r="AJ696">
        <v>77.7976686023394</v>
      </c>
      <c r="AK696">
        <v>0.51339520501590596</v>
      </c>
      <c r="AL696">
        <v>82.134852957925403</v>
      </c>
      <c r="AM696">
        <v>87.763723525856804</v>
      </c>
      <c r="AN696">
        <v>1.0000000375754301</v>
      </c>
    </row>
    <row r="697" spans="1:40" x14ac:dyDescent="0.25">
      <c r="A697" t="str">
        <f>"20190303170239379"</f>
        <v>20190303170239379</v>
      </c>
      <c r="B697" t="str">
        <f>"1551603759366981"</f>
        <v>1551603759366981</v>
      </c>
      <c r="C697" t="s">
        <v>40</v>
      </c>
      <c r="D697">
        <v>4.2468130000000004</v>
      </c>
      <c r="E697">
        <v>0.55007430000000002</v>
      </c>
      <c r="F697" t="s">
        <v>43</v>
      </c>
      <c r="G697">
        <v>-352.08420000000001</v>
      </c>
      <c r="H697">
        <v>0.94488629999999996</v>
      </c>
      <c r="I697">
        <v>367.57530000000003</v>
      </c>
      <c r="J697">
        <v>-352.70530000000002</v>
      </c>
      <c r="K697">
        <v>1.120841</v>
      </c>
      <c r="L697">
        <v>367.69720000000001</v>
      </c>
      <c r="M697">
        <v>0.99996240000000003</v>
      </c>
      <c r="N697">
        <v>-8.6449189999999992E-3</v>
      </c>
      <c r="O697">
        <v>8.4074050000000004E-4</v>
      </c>
      <c r="P697">
        <v>0.99095710000000004</v>
      </c>
      <c r="Q697">
        <v>0.12872929999999999</v>
      </c>
      <c r="R697">
        <v>-3.7854859999999997E-2</v>
      </c>
      <c r="S697">
        <v>3.097839</v>
      </c>
      <c r="T697">
        <v>-0.68525159999999996</v>
      </c>
      <c r="U697">
        <v>-0.4722595</v>
      </c>
      <c r="V697">
        <v>3.8672829999999998E-2</v>
      </c>
      <c r="W697">
        <v>0.13729539999999901</v>
      </c>
      <c r="X697">
        <v>0.98977490000000001</v>
      </c>
      <c r="Y697">
        <v>0.14788270000000001</v>
      </c>
      <c r="Z697">
        <v>-1.6897390000000002E-2</v>
      </c>
      <c r="AA697">
        <v>0.98886050000000003</v>
      </c>
      <c r="AB697">
        <v>31</v>
      </c>
      <c r="AC697">
        <v>0.62110000000001198</v>
      </c>
      <c r="AD697">
        <v>-0.17595469999999899</v>
      </c>
      <c r="AE697">
        <v>-0.12189999999998199</v>
      </c>
      <c r="AF697">
        <v>0.113640117172651</v>
      </c>
      <c r="AG697">
        <v>-0.17595469999999899</v>
      </c>
      <c r="AH697">
        <v>0.576449596027656</v>
      </c>
      <c r="AI697">
        <v>106.67163417703</v>
      </c>
      <c r="AJ697">
        <v>78.847827848734795</v>
      </c>
      <c r="AK697">
        <v>0.61332558192492803</v>
      </c>
      <c r="AL697">
        <v>82.108627096426304</v>
      </c>
      <c r="AM697">
        <v>87.762457509138201</v>
      </c>
      <c r="AN697">
        <v>0.99999998365568898</v>
      </c>
    </row>
    <row r="698" spans="1:40" x14ac:dyDescent="0.25">
      <c r="A698" t="str">
        <f>"20190303170239393"</f>
        <v>20190303170239393</v>
      </c>
      <c r="B698" t="str">
        <f>"1551603759386500"</f>
        <v>1551603759386500</v>
      </c>
      <c r="C698" t="s">
        <v>40</v>
      </c>
      <c r="D698">
        <v>4.2124439999999996</v>
      </c>
      <c r="E698">
        <v>0.55000979999999999</v>
      </c>
      <c r="F698" t="s">
        <v>43</v>
      </c>
      <c r="G698">
        <v>-351.81139999999999</v>
      </c>
      <c r="H698">
        <v>0.9235312</v>
      </c>
      <c r="I698">
        <v>367.56079999999997</v>
      </c>
      <c r="J698">
        <v>-352.5086</v>
      </c>
      <c r="K698">
        <v>1.120843</v>
      </c>
      <c r="L698">
        <v>367.69740000000002</v>
      </c>
      <c r="M698">
        <v>0.99996220000000002</v>
      </c>
      <c r="N698">
        <v>-8.6498310000000002E-3</v>
      </c>
      <c r="O698">
        <v>8.8536569999999996E-4</v>
      </c>
      <c r="P698">
        <v>0.99091949999999995</v>
      </c>
      <c r="Q698">
        <v>0.1290723</v>
      </c>
      <c r="R698">
        <v>-3.766775E-2</v>
      </c>
      <c r="S698">
        <v>3.0981450000000001</v>
      </c>
      <c r="T698">
        <v>-0.68391139999999995</v>
      </c>
      <c r="U698">
        <v>-0.47222900000000001</v>
      </c>
      <c r="V698">
        <v>3.8529710000000002E-2</v>
      </c>
      <c r="W698">
        <v>0.13764299999999999</v>
      </c>
      <c r="X698">
        <v>0.98973219999999995</v>
      </c>
      <c r="Y698">
        <v>0.1479154</v>
      </c>
      <c r="Z698">
        <v>-1.687814E-2</v>
      </c>
      <c r="AA698">
        <v>0.98885599999999996</v>
      </c>
      <c r="AB698">
        <v>31</v>
      </c>
      <c r="AC698">
        <v>0.69720000000000903</v>
      </c>
      <c r="AD698">
        <v>-0.19731180000000001</v>
      </c>
      <c r="AE698">
        <v>-0.13660000000004399</v>
      </c>
      <c r="AF698">
        <v>0.12739135461012399</v>
      </c>
      <c r="AG698">
        <v>-0.19731180000000001</v>
      </c>
      <c r="AH698">
        <v>0.647162164140903</v>
      </c>
      <c r="AI698">
        <v>106.654399661694</v>
      </c>
      <c r="AJ698">
        <v>78.863926845941506</v>
      </c>
      <c r="AK698">
        <v>0.68846159685503105</v>
      </c>
      <c r="AL698">
        <v>82.088520166624505</v>
      </c>
      <c r="AM698">
        <v>87.770633732342205</v>
      </c>
      <c r="AN698">
        <v>0.99999998085926101</v>
      </c>
    </row>
    <row r="699" spans="1:40" x14ac:dyDescent="0.25">
      <c r="A699" t="str">
        <f>"20190303170239405"</f>
        <v>20190303170239405</v>
      </c>
      <c r="B699" t="str">
        <f>"1551603759396261"</f>
        <v>1551603759396261</v>
      </c>
      <c r="C699" t="s">
        <v>40</v>
      </c>
      <c r="D699">
        <v>4.2103190000000001</v>
      </c>
      <c r="E699">
        <v>0.54998819999999904</v>
      </c>
      <c r="F699" t="s">
        <v>43</v>
      </c>
      <c r="G699">
        <v>-351.79399999999998</v>
      </c>
      <c r="H699">
        <v>0.96335459999999995</v>
      </c>
      <c r="I699">
        <v>367.58870000000002</v>
      </c>
      <c r="J699">
        <v>-352.34649999999999</v>
      </c>
      <c r="K699">
        <v>1.1208419999999999</v>
      </c>
      <c r="L699">
        <v>367.69749999999999</v>
      </c>
      <c r="M699">
        <v>0.99996229999999997</v>
      </c>
      <c r="N699">
        <v>-8.6573510000000006E-3</v>
      </c>
      <c r="O699">
        <v>9.2211319999999997E-4</v>
      </c>
      <c r="P699">
        <v>0.99091700000000005</v>
      </c>
      <c r="Q699">
        <v>0.12913740000000001</v>
      </c>
      <c r="R699">
        <v>-3.751765E-2</v>
      </c>
      <c r="S699">
        <v>3.098541</v>
      </c>
      <c r="T699">
        <v>-0.68291059999999904</v>
      </c>
      <c r="U699">
        <v>-0.4708252</v>
      </c>
      <c r="V699">
        <v>3.8415659999999997E-2</v>
      </c>
      <c r="W699">
        <v>0.13771529999999901</v>
      </c>
      <c r="X699">
        <v>0.98972660000000001</v>
      </c>
      <c r="Y699">
        <v>0.1475148</v>
      </c>
      <c r="Z699">
        <v>-1.681647E-2</v>
      </c>
      <c r="AA699">
        <v>0.98891689999999999</v>
      </c>
      <c r="AB699">
        <v>31</v>
      </c>
      <c r="AC699">
        <v>0.55249999999995203</v>
      </c>
      <c r="AD699">
        <v>-0.1574874</v>
      </c>
      <c r="AE699">
        <v>-0.108799999999973</v>
      </c>
      <c r="AF699">
        <v>0.10137976663204799</v>
      </c>
      <c r="AG699">
        <v>-0.1574874</v>
      </c>
      <c r="AH699">
        <v>0.51232652652129196</v>
      </c>
      <c r="AI699">
        <v>106.78065094290299</v>
      </c>
      <c r="AJ699">
        <v>78.806846363187901</v>
      </c>
      <c r="AK699">
        <v>0.545489328968497</v>
      </c>
      <c r="AL699">
        <v>82.084338043475796</v>
      </c>
      <c r="AM699">
        <v>87.777213582480002</v>
      </c>
      <c r="AN699">
        <v>1.00000000476744</v>
      </c>
    </row>
    <row r="700" spans="1:40" x14ac:dyDescent="0.25">
      <c r="A700" t="str">
        <f>"20190303170239417"</f>
        <v>20190303170239417</v>
      </c>
      <c r="B700" t="str">
        <f>"1551603759406997"</f>
        <v>1551603759406997</v>
      </c>
      <c r="C700" t="s">
        <v>40</v>
      </c>
      <c r="D700">
        <v>4.2052969999999998</v>
      </c>
      <c r="E700">
        <v>0.54996140000000004</v>
      </c>
      <c r="F700" t="s">
        <v>43</v>
      </c>
      <c r="G700">
        <v>-351.5224</v>
      </c>
      <c r="H700">
        <v>0.93928990000000001</v>
      </c>
      <c r="I700">
        <v>367.57229999999998</v>
      </c>
      <c r="J700">
        <v>-352.16219999999998</v>
      </c>
      <c r="K700">
        <v>1.120846</v>
      </c>
      <c r="L700">
        <v>367.69779999999997</v>
      </c>
      <c r="M700">
        <v>0.99996200000000002</v>
      </c>
      <c r="N700">
        <v>-8.6674370000000001E-3</v>
      </c>
      <c r="O700">
        <v>9.6451459999999996E-4</v>
      </c>
      <c r="P700">
        <v>0.99091070000000003</v>
      </c>
      <c r="Q700">
        <v>0.1292171</v>
      </c>
      <c r="R700">
        <v>-3.7402119999999997E-2</v>
      </c>
      <c r="S700">
        <v>3.0986630000000002</v>
      </c>
      <c r="T700">
        <v>-0.68264169999999902</v>
      </c>
      <c r="U700">
        <v>-0.46981810000000002</v>
      </c>
      <c r="V700">
        <v>3.834212E-2</v>
      </c>
      <c r="W700">
        <v>0.13780499999999901</v>
      </c>
      <c r="X700">
        <v>0.98971690000000001</v>
      </c>
      <c r="Y700">
        <v>0.14724509999999999</v>
      </c>
      <c r="Z700">
        <v>-1.6789169999999999E-2</v>
      </c>
      <c r="AA700">
        <v>0.98895750000000004</v>
      </c>
      <c r="AB700">
        <v>32</v>
      </c>
      <c r="AC700">
        <v>0.63979999999997905</v>
      </c>
      <c r="AD700">
        <v>-0.1815561</v>
      </c>
      <c r="AE700">
        <v>-0.12549999999998801</v>
      </c>
      <c r="AF700">
        <v>0.117041445563876</v>
      </c>
      <c r="AG700">
        <v>-0.1815561</v>
      </c>
      <c r="AH700">
        <v>0.59364619911036098</v>
      </c>
      <c r="AI700">
        <v>106.702189973073</v>
      </c>
      <c r="AJ700">
        <v>78.846785041796494</v>
      </c>
      <c r="AK700">
        <v>0.63172551566726298</v>
      </c>
      <c r="AL700">
        <v>82.079148616145304</v>
      </c>
      <c r="AM700">
        <v>87.781442737124195</v>
      </c>
      <c r="AN700">
        <v>0.99999993916834995</v>
      </c>
    </row>
    <row r="701" spans="1:40" x14ac:dyDescent="0.25">
      <c r="A701" t="str">
        <f>"20190303170239434"</f>
        <v>20190303170239434</v>
      </c>
      <c r="B701" t="str">
        <f>"1551603759426517"</f>
        <v>1551603759426517</v>
      </c>
      <c r="C701" t="s">
        <v>40</v>
      </c>
      <c r="D701">
        <v>4.1658799999999996</v>
      </c>
      <c r="E701">
        <v>0.54993029999999998</v>
      </c>
      <c r="F701" t="s">
        <v>43</v>
      </c>
      <c r="G701">
        <v>-351.24779999999998</v>
      </c>
      <c r="H701">
        <v>0.91946530000000004</v>
      </c>
      <c r="I701">
        <v>367.55930000000001</v>
      </c>
      <c r="J701">
        <v>-351.92899999999997</v>
      </c>
      <c r="K701">
        <v>1.1208530000000001</v>
      </c>
      <c r="L701">
        <v>367.69799999999998</v>
      </c>
      <c r="M701">
        <v>0.99996180000000001</v>
      </c>
      <c r="N701">
        <v>-8.6840169999999901E-3</v>
      </c>
      <c r="O701">
        <v>1.0195919999999999E-3</v>
      </c>
      <c r="P701">
        <v>0.99084439999999996</v>
      </c>
      <c r="Q701">
        <v>0.12974820000000001</v>
      </c>
      <c r="R701">
        <v>-3.7319610000000003E-2</v>
      </c>
      <c r="S701">
        <v>3.0988159999999998</v>
      </c>
      <c r="T701">
        <v>-0.68251709999999999</v>
      </c>
      <c r="U701">
        <v>-0.4689026</v>
      </c>
      <c r="V701">
        <v>3.8313569999999998E-2</v>
      </c>
      <c r="W701">
        <v>0.1383519</v>
      </c>
      <c r="X701">
        <v>0.98964180000000002</v>
      </c>
      <c r="Y701">
        <v>0.14701229999999901</v>
      </c>
      <c r="Z701">
        <v>-1.6772309999999999E-2</v>
      </c>
      <c r="AA701">
        <v>0.98899250000000005</v>
      </c>
      <c r="AB701">
        <v>32</v>
      </c>
      <c r="AC701">
        <v>0.68120000000004599</v>
      </c>
      <c r="AD701">
        <v>-0.2013877</v>
      </c>
      <c r="AE701">
        <v>-0.138700000000028</v>
      </c>
      <c r="AF701">
        <v>0.12860198413781199</v>
      </c>
      <c r="AG701">
        <v>-0.2013877</v>
      </c>
      <c r="AH701">
        <v>0.62832779429471497</v>
      </c>
      <c r="AI701">
        <v>107.432508729265</v>
      </c>
      <c r="AJ701">
        <v>78.432833201024906</v>
      </c>
      <c r="AK701">
        <v>0.67222860183031097</v>
      </c>
      <c r="AL701">
        <v>82.047511267562896</v>
      </c>
      <c r="AM701">
        <v>87.7829249880254</v>
      </c>
      <c r="AN701">
        <v>1.0000000350934899</v>
      </c>
    </row>
    <row r="702" spans="1:40" x14ac:dyDescent="0.25">
      <c r="A702" t="str">
        <f>"20190303170239456"</f>
        <v>20190303170239456</v>
      </c>
      <c r="B702" t="str">
        <f>"1551603759446037"</f>
        <v>1551603759446037</v>
      </c>
      <c r="C702" t="s">
        <v>40</v>
      </c>
      <c r="D702">
        <v>4.1821859999999997</v>
      </c>
      <c r="E702">
        <v>0.54989519999999903</v>
      </c>
      <c r="F702" t="s">
        <v>43</v>
      </c>
      <c r="G702">
        <v>-351.22730000000001</v>
      </c>
      <c r="H702">
        <v>0.96667389999999997</v>
      </c>
      <c r="I702">
        <v>367.59190000000001</v>
      </c>
      <c r="J702">
        <v>-351.61500000000001</v>
      </c>
      <c r="K702">
        <v>1.1208610000000001</v>
      </c>
      <c r="L702">
        <v>367.69839999999999</v>
      </c>
      <c r="M702">
        <v>0.99996149999999995</v>
      </c>
      <c r="N702">
        <v>-8.7104690000000002E-3</v>
      </c>
      <c r="O702">
        <v>1.0971729999999999E-3</v>
      </c>
      <c r="P702">
        <v>0.99081269999999999</v>
      </c>
      <c r="Q702">
        <v>0.13000059999999999</v>
      </c>
      <c r="R702">
        <v>-3.7283049999999998E-2</v>
      </c>
      <c r="S702">
        <v>3.0992739999999999</v>
      </c>
      <c r="T702">
        <v>-0.68102549999999995</v>
      </c>
      <c r="U702">
        <v>-0.46820070000000003</v>
      </c>
      <c r="V702">
        <v>3.8352780000000003E-2</v>
      </c>
      <c r="W702">
        <v>0.13863049999999999</v>
      </c>
      <c r="X702">
        <v>0.98960130000000002</v>
      </c>
      <c r="Y702">
        <v>0.1468661</v>
      </c>
      <c r="Z702">
        <v>-1.673738E-2</v>
      </c>
      <c r="AA702">
        <v>0.98901479999999997</v>
      </c>
      <c r="AB702">
        <v>32</v>
      </c>
      <c r="AC702">
        <v>0.38769999999999499</v>
      </c>
      <c r="AD702">
        <v>-0.15418709999999999</v>
      </c>
      <c r="AE702">
        <v>-0.106499999999982</v>
      </c>
      <c r="AF702">
        <v>9.3216406724872095E-2</v>
      </c>
      <c r="AG702">
        <v>-0.15418709999999999</v>
      </c>
      <c r="AH702">
        <v>0.33789082380586299</v>
      </c>
      <c r="AI702">
        <v>113.744192911163</v>
      </c>
      <c r="AJ702">
        <v>74.577027951536706</v>
      </c>
      <c r="AK702">
        <v>0.38292710677270098</v>
      </c>
      <c r="AL702">
        <v>82.031393402502403</v>
      </c>
      <c r="AM702">
        <v>87.780567570374401</v>
      </c>
      <c r="AN702">
        <v>1.0000000421128299</v>
      </c>
    </row>
    <row r="703" spans="1:40" x14ac:dyDescent="0.25">
      <c r="A703" t="str">
        <f>"20190303170239468"</f>
        <v>20190303170239468</v>
      </c>
      <c r="B703" t="str">
        <f>"1551603759456772"</f>
        <v>1551603759456772</v>
      </c>
      <c r="C703" t="s">
        <v>40</v>
      </c>
      <c r="D703">
        <v>4.2090269999999999</v>
      </c>
      <c r="E703">
        <v>0.54988159999999997</v>
      </c>
      <c r="F703" t="s">
        <v>43</v>
      </c>
      <c r="G703">
        <v>-350.68200000000002</v>
      </c>
      <c r="H703">
        <v>0.91612729999999998</v>
      </c>
      <c r="I703">
        <v>367.5573</v>
      </c>
      <c r="J703">
        <v>-351.44970000000001</v>
      </c>
      <c r="K703">
        <v>1.12087</v>
      </c>
      <c r="L703">
        <v>367.6986</v>
      </c>
      <c r="M703">
        <v>0.99996130000000005</v>
      </c>
      <c r="N703">
        <v>-8.7269489999999995E-3</v>
      </c>
      <c r="O703">
        <v>1.1392010000000001E-3</v>
      </c>
      <c r="P703">
        <v>0.99081680000000005</v>
      </c>
      <c r="Q703">
        <v>0.1299466</v>
      </c>
      <c r="R703">
        <v>-3.7367230000000001E-2</v>
      </c>
      <c r="S703">
        <v>3.0994570000000001</v>
      </c>
      <c r="T703">
        <v>-0.68022749999999998</v>
      </c>
      <c r="U703">
        <v>-0.46813959999999999</v>
      </c>
      <c r="V703">
        <v>3.8477869999999997E-2</v>
      </c>
      <c r="W703">
        <v>0.13859270000000001</v>
      </c>
      <c r="X703">
        <v>0.98960170000000003</v>
      </c>
      <c r="Y703">
        <v>0.14688679999999901</v>
      </c>
      <c r="Z703">
        <v>-1.6730289999999998E-2</v>
      </c>
      <c r="AA703">
        <v>0.9890118</v>
      </c>
      <c r="AB703">
        <v>32</v>
      </c>
      <c r="AC703">
        <v>0.76770000000004701</v>
      </c>
      <c r="AD703">
        <v>-0.204742699999999</v>
      </c>
      <c r="AE703">
        <v>-0.14130000000000101</v>
      </c>
      <c r="AF703">
        <v>0.13302301619538501</v>
      </c>
      <c r="AG703">
        <v>-0.204742699999999</v>
      </c>
      <c r="AH703">
        <v>0.71813359924272702</v>
      </c>
      <c r="AI703">
        <v>105.66004782178</v>
      </c>
      <c r="AJ703">
        <v>79.505799033274798</v>
      </c>
      <c r="AK703">
        <v>0.75850547948074898</v>
      </c>
      <c r="AL703">
        <v>82.033579986190901</v>
      </c>
      <c r="AM703">
        <v>87.773336925786893</v>
      </c>
      <c r="AN703">
        <v>1.00000000380795</v>
      </c>
    </row>
    <row r="704" spans="1:40" x14ac:dyDescent="0.25">
      <c r="A704" t="str">
        <f>"20190303170239479"</f>
        <v>20190303170239479</v>
      </c>
      <c r="B704" t="str">
        <f>"1551603759466532"</f>
        <v>1551603759466532</v>
      </c>
      <c r="C704" t="s">
        <v>40</v>
      </c>
      <c r="D704">
        <v>4.2225630000000001</v>
      </c>
      <c r="E704">
        <v>0.54986889999999999</v>
      </c>
      <c r="F704" t="s">
        <v>43</v>
      </c>
      <c r="G704">
        <v>-350.66809999999998</v>
      </c>
      <c r="H704">
        <v>0.94925870000000001</v>
      </c>
      <c r="I704">
        <v>367.5804</v>
      </c>
      <c r="J704">
        <v>-351.2953</v>
      </c>
      <c r="K704">
        <v>1.120878</v>
      </c>
      <c r="L704">
        <v>367.69889999999998</v>
      </c>
      <c r="M704">
        <v>0.99996110000000005</v>
      </c>
      <c r="N704">
        <v>-8.7430609999999999E-3</v>
      </c>
      <c r="O704">
        <v>1.179083E-3</v>
      </c>
      <c r="P704">
        <v>0.99083849999999996</v>
      </c>
      <c r="Q704">
        <v>0.12973009999999999</v>
      </c>
      <c r="R704">
        <v>-3.7543519999999997E-2</v>
      </c>
      <c r="S704">
        <v>3.0994570000000001</v>
      </c>
      <c r="T704">
        <v>-0.6806719</v>
      </c>
      <c r="U704">
        <v>-0.46804810000000002</v>
      </c>
      <c r="V704">
        <v>3.8693169999999999E-2</v>
      </c>
      <c r="W704">
        <v>0.13839299999999999</v>
      </c>
      <c r="X704">
        <v>0.98962119999999998</v>
      </c>
      <c r="Y704">
        <v>0.14689189999999999</v>
      </c>
      <c r="Z704">
        <v>-1.6750629999999999E-2</v>
      </c>
      <c r="AA704">
        <v>0.98901070000000002</v>
      </c>
      <c r="AB704">
        <v>32</v>
      </c>
      <c r="AC704">
        <v>0.62720000000001597</v>
      </c>
      <c r="AD704">
        <v>-0.1716193</v>
      </c>
      <c r="AE704">
        <v>-0.11849999999998299</v>
      </c>
      <c r="AF704">
        <v>0.11120060031724301</v>
      </c>
      <c r="AG704">
        <v>-0.1716193</v>
      </c>
      <c r="AH704">
        <v>0.58478482212359595</v>
      </c>
      <c r="AI704">
        <v>106.08269609188901</v>
      </c>
      <c r="AJ704">
        <v>79.233382075395596</v>
      </c>
      <c r="AK704">
        <v>0.61950952037037399</v>
      </c>
      <c r="AL704">
        <v>82.045132870067803</v>
      </c>
      <c r="AM704">
        <v>87.760934523500197</v>
      </c>
      <c r="AN704">
        <v>0.99999995167154299</v>
      </c>
    </row>
    <row r="705" spans="1:40" x14ac:dyDescent="0.25">
      <c r="A705" t="str">
        <f>"20190303170239490"</f>
        <v>20190303170239490</v>
      </c>
      <c r="B705" t="str">
        <f>"1551603759476291"</f>
        <v>1551603759476291</v>
      </c>
      <c r="C705" t="s">
        <v>40</v>
      </c>
      <c r="D705">
        <v>4.1756260000000003</v>
      </c>
      <c r="E705">
        <v>0.54985050000000002</v>
      </c>
      <c r="F705" t="s">
        <v>43</v>
      </c>
      <c r="G705">
        <v>-350.39519999999999</v>
      </c>
      <c r="H705">
        <v>0.92298400000000003</v>
      </c>
      <c r="I705">
        <v>367.56270000000001</v>
      </c>
      <c r="J705">
        <v>-351.12729999999999</v>
      </c>
      <c r="K705">
        <v>1.1208830000000001</v>
      </c>
      <c r="L705">
        <v>367.69909999999999</v>
      </c>
      <c r="M705">
        <v>0.99996099999999999</v>
      </c>
      <c r="N705">
        <v>-8.7619629999999993E-3</v>
      </c>
      <c r="O705">
        <v>1.2231849999999999E-3</v>
      </c>
      <c r="P705">
        <v>0.99084380000000005</v>
      </c>
      <c r="Q705">
        <v>0.12961220000000001</v>
      </c>
      <c r="R705">
        <v>-3.7810280000000002E-2</v>
      </c>
      <c r="S705">
        <v>3.0992130000000002</v>
      </c>
      <c r="T705">
        <v>-0.68148719999999996</v>
      </c>
      <c r="U705">
        <v>-0.46786499999999998</v>
      </c>
      <c r="V705">
        <v>3.9003219999999998E-2</v>
      </c>
      <c r="W705">
        <v>0.13829379999999999</v>
      </c>
      <c r="X705">
        <v>0.98962300000000003</v>
      </c>
      <c r="Y705">
        <v>0.14687999999999901</v>
      </c>
      <c r="Z705">
        <v>-1.6779990000000002E-2</v>
      </c>
      <c r="AA705">
        <v>0.989012</v>
      </c>
      <c r="AB705">
        <v>32</v>
      </c>
      <c r="AC705">
        <v>0.73210000000000197</v>
      </c>
      <c r="AD705">
        <v>-0.19789899999999999</v>
      </c>
      <c r="AE705">
        <v>-0.13639999999998001</v>
      </c>
      <c r="AF705">
        <v>0.128239196640379</v>
      </c>
      <c r="AG705">
        <v>-0.19789899999999999</v>
      </c>
      <c r="AH705">
        <v>0.68365314005158995</v>
      </c>
      <c r="AI705">
        <v>105.881619367425</v>
      </c>
      <c r="AJ705">
        <v>79.375953987661205</v>
      </c>
      <c r="AK705">
        <v>0.72318111262557705</v>
      </c>
      <c r="AL705">
        <v>82.050872615692896</v>
      </c>
      <c r="AM705">
        <v>87.743015379493798</v>
      </c>
      <c r="AN705">
        <v>1.0000000542089</v>
      </c>
    </row>
    <row r="706" spans="1:40" x14ac:dyDescent="0.25">
      <c r="A706" t="str">
        <f>"20190303170239503"</f>
        <v>20190303170239503</v>
      </c>
      <c r="B706" t="str">
        <f>"1551603759496788"</f>
        <v>1551603759496788</v>
      </c>
      <c r="C706" t="s">
        <v>40</v>
      </c>
      <c r="D706">
        <v>4.200367</v>
      </c>
      <c r="E706">
        <v>0.54981689999999905</v>
      </c>
      <c r="F706" t="s">
        <v>43</v>
      </c>
      <c r="G706">
        <v>-350.38060000000002</v>
      </c>
      <c r="H706">
        <v>0.95659899999999998</v>
      </c>
      <c r="I706">
        <v>367.58589999999998</v>
      </c>
      <c r="J706">
        <v>-350.94810000000001</v>
      </c>
      <c r="K706">
        <v>1.1208880000000001</v>
      </c>
      <c r="L706">
        <v>367.69940000000003</v>
      </c>
      <c r="M706">
        <v>0.99996070000000004</v>
      </c>
      <c r="N706">
        <v>-8.783964E-3</v>
      </c>
      <c r="O706">
        <v>1.2726440000000001E-3</v>
      </c>
      <c r="P706">
        <v>0.99083650000000001</v>
      </c>
      <c r="Q706">
        <v>0.12957949999999999</v>
      </c>
      <c r="R706">
        <v>-3.8109480000000001E-2</v>
      </c>
      <c r="S706">
        <v>3.09903</v>
      </c>
      <c r="T706">
        <v>-0.68193719999999902</v>
      </c>
      <c r="U706">
        <v>-0.46868900000000002</v>
      </c>
      <c r="V706">
        <v>3.9350830000000003E-2</v>
      </c>
      <c r="W706">
        <v>0.138283399999999</v>
      </c>
      <c r="X706">
        <v>0.98961060000000001</v>
      </c>
      <c r="Y706">
        <v>0.1471809</v>
      </c>
      <c r="Z706">
        <v>-1.6836819999999999E-2</v>
      </c>
      <c r="AA706">
        <v>0.98896629999999996</v>
      </c>
      <c r="AB706">
        <v>32</v>
      </c>
      <c r="AC706">
        <v>0.56749999999999501</v>
      </c>
      <c r="AD706">
        <v>-0.16428899999999899</v>
      </c>
      <c r="AE706">
        <v>-0.113500000000044</v>
      </c>
      <c r="AF706">
        <v>0.105704046083339</v>
      </c>
      <c r="AG706">
        <v>-0.16428899999999899</v>
      </c>
      <c r="AH706">
        <v>0.52504459593031205</v>
      </c>
      <c r="AI706">
        <v>107.053400328468</v>
      </c>
      <c r="AJ706">
        <v>78.617147569567507</v>
      </c>
      <c r="AK706">
        <v>0.56021071802939804</v>
      </c>
      <c r="AL706">
        <v>82.051473543516096</v>
      </c>
      <c r="AM706">
        <v>87.722892941188505</v>
      </c>
      <c r="AN706">
        <v>0.99999996308480299</v>
      </c>
    </row>
    <row r="707" spans="1:40" x14ac:dyDescent="0.25">
      <c r="A707" t="str">
        <f>"20190303170239516"</f>
        <v>20190303170239516</v>
      </c>
      <c r="B707" t="str">
        <f>"1551603759506548"</f>
        <v>1551603759506548</v>
      </c>
      <c r="C707" t="s">
        <v>40</v>
      </c>
      <c r="D707">
        <v>4.1573520000000004</v>
      </c>
      <c r="E707">
        <v>0.54979659999999997</v>
      </c>
      <c r="F707" t="s">
        <v>43</v>
      </c>
      <c r="G707">
        <v>-350.10539999999997</v>
      </c>
      <c r="H707">
        <v>0.93539879999999997</v>
      </c>
      <c r="I707">
        <v>367.5718</v>
      </c>
      <c r="J707">
        <v>-350.77620000000002</v>
      </c>
      <c r="K707">
        <v>1.1208959999999999</v>
      </c>
      <c r="L707">
        <v>367.69959999999998</v>
      </c>
      <c r="M707">
        <v>0.99996039999999997</v>
      </c>
      <c r="N707">
        <v>-8.8060199999999995E-3</v>
      </c>
      <c r="O707">
        <v>1.3214489999999999E-3</v>
      </c>
      <c r="P707">
        <v>0.99081129999999995</v>
      </c>
      <c r="Q707">
        <v>0.12966839999999999</v>
      </c>
      <c r="R707">
        <v>-3.8455900000000001E-2</v>
      </c>
      <c r="S707">
        <v>3.098938</v>
      </c>
      <c r="T707">
        <v>-0.68217530000000004</v>
      </c>
      <c r="U707">
        <v>-0.46887210000000001</v>
      </c>
      <c r="V707">
        <v>3.9744649999999999E-2</v>
      </c>
      <c r="W707">
        <v>0.13839389999999999</v>
      </c>
      <c r="X707">
        <v>0.9895794</v>
      </c>
      <c r="Y707">
        <v>0.1472841</v>
      </c>
      <c r="Z707">
        <v>-1.6866119999999998E-2</v>
      </c>
      <c r="AA707">
        <v>0.98895040000000001</v>
      </c>
      <c r="AB707">
        <v>32</v>
      </c>
      <c r="AC707">
        <v>0.67080000000004203</v>
      </c>
      <c r="AD707">
        <v>-0.185497199999999</v>
      </c>
      <c r="AE707">
        <v>-0.12779999999997901</v>
      </c>
      <c r="AF707">
        <v>0.1198429996136</v>
      </c>
      <c r="AG707">
        <v>-0.185497199999999</v>
      </c>
      <c r="AH707">
        <v>0.62454466600495195</v>
      </c>
      <c r="AI707">
        <v>106.261450020772</v>
      </c>
      <c r="AJ707">
        <v>79.137630783933204</v>
      </c>
      <c r="AK707">
        <v>0.66244063552854404</v>
      </c>
      <c r="AL707">
        <v>82.045080780107995</v>
      </c>
      <c r="AM707">
        <v>87.700055750093995</v>
      </c>
      <c r="AN707">
        <v>0.99999994883259502</v>
      </c>
    </row>
    <row r="708" spans="1:40" x14ac:dyDescent="0.25">
      <c r="A708" t="str">
        <f>"20190303170239528"</f>
        <v>20190303170239528</v>
      </c>
      <c r="B708" t="str">
        <f>"1551603759517284"</f>
        <v>1551603759517284</v>
      </c>
      <c r="C708" t="s">
        <v>40</v>
      </c>
      <c r="D708">
        <v>4.1636810000000004</v>
      </c>
      <c r="E708">
        <v>0.54977299999999996</v>
      </c>
      <c r="F708" t="s">
        <v>43</v>
      </c>
      <c r="G708">
        <v>-349.8295</v>
      </c>
      <c r="H708">
        <v>0.91257129999999997</v>
      </c>
      <c r="I708">
        <v>367.55590000000001</v>
      </c>
      <c r="J708">
        <v>-350.58049999999997</v>
      </c>
      <c r="K708">
        <v>1.12090499999999</v>
      </c>
      <c r="L708">
        <v>367.69990000000001</v>
      </c>
      <c r="M708">
        <v>0.99996019999999997</v>
      </c>
      <c r="N708">
        <v>-8.833011E-3</v>
      </c>
      <c r="O708">
        <v>1.382706E-3</v>
      </c>
      <c r="P708">
        <v>0.99077579999999998</v>
      </c>
      <c r="Q708">
        <v>0.12991810000000001</v>
      </c>
      <c r="R708">
        <v>-3.8535399999999997E-2</v>
      </c>
      <c r="S708">
        <v>3.0988769999999999</v>
      </c>
      <c r="T708">
        <v>-0.68198029999999998</v>
      </c>
      <c r="U708">
        <v>-0.46920780000000001</v>
      </c>
      <c r="V708">
        <v>3.9883170000000003E-2</v>
      </c>
      <c r="W708">
        <v>0.1386706</v>
      </c>
      <c r="X708">
        <v>0.98953519999999995</v>
      </c>
      <c r="Y708">
        <v>0.14744839999999901</v>
      </c>
      <c r="Z708">
        <v>-1.6894989999999999E-2</v>
      </c>
      <c r="AA708">
        <v>0.98892550000000001</v>
      </c>
      <c r="AB708">
        <v>32</v>
      </c>
      <c r="AC708">
        <v>0.75099999999997602</v>
      </c>
      <c r="AD708">
        <v>-0.20833369999999901</v>
      </c>
      <c r="AE708">
        <v>-0.14400000000000501</v>
      </c>
      <c r="AF708">
        <v>0.135016522595062</v>
      </c>
      <c r="AG708">
        <v>-0.20833369999999901</v>
      </c>
      <c r="AH708">
        <v>0.69892171236485601</v>
      </c>
      <c r="AI708">
        <v>106.313058491378</v>
      </c>
      <c r="AJ708">
        <v>79.066376403863302</v>
      </c>
      <c r="AK708">
        <v>0.74170341238555504</v>
      </c>
      <c r="AL708">
        <v>82.029073555934701</v>
      </c>
      <c r="AM708">
        <v>87.691945546140403</v>
      </c>
      <c r="AN708">
        <v>1.0000000572963199</v>
      </c>
    </row>
    <row r="709" spans="1:40" x14ac:dyDescent="0.25">
      <c r="A709" t="str">
        <f>"20190303170239542"</f>
        <v>20190303170239542</v>
      </c>
      <c r="B709" t="str">
        <f>"1551603759536805"</f>
        <v>1551603759536805</v>
      </c>
      <c r="C709" t="s">
        <v>40</v>
      </c>
      <c r="D709">
        <v>4.1832960000000003</v>
      </c>
      <c r="E709">
        <v>0.54974140000000005</v>
      </c>
      <c r="F709" t="s">
        <v>43</v>
      </c>
      <c r="G709">
        <v>-349.81290000000001</v>
      </c>
      <c r="H709">
        <v>0.95214140000000003</v>
      </c>
      <c r="I709">
        <v>367.58330000000001</v>
      </c>
      <c r="J709">
        <v>-350.39</v>
      </c>
      <c r="K709">
        <v>1.120911</v>
      </c>
      <c r="L709">
        <v>367.7002</v>
      </c>
      <c r="M709">
        <v>0.99995970000000001</v>
      </c>
      <c r="N709">
        <v>-8.8597480000000006E-3</v>
      </c>
      <c r="O709">
        <v>1.446473E-3</v>
      </c>
      <c r="P709">
        <v>0.99072919999999998</v>
      </c>
      <c r="Q709">
        <v>0.13025699999999901</v>
      </c>
      <c r="R709">
        <v>-3.8586790000000003E-2</v>
      </c>
      <c r="S709">
        <v>3.0990600000000001</v>
      </c>
      <c r="T709">
        <v>-0.68146130000000005</v>
      </c>
      <c r="U709">
        <v>-0.46902470000000002</v>
      </c>
      <c r="V709">
        <v>3.9996209999999997E-2</v>
      </c>
      <c r="W709">
        <v>0.1390362</v>
      </c>
      <c r="X709">
        <v>0.98947929999999995</v>
      </c>
      <c r="Y709">
        <v>0.14744959999999999</v>
      </c>
      <c r="Z709">
        <v>-1.6897369999999998E-2</v>
      </c>
      <c r="AA709">
        <v>0.98892519999999995</v>
      </c>
      <c r="AB709">
        <v>32</v>
      </c>
      <c r="AC709">
        <v>0.57709999999997297</v>
      </c>
      <c r="AD709">
        <v>-0.16876959999999899</v>
      </c>
      <c r="AE709">
        <v>-0.116899999999986</v>
      </c>
      <c r="AF709">
        <v>0.108796721348279</v>
      </c>
      <c r="AG709">
        <v>-0.16876959999999899</v>
      </c>
      <c r="AH709">
        <v>0.53313203944557697</v>
      </c>
      <c r="AI709">
        <v>107.232314517937</v>
      </c>
      <c r="AJ709">
        <v>78.465971115415599</v>
      </c>
      <c r="AK709">
        <v>0.56969261531434201</v>
      </c>
      <c r="AL709">
        <v>82.007921044729599</v>
      </c>
      <c r="AM709">
        <v>87.685280363364996</v>
      </c>
      <c r="AN709">
        <v>1.00000002342664</v>
      </c>
    </row>
    <row r="710" spans="1:40" x14ac:dyDescent="0.25">
      <c r="A710" t="str">
        <f>"20190303170239558"</f>
        <v>20190303170239558</v>
      </c>
      <c r="B710" t="str">
        <f>"1551603759546564"</f>
        <v>1551603759546564</v>
      </c>
      <c r="C710" t="s">
        <v>40</v>
      </c>
      <c r="D710">
        <v>4.1891619999999996</v>
      </c>
      <c r="E710">
        <v>0.54972390000000004</v>
      </c>
      <c r="F710" t="s">
        <v>43</v>
      </c>
      <c r="G710">
        <v>-349.53570000000002</v>
      </c>
      <c r="H710">
        <v>0.93338100000000002</v>
      </c>
      <c r="I710">
        <v>367.57069999999999</v>
      </c>
      <c r="J710">
        <v>-350.17230000000001</v>
      </c>
      <c r="K710">
        <v>1.1209180000000001</v>
      </c>
      <c r="L710">
        <v>367.70060000000001</v>
      </c>
      <c r="M710">
        <v>0.99995940000000005</v>
      </c>
      <c r="N710">
        <v>-8.8910259999999998E-3</v>
      </c>
      <c r="O710">
        <v>1.523529E-3</v>
      </c>
      <c r="P710">
        <v>0.99068100000000003</v>
      </c>
      <c r="Q710">
        <v>0.1304042</v>
      </c>
      <c r="R710">
        <v>-3.9318890000000002E-2</v>
      </c>
      <c r="S710">
        <v>3.099243</v>
      </c>
      <c r="T710">
        <v>-0.68036509999999994</v>
      </c>
      <c r="U710">
        <v>-0.46911619999999998</v>
      </c>
      <c r="V710">
        <v>4.0802640000000001E-2</v>
      </c>
      <c r="W710">
        <v>0.13921420000000001</v>
      </c>
      <c r="X710">
        <v>0.98942129999999995</v>
      </c>
      <c r="Y710">
        <v>0.14755270000000001</v>
      </c>
      <c r="Z710">
        <v>-1.6900700000000001E-2</v>
      </c>
      <c r="AA710">
        <v>0.98890979999999995</v>
      </c>
      <c r="AB710">
        <v>32</v>
      </c>
      <c r="AC710">
        <v>0.63659999999998695</v>
      </c>
      <c r="AD710">
        <v>-0.18753700000000001</v>
      </c>
      <c r="AE710">
        <v>-0.12990000000002</v>
      </c>
      <c r="AF710">
        <v>0.120804887395353</v>
      </c>
      <c r="AG710">
        <v>-0.18753700000000001</v>
      </c>
      <c r="AH710">
        <v>0.58745725139016602</v>
      </c>
      <c r="AI710">
        <v>107.364048789319</v>
      </c>
      <c r="AJ710">
        <v>78.379671111518903</v>
      </c>
      <c r="AK710">
        <v>0.62838679919178198</v>
      </c>
      <c r="AL710">
        <v>81.9976218796197</v>
      </c>
      <c r="AM710">
        <v>87.638523500753806</v>
      </c>
      <c r="AN710">
        <v>0.99999997890314896</v>
      </c>
    </row>
    <row r="711" spans="1:40" x14ac:dyDescent="0.25">
      <c r="A711" t="str">
        <f>"20190303170239570"</f>
        <v>20190303170239570</v>
      </c>
      <c r="B711" t="str">
        <f>"1551603759556324"</f>
        <v>1551603759556324</v>
      </c>
      <c r="C711" t="s">
        <v>40</v>
      </c>
      <c r="D711">
        <v>4.1753130000000001</v>
      </c>
      <c r="E711">
        <v>0.54970140000000001</v>
      </c>
      <c r="F711" t="s">
        <v>43</v>
      </c>
      <c r="G711">
        <v>-349.25529999999998</v>
      </c>
      <c r="H711">
        <v>0.91973609999999995</v>
      </c>
      <c r="I711">
        <v>367.5607</v>
      </c>
      <c r="J711">
        <v>-349.97559999999999</v>
      </c>
      <c r="K711">
        <v>1.120927</v>
      </c>
      <c r="L711">
        <v>367.70100000000002</v>
      </c>
      <c r="M711">
        <v>0.99995889999999998</v>
      </c>
      <c r="N711">
        <v>-8.9205959999999994E-3</v>
      </c>
      <c r="O711">
        <v>1.5991039999999901E-3</v>
      </c>
      <c r="P711">
        <v>0.99065519999999996</v>
      </c>
      <c r="Q711">
        <v>0.1304592</v>
      </c>
      <c r="R711">
        <v>-3.978073E-2</v>
      </c>
      <c r="S711">
        <v>3.0989990000000001</v>
      </c>
      <c r="T711">
        <v>-0.68012830000000002</v>
      </c>
      <c r="U711">
        <v>-0.47045900000000002</v>
      </c>
      <c r="V711">
        <v>4.1337110000000003E-2</v>
      </c>
      <c r="W711">
        <v>0.13929920000000001</v>
      </c>
      <c r="X711">
        <v>0.98938720000000002</v>
      </c>
      <c r="Y711">
        <v>0.14804589999999901</v>
      </c>
      <c r="Z711">
        <v>-1.696916E-2</v>
      </c>
      <c r="AA711">
        <v>0.98883489999999996</v>
      </c>
      <c r="AB711">
        <v>32</v>
      </c>
      <c r="AC711">
        <v>0.72030000000000804</v>
      </c>
      <c r="AD711">
        <v>-0.20119090000000001</v>
      </c>
      <c r="AE711">
        <v>-0.14029999999996701</v>
      </c>
      <c r="AF711">
        <v>0.131562736773747</v>
      </c>
      <c r="AG711">
        <v>-0.20119090000000001</v>
      </c>
      <c r="AH711">
        <v>0.66973390606087002</v>
      </c>
      <c r="AI711">
        <v>106.42396940808599</v>
      </c>
      <c r="AJ711">
        <v>78.886311827881002</v>
      </c>
      <c r="AK711">
        <v>0.71156871549960599</v>
      </c>
      <c r="AL711">
        <v>81.992704211141202</v>
      </c>
      <c r="AM711">
        <v>87.607544088689593</v>
      </c>
      <c r="AN711">
        <v>1.0000000276538099</v>
      </c>
    </row>
    <row r="712" spans="1:40" x14ac:dyDescent="0.25">
      <c r="A712" t="str">
        <f>"20190303170239583"</f>
        <v>20190303170239583</v>
      </c>
      <c r="B712" t="str">
        <f>"1551603759576819"</f>
        <v>1551603759576819</v>
      </c>
      <c r="C712" t="s">
        <v>40</v>
      </c>
      <c r="D712">
        <v>4.1825970000000003</v>
      </c>
      <c r="E712">
        <v>0.54965050000000004</v>
      </c>
      <c r="F712" t="s">
        <v>43</v>
      </c>
      <c r="G712">
        <v>-349.23829999999998</v>
      </c>
      <c r="H712">
        <v>0.95918049999999999</v>
      </c>
      <c r="I712">
        <v>367.5881</v>
      </c>
      <c r="J712">
        <v>-349.79489999999998</v>
      </c>
      <c r="K712">
        <v>1.120932</v>
      </c>
      <c r="L712">
        <v>367.7013</v>
      </c>
      <c r="M712">
        <v>0.99995869999999998</v>
      </c>
      <c r="N712">
        <v>-8.9485380000000007E-3</v>
      </c>
      <c r="O712">
        <v>1.6736730000000001E-3</v>
      </c>
      <c r="P712">
        <v>0.99072099999999996</v>
      </c>
      <c r="Q712">
        <v>0.1298946</v>
      </c>
      <c r="R712">
        <v>-3.9991539999999999E-2</v>
      </c>
      <c r="S712">
        <v>3.098938</v>
      </c>
      <c r="T712">
        <v>-0.68017030000000001</v>
      </c>
      <c r="U712">
        <v>-0.47152709999999998</v>
      </c>
      <c r="V712">
        <v>4.1619919999999998E-2</v>
      </c>
      <c r="W712">
        <v>0.1387632</v>
      </c>
      <c r="X712">
        <v>0.98945059999999996</v>
      </c>
      <c r="Y712">
        <v>0.14844360000000001</v>
      </c>
      <c r="Z712">
        <v>-1.703226E-2</v>
      </c>
      <c r="AA712">
        <v>0.98877420000000005</v>
      </c>
      <c r="AB712">
        <v>32</v>
      </c>
      <c r="AC712">
        <v>0.55660000000000298</v>
      </c>
      <c r="AD712">
        <v>-0.16175149999999999</v>
      </c>
      <c r="AE712">
        <v>-0.113200000000006</v>
      </c>
      <c r="AF712">
        <v>0.105569967932177</v>
      </c>
      <c r="AG712">
        <v>-0.16175149999999999</v>
      </c>
      <c r="AH712">
        <v>0.51467113014043098</v>
      </c>
      <c r="AI712">
        <v>107.11209239423199</v>
      </c>
      <c r="AJ712">
        <v>78.408208881362995</v>
      </c>
      <c r="AK712">
        <v>0.54972260102844595</v>
      </c>
      <c r="AL712">
        <v>82.023715444377103</v>
      </c>
      <c r="AM712">
        <v>87.591349355972795</v>
      </c>
      <c r="AN712">
        <v>0.99999996662770196</v>
      </c>
    </row>
    <row r="713" spans="1:40" x14ac:dyDescent="0.25">
      <c r="A713" t="str">
        <f>"20190303170239595"</f>
        <v>20190303170239595</v>
      </c>
      <c r="B713" t="str">
        <f>"1551603759586580"</f>
        <v>1551603759586580</v>
      </c>
      <c r="C713" t="s">
        <v>40</v>
      </c>
      <c r="D713">
        <v>4.1826730000000003</v>
      </c>
      <c r="E713">
        <v>0.54962800000000001</v>
      </c>
      <c r="F713" t="s">
        <v>43</v>
      </c>
      <c r="G713">
        <v>-348.96179999999998</v>
      </c>
      <c r="H713">
        <v>0.93753520000000001</v>
      </c>
      <c r="I713">
        <v>367.5745</v>
      </c>
      <c r="J713">
        <v>-349.63150000000002</v>
      </c>
      <c r="K713">
        <v>1.1209389999999999</v>
      </c>
      <c r="L713">
        <v>367.70170000000002</v>
      </c>
      <c r="M713">
        <v>0.99995820000000002</v>
      </c>
      <c r="N713">
        <v>-8.9741600000000001E-3</v>
      </c>
      <c r="O713">
        <v>1.743538E-3</v>
      </c>
      <c r="P713">
        <v>0.99070159999999996</v>
      </c>
      <c r="Q713">
        <v>0.12996779999999999</v>
      </c>
      <c r="R713">
        <v>-4.023583E-2</v>
      </c>
      <c r="S713">
        <v>3.0985109999999998</v>
      </c>
      <c r="T713">
        <v>-0.68206449999999996</v>
      </c>
      <c r="U713">
        <v>-0.4713135</v>
      </c>
      <c r="V713">
        <v>4.1931120000000002E-2</v>
      </c>
      <c r="W713">
        <v>0.1388624</v>
      </c>
      <c r="X713">
        <v>0.98942359999999896</v>
      </c>
      <c r="Y713">
        <v>0.14844370000000001</v>
      </c>
      <c r="Z713">
        <v>-1.7095519999999999E-2</v>
      </c>
      <c r="AA713">
        <v>0.98877309999999996</v>
      </c>
      <c r="AB713">
        <v>32</v>
      </c>
      <c r="AC713">
        <v>0.66970000000003405</v>
      </c>
      <c r="AD713">
        <v>-0.18340379999999901</v>
      </c>
      <c r="AE713">
        <v>-0.12720000000001599</v>
      </c>
      <c r="AF713">
        <v>0.11970251464092101</v>
      </c>
      <c r="AG713">
        <v>-0.18340379999999901</v>
      </c>
      <c r="AH713">
        <v>0.62428654501159098</v>
      </c>
      <c r="AI713">
        <v>106.09419659701599</v>
      </c>
      <c r="AJ713">
        <v>79.145682170172904</v>
      </c>
      <c r="AK713">
        <v>0.66158849457068802</v>
      </c>
      <c r="AL713">
        <v>82.017976588227199</v>
      </c>
      <c r="AM713">
        <v>87.573294729452201</v>
      </c>
      <c r="AN713">
        <v>1.00000002259758</v>
      </c>
    </row>
    <row r="714" spans="1:40" x14ac:dyDescent="0.25">
      <c r="A714" t="str">
        <f>"20190303170239608"</f>
        <v>20190303170239608</v>
      </c>
      <c r="B714" t="str">
        <f>"1551603759596341"</f>
        <v>1551603759596341</v>
      </c>
      <c r="C714" t="s">
        <v>40</v>
      </c>
      <c r="D714">
        <v>4.1825900000000003</v>
      </c>
      <c r="E714">
        <v>0.54962800000000001</v>
      </c>
      <c r="F714" t="s">
        <v>43</v>
      </c>
      <c r="G714">
        <v>-348.68509999999998</v>
      </c>
      <c r="H714">
        <v>0.91265370000000001</v>
      </c>
      <c r="I714">
        <v>367.55720000000002</v>
      </c>
      <c r="J714">
        <v>-349.4538</v>
      </c>
      <c r="K714">
        <v>1.120949</v>
      </c>
      <c r="L714">
        <v>367.70209999999997</v>
      </c>
      <c r="M714">
        <v>0.99995789999999996</v>
      </c>
      <c r="N714">
        <v>-9.0036319999999993E-3</v>
      </c>
      <c r="O714">
        <v>1.827525E-3</v>
      </c>
      <c r="P714">
        <v>0.9906722</v>
      </c>
      <c r="Q714">
        <v>0.1301657</v>
      </c>
      <c r="R714">
        <v>-4.0316400000000002E-2</v>
      </c>
      <c r="S714">
        <v>3.0984500000000001</v>
      </c>
      <c r="T714">
        <v>-0.68201849999999997</v>
      </c>
      <c r="U714">
        <v>-0.47167969999999998</v>
      </c>
      <c r="V714">
        <v>4.2092539999999998E-2</v>
      </c>
      <c r="W714">
        <v>0.13908999999999999</v>
      </c>
      <c r="X714">
        <v>0.98938479999999995</v>
      </c>
      <c r="Y714">
        <v>0.1486372</v>
      </c>
      <c r="Z714">
        <v>-1.713603E-2</v>
      </c>
      <c r="AA714">
        <v>0.98874329999999999</v>
      </c>
      <c r="AB714">
        <v>32</v>
      </c>
      <c r="AC714">
        <v>0.76870000000002303</v>
      </c>
      <c r="AD714">
        <v>-0.20829529999999999</v>
      </c>
      <c r="AE714">
        <v>-0.14489999999995001</v>
      </c>
      <c r="AF714">
        <v>0.136617654152422</v>
      </c>
      <c r="AG714">
        <v>-0.20829529999999999</v>
      </c>
      <c r="AH714">
        <v>0.71755510436925696</v>
      </c>
      <c r="AI714">
        <v>105.91614920536701</v>
      </c>
      <c r="AJ714">
        <v>79.220287519524206</v>
      </c>
      <c r="AK714">
        <v>0.75956345569977002</v>
      </c>
      <c r="AL714">
        <v>82.004808470471204</v>
      </c>
      <c r="AM714">
        <v>87.563868586775101</v>
      </c>
      <c r="AN714">
        <v>1.00000004624734</v>
      </c>
    </row>
    <row r="715" spans="1:40" x14ac:dyDescent="0.25">
      <c r="A715" t="str">
        <f>"20190303170239624"</f>
        <v>20190303170239624</v>
      </c>
      <c r="B715" t="str">
        <f>"1551603759616836"</f>
        <v>1551603759616836</v>
      </c>
      <c r="C715" t="s">
        <v>40</v>
      </c>
      <c r="D715">
        <v>4.23855</v>
      </c>
      <c r="E715">
        <v>0.545508199999999</v>
      </c>
      <c r="F715" t="s">
        <v>43</v>
      </c>
      <c r="G715">
        <v>-348.67009999999999</v>
      </c>
      <c r="H715">
        <v>0.94865169999999999</v>
      </c>
      <c r="I715">
        <v>367.58229999999998</v>
      </c>
      <c r="J715">
        <v>-349.21749999999997</v>
      </c>
      <c r="K715">
        <v>1.1209659999999999</v>
      </c>
      <c r="L715">
        <v>367.70249999999999</v>
      </c>
      <c r="M715">
        <v>0.99995730000000005</v>
      </c>
      <c r="N715">
        <v>-9.0435440000000006E-3</v>
      </c>
      <c r="O715">
        <v>1.94487E-3</v>
      </c>
      <c r="P715">
        <v>0.99061399999999999</v>
      </c>
      <c r="Q715">
        <v>0.1306966</v>
      </c>
      <c r="R715">
        <v>-4.0034069999999998E-2</v>
      </c>
      <c r="S715">
        <v>3.098541</v>
      </c>
      <c r="T715">
        <v>-0.68137259999999999</v>
      </c>
      <c r="U715">
        <v>-0.47186280000000003</v>
      </c>
      <c r="V715">
        <v>4.1922920000000002E-2</v>
      </c>
      <c r="W715">
        <v>0.13966039999999999</v>
      </c>
      <c r="X715">
        <v>0.98931159999999996</v>
      </c>
      <c r="Y715">
        <v>0.14880560000000001</v>
      </c>
      <c r="Z715">
        <v>-1.7166480000000001E-2</v>
      </c>
      <c r="AA715">
        <v>0.98871739999999997</v>
      </c>
      <c r="AB715">
        <v>32</v>
      </c>
      <c r="AC715">
        <v>0.54739999999998101</v>
      </c>
      <c r="AD715">
        <v>-0.172314299999999</v>
      </c>
      <c r="AE715">
        <v>-0.12020000000001101</v>
      </c>
      <c r="AF715">
        <v>0.11079106361944301</v>
      </c>
      <c r="AG715">
        <v>-0.172314299999999</v>
      </c>
      <c r="AH715">
        <v>0.49990758618030001</v>
      </c>
      <c r="AI715">
        <v>108.59946639809201</v>
      </c>
      <c r="AJ715">
        <v>77.503908800090798</v>
      </c>
      <c r="AK715">
        <v>0.54025408141265496</v>
      </c>
      <c r="AL715">
        <v>81.971804459715798</v>
      </c>
      <c r="AM715">
        <v>87.5734943804555</v>
      </c>
      <c r="AN715">
        <v>1.00000000022202</v>
      </c>
    </row>
    <row r="716" spans="1:40" x14ac:dyDescent="0.25">
      <c r="A716" t="str">
        <f>"20190303170239636"</f>
        <v>20190303170239636</v>
      </c>
      <c r="B716" t="str">
        <f>"1551603759626596"</f>
        <v>1551603759626596</v>
      </c>
      <c r="C716" t="s">
        <v>40</v>
      </c>
      <c r="D716">
        <v>4.2047470000000002</v>
      </c>
      <c r="E716">
        <v>0.54553339999999995</v>
      </c>
      <c r="F716" t="s">
        <v>43</v>
      </c>
      <c r="G716">
        <v>-348.38799999999998</v>
      </c>
      <c r="H716">
        <v>0.93825069999999999</v>
      </c>
      <c r="I716">
        <v>367.58530000000002</v>
      </c>
      <c r="J716">
        <v>-349.04730000000001</v>
      </c>
      <c r="K716">
        <v>1.1209709999999999</v>
      </c>
      <c r="L716">
        <v>367.70299999999997</v>
      </c>
      <c r="M716">
        <v>0.99995679999999998</v>
      </c>
      <c r="N716">
        <v>-9.0726620000000004E-3</v>
      </c>
      <c r="O716">
        <v>2.0332079999999999E-3</v>
      </c>
      <c r="P716">
        <v>0.99058789999999997</v>
      </c>
      <c r="Q716">
        <v>0.13087950000000001</v>
      </c>
      <c r="R716">
        <v>-4.0079579999999997E-2</v>
      </c>
      <c r="S716">
        <v>3.1008</v>
      </c>
      <c r="T716">
        <v>-0.6829944</v>
      </c>
      <c r="U716">
        <v>-0.43817139999999999</v>
      </c>
      <c r="V716">
        <v>4.2053300000000002E-2</v>
      </c>
      <c r="W716">
        <v>0.13987239999999901</v>
      </c>
      <c r="X716">
        <v>0.98927609999999999</v>
      </c>
      <c r="Y716">
        <v>0.138493</v>
      </c>
      <c r="Z716">
        <v>-1.6061220000000001E-2</v>
      </c>
      <c r="AA716">
        <v>0.99023320000000004</v>
      </c>
      <c r="AB716">
        <v>32</v>
      </c>
      <c r="AC716">
        <v>0.65929999999997302</v>
      </c>
      <c r="AD716">
        <v>-0.182720299999999</v>
      </c>
      <c r="AE716">
        <v>-0.117700000000013</v>
      </c>
      <c r="AF716">
        <v>0.110793308654577</v>
      </c>
      <c r="AG716">
        <v>-0.182720299999999</v>
      </c>
      <c r="AH716">
        <v>0.61340032675533296</v>
      </c>
      <c r="AI716">
        <v>106.337849528695</v>
      </c>
      <c r="AJ716">
        <v>79.761536278638104</v>
      </c>
      <c r="AK716">
        <v>0.649555098616174</v>
      </c>
      <c r="AL716">
        <v>81.959537224877096</v>
      </c>
      <c r="AM716">
        <v>87.565869786260095</v>
      </c>
      <c r="AN716">
        <v>0.99999998517692901</v>
      </c>
    </row>
    <row r="717" spans="1:40" x14ac:dyDescent="0.25">
      <c r="A717" t="str">
        <f>"20190303170239647"</f>
        <v>20190303170239647</v>
      </c>
      <c r="B717" t="str">
        <f>"1551603759636358"</f>
        <v>1551603759636358</v>
      </c>
      <c r="C717" t="s">
        <v>40</v>
      </c>
      <c r="D717">
        <v>4.20906</v>
      </c>
      <c r="E717">
        <v>0.54557849999999997</v>
      </c>
      <c r="F717" t="s">
        <v>43</v>
      </c>
      <c r="G717">
        <v>-348.11040000000003</v>
      </c>
      <c r="H717">
        <v>0.91474469999999997</v>
      </c>
      <c r="I717">
        <v>367.56990000000002</v>
      </c>
      <c r="J717">
        <v>-348.88339999999999</v>
      </c>
      <c r="K717">
        <v>1.1209800000000001</v>
      </c>
      <c r="L717">
        <v>367.70339999999999</v>
      </c>
      <c r="M717">
        <v>0.99995630000000002</v>
      </c>
      <c r="N717">
        <v>-9.1005760000000008E-3</v>
      </c>
      <c r="O717">
        <v>2.1239280000000002E-3</v>
      </c>
      <c r="P717">
        <v>0.99057720000000005</v>
      </c>
      <c r="Q717">
        <v>0.13103580000000001</v>
      </c>
      <c r="R717">
        <v>-3.9831760000000001E-2</v>
      </c>
      <c r="S717">
        <v>3.1009829999999998</v>
      </c>
      <c r="T717">
        <v>-0.68270039999999999</v>
      </c>
      <c r="U717">
        <v>-0.43865969999999999</v>
      </c>
      <c r="V717">
        <v>4.1893130000000001E-2</v>
      </c>
      <c r="W717">
        <v>0.14005699999999999</v>
      </c>
      <c r="X717">
        <v>0.98925680000000005</v>
      </c>
      <c r="Y717">
        <v>0.13872290000000001</v>
      </c>
      <c r="Z717">
        <v>-1.6100369999999999E-2</v>
      </c>
      <c r="AA717">
        <v>0.99020030000000003</v>
      </c>
      <c r="AB717">
        <v>32</v>
      </c>
      <c r="AC717">
        <v>0.77299999999996705</v>
      </c>
      <c r="AD717">
        <v>-0.20623529999999901</v>
      </c>
      <c r="AE717">
        <v>-0.133499999999969</v>
      </c>
      <c r="AF717">
        <v>0.12640450049382601</v>
      </c>
      <c r="AG717">
        <v>-0.20623529999999901</v>
      </c>
      <c r="AH717">
        <v>0.72275777600620805</v>
      </c>
      <c r="AI717">
        <v>105.69953951391101</v>
      </c>
      <c r="AJ717">
        <v>80.079762708841102</v>
      </c>
      <c r="AK717">
        <v>0.76216133429125399</v>
      </c>
      <c r="AL717">
        <v>81.948855452584297</v>
      </c>
      <c r="AM717">
        <v>87.575082411031204</v>
      </c>
      <c r="AN717">
        <v>1.00000000696821</v>
      </c>
    </row>
    <row r="718" spans="1:40" x14ac:dyDescent="0.25">
      <c r="A718" t="str">
        <f>"20190303170239661"</f>
        <v>20190303170239661</v>
      </c>
      <c r="B718" t="str">
        <f>"1551603759656852"</f>
        <v>1551603759656852</v>
      </c>
      <c r="C718" t="s">
        <v>40</v>
      </c>
      <c r="D718">
        <v>4.2153489999999998</v>
      </c>
      <c r="E718">
        <v>0.54557650000000002</v>
      </c>
      <c r="F718" t="s">
        <v>43</v>
      </c>
      <c r="G718">
        <v>-348.09640000000002</v>
      </c>
      <c r="H718">
        <v>0.94770480000000001</v>
      </c>
      <c r="I718">
        <v>367.59179999999998</v>
      </c>
      <c r="J718">
        <v>-348.6979</v>
      </c>
      <c r="K718">
        <v>1.120989</v>
      </c>
      <c r="L718">
        <v>367.70389999999998</v>
      </c>
      <c r="M718">
        <v>0.99995579999999995</v>
      </c>
      <c r="N718">
        <v>-9.1317519999999999E-3</v>
      </c>
      <c r="O718">
        <v>2.2291199999999998E-3</v>
      </c>
      <c r="P718">
        <v>0.99056250000000001</v>
      </c>
      <c r="Q718">
        <v>0.1312284</v>
      </c>
      <c r="R718">
        <v>-3.9561789999999999E-2</v>
      </c>
      <c r="S718">
        <v>3.1012879999999998</v>
      </c>
      <c r="T718">
        <v>-0.68304370000000003</v>
      </c>
      <c r="U718">
        <v>-0.43789670000000003</v>
      </c>
      <c r="V718">
        <v>4.1725140000000001E-2</v>
      </c>
      <c r="W718">
        <v>0.1402813</v>
      </c>
      <c r="X718">
        <v>0.98923209999999995</v>
      </c>
      <c r="Y718">
        <v>0.1385728</v>
      </c>
      <c r="Z718">
        <v>-1.6113769999999999E-2</v>
      </c>
      <c r="AA718">
        <v>0.99022109999999997</v>
      </c>
      <c r="AB718">
        <v>32</v>
      </c>
      <c r="AC718">
        <v>0.60149999999998705</v>
      </c>
      <c r="AD718">
        <v>-0.1732842</v>
      </c>
      <c r="AE718">
        <v>-0.11209999999999801</v>
      </c>
      <c r="AF718">
        <v>0.105017346989057</v>
      </c>
      <c r="AG718">
        <v>-0.1732842</v>
      </c>
      <c r="AH718">
        <v>0.55660440640944098</v>
      </c>
      <c r="AI718">
        <v>107.010244110763</v>
      </c>
      <c r="AJ718">
        <v>79.3153214208468</v>
      </c>
      <c r="AK718">
        <v>0.59233818243691405</v>
      </c>
      <c r="AL718">
        <v>81.9358757238804</v>
      </c>
      <c r="AM718">
        <v>87.584734475148593</v>
      </c>
      <c r="AN718">
        <v>0.99999998905405896</v>
      </c>
    </row>
    <row r="719" spans="1:40" x14ac:dyDescent="0.25">
      <c r="A719" t="str">
        <f>"20190303170239672"</f>
        <v>20190303170239672</v>
      </c>
      <c r="B719" t="str">
        <f>"1551603759656852"</f>
        <v>1551603759656852</v>
      </c>
      <c r="C719" t="s">
        <v>40</v>
      </c>
      <c r="D719">
        <v>4.2153489999999998</v>
      </c>
      <c r="E719">
        <v>0.54557650000000002</v>
      </c>
      <c r="F719" t="s">
        <v>43</v>
      </c>
      <c r="G719">
        <v>-347.81760000000003</v>
      </c>
      <c r="H719">
        <v>0.92749329999999996</v>
      </c>
      <c r="I719">
        <v>367.5795</v>
      </c>
      <c r="J719">
        <v>-348.5249</v>
      </c>
      <c r="K719">
        <v>1.121</v>
      </c>
      <c r="L719">
        <v>367.70429999999999</v>
      </c>
      <c r="M719">
        <v>0.9999555</v>
      </c>
      <c r="N719">
        <v>-9.1603320000000002E-3</v>
      </c>
      <c r="O719">
        <v>2.3300819999999998E-3</v>
      </c>
      <c r="P719">
        <v>0.99055329999999997</v>
      </c>
      <c r="Q719">
        <v>0.1313839</v>
      </c>
      <c r="R719">
        <v>-3.928367E-2</v>
      </c>
      <c r="S719">
        <v>3.1014710000000001</v>
      </c>
      <c r="T719">
        <v>-0.6818092</v>
      </c>
      <c r="U719">
        <v>-0.4367065</v>
      </c>
      <c r="V719">
        <v>4.1544900000000003E-2</v>
      </c>
      <c r="W719">
        <v>0.14046539999999999</v>
      </c>
      <c r="X719">
        <v>0.98921360000000003</v>
      </c>
      <c r="Y719">
        <v>0.13830809999999999</v>
      </c>
      <c r="Z719">
        <v>-1.607892E-2</v>
      </c>
      <c r="AA719">
        <v>0.99025870000000005</v>
      </c>
      <c r="AB719">
        <v>32</v>
      </c>
      <c r="AC719">
        <v>0.70729999999997495</v>
      </c>
      <c r="AD719">
        <v>-0.193506699999999</v>
      </c>
      <c r="AE719">
        <v>-0.124799999999993</v>
      </c>
      <c r="AF719">
        <v>0.11789027613234</v>
      </c>
      <c r="AG719">
        <v>-0.193506699999999</v>
      </c>
      <c r="AH719">
        <v>0.65915962659181204</v>
      </c>
      <c r="AI719">
        <v>106.11825346353</v>
      </c>
      <c r="AJ719">
        <v>79.859896990412693</v>
      </c>
      <c r="AK719">
        <v>0.69701820168494</v>
      </c>
      <c r="AL719">
        <v>81.925222392642993</v>
      </c>
      <c r="AM719">
        <v>87.595110495068496</v>
      </c>
      <c r="AN719">
        <v>1.0000000268690601</v>
      </c>
    </row>
    <row r="720" spans="1:40" x14ac:dyDescent="0.25">
      <c r="A720" t="str">
        <f>"20190303170239684"</f>
        <v>20190303170239684</v>
      </c>
      <c r="B720" t="str">
        <f>"1551603759676371"</f>
        <v>1551603759676371</v>
      </c>
      <c r="C720" t="s">
        <v>40</v>
      </c>
      <c r="D720">
        <v>4.2684199999999999</v>
      </c>
      <c r="E720">
        <v>0.53154000000000001</v>
      </c>
      <c r="F720" t="s">
        <v>43</v>
      </c>
      <c r="G720">
        <v>-347.80200000000002</v>
      </c>
      <c r="H720">
        <v>0.96221970000000001</v>
      </c>
      <c r="I720">
        <v>367.60239999999999</v>
      </c>
      <c r="J720">
        <v>-348.36079999999998</v>
      </c>
      <c r="K720">
        <v>1.1210100000000001</v>
      </c>
      <c r="L720">
        <v>367.70479999999998</v>
      </c>
      <c r="M720">
        <v>0.99995500000000004</v>
      </c>
      <c r="N720">
        <v>-9.1876130000000007E-3</v>
      </c>
      <c r="O720">
        <v>2.4290090000000002E-3</v>
      </c>
      <c r="P720">
        <v>0.99054540000000002</v>
      </c>
      <c r="Q720">
        <v>0.1315547</v>
      </c>
      <c r="R720">
        <v>-3.8901650000000003E-2</v>
      </c>
      <c r="S720">
        <v>3.1016539999999999</v>
      </c>
      <c r="T720">
        <v>-0.68133969999999999</v>
      </c>
      <c r="U720">
        <v>-0.43588260000000001</v>
      </c>
      <c r="V720">
        <v>4.1259530000000003E-2</v>
      </c>
      <c r="W720">
        <v>0.14066319999999999</v>
      </c>
      <c r="X720">
        <v>0.9891974</v>
      </c>
      <c r="Y720">
        <v>0.1381463</v>
      </c>
      <c r="Z720">
        <v>-1.6071990000000001E-2</v>
      </c>
      <c r="AA720">
        <v>0.99028139999999998</v>
      </c>
      <c r="AB720">
        <v>32</v>
      </c>
      <c r="AC720">
        <v>0.55880000000001895</v>
      </c>
      <c r="AD720">
        <v>-0.1587903</v>
      </c>
      <c r="AE720">
        <v>-0.102399999999988</v>
      </c>
      <c r="AF720">
        <v>9.62384428703255E-2</v>
      </c>
      <c r="AG720">
        <v>-0.1587903</v>
      </c>
      <c r="AH720">
        <v>0.518074931154338</v>
      </c>
      <c r="AI720">
        <v>106.769939894365</v>
      </c>
      <c r="AJ720">
        <v>79.476593605270807</v>
      </c>
      <c r="AK720">
        <v>0.55034337603969297</v>
      </c>
      <c r="AL720">
        <v>81.913775342444893</v>
      </c>
      <c r="AM720">
        <v>87.611571305141297</v>
      </c>
      <c r="AN720">
        <v>0.99999999040841003</v>
      </c>
    </row>
    <row r="721" spans="1:40" x14ac:dyDescent="0.25">
      <c r="A721" t="str">
        <f>"20190303170239696"</f>
        <v>20190303170239696</v>
      </c>
      <c r="B721" t="str">
        <f>"1551603759686132"</f>
        <v>1551603759686132</v>
      </c>
      <c r="C721" t="s">
        <v>40</v>
      </c>
      <c r="D721">
        <v>4.1760590000000004</v>
      </c>
      <c r="E721">
        <v>0.5267503</v>
      </c>
      <c r="F721" t="s">
        <v>43</v>
      </c>
      <c r="G721">
        <v>-347.51909999999998</v>
      </c>
      <c r="H721">
        <v>0.95189749999999995</v>
      </c>
      <c r="I721">
        <v>367.61619999999999</v>
      </c>
      <c r="J721">
        <v>-348.1782</v>
      </c>
      <c r="K721">
        <v>1.1210180000000001</v>
      </c>
      <c r="L721">
        <v>367.7054</v>
      </c>
      <c r="M721">
        <v>0.99995440000000002</v>
      </c>
      <c r="N721">
        <v>-9.2180349999999994E-3</v>
      </c>
      <c r="O721">
        <v>2.5403790000000002E-3</v>
      </c>
      <c r="P721">
        <v>0.99049180000000003</v>
      </c>
      <c r="Q721">
        <v>0.1320462</v>
      </c>
      <c r="R721">
        <v>-3.8596850000000002E-2</v>
      </c>
      <c r="S721">
        <v>3.0985719999999999</v>
      </c>
      <c r="T721">
        <v>-0.62276160000000003</v>
      </c>
      <c r="U721">
        <v>-0.32489010000000001</v>
      </c>
      <c r="V721">
        <v>4.106336E-2</v>
      </c>
      <c r="W721">
        <v>0.14118439999999999</v>
      </c>
      <c r="X721">
        <v>0.98913130000000005</v>
      </c>
      <c r="Y721">
        <v>0.104593699999999</v>
      </c>
      <c r="Z721">
        <v>-1.1348530000000001E-2</v>
      </c>
      <c r="AA721">
        <v>0.99445030000000001</v>
      </c>
      <c r="AB721">
        <v>32</v>
      </c>
      <c r="AC721">
        <v>0.659100000000023</v>
      </c>
      <c r="AD721">
        <v>-0.16912049999999901</v>
      </c>
      <c r="AE721">
        <v>-8.9200000000005206E-2</v>
      </c>
      <c r="AF721">
        <v>8.5355424993032697E-2</v>
      </c>
      <c r="AG721">
        <v>-0.16912049999999901</v>
      </c>
      <c r="AH721">
        <v>0.61885848146570799</v>
      </c>
      <c r="AI721">
        <v>105.14777076074201</v>
      </c>
      <c r="AJ721">
        <v>82.147083328637706</v>
      </c>
      <c r="AK721">
        <v>0.64720407305426697</v>
      </c>
      <c r="AL721">
        <v>81.883611689531605</v>
      </c>
      <c r="AM721">
        <v>87.622755452836799</v>
      </c>
      <c r="AN721">
        <v>0.99999998148876901</v>
      </c>
    </row>
    <row r="722" spans="1:40" x14ac:dyDescent="0.25">
      <c r="A722" t="str">
        <f>"20190303170239713"</f>
        <v>20190303170239713</v>
      </c>
      <c r="B722" t="str">
        <f>"1551603759706628"</f>
        <v>1551603759706628</v>
      </c>
      <c r="C722" t="s">
        <v>40</v>
      </c>
      <c r="D722">
        <v>4.1532660000000003</v>
      </c>
      <c r="E722">
        <v>0.51799759999999995</v>
      </c>
      <c r="F722" t="s">
        <v>43</v>
      </c>
      <c r="G722">
        <v>-347.23230000000001</v>
      </c>
      <c r="H722">
        <v>0.94844039999999996</v>
      </c>
      <c r="I722">
        <v>367.61700000000002</v>
      </c>
      <c r="J722">
        <v>-347.93270000000001</v>
      </c>
      <c r="K722">
        <v>1.1210260000000001</v>
      </c>
      <c r="L722">
        <v>367.70609999999999</v>
      </c>
      <c r="M722">
        <v>0.99995369999999995</v>
      </c>
      <c r="N722">
        <v>-9.2590720000000001E-3</v>
      </c>
      <c r="O722">
        <v>2.6934239999999998E-3</v>
      </c>
      <c r="P722">
        <v>0.99043610000000004</v>
      </c>
      <c r="Q722">
        <v>0.132635999999999</v>
      </c>
      <c r="R722">
        <v>-3.8006459999999999E-2</v>
      </c>
      <c r="S722">
        <v>3.0927730000000002</v>
      </c>
      <c r="T722">
        <v>-0.56441200000000002</v>
      </c>
      <c r="U722">
        <v>-0.28814699999999999</v>
      </c>
      <c r="V722">
        <v>4.0622430000000001E-2</v>
      </c>
      <c r="W722">
        <v>0.14181450000000001</v>
      </c>
      <c r="X722">
        <v>0.98905940000000003</v>
      </c>
      <c r="Y722">
        <v>9.3792260000000002E-2</v>
      </c>
      <c r="Z722">
        <v>-9.3709359999999998E-3</v>
      </c>
      <c r="AA722">
        <v>0.99554770000000004</v>
      </c>
      <c r="AB722">
        <v>32</v>
      </c>
      <c r="AC722">
        <v>0.70040000000000102</v>
      </c>
      <c r="AD722">
        <v>-0.17258560000000001</v>
      </c>
      <c r="AE722">
        <v>-8.9100000000030294E-2</v>
      </c>
      <c r="AF722">
        <v>8.5856239204834803E-2</v>
      </c>
      <c r="AG722">
        <v>-0.17258560000000001</v>
      </c>
      <c r="AH722">
        <v>0.66068113633567505</v>
      </c>
      <c r="AI722">
        <v>104.522984379693</v>
      </c>
      <c r="AJ722">
        <v>82.595843192749101</v>
      </c>
      <c r="AK722">
        <v>0.68822717691729995</v>
      </c>
      <c r="AL722">
        <v>81.847142957535297</v>
      </c>
      <c r="AM722">
        <v>87.648082235771895</v>
      </c>
      <c r="AN722">
        <v>1.00000001547885</v>
      </c>
    </row>
    <row r="723" spans="1:40" x14ac:dyDescent="0.25">
      <c r="A723" t="str">
        <f>"20190303170239727"</f>
        <v>20190303170239727</v>
      </c>
      <c r="B723" t="str">
        <f>"1551603759716388"</f>
        <v>1551603759716388</v>
      </c>
      <c r="C723" t="s">
        <v>40</v>
      </c>
      <c r="D723">
        <v>4.2664960000000001</v>
      </c>
      <c r="E723">
        <v>0.51427860000000003</v>
      </c>
      <c r="F723" t="s">
        <v>43</v>
      </c>
      <c r="G723">
        <v>-347.19940000000003</v>
      </c>
      <c r="H723">
        <v>1.0163249999999999</v>
      </c>
      <c r="I723">
        <v>367.65309999999999</v>
      </c>
      <c r="J723">
        <v>-347.74119999999999</v>
      </c>
      <c r="K723">
        <v>1.1210290000000001</v>
      </c>
      <c r="L723">
        <v>367.70679999999999</v>
      </c>
      <c r="M723">
        <v>0.99995290000000003</v>
      </c>
      <c r="N723">
        <v>-9.2904489999999992E-3</v>
      </c>
      <c r="O723">
        <v>2.8145430000000001E-3</v>
      </c>
      <c r="P723">
        <v>0.99038170000000003</v>
      </c>
      <c r="Q723">
        <v>0.13301859999999999</v>
      </c>
      <c r="R723">
        <v>-3.808073E-2</v>
      </c>
      <c r="S723">
        <v>3.0793759999999999</v>
      </c>
      <c r="T723">
        <v>-0.43990659999999998</v>
      </c>
      <c r="U723">
        <v>-0.22174070000000001</v>
      </c>
      <c r="V723">
        <v>4.0815650000000002E-2</v>
      </c>
      <c r="W723">
        <v>0.14222799999999999</v>
      </c>
      <c r="X723">
        <v>0.98899199999999998</v>
      </c>
      <c r="Y723">
        <v>7.3809910000000006E-2</v>
      </c>
      <c r="Z723">
        <v>-5.9574800000000002E-3</v>
      </c>
      <c r="AA723">
        <v>0.99725459999999999</v>
      </c>
      <c r="AB723">
        <v>32</v>
      </c>
      <c r="AC723">
        <v>0.54179999999996598</v>
      </c>
      <c r="AD723">
        <v>-0.10470400000000001</v>
      </c>
      <c r="AE723">
        <v>-5.3699999999991997E-2</v>
      </c>
      <c r="AF723">
        <v>5.3255230240645497E-2</v>
      </c>
      <c r="AG723">
        <v>-0.10470400000000001</v>
      </c>
      <c r="AH723">
        <v>0.52232935993460805</v>
      </c>
      <c r="AI723">
        <v>101.27808864527201</v>
      </c>
      <c r="AJ723">
        <v>84.178400455872307</v>
      </c>
      <c r="AK723">
        <v>0.53537557603394803</v>
      </c>
      <c r="AL723">
        <v>81.823207994278604</v>
      </c>
      <c r="AM723">
        <v>87.636747162353302</v>
      </c>
      <c r="AN723">
        <v>0.99999994866645903</v>
      </c>
    </row>
    <row r="724" spans="1:40" x14ac:dyDescent="0.25">
      <c r="A724" t="str">
        <f>"20190303170239740"</f>
        <v>20190303170239740</v>
      </c>
      <c r="B724" t="str">
        <f>"1551603759726148"</f>
        <v>1551603759726148</v>
      </c>
      <c r="C724" t="s">
        <v>40</v>
      </c>
      <c r="D724">
        <v>4.1654289999999996</v>
      </c>
      <c r="E724">
        <v>0.51140140000000001</v>
      </c>
      <c r="F724" t="s">
        <v>43</v>
      </c>
      <c r="G724">
        <v>-346.91059999999999</v>
      </c>
      <c r="H724">
        <v>1.016348</v>
      </c>
      <c r="I724">
        <v>367.65370000000001</v>
      </c>
      <c r="J724">
        <v>-347.54700000000003</v>
      </c>
      <c r="K724">
        <v>1.1210370000000001</v>
      </c>
      <c r="L724">
        <v>367.70749999999998</v>
      </c>
      <c r="M724">
        <v>0.99995230000000002</v>
      </c>
      <c r="N724">
        <v>-9.3216470000000006E-3</v>
      </c>
      <c r="O724">
        <v>2.9378030000000001E-3</v>
      </c>
      <c r="P724">
        <v>0.99040879999999998</v>
      </c>
      <c r="Q724">
        <v>0.13283639999999999</v>
      </c>
      <c r="R724">
        <v>-3.8016229999999998E-2</v>
      </c>
      <c r="S724">
        <v>3.0737299999999999</v>
      </c>
      <c r="T724">
        <v>-0.38768269999999999</v>
      </c>
      <c r="U724">
        <v>-0.19464110000000001</v>
      </c>
      <c r="V724">
        <v>4.087271E-2</v>
      </c>
      <c r="W724">
        <v>0.14207739999999999</v>
      </c>
      <c r="X724">
        <v>0.98901130000000004</v>
      </c>
      <c r="Y724">
        <v>6.5553410000000006E-2</v>
      </c>
      <c r="Z724">
        <v>-4.7622659999999898E-3</v>
      </c>
      <c r="AA724">
        <v>0.99783770000000005</v>
      </c>
      <c r="AB724">
        <v>32</v>
      </c>
      <c r="AC724">
        <v>0.63639999999997998</v>
      </c>
      <c r="AD724">
        <v>-0.104689</v>
      </c>
      <c r="AE724">
        <v>-5.3799999999966902E-2</v>
      </c>
      <c r="AF724">
        <v>5.4212830490964502E-2</v>
      </c>
      <c r="AG724">
        <v>-0.104689</v>
      </c>
      <c r="AH724">
        <v>0.61959148380236695</v>
      </c>
      <c r="AI724">
        <v>99.554547706971505</v>
      </c>
      <c r="AJ724">
        <v>84.999486115530701</v>
      </c>
      <c r="AK724">
        <v>0.63070787573270504</v>
      </c>
      <c r="AL724">
        <v>81.831925348380196</v>
      </c>
      <c r="AM724">
        <v>87.633493234173898</v>
      </c>
      <c r="AN724">
        <v>0.999999958770596</v>
      </c>
    </row>
    <row r="725" spans="1:40" x14ac:dyDescent="0.25">
      <c r="A725" t="str">
        <f>"20190303170239759"</f>
        <v>20190303170239759</v>
      </c>
      <c r="B725" t="str">
        <f>"1551603759746644"</f>
        <v>1551603759746644</v>
      </c>
      <c r="C725" t="s">
        <v>40</v>
      </c>
      <c r="D725">
        <v>4.110798</v>
      </c>
      <c r="E725">
        <v>0.50750329999999999</v>
      </c>
      <c r="F725" t="s">
        <v>43</v>
      </c>
      <c r="G725">
        <v>-346.62119999999999</v>
      </c>
      <c r="H725">
        <v>1.016759</v>
      </c>
      <c r="I725">
        <v>367.65480000000002</v>
      </c>
      <c r="J725">
        <v>-347.28179999999998</v>
      </c>
      <c r="K725">
        <v>1.121041</v>
      </c>
      <c r="L725">
        <v>367.70839999999998</v>
      </c>
      <c r="M725">
        <v>0.99995140000000005</v>
      </c>
      <c r="N725">
        <v>-9.36267E-3</v>
      </c>
      <c r="O725">
        <v>3.1073289999999998E-3</v>
      </c>
      <c r="P725">
        <v>0.9904463</v>
      </c>
      <c r="Q725">
        <v>0.13239919999999999</v>
      </c>
      <c r="R725">
        <v>-3.8552889999999999E-2</v>
      </c>
      <c r="S725">
        <v>3.0687259999999998</v>
      </c>
      <c r="T725">
        <v>-0.34580709999999998</v>
      </c>
      <c r="U725">
        <v>-0.17373659999999999</v>
      </c>
      <c r="V725">
        <v>4.1577019999999999E-2</v>
      </c>
      <c r="W725">
        <v>0.14168140000000001</v>
      </c>
      <c r="X725">
        <v>0.9890388</v>
      </c>
      <c r="Y725">
        <v>5.9205590000000002E-2</v>
      </c>
      <c r="Z725">
        <v>-3.9208380000000003E-3</v>
      </c>
      <c r="AA725">
        <v>0.99823810000000002</v>
      </c>
      <c r="AB725">
        <v>32</v>
      </c>
      <c r="AC725">
        <v>0.66059999999998797</v>
      </c>
      <c r="AD725">
        <v>-0.104282</v>
      </c>
      <c r="AE725">
        <v>-5.3599999999960297E-2</v>
      </c>
      <c r="AF725">
        <v>5.4308047555641899E-2</v>
      </c>
      <c r="AG725">
        <v>-0.104282</v>
      </c>
      <c r="AH725">
        <v>0.64447520657205803</v>
      </c>
      <c r="AI725">
        <v>99.159409285179393</v>
      </c>
      <c r="AJ725">
        <v>85.183231318108895</v>
      </c>
      <c r="AK725">
        <v>0.65511250288740697</v>
      </c>
      <c r="AL725">
        <v>81.854846750224695</v>
      </c>
      <c r="AM725">
        <v>87.592828504242206</v>
      </c>
      <c r="AN725">
        <v>1.0000000078017399</v>
      </c>
    </row>
    <row r="726" spans="1:40" x14ac:dyDescent="0.25">
      <c r="A726" t="str">
        <f>"20190303170239772"</f>
        <v>20190303170239772</v>
      </c>
      <c r="B726" t="str">
        <f>"1551603759766164"</f>
        <v>1551603759766164</v>
      </c>
      <c r="C726" t="s">
        <v>40</v>
      </c>
      <c r="D726">
        <v>4.1670550000000004</v>
      </c>
      <c r="E726">
        <v>0.50461009999999995</v>
      </c>
      <c r="F726" t="s">
        <v>43</v>
      </c>
      <c r="G726">
        <v>-346.32440000000003</v>
      </c>
      <c r="H726">
        <v>1.0314000000000001</v>
      </c>
      <c r="I726">
        <v>367.66250000000002</v>
      </c>
      <c r="J726">
        <v>-347.06779999999998</v>
      </c>
      <c r="K726">
        <v>1.1210500000000001</v>
      </c>
      <c r="L726">
        <v>367.70909999999998</v>
      </c>
      <c r="M726">
        <v>0.99995060000000002</v>
      </c>
      <c r="N726">
        <v>-9.3943910000000002E-3</v>
      </c>
      <c r="O726">
        <v>3.244406E-3</v>
      </c>
      <c r="P726">
        <v>0.9904868</v>
      </c>
      <c r="Q726">
        <v>0.13206419999999999</v>
      </c>
      <c r="R726">
        <v>-3.8665770000000002E-2</v>
      </c>
      <c r="S726">
        <v>3.0615540000000001</v>
      </c>
      <c r="T726">
        <v>-0.28686869999999998</v>
      </c>
      <c r="U726">
        <v>-0.14614869999999999</v>
      </c>
      <c r="V726">
        <v>4.1825189999999998E-2</v>
      </c>
      <c r="W726">
        <v>0.1413779</v>
      </c>
      <c r="X726">
        <v>0.98907179999999995</v>
      </c>
      <c r="Y726">
        <v>5.0667810000000001E-2</v>
      </c>
      <c r="Z726">
        <v>-2.8787470000000001E-3</v>
      </c>
      <c r="AA726">
        <v>0.99871140000000003</v>
      </c>
      <c r="AB726">
        <v>32</v>
      </c>
      <c r="AC726">
        <v>0.74339999999995099</v>
      </c>
      <c r="AD726">
        <v>-8.9649999999999994E-2</v>
      </c>
      <c r="AE726">
        <v>-4.6599999999955302E-2</v>
      </c>
      <c r="AF726">
        <v>4.8311900254838502E-2</v>
      </c>
      <c r="AG726">
        <v>-8.9649999999999994E-2</v>
      </c>
      <c r="AH726">
        <v>0.73263189216223901</v>
      </c>
      <c r="AI726">
        <v>96.961461624409296</v>
      </c>
      <c r="AJ726">
        <v>86.227210195969604</v>
      </c>
      <c r="AK726">
        <v>0.73967604504908502</v>
      </c>
      <c r="AL726">
        <v>81.872413113629605</v>
      </c>
      <c r="AM726">
        <v>87.578558034716494</v>
      </c>
      <c r="AN726">
        <v>1.0000000413410901</v>
      </c>
    </row>
    <row r="727" spans="1:40" x14ac:dyDescent="0.25">
      <c r="A727" t="str">
        <f>"20190303170239784"</f>
        <v>20190303170239784</v>
      </c>
      <c r="B727" t="str">
        <f>"1551603759776900"</f>
        <v>1551603759776900</v>
      </c>
      <c r="C727" t="s">
        <v>40</v>
      </c>
      <c r="D727">
        <v>4.1542859999999999</v>
      </c>
      <c r="E727">
        <v>0.50359709999999902</v>
      </c>
      <c r="F727" t="s">
        <v>42</v>
      </c>
      <c r="G727">
        <v>-333.36799999999999</v>
      </c>
      <c r="H727" s="1">
        <v>-3.2650160000000001E-6</v>
      </c>
      <c r="I727">
        <v>367.14949999999999</v>
      </c>
      <c r="J727">
        <v>-346.90069999999997</v>
      </c>
      <c r="K727">
        <v>1.1210530000000001</v>
      </c>
      <c r="L727">
        <v>367.70979999999997</v>
      </c>
      <c r="M727">
        <v>0.99995009999999995</v>
      </c>
      <c r="N727">
        <v>-9.4177589999999995E-3</v>
      </c>
      <c r="O727">
        <v>3.351297E-3</v>
      </c>
      <c r="P727">
        <v>0.9905195</v>
      </c>
      <c r="Q727">
        <v>0.1317284</v>
      </c>
      <c r="R727">
        <v>-3.8971930000000002E-2</v>
      </c>
      <c r="S727">
        <v>3.0572810000000001</v>
      </c>
      <c r="T727">
        <v>-0.25017600000000001</v>
      </c>
      <c r="U727">
        <v>-0.1248779</v>
      </c>
      <c r="V727">
        <v>4.2237280000000002E-2</v>
      </c>
      <c r="W727">
        <v>0.14106589999999999</v>
      </c>
      <c r="X727">
        <v>0.98909879999999994</v>
      </c>
      <c r="Y727">
        <v>4.3987949999999998E-2</v>
      </c>
      <c r="Z727">
        <v>-2.2457850000000001E-3</v>
      </c>
      <c r="AA727">
        <v>0.99902950000000001</v>
      </c>
      <c r="AB727">
        <v>32</v>
      </c>
      <c r="AC727">
        <v>13.532699999999901</v>
      </c>
      <c r="AD727">
        <v>-1.1210562650159901</v>
      </c>
      <c r="AE727">
        <v>-0.56029999999998303</v>
      </c>
      <c r="AF727">
        <v>0.60152998967804805</v>
      </c>
      <c r="AG727">
        <v>-1.1210562650159901</v>
      </c>
      <c r="AH727">
        <v>13.4386803089235</v>
      </c>
      <c r="AI727">
        <v>94.763831695410403</v>
      </c>
      <c r="AJ727">
        <v>87.4370891411304</v>
      </c>
      <c r="AK727">
        <v>13.498767866855999</v>
      </c>
      <c r="AL727">
        <v>81.890470078534094</v>
      </c>
      <c r="AM727">
        <v>87.554795841430803</v>
      </c>
      <c r="AN727">
        <v>1.0000000060630201</v>
      </c>
    </row>
    <row r="728" spans="1:40" x14ac:dyDescent="0.25">
      <c r="A728" t="str">
        <f>"20190303170239797"</f>
        <v>20190303170239797</v>
      </c>
      <c r="B728" t="str">
        <f>"1551603759786661"</f>
        <v>1551603759786661</v>
      </c>
      <c r="C728" t="s">
        <v>40</v>
      </c>
      <c r="D728">
        <v>4.1154640000000002</v>
      </c>
      <c r="E728">
        <v>0.50281699999999996</v>
      </c>
      <c r="F728" t="s">
        <v>43</v>
      </c>
      <c r="G728">
        <v>-346.02080000000001</v>
      </c>
      <c r="H728">
        <v>1.052576</v>
      </c>
      <c r="I728">
        <v>367.6755</v>
      </c>
      <c r="J728">
        <v>-346.7244</v>
      </c>
      <c r="K728">
        <v>1.1210580000000001</v>
      </c>
      <c r="L728">
        <v>367.71050000000002</v>
      </c>
      <c r="M728">
        <v>0.99994950000000005</v>
      </c>
      <c r="N728">
        <v>-9.4495380000000004E-3</v>
      </c>
      <c r="O728">
        <v>3.4641110000000002E-3</v>
      </c>
      <c r="P728">
        <v>0.99049339999999997</v>
      </c>
      <c r="Q728">
        <v>0.131958299999999</v>
      </c>
      <c r="R728">
        <v>-3.8856309999999998E-2</v>
      </c>
      <c r="S728">
        <v>3.0557249999999998</v>
      </c>
      <c r="T728">
        <v>-0.2380555</v>
      </c>
      <c r="U728">
        <v>-0.11828610000000001</v>
      </c>
      <c r="V728">
        <v>4.2232869999999999E-2</v>
      </c>
      <c r="W728">
        <v>0.14132690000000001</v>
      </c>
      <c r="X728">
        <v>0.98906170000000004</v>
      </c>
      <c r="Y728">
        <v>4.1991529999999999E-2</v>
      </c>
      <c r="Z728">
        <v>-2.068089E-3</v>
      </c>
      <c r="AA728">
        <v>0.9991158</v>
      </c>
      <c r="AB728">
        <v>32</v>
      </c>
      <c r="AC728">
        <v>0.70359999999999401</v>
      </c>
      <c r="AD728">
        <v>-6.8481999999999904E-2</v>
      </c>
      <c r="AE728">
        <v>-3.5000000000024997E-2</v>
      </c>
      <c r="AF728">
        <v>3.7086780042224099E-2</v>
      </c>
      <c r="AG728">
        <v>-6.8481999999999904E-2</v>
      </c>
      <c r="AH728">
        <v>0.69688898731462101</v>
      </c>
      <c r="AI728">
        <v>95.604451808942102</v>
      </c>
      <c r="AJ728">
        <v>86.953728054632506</v>
      </c>
      <c r="AK728">
        <v>0.70122712028151002</v>
      </c>
      <c r="AL728">
        <v>81.875364310760901</v>
      </c>
      <c r="AM728">
        <v>87.554959236214202</v>
      </c>
      <c r="AN728">
        <v>0.99999997718946798</v>
      </c>
    </row>
    <row r="729" spans="1:40" x14ac:dyDescent="0.25">
      <c r="A729" t="str">
        <f>"20190303170239814"</f>
        <v>20190303170239814</v>
      </c>
      <c r="B729" t="str">
        <f>"1551603759806181"</f>
        <v>1551603759806181</v>
      </c>
      <c r="C729" t="s">
        <v>40</v>
      </c>
      <c r="D729">
        <v>4.1311970000000002</v>
      </c>
      <c r="E729">
        <v>0.50164109999999995</v>
      </c>
      <c r="F729" t="s">
        <v>43</v>
      </c>
      <c r="G729">
        <v>-345.73500000000001</v>
      </c>
      <c r="H729">
        <v>1.047979</v>
      </c>
      <c r="I729">
        <v>367.6739</v>
      </c>
      <c r="J729">
        <v>-346.47089999999997</v>
      </c>
      <c r="K729">
        <v>1.1210709999999999</v>
      </c>
      <c r="L729">
        <v>367.7115</v>
      </c>
      <c r="M729">
        <v>0.99994799999999995</v>
      </c>
      <c r="N729">
        <v>-9.5412329999999997E-3</v>
      </c>
      <c r="O729">
        <v>3.625769E-3</v>
      </c>
      <c r="P729">
        <v>0.99039279999999996</v>
      </c>
      <c r="Q729">
        <v>0.13269839999999999</v>
      </c>
      <c r="R729">
        <v>-3.8904260000000003E-2</v>
      </c>
      <c r="S729">
        <v>3.0545650000000002</v>
      </c>
      <c r="T729">
        <v>-0.2259034</v>
      </c>
      <c r="U729">
        <v>-0.11203</v>
      </c>
      <c r="V729">
        <v>4.2439690000000002E-2</v>
      </c>
      <c r="W729">
        <v>0.1421567</v>
      </c>
      <c r="X729">
        <v>0.98893390000000003</v>
      </c>
      <c r="Y729">
        <v>4.0143699999999997E-2</v>
      </c>
      <c r="Z729">
        <v>-1.9069410000000001E-3</v>
      </c>
      <c r="AA729">
        <v>0.99919210000000003</v>
      </c>
      <c r="AB729">
        <v>32</v>
      </c>
      <c r="AC729">
        <v>0.73589999999995803</v>
      </c>
      <c r="AD729">
        <v>-7.3091999999999893E-2</v>
      </c>
      <c r="AE729">
        <v>-3.7599999999997601E-2</v>
      </c>
      <c r="AF729">
        <v>3.9875723188603399E-2</v>
      </c>
      <c r="AG729">
        <v>-7.3091999999999893E-2</v>
      </c>
      <c r="AH729">
        <v>0.72858992010442902</v>
      </c>
      <c r="AI729">
        <v>95.720230912477803</v>
      </c>
      <c r="AJ729">
        <v>86.867327579773402</v>
      </c>
      <c r="AK729">
        <v>0.73333197492103996</v>
      </c>
      <c r="AL729">
        <v>81.8273351844296</v>
      </c>
      <c r="AM729">
        <v>87.542683054349894</v>
      </c>
      <c r="AN729">
        <v>0.99999995660569696</v>
      </c>
    </row>
    <row r="730" spans="1:40" x14ac:dyDescent="0.25">
      <c r="A730" t="str">
        <f>"20190303170239836"</f>
        <v>20190303170239836</v>
      </c>
      <c r="B730" t="str">
        <f>"1551603759826676"</f>
        <v>1551603759826676</v>
      </c>
      <c r="C730" t="s">
        <v>40</v>
      </c>
      <c r="D730">
        <v>4.1359949999999897</v>
      </c>
      <c r="E730">
        <v>0.50078420000000001</v>
      </c>
      <c r="F730" t="s">
        <v>42</v>
      </c>
      <c r="G730">
        <v>-329.83730000000003</v>
      </c>
      <c r="H730" s="1">
        <v>-6.9895529999999995E-7</v>
      </c>
      <c r="I730">
        <v>367.14519999999999</v>
      </c>
      <c r="J730">
        <v>-346.16770000000002</v>
      </c>
      <c r="K730">
        <v>1.1211329999999999</v>
      </c>
      <c r="L730">
        <v>367.71289999999999</v>
      </c>
      <c r="M730">
        <v>0.99994499999999997</v>
      </c>
      <c r="N730">
        <v>-9.7695420000000009E-3</v>
      </c>
      <c r="O730">
        <v>3.817539E-3</v>
      </c>
      <c r="P730">
        <v>0.99038870000000001</v>
      </c>
      <c r="Q730">
        <v>0.1327439</v>
      </c>
      <c r="R730">
        <v>-3.8851749999999997E-2</v>
      </c>
      <c r="S730">
        <v>3.0525820000000001</v>
      </c>
      <c r="T730">
        <v>-0.20573710000000001</v>
      </c>
      <c r="U730">
        <v>-0.1039124</v>
      </c>
      <c r="V730">
        <v>4.2576450000000002E-2</v>
      </c>
      <c r="W730">
        <v>0.1424281</v>
      </c>
      <c r="X730">
        <v>0.98888900000000002</v>
      </c>
      <c r="Y730">
        <v>3.7732099999999998E-2</v>
      </c>
      <c r="Z730">
        <v>-1.6740139999999999E-3</v>
      </c>
      <c r="AA730">
        <v>0.99928649999999997</v>
      </c>
      <c r="AB730">
        <v>32</v>
      </c>
      <c r="AC730">
        <v>16.330399999999901</v>
      </c>
      <c r="AD730">
        <v>-1.1211336989553</v>
      </c>
      <c r="AE730">
        <v>-0.56770000000000198</v>
      </c>
      <c r="AF730">
        <v>0.62708871336860394</v>
      </c>
      <c r="AG730">
        <v>-1.1211336989553</v>
      </c>
      <c r="AH730">
        <v>16.251608113923599</v>
      </c>
      <c r="AI730">
        <v>93.943429841756597</v>
      </c>
      <c r="AJ730">
        <v>87.790266630938902</v>
      </c>
      <c r="AK730">
        <v>16.302298835253701</v>
      </c>
      <c r="AL730">
        <v>81.811625498076694</v>
      </c>
      <c r="AM730">
        <v>87.534662420005603</v>
      </c>
      <c r="AN730">
        <v>0.99999998604260598</v>
      </c>
    </row>
    <row r="731" spans="1:40" x14ac:dyDescent="0.25">
      <c r="A731" t="str">
        <f>"20190303170239848"</f>
        <v>20190303170239848</v>
      </c>
      <c r="B731" t="str">
        <f>"1551603759836437"</f>
        <v>1551603759836437</v>
      </c>
      <c r="C731" t="s">
        <v>40</v>
      </c>
      <c r="D731">
        <v>4.0979289999999997</v>
      </c>
      <c r="E731">
        <v>0.50051459999999903</v>
      </c>
      <c r="F731" t="s">
        <v>42</v>
      </c>
      <c r="G731">
        <v>-328.42970000000003</v>
      </c>
      <c r="H731" s="1">
        <v>-1.1771389999999999E-6</v>
      </c>
      <c r="I731">
        <v>367.14830000000001</v>
      </c>
      <c r="J731">
        <v>-345.99099999999999</v>
      </c>
      <c r="K731">
        <v>1.1211359999999999</v>
      </c>
      <c r="L731">
        <v>367.71359999999999</v>
      </c>
      <c r="M731">
        <v>0.99994419999999995</v>
      </c>
      <c r="N731">
        <v>-9.8163299999999998E-3</v>
      </c>
      <c r="O731">
        <v>3.9275450000000002E-3</v>
      </c>
      <c r="P731">
        <v>0.99041869999999999</v>
      </c>
      <c r="Q731">
        <v>0.13247030000000001</v>
      </c>
      <c r="R731">
        <v>-3.9018089999999998E-2</v>
      </c>
      <c r="S731">
        <v>3.0511469999999998</v>
      </c>
      <c r="T731">
        <v>-0.19284860000000001</v>
      </c>
      <c r="U731">
        <v>-9.7106929999999994E-2</v>
      </c>
      <c r="V731">
        <v>4.2851510000000002E-2</v>
      </c>
      <c r="W731">
        <v>0.14220160000000001</v>
      </c>
      <c r="X731">
        <v>0.9889097</v>
      </c>
      <c r="Y731">
        <v>3.5648039999999999E-2</v>
      </c>
      <c r="Z731">
        <v>-1.509804E-3</v>
      </c>
      <c r="AA731">
        <v>0.99936320000000001</v>
      </c>
      <c r="AB731">
        <v>32</v>
      </c>
      <c r="AC731">
        <v>17.5612999999999</v>
      </c>
      <c r="AD731">
        <v>-1.121137177139</v>
      </c>
      <c r="AE731">
        <v>-0.56529999999997904</v>
      </c>
      <c r="AF731">
        <v>0.63169978691251305</v>
      </c>
      <c r="AG731">
        <v>-1.121137177139</v>
      </c>
      <c r="AH731">
        <v>17.4877428529824</v>
      </c>
      <c r="AI731">
        <v>93.665821443900398</v>
      </c>
      <c r="AJ731">
        <v>87.931236632197994</v>
      </c>
      <c r="AK731">
        <v>17.5350261842629</v>
      </c>
      <c r="AL731">
        <v>81.824736317858296</v>
      </c>
      <c r="AM731">
        <v>87.518807119729999</v>
      </c>
      <c r="AN731">
        <v>0.99999997085296399</v>
      </c>
    </row>
    <row r="732" spans="1:40" x14ac:dyDescent="0.25">
      <c r="A732" t="str">
        <f>"20190303170239859"</f>
        <v>20190303170239859</v>
      </c>
      <c r="B732" t="str">
        <f>"1551603759846196"</f>
        <v>1551603759846196</v>
      </c>
      <c r="C732" t="s">
        <v>40</v>
      </c>
      <c r="D732">
        <v>4.1073180000000002</v>
      </c>
      <c r="E732">
        <v>0.50017999999999996</v>
      </c>
      <c r="F732" t="s">
        <v>42</v>
      </c>
      <c r="G732">
        <v>-327.87920000000003</v>
      </c>
      <c r="H732" s="1">
        <v>-1.364329E-6</v>
      </c>
      <c r="I732">
        <v>367.14890000000003</v>
      </c>
      <c r="J732">
        <v>-345.81790000000001</v>
      </c>
      <c r="K732">
        <v>1.1211390000000001</v>
      </c>
      <c r="L732">
        <v>367.71440000000001</v>
      </c>
      <c r="M732">
        <v>0.99994320000000003</v>
      </c>
      <c r="N732">
        <v>-9.8638879999999995E-3</v>
      </c>
      <c r="O732">
        <v>4.0355149999999999E-3</v>
      </c>
      <c r="P732">
        <v>0.99041900000000005</v>
      </c>
      <c r="Q732">
        <v>0.1323954</v>
      </c>
      <c r="R732">
        <v>-3.9268549999999999E-2</v>
      </c>
      <c r="S732">
        <v>3.0505369999999998</v>
      </c>
      <c r="T732">
        <v>-0.18882969999999999</v>
      </c>
      <c r="U732">
        <v>-9.5092769999999993E-2</v>
      </c>
      <c r="V732">
        <v>4.3208200000000002E-2</v>
      </c>
      <c r="W732">
        <v>0.1421742</v>
      </c>
      <c r="X732">
        <v>0.98889819999999995</v>
      </c>
      <c r="Y732">
        <v>3.5107529999999998E-2</v>
      </c>
      <c r="Z732">
        <v>-1.468411E-3</v>
      </c>
      <c r="AA732">
        <v>0.9993824</v>
      </c>
      <c r="AB732">
        <v>32</v>
      </c>
      <c r="AC732">
        <v>17.938699999999901</v>
      </c>
      <c r="AD732">
        <v>-1.1211403643290001</v>
      </c>
      <c r="AE732">
        <v>-0.56549999999998501</v>
      </c>
      <c r="AF732">
        <v>0.63541132452492999</v>
      </c>
      <c r="AG732">
        <v>-1.1211403643290001</v>
      </c>
      <c r="AH732">
        <v>17.8665533147819</v>
      </c>
      <c r="AI732">
        <v>93.588384863758407</v>
      </c>
      <c r="AJ732">
        <v>87.963174598662107</v>
      </c>
      <c r="AK732">
        <v>17.912968224663501</v>
      </c>
      <c r="AL732">
        <v>81.826322994877003</v>
      </c>
      <c r="AM732">
        <v>87.498151092672799</v>
      </c>
      <c r="AN732">
        <v>1.00000005082805</v>
      </c>
    </row>
    <row r="733" spans="1:40" x14ac:dyDescent="0.25">
      <c r="A733" t="str">
        <f>"20190303170239871"</f>
        <v>20190303170239871</v>
      </c>
      <c r="B733" t="str">
        <f>"1551603759866692"</f>
        <v>1551603759866692</v>
      </c>
      <c r="C733" t="s">
        <v>40</v>
      </c>
      <c r="D733">
        <v>4.244866</v>
      </c>
      <c r="E733">
        <v>0.49958960000000002</v>
      </c>
      <c r="F733" t="s">
        <v>42</v>
      </c>
      <c r="G733">
        <v>-327.20580000000001</v>
      </c>
      <c r="H733" s="1">
        <v>-1.619227E-6</v>
      </c>
      <c r="I733">
        <v>367.14589999999998</v>
      </c>
      <c r="J733">
        <v>-345.64699999999999</v>
      </c>
      <c r="K733">
        <v>1.1211450000000001</v>
      </c>
      <c r="L733">
        <v>367.71519999999998</v>
      </c>
      <c r="M733">
        <v>0.99994229999999995</v>
      </c>
      <c r="N733">
        <v>-9.9133829999999996E-3</v>
      </c>
      <c r="O733">
        <v>4.1419780000000002E-3</v>
      </c>
      <c r="P733">
        <v>0.99049909999999997</v>
      </c>
      <c r="Q733">
        <v>0.1318522</v>
      </c>
      <c r="R733">
        <v>-3.9073900000000002E-2</v>
      </c>
      <c r="S733">
        <v>3.0498660000000002</v>
      </c>
      <c r="T733">
        <v>-0.18371470000000001</v>
      </c>
      <c r="U733">
        <v>-9.3139650000000004E-2</v>
      </c>
      <c r="V733">
        <v>4.3119369999999997E-2</v>
      </c>
      <c r="W733">
        <v>0.141681</v>
      </c>
      <c r="X733">
        <v>0.98897279999999999</v>
      </c>
      <c r="Y733">
        <v>3.4586489999999998E-2</v>
      </c>
      <c r="Z733">
        <v>-1.4203659999999999E-3</v>
      </c>
      <c r="AA733">
        <v>0.99940070000000003</v>
      </c>
      <c r="AB733">
        <v>32</v>
      </c>
      <c r="AC733">
        <v>18.441199999999899</v>
      </c>
      <c r="AD733">
        <v>-1.1211466192270001</v>
      </c>
      <c r="AE733">
        <v>-0.56929999999999803</v>
      </c>
      <c r="AF733">
        <v>0.64330643686401301</v>
      </c>
      <c r="AG733">
        <v>-1.1211466192270001</v>
      </c>
      <c r="AH733">
        <v>18.3708473813426</v>
      </c>
      <c r="AI733">
        <v>93.4902143028133</v>
      </c>
      <c r="AJ733">
        <v>87.994448044757803</v>
      </c>
      <c r="AK733">
        <v>18.4162658110187</v>
      </c>
      <c r="AL733">
        <v>81.854869776480498</v>
      </c>
      <c r="AM733">
        <v>87.503476121048706</v>
      </c>
      <c r="AN733">
        <v>0.99999999248501803</v>
      </c>
    </row>
    <row r="734" spans="1:40" x14ac:dyDescent="0.25">
      <c r="A734" t="str">
        <f>"20190303170239882"</f>
        <v>20190303170239882</v>
      </c>
      <c r="B734" t="str">
        <f>"1551603759876453"</f>
        <v>1551603759876453</v>
      </c>
      <c r="C734" t="s">
        <v>40</v>
      </c>
      <c r="D734">
        <v>4.1178129999999999</v>
      </c>
      <c r="E734">
        <v>0.49929489999999999</v>
      </c>
      <c r="F734" t="s">
        <v>42</v>
      </c>
      <c r="G734">
        <v>-326.26499999999999</v>
      </c>
      <c r="H734" s="1">
        <v>-2.0218510000000002E-6</v>
      </c>
      <c r="I734">
        <v>367.1515</v>
      </c>
      <c r="J734">
        <v>-345.49259999999998</v>
      </c>
      <c r="K734">
        <v>1.121156</v>
      </c>
      <c r="L734">
        <v>367.71589999999998</v>
      </c>
      <c r="M734">
        <v>0.99994130000000003</v>
      </c>
      <c r="N734">
        <v>-9.9829700000000007E-3</v>
      </c>
      <c r="O734">
        <v>4.2407169999999998E-3</v>
      </c>
      <c r="P734">
        <v>0.99051500000000003</v>
      </c>
      <c r="Q734">
        <v>0.1317624</v>
      </c>
      <c r="R734">
        <v>-3.89783E-2</v>
      </c>
      <c r="S734">
        <v>3.0487669999999998</v>
      </c>
      <c r="T734">
        <v>-0.17635429999999999</v>
      </c>
      <c r="U734">
        <v>-8.8653560000000006E-2</v>
      </c>
      <c r="V734">
        <v>4.312129E-2</v>
      </c>
      <c r="W734">
        <v>0.1416597</v>
      </c>
      <c r="X734">
        <v>0.98897579999999996</v>
      </c>
      <c r="Y734">
        <v>3.3235130000000002E-2</v>
      </c>
      <c r="Z734">
        <v>-1.3290750000000001E-3</v>
      </c>
      <c r="AA734">
        <v>0.99944670000000002</v>
      </c>
      <c r="AB734">
        <v>32</v>
      </c>
      <c r="AC734">
        <v>19.227599999999899</v>
      </c>
      <c r="AD734">
        <v>-1.121158021851</v>
      </c>
      <c r="AE734">
        <v>-0.56439999999997703</v>
      </c>
      <c r="AF734">
        <v>0.64375089613473402</v>
      </c>
      <c r="AG734">
        <v>-1.121158021851</v>
      </c>
      <c r="AH734">
        <v>19.159945092668</v>
      </c>
      <c r="AI734">
        <v>93.347000750760799</v>
      </c>
      <c r="AJ734">
        <v>88.075655261095605</v>
      </c>
      <c r="AK734">
        <v>19.203512868230298</v>
      </c>
      <c r="AL734">
        <v>81.856102874582504</v>
      </c>
      <c r="AM734">
        <v>87.503372661421494</v>
      </c>
      <c r="AN734">
        <v>1.0000000246204901</v>
      </c>
    </row>
    <row r="735" spans="1:40" x14ac:dyDescent="0.25">
      <c r="A735" t="str">
        <f>"20190303170239894"</f>
        <v>20190303170239894</v>
      </c>
      <c r="B735" t="str">
        <f>"1551603759886212"</f>
        <v>1551603759886212</v>
      </c>
      <c r="C735" t="s">
        <v>40</v>
      </c>
      <c r="D735">
        <v>4.1222789999999998</v>
      </c>
      <c r="E735">
        <v>0.4990096</v>
      </c>
      <c r="F735" t="s">
        <v>42</v>
      </c>
      <c r="G735">
        <v>-325.74459999999999</v>
      </c>
      <c r="H735" s="1">
        <v>-2.2444270000000002E-6</v>
      </c>
      <c r="I735">
        <v>367.15539999999999</v>
      </c>
      <c r="J735">
        <v>-345.3211</v>
      </c>
      <c r="K735">
        <v>1.1211719999999901</v>
      </c>
      <c r="L735">
        <v>367.71679999999998</v>
      </c>
      <c r="M735">
        <v>0.99993980000000005</v>
      </c>
      <c r="N735">
        <v>-1.0073469999999999E-2</v>
      </c>
      <c r="O735">
        <v>4.3521699999999998E-3</v>
      </c>
      <c r="P735">
        <v>0.99049889999999996</v>
      </c>
      <c r="Q735">
        <v>0.13193199999999999</v>
      </c>
      <c r="R735">
        <v>-3.880902E-2</v>
      </c>
      <c r="S735">
        <v>3.0483090000000002</v>
      </c>
      <c r="T735">
        <v>-0.1730614</v>
      </c>
      <c r="U735">
        <v>-8.6517330000000003E-2</v>
      </c>
      <c r="V735">
        <v>4.3061750000000003E-2</v>
      </c>
      <c r="W735">
        <v>0.14191879999999901</v>
      </c>
      <c r="X735">
        <v>0.98894119999999996</v>
      </c>
      <c r="Y735">
        <v>3.2654389999999998E-2</v>
      </c>
      <c r="Z735">
        <v>-1.2937109999999999E-3</v>
      </c>
      <c r="AA735">
        <v>0.99946590000000002</v>
      </c>
      <c r="AB735">
        <v>32</v>
      </c>
      <c r="AC735">
        <v>19.576499999999999</v>
      </c>
      <c r="AD735">
        <v>-1.1211742444270001</v>
      </c>
      <c r="AE735">
        <v>-0.56139999999999102</v>
      </c>
      <c r="AF735">
        <v>0.64448706924666799</v>
      </c>
      <c r="AG735">
        <v>-1.1211742444270001</v>
      </c>
      <c r="AH735">
        <v>19.509930818991599</v>
      </c>
      <c r="AI735">
        <v>93.2872013929898</v>
      </c>
      <c r="AJ735">
        <v>88.107990930350297</v>
      </c>
      <c r="AK735">
        <v>19.552743946327102</v>
      </c>
      <c r="AL735">
        <v>81.841105645081797</v>
      </c>
      <c r="AM735">
        <v>87.506728424115295</v>
      </c>
      <c r="AN735">
        <v>0.99999997858197098</v>
      </c>
    </row>
    <row r="736" spans="1:40" x14ac:dyDescent="0.25">
      <c r="A736" t="str">
        <f>"20190303170239904"</f>
        <v>20190303170239904</v>
      </c>
      <c r="B736" t="str">
        <f>"1551603759896949"</f>
        <v>1551603759896949</v>
      </c>
      <c r="C736" t="s">
        <v>40</v>
      </c>
      <c r="D736">
        <v>4.1468389999999999</v>
      </c>
      <c r="E736">
        <v>0.49872379999999999</v>
      </c>
      <c r="F736" t="s">
        <v>42</v>
      </c>
      <c r="G736">
        <v>-325.13709999999998</v>
      </c>
      <c r="H736" s="1">
        <v>-2.503874E-6</v>
      </c>
      <c r="I736">
        <v>367.16199999999998</v>
      </c>
      <c r="J736">
        <v>-345.166</v>
      </c>
      <c r="K736">
        <v>1.1211869999999999</v>
      </c>
      <c r="L736">
        <v>367.71749999999997</v>
      </c>
      <c r="M736">
        <v>0.99993840000000001</v>
      </c>
      <c r="N736">
        <v>-1.0169630000000001E-2</v>
      </c>
      <c r="O736">
        <v>4.4519659999999999E-3</v>
      </c>
      <c r="P736">
        <v>0.99051739999999999</v>
      </c>
      <c r="Q736">
        <v>0.13178580000000001</v>
      </c>
      <c r="R736">
        <v>-3.883151E-2</v>
      </c>
      <c r="S736">
        <v>3.048035</v>
      </c>
      <c r="T736">
        <v>-0.16931060000000001</v>
      </c>
      <c r="U736">
        <v>-8.3770750000000005E-2</v>
      </c>
      <c r="V736">
        <v>4.3182739999999997E-2</v>
      </c>
      <c r="W736">
        <v>0.14186789999999999</v>
      </c>
      <c r="X736">
        <v>0.98894329999999997</v>
      </c>
      <c r="Y736">
        <v>3.1860739999999999E-2</v>
      </c>
      <c r="Z736">
        <v>-1.2480550000000001E-3</v>
      </c>
      <c r="AA736">
        <v>0.99949149999999998</v>
      </c>
      <c r="AB736">
        <v>32</v>
      </c>
      <c r="AC736">
        <v>20.0289</v>
      </c>
      <c r="AD736">
        <v>-1.1211895038740001</v>
      </c>
      <c r="AE736">
        <v>-0.555499999999995</v>
      </c>
      <c r="AF736">
        <v>0.64265480892949101</v>
      </c>
      <c r="AG736">
        <v>-1.1211895038740001</v>
      </c>
      <c r="AH736">
        <v>19.963718032782001</v>
      </c>
      <c r="AI736">
        <v>93.212771316805103</v>
      </c>
      <c r="AJ736">
        <v>88.1562203437622</v>
      </c>
      <c r="AK736">
        <v>20.0055019631966</v>
      </c>
      <c r="AL736">
        <v>81.844052399080198</v>
      </c>
      <c r="AM736">
        <v>87.499737293683594</v>
      </c>
      <c r="AN736">
        <v>1.0000000503496</v>
      </c>
    </row>
    <row r="737" spans="1:40" x14ac:dyDescent="0.25">
      <c r="A737" t="str">
        <f>"20190303170239917"</f>
        <v>20190303170239917</v>
      </c>
      <c r="B737" t="str">
        <f>"1551603759906708"</f>
        <v>1551603759906708</v>
      </c>
      <c r="C737" t="s">
        <v>40</v>
      </c>
      <c r="D737">
        <v>4.161403</v>
      </c>
      <c r="E737">
        <v>0.49845590000000001</v>
      </c>
      <c r="F737" t="s">
        <v>42</v>
      </c>
      <c r="G737">
        <v>-324.5736</v>
      </c>
      <c r="H737" s="1">
        <v>-2.745133E-6</v>
      </c>
      <c r="I737">
        <v>367.16460000000001</v>
      </c>
      <c r="J737">
        <v>-344.99419999999998</v>
      </c>
      <c r="K737">
        <v>1.1212089999999999</v>
      </c>
      <c r="L737">
        <v>367.71839999999997</v>
      </c>
      <c r="M737">
        <v>0.99993690000000002</v>
      </c>
      <c r="N737">
        <v>-1.027727E-2</v>
      </c>
      <c r="O737">
        <v>4.5619570000000002E-3</v>
      </c>
      <c r="P737">
        <v>0.99052320000000005</v>
      </c>
      <c r="Q737">
        <v>0.13179579999999999</v>
      </c>
      <c r="R737">
        <v>-3.865159E-2</v>
      </c>
      <c r="S737">
        <v>3.047577</v>
      </c>
      <c r="T737">
        <v>-0.16592999999999999</v>
      </c>
      <c r="U737">
        <v>-8.1817630000000002E-2</v>
      </c>
      <c r="V737">
        <v>4.3111370000000003E-2</v>
      </c>
      <c r="W737">
        <v>0.14198450000000001</v>
      </c>
      <c r="X737">
        <v>0.98892959999999996</v>
      </c>
      <c r="Y737">
        <v>3.1337789999999997E-2</v>
      </c>
      <c r="Z737">
        <v>-1.21485E-3</v>
      </c>
      <c r="AA737">
        <v>0.99950810000000001</v>
      </c>
      <c r="AB737">
        <v>32</v>
      </c>
      <c r="AC737">
        <v>20.420599999999901</v>
      </c>
      <c r="AD737">
        <v>-1.1212117451329999</v>
      </c>
      <c r="AE737">
        <v>-0.55379999999996699</v>
      </c>
      <c r="AF737">
        <v>0.64501397638505997</v>
      </c>
      <c r="AG737">
        <v>-1.1212117451329999</v>
      </c>
      <c r="AH737">
        <v>20.356538009369999</v>
      </c>
      <c r="AI737">
        <v>93.151013714752096</v>
      </c>
      <c r="AJ737">
        <v>88.1851423871272</v>
      </c>
      <c r="AK737">
        <v>20.397592959319599</v>
      </c>
      <c r="AL737">
        <v>81.837302741748999</v>
      </c>
      <c r="AM737">
        <v>87.503829819901298</v>
      </c>
      <c r="AN737">
        <v>0.99999997110984296</v>
      </c>
    </row>
    <row r="738" spans="1:40" x14ac:dyDescent="0.25">
      <c r="A738" t="str">
        <f>"20190303170239932"</f>
        <v>20190303170239932</v>
      </c>
      <c r="B738" t="str">
        <f>"1551603759916468"</f>
        <v>1551603759916468</v>
      </c>
      <c r="C738" t="s">
        <v>40</v>
      </c>
      <c r="D738">
        <v>4.1485580000000004</v>
      </c>
      <c r="E738">
        <v>0.49822899999999998</v>
      </c>
      <c r="F738" t="s">
        <v>42</v>
      </c>
      <c r="G738">
        <v>-323.95949999999999</v>
      </c>
      <c r="H738" s="1">
        <v>-3.0072659999999999E-6</v>
      </c>
      <c r="I738">
        <v>367.1721</v>
      </c>
      <c r="J738">
        <v>-344.77719999999999</v>
      </c>
      <c r="K738">
        <v>1.1212329999999999</v>
      </c>
      <c r="L738">
        <v>367.71960000000001</v>
      </c>
      <c r="M738">
        <v>0.99993489999999996</v>
      </c>
      <c r="N738">
        <v>-1.040897E-2</v>
      </c>
      <c r="O738">
        <v>4.6994369999999999E-3</v>
      </c>
      <c r="P738">
        <v>0.99056840000000002</v>
      </c>
      <c r="Q738">
        <v>0.1314409</v>
      </c>
      <c r="R738">
        <v>-3.8701819999999998E-2</v>
      </c>
      <c r="S738">
        <v>3.047272</v>
      </c>
      <c r="T738">
        <v>-0.1624275</v>
      </c>
      <c r="U738">
        <v>-7.9132079999999994E-2</v>
      </c>
      <c r="V738">
        <v>4.3296960000000002E-2</v>
      </c>
      <c r="W738">
        <v>0.14176069999999999</v>
      </c>
      <c r="X738">
        <v>0.98895359999999999</v>
      </c>
      <c r="Y738">
        <v>3.060102E-2</v>
      </c>
      <c r="Z738">
        <v>-1.175665E-3</v>
      </c>
      <c r="AA738">
        <v>0.99953099999999995</v>
      </c>
      <c r="AB738">
        <v>32</v>
      </c>
      <c r="AC738">
        <v>20.817699999999999</v>
      </c>
      <c r="AD738">
        <v>-1.1212360072659999</v>
      </c>
      <c r="AE738">
        <v>-0.54750000000001298</v>
      </c>
      <c r="AF738">
        <v>0.64346539141630799</v>
      </c>
      <c r="AG738">
        <v>-1.1212360072659999</v>
      </c>
      <c r="AH738">
        <v>20.754731809013101</v>
      </c>
      <c r="AI738">
        <v>93.090810377654293</v>
      </c>
      <c r="AJ738">
        <v>88.2242099867224</v>
      </c>
      <c r="AK738">
        <v>20.794953963834601</v>
      </c>
      <c r="AL738">
        <v>81.850256581051397</v>
      </c>
      <c r="AM738">
        <v>87.493158504665999</v>
      </c>
      <c r="AN738">
        <v>0.99999997288134501</v>
      </c>
    </row>
    <row r="739" spans="1:40" x14ac:dyDescent="0.25">
      <c r="A739" t="str">
        <f>"20190303170239945"</f>
        <v>20190303170239945</v>
      </c>
      <c r="B739" t="str">
        <f>"1551603759936965"</f>
        <v>1551603759936965</v>
      </c>
      <c r="C739" t="s">
        <v>40</v>
      </c>
      <c r="D739">
        <v>4.1264849999999997</v>
      </c>
      <c r="E739">
        <v>0.49778099999999997</v>
      </c>
      <c r="F739" t="s">
        <v>42</v>
      </c>
      <c r="G739">
        <v>-323.47140000000002</v>
      </c>
      <c r="H739" s="1">
        <v>-3.2159349999999999E-6</v>
      </c>
      <c r="I739">
        <v>367.17619999999999</v>
      </c>
      <c r="J739">
        <v>-344.57709999999997</v>
      </c>
      <c r="K739">
        <v>1.121251</v>
      </c>
      <c r="L739">
        <v>367.72059999999999</v>
      </c>
      <c r="M739">
        <v>0.99993290000000001</v>
      </c>
      <c r="N739">
        <v>-1.052314E-2</v>
      </c>
      <c r="O739">
        <v>4.8262039999999997E-3</v>
      </c>
      <c r="P739">
        <v>0.99052830000000003</v>
      </c>
      <c r="Q739">
        <v>0.13176289999999999</v>
      </c>
      <c r="R739">
        <v>-3.8627479999999999E-2</v>
      </c>
      <c r="S739">
        <v>3.0468440000000001</v>
      </c>
      <c r="T739">
        <v>-0.16034209999999999</v>
      </c>
      <c r="U739">
        <v>-7.7697749999999996E-2</v>
      </c>
      <c r="V739">
        <v>4.3347089999999998E-2</v>
      </c>
      <c r="W739">
        <v>0.14219589999999999</v>
      </c>
      <c r="X739">
        <v>0.98888889999999996</v>
      </c>
      <c r="Y739">
        <v>3.0262870000000001E-2</v>
      </c>
      <c r="Z739">
        <v>-1.1580309999999999E-3</v>
      </c>
      <c r="AA739">
        <v>0.99954129999999997</v>
      </c>
      <c r="AB739">
        <v>32</v>
      </c>
      <c r="AC739">
        <v>21.105699999999899</v>
      </c>
      <c r="AD739">
        <v>-1.1212542159350001</v>
      </c>
      <c r="AE739">
        <v>-0.544399999999996</v>
      </c>
      <c r="AF739">
        <v>0.64444209909676897</v>
      </c>
      <c r="AG739">
        <v>-1.1212542159350001</v>
      </c>
      <c r="AH739">
        <v>21.043474382103899</v>
      </c>
      <c r="AI739">
        <v>93.048566086416301</v>
      </c>
      <c r="AJ739">
        <v>88.2459039200088</v>
      </c>
      <c r="AK739">
        <v>21.083176485200301</v>
      </c>
      <c r="AL739">
        <v>81.825066087979707</v>
      </c>
      <c r="AM739">
        <v>87.490095752851303</v>
      </c>
      <c r="AN739">
        <v>0.99999995036574196</v>
      </c>
    </row>
    <row r="740" spans="1:40" x14ac:dyDescent="0.25">
      <c r="A740" t="str">
        <f>"20190303170239961"</f>
        <v>20190303170239961</v>
      </c>
      <c r="B740" t="str">
        <f>"1551603759946724"</f>
        <v>1551603759946724</v>
      </c>
      <c r="C740" t="s">
        <v>40</v>
      </c>
      <c r="D740">
        <v>4.1372600000000004</v>
      </c>
      <c r="E740">
        <v>0.49762479999999998</v>
      </c>
      <c r="F740" t="s">
        <v>42</v>
      </c>
      <c r="G740">
        <v>-322.33010000000002</v>
      </c>
      <c r="H740" s="1">
        <v>-3.704782E-6</v>
      </c>
      <c r="I740">
        <v>367.18029999999999</v>
      </c>
      <c r="J740">
        <v>-344.35759999999999</v>
      </c>
      <c r="K740">
        <v>1.1212719999999901</v>
      </c>
      <c r="L740">
        <v>367.72190000000001</v>
      </c>
      <c r="M740">
        <v>0.99993109999999996</v>
      </c>
      <c r="N740">
        <v>-1.0642479999999999E-2</v>
      </c>
      <c r="O740">
        <v>4.9638479999999999E-3</v>
      </c>
      <c r="P740">
        <v>0.99051679999999998</v>
      </c>
      <c r="Q740">
        <v>0.13189600000000001</v>
      </c>
      <c r="R740">
        <v>-3.8471520000000002E-2</v>
      </c>
      <c r="S740">
        <v>3.0462340000000001</v>
      </c>
      <c r="T740">
        <v>-0.1535311</v>
      </c>
      <c r="U740">
        <v>-7.3974609999999996E-2</v>
      </c>
      <c r="V740">
        <v>4.3326110000000001E-2</v>
      </c>
      <c r="W740">
        <v>0.14244699999999999</v>
      </c>
      <c r="X740">
        <v>0.9888538</v>
      </c>
      <c r="Y740">
        <v>2.919039E-2</v>
      </c>
      <c r="Z740">
        <v>-1.0876950000000001E-3</v>
      </c>
      <c r="AA740">
        <v>0.9995733</v>
      </c>
      <c r="AB740">
        <v>32</v>
      </c>
      <c r="AC740">
        <v>22.0274999999999</v>
      </c>
      <c r="AD740">
        <v>-1.1212757047819999</v>
      </c>
      <c r="AE740">
        <v>-0.54160000000001596</v>
      </c>
      <c r="AF740">
        <v>0.64925935625201103</v>
      </c>
      <c r="AG740">
        <v>-1.1212757047819999</v>
      </c>
      <c r="AH740">
        <v>21.967652684083902</v>
      </c>
      <c r="AI740">
        <v>92.920689510249005</v>
      </c>
      <c r="AJ740">
        <v>88.307102009128897</v>
      </c>
      <c r="AK740">
        <v>22.005830167625</v>
      </c>
      <c r="AL740">
        <v>81.810532134244596</v>
      </c>
      <c r="AM740">
        <v>87.491220060788194</v>
      </c>
      <c r="AN740">
        <v>1.0000000686955799</v>
      </c>
    </row>
    <row r="741" spans="1:40" x14ac:dyDescent="0.25">
      <c r="A741" t="str">
        <f>"20190303170239983"</f>
        <v>20190303170239983</v>
      </c>
      <c r="B741" t="str">
        <f>"1551603759976981"</f>
        <v>1551603759976981</v>
      </c>
      <c r="C741" t="s">
        <v>40</v>
      </c>
      <c r="D741">
        <v>4.1103379999999996</v>
      </c>
      <c r="E741">
        <v>0.49718459999999998</v>
      </c>
      <c r="F741" t="s">
        <v>42</v>
      </c>
      <c r="G741">
        <v>-321.71679999999998</v>
      </c>
      <c r="H741" s="1">
        <v>-3.9681759999999997E-6</v>
      </c>
      <c r="I741">
        <v>367.17880000000002</v>
      </c>
      <c r="J741">
        <v>-344.03109999999998</v>
      </c>
      <c r="K741">
        <v>1.1212959999999901</v>
      </c>
      <c r="L741">
        <v>367.72379999999998</v>
      </c>
      <c r="M741">
        <v>0.99992840000000005</v>
      </c>
      <c r="N741">
        <v>-1.080761E-2</v>
      </c>
      <c r="O741">
        <v>5.1669849999999998E-3</v>
      </c>
      <c r="P741">
        <v>0.99047359999999895</v>
      </c>
      <c r="Q741">
        <v>0.13242809999999999</v>
      </c>
      <c r="R741">
        <v>-3.775506E-2</v>
      </c>
      <c r="S741">
        <v>3.0459589999999999</v>
      </c>
      <c r="T741">
        <v>-0.1508496</v>
      </c>
      <c r="U741">
        <v>-7.3059079999999998E-2</v>
      </c>
      <c r="V741">
        <v>4.2809550000000002E-2</v>
      </c>
      <c r="W741">
        <v>0.14314170000000001</v>
      </c>
      <c r="X741">
        <v>0.98877590000000004</v>
      </c>
      <c r="Y741">
        <v>2.9096859999999999E-2</v>
      </c>
      <c r="Z741">
        <v>-1.07723E-3</v>
      </c>
      <c r="AA741">
        <v>0.99957600000000002</v>
      </c>
      <c r="AB741">
        <v>32</v>
      </c>
      <c r="AC741">
        <v>22.314299999999999</v>
      </c>
      <c r="AD741">
        <v>-1.1212999681760001</v>
      </c>
      <c r="AE741">
        <v>-0.54499999999995896</v>
      </c>
      <c r="AF741">
        <v>0.65863497192583198</v>
      </c>
      <c r="AG741">
        <v>-1.1212999681760001</v>
      </c>
      <c r="AH741">
        <v>22.2550234579817</v>
      </c>
      <c r="AI741">
        <v>92.883098693491704</v>
      </c>
      <c r="AJ741">
        <v>88.304832498802497</v>
      </c>
      <c r="AK741">
        <v>22.292985057192102</v>
      </c>
      <c r="AL741">
        <v>81.770316010652095</v>
      </c>
      <c r="AM741">
        <v>87.520898655097199</v>
      </c>
      <c r="AN741">
        <v>0.99999999213545099</v>
      </c>
    </row>
    <row r="742" spans="1:40" x14ac:dyDescent="0.25">
      <c r="A742" t="str">
        <f>"20190303170239997"</f>
        <v>20190303170239997</v>
      </c>
      <c r="B742" t="str">
        <f>"1551603759986741"</f>
        <v>1551603759986741</v>
      </c>
      <c r="C742" t="s">
        <v>40</v>
      </c>
      <c r="D742">
        <v>4.1427800000000001</v>
      </c>
      <c r="E742">
        <v>0.49705169999999999</v>
      </c>
      <c r="F742" t="s">
        <v>42</v>
      </c>
      <c r="G742">
        <v>-320.12790000000001</v>
      </c>
      <c r="H742" s="1">
        <v>-4.6470840000000003E-6</v>
      </c>
      <c r="I742">
        <v>367.19409999999999</v>
      </c>
      <c r="J742">
        <v>-343.82839999999999</v>
      </c>
      <c r="K742">
        <v>1.121305</v>
      </c>
      <c r="L742">
        <v>367.72500000000002</v>
      </c>
      <c r="M742">
        <v>0.9999266</v>
      </c>
      <c r="N742">
        <v>-1.0904230000000001E-2</v>
      </c>
      <c r="O742">
        <v>5.2954480000000003E-3</v>
      </c>
      <c r="P742">
        <v>0.99044969999999999</v>
      </c>
      <c r="Q742">
        <v>0.13273479999999999</v>
      </c>
      <c r="R742">
        <v>-3.7297789999999997E-2</v>
      </c>
      <c r="S742">
        <v>3.0453800000000002</v>
      </c>
      <c r="T742">
        <v>-0.1428585</v>
      </c>
      <c r="U742">
        <v>-6.7474370000000006E-2</v>
      </c>
      <c r="V742">
        <v>4.2479620000000003E-2</v>
      </c>
      <c r="W742">
        <v>0.14354330000000001</v>
      </c>
      <c r="X742">
        <v>0.9887319</v>
      </c>
      <c r="Y742">
        <v>2.7404459999999999E-2</v>
      </c>
      <c r="Z742">
        <v>-9.824072000000001E-4</v>
      </c>
      <c r="AA742">
        <v>0.99962399999999996</v>
      </c>
      <c r="AB742">
        <v>32</v>
      </c>
      <c r="AC742">
        <v>23.700499999999899</v>
      </c>
      <c r="AD742">
        <v>-1.121309647084</v>
      </c>
      <c r="AE742">
        <v>-0.53090000000003101</v>
      </c>
      <c r="AF742">
        <v>0.65493949744690705</v>
      </c>
      <c r="AG742">
        <v>-1.121309647084</v>
      </c>
      <c r="AH742">
        <v>23.6444571211631</v>
      </c>
      <c r="AI742">
        <v>92.714109009599198</v>
      </c>
      <c r="AJ742">
        <v>88.413341612100197</v>
      </c>
      <c r="AK742">
        <v>23.680089392239999</v>
      </c>
      <c r="AL742">
        <v>81.747065853842201</v>
      </c>
      <c r="AM742">
        <v>87.539872000585504</v>
      </c>
      <c r="AN742">
        <v>0.99999998358392195</v>
      </c>
    </row>
    <row r="743" spans="1:40" x14ac:dyDescent="0.25">
      <c r="A743" t="str">
        <f>"20190303170240011"</f>
        <v>20190303170240011</v>
      </c>
      <c r="B743" t="str">
        <f>"1551603759996500"</f>
        <v>1551603759996500</v>
      </c>
      <c r="C743" t="s">
        <v>40</v>
      </c>
      <c r="D743">
        <v>4.2443390000000001</v>
      </c>
      <c r="E743">
        <v>0.4969422</v>
      </c>
      <c r="F743" t="s">
        <v>44</v>
      </c>
      <c r="G743">
        <v>-318.31420000000003</v>
      </c>
      <c r="H743">
        <v>-0.05</v>
      </c>
      <c r="I743">
        <v>367.17880000000002</v>
      </c>
      <c r="J743">
        <v>-343.625</v>
      </c>
      <c r="K743">
        <v>1.121313</v>
      </c>
      <c r="L743">
        <v>367.72620000000001</v>
      </c>
      <c r="M743">
        <v>0.99992499999999995</v>
      </c>
      <c r="N743">
        <v>-1.099439E-2</v>
      </c>
      <c r="O743">
        <v>5.4279089999999999E-3</v>
      </c>
      <c r="P743">
        <v>0.99046250000000002</v>
      </c>
      <c r="Q743">
        <v>0.1326821</v>
      </c>
      <c r="R743">
        <v>-3.7146680000000001E-2</v>
      </c>
      <c r="S743">
        <v>3.0452270000000001</v>
      </c>
      <c r="T743">
        <v>-0.13980010000000001</v>
      </c>
      <c r="U743">
        <v>-6.5185549999999995E-2</v>
      </c>
      <c r="V743">
        <v>4.2460739999999997E-2</v>
      </c>
      <c r="W743">
        <v>0.1435797</v>
      </c>
      <c r="X743">
        <v>0.98872749999999998</v>
      </c>
      <c r="Y743">
        <v>2.678931E-2</v>
      </c>
      <c r="Z743">
        <v>-9.5129049999999999E-4</v>
      </c>
      <c r="AA743">
        <v>0.99964059999999999</v>
      </c>
      <c r="AB743">
        <v>32</v>
      </c>
      <c r="AC743">
        <v>25.310799999999901</v>
      </c>
      <c r="AD743">
        <v>-1.1713129999999901</v>
      </c>
      <c r="AE743">
        <v>-0.54739999999998101</v>
      </c>
      <c r="AF743">
        <v>0.68332223000847303</v>
      </c>
      <c r="AG743">
        <v>-1.1713129999999901</v>
      </c>
      <c r="AH743">
        <v>25.253398805249599</v>
      </c>
      <c r="AI743">
        <v>92.654641682384295</v>
      </c>
      <c r="AJ743">
        <v>88.450033234905305</v>
      </c>
      <c r="AK743">
        <v>25.289781624817898</v>
      </c>
      <c r="AL743">
        <v>81.744959067826798</v>
      </c>
      <c r="AM743">
        <v>87.540953128424505</v>
      </c>
      <c r="AN743">
        <v>1.00000005697484</v>
      </c>
    </row>
    <row r="744" spans="1:40" x14ac:dyDescent="0.25">
      <c r="A744" t="str">
        <f>"20190303170240025"</f>
        <v>20190303170240025</v>
      </c>
      <c r="B744" t="str">
        <f>"1551603760016997"</f>
        <v>1551603760016997</v>
      </c>
      <c r="C744" t="s">
        <v>40</v>
      </c>
      <c r="D744">
        <v>4.1225149999999999</v>
      </c>
      <c r="E744">
        <v>0.49673580000000001</v>
      </c>
      <c r="F744" t="s">
        <v>44</v>
      </c>
      <c r="G744">
        <v>-317.92</v>
      </c>
      <c r="H744">
        <v>-0.05</v>
      </c>
      <c r="I744">
        <v>367.18549999999999</v>
      </c>
      <c r="J744">
        <v>-343.4076</v>
      </c>
      <c r="K744">
        <v>1.121318</v>
      </c>
      <c r="L744">
        <v>367.72750000000002</v>
      </c>
      <c r="M744">
        <v>0.99992300000000001</v>
      </c>
      <c r="N744">
        <v>-1.108395E-2</v>
      </c>
      <c r="O744">
        <v>5.5716280000000003E-3</v>
      </c>
      <c r="P744">
        <v>0.99047510000000005</v>
      </c>
      <c r="Q744">
        <v>0.13277130000000001</v>
      </c>
      <c r="R744">
        <v>-3.6482569999999999E-2</v>
      </c>
      <c r="S744">
        <v>3.045105</v>
      </c>
      <c r="T744">
        <v>-0.13875779999999999</v>
      </c>
      <c r="U744">
        <v>-6.4056399999999999E-2</v>
      </c>
      <c r="V744">
        <v>4.193997E-2</v>
      </c>
      <c r="W744">
        <v>0.14375660000000001</v>
      </c>
      <c r="X744">
        <v>0.98872400000000005</v>
      </c>
      <c r="Y744">
        <v>2.6564040000000001E-2</v>
      </c>
      <c r="Z744">
        <v>-9.4418309999999995E-4</v>
      </c>
      <c r="AA744">
        <v>0.9996467</v>
      </c>
      <c r="AB744">
        <v>32</v>
      </c>
      <c r="AC744">
        <v>25.487599999999901</v>
      </c>
      <c r="AD744">
        <v>-1.1713180000000001</v>
      </c>
      <c r="AE744">
        <v>-0.54200000000003001</v>
      </c>
      <c r="AF744">
        <v>0.68256682049558803</v>
      </c>
      <c r="AG744">
        <v>-1.1713180000000001</v>
      </c>
      <c r="AH744">
        <v>25.430499663173599</v>
      </c>
      <c r="AI744">
        <v>92.636207332271894</v>
      </c>
      <c r="AJ744">
        <v>88.462522903796796</v>
      </c>
      <c r="AK744">
        <v>25.466609441388901</v>
      </c>
      <c r="AL744">
        <v>81.734717009205497</v>
      </c>
      <c r="AM744">
        <v>87.571067769884493</v>
      </c>
      <c r="AN744">
        <v>1.0000000346515701</v>
      </c>
    </row>
    <row r="745" spans="1:40" x14ac:dyDescent="0.25">
      <c r="A745" t="str">
        <f>"20190303170240042"</f>
        <v>20190303170240042</v>
      </c>
      <c r="B745" t="str">
        <f>"1551603760036516"</f>
        <v>1551603760036516</v>
      </c>
      <c r="C745" t="s">
        <v>40</v>
      </c>
      <c r="D745">
        <v>4.246683</v>
      </c>
      <c r="E745">
        <v>0.49659399999999998</v>
      </c>
      <c r="F745" t="s">
        <v>44</v>
      </c>
      <c r="G745">
        <v>-317.19850000000002</v>
      </c>
      <c r="H745">
        <v>-0.05</v>
      </c>
      <c r="I745">
        <v>367.2079</v>
      </c>
      <c r="J745">
        <v>-343.17250000000001</v>
      </c>
      <c r="K745">
        <v>1.1213219999999999</v>
      </c>
      <c r="L745">
        <v>367.72899999999998</v>
      </c>
      <c r="M745">
        <v>0.99992130000000001</v>
      </c>
      <c r="N745">
        <v>-1.1174069999999999E-2</v>
      </c>
      <c r="O745">
        <v>5.727144E-3</v>
      </c>
      <c r="P745">
        <v>0.99051469999999997</v>
      </c>
      <c r="Q745">
        <v>0.13256560000000001</v>
      </c>
      <c r="R745">
        <v>-3.615778E-2</v>
      </c>
      <c r="S745">
        <v>3.0448909999999998</v>
      </c>
      <c r="T745">
        <v>-0.13608010000000001</v>
      </c>
      <c r="U745">
        <v>-6.0363769999999997E-2</v>
      </c>
      <c r="V745">
        <v>4.1770540000000002E-2</v>
      </c>
      <c r="W745">
        <v>0.14364009999999999</v>
      </c>
      <c r="X745">
        <v>0.98874810000000002</v>
      </c>
      <c r="Y745">
        <v>2.5511720000000002E-2</v>
      </c>
      <c r="Z745">
        <v>-9.0421450000000003E-4</v>
      </c>
      <c r="AA745">
        <v>0.99967410000000001</v>
      </c>
      <c r="AB745">
        <v>32</v>
      </c>
      <c r="AC745">
        <v>25.973999999999901</v>
      </c>
      <c r="AD745">
        <v>-1.171322</v>
      </c>
      <c r="AE745">
        <v>-0.52110000000004597</v>
      </c>
      <c r="AF745">
        <v>0.66849861775107999</v>
      </c>
      <c r="AG745">
        <v>-1.171322</v>
      </c>
      <c r="AH745">
        <v>25.917902785788399</v>
      </c>
      <c r="AI745">
        <v>92.586779694898894</v>
      </c>
      <c r="AJ745">
        <v>88.522501635652603</v>
      </c>
      <c r="AK745">
        <v>25.952968432208198</v>
      </c>
      <c r="AL745">
        <v>81.741461937558995</v>
      </c>
      <c r="AM745">
        <v>87.580927436354699</v>
      </c>
      <c r="AN745">
        <v>1.00000003079675</v>
      </c>
    </row>
    <row r="746" spans="1:40" x14ac:dyDescent="0.25">
      <c r="A746" t="str">
        <f>"20190303170240056"</f>
        <v>20190303170240056</v>
      </c>
      <c r="B746" t="str">
        <f>"1551603760046276"</f>
        <v>1551603760046276</v>
      </c>
      <c r="C746" t="s">
        <v>40</v>
      </c>
      <c r="D746">
        <v>4.0413050000000004</v>
      </c>
      <c r="E746">
        <v>0.49652570000000001</v>
      </c>
      <c r="F746" t="s">
        <v>44</v>
      </c>
      <c r="G746">
        <v>-316.71800000000002</v>
      </c>
      <c r="H746">
        <v>-0.05</v>
      </c>
      <c r="I746">
        <v>367.22199999999998</v>
      </c>
      <c r="J746">
        <v>-342.97890000000001</v>
      </c>
      <c r="K746">
        <v>1.1213229999999901</v>
      </c>
      <c r="L746">
        <v>367.7303</v>
      </c>
      <c r="M746">
        <v>0.99991960000000002</v>
      </c>
      <c r="N746">
        <v>-1.1243690000000001E-2</v>
      </c>
      <c r="O746">
        <v>5.8551250000000001E-3</v>
      </c>
      <c r="P746">
        <v>0.99050530000000003</v>
      </c>
      <c r="Q746">
        <v>0.13268550000000001</v>
      </c>
      <c r="R746">
        <v>-3.5965610000000002E-2</v>
      </c>
      <c r="S746">
        <v>3.0446780000000002</v>
      </c>
      <c r="T746">
        <v>-0.13480909999999999</v>
      </c>
      <c r="U746">
        <v>-5.8349610000000003E-2</v>
      </c>
      <c r="V746">
        <v>4.1705829999999999E-2</v>
      </c>
      <c r="W746">
        <v>0.14382829999999999</v>
      </c>
      <c r="X746">
        <v>0.98872349999999998</v>
      </c>
      <c r="Y746">
        <v>2.4981150000000001E-2</v>
      </c>
      <c r="Z746">
        <v>-8.8656189999999999E-4</v>
      </c>
      <c r="AA746">
        <v>0.99968760000000001</v>
      </c>
      <c r="AB746">
        <v>32</v>
      </c>
      <c r="AC746">
        <v>26.2608999999999</v>
      </c>
      <c r="AD746">
        <v>-1.1713229999999999</v>
      </c>
      <c r="AE746">
        <v>-0.50830000000001896</v>
      </c>
      <c r="AF746">
        <v>0.66074782938124899</v>
      </c>
      <c r="AG746">
        <v>-1.1713229999999999</v>
      </c>
      <c r="AH746">
        <v>26.205358588084898</v>
      </c>
      <c r="AI746">
        <v>92.558482177057996</v>
      </c>
      <c r="AJ746">
        <v>88.555637312393301</v>
      </c>
      <c r="AK746">
        <v>26.239843825649501</v>
      </c>
      <c r="AL746">
        <v>81.7305659543633</v>
      </c>
      <c r="AM746">
        <v>87.584610544977593</v>
      </c>
      <c r="AN746">
        <v>1.00000005779456</v>
      </c>
    </row>
    <row r="747" spans="1:40" x14ac:dyDescent="0.25">
      <c r="A747" t="str">
        <f>"20190303170240070"</f>
        <v>20190303170240070</v>
      </c>
      <c r="B747" t="str">
        <f>"1551603760056036"</f>
        <v>1551603760056036</v>
      </c>
      <c r="C747" t="s">
        <v>40</v>
      </c>
      <c r="D747">
        <v>4.1000249999999996</v>
      </c>
      <c r="E747">
        <v>0.49643999999999999</v>
      </c>
      <c r="F747" t="s">
        <v>44</v>
      </c>
      <c r="G747">
        <v>-316.22149999999999</v>
      </c>
      <c r="H747">
        <v>-0.05</v>
      </c>
      <c r="I747">
        <v>367.22550000000001</v>
      </c>
      <c r="J747">
        <v>-342.76280000000003</v>
      </c>
      <c r="K747">
        <v>1.121326</v>
      </c>
      <c r="L747">
        <v>367.73169999999999</v>
      </c>
      <c r="M747">
        <v>0.99991799999999997</v>
      </c>
      <c r="N747">
        <v>-1.1313719999999999E-2</v>
      </c>
      <c r="O747">
        <v>5.9965829999999998E-3</v>
      </c>
      <c r="P747">
        <v>0.99049430000000005</v>
      </c>
      <c r="Q747">
        <v>0.1327458</v>
      </c>
      <c r="R747">
        <v>-3.6049089999999999E-2</v>
      </c>
      <c r="S747">
        <v>3.044556</v>
      </c>
      <c r="T747">
        <v>-0.13327749999999999</v>
      </c>
      <c r="U747">
        <v>-5.7434079999999998E-2</v>
      </c>
      <c r="V747">
        <v>4.1929510000000003E-2</v>
      </c>
      <c r="W747">
        <v>0.14395810000000001</v>
      </c>
      <c r="X747">
        <v>0.98869510000000005</v>
      </c>
      <c r="Y747">
        <v>2.4823649999999999E-2</v>
      </c>
      <c r="Z747">
        <v>-8.780964E-4</v>
      </c>
      <c r="AA747">
        <v>0.99969149999999996</v>
      </c>
      <c r="AB747">
        <v>32</v>
      </c>
      <c r="AC747">
        <v>26.5413</v>
      </c>
      <c r="AD747">
        <v>-1.1713260000000001</v>
      </c>
      <c r="AE747">
        <v>-0.506199999999978</v>
      </c>
      <c r="AF747">
        <v>0.66406529837214701</v>
      </c>
      <c r="AG747">
        <v>-1.1713260000000001</v>
      </c>
      <c r="AH747">
        <v>26.486219909699301</v>
      </c>
      <c r="AI747">
        <v>92.531402875336596</v>
      </c>
      <c r="AJ747">
        <v>88.563775066168901</v>
      </c>
      <c r="AK747">
        <v>26.520422930710001</v>
      </c>
      <c r="AL747">
        <v>81.723050351596797</v>
      </c>
      <c r="AM747">
        <v>87.571601934136197</v>
      </c>
      <c r="AN747">
        <v>1.0000000095642301</v>
      </c>
    </row>
    <row r="748" spans="1:40" x14ac:dyDescent="0.25">
      <c r="A748" t="str">
        <f>"20190303170240084"</f>
        <v>20190303170240084</v>
      </c>
      <c r="B748" t="str">
        <f>"1551603760076533"</f>
        <v>1551603760076533</v>
      </c>
      <c r="C748" t="s">
        <v>40</v>
      </c>
      <c r="D748">
        <v>4.1289669999999896</v>
      </c>
      <c r="E748">
        <v>0.4963457</v>
      </c>
      <c r="F748" t="s">
        <v>44</v>
      </c>
      <c r="G748">
        <v>-315.77530000000002</v>
      </c>
      <c r="H748">
        <v>-0.05</v>
      </c>
      <c r="I748">
        <v>367.22640000000001</v>
      </c>
      <c r="J748">
        <v>-342.56599999999997</v>
      </c>
      <c r="K748">
        <v>1.1213310000000001</v>
      </c>
      <c r="L748">
        <v>367.733</v>
      </c>
      <c r="M748">
        <v>0.99991660000000004</v>
      </c>
      <c r="N748">
        <v>-1.137294E-2</v>
      </c>
      <c r="O748">
        <v>6.1241580000000002E-3</v>
      </c>
      <c r="P748">
        <v>0.99049279999999995</v>
      </c>
      <c r="Q748">
        <v>0.13284779999999999</v>
      </c>
      <c r="R748">
        <v>-3.5718319999999998E-2</v>
      </c>
      <c r="S748">
        <v>3.0444339999999999</v>
      </c>
      <c r="T748">
        <v>-0.13213629999999901</v>
      </c>
      <c r="U748">
        <v>-5.7006840000000003E-2</v>
      </c>
      <c r="V748">
        <v>4.1725129999999999E-2</v>
      </c>
      <c r="W748">
        <v>0.14411860000000001</v>
      </c>
      <c r="X748">
        <v>0.98868040000000001</v>
      </c>
      <c r="Y748">
        <v>2.4812170000000001E-2</v>
      </c>
      <c r="Z748">
        <v>-8.7538799999999995E-4</v>
      </c>
      <c r="AA748">
        <v>0.99969169999999996</v>
      </c>
      <c r="AB748">
        <v>32</v>
      </c>
      <c r="AC748">
        <v>26.790699999999902</v>
      </c>
      <c r="AD748">
        <v>-1.1713309999999999</v>
      </c>
      <c r="AE748">
        <v>-0.50659999999999095</v>
      </c>
      <c r="AF748">
        <v>0.66939244956605704</v>
      </c>
      <c r="AG748">
        <v>-1.1713309999999999</v>
      </c>
      <c r="AH748">
        <v>26.736005245806499</v>
      </c>
      <c r="AI748">
        <v>92.507796066415693</v>
      </c>
      <c r="AJ748">
        <v>88.565778588389307</v>
      </c>
      <c r="AK748">
        <v>26.770022022159299</v>
      </c>
      <c r="AL748">
        <v>81.713757772470402</v>
      </c>
      <c r="AM748">
        <v>87.583388892963896</v>
      </c>
      <c r="AN748">
        <v>1.0000000453418101</v>
      </c>
    </row>
    <row r="749" spans="1:40" x14ac:dyDescent="0.25">
      <c r="A749" t="str">
        <f>"20190303170240094"</f>
        <v>20190303170240094</v>
      </c>
      <c r="B749" t="str">
        <f>"1551603760086196"</f>
        <v>1551603760086196</v>
      </c>
      <c r="C749" t="s">
        <v>40</v>
      </c>
      <c r="D749">
        <v>4.1001250000000002</v>
      </c>
      <c r="E749">
        <v>0.49629780000000001</v>
      </c>
      <c r="F749" t="s">
        <v>44</v>
      </c>
      <c r="G749">
        <v>-315.17090000000002</v>
      </c>
      <c r="H749">
        <v>-0.05</v>
      </c>
      <c r="I749">
        <v>367.23680000000002</v>
      </c>
      <c r="J749">
        <v>-342.40719999999999</v>
      </c>
      <c r="K749">
        <v>1.1213340000000001</v>
      </c>
      <c r="L749">
        <v>367.73410000000001</v>
      </c>
      <c r="M749">
        <v>0.99991549999999996</v>
      </c>
      <c r="N749">
        <v>-1.1418940000000001E-2</v>
      </c>
      <c r="O749">
        <v>6.2267769999999898E-3</v>
      </c>
      <c r="P749">
        <v>0.99044829999999995</v>
      </c>
      <c r="Q749">
        <v>0.1331464</v>
      </c>
      <c r="R749">
        <v>-3.5842609999999997E-2</v>
      </c>
      <c r="S749">
        <v>3.0442809999999998</v>
      </c>
      <c r="T749">
        <v>-0.130164</v>
      </c>
      <c r="U749">
        <v>-5.5145260000000001E-2</v>
      </c>
      <c r="V749">
        <v>4.1950639999999997E-2</v>
      </c>
      <c r="W749">
        <v>0.14446210000000001</v>
      </c>
      <c r="X749">
        <v>0.98862070000000002</v>
      </c>
      <c r="Y749">
        <v>2.4306029999999999E-2</v>
      </c>
      <c r="Z749">
        <v>-8.5323769999999998E-4</v>
      </c>
      <c r="AA749">
        <v>0.99970420000000004</v>
      </c>
      <c r="AB749">
        <v>32</v>
      </c>
      <c r="AC749">
        <v>27.2362999999999</v>
      </c>
      <c r="AD749">
        <v>-1.1713340000000001</v>
      </c>
      <c r="AE749">
        <v>-0.49729999999999502</v>
      </c>
      <c r="AF749">
        <v>0.66566499945801205</v>
      </c>
      <c r="AG749">
        <v>-1.1713340000000001</v>
      </c>
      <c r="AH749">
        <v>27.182416743505101</v>
      </c>
      <c r="AI749">
        <v>92.466702057212302</v>
      </c>
      <c r="AJ749">
        <v>88.597175005691994</v>
      </c>
      <c r="AK749">
        <v>27.215784266646502</v>
      </c>
      <c r="AL749">
        <v>81.693868340594904</v>
      </c>
      <c r="AM749">
        <v>87.570197005616805</v>
      </c>
      <c r="AN749">
        <v>1.0000000215006499</v>
      </c>
    </row>
    <row r="750" spans="1:40" x14ac:dyDescent="0.25">
      <c r="A750" t="str">
        <f>"20190303170240105"</f>
        <v>20190303170240105</v>
      </c>
      <c r="B750" t="str">
        <f>"1551603760096916"</f>
        <v>1551603760096916</v>
      </c>
      <c r="C750" t="s">
        <v>40</v>
      </c>
      <c r="D750">
        <v>4.1114870000000003</v>
      </c>
      <c r="E750">
        <v>0.49634929999999999</v>
      </c>
      <c r="F750" t="s">
        <v>44</v>
      </c>
      <c r="G750">
        <v>-314.67750000000001</v>
      </c>
      <c r="H750">
        <v>-0.05</v>
      </c>
      <c r="I750">
        <v>367.2312</v>
      </c>
      <c r="J750">
        <v>-342.2466</v>
      </c>
      <c r="K750">
        <v>1.1213340000000001</v>
      </c>
      <c r="L750">
        <v>367.73520000000002</v>
      </c>
      <c r="M750">
        <v>0.99991439999999998</v>
      </c>
      <c r="N750">
        <v>-1.1460369999999999E-2</v>
      </c>
      <c r="O750">
        <v>6.3303750000000001E-3</v>
      </c>
      <c r="P750">
        <v>0.99041100000000004</v>
      </c>
      <c r="Q750">
        <v>0.13340949999999999</v>
      </c>
      <c r="R750">
        <v>-3.589639E-2</v>
      </c>
      <c r="S750">
        <v>3.0442499999999999</v>
      </c>
      <c r="T750">
        <v>-0.1285924</v>
      </c>
      <c r="U750">
        <v>-5.52063E-2</v>
      </c>
      <c r="V750">
        <v>4.2106570000000003E-2</v>
      </c>
      <c r="W750">
        <v>0.14476549999999999</v>
      </c>
      <c r="X750">
        <v>0.9885697</v>
      </c>
      <c r="Y750">
        <v>2.443033E-2</v>
      </c>
      <c r="Z750">
        <v>-8.5053729999999897E-4</v>
      </c>
      <c r="AA750">
        <v>0.99970119999999896</v>
      </c>
      <c r="AB750">
        <v>32</v>
      </c>
      <c r="AC750">
        <v>27.569099999999899</v>
      </c>
      <c r="AD750">
        <v>-1.1713340000000001</v>
      </c>
      <c r="AE750">
        <v>-0.50400000000001899</v>
      </c>
      <c r="AF750">
        <v>0.677301852698875</v>
      </c>
      <c r="AG750">
        <v>-1.1713340000000001</v>
      </c>
      <c r="AH750">
        <v>27.515703083748399</v>
      </c>
      <c r="AI750">
        <v>92.436852610637203</v>
      </c>
      <c r="AJ750">
        <v>88.589943252525501</v>
      </c>
      <c r="AK750">
        <v>27.548950566804301</v>
      </c>
      <c r="AL750">
        <v>81.676300219564993</v>
      </c>
      <c r="AM750">
        <v>87.561050677235897</v>
      </c>
      <c r="AN750">
        <v>1.00000003249275</v>
      </c>
    </row>
    <row r="751" spans="1:40" x14ac:dyDescent="0.25">
      <c r="A751" t="str">
        <f>"20190303170240118"</f>
        <v>20190303170240118</v>
      </c>
      <c r="B751" t="str">
        <f>"1551603760106677"</f>
        <v>1551603760106677</v>
      </c>
      <c r="C751" t="s">
        <v>40</v>
      </c>
      <c r="D751">
        <v>4.0885429999999996</v>
      </c>
      <c r="E751">
        <v>0.49645080000000003</v>
      </c>
      <c r="F751" t="s">
        <v>44</v>
      </c>
      <c r="G751">
        <v>-314.11700000000002</v>
      </c>
      <c r="H751">
        <v>-0.05</v>
      </c>
      <c r="I751">
        <v>367.21600000000001</v>
      </c>
      <c r="J751">
        <v>-342.0797</v>
      </c>
      <c r="K751">
        <v>1.121335</v>
      </c>
      <c r="L751">
        <v>367.7364</v>
      </c>
      <c r="M751">
        <v>0.9999133</v>
      </c>
      <c r="N751">
        <v>-1.150224E-2</v>
      </c>
      <c r="O751">
        <v>6.4380219999999998E-3</v>
      </c>
      <c r="P751">
        <v>0.99039500000000003</v>
      </c>
      <c r="Q751">
        <v>0.13359190000000001</v>
      </c>
      <c r="R751">
        <v>-3.5653890000000001E-2</v>
      </c>
      <c r="S751">
        <v>3.044098</v>
      </c>
      <c r="T751">
        <v>-0.1267585</v>
      </c>
      <c r="U751">
        <v>-5.6182860000000001E-2</v>
      </c>
      <c r="V751">
        <v>4.1970720000000003E-2</v>
      </c>
      <c r="W751">
        <v>0.14498910000000001</v>
      </c>
      <c r="X751">
        <v>0.9885427</v>
      </c>
      <c r="Y751">
        <v>2.4859740000000002E-2</v>
      </c>
      <c r="Z751">
        <v>-8.5431159999999995E-4</v>
      </c>
      <c r="AA751">
        <v>0.99969059999999998</v>
      </c>
      <c r="AB751">
        <v>32</v>
      </c>
      <c r="AC751">
        <v>27.962699999999899</v>
      </c>
      <c r="AD751">
        <v>-1.171335</v>
      </c>
      <c r="AE751">
        <v>-0.52039999999999498</v>
      </c>
      <c r="AF751">
        <v>0.69919910606795399</v>
      </c>
      <c r="AG751">
        <v>-1.171335</v>
      </c>
      <c r="AH751">
        <v>27.909813325163199</v>
      </c>
      <c r="AI751">
        <v>92.4024588165734</v>
      </c>
      <c r="AJ751">
        <v>88.564921247750803</v>
      </c>
      <c r="AK751">
        <v>27.943131265440002</v>
      </c>
      <c r="AL751">
        <v>81.6633522159173</v>
      </c>
      <c r="AM751">
        <v>87.568843773706902</v>
      </c>
      <c r="AN751">
        <v>1.0000000250897001</v>
      </c>
    </row>
    <row r="752" spans="1:40" x14ac:dyDescent="0.25">
      <c r="A752" t="str">
        <f>"20190303170240130"</f>
        <v>20190303170240130</v>
      </c>
      <c r="B752" t="str">
        <f>"1551603760116436"</f>
        <v>1551603760116436</v>
      </c>
      <c r="C752" t="s">
        <v>40</v>
      </c>
      <c r="D752">
        <v>4.07491</v>
      </c>
      <c r="E752">
        <v>0.49645080000000003</v>
      </c>
      <c r="F752" t="s">
        <v>44</v>
      </c>
      <c r="G752">
        <v>-313.4973</v>
      </c>
      <c r="H752">
        <v>-0.05</v>
      </c>
      <c r="I752">
        <v>367.20710000000003</v>
      </c>
      <c r="J752">
        <v>-341.8965</v>
      </c>
      <c r="K752">
        <v>1.1213379999999999</v>
      </c>
      <c r="L752">
        <v>367.73770000000002</v>
      </c>
      <c r="M752">
        <v>0.99991200000000002</v>
      </c>
      <c r="N752">
        <v>-1.1544230000000001E-2</v>
      </c>
      <c r="O752">
        <v>6.5564550000000001E-3</v>
      </c>
      <c r="P752">
        <v>0.99038590000000004</v>
      </c>
      <c r="Q752">
        <v>0.13364010000000001</v>
      </c>
      <c r="R752">
        <v>-3.5730860000000003E-2</v>
      </c>
      <c r="S752">
        <v>3.0438839999999998</v>
      </c>
      <c r="T752">
        <v>-0.1247413</v>
      </c>
      <c r="U752">
        <v>-5.6365970000000001E-2</v>
      </c>
      <c r="V752">
        <v>4.2164779999999999E-2</v>
      </c>
      <c r="W752">
        <v>0.1450787</v>
      </c>
      <c r="X752">
        <v>0.98852130000000005</v>
      </c>
      <c r="Y752">
        <v>2.504019E-2</v>
      </c>
      <c r="Z752">
        <v>-8.5035139999999998E-4</v>
      </c>
      <c r="AA752">
        <v>0.99968610000000002</v>
      </c>
      <c r="AB752">
        <v>32</v>
      </c>
      <c r="AC752">
        <v>28.3992</v>
      </c>
      <c r="AD752">
        <v>-1.171338</v>
      </c>
      <c r="AE752">
        <v>-0.53059999999999197</v>
      </c>
      <c r="AF752">
        <v>0.71558213981573804</v>
      </c>
      <c r="AG752">
        <v>-1.171338</v>
      </c>
      <c r="AH752">
        <v>28.346903847773401</v>
      </c>
      <c r="AI752">
        <v>92.365451567895903</v>
      </c>
      <c r="AJ752">
        <v>88.553946806720603</v>
      </c>
      <c r="AK752">
        <v>28.3801171291448</v>
      </c>
      <c r="AL752">
        <v>81.658163688524596</v>
      </c>
      <c r="AM752">
        <v>87.557563608979606</v>
      </c>
      <c r="AN752">
        <v>1.00000002920991</v>
      </c>
    </row>
    <row r="753" spans="1:40" x14ac:dyDescent="0.25">
      <c r="A753" t="str">
        <f>"20190303170240144"</f>
        <v>20190303170240144</v>
      </c>
      <c r="B753" t="str">
        <f>"1551603760136932"</f>
        <v>1551603760136932</v>
      </c>
      <c r="C753" t="s">
        <v>40</v>
      </c>
      <c r="D753">
        <v>4.0708039999999999</v>
      </c>
      <c r="E753">
        <v>0.50437679999999996</v>
      </c>
      <c r="F753" t="s">
        <v>44</v>
      </c>
      <c r="G753">
        <v>-313.28550000000001</v>
      </c>
      <c r="H753">
        <v>-0.05</v>
      </c>
      <c r="I753">
        <v>367.2029</v>
      </c>
      <c r="J753">
        <v>-341.70030000000003</v>
      </c>
      <c r="K753">
        <v>1.1213379999999999</v>
      </c>
      <c r="L753">
        <v>367.73919999999998</v>
      </c>
      <c r="M753">
        <v>0.99991050000000004</v>
      </c>
      <c r="N753">
        <v>-1.159341E-2</v>
      </c>
      <c r="O753">
        <v>6.6833709999999996E-3</v>
      </c>
      <c r="P753">
        <v>0.99043150000000002</v>
      </c>
      <c r="Q753">
        <v>0.13337779999999999</v>
      </c>
      <c r="R753">
        <v>-3.5435170000000002E-2</v>
      </c>
      <c r="S753">
        <v>3.0438839999999998</v>
      </c>
      <c r="T753">
        <v>-0.12461709999999999</v>
      </c>
      <c r="U753">
        <v>-5.6884770000000001E-2</v>
      </c>
      <c r="V753">
        <v>4.1995280000000003E-2</v>
      </c>
      <c r="W753">
        <v>0.14486550000000001</v>
      </c>
      <c r="X753">
        <v>0.98855979999999999</v>
      </c>
      <c r="Y753">
        <v>2.5337080000000001E-2</v>
      </c>
      <c r="Z753">
        <v>-8.6138570000000002E-4</v>
      </c>
      <c r="AA753">
        <v>0.99967859999999997</v>
      </c>
      <c r="AB753">
        <v>32</v>
      </c>
      <c r="AC753">
        <v>28.4148</v>
      </c>
      <c r="AD753">
        <v>-1.171338</v>
      </c>
      <c r="AE753">
        <v>-0.53629999999998201</v>
      </c>
      <c r="AF753">
        <v>0.72497589922294703</v>
      </c>
      <c r="AG753">
        <v>-1.171338</v>
      </c>
      <c r="AH753">
        <v>28.362401124207199</v>
      </c>
      <c r="AI753">
        <v>92.364141518752902</v>
      </c>
      <c r="AJ753">
        <v>88.535772199878195</v>
      </c>
      <c r="AK753">
        <v>28.395834558877301</v>
      </c>
      <c r="AL753">
        <v>81.670509726101201</v>
      </c>
      <c r="AM753">
        <v>87.567464870760801</v>
      </c>
      <c r="AN753">
        <v>1.0000000474042801</v>
      </c>
    </row>
    <row r="754" spans="1:40" x14ac:dyDescent="0.25">
      <c r="A754" t="str">
        <f>"20190303170240162"</f>
        <v>20190303170240162</v>
      </c>
      <c r="B754" t="str">
        <f>"1551603760156452"</f>
        <v>1551603760156452</v>
      </c>
      <c r="C754" t="s">
        <v>40</v>
      </c>
      <c r="D754">
        <v>4.0319960000000004</v>
      </c>
      <c r="E754">
        <v>0.50505279999999997</v>
      </c>
      <c r="F754" t="s">
        <v>41</v>
      </c>
      <c r="G754">
        <v>-158.19499999999999</v>
      </c>
      <c r="H754">
        <v>1.8640909999999999</v>
      </c>
      <c r="I754">
        <v>360.16390000000001</v>
      </c>
      <c r="J754">
        <v>-341.44740000000002</v>
      </c>
      <c r="K754">
        <v>1.1212569999999999</v>
      </c>
      <c r="L754">
        <v>367.74099999999999</v>
      </c>
      <c r="M754">
        <v>0.99991200000000002</v>
      </c>
      <c r="N754">
        <v>-1.135796E-2</v>
      </c>
      <c r="O754">
        <v>6.8451019999999996E-3</v>
      </c>
      <c r="P754">
        <v>0.99043639999999999</v>
      </c>
      <c r="Q754">
        <v>0.13335900000000001</v>
      </c>
      <c r="R754">
        <v>-3.5373229999999999E-2</v>
      </c>
      <c r="S754">
        <v>3.0228579999999998</v>
      </c>
      <c r="T754">
        <v>1.223671E-2</v>
      </c>
      <c r="U754">
        <v>-0.12478640000000001</v>
      </c>
      <c r="V754">
        <v>4.2094329999999999E-2</v>
      </c>
      <c r="W754">
        <v>0.14461399999999999</v>
      </c>
      <c r="X754">
        <v>0.98859240000000004</v>
      </c>
      <c r="Y754">
        <v>4.8084460000000002E-2</v>
      </c>
      <c r="Z754" s="1">
        <v>-7.0500510000000001E-5</v>
      </c>
      <c r="AA754">
        <v>0.99884329999999999</v>
      </c>
      <c r="AB754">
        <v>32</v>
      </c>
      <c r="AC754">
        <v>183.25239999999999</v>
      </c>
      <c r="AD754">
        <v>0.74283399999999999</v>
      </c>
      <c r="AE754">
        <v>-7.5770999999999704</v>
      </c>
      <c r="AF754">
        <v>8.83123996670877</v>
      </c>
      <c r="AG754">
        <v>0.74283399999999999</v>
      </c>
      <c r="AH754">
        <v>183.193231788926</v>
      </c>
      <c r="AI754">
        <v>89.767940925637802</v>
      </c>
      <c r="AJ754">
        <v>87.240065293951901</v>
      </c>
      <c r="AK754">
        <v>183.40747742382899</v>
      </c>
      <c r="AL754">
        <v>81.685072885300301</v>
      </c>
      <c r="AM754">
        <v>87.561814721212897</v>
      </c>
      <c r="AN754">
        <v>1.0000000374759499</v>
      </c>
    </row>
    <row r="755" spans="1:40" x14ac:dyDescent="0.25">
      <c r="A755" t="str">
        <f>"20190303170240175"</f>
        <v>20190303170240175</v>
      </c>
      <c r="B755" t="str">
        <f>"1551603760166212"</f>
        <v>1551603760166212</v>
      </c>
      <c r="C755" t="s">
        <v>40</v>
      </c>
      <c r="D755">
        <v>4.0418570000000003</v>
      </c>
      <c r="E755">
        <v>0.50536349999999997</v>
      </c>
      <c r="F755" t="s">
        <v>41</v>
      </c>
      <c r="G755">
        <v>-158.19499999999999</v>
      </c>
      <c r="H755">
        <v>1.971616</v>
      </c>
      <c r="I755">
        <v>359.8347</v>
      </c>
      <c r="J755">
        <v>-341.2362</v>
      </c>
      <c r="K755">
        <v>1.1210719999999901</v>
      </c>
      <c r="L755">
        <v>367.74259999999998</v>
      </c>
      <c r="M755">
        <v>0.99991830000000004</v>
      </c>
      <c r="N755">
        <v>-1.072086E-2</v>
      </c>
      <c r="O755">
        <v>6.9772460000000003E-3</v>
      </c>
      <c r="P755">
        <v>0.9903556</v>
      </c>
      <c r="Q755">
        <v>0.13395839999999901</v>
      </c>
      <c r="R755">
        <v>-3.537179E-2</v>
      </c>
      <c r="S755">
        <v>3.0224299999999999</v>
      </c>
      <c r="T755">
        <v>1.402664E-2</v>
      </c>
      <c r="U755">
        <v>-0.13040160000000001</v>
      </c>
      <c r="V755">
        <v>4.2225209999999999E-2</v>
      </c>
      <c r="W755">
        <v>0.1445814</v>
      </c>
      <c r="X755">
        <v>0.98859160000000001</v>
      </c>
      <c r="Y755">
        <v>5.0074510000000003E-2</v>
      </c>
      <c r="Z755" s="1">
        <v>-4.528029E-5</v>
      </c>
      <c r="AA755">
        <v>0.99874549999999995</v>
      </c>
      <c r="AB755">
        <v>32</v>
      </c>
      <c r="AC755">
        <v>183.0412</v>
      </c>
      <c r="AD755">
        <v>0.85054399999999997</v>
      </c>
      <c r="AE755">
        <v>-7.9078999999999802</v>
      </c>
      <c r="AF755">
        <v>9.1847062785805509</v>
      </c>
      <c r="AG755">
        <v>0.85054399999999997</v>
      </c>
      <c r="AH755">
        <v>182.977621984237</v>
      </c>
      <c r="AI755">
        <v>89.734005976558706</v>
      </c>
      <c r="AJ755">
        <v>87.126404920429806</v>
      </c>
      <c r="AK755">
        <v>183.209968073591</v>
      </c>
      <c r="AL755">
        <v>81.686960675942601</v>
      </c>
      <c r="AM755">
        <v>87.554241112132999</v>
      </c>
      <c r="AN755">
        <v>1.00000005058803</v>
      </c>
    </row>
    <row r="756" spans="1:40" x14ac:dyDescent="0.25">
      <c r="A756" t="str">
        <f>"20190303170240188"</f>
        <v>20190303170240188</v>
      </c>
      <c r="B756" t="str">
        <f>"1551603760176948"</f>
        <v>1551603760176948</v>
      </c>
      <c r="C756" t="s">
        <v>40</v>
      </c>
      <c r="D756">
        <v>4.0407129999999896</v>
      </c>
      <c r="E756">
        <v>0.50541899999999995</v>
      </c>
      <c r="F756" t="s">
        <v>41</v>
      </c>
      <c r="G756">
        <v>-158.19499999999999</v>
      </c>
      <c r="H756">
        <v>2.1103990000000001</v>
      </c>
      <c r="I756">
        <v>359.71010000000001</v>
      </c>
      <c r="J756">
        <v>-341.04989999999998</v>
      </c>
      <c r="K756">
        <v>1.1208849999999999</v>
      </c>
      <c r="L756">
        <v>367.74400000000003</v>
      </c>
      <c r="M756">
        <v>0.99992499999999995</v>
      </c>
      <c r="N756">
        <v>-1.000089E-2</v>
      </c>
      <c r="O756">
        <v>7.0926449999999999E-3</v>
      </c>
      <c r="P756">
        <v>0.99026950000000002</v>
      </c>
      <c r="Q756">
        <v>0.13465350000000001</v>
      </c>
      <c r="R756">
        <v>-3.5144130000000003E-2</v>
      </c>
      <c r="S756">
        <v>3.022278</v>
      </c>
      <c r="T756">
        <v>1.6336679999999999E-2</v>
      </c>
      <c r="U756">
        <v>-0.13262939999999901</v>
      </c>
      <c r="V756">
        <v>4.2113869999999998E-2</v>
      </c>
      <c r="W756">
        <v>0.144563</v>
      </c>
      <c r="X756">
        <v>0.98859900000000001</v>
      </c>
      <c r="Y756">
        <v>5.0926609999999997E-2</v>
      </c>
      <c r="Z756" s="1">
        <v>-7.9923479999999993E-6</v>
      </c>
      <c r="AA756">
        <v>0.99870239999999999</v>
      </c>
      <c r="AB756">
        <v>33</v>
      </c>
      <c r="AC756">
        <v>182.85489999999999</v>
      </c>
      <c r="AD756">
        <v>0.98951399999999901</v>
      </c>
      <c r="AE756">
        <v>-8.0339000000000098</v>
      </c>
      <c r="AF756">
        <v>9.3304147380200408</v>
      </c>
      <c r="AG756">
        <v>0.98951399999999901</v>
      </c>
      <c r="AH756">
        <v>182.78797327497799</v>
      </c>
      <c r="AI756">
        <v>89.690238338467907</v>
      </c>
      <c r="AJ756">
        <v>87.0778723044874</v>
      </c>
      <c r="AK756">
        <v>183.02862877461001</v>
      </c>
      <c r="AL756">
        <v>81.688025779274398</v>
      </c>
      <c r="AM756">
        <v>87.560700558787701</v>
      </c>
      <c r="AN756">
        <v>1.0000000109081799</v>
      </c>
    </row>
    <row r="757" spans="1:40" x14ac:dyDescent="0.25">
      <c r="A757" t="str">
        <f>"20190303170240199"</f>
        <v>20190303170240199</v>
      </c>
      <c r="B757" t="str">
        <f>"1551603760186391"</f>
        <v>1551603760186391</v>
      </c>
      <c r="C757" t="s">
        <v>40</v>
      </c>
      <c r="D757">
        <v>4.0111929999999996</v>
      </c>
      <c r="E757">
        <v>0.50540260000000004</v>
      </c>
      <c r="F757" t="s">
        <v>41</v>
      </c>
      <c r="G757">
        <v>-158.19499999999999</v>
      </c>
      <c r="H757">
        <v>2.2057220000000002</v>
      </c>
      <c r="I757">
        <v>359.73829999999998</v>
      </c>
      <c r="J757">
        <v>-340.8895</v>
      </c>
      <c r="K757">
        <v>1.120733</v>
      </c>
      <c r="L757">
        <v>367.74529999999999</v>
      </c>
      <c r="M757">
        <v>0.99993019999999999</v>
      </c>
      <c r="N757">
        <v>-9.3784309999999996E-3</v>
      </c>
      <c r="O757">
        <v>7.1921090000000003E-3</v>
      </c>
      <c r="P757">
        <v>0.99020759999999997</v>
      </c>
      <c r="Q757">
        <v>0.13513069999999999</v>
      </c>
      <c r="R757">
        <v>-3.5052809999999997E-2</v>
      </c>
      <c r="S757">
        <v>3.0223390000000001</v>
      </c>
      <c r="T757">
        <v>1.7932299999999901E-2</v>
      </c>
      <c r="U757">
        <v>-0.1323242</v>
      </c>
      <c r="V757">
        <v>4.2123210000000001E-2</v>
      </c>
      <c r="W757">
        <v>0.14442339999999901</v>
      </c>
      <c r="X757">
        <v>0.98861900000000003</v>
      </c>
      <c r="Y757">
        <v>5.0924249999999997E-2</v>
      </c>
      <c r="Z757" s="1">
        <v>2.2155699999999999E-5</v>
      </c>
      <c r="AA757">
        <v>0.99870250000000005</v>
      </c>
      <c r="AB757">
        <v>33</v>
      </c>
      <c r="AC757">
        <v>182.69450000000001</v>
      </c>
      <c r="AD757">
        <v>1.084989</v>
      </c>
      <c r="AE757">
        <v>-8.0069999999999997</v>
      </c>
      <c r="AF757">
        <v>9.3204812829683394</v>
      </c>
      <c r="AG757">
        <v>1.084989</v>
      </c>
      <c r="AH757">
        <v>182.625755932609</v>
      </c>
      <c r="AI757">
        <v>89.660049265983503</v>
      </c>
      <c r="AJ757">
        <v>87.078389579528604</v>
      </c>
      <c r="AK757">
        <v>182.866659898498</v>
      </c>
      <c r="AL757">
        <v>81.696109050500596</v>
      </c>
      <c r="AM757">
        <v>87.560209524356495</v>
      </c>
      <c r="AN757">
        <v>1.0000000052246301</v>
      </c>
    </row>
    <row r="758" spans="1:40" x14ac:dyDescent="0.25">
      <c r="A758" t="str">
        <f>"20190303170240215"</f>
        <v>20190303170240215</v>
      </c>
      <c r="B758" t="str">
        <f>"1551603760206827"</f>
        <v>1551603760206827</v>
      </c>
      <c r="C758" t="s">
        <v>40</v>
      </c>
      <c r="D758">
        <v>3.9944700000000002</v>
      </c>
      <c r="E758">
        <v>0.50551840000000003</v>
      </c>
      <c r="F758" t="s">
        <v>41</v>
      </c>
      <c r="G758">
        <v>-158.19499999999999</v>
      </c>
      <c r="H758">
        <v>2.3373740000000001</v>
      </c>
      <c r="I758">
        <v>359.7629</v>
      </c>
      <c r="J758">
        <v>-340.64819999999997</v>
      </c>
      <c r="K758">
        <v>1.1205259999999999</v>
      </c>
      <c r="L758">
        <v>367.74709999999999</v>
      </c>
      <c r="M758">
        <v>0.99993750000000003</v>
      </c>
      <c r="N758">
        <v>-8.4376439999999994E-3</v>
      </c>
      <c r="O758">
        <v>7.3406590000000002E-3</v>
      </c>
      <c r="P758">
        <v>0.99010710000000002</v>
      </c>
      <c r="Q758">
        <v>0.13596629999999901</v>
      </c>
      <c r="R758">
        <v>-3.4659849999999999E-2</v>
      </c>
      <c r="S758">
        <v>3.0222470000000001</v>
      </c>
      <c r="T758">
        <v>2.0127889999999999E-2</v>
      </c>
      <c r="U758">
        <v>-0.13204959999999999</v>
      </c>
      <c r="V758">
        <v>4.1880100000000003E-2</v>
      </c>
      <c r="W758">
        <v>0.14432710000000001</v>
      </c>
      <c r="X758">
        <v>0.98864339999999995</v>
      </c>
      <c r="Y758">
        <v>5.098308E-2</v>
      </c>
      <c r="Z758" s="1">
        <v>6.5265979999999993E-5</v>
      </c>
      <c r="AA758">
        <v>0.99869949999999996</v>
      </c>
      <c r="AB758">
        <v>33</v>
      </c>
      <c r="AC758">
        <v>182.45320000000001</v>
      </c>
      <c r="AD758">
        <v>1.2168479999999999</v>
      </c>
      <c r="AE758">
        <v>-7.98419999999998</v>
      </c>
      <c r="AF758">
        <v>9.3229453172008796</v>
      </c>
      <c r="AG758">
        <v>1.2168479999999999</v>
      </c>
      <c r="AH758">
        <v>182.381575521164</v>
      </c>
      <c r="AI758">
        <v>89.618227270946605</v>
      </c>
      <c r="AJ758">
        <v>87.073712722894101</v>
      </c>
      <c r="AK758">
        <v>182.62375836135001</v>
      </c>
      <c r="AL758">
        <v>81.701685122651497</v>
      </c>
      <c r="AM758">
        <v>87.574333464642706</v>
      </c>
      <c r="AN758">
        <v>1.00000001346699</v>
      </c>
    </row>
    <row r="759" spans="1:40" x14ac:dyDescent="0.25">
      <c r="A759" t="str">
        <f>"20190303170240226"</f>
        <v>20190303170240226</v>
      </c>
      <c r="B759" t="str">
        <f>"1551603760216586"</f>
        <v>1551603760216586</v>
      </c>
      <c r="C759" t="s">
        <v>40</v>
      </c>
      <c r="D759">
        <v>4.0157590000000001</v>
      </c>
      <c r="E759">
        <v>0.50566929999999999</v>
      </c>
      <c r="F759" t="s">
        <v>41</v>
      </c>
      <c r="G759">
        <v>-158.19499999999999</v>
      </c>
      <c r="H759">
        <v>2.474097</v>
      </c>
      <c r="I759">
        <v>359.78280000000001</v>
      </c>
      <c r="J759">
        <v>-340.47919999999999</v>
      </c>
      <c r="K759">
        <v>1.120398</v>
      </c>
      <c r="L759">
        <v>367.7484</v>
      </c>
      <c r="M759">
        <v>0.99994190000000005</v>
      </c>
      <c r="N759">
        <v>-7.7940179999999998E-3</v>
      </c>
      <c r="O759">
        <v>7.4424369999999997E-3</v>
      </c>
      <c r="P759">
        <v>0.99008910000000006</v>
      </c>
      <c r="Q759">
        <v>0.13617770000000001</v>
      </c>
      <c r="R759">
        <v>-3.4343609999999997E-2</v>
      </c>
      <c r="S759">
        <v>3.0223080000000002</v>
      </c>
      <c r="T759">
        <v>2.2423149999999999E-2</v>
      </c>
      <c r="U759">
        <v>-0.1319275</v>
      </c>
      <c r="V759">
        <v>4.1666370000000001E-2</v>
      </c>
      <c r="W759">
        <v>0.143901</v>
      </c>
      <c r="X759">
        <v>0.98871450000000005</v>
      </c>
      <c r="Y759">
        <v>5.1043289999999998E-2</v>
      </c>
      <c r="Z759">
        <v>1.034121E-4</v>
      </c>
      <c r="AA759">
        <v>0.99869640000000004</v>
      </c>
      <c r="AB759">
        <v>33</v>
      </c>
      <c r="AC759">
        <v>182.2842</v>
      </c>
      <c r="AD759">
        <v>1.353699</v>
      </c>
      <c r="AE759">
        <v>-7.9655999999999896</v>
      </c>
      <c r="AF759">
        <v>9.32154619541447</v>
      </c>
      <c r="AG759">
        <v>1.353699</v>
      </c>
      <c r="AH759">
        <v>182.209836260694</v>
      </c>
      <c r="AI759">
        <v>89.574893853776501</v>
      </c>
      <c r="AJ759">
        <v>87.071398197989097</v>
      </c>
      <c r="AK759">
        <v>182.453139612901</v>
      </c>
      <c r="AL759">
        <v>81.726356061252204</v>
      </c>
      <c r="AM759">
        <v>87.586871224688394</v>
      </c>
      <c r="AN759">
        <v>0.99999997335011304</v>
      </c>
    </row>
    <row r="760" spans="1:40" x14ac:dyDescent="0.25">
      <c r="A760" t="str">
        <f>"20190303170240239"</f>
        <v>20190303170240239</v>
      </c>
      <c r="B760" t="str">
        <f>"1551603760226345"</f>
        <v>1551603760226345</v>
      </c>
      <c r="C760" t="s">
        <v>40</v>
      </c>
      <c r="D760">
        <v>3.9985580000000001</v>
      </c>
      <c r="E760">
        <v>0.505729599999999</v>
      </c>
      <c r="F760" t="s">
        <v>41</v>
      </c>
      <c r="G760">
        <v>-158.19499999999999</v>
      </c>
      <c r="H760">
        <v>2.5294729999999999</v>
      </c>
      <c r="I760">
        <v>359.78210000000001</v>
      </c>
      <c r="J760">
        <v>-340.30790000000002</v>
      </c>
      <c r="K760">
        <v>1.1202810000000001</v>
      </c>
      <c r="L760">
        <v>367.74979999999999</v>
      </c>
      <c r="M760">
        <v>0.99994609999999995</v>
      </c>
      <c r="N760">
        <v>-7.1470070000000004E-3</v>
      </c>
      <c r="O760">
        <v>7.5441529999999996E-3</v>
      </c>
      <c r="P760">
        <v>0.99004380000000003</v>
      </c>
      <c r="Q760">
        <v>0.1365847</v>
      </c>
      <c r="R760">
        <v>-3.4034590000000003E-2</v>
      </c>
      <c r="S760">
        <v>3.0222169999999999</v>
      </c>
      <c r="T760">
        <v>2.3363470000000001E-2</v>
      </c>
      <c r="U760">
        <v>-0.13208010000000001</v>
      </c>
      <c r="V760">
        <v>4.1459250000000003E-2</v>
      </c>
      <c r="W760">
        <v>0.14366789999999999</v>
      </c>
      <c r="X760">
        <v>0.98875710000000006</v>
      </c>
      <c r="Y760">
        <v>5.1196329999999998E-2</v>
      </c>
      <c r="Z760">
        <v>1.2693469999999901E-4</v>
      </c>
      <c r="AA760">
        <v>0.99868860000000004</v>
      </c>
      <c r="AB760">
        <v>33</v>
      </c>
      <c r="AC760">
        <v>182.1129</v>
      </c>
      <c r="AD760">
        <v>1.409192</v>
      </c>
      <c r="AE760">
        <v>-7.9676999999999696</v>
      </c>
      <c r="AF760">
        <v>9.3408375519543192</v>
      </c>
      <c r="AG760">
        <v>1.409192</v>
      </c>
      <c r="AH760">
        <v>182.036727215544</v>
      </c>
      <c r="AI760">
        <v>89.5570505881429</v>
      </c>
      <c r="AJ760">
        <v>87.062562067479107</v>
      </c>
      <c r="AK760">
        <v>182.28166974112199</v>
      </c>
      <c r="AL760">
        <v>81.739851905733602</v>
      </c>
      <c r="AM760">
        <v>87.598955939615493</v>
      </c>
      <c r="AN760">
        <v>0.99999996885068998</v>
      </c>
    </row>
    <row r="761" spans="1:40" x14ac:dyDescent="0.25">
      <c r="A761" t="str">
        <f>"20190303170240249"</f>
        <v>20190303170240249</v>
      </c>
      <c r="B761" t="str">
        <f>"1551603760236107"</f>
        <v>1551603760236107</v>
      </c>
      <c r="C761" t="s">
        <v>40</v>
      </c>
      <c r="D761">
        <v>3.9819969999999998</v>
      </c>
      <c r="E761">
        <v>0.50583630000000002</v>
      </c>
      <c r="F761" t="s">
        <v>41</v>
      </c>
      <c r="G761">
        <v>-158.19499999999999</v>
      </c>
      <c r="H761">
        <v>2.5937139999999999</v>
      </c>
      <c r="I761">
        <v>359.81310000000002</v>
      </c>
      <c r="J761">
        <v>-340.12970000000001</v>
      </c>
      <c r="K761">
        <v>1.1201730000000001</v>
      </c>
      <c r="L761">
        <v>367.75110000000001</v>
      </c>
      <c r="M761">
        <v>0.9999498</v>
      </c>
      <c r="N761">
        <v>-6.4900499999999998E-3</v>
      </c>
      <c r="O761">
        <v>7.6465489999999999E-3</v>
      </c>
      <c r="P761">
        <v>0.98997559999999996</v>
      </c>
      <c r="Q761">
        <v>0.1371088</v>
      </c>
      <c r="R761">
        <v>-3.390758E-2</v>
      </c>
      <c r="S761">
        <v>3.022278</v>
      </c>
      <c r="T761">
        <v>2.4454E-2</v>
      </c>
      <c r="U761">
        <v>-0.13171389999999999</v>
      </c>
      <c r="V761">
        <v>4.1433869999999998E-2</v>
      </c>
      <c r="W761">
        <v>0.143541</v>
      </c>
      <c r="X761">
        <v>0.98877660000000001</v>
      </c>
      <c r="Y761">
        <v>5.1176720000000002E-2</v>
      </c>
      <c r="Z761">
        <v>1.522316E-4</v>
      </c>
      <c r="AA761">
        <v>0.99868959999999996</v>
      </c>
      <c r="AB761">
        <v>34</v>
      </c>
      <c r="AC761">
        <v>181.93469999999999</v>
      </c>
      <c r="AD761">
        <v>1.473541</v>
      </c>
      <c r="AE761">
        <v>-7.9379999999999802</v>
      </c>
      <c r="AF761">
        <v>9.3283589213354894</v>
      </c>
      <c r="AG761">
        <v>1.473541</v>
      </c>
      <c r="AH761">
        <v>181.85677443588401</v>
      </c>
      <c r="AI761">
        <v>89.536365986903206</v>
      </c>
      <c r="AJ761">
        <v>87.063581667044204</v>
      </c>
      <c r="AK761">
        <v>182.10182868787501</v>
      </c>
      <c r="AL761">
        <v>81.747198937499405</v>
      </c>
      <c r="AM761">
        <v>87.600471329347798</v>
      </c>
      <c r="AN761">
        <v>0.99999997448586797</v>
      </c>
    </row>
    <row r="762" spans="1:40" x14ac:dyDescent="0.25">
      <c r="A762" t="str">
        <f>"20190303170240262"</f>
        <v>20190303170240262</v>
      </c>
      <c r="B762" t="str">
        <f>"1551603760256602"</f>
        <v>1551603760256602</v>
      </c>
      <c r="C762" t="s">
        <v>40</v>
      </c>
      <c r="D762">
        <v>3.947603</v>
      </c>
      <c r="E762">
        <v>0.50603710000000002</v>
      </c>
      <c r="F762" t="s">
        <v>41</v>
      </c>
      <c r="G762">
        <v>-158.19499999999999</v>
      </c>
      <c r="H762">
        <v>2.7011810000000001</v>
      </c>
      <c r="I762">
        <v>359.79090000000002</v>
      </c>
      <c r="J762">
        <v>-339.95179999999999</v>
      </c>
      <c r="K762">
        <v>1.1200870000000001</v>
      </c>
      <c r="L762">
        <v>367.75259999999997</v>
      </c>
      <c r="M762">
        <v>0.99995290000000003</v>
      </c>
      <c r="N762">
        <v>-5.8593439999999998E-3</v>
      </c>
      <c r="O762">
        <v>7.7456309999999898E-3</v>
      </c>
      <c r="P762">
        <v>0.98991099999999999</v>
      </c>
      <c r="Q762">
        <v>0.137563299999999</v>
      </c>
      <c r="R762">
        <v>-3.3951059999999998E-2</v>
      </c>
      <c r="S762">
        <v>3.0222169999999999</v>
      </c>
      <c r="T762">
        <v>2.6264429999999998E-2</v>
      </c>
      <c r="U762">
        <v>-0.13223270000000001</v>
      </c>
      <c r="V762">
        <v>4.1574939999999998E-2</v>
      </c>
      <c r="W762">
        <v>0.143372</v>
      </c>
      <c r="X762">
        <v>0.98879519999999999</v>
      </c>
      <c r="Y762">
        <v>5.1447310000000003E-2</v>
      </c>
      <c r="Z762">
        <v>1.8528300000000001E-4</v>
      </c>
      <c r="AA762">
        <v>0.99867570000000006</v>
      </c>
      <c r="AB762">
        <v>34</v>
      </c>
      <c r="AC762">
        <v>181.7568</v>
      </c>
      <c r="AD762">
        <v>1.581094</v>
      </c>
      <c r="AE762">
        <v>-7.9616999999999498</v>
      </c>
      <c r="AF762">
        <v>9.3685987579571002</v>
      </c>
      <c r="AG762">
        <v>1.581094</v>
      </c>
      <c r="AH762">
        <v>181.67595663799599</v>
      </c>
      <c r="AI762">
        <v>89.502039084900403</v>
      </c>
      <c r="AJ762">
        <v>87.048007177624399</v>
      </c>
      <c r="AK762">
        <v>181.92422521823599</v>
      </c>
      <c r="AL762">
        <v>81.7569831451017</v>
      </c>
      <c r="AM762">
        <v>87.592356483293003</v>
      </c>
      <c r="AN762">
        <v>0.99999997678152097</v>
      </c>
    </row>
    <row r="763" spans="1:40" x14ac:dyDescent="0.25">
      <c r="A763" t="str">
        <f>"20190303170240274"</f>
        <v>20190303170240274</v>
      </c>
      <c r="B763" t="str">
        <f>"1551603760266362"</f>
        <v>1551603760266362</v>
      </c>
      <c r="C763" t="s">
        <v>40</v>
      </c>
      <c r="D763">
        <v>3.987854</v>
      </c>
      <c r="E763">
        <v>0.50611220000000001</v>
      </c>
      <c r="F763" t="s">
        <v>41</v>
      </c>
      <c r="G763">
        <v>-158.19499999999999</v>
      </c>
      <c r="H763">
        <v>2.8835470000000001</v>
      </c>
      <c r="I763">
        <v>359.702</v>
      </c>
      <c r="J763">
        <v>-339.7602</v>
      </c>
      <c r="K763">
        <v>1.1200000000000001</v>
      </c>
      <c r="L763">
        <v>367.75409999999999</v>
      </c>
      <c r="M763">
        <v>0.9999557</v>
      </c>
      <c r="N763">
        <v>-5.2003099999999997E-3</v>
      </c>
      <c r="O763">
        <v>7.8501950000000008E-3</v>
      </c>
      <c r="P763">
        <v>0.98980979999999996</v>
      </c>
      <c r="Q763">
        <v>0.13828280000000001</v>
      </c>
      <c r="R763">
        <v>-3.397559E-2</v>
      </c>
      <c r="S763">
        <v>3.0219119999999999</v>
      </c>
      <c r="T763">
        <v>2.932096E-2</v>
      </c>
      <c r="U763">
        <v>-0.1338501</v>
      </c>
      <c r="V763">
        <v>4.1701830000000002E-2</v>
      </c>
      <c r="W763">
        <v>0.1434395</v>
      </c>
      <c r="X763">
        <v>0.98878010000000005</v>
      </c>
      <c r="Y763">
        <v>5.2089040000000003E-2</v>
      </c>
      <c r="Z763">
        <v>2.3399940000000001E-4</v>
      </c>
      <c r="AA763">
        <v>0.99864240000000004</v>
      </c>
      <c r="AB763">
        <v>34</v>
      </c>
      <c r="AC763">
        <v>181.5652</v>
      </c>
      <c r="AD763">
        <v>1.763547</v>
      </c>
      <c r="AE763">
        <v>-8.0520999999999905</v>
      </c>
      <c r="AF763">
        <v>9.4763010636481493</v>
      </c>
      <c r="AG763">
        <v>1.763547</v>
      </c>
      <c r="AH763">
        <v>181.47930616455</v>
      </c>
      <c r="AI763">
        <v>89.443996331295594</v>
      </c>
      <c r="AJ763">
        <v>87.010902233479797</v>
      </c>
      <c r="AK763">
        <v>181.735106531008</v>
      </c>
      <c r="AL763">
        <v>81.7530755596635</v>
      </c>
      <c r="AM763">
        <v>87.584980015691499</v>
      </c>
      <c r="AN763">
        <v>1.0000000094707999</v>
      </c>
    </row>
    <row r="764" spans="1:40" x14ac:dyDescent="0.25">
      <c r="A764" t="str">
        <f>"20190303170240285"</f>
        <v>20190303170240285</v>
      </c>
      <c r="B764" t="str">
        <f>"1551603760276121"</f>
        <v>1551603760276121</v>
      </c>
      <c r="C764" t="s">
        <v>40</v>
      </c>
      <c r="D764">
        <v>3.9422130000000002</v>
      </c>
      <c r="E764">
        <v>0.50620189999999998</v>
      </c>
      <c r="F764" t="s">
        <v>41</v>
      </c>
      <c r="G764">
        <v>-158.19499999999999</v>
      </c>
      <c r="H764">
        <v>3.009512</v>
      </c>
      <c r="I764">
        <v>359.67349999999999</v>
      </c>
      <c r="J764">
        <v>-339.59500000000003</v>
      </c>
      <c r="K764">
        <v>1.119953</v>
      </c>
      <c r="L764">
        <v>367.75549999999998</v>
      </c>
      <c r="M764">
        <v>0.99995750000000005</v>
      </c>
      <c r="N764">
        <v>-4.7101259999999898E-3</v>
      </c>
      <c r="O764">
        <v>7.9359430000000009E-3</v>
      </c>
      <c r="P764">
        <v>0.98974569999999995</v>
      </c>
      <c r="Q764">
        <v>0.13879469999999999</v>
      </c>
      <c r="R764">
        <v>-3.3757929999999998E-2</v>
      </c>
      <c r="S764">
        <v>3.021881</v>
      </c>
      <c r="T764">
        <v>3.1449560000000001E-2</v>
      </c>
      <c r="U764">
        <v>-0.134491</v>
      </c>
      <c r="V764">
        <v>4.156721E-2</v>
      </c>
      <c r="W764">
        <v>0.14346639999999999</v>
      </c>
      <c r="X764">
        <v>0.98878189999999999</v>
      </c>
      <c r="Y764">
        <v>5.2386040000000002E-2</v>
      </c>
      <c r="Z764">
        <v>2.6892959999999999E-4</v>
      </c>
      <c r="AA764">
        <v>0.99862689999999998</v>
      </c>
      <c r="AB764">
        <v>34</v>
      </c>
      <c r="AC764">
        <v>181.4</v>
      </c>
      <c r="AD764">
        <v>1.889559</v>
      </c>
      <c r="AE764">
        <v>-8.0819999999999901</v>
      </c>
      <c r="AF764">
        <v>9.5203104542464292</v>
      </c>
      <c r="AG764">
        <v>1.889559</v>
      </c>
      <c r="AH764">
        <v>181.31051460457601</v>
      </c>
      <c r="AI764">
        <v>89.403725081446595</v>
      </c>
      <c r="AJ764">
        <v>86.994255270718398</v>
      </c>
      <c r="AK764">
        <v>181.57012268139201</v>
      </c>
      <c r="AL764">
        <v>81.751518476773199</v>
      </c>
      <c r="AM764">
        <v>87.592771267303704</v>
      </c>
      <c r="AN764">
        <v>1.0000000433218701</v>
      </c>
    </row>
    <row r="765" spans="1:40" x14ac:dyDescent="0.25">
      <c r="A765" t="str">
        <f>"20190303170240297"</f>
        <v>20190303170240297</v>
      </c>
      <c r="B765" t="str">
        <f>"1551603760286704"</f>
        <v>1551603760286704</v>
      </c>
      <c r="C765" t="s">
        <v>40</v>
      </c>
      <c r="D765">
        <v>3.949662</v>
      </c>
      <c r="E765">
        <v>0.50633149999999905</v>
      </c>
      <c r="F765" t="s">
        <v>41</v>
      </c>
      <c r="G765">
        <v>-158.19499999999999</v>
      </c>
      <c r="H765">
        <v>3.0705429999999998</v>
      </c>
      <c r="I765">
        <v>359.6823</v>
      </c>
      <c r="J765">
        <v>-339.4067</v>
      </c>
      <c r="K765">
        <v>1.1199110000000001</v>
      </c>
      <c r="L765">
        <v>367.75700000000001</v>
      </c>
      <c r="M765">
        <v>0.99995909999999999</v>
      </c>
      <c r="N765">
        <v>-4.1907919999999996E-3</v>
      </c>
      <c r="O765">
        <v>8.0322969999999903E-3</v>
      </c>
      <c r="P765">
        <v>0.98967360000000004</v>
      </c>
      <c r="Q765">
        <v>0.13929420000000001</v>
      </c>
      <c r="R765">
        <v>-3.3816680000000002E-2</v>
      </c>
      <c r="S765">
        <v>3.0219420000000001</v>
      </c>
      <c r="T765">
        <v>3.2496329999999997E-2</v>
      </c>
      <c r="U765">
        <v>-0.134491</v>
      </c>
      <c r="V765">
        <v>4.1719050000000001E-2</v>
      </c>
      <c r="W765">
        <v>0.14345269999999999</v>
      </c>
      <c r="X765">
        <v>0.98877749999999998</v>
      </c>
      <c r="Y765">
        <v>5.2481060000000003E-2</v>
      </c>
      <c r="Z765">
        <v>2.9197890000000001E-4</v>
      </c>
      <c r="AA765">
        <v>0.99862189999999995</v>
      </c>
      <c r="AB765">
        <v>34</v>
      </c>
      <c r="AC765">
        <v>181.21170000000001</v>
      </c>
      <c r="AD765">
        <v>1.9506319999999999</v>
      </c>
      <c r="AE765">
        <v>-8.0746999999999503</v>
      </c>
      <c r="AF765">
        <v>9.5288963375267102</v>
      </c>
      <c r="AG765">
        <v>1.9506319999999999</v>
      </c>
      <c r="AH765">
        <v>181.12005002486899</v>
      </c>
      <c r="AI765">
        <v>89.383810222003802</v>
      </c>
      <c r="AJ765">
        <v>86.988391675256295</v>
      </c>
      <c r="AK765">
        <v>181.38102809175399</v>
      </c>
      <c r="AL765">
        <v>81.752311691870702</v>
      </c>
      <c r="AM765">
        <v>87.583977613868996</v>
      </c>
      <c r="AN765">
        <v>1.00000005038822</v>
      </c>
    </row>
    <row r="766" spans="1:40" x14ac:dyDescent="0.25">
      <c r="A766" t="str">
        <f>"20190303170240309"</f>
        <v>20190303170240309</v>
      </c>
      <c r="B766" t="str">
        <f>"1551603760296443"</f>
        <v>1551603760296443</v>
      </c>
      <c r="C766" t="s">
        <v>40</v>
      </c>
      <c r="D766">
        <v>3.9554019999999999</v>
      </c>
      <c r="E766">
        <v>0.50643009999999999</v>
      </c>
      <c r="F766" t="s">
        <v>41</v>
      </c>
      <c r="G766">
        <v>-158.19499999999999</v>
      </c>
      <c r="H766">
        <v>3.193228</v>
      </c>
      <c r="I766">
        <v>359.61680000000001</v>
      </c>
      <c r="J766">
        <v>-339.2176</v>
      </c>
      <c r="K766">
        <v>1.119907</v>
      </c>
      <c r="L766">
        <v>367.75869999999998</v>
      </c>
      <c r="M766">
        <v>0.99995979999999995</v>
      </c>
      <c r="N766">
        <v>-3.8122709999999999E-3</v>
      </c>
      <c r="O766">
        <v>8.1246970000000002E-3</v>
      </c>
      <c r="P766">
        <v>0.98962209999999995</v>
      </c>
      <c r="Q766">
        <v>0.13976150000000001</v>
      </c>
      <c r="R766">
        <v>-3.3391190000000001E-2</v>
      </c>
      <c r="S766">
        <v>3.0217900000000002</v>
      </c>
      <c r="T766">
        <v>3.457499E-2</v>
      </c>
      <c r="U766">
        <v>-0.13574220000000001</v>
      </c>
      <c r="V766">
        <v>4.1382500000000003E-2</v>
      </c>
      <c r="W766">
        <v>0.1435457</v>
      </c>
      <c r="X766">
        <v>0.98877809999999999</v>
      </c>
      <c r="Y766">
        <v>5.298771E-2</v>
      </c>
      <c r="Z766">
        <v>3.2579290000000002E-4</v>
      </c>
      <c r="AA766">
        <v>0.99859509999999996</v>
      </c>
      <c r="AB766">
        <v>34</v>
      </c>
      <c r="AC766">
        <v>181.02260000000001</v>
      </c>
      <c r="AD766">
        <v>2.073321</v>
      </c>
      <c r="AE766">
        <v>-8.1418999999999606</v>
      </c>
      <c r="AF766">
        <v>9.61113737781384</v>
      </c>
      <c r="AG766">
        <v>2.073321</v>
      </c>
      <c r="AH766">
        <v>180.926788101488</v>
      </c>
      <c r="AI766">
        <v>89.344375096277503</v>
      </c>
      <c r="AJ766">
        <v>86.959209298040506</v>
      </c>
      <c r="AK766">
        <v>181.19375064936699</v>
      </c>
      <c r="AL766">
        <v>81.746927084366305</v>
      </c>
      <c r="AM766">
        <v>87.603446442214505</v>
      </c>
      <c r="AN766">
        <v>1.00000000516717</v>
      </c>
    </row>
    <row r="767" spans="1:40" x14ac:dyDescent="0.25">
      <c r="A767" t="str">
        <f>"20190303170240322"</f>
        <v>20190303170240322</v>
      </c>
      <c r="B767" t="str">
        <f>"1551603760316939"</f>
        <v>1551603760316939</v>
      </c>
      <c r="C767" t="s">
        <v>40</v>
      </c>
      <c r="D767">
        <v>3.9395889999999998</v>
      </c>
      <c r="E767">
        <v>0.50661629999999902</v>
      </c>
      <c r="F767" t="s">
        <v>41</v>
      </c>
      <c r="G767">
        <v>-158.19499999999999</v>
      </c>
      <c r="H767">
        <v>3.3077160000000001</v>
      </c>
      <c r="I767">
        <v>359.64870000000002</v>
      </c>
      <c r="J767">
        <v>-339.0249</v>
      </c>
      <c r="K767">
        <v>1.1199380000000001</v>
      </c>
      <c r="L767">
        <v>367.76029999999997</v>
      </c>
      <c r="M767">
        <v>0.99995990000000001</v>
      </c>
      <c r="N767">
        <v>-3.563882E-3</v>
      </c>
      <c r="O767">
        <v>8.215979E-3</v>
      </c>
      <c r="P767">
        <v>0.98963789999999996</v>
      </c>
      <c r="Q767">
        <v>0.1397004</v>
      </c>
      <c r="R767">
        <v>-3.317664E-2</v>
      </c>
      <c r="S767">
        <v>3.0217290000000001</v>
      </c>
      <c r="T767">
        <v>3.652155E-2</v>
      </c>
      <c r="U767">
        <v>-0.135376</v>
      </c>
      <c r="V767">
        <v>4.1256220000000003E-2</v>
      </c>
      <c r="W767">
        <v>0.14324039999999999</v>
      </c>
      <c r="X767">
        <v>0.98882760000000003</v>
      </c>
      <c r="Y767">
        <v>5.295851E-2</v>
      </c>
      <c r="Z767">
        <v>3.539603E-4</v>
      </c>
      <c r="AA767">
        <v>0.9985967</v>
      </c>
      <c r="AB767">
        <v>34</v>
      </c>
      <c r="AC767">
        <v>180.82990000000001</v>
      </c>
      <c r="AD767">
        <v>2.1877779999999998</v>
      </c>
      <c r="AE767">
        <v>-8.1115999999999495</v>
      </c>
      <c r="AF767">
        <v>9.5956285716750696</v>
      </c>
      <c r="AG767">
        <v>2.1877779999999998</v>
      </c>
      <c r="AH767">
        <v>180.73075015865999</v>
      </c>
      <c r="AI767">
        <v>89.3074335961727</v>
      </c>
      <c r="AJ767">
        <v>86.960819967303905</v>
      </c>
      <c r="AK767">
        <v>180.99852627348901</v>
      </c>
      <c r="AL767">
        <v>81.7646017287436</v>
      </c>
      <c r="AM767">
        <v>87.610870578287503</v>
      </c>
      <c r="AN767">
        <v>0.99999995520130303</v>
      </c>
    </row>
    <row r="768" spans="1:40" x14ac:dyDescent="0.25">
      <c r="A768" t="str">
        <f>"20190303170240335"</f>
        <v>20190303170240335</v>
      </c>
      <c r="B768" t="str">
        <f>"1551603760326700"</f>
        <v>1551603760326700</v>
      </c>
      <c r="C768" t="s">
        <v>40</v>
      </c>
      <c r="D768">
        <v>3.9343720000000002</v>
      </c>
      <c r="E768">
        <v>0.50676860000000001</v>
      </c>
      <c r="F768" t="s">
        <v>41</v>
      </c>
      <c r="G768">
        <v>-158.19499999999999</v>
      </c>
      <c r="H768">
        <v>3.3036289999999999</v>
      </c>
      <c r="I768">
        <v>359.5967</v>
      </c>
      <c r="J768">
        <v>-338.81560000000002</v>
      </c>
      <c r="K768">
        <v>1.1200000000000001</v>
      </c>
      <c r="L768">
        <v>367.76209999999998</v>
      </c>
      <c r="M768">
        <v>0.99995970000000001</v>
      </c>
      <c r="N768">
        <v>-3.4188130000000001E-3</v>
      </c>
      <c r="O768">
        <v>8.3124369999999902E-3</v>
      </c>
      <c r="P768">
        <v>0.98965409999999998</v>
      </c>
      <c r="Q768">
        <v>0.1395555</v>
      </c>
      <c r="R768">
        <v>-3.3310369999999999E-2</v>
      </c>
      <c r="S768">
        <v>3.0216669999999999</v>
      </c>
      <c r="T768">
        <v>3.6490920000000003E-2</v>
      </c>
      <c r="U768">
        <v>-0.1364136</v>
      </c>
      <c r="V768">
        <v>4.1482999999999999E-2</v>
      </c>
      <c r="W768">
        <v>0.14295250000000001</v>
      </c>
      <c r="X768">
        <v>0.98885979999999996</v>
      </c>
      <c r="Y768">
        <v>5.3397880000000002E-2</v>
      </c>
      <c r="Z768">
        <v>3.5965930000000001E-4</v>
      </c>
      <c r="AA768">
        <v>0.99857320000000005</v>
      </c>
      <c r="AB768">
        <v>35</v>
      </c>
      <c r="AC768">
        <v>180.6206</v>
      </c>
      <c r="AD768">
        <v>2.1836289999999998</v>
      </c>
      <c r="AE768">
        <v>-8.1653999999999698</v>
      </c>
      <c r="AF768">
        <v>9.6651141295785692</v>
      </c>
      <c r="AG768">
        <v>2.1836289999999998</v>
      </c>
      <c r="AH768">
        <v>180.52015423559499</v>
      </c>
      <c r="AI768">
        <v>89.307956980581096</v>
      </c>
      <c r="AJ768">
        <v>86.935289478998897</v>
      </c>
      <c r="AK768">
        <v>180.791893490804</v>
      </c>
      <c r="AL768">
        <v>81.781268916281405</v>
      </c>
      <c r="AM768">
        <v>87.5978313242517</v>
      </c>
      <c r="AN768">
        <v>0.99999998030064396</v>
      </c>
    </row>
    <row r="769" spans="1:40" x14ac:dyDescent="0.25">
      <c r="A769" t="str">
        <f>"20190303170240351"</f>
        <v>20190303170240351</v>
      </c>
      <c r="B769" t="str">
        <f>"1551603760336460"</f>
        <v>1551603760336460</v>
      </c>
      <c r="C769" t="s">
        <v>40</v>
      </c>
      <c r="D769">
        <v>3.9161869999999999</v>
      </c>
      <c r="E769">
        <v>0.50685599999999997</v>
      </c>
      <c r="F769" t="s">
        <v>41</v>
      </c>
      <c r="G769">
        <v>-158.19499999999999</v>
      </c>
      <c r="H769">
        <v>3.2422270000000002</v>
      </c>
      <c r="I769">
        <v>359.50599999999997</v>
      </c>
      <c r="J769">
        <v>-338.57170000000002</v>
      </c>
      <c r="K769">
        <v>1.120109</v>
      </c>
      <c r="L769">
        <v>367.76420000000002</v>
      </c>
      <c r="M769">
        <v>0.99995860000000003</v>
      </c>
      <c r="N769">
        <v>-3.4969139999999998E-3</v>
      </c>
      <c r="O769">
        <v>8.4214670000000002E-3</v>
      </c>
      <c r="P769">
        <v>0.98974419999999996</v>
      </c>
      <c r="Q769">
        <v>0.13893269999999999</v>
      </c>
      <c r="R769">
        <v>-3.3234640000000003E-2</v>
      </c>
      <c r="S769">
        <v>3.0217290000000001</v>
      </c>
      <c r="T769">
        <v>3.550565E-2</v>
      </c>
      <c r="U769">
        <v>-0.13812260000000001</v>
      </c>
      <c r="V769">
        <v>4.1514639999999998E-2</v>
      </c>
      <c r="W769">
        <v>0.14240739999999999</v>
      </c>
      <c r="X769">
        <v>0.98893710000000001</v>
      </c>
      <c r="Y769">
        <v>5.4069619999999999E-2</v>
      </c>
      <c r="Z769">
        <v>3.5122849999999999E-4</v>
      </c>
      <c r="AA769">
        <v>0.99853709999999996</v>
      </c>
      <c r="AB769">
        <v>35</v>
      </c>
      <c r="AC769">
        <v>180.3767</v>
      </c>
      <c r="AD769">
        <v>2.1221179999999999</v>
      </c>
      <c r="AE769">
        <v>-8.2582000000000395</v>
      </c>
      <c r="AF769">
        <v>9.7756023543506902</v>
      </c>
      <c r="AG769">
        <v>2.1221179999999999</v>
      </c>
      <c r="AH769">
        <v>180.275856577799</v>
      </c>
      <c r="AI769">
        <v>89.3265629236097</v>
      </c>
      <c r="AJ769">
        <v>86.896130442203301</v>
      </c>
      <c r="AK769">
        <v>180.55317845735999</v>
      </c>
      <c r="AL769">
        <v>81.812823522852199</v>
      </c>
      <c r="AM769">
        <v>87.596188973379896</v>
      </c>
      <c r="AN769">
        <v>0.99999996033274896</v>
      </c>
    </row>
    <row r="770" spans="1:40" x14ac:dyDescent="0.25">
      <c r="A770" t="str">
        <f>"20190303170240366"</f>
        <v>20190303170240366</v>
      </c>
      <c r="B770" t="str">
        <f>"1551603760356955"</f>
        <v>1551603760356955</v>
      </c>
      <c r="C770" t="s">
        <v>40</v>
      </c>
      <c r="D770">
        <v>3.9101469999999998</v>
      </c>
      <c r="E770">
        <v>0.507019</v>
      </c>
      <c r="F770" t="s">
        <v>41</v>
      </c>
      <c r="G770">
        <v>-158.19499999999999</v>
      </c>
      <c r="H770">
        <v>3.1488390000000002</v>
      </c>
      <c r="I770">
        <v>359.4991</v>
      </c>
      <c r="J770">
        <v>-338.34789999999998</v>
      </c>
      <c r="K770">
        <v>1.1202190000000001</v>
      </c>
      <c r="L770">
        <v>367.76620000000003</v>
      </c>
      <c r="M770">
        <v>0.99995699999999998</v>
      </c>
      <c r="N770">
        <v>-3.6610610000000002E-3</v>
      </c>
      <c r="O770">
        <v>8.5217550000000006E-3</v>
      </c>
      <c r="P770">
        <v>0.98980999999999997</v>
      </c>
      <c r="Q770">
        <v>0.13847509999999999</v>
      </c>
      <c r="R770">
        <v>-3.3183799999999999E-2</v>
      </c>
      <c r="S770">
        <v>3.0216980000000002</v>
      </c>
      <c r="T770">
        <v>3.3987049999999998E-2</v>
      </c>
      <c r="U770">
        <v>-0.13845829999999901</v>
      </c>
      <c r="V770">
        <v>4.1563620000000003E-2</v>
      </c>
      <c r="W770">
        <v>0.1421124</v>
      </c>
      <c r="X770">
        <v>0.98897749999999995</v>
      </c>
      <c r="Y770">
        <v>5.4281280000000001E-2</v>
      </c>
      <c r="Z770">
        <v>3.3266129999999999E-4</v>
      </c>
      <c r="AA770">
        <v>0.99852560000000001</v>
      </c>
      <c r="AB770">
        <v>35</v>
      </c>
      <c r="AC770">
        <v>180.15289999999999</v>
      </c>
      <c r="AD770">
        <v>2.0286200000000001</v>
      </c>
      <c r="AE770">
        <v>-8.2671000000000205</v>
      </c>
      <c r="AF770">
        <v>9.8007888287757599</v>
      </c>
      <c r="AG770">
        <v>2.0286200000000001</v>
      </c>
      <c r="AH770">
        <v>180.05312500162299</v>
      </c>
      <c r="AI770">
        <v>89.355442136903704</v>
      </c>
      <c r="AJ770">
        <v>86.884307253976601</v>
      </c>
      <c r="AK770">
        <v>180.33108047039701</v>
      </c>
      <c r="AL770">
        <v>81.829899631293301</v>
      </c>
      <c r="AM770">
        <v>87.593454426786806</v>
      </c>
      <c r="AN770">
        <v>0.99999998212375696</v>
      </c>
    </row>
    <row r="771" spans="1:40" x14ac:dyDescent="0.25">
      <c r="A771" t="str">
        <f>"20190303170240380"</f>
        <v>20190303170240380</v>
      </c>
      <c r="B771" t="str">
        <f>"1551603760366716"</f>
        <v>1551603760366716</v>
      </c>
      <c r="C771" t="s">
        <v>40</v>
      </c>
      <c r="D771">
        <v>3.8925619999999999</v>
      </c>
      <c r="E771">
        <v>0.50714780000000004</v>
      </c>
      <c r="F771" t="s">
        <v>41</v>
      </c>
      <c r="G771">
        <v>-158.19499999999999</v>
      </c>
      <c r="H771">
        <v>3.1080329999999998</v>
      </c>
      <c r="I771">
        <v>359.45460000000003</v>
      </c>
      <c r="J771">
        <v>-338.13119999999998</v>
      </c>
      <c r="K771">
        <v>1.1203190000000001</v>
      </c>
      <c r="L771">
        <v>367.76819999999998</v>
      </c>
      <c r="M771">
        <v>0.9999555</v>
      </c>
      <c r="N771">
        <v>-3.8666159999999998E-3</v>
      </c>
      <c r="O771">
        <v>8.6173559999999996E-3</v>
      </c>
      <c r="P771">
        <v>0.98986229999999997</v>
      </c>
      <c r="Q771">
        <v>0.13813010000000001</v>
      </c>
      <c r="R771">
        <v>-3.3061609999999998E-2</v>
      </c>
      <c r="S771">
        <v>3.0215450000000001</v>
      </c>
      <c r="T771">
        <v>3.3341290000000003E-2</v>
      </c>
      <c r="U771">
        <v>-0.13940429999999901</v>
      </c>
      <c r="V771">
        <v>4.1537589999999999E-2</v>
      </c>
      <c r="W771">
        <v>0.14197079999999901</v>
      </c>
      <c r="X771">
        <v>0.98899890000000001</v>
      </c>
      <c r="Y771">
        <v>5.4691169999999997E-2</v>
      </c>
      <c r="Z771">
        <v>3.2412059999999999E-4</v>
      </c>
      <c r="AA771">
        <v>0.99850329999999998</v>
      </c>
      <c r="AB771">
        <v>35</v>
      </c>
      <c r="AC771">
        <v>179.93620000000001</v>
      </c>
      <c r="AD771">
        <v>1.987714</v>
      </c>
      <c r="AE771">
        <v>-8.3135999999999495</v>
      </c>
      <c r="AF771">
        <v>9.86267604063924</v>
      </c>
      <c r="AG771">
        <v>1.987714</v>
      </c>
      <c r="AH771">
        <v>179.83597823001901</v>
      </c>
      <c r="AI771">
        <v>89.367689811833202</v>
      </c>
      <c r="AJ771">
        <v>86.860894048759107</v>
      </c>
      <c r="AK771">
        <v>180.11719088298099</v>
      </c>
      <c r="AL771">
        <v>81.838095568471701</v>
      </c>
      <c r="AM771">
        <v>87.595011780246693</v>
      </c>
      <c r="AN771">
        <v>0.99999995181842705</v>
      </c>
    </row>
    <row r="772" spans="1:40" x14ac:dyDescent="0.25">
      <c r="A772" t="str">
        <f>"20190303170240394"</f>
        <v>20190303170240394</v>
      </c>
      <c r="B772" t="str">
        <f>"1551603760386763"</f>
        <v>1551603760386763</v>
      </c>
      <c r="C772" t="s">
        <v>40</v>
      </c>
      <c r="D772">
        <v>3.8997799999999998</v>
      </c>
      <c r="E772">
        <v>0.50734639999999998</v>
      </c>
      <c r="F772" t="s">
        <v>41</v>
      </c>
      <c r="G772">
        <v>-158.19499999999999</v>
      </c>
      <c r="H772">
        <v>3.063008</v>
      </c>
      <c r="I772">
        <v>359.40640000000002</v>
      </c>
      <c r="J772">
        <v>-337.89800000000002</v>
      </c>
      <c r="K772">
        <v>1.120417</v>
      </c>
      <c r="L772">
        <v>367.77030000000002</v>
      </c>
      <c r="M772">
        <v>0.9999536</v>
      </c>
      <c r="N772">
        <v>-4.12095E-3</v>
      </c>
      <c r="O772">
        <v>8.7181280000000003E-3</v>
      </c>
      <c r="P772">
        <v>0.98997740000000001</v>
      </c>
      <c r="Q772">
        <v>0.13744039999999999</v>
      </c>
      <c r="R772">
        <v>-3.248301E-2</v>
      </c>
      <c r="S772">
        <v>3.0214840000000001</v>
      </c>
      <c r="T772">
        <v>3.2623050000000001E-2</v>
      </c>
      <c r="U772">
        <v>-0.14041139999999999</v>
      </c>
      <c r="V772">
        <v>4.1062059999999997E-2</v>
      </c>
      <c r="W772">
        <v>0.1415323</v>
      </c>
      <c r="X772">
        <v>0.98908169999999995</v>
      </c>
      <c r="Y772">
        <v>5.5124989999999999E-2</v>
      </c>
      <c r="Z772">
        <v>3.1376149999999997E-4</v>
      </c>
      <c r="AA772">
        <v>0.99847940000000002</v>
      </c>
      <c r="AB772">
        <v>35</v>
      </c>
      <c r="AC772">
        <v>179.703</v>
      </c>
      <c r="AD772">
        <v>1.942591</v>
      </c>
      <c r="AE772">
        <v>-8.3638999999999992</v>
      </c>
      <c r="AF772">
        <v>9.9291112752828106</v>
      </c>
      <c r="AG772">
        <v>1.942591</v>
      </c>
      <c r="AH772">
        <v>179.60231006801999</v>
      </c>
      <c r="AI772">
        <v>89.381253797085904</v>
      </c>
      <c r="AJ772">
        <v>86.835688488828296</v>
      </c>
      <c r="AK772">
        <v>179.88704981815499</v>
      </c>
      <c r="AL772">
        <v>81.863476834268795</v>
      </c>
      <c r="AM772">
        <v>87.622711553844397</v>
      </c>
      <c r="AN772">
        <v>1.00000004699481</v>
      </c>
    </row>
    <row r="773" spans="1:40" x14ac:dyDescent="0.25">
      <c r="A773" t="str">
        <f>"20190303170240407"</f>
        <v>20190303170240407</v>
      </c>
      <c r="B773" t="str">
        <f>"1551603760396504"</f>
        <v>1551603760396504</v>
      </c>
      <c r="C773" t="s">
        <v>40</v>
      </c>
      <c r="D773">
        <v>3.901462</v>
      </c>
      <c r="E773">
        <v>0.50740220000000003</v>
      </c>
      <c r="F773" t="s">
        <v>41</v>
      </c>
      <c r="G773">
        <v>-158.19499999999999</v>
      </c>
      <c r="H773">
        <v>2.9322919999999999</v>
      </c>
      <c r="I773">
        <v>359.4248</v>
      </c>
      <c r="J773">
        <v>-337.70159999999998</v>
      </c>
      <c r="K773">
        <v>1.120479</v>
      </c>
      <c r="L773">
        <v>367.77210000000002</v>
      </c>
      <c r="M773">
        <v>0.99995199999999995</v>
      </c>
      <c r="N773">
        <v>-4.3522639999999998E-3</v>
      </c>
      <c r="O773">
        <v>8.7964849999999997E-3</v>
      </c>
      <c r="P773">
        <v>0.99004479999999995</v>
      </c>
      <c r="Q773">
        <v>0.13709180000000001</v>
      </c>
      <c r="R773">
        <v>-3.1901810000000003E-2</v>
      </c>
      <c r="S773">
        <v>3.021515</v>
      </c>
      <c r="T773">
        <v>3.0466199999999999E-2</v>
      </c>
      <c r="U773">
        <v>-0.14031979999999999</v>
      </c>
      <c r="V773">
        <v>4.0562420000000002E-2</v>
      </c>
      <c r="W773">
        <v>0.14141189999999901</v>
      </c>
      <c r="X773">
        <v>0.98911950000000004</v>
      </c>
      <c r="Y773">
        <v>5.5173020000000003E-2</v>
      </c>
      <c r="Z773">
        <v>2.8477999999999999E-4</v>
      </c>
      <c r="AA773">
        <v>0.99847669999999999</v>
      </c>
      <c r="AB773">
        <v>35</v>
      </c>
      <c r="AC773">
        <v>179.50659999999999</v>
      </c>
      <c r="AD773">
        <v>1.8118129999999999</v>
      </c>
      <c r="AE773">
        <v>-8.3473000000000095</v>
      </c>
      <c r="AF773">
        <v>9.9250099286165998</v>
      </c>
      <c r="AG773">
        <v>1.8118129999999999</v>
      </c>
      <c r="AH773">
        <v>179.40798952954501</v>
      </c>
      <c r="AI773">
        <v>89.422281914705906</v>
      </c>
      <c r="AJ773">
        <v>86.833573942267705</v>
      </c>
      <c r="AK773">
        <v>179.69144441364901</v>
      </c>
      <c r="AL773">
        <v>81.870445033171094</v>
      </c>
      <c r="AM773">
        <v>87.651695277678598</v>
      </c>
      <c r="AN773">
        <v>1.0000000103290501</v>
      </c>
    </row>
    <row r="774" spans="1:40" x14ac:dyDescent="0.25">
      <c r="A774" t="str">
        <f>"20190303170240419"</f>
        <v>20190303170240419</v>
      </c>
      <c r="B774" t="str">
        <f>"1551603760406265"</f>
        <v>1551603760406265</v>
      </c>
      <c r="C774" t="s">
        <v>40</v>
      </c>
      <c r="D774">
        <v>3.8847360000000002</v>
      </c>
      <c r="E774">
        <v>0.50749309999999903</v>
      </c>
      <c r="F774" t="s">
        <v>41</v>
      </c>
      <c r="G774">
        <v>-158.19499999999999</v>
      </c>
      <c r="H774">
        <v>2.8840520000000001</v>
      </c>
      <c r="I774">
        <v>359.4941</v>
      </c>
      <c r="J774">
        <v>-337.5179</v>
      </c>
      <c r="K774">
        <v>1.120533</v>
      </c>
      <c r="L774">
        <v>367.77370000000002</v>
      </c>
      <c r="M774">
        <v>0.99995029999999996</v>
      </c>
      <c r="N774">
        <v>-4.5715540000000002E-3</v>
      </c>
      <c r="O774">
        <v>8.8654730000000005E-3</v>
      </c>
      <c r="P774">
        <v>0.99008940000000001</v>
      </c>
      <c r="Q774">
        <v>0.1368374</v>
      </c>
      <c r="R774">
        <v>-3.1605399999999999E-2</v>
      </c>
      <c r="S774">
        <v>3.0216059999999998</v>
      </c>
      <c r="T774">
        <v>2.9687399999999999E-2</v>
      </c>
      <c r="U774">
        <v>-0.1393433</v>
      </c>
      <c r="V774">
        <v>4.0338329999999999E-2</v>
      </c>
      <c r="W774">
        <v>0.1413732</v>
      </c>
      <c r="X774">
        <v>0.98913419999999996</v>
      </c>
      <c r="Y774">
        <v>5.4918679999999997E-2</v>
      </c>
      <c r="Z774">
        <v>2.7160200000000002E-4</v>
      </c>
      <c r="AA774">
        <v>0.99849080000000001</v>
      </c>
      <c r="AB774">
        <v>35</v>
      </c>
      <c r="AC774">
        <v>179.3229</v>
      </c>
      <c r="AD774">
        <v>1.7635189999999901</v>
      </c>
      <c r="AE774">
        <v>-8.2796000000000092</v>
      </c>
      <c r="AF774">
        <v>9.8681211215526101</v>
      </c>
      <c r="AG774">
        <v>1.7635189999999901</v>
      </c>
      <c r="AH774">
        <v>179.225152609444</v>
      </c>
      <c r="AI774">
        <v>89.437098329988402</v>
      </c>
      <c r="AJ774">
        <v>86.848481562524697</v>
      </c>
      <c r="AK774">
        <v>179.50527886837</v>
      </c>
      <c r="AL774">
        <v>81.872684912886697</v>
      </c>
      <c r="AM774">
        <v>87.664688920100104</v>
      </c>
      <c r="AN774">
        <v>1.00000001407753</v>
      </c>
    </row>
    <row r="775" spans="1:40" x14ac:dyDescent="0.25">
      <c r="A775" t="str">
        <f>"20190303170240431"</f>
        <v>20190303170240431</v>
      </c>
      <c r="B775" t="str">
        <f>"1551603760417000"</f>
        <v>1551603760417000</v>
      </c>
      <c r="C775" t="s">
        <v>40</v>
      </c>
      <c r="D775">
        <v>3.8749220000000002</v>
      </c>
      <c r="E775">
        <v>0.50758019999999904</v>
      </c>
      <c r="F775" t="s">
        <v>41</v>
      </c>
      <c r="G775">
        <v>-158.19499999999999</v>
      </c>
      <c r="H775">
        <v>2.8578999999999999</v>
      </c>
      <c r="I775">
        <v>359.49860000000001</v>
      </c>
      <c r="J775">
        <v>-337.31990000000002</v>
      </c>
      <c r="K775">
        <v>1.1205769999999999</v>
      </c>
      <c r="L775">
        <v>367.77550000000002</v>
      </c>
      <c r="M775">
        <v>0.99994859999999997</v>
      </c>
      <c r="N775">
        <v>-4.8126169999999999E-3</v>
      </c>
      <c r="O775">
        <v>8.9306669999999998E-3</v>
      </c>
      <c r="P775">
        <v>0.99012469999999997</v>
      </c>
      <c r="Q775">
        <v>0.13672379999999901</v>
      </c>
      <c r="R775">
        <v>-3.0978390000000001E-2</v>
      </c>
      <c r="S775">
        <v>3.0215450000000001</v>
      </c>
      <c r="T775">
        <v>2.9275659999999998E-2</v>
      </c>
      <c r="U775">
        <v>-0.1394348</v>
      </c>
      <c r="V775">
        <v>3.9781030000000002E-2</v>
      </c>
      <c r="W775">
        <v>0.14149690000000001</v>
      </c>
      <c r="X775">
        <v>0.98913910000000005</v>
      </c>
      <c r="Y775">
        <v>5.5015000000000001E-2</v>
      </c>
      <c r="Z775">
        <v>2.6335399999999999E-4</v>
      </c>
      <c r="AA775">
        <v>0.99848550000000003</v>
      </c>
      <c r="AB775">
        <v>35</v>
      </c>
      <c r="AC775">
        <v>179.1249</v>
      </c>
      <c r="AD775">
        <v>1.737323</v>
      </c>
      <c r="AE775">
        <v>-8.2769000000000101</v>
      </c>
      <c r="AF775">
        <v>9.8753661865634808</v>
      </c>
      <c r="AG775">
        <v>1.737323</v>
      </c>
      <c r="AH775">
        <v>179.027032270983</v>
      </c>
      <c r="AI775">
        <v>89.444848813671896</v>
      </c>
      <c r="AJ775">
        <v>86.842689294690899</v>
      </c>
      <c r="AK775">
        <v>179.30761119450699</v>
      </c>
      <c r="AL775">
        <v>81.865525594305694</v>
      </c>
      <c r="AM775">
        <v>87.696929157766903</v>
      </c>
      <c r="AN775">
        <v>1.0000000311031301</v>
      </c>
    </row>
    <row r="776" spans="1:40" x14ac:dyDescent="0.25">
      <c r="A776" t="str">
        <f>"20190303170240443"</f>
        <v>20190303170240443</v>
      </c>
      <c r="B776" t="str">
        <f>"1551603760436521"</f>
        <v>1551603760436521</v>
      </c>
      <c r="C776" t="s">
        <v>40</v>
      </c>
      <c r="D776">
        <v>3.9206599999999998</v>
      </c>
      <c r="E776">
        <v>0.50775190000000003</v>
      </c>
      <c r="F776" t="s">
        <v>41</v>
      </c>
      <c r="G776">
        <v>-158.19499999999999</v>
      </c>
      <c r="H776">
        <v>2.8275610000000002</v>
      </c>
      <c r="I776">
        <v>359.56950000000001</v>
      </c>
      <c r="J776">
        <v>-337.13440000000003</v>
      </c>
      <c r="K776">
        <v>1.120608</v>
      </c>
      <c r="L776">
        <v>367.77730000000003</v>
      </c>
      <c r="M776">
        <v>0.99994709999999998</v>
      </c>
      <c r="N776">
        <v>-5.0373320000000003E-3</v>
      </c>
      <c r="O776">
        <v>8.98036199999999E-3</v>
      </c>
      <c r="P776">
        <v>0.99017580000000005</v>
      </c>
      <c r="Q776">
        <v>0.13645669999999999</v>
      </c>
      <c r="R776">
        <v>-3.0524570000000001E-2</v>
      </c>
      <c r="S776">
        <v>3.0216669999999999</v>
      </c>
      <c r="T776">
        <v>2.879667E-2</v>
      </c>
      <c r="U776">
        <v>-0.13842769999999999</v>
      </c>
      <c r="V776">
        <v>3.938171E-2</v>
      </c>
      <c r="W776">
        <v>0.14145060000000001</v>
      </c>
      <c r="X776">
        <v>0.98916170000000003</v>
      </c>
      <c r="Y776">
        <v>5.4730819999999999E-2</v>
      </c>
      <c r="Z776">
        <v>2.534786E-4</v>
      </c>
      <c r="AA776">
        <v>0.99850110000000003</v>
      </c>
      <c r="AB776">
        <v>35</v>
      </c>
      <c r="AC776">
        <v>178.93940000000001</v>
      </c>
      <c r="AD776">
        <v>1.7069529999999999</v>
      </c>
      <c r="AE776">
        <v>-8.2078000000000095</v>
      </c>
      <c r="AF776">
        <v>9.8135386780720406</v>
      </c>
      <c r="AG776">
        <v>1.7069529999999999</v>
      </c>
      <c r="AH776">
        <v>178.84223418526599</v>
      </c>
      <c r="AI776">
        <v>89.453980550239606</v>
      </c>
      <c r="AJ776">
        <v>86.859181323858095</v>
      </c>
      <c r="AK776">
        <v>179.11941256688999</v>
      </c>
      <c r="AL776">
        <v>81.8682053329469</v>
      </c>
      <c r="AM776">
        <v>87.720074784763895</v>
      </c>
      <c r="AN776">
        <v>1.0000000300348799</v>
      </c>
    </row>
    <row r="777" spans="1:40" x14ac:dyDescent="0.25">
      <c r="A777" t="str">
        <f>"20190303170240456"</f>
        <v>20190303170240456</v>
      </c>
      <c r="B777" t="str">
        <f>"1551603760446279"</f>
        <v>1551603760446279</v>
      </c>
      <c r="C777" t="s">
        <v>40</v>
      </c>
      <c r="D777">
        <v>3.8676200000000001</v>
      </c>
      <c r="E777">
        <v>0.50782700000000003</v>
      </c>
      <c r="F777" t="s">
        <v>41</v>
      </c>
      <c r="G777">
        <v>-158.19499999999999</v>
      </c>
      <c r="H777">
        <v>2.7848820000000001</v>
      </c>
      <c r="I777">
        <v>359.5779</v>
      </c>
      <c r="J777">
        <v>-336.94580000000002</v>
      </c>
      <c r="K777">
        <v>1.1206370000000001</v>
      </c>
      <c r="L777">
        <v>367.779</v>
      </c>
      <c r="M777">
        <v>0.99994550000000004</v>
      </c>
      <c r="N777">
        <v>-5.2650029999999999E-3</v>
      </c>
      <c r="O777">
        <v>9.0261950000000007E-3</v>
      </c>
      <c r="P777">
        <v>0.99026519999999996</v>
      </c>
      <c r="Q777">
        <v>0.13590659999999999</v>
      </c>
      <c r="R777">
        <v>-3.0073639999999999E-2</v>
      </c>
      <c r="S777">
        <v>3.0216370000000001</v>
      </c>
      <c r="T777">
        <v>2.8105020000000001E-2</v>
      </c>
      <c r="U777">
        <v>-0.13845829999999901</v>
      </c>
      <c r="V777">
        <v>3.8982450000000002E-2</v>
      </c>
      <c r="W777">
        <v>0.1411249</v>
      </c>
      <c r="X777">
        <v>0.98922399999999999</v>
      </c>
      <c r="Y777">
        <v>5.4787250000000003E-2</v>
      </c>
      <c r="Z777">
        <v>2.417579E-4</v>
      </c>
      <c r="AA777">
        <v>0.998498</v>
      </c>
      <c r="AB777">
        <v>35</v>
      </c>
      <c r="AC777">
        <v>178.7508</v>
      </c>
      <c r="AD777">
        <v>1.664245</v>
      </c>
      <c r="AE777">
        <v>-8.2010999999999896</v>
      </c>
      <c r="AF777">
        <v>9.8133788104182305</v>
      </c>
      <c r="AG777">
        <v>1.664245</v>
      </c>
      <c r="AH777">
        <v>178.65403839265801</v>
      </c>
      <c r="AI777">
        <v>89.467082072632493</v>
      </c>
      <c r="AJ777">
        <v>86.855930507999702</v>
      </c>
      <c r="AK777">
        <v>178.93109721091599</v>
      </c>
      <c r="AL777">
        <v>81.887055381471498</v>
      </c>
      <c r="AM777">
        <v>87.743307105323794</v>
      </c>
      <c r="AN777">
        <v>0.99999999549200602</v>
      </c>
    </row>
    <row r="778" spans="1:40" x14ac:dyDescent="0.25">
      <c r="A778" t="str">
        <f>"20190303170240466"</f>
        <v>20190303170240466</v>
      </c>
      <c r="B778" t="str">
        <f>"1551603760457015"</f>
        <v>1551603760457015</v>
      </c>
      <c r="C778" t="s">
        <v>40</v>
      </c>
      <c r="D778">
        <v>3.9056860000000002</v>
      </c>
      <c r="E778">
        <v>0.50789379999999995</v>
      </c>
      <c r="F778" t="s">
        <v>41</v>
      </c>
      <c r="G778">
        <v>-158.19499999999999</v>
      </c>
      <c r="H778">
        <v>2.6978610000000001</v>
      </c>
      <c r="I778">
        <v>359.63709999999998</v>
      </c>
      <c r="J778">
        <v>-336.76979999999998</v>
      </c>
      <c r="K778">
        <v>1.120649</v>
      </c>
      <c r="L778">
        <v>367.78059999999999</v>
      </c>
      <c r="M778">
        <v>0.9999441</v>
      </c>
      <c r="N778">
        <v>-5.4696299999999996E-3</v>
      </c>
      <c r="O778">
        <v>9.0564489999999994E-3</v>
      </c>
      <c r="P778">
        <v>0.99025980000000002</v>
      </c>
      <c r="Q778">
        <v>0.13598170000000001</v>
      </c>
      <c r="R778">
        <v>-2.9914340000000001E-2</v>
      </c>
      <c r="S778">
        <v>3.0216669999999999</v>
      </c>
      <c r="T778">
        <v>2.666342E-2</v>
      </c>
      <c r="U778">
        <v>-0.13763429999999999</v>
      </c>
      <c r="V778">
        <v>3.8857509999999998E-2</v>
      </c>
      <c r="W778">
        <v>0.14140059999999999</v>
      </c>
      <c r="X778">
        <v>0.9891896</v>
      </c>
      <c r="Y778">
        <v>5.4545549999999998E-2</v>
      </c>
      <c r="Z778">
        <v>2.206578E-4</v>
      </c>
      <c r="AA778">
        <v>0.99851129999999999</v>
      </c>
      <c r="AB778">
        <v>35</v>
      </c>
      <c r="AC778">
        <v>178.57479999999899</v>
      </c>
      <c r="AD778">
        <v>1.5772120000000001</v>
      </c>
      <c r="AE778">
        <v>-8.1435000000000102</v>
      </c>
      <c r="AF778">
        <v>9.7596839150617001</v>
      </c>
      <c r="AG778">
        <v>1.5772120000000001</v>
      </c>
      <c r="AH778">
        <v>178.47983007239799</v>
      </c>
      <c r="AI778">
        <v>89.494450184565807</v>
      </c>
      <c r="AJ778">
        <v>86.870053370771998</v>
      </c>
      <c r="AK778">
        <v>178.75343009432501</v>
      </c>
      <c r="AL778">
        <v>81.8710993739911</v>
      </c>
      <c r="AM778">
        <v>87.750454289283596</v>
      </c>
      <c r="AN778">
        <v>1.0000000502559501</v>
      </c>
    </row>
    <row r="779" spans="1:40" x14ac:dyDescent="0.25">
      <c r="A779" t="str">
        <f>"20190303170240479"</f>
        <v>20190303170240479</v>
      </c>
      <c r="B779" t="str">
        <f>"1551603760466775"</f>
        <v>1551603760466775</v>
      </c>
      <c r="C779" t="s">
        <v>40</v>
      </c>
      <c r="D779">
        <v>3.8907539999999998</v>
      </c>
      <c r="E779">
        <v>0.50793739999999998</v>
      </c>
      <c r="F779" t="s">
        <v>41</v>
      </c>
      <c r="G779">
        <v>-158.19499999999999</v>
      </c>
      <c r="H779">
        <v>2.7129690000000002</v>
      </c>
      <c r="I779">
        <v>359.63400000000001</v>
      </c>
      <c r="J779">
        <v>-336.58390000000003</v>
      </c>
      <c r="K779">
        <v>1.1206640000000001</v>
      </c>
      <c r="L779">
        <v>367.7824</v>
      </c>
      <c r="M779">
        <v>0.99994260000000001</v>
      </c>
      <c r="N779">
        <v>-5.6817600000000001E-3</v>
      </c>
      <c r="O779">
        <v>9.0846880000000005E-3</v>
      </c>
      <c r="P779">
        <v>0.99034290000000003</v>
      </c>
      <c r="Q779">
        <v>0.13542570000000001</v>
      </c>
      <c r="R779">
        <v>-2.9684729999999999E-2</v>
      </c>
      <c r="S779">
        <v>3.0216370000000001</v>
      </c>
      <c r="T779">
        <v>2.6944880000000001E-2</v>
      </c>
      <c r="U779">
        <v>-0.1378479</v>
      </c>
      <c r="V779">
        <v>3.8661319999999999E-2</v>
      </c>
      <c r="W779">
        <v>0.1410536</v>
      </c>
      <c r="X779">
        <v>0.98924679999999998</v>
      </c>
      <c r="Y779">
        <v>5.4644650000000003E-2</v>
      </c>
      <c r="Z779">
        <v>2.207457E-4</v>
      </c>
      <c r="AA779">
        <v>0.9985058</v>
      </c>
      <c r="AB779">
        <v>35</v>
      </c>
      <c r="AC779">
        <v>178.38890000000001</v>
      </c>
      <c r="AD779">
        <v>1.5923050000000001</v>
      </c>
      <c r="AE779">
        <v>-8.1483999999999792</v>
      </c>
      <c r="AF779">
        <v>9.7679207471655705</v>
      </c>
      <c r="AG779">
        <v>1.5923050000000001</v>
      </c>
      <c r="AH779">
        <v>178.29333561387</v>
      </c>
      <c r="AI779">
        <v>89.489081668847902</v>
      </c>
      <c r="AJ779">
        <v>86.864146924935696</v>
      </c>
      <c r="AK779">
        <v>178.567805707681</v>
      </c>
      <c r="AL779">
        <v>81.891182076942698</v>
      </c>
      <c r="AM779">
        <v>87.7619298594349</v>
      </c>
      <c r="AN779">
        <v>1.0000000235236699</v>
      </c>
    </row>
    <row r="780" spans="1:40" x14ac:dyDescent="0.25">
      <c r="A780" t="str">
        <f>"20190303170240491"</f>
        <v>20190303170240491</v>
      </c>
      <c r="B780" t="str">
        <f>"1551603760476535"</f>
        <v>1551603760476535</v>
      </c>
      <c r="C780" t="s">
        <v>40</v>
      </c>
      <c r="D780">
        <v>3.9144109999999999</v>
      </c>
      <c r="E780">
        <v>0.50797609999999904</v>
      </c>
      <c r="F780" t="s">
        <v>41</v>
      </c>
      <c r="G780">
        <v>-158.19499999999999</v>
      </c>
      <c r="H780">
        <v>2.6394839999999999</v>
      </c>
      <c r="I780">
        <v>359.67849999999999</v>
      </c>
      <c r="J780">
        <v>-336.38990000000001</v>
      </c>
      <c r="K780">
        <v>1.1206739999999999</v>
      </c>
      <c r="L780">
        <v>367.78410000000002</v>
      </c>
      <c r="M780">
        <v>0.99994119999999997</v>
      </c>
      <c r="N780">
        <v>-5.8939029999999998E-3</v>
      </c>
      <c r="O780">
        <v>9.1054559999999996E-3</v>
      </c>
      <c r="P780">
        <v>0.99043990000000004</v>
      </c>
      <c r="Q780">
        <v>0.1347255</v>
      </c>
      <c r="R780">
        <v>-2.9629909999999999E-2</v>
      </c>
      <c r="S780">
        <v>3.0216370000000001</v>
      </c>
      <c r="T780">
        <v>2.5727989999999999E-2</v>
      </c>
      <c r="U780">
        <v>-0.1372681</v>
      </c>
      <c r="V780">
        <v>3.8632119999999999E-2</v>
      </c>
      <c r="W780">
        <v>0.14056260000000001</v>
      </c>
      <c r="X780">
        <v>0.98931780000000002</v>
      </c>
      <c r="Y780">
        <v>5.4474380000000003E-2</v>
      </c>
      <c r="Z780">
        <v>2.022979E-4</v>
      </c>
      <c r="AA780">
        <v>0.99851509999999999</v>
      </c>
      <c r="AB780">
        <v>35</v>
      </c>
      <c r="AC780">
        <v>178.19489999999999</v>
      </c>
      <c r="AD780">
        <v>1.51881</v>
      </c>
      <c r="AE780">
        <v>-8.1056000000000292</v>
      </c>
      <c r="AF780">
        <v>9.7271327435980197</v>
      </c>
      <c r="AG780">
        <v>1.51881</v>
      </c>
      <c r="AH780">
        <v>178.100794383351</v>
      </c>
      <c r="AI780">
        <v>89.512131290834802</v>
      </c>
      <c r="AJ780">
        <v>86.873846079239101</v>
      </c>
      <c r="AK780">
        <v>178.37269088963299</v>
      </c>
      <c r="AL780">
        <v>81.919597195615793</v>
      </c>
      <c r="AM780">
        <v>87.763778839622802</v>
      </c>
      <c r="AN780">
        <v>0.99999999730564704</v>
      </c>
    </row>
    <row r="781" spans="1:40" x14ac:dyDescent="0.25">
      <c r="A781" t="str">
        <f>"20190303170240505"</f>
        <v>20190303170240505</v>
      </c>
      <c r="B781" t="str">
        <f>"1551603760497031"</f>
        <v>1551603760497031</v>
      </c>
      <c r="C781" t="s">
        <v>40</v>
      </c>
      <c r="D781">
        <v>3.8767809999999998</v>
      </c>
      <c r="E781">
        <v>0.50288639999999996</v>
      </c>
      <c r="F781" t="s">
        <v>41</v>
      </c>
      <c r="G781">
        <v>-158.19499999999999</v>
      </c>
      <c r="H781">
        <v>2.5074139999999998</v>
      </c>
      <c r="I781">
        <v>359.68729999999999</v>
      </c>
      <c r="J781">
        <v>-336.16140000000001</v>
      </c>
      <c r="K781">
        <v>1.120682</v>
      </c>
      <c r="L781">
        <v>367.78629999999998</v>
      </c>
      <c r="M781">
        <v>0.99993960000000004</v>
      </c>
      <c r="N781">
        <v>-6.132083E-3</v>
      </c>
      <c r="O781">
        <v>9.1215930000000008E-3</v>
      </c>
      <c r="P781">
        <v>0.99051279999999997</v>
      </c>
      <c r="Q781">
        <v>0.1341657</v>
      </c>
      <c r="R781">
        <v>-2.973947E-2</v>
      </c>
      <c r="S781">
        <v>3.0216669999999999</v>
      </c>
      <c r="T781">
        <v>2.3516539999999999E-2</v>
      </c>
      <c r="U781">
        <v>-0.13729859999999999</v>
      </c>
      <c r="V781">
        <v>3.876201E-2</v>
      </c>
      <c r="W781">
        <v>0.14023829999999901</v>
      </c>
      <c r="X781">
        <v>0.98935870000000004</v>
      </c>
      <c r="Y781">
        <v>5.4500430000000002E-2</v>
      </c>
      <c r="Z781">
        <v>1.71634599999999E-4</v>
      </c>
      <c r="AA781">
        <v>0.99851380000000001</v>
      </c>
      <c r="AB781">
        <v>35</v>
      </c>
      <c r="AC781">
        <v>177.96639999999999</v>
      </c>
      <c r="AD781">
        <v>1.3867320000000001</v>
      </c>
      <c r="AE781">
        <v>-8.0989999999999895</v>
      </c>
      <c r="AF781">
        <v>9.7214415950763993</v>
      </c>
      <c r="AG781">
        <v>1.3867320000000001</v>
      </c>
      <c r="AH781">
        <v>177.87434104311299</v>
      </c>
      <c r="AI781">
        <v>89.553989131364403</v>
      </c>
      <c r="AJ781">
        <v>86.871701789979596</v>
      </c>
      <c r="AK781">
        <v>178.145195427348</v>
      </c>
      <c r="AL781">
        <v>81.938363769706896</v>
      </c>
      <c r="AM781">
        <v>87.756360486479593</v>
      </c>
      <c r="AN781">
        <v>0.99999995573590905</v>
      </c>
    </row>
    <row r="782" spans="1:40" x14ac:dyDescent="0.25">
      <c r="A782" t="str">
        <f>"20190303170240517"</f>
        <v>20190303170240517</v>
      </c>
      <c r="B782" t="str">
        <f>"1551603760506792"</f>
        <v>1551603760506792</v>
      </c>
      <c r="C782" t="s">
        <v>40</v>
      </c>
      <c r="D782">
        <v>3.9016999999999999</v>
      </c>
      <c r="E782">
        <v>0.50242940000000003</v>
      </c>
      <c r="F782" t="s">
        <v>52</v>
      </c>
      <c r="G782">
        <v>-179.12719999999999</v>
      </c>
      <c r="H782">
        <v>7.9987920000000004E-2</v>
      </c>
      <c r="I782">
        <v>362.83030000000002</v>
      </c>
      <c r="J782">
        <v>-335.98039999999997</v>
      </c>
      <c r="K782">
        <v>1.120687</v>
      </c>
      <c r="L782">
        <v>367.78789999999998</v>
      </c>
      <c r="M782">
        <v>0.99993840000000001</v>
      </c>
      <c r="N782">
        <v>-6.3148680000000004E-3</v>
      </c>
      <c r="O782">
        <v>9.1303860000000008E-3</v>
      </c>
      <c r="P782">
        <v>0.99056330000000004</v>
      </c>
      <c r="Q782">
        <v>0.13372029999999999</v>
      </c>
      <c r="R782">
        <v>-3.0055709999999999E-2</v>
      </c>
      <c r="S782">
        <v>3.0285950000000001</v>
      </c>
      <c r="T782">
        <v>-2.007103E-2</v>
      </c>
      <c r="U782">
        <v>-9.5581050000000001E-2</v>
      </c>
      <c r="V782">
        <v>3.909025E-2</v>
      </c>
      <c r="W782">
        <v>0.1399734</v>
      </c>
      <c r="X782">
        <v>0.98938329999999997</v>
      </c>
      <c r="Y782">
        <v>4.0666800000000003E-2</v>
      </c>
      <c r="Z782">
        <v>-2.6600929999999999E-4</v>
      </c>
      <c r="AA782">
        <v>0.99917270000000002</v>
      </c>
      <c r="AB782">
        <v>35</v>
      </c>
      <c r="AC782">
        <v>156.85319999999999</v>
      </c>
      <c r="AD782">
        <v>-1.04069908</v>
      </c>
      <c r="AE782">
        <v>-4.9575999999999496</v>
      </c>
      <c r="AF782">
        <v>6.3892711457978102</v>
      </c>
      <c r="AG782">
        <v>-1.04069908</v>
      </c>
      <c r="AH782">
        <v>156.79450052842</v>
      </c>
      <c r="AI782">
        <v>90.379970897362796</v>
      </c>
      <c r="AJ782">
        <v>87.666526275361406</v>
      </c>
      <c r="AK782">
        <v>156.92807663482699</v>
      </c>
      <c r="AL782">
        <v>81.953692631005694</v>
      </c>
      <c r="AM782">
        <v>87.737437019032797</v>
      </c>
      <c r="AN782">
        <v>0.99999995733575497</v>
      </c>
    </row>
    <row r="783" spans="1:40" x14ac:dyDescent="0.25">
      <c r="A783" t="str">
        <f>"20190303170240528"</f>
        <v>20190303170240528</v>
      </c>
      <c r="B783" t="str">
        <f>"1551603760516551"</f>
        <v>1551603760516551</v>
      </c>
      <c r="C783" t="s">
        <v>40</v>
      </c>
      <c r="D783">
        <v>3.9118149999999998</v>
      </c>
      <c r="E783">
        <v>0.50220920000000002</v>
      </c>
      <c r="F783" t="s">
        <v>52</v>
      </c>
      <c r="G783">
        <v>-197.36750000000001</v>
      </c>
      <c r="H783" s="1">
        <v>-8.8357650000000003E-6</v>
      </c>
      <c r="I783">
        <v>363.548</v>
      </c>
      <c r="J783">
        <v>-335.8057</v>
      </c>
      <c r="K783">
        <v>1.120684</v>
      </c>
      <c r="L783">
        <v>367.78949999999998</v>
      </c>
      <c r="M783">
        <v>0.99993719999999997</v>
      </c>
      <c r="N783">
        <v>-6.4807739999999999E-3</v>
      </c>
      <c r="O783">
        <v>9.1328510000000009E-3</v>
      </c>
      <c r="P783">
        <v>0.99055179999999998</v>
      </c>
      <c r="Q783">
        <v>0.1336523</v>
      </c>
      <c r="R783">
        <v>-3.0729590000000001E-2</v>
      </c>
      <c r="S783">
        <v>3.0290530000000002</v>
      </c>
      <c r="T783">
        <v>-2.4490120000000001E-2</v>
      </c>
      <c r="U783">
        <v>-9.2651369999999997E-2</v>
      </c>
      <c r="V783">
        <v>3.9768390000000001E-2</v>
      </c>
      <c r="W783">
        <v>0.14006879999999999</v>
      </c>
      <c r="X783">
        <v>0.98934279999999997</v>
      </c>
      <c r="Y783">
        <v>3.9698419999999998E-2</v>
      </c>
      <c r="Z783">
        <v>-3.037658E-4</v>
      </c>
      <c r="AA783">
        <v>0.99921170000000004</v>
      </c>
      <c r="AB783">
        <v>35</v>
      </c>
      <c r="AC783">
        <v>138.43819999999999</v>
      </c>
      <c r="AD783">
        <v>-1.1206928357649999</v>
      </c>
      <c r="AE783">
        <v>-4.2414999999999701</v>
      </c>
      <c r="AF783">
        <v>5.5053247796065001</v>
      </c>
      <c r="AG783">
        <v>-1.1206928357649999</v>
      </c>
      <c r="AH783">
        <v>138.38462805659901</v>
      </c>
      <c r="AI783">
        <v>90.463626762844697</v>
      </c>
      <c r="AJ783">
        <v>87.721816152038102</v>
      </c>
      <c r="AK783">
        <v>138.49862755899201</v>
      </c>
      <c r="AL783">
        <v>81.948172451425194</v>
      </c>
      <c r="AM783">
        <v>87.698133675058102</v>
      </c>
      <c r="AN783">
        <v>0.99999998474423502</v>
      </c>
    </row>
    <row r="784" spans="1:40" x14ac:dyDescent="0.25">
      <c r="A784" t="str">
        <f>"20190303170240540"</f>
        <v>20190303170240540</v>
      </c>
      <c r="B784" t="str">
        <f>"1551603760526310"</f>
        <v>1551603760526310</v>
      </c>
      <c r="C784" t="s">
        <v>40</v>
      </c>
      <c r="D784">
        <v>3.9169</v>
      </c>
      <c r="E784">
        <v>0.50210929999999998</v>
      </c>
      <c r="F784" t="s">
        <v>42</v>
      </c>
      <c r="G784">
        <v>-212.59360000000001</v>
      </c>
      <c r="H784" s="1">
        <v>-4.152604E-6</v>
      </c>
      <c r="I784">
        <v>364.01870000000002</v>
      </c>
      <c r="J784">
        <v>-335.61900000000003</v>
      </c>
      <c r="K784">
        <v>1.1206849999999999</v>
      </c>
      <c r="L784">
        <v>367.7912</v>
      </c>
      <c r="M784">
        <v>0.99993620000000005</v>
      </c>
      <c r="N784">
        <v>-6.651316E-3</v>
      </c>
      <c r="O784">
        <v>9.1322450000000006E-3</v>
      </c>
      <c r="P784">
        <v>0.99061290000000002</v>
      </c>
      <c r="Q784">
        <v>0.13304750000000001</v>
      </c>
      <c r="R784">
        <v>-3.1380360000000003E-2</v>
      </c>
      <c r="S784">
        <v>3.0294490000000001</v>
      </c>
      <c r="T784">
        <v>-2.755463E-2</v>
      </c>
      <c r="U784">
        <v>-9.27124E-2</v>
      </c>
      <c r="V784">
        <v>4.042105E-2</v>
      </c>
      <c r="W784">
        <v>0.1396326</v>
      </c>
      <c r="X784">
        <v>0.98937799999999998</v>
      </c>
      <c r="Y784">
        <v>3.9713419999999999E-2</v>
      </c>
      <c r="Z784">
        <v>-3.3499080000000002E-4</v>
      </c>
      <c r="AA784">
        <v>0.99921110000000002</v>
      </c>
      <c r="AB784">
        <v>35</v>
      </c>
      <c r="AC784">
        <v>123.0254</v>
      </c>
      <c r="AD784">
        <v>-1.1206891526039999</v>
      </c>
      <c r="AE784">
        <v>-3.77249999999998</v>
      </c>
      <c r="AF784">
        <v>4.8954597530403596</v>
      </c>
      <c r="AG784">
        <v>-1.1206891526039999</v>
      </c>
      <c r="AH784">
        <v>122.975622377748</v>
      </c>
      <c r="AI784">
        <v>90.521714522728004</v>
      </c>
      <c r="AJ784">
        <v>87.720351777401206</v>
      </c>
      <c r="AK784">
        <v>123.078126283938</v>
      </c>
      <c r="AL784">
        <v>81.973412845091204</v>
      </c>
      <c r="AM784">
        <v>87.6604813203665</v>
      </c>
      <c r="AN784">
        <v>0.99999997557493003</v>
      </c>
    </row>
    <row r="785" spans="1:40" x14ac:dyDescent="0.25">
      <c r="A785" t="str">
        <f>"20190303170240553"</f>
        <v>20190303170240553</v>
      </c>
      <c r="B785" t="str">
        <f>"1551603760546807"</f>
        <v>1551603760546807</v>
      </c>
      <c r="C785" t="s">
        <v>40</v>
      </c>
      <c r="D785">
        <v>3.9299780000000002</v>
      </c>
      <c r="E785">
        <v>0.50212369999999995</v>
      </c>
      <c r="F785" t="s">
        <v>42</v>
      </c>
      <c r="G785">
        <v>-223.15520000000001</v>
      </c>
      <c r="H785" s="1">
        <v>-3.8583960000000001E-6</v>
      </c>
      <c r="I785">
        <v>364.31880000000001</v>
      </c>
      <c r="J785">
        <v>-335.39780000000002</v>
      </c>
      <c r="K785">
        <v>1.120684</v>
      </c>
      <c r="L785">
        <v>367.79320000000001</v>
      </c>
      <c r="M785">
        <v>0.99993500000000002</v>
      </c>
      <c r="N785">
        <v>-6.8431580000000002E-3</v>
      </c>
      <c r="O785">
        <v>9.1276710000000004E-3</v>
      </c>
      <c r="P785">
        <v>0.99065420000000004</v>
      </c>
      <c r="Q785">
        <v>0.13263329999999901</v>
      </c>
      <c r="R785">
        <v>-3.1827040000000001E-2</v>
      </c>
      <c r="S785">
        <v>3.029541</v>
      </c>
      <c r="T785">
        <v>-3.018904E-2</v>
      </c>
      <c r="U785">
        <v>-9.3536380000000002E-2</v>
      </c>
      <c r="V785">
        <v>4.0865609999999997E-2</v>
      </c>
      <c r="W785">
        <v>0.1394078</v>
      </c>
      <c r="X785">
        <v>0.98939140000000003</v>
      </c>
      <c r="Y785">
        <v>3.9978920000000001E-2</v>
      </c>
      <c r="Z785">
        <v>-3.6445990000000001E-4</v>
      </c>
      <c r="AA785">
        <v>0.99920050000000005</v>
      </c>
      <c r="AB785">
        <v>35</v>
      </c>
      <c r="AC785">
        <v>112.2426</v>
      </c>
      <c r="AD785">
        <v>-1.120687858396</v>
      </c>
      <c r="AE785">
        <v>-3.4744000000000002</v>
      </c>
      <c r="AF785">
        <v>4.4983446820910196</v>
      </c>
      <c r="AG785">
        <v>-1.120687858396</v>
      </c>
      <c r="AH785">
        <v>112.19503597707001</v>
      </c>
      <c r="AI785">
        <v>90.571834623085394</v>
      </c>
      <c r="AJ785">
        <v>87.704014353468096</v>
      </c>
      <c r="AK785">
        <v>112.29077052033701</v>
      </c>
      <c r="AL785">
        <v>81.986419851863999</v>
      </c>
      <c r="AM785">
        <v>87.634811816721097</v>
      </c>
      <c r="AN785">
        <v>0.99999993758773398</v>
      </c>
    </row>
    <row r="786" spans="1:40" x14ac:dyDescent="0.25">
      <c r="A786" t="str">
        <f>"20190303170240568"</f>
        <v>20190303170240568</v>
      </c>
      <c r="B786" t="str">
        <f>"1551603760556568"</f>
        <v>1551603760556568</v>
      </c>
      <c r="C786" t="s">
        <v>40</v>
      </c>
      <c r="D786">
        <v>3.9300090000000001</v>
      </c>
      <c r="E786">
        <v>0.50214110000000001</v>
      </c>
      <c r="F786" t="s">
        <v>42</v>
      </c>
      <c r="G786">
        <v>-219.7458</v>
      </c>
      <c r="H786" s="1">
        <v>-1.524009E-6</v>
      </c>
      <c r="I786">
        <v>364.16140000000001</v>
      </c>
      <c r="J786">
        <v>-335.1927</v>
      </c>
      <c r="K786">
        <v>1.120682</v>
      </c>
      <c r="L786">
        <v>367.79509999999999</v>
      </c>
      <c r="M786">
        <v>0.99993379999999998</v>
      </c>
      <c r="N786">
        <v>-7.0052509999999997E-3</v>
      </c>
      <c r="O786">
        <v>9.1178179999999998E-3</v>
      </c>
      <c r="P786">
        <v>0.9906372</v>
      </c>
      <c r="Q786">
        <v>0.13249639999999999</v>
      </c>
      <c r="R786">
        <v>-3.2901479999999997E-2</v>
      </c>
      <c r="S786">
        <v>3.029175</v>
      </c>
      <c r="T786">
        <v>-2.935314E-2</v>
      </c>
      <c r="U786">
        <v>-9.5123289999999999E-2</v>
      </c>
      <c r="V786">
        <v>4.1932150000000001E-2</v>
      </c>
      <c r="W786">
        <v>0.13943039999999901</v>
      </c>
      <c r="X786">
        <v>0.98934359999999999</v>
      </c>
      <c r="Y786">
        <v>4.0495839999999998E-2</v>
      </c>
      <c r="Z786">
        <v>-3.625123E-4</v>
      </c>
      <c r="AA786">
        <v>0.9991797</v>
      </c>
      <c r="AB786">
        <v>35</v>
      </c>
      <c r="AC786">
        <v>115.4469</v>
      </c>
      <c r="AD786">
        <v>-1.1206835240090001</v>
      </c>
      <c r="AE786">
        <v>-3.63369999999997</v>
      </c>
      <c r="AF786">
        <v>4.6857575824223296</v>
      </c>
      <c r="AG786">
        <v>-1.1206835240090001</v>
      </c>
      <c r="AH786">
        <v>115.39810510883601</v>
      </c>
      <c r="AI786">
        <v>90.555949800887902</v>
      </c>
      <c r="AJ786">
        <v>87.6747735381756</v>
      </c>
      <c r="AK786">
        <v>115.49863600230201</v>
      </c>
      <c r="AL786">
        <v>81.985112298085397</v>
      </c>
      <c r="AM786">
        <v>87.573039193215806</v>
      </c>
      <c r="AN786">
        <v>0.99999995025437005</v>
      </c>
    </row>
    <row r="787" spans="1:40" x14ac:dyDescent="0.25">
      <c r="A787" t="str">
        <f>"20190303170240581"</f>
        <v>20190303170240581</v>
      </c>
      <c r="B787" t="str">
        <f>"1551603760577063"</f>
        <v>1551603760577063</v>
      </c>
      <c r="C787" t="s">
        <v>40</v>
      </c>
      <c r="D787">
        <v>3.9279459999999999</v>
      </c>
      <c r="E787">
        <v>0.50204729999999997</v>
      </c>
      <c r="F787" t="s">
        <v>42</v>
      </c>
      <c r="G787">
        <v>-219.31460000000001</v>
      </c>
      <c r="H787" s="1">
        <v>-1.704532E-6</v>
      </c>
      <c r="I787">
        <v>364.03449999999998</v>
      </c>
      <c r="J787">
        <v>-334.97059999999999</v>
      </c>
      <c r="K787">
        <v>1.1206780000000001</v>
      </c>
      <c r="L787">
        <v>367.7971</v>
      </c>
      <c r="M787">
        <v>0.99993299999999996</v>
      </c>
      <c r="N787">
        <v>-7.1730159999999999E-3</v>
      </c>
      <c r="O787">
        <v>9.1045840000000006E-3</v>
      </c>
      <c r="P787">
        <v>0.99063939999999995</v>
      </c>
      <c r="Q787">
        <v>0.13230819999999999</v>
      </c>
      <c r="R787">
        <v>-3.3590479999999999E-2</v>
      </c>
      <c r="S787">
        <v>3.0289609999999998</v>
      </c>
      <c r="T787">
        <v>-2.9293779999999998E-2</v>
      </c>
      <c r="U787">
        <v>-9.8297120000000002E-2</v>
      </c>
      <c r="V787">
        <v>4.2610290000000002E-2</v>
      </c>
      <c r="W787">
        <v>0.1394078</v>
      </c>
      <c r="X787">
        <v>0.98931780000000002</v>
      </c>
      <c r="Y787">
        <v>4.1530619999999997E-2</v>
      </c>
      <c r="Z787">
        <v>-3.7250629999999998E-4</v>
      </c>
      <c r="AA787">
        <v>0.99913719999999995</v>
      </c>
      <c r="AB787">
        <v>35</v>
      </c>
      <c r="AC787">
        <v>115.655999999999</v>
      </c>
      <c r="AD787">
        <v>-1.1206797045320001</v>
      </c>
      <c r="AE787">
        <v>-3.7626000000000199</v>
      </c>
      <c r="AF787">
        <v>4.8150191029073497</v>
      </c>
      <c r="AG787">
        <v>-1.1206797045320001</v>
      </c>
      <c r="AH787">
        <v>115.60610534544401</v>
      </c>
      <c r="AI787">
        <v>90.554923889119493</v>
      </c>
      <c r="AJ787">
        <v>87.614996967490995</v>
      </c>
      <c r="AK787">
        <v>115.711762259086</v>
      </c>
      <c r="AL787">
        <v>81.986419874998305</v>
      </c>
      <c r="AM787">
        <v>87.533773455246603</v>
      </c>
      <c r="AN787">
        <v>0.99999994045578</v>
      </c>
    </row>
    <row r="788" spans="1:40" x14ac:dyDescent="0.25">
      <c r="A788" t="str">
        <f>"20190303170240595"</f>
        <v>20190303170240595</v>
      </c>
      <c r="B788" t="str">
        <f>"1551603760586823"</f>
        <v>1551603760586823</v>
      </c>
      <c r="C788" t="s">
        <v>40</v>
      </c>
      <c r="D788">
        <v>3.9074209999999998</v>
      </c>
      <c r="E788">
        <v>0.50204219999999999</v>
      </c>
      <c r="F788" t="s">
        <v>42</v>
      </c>
      <c r="G788">
        <v>-224.48009999999999</v>
      </c>
      <c r="H788" s="1">
        <v>-3.3171669999999999E-6</v>
      </c>
      <c r="I788">
        <v>364.16579999999999</v>
      </c>
      <c r="J788">
        <v>-334.75029999999998</v>
      </c>
      <c r="K788">
        <v>1.1206750000000001</v>
      </c>
      <c r="L788">
        <v>367.79910000000001</v>
      </c>
      <c r="M788">
        <v>0.99993189999999998</v>
      </c>
      <c r="N788">
        <v>-7.3310129999999999E-3</v>
      </c>
      <c r="O788">
        <v>9.0896999999999992E-3</v>
      </c>
      <c r="P788">
        <v>0.99060309999999996</v>
      </c>
      <c r="Q788">
        <v>0.13237389999999999</v>
      </c>
      <c r="R788">
        <v>-3.4397919999999998E-2</v>
      </c>
      <c r="S788">
        <v>3.029083</v>
      </c>
      <c r="T788">
        <v>-3.072333E-2</v>
      </c>
      <c r="U788">
        <v>-9.9548339999999999E-2</v>
      </c>
      <c r="V788">
        <v>4.340459E-2</v>
      </c>
      <c r="W788">
        <v>0.139628799999999</v>
      </c>
      <c r="X788">
        <v>0.98925220000000003</v>
      </c>
      <c r="Y788">
        <v>4.1926379999999999E-2</v>
      </c>
      <c r="Z788">
        <v>-3.918468E-4</v>
      </c>
      <c r="AA788">
        <v>0.99912069999999997</v>
      </c>
      <c r="AB788">
        <v>35</v>
      </c>
      <c r="AC788">
        <v>110.2702</v>
      </c>
      <c r="AD788">
        <v>-1.1206783171670001</v>
      </c>
      <c r="AE788">
        <v>-3.6333000000000202</v>
      </c>
      <c r="AF788">
        <v>4.6350215607860603</v>
      </c>
      <c r="AG788">
        <v>-1.1206783171670001</v>
      </c>
      <c r="AH788">
        <v>110.221245687775</v>
      </c>
      <c r="AI788">
        <v>90.582022388534995</v>
      </c>
      <c r="AJ788">
        <v>87.592017787842906</v>
      </c>
      <c r="AK788">
        <v>110.324350647191</v>
      </c>
      <c r="AL788">
        <v>81.973633225097103</v>
      </c>
      <c r="AM788">
        <v>87.487692419504995</v>
      </c>
      <c r="AN788">
        <v>1.00000003771367</v>
      </c>
    </row>
    <row r="789" spans="1:40" x14ac:dyDescent="0.25">
      <c r="A789" t="str">
        <f>"20190303170240608"</f>
        <v>20190303170240608</v>
      </c>
      <c r="B789" t="str">
        <f>"1551603760596583"</f>
        <v>1551603760596583</v>
      </c>
      <c r="C789" t="s">
        <v>40</v>
      </c>
      <c r="D789">
        <v>3.954062</v>
      </c>
      <c r="E789">
        <v>0.50200929999999999</v>
      </c>
      <c r="F789" t="s">
        <v>42</v>
      </c>
      <c r="G789">
        <v>-224.17230000000001</v>
      </c>
      <c r="H789" s="1">
        <v>-3.4671510000000002E-6</v>
      </c>
      <c r="I789">
        <v>364.06470000000002</v>
      </c>
      <c r="J789">
        <v>-334.54410000000001</v>
      </c>
      <c r="K789">
        <v>1.1206689999999999</v>
      </c>
      <c r="L789">
        <v>367.80090000000001</v>
      </c>
      <c r="M789">
        <v>0.99993100000000001</v>
      </c>
      <c r="N789">
        <v>-7.4663759999999899E-3</v>
      </c>
      <c r="O789">
        <v>9.0728649999999994E-3</v>
      </c>
      <c r="P789">
        <v>0.9905948</v>
      </c>
      <c r="Q789">
        <v>0.1323868</v>
      </c>
      <c r="R789">
        <v>-3.4582380000000003E-2</v>
      </c>
      <c r="S789">
        <v>3.0290219999999999</v>
      </c>
      <c r="T789">
        <v>-3.0698300000000001E-2</v>
      </c>
      <c r="U789">
        <v>-0.10229489999999999</v>
      </c>
      <c r="V789">
        <v>4.357461E-2</v>
      </c>
      <c r="W789">
        <v>0.13977510000000001</v>
      </c>
      <c r="X789">
        <v>0.98922399999999999</v>
      </c>
      <c r="Y789">
        <v>4.2815069999999997E-2</v>
      </c>
      <c r="Z789">
        <v>-4.0098789999999998E-4</v>
      </c>
      <c r="AA789">
        <v>0.9990829</v>
      </c>
      <c r="AB789">
        <v>35</v>
      </c>
      <c r="AC789">
        <v>110.37179999999999</v>
      </c>
      <c r="AD789">
        <v>-1.120672467151</v>
      </c>
      <c r="AE789">
        <v>-3.73619999999999</v>
      </c>
      <c r="AF789">
        <v>4.7369747288820703</v>
      </c>
      <c r="AG789">
        <v>-1.120672467151</v>
      </c>
      <c r="AH789">
        <v>110.321997219408</v>
      </c>
      <c r="AI789">
        <v>90.581466012634806</v>
      </c>
      <c r="AJ789">
        <v>87.541360229575005</v>
      </c>
      <c r="AK789">
        <v>110.42933444895699</v>
      </c>
      <c r="AL789">
        <v>81.965167320127094</v>
      </c>
      <c r="AM789">
        <v>87.4777923432584</v>
      </c>
      <c r="AN789">
        <v>0.99999997369632998</v>
      </c>
    </row>
    <row r="790" spans="1:40" x14ac:dyDescent="0.25">
      <c r="A790" t="str">
        <f>"20190303170240620"</f>
        <v>20190303170240620</v>
      </c>
      <c r="B790" t="str">
        <f>"1551603760606345"</f>
        <v>1551603760606345</v>
      </c>
      <c r="C790" t="s">
        <v>40</v>
      </c>
      <c r="D790">
        <v>3.957452</v>
      </c>
      <c r="E790">
        <v>0.50202209999999903</v>
      </c>
      <c r="F790" t="s">
        <v>42</v>
      </c>
      <c r="G790">
        <v>-219.70140000000001</v>
      </c>
      <c r="H790" s="1">
        <v>-1.6030829999999999E-6</v>
      </c>
      <c r="I790">
        <v>363.92110000000002</v>
      </c>
      <c r="J790">
        <v>-334.36689999999999</v>
      </c>
      <c r="K790">
        <v>1.120665</v>
      </c>
      <c r="L790">
        <v>367.80259999999998</v>
      </c>
      <c r="M790">
        <v>0.99993030000000005</v>
      </c>
      <c r="N790">
        <v>-7.578067E-3</v>
      </c>
      <c r="O790">
        <v>9.0577890000000001E-3</v>
      </c>
      <c r="P790">
        <v>0.99057410000000001</v>
      </c>
      <c r="Q790">
        <v>0.1325645</v>
      </c>
      <c r="R790">
        <v>-3.4491029999999999E-2</v>
      </c>
      <c r="S790">
        <v>3.0288089999999999</v>
      </c>
      <c r="T790">
        <v>-2.9556039999999999E-2</v>
      </c>
      <c r="U790">
        <v>-0.1023254</v>
      </c>
      <c r="V790">
        <v>4.346978E-2</v>
      </c>
      <c r="W790">
        <v>0.1400622</v>
      </c>
      <c r="X790">
        <v>0.98918799999999996</v>
      </c>
      <c r="Y790">
        <v>4.2812650000000001E-2</v>
      </c>
      <c r="Z790">
        <v>-3.9084310000000002E-4</v>
      </c>
      <c r="AA790">
        <v>0.99908300000000005</v>
      </c>
      <c r="AB790">
        <v>35</v>
      </c>
      <c r="AC790">
        <v>114.665499999999</v>
      </c>
      <c r="AD790">
        <v>-1.1206666030829999</v>
      </c>
      <c r="AE790">
        <v>-3.88149999999996</v>
      </c>
      <c r="AF790">
        <v>4.9195170837261299</v>
      </c>
      <c r="AG790">
        <v>-1.1206666030829999</v>
      </c>
      <c r="AH790">
        <v>114.61470174597</v>
      </c>
      <c r="AI790">
        <v>90.559687018194694</v>
      </c>
      <c r="AJ790">
        <v>87.542246705744901</v>
      </c>
      <c r="AK790">
        <v>114.725705045949</v>
      </c>
      <c r="AL790">
        <v>81.948554252917901</v>
      </c>
      <c r="AM790">
        <v>87.4837609050428</v>
      </c>
      <c r="AN790">
        <v>0.99999997049304301</v>
      </c>
    </row>
    <row r="791" spans="1:40" x14ac:dyDescent="0.25">
      <c r="A791" t="str">
        <f>"20190303170240630"</f>
        <v>20190303170240630</v>
      </c>
      <c r="B791" t="str">
        <f>"1551603760617080"</f>
        <v>1551603760617080</v>
      </c>
      <c r="C791" t="s">
        <v>40</v>
      </c>
      <c r="D791">
        <v>3.9643869999999999</v>
      </c>
      <c r="E791">
        <v>0.50200199999999995</v>
      </c>
      <c r="F791" t="s">
        <v>42</v>
      </c>
      <c r="G791">
        <v>-213.9143</v>
      </c>
      <c r="H791" s="1">
        <v>-3.6358E-6</v>
      </c>
      <c r="I791">
        <v>363.738</v>
      </c>
      <c r="J791">
        <v>-334.19049999999999</v>
      </c>
      <c r="K791">
        <v>1.1206560000000001</v>
      </c>
      <c r="L791">
        <v>367.80410000000001</v>
      </c>
      <c r="M791">
        <v>0.99992970000000003</v>
      </c>
      <c r="N791">
        <v>-7.6825039999999997E-3</v>
      </c>
      <c r="O791">
        <v>9.0417250000000005E-3</v>
      </c>
      <c r="P791">
        <v>0.99056100000000002</v>
      </c>
      <c r="Q791">
        <v>0.13264570000000001</v>
      </c>
      <c r="R791">
        <v>-3.4557690000000002E-2</v>
      </c>
      <c r="S791">
        <v>3.028778</v>
      </c>
      <c r="T791">
        <v>-2.817917E-2</v>
      </c>
      <c r="U791">
        <v>-0.1022034</v>
      </c>
      <c r="V791">
        <v>4.352205E-2</v>
      </c>
      <c r="W791">
        <v>0.14024629999999999</v>
      </c>
      <c r="X791">
        <v>0.98915960000000003</v>
      </c>
      <c r="Y791">
        <v>4.275698E-2</v>
      </c>
      <c r="Z791">
        <v>-3.7779330000000001E-4</v>
      </c>
      <c r="AA791">
        <v>0.99908540000000001</v>
      </c>
      <c r="AB791">
        <v>35</v>
      </c>
      <c r="AC791">
        <v>120.2762</v>
      </c>
      <c r="AD791">
        <v>-1.1206596357999901</v>
      </c>
      <c r="AE791">
        <v>-4.0660999999999401</v>
      </c>
      <c r="AF791">
        <v>5.1530232586542803</v>
      </c>
      <c r="AG791">
        <v>-1.1206596357999901</v>
      </c>
      <c r="AH791">
        <v>120.224092334182</v>
      </c>
      <c r="AI791">
        <v>90.533572867496602</v>
      </c>
      <c r="AJ791">
        <v>87.545700906042597</v>
      </c>
      <c r="AK791">
        <v>120.339693801761</v>
      </c>
      <c r="AL791">
        <v>81.937900813286006</v>
      </c>
      <c r="AM791">
        <v>87.480666924963202</v>
      </c>
      <c r="AN791">
        <v>0.99999995388602503</v>
      </c>
    </row>
    <row r="792" spans="1:40" x14ac:dyDescent="0.25">
      <c r="A792" t="str">
        <f>"20190303170240642"</f>
        <v>20190303170240642</v>
      </c>
      <c r="B792" t="str">
        <f>"1551603760636599"</f>
        <v>1551603760636599</v>
      </c>
      <c r="C792" t="s">
        <v>40</v>
      </c>
      <c r="D792">
        <v>3.925538</v>
      </c>
      <c r="E792">
        <v>0.50195059999999903</v>
      </c>
      <c r="F792" t="s">
        <v>42</v>
      </c>
      <c r="G792">
        <v>-210.33580000000001</v>
      </c>
      <c r="H792" s="1">
        <v>-5.1913340000000003E-6</v>
      </c>
      <c r="I792">
        <v>363.62329999999997</v>
      </c>
      <c r="J792">
        <v>-334.01080000000002</v>
      </c>
      <c r="K792">
        <v>1.1206510000000001</v>
      </c>
      <c r="L792">
        <v>367.80579999999998</v>
      </c>
      <c r="M792">
        <v>0.99992910000000002</v>
      </c>
      <c r="N792">
        <v>-7.7834059999999997E-3</v>
      </c>
      <c r="O792">
        <v>9.0241799999999997E-3</v>
      </c>
      <c r="P792">
        <v>0.9905486</v>
      </c>
      <c r="Q792">
        <v>0.13278280000000001</v>
      </c>
      <c r="R792">
        <v>-3.4387359999999999E-2</v>
      </c>
      <c r="S792">
        <v>3.0286559999999998</v>
      </c>
      <c r="T792">
        <v>-2.7403830000000001E-2</v>
      </c>
      <c r="U792">
        <v>-0.1022339</v>
      </c>
      <c r="V792">
        <v>4.3335579999999999E-2</v>
      </c>
      <c r="W792">
        <v>0.14048279999999999</v>
      </c>
      <c r="X792">
        <v>0.98913430000000002</v>
      </c>
      <c r="Y792">
        <v>4.2750999999999997E-2</v>
      </c>
      <c r="Z792">
        <v>-3.7119280000000001E-4</v>
      </c>
      <c r="AA792">
        <v>0.99908569999999997</v>
      </c>
      <c r="AB792">
        <v>35</v>
      </c>
      <c r="AC792">
        <v>123.675</v>
      </c>
      <c r="AD792">
        <v>-1.1206561913339901</v>
      </c>
      <c r="AE792">
        <v>-4.1825000000000001</v>
      </c>
      <c r="AF792">
        <v>5.2979943227410402</v>
      </c>
      <c r="AG792">
        <v>-1.1206561913339901</v>
      </c>
      <c r="AH792">
        <v>123.62208037308</v>
      </c>
      <c r="AI792">
        <v>90.518905941537994</v>
      </c>
      <c r="AJ792">
        <v>87.546012199081503</v>
      </c>
      <c r="AK792">
        <v>123.74062942264101</v>
      </c>
      <c r="AL792">
        <v>81.924215458842298</v>
      </c>
      <c r="AM792">
        <v>87.491383094525901</v>
      </c>
      <c r="AN792">
        <v>1.0000000265131299</v>
      </c>
    </row>
    <row r="793" spans="1:40" x14ac:dyDescent="0.25">
      <c r="A793" t="str">
        <f>"20190303170240654"</f>
        <v>20190303170240654</v>
      </c>
      <c r="B793" t="str">
        <f>"1551603760646359"</f>
        <v>1551603760646359</v>
      </c>
      <c r="C793" t="s">
        <v>40</v>
      </c>
      <c r="D793">
        <v>3.9594450000000001</v>
      </c>
      <c r="E793">
        <v>0.50178929999999999</v>
      </c>
      <c r="F793" t="s">
        <v>52</v>
      </c>
      <c r="G793">
        <v>-207.54069999999999</v>
      </c>
      <c r="H793" s="1">
        <v>-5.4046529999999999E-6</v>
      </c>
      <c r="I793">
        <v>363.58010000000002</v>
      </c>
      <c r="J793">
        <v>-333.80799999999999</v>
      </c>
      <c r="K793">
        <v>1.1206469999999999</v>
      </c>
      <c r="L793">
        <v>367.80759999999998</v>
      </c>
      <c r="M793">
        <v>0.99992840000000005</v>
      </c>
      <c r="N793">
        <v>-7.8934620000000004E-3</v>
      </c>
      <c r="O793">
        <v>9.0035500000000008E-3</v>
      </c>
      <c r="P793">
        <v>0.99053230000000003</v>
      </c>
      <c r="Q793">
        <v>0.133044</v>
      </c>
      <c r="R793">
        <v>-3.3840580000000002E-2</v>
      </c>
      <c r="S793">
        <v>3.0287169999999999</v>
      </c>
      <c r="T793">
        <v>-2.6837590000000001E-2</v>
      </c>
      <c r="U793">
        <v>-0.1011963</v>
      </c>
      <c r="V793">
        <v>4.2770170000000003E-2</v>
      </c>
      <c r="W793">
        <v>0.14085249999999999</v>
      </c>
      <c r="X793">
        <v>0.98910629999999999</v>
      </c>
      <c r="Y793">
        <v>4.2387929999999997E-2</v>
      </c>
      <c r="Z793">
        <v>-3.638046E-4</v>
      </c>
      <c r="AA793">
        <v>0.99910120000000002</v>
      </c>
      <c r="AB793">
        <v>35</v>
      </c>
      <c r="AC793">
        <v>126.26730000000001</v>
      </c>
      <c r="AD793">
        <v>-1.120652404653</v>
      </c>
      <c r="AE793">
        <v>-4.2274999999999601</v>
      </c>
      <c r="AF793">
        <v>5.3637958721427204</v>
      </c>
      <c r="AG793">
        <v>-1.120652404653</v>
      </c>
      <c r="AH793">
        <v>126.21418728560801</v>
      </c>
      <c r="AI793">
        <v>90.508255596347396</v>
      </c>
      <c r="AJ793">
        <v>87.566533052383704</v>
      </c>
      <c r="AK793">
        <v>126.33308054558201</v>
      </c>
      <c r="AL793">
        <v>81.902820207054106</v>
      </c>
      <c r="AM793">
        <v>87.524002635535496</v>
      </c>
      <c r="AN793">
        <v>0.99999999344888402</v>
      </c>
    </row>
    <row r="794" spans="1:40" x14ac:dyDescent="0.25">
      <c r="A794" t="str">
        <f>"20190303170240665"</f>
        <v>20190303170240665</v>
      </c>
      <c r="B794" t="str">
        <f>"1551603760657095"</f>
        <v>1551603760657095</v>
      </c>
      <c r="C794" t="s">
        <v>40</v>
      </c>
      <c r="D794">
        <v>3.9638990000000001</v>
      </c>
      <c r="E794">
        <v>0.50177349999999998</v>
      </c>
      <c r="F794" t="s">
        <v>52</v>
      </c>
      <c r="G794">
        <v>-200.97649999999999</v>
      </c>
      <c r="H794" s="1">
        <v>-2.199497E-6</v>
      </c>
      <c r="I794">
        <v>363.50189999999998</v>
      </c>
      <c r="J794">
        <v>-333.64049999999997</v>
      </c>
      <c r="K794">
        <v>1.1206419999999999</v>
      </c>
      <c r="L794">
        <v>367.80900000000003</v>
      </c>
      <c r="M794">
        <v>0.99992780000000003</v>
      </c>
      <c r="N794">
        <v>-7.9786760000000005E-3</v>
      </c>
      <c r="O794">
        <v>8.9846969999999998E-3</v>
      </c>
      <c r="P794">
        <v>0.9905311</v>
      </c>
      <c r="Q794">
        <v>0.13311990000000001</v>
      </c>
      <c r="R794">
        <v>-3.3570000000000003E-2</v>
      </c>
      <c r="S794">
        <v>3.0287480000000002</v>
      </c>
      <c r="T794">
        <v>-2.5552390000000001E-2</v>
      </c>
      <c r="U794">
        <v>-9.817505E-2</v>
      </c>
      <c r="V794">
        <v>4.2481930000000001E-2</v>
      </c>
      <c r="W794">
        <v>0.1410121</v>
      </c>
      <c r="X794">
        <v>0.98909599999999998</v>
      </c>
      <c r="Y794">
        <v>4.1373479999999997E-2</v>
      </c>
      <c r="Z794">
        <v>-3.4369670000000002E-4</v>
      </c>
      <c r="AA794">
        <v>0.99914369999999997</v>
      </c>
      <c r="AB794">
        <v>35</v>
      </c>
      <c r="AC794">
        <v>132.66399999999999</v>
      </c>
      <c r="AD794">
        <v>-1.120644199497</v>
      </c>
      <c r="AE794">
        <v>-4.3071000000000401</v>
      </c>
      <c r="AF794">
        <v>5.4985179927297798</v>
      </c>
      <c r="AG794">
        <v>-1.120644199497</v>
      </c>
      <c r="AH794">
        <v>132.61049312922501</v>
      </c>
      <c r="AI794">
        <v>90.483759117129907</v>
      </c>
      <c r="AJ794">
        <v>87.625666647089602</v>
      </c>
      <c r="AK794">
        <v>132.72916948250099</v>
      </c>
      <c r="AL794">
        <v>81.893583763441299</v>
      </c>
      <c r="AM794">
        <v>87.540642929934293</v>
      </c>
      <c r="AN794">
        <v>1.0000000119694601</v>
      </c>
    </row>
    <row r="795" spans="1:40" x14ac:dyDescent="0.25">
      <c r="A795" t="str">
        <f>"20190303170240676"</f>
        <v>20190303170240676</v>
      </c>
      <c r="B795" t="str">
        <f>"1551603760666855"</f>
        <v>1551603760666855</v>
      </c>
      <c r="C795" t="s">
        <v>40</v>
      </c>
      <c r="D795">
        <v>3.948664</v>
      </c>
      <c r="E795">
        <v>0.50169350000000001</v>
      </c>
      <c r="F795" t="s">
        <v>52</v>
      </c>
      <c r="G795">
        <v>-198.34520000000001</v>
      </c>
      <c r="H795" s="1">
        <v>-9.2036609999999996E-6</v>
      </c>
      <c r="I795">
        <v>363.46159999999998</v>
      </c>
      <c r="J795">
        <v>-333.46069999999997</v>
      </c>
      <c r="K795">
        <v>1.1206400000000001</v>
      </c>
      <c r="L795">
        <v>367.8107</v>
      </c>
      <c r="M795">
        <v>0.99992729999999996</v>
      </c>
      <c r="N795">
        <v>-8.0690350000000004E-3</v>
      </c>
      <c r="O795">
        <v>8.9639709999999994E-3</v>
      </c>
      <c r="P795">
        <v>0.99048360000000002</v>
      </c>
      <c r="Q795">
        <v>0.1335693</v>
      </c>
      <c r="R795">
        <v>-3.319391E-2</v>
      </c>
      <c r="S795">
        <v>3.0287169999999999</v>
      </c>
      <c r="T795">
        <v>-2.5086879999999999E-2</v>
      </c>
      <c r="U795">
        <v>-9.732056E-2</v>
      </c>
      <c r="V795">
        <v>4.208601E-2</v>
      </c>
      <c r="W795">
        <v>0.1415507</v>
      </c>
      <c r="X795">
        <v>0.98903600000000003</v>
      </c>
      <c r="Y795">
        <v>4.10716E-2</v>
      </c>
      <c r="Z795">
        <v>-3.3772540000000001E-4</v>
      </c>
      <c r="AA795">
        <v>0.99915620000000005</v>
      </c>
      <c r="AB795">
        <v>35</v>
      </c>
      <c r="AC795">
        <v>135.115499999999</v>
      </c>
      <c r="AD795">
        <v>-1.1206492036609901</v>
      </c>
      <c r="AE795">
        <v>-4.3491000000000204</v>
      </c>
      <c r="AF795">
        <v>5.55975400512561</v>
      </c>
      <c r="AG795">
        <v>-1.1206492036609901</v>
      </c>
      <c r="AH795">
        <v>135.06180324602499</v>
      </c>
      <c r="AI795">
        <v>90.474987496898294</v>
      </c>
      <c r="AJ795">
        <v>87.642777714196498</v>
      </c>
      <c r="AK795">
        <v>135.18083227774301</v>
      </c>
      <c r="AL795">
        <v>81.86241165813</v>
      </c>
      <c r="AM795">
        <v>87.563388085284302</v>
      </c>
      <c r="AN795">
        <v>1.0000000211021001</v>
      </c>
    </row>
    <row r="796" spans="1:40" x14ac:dyDescent="0.25">
      <c r="A796" t="str">
        <f>"20190303170240689"</f>
        <v>20190303170240689</v>
      </c>
      <c r="B796" t="str">
        <f>"1551603760676616"</f>
        <v>1551603760676616</v>
      </c>
      <c r="C796" t="s">
        <v>40</v>
      </c>
      <c r="D796">
        <v>3.9745210000000002</v>
      </c>
      <c r="E796">
        <v>0.5016948</v>
      </c>
      <c r="F796" t="s">
        <v>52</v>
      </c>
      <c r="G796">
        <v>-185.5558</v>
      </c>
      <c r="H796" s="1">
        <v>-6.834884E-6</v>
      </c>
      <c r="I796">
        <v>363.14749999999998</v>
      </c>
      <c r="J796">
        <v>-333.26639999999998</v>
      </c>
      <c r="K796">
        <v>1.120638</v>
      </c>
      <c r="L796">
        <v>367.81240000000003</v>
      </c>
      <c r="M796">
        <v>0.99992669999999995</v>
      </c>
      <c r="N796">
        <v>-8.1603960000000003E-3</v>
      </c>
      <c r="O796">
        <v>8.9402609999999997E-3</v>
      </c>
      <c r="P796">
        <v>0.99048910000000001</v>
      </c>
      <c r="Q796">
        <v>0.13368820000000001</v>
      </c>
      <c r="R796">
        <v>-3.2542649999999999E-2</v>
      </c>
      <c r="S796">
        <v>3.0286870000000001</v>
      </c>
      <c r="T796">
        <v>-2.2947789999999999E-2</v>
      </c>
      <c r="U796">
        <v>-9.5489500000000005E-2</v>
      </c>
      <c r="V796">
        <v>4.1412169999999998E-2</v>
      </c>
      <c r="W796">
        <v>0.14175929999999901</v>
      </c>
      <c r="X796">
        <v>0.98903450000000004</v>
      </c>
      <c r="Y796">
        <v>4.0445149999999999E-2</v>
      </c>
      <c r="Z796">
        <v>-3.1304040000000003E-4</v>
      </c>
      <c r="AA796">
        <v>0.99918169999999995</v>
      </c>
      <c r="AB796">
        <v>36</v>
      </c>
      <c r="AC796">
        <v>147.710599999999</v>
      </c>
      <c r="AD796">
        <v>-1.1206448348839999</v>
      </c>
      <c r="AE796">
        <v>-4.6649000000000402</v>
      </c>
      <c r="AF796">
        <v>5.9849847466339501</v>
      </c>
      <c r="AG796">
        <v>-1.1206448348839999</v>
      </c>
      <c r="AH796">
        <v>147.65449918266299</v>
      </c>
      <c r="AI796">
        <v>90.434489354467601</v>
      </c>
      <c r="AJ796">
        <v>87.678860091848605</v>
      </c>
      <c r="AK796">
        <v>147.779995317859</v>
      </c>
      <c r="AL796">
        <v>81.850337463285499</v>
      </c>
      <c r="AM796">
        <v>87.602351199754906</v>
      </c>
      <c r="AN796">
        <v>0.99999995457542301</v>
      </c>
    </row>
    <row r="797" spans="1:40" x14ac:dyDescent="0.25">
      <c r="A797" t="str">
        <f>"20190303170240701"</f>
        <v>20190303170240701</v>
      </c>
      <c r="B797" t="str">
        <f>"1551603760686375"</f>
        <v>1551603760686375</v>
      </c>
      <c r="C797" t="s">
        <v>40</v>
      </c>
      <c r="D797">
        <v>3.9766729999999999</v>
      </c>
      <c r="E797">
        <v>0.50165950000000004</v>
      </c>
      <c r="F797" t="s">
        <v>52</v>
      </c>
      <c r="G797">
        <v>-182.56960000000001</v>
      </c>
      <c r="H797" s="1">
        <v>-7.0416840000000003E-6</v>
      </c>
      <c r="I797">
        <v>363.1585</v>
      </c>
      <c r="J797">
        <v>-333.09100000000001</v>
      </c>
      <c r="K797">
        <v>1.1206400000000001</v>
      </c>
      <c r="L797">
        <v>367.81389999999999</v>
      </c>
      <c r="M797">
        <v>0.99992630000000005</v>
      </c>
      <c r="N797">
        <v>-8.2404069999999999E-3</v>
      </c>
      <c r="O797">
        <v>8.9185649999999998E-3</v>
      </c>
      <c r="P797">
        <v>0.99048689999999995</v>
      </c>
      <c r="Q797">
        <v>0.13378229999999999</v>
      </c>
      <c r="R797">
        <v>-3.2223450000000001E-2</v>
      </c>
      <c r="S797">
        <v>3.028778</v>
      </c>
      <c r="T797">
        <v>-2.252328E-2</v>
      </c>
      <c r="U797">
        <v>-9.3536380000000002E-2</v>
      </c>
      <c r="V797">
        <v>4.1072339999999999E-2</v>
      </c>
      <c r="W797">
        <v>0.14193210000000001</v>
      </c>
      <c r="X797">
        <v>0.98902389999999996</v>
      </c>
      <c r="Y797">
        <v>3.9778899999999999E-2</v>
      </c>
      <c r="Z797">
        <v>-3.0464540000000001E-4</v>
      </c>
      <c r="AA797">
        <v>0.99920850000000005</v>
      </c>
      <c r="AB797">
        <v>36</v>
      </c>
      <c r="AC797">
        <v>150.5214</v>
      </c>
      <c r="AD797">
        <v>-1.12064704168399</v>
      </c>
      <c r="AE797">
        <v>-4.6553999999999798</v>
      </c>
      <c r="AF797">
        <v>5.9973631600367199</v>
      </c>
      <c r="AG797">
        <v>-1.12064704168399</v>
      </c>
      <c r="AH797">
        <v>150.46556001717099</v>
      </c>
      <c r="AI797">
        <v>90.426384733464403</v>
      </c>
      <c r="AJ797">
        <v>87.717472377208296</v>
      </c>
      <c r="AK797">
        <v>150.589206007424</v>
      </c>
      <c r="AL797">
        <v>81.840335718822899</v>
      </c>
      <c r="AM797">
        <v>87.621978268791295</v>
      </c>
      <c r="AN797">
        <v>0.99999996644734701</v>
      </c>
    </row>
    <row r="798" spans="1:40" x14ac:dyDescent="0.25">
      <c r="A798" t="str">
        <f>"20190303170240712"</f>
        <v>20190303170240712</v>
      </c>
      <c r="B798" t="str">
        <f>"1551603760706871"</f>
        <v>1551603760706871</v>
      </c>
      <c r="C798" t="s">
        <v>40</v>
      </c>
      <c r="D798">
        <v>3.99681</v>
      </c>
      <c r="E798">
        <v>0.50175630000000004</v>
      </c>
      <c r="F798" t="s">
        <v>52</v>
      </c>
      <c r="G798">
        <v>-180.76050000000001</v>
      </c>
      <c r="H798" s="1">
        <v>-7.2067129999999997E-6</v>
      </c>
      <c r="I798">
        <v>363.17399999999998</v>
      </c>
      <c r="J798">
        <v>-332.88010000000003</v>
      </c>
      <c r="K798">
        <v>1.120641</v>
      </c>
      <c r="L798">
        <v>367.81580000000002</v>
      </c>
      <c r="M798">
        <v>0.99992590000000003</v>
      </c>
      <c r="N798">
        <v>-8.3329709999999998E-3</v>
      </c>
      <c r="O798">
        <v>8.8919810000000002E-3</v>
      </c>
      <c r="P798">
        <v>0.9904811</v>
      </c>
      <c r="Q798">
        <v>0.133821</v>
      </c>
      <c r="R798">
        <v>-3.2243859999999999E-2</v>
      </c>
      <c r="S798">
        <v>3.028778</v>
      </c>
      <c r="T798">
        <v>-2.2281769999999999E-2</v>
      </c>
      <c r="U798">
        <v>-9.2254639999999999E-2</v>
      </c>
      <c r="V798">
        <v>4.1067149999999997E-2</v>
      </c>
      <c r="W798">
        <v>0.142062299999999</v>
      </c>
      <c r="X798">
        <v>0.98900540000000003</v>
      </c>
      <c r="Y798">
        <v>3.9329929999999999E-2</v>
      </c>
      <c r="Z798">
        <v>-2.998686E-4</v>
      </c>
      <c r="AA798">
        <v>0.99922619999999895</v>
      </c>
      <c r="AB798">
        <v>36</v>
      </c>
      <c r="AC798">
        <v>152.11959999999999</v>
      </c>
      <c r="AD798">
        <v>-1.1206482067129999</v>
      </c>
      <c r="AE798">
        <v>-4.6417999999999804</v>
      </c>
      <c r="AF798">
        <v>5.99398282678239</v>
      </c>
      <c r="AG798">
        <v>-1.1206482067129999</v>
      </c>
      <c r="AH798">
        <v>152.06406439632599</v>
      </c>
      <c r="AI798">
        <v>90.421910526222902</v>
      </c>
      <c r="AJ798">
        <v>87.742713120734606</v>
      </c>
      <c r="AK798">
        <v>152.186278498625</v>
      </c>
      <c r="AL798">
        <v>81.832799263457105</v>
      </c>
      <c r="AM798">
        <v>87.622233990646805</v>
      </c>
      <c r="AN798">
        <v>0.99999994455978403</v>
      </c>
    </row>
    <row r="799" spans="1:40" x14ac:dyDescent="0.25">
      <c r="A799" t="str">
        <f>"20190303170240723"</f>
        <v>20190303170240723</v>
      </c>
      <c r="B799" t="str">
        <f>"1551603760716632"</f>
        <v>1551603760716632</v>
      </c>
      <c r="C799" t="s">
        <v>40</v>
      </c>
      <c r="D799">
        <v>4.0147149999999998</v>
      </c>
      <c r="E799">
        <v>0.50178459999999903</v>
      </c>
      <c r="F799" t="s">
        <v>52</v>
      </c>
      <c r="G799">
        <v>-191.94399999999999</v>
      </c>
      <c r="H799" s="1">
        <v>-6.9240439999999996E-6</v>
      </c>
      <c r="I799">
        <v>363.49360000000001</v>
      </c>
      <c r="J799">
        <v>-332.70870000000002</v>
      </c>
      <c r="K799">
        <v>1.1206449999999999</v>
      </c>
      <c r="L799">
        <v>367.81729999999999</v>
      </c>
      <c r="M799">
        <v>0.99992550000000002</v>
      </c>
      <c r="N799">
        <v>-8.40521199999999E-3</v>
      </c>
      <c r="O799">
        <v>8.8696639999999993E-3</v>
      </c>
      <c r="P799">
        <v>0.99048029999999998</v>
      </c>
      <c r="Q799">
        <v>0.13391839999999999</v>
      </c>
      <c r="R799">
        <v>-3.1859239999999997E-2</v>
      </c>
      <c r="S799">
        <v>3.029083</v>
      </c>
      <c r="T799">
        <v>-2.4085639999999998E-2</v>
      </c>
      <c r="U799">
        <v>-9.2895510000000001E-2</v>
      </c>
      <c r="V799">
        <v>4.0661120000000002E-2</v>
      </c>
      <c r="W799">
        <v>0.14223129999999901</v>
      </c>
      <c r="X799">
        <v>0.98899789999999999</v>
      </c>
      <c r="Y799">
        <v>3.951549E-2</v>
      </c>
      <c r="Z799">
        <v>-3.1915619999999998E-4</v>
      </c>
      <c r="AA799">
        <v>0.99921890000000002</v>
      </c>
      <c r="AB799">
        <v>36</v>
      </c>
      <c r="AC799">
        <v>140.7647</v>
      </c>
      <c r="AD799">
        <v>-1.120651924044</v>
      </c>
      <c r="AE799">
        <v>-4.3236999999999703</v>
      </c>
      <c r="AF799">
        <v>5.5717565985215396</v>
      </c>
      <c r="AG799">
        <v>-1.120651924044</v>
      </c>
      <c r="AH799">
        <v>140.71190139168101</v>
      </c>
      <c r="AI799">
        <v>90.455945750769999</v>
      </c>
      <c r="AJ799">
        <v>87.732448747588194</v>
      </c>
      <c r="AK799">
        <v>140.82662931984899</v>
      </c>
      <c r="AL799">
        <v>81.823017051376198</v>
      </c>
      <c r="AM799">
        <v>87.645698492554104</v>
      </c>
      <c r="AN799">
        <v>0.999999957791876</v>
      </c>
    </row>
    <row r="800" spans="1:40" x14ac:dyDescent="0.25">
      <c r="A800" t="str">
        <f>"20190303170240735"</f>
        <v>20190303170240735</v>
      </c>
      <c r="B800" t="str">
        <f>"1551603760726391"</f>
        <v>1551603760726391</v>
      </c>
      <c r="C800" t="s">
        <v>40</v>
      </c>
      <c r="D800">
        <v>3.9999189999999998</v>
      </c>
      <c r="E800">
        <v>0.50182929999999903</v>
      </c>
      <c r="F800" t="s">
        <v>52</v>
      </c>
      <c r="G800">
        <v>-194.3434</v>
      </c>
      <c r="H800" s="1">
        <v>-7.7473529999999995E-6</v>
      </c>
      <c r="I800">
        <v>363.61450000000002</v>
      </c>
      <c r="J800">
        <v>-332.52690000000001</v>
      </c>
      <c r="K800">
        <v>1.1206449999999999</v>
      </c>
      <c r="L800">
        <v>367.81880000000001</v>
      </c>
      <c r="M800">
        <v>0.99992499999999995</v>
      </c>
      <c r="N800">
        <v>-8.4810459999999904E-3</v>
      </c>
      <c r="O800">
        <v>8.845838E-3</v>
      </c>
      <c r="P800">
        <v>0.99043340000000002</v>
      </c>
      <c r="Q800">
        <v>0.13425139999999999</v>
      </c>
      <c r="R800">
        <v>-3.1913869999999997E-2</v>
      </c>
      <c r="S800">
        <v>3.029175</v>
      </c>
      <c r="T800">
        <v>-2.4533989999999999E-2</v>
      </c>
      <c r="U800">
        <v>-9.2010499999999995E-2</v>
      </c>
      <c r="V800">
        <v>4.0692279999999997E-2</v>
      </c>
      <c r="W800">
        <v>0.1426386</v>
      </c>
      <c r="X800">
        <v>0.98893799999999998</v>
      </c>
      <c r="Y800">
        <v>3.9199030000000003E-2</v>
      </c>
      <c r="Z800">
        <v>-3.2159730000000001E-4</v>
      </c>
      <c r="AA800">
        <v>0.99923139999999999</v>
      </c>
      <c r="AB800">
        <v>36</v>
      </c>
      <c r="AC800">
        <v>138.18350000000001</v>
      </c>
      <c r="AD800">
        <v>-1.1206527473529999</v>
      </c>
      <c r="AE800">
        <v>-4.2042999999999804</v>
      </c>
      <c r="AF800">
        <v>5.4261716500131101</v>
      </c>
      <c r="AG800">
        <v>-1.1206527473529999</v>
      </c>
      <c r="AH800">
        <v>138.13182469781799</v>
      </c>
      <c r="AI800">
        <v>90.464467792850499</v>
      </c>
      <c r="AJ800">
        <v>87.7504317625487</v>
      </c>
      <c r="AK800">
        <v>138.242902876438</v>
      </c>
      <c r="AL800">
        <v>81.799440439714203</v>
      </c>
      <c r="AM800">
        <v>87.643753795220206</v>
      </c>
      <c r="AN800">
        <v>0.99999999985277899</v>
      </c>
    </row>
    <row r="801" spans="1:40" x14ac:dyDescent="0.25">
      <c r="A801" t="str">
        <f>"20190303170240747"</f>
        <v>20190303170240747</v>
      </c>
      <c r="B801" t="str">
        <f>"1551603760736151"</f>
        <v>1551603760736151</v>
      </c>
      <c r="C801" t="s">
        <v>40</v>
      </c>
      <c r="D801">
        <v>4.0199040000000004</v>
      </c>
      <c r="E801">
        <v>0.50187979999999999</v>
      </c>
      <c r="F801" t="s">
        <v>52</v>
      </c>
      <c r="G801">
        <v>-192.6232</v>
      </c>
      <c r="H801" s="1">
        <v>-7.1549879999999998E-6</v>
      </c>
      <c r="I801">
        <v>363.54129999999998</v>
      </c>
      <c r="J801">
        <v>-332.32960000000003</v>
      </c>
      <c r="K801">
        <v>1.1206469999999999</v>
      </c>
      <c r="L801">
        <v>367.82060000000001</v>
      </c>
      <c r="M801">
        <v>0.99992449999999999</v>
      </c>
      <c r="N801">
        <v>-8.5584010000000002E-3</v>
      </c>
      <c r="O801">
        <v>8.8196170000000001E-3</v>
      </c>
      <c r="P801">
        <v>0.99040969999999995</v>
      </c>
      <c r="Q801">
        <v>0.13444999999999999</v>
      </c>
      <c r="R801">
        <v>-3.1815660000000003E-2</v>
      </c>
      <c r="S801">
        <v>3.0292970000000001</v>
      </c>
      <c r="T801">
        <v>-2.4265169999999999E-2</v>
      </c>
      <c r="U801">
        <v>-9.2620850000000005E-2</v>
      </c>
      <c r="V801">
        <v>4.056829E-2</v>
      </c>
      <c r="W801">
        <v>0.14291329999999999</v>
      </c>
      <c r="X801">
        <v>0.98890339999999999</v>
      </c>
      <c r="Y801">
        <v>3.9372770000000001E-2</v>
      </c>
      <c r="Z801">
        <v>-3.213507E-4</v>
      </c>
      <c r="AA801">
        <v>0.99922449999999996</v>
      </c>
      <c r="AB801">
        <v>36</v>
      </c>
      <c r="AC801">
        <v>139.7064</v>
      </c>
      <c r="AD801">
        <v>-1.120654154988</v>
      </c>
      <c r="AE801">
        <v>-4.2793000000000303</v>
      </c>
      <c r="AF801">
        <v>5.5109813274478103</v>
      </c>
      <c r="AG801">
        <v>-1.120654154988</v>
      </c>
      <c r="AH801">
        <v>139.654245209245</v>
      </c>
      <c r="AI801">
        <v>90.459402026316596</v>
      </c>
      <c r="AJ801">
        <v>87.740188827267403</v>
      </c>
      <c r="AK801">
        <v>139.76743177826</v>
      </c>
      <c r="AL801">
        <v>81.783538092833794</v>
      </c>
      <c r="AM801">
        <v>87.650843160479297</v>
      </c>
      <c r="AN801">
        <v>0.99999996600098595</v>
      </c>
    </row>
    <row r="802" spans="1:40" x14ac:dyDescent="0.25">
      <c r="A802" t="str">
        <f>"20190303170240764"</f>
        <v>20190303170240764</v>
      </c>
      <c r="B802" t="str">
        <f>"1551603760756647"</f>
        <v>1551603760756647</v>
      </c>
      <c r="C802" t="s">
        <v>40</v>
      </c>
      <c r="D802">
        <v>4.031218</v>
      </c>
      <c r="E802">
        <v>0.50200029999999995</v>
      </c>
      <c r="F802" t="s">
        <v>52</v>
      </c>
      <c r="G802">
        <v>-192.46180000000001</v>
      </c>
      <c r="H802" s="1">
        <v>-7.0970089999999996E-6</v>
      </c>
      <c r="I802">
        <v>363.54989999999998</v>
      </c>
      <c r="J802">
        <v>-332.06959999999998</v>
      </c>
      <c r="K802">
        <v>1.120654</v>
      </c>
      <c r="L802">
        <v>367.82279999999997</v>
      </c>
      <c r="M802">
        <v>0.99992409999999998</v>
      </c>
      <c r="N802">
        <v>-8.6554010000000001E-3</v>
      </c>
      <c r="O802">
        <v>8.7851359999999903E-3</v>
      </c>
      <c r="P802">
        <v>0.99032279999999995</v>
      </c>
      <c r="Q802">
        <v>0.1349651</v>
      </c>
      <c r="R802">
        <v>-3.2330530000000003E-2</v>
      </c>
      <c r="S802">
        <v>3.029388</v>
      </c>
      <c r="T802">
        <v>-2.4272200000000001E-2</v>
      </c>
      <c r="U802">
        <v>-9.2498780000000003E-2</v>
      </c>
      <c r="V802">
        <v>4.1049170000000003E-2</v>
      </c>
      <c r="W802">
        <v>0.14352300000000001</v>
      </c>
      <c r="X802">
        <v>0.98879530000000004</v>
      </c>
      <c r="Y802">
        <v>3.9297159999999998E-2</v>
      </c>
      <c r="Z802">
        <v>-3.2185679999999998E-4</v>
      </c>
      <c r="AA802">
        <v>0.99922750000000005</v>
      </c>
      <c r="AB802">
        <v>36</v>
      </c>
      <c r="AC802">
        <v>139.607799999999</v>
      </c>
      <c r="AD802">
        <v>-1.1206610970090001</v>
      </c>
      <c r="AE802">
        <v>-4.2728999999999902</v>
      </c>
      <c r="AF802">
        <v>5.4989003694590401</v>
      </c>
      <c r="AG802">
        <v>-1.1206610970090001</v>
      </c>
      <c r="AH802">
        <v>139.55588869665101</v>
      </c>
      <c r="AI802">
        <v>90.459729701944696</v>
      </c>
      <c r="AJ802">
        <v>87.7435500331013</v>
      </c>
      <c r="AK802">
        <v>139.668678867095</v>
      </c>
      <c r="AL802">
        <v>81.748241393530193</v>
      </c>
      <c r="AM802">
        <v>87.622769399619699</v>
      </c>
      <c r="AN802">
        <v>1.00000001559438</v>
      </c>
    </row>
    <row r="803" spans="1:40" x14ac:dyDescent="0.25">
      <c r="A803" t="str">
        <f>"20190303170240777"</f>
        <v>20190303170240777</v>
      </c>
      <c r="B803" t="str">
        <f>"1551603760766407"</f>
        <v>1551603760766407</v>
      </c>
      <c r="C803" t="s">
        <v>40</v>
      </c>
      <c r="D803">
        <v>4.0838650000000003</v>
      </c>
      <c r="E803">
        <v>0.50204899999999997</v>
      </c>
      <c r="F803" t="s">
        <v>52</v>
      </c>
      <c r="G803">
        <v>-190.929</v>
      </c>
      <c r="H803" s="1">
        <v>-6.5822110000000004E-6</v>
      </c>
      <c r="I803">
        <v>363.40120000000002</v>
      </c>
      <c r="J803">
        <v>-331.86410000000001</v>
      </c>
      <c r="K803">
        <v>1.120655</v>
      </c>
      <c r="L803">
        <v>367.82459999999998</v>
      </c>
      <c r="M803">
        <v>0.99992360000000002</v>
      </c>
      <c r="N803">
        <v>-8.7279490000000005E-3</v>
      </c>
      <c r="O803">
        <v>8.7579169999999901E-3</v>
      </c>
      <c r="P803">
        <v>0.99030229999999997</v>
      </c>
      <c r="Q803">
        <v>0.13504630000000001</v>
      </c>
      <c r="R803">
        <v>-3.262164E-2</v>
      </c>
      <c r="S803">
        <v>3.029541</v>
      </c>
      <c r="T803">
        <v>-2.405465E-2</v>
      </c>
      <c r="U803">
        <v>-9.4909670000000002E-2</v>
      </c>
      <c r="V803">
        <v>4.1313660000000002E-2</v>
      </c>
      <c r="W803">
        <v>0.1436759</v>
      </c>
      <c r="X803">
        <v>0.98876209999999998</v>
      </c>
      <c r="Y803">
        <v>4.0062809999999997E-2</v>
      </c>
      <c r="Z803">
        <v>-3.269956E-4</v>
      </c>
      <c r="AA803">
        <v>0.99919709999999995</v>
      </c>
      <c r="AB803">
        <v>36</v>
      </c>
      <c r="AC803">
        <v>140.93510000000001</v>
      </c>
      <c r="AD803">
        <v>-1.120661582211</v>
      </c>
      <c r="AE803">
        <v>-4.4233999999999503</v>
      </c>
      <c r="AF803">
        <v>5.6572178720710298</v>
      </c>
      <c r="AG803">
        <v>-1.120661582211</v>
      </c>
      <c r="AH803">
        <v>140.88205435299801</v>
      </c>
      <c r="AI803">
        <v>90.455388890670207</v>
      </c>
      <c r="AJ803">
        <v>87.700483163646595</v>
      </c>
      <c r="AK803">
        <v>141.000046933166</v>
      </c>
      <c r="AL803">
        <v>81.739389297563605</v>
      </c>
      <c r="AM803">
        <v>87.607389813296393</v>
      </c>
      <c r="AN803">
        <v>1.0000000365699</v>
      </c>
    </row>
    <row r="804" spans="1:40" x14ac:dyDescent="0.25">
      <c r="A804" t="str">
        <f>"20190303170240790"</f>
        <v>20190303170240790</v>
      </c>
      <c r="B804" t="str">
        <f>"1551603760777144"</f>
        <v>1551603760777144</v>
      </c>
      <c r="C804" t="s">
        <v>40</v>
      </c>
      <c r="D804">
        <v>4.037013</v>
      </c>
      <c r="E804">
        <v>0.50204420000000005</v>
      </c>
      <c r="F804" t="s">
        <v>52</v>
      </c>
      <c r="G804">
        <v>-193.17699999999999</v>
      </c>
      <c r="H804" s="1">
        <v>-7.3688030000000004E-6</v>
      </c>
      <c r="I804">
        <v>363.41699999999997</v>
      </c>
      <c r="J804">
        <v>-331.64089999999999</v>
      </c>
      <c r="K804">
        <v>1.120657</v>
      </c>
      <c r="L804">
        <v>367.82659999999998</v>
      </c>
      <c r="M804">
        <v>0.99992320000000001</v>
      </c>
      <c r="N804">
        <v>-8.8002689999999995E-3</v>
      </c>
      <c r="O804">
        <v>8.7277190000000001E-3</v>
      </c>
      <c r="P804">
        <v>0.99032319999999996</v>
      </c>
      <c r="Q804">
        <v>0.13480780000000001</v>
      </c>
      <c r="R804">
        <v>-3.297332E-2</v>
      </c>
      <c r="S804">
        <v>3.029541</v>
      </c>
      <c r="T804">
        <v>-2.448022E-2</v>
      </c>
      <c r="U804">
        <v>-9.6282960000000001E-2</v>
      </c>
      <c r="V804">
        <v>4.1635690000000003E-2</v>
      </c>
      <c r="W804">
        <v>0.14350879999999999</v>
      </c>
      <c r="X804">
        <v>0.98877280000000001</v>
      </c>
      <c r="Y804">
        <v>4.0485010000000002E-2</v>
      </c>
      <c r="Z804">
        <v>-3.3544039999999997E-4</v>
      </c>
      <c r="AA804">
        <v>0.99918010000000002</v>
      </c>
      <c r="AB804">
        <v>36</v>
      </c>
      <c r="AC804">
        <v>138.463899999999</v>
      </c>
      <c r="AD804">
        <v>-1.120664368803</v>
      </c>
      <c r="AE804">
        <v>-4.40960000000001</v>
      </c>
      <c r="AF804">
        <v>5.6175852214984401</v>
      </c>
      <c r="AG804">
        <v>-1.120664368803</v>
      </c>
      <c r="AH804">
        <v>138.41108113487701</v>
      </c>
      <c r="AI804">
        <v>90.463511443875106</v>
      </c>
      <c r="AJ804">
        <v>87.675855381447207</v>
      </c>
      <c r="AK804">
        <v>138.529565556504</v>
      </c>
      <c r="AL804">
        <v>81.749063193288904</v>
      </c>
      <c r="AM804">
        <v>87.588787984535202</v>
      </c>
      <c r="AN804">
        <v>0.99999997818952702</v>
      </c>
    </row>
    <row r="805" spans="1:40" x14ac:dyDescent="0.25">
      <c r="A805" t="str">
        <f>"20190303170240803"</f>
        <v>20190303170240803</v>
      </c>
      <c r="B805" t="str">
        <f>"1551603760796663"</f>
        <v>1551603760796663</v>
      </c>
      <c r="C805" t="s">
        <v>40</v>
      </c>
      <c r="D805">
        <v>4.0341170000000002</v>
      </c>
      <c r="E805">
        <v>0.50205500000000003</v>
      </c>
      <c r="F805" t="s">
        <v>52</v>
      </c>
      <c r="G805">
        <v>-198.1591</v>
      </c>
      <c r="H805" s="1">
        <v>-9.123592E-6</v>
      </c>
      <c r="I805">
        <v>363.548</v>
      </c>
      <c r="J805">
        <v>-331.4461</v>
      </c>
      <c r="K805">
        <v>1.1206590000000001</v>
      </c>
      <c r="L805">
        <v>367.82819999999998</v>
      </c>
      <c r="M805">
        <v>0.99992289999999995</v>
      </c>
      <c r="N805">
        <v>-8.8608530000000001E-3</v>
      </c>
      <c r="O805">
        <v>8.7013890000000003E-3</v>
      </c>
      <c r="P805">
        <v>0.99033740000000003</v>
      </c>
      <c r="Q805">
        <v>0.13463359999999999</v>
      </c>
      <c r="R805">
        <v>-3.3252440000000001E-2</v>
      </c>
      <c r="S805">
        <v>3.029541</v>
      </c>
      <c r="T805">
        <v>-2.5434970000000001E-2</v>
      </c>
      <c r="U805">
        <v>-9.7106929999999994E-2</v>
      </c>
      <c r="V805">
        <v>4.188948E-2</v>
      </c>
      <c r="W805">
        <v>0.14339470000000001</v>
      </c>
      <c r="X805">
        <v>0.98877870000000001</v>
      </c>
      <c r="Y805">
        <v>4.0730000000000002E-2</v>
      </c>
      <c r="Z805">
        <v>-3.4739230000000002E-4</v>
      </c>
      <c r="AA805">
        <v>0.99917009999999995</v>
      </c>
      <c r="AB805">
        <v>36</v>
      </c>
      <c r="AC805">
        <v>133.28700000000001</v>
      </c>
      <c r="AD805">
        <v>-1.120668123592</v>
      </c>
      <c r="AE805">
        <v>-4.2801999999999696</v>
      </c>
      <c r="AF805">
        <v>5.4394813574919496</v>
      </c>
      <c r="AG805">
        <v>-1.120668123592</v>
      </c>
      <c r="AH805">
        <v>133.235299360065</v>
      </c>
      <c r="AI805">
        <v>90.481513525804402</v>
      </c>
      <c r="AJ805">
        <v>87.662133504446501</v>
      </c>
      <c r="AK805">
        <v>133.35099868410401</v>
      </c>
      <c r="AL805">
        <v>81.755669501735895</v>
      </c>
      <c r="AM805">
        <v>87.574122425482599</v>
      </c>
      <c r="AN805">
        <v>1.0000000430482201</v>
      </c>
    </row>
    <row r="806" spans="1:40" x14ac:dyDescent="0.25">
      <c r="A806" t="str">
        <f>"20190303170240820"</f>
        <v>20190303170240820</v>
      </c>
      <c r="B806" t="str">
        <f>"1551603760806424"</f>
        <v>1551603760806424</v>
      </c>
      <c r="C806" t="s">
        <v>40</v>
      </c>
      <c r="D806">
        <v>4.0664480000000003</v>
      </c>
      <c r="E806">
        <v>0.50205040000000001</v>
      </c>
      <c r="F806" t="s">
        <v>52</v>
      </c>
      <c r="G806">
        <v>-202.40459999999999</v>
      </c>
      <c r="H806" s="1">
        <v>-2.9719700000000001E-6</v>
      </c>
      <c r="I806">
        <v>363.64909999999998</v>
      </c>
      <c r="J806">
        <v>-331.17450000000002</v>
      </c>
      <c r="K806">
        <v>1.1206609999999999</v>
      </c>
      <c r="L806">
        <v>367.8306</v>
      </c>
      <c r="M806">
        <v>0.99992250000000005</v>
      </c>
      <c r="N806">
        <v>-8.9419349999999998E-3</v>
      </c>
      <c r="O806">
        <v>8.6649440000000008E-3</v>
      </c>
      <c r="P806">
        <v>0.99035240000000002</v>
      </c>
      <c r="Q806">
        <v>0.13433809999999999</v>
      </c>
      <c r="R806">
        <v>-3.3990569999999998E-2</v>
      </c>
      <c r="S806">
        <v>3.029541</v>
      </c>
      <c r="T806">
        <v>-2.6310090000000001E-2</v>
      </c>
      <c r="U806">
        <v>-9.8114010000000001E-2</v>
      </c>
      <c r="V806">
        <v>4.2591959999999998E-2</v>
      </c>
      <c r="W806">
        <v>0.143179</v>
      </c>
      <c r="X806">
        <v>0.98877990000000004</v>
      </c>
      <c r="Y806">
        <v>4.1025199999999998E-2</v>
      </c>
      <c r="Z806">
        <v>-3.5934399999999999E-4</v>
      </c>
      <c r="AA806">
        <v>0.99915799999999999</v>
      </c>
      <c r="AB806">
        <v>36</v>
      </c>
      <c r="AC806">
        <v>128.76990000000001</v>
      </c>
      <c r="AD806">
        <v>-1.12066397197</v>
      </c>
      <c r="AE806">
        <v>-4.1815000000000202</v>
      </c>
      <c r="AF806">
        <v>5.2967708142234997</v>
      </c>
      <c r="AG806">
        <v>-1.12066397197</v>
      </c>
      <c r="AH806">
        <v>128.719092665994</v>
      </c>
      <c r="AI806">
        <v>90.498398506192899</v>
      </c>
      <c r="AJ806">
        <v>87.643616937077496</v>
      </c>
      <c r="AK806">
        <v>128.83290140935699</v>
      </c>
      <c r="AL806">
        <v>81.768156666392002</v>
      </c>
      <c r="AM806">
        <v>87.533493657654304</v>
      </c>
      <c r="AN806">
        <v>0.999999995870825</v>
      </c>
    </row>
    <row r="807" spans="1:40" x14ac:dyDescent="0.25">
      <c r="A807" t="str">
        <f>"20190303170240833"</f>
        <v>20190303170240833</v>
      </c>
      <c r="B807" t="str">
        <f>"1551603760826921"</f>
        <v>1551603760826921</v>
      </c>
      <c r="C807" t="s">
        <v>40</v>
      </c>
      <c r="D807">
        <v>4.0563339999999997</v>
      </c>
      <c r="E807">
        <v>0.50205230000000001</v>
      </c>
      <c r="F807" t="s">
        <v>52</v>
      </c>
      <c r="G807">
        <v>-208.59469999999999</v>
      </c>
      <c r="H807" s="1">
        <v>-5.7261500000000002E-6</v>
      </c>
      <c r="I807">
        <v>363.78050000000002</v>
      </c>
      <c r="J807">
        <v>-330.95679999999999</v>
      </c>
      <c r="K807">
        <v>1.120663</v>
      </c>
      <c r="L807">
        <v>367.83240000000001</v>
      </c>
      <c r="M807">
        <v>0.99992219999999998</v>
      </c>
      <c r="N807">
        <v>-9.004036E-3</v>
      </c>
      <c r="O807">
        <v>8.6354399999999994E-3</v>
      </c>
      <c r="P807">
        <v>0.99034860000000002</v>
      </c>
      <c r="Q807">
        <v>0.13430259999999999</v>
      </c>
      <c r="R807">
        <v>-3.4243429999999998E-2</v>
      </c>
      <c r="S807">
        <v>3.029541</v>
      </c>
      <c r="T807">
        <v>-2.7697090000000001E-2</v>
      </c>
      <c r="U807">
        <v>-0.1000977</v>
      </c>
      <c r="V807">
        <v>4.281604E-2</v>
      </c>
      <c r="W807">
        <v>0.1432049</v>
      </c>
      <c r="X807">
        <v>0.98876649999999999</v>
      </c>
      <c r="Y807">
        <v>4.1648919999999999E-2</v>
      </c>
      <c r="Z807">
        <v>-3.7909009999999998E-4</v>
      </c>
      <c r="AA807">
        <v>0.99913220000000003</v>
      </c>
      <c r="AB807">
        <v>36</v>
      </c>
      <c r="AC807">
        <v>122.3621</v>
      </c>
      <c r="AD807">
        <v>-1.1206687261499999</v>
      </c>
      <c r="AE807">
        <v>-4.0518999999999803</v>
      </c>
      <c r="AF807">
        <v>5.10801429703245</v>
      </c>
      <c r="AG807">
        <v>-1.1206687261499999</v>
      </c>
      <c r="AH807">
        <v>122.312297496319</v>
      </c>
      <c r="AI807">
        <v>90.524492448295106</v>
      </c>
      <c r="AJ807">
        <v>87.608599458847493</v>
      </c>
      <c r="AK807">
        <v>122.42404105109701</v>
      </c>
      <c r="AL807">
        <v>81.766657488138506</v>
      </c>
      <c r="AM807">
        <v>87.520499745708406</v>
      </c>
      <c r="AN807">
        <v>1.0000000240937701</v>
      </c>
    </row>
    <row r="808" spans="1:40" x14ac:dyDescent="0.25">
      <c r="A808" t="str">
        <f>"20190303170240844"</f>
        <v>20190303170240844</v>
      </c>
      <c r="B808" t="str">
        <f>"1551603760836680"</f>
        <v>1551603760836680</v>
      </c>
      <c r="C808" t="s">
        <v>40</v>
      </c>
      <c r="D808">
        <v>4.2016229999999997</v>
      </c>
      <c r="E808">
        <v>0.50208249999999999</v>
      </c>
      <c r="F808" t="s">
        <v>42</v>
      </c>
      <c r="G808">
        <v>-210.74799999999999</v>
      </c>
      <c r="H808" s="1">
        <v>-4.9759939999999997E-6</v>
      </c>
      <c r="I808">
        <v>363.84010000000001</v>
      </c>
      <c r="J808">
        <v>-330.78039999999999</v>
      </c>
      <c r="K808">
        <v>1.1206640000000001</v>
      </c>
      <c r="L808">
        <v>367.83390000000003</v>
      </c>
      <c r="M808">
        <v>0.99992210000000004</v>
      </c>
      <c r="N808">
        <v>-9.0507000000000001E-3</v>
      </c>
      <c r="O808">
        <v>8.6100599999999992E-3</v>
      </c>
      <c r="P808">
        <v>0.99030300000000004</v>
      </c>
      <c r="Q808">
        <v>0.13454079999999999</v>
      </c>
      <c r="R808">
        <v>-3.462581E-2</v>
      </c>
      <c r="S808">
        <v>3.0296020000000001</v>
      </c>
      <c r="T808">
        <v>-2.8244020000000002E-2</v>
      </c>
      <c r="U808">
        <v>-0.1006165</v>
      </c>
      <c r="V808">
        <v>4.3173019999999999E-2</v>
      </c>
      <c r="W808">
        <v>0.14348859999999999</v>
      </c>
      <c r="X808">
        <v>0.98870979999999997</v>
      </c>
      <c r="Y808">
        <v>4.1793669999999998E-2</v>
      </c>
      <c r="Z808">
        <v>-3.8629369999999998E-4</v>
      </c>
      <c r="AA808">
        <v>0.99912619999999996</v>
      </c>
      <c r="AB808">
        <v>36</v>
      </c>
      <c r="AC808">
        <v>120.0324</v>
      </c>
      <c r="AD808">
        <v>-1.1206689759939901</v>
      </c>
      <c r="AE808">
        <v>-3.9938000000000198</v>
      </c>
      <c r="AF808">
        <v>5.0267426277000302</v>
      </c>
      <c r="AG808">
        <v>-1.1206689759939901</v>
      </c>
      <c r="AH808">
        <v>119.983114965686</v>
      </c>
      <c r="AI808">
        <v>90.534670759793499</v>
      </c>
      <c r="AJ808">
        <v>87.600972383660405</v>
      </c>
      <c r="AK808">
        <v>120.093596487356</v>
      </c>
      <c r="AL808">
        <v>81.7502326724955</v>
      </c>
      <c r="AM808">
        <v>87.499709767576306</v>
      </c>
      <c r="AN808">
        <v>0.99999997830095899</v>
      </c>
    </row>
    <row r="809" spans="1:40" x14ac:dyDescent="0.25">
      <c r="A809" t="str">
        <f>"20190303170240856"</f>
        <v>20190303170240856</v>
      </c>
      <c r="B809" t="str">
        <f>"1551603760846440"</f>
        <v>1551603760846440</v>
      </c>
      <c r="C809" t="s">
        <v>40</v>
      </c>
      <c r="D809">
        <v>4.0796039999999998</v>
      </c>
      <c r="E809">
        <v>0.50210889999999997</v>
      </c>
      <c r="F809" t="s">
        <v>52</v>
      </c>
      <c r="G809">
        <v>-209.0633</v>
      </c>
      <c r="H809" s="1">
        <v>-5.8883750000000002E-6</v>
      </c>
      <c r="I809">
        <v>363.74619999999999</v>
      </c>
      <c r="J809">
        <v>-330.59789999999998</v>
      </c>
      <c r="K809">
        <v>1.1206659999999999</v>
      </c>
      <c r="L809">
        <v>367.83539999999999</v>
      </c>
      <c r="M809">
        <v>0.99992170000000002</v>
      </c>
      <c r="N809">
        <v>-9.0981819999999998E-3</v>
      </c>
      <c r="O809">
        <v>8.5834229999999997E-3</v>
      </c>
      <c r="P809">
        <v>0.99028039999999995</v>
      </c>
      <c r="Q809">
        <v>0.1346242</v>
      </c>
      <c r="R809">
        <v>-3.4941819999999998E-2</v>
      </c>
      <c r="S809">
        <v>3.0295719999999999</v>
      </c>
      <c r="T809">
        <v>-2.789378E-2</v>
      </c>
      <c r="U809">
        <v>-0.10174560000000001</v>
      </c>
      <c r="V809">
        <v>4.3462939999999999E-2</v>
      </c>
      <c r="W809">
        <v>0.14361879999999999</v>
      </c>
      <c r="X809">
        <v>0.98867819999999995</v>
      </c>
      <c r="Y809">
        <v>4.2139379999999997E-2</v>
      </c>
      <c r="Z809">
        <v>-3.8663160000000001E-4</v>
      </c>
      <c r="AA809">
        <v>0.99911170000000005</v>
      </c>
      <c r="AB809">
        <v>36</v>
      </c>
      <c r="AC809">
        <v>121.534599999999</v>
      </c>
      <c r="AD809">
        <v>-1.120671888375</v>
      </c>
      <c r="AE809">
        <v>-4.0891999999999999</v>
      </c>
      <c r="AF809">
        <v>5.1318396301019602</v>
      </c>
      <c r="AG809">
        <v>-1.120671888375</v>
      </c>
      <c r="AH809">
        <v>121.48470391291001</v>
      </c>
      <c r="AI809">
        <v>90.528056110343101</v>
      </c>
      <c r="AJ809">
        <v>87.581110753136997</v>
      </c>
      <c r="AK809">
        <v>121.59821120509</v>
      </c>
      <c r="AL809">
        <v>81.742694743163796</v>
      </c>
      <c r="AM809">
        <v>87.482860731888493</v>
      </c>
      <c r="AN809">
        <v>0.99999998501106102</v>
      </c>
    </row>
    <row r="810" spans="1:40" x14ac:dyDescent="0.25">
      <c r="A810" t="str">
        <f>"20190303170240866"</f>
        <v>20190303170240866</v>
      </c>
      <c r="B810" t="str">
        <f>"1551603760856200"</f>
        <v>1551603760856200</v>
      </c>
      <c r="C810" t="s">
        <v>40</v>
      </c>
      <c r="D810">
        <v>4.0696760000000003</v>
      </c>
      <c r="E810">
        <v>0.5021217</v>
      </c>
      <c r="F810" t="s">
        <v>42</v>
      </c>
      <c r="G810">
        <v>-210.15430000000001</v>
      </c>
      <c r="H810" s="1">
        <v>-5.2472789999999998E-6</v>
      </c>
      <c r="I810">
        <v>363.74669999999998</v>
      </c>
      <c r="J810">
        <v>-330.42009999999999</v>
      </c>
      <c r="K810">
        <v>1.1206640000000001</v>
      </c>
      <c r="L810">
        <v>367.83690000000001</v>
      </c>
      <c r="M810">
        <v>0.99992170000000002</v>
      </c>
      <c r="N810">
        <v>-9.1422110000000008E-3</v>
      </c>
      <c r="O810">
        <v>8.5551800000000008E-3</v>
      </c>
      <c r="P810">
        <v>0.99029160000000005</v>
      </c>
      <c r="Q810">
        <v>0.13447379999999901</v>
      </c>
      <c r="R810">
        <v>-3.5205269999999997E-2</v>
      </c>
      <c r="S810">
        <v>3.0295719999999999</v>
      </c>
      <c r="T810">
        <v>-2.8188709999999999E-2</v>
      </c>
      <c r="U810">
        <v>-0.1028442</v>
      </c>
      <c r="V810">
        <v>4.3699399999999999E-2</v>
      </c>
      <c r="W810">
        <v>0.14351169999999999</v>
      </c>
      <c r="X810">
        <v>0.98868330000000004</v>
      </c>
      <c r="Y810">
        <v>4.247298E-2</v>
      </c>
      <c r="Z810">
        <v>-3.9313999999999999E-4</v>
      </c>
      <c r="AA810">
        <v>0.99909749999999997</v>
      </c>
      <c r="AB810">
        <v>36</v>
      </c>
      <c r="AC810">
        <v>120.265799999999</v>
      </c>
      <c r="AD810">
        <v>-1.1206692472790001</v>
      </c>
      <c r="AE810">
        <v>-4.0902000000000296</v>
      </c>
      <c r="AF810">
        <v>5.1185448469310399</v>
      </c>
      <c r="AG810">
        <v>-1.1206692472790001</v>
      </c>
      <c r="AH810">
        <v>120.21597818900899</v>
      </c>
      <c r="AI810">
        <v>90.533619915836695</v>
      </c>
      <c r="AJ810">
        <v>87.561938168587602</v>
      </c>
      <c r="AK810">
        <v>120.330115984537</v>
      </c>
      <c r="AL810">
        <v>81.748895118628099</v>
      </c>
      <c r="AM810">
        <v>87.469197038574194</v>
      </c>
      <c r="AN810">
        <v>0.99999995664806896</v>
      </c>
    </row>
    <row r="811" spans="1:40" x14ac:dyDescent="0.25">
      <c r="A811" t="str">
        <f>"20190303170240879"</f>
        <v>20190303170240879</v>
      </c>
      <c r="B811" t="str">
        <f>"1551603760866936"</f>
        <v>1551603760866936</v>
      </c>
      <c r="C811" t="s">
        <v>40</v>
      </c>
      <c r="D811">
        <v>4.2552940000000001</v>
      </c>
      <c r="E811">
        <v>0.50213679999999905</v>
      </c>
      <c r="F811" t="s">
        <v>42</v>
      </c>
      <c r="G811">
        <v>-213.648</v>
      </c>
      <c r="H811" s="1">
        <v>-3.7325560000000001E-6</v>
      </c>
      <c r="I811">
        <v>363.83659999999998</v>
      </c>
      <c r="J811">
        <v>-330.23009999999999</v>
      </c>
      <c r="K811">
        <v>1.120665</v>
      </c>
      <c r="L811">
        <v>367.83850000000001</v>
      </c>
      <c r="M811">
        <v>0.99992139999999996</v>
      </c>
      <c r="N811">
        <v>-9.1883980000000004E-3</v>
      </c>
      <c r="O811">
        <v>8.5242410000000001E-3</v>
      </c>
      <c r="P811">
        <v>0.99028579999999999</v>
      </c>
      <c r="Q811">
        <v>0.1345374</v>
      </c>
      <c r="R811">
        <v>-3.5124530000000001E-2</v>
      </c>
      <c r="S811">
        <v>3.0296940000000001</v>
      </c>
      <c r="T811">
        <v>-2.9076100000000001E-2</v>
      </c>
      <c r="U811">
        <v>-0.1037903</v>
      </c>
      <c r="V811">
        <v>4.3588839999999997E-2</v>
      </c>
      <c r="W811">
        <v>0.14362069999999999</v>
      </c>
      <c r="X811">
        <v>0.98867240000000001</v>
      </c>
      <c r="Y811">
        <v>4.2752110000000003E-2</v>
      </c>
      <c r="Z811">
        <v>-4.050476E-4</v>
      </c>
      <c r="AA811">
        <v>0.99908560000000002</v>
      </c>
      <c r="AB811">
        <v>36</v>
      </c>
      <c r="AC811">
        <v>116.5821</v>
      </c>
      <c r="AD811">
        <v>-1.1206687325560001</v>
      </c>
      <c r="AE811">
        <v>-4.0019000000000302</v>
      </c>
      <c r="AF811">
        <v>4.9951094875916997</v>
      </c>
      <c r="AG811">
        <v>-1.1206687325560001</v>
      </c>
      <c r="AH811">
        <v>116.53299393780399</v>
      </c>
      <c r="AI811">
        <v>90.550476787374706</v>
      </c>
      <c r="AJ811">
        <v>87.545556905034303</v>
      </c>
      <c r="AK811">
        <v>116.645384363503</v>
      </c>
      <c r="AL811">
        <v>81.742584894362395</v>
      </c>
      <c r="AM811">
        <v>87.475563911136007</v>
      </c>
      <c r="AN811">
        <v>1.0000000034813901</v>
      </c>
    </row>
    <row r="812" spans="1:40" x14ac:dyDescent="0.25">
      <c r="A812" t="str">
        <f>"20190303170240891"</f>
        <v>20190303170240891</v>
      </c>
      <c r="B812" t="str">
        <f>"1551603760876695"</f>
        <v>1551603760876695</v>
      </c>
      <c r="C812" t="s">
        <v>40</v>
      </c>
      <c r="D812">
        <v>4.1401370000000002</v>
      </c>
      <c r="E812">
        <v>0.50215929999999998</v>
      </c>
      <c r="F812" t="s">
        <v>42</v>
      </c>
      <c r="G812">
        <v>-213.68680000000001</v>
      </c>
      <c r="H812" s="1">
        <v>-3.7157069999999998E-6</v>
      </c>
      <c r="I812">
        <v>363.83789999999999</v>
      </c>
      <c r="J812">
        <v>-330.0301</v>
      </c>
      <c r="K812">
        <v>1.1206670000000001</v>
      </c>
      <c r="L812">
        <v>367.84030000000001</v>
      </c>
      <c r="M812">
        <v>0.99992139999999996</v>
      </c>
      <c r="N812">
        <v>-9.2350060000000005E-3</v>
      </c>
      <c r="O812">
        <v>8.4895370000000001E-3</v>
      </c>
      <c r="P812">
        <v>0.99032010000000004</v>
      </c>
      <c r="Q812">
        <v>0.13429189999999999</v>
      </c>
      <c r="R812">
        <v>-3.509719E-2</v>
      </c>
      <c r="S812">
        <v>3.0297550000000002</v>
      </c>
      <c r="T812">
        <v>-2.9133800000000001E-2</v>
      </c>
      <c r="U812">
        <v>-0.1040039</v>
      </c>
      <c r="V812">
        <v>4.3528280000000003E-2</v>
      </c>
      <c r="W812">
        <v>0.14342160000000001</v>
      </c>
      <c r="X812">
        <v>0.98870400000000003</v>
      </c>
      <c r="Y812">
        <v>4.2787079999999998E-2</v>
      </c>
      <c r="Z812">
        <v>-4.0652700000000001E-4</v>
      </c>
      <c r="AA812">
        <v>0.99908410000000003</v>
      </c>
      <c r="AB812">
        <v>36</v>
      </c>
      <c r="AC812">
        <v>116.3433</v>
      </c>
      <c r="AD812">
        <v>-1.1206707157069999</v>
      </c>
      <c r="AE812">
        <v>-4.0024000000000202</v>
      </c>
      <c r="AF812">
        <v>4.9895361421270996</v>
      </c>
      <c r="AG812">
        <v>-1.1206707157069999</v>
      </c>
      <c r="AH812">
        <v>116.29434953237001</v>
      </c>
      <c r="AI812">
        <v>90.551606366575001</v>
      </c>
      <c r="AJ812">
        <v>87.543267208269</v>
      </c>
      <c r="AK812">
        <v>116.40673136431499</v>
      </c>
      <c r="AL812">
        <v>81.754112065025794</v>
      </c>
      <c r="AM812">
        <v>87.479147167263704</v>
      </c>
      <c r="AN812">
        <v>1.00000003306115</v>
      </c>
    </row>
    <row r="813" spans="1:40" x14ac:dyDescent="0.25">
      <c r="A813" t="str">
        <f>"20190303170240904"</f>
        <v>20190303170240904</v>
      </c>
      <c r="B813" t="str">
        <f>"1551603760896215"</f>
        <v>1551603760896215</v>
      </c>
      <c r="C813" t="s">
        <v>40</v>
      </c>
      <c r="D813">
        <v>4.2528300000000003</v>
      </c>
      <c r="E813">
        <v>0.50216649999999996</v>
      </c>
      <c r="F813" t="s">
        <v>42</v>
      </c>
      <c r="G813">
        <v>-218.15049999999999</v>
      </c>
      <c r="H813" s="1">
        <v>-2.109035E-6</v>
      </c>
      <c r="I813">
        <v>364.00310000000002</v>
      </c>
      <c r="J813">
        <v>-329.82150000000001</v>
      </c>
      <c r="K813">
        <v>1.1206670000000001</v>
      </c>
      <c r="L813">
        <v>367.84199999999998</v>
      </c>
      <c r="M813">
        <v>0.99992139999999996</v>
      </c>
      <c r="N813">
        <v>-9.2828779999999996E-3</v>
      </c>
      <c r="O813">
        <v>8.4505259999999999E-3</v>
      </c>
      <c r="P813">
        <v>0.99033579999999999</v>
      </c>
      <c r="Q813">
        <v>0.13423489999999999</v>
      </c>
      <c r="R813">
        <v>-3.4876440000000002E-2</v>
      </c>
      <c r="S813">
        <v>3.029785</v>
      </c>
      <c r="T813">
        <v>-3.034854E-2</v>
      </c>
      <c r="U813">
        <v>-0.1039124</v>
      </c>
      <c r="V813">
        <v>4.3270360000000001E-2</v>
      </c>
      <c r="W813">
        <v>0.1434117</v>
      </c>
      <c r="X813">
        <v>0.9887167</v>
      </c>
      <c r="Y813">
        <v>4.2717360000000003E-2</v>
      </c>
      <c r="Z813">
        <v>-4.1841829999999998E-4</v>
      </c>
      <c r="AA813">
        <v>0.99908710000000001</v>
      </c>
      <c r="AB813">
        <v>36</v>
      </c>
      <c r="AC813">
        <v>111.67100000000001</v>
      </c>
      <c r="AD813">
        <v>-1.1206691090350001</v>
      </c>
      <c r="AE813">
        <v>-3.8388999999999598</v>
      </c>
      <c r="AF813">
        <v>4.7820010538693198</v>
      </c>
      <c r="AG813">
        <v>-1.1206691090350001</v>
      </c>
      <c r="AH813">
        <v>111.623341826762</v>
      </c>
      <c r="AI813">
        <v>90.574688201855906</v>
      </c>
      <c r="AJ813">
        <v>87.546919488423697</v>
      </c>
      <c r="AK813">
        <v>111.731346872332</v>
      </c>
      <c r="AL813">
        <v>81.754684747024399</v>
      </c>
      <c r="AM813">
        <v>87.494097135118906</v>
      </c>
      <c r="AN813">
        <v>0.99999997630515403</v>
      </c>
    </row>
    <row r="814" spans="1:40" x14ac:dyDescent="0.25">
      <c r="A814" t="str">
        <f>"20190303170240915"</f>
        <v>20190303170240915</v>
      </c>
      <c r="B814" t="str">
        <f>"1551603760906952"</f>
        <v>1551603760906952</v>
      </c>
      <c r="C814" t="s">
        <v>40</v>
      </c>
      <c r="D814">
        <v>4.0866339999999903</v>
      </c>
      <c r="E814">
        <v>0.50217800000000001</v>
      </c>
      <c r="F814" t="s">
        <v>42</v>
      </c>
      <c r="G814">
        <v>-220.81270000000001</v>
      </c>
      <c r="H814" s="1">
        <v>-4.8970760000000003E-6</v>
      </c>
      <c r="I814">
        <v>364.12869999999998</v>
      </c>
      <c r="J814">
        <v>-329.6352</v>
      </c>
      <c r="K814">
        <v>1.120668</v>
      </c>
      <c r="L814">
        <v>367.84350000000001</v>
      </c>
      <c r="M814">
        <v>0.99992130000000001</v>
      </c>
      <c r="N814">
        <v>-9.3252249999999995E-3</v>
      </c>
      <c r="O814">
        <v>8.4141609999999999E-3</v>
      </c>
      <c r="P814">
        <v>0.99033740000000003</v>
      </c>
      <c r="Q814">
        <v>0.13419059999999999</v>
      </c>
      <c r="R814">
        <v>-3.4998000000000001E-2</v>
      </c>
      <c r="S814">
        <v>3.0299070000000001</v>
      </c>
      <c r="T814">
        <v>-3.114915E-2</v>
      </c>
      <c r="U814">
        <v>-0.10321039999999999</v>
      </c>
      <c r="V814">
        <v>4.3357279999999998E-2</v>
      </c>
      <c r="W814">
        <v>0.1434088</v>
      </c>
      <c r="X814">
        <v>0.98871330000000002</v>
      </c>
      <c r="Y814">
        <v>4.2448310000000003E-2</v>
      </c>
      <c r="Z814">
        <v>-4.241556E-4</v>
      </c>
      <c r="AA814">
        <v>0.99909859999999995</v>
      </c>
      <c r="AB814">
        <v>36</v>
      </c>
      <c r="AC814">
        <v>108.82250000000001</v>
      </c>
      <c r="AD814">
        <v>-1.120672897076</v>
      </c>
      <c r="AE814">
        <v>-3.7148000000000199</v>
      </c>
      <c r="AF814">
        <v>4.6298677326566198</v>
      </c>
      <c r="AG814">
        <v>-1.120672897076</v>
      </c>
      <c r="AH814">
        <v>108.775866595666</v>
      </c>
      <c r="AI814">
        <v>90.589739986032299</v>
      </c>
      <c r="AJ814">
        <v>87.562769476904805</v>
      </c>
      <c r="AK814">
        <v>108.880120943183</v>
      </c>
      <c r="AL814">
        <v>81.754852534941193</v>
      </c>
      <c r="AM814">
        <v>87.489061176825899</v>
      </c>
      <c r="AN814">
        <v>0.99999996362166299</v>
      </c>
    </row>
    <row r="815" spans="1:40" x14ac:dyDescent="0.25">
      <c r="A815" t="str">
        <f>"20190303170240930"</f>
        <v>20190303170240930</v>
      </c>
      <c r="B815" t="str">
        <f>"1551603760916711"</f>
        <v>1551603760916711</v>
      </c>
      <c r="C815" t="s">
        <v>40</v>
      </c>
      <c r="D815">
        <v>4.253565</v>
      </c>
      <c r="E815">
        <v>0.50217400000000001</v>
      </c>
      <c r="F815" t="s">
        <v>42</v>
      </c>
      <c r="G815">
        <v>-221.7705</v>
      </c>
      <c r="H815" s="1">
        <v>-4.4828370000000001E-6</v>
      </c>
      <c r="I815">
        <v>364.1474</v>
      </c>
      <c r="J815">
        <v>-329.39690000000002</v>
      </c>
      <c r="K815">
        <v>1.1206719999999999</v>
      </c>
      <c r="L815">
        <v>367.84550000000002</v>
      </c>
      <c r="M815">
        <v>0.99992130000000001</v>
      </c>
      <c r="N815">
        <v>-9.3770869999999992E-3</v>
      </c>
      <c r="O815">
        <v>8.3594810000000002E-3</v>
      </c>
      <c r="P815">
        <v>0.99038510000000002</v>
      </c>
      <c r="Q815">
        <v>0.13395299999999999</v>
      </c>
      <c r="R815">
        <v>-3.4560649999999998E-2</v>
      </c>
      <c r="S815">
        <v>3.0298769999999999</v>
      </c>
      <c r="T815">
        <v>-3.1479239999999999E-2</v>
      </c>
      <c r="U815">
        <v>-0.1038208</v>
      </c>
      <c r="V815">
        <v>4.2868320000000001E-2</v>
      </c>
      <c r="W815">
        <v>0.1432224</v>
      </c>
      <c r="X815">
        <v>0.98876169999999997</v>
      </c>
      <c r="Y815">
        <v>4.2594960000000001E-2</v>
      </c>
      <c r="Z815">
        <v>-4.2944549999999999E-4</v>
      </c>
      <c r="AA815">
        <v>0.99909230000000004</v>
      </c>
      <c r="AB815">
        <v>36</v>
      </c>
      <c r="AC815">
        <v>107.6264</v>
      </c>
      <c r="AD815">
        <v>-1.1206764828369999</v>
      </c>
      <c r="AE815">
        <v>-3.6981000000000099</v>
      </c>
      <c r="AF815">
        <v>4.5972131317711096</v>
      </c>
      <c r="AG815">
        <v>-1.1206764828369999</v>
      </c>
      <c r="AH815">
        <v>107.58007310094099</v>
      </c>
      <c r="AI815">
        <v>90.596292303524905</v>
      </c>
      <c r="AJ815">
        <v>87.553071444324004</v>
      </c>
      <c r="AK815">
        <v>107.684086163007</v>
      </c>
      <c r="AL815">
        <v>81.765644368249596</v>
      </c>
      <c r="AM815">
        <v>87.517463931324997</v>
      </c>
      <c r="AN815">
        <v>1.00000002405413</v>
      </c>
    </row>
    <row r="816" spans="1:40" x14ac:dyDescent="0.25">
      <c r="A816" t="str">
        <f>"20190303170240942"</f>
        <v>20190303170240942</v>
      </c>
      <c r="B816" t="str">
        <f>"1551603760936231"</f>
        <v>1551603760936231</v>
      </c>
      <c r="C816" t="s">
        <v>40</v>
      </c>
      <c r="D816">
        <v>4.100009</v>
      </c>
      <c r="E816">
        <v>0.50215600000000005</v>
      </c>
      <c r="F816" t="s">
        <v>42</v>
      </c>
      <c r="G816">
        <v>-224.7585</v>
      </c>
      <c r="H816" s="1">
        <v>-3.1789830000000001E-6</v>
      </c>
      <c r="I816">
        <v>364.32</v>
      </c>
      <c r="J816">
        <v>-329.21600000000001</v>
      </c>
      <c r="K816">
        <v>1.1206700000000001</v>
      </c>
      <c r="L816">
        <v>367.84699999999998</v>
      </c>
      <c r="M816">
        <v>0.99992119999999995</v>
      </c>
      <c r="N816">
        <v>-9.4148099999999992E-3</v>
      </c>
      <c r="O816">
        <v>8.3135780000000003E-3</v>
      </c>
      <c r="P816">
        <v>0.99036860000000004</v>
      </c>
      <c r="Q816">
        <v>0.1341376</v>
      </c>
      <c r="R816">
        <v>-3.4310710000000001E-2</v>
      </c>
      <c r="S816">
        <v>3.029938</v>
      </c>
      <c r="T816">
        <v>-3.2450560000000003E-2</v>
      </c>
      <c r="U816">
        <v>-0.1020813</v>
      </c>
      <c r="V816">
        <v>4.2574760000000003E-2</v>
      </c>
      <c r="W816">
        <v>0.14344370000000001</v>
      </c>
      <c r="X816">
        <v>0.98874229999999996</v>
      </c>
      <c r="Y816">
        <v>4.1975320000000003E-2</v>
      </c>
      <c r="Z816">
        <v>-4.331378E-4</v>
      </c>
      <c r="AA816">
        <v>0.99911859999999997</v>
      </c>
      <c r="AB816">
        <v>36</v>
      </c>
      <c r="AC816">
        <v>104.4575</v>
      </c>
      <c r="AD816">
        <v>-1.120673178983</v>
      </c>
      <c r="AE816">
        <v>-3.5269999999999802</v>
      </c>
      <c r="AF816">
        <v>4.3948268237422798</v>
      </c>
      <c r="AG816">
        <v>-1.120673178983</v>
      </c>
      <c r="AH816">
        <v>104.412562217385</v>
      </c>
      <c r="AI816">
        <v>90.614395239660595</v>
      </c>
      <c r="AJ816">
        <v>87.589787304091999</v>
      </c>
      <c r="AK816">
        <v>104.511021236921</v>
      </c>
      <c r="AL816">
        <v>81.7528324947302</v>
      </c>
      <c r="AM816">
        <v>87.534394839633705</v>
      </c>
      <c r="AN816">
        <v>1.00000002053401</v>
      </c>
    </row>
    <row r="817" spans="1:40" x14ac:dyDescent="0.25">
      <c r="A817" t="str">
        <f>"20190303170240956"</f>
        <v>20190303170240956</v>
      </c>
      <c r="B817" t="str">
        <f>"1551603760946968"</f>
        <v>1551603760946968</v>
      </c>
      <c r="C817" t="s">
        <v>40</v>
      </c>
      <c r="D817">
        <v>4.1941870000000003</v>
      </c>
      <c r="E817">
        <v>0.50216249999999996</v>
      </c>
      <c r="F817" t="s">
        <v>42</v>
      </c>
      <c r="G817">
        <v>-223.977</v>
      </c>
      <c r="H817" s="1">
        <v>-3.5021680000000001E-6</v>
      </c>
      <c r="I817">
        <v>364.33969999999999</v>
      </c>
      <c r="J817">
        <v>-328.98590000000002</v>
      </c>
      <c r="K817">
        <v>1.1206670000000001</v>
      </c>
      <c r="L817">
        <v>367.84879999999998</v>
      </c>
      <c r="M817">
        <v>0.99992130000000001</v>
      </c>
      <c r="N817">
        <v>-9.4610630000000005E-3</v>
      </c>
      <c r="O817">
        <v>8.2504369999999994E-3</v>
      </c>
      <c r="P817">
        <v>0.99037050000000004</v>
      </c>
      <c r="Q817">
        <v>0.13415460000000001</v>
      </c>
      <c r="R817">
        <v>-3.4192640000000003E-2</v>
      </c>
      <c r="S817">
        <v>3.0300600000000002</v>
      </c>
      <c r="T817">
        <v>-3.2266620000000003E-2</v>
      </c>
      <c r="U817">
        <v>-0.10098269999999999</v>
      </c>
      <c r="V817">
        <v>4.2396839999999998E-2</v>
      </c>
      <c r="W817">
        <v>0.1435051</v>
      </c>
      <c r="X817">
        <v>0.98874099999999998</v>
      </c>
      <c r="Y817">
        <v>4.154911E-2</v>
      </c>
      <c r="Z817">
        <v>-4.2757320000000001E-4</v>
      </c>
      <c r="AA817">
        <v>0.99913640000000004</v>
      </c>
      <c r="AB817">
        <v>36</v>
      </c>
      <c r="AC817">
        <v>105.0089</v>
      </c>
      <c r="AD817">
        <v>-1.1206705021679999</v>
      </c>
      <c r="AE817">
        <v>-3.5090999999999801</v>
      </c>
      <c r="AF817">
        <v>4.3748908446550399</v>
      </c>
      <c r="AG817">
        <v>-1.1206705021679999</v>
      </c>
      <c r="AH817">
        <v>104.964431194318</v>
      </c>
      <c r="AI817">
        <v>90.611174242383299</v>
      </c>
      <c r="AJ817">
        <v>87.613307870865498</v>
      </c>
      <c r="AK817">
        <v>105.061540956831</v>
      </c>
      <c r="AL817">
        <v>81.749277465025898</v>
      </c>
      <c r="AM817">
        <v>87.544682747429505</v>
      </c>
      <c r="AN817">
        <v>0.99999998542449697</v>
      </c>
    </row>
    <row r="818" spans="1:40" x14ac:dyDescent="0.25">
      <c r="A818" t="str">
        <f>"20190303170240969"</f>
        <v>20190303170240969</v>
      </c>
      <c r="B818" t="str">
        <f>"1551603760956728"</f>
        <v>1551603760956728</v>
      </c>
      <c r="C818" t="s">
        <v>40</v>
      </c>
      <c r="D818">
        <v>4.0864089999999997</v>
      </c>
      <c r="E818">
        <v>0.50216899999999998</v>
      </c>
      <c r="F818" t="s">
        <v>42</v>
      </c>
      <c r="G818">
        <v>-225.0121</v>
      </c>
      <c r="H818" s="1">
        <v>-3.072117E-6</v>
      </c>
      <c r="I818">
        <v>364.3974</v>
      </c>
      <c r="J818">
        <v>-328.76549999999997</v>
      </c>
      <c r="K818">
        <v>1.120662</v>
      </c>
      <c r="L818">
        <v>367.85059999999999</v>
      </c>
      <c r="M818">
        <v>0.99992159999999997</v>
      </c>
      <c r="N818">
        <v>-9.5017379999999992E-3</v>
      </c>
      <c r="O818">
        <v>8.1777629999999994E-3</v>
      </c>
      <c r="P818">
        <v>0.99036829999999998</v>
      </c>
      <c r="Q818">
        <v>0.13425109999999901</v>
      </c>
      <c r="R818">
        <v>-3.3876209999999997E-2</v>
      </c>
      <c r="S818">
        <v>3.030151</v>
      </c>
      <c r="T818">
        <v>-3.2660130000000002E-2</v>
      </c>
      <c r="U818">
        <v>-0.10058590000000001</v>
      </c>
      <c r="V818">
        <v>4.2011989999999999E-2</v>
      </c>
      <c r="W818">
        <v>0.14364150000000001</v>
      </c>
      <c r="X818">
        <v>0.98873759999999999</v>
      </c>
      <c r="Y818">
        <v>4.134475E-2</v>
      </c>
      <c r="Z818">
        <v>-4.29677E-4</v>
      </c>
      <c r="AA818">
        <v>0.9991449</v>
      </c>
      <c r="AB818">
        <v>36</v>
      </c>
      <c r="AC818">
        <v>103.753399999999</v>
      </c>
      <c r="AD818">
        <v>-1.1206650721169999</v>
      </c>
      <c r="AE818">
        <v>-3.4531999999999798</v>
      </c>
      <c r="AF818">
        <v>4.3010921454666198</v>
      </c>
      <c r="AG818">
        <v>-1.1206650721169999</v>
      </c>
      <c r="AH818">
        <v>103.70960354159899</v>
      </c>
      <c r="AI818">
        <v>90.618570858921203</v>
      </c>
      <c r="AJ818">
        <v>87.625164128768603</v>
      </c>
      <c r="AK818">
        <v>103.804803119139</v>
      </c>
      <c r="AL818">
        <v>81.741380333576402</v>
      </c>
      <c r="AM818">
        <v>87.566935203061107</v>
      </c>
      <c r="AN818">
        <v>0.99999996473988395</v>
      </c>
    </row>
    <row r="819" spans="1:40" x14ac:dyDescent="0.25">
      <c r="A819" t="str">
        <f>"20190303170240984"</f>
        <v>20190303170240984</v>
      </c>
      <c r="B819" t="str">
        <f>"1551603760976247"</f>
        <v>1551603760976247</v>
      </c>
      <c r="C819" t="s">
        <v>40</v>
      </c>
      <c r="D819">
        <v>4.1142960000000004</v>
      </c>
      <c r="E819">
        <v>0.50216079999999996</v>
      </c>
      <c r="F819" t="s">
        <v>42</v>
      </c>
      <c r="G819">
        <v>-224.5282</v>
      </c>
      <c r="H819" s="1">
        <v>-3.252409E-6</v>
      </c>
      <c r="I819">
        <v>364.41460000000001</v>
      </c>
      <c r="J819">
        <v>-328.53820000000002</v>
      </c>
      <c r="K819">
        <v>1.120655</v>
      </c>
      <c r="L819">
        <v>367.85239999999999</v>
      </c>
      <c r="M819">
        <v>0.99992190000000003</v>
      </c>
      <c r="N819">
        <v>-9.5430299999999992E-3</v>
      </c>
      <c r="O819">
        <v>8.0939730000000008E-3</v>
      </c>
      <c r="P819">
        <v>0.99036420000000003</v>
      </c>
      <c r="Q819">
        <v>0.13427790000000001</v>
      </c>
      <c r="R819">
        <v>-3.388977E-2</v>
      </c>
      <c r="S819">
        <v>3.0301819999999999</v>
      </c>
      <c r="T819">
        <v>-3.2577750000000003E-2</v>
      </c>
      <c r="U819">
        <v>-9.9884029999999999E-2</v>
      </c>
      <c r="V819">
        <v>4.1946659999999997E-2</v>
      </c>
      <c r="W819">
        <v>0.14370749999999999</v>
      </c>
      <c r="X819">
        <v>0.98873080000000002</v>
      </c>
      <c r="Y819">
        <v>4.1029540000000003E-2</v>
      </c>
      <c r="Z819">
        <v>-4.2610659999999998E-4</v>
      </c>
      <c r="AA819">
        <v>0.99915779999999998</v>
      </c>
      <c r="AB819">
        <v>36</v>
      </c>
      <c r="AC819">
        <v>104.01</v>
      </c>
      <c r="AD819">
        <v>-1.1206582524090001</v>
      </c>
      <c r="AE819">
        <v>-3.4377999999999802</v>
      </c>
      <c r="AF819">
        <v>4.2790834650286298</v>
      </c>
      <c r="AG819">
        <v>-1.1206582524090001</v>
      </c>
      <c r="AH819">
        <v>103.966709578316</v>
      </c>
      <c r="AI819">
        <v>90.617045515563703</v>
      </c>
      <c r="AJ819">
        <v>87.643138624256196</v>
      </c>
      <c r="AK819">
        <v>104.06076652976</v>
      </c>
      <c r="AL819">
        <v>81.737559305628693</v>
      </c>
      <c r="AM819">
        <v>87.570697473688199</v>
      </c>
      <c r="AN819">
        <v>0.99999998135502199</v>
      </c>
    </row>
    <row r="820" spans="1:40" x14ac:dyDescent="0.25">
      <c r="A820" t="str">
        <f>"20190303170240998"</f>
        <v>20190303170240998</v>
      </c>
      <c r="B820" t="str">
        <f>"1551603760986984"</f>
        <v>1551603760986984</v>
      </c>
      <c r="C820" t="s">
        <v>40</v>
      </c>
      <c r="D820">
        <v>4.2580269999999896</v>
      </c>
      <c r="E820">
        <v>0.50215900000000002</v>
      </c>
      <c r="F820" t="s">
        <v>42</v>
      </c>
      <c r="G820">
        <v>-225.7176</v>
      </c>
      <c r="H820" s="1">
        <v>-2.8139700000000001E-6</v>
      </c>
      <c r="I820">
        <v>364.46519999999998</v>
      </c>
      <c r="J820">
        <v>-328.30810000000002</v>
      </c>
      <c r="K820">
        <v>1.1206449999999999</v>
      </c>
      <c r="L820">
        <v>367.85419999999999</v>
      </c>
      <c r="M820">
        <v>0.99992210000000004</v>
      </c>
      <c r="N820">
        <v>-9.5846839999999996E-3</v>
      </c>
      <c r="O820">
        <v>7.9994249999999992E-3</v>
      </c>
      <c r="P820">
        <v>0.99039650000000001</v>
      </c>
      <c r="Q820">
        <v>0.13415969999999999</v>
      </c>
      <c r="R820">
        <v>-3.3406169999999999E-2</v>
      </c>
      <c r="S820">
        <v>3.0302730000000002</v>
      </c>
      <c r="T820">
        <v>-3.302741E-2</v>
      </c>
      <c r="U820">
        <v>-9.9822999999999995E-2</v>
      </c>
      <c r="V820">
        <v>4.1374750000000002E-2</v>
      </c>
      <c r="W820">
        <v>0.1436297</v>
      </c>
      <c r="X820">
        <v>0.98876629999999999</v>
      </c>
      <c r="Y820">
        <v>4.091388E-2</v>
      </c>
      <c r="Z820">
        <v>-4.295503E-4</v>
      </c>
      <c r="AA820">
        <v>0.99916260000000001</v>
      </c>
      <c r="AB820">
        <v>36</v>
      </c>
      <c r="AC820">
        <v>102.59050000000001</v>
      </c>
      <c r="AD820">
        <v>-1.12064781397</v>
      </c>
      <c r="AE820">
        <v>-3.3889999999999998</v>
      </c>
      <c r="AF820">
        <v>4.2090925448783203</v>
      </c>
      <c r="AG820">
        <v>-1.12064781397</v>
      </c>
      <c r="AH820">
        <v>102.547882948148</v>
      </c>
      <c r="AI820">
        <v>90.625579203208503</v>
      </c>
      <c r="AJ820">
        <v>87.649605836192904</v>
      </c>
      <c r="AK820">
        <v>102.640345910959</v>
      </c>
      <c r="AL820">
        <v>81.742064452508799</v>
      </c>
      <c r="AM820">
        <v>87.603866177022596</v>
      </c>
      <c r="AN820">
        <v>1.0000000783376599</v>
      </c>
    </row>
    <row r="821" spans="1:40" x14ac:dyDescent="0.25">
      <c r="A821" t="str">
        <f>"20190303170241013"</f>
        <v>20190303170241013</v>
      </c>
      <c r="B821" t="str">
        <f>"1551603761006504"</f>
        <v>1551603761006504</v>
      </c>
      <c r="C821" t="s">
        <v>40</v>
      </c>
      <c r="D821">
        <v>4.3208710000000004</v>
      </c>
      <c r="E821">
        <v>0.50221979999999999</v>
      </c>
      <c r="F821" t="s">
        <v>42</v>
      </c>
      <c r="G821">
        <v>-228.11240000000001</v>
      </c>
      <c r="H821" s="1">
        <v>-1.9647739999999999E-6</v>
      </c>
      <c r="I821">
        <v>364.59390000000002</v>
      </c>
      <c r="J821">
        <v>-328.0521</v>
      </c>
      <c r="K821">
        <v>1.1206320000000001</v>
      </c>
      <c r="L821">
        <v>367.85610000000003</v>
      </c>
      <c r="M821">
        <v>0.9999228</v>
      </c>
      <c r="N821">
        <v>-9.6322769999999999E-3</v>
      </c>
      <c r="O821">
        <v>7.8746839999999999E-3</v>
      </c>
      <c r="P821">
        <v>0.99043139999999996</v>
      </c>
      <c r="Q821">
        <v>0.13391169999999999</v>
      </c>
      <c r="R821">
        <v>-3.3372909999999999E-2</v>
      </c>
      <c r="S821">
        <v>3.0303339999999999</v>
      </c>
      <c r="T821">
        <v>-3.3892989999999998E-2</v>
      </c>
      <c r="U821">
        <v>-9.8602289999999995E-2</v>
      </c>
      <c r="V821">
        <v>4.1224669999999998E-2</v>
      </c>
      <c r="W821">
        <v>0.1434272</v>
      </c>
      <c r="X821">
        <v>0.98880190000000001</v>
      </c>
      <c r="Y821">
        <v>4.0386360000000003E-2</v>
      </c>
      <c r="Z821">
        <v>-4.3257929999999999E-4</v>
      </c>
      <c r="AA821">
        <v>0.99918410000000002</v>
      </c>
      <c r="AB821">
        <v>36</v>
      </c>
      <c r="AC821">
        <v>99.939700000000002</v>
      </c>
      <c r="AD821">
        <v>-1.120633964774</v>
      </c>
      <c r="AE821">
        <v>-3.2622</v>
      </c>
      <c r="AF821">
        <v>4.0486202492118704</v>
      </c>
      <c r="AG821">
        <v>-1.120633964774</v>
      </c>
      <c r="AH821">
        <v>99.898363806194993</v>
      </c>
      <c r="AI821">
        <v>90.642175137298807</v>
      </c>
      <c r="AJ821">
        <v>87.679221473578707</v>
      </c>
      <c r="AK821">
        <v>99.9866502967282</v>
      </c>
      <c r="AL821">
        <v>81.7537877174275</v>
      </c>
      <c r="AM821">
        <v>87.612633533374506</v>
      </c>
      <c r="AN821">
        <v>1.00000001628002</v>
      </c>
    </row>
    <row r="822" spans="1:40" x14ac:dyDescent="0.25">
      <c r="A822" t="str">
        <f>"20190303170241036"</f>
        <v>20190303170241036</v>
      </c>
      <c r="B822" t="str">
        <f>"1551603761026999"</f>
        <v>1551603761026999</v>
      </c>
      <c r="C822" t="s">
        <v>40</v>
      </c>
      <c r="D822">
        <v>4.2621469999999997</v>
      </c>
      <c r="E822">
        <v>0.50223759999999995</v>
      </c>
      <c r="F822" t="s">
        <v>42</v>
      </c>
      <c r="G822">
        <v>-232.13509999999999</v>
      </c>
      <c r="H822" s="1">
        <v>-4.2247390000000004E-6</v>
      </c>
      <c r="I822">
        <v>364.72070000000002</v>
      </c>
      <c r="J822">
        <v>-327.68610000000001</v>
      </c>
      <c r="K822">
        <v>1.1206069999999999</v>
      </c>
      <c r="L822">
        <v>367.85879999999997</v>
      </c>
      <c r="M822">
        <v>0.99992360000000002</v>
      </c>
      <c r="N822">
        <v>-9.6996089999999997E-3</v>
      </c>
      <c r="O822">
        <v>7.6606869999999898E-3</v>
      </c>
      <c r="P822">
        <v>0.9904676</v>
      </c>
      <c r="Q822">
        <v>0.1336118</v>
      </c>
      <c r="R822">
        <v>-3.3498269999999997E-2</v>
      </c>
      <c r="S822">
        <v>3.0304570000000002</v>
      </c>
      <c r="T822">
        <v>-3.5405989999999998E-2</v>
      </c>
      <c r="U822">
        <v>-9.9060060000000005E-2</v>
      </c>
      <c r="V822">
        <v>4.1149419999999999E-2</v>
      </c>
      <c r="W822">
        <v>0.14319179999999901</v>
      </c>
      <c r="X822">
        <v>0.98883909999999997</v>
      </c>
      <c r="Y822">
        <v>4.0321660000000002E-2</v>
      </c>
      <c r="Z822">
        <v>-4.4628970000000002E-4</v>
      </c>
      <c r="AA822">
        <v>0.99918660000000004</v>
      </c>
      <c r="AB822">
        <v>36</v>
      </c>
      <c r="AC822">
        <v>95.551000000000002</v>
      </c>
      <c r="AD822">
        <v>-1.1206112247390001</v>
      </c>
      <c r="AE822">
        <v>-3.1380999999999499</v>
      </c>
      <c r="AF822">
        <v>3.86949700740744</v>
      </c>
      <c r="AG822">
        <v>-1.1206112247390001</v>
      </c>
      <c r="AH822">
        <v>95.511032053897395</v>
      </c>
      <c r="AI822">
        <v>90.671657773554003</v>
      </c>
      <c r="AJ822">
        <v>87.680009704221007</v>
      </c>
      <c r="AK822">
        <v>95.595951904920895</v>
      </c>
      <c r="AL822">
        <v>81.767415397393606</v>
      </c>
      <c r="AM822">
        <v>87.617075861437698</v>
      </c>
      <c r="AN822">
        <v>0.99999996602119201</v>
      </c>
    </row>
    <row r="823" spans="1:40" x14ac:dyDescent="0.25">
      <c r="A823" t="str">
        <f>"20190303170241049"</f>
        <v>20190303170241049</v>
      </c>
      <c r="B823" t="str">
        <f>"1551603761036760"</f>
        <v>1551603761036760</v>
      </c>
      <c r="C823" t="s">
        <v>40</v>
      </c>
      <c r="D823">
        <v>4.3196919999999999</v>
      </c>
      <c r="E823">
        <v>0.50226210000000004</v>
      </c>
      <c r="F823" t="s">
        <v>42</v>
      </c>
      <c r="G823">
        <v>-236.02440000000001</v>
      </c>
      <c r="H823" s="1">
        <v>-2.6097709999999998E-6</v>
      </c>
      <c r="I823">
        <v>364.84039999999999</v>
      </c>
      <c r="J823">
        <v>-327.47210000000001</v>
      </c>
      <c r="K823">
        <v>1.1205909999999999</v>
      </c>
      <c r="L823">
        <v>367.8603</v>
      </c>
      <c r="M823">
        <v>0.99992440000000005</v>
      </c>
      <c r="N823">
        <v>-9.7368320000000008E-3</v>
      </c>
      <c r="O823">
        <v>7.5114580000000004E-3</v>
      </c>
      <c r="P823">
        <v>0.99047589999999996</v>
      </c>
      <c r="Q823">
        <v>0.13358249999999999</v>
      </c>
      <c r="R823">
        <v>-3.3364419999999999E-2</v>
      </c>
      <c r="S823">
        <v>3.0304869999999999</v>
      </c>
      <c r="T823">
        <v>-3.7049169999999999E-2</v>
      </c>
      <c r="U823">
        <v>-9.9792480000000003E-2</v>
      </c>
      <c r="V823">
        <v>4.0875450000000001E-2</v>
      </c>
      <c r="W823">
        <v>0.14319689999999999</v>
      </c>
      <c r="X823">
        <v>0.9888498</v>
      </c>
      <c r="Y823">
        <v>4.0413039999999997E-2</v>
      </c>
      <c r="Z823">
        <v>-4.624648E-4</v>
      </c>
      <c r="AA823">
        <v>0.99918289999999998</v>
      </c>
      <c r="AB823">
        <v>36</v>
      </c>
      <c r="AC823">
        <v>91.447699999999998</v>
      </c>
      <c r="AD823">
        <v>-1.1205936097710001</v>
      </c>
      <c r="AE823">
        <v>-3.0198999999999998</v>
      </c>
      <c r="AF823">
        <v>3.7061969944370601</v>
      </c>
      <c r="AG823">
        <v>-1.1205936097710001</v>
      </c>
      <c r="AH823">
        <v>91.408724091354301</v>
      </c>
      <c r="AI823">
        <v>90.701786044010603</v>
      </c>
      <c r="AJ823">
        <v>87.678195375046101</v>
      </c>
      <c r="AK823">
        <v>91.490690598602299</v>
      </c>
      <c r="AL823">
        <v>81.767120765901495</v>
      </c>
      <c r="AM823">
        <v>87.632948683446699</v>
      </c>
      <c r="AN823">
        <v>1.00000004077117</v>
      </c>
    </row>
    <row r="824" spans="1:40" x14ac:dyDescent="0.25">
      <c r="A824" t="str">
        <f>"20190303170241065"</f>
        <v>20190303170241065</v>
      </c>
      <c r="B824" t="str">
        <f>"1551603761056281"</f>
        <v>1551603761056281</v>
      </c>
      <c r="C824" t="s">
        <v>40</v>
      </c>
      <c r="D824">
        <v>4.3194019999999904</v>
      </c>
      <c r="E824">
        <v>0.50228640000000002</v>
      </c>
      <c r="F824" t="s">
        <v>42</v>
      </c>
      <c r="G824">
        <v>-236.98759999999999</v>
      </c>
      <c r="H824" s="1">
        <v>-2.2698010000000001E-6</v>
      </c>
      <c r="I824">
        <v>364.8861</v>
      </c>
      <c r="J824">
        <v>-327.21730000000002</v>
      </c>
      <c r="K824">
        <v>1.1205689999999999</v>
      </c>
      <c r="L824">
        <v>367.8621</v>
      </c>
      <c r="M824">
        <v>0.99992539999999996</v>
      </c>
      <c r="N824">
        <v>-9.778775E-3</v>
      </c>
      <c r="O824">
        <v>7.317746E-3</v>
      </c>
      <c r="P824">
        <v>0.99051929999999999</v>
      </c>
      <c r="Q824">
        <v>0.13325780000000001</v>
      </c>
      <c r="R824">
        <v>-3.3376320000000001E-2</v>
      </c>
      <c r="S824">
        <v>3.030548</v>
      </c>
      <c r="T824">
        <v>-3.7531380000000003E-2</v>
      </c>
      <c r="U824">
        <v>-9.9609379999999997E-2</v>
      </c>
      <c r="V824">
        <v>4.0704650000000002E-2</v>
      </c>
      <c r="W824">
        <v>0.14291189999999901</v>
      </c>
      <c r="X824">
        <v>0.98889800000000005</v>
      </c>
      <c r="Y824">
        <v>4.0158430000000002E-2</v>
      </c>
      <c r="Z824">
        <v>-4.6407369999999998E-4</v>
      </c>
      <c r="AA824">
        <v>0.9991932</v>
      </c>
      <c r="AB824">
        <v>36</v>
      </c>
      <c r="AC824">
        <v>90.229699999999994</v>
      </c>
      <c r="AD824">
        <v>-1.120571269801</v>
      </c>
      <c r="AE824">
        <v>-2.9759999999999902</v>
      </c>
      <c r="AF824">
        <v>3.6356697801520399</v>
      </c>
      <c r="AG824">
        <v>-1.120571269801</v>
      </c>
      <c r="AH824">
        <v>90.191609718715597</v>
      </c>
      <c r="AI824">
        <v>90.711248076083095</v>
      </c>
      <c r="AJ824">
        <v>87.691627689064703</v>
      </c>
      <c r="AK824">
        <v>90.271813088993298</v>
      </c>
      <c r="AL824">
        <v>81.783619147507096</v>
      </c>
      <c r="AM824">
        <v>87.642943100909307</v>
      </c>
      <c r="AN824">
        <v>0.99999996704861505</v>
      </c>
    </row>
    <row r="825" spans="1:40" x14ac:dyDescent="0.25">
      <c r="A825" t="str">
        <f>"20190303170241076"</f>
        <v>20190303170241076</v>
      </c>
      <c r="B825" t="str">
        <f>"1551603761067016"</f>
        <v>1551603761067016</v>
      </c>
      <c r="C825" t="s">
        <v>40</v>
      </c>
      <c r="D825">
        <v>4.3196180000000002</v>
      </c>
      <c r="E825">
        <v>0.50230050000000004</v>
      </c>
      <c r="F825" t="s">
        <v>42</v>
      </c>
      <c r="G825">
        <v>-240.0608</v>
      </c>
      <c r="H825" s="1">
        <v>-5.5014119999999999E-6</v>
      </c>
      <c r="I825">
        <v>364.97899999999998</v>
      </c>
      <c r="J825">
        <v>-327.03809999999999</v>
      </c>
      <c r="K825">
        <v>1.1205540000000001</v>
      </c>
      <c r="L825">
        <v>367.86329999999998</v>
      </c>
      <c r="M825">
        <v>0.99992630000000005</v>
      </c>
      <c r="N825">
        <v>-9.8073569999999992E-3</v>
      </c>
      <c r="O825">
        <v>7.1728900000000003E-3</v>
      </c>
      <c r="P825">
        <v>0.99048840000000005</v>
      </c>
      <c r="Q825">
        <v>0.13341839999999999</v>
      </c>
      <c r="R825">
        <v>-3.3650340000000001E-2</v>
      </c>
      <c r="S825">
        <v>3.0306090000000001</v>
      </c>
      <c r="T825">
        <v>-3.896463E-2</v>
      </c>
      <c r="U825">
        <v>-0.1002502</v>
      </c>
      <c r="V825">
        <v>4.0841519999999999E-2</v>
      </c>
      <c r="W825">
        <v>0.143098799999999</v>
      </c>
      <c r="X825">
        <v>0.98886540000000001</v>
      </c>
      <c r="Y825">
        <v>4.0223729999999999E-2</v>
      </c>
      <c r="Z825">
        <v>-4.7768259999999999E-4</v>
      </c>
      <c r="AA825">
        <v>0.99919060000000004</v>
      </c>
      <c r="AB825">
        <v>36</v>
      </c>
      <c r="AC825">
        <v>86.9772999999999</v>
      </c>
      <c r="AD825">
        <v>-1.120559501412</v>
      </c>
      <c r="AE825">
        <v>-2.8842999999999299</v>
      </c>
      <c r="AF825">
        <v>3.5075527820302499</v>
      </c>
      <c r="AG825">
        <v>-1.120559501412</v>
      </c>
      <c r="AH825">
        <v>86.939957973807296</v>
      </c>
      <c r="AI825">
        <v>90.737837903346801</v>
      </c>
      <c r="AJ825">
        <v>87.689680964271901</v>
      </c>
      <c r="AK825">
        <v>87.0178997252996</v>
      </c>
      <c r="AL825">
        <v>81.772799945502697</v>
      </c>
      <c r="AM825">
        <v>87.634948567896501</v>
      </c>
      <c r="AN825">
        <v>1.00000003781725</v>
      </c>
    </row>
    <row r="826" spans="1:40" x14ac:dyDescent="0.25">
      <c r="A826" t="str">
        <f>"20190303170241088"</f>
        <v>20190303170241088</v>
      </c>
      <c r="B826" t="str">
        <f>"1551603761076776"</f>
        <v>1551603761076776</v>
      </c>
      <c r="C826" t="s">
        <v>40</v>
      </c>
      <c r="D826">
        <v>4.11808</v>
      </c>
      <c r="E826">
        <v>0.5023358</v>
      </c>
      <c r="F826" t="s">
        <v>42</v>
      </c>
      <c r="G826">
        <v>-239.13990000000001</v>
      </c>
      <c r="H826" s="1">
        <v>-1.5254799999999999E-6</v>
      </c>
      <c r="I826">
        <v>364.93079999999998</v>
      </c>
      <c r="J826">
        <v>-326.83420000000001</v>
      </c>
      <c r="K826">
        <v>1.120536</v>
      </c>
      <c r="L826">
        <v>367.8646</v>
      </c>
      <c r="M826">
        <v>0.99992709999999996</v>
      </c>
      <c r="N826">
        <v>-9.8396290000000008E-3</v>
      </c>
      <c r="O826">
        <v>6.9882169999999997E-3</v>
      </c>
      <c r="P826">
        <v>0.99049739999999997</v>
      </c>
      <c r="Q826">
        <v>0.13334499999999999</v>
      </c>
      <c r="R826">
        <v>-3.3672779999999999E-2</v>
      </c>
      <c r="S826">
        <v>3.0305789999999999</v>
      </c>
      <c r="T826">
        <v>-3.8634780000000001E-2</v>
      </c>
      <c r="U826">
        <v>-0.10110470000000001</v>
      </c>
      <c r="V826">
        <v>4.0688490000000001E-2</v>
      </c>
      <c r="W826">
        <v>0.1430554</v>
      </c>
      <c r="X826">
        <v>0.98887800000000003</v>
      </c>
      <c r="Y826">
        <v>4.0321000000000003E-2</v>
      </c>
      <c r="Z826">
        <v>-4.756966E-4</v>
      </c>
      <c r="AA826">
        <v>0.99918660000000004</v>
      </c>
      <c r="AB826">
        <v>36</v>
      </c>
      <c r="AC826">
        <v>87.694299999999998</v>
      </c>
      <c r="AD826">
        <v>-1.1205375254799901</v>
      </c>
      <c r="AE826">
        <v>-2.9338000000000202</v>
      </c>
      <c r="AF826">
        <v>3.54600655163576</v>
      </c>
      <c r="AG826">
        <v>-1.1205375254799901</v>
      </c>
      <c r="AH826">
        <v>87.657359519696797</v>
      </c>
      <c r="AI826">
        <v>90.731782429789703</v>
      </c>
      <c r="AJ826">
        <v>87.683474691215807</v>
      </c>
      <c r="AK826">
        <v>87.7362094278961</v>
      </c>
      <c r="AL826">
        <v>81.775312530958303</v>
      </c>
      <c r="AM826">
        <v>87.643830213684694</v>
      </c>
      <c r="AN826">
        <v>1.0000000497858099</v>
      </c>
    </row>
    <row r="827" spans="1:40" x14ac:dyDescent="0.25">
      <c r="A827" t="str">
        <f>"20190303170241099"</f>
        <v>20190303170241099</v>
      </c>
      <c r="B827" t="str">
        <f>"1551603761086535"</f>
        <v>1551603761086535</v>
      </c>
      <c r="C827" t="s">
        <v>40</v>
      </c>
      <c r="D827">
        <v>4.2582250000000004</v>
      </c>
      <c r="E827">
        <v>0.50235350000000001</v>
      </c>
      <c r="F827" t="s">
        <v>42</v>
      </c>
      <c r="G827">
        <v>-240.2028</v>
      </c>
      <c r="H827" s="1">
        <v>-5.437691E-6</v>
      </c>
      <c r="I827">
        <v>364.9597</v>
      </c>
      <c r="J827">
        <v>-326.66730000000001</v>
      </c>
      <c r="K827">
        <v>1.120522</v>
      </c>
      <c r="L827">
        <v>367.86559999999997</v>
      </c>
      <c r="M827">
        <v>0.99992809999999999</v>
      </c>
      <c r="N827">
        <v>-9.8658600000000006E-3</v>
      </c>
      <c r="O827">
        <v>6.8296110000000002E-3</v>
      </c>
      <c r="P827">
        <v>0.99051169999999999</v>
      </c>
      <c r="Q827">
        <v>0.1332402</v>
      </c>
      <c r="R827">
        <v>-3.3681320000000001E-2</v>
      </c>
      <c r="S827">
        <v>3.0306090000000001</v>
      </c>
      <c r="T827">
        <v>-3.9199709999999999E-2</v>
      </c>
      <c r="U827">
        <v>-0.10162350000000001</v>
      </c>
      <c r="V827">
        <v>4.0545770000000002E-2</v>
      </c>
      <c r="W827">
        <v>0.14297509999999999</v>
      </c>
      <c r="X827">
        <v>0.98889539999999998</v>
      </c>
      <c r="Y827">
        <v>4.0332890000000003E-2</v>
      </c>
      <c r="Z827">
        <v>-4.8074670000000002E-4</v>
      </c>
      <c r="AA827">
        <v>0.99918620000000002</v>
      </c>
      <c r="AB827">
        <v>36</v>
      </c>
      <c r="AC827">
        <v>86.464500000000001</v>
      </c>
      <c r="AD827">
        <v>-1.1205274376909999</v>
      </c>
      <c r="AE827">
        <v>-2.9058999999999702</v>
      </c>
      <c r="AF827">
        <v>3.4957933673841901</v>
      </c>
      <c r="AG827">
        <v>-1.1205274376909999</v>
      </c>
      <c r="AH827">
        <v>86.4281372706225</v>
      </c>
      <c r="AI827">
        <v>90.742182521070703</v>
      </c>
      <c r="AJ827">
        <v>87.683797281367106</v>
      </c>
      <c r="AK827">
        <v>86.506063747436997</v>
      </c>
      <c r="AL827">
        <v>81.779960551974298</v>
      </c>
      <c r="AM827">
        <v>87.652126776607801</v>
      </c>
      <c r="AN827">
        <v>0.99999997541303098</v>
      </c>
    </row>
    <row r="828" spans="1:40" x14ac:dyDescent="0.25">
      <c r="A828" t="str">
        <f>"20190303170241109"</f>
        <v>20190303170241109</v>
      </c>
      <c r="B828" t="str">
        <f>"1551603761097271"</f>
        <v>1551603761097271</v>
      </c>
      <c r="C828" t="s">
        <v>40</v>
      </c>
      <c r="D828">
        <v>4.2547889999999997</v>
      </c>
      <c r="E828">
        <v>0.50237019999999999</v>
      </c>
      <c r="F828" t="s">
        <v>42</v>
      </c>
      <c r="G828">
        <v>-241.4195</v>
      </c>
      <c r="H828" s="1">
        <v>-4.8541410000000003E-6</v>
      </c>
      <c r="I828">
        <v>365.00709999999998</v>
      </c>
      <c r="J828">
        <v>-326.49200000000002</v>
      </c>
      <c r="K828">
        <v>1.120506</v>
      </c>
      <c r="L828">
        <v>367.86669999999998</v>
      </c>
      <c r="M828">
        <v>0.99992910000000002</v>
      </c>
      <c r="N828">
        <v>-9.8931439999999995E-3</v>
      </c>
      <c r="O828">
        <v>6.6516149999999996E-3</v>
      </c>
      <c r="P828">
        <v>0.99049600000000004</v>
      </c>
      <c r="Q828">
        <v>0.1332779</v>
      </c>
      <c r="R828">
        <v>-3.3987120000000003E-2</v>
      </c>
      <c r="S828">
        <v>3.03064</v>
      </c>
      <c r="T828">
        <v>-3.9835809999999999E-2</v>
      </c>
      <c r="U828">
        <v>-0.10162350000000001</v>
      </c>
      <c r="V828">
        <v>4.0681679999999998E-2</v>
      </c>
      <c r="W828">
        <v>0.1430379</v>
      </c>
      <c r="X828">
        <v>0.9888808</v>
      </c>
      <c r="Y828">
        <v>4.0154549999999997E-2</v>
      </c>
      <c r="Z828">
        <v>-4.8413889999999999E-4</v>
      </c>
      <c r="AA828">
        <v>0.99919340000000001</v>
      </c>
      <c r="AB828">
        <v>36</v>
      </c>
      <c r="AC828">
        <v>85.072500000000005</v>
      </c>
      <c r="AD828">
        <v>-1.120510854141</v>
      </c>
      <c r="AE828">
        <v>-2.8595999999999999</v>
      </c>
      <c r="AF828">
        <v>3.4248403760793602</v>
      </c>
      <c r="AG828">
        <v>-1.120510854141</v>
      </c>
      <c r="AH828">
        <v>85.036860244330299</v>
      </c>
      <c r="AI828">
        <v>90.754317964990605</v>
      </c>
      <c r="AJ828">
        <v>87.693671856567093</v>
      </c>
      <c r="AK828">
        <v>85.113175692072701</v>
      </c>
      <c r="AL828">
        <v>81.776325530381101</v>
      </c>
      <c r="AM828">
        <v>87.644230782434704</v>
      </c>
      <c r="AN828">
        <v>1.0000000382663301</v>
      </c>
    </row>
    <row r="829" spans="1:40" x14ac:dyDescent="0.25">
      <c r="A829" t="str">
        <f>"20190303170241120"</f>
        <v>20190303170241120</v>
      </c>
      <c r="B829" t="str">
        <f>"1551603761107031"</f>
        <v>1551603761107031</v>
      </c>
      <c r="C829" t="s">
        <v>40</v>
      </c>
      <c r="D829">
        <v>4.2561879999999999</v>
      </c>
      <c r="E829">
        <v>0.50237069999999995</v>
      </c>
      <c r="F829" t="s">
        <v>42</v>
      </c>
      <c r="G829">
        <v>-241.71709999999999</v>
      </c>
      <c r="H829" s="1">
        <v>-4.7177480000000002E-6</v>
      </c>
      <c r="I829">
        <v>364.983</v>
      </c>
      <c r="J829">
        <v>-326.31819999999999</v>
      </c>
      <c r="K829">
        <v>1.1204940000000001</v>
      </c>
      <c r="L829">
        <v>367.86770000000001</v>
      </c>
      <c r="M829">
        <v>0.99992979999999998</v>
      </c>
      <c r="N829">
        <v>-9.9204240000000006E-3</v>
      </c>
      <c r="O829">
        <v>6.4672499999999999E-3</v>
      </c>
      <c r="P829">
        <v>0.990537</v>
      </c>
      <c r="Q829">
        <v>0.13294159999999999</v>
      </c>
      <c r="R829">
        <v>-3.410324E-2</v>
      </c>
      <c r="S829">
        <v>3.03064</v>
      </c>
      <c r="T829">
        <v>-4.0057420000000003E-2</v>
      </c>
      <c r="U829">
        <v>-0.1030884</v>
      </c>
      <c r="V829">
        <v>4.062118E-2</v>
      </c>
      <c r="W829">
        <v>0.14272739999999901</v>
      </c>
      <c r="X829">
        <v>0.98892809999999998</v>
      </c>
      <c r="Y829">
        <v>4.0452630000000003E-2</v>
      </c>
      <c r="Z829">
        <v>-4.892993E-4</v>
      </c>
      <c r="AA829">
        <v>0.99918130000000005</v>
      </c>
      <c r="AB829">
        <v>36</v>
      </c>
      <c r="AC829">
        <v>84.601100000000002</v>
      </c>
      <c r="AD829">
        <v>-1.1204987177479999</v>
      </c>
      <c r="AE829">
        <v>-2.8847</v>
      </c>
      <c r="AF829">
        <v>3.43120190736499</v>
      </c>
      <c r="AG829">
        <v>-1.1204987177479999</v>
      </c>
      <c r="AH829">
        <v>84.565856548682305</v>
      </c>
      <c r="AI829">
        <v>90.758501392415297</v>
      </c>
      <c r="AJ829">
        <v>87.676537315056507</v>
      </c>
      <c r="AK829">
        <v>84.642854144445593</v>
      </c>
      <c r="AL829">
        <v>81.794299889659797</v>
      </c>
      <c r="AM829">
        <v>87.647842621918002</v>
      </c>
      <c r="AN829">
        <v>0.99999998897248099</v>
      </c>
    </row>
    <row r="830" spans="1:40" x14ac:dyDescent="0.25">
      <c r="A830" t="str">
        <f>"20190303170241131"</f>
        <v>20190303170241131</v>
      </c>
      <c r="B830" t="str">
        <f>"1551603761116793"</f>
        <v>1551603761116793</v>
      </c>
      <c r="C830" t="s">
        <v>40</v>
      </c>
      <c r="D830">
        <v>4.255414</v>
      </c>
      <c r="E830">
        <v>0.50236510000000001</v>
      </c>
      <c r="F830" t="s">
        <v>42</v>
      </c>
      <c r="G830">
        <v>-244.0018</v>
      </c>
      <c r="H830" s="1">
        <v>-3.6237320000000002E-6</v>
      </c>
      <c r="I830">
        <v>365.06189999999998</v>
      </c>
      <c r="J830">
        <v>-326.13479999999998</v>
      </c>
      <c r="K830">
        <v>1.120482</v>
      </c>
      <c r="L830">
        <v>367.86869999999999</v>
      </c>
      <c r="M830">
        <v>0.99993089999999996</v>
      </c>
      <c r="N830">
        <v>-9.9494679999999995E-3</v>
      </c>
      <c r="O830">
        <v>6.2640319999999897E-3</v>
      </c>
      <c r="P830">
        <v>0.99054189999999998</v>
      </c>
      <c r="Q830">
        <v>0.1328686</v>
      </c>
      <c r="R830">
        <v>-3.4248809999999998E-2</v>
      </c>
      <c r="S830">
        <v>3.03064</v>
      </c>
      <c r="T830">
        <v>-4.1253329999999998E-2</v>
      </c>
      <c r="U830">
        <v>-0.103302</v>
      </c>
      <c r="V830">
        <v>4.0571490000000002E-2</v>
      </c>
      <c r="W830">
        <v>0.14268159999999999</v>
      </c>
      <c r="X830">
        <v>0.98893679999999995</v>
      </c>
      <c r="Y830">
        <v>4.0319630000000002E-2</v>
      </c>
      <c r="Z830">
        <v>-4.9791799999999997E-4</v>
      </c>
      <c r="AA830">
        <v>0.99918669999999998</v>
      </c>
      <c r="AB830">
        <v>36</v>
      </c>
      <c r="AC830">
        <v>82.132999999999896</v>
      </c>
      <c r="AD830">
        <v>-1.120485623732</v>
      </c>
      <c r="AE830">
        <v>-2.8068</v>
      </c>
      <c r="AF830">
        <v>3.32063683184631</v>
      </c>
      <c r="AG830">
        <v>-1.120485623732</v>
      </c>
      <c r="AH830">
        <v>82.098543898186904</v>
      </c>
      <c r="AI830">
        <v>90.7812887922409</v>
      </c>
      <c r="AJ830">
        <v>87.683822186137704</v>
      </c>
      <c r="AK830">
        <v>82.173310917867497</v>
      </c>
      <c r="AL830">
        <v>81.796951589413595</v>
      </c>
      <c r="AM830">
        <v>87.650737325091598</v>
      </c>
      <c r="AN830">
        <v>1.0000000395868001</v>
      </c>
    </row>
    <row r="831" spans="1:40" x14ac:dyDescent="0.25">
      <c r="A831" t="str">
        <f>"20190303170241143"</f>
        <v>20190303170241143</v>
      </c>
      <c r="B831" t="str">
        <f>"1551603761136312"</f>
        <v>1551603761136312</v>
      </c>
      <c r="C831" t="s">
        <v>40</v>
      </c>
      <c r="D831">
        <v>4.2543749999999996</v>
      </c>
      <c r="E831">
        <v>0.50239179999999894</v>
      </c>
      <c r="F831" t="s">
        <v>42</v>
      </c>
      <c r="G831">
        <v>-244.70310000000001</v>
      </c>
      <c r="H831" s="1">
        <v>-3.2862730000000001E-6</v>
      </c>
      <c r="I831">
        <v>365.09550000000002</v>
      </c>
      <c r="J831">
        <v>-325.95089999999999</v>
      </c>
      <c r="K831">
        <v>1.120468</v>
      </c>
      <c r="L831">
        <v>367.86970000000002</v>
      </c>
      <c r="M831">
        <v>0.99993209999999999</v>
      </c>
      <c r="N831">
        <v>-9.9783649999999995E-3</v>
      </c>
      <c r="O831">
        <v>6.0514139999999998E-3</v>
      </c>
      <c r="P831">
        <v>0.99054279999999995</v>
      </c>
      <c r="Q831">
        <v>0.13274129999999901</v>
      </c>
      <c r="R831">
        <v>-3.4714559999999998E-2</v>
      </c>
      <c r="S831">
        <v>3.03064</v>
      </c>
      <c r="T831">
        <v>-4.1701080000000001E-2</v>
      </c>
      <c r="U831">
        <v>-0.10321039999999999</v>
      </c>
      <c r="V831">
        <v>4.0832390000000003E-2</v>
      </c>
      <c r="W831">
        <v>0.14258109999999999</v>
      </c>
      <c r="X831">
        <v>0.9889405</v>
      </c>
      <c r="Y831">
        <v>4.0076929999999997E-2</v>
      </c>
      <c r="Z831">
        <v>-4.9853829999999997E-4</v>
      </c>
      <c r="AA831">
        <v>0.99919650000000004</v>
      </c>
      <c r="AB831">
        <v>36</v>
      </c>
      <c r="AC831">
        <v>81.247799999999899</v>
      </c>
      <c r="AD831">
        <v>-1.120471286273</v>
      </c>
      <c r="AE831">
        <v>-2.7742</v>
      </c>
      <c r="AF831">
        <v>3.2652173811821998</v>
      </c>
      <c r="AG831">
        <v>-1.120471286273</v>
      </c>
      <c r="AH831">
        <v>81.214095755733595</v>
      </c>
      <c r="AI831">
        <v>90.789793797744693</v>
      </c>
      <c r="AJ831">
        <v>87.697659898513606</v>
      </c>
      <c r="AK831">
        <v>81.287431069453802</v>
      </c>
      <c r="AL831">
        <v>81.802768831742199</v>
      </c>
      <c r="AM831">
        <v>87.635656025720905</v>
      </c>
      <c r="AN831">
        <v>0.99999998334528595</v>
      </c>
    </row>
    <row r="832" spans="1:40" x14ac:dyDescent="0.25">
      <c r="A832" t="str">
        <f>"20190303170241154"</f>
        <v>20190303170241154</v>
      </c>
      <c r="B832" t="str">
        <f>"1551603761147048"</f>
        <v>1551603761147048</v>
      </c>
      <c r="C832" t="s">
        <v>40</v>
      </c>
      <c r="D832">
        <v>4.2552209999999997</v>
      </c>
      <c r="E832">
        <v>0.50238700000000003</v>
      </c>
      <c r="F832" t="s">
        <v>42</v>
      </c>
      <c r="G832">
        <v>-245.9581</v>
      </c>
      <c r="H832" s="1">
        <v>-2.7364620000000002E-6</v>
      </c>
      <c r="I832">
        <v>365.10599999999999</v>
      </c>
      <c r="J832">
        <v>-325.76209999999998</v>
      </c>
      <c r="K832">
        <v>1.120458</v>
      </c>
      <c r="L832">
        <v>367.87060000000002</v>
      </c>
      <c r="M832">
        <v>0.99993290000000001</v>
      </c>
      <c r="N832">
        <v>-1.000795E-2</v>
      </c>
      <c r="O832">
        <v>5.829674E-3</v>
      </c>
      <c r="P832">
        <v>0.9905969</v>
      </c>
      <c r="Q832">
        <v>0.1322702</v>
      </c>
      <c r="R832">
        <v>-3.4961119999999998E-2</v>
      </c>
      <c r="S832">
        <v>3.0306700000000002</v>
      </c>
      <c r="T832">
        <v>-4.2451019999999999E-2</v>
      </c>
      <c r="U832">
        <v>-0.1047058</v>
      </c>
      <c r="V832">
        <v>4.0864930000000001E-2</v>
      </c>
      <c r="W832">
        <v>0.142138299999999</v>
      </c>
      <c r="X832">
        <v>0.98900290000000002</v>
      </c>
      <c r="Y832">
        <v>4.0347210000000001E-2</v>
      </c>
      <c r="Z832">
        <v>-5.077603E-4</v>
      </c>
      <c r="AA832">
        <v>0.99918560000000001</v>
      </c>
      <c r="AB832">
        <v>36</v>
      </c>
      <c r="AC832">
        <v>79.803999999999903</v>
      </c>
      <c r="AD832">
        <v>-1.1204607364620001</v>
      </c>
      <c r="AE832">
        <v>-2.7646000000000299</v>
      </c>
      <c r="AF832">
        <v>3.22917184264446</v>
      </c>
      <c r="AG832">
        <v>-1.1204607364620001</v>
      </c>
      <c r="AH832">
        <v>79.770820198850402</v>
      </c>
      <c r="AI832">
        <v>90.804065007498096</v>
      </c>
      <c r="AJ832">
        <v>87.681897278197596</v>
      </c>
      <c r="AK832">
        <v>79.844015043387003</v>
      </c>
      <c r="AL832">
        <v>81.828400496302706</v>
      </c>
      <c r="AM832">
        <v>87.633923106744803</v>
      </c>
      <c r="AN832">
        <v>0.99999998751960195</v>
      </c>
    </row>
    <row r="833" spans="1:40" x14ac:dyDescent="0.25">
      <c r="A833" t="str">
        <f>"20190303170241167"</f>
        <v>20190303170241167</v>
      </c>
      <c r="B833" t="str">
        <f>"1551603761156809"</f>
        <v>1551603761156809</v>
      </c>
      <c r="C833" t="s">
        <v>40</v>
      </c>
      <c r="D833">
        <v>4.2546839999999904</v>
      </c>
      <c r="E833">
        <v>0.50239009999999995</v>
      </c>
      <c r="F833" t="s">
        <v>42</v>
      </c>
      <c r="G833">
        <v>-248.8245</v>
      </c>
      <c r="H833" s="1">
        <v>-1.6115120000000001E-6</v>
      </c>
      <c r="I833">
        <v>365.19709999999998</v>
      </c>
      <c r="J833">
        <v>-325.55799999999999</v>
      </c>
      <c r="K833">
        <v>1.120444</v>
      </c>
      <c r="L833">
        <v>367.8716</v>
      </c>
      <c r="M833">
        <v>0.99993410000000005</v>
      </c>
      <c r="N833">
        <v>-1.003833E-2</v>
      </c>
      <c r="O833">
        <v>5.5793429999999996E-3</v>
      </c>
      <c r="P833">
        <v>0.99064249999999998</v>
      </c>
      <c r="Q833">
        <v>0.13177259999999999</v>
      </c>
      <c r="R833">
        <v>-3.5548150000000001E-2</v>
      </c>
      <c r="S833">
        <v>3.0306700000000002</v>
      </c>
      <c r="T833">
        <v>-4.4136290000000002E-2</v>
      </c>
      <c r="U833">
        <v>-0.1053162</v>
      </c>
      <c r="V833">
        <v>4.1208599999999998E-2</v>
      </c>
      <c r="W833">
        <v>0.14166960000000001</v>
      </c>
      <c r="X833">
        <v>0.98905589999999999</v>
      </c>
      <c r="Y833">
        <v>4.0297609999999998E-2</v>
      </c>
      <c r="Z833">
        <v>-5.2090800000000005E-4</v>
      </c>
      <c r="AA833">
        <v>0.99918759999999995</v>
      </c>
      <c r="AB833">
        <v>36</v>
      </c>
      <c r="AC833">
        <v>76.733499999999907</v>
      </c>
      <c r="AD833">
        <v>-1.1204456115120001</v>
      </c>
      <c r="AE833">
        <v>-2.6745000000000201</v>
      </c>
      <c r="AF833">
        <v>3.1019418660736502</v>
      </c>
      <c r="AG833">
        <v>-1.1204456115120001</v>
      </c>
      <c r="AH833">
        <v>76.701049107679097</v>
      </c>
      <c r="AI833">
        <v>90.836231270819198</v>
      </c>
      <c r="AJ833">
        <v>87.684107588787299</v>
      </c>
      <c r="AK833">
        <v>76.771924399010999</v>
      </c>
      <c r="AL833">
        <v>81.855529655724297</v>
      </c>
      <c r="AM833">
        <v>87.614175242698096</v>
      </c>
      <c r="AN833">
        <v>0.99999999880146495</v>
      </c>
    </row>
    <row r="834" spans="1:40" x14ac:dyDescent="0.25">
      <c r="A834" t="str">
        <f>"20190303170241181"</f>
        <v>20190303170241181</v>
      </c>
      <c r="B834" t="str">
        <f>"1551603761166568"</f>
        <v>1551603761166568</v>
      </c>
      <c r="C834" t="s">
        <v>40</v>
      </c>
      <c r="D834">
        <v>4.2548180000000002</v>
      </c>
      <c r="E834">
        <v>0.5024073</v>
      </c>
      <c r="F834" t="s">
        <v>42</v>
      </c>
      <c r="G834">
        <v>-251.4426</v>
      </c>
      <c r="H834" s="1">
        <v>-4.4271889999999996E-6</v>
      </c>
      <c r="I834">
        <v>365.25420000000003</v>
      </c>
      <c r="J834">
        <v>-325.34750000000003</v>
      </c>
      <c r="K834">
        <v>1.120431</v>
      </c>
      <c r="L834">
        <v>367.87259999999998</v>
      </c>
      <c r="M834">
        <v>0.99993520000000002</v>
      </c>
      <c r="N834">
        <v>-1.00686E-2</v>
      </c>
      <c r="O834">
        <v>5.3185919999999996E-3</v>
      </c>
      <c r="P834">
        <v>0.99066540000000003</v>
      </c>
      <c r="Q834">
        <v>0.1314476</v>
      </c>
      <c r="R834">
        <v>-3.6101670000000002E-2</v>
      </c>
      <c r="S834">
        <v>3.0306090000000001</v>
      </c>
      <c r="T834">
        <v>-4.5815590000000003E-2</v>
      </c>
      <c r="U834">
        <v>-0.1070251</v>
      </c>
      <c r="V834">
        <v>4.1508339999999998E-2</v>
      </c>
      <c r="W834">
        <v>0.1413732</v>
      </c>
      <c r="X834">
        <v>0.98908580000000001</v>
      </c>
      <c r="Y834">
        <v>4.0599980000000001E-2</v>
      </c>
      <c r="Z834">
        <v>-5.3809819999999897E-4</v>
      </c>
      <c r="AA834">
        <v>0.99917529999999999</v>
      </c>
      <c r="AB834">
        <v>36</v>
      </c>
      <c r="AC834">
        <v>73.904899999999998</v>
      </c>
      <c r="AD834">
        <v>-1.120435427189</v>
      </c>
      <c r="AE834">
        <v>-2.6183999999999501</v>
      </c>
      <c r="AF834">
        <v>3.0107617556742698</v>
      </c>
      <c r="AG834">
        <v>-1.120435427189</v>
      </c>
      <c r="AH834">
        <v>73.872969951041995</v>
      </c>
      <c r="AI834">
        <v>90.868220967517104</v>
      </c>
      <c r="AJ834">
        <v>87.666148733655007</v>
      </c>
      <c r="AK834">
        <v>73.942787013227303</v>
      </c>
      <c r="AL834">
        <v>81.872684976603495</v>
      </c>
      <c r="AM834">
        <v>87.596914245351897</v>
      </c>
      <c r="AN834">
        <v>1.00000002186471</v>
      </c>
    </row>
    <row r="835" spans="1:40" x14ac:dyDescent="0.25">
      <c r="A835" t="str">
        <f>"20190303170241193"</f>
        <v>20190303170241193</v>
      </c>
      <c r="B835" t="str">
        <f>"1551603761187064"</f>
        <v>1551603761187064</v>
      </c>
      <c r="C835" t="s">
        <v>40</v>
      </c>
      <c r="D835">
        <v>4.1146449999999897</v>
      </c>
      <c r="E835">
        <v>0.50243819999999995</v>
      </c>
      <c r="F835" t="s">
        <v>42</v>
      </c>
      <c r="G835">
        <v>-253.22190000000001</v>
      </c>
      <c r="H835" s="1">
        <v>-3.6579289999999999E-6</v>
      </c>
      <c r="I835">
        <v>365.2876</v>
      </c>
      <c r="J835">
        <v>-325.12380000000002</v>
      </c>
      <c r="K835">
        <v>1.1204209999999999</v>
      </c>
      <c r="L835">
        <v>367.87349999999998</v>
      </c>
      <c r="M835">
        <v>0.9999363</v>
      </c>
      <c r="N835">
        <v>-1.009914E-2</v>
      </c>
      <c r="O835">
        <v>5.0366350000000002E-3</v>
      </c>
      <c r="P835">
        <v>0.99070060000000004</v>
      </c>
      <c r="Q835">
        <v>0.13101879999999999</v>
      </c>
      <c r="R835">
        <v>-3.6692280000000001E-2</v>
      </c>
      <c r="S835">
        <v>3.030548</v>
      </c>
      <c r="T835">
        <v>-4.7078010000000003E-2</v>
      </c>
      <c r="U835">
        <v>-0.1086121</v>
      </c>
      <c r="V835">
        <v>4.1823609999999997E-2</v>
      </c>
      <c r="W835">
        <v>0.14097379999999901</v>
      </c>
      <c r="X835">
        <v>0.98912949999999999</v>
      </c>
      <c r="Y835">
        <v>4.0841089999999997E-2</v>
      </c>
      <c r="Z835">
        <v>-5.507884E-4</v>
      </c>
      <c r="AA835">
        <v>0.99916550000000004</v>
      </c>
      <c r="AB835">
        <v>36</v>
      </c>
      <c r="AC835">
        <v>71.901899999999998</v>
      </c>
      <c r="AD835">
        <v>-1.12042465792899</v>
      </c>
      <c r="AE835">
        <v>-2.5858999999999801</v>
      </c>
      <c r="AF835">
        <v>2.9473145565859</v>
      </c>
      <c r="AG835">
        <v>-1.12042465792899</v>
      </c>
      <c r="AH835">
        <v>71.870533944680005</v>
      </c>
      <c r="AI835">
        <v>90.892389449955502</v>
      </c>
      <c r="AJ835">
        <v>87.651692447762301</v>
      </c>
      <c r="AK835">
        <v>71.9396668327215</v>
      </c>
      <c r="AL835">
        <v>81.895800213521696</v>
      </c>
      <c r="AM835">
        <v>87.578790478166496</v>
      </c>
      <c r="AN835">
        <v>0.99999999720506105</v>
      </c>
    </row>
    <row r="836" spans="1:40" x14ac:dyDescent="0.25">
      <c r="A836" t="str">
        <f>"20190303170241210"</f>
        <v>20190303170241210</v>
      </c>
      <c r="B836" t="str">
        <f>"1551603761196823"</f>
        <v>1551603761196823</v>
      </c>
      <c r="C836" t="s">
        <v>40</v>
      </c>
      <c r="D836">
        <v>4.3185320000000003</v>
      </c>
      <c r="E836">
        <v>0.50243740000000003</v>
      </c>
      <c r="F836" t="s">
        <v>42</v>
      </c>
      <c r="G836">
        <v>-255.68549999999999</v>
      </c>
      <c r="H836" s="1">
        <v>-2.5926700000000002E-6</v>
      </c>
      <c r="I836">
        <v>365.33800000000002</v>
      </c>
      <c r="J836">
        <v>-324.86360000000002</v>
      </c>
      <c r="K836">
        <v>1.120412</v>
      </c>
      <c r="L836">
        <v>367.87450000000001</v>
      </c>
      <c r="M836">
        <v>0.99993770000000004</v>
      </c>
      <c r="N836">
        <v>-1.013178E-2</v>
      </c>
      <c r="O836">
        <v>4.7036589999999998E-3</v>
      </c>
      <c r="P836">
        <v>0.99073169999999999</v>
      </c>
      <c r="Q836">
        <v>0.13057659999999999</v>
      </c>
      <c r="R836">
        <v>-3.7423560000000002E-2</v>
      </c>
      <c r="S836">
        <v>3.030548</v>
      </c>
      <c r="T836">
        <v>-4.8899409999999997E-2</v>
      </c>
      <c r="U836">
        <v>-0.1106567</v>
      </c>
      <c r="V836">
        <v>4.2228479999999999E-2</v>
      </c>
      <c r="W836">
        <v>0.1405622</v>
      </c>
      <c r="X836">
        <v>0.98917089999999996</v>
      </c>
      <c r="Y836">
        <v>4.1181009999999997E-2</v>
      </c>
      <c r="Z836">
        <v>-5.6904869999999997E-4</v>
      </c>
      <c r="AA836">
        <v>0.99915149999999997</v>
      </c>
      <c r="AB836">
        <v>36</v>
      </c>
      <c r="AC836">
        <v>69.178100000000001</v>
      </c>
      <c r="AD836">
        <v>-1.12041459267</v>
      </c>
      <c r="AE836">
        <v>-2.5364999999999802</v>
      </c>
      <c r="AF836">
        <v>2.8611292987572199</v>
      </c>
      <c r="AG836">
        <v>-1.12041459267</v>
      </c>
      <c r="AH836">
        <v>69.147289314002094</v>
      </c>
      <c r="AI836">
        <v>90.927506228855606</v>
      </c>
      <c r="AJ836">
        <v>87.630605959776901</v>
      </c>
      <c r="AK836">
        <v>69.215525781416801</v>
      </c>
      <c r="AL836">
        <v>81.919620552749095</v>
      </c>
      <c r="AM836">
        <v>87.555482649631799</v>
      </c>
      <c r="AN836">
        <v>1.00000002299938</v>
      </c>
    </row>
    <row r="837" spans="1:40" x14ac:dyDescent="0.25">
      <c r="A837" t="str">
        <f>"20190303170241222"</f>
        <v>20190303170241222</v>
      </c>
      <c r="B837" t="str">
        <f>"1551603761206583"</f>
        <v>1551603761206583</v>
      </c>
      <c r="C837" t="s">
        <v>40</v>
      </c>
      <c r="D837">
        <v>4.2027679999999998</v>
      </c>
      <c r="E837">
        <v>0.5024303</v>
      </c>
      <c r="F837" t="s">
        <v>42</v>
      </c>
      <c r="G837">
        <v>-257.54509999999999</v>
      </c>
      <c r="H837" s="1">
        <v>-1.9497900000000001E-6</v>
      </c>
      <c r="I837">
        <v>365.37569999999999</v>
      </c>
      <c r="J837">
        <v>-324.66649999999998</v>
      </c>
      <c r="K837">
        <v>1.1204069999999999</v>
      </c>
      <c r="L837">
        <v>367.87529999999998</v>
      </c>
      <c r="M837">
        <v>0.99993869999999896</v>
      </c>
      <c r="N837">
        <v>-1.015516E-2</v>
      </c>
      <c r="O837">
        <v>4.4497620000000003E-3</v>
      </c>
      <c r="P837">
        <v>0.99074300000000004</v>
      </c>
      <c r="Q837">
        <v>0.13034709999999999</v>
      </c>
      <c r="R837">
        <v>-3.7928610000000001E-2</v>
      </c>
      <c r="S837">
        <v>3.0304570000000002</v>
      </c>
      <c r="T837">
        <v>-5.0437330000000002E-2</v>
      </c>
      <c r="U837">
        <v>-0.1124878</v>
      </c>
      <c r="V837">
        <v>4.2484029999999999E-2</v>
      </c>
      <c r="W837">
        <v>0.1403549</v>
      </c>
      <c r="X837">
        <v>0.9891894</v>
      </c>
      <c r="Y837">
        <v>4.153076E-2</v>
      </c>
      <c r="Z837">
        <v>-5.8530110000000002E-4</v>
      </c>
      <c r="AA837">
        <v>0.99913700000000005</v>
      </c>
      <c r="AB837">
        <v>36</v>
      </c>
      <c r="AC837">
        <v>67.121399999999994</v>
      </c>
      <c r="AD837">
        <v>-1.1204089497899901</v>
      </c>
      <c r="AE837">
        <v>-2.4995999999999801</v>
      </c>
      <c r="AF837">
        <v>2.7974864683396601</v>
      </c>
      <c r="AG837">
        <v>-1.1204089497899901</v>
      </c>
      <c r="AH837">
        <v>67.090944415936093</v>
      </c>
      <c r="AI837">
        <v>90.955911721014203</v>
      </c>
      <c r="AJ837">
        <v>87.612324968423906</v>
      </c>
      <c r="AK837">
        <v>67.158588947189301</v>
      </c>
      <c r="AL837">
        <v>81.931616948760393</v>
      </c>
      <c r="AM837">
        <v>87.540753447020606</v>
      </c>
      <c r="AN837">
        <v>1.0000000299156999</v>
      </c>
    </row>
    <row r="838" spans="1:40" x14ac:dyDescent="0.25">
      <c r="A838" t="str">
        <f>"20190303170241235"</f>
        <v>20190303170241235</v>
      </c>
      <c r="B838" t="str">
        <f>"1551603761227079"</f>
        <v>1551603761227079</v>
      </c>
      <c r="C838" t="s">
        <v>40</v>
      </c>
      <c r="D838">
        <v>4.1748820000000002</v>
      </c>
      <c r="E838">
        <v>0.50239869999999998</v>
      </c>
      <c r="F838" t="s">
        <v>42</v>
      </c>
      <c r="G838">
        <v>-258.48700000000002</v>
      </c>
      <c r="H838" s="1">
        <v>-1.626339E-6</v>
      </c>
      <c r="I838">
        <v>365.38670000000002</v>
      </c>
      <c r="J838">
        <v>-324.4391</v>
      </c>
      <c r="K838">
        <v>1.1203970000000001</v>
      </c>
      <c r="L838">
        <v>367.87599999999998</v>
      </c>
      <c r="M838">
        <v>0.99993960000000004</v>
      </c>
      <c r="N838">
        <v>-1.0180969999999999E-2</v>
      </c>
      <c r="O838">
        <v>4.1556800000000001E-3</v>
      </c>
      <c r="P838">
        <v>0.99075409999999997</v>
      </c>
      <c r="Q838">
        <v>0.1301445</v>
      </c>
      <c r="R838">
        <v>-3.8326789999999999E-2</v>
      </c>
      <c r="S838">
        <v>3.0304259999999998</v>
      </c>
      <c r="T838">
        <v>-5.1304580000000002E-2</v>
      </c>
      <c r="U838">
        <v>-0.1139526</v>
      </c>
      <c r="V838">
        <v>4.2593199999999998E-2</v>
      </c>
      <c r="W838">
        <v>0.14017789999999999</v>
      </c>
      <c r="X838">
        <v>0.98920980000000003</v>
      </c>
      <c r="Y838">
        <v>4.1719270000000003E-2</v>
      </c>
      <c r="Z838">
        <v>-5.9350929999999998E-4</v>
      </c>
      <c r="AA838">
        <v>0.99912920000000005</v>
      </c>
      <c r="AB838">
        <v>37</v>
      </c>
      <c r="AC838">
        <v>65.952099999999902</v>
      </c>
      <c r="AD838">
        <v>-1.12039862633899</v>
      </c>
      <c r="AE838">
        <v>-2.4892999999999499</v>
      </c>
      <c r="AF838">
        <v>2.7625723853836002</v>
      </c>
      <c r="AG838">
        <v>-1.12039862633899</v>
      </c>
      <c r="AH838">
        <v>65.922187474327401</v>
      </c>
      <c r="AI838">
        <v>90.972838706302099</v>
      </c>
      <c r="AJ838">
        <v>87.600334809019898</v>
      </c>
      <c r="AK838">
        <v>65.989559027673096</v>
      </c>
      <c r="AL838">
        <v>81.941859533243004</v>
      </c>
      <c r="AM838">
        <v>87.534492563144298</v>
      </c>
      <c r="AN838">
        <v>1.0000000263753399</v>
      </c>
    </row>
    <row r="839" spans="1:40" x14ac:dyDescent="0.25">
      <c r="A839" t="str">
        <f>"20190303170241247"</f>
        <v>20190303170241247</v>
      </c>
      <c r="B839" t="str">
        <f>"1551603761236840"</f>
        <v>1551603761236840</v>
      </c>
      <c r="C839" t="s">
        <v>40</v>
      </c>
      <c r="D839">
        <v>4.2477109999999998</v>
      </c>
      <c r="E839">
        <v>0.50269379999999997</v>
      </c>
      <c r="F839" t="s">
        <v>42</v>
      </c>
      <c r="G839">
        <v>-258.96929999999998</v>
      </c>
      <c r="H839" s="1">
        <v>-1.460552E-6</v>
      </c>
      <c r="I839">
        <v>365.39299999999997</v>
      </c>
      <c r="J839">
        <v>-324.2473</v>
      </c>
      <c r="K839">
        <v>1.120393</v>
      </c>
      <c r="L839">
        <v>367.8766</v>
      </c>
      <c r="M839">
        <v>0.99994050000000001</v>
      </c>
      <c r="N839">
        <v>-1.020092E-2</v>
      </c>
      <c r="O839">
        <v>3.9070149999999998E-3</v>
      </c>
      <c r="P839">
        <v>0.99073109999999998</v>
      </c>
      <c r="Q839">
        <v>0.1302529</v>
      </c>
      <c r="R839">
        <v>-3.8552719999999999E-2</v>
      </c>
      <c r="S839">
        <v>3.0303650000000002</v>
      </c>
      <c r="T839">
        <v>-5.1859139999999998E-2</v>
      </c>
      <c r="U839">
        <v>-0.1149292</v>
      </c>
      <c r="V839">
        <v>4.2574630000000002E-2</v>
      </c>
      <c r="W839">
        <v>0.14030490000000001</v>
      </c>
      <c r="X839">
        <v>0.98919250000000003</v>
      </c>
      <c r="Y839">
        <v>4.1792889999999999E-2</v>
      </c>
      <c r="Z839">
        <v>-5.977132E-4</v>
      </c>
      <c r="AA839">
        <v>0.99912610000000002</v>
      </c>
      <c r="AB839">
        <v>37</v>
      </c>
      <c r="AC839">
        <v>65.278000000000006</v>
      </c>
      <c r="AD839">
        <v>-1.120394460552</v>
      </c>
      <c r="AE839">
        <v>-2.4835999999999601</v>
      </c>
      <c r="AF839">
        <v>2.7378310426339101</v>
      </c>
      <c r="AG839">
        <v>-1.120394460552</v>
      </c>
      <c r="AH839">
        <v>65.248604383287997</v>
      </c>
      <c r="AI839">
        <v>90.982873832863007</v>
      </c>
      <c r="AJ839">
        <v>87.597278888891495</v>
      </c>
      <c r="AK839">
        <v>65.315628884150499</v>
      </c>
      <c r="AL839">
        <v>81.9345095823017</v>
      </c>
      <c r="AM839">
        <v>87.535523114653998</v>
      </c>
      <c r="AN839">
        <v>0.99999993306994595</v>
      </c>
    </row>
    <row r="840" spans="1:40" x14ac:dyDescent="0.25">
      <c r="A840" t="str">
        <f>"20190303170241259"</f>
        <v>20190303170241259</v>
      </c>
      <c r="B840" t="str">
        <f>"1551603761246600"</f>
        <v>1551603761246600</v>
      </c>
      <c r="C840" t="s">
        <v>40</v>
      </c>
      <c r="D840">
        <v>4.2696350000000001</v>
      </c>
      <c r="E840">
        <v>0.50269379999999997</v>
      </c>
      <c r="F840" t="s">
        <v>42</v>
      </c>
      <c r="G840">
        <v>-260.9092</v>
      </c>
      <c r="H840" s="1">
        <v>-4.6283390000000002E-6</v>
      </c>
      <c r="I840">
        <v>365.4101</v>
      </c>
      <c r="J840">
        <v>-324.06119999999999</v>
      </c>
      <c r="K840">
        <v>1.120387</v>
      </c>
      <c r="L840">
        <v>367.87709999999998</v>
      </c>
      <c r="M840">
        <v>0.99994110000000003</v>
      </c>
      <c r="N840">
        <v>-1.021965E-2</v>
      </c>
      <c r="O840">
        <v>3.6658720000000001E-3</v>
      </c>
      <c r="P840">
        <v>0.99069200000000002</v>
      </c>
      <c r="Q840">
        <v>0.1304718</v>
      </c>
      <c r="R840">
        <v>-3.8810839999999999E-2</v>
      </c>
      <c r="S840">
        <v>3.0305179999999998</v>
      </c>
      <c r="T840">
        <v>-5.3607229999999999E-2</v>
      </c>
      <c r="U840">
        <v>-0.11801150000000001</v>
      </c>
      <c r="V840">
        <v>4.2595550000000003E-2</v>
      </c>
      <c r="W840">
        <v>0.1405419</v>
      </c>
      <c r="X840">
        <v>0.98915799999999998</v>
      </c>
      <c r="Y840">
        <v>4.256397E-2</v>
      </c>
      <c r="Z840">
        <v>-6.2126569999999999E-4</v>
      </c>
      <c r="AA840">
        <v>0.99909349999999997</v>
      </c>
      <c r="AB840">
        <v>37</v>
      </c>
      <c r="AC840">
        <v>63.152000000000001</v>
      </c>
      <c r="AD840">
        <v>-1.1203916283390001</v>
      </c>
      <c r="AE840">
        <v>-2.4669999999999801</v>
      </c>
      <c r="AF840">
        <v>2.6976548583461999</v>
      </c>
      <c r="AG840">
        <v>-1.1203916283390001</v>
      </c>
      <c r="AH840">
        <v>63.1226938545622</v>
      </c>
      <c r="AI840">
        <v>91.015933318739997</v>
      </c>
      <c r="AJ840">
        <v>87.552857276049195</v>
      </c>
      <c r="AK840">
        <v>63.190245280362603</v>
      </c>
      <c r="AL840">
        <v>81.920794950581097</v>
      </c>
      <c r="AM840">
        <v>87.534227740385802</v>
      </c>
      <c r="AN840">
        <v>0.99999997774970495</v>
      </c>
    </row>
    <row r="841" spans="1:40" x14ac:dyDescent="0.25">
      <c r="A841" t="str">
        <f>"20190303170241270"</f>
        <v>20190303170241270</v>
      </c>
      <c r="B841" t="str">
        <f>"1551603761256360"</f>
        <v>1551603761256360</v>
      </c>
      <c r="C841" t="s">
        <v>40</v>
      </c>
      <c r="D841">
        <v>4.2432999999999996</v>
      </c>
      <c r="E841">
        <v>0.54094180000000003</v>
      </c>
      <c r="F841" t="s">
        <v>42</v>
      </c>
      <c r="G841">
        <v>-259.92469999999997</v>
      </c>
      <c r="H841" s="1">
        <v>-1.1439669999999999E-6</v>
      </c>
      <c r="I841">
        <v>365.36079999999998</v>
      </c>
      <c r="J841">
        <v>-323.86380000000003</v>
      </c>
      <c r="K841">
        <v>1.1203890000000001</v>
      </c>
      <c r="L841">
        <v>367.8777</v>
      </c>
      <c r="M841">
        <v>0.99994179999999999</v>
      </c>
      <c r="N841">
        <v>-1.0238270000000001E-2</v>
      </c>
      <c r="O841">
        <v>3.4101309999999998E-3</v>
      </c>
      <c r="P841">
        <v>0.99066259999999995</v>
      </c>
      <c r="Q841">
        <v>0.13073129999999999</v>
      </c>
      <c r="R841">
        <v>-3.8690820000000001E-2</v>
      </c>
      <c r="S841">
        <v>3.0304869999999999</v>
      </c>
      <c r="T841">
        <v>-5.2938939999999997E-2</v>
      </c>
      <c r="U841">
        <v>-0.1188965</v>
      </c>
      <c r="V841">
        <v>4.2223799999999999E-2</v>
      </c>
      <c r="W841">
        <v>0.14081949999999999</v>
      </c>
      <c r="X841">
        <v>0.98913450000000003</v>
      </c>
      <c r="Y841">
        <v>4.2600369999999999E-2</v>
      </c>
      <c r="Z841">
        <v>-6.1475449999999997E-4</v>
      </c>
      <c r="AA841">
        <v>0.99909199999999998</v>
      </c>
      <c r="AB841">
        <v>37</v>
      </c>
      <c r="AC841">
        <v>63.939100000000003</v>
      </c>
      <c r="AD841">
        <v>-1.1203901439670001</v>
      </c>
      <c r="AE841">
        <v>-2.5169000000000201</v>
      </c>
      <c r="AF841">
        <v>2.7340992941839102</v>
      </c>
      <c r="AG841">
        <v>-1.1203901439670001</v>
      </c>
      <c r="AH841">
        <v>63.910551565024598</v>
      </c>
      <c r="AI841">
        <v>91.003408783581605</v>
      </c>
      <c r="AJ841">
        <v>87.550374918644394</v>
      </c>
      <c r="AK841">
        <v>63.978818169538101</v>
      </c>
      <c r="AL841">
        <v>81.904730219045902</v>
      </c>
      <c r="AM841">
        <v>87.555663397524896</v>
      </c>
      <c r="AN841">
        <v>1.00000001997846</v>
      </c>
    </row>
    <row r="842" spans="1:40" x14ac:dyDescent="0.25">
      <c r="A842" t="str">
        <f>"20190303170241281"</f>
        <v>20190303170241281</v>
      </c>
      <c r="B842" t="str">
        <f>"1551603761276856"</f>
        <v>1551603761276856</v>
      </c>
      <c r="C842" t="s">
        <v>40</v>
      </c>
      <c r="D842">
        <v>4.2108449999999999</v>
      </c>
      <c r="E842">
        <v>0.54233500000000001</v>
      </c>
      <c r="F842" t="s">
        <v>43</v>
      </c>
      <c r="G842">
        <v>-323.07780000000002</v>
      </c>
      <c r="H842">
        <v>1.022408</v>
      </c>
      <c r="I842">
        <v>367.77229999999997</v>
      </c>
      <c r="J842">
        <v>-323.68920000000003</v>
      </c>
      <c r="K842">
        <v>1.1203860000000001</v>
      </c>
      <c r="L842">
        <v>367.87810000000002</v>
      </c>
      <c r="M842">
        <v>0.99994240000000001</v>
      </c>
      <c r="N842">
        <v>-1.0253740000000001E-2</v>
      </c>
      <c r="O842">
        <v>3.184456E-3</v>
      </c>
      <c r="P842">
        <v>0.99064940000000001</v>
      </c>
      <c r="Q842">
        <v>0.1308617</v>
      </c>
      <c r="R842">
        <v>-3.8589859999999997E-2</v>
      </c>
      <c r="S842">
        <v>3.0626829999999998</v>
      </c>
      <c r="T842">
        <v>-0.38188509999999998</v>
      </c>
      <c r="U842">
        <v>-0.4096069</v>
      </c>
      <c r="V842">
        <v>4.19005E-2</v>
      </c>
      <c r="W842">
        <v>0.14096529999999999</v>
      </c>
      <c r="X842">
        <v>0.98912750000000005</v>
      </c>
      <c r="Y842">
        <v>0.13458629999999999</v>
      </c>
      <c r="Z842">
        <v>-9.3791240000000008E-3</v>
      </c>
      <c r="AA842">
        <v>0.99085749999999995</v>
      </c>
      <c r="AB842">
        <v>37</v>
      </c>
      <c r="AC842">
        <v>0.61140000000000305</v>
      </c>
      <c r="AD842">
        <v>-9.7978000000000107E-2</v>
      </c>
      <c r="AE842">
        <v>-0.105800000000044</v>
      </c>
      <c r="AF842">
        <v>0.10512534445324299</v>
      </c>
      <c r="AG842">
        <v>-9.7978000000000107E-2</v>
      </c>
      <c r="AH842">
        <v>0.59619444079975004</v>
      </c>
      <c r="AI842">
        <v>99.193169361658704</v>
      </c>
      <c r="AJ842">
        <v>79.999983335766998</v>
      </c>
      <c r="AK842">
        <v>0.61326897669044</v>
      </c>
      <c r="AL842">
        <v>81.896292484949697</v>
      </c>
      <c r="AM842">
        <v>87.574339654279498</v>
      </c>
      <c r="AN842">
        <v>1.0000000394802899</v>
      </c>
    </row>
    <row r="843" spans="1:40" x14ac:dyDescent="0.25">
      <c r="A843" t="str">
        <f>"20190303170241293"</f>
        <v>20190303170241293</v>
      </c>
      <c r="B843" t="str">
        <f>"1551603761286615"</f>
        <v>1551603761286615</v>
      </c>
      <c r="C843" t="s">
        <v>40</v>
      </c>
      <c r="D843">
        <v>4.2286789999999996</v>
      </c>
      <c r="E843">
        <v>0.54212019999999905</v>
      </c>
      <c r="F843" t="s">
        <v>43</v>
      </c>
      <c r="G843">
        <v>-322.77159999999998</v>
      </c>
      <c r="H843">
        <v>0.97745669999999996</v>
      </c>
      <c r="I843">
        <v>367.7534</v>
      </c>
      <c r="J843">
        <v>-323.4796</v>
      </c>
      <c r="K843">
        <v>1.120384</v>
      </c>
      <c r="L843">
        <v>367.87849999999997</v>
      </c>
      <c r="M843">
        <v>0.99994300000000003</v>
      </c>
      <c r="N843">
        <v>-1.0271600000000001E-2</v>
      </c>
      <c r="O843">
        <v>2.913938E-3</v>
      </c>
      <c r="P843">
        <v>0.99063120000000005</v>
      </c>
      <c r="Q843">
        <v>0.13095490000000001</v>
      </c>
      <c r="R843">
        <v>-3.8740280000000002E-2</v>
      </c>
      <c r="S843">
        <v>3.0754090000000001</v>
      </c>
      <c r="T843">
        <v>-0.4791899</v>
      </c>
      <c r="U843">
        <v>-0.41632079999999999</v>
      </c>
      <c r="V843">
        <v>4.1784469999999997E-2</v>
      </c>
      <c r="W843">
        <v>0.141075799999999</v>
      </c>
      <c r="X843">
        <v>0.98911660000000001</v>
      </c>
      <c r="Y843">
        <v>0.13529249999999901</v>
      </c>
      <c r="Z843">
        <v>-1.155232E-2</v>
      </c>
      <c r="AA843">
        <v>0.99073829999999996</v>
      </c>
      <c r="AB843">
        <v>37</v>
      </c>
      <c r="AC843">
        <v>0.70800000000002605</v>
      </c>
      <c r="AD843">
        <v>-0.14292730000000001</v>
      </c>
      <c r="AE843">
        <v>-0.12509999999997401</v>
      </c>
      <c r="AF843">
        <v>0.122328286007003</v>
      </c>
      <c r="AG843">
        <v>-0.14292730000000001</v>
      </c>
      <c r="AH843">
        <v>0.68073028129088298</v>
      </c>
      <c r="AI843">
        <v>101.675908118531</v>
      </c>
      <c r="AJ843">
        <v>79.812590469864801</v>
      </c>
      <c r="AK843">
        <v>0.70624792991488905</v>
      </c>
      <c r="AL843">
        <v>81.889896955316701</v>
      </c>
      <c r="AM843">
        <v>87.581022127862795</v>
      </c>
      <c r="AN843">
        <v>0.99999998583718996</v>
      </c>
    </row>
    <row r="844" spans="1:40" x14ac:dyDescent="0.25">
      <c r="A844" t="str">
        <f>"20190303170241306"</f>
        <v>20190303170241306</v>
      </c>
      <c r="B844" t="str">
        <f>"1551603761296376"</f>
        <v>1551603761296376</v>
      </c>
      <c r="C844" t="s">
        <v>40</v>
      </c>
      <c r="D844">
        <v>4.2378080000000002</v>
      </c>
      <c r="E844">
        <v>0.54211339999999997</v>
      </c>
      <c r="F844" t="s">
        <v>43</v>
      </c>
      <c r="G844">
        <v>-322.76119999999997</v>
      </c>
      <c r="H844">
        <v>1.0002599999999999</v>
      </c>
      <c r="I844">
        <v>367.78160000000003</v>
      </c>
      <c r="J844">
        <v>-323.2944</v>
      </c>
      <c r="K844">
        <v>1.120385</v>
      </c>
      <c r="L844">
        <v>367.87889999999999</v>
      </c>
      <c r="M844">
        <v>0.99994349999999999</v>
      </c>
      <c r="N844">
        <v>-1.0285839999999999E-2</v>
      </c>
      <c r="O844">
        <v>2.675462E-3</v>
      </c>
      <c r="P844">
        <v>0.99064039999999998</v>
      </c>
      <c r="Q844">
        <v>0.13099069999999999</v>
      </c>
      <c r="R844">
        <v>-3.8377840000000003E-2</v>
      </c>
      <c r="S844">
        <v>3.080292</v>
      </c>
      <c r="T844">
        <v>-0.51519729999999997</v>
      </c>
      <c r="U844">
        <v>-0.41345209999999999</v>
      </c>
      <c r="V844">
        <v>4.118691E-2</v>
      </c>
      <c r="W844">
        <v>0.141125799999999</v>
      </c>
      <c r="X844">
        <v>0.98913459999999997</v>
      </c>
      <c r="Y844">
        <v>0.133711</v>
      </c>
      <c r="Z844">
        <v>-1.2167249999999999E-2</v>
      </c>
      <c r="AA844">
        <v>0.99094570000000004</v>
      </c>
      <c r="AB844">
        <v>37</v>
      </c>
      <c r="AC844">
        <v>0.53320000000002199</v>
      </c>
      <c r="AD844">
        <v>-0.120125</v>
      </c>
      <c r="AE844">
        <v>-9.7299999999961501E-2</v>
      </c>
      <c r="AF844">
        <v>9.4103882796567007E-2</v>
      </c>
      <c r="AG844">
        <v>-0.120125</v>
      </c>
      <c r="AH844">
        <v>0.50798541429261901</v>
      </c>
      <c r="AI844">
        <v>103.089673194602</v>
      </c>
      <c r="AJ844">
        <v>79.504977821320907</v>
      </c>
      <c r="AK844">
        <v>0.53040997116988098</v>
      </c>
      <c r="AL844">
        <v>81.887003779589094</v>
      </c>
      <c r="AM844">
        <v>87.615619071276797</v>
      </c>
      <c r="AN844">
        <v>1.00000005494907</v>
      </c>
    </row>
    <row r="845" spans="1:40" x14ac:dyDescent="0.25">
      <c r="A845" t="str">
        <f>"20190303170241317"</f>
        <v>20190303170241317</v>
      </c>
      <c r="B845" t="str">
        <f>"1551603761307112"</f>
        <v>1551603761307112</v>
      </c>
      <c r="C845" t="s">
        <v>40</v>
      </c>
      <c r="D845">
        <v>4.2247729999999999</v>
      </c>
      <c r="E845">
        <v>0.54218149999999998</v>
      </c>
      <c r="F845" t="s">
        <v>43</v>
      </c>
      <c r="G845">
        <v>-322.44650000000001</v>
      </c>
      <c r="H845">
        <v>0.97239399999999998</v>
      </c>
      <c r="I845">
        <v>367.76549999999997</v>
      </c>
      <c r="J845">
        <v>-323.10840000000002</v>
      </c>
      <c r="K845">
        <v>1.1203829999999999</v>
      </c>
      <c r="L845">
        <v>367.87920000000003</v>
      </c>
      <c r="M845">
        <v>0.99994400000000006</v>
      </c>
      <c r="N845">
        <v>-1.029981E-2</v>
      </c>
      <c r="O845">
        <v>2.4360950000000001E-3</v>
      </c>
      <c r="P845">
        <v>0.99066520000000002</v>
      </c>
      <c r="Q845">
        <v>0.13079089999999999</v>
      </c>
      <c r="R845">
        <v>-3.8420990000000002E-2</v>
      </c>
      <c r="S845">
        <v>3.0835880000000002</v>
      </c>
      <c r="T845">
        <v>-0.53834139999999997</v>
      </c>
      <c r="U845">
        <v>-0.41122439999999999</v>
      </c>
      <c r="V845">
        <v>4.0993790000000002E-2</v>
      </c>
      <c r="W845">
        <v>0.14094029999999999</v>
      </c>
      <c r="X845">
        <v>0.98916899999999996</v>
      </c>
      <c r="Y845">
        <v>0.132482399999999</v>
      </c>
      <c r="Z845">
        <v>-1.251444E-2</v>
      </c>
      <c r="AA845">
        <v>0.9911063</v>
      </c>
      <c r="AB845">
        <v>37</v>
      </c>
      <c r="AC845">
        <v>0.66190000000000204</v>
      </c>
      <c r="AD845">
        <v>-0.14798899999999901</v>
      </c>
      <c r="AE845">
        <v>-0.113700000000051</v>
      </c>
      <c r="AF845">
        <v>0.109972361903036</v>
      </c>
      <c r="AG845">
        <v>-0.14798899999999901</v>
      </c>
      <c r="AH845">
        <v>0.63098291871905299</v>
      </c>
      <c r="AI845">
        <v>103.010120094242</v>
      </c>
      <c r="AJ845">
        <v>80.113375942003799</v>
      </c>
      <c r="AK845">
        <v>0.65736908066834698</v>
      </c>
      <c r="AL845">
        <v>81.897738877923004</v>
      </c>
      <c r="AM845">
        <v>87.626868744694406</v>
      </c>
      <c r="AN845">
        <v>0.99999998477182594</v>
      </c>
    </row>
    <row r="846" spans="1:40" x14ac:dyDescent="0.25">
      <c r="A846" t="str">
        <f>"20190303170241327"</f>
        <v>20190303170241327</v>
      </c>
      <c r="B846" t="str">
        <f>"1551603761316872"</f>
        <v>1551603761316872</v>
      </c>
      <c r="C846" t="s">
        <v>40</v>
      </c>
      <c r="D846">
        <v>4.2327810000000001</v>
      </c>
      <c r="E846">
        <v>0.54226770000000002</v>
      </c>
      <c r="F846" t="s">
        <v>43</v>
      </c>
      <c r="G846">
        <v>-322.13119999999998</v>
      </c>
      <c r="H846">
        <v>0.94419489999999995</v>
      </c>
      <c r="I846">
        <v>367.74869999999999</v>
      </c>
      <c r="J846">
        <v>-322.92950000000002</v>
      </c>
      <c r="K846">
        <v>1.120384</v>
      </c>
      <c r="L846">
        <v>367.87939999999998</v>
      </c>
      <c r="M846">
        <v>0.99994439999999996</v>
      </c>
      <c r="N846">
        <v>-1.031221E-2</v>
      </c>
      <c r="O846">
        <v>2.2059829999999999E-3</v>
      </c>
      <c r="P846">
        <v>0.99068659999999997</v>
      </c>
      <c r="Q846">
        <v>0.130667899999999</v>
      </c>
      <c r="R846">
        <v>-3.8290240000000003E-2</v>
      </c>
      <c r="S846">
        <v>3.0858150000000002</v>
      </c>
      <c r="T846">
        <v>-0.5565002</v>
      </c>
      <c r="U846">
        <v>-0.41091919999999998</v>
      </c>
      <c r="V846">
        <v>4.063576E-2</v>
      </c>
      <c r="W846">
        <v>0.14083029999999999</v>
      </c>
      <c r="X846">
        <v>0.98919950000000001</v>
      </c>
      <c r="Y846">
        <v>0.13193920000000001</v>
      </c>
      <c r="Z846">
        <v>-1.281067E-2</v>
      </c>
      <c r="AA846">
        <v>0.99117509999999998</v>
      </c>
      <c r="AB846">
        <v>37</v>
      </c>
      <c r="AC846">
        <v>0.79830000000003998</v>
      </c>
      <c r="AD846">
        <v>-0.17618909999999999</v>
      </c>
      <c r="AE846">
        <v>-0.13069999999998999</v>
      </c>
      <c r="AF846">
        <v>0.12646157050545001</v>
      </c>
      <c r="AG846">
        <v>-0.17618909999999999</v>
      </c>
      <c r="AH846">
        <v>0.76186731078601999</v>
      </c>
      <c r="AI846">
        <v>102.851401338472</v>
      </c>
      <c r="AJ846">
        <v>80.575461638097096</v>
      </c>
      <c r="AK846">
        <v>0.79213441221666203</v>
      </c>
      <c r="AL846">
        <v>81.904105396610106</v>
      </c>
      <c r="AM846">
        <v>87.647644171715996</v>
      </c>
      <c r="AN846">
        <v>1.0000000445945501</v>
      </c>
    </row>
    <row r="847" spans="1:40" x14ac:dyDescent="0.25">
      <c r="A847" t="str">
        <f>"20190303170241344"</f>
        <v>20190303170241344</v>
      </c>
      <c r="B847" t="str">
        <f>"1551603761336392"</f>
        <v>1551603761336392</v>
      </c>
      <c r="C847" t="s">
        <v>40</v>
      </c>
      <c r="D847">
        <v>4.2124360000000003</v>
      </c>
      <c r="E847">
        <v>0.54251139999999998</v>
      </c>
      <c r="F847" t="s">
        <v>43</v>
      </c>
      <c r="G847">
        <v>-322.1191</v>
      </c>
      <c r="H847">
        <v>0.97116480000000005</v>
      </c>
      <c r="I847">
        <v>367.77109999999999</v>
      </c>
      <c r="J847">
        <v>-322.67129999999997</v>
      </c>
      <c r="K847">
        <v>1.120382</v>
      </c>
      <c r="L847">
        <v>367.87970000000001</v>
      </c>
      <c r="M847">
        <v>0.99994490000000003</v>
      </c>
      <c r="N847">
        <v>-1.032921E-2</v>
      </c>
      <c r="O847">
        <v>1.8742120000000001E-3</v>
      </c>
      <c r="P847">
        <v>0.99067669999999997</v>
      </c>
      <c r="Q847">
        <v>0.13080710000000001</v>
      </c>
      <c r="R847">
        <v>-3.807079E-2</v>
      </c>
      <c r="S847">
        <v>3.0873409999999999</v>
      </c>
      <c r="T847">
        <v>-0.56865059999999901</v>
      </c>
      <c r="U847">
        <v>-0.41094969999999997</v>
      </c>
      <c r="V847">
        <v>4.0088869999999999E-2</v>
      </c>
      <c r="W847">
        <v>0.140987</v>
      </c>
      <c r="X847">
        <v>0.98919950000000001</v>
      </c>
      <c r="Y847">
        <v>0.13147519999999999</v>
      </c>
      <c r="Z847">
        <v>-1.2965300000000001E-2</v>
      </c>
      <c r="AA847">
        <v>0.99123470000000002</v>
      </c>
      <c r="AB847">
        <v>37</v>
      </c>
      <c r="AC847">
        <v>0.55219999999997005</v>
      </c>
      <c r="AD847">
        <v>-0.149217199999999</v>
      </c>
      <c r="AE847">
        <v>-0.108600000000024</v>
      </c>
      <c r="AF847">
        <v>0.102433580907717</v>
      </c>
      <c r="AG847">
        <v>-0.149217199999999</v>
      </c>
      <c r="AH847">
        <v>0.51573835506819199</v>
      </c>
      <c r="AI847">
        <v>105.843098760415</v>
      </c>
      <c r="AJ847">
        <v>78.7663681826795</v>
      </c>
      <c r="AK847">
        <v>0.54657521180699498</v>
      </c>
      <c r="AL847">
        <v>81.895036720194696</v>
      </c>
      <c r="AM847">
        <v>87.679268132750195</v>
      </c>
      <c r="AN847">
        <v>1.0000000512335601</v>
      </c>
    </row>
    <row r="848" spans="1:40" x14ac:dyDescent="0.25">
      <c r="A848" t="str">
        <f>"20190303170241355"</f>
        <v>20190303170241355</v>
      </c>
      <c r="B848" t="str">
        <f>"1551603761346152"</f>
        <v>1551603761346152</v>
      </c>
      <c r="C848" t="s">
        <v>40</v>
      </c>
      <c r="D848">
        <v>4.2003680000000001</v>
      </c>
      <c r="E848">
        <v>0.54272140000000002</v>
      </c>
      <c r="F848" t="s">
        <v>43</v>
      </c>
      <c r="G848">
        <v>-321.79860000000002</v>
      </c>
      <c r="H848">
        <v>0.95429920000000001</v>
      </c>
      <c r="I848">
        <v>367.76319999999998</v>
      </c>
      <c r="J848">
        <v>-322.48390000000001</v>
      </c>
      <c r="K848">
        <v>1.1203829999999999</v>
      </c>
      <c r="L848">
        <v>367.87990000000002</v>
      </c>
      <c r="M848">
        <v>0.99994530000000004</v>
      </c>
      <c r="N848">
        <v>-1.0341019999999999E-2</v>
      </c>
      <c r="O848">
        <v>1.633439E-3</v>
      </c>
      <c r="P848">
        <v>0.99062320000000004</v>
      </c>
      <c r="Q848">
        <v>0.13118060000000001</v>
      </c>
      <c r="R848">
        <v>-3.81803E-2</v>
      </c>
      <c r="S848">
        <v>3.0900569999999998</v>
      </c>
      <c r="T848">
        <v>-0.58816190000000002</v>
      </c>
      <c r="U848">
        <v>-0.41143800000000003</v>
      </c>
      <c r="V848">
        <v>3.9960719999999998E-2</v>
      </c>
      <c r="W848">
        <v>0.14137130000000001</v>
      </c>
      <c r="X848">
        <v>0.98914979999999997</v>
      </c>
      <c r="Y848">
        <v>0.131134</v>
      </c>
      <c r="Z848">
        <v>-1.329352E-2</v>
      </c>
      <c r="AA848">
        <v>0.99127549999999998</v>
      </c>
      <c r="AB848">
        <v>37</v>
      </c>
      <c r="AC848">
        <v>0.68529999999998303</v>
      </c>
      <c r="AD848">
        <v>-0.166083799999999</v>
      </c>
      <c r="AE848">
        <v>-0.116700000000037</v>
      </c>
      <c r="AF848">
        <v>0.111457395954541</v>
      </c>
      <c r="AG848">
        <v>-0.166083799999999</v>
      </c>
      <c r="AH848">
        <v>0.64811456421027103</v>
      </c>
      <c r="AI848">
        <v>104.173647948561</v>
      </c>
      <c r="AJ848">
        <v>80.242190824000801</v>
      </c>
      <c r="AK848">
        <v>0.67827654247871205</v>
      </c>
      <c r="AL848">
        <v>81.872794888688205</v>
      </c>
      <c r="AM848">
        <v>87.6865625158364</v>
      </c>
      <c r="AN848">
        <v>1.0000000152233199</v>
      </c>
    </row>
    <row r="849" spans="1:40" x14ac:dyDescent="0.25">
      <c r="A849" t="str">
        <f>"20190303170241367"</f>
        <v>20190303170241367</v>
      </c>
      <c r="B849" t="str">
        <f>"1551603761356888"</f>
        <v>1551603761356888</v>
      </c>
      <c r="C849" t="s">
        <v>40</v>
      </c>
      <c r="D849">
        <v>4.2036579999999999</v>
      </c>
      <c r="E849">
        <v>0.54293899999999995</v>
      </c>
      <c r="F849" t="s">
        <v>43</v>
      </c>
      <c r="G849">
        <v>-321.4819</v>
      </c>
      <c r="H849">
        <v>0.92764369999999996</v>
      </c>
      <c r="I849">
        <v>367.74560000000002</v>
      </c>
      <c r="J849">
        <v>-322.27030000000002</v>
      </c>
      <c r="K849">
        <v>1.120387</v>
      </c>
      <c r="L849">
        <v>367.87990000000002</v>
      </c>
      <c r="M849">
        <v>0.99994550000000004</v>
      </c>
      <c r="N849">
        <v>-1.035312E-2</v>
      </c>
      <c r="O849">
        <v>1.3589349999999999E-3</v>
      </c>
      <c r="P849">
        <v>0.99058990000000002</v>
      </c>
      <c r="Q849">
        <v>0.13135859999999999</v>
      </c>
      <c r="R849">
        <v>-3.8427570000000001E-2</v>
      </c>
      <c r="S849">
        <v>3.0912169999999999</v>
      </c>
      <c r="T849">
        <v>-0.59469349999999999</v>
      </c>
      <c r="U849">
        <v>-0.41308590000000001</v>
      </c>
      <c r="V849">
        <v>3.9936899999999997E-2</v>
      </c>
      <c r="W849">
        <v>0.14156099999999999</v>
      </c>
      <c r="X849">
        <v>0.98912359999999999</v>
      </c>
      <c r="Y849">
        <v>0.1312827</v>
      </c>
      <c r="Z849">
        <v>-1.3392650000000001E-2</v>
      </c>
      <c r="AA849">
        <v>0.99125450000000004</v>
      </c>
      <c r="AB849">
        <v>37</v>
      </c>
      <c r="AC849">
        <v>0.78840000000002397</v>
      </c>
      <c r="AD849">
        <v>-0.19274330000000001</v>
      </c>
      <c r="AE849">
        <v>-0.13429999999999601</v>
      </c>
      <c r="AF849">
        <v>0.12794027268051</v>
      </c>
      <c r="AG849">
        <v>-0.19274330000000001</v>
      </c>
      <c r="AH849">
        <v>0.74494854990207804</v>
      </c>
      <c r="AI849">
        <v>104.305568125775</v>
      </c>
      <c r="AJ849">
        <v>80.2548783803025</v>
      </c>
      <c r="AK849">
        <v>0.78004297001489797</v>
      </c>
      <c r="AL849">
        <v>81.861815207751803</v>
      </c>
      <c r="AM849">
        <v>87.687878849462805</v>
      </c>
      <c r="AN849">
        <v>0.99999998438978399</v>
      </c>
    </row>
    <row r="850" spans="1:40" x14ac:dyDescent="0.25">
      <c r="A850" t="str">
        <f>"20190303170241389"</f>
        <v>20190303170241389</v>
      </c>
      <c r="B850" t="str">
        <f>"1551603761376407"</f>
        <v>1551603761376407</v>
      </c>
      <c r="C850" t="s">
        <v>40</v>
      </c>
      <c r="D850">
        <v>4.2229210000000004</v>
      </c>
      <c r="E850">
        <v>0.543049</v>
      </c>
      <c r="F850" t="s">
        <v>43</v>
      </c>
      <c r="G850">
        <v>-321.46550000000002</v>
      </c>
      <c r="H850">
        <v>0.96419169999999998</v>
      </c>
      <c r="I850">
        <v>367.77159999999998</v>
      </c>
      <c r="J850">
        <v>-321.93360000000001</v>
      </c>
      <c r="K850">
        <v>1.12039</v>
      </c>
      <c r="L850">
        <v>367.88</v>
      </c>
      <c r="M850">
        <v>0.9999458</v>
      </c>
      <c r="N850">
        <v>-1.0371E-2</v>
      </c>
      <c r="O850">
        <v>9.2631889999999996E-4</v>
      </c>
      <c r="P850">
        <v>0.9905562</v>
      </c>
      <c r="Q850">
        <v>0.1314147</v>
      </c>
      <c r="R850">
        <v>-3.9098359999999999E-2</v>
      </c>
      <c r="S850">
        <v>3.0920100000000001</v>
      </c>
      <c r="T850">
        <v>-0.60024480000000002</v>
      </c>
      <c r="U850">
        <v>-0.41494750000000002</v>
      </c>
      <c r="V850">
        <v>4.0180010000000002E-2</v>
      </c>
      <c r="W850">
        <v>0.1416338</v>
      </c>
      <c r="X850">
        <v>0.98910339999999997</v>
      </c>
      <c r="Y850">
        <v>0.13136789999999901</v>
      </c>
      <c r="Z850">
        <v>-1.3437019999999999E-2</v>
      </c>
      <c r="AA850">
        <v>0.99124259999999997</v>
      </c>
      <c r="AB850">
        <v>37</v>
      </c>
      <c r="AC850">
        <v>0.46809999999999202</v>
      </c>
      <c r="AD850">
        <v>-0.15619829999999901</v>
      </c>
      <c r="AE850">
        <v>-0.108400000000017</v>
      </c>
      <c r="AF850">
        <v>9.8431452771839303E-2</v>
      </c>
      <c r="AG850">
        <v>-0.15619829999999901</v>
      </c>
      <c r="AH850">
        <v>0.42326877530144302</v>
      </c>
      <c r="AI850">
        <v>109.77033726446901</v>
      </c>
      <c r="AJ850">
        <v>76.908510961923497</v>
      </c>
      <c r="AK850">
        <v>0.46178254185584799</v>
      </c>
      <c r="AL850">
        <v>81.857602167889695</v>
      </c>
      <c r="AM850">
        <v>87.673772112602293</v>
      </c>
      <c r="AN850">
        <v>1.0000000511987901</v>
      </c>
    </row>
    <row r="851" spans="1:40" x14ac:dyDescent="0.25">
      <c r="A851" t="str">
        <f>"20190303170241403"</f>
        <v>20190303170241403</v>
      </c>
      <c r="B851" t="str">
        <f>"1551603761396906"</f>
        <v>1551603761396906</v>
      </c>
      <c r="C851" t="s">
        <v>40</v>
      </c>
      <c r="D851">
        <v>4.1972889999999996</v>
      </c>
      <c r="E851">
        <v>0.54325040000000002</v>
      </c>
      <c r="F851" t="s">
        <v>43</v>
      </c>
      <c r="G851">
        <v>-321.13709999999998</v>
      </c>
      <c r="H851">
        <v>0.96325680000000002</v>
      </c>
      <c r="I851">
        <v>367.7724</v>
      </c>
      <c r="J851">
        <v>-321.70010000000002</v>
      </c>
      <c r="K851">
        <v>1.1203890000000001</v>
      </c>
      <c r="L851">
        <v>367.88</v>
      </c>
      <c r="M851">
        <v>0.99994609999999995</v>
      </c>
      <c r="N851">
        <v>-1.038238E-2</v>
      </c>
      <c r="O851">
        <v>6.2595299999999995E-4</v>
      </c>
      <c r="P851">
        <v>0.99057130000000004</v>
      </c>
      <c r="Q851">
        <v>0.13115009999999999</v>
      </c>
      <c r="R851">
        <v>-3.9600360000000001E-2</v>
      </c>
      <c r="S851">
        <v>3.0930789999999999</v>
      </c>
      <c r="T851">
        <v>-0.61026999999999998</v>
      </c>
      <c r="U851">
        <v>-0.41732789999999997</v>
      </c>
      <c r="V851">
        <v>4.0384780000000002E-2</v>
      </c>
      <c r="W851">
        <v>0.1413807</v>
      </c>
      <c r="X851">
        <v>0.98913119999999999</v>
      </c>
      <c r="Y851">
        <v>0.1316918</v>
      </c>
      <c r="Z851">
        <v>-1.361995E-2</v>
      </c>
      <c r="AA851">
        <v>0.99119710000000005</v>
      </c>
      <c r="AB851">
        <v>37</v>
      </c>
      <c r="AC851">
        <v>0.56300000000004502</v>
      </c>
      <c r="AD851">
        <v>-0.157132199999999</v>
      </c>
      <c r="AE851">
        <v>-0.10759999999999</v>
      </c>
      <c r="AF851">
        <v>0.100406767672508</v>
      </c>
      <c r="AG851">
        <v>-0.157132199999999</v>
      </c>
      <c r="AH851">
        <v>0.52358475769250301</v>
      </c>
      <c r="AI851">
        <v>106.42224202495299</v>
      </c>
      <c r="AJ851">
        <v>79.144298837382493</v>
      </c>
      <c r="AK851">
        <v>0.55579946541823699</v>
      </c>
      <c r="AL851">
        <v>81.872250570481796</v>
      </c>
      <c r="AM851">
        <v>87.661995684715606</v>
      </c>
      <c r="AN851">
        <v>0.99999998180078897</v>
      </c>
    </row>
    <row r="852" spans="1:40" x14ac:dyDescent="0.25">
      <c r="A852" t="str">
        <f>"20190303170241414"</f>
        <v>20190303170241414</v>
      </c>
      <c r="B852" t="str">
        <f>"1551603761406664"</f>
        <v>1551603761406664</v>
      </c>
      <c r="C852" t="s">
        <v>40</v>
      </c>
      <c r="D852">
        <v>4.185066</v>
      </c>
      <c r="E852">
        <v>0.54339249999999995</v>
      </c>
      <c r="F852" t="s">
        <v>43</v>
      </c>
      <c r="G852">
        <v>-320.81689999999998</v>
      </c>
      <c r="H852">
        <v>0.94378079999999998</v>
      </c>
      <c r="I852">
        <v>367.75970000000001</v>
      </c>
      <c r="J852">
        <v>-321.50200000000001</v>
      </c>
      <c r="K852">
        <v>1.120387</v>
      </c>
      <c r="L852">
        <v>367.87990000000002</v>
      </c>
      <c r="M852">
        <v>0.99994609999999995</v>
      </c>
      <c r="N852">
        <v>-1.0391610000000001E-2</v>
      </c>
      <c r="O852">
        <v>3.7120019999999998E-4</v>
      </c>
      <c r="P852">
        <v>0.99053310000000006</v>
      </c>
      <c r="Q852">
        <v>0.1312933</v>
      </c>
      <c r="R852">
        <v>-4.0077920000000003E-2</v>
      </c>
      <c r="S852">
        <v>3.0936889999999999</v>
      </c>
      <c r="T852">
        <v>-0.61877199999999999</v>
      </c>
      <c r="U852">
        <v>-0.41992190000000001</v>
      </c>
      <c r="V852">
        <v>4.0610510000000002E-2</v>
      </c>
      <c r="W852">
        <v>0.1415323</v>
      </c>
      <c r="X852">
        <v>0.98910030000000004</v>
      </c>
      <c r="Y852">
        <v>0.1321543</v>
      </c>
      <c r="Z852">
        <v>-1.379471E-2</v>
      </c>
      <c r="AA852">
        <v>0.99113320000000005</v>
      </c>
      <c r="AB852">
        <v>37</v>
      </c>
      <c r="AC852">
        <v>0.68510000000003402</v>
      </c>
      <c r="AD852">
        <v>-0.17660619999999899</v>
      </c>
      <c r="AE852">
        <v>-0.12020000000001101</v>
      </c>
      <c r="AF852">
        <v>0.113159282808988</v>
      </c>
      <c r="AG852">
        <v>-0.17660619999999899</v>
      </c>
      <c r="AH852">
        <v>0.64356656947902502</v>
      </c>
      <c r="AI852">
        <v>105.124087125587</v>
      </c>
      <c r="AJ852">
        <v>80.027534600934601</v>
      </c>
      <c r="AK852">
        <v>0.67688455626885502</v>
      </c>
      <c r="AL852">
        <v>81.863476485861895</v>
      </c>
      <c r="AM852">
        <v>87.648868709497194</v>
      </c>
      <c r="AN852">
        <v>1.00000000446292</v>
      </c>
    </row>
    <row r="853" spans="1:40" x14ac:dyDescent="0.25">
      <c r="A853" t="str">
        <f>"20190303170241426"</f>
        <v>20190303170241426</v>
      </c>
      <c r="B853" t="str">
        <f>"1551603761416425"</f>
        <v>1551603761416425</v>
      </c>
      <c r="C853" t="s">
        <v>40</v>
      </c>
      <c r="D853">
        <v>4.2052820000000004</v>
      </c>
      <c r="E853">
        <v>0.54353079999999998</v>
      </c>
      <c r="F853" t="s">
        <v>43</v>
      </c>
      <c r="G853">
        <v>-320.80029999999999</v>
      </c>
      <c r="H853">
        <v>0.97951500000000002</v>
      </c>
      <c r="I853">
        <v>367.78379999999999</v>
      </c>
      <c r="J853">
        <v>-321.3202</v>
      </c>
      <c r="K853">
        <v>1.120387</v>
      </c>
      <c r="L853">
        <v>367.87970000000001</v>
      </c>
      <c r="M853">
        <v>0.99994609999999995</v>
      </c>
      <c r="N853">
        <v>-1.039933E-2</v>
      </c>
      <c r="O853">
        <v>1.37499599999999E-4</v>
      </c>
      <c r="P853">
        <v>0.99050380000000005</v>
      </c>
      <c r="Q853">
        <v>0.13137109999999999</v>
      </c>
      <c r="R853">
        <v>-4.0547949999999999E-2</v>
      </c>
      <c r="S853">
        <v>3.0939640000000002</v>
      </c>
      <c r="T853">
        <v>-0.62133240000000001</v>
      </c>
      <c r="U853">
        <v>-0.42190549999999999</v>
      </c>
      <c r="V853">
        <v>4.0849339999999998E-2</v>
      </c>
      <c r="W853">
        <v>0.14161670000000001</v>
      </c>
      <c r="X853">
        <v>0.98907829999999997</v>
      </c>
      <c r="Y853">
        <v>0.1325105</v>
      </c>
      <c r="Z853">
        <v>-1.384006E-2</v>
      </c>
      <c r="AA853">
        <v>0.99108499999999999</v>
      </c>
      <c r="AB853">
        <v>37</v>
      </c>
      <c r="AC853">
        <v>0.51990000000000602</v>
      </c>
      <c r="AD853">
        <v>-0.140872</v>
      </c>
      <c r="AE853">
        <v>-9.5900000000028698E-2</v>
      </c>
      <c r="AF853">
        <v>8.9608954963245099E-2</v>
      </c>
      <c r="AG853">
        <v>-0.140872</v>
      </c>
      <c r="AH853">
        <v>0.48542034795794498</v>
      </c>
      <c r="AI853">
        <v>105.92791784641901</v>
      </c>
      <c r="AJ853">
        <v>79.540902383261795</v>
      </c>
      <c r="AK853">
        <v>0.51332991282918405</v>
      </c>
      <c r="AL853">
        <v>81.858590833947602</v>
      </c>
      <c r="AM853">
        <v>87.635004840172499</v>
      </c>
      <c r="AN853">
        <v>0.99999992091410395</v>
      </c>
    </row>
    <row r="854" spans="1:40" x14ac:dyDescent="0.25">
      <c r="A854" t="str">
        <f>"20190303170241436"</f>
        <v>20190303170241436</v>
      </c>
      <c r="B854" t="str">
        <f>"1551603761426184"</f>
        <v>1551603761426184</v>
      </c>
      <c r="C854" t="s">
        <v>40</v>
      </c>
      <c r="D854">
        <v>4.2252809999999998</v>
      </c>
      <c r="E854">
        <v>0.54369749999999994</v>
      </c>
      <c r="F854" t="s">
        <v>43</v>
      </c>
      <c r="G854">
        <v>-320.48390000000001</v>
      </c>
      <c r="H854">
        <v>0.95183779999999996</v>
      </c>
      <c r="I854">
        <v>367.76490000000001</v>
      </c>
      <c r="J854">
        <v>-321.14190000000002</v>
      </c>
      <c r="K854">
        <v>1.1203749999999999</v>
      </c>
      <c r="L854">
        <v>367.87959999999998</v>
      </c>
      <c r="M854">
        <v>0.99994649999999996</v>
      </c>
      <c r="N854">
        <v>-1.0353019999999999E-2</v>
      </c>
      <c r="O854" s="1">
        <v>-9.3018130000000005E-5</v>
      </c>
      <c r="P854">
        <v>0.99048829999999999</v>
      </c>
      <c r="Q854">
        <v>0.13142879999999901</v>
      </c>
      <c r="R854">
        <v>-4.074067E-2</v>
      </c>
      <c r="S854">
        <v>3.0940859999999999</v>
      </c>
      <c r="T854">
        <v>-0.62360380000000004</v>
      </c>
      <c r="U854">
        <v>-0.42440800000000001</v>
      </c>
      <c r="V854">
        <v>4.0813919999999997E-2</v>
      </c>
      <c r="W854">
        <v>0.141629</v>
      </c>
      <c r="X854">
        <v>0.98907809999999896</v>
      </c>
      <c r="Y854">
        <v>0.13303860000000001</v>
      </c>
      <c r="Z854">
        <v>-1.3894729999999999E-2</v>
      </c>
      <c r="AA854">
        <v>0.99101349999999999</v>
      </c>
      <c r="AB854">
        <v>37</v>
      </c>
      <c r="AC854">
        <v>0.65800000000001502</v>
      </c>
      <c r="AD854">
        <v>-0.168537199999999</v>
      </c>
      <c r="AE854">
        <v>-0.11469999999997001</v>
      </c>
      <c r="AF854">
        <v>0.107776577879035</v>
      </c>
      <c r="AG854">
        <v>-0.168537199999999</v>
      </c>
      <c r="AH854">
        <v>0.61862252472591395</v>
      </c>
      <c r="AI854">
        <v>105.02391730127</v>
      </c>
      <c r="AJ854">
        <v>80.117108425410095</v>
      </c>
      <c r="AK854">
        <v>0.65016490725155196</v>
      </c>
      <c r="AL854">
        <v>81.857879722635403</v>
      </c>
      <c r="AM854">
        <v>87.637052697978405</v>
      </c>
      <c r="AN854">
        <v>1.0000000188031799</v>
      </c>
    </row>
    <row r="855" spans="1:40" x14ac:dyDescent="0.25">
      <c r="A855" t="str">
        <f>"20190303170241448"</f>
        <v>20190303170241448</v>
      </c>
      <c r="B855" t="str">
        <f>"1551603761436921"</f>
        <v>1551603761436921</v>
      </c>
      <c r="C855" t="s">
        <v>40</v>
      </c>
      <c r="D855">
        <v>4.2309109999999999</v>
      </c>
      <c r="E855">
        <v>0.54381469999999998</v>
      </c>
      <c r="F855" t="s">
        <v>43</v>
      </c>
      <c r="G855">
        <v>-320.16449999999998</v>
      </c>
      <c r="H855">
        <v>0.92296979999999995</v>
      </c>
      <c r="I855">
        <v>367.74459999999999</v>
      </c>
      <c r="J855">
        <v>-320.94450000000001</v>
      </c>
      <c r="K855">
        <v>1.1202719999999999</v>
      </c>
      <c r="L855">
        <v>367.8793</v>
      </c>
      <c r="M855">
        <v>0.99995029999999996</v>
      </c>
      <c r="N855">
        <v>-9.9640909999999996E-3</v>
      </c>
      <c r="O855">
        <v>-3.5778079999999998E-4</v>
      </c>
      <c r="P855">
        <v>0.99039849999999996</v>
      </c>
      <c r="Q855">
        <v>0.13193969999999999</v>
      </c>
      <c r="R855">
        <v>-4.1268970000000002E-2</v>
      </c>
      <c r="S855">
        <v>3.0942080000000001</v>
      </c>
      <c r="T855">
        <v>-0.62504300000000002</v>
      </c>
      <c r="U855">
        <v>-0.426178</v>
      </c>
      <c r="V855">
        <v>4.1078370000000003E-2</v>
      </c>
      <c r="W855">
        <v>0.14175460000000001</v>
      </c>
      <c r="X855">
        <v>0.98904910000000001</v>
      </c>
      <c r="Y855">
        <v>0.13331979999999999</v>
      </c>
      <c r="Z855">
        <v>-1.3876629999999999E-2</v>
      </c>
      <c r="AA855">
        <v>0.99097590000000002</v>
      </c>
      <c r="AB855">
        <v>37</v>
      </c>
      <c r="AC855">
        <v>0.780000000000029</v>
      </c>
      <c r="AD855">
        <v>-0.19730219999999901</v>
      </c>
      <c r="AE855">
        <v>-0.13470000000000901</v>
      </c>
      <c r="AF855">
        <v>0.12655768295559799</v>
      </c>
      <c r="AG855">
        <v>-0.19730219999999901</v>
      </c>
      <c r="AH855">
        <v>0.73441763631711099</v>
      </c>
      <c r="AI855">
        <v>104.828791633474</v>
      </c>
      <c r="AJ855">
        <v>80.222597001501697</v>
      </c>
      <c r="AK855">
        <v>0.77091780999892701</v>
      </c>
      <c r="AL855">
        <v>81.850609550529995</v>
      </c>
      <c r="AM855">
        <v>87.62169007144</v>
      </c>
      <c r="AN855">
        <v>0.99999996065691199</v>
      </c>
    </row>
    <row r="856" spans="1:40" x14ac:dyDescent="0.25">
      <c r="A856" t="str">
        <f>"20190303170241462"</f>
        <v>20190303170241462</v>
      </c>
      <c r="B856" t="str">
        <f>"1551603761456439"</f>
        <v>1551603761456439</v>
      </c>
      <c r="C856" t="s">
        <v>40</v>
      </c>
      <c r="D856">
        <v>4.2405049999999997</v>
      </c>
      <c r="E856">
        <v>0.54446249999999996</v>
      </c>
      <c r="F856" t="s">
        <v>43</v>
      </c>
      <c r="G856">
        <v>-320.14830000000001</v>
      </c>
      <c r="H856">
        <v>0.95944640000000003</v>
      </c>
      <c r="I856">
        <v>367.7688</v>
      </c>
      <c r="J856">
        <v>-320.73399999999998</v>
      </c>
      <c r="K856">
        <v>1.120142</v>
      </c>
      <c r="L856">
        <v>367.87900000000002</v>
      </c>
      <c r="M856">
        <v>0.99995389999999995</v>
      </c>
      <c r="N856">
        <v>-9.5807440000000004E-3</v>
      </c>
      <c r="O856">
        <v>-6.4101800000000003E-4</v>
      </c>
      <c r="P856">
        <v>0.99034299999999997</v>
      </c>
      <c r="Q856">
        <v>0.13227</v>
      </c>
      <c r="R856">
        <v>-4.1540870000000001E-2</v>
      </c>
      <c r="S856">
        <v>3.0945740000000002</v>
      </c>
      <c r="T856">
        <v>-0.62528070000000002</v>
      </c>
      <c r="U856">
        <v>-0.42849730000000003</v>
      </c>
      <c r="V856">
        <v>4.1068680000000003E-2</v>
      </c>
      <c r="W856">
        <v>0.14170550000000001</v>
      </c>
      <c r="X856">
        <v>0.98905659999999895</v>
      </c>
      <c r="Y856">
        <v>0.13375229999999999</v>
      </c>
      <c r="Z856">
        <v>-1.3844779999999999E-2</v>
      </c>
      <c r="AA856">
        <v>0.99091810000000002</v>
      </c>
      <c r="AB856">
        <v>37</v>
      </c>
      <c r="AC856">
        <v>0.58570000000003097</v>
      </c>
      <c r="AD856">
        <v>-0.16069559999999899</v>
      </c>
      <c r="AE856">
        <v>-0.11020000000002</v>
      </c>
      <c r="AF856">
        <v>0.102381155205035</v>
      </c>
      <c r="AG856">
        <v>-0.16069559999999899</v>
      </c>
      <c r="AH856">
        <v>0.546069903937352</v>
      </c>
      <c r="AI856">
        <v>106.13182345496099</v>
      </c>
      <c r="AJ856">
        <v>79.3810493612675</v>
      </c>
      <c r="AK856">
        <v>0.57835742995713801</v>
      </c>
      <c r="AL856">
        <v>81.853451961419907</v>
      </c>
      <c r="AM856">
        <v>87.622268458074103</v>
      </c>
      <c r="AN856">
        <v>1.0000000216053699</v>
      </c>
    </row>
    <row r="857" spans="1:40" x14ac:dyDescent="0.25">
      <c r="A857" t="str">
        <f>"20190303170241473"</f>
        <v>20190303170241473</v>
      </c>
      <c r="B857" t="str">
        <f>"1551603761466200"</f>
        <v>1551603761466200</v>
      </c>
      <c r="C857" t="s">
        <v>40</v>
      </c>
      <c r="D857">
        <v>4.2111769999999904</v>
      </c>
      <c r="E857">
        <v>0.54460799999999998</v>
      </c>
      <c r="F857" t="s">
        <v>43</v>
      </c>
      <c r="G857">
        <v>-319.82560000000001</v>
      </c>
      <c r="H857">
        <v>0.93551660000000003</v>
      </c>
      <c r="I857">
        <v>367.75130000000001</v>
      </c>
      <c r="J857">
        <v>-320.52769999999998</v>
      </c>
      <c r="K857">
        <v>1.1199939999999999</v>
      </c>
      <c r="L857">
        <v>367.87880000000001</v>
      </c>
      <c r="M857">
        <v>0.99995699999999998</v>
      </c>
      <c r="N857">
        <v>-9.2370319999999992E-3</v>
      </c>
      <c r="O857">
        <v>-9.1894630000000001E-4</v>
      </c>
      <c r="P857">
        <v>0.99028309999999997</v>
      </c>
      <c r="Q857">
        <v>0.1326148</v>
      </c>
      <c r="R857">
        <v>-4.187126E-2</v>
      </c>
      <c r="S857">
        <v>3.0950319999999998</v>
      </c>
      <c r="T857">
        <v>-0.62904879999999996</v>
      </c>
      <c r="U857">
        <v>-0.4344788</v>
      </c>
      <c r="V857">
        <v>4.1122569999999997E-2</v>
      </c>
      <c r="W857">
        <v>0.14170969999999999</v>
      </c>
      <c r="X857">
        <v>0.98905370000000004</v>
      </c>
      <c r="Y857">
        <v>0.1352825</v>
      </c>
      <c r="Z857">
        <v>-1.400291E-2</v>
      </c>
      <c r="AA857">
        <v>0.99070809999999998</v>
      </c>
      <c r="AB857">
        <v>37</v>
      </c>
      <c r="AC857">
        <v>0.70209999999997297</v>
      </c>
      <c r="AD857">
        <v>-0.18447740000000001</v>
      </c>
      <c r="AE857">
        <v>-0.127499999999997</v>
      </c>
      <c r="AF857">
        <v>0.118907653717474</v>
      </c>
      <c r="AG857">
        <v>-0.18447740000000001</v>
      </c>
      <c r="AH857">
        <v>0.65822506750376897</v>
      </c>
      <c r="AI857">
        <v>105.41889947825599</v>
      </c>
      <c r="AJ857">
        <v>79.760016299604999</v>
      </c>
      <c r="AK857">
        <v>0.69385241998114899</v>
      </c>
      <c r="AL857">
        <v>81.853208386595597</v>
      </c>
      <c r="AM857">
        <v>87.619145032545006</v>
      </c>
      <c r="AN857">
        <v>0.99999996316059103</v>
      </c>
    </row>
    <row r="858" spans="1:40" x14ac:dyDescent="0.25">
      <c r="A858" t="str">
        <f>"20190303170241484"</f>
        <v>20190303170241484</v>
      </c>
      <c r="B858" t="str">
        <f>"1551603761476936"</f>
        <v>1551603761476936</v>
      </c>
      <c r="C858" t="s">
        <v>40</v>
      </c>
      <c r="D858">
        <v>4.2180949999999999</v>
      </c>
      <c r="E858">
        <v>0.54489799999999999</v>
      </c>
      <c r="F858" t="s">
        <v>43</v>
      </c>
      <c r="G858">
        <v>-319.80829999999997</v>
      </c>
      <c r="H858">
        <v>0.97351379999999998</v>
      </c>
      <c r="I858">
        <v>367.77699999999999</v>
      </c>
      <c r="J858">
        <v>-320.3451</v>
      </c>
      <c r="K858">
        <v>1.119847</v>
      </c>
      <c r="L858">
        <v>367.8784</v>
      </c>
      <c r="M858">
        <v>0.99995730000000005</v>
      </c>
      <c r="N858">
        <v>-9.1648879999999995E-3</v>
      </c>
      <c r="O858">
        <v>-1.166519E-3</v>
      </c>
      <c r="P858">
        <v>0.99027569999999998</v>
      </c>
      <c r="Q858">
        <v>0.1325646</v>
      </c>
      <c r="R858">
        <v>-4.2196640000000001E-2</v>
      </c>
      <c r="S858">
        <v>3.095367</v>
      </c>
      <c r="T858">
        <v>-0.63026380000000004</v>
      </c>
      <c r="U858">
        <v>-0.43664550000000002</v>
      </c>
      <c r="V858">
        <v>4.1202679999999998E-2</v>
      </c>
      <c r="W858">
        <v>0.1415884</v>
      </c>
      <c r="X858">
        <v>0.98906780000000005</v>
      </c>
      <c r="Y858">
        <v>0.1356898</v>
      </c>
      <c r="Z858">
        <v>-1.4016519999999999E-2</v>
      </c>
      <c r="AA858">
        <v>0.99065219999999998</v>
      </c>
      <c r="AB858">
        <v>37</v>
      </c>
      <c r="AC858">
        <v>0.53680000000002703</v>
      </c>
      <c r="AD858">
        <v>-0.146333199999999</v>
      </c>
      <c r="AE858">
        <v>-0.10140000000001199</v>
      </c>
      <c r="AF858">
        <v>9.4027082536067605E-2</v>
      </c>
      <c r="AG858">
        <v>-0.146333199999999</v>
      </c>
      <c r="AH858">
        <v>0.50097215207983203</v>
      </c>
      <c r="AI858">
        <v>106.01801120003999</v>
      </c>
      <c r="AJ858">
        <v>79.369870665087404</v>
      </c>
      <c r="AK858">
        <v>0.53030896167421404</v>
      </c>
      <c r="AL858">
        <v>81.860229657821193</v>
      </c>
      <c r="AM858">
        <v>87.6145462605663</v>
      </c>
      <c r="AN858">
        <v>1.00000002442529</v>
      </c>
    </row>
    <row r="859" spans="1:40" x14ac:dyDescent="0.25">
      <c r="A859" t="str">
        <f>"20190303170241495"</f>
        <v>20190303170241495</v>
      </c>
      <c r="B859" t="str">
        <f>"1551603761486696"</f>
        <v>1551603761486696</v>
      </c>
      <c r="C859" t="s">
        <v>40</v>
      </c>
      <c r="D859">
        <v>4.2136579999999997</v>
      </c>
      <c r="E859">
        <v>0.54518299999999997</v>
      </c>
      <c r="F859" t="s">
        <v>43</v>
      </c>
      <c r="G859">
        <v>-319.48750000000001</v>
      </c>
      <c r="H859">
        <v>0.94448469999999995</v>
      </c>
      <c r="I859">
        <v>367.7561</v>
      </c>
      <c r="J859">
        <v>-320.1635</v>
      </c>
      <c r="K859">
        <v>1.11969599999999</v>
      </c>
      <c r="L859">
        <v>367.87810000000002</v>
      </c>
      <c r="M859">
        <v>0.99995730000000005</v>
      </c>
      <c r="N859">
        <v>-9.1367029999999995E-3</v>
      </c>
      <c r="O859">
        <v>-1.4128949999999999E-3</v>
      </c>
      <c r="P859">
        <v>0.9902765</v>
      </c>
      <c r="Q859">
        <v>0.132549</v>
      </c>
      <c r="R859">
        <v>-4.2229570000000001E-2</v>
      </c>
      <c r="S859">
        <v>3.095459</v>
      </c>
      <c r="T859">
        <v>-0.63308739999999997</v>
      </c>
      <c r="U859">
        <v>-0.43966670000000002</v>
      </c>
      <c r="V859">
        <v>4.0991489999999998E-2</v>
      </c>
      <c r="W859">
        <v>0.141545</v>
      </c>
      <c r="X859">
        <v>0.98908280000000004</v>
      </c>
      <c r="Y859">
        <v>0.13635639999999999</v>
      </c>
      <c r="Z859">
        <v>-1.409491E-2</v>
      </c>
      <c r="AA859">
        <v>0.99055959999999998</v>
      </c>
      <c r="AB859">
        <v>37</v>
      </c>
      <c r="AC859">
        <v>0.67599999999998694</v>
      </c>
      <c r="AD859">
        <v>-0.17521129999999899</v>
      </c>
      <c r="AE859">
        <v>-0.122000000000014</v>
      </c>
      <c r="AF859">
        <v>0.113650660446874</v>
      </c>
      <c r="AG859">
        <v>-0.17521129999999899</v>
      </c>
      <c r="AH859">
        <v>0.63486751052026202</v>
      </c>
      <c r="AI859">
        <v>105.198310883311</v>
      </c>
      <c r="AJ859">
        <v>79.850713692002898</v>
      </c>
      <c r="AK859">
        <v>0.66833541592668599</v>
      </c>
      <c r="AL859">
        <v>81.862741698195805</v>
      </c>
      <c r="AM859">
        <v>87.626795165733697</v>
      </c>
      <c r="AN859">
        <v>1.00000003726662</v>
      </c>
    </row>
    <row r="860" spans="1:40" x14ac:dyDescent="0.25">
      <c r="A860" t="str">
        <f>"20190303170241511"</f>
        <v>20190303170241511</v>
      </c>
      <c r="B860" t="str">
        <f>"1551603761496456"</f>
        <v>1551603761496456</v>
      </c>
      <c r="C860" t="s">
        <v>40</v>
      </c>
      <c r="D860">
        <v>4.1978</v>
      </c>
      <c r="E860">
        <v>0.54550639999999995</v>
      </c>
      <c r="F860" t="s">
        <v>43</v>
      </c>
      <c r="G860">
        <v>-319.16579999999999</v>
      </c>
      <c r="H860">
        <v>0.91493369999999996</v>
      </c>
      <c r="I860">
        <v>367.7355</v>
      </c>
      <c r="J860">
        <v>-319.89800000000002</v>
      </c>
      <c r="K860">
        <v>1.119386</v>
      </c>
      <c r="L860">
        <v>367.87740000000002</v>
      </c>
      <c r="M860">
        <v>0.99995400000000001</v>
      </c>
      <c r="N860">
        <v>-9.4379560000000008E-3</v>
      </c>
      <c r="O860">
        <v>-1.7692129999999999E-3</v>
      </c>
      <c r="P860">
        <v>0.99035580000000001</v>
      </c>
      <c r="Q860">
        <v>0.13188169999999999</v>
      </c>
      <c r="R860">
        <v>-4.2462159999999999E-2</v>
      </c>
      <c r="S860">
        <v>3.0956419999999998</v>
      </c>
      <c r="T860">
        <v>-0.63533890000000004</v>
      </c>
      <c r="U860">
        <v>-0.4419556</v>
      </c>
      <c r="V860">
        <v>4.0873560000000003E-2</v>
      </c>
      <c r="W860">
        <v>0.1411763</v>
      </c>
      <c r="X860">
        <v>0.98914029999999997</v>
      </c>
      <c r="Y860">
        <v>0.13668930000000001</v>
      </c>
      <c r="Z860">
        <v>-1.412823E-2</v>
      </c>
      <c r="AA860">
        <v>0.99051319999999998</v>
      </c>
      <c r="AB860">
        <v>37</v>
      </c>
      <c r="AC860">
        <v>0.73219999999997698</v>
      </c>
      <c r="AD860">
        <v>-0.2044523</v>
      </c>
      <c r="AE860">
        <v>-0.14190000000002001</v>
      </c>
      <c r="AF860">
        <v>0.13077680832890001</v>
      </c>
      <c r="AG860">
        <v>-0.2044523</v>
      </c>
      <c r="AH860">
        <v>0.68125555604296795</v>
      </c>
      <c r="AI860">
        <v>106.421811230136</v>
      </c>
      <c r="AJ860">
        <v>79.133442348373805</v>
      </c>
      <c r="AK860">
        <v>0.72319599640166499</v>
      </c>
      <c r="AL860">
        <v>81.884080340672398</v>
      </c>
      <c r="AM860">
        <v>87.633752362191302</v>
      </c>
      <c r="AN860">
        <v>0.99999996433642602</v>
      </c>
    </row>
    <row r="861" spans="1:40" x14ac:dyDescent="0.25">
      <c r="A861" t="str">
        <f>"20190303170241522"</f>
        <v>20190303170241522</v>
      </c>
      <c r="B861" t="str">
        <f>"1551603761516952"</f>
        <v>1551603761516952</v>
      </c>
      <c r="C861" t="s">
        <v>40</v>
      </c>
      <c r="D861">
        <v>4.2091250000000002</v>
      </c>
      <c r="E861">
        <v>0.54598340000000001</v>
      </c>
      <c r="F861" t="s">
        <v>43</v>
      </c>
      <c r="G861">
        <v>-319.14440000000002</v>
      </c>
      <c r="H861">
        <v>0.96373120000000001</v>
      </c>
      <c r="I861">
        <v>367.76900000000001</v>
      </c>
      <c r="J861">
        <v>-319.7063</v>
      </c>
      <c r="K861">
        <v>1.1190869999999999</v>
      </c>
      <c r="L861">
        <v>367.87700000000001</v>
      </c>
      <c r="M861">
        <v>0.99995020000000001</v>
      </c>
      <c r="N861">
        <v>-9.7684880000000005E-3</v>
      </c>
      <c r="O861">
        <v>-2.0240739999999998E-3</v>
      </c>
      <c r="P861">
        <v>0.99039880000000002</v>
      </c>
      <c r="Q861">
        <v>0.13153299999999901</v>
      </c>
      <c r="R861">
        <v>-4.2538560000000003E-2</v>
      </c>
      <c r="S861">
        <v>3.0953369999999998</v>
      </c>
      <c r="T861">
        <v>-0.63946269999999905</v>
      </c>
      <c r="U861">
        <v>-0.4448242</v>
      </c>
      <c r="V861">
        <v>4.0700760000000002E-2</v>
      </c>
      <c r="W861">
        <v>0.1411541</v>
      </c>
      <c r="X861">
        <v>0.98915059999999999</v>
      </c>
      <c r="Y861">
        <v>0.13730029999999999</v>
      </c>
      <c r="Z861">
        <v>-1.4253679999999999E-2</v>
      </c>
      <c r="AA861">
        <v>0.9904269</v>
      </c>
      <c r="AB861">
        <v>37</v>
      </c>
      <c r="AC861">
        <v>0.56189999999997997</v>
      </c>
      <c r="AD861">
        <v>-0.15535579999999999</v>
      </c>
      <c r="AE861">
        <v>-0.107999999999947</v>
      </c>
      <c r="AF861">
        <v>9.9525436710965101E-2</v>
      </c>
      <c r="AG861">
        <v>-0.15535579999999999</v>
      </c>
      <c r="AH861">
        <v>0.52352358787547204</v>
      </c>
      <c r="AI861">
        <v>106.252938787516</v>
      </c>
      <c r="AJ861">
        <v>79.236122534324906</v>
      </c>
      <c r="AK861">
        <v>0.55508349300637205</v>
      </c>
      <c r="AL861">
        <v>81.885365224812702</v>
      </c>
      <c r="AM861">
        <v>87.643769289697005</v>
      </c>
      <c r="AN861">
        <v>0.99999997064587298</v>
      </c>
    </row>
    <row r="862" spans="1:40" x14ac:dyDescent="0.25">
      <c r="A862" t="str">
        <f>"20190303170241534"</f>
        <v>20190303170241534</v>
      </c>
      <c r="B862" t="str">
        <f>"1551603761526712"</f>
        <v>1551603761526712</v>
      </c>
      <c r="C862" t="s">
        <v>40</v>
      </c>
      <c r="D862">
        <v>4.198245</v>
      </c>
      <c r="E862">
        <v>0.5461821</v>
      </c>
      <c r="F862" t="s">
        <v>43</v>
      </c>
      <c r="G862">
        <v>-318.82249999999999</v>
      </c>
      <c r="H862">
        <v>0.93516460000000001</v>
      </c>
      <c r="I862">
        <v>367.74849999999998</v>
      </c>
      <c r="J862">
        <v>-319.51159999999999</v>
      </c>
      <c r="K862">
        <v>1.118744</v>
      </c>
      <c r="L862">
        <v>367.87639999999999</v>
      </c>
      <c r="M862">
        <v>0.9999458</v>
      </c>
      <c r="N862">
        <v>-1.016072E-2</v>
      </c>
      <c r="O862">
        <v>-2.282114E-3</v>
      </c>
      <c r="P862">
        <v>0.99043409999999998</v>
      </c>
      <c r="Q862">
        <v>0.13125609999999999</v>
      </c>
      <c r="R862">
        <v>-4.2573809999999997E-2</v>
      </c>
      <c r="S862">
        <v>3.0953979999999999</v>
      </c>
      <c r="T862">
        <v>-0.64417619999999998</v>
      </c>
      <c r="U862">
        <v>-0.44863890000000001</v>
      </c>
      <c r="V862">
        <v>4.048442E-2</v>
      </c>
      <c r="W862">
        <v>0.14126459999999999</v>
      </c>
      <c r="X862">
        <v>0.98914369999999996</v>
      </c>
      <c r="Y862">
        <v>0.1381761</v>
      </c>
      <c r="Z862">
        <v>-1.442237E-2</v>
      </c>
      <c r="AA862">
        <v>0.99030269999999998</v>
      </c>
      <c r="AB862">
        <v>37</v>
      </c>
      <c r="AC862">
        <v>0.68909999999999605</v>
      </c>
      <c r="AD862">
        <v>-0.183579399999999</v>
      </c>
      <c r="AE862">
        <v>-0.127900000000011</v>
      </c>
      <c r="AF862">
        <v>0.11821639873037899</v>
      </c>
      <c r="AG862">
        <v>-0.183579399999999</v>
      </c>
      <c r="AH862">
        <v>0.64512912938195599</v>
      </c>
      <c r="AI862">
        <v>105.63702397611399</v>
      </c>
      <c r="AJ862">
        <v>79.616063607234295</v>
      </c>
      <c r="AK862">
        <v>0.68107863467463103</v>
      </c>
      <c r="AL862">
        <v>81.878969932023196</v>
      </c>
      <c r="AM862">
        <v>87.656263216463998</v>
      </c>
      <c r="AN862">
        <v>0.99999996736279195</v>
      </c>
    </row>
    <row r="863" spans="1:40" x14ac:dyDescent="0.25">
      <c r="A863" t="str">
        <f>"20190303170241545"</f>
        <v>20190303170241545</v>
      </c>
      <c r="B863" t="str">
        <f>"1551603761536472"</f>
        <v>1551603761536472</v>
      </c>
      <c r="C863" t="s">
        <v>40</v>
      </c>
      <c r="D863">
        <v>4.1913499999999999</v>
      </c>
      <c r="E863">
        <v>0.54637360000000001</v>
      </c>
      <c r="F863" t="s">
        <v>43</v>
      </c>
      <c r="G863">
        <v>-318.80590000000001</v>
      </c>
      <c r="H863">
        <v>0.97134880000000001</v>
      </c>
      <c r="I863">
        <v>367.77339999999998</v>
      </c>
      <c r="J863">
        <v>-319.32839999999999</v>
      </c>
      <c r="K863">
        <v>1.118312</v>
      </c>
      <c r="L863">
        <v>367.87580000000003</v>
      </c>
      <c r="M863">
        <v>0.99993989999999999</v>
      </c>
      <c r="N863">
        <v>-1.067617E-2</v>
      </c>
      <c r="O863">
        <v>-2.48671E-3</v>
      </c>
      <c r="P863">
        <v>0.99050280000000002</v>
      </c>
      <c r="Q863">
        <v>0.13070670000000001</v>
      </c>
      <c r="R863">
        <v>-4.2663060000000003E-2</v>
      </c>
      <c r="S863">
        <v>3.0953059999999999</v>
      </c>
      <c r="T863">
        <v>-0.64657940000000003</v>
      </c>
      <c r="U863">
        <v>-0.45013429999999999</v>
      </c>
      <c r="V863">
        <v>4.0377139999999999E-2</v>
      </c>
      <c r="W863">
        <v>0.1412245</v>
      </c>
      <c r="X863">
        <v>0.98915390000000003</v>
      </c>
      <c r="Y863">
        <v>0.1384155</v>
      </c>
      <c r="Z863">
        <v>-1.449575E-2</v>
      </c>
      <c r="AA863">
        <v>0.99026820000000004</v>
      </c>
      <c r="AB863">
        <v>37</v>
      </c>
      <c r="AC863">
        <v>0.52249999999997898</v>
      </c>
      <c r="AD863">
        <v>-0.14696319999999899</v>
      </c>
      <c r="AE863">
        <v>-0.102400000000045</v>
      </c>
      <c r="AF863">
        <v>9.3943132008394298E-2</v>
      </c>
      <c r="AG863">
        <v>-0.14696319999999899</v>
      </c>
      <c r="AH863">
        <v>0.48574589832489201</v>
      </c>
      <c r="AI863">
        <v>106.543909976487</v>
      </c>
      <c r="AJ863">
        <v>79.054146728167396</v>
      </c>
      <c r="AK863">
        <v>0.51611294495027205</v>
      </c>
      <c r="AL863">
        <v>81.881291479014195</v>
      </c>
      <c r="AM863">
        <v>87.662491083102694</v>
      </c>
      <c r="AN863">
        <v>1.0000000553600099</v>
      </c>
    </row>
    <row r="864" spans="1:40" x14ac:dyDescent="0.25">
      <c r="A864" t="str">
        <f>"20190303170241556"</f>
        <v>20190303170241556</v>
      </c>
      <c r="B864" t="str">
        <f>"1551603761546232"</f>
        <v>1551603761546232</v>
      </c>
      <c r="C864" t="s">
        <v>40</v>
      </c>
      <c r="D864">
        <v>4.1842050000000004</v>
      </c>
      <c r="E864">
        <v>0.54653619999999903</v>
      </c>
      <c r="F864" t="s">
        <v>43</v>
      </c>
      <c r="G864">
        <v>-318.4846</v>
      </c>
      <c r="H864">
        <v>0.94117649999999997</v>
      </c>
      <c r="I864">
        <v>367.75229999999999</v>
      </c>
      <c r="J864">
        <v>-319.14080000000001</v>
      </c>
      <c r="K864">
        <v>1.1178509999999999</v>
      </c>
      <c r="L864">
        <v>367.87520000000001</v>
      </c>
      <c r="M864">
        <v>0.99993319999999997</v>
      </c>
      <c r="N864">
        <v>-1.125132E-2</v>
      </c>
      <c r="O864">
        <v>-2.6910060000000001E-3</v>
      </c>
      <c r="P864">
        <v>0.99053500000000005</v>
      </c>
      <c r="Q864">
        <v>0.1304351</v>
      </c>
      <c r="R864">
        <v>-4.275048E-2</v>
      </c>
      <c r="S864">
        <v>3.095062</v>
      </c>
      <c r="T864">
        <v>-0.64979609999999999</v>
      </c>
      <c r="U864">
        <v>-0.45202639999999999</v>
      </c>
      <c r="V864">
        <v>4.0268789999999999E-2</v>
      </c>
      <c r="W864">
        <v>0.14152049999999999</v>
      </c>
      <c r="X864">
        <v>0.989116</v>
      </c>
      <c r="Y864">
        <v>0.13877490000000001</v>
      </c>
      <c r="Z864">
        <v>-1.4604280000000001E-2</v>
      </c>
      <c r="AA864">
        <v>0.99021630000000005</v>
      </c>
      <c r="AB864">
        <v>37</v>
      </c>
      <c r="AC864">
        <v>0.656200000000012</v>
      </c>
      <c r="AD864">
        <v>-0.17667449999999901</v>
      </c>
      <c r="AE864">
        <v>-0.122900000000015</v>
      </c>
      <c r="AF864">
        <v>0.11320549230216601</v>
      </c>
      <c r="AG864">
        <v>-0.17667449999999901</v>
      </c>
      <c r="AH864">
        <v>0.61355902935473206</v>
      </c>
      <c r="AI864">
        <v>105.810567706592</v>
      </c>
      <c r="AJ864">
        <v>79.546136380669694</v>
      </c>
      <c r="AK864">
        <v>0.64844741108307802</v>
      </c>
      <c r="AL864">
        <v>81.864159777672498</v>
      </c>
      <c r="AM864">
        <v>87.668667511656295</v>
      </c>
      <c r="AN864">
        <v>1.00000004441215</v>
      </c>
    </row>
    <row r="865" spans="1:40" x14ac:dyDescent="0.25">
      <c r="A865" t="str">
        <f>"20190303170241572"</f>
        <v>20190303170241572</v>
      </c>
      <c r="B865" t="str">
        <f>"1551603761566727"</f>
        <v>1551603761566727</v>
      </c>
      <c r="C865" t="s">
        <v>40</v>
      </c>
      <c r="D865">
        <v>4.1794650000000004</v>
      </c>
      <c r="E865">
        <v>0.54681809999999997</v>
      </c>
      <c r="F865" t="s">
        <v>43</v>
      </c>
      <c r="G865">
        <v>-318.16250000000002</v>
      </c>
      <c r="H865">
        <v>0.91179960000000004</v>
      </c>
      <c r="I865">
        <v>367.73140000000001</v>
      </c>
      <c r="J865">
        <v>-318.91300000000001</v>
      </c>
      <c r="K865">
        <v>1.1172120000000001</v>
      </c>
      <c r="L865">
        <v>367.87439999999998</v>
      </c>
      <c r="M865">
        <v>0.9999209</v>
      </c>
      <c r="N865">
        <v>-1.225071E-2</v>
      </c>
      <c r="O865">
        <v>-2.9132160000000002E-3</v>
      </c>
      <c r="P865">
        <v>0.99067749999999999</v>
      </c>
      <c r="Q865">
        <v>0.1293899</v>
      </c>
      <c r="R865">
        <v>-4.262606E-2</v>
      </c>
      <c r="S865">
        <v>3.0949710000000001</v>
      </c>
      <c r="T865">
        <v>-0.65199459999999998</v>
      </c>
      <c r="U865">
        <v>-0.45379639999999999</v>
      </c>
      <c r="V865">
        <v>3.9929869999999999E-2</v>
      </c>
      <c r="W865">
        <v>0.1414647</v>
      </c>
      <c r="X865">
        <v>0.98913759999999995</v>
      </c>
      <c r="Y865">
        <v>0.139075799999999</v>
      </c>
      <c r="Z865">
        <v>-1.471273E-2</v>
      </c>
      <c r="AA865">
        <v>0.99017239999999995</v>
      </c>
      <c r="AB865">
        <v>37</v>
      </c>
      <c r="AC865">
        <v>0.75049999999998795</v>
      </c>
      <c r="AD865">
        <v>-0.20541239999999999</v>
      </c>
      <c r="AE865">
        <v>-0.14299999999997201</v>
      </c>
      <c r="AF865">
        <v>0.13132004200987499</v>
      </c>
      <c r="AG865">
        <v>-0.20541239999999999</v>
      </c>
      <c r="AH865">
        <v>0.70029103434087903</v>
      </c>
      <c r="AI865">
        <v>106.082227801643</v>
      </c>
      <c r="AJ865">
        <v>79.379121761918498</v>
      </c>
      <c r="AK865">
        <v>0.74151651383192696</v>
      </c>
      <c r="AL865">
        <v>81.867388386440595</v>
      </c>
      <c r="AM865">
        <v>87.688318089121395</v>
      </c>
      <c r="AN865">
        <v>0.99999992379903002</v>
      </c>
    </row>
    <row r="866" spans="1:40" x14ac:dyDescent="0.25">
      <c r="A866" t="str">
        <f>"20190303170241590"</f>
        <v>20190303170241590</v>
      </c>
      <c r="B866" t="str">
        <f>"1551603761576487"</f>
        <v>1551603761576487</v>
      </c>
      <c r="C866" t="s">
        <v>40</v>
      </c>
      <c r="D866">
        <v>4.1788129999999999</v>
      </c>
      <c r="E866">
        <v>0.54695859999999996</v>
      </c>
      <c r="F866" t="s">
        <v>43</v>
      </c>
      <c r="G866">
        <v>-318.14400000000001</v>
      </c>
      <c r="H866">
        <v>0.9538375</v>
      </c>
      <c r="I866">
        <v>367.76080000000002</v>
      </c>
      <c r="J866">
        <v>-318.58080000000001</v>
      </c>
      <c r="K866">
        <v>1.116187</v>
      </c>
      <c r="L866">
        <v>367.87310000000002</v>
      </c>
      <c r="M866">
        <v>0.99989749999999999</v>
      </c>
      <c r="N866">
        <v>-1.3947070000000001E-2</v>
      </c>
      <c r="O866">
        <v>-3.2539130000000002E-3</v>
      </c>
      <c r="P866">
        <v>0.99090889999999998</v>
      </c>
      <c r="Q866">
        <v>0.12763139999999901</v>
      </c>
      <c r="R866">
        <v>-4.2544650000000003E-2</v>
      </c>
      <c r="S866">
        <v>3.0945130000000001</v>
      </c>
      <c r="T866">
        <v>-0.65763899999999997</v>
      </c>
      <c r="U866">
        <v>-0.45565800000000001</v>
      </c>
      <c r="V866">
        <v>3.9513640000000003E-2</v>
      </c>
      <c r="W866">
        <v>0.14138689999999901</v>
      </c>
      <c r="X866">
        <v>0.98916550000000003</v>
      </c>
      <c r="Y866">
        <v>0.1392659</v>
      </c>
      <c r="Z866">
        <v>-1.4910919999999999E-2</v>
      </c>
      <c r="AA866">
        <v>0.99014279999999999</v>
      </c>
      <c r="AB866">
        <v>37</v>
      </c>
      <c r="AC866">
        <v>0.43680000000000502</v>
      </c>
      <c r="AD866">
        <v>-0.16234950000000001</v>
      </c>
      <c r="AE866">
        <v>-0.11230000000000399</v>
      </c>
      <c r="AF866">
        <v>9.8158539863706595E-2</v>
      </c>
      <c r="AG866">
        <v>-0.16234950000000001</v>
      </c>
      <c r="AH866">
        <v>0.38701375813142502</v>
      </c>
      <c r="AI866">
        <v>112.127548927321</v>
      </c>
      <c r="AJ866">
        <v>75.768141558902201</v>
      </c>
      <c r="AK866">
        <v>0.43101288621273698</v>
      </c>
      <c r="AL866">
        <v>81.871891756716394</v>
      </c>
      <c r="AM866">
        <v>87.712453840794694</v>
      </c>
      <c r="AN866">
        <v>0.99999998481395402</v>
      </c>
    </row>
    <row r="867" spans="1:40" x14ac:dyDescent="0.25">
      <c r="A867" t="str">
        <f>"20190303170241603"</f>
        <v>20190303170241603</v>
      </c>
      <c r="B867" t="str">
        <f>"1551603761596984"</f>
        <v>1551603761596984</v>
      </c>
      <c r="C867" t="s">
        <v>40</v>
      </c>
      <c r="D867">
        <v>4.1644269999999999</v>
      </c>
      <c r="E867">
        <v>0.54723140000000003</v>
      </c>
      <c r="F867" t="s">
        <v>43</v>
      </c>
      <c r="G867">
        <v>-317.81119999999999</v>
      </c>
      <c r="H867">
        <v>0.95096890000000001</v>
      </c>
      <c r="I867">
        <v>367.75920000000002</v>
      </c>
      <c r="J867">
        <v>-318.35930000000002</v>
      </c>
      <c r="K867">
        <v>1.1153839999999999</v>
      </c>
      <c r="L867">
        <v>367.87209999999999</v>
      </c>
      <c r="M867">
        <v>0.99988140000000003</v>
      </c>
      <c r="N867">
        <v>-1.4991559999999999E-2</v>
      </c>
      <c r="O867">
        <v>-3.5200299999999999E-3</v>
      </c>
      <c r="P867">
        <v>0.99101539999999999</v>
      </c>
      <c r="Q867">
        <v>0.12678629999999999</v>
      </c>
      <c r="R867">
        <v>-4.2588229999999998E-2</v>
      </c>
      <c r="S867">
        <v>3.093445</v>
      </c>
      <c r="T867">
        <v>-0.66412329999999997</v>
      </c>
      <c r="U867">
        <v>-0.45697019999999999</v>
      </c>
      <c r="V867">
        <v>3.9291930000000003E-2</v>
      </c>
      <c r="W867">
        <v>0.14157809999999901</v>
      </c>
      <c r="X867">
        <v>0.989147</v>
      </c>
      <c r="Y867">
        <v>0.13938629999999999</v>
      </c>
      <c r="Z867">
        <v>-1.508806E-2</v>
      </c>
      <c r="AA867">
        <v>0.99012319999999998</v>
      </c>
      <c r="AB867">
        <v>37</v>
      </c>
      <c r="AC867">
        <v>0.54810000000003301</v>
      </c>
      <c r="AD867">
        <v>-0.16441509999999901</v>
      </c>
      <c r="AE867">
        <v>-0.112899999999967</v>
      </c>
      <c r="AF867">
        <v>0.102151889110335</v>
      </c>
      <c r="AG867">
        <v>-0.16441509999999901</v>
      </c>
      <c r="AH867">
        <v>0.50490968758491095</v>
      </c>
      <c r="AI867">
        <v>107.70132078674401</v>
      </c>
      <c r="AJ867">
        <v>78.562467934540507</v>
      </c>
      <c r="AK867">
        <v>0.54074127470899802</v>
      </c>
      <c r="AL867">
        <v>81.860825616869207</v>
      </c>
      <c r="AM867">
        <v>87.725233181839599</v>
      </c>
      <c r="AN867">
        <v>1.0000000008858601</v>
      </c>
    </row>
    <row r="868" spans="1:40" x14ac:dyDescent="0.25">
      <c r="A868" t="str">
        <f>"20190303170241615"</f>
        <v>20190303170241615</v>
      </c>
      <c r="B868" t="str">
        <f>"1551603761606747"</f>
        <v>1551603761606747</v>
      </c>
      <c r="C868" t="s">
        <v>40</v>
      </c>
      <c r="D868">
        <v>4.1396199999999999</v>
      </c>
      <c r="E868">
        <v>0.54734989999999994</v>
      </c>
      <c r="F868" t="s">
        <v>43</v>
      </c>
      <c r="G868">
        <v>-317.48689999999999</v>
      </c>
      <c r="H868">
        <v>0.92673349999999999</v>
      </c>
      <c r="I868">
        <v>367.74220000000003</v>
      </c>
      <c r="J868">
        <v>-318.15300000000002</v>
      </c>
      <c r="K868">
        <v>1.1145769999999999</v>
      </c>
      <c r="L868">
        <v>367.87119999999999</v>
      </c>
      <c r="M868">
        <v>0.9998669</v>
      </c>
      <c r="N868">
        <v>-1.5876479999999998E-2</v>
      </c>
      <c r="O868">
        <v>-3.7893929999999998E-3</v>
      </c>
      <c r="P868">
        <v>0.99116119999999996</v>
      </c>
      <c r="Q868">
        <v>0.12558920000000001</v>
      </c>
      <c r="R868">
        <v>-4.2748019999999998E-2</v>
      </c>
      <c r="S868">
        <v>3.0930179999999998</v>
      </c>
      <c r="T868">
        <v>-0.66897340000000005</v>
      </c>
      <c r="U868">
        <v>-0.4596558</v>
      </c>
      <c r="V868">
        <v>3.9180649999999997E-2</v>
      </c>
      <c r="W868">
        <v>0.14125940000000001</v>
      </c>
      <c r="X868">
        <v>0.98919699999999999</v>
      </c>
      <c r="Y868">
        <v>0.13991289999999901</v>
      </c>
      <c r="Z868">
        <v>-1.526215E-2</v>
      </c>
      <c r="AA868">
        <v>0.99004619999999999</v>
      </c>
      <c r="AB868">
        <v>37</v>
      </c>
      <c r="AC868">
        <v>0.666100000000028</v>
      </c>
      <c r="AD868">
        <v>-0.1878435</v>
      </c>
      <c r="AE868">
        <v>-0.12899999999996201</v>
      </c>
      <c r="AF868">
        <v>0.11747031907988099</v>
      </c>
      <c r="AG868">
        <v>-0.1878435</v>
      </c>
      <c r="AH868">
        <v>0.61912686539537798</v>
      </c>
      <c r="AI868">
        <v>106.59840724610901</v>
      </c>
      <c r="AJ868">
        <v>79.2566626786017</v>
      </c>
      <c r="AK868">
        <v>0.65757321403117197</v>
      </c>
      <c r="AL868">
        <v>81.879271343811197</v>
      </c>
      <c r="AM868">
        <v>87.731783421910194</v>
      </c>
      <c r="AN868">
        <v>1.0000000231158901</v>
      </c>
    </row>
    <row r="869" spans="1:40" x14ac:dyDescent="0.25">
      <c r="A869" t="str">
        <f>"20190303170241626"</f>
        <v>20190303170241626</v>
      </c>
      <c r="B869" t="str">
        <f>"1551603761616504"</f>
        <v>1551603761616504</v>
      </c>
      <c r="C869" t="s">
        <v>40</v>
      </c>
      <c r="D869">
        <v>4.1482089999999996</v>
      </c>
      <c r="E869">
        <v>0.54746510000000004</v>
      </c>
      <c r="F869" t="s">
        <v>43</v>
      </c>
      <c r="G869">
        <v>-317.16250000000002</v>
      </c>
      <c r="H869">
        <v>0.89873369999999997</v>
      </c>
      <c r="I869">
        <v>367.72340000000003</v>
      </c>
      <c r="J869">
        <v>-317.9701</v>
      </c>
      <c r="K869">
        <v>1.1137280000000001</v>
      </c>
      <c r="L869">
        <v>367.87029999999999</v>
      </c>
      <c r="M869">
        <v>0.99985590000000002</v>
      </c>
      <c r="N869">
        <v>-1.6480040000000001E-2</v>
      </c>
      <c r="O869">
        <v>-4.0549799999999997E-3</v>
      </c>
      <c r="P869">
        <v>0.99125490000000005</v>
      </c>
      <c r="Q869">
        <v>0.12475650000000001</v>
      </c>
      <c r="R869">
        <v>-4.3007049999999998E-2</v>
      </c>
      <c r="S869">
        <v>3.0922550000000002</v>
      </c>
      <c r="T869">
        <v>-0.67383749999999998</v>
      </c>
      <c r="U869">
        <v>-0.4609375</v>
      </c>
      <c r="V869">
        <v>3.917354E-2</v>
      </c>
      <c r="W869">
        <v>0.14102619999999999</v>
      </c>
      <c r="X869">
        <v>0.98923050000000001</v>
      </c>
      <c r="Y869">
        <v>0.14003180000000001</v>
      </c>
      <c r="Z869">
        <v>-1.537178E-2</v>
      </c>
      <c r="AA869">
        <v>0.99002769999999995</v>
      </c>
      <c r="AB869">
        <v>37</v>
      </c>
      <c r="AC869">
        <v>0.807599999999979</v>
      </c>
      <c r="AD869">
        <v>-0.2149943</v>
      </c>
      <c r="AE869">
        <v>-0.14689999999995901</v>
      </c>
      <c r="AF869">
        <v>0.134403457977155</v>
      </c>
      <c r="AG869">
        <v>-0.2149943</v>
      </c>
      <c r="AH869">
        <v>0.75630643884152104</v>
      </c>
      <c r="AI869">
        <v>105.636063213266</v>
      </c>
      <c r="AJ869">
        <v>79.923148784385305</v>
      </c>
      <c r="AK869">
        <v>0.79767554054380496</v>
      </c>
      <c r="AL869">
        <v>81.892767385373304</v>
      </c>
      <c r="AM869">
        <v>87.732271317244496</v>
      </c>
      <c r="AN869">
        <v>0.99999996872640995</v>
      </c>
    </row>
    <row r="870" spans="1:40" x14ac:dyDescent="0.25">
      <c r="A870" t="str">
        <f>"20190303170241638"</f>
        <v>20190303170241638</v>
      </c>
      <c r="B870" t="str">
        <f>"1551603761626265"</f>
        <v>1551603761626265</v>
      </c>
      <c r="C870" t="s">
        <v>40</v>
      </c>
      <c r="D870">
        <v>4.1414970000000002</v>
      </c>
      <c r="E870">
        <v>0.54751899999999998</v>
      </c>
      <c r="F870" t="s">
        <v>43</v>
      </c>
      <c r="G870">
        <v>-317.14749999999998</v>
      </c>
      <c r="H870">
        <v>0.93353810000000004</v>
      </c>
      <c r="I870">
        <v>367.74720000000002</v>
      </c>
      <c r="J870">
        <v>-317.76990000000001</v>
      </c>
      <c r="K870">
        <v>1.1127579999999999</v>
      </c>
      <c r="L870">
        <v>367.86930000000001</v>
      </c>
      <c r="M870">
        <v>0.99984439999999997</v>
      </c>
      <c r="N870">
        <v>-1.710182E-2</v>
      </c>
      <c r="O870">
        <v>-4.3455159999999998E-3</v>
      </c>
      <c r="P870">
        <v>0.99130870000000004</v>
      </c>
      <c r="Q870">
        <v>0.1242795</v>
      </c>
      <c r="R870">
        <v>-4.3149569999999998E-2</v>
      </c>
      <c r="S870">
        <v>3.0916440000000001</v>
      </c>
      <c r="T870">
        <v>-0.67724649999999997</v>
      </c>
      <c r="U870">
        <v>-0.46231080000000002</v>
      </c>
      <c r="V870">
        <v>3.9026730000000003E-2</v>
      </c>
      <c r="W870">
        <v>0.1411664</v>
      </c>
      <c r="X870">
        <v>0.98921630000000005</v>
      </c>
      <c r="Y870">
        <v>0.1401616</v>
      </c>
      <c r="Z870">
        <v>-1.5448369999999999E-2</v>
      </c>
      <c r="AA870">
        <v>0.99000809999999995</v>
      </c>
      <c r="AB870">
        <v>37</v>
      </c>
      <c r="AC870">
        <v>0.62240000000002704</v>
      </c>
      <c r="AD870">
        <v>-0.17921989999999999</v>
      </c>
      <c r="AE870">
        <v>-0.122099999999989</v>
      </c>
      <c r="AF870">
        <v>0.110565961593001</v>
      </c>
      <c r="AG870">
        <v>-0.17921989999999999</v>
      </c>
      <c r="AH870">
        <v>0.57686644300176304</v>
      </c>
      <c r="AI870">
        <v>106.96822361517501</v>
      </c>
      <c r="AJ870">
        <v>79.149905587497898</v>
      </c>
      <c r="AK870">
        <v>0.61410055974612299</v>
      </c>
      <c r="AL870">
        <v>81.884653297493401</v>
      </c>
      <c r="AM870">
        <v>87.740728824491498</v>
      </c>
      <c r="AN870">
        <v>0.99999996316456996</v>
      </c>
    </row>
    <row r="871" spans="1:40" x14ac:dyDescent="0.25">
      <c r="A871" t="str">
        <f>"20190303170241649"</f>
        <v>20190303170241649</v>
      </c>
      <c r="B871" t="str">
        <f>"1551603761637001"</f>
        <v>1551603761637001</v>
      </c>
      <c r="C871" t="s">
        <v>40</v>
      </c>
      <c r="D871">
        <v>4.122026</v>
      </c>
      <c r="E871">
        <v>0.54763280000000003</v>
      </c>
      <c r="F871" t="s">
        <v>43</v>
      </c>
      <c r="G871">
        <v>-316.82339999999999</v>
      </c>
      <c r="H871">
        <v>0.90462140000000002</v>
      </c>
      <c r="I871">
        <v>367.72710000000001</v>
      </c>
      <c r="J871">
        <v>-317.577</v>
      </c>
      <c r="K871">
        <v>1.1117330000000001</v>
      </c>
      <c r="L871">
        <v>367.86829999999998</v>
      </c>
      <c r="M871">
        <v>0.99983429999999995</v>
      </c>
      <c r="N871">
        <v>-1.760842E-2</v>
      </c>
      <c r="O871">
        <v>-4.6251840000000001E-3</v>
      </c>
      <c r="P871">
        <v>0.99139940000000004</v>
      </c>
      <c r="Q871">
        <v>0.1234867</v>
      </c>
      <c r="R871">
        <v>-4.3341980000000002E-2</v>
      </c>
      <c r="S871">
        <v>3.0913390000000001</v>
      </c>
      <c r="T871">
        <v>-0.6799269</v>
      </c>
      <c r="U871">
        <v>-0.46322629999999998</v>
      </c>
      <c r="V871">
        <v>3.8942129999999998E-2</v>
      </c>
      <c r="W871">
        <v>0.14087659999999999</v>
      </c>
      <c r="X871">
        <v>0.98926099999999995</v>
      </c>
      <c r="Y871">
        <v>0.1401569</v>
      </c>
      <c r="Z871">
        <v>-1.548649E-2</v>
      </c>
      <c r="AA871">
        <v>0.9900082</v>
      </c>
      <c r="AB871">
        <v>37</v>
      </c>
      <c r="AC871">
        <v>0.75360000000000504</v>
      </c>
      <c r="AD871">
        <v>-0.20711160000000001</v>
      </c>
      <c r="AE871">
        <v>-0.14119999999996899</v>
      </c>
      <c r="AF871">
        <v>0.12834698097344599</v>
      </c>
      <c r="AG871">
        <v>-0.20711160000000001</v>
      </c>
      <c r="AH871">
        <v>0.70295104960263299</v>
      </c>
      <c r="AI871">
        <v>106.16370656604499</v>
      </c>
      <c r="AJ871">
        <v>79.652735180760303</v>
      </c>
      <c r="AK871">
        <v>0.74398141140555496</v>
      </c>
      <c r="AL871">
        <v>81.901425655692293</v>
      </c>
      <c r="AM871">
        <v>87.745723049316794</v>
      </c>
      <c r="AN871">
        <v>1.0000000160187399</v>
      </c>
    </row>
    <row r="872" spans="1:40" x14ac:dyDescent="0.25">
      <c r="A872" t="str">
        <f>"20190303170241661"</f>
        <v>20190303170241661</v>
      </c>
      <c r="B872" t="str">
        <f>"1551603761646759"</f>
        <v>1551603761646759</v>
      </c>
      <c r="C872" t="s">
        <v>40</v>
      </c>
      <c r="D872">
        <v>4.1433730000000004</v>
      </c>
      <c r="E872">
        <v>0.54775200000000002</v>
      </c>
      <c r="F872" t="s">
        <v>43</v>
      </c>
      <c r="G872">
        <v>-316.80680000000001</v>
      </c>
      <c r="H872">
        <v>0.94155800000000001</v>
      </c>
      <c r="I872">
        <v>367.75200000000001</v>
      </c>
      <c r="J872">
        <v>-317.39080000000001</v>
      </c>
      <c r="K872">
        <v>1.1106849999999999</v>
      </c>
      <c r="L872">
        <v>367.8673</v>
      </c>
      <c r="M872">
        <v>0.99982519999999997</v>
      </c>
      <c r="N872">
        <v>-1.8049409999999998E-2</v>
      </c>
      <c r="O872">
        <v>-4.8877979999999996E-3</v>
      </c>
      <c r="P872">
        <v>0.99141650000000003</v>
      </c>
      <c r="Q872">
        <v>0.12328699999999999</v>
      </c>
      <c r="R872">
        <v>-4.3516300000000001E-2</v>
      </c>
      <c r="S872">
        <v>3.0907900000000001</v>
      </c>
      <c r="T872">
        <v>-0.68310740000000003</v>
      </c>
      <c r="U872">
        <v>-0.46487430000000002</v>
      </c>
      <c r="V872">
        <v>3.8859390000000001E-2</v>
      </c>
      <c r="W872">
        <v>0.1411126</v>
      </c>
      <c r="X872">
        <v>0.98923059999999996</v>
      </c>
      <c r="Y872">
        <v>0.1403991</v>
      </c>
      <c r="Z872">
        <v>-1.5562909999999999E-2</v>
      </c>
      <c r="AA872">
        <v>0.98997270000000004</v>
      </c>
      <c r="AB872">
        <v>37</v>
      </c>
      <c r="AC872">
        <v>0.58400000000000296</v>
      </c>
      <c r="AD872">
        <v>-0.169127</v>
      </c>
      <c r="AE872">
        <v>-0.115300000000047</v>
      </c>
      <c r="AF872">
        <v>0.104044939990733</v>
      </c>
      <c r="AG872">
        <v>-0.169127</v>
      </c>
      <c r="AH872">
        <v>0.54089445093715505</v>
      </c>
      <c r="AI872">
        <v>107.069166004678</v>
      </c>
      <c r="AJ872">
        <v>79.111737763802395</v>
      </c>
      <c r="AK872">
        <v>0.57619102624154195</v>
      </c>
      <c r="AL872">
        <v>81.8877672722342</v>
      </c>
      <c r="AM872">
        <v>87.750438707996594</v>
      </c>
      <c r="AN872">
        <v>0.99999999902314596</v>
      </c>
    </row>
    <row r="873" spans="1:40" x14ac:dyDescent="0.25">
      <c r="A873" t="str">
        <f>"20190303170241673"</f>
        <v>20190303170241673</v>
      </c>
      <c r="B873" t="str">
        <f>"1551603761666279"</f>
        <v>1551603761666279</v>
      </c>
      <c r="C873" t="s">
        <v>40</v>
      </c>
      <c r="D873">
        <v>4.1514499999999996</v>
      </c>
      <c r="E873">
        <v>0.5480294</v>
      </c>
      <c r="F873" t="s">
        <v>43</v>
      </c>
      <c r="G873">
        <v>-316.48419999999999</v>
      </c>
      <c r="H873">
        <v>0.90994229999999998</v>
      </c>
      <c r="I873">
        <v>367.7303</v>
      </c>
      <c r="J873">
        <v>-317.18200000000002</v>
      </c>
      <c r="K873">
        <v>1.109451</v>
      </c>
      <c r="L873">
        <v>367.86610000000002</v>
      </c>
      <c r="M873">
        <v>0.99981560000000003</v>
      </c>
      <c r="N873">
        <v>-1.8498560000000001E-2</v>
      </c>
      <c r="O873">
        <v>-5.1749600000000002E-3</v>
      </c>
      <c r="P873">
        <v>0.99145760000000005</v>
      </c>
      <c r="Q873">
        <v>0.12288789999999999</v>
      </c>
      <c r="R873">
        <v>-4.3714250000000003E-2</v>
      </c>
      <c r="S873">
        <v>3.090576</v>
      </c>
      <c r="T873">
        <v>-0.68430500000000005</v>
      </c>
      <c r="U873">
        <v>-0.4666748</v>
      </c>
      <c r="V873">
        <v>3.8777829999999999E-2</v>
      </c>
      <c r="W873">
        <v>0.14115749999999999</v>
      </c>
      <c r="X873">
        <v>0.98922739999999998</v>
      </c>
      <c r="Y873">
        <v>0.1406684</v>
      </c>
      <c r="Z873">
        <v>-1.5596560000000001E-2</v>
      </c>
      <c r="AA873">
        <v>0.98993390000000003</v>
      </c>
      <c r="AB873">
        <v>38</v>
      </c>
      <c r="AC873">
        <v>0.69780000000002895</v>
      </c>
      <c r="AD873">
        <v>-0.19950869999999901</v>
      </c>
      <c r="AE873">
        <v>-0.13580000000001699</v>
      </c>
      <c r="AF873">
        <v>0.12253533676091</v>
      </c>
      <c r="AG873">
        <v>-0.19950869999999901</v>
      </c>
      <c r="AH873">
        <v>0.64749543744167704</v>
      </c>
      <c r="AI873">
        <v>106.84369357396901</v>
      </c>
      <c r="AJ873">
        <v>79.283784427820805</v>
      </c>
      <c r="AK873">
        <v>0.68852666734018897</v>
      </c>
      <c r="AL873">
        <v>81.885168724739799</v>
      </c>
      <c r="AM873">
        <v>87.755148108178801</v>
      </c>
      <c r="AN873">
        <v>1.00000000440825</v>
      </c>
    </row>
    <row r="874" spans="1:40" x14ac:dyDescent="0.25">
      <c r="A874" t="str">
        <f>"20190303170241683"</f>
        <v>20190303170241683</v>
      </c>
      <c r="B874" t="str">
        <f>"1551603761677016"</f>
        <v>1551603761677016</v>
      </c>
      <c r="C874" t="s">
        <v>40</v>
      </c>
      <c r="D874">
        <v>4.1331790000000002</v>
      </c>
      <c r="E874">
        <v>0.5481646</v>
      </c>
      <c r="F874" t="s">
        <v>43</v>
      </c>
      <c r="G874">
        <v>-316.46550000000002</v>
      </c>
      <c r="H874">
        <v>0.95020099999999996</v>
      </c>
      <c r="I874">
        <v>367.75709999999998</v>
      </c>
      <c r="J874">
        <v>-317.00729999999999</v>
      </c>
      <c r="K874">
        <v>1.1083449999999999</v>
      </c>
      <c r="L874">
        <v>367.86509999999998</v>
      </c>
      <c r="M874">
        <v>0.9998089</v>
      </c>
      <c r="N874">
        <v>-1.8792929999999999E-2</v>
      </c>
      <c r="O874">
        <v>-5.3979029999999999E-3</v>
      </c>
      <c r="P874">
        <v>0.99149710000000002</v>
      </c>
      <c r="Q874">
        <v>0.1225354</v>
      </c>
      <c r="R874">
        <v>-4.380274E-2</v>
      </c>
      <c r="S874">
        <v>3.090271</v>
      </c>
      <c r="T874">
        <v>-0.68680439999999998</v>
      </c>
      <c r="U874">
        <v>-0.46972659999999999</v>
      </c>
      <c r="V874">
        <v>3.8651280000000003E-2</v>
      </c>
      <c r="W874">
        <v>0.1410961</v>
      </c>
      <c r="X874">
        <v>0.98924109999999998</v>
      </c>
      <c r="Y874">
        <v>0.14137459999999999</v>
      </c>
      <c r="Z874">
        <v>-1.5709600000000001E-2</v>
      </c>
      <c r="AA874">
        <v>0.98983149999999998</v>
      </c>
      <c r="AB874">
        <v>38</v>
      </c>
      <c r="AC874">
        <v>0.54179999999996598</v>
      </c>
      <c r="AD874">
        <v>-0.15814400000000001</v>
      </c>
      <c r="AE874">
        <v>-0.108000000000004</v>
      </c>
      <c r="AF874">
        <v>9.7115516299787E-2</v>
      </c>
      <c r="AG874">
        <v>-0.15814400000000001</v>
      </c>
      <c r="AH874">
        <v>0.50129797699581902</v>
      </c>
      <c r="AI874">
        <v>107.208316404977</v>
      </c>
      <c r="AJ874">
        <v>79.036011411484694</v>
      </c>
      <c r="AK874">
        <v>0.53454710735563304</v>
      </c>
      <c r="AL874">
        <v>81.8887221529356</v>
      </c>
      <c r="AM874">
        <v>87.7624975961959</v>
      </c>
      <c r="AN874">
        <v>0.99999999240502901</v>
      </c>
    </row>
    <row r="875" spans="1:40" x14ac:dyDescent="0.25">
      <c r="A875" t="str">
        <f>"20190303170241694"</f>
        <v>20190303170241694</v>
      </c>
      <c r="B875" t="str">
        <f>"1551603761686776"</f>
        <v>1551603761686776</v>
      </c>
      <c r="C875" t="s">
        <v>40</v>
      </c>
      <c r="D875">
        <v>4.1266769999999999</v>
      </c>
      <c r="E875">
        <v>0.54828659999999996</v>
      </c>
      <c r="F875" t="s">
        <v>43</v>
      </c>
      <c r="G875">
        <v>-316.14409999999998</v>
      </c>
      <c r="H875">
        <v>0.91605340000000002</v>
      </c>
      <c r="I875">
        <v>367.73309999999998</v>
      </c>
      <c r="J875">
        <v>-316.815</v>
      </c>
      <c r="K875">
        <v>1.107108</v>
      </c>
      <c r="L875">
        <v>367.8639</v>
      </c>
      <c r="M875">
        <v>0.99980179999999996</v>
      </c>
      <c r="N875">
        <v>-1.9097989999999999E-2</v>
      </c>
      <c r="O875">
        <v>-5.6396709999999997E-3</v>
      </c>
      <c r="P875">
        <v>0.99151719999999999</v>
      </c>
      <c r="Q875">
        <v>0.1223361</v>
      </c>
      <c r="R875">
        <v>-4.3909940000000001E-2</v>
      </c>
      <c r="S875">
        <v>3.0900270000000001</v>
      </c>
      <c r="T875">
        <v>-0.68842389999999998</v>
      </c>
      <c r="U875">
        <v>-0.47125240000000002</v>
      </c>
      <c r="V875">
        <v>3.8525549999999999E-2</v>
      </c>
      <c r="W875">
        <v>0.14119709999999999</v>
      </c>
      <c r="X875">
        <v>0.98923159999999999</v>
      </c>
      <c r="Y875">
        <v>0.14160220000000001</v>
      </c>
      <c r="Z875">
        <v>-1.5745510000000001E-2</v>
      </c>
      <c r="AA875">
        <v>0.98979839999999997</v>
      </c>
      <c r="AB875">
        <v>38</v>
      </c>
      <c r="AC875">
        <v>0.67090000000001704</v>
      </c>
      <c r="AD875">
        <v>-0.19105459999999999</v>
      </c>
      <c r="AE875">
        <v>-0.13080000000002101</v>
      </c>
      <c r="AF875">
        <v>0.11780953905061201</v>
      </c>
      <c r="AG875">
        <v>-0.19105459999999999</v>
      </c>
      <c r="AH875">
        <v>0.62295768981414001</v>
      </c>
      <c r="AI875">
        <v>106.770085189344</v>
      </c>
      <c r="AJ875">
        <v>79.291078947043999</v>
      </c>
      <c r="AK875">
        <v>0.66216103099702806</v>
      </c>
      <c r="AL875">
        <v>81.882876811008401</v>
      </c>
      <c r="AM875">
        <v>87.769747282311897</v>
      </c>
      <c r="AN875">
        <v>0.99999999874488599</v>
      </c>
    </row>
    <row r="876" spans="1:40" x14ac:dyDescent="0.25">
      <c r="A876" t="str">
        <f>"20190303170241706"</f>
        <v>20190303170241706</v>
      </c>
      <c r="B876" t="str">
        <f>"1551603761696536"</f>
        <v>1551603761696536</v>
      </c>
      <c r="C876" t="s">
        <v>40</v>
      </c>
      <c r="D876">
        <v>4.1659119999999996</v>
      </c>
      <c r="E876">
        <v>0.54839249999999995</v>
      </c>
      <c r="F876" t="s">
        <v>43</v>
      </c>
      <c r="G876">
        <v>-315.82010000000002</v>
      </c>
      <c r="H876">
        <v>0.8850363</v>
      </c>
      <c r="I876">
        <v>367.71159999999998</v>
      </c>
      <c r="J876">
        <v>-316.62540000000001</v>
      </c>
      <c r="K876">
        <v>1.1057939999999999</v>
      </c>
      <c r="L876">
        <v>367.86259999999999</v>
      </c>
      <c r="M876">
        <v>0.99979709999999999</v>
      </c>
      <c r="N876">
        <v>-1.9273490000000001E-2</v>
      </c>
      <c r="O876">
        <v>-5.8692090000000002E-3</v>
      </c>
      <c r="P876">
        <v>0.9915313</v>
      </c>
      <c r="Q876">
        <v>0.12221029999999999</v>
      </c>
      <c r="R876">
        <v>-4.3938909999999998E-2</v>
      </c>
      <c r="S876">
        <v>3.0898129999999999</v>
      </c>
      <c r="T876">
        <v>-0.68962029999999996</v>
      </c>
      <c r="U876">
        <v>-0.4724121</v>
      </c>
      <c r="V876">
        <v>3.8332779999999997E-2</v>
      </c>
      <c r="W876">
        <v>0.14124429999999999</v>
      </c>
      <c r="X876">
        <v>0.98923240000000001</v>
      </c>
      <c r="Y876">
        <v>0.14173440000000001</v>
      </c>
      <c r="Z876">
        <v>-1.5753840000000002E-2</v>
      </c>
      <c r="AA876">
        <v>0.98977939999999998</v>
      </c>
      <c r="AB876">
        <v>38</v>
      </c>
      <c r="AC876">
        <v>0.80529999999998803</v>
      </c>
      <c r="AD876">
        <v>-0.220757699999999</v>
      </c>
      <c r="AE876">
        <v>-0.15100000000000999</v>
      </c>
      <c r="AF876">
        <v>0.13637019550582999</v>
      </c>
      <c r="AG876">
        <v>-0.220757699999999</v>
      </c>
      <c r="AH876">
        <v>0.75160916047355897</v>
      </c>
      <c r="AI876">
        <v>106.11903666137501</v>
      </c>
      <c r="AJ876">
        <v>79.716260435798006</v>
      </c>
      <c r="AK876">
        <v>0.79513968737534202</v>
      </c>
      <c r="AL876">
        <v>81.880145473772004</v>
      </c>
      <c r="AM876">
        <v>87.780897388952496</v>
      </c>
      <c r="AN876">
        <v>1.0000000477573801</v>
      </c>
    </row>
    <row r="877" spans="1:40" x14ac:dyDescent="0.25">
      <c r="A877" t="str">
        <f>"20190303170241717"</f>
        <v>20190303170241717</v>
      </c>
      <c r="B877" t="str">
        <f>"1551603761706296"</f>
        <v>1551603761706296</v>
      </c>
      <c r="C877" t="s">
        <v>40</v>
      </c>
      <c r="D877">
        <v>4.1088500000000003</v>
      </c>
      <c r="E877">
        <v>0.54850529999999997</v>
      </c>
      <c r="F877" t="s">
        <v>43</v>
      </c>
      <c r="G877">
        <v>-315.80399999999997</v>
      </c>
      <c r="H877">
        <v>0.92225590000000002</v>
      </c>
      <c r="I877">
        <v>367.73669999999998</v>
      </c>
      <c r="J877">
        <v>-316.45400000000001</v>
      </c>
      <c r="K877">
        <v>1.1046020000000001</v>
      </c>
      <c r="L877">
        <v>367.8614</v>
      </c>
      <c r="M877">
        <v>0.99979320000000005</v>
      </c>
      <c r="N877">
        <v>-1.9411069999999999E-2</v>
      </c>
      <c r="O877">
        <v>-6.076616E-3</v>
      </c>
      <c r="P877">
        <v>0.99158760000000001</v>
      </c>
      <c r="Q877">
        <v>0.12167559999999999</v>
      </c>
      <c r="R877">
        <v>-4.4148029999999998E-2</v>
      </c>
      <c r="S877">
        <v>3.0897830000000002</v>
      </c>
      <c r="T877">
        <v>-0.69047550000000002</v>
      </c>
      <c r="U877">
        <v>-0.47311399999999998</v>
      </c>
      <c r="V877">
        <v>3.8339850000000002E-2</v>
      </c>
      <c r="W877">
        <v>0.1408459</v>
      </c>
      <c r="X877">
        <v>0.98928890000000003</v>
      </c>
      <c r="Y877">
        <v>0.1417436</v>
      </c>
      <c r="Z877">
        <v>-1.5741330000000001E-2</v>
      </c>
      <c r="AA877">
        <v>0.98977820000000005</v>
      </c>
      <c r="AB877">
        <v>38</v>
      </c>
      <c r="AC877">
        <v>0.64999999999997704</v>
      </c>
      <c r="AD877">
        <v>-0.18234610000000001</v>
      </c>
      <c r="AE877">
        <v>-0.124700000000018</v>
      </c>
      <c r="AF877">
        <v>0.112228473651776</v>
      </c>
      <c r="AG877">
        <v>-0.18234610000000001</v>
      </c>
      <c r="AH877">
        <v>0.60483594582745404</v>
      </c>
      <c r="AI877">
        <v>106.51091028425201</v>
      </c>
      <c r="AJ877">
        <v>79.488208421709899</v>
      </c>
      <c r="AK877">
        <v>0.64161659256008097</v>
      </c>
      <c r="AL877">
        <v>81.903202380537493</v>
      </c>
      <c r="AM877">
        <v>87.780615146006298</v>
      </c>
      <c r="AN877">
        <v>1.00000001965402</v>
      </c>
    </row>
    <row r="878" spans="1:40" x14ac:dyDescent="0.25">
      <c r="A878" t="str">
        <f>"20190303170241727"</f>
        <v>20190303170241727</v>
      </c>
      <c r="B878" t="str">
        <f>"1551603761717033"</f>
        <v>1551603761717033</v>
      </c>
      <c r="C878" t="s">
        <v>40</v>
      </c>
      <c r="D878">
        <v>4.1271589999999998</v>
      </c>
      <c r="E878">
        <v>0.54862469999999997</v>
      </c>
      <c r="F878" t="s">
        <v>43</v>
      </c>
      <c r="G878">
        <v>-315.48219999999998</v>
      </c>
      <c r="H878">
        <v>0.88674500000000001</v>
      </c>
      <c r="I878">
        <v>367.7115</v>
      </c>
      <c r="J878">
        <v>-316.26249999999999</v>
      </c>
      <c r="K878">
        <v>1.1032059999999999</v>
      </c>
      <c r="L878">
        <v>367.86</v>
      </c>
      <c r="M878">
        <v>0.99979110000000004</v>
      </c>
      <c r="N878">
        <v>-1.9449439999999998E-2</v>
      </c>
      <c r="O878">
        <v>-6.3093769999999997E-3</v>
      </c>
      <c r="P878">
        <v>0.99159350000000002</v>
      </c>
      <c r="Q878">
        <v>0.1216009</v>
      </c>
      <c r="R878">
        <v>-4.4225550000000002E-2</v>
      </c>
      <c r="S878">
        <v>3.0892940000000002</v>
      </c>
      <c r="T878">
        <v>-0.69263319999999995</v>
      </c>
      <c r="U878">
        <v>-0.47509770000000001</v>
      </c>
      <c r="V878">
        <v>3.8190189999999999E-2</v>
      </c>
      <c r="W878">
        <v>0.14080860000000001</v>
      </c>
      <c r="X878">
        <v>0.98929999999999996</v>
      </c>
      <c r="Y878">
        <v>0.14212949999999999</v>
      </c>
      <c r="Z878">
        <v>-1.578891E-2</v>
      </c>
      <c r="AA878">
        <v>0.98972210000000005</v>
      </c>
      <c r="AB878">
        <v>38</v>
      </c>
      <c r="AC878">
        <v>0.78030000000001098</v>
      </c>
      <c r="AD878">
        <v>-0.21646099999999899</v>
      </c>
      <c r="AE878">
        <v>-0.14850000000001201</v>
      </c>
      <c r="AF878">
        <v>0.13364755598234601</v>
      </c>
      <c r="AG878">
        <v>-0.21646099999999899</v>
      </c>
      <c r="AH878">
        <v>0.72721489289711505</v>
      </c>
      <c r="AI878">
        <v>106.317639762575</v>
      </c>
      <c r="AJ878">
        <v>79.586384014647805</v>
      </c>
      <c r="AK878">
        <v>0.77042750093205803</v>
      </c>
      <c r="AL878">
        <v>81.905361038517498</v>
      </c>
      <c r="AM878">
        <v>87.789294704821302</v>
      </c>
      <c r="AN878">
        <v>1.00000002122309</v>
      </c>
    </row>
    <row r="879" spans="1:40" x14ac:dyDescent="0.25">
      <c r="A879" t="str">
        <f>"20190303170241739"</f>
        <v>20190303170241739</v>
      </c>
      <c r="B879" t="str">
        <f>"1551603761726792"</f>
        <v>1551603761726792</v>
      </c>
      <c r="C879" t="s">
        <v>40</v>
      </c>
      <c r="D879">
        <v>4.116568</v>
      </c>
      <c r="E879">
        <v>0.54874000000000001</v>
      </c>
      <c r="F879" t="s">
        <v>43</v>
      </c>
      <c r="G879">
        <v>-315.46559999999999</v>
      </c>
      <c r="H879">
        <v>0.92441450000000003</v>
      </c>
      <c r="I879">
        <v>367.73680000000002</v>
      </c>
      <c r="J879">
        <v>-316.07139999999998</v>
      </c>
      <c r="K879">
        <v>1.101799</v>
      </c>
      <c r="L879">
        <v>367.85860000000002</v>
      </c>
      <c r="M879">
        <v>0.99978920000000004</v>
      </c>
      <c r="N879">
        <v>-1.9470600000000001E-2</v>
      </c>
      <c r="O879">
        <v>-6.5294109999999997E-3</v>
      </c>
      <c r="P879">
        <v>0.99157569999999995</v>
      </c>
      <c r="Q879">
        <v>0.1216774</v>
      </c>
      <c r="R879">
        <v>-4.4411630000000001E-2</v>
      </c>
      <c r="S879">
        <v>3.0892330000000001</v>
      </c>
      <c r="T879">
        <v>-0.693241199999999</v>
      </c>
      <c r="U879">
        <v>-0.47619630000000002</v>
      </c>
      <c r="V879">
        <v>3.8161680000000003E-2</v>
      </c>
      <c r="W879">
        <v>0.1409049</v>
      </c>
      <c r="X879">
        <v>0.98928740000000004</v>
      </c>
      <c r="Y879">
        <v>0.142253399999999</v>
      </c>
      <c r="Z879">
        <v>-1.5773390000000002E-2</v>
      </c>
      <c r="AA879">
        <v>0.98970460000000005</v>
      </c>
      <c r="AB879">
        <v>38</v>
      </c>
      <c r="AC879">
        <v>0.60579999999998702</v>
      </c>
      <c r="AD879">
        <v>-0.177384499999999</v>
      </c>
      <c r="AE879">
        <v>-0.121800000000007</v>
      </c>
      <c r="AF879">
        <v>0.108869554292572</v>
      </c>
      <c r="AG879">
        <v>-0.177384499999999</v>
      </c>
      <c r="AH879">
        <v>0.560401658754483</v>
      </c>
      <c r="AI879">
        <v>107.26115990587699</v>
      </c>
      <c r="AJ879">
        <v>79.006058340022193</v>
      </c>
      <c r="AK879">
        <v>0.59780252577827897</v>
      </c>
      <c r="AL879">
        <v>81.899787980483893</v>
      </c>
      <c r="AM879">
        <v>87.790915312274706</v>
      </c>
      <c r="AN879">
        <v>1.0000000322315901</v>
      </c>
    </row>
    <row r="880" spans="1:40" x14ac:dyDescent="0.25">
      <c r="A880" t="str">
        <f>"20190303170241752"</f>
        <v>20190303170241752</v>
      </c>
      <c r="B880" t="str">
        <f>"1551603761746312"</f>
        <v>1551603761746312</v>
      </c>
      <c r="C880" t="s">
        <v>40</v>
      </c>
      <c r="D880">
        <v>4.1562010000000003</v>
      </c>
      <c r="E880">
        <v>0.54894109999999996</v>
      </c>
      <c r="F880" t="s">
        <v>43</v>
      </c>
      <c r="G880">
        <v>-315.14269999999999</v>
      </c>
      <c r="H880">
        <v>0.89335450000000005</v>
      </c>
      <c r="I880">
        <v>367.71499999999997</v>
      </c>
      <c r="J880">
        <v>-315.8519</v>
      </c>
      <c r="K880">
        <v>1.1001449999999999</v>
      </c>
      <c r="L880">
        <v>367.8569</v>
      </c>
      <c r="M880">
        <v>0.9997878</v>
      </c>
      <c r="N880">
        <v>-1.9464639999999998E-2</v>
      </c>
      <c r="O880">
        <v>-6.7603489999999997E-3</v>
      </c>
      <c r="P880">
        <v>0.99158080000000004</v>
      </c>
      <c r="Q880">
        <v>0.1215926</v>
      </c>
      <c r="R880">
        <v>-4.4531010000000003E-2</v>
      </c>
      <c r="S880">
        <v>3.0892330000000001</v>
      </c>
      <c r="T880">
        <v>-0.69342269999999995</v>
      </c>
      <c r="U880">
        <v>-0.47723389999999999</v>
      </c>
      <c r="V880">
        <v>3.8054850000000001E-2</v>
      </c>
      <c r="W880">
        <v>0.14081379999999999</v>
      </c>
      <c r="X880">
        <v>0.98930450000000003</v>
      </c>
      <c r="Y880">
        <v>0.14235020000000001</v>
      </c>
      <c r="Z880">
        <v>-1.5741399999999999E-2</v>
      </c>
      <c r="AA880">
        <v>0.98969119999999999</v>
      </c>
      <c r="AB880">
        <v>38</v>
      </c>
      <c r="AC880">
        <v>0.70920000000000905</v>
      </c>
      <c r="AD880">
        <v>-0.20679049999999999</v>
      </c>
      <c r="AE880">
        <v>-0.14190000000002001</v>
      </c>
      <c r="AF880">
        <v>0.126740636523655</v>
      </c>
      <c r="AG880">
        <v>-0.20679049999999999</v>
      </c>
      <c r="AH880">
        <v>0.65647763961745298</v>
      </c>
      <c r="AI880">
        <v>107.186251060169</v>
      </c>
      <c r="AJ880">
        <v>79.072822452266905</v>
      </c>
      <c r="AK880">
        <v>0.69984883450240498</v>
      </c>
      <c r="AL880">
        <v>81.905060302359999</v>
      </c>
      <c r="AM880">
        <v>87.797131373389306</v>
      </c>
      <c r="AN880">
        <v>1.0000000457995999</v>
      </c>
    </row>
    <row r="881" spans="1:40" x14ac:dyDescent="0.25">
      <c r="A881" t="str">
        <f>"20190303170241763"</f>
        <v>20190303170241763</v>
      </c>
      <c r="B881" t="str">
        <f>"1551603761757049"</f>
        <v>1551603761757049</v>
      </c>
      <c r="C881" t="s">
        <v>40</v>
      </c>
      <c r="D881">
        <v>4.1709399999999999</v>
      </c>
      <c r="E881">
        <v>0.54904049999999904</v>
      </c>
      <c r="F881" t="s">
        <v>43</v>
      </c>
      <c r="G881">
        <v>-315.12299999999999</v>
      </c>
      <c r="H881">
        <v>0.9362085</v>
      </c>
      <c r="I881">
        <v>367.74369999999999</v>
      </c>
      <c r="J881">
        <v>-315.66669999999999</v>
      </c>
      <c r="K881">
        <v>1.0987439999999999</v>
      </c>
      <c r="L881">
        <v>367.85539999999997</v>
      </c>
      <c r="M881">
        <v>0.99978690000000003</v>
      </c>
      <c r="N881">
        <v>-1.9439000000000001E-2</v>
      </c>
      <c r="O881">
        <v>-6.9560300000000002E-3</v>
      </c>
      <c r="P881">
        <v>0.99156310000000003</v>
      </c>
      <c r="Q881">
        <v>0.1216967</v>
      </c>
      <c r="R881">
        <v>-4.4641359999999998E-2</v>
      </c>
      <c r="S881">
        <v>3.089172</v>
      </c>
      <c r="T881">
        <v>-0.69484869999999899</v>
      </c>
      <c r="U881">
        <v>-0.4794312</v>
      </c>
      <c r="V881">
        <v>3.7970999999999998E-2</v>
      </c>
      <c r="W881">
        <v>0.14089260000000001</v>
      </c>
      <c r="X881">
        <v>0.98929639999999996</v>
      </c>
      <c r="Y881">
        <v>0.14282500000000001</v>
      </c>
      <c r="Z881">
        <v>-1.5785199999999999E-2</v>
      </c>
      <c r="AA881">
        <v>0.98962209999999995</v>
      </c>
      <c r="AB881">
        <v>38</v>
      </c>
      <c r="AC881">
        <v>0.54370000000000096</v>
      </c>
      <c r="AD881">
        <v>-0.1625355</v>
      </c>
      <c r="AE881">
        <v>-0.11169999999998401</v>
      </c>
      <c r="AF881">
        <v>9.9391935074347695E-2</v>
      </c>
      <c r="AG881">
        <v>-0.1625355</v>
      </c>
      <c r="AH881">
        <v>0.50146443540278596</v>
      </c>
      <c r="AI881">
        <v>107.63737750634699</v>
      </c>
      <c r="AJ881">
        <v>78.789082404275405</v>
      </c>
      <c r="AK881">
        <v>0.53643557440936696</v>
      </c>
      <c r="AL881">
        <v>81.900499102983105</v>
      </c>
      <c r="AM881">
        <v>87.801962425862698</v>
      </c>
      <c r="AN881">
        <v>0.99999994431435801</v>
      </c>
    </row>
    <row r="882" spans="1:40" x14ac:dyDescent="0.25">
      <c r="A882" t="str">
        <f>"20190303170241777"</f>
        <v>20190303170241777</v>
      </c>
      <c r="B882" t="str">
        <f>"1551603761766808"</f>
        <v>1551603761766808</v>
      </c>
      <c r="C882" t="s">
        <v>40</v>
      </c>
      <c r="D882">
        <v>4.1819410000000001</v>
      </c>
      <c r="E882">
        <v>0.54904049999999904</v>
      </c>
      <c r="F882" t="s">
        <v>43</v>
      </c>
      <c r="G882">
        <v>-314.80180000000001</v>
      </c>
      <c r="H882">
        <v>0.90418710000000002</v>
      </c>
      <c r="I882">
        <v>367.72059999999999</v>
      </c>
      <c r="J882">
        <v>-315.43939999999998</v>
      </c>
      <c r="K882">
        <v>1.0970200000000001</v>
      </c>
      <c r="L882">
        <v>367.8535</v>
      </c>
      <c r="M882">
        <v>0.99978610000000001</v>
      </c>
      <c r="N882">
        <v>-1.9390270000000001E-2</v>
      </c>
      <c r="O882">
        <v>-7.1997270000000004E-3</v>
      </c>
      <c r="P882">
        <v>0.9915313</v>
      </c>
      <c r="Q882">
        <v>0.1218743</v>
      </c>
      <c r="R882">
        <v>-4.4859610000000001E-2</v>
      </c>
      <c r="S882">
        <v>3.089172</v>
      </c>
      <c r="T882">
        <v>-0.69494690000000003</v>
      </c>
      <c r="U882">
        <v>-0.48095700000000002</v>
      </c>
      <c r="V882">
        <v>3.7946050000000002E-2</v>
      </c>
      <c r="W882">
        <v>0.14102200000000001</v>
      </c>
      <c r="X882">
        <v>0.98927900000000002</v>
      </c>
      <c r="Y882">
        <v>0.1430601</v>
      </c>
      <c r="Z882">
        <v>-1.576193E-2</v>
      </c>
      <c r="AA882">
        <v>0.98958849999999998</v>
      </c>
      <c r="AB882">
        <v>38</v>
      </c>
      <c r="AC882">
        <v>0.63759999999996297</v>
      </c>
      <c r="AD882">
        <v>-0.1928329</v>
      </c>
      <c r="AE882">
        <v>-0.13290000000000601</v>
      </c>
      <c r="AF882">
        <v>0.11796451710155099</v>
      </c>
      <c r="AG882">
        <v>-0.1928329</v>
      </c>
      <c r="AH882">
        <v>0.58707794366812305</v>
      </c>
      <c r="AI882">
        <v>107.849889099891</v>
      </c>
      <c r="AJ882">
        <v>78.638564706717602</v>
      </c>
      <c r="AK882">
        <v>0.62909511725891198</v>
      </c>
      <c r="AL882">
        <v>81.893010904053298</v>
      </c>
      <c r="AM882">
        <v>87.803366700926603</v>
      </c>
      <c r="AN882">
        <v>1.0000000235177999</v>
      </c>
    </row>
    <row r="883" spans="1:40" x14ac:dyDescent="0.25">
      <c r="A883" t="str">
        <f>"20190303170241791"</f>
        <v>20190303170241791</v>
      </c>
      <c r="B883" t="str">
        <f>"1551603761776569"</f>
        <v>1551603761776569</v>
      </c>
      <c r="C883" t="s">
        <v>40</v>
      </c>
      <c r="D883">
        <v>4.1867780000000003</v>
      </c>
      <c r="E883">
        <v>0.55503259999999999</v>
      </c>
      <c r="F883" t="s">
        <v>43</v>
      </c>
      <c r="G883">
        <v>-314.47609999999997</v>
      </c>
      <c r="H883">
        <v>0.88057240000000003</v>
      </c>
      <c r="I883">
        <v>367.70319999999998</v>
      </c>
      <c r="J883">
        <v>-315.20609999999999</v>
      </c>
      <c r="K883">
        <v>1.0952729999999999</v>
      </c>
      <c r="L883">
        <v>367.85160000000002</v>
      </c>
      <c r="M883">
        <v>0.99978619999999996</v>
      </c>
      <c r="N883">
        <v>-1.9285940000000001E-2</v>
      </c>
      <c r="O883">
        <v>-7.4688569999999998E-3</v>
      </c>
      <c r="P883">
        <v>0.99155709999999997</v>
      </c>
      <c r="Q883">
        <v>0.121557</v>
      </c>
      <c r="R883">
        <v>-4.5151249999999997E-2</v>
      </c>
      <c r="S883">
        <v>3.089172</v>
      </c>
      <c r="T883">
        <v>-0.69419849999999905</v>
      </c>
      <c r="U883">
        <v>-0.48168949999999999</v>
      </c>
      <c r="V883">
        <v>3.796339E-2</v>
      </c>
      <c r="W883">
        <v>0.14060420000000001</v>
      </c>
      <c r="X883">
        <v>0.98933780000000004</v>
      </c>
      <c r="Y883">
        <v>0.14303840000000001</v>
      </c>
      <c r="Z883">
        <v>-1.5681500000000001E-2</v>
      </c>
      <c r="AA883">
        <v>0.9895929</v>
      </c>
      <c r="AB883">
        <v>37</v>
      </c>
      <c r="AC883">
        <v>0.73000000000001797</v>
      </c>
      <c r="AD883">
        <v>-0.21470059999999899</v>
      </c>
      <c r="AE883">
        <v>-0.148400000000037</v>
      </c>
      <c r="AF883">
        <v>0.13197931269320201</v>
      </c>
      <c r="AG883">
        <v>-0.21470059999999899</v>
      </c>
      <c r="AH883">
        <v>0.675015942064222</v>
      </c>
      <c r="AI883">
        <v>107.33610923035801</v>
      </c>
      <c r="AJ883">
        <v>78.937075406398293</v>
      </c>
      <c r="AK883">
        <v>0.72052856200165905</v>
      </c>
      <c r="AL883">
        <v>81.917189977801101</v>
      </c>
      <c r="AM883">
        <v>87.802494386920699</v>
      </c>
      <c r="AN883">
        <v>1.0000000212733799</v>
      </c>
    </row>
    <row r="884" spans="1:40" x14ac:dyDescent="0.25">
      <c r="A884" t="str">
        <f>"20190303170241804"</f>
        <v>20190303170241804</v>
      </c>
      <c r="B884" t="str">
        <f>"1551603761797064"</f>
        <v>1551603761797064</v>
      </c>
      <c r="C884" t="s">
        <v>40</v>
      </c>
      <c r="D884">
        <v>4.1894450000000001</v>
      </c>
      <c r="E884">
        <v>0.55444459999999995</v>
      </c>
      <c r="F884" t="s">
        <v>43</v>
      </c>
      <c r="G884">
        <v>-314.4581</v>
      </c>
      <c r="H884">
        <v>0.92079500000000003</v>
      </c>
      <c r="I884">
        <v>367.72329999999999</v>
      </c>
      <c r="J884">
        <v>-314.98219999999998</v>
      </c>
      <c r="K884">
        <v>1.0936300000000001</v>
      </c>
      <c r="L884">
        <v>367.84960000000001</v>
      </c>
      <c r="M884">
        <v>0.99978710000000004</v>
      </c>
      <c r="N884">
        <v>-1.9131929999999998E-2</v>
      </c>
      <c r="O884">
        <v>-7.7416639999999997E-3</v>
      </c>
      <c r="P884">
        <v>0.99158449999999998</v>
      </c>
      <c r="Q884">
        <v>0.12119000000000001</v>
      </c>
      <c r="R884">
        <v>-4.5534909999999998E-2</v>
      </c>
      <c r="S884">
        <v>3.0897519999999998</v>
      </c>
      <c r="T884">
        <v>-0.72077069999999999</v>
      </c>
      <c r="U884">
        <v>-0.5293274</v>
      </c>
      <c r="V884">
        <v>3.8067299999999998E-2</v>
      </c>
      <c r="W884">
        <v>0.14008770000000001</v>
      </c>
      <c r="X884">
        <v>0.98940709999999998</v>
      </c>
      <c r="Y884">
        <v>0.15694369999999999</v>
      </c>
      <c r="Z884">
        <v>-1.7846959999999999E-2</v>
      </c>
      <c r="AA884">
        <v>0.98744620000000005</v>
      </c>
      <c r="AB884">
        <v>37</v>
      </c>
      <c r="AC884">
        <v>0.52409999999997503</v>
      </c>
      <c r="AD884">
        <v>-0.17283499999999899</v>
      </c>
      <c r="AE884">
        <v>-0.12630000000001401</v>
      </c>
      <c r="AF884">
        <v>0.110845125346754</v>
      </c>
      <c r="AG884">
        <v>-0.17283499999999899</v>
      </c>
      <c r="AH884">
        <v>0.47612492561234498</v>
      </c>
      <c r="AI884">
        <v>109.470991248997</v>
      </c>
      <c r="AJ884">
        <v>76.894590910024505</v>
      </c>
      <c r="AK884">
        <v>0.518510871465101</v>
      </c>
      <c r="AL884">
        <v>81.947079276828404</v>
      </c>
      <c r="AM884">
        <v>87.796639678200506</v>
      </c>
      <c r="AN884">
        <v>1.0000000462754901</v>
      </c>
    </row>
    <row r="885" spans="1:40" x14ac:dyDescent="0.25">
      <c r="A885" t="str">
        <f>"20190303170241819"</f>
        <v>20190303170241819</v>
      </c>
      <c r="B885" t="str">
        <f>"1551603761806825"</f>
        <v>1551603761806825</v>
      </c>
      <c r="C885" t="s">
        <v>40</v>
      </c>
      <c r="D885">
        <v>4.1902220000000003</v>
      </c>
      <c r="E885">
        <v>0.55433559999999904</v>
      </c>
      <c r="F885" t="s">
        <v>43</v>
      </c>
      <c r="G885">
        <v>-314.13440000000003</v>
      </c>
      <c r="H885">
        <v>0.89521459999999997</v>
      </c>
      <c r="I885">
        <v>367.70519999999999</v>
      </c>
      <c r="J885">
        <v>-314.73910000000001</v>
      </c>
      <c r="K885">
        <v>1.091879</v>
      </c>
      <c r="L885">
        <v>367.84750000000003</v>
      </c>
      <c r="M885">
        <v>0.99978869999999997</v>
      </c>
      <c r="N885">
        <v>-1.89205E-2</v>
      </c>
      <c r="O885">
        <v>-8.0440640000000001E-3</v>
      </c>
      <c r="P885">
        <v>0.99160020000000004</v>
      </c>
      <c r="Q885">
        <v>0.1209051</v>
      </c>
      <c r="R885">
        <v>-4.5948450000000002E-2</v>
      </c>
      <c r="S885">
        <v>3.0897220000000001</v>
      </c>
      <c r="T885">
        <v>-0.72313400000000005</v>
      </c>
      <c r="U885">
        <v>-0.52554319999999999</v>
      </c>
      <c r="V885">
        <v>3.8170129999999997E-2</v>
      </c>
      <c r="W885">
        <v>0.13959669999999999</v>
      </c>
      <c r="X885">
        <v>0.98947249999999998</v>
      </c>
      <c r="Y885">
        <v>0.1554962</v>
      </c>
      <c r="Z885">
        <v>-1.7638089999999999E-2</v>
      </c>
      <c r="AA885">
        <v>0.98767899999999997</v>
      </c>
      <c r="AB885">
        <v>37</v>
      </c>
      <c r="AC885">
        <v>0.60469999999997903</v>
      </c>
      <c r="AD885">
        <v>-0.19666439999999999</v>
      </c>
      <c r="AE885">
        <v>-0.14230000000003401</v>
      </c>
      <c r="AF885">
        <v>0.12491138492376699</v>
      </c>
      <c r="AG885">
        <v>-0.19666439999999999</v>
      </c>
      <c r="AH885">
        <v>0.55063904866515101</v>
      </c>
      <c r="AI885">
        <v>109.203591322572</v>
      </c>
      <c r="AJ885">
        <v>77.218874115584697</v>
      </c>
      <c r="AK885">
        <v>0.597898906359424</v>
      </c>
      <c r="AL885">
        <v>81.975490409738597</v>
      </c>
      <c r="AM885">
        <v>87.790839581502695</v>
      </c>
      <c r="AN885">
        <v>1.0000000128656701</v>
      </c>
    </row>
    <row r="886" spans="1:40" x14ac:dyDescent="0.25">
      <c r="A886" t="str">
        <f>"20190303170241833"</f>
        <v>20190303170241833</v>
      </c>
      <c r="B886" t="str">
        <f>"1551603761826344"</f>
        <v>1551603761826344</v>
      </c>
      <c r="C886" t="s">
        <v>40</v>
      </c>
      <c r="D886">
        <v>4.1758139999999999</v>
      </c>
      <c r="E886">
        <v>0.55434269999999997</v>
      </c>
      <c r="F886" t="s">
        <v>43</v>
      </c>
      <c r="G886">
        <v>-313.80799999999999</v>
      </c>
      <c r="H886">
        <v>0.87370509999999901</v>
      </c>
      <c r="I886">
        <v>367.68880000000001</v>
      </c>
      <c r="J886">
        <v>-314.48950000000002</v>
      </c>
      <c r="K886">
        <v>1.0901339999999999</v>
      </c>
      <c r="L886">
        <v>367.84519999999998</v>
      </c>
      <c r="M886">
        <v>0.99979119999999999</v>
      </c>
      <c r="N886">
        <v>-1.8649349999999999E-2</v>
      </c>
      <c r="O886">
        <v>-8.3540799999999998E-3</v>
      </c>
      <c r="P886">
        <v>0.9915621</v>
      </c>
      <c r="Q886">
        <v>0.1209914</v>
      </c>
      <c r="R886">
        <v>-4.6536769999999998E-2</v>
      </c>
      <c r="S886">
        <v>3.0893250000000001</v>
      </c>
      <c r="T886">
        <v>-0.72401610000000005</v>
      </c>
      <c r="U886">
        <v>-0.5261536</v>
      </c>
      <c r="V886">
        <v>3.8440700000000001E-2</v>
      </c>
      <c r="W886">
        <v>0.1394167</v>
      </c>
      <c r="X886">
        <v>0.98948740000000002</v>
      </c>
      <c r="Y886">
        <v>0.15540509999999999</v>
      </c>
      <c r="Z886">
        <v>-1.755835E-2</v>
      </c>
      <c r="AA886">
        <v>0.98769470000000004</v>
      </c>
      <c r="AB886">
        <v>37</v>
      </c>
      <c r="AC886">
        <v>0.68150000000002797</v>
      </c>
      <c r="AD886">
        <v>-0.21642890000000001</v>
      </c>
      <c r="AE886">
        <v>-0.15639999999996201</v>
      </c>
      <c r="AF886">
        <v>0.137524153331336</v>
      </c>
      <c r="AG886">
        <v>-0.21642890000000001</v>
      </c>
      <c r="AH886">
        <v>0.62308562502520903</v>
      </c>
      <c r="AI886">
        <v>108.736251652736</v>
      </c>
      <c r="AJ886">
        <v>77.553528794428601</v>
      </c>
      <c r="AK886">
        <v>0.67378784318045304</v>
      </c>
      <c r="AL886">
        <v>81.985905468238897</v>
      </c>
      <c r="AM886">
        <v>87.775229037065699</v>
      </c>
      <c r="AN886">
        <v>1.00000000920707</v>
      </c>
    </row>
    <row r="887" spans="1:40" x14ac:dyDescent="0.25">
      <c r="A887" t="str">
        <f>"20190303170241846"</f>
        <v>20190303170241846</v>
      </c>
      <c r="B887" t="str">
        <f>"1551603761837081"</f>
        <v>1551603761837081</v>
      </c>
      <c r="C887" t="s">
        <v>40</v>
      </c>
      <c r="D887">
        <v>4.2182750000000002</v>
      </c>
      <c r="E887">
        <v>0.55432709999999996</v>
      </c>
      <c r="F887" t="s">
        <v>43</v>
      </c>
      <c r="G887">
        <v>-313.78519999999997</v>
      </c>
      <c r="H887">
        <v>0.92538200000000004</v>
      </c>
      <c r="I887">
        <v>367.72469999999998</v>
      </c>
      <c r="J887">
        <v>-314.2842</v>
      </c>
      <c r="K887">
        <v>1.08877</v>
      </c>
      <c r="L887">
        <v>367.8433</v>
      </c>
      <c r="M887">
        <v>0.99979419999999997</v>
      </c>
      <c r="N887">
        <v>-1.8383819999999999E-2</v>
      </c>
      <c r="O887">
        <v>-8.5920159999999992E-3</v>
      </c>
      <c r="P887">
        <v>0.99158100000000005</v>
      </c>
      <c r="Q887">
        <v>0.120744699999999</v>
      </c>
      <c r="R887">
        <v>-4.6777440000000003E-2</v>
      </c>
      <c r="S887">
        <v>3.0889280000000001</v>
      </c>
      <c r="T887">
        <v>-0.72263189999999999</v>
      </c>
      <c r="U887">
        <v>-0.5280762</v>
      </c>
      <c r="V887">
        <v>3.8436079999999997E-2</v>
      </c>
      <c r="W887">
        <v>0.13891010000000001</v>
      </c>
      <c r="X887">
        <v>0.98955879999999996</v>
      </c>
      <c r="Y887">
        <v>0.15580279999999999</v>
      </c>
      <c r="Z887">
        <v>-1.7505670000000001E-2</v>
      </c>
      <c r="AA887">
        <v>0.98763299999999998</v>
      </c>
      <c r="AB887">
        <v>37</v>
      </c>
      <c r="AC887">
        <v>0.49900000000002298</v>
      </c>
      <c r="AD887">
        <v>-0.16338800000000001</v>
      </c>
      <c r="AE887">
        <v>-0.118600000000014</v>
      </c>
      <c r="AF887">
        <v>0.1037764072118</v>
      </c>
      <c r="AG887">
        <v>-0.16338800000000001</v>
      </c>
      <c r="AH887">
        <v>0.45393601714320703</v>
      </c>
      <c r="AI887">
        <v>109.335133538695</v>
      </c>
      <c r="AJ887">
        <v>77.122646988345906</v>
      </c>
      <c r="AK887">
        <v>0.49348058614055701</v>
      </c>
      <c r="AL887">
        <v>82.015216517913899</v>
      </c>
      <c r="AM887">
        <v>87.775656497004306</v>
      </c>
      <c r="AN887">
        <v>0.99999998339260798</v>
      </c>
    </row>
    <row r="888" spans="1:40" x14ac:dyDescent="0.25">
      <c r="A888" t="str">
        <f>"20190303170241859"</f>
        <v>20190303170241859</v>
      </c>
      <c r="B888" t="str">
        <f>"1551603761846841"</f>
        <v>1551603761846841</v>
      </c>
      <c r="C888" t="s">
        <v>40</v>
      </c>
      <c r="D888">
        <v>4.1969289999999999</v>
      </c>
      <c r="E888">
        <v>0.55428829999999996</v>
      </c>
      <c r="F888" t="s">
        <v>43</v>
      </c>
      <c r="G888">
        <v>-313.46339999999998</v>
      </c>
      <c r="H888">
        <v>0.89637529999999999</v>
      </c>
      <c r="I888">
        <v>367.70269999999999</v>
      </c>
      <c r="J888">
        <v>-314.07339999999999</v>
      </c>
      <c r="K888">
        <v>1.0874109999999999</v>
      </c>
      <c r="L888">
        <v>367.84120000000001</v>
      </c>
      <c r="M888">
        <v>0.9997973</v>
      </c>
      <c r="N888">
        <v>-1.8099290000000001E-2</v>
      </c>
      <c r="O888">
        <v>-8.8243179999999994E-3</v>
      </c>
      <c r="P888">
        <v>0.99152890000000005</v>
      </c>
      <c r="Q888">
        <v>0.1211131</v>
      </c>
      <c r="R888">
        <v>-4.6928699999999997E-2</v>
      </c>
      <c r="S888">
        <v>3.0887150000000001</v>
      </c>
      <c r="T888">
        <v>-0.72405819999999999</v>
      </c>
      <c r="U888">
        <v>-0.52783199999999997</v>
      </c>
      <c r="V888">
        <v>3.8348609999999998E-2</v>
      </c>
      <c r="W888">
        <v>0.13899839999999999</v>
      </c>
      <c r="X888">
        <v>0.98954980000000003</v>
      </c>
      <c r="Y888">
        <v>0.15551180000000001</v>
      </c>
      <c r="Z888">
        <v>-1.7427060000000001E-2</v>
      </c>
      <c r="AA888">
        <v>0.98768029999999996</v>
      </c>
      <c r="AB888">
        <v>37</v>
      </c>
      <c r="AC888">
        <v>0.61000000000001298</v>
      </c>
      <c r="AD888">
        <v>-0.1910357</v>
      </c>
      <c r="AE888">
        <v>-0.138500000000021</v>
      </c>
      <c r="AF888">
        <v>0.12175489130959</v>
      </c>
      <c r="AG888">
        <v>-0.1910357</v>
      </c>
      <c r="AH888">
        <v>0.559055838850398</v>
      </c>
      <c r="AI888">
        <v>108.46338045970001</v>
      </c>
      <c r="AJ888">
        <v>77.713599281105502</v>
      </c>
      <c r="AK888">
        <v>0.60321001581955003</v>
      </c>
      <c r="AL888">
        <v>82.010107783396094</v>
      </c>
      <c r="AM888">
        <v>87.780693262501003</v>
      </c>
      <c r="AN888">
        <v>0.99999998888576602</v>
      </c>
    </row>
    <row r="889" spans="1:40" x14ac:dyDescent="0.25">
      <c r="A889" t="str">
        <f>"20190303170241870"</f>
        <v>20190303170241870</v>
      </c>
      <c r="B889" t="str">
        <f>"1551603761856601"</f>
        <v>1551603761856601</v>
      </c>
      <c r="C889" t="s">
        <v>40</v>
      </c>
      <c r="D889">
        <v>4.2186779999999997</v>
      </c>
      <c r="E889">
        <v>0.55419770000000002</v>
      </c>
      <c r="F889" t="s">
        <v>43</v>
      </c>
      <c r="G889">
        <v>-313.13979999999998</v>
      </c>
      <c r="H889">
        <v>0.86905489999999996</v>
      </c>
      <c r="I889">
        <v>367.6814</v>
      </c>
      <c r="J889">
        <v>-313.8811</v>
      </c>
      <c r="K889">
        <v>1.086241</v>
      </c>
      <c r="L889">
        <v>367.83940000000001</v>
      </c>
      <c r="M889">
        <v>0.99980060000000004</v>
      </c>
      <c r="N889">
        <v>-1.7823579999999999E-2</v>
      </c>
      <c r="O889">
        <v>-9.0147219999999993E-3</v>
      </c>
      <c r="P889">
        <v>0.9914927</v>
      </c>
      <c r="Q889">
        <v>0.12127209999999999</v>
      </c>
      <c r="R889">
        <v>-4.7285500000000001E-2</v>
      </c>
      <c r="S889">
        <v>3.0888369999999998</v>
      </c>
      <c r="T889">
        <v>-0.72247759999999905</v>
      </c>
      <c r="U889">
        <v>-0.52822880000000005</v>
      </c>
      <c r="V889">
        <v>3.8508929999999997E-2</v>
      </c>
      <c r="W889">
        <v>0.13888599999999901</v>
      </c>
      <c r="X889">
        <v>0.98955939999999998</v>
      </c>
      <c r="Y889">
        <v>0.15546949999999901</v>
      </c>
      <c r="Z889">
        <v>-1.7322730000000001E-2</v>
      </c>
      <c r="AA889">
        <v>0.98768880000000003</v>
      </c>
      <c r="AB889">
        <v>37</v>
      </c>
      <c r="AC889">
        <v>0.74130000000002305</v>
      </c>
      <c r="AD889">
        <v>-0.21718609999999899</v>
      </c>
      <c r="AE889">
        <v>-0.15800000000001499</v>
      </c>
      <c r="AF889">
        <v>0.13982892658882301</v>
      </c>
      <c r="AG889">
        <v>-0.21718609999999899</v>
      </c>
      <c r="AH889">
        <v>0.68634082357818305</v>
      </c>
      <c r="AI889">
        <v>107.22715072162499</v>
      </c>
      <c r="AJ889">
        <v>78.484665227723596</v>
      </c>
      <c r="AK889">
        <v>0.73333870541119806</v>
      </c>
      <c r="AL889">
        <v>82.016611255892897</v>
      </c>
      <c r="AM889">
        <v>87.771446174042794</v>
      </c>
      <c r="AN889">
        <v>1.0000000324070499</v>
      </c>
    </row>
    <row r="890" spans="1:40" x14ac:dyDescent="0.25">
      <c r="A890" t="str">
        <f>"20190303170241881"</f>
        <v>20190303170241881</v>
      </c>
      <c r="B890" t="str">
        <f>"1551603761866361"</f>
        <v>1551603761866361</v>
      </c>
      <c r="C890" t="s">
        <v>40</v>
      </c>
      <c r="D890">
        <v>4.2394769999999999</v>
      </c>
      <c r="E890">
        <v>0.55412380000000006</v>
      </c>
      <c r="F890" t="s">
        <v>43</v>
      </c>
      <c r="G890">
        <v>-313.12270000000001</v>
      </c>
      <c r="H890">
        <v>0.90879849999999995</v>
      </c>
      <c r="I890">
        <v>367.70940000000002</v>
      </c>
      <c r="J890">
        <v>-313.71190000000001</v>
      </c>
      <c r="K890">
        <v>1.085256</v>
      </c>
      <c r="L890">
        <v>367.83769999999998</v>
      </c>
      <c r="M890">
        <v>0.99980360000000001</v>
      </c>
      <c r="N890">
        <v>-1.7577490000000001E-2</v>
      </c>
      <c r="O890">
        <v>-9.1660460000000006E-3</v>
      </c>
      <c r="P890">
        <v>0.99150430000000001</v>
      </c>
      <c r="Q890">
        <v>0.12111570000000001</v>
      </c>
      <c r="R890">
        <v>-4.7441129999999998E-2</v>
      </c>
      <c r="S890">
        <v>3.0889280000000001</v>
      </c>
      <c r="T890">
        <v>-0.72275100000000003</v>
      </c>
      <c r="U890">
        <v>-0.52862549999999997</v>
      </c>
      <c r="V890">
        <v>3.8506489999999997E-2</v>
      </c>
      <c r="W890">
        <v>0.13848840000000001</v>
      </c>
      <c r="X890">
        <v>0.98961520000000003</v>
      </c>
      <c r="Y890">
        <v>0.155445</v>
      </c>
      <c r="Z890">
        <v>-1.7271109999999999E-2</v>
      </c>
      <c r="AA890">
        <v>0.9876935</v>
      </c>
      <c r="AB890">
        <v>37</v>
      </c>
      <c r="AC890">
        <v>0.58920000000000505</v>
      </c>
      <c r="AD890">
        <v>-0.17645749999999899</v>
      </c>
      <c r="AE890">
        <v>-0.128299999999967</v>
      </c>
      <c r="AF890">
        <v>0.113199643160129</v>
      </c>
      <c r="AG890">
        <v>-0.17645749999999899</v>
      </c>
      <c r="AH890">
        <v>0.54378601239906299</v>
      </c>
      <c r="AI890">
        <v>107.624408533826</v>
      </c>
      <c r="AJ890">
        <v>78.240709781989295</v>
      </c>
      <c r="AK890">
        <v>0.58279896688198096</v>
      </c>
      <c r="AL890">
        <v>82.039614217393094</v>
      </c>
      <c r="AM890">
        <v>87.771712760768906</v>
      </c>
      <c r="AN890">
        <v>1.00000001538886</v>
      </c>
    </row>
    <row r="891" spans="1:40" x14ac:dyDescent="0.25">
      <c r="A891" t="str">
        <f>"20190303170241890"</f>
        <v>20190303170241890</v>
      </c>
      <c r="B891" t="str">
        <f>"1551603761877096"</f>
        <v>1551603761877096</v>
      </c>
      <c r="C891" t="s">
        <v>40</v>
      </c>
      <c r="D891">
        <v>4.2016980000000004</v>
      </c>
      <c r="E891">
        <v>0.55408939999999995</v>
      </c>
      <c r="F891" t="s">
        <v>43</v>
      </c>
      <c r="G891">
        <v>-312.80340000000001</v>
      </c>
      <c r="H891">
        <v>0.8725193</v>
      </c>
      <c r="I891">
        <v>367.68180000000001</v>
      </c>
      <c r="J891">
        <v>-313.53120000000001</v>
      </c>
      <c r="K891">
        <v>1.0842529999999999</v>
      </c>
      <c r="L891">
        <v>367.83600000000001</v>
      </c>
      <c r="M891">
        <v>0.99980670000000005</v>
      </c>
      <c r="N891">
        <v>-1.7311739999999999E-2</v>
      </c>
      <c r="O891">
        <v>-9.3128949999999999E-3</v>
      </c>
      <c r="P891">
        <v>0.99142300000000005</v>
      </c>
      <c r="Q891">
        <v>0.1217008</v>
      </c>
      <c r="R891">
        <v>-4.7638380000000001E-2</v>
      </c>
      <c r="S891">
        <v>3.0887449999999999</v>
      </c>
      <c r="T891">
        <v>-0.72343710000000006</v>
      </c>
      <c r="U891">
        <v>-0.52896119999999902</v>
      </c>
      <c r="V891">
        <v>3.8551229999999999E-2</v>
      </c>
      <c r="W891">
        <v>0.1388114</v>
      </c>
      <c r="X891">
        <v>0.98956820000000001</v>
      </c>
      <c r="Y891">
        <v>0.15541569999999999</v>
      </c>
      <c r="Z891">
        <v>-1.722812E-2</v>
      </c>
      <c r="AA891">
        <v>0.98769890000000005</v>
      </c>
      <c r="AB891">
        <v>37</v>
      </c>
      <c r="AC891">
        <v>0.727800000000002</v>
      </c>
      <c r="AD891">
        <v>-0.2117337</v>
      </c>
      <c r="AE891">
        <v>-0.154200000000003</v>
      </c>
      <c r="AF891">
        <v>0.13636850796390201</v>
      </c>
      <c r="AG891">
        <v>-0.2117337</v>
      </c>
      <c r="AH891">
        <v>0.67456487565583201</v>
      </c>
      <c r="AI891">
        <v>107.100943432135</v>
      </c>
      <c r="AJ891">
        <v>78.571242811294198</v>
      </c>
      <c r="AK891">
        <v>0.72004534659183705</v>
      </c>
      <c r="AL891">
        <v>82.020927166420805</v>
      </c>
      <c r="AM891">
        <v>87.7690205188307</v>
      </c>
      <c r="AN891">
        <v>1.0000000122778501</v>
      </c>
    </row>
    <row r="892" spans="1:40" x14ac:dyDescent="0.25">
      <c r="A892" t="str">
        <f>"20190303170241902"</f>
        <v>20190303170241902</v>
      </c>
      <c r="B892" t="str">
        <f>"1551603761896617"</f>
        <v>1551603761896617</v>
      </c>
      <c r="C892" t="s">
        <v>40</v>
      </c>
      <c r="D892">
        <v>4.2248530000000004</v>
      </c>
      <c r="E892">
        <v>0.55391389999999996</v>
      </c>
      <c r="F892" t="s">
        <v>43</v>
      </c>
      <c r="G892">
        <v>-312.78680000000003</v>
      </c>
      <c r="H892">
        <v>0.91042420000000002</v>
      </c>
      <c r="I892">
        <v>367.70800000000003</v>
      </c>
      <c r="J892">
        <v>-313.34930000000003</v>
      </c>
      <c r="K892">
        <v>1.083313</v>
      </c>
      <c r="L892">
        <v>367.83420000000001</v>
      </c>
      <c r="M892">
        <v>0.99981030000000004</v>
      </c>
      <c r="N892">
        <v>-1.7047960000000001E-2</v>
      </c>
      <c r="O892">
        <v>-9.4391340000000001E-3</v>
      </c>
      <c r="P892">
        <v>0.9913651</v>
      </c>
      <c r="Q892">
        <v>0.12232659999999999</v>
      </c>
      <c r="R892">
        <v>-4.7240400000000002E-2</v>
      </c>
      <c r="S892">
        <v>3.0890810000000002</v>
      </c>
      <c r="T892">
        <v>-0.72152689999999997</v>
      </c>
      <c r="U892">
        <v>-0.5293274</v>
      </c>
      <c r="V892">
        <v>3.8019980000000002E-2</v>
      </c>
      <c r="W892">
        <v>0.13917829999999901</v>
      </c>
      <c r="X892">
        <v>0.98953720000000001</v>
      </c>
      <c r="Y892">
        <v>0.155417</v>
      </c>
      <c r="Z892">
        <v>-1.7135910000000001E-2</v>
      </c>
      <c r="AA892">
        <v>0.98770029999999998</v>
      </c>
      <c r="AB892">
        <v>37</v>
      </c>
      <c r="AC892">
        <v>0.5625</v>
      </c>
      <c r="AD892">
        <v>-0.17288879999999901</v>
      </c>
      <c r="AE892">
        <v>-0.12619999999998299</v>
      </c>
      <c r="AF892">
        <v>0.110908778484976</v>
      </c>
      <c r="AG892">
        <v>-0.17288879999999901</v>
      </c>
      <c r="AH892">
        <v>0.51715277228730905</v>
      </c>
      <c r="AI892">
        <v>108.101346645321</v>
      </c>
      <c r="AJ892">
        <v>77.895675182743801</v>
      </c>
      <c r="AK892">
        <v>0.55645151109051605</v>
      </c>
      <c r="AL892">
        <v>81.999699142082207</v>
      </c>
      <c r="AM892">
        <v>87.799664940373006</v>
      </c>
      <c r="AN892">
        <v>0.99999999412696505</v>
      </c>
    </row>
    <row r="893" spans="1:40" x14ac:dyDescent="0.25">
      <c r="A893" t="str">
        <f>"20190303170241913"</f>
        <v>20190303170241913</v>
      </c>
      <c r="B893" t="str">
        <f>"1551603761906377"</f>
        <v>1551603761906377</v>
      </c>
      <c r="C893" t="s">
        <v>40</v>
      </c>
      <c r="D893">
        <v>4.2479589999999998</v>
      </c>
      <c r="E893">
        <v>0.55387969999999997</v>
      </c>
      <c r="F893" t="s">
        <v>43</v>
      </c>
      <c r="G893">
        <v>-312.46620000000001</v>
      </c>
      <c r="H893">
        <v>0.87797209999999903</v>
      </c>
      <c r="I893">
        <v>367.68360000000001</v>
      </c>
      <c r="J893">
        <v>-313.1576</v>
      </c>
      <c r="K893">
        <v>1.0823560000000001</v>
      </c>
      <c r="L893">
        <v>367.83229999999998</v>
      </c>
      <c r="M893">
        <v>0.99981370000000003</v>
      </c>
      <c r="N893">
        <v>-1.6771990000000001E-2</v>
      </c>
      <c r="O893">
        <v>-9.560252E-3</v>
      </c>
      <c r="P893">
        <v>0.99131130000000001</v>
      </c>
      <c r="Q893">
        <v>0.1227519</v>
      </c>
      <c r="R893">
        <v>-4.7261900000000003E-2</v>
      </c>
      <c r="S893">
        <v>3.0896910000000002</v>
      </c>
      <c r="T893">
        <v>-0.71843250000000003</v>
      </c>
      <c r="U893">
        <v>-0.52655030000000003</v>
      </c>
      <c r="V893">
        <v>3.7912120000000001E-2</v>
      </c>
      <c r="W893">
        <v>0.13933219999999999</v>
      </c>
      <c r="X893">
        <v>0.9895197</v>
      </c>
      <c r="Y893">
        <v>0.15447159999999999</v>
      </c>
      <c r="Z893">
        <v>-1.690266E-2</v>
      </c>
      <c r="AA893">
        <v>0.98785259999999997</v>
      </c>
      <c r="AB893">
        <v>37</v>
      </c>
      <c r="AC893">
        <v>0.69139999999998702</v>
      </c>
      <c r="AD893">
        <v>-0.20438389999999901</v>
      </c>
      <c r="AE893">
        <v>-0.148699999999962</v>
      </c>
      <c r="AF893">
        <v>0.13113016264501001</v>
      </c>
      <c r="AG893">
        <v>-0.20438389999999901</v>
      </c>
      <c r="AH893">
        <v>0.63938775336576203</v>
      </c>
      <c r="AI893">
        <v>107.38732427973</v>
      </c>
      <c r="AJ893">
        <v>78.410086162961306</v>
      </c>
      <c r="AK893">
        <v>0.68394780304394098</v>
      </c>
      <c r="AL893">
        <v>81.990794718082199</v>
      </c>
      <c r="AM893">
        <v>87.805862260718499</v>
      </c>
      <c r="AN893">
        <v>1.00000001374391</v>
      </c>
    </row>
    <row r="894" spans="1:40" x14ac:dyDescent="0.25">
      <c r="A894" t="str">
        <f>"20190303170241924"</f>
        <v>20190303170241924</v>
      </c>
      <c r="B894" t="str">
        <f>"1551603761917113"</f>
        <v>1551603761917113</v>
      </c>
      <c r="C894" t="s">
        <v>40</v>
      </c>
      <c r="D894">
        <v>4.2372949999999996</v>
      </c>
      <c r="E894">
        <v>0.55379400000000001</v>
      </c>
      <c r="F894" t="s">
        <v>43</v>
      </c>
      <c r="G894">
        <v>-312.44819999999999</v>
      </c>
      <c r="H894">
        <v>0.91780499999999998</v>
      </c>
      <c r="I894">
        <v>367.71140000000003</v>
      </c>
      <c r="J894">
        <v>-312.9742</v>
      </c>
      <c r="K894">
        <v>1.0815330000000001</v>
      </c>
      <c r="L894">
        <v>367.8304</v>
      </c>
      <c r="M894">
        <v>0.99981710000000001</v>
      </c>
      <c r="N894">
        <v>-1.6519160000000001E-2</v>
      </c>
      <c r="O894">
        <v>-9.6467789999999994E-3</v>
      </c>
      <c r="P894">
        <v>0.99127639999999995</v>
      </c>
      <c r="Q894">
        <v>0.1230557</v>
      </c>
      <c r="R894">
        <v>-4.7207499999999999E-2</v>
      </c>
      <c r="S894">
        <v>3.0899049999999999</v>
      </c>
      <c r="T894">
        <v>-0.7168833</v>
      </c>
      <c r="U894">
        <v>-0.52630619999999995</v>
      </c>
      <c r="V894">
        <v>3.7761419999999997E-2</v>
      </c>
      <c r="W894">
        <v>0.1393884</v>
      </c>
      <c r="X894">
        <v>0.98951750000000005</v>
      </c>
      <c r="Y894">
        <v>0.1543272</v>
      </c>
      <c r="Z894">
        <v>-1.6811019999999999E-2</v>
      </c>
      <c r="AA894">
        <v>0.9878768</v>
      </c>
      <c r="AB894">
        <v>37</v>
      </c>
      <c r="AC894">
        <v>0.52600000000001002</v>
      </c>
      <c r="AD894">
        <v>-0.16372800000000001</v>
      </c>
      <c r="AE894">
        <v>-0.118999999999971</v>
      </c>
      <c r="AF894">
        <v>0.10430557133162301</v>
      </c>
      <c r="AG894">
        <v>-0.16372800000000001</v>
      </c>
      <c r="AH894">
        <v>0.48263819547058301</v>
      </c>
      <c r="AI894">
        <v>108.344512514456</v>
      </c>
      <c r="AJ894">
        <v>77.8050469536566</v>
      </c>
      <c r="AK894">
        <v>0.52021739486672003</v>
      </c>
      <c r="AL894">
        <v>81.987542585661103</v>
      </c>
      <c r="AM894">
        <v>87.8145705912127</v>
      </c>
      <c r="AN894">
        <v>0.99999996685061199</v>
      </c>
    </row>
    <row r="895" spans="1:40" x14ac:dyDescent="0.25">
      <c r="A895" t="str">
        <f>"20190303170241936"</f>
        <v>20190303170241936</v>
      </c>
      <c r="B895" t="str">
        <f>"1551603761926873"</f>
        <v>1551603761926873</v>
      </c>
      <c r="C895" t="s">
        <v>40</v>
      </c>
      <c r="D895">
        <v>4.2527339999999896</v>
      </c>
      <c r="E895">
        <v>0.55376639999999999</v>
      </c>
      <c r="F895" t="s">
        <v>43</v>
      </c>
      <c r="G895">
        <v>-312.12810000000002</v>
      </c>
      <c r="H895">
        <v>0.88550669999999898</v>
      </c>
      <c r="I895">
        <v>367.68619999999999</v>
      </c>
      <c r="J895">
        <v>-312.77769999999998</v>
      </c>
      <c r="K895">
        <v>1.080678</v>
      </c>
      <c r="L895">
        <v>367.82839999999999</v>
      </c>
      <c r="M895">
        <v>0.99982070000000001</v>
      </c>
      <c r="N895">
        <v>-1.6252079999999999E-2</v>
      </c>
      <c r="O895">
        <v>-9.731633E-3</v>
      </c>
      <c r="P895">
        <v>0.99125300000000005</v>
      </c>
      <c r="Q895">
        <v>0.1233387</v>
      </c>
      <c r="R895">
        <v>-4.6963940000000003E-2</v>
      </c>
      <c r="S895">
        <v>3.0903320000000001</v>
      </c>
      <c r="T895">
        <v>-0.71612640000000005</v>
      </c>
      <c r="U895">
        <v>-0.52496339999999997</v>
      </c>
      <c r="V895">
        <v>3.7422219999999999E-2</v>
      </c>
      <c r="W895">
        <v>0.13941010000000001</v>
      </c>
      <c r="X895">
        <v>0.9895273</v>
      </c>
      <c r="Y895">
        <v>0.15383339999999901</v>
      </c>
      <c r="Z895">
        <v>-1.6691959999999999E-2</v>
      </c>
      <c r="AA895">
        <v>0.98795580000000005</v>
      </c>
      <c r="AB895">
        <v>37</v>
      </c>
      <c r="AC895">
        <v>0.64959999999996398</v>
      </c>
      <c r="AD895">
        <v>-0.19517129999999999</v>
      </c>
      <c r="AE895">
        <v>-0.14220000000000199</v>
      </c>
      <c r="AF895">
        <v>0.12509490479758101</v>
      </c>
      <c r="AG895">
        <v>-0.19517129999999999</v>
      </c>
      <c r="AH895">
        <v>0.59932640497342005</v>
      </c>
      <c r="AI895">
        <v>107.68129540644701</v>
      </c>
      <c r="AJ895">
        <v>78.210159494469906</v>
      </c>
      <c r="AK895">
        <v>0.64259840588688799</v>
      </c>
      <c r="AL895">
        <v>81.986286775256701</v>
      </c>
      <c r="AM895">
        <v>87.834204326013804</v>
      </c>
      <c r="AN895">
        <v>0.99999993798851206</v>
      </c>
    </row>
    <row r="896" spans="1:40" x14ac:dyDescent="0.25">
      <c r="A896" t="str">
        <f>"20190303170241948"</f>
        <v>20190303170241948</v>
      </c>
      <c r="B896" t="str">
        <f>"1551603761936633"</f>
        <v>1551603761936633</v>
      </c>
      <c r="C896" t="s">
        <v>40</v>
      </c>
      <c r="D896">
        <v>4.2313879999999999</v>
      </c>
      <c r="E896">
        <v>0.55375090000000005</v>
      </c>
      <c r="F896" t="s">
        <v>43</v>
      </c>
      <c r="G896">
        <v>-311.80520000000001</v>
      </c>
      <c r="H896">
        <v>0.85562719999999903</v>
      </c>
      <c r="I896">
        <v>367.6635</v>
      </c>
      <c r="J896">
        <v>-312.57929999999999</v>
      </c>
      <c r="K896">
        <v>1.079904</v>
      </c>
      <c r="L896">
        <v>367.82639999999998</v>
      </c>
      <c r="M896">
        <v>0.99982409999999999</v>
      </c>
      <c r="N896">
        <v>-1.5998310000000002E-2</v>
      </c>
      <c r="O896">
        <v>-9.7917379999999995E-3</v>
      </c>
      <c r="P896">
        <v>0.99121669999999995</v>
      </c>
      <c r="Q896">
        <v>0.1235274</v>
      </c>
      <c r="R896">
        <v>-4.7227770000000002E-2</v>
      </c>
      <c r="S896">
        <v>3.0906370000000001</v>
      </c>
      <c r="T896">
        <v>-0.715341</v>
      </c>
      <c r="U896">
        <v>-0.52346800000000004</v>
      </c>
      <c r="V896">
        <v>3.7615179999999998E-2</v>
      </c>
      <c r="W896">
        <v>0.13934969999999999</v>
      </c>
      <c r="X896">
        <v>0.98952850000000003</v>
      </c>
      <c r="Y896">
        <v>0.1533226</v>
      </c>
      <c r="Z896">
        <v>-1.657753E-2</v>
      </c>
      <c r="AA896">
        <v>0.9880371</v>
      </c>
      <c r="AB896">
        <v>37</v>
      </c>
      <c r="AC896">
        <v>0.77409999999997503</v>
      </c>
      <c r="AD896">
        <v>-0.2242768</v>
      </c>
      <c r="AE896">
        <v>-0.16289999999997901</v>
      </c>
      <c r="AF896">
        <v>0.14375610824575499</v>
      </c>
      <c r="AG896">
        <v>-0.2242768</v>
      </c>
      <c r="AH896">
        <v>0.71794841604372395</v>
      </c>
      <c r="AI896">
        <v>107.03012466554399</v>
      </c>
      <c r="AJ896">
        <v>78.677297395144294</v>
      </c>
      <c r="AK896">
        <v>0.76577792458120497</v>
      </c>
      <c r="AL896">
        <v>81.989781621645704</v>
      </c>
      <c r="AM896">
        <v>87.823050199502902</v>
      </c>
      <c r="AN896">
        <v>0.99999994648438495</v>
      </c>
    </row>
    <row r="897" spans="1:40" x14ac:dyDescent="0.25">
      <c r="A897" t="str">
        <f>"20190303170241961"</f>
        <v>20190303170241961</v>
      </c>
      <c r="B897" t="str">
        <f>"1551603761947369"</f>
        <v>1551603761947369</v>
      </c>
      <c r="C897" t="s">
        <v>40</v>
      </c>
      <c r="D897">
        <v>4.2824999999999998</v>
      </c>
      <c r="E897">
        <v>0.55370949999999997</v>
      </c>
      <c r="F897" t="s">
        <v>43</v>
      </c>
      <c r="G897">
        <v>-311.7878</v>
      </c>
      <c r="H897">
        <v>0.89701659999999905</v>
      </c>
      <c r="I897">
        <v>367.69200000000001</v>
      </c>
      <c r="J897">
        <v>-312.37569999999999</v>
      </c>
      <c r="K897">
        <v>1.0791519999999999</v>
      </c>
      <c r="L897">
        <v>367.82429999999999</v>
      </c>
      <c r="M897">
        <v>0.99982769999999999</v>
      </c>
      <c r="N897">
        <v>-1.5746039999999999E-2</v>
      </c>
      <c r="O897">
        <v>-9.8425079999999998E-3</v>
      </c>
      <c r="P897">
        <v>0.99116910000000003</v>
      </c>
      <c r="Q897">
        <v>0.1238823</v>
      </c>
      <c r="R897">
        <v>-4.7299470000000003E-2</v>
      </c>
      <c r="S897">
        <v>3.090668</v>
      </c>
      <c r="T897">
        <v>-0.71424670000000001</v>
      </c>
      <c r="U897">
        <v>-0.52389529999999995</v>
      </c>
      <c r="V897">
        <v>3.7625520000000003E-2</v>
      </c>
      <c r="W897">
        <v>0.13945739999999901</v>
      </c>
      <c r="X897">
        <v>0.98951299999999998</v>
      </c>
      <c r="Y897">
        <v>0.1534189</v>
      </c>
      <c r="Z897">
        <v>-1.653336E-2</v>
      </c>
      <c r="AA897">
        <v>0.98802290000000004</v>
      </c>
      <c r="AB897">
        <v>37</v>
      </c>
      <c r="AC897">
        <v>0.58789999999998999</v>
      </c>
      <c r="AD897">
        <v>-0.1821354</v>
      </c>
      <c r="AE897">
        <v>-0.13230000000004299</v>
      </c>
      <c r="AF897">
        <v>0.115916996372954</v>
      </c>
      <c r="AG897">
        <v>-0.1821354</v>
      </c>
      <c r="AH897">
        <v>0.53985591326592497</v>
      </c>
      <c r="AI897">
        <v>108.25563310370001</v>
      </c>
      <c r="AJ897">
        <v>77.881542505955807</v>
      </c>
      <c r="AK897">
        <v>0.58142451020702002</v>
      </c>
      <c r="AL897">
        <v>81.983550544310603</v>
      </c>
      <c r="AM897">
        <v>87.822418279039894</v>
      </c>
      <c r="AN897">
        <v>1.00000001166951</v>
      </c>
    </row>
    <row r="898" spans="1:40" x14ac:dyDescent="0.25">
      <c r="A898" t="str">
        <f>"20190303170241974"</f>
        <v>20190303170241974</v>
      </c>
      <c r="B898" t="str">
        <f>"1551603761966889"</f>
        <v>1551603761966889</v>
      </c>
      <c r="C898" t="s">
        <v>40</v>
      </c>
      <c r="D898">
        <v>4.2506360000000001</v>
      </c>
      <c r="E898">
        <v>0.55370600000000003</v>
      </c>
      <c r="F898" t="s">
        <v>43</v>
      </c>
      <c r="G898">
        <v>-311.46469999999999</v>
      </c>
      <c r="H898">
        <v>0.86911130000000003</v>
      </c>
      <c r="I898">
        <v>367.66969999999998</v>
      </c>
      <c r="J898">
        <v>-312.14339999999999</v>
      </c>
      <c r="K898">
        <v>1.078354</v>
      </c>
      <c r="L898">
        <v>367.822</v>
      </c>
      <c r="M898">
        <v>0.99983149999999998</v>
      </c>
      <c r="N898">
        <v>-1.546995E-2</v>
      </c>
      <c r="O898">
        <v>-9.8843909999999993E-3</v>
      </c>
      <c r="P898">
        <v>0.99114659999999999</v>
      </c>
      <c r="Q898">
        <v>0.1239796</v>
      </c>
      <c r="R898">
        <v>-4.7512840000000001E-2</v>
      </c>
      <c r="S898">
        <v>3.0908509999999998</v>
      </c>
      <c r="T898">
        <v>-0.7127308</v>
      </c>
      <c r="U898">
        <v>-0.52368159999999997</v>
      </c>
      <c r="V898">
        <v>3.7784850000000002E-2</v>
      </c>
      <c r="W898">
        <v>0.13928499999999999</v>
      </c>
      <c r="X898">
        <v>0.98953120000000006</v>
      </c>
      <c r="Y898">
        <v>0.15332699999999999</v>
      </c>
      <c r="Z898">
        <v>-1.645692E-2</v>
      </c>
      <c r="AA898">
        <v>0.98803850000000004</v>
      </c>
      <c r="AB898">
        <v>37</v>
      </c>
      <c r="AC898">
        <v>0.67869999999999198</v>
      </c>
      <c r="AD898">
        <v>-0.209242699999999</v>
      </c>
      <c r="AE898">
        <v>-0.15229999999996799</v>
      </c>
      <c r="AF898">
        <v>0.133502363232608</v>
      </c>
      <c r="AG898">
        <v>-0.209242699999999</v>
      </c>
      <c r="AH898">
        <v>0.62373001873526701</v>
      </c>
      <c r="AI898">
        <v>108.161557241918</v>
      </c>
      <c r="AJ898">
        <v>77.918775061292806</v>
      </c>
      <c r="AK898">
        <v>0.67130062175114802</v>
      </c>
      <c r="AL898">
        <v>81.993525605528205</v>
      </c>
      <c r="AM898">
        <v>87.813246150448407</v>
      </c>
      <c r="AN898">
        <v>1.00000000094398</v>
      </c>
    </row>
    <row r="899" spans="1:40" x14ac:dyDescent="0.25">
      <c r="A899" t="str">
        <f>"20190303170241989"</f>
        <v>20190303170241989</v>
      </c>
      <c r="B899" t="str">
        <f>"1551603761976648"</f>
        <v>1551603761976648</v>
      </c>
      <c r="C899" t="s">
        <v>40</v>
      </c>
      <c r="D899">
        <v>4.2680420000000003</v>
      </c>
      <c r="E899">
        <v>0.55364480000000005</v>
      </c>
      <c r="F899" t="s">
        <v>43</v>
      </c>
      <c r="G899">
        <v>-311.4434</v>
      </c>
      <c r="H899">
        <v>0.91701999999999995</v>
      </c>
      <c r="I899">
        <v>367.70310000000001</v>
      </c>
      <c r="J899">
        <v>-311.90410000000003</v>
      </c>
      <c r="K899">
        <v>1.0776269999999999</v>
      </c>
      <c r="L899">
        <v>367.81959999999998</v>
      </c>
      <c r="M899">
        <v>0.99983529999999998</v>
      </c>
      <c r="N899">
        <v>-1.520815E-2</v>
      </c>
      <c r="O899">
        <v>-9.897253E-3</v>
      </c>
      <c r="P899">
        <v>0.99102219999999996</v>
      </c>
      <c r="Q899">
        <v>0.12503040000000001</v>
      </c>
      <c r="R899">
        <v>-4.7351549999999999E-2</v>
      </c>
      <c r="S899">
        <v>3.0907900000000001</v>
      </c>
      <c r="T899">
        <v>-0.71250269999999905</v>
      </c>
      <c r="U899">
        <v>-0.52407840000000006</v>
      </c>
      <c r="V899">
        <v>3.7600090000000003E-2</v>
      </c>
      <c r="W899">
        <v>0.140077799999999</v>
      </c>
      <c r="X899">
        <v>0.98942629999999998</v>
      </c>
      <c r="Y899">
        <v>0.15344549999999901</v>
      </c>
      <c r="Z899">
        <v>-1.6440880000000001E-2</v>
      </c>
      <c r="AA899">
        <v>0.98802040000000002</v>
      </c>
      <c r="AB899">
        <v>37</v>
      </c>
      <c r="AC899">
        <v>0.46070000000003097</v>
      </c>
      <c r="AD899">
        <v>-0.160607</v>
      </c>
      <c r="AE899">
        <v>-0.116499999999973</v>
      </c>
      <c r="AF899">
        <v>0.100458877637408</v>
      </c>
      <c r="AG899">
        <v>-0.160607</v>
      </c>
      <c r="AH899">
        <v>0.414484798531911</v>
      </c>
      <c r="AI899">
        <v>110.63551153831099</v>
      </c>
      <c r="AJ899">
        <v>76.375914805940099</v>
      </c>
      <c r="AK899">
        <v>0.45572386678690202</v>
      </c>
      <c r="AL899">
        <v>81.947651616292106</v>
      </c>
      <c r="AM899">
        <v>87.823698126324999</v>
      </c>
      <c r="AN899">
        <v>0.99999997997626799</v>
      </c>
    </row>
    <row r="900" spans="1:40" x14ac:dyDescent="0.25">
      <c r="A900" t="str">
        <f>"20190303170242004"</f>
        <v>20190303170242004</v>
      </c>
      <c r="B900" t="str">
        <f>"1551603761996443"</f>
        <v>1551603761996443</v>
      </c>
      <c r="C900" t="s">
        <v>40</v>
      </c>
      <c r="D900">
        <v>4.2754859999999999</v>
      </c>
      <c r="E900">
        <v>0.55357100000000004</v>
      </c>
      <c r="F900" t="s">
        <v>43</v>
      </c>
      <c r="G900">
        <v>-311.11759999999998</v>
      </c>
      <c r="H900">
        <v>0.89726319999999904</v>
      </c>
      <c r="I900">
        <v>367.68630000000002</v>
      </c>
      <c r="J900">
        <v>-311.64609999999999</v>
      </c>
      <c r="K900">
        <v>1.0769139999999999</v>
      </c>
      <c r="L900">
        <v>367.81709999999998</v>
      </c>
      <c r="M900">
        <v>0.99983949999999999</v>
      </c>
      <c r="N900">
        <v>-1.494882E-2</v>
      </c>
      <c r="O900">
        <v>-9.8853359999999998E-3</v>
      </c>
      <c r="P900">
        <v>0.99094309999999997</v>
      </c>
      <c r="Q900">
        <v>0.12587670000000001</v>
      </c>
      <c r="R900">
        <v>-4.6766969999999998E-2</v>
      </c>
      <c r="S900">
        <v>3.0916139999999999</v>
      </c>
      <c r="T900">
        <v>-0.7090786</v>
      </c>
      <c r="U900">
        <v>-0.52362059999999999</v>
      </c>
      <c r="V900">
        <v>3.7014659999999998E-2</v>
      </c>
      <c r="W900">
        <v>0.14066979999999901</v>
      </c>
      <c r="X900">
        <v>0.98936440000000003</v>
      </c>
      <c r="Y900">
        <v>0.15331789999999901</v>
      </c>
      <c r="Z900">
        <v>-1.6330629999999999E-2</v>
      </c>
      <c r="AA900">
        <v>0.98804190000000003</v>
      </c>
      <c r="AB900">
        <v>37</v>
      </c>
      <c r="AC900">
        <v>0.52850000000000796</v>
      </c>
      <c r="AD900">
        <v>-0.179650799999999</v>
      </c>
      <c r="AE900">
        <v>-0.130799999999965</v>
      </c>
      <c r="AF900">
        <v>0.113239110330455</v>
      </c>
      <c r="AG900">
        <v>-0.179650799999999</v>
      </c>
      <c r="AH900">
        <v>0.47774975716187901</v>
      </c>
      <c r="AI900">
        <v>110.09744643682799</v>
      </c>
      <c r="AJ900">
        <v>76.665492805211002</v>
      </c>
      <c r="AK900">
        <v>0.52282151497170304</v>
      </c>
      <c r="AL900">
        <v>81.913393444917602</v>
      </c>
      <c r="AM900">
        <v>87.857417205200306</v>
      </c>
      <c r="AN900">
        <v>0.99999999683715701</v>
      </c>
    </row>
    <row r="901" spans="1:40" x14ac:dyDescent="0.25">
      <c r="A901" t="str">
        <f>"20190303170242025"</f>
        <v>20190303170242025</v>
      </c>
      <c r="B901" t="str">
        <f>"1551603762016909"</f>
        <v>1551603762016909</v>
      </c>
      <c r="C901" t="s">
        <v>40</v>
      </c>
      <c r="D901">
        <v>4.2853949999999896</v>
      </c>
      <c r="E901">
        <v>0.55344919999999997</v>
      </c>
      <c r="F901" t="s">
        <v>43</v>
      </c>
      <c r="G901">
        <v>-310.78960000000001</v>
      </c>
      <c r="H901">
        <v>0.88140059999999998</v>
      </c>
      <c r="I901">
        <v>367.67200000000003</v>
      </c>
      <c r="J901">
        <v>-311.29050000000001</v>
      </c>
      <c r="K901">
        <v>1.076065</v>
      </c>
      <c r="L901">
        <v>367.81360000000001</v>
      </c>
      <c r="M901">
        <v>0.99984470000000003</v>
      </c>
      <c r="N901">
        <v>-1.4642499999999999E-2</v>
      </c>
      <c r="O901">
        <v>-9.8190640000000006E-3</v>
      </c>
      <c r="P901">
        <v>0.99082139999999996</v>
      </c>
      <c r="Q901">
        <v>0.1269711</v>
      </c>
      <c r="R901">
        <v>-4.63837E-2</v>
      </c>
      <c r="S901">
        <v>3.092438</v>
      </c>
      <c r="T901">
        <v>-0.70599869999999898</v>
      </c>
      <c r="U901">
        <v>-0.52291869999999996</v>
      </c>
      <c r="V901">
        <v>3.6679129999999997E-2</v>
      </c>
      <c r="W901">
        <v>0.1414648</v>
      </c>
      <c r="X901">
        <v>0.98926349999999996</v>
      </c>
      <c r="Y901">
        <v>0.15316479999999999</v>
      </c>
      <c r="Z901">
        <v>-1.623196E-2</v>
      </c>
      <c r="AA901">
        <v>0.98806729999999998</v>
      </c>
      <c r="AB901">
        <v>37</v>
      </c>
      <c r="AC901">
        <v>0.50090000000000101</v>
      </c>
      <c r="AD901">
        <v>-0.19466439999999999</v>
      </c>
      <c r="AE901">
        <v>-0.141600000000039</v>
      </c>
      <c r="AF901">
        <v>0.119904841081535</v>
      </c>
      <c r="AG901">
        <v>-0.19466439999999999</v>
      </c>
      <c r="AH901">
        <v>0.44064012313005002</v>
      </c>
      <c r="AI901">
        <v>113.087389946746</v>
      </c>
      <c r="AJ901">
        <v>74.777531817780002</v>
      </c>
      <c r="AK901">
        <v>0.496422317844609</v>
      </c>
      <c r="AL901">
        <v>81.867382897714293</v>
      </c>
      <c r="AM901">
        <v>87.876605049530795</v>
      </c>
      <c r="AN901">
        <v>0.99999996032442195</v>
      </c>
    </row>
    <row r="902" spans="1:40" x14ac:dyDescent="0.25">
      <c r="A902" t="str">
        <f>"20190303170242039"</f>
        <v>20190303170242039</v>
      </c>
      <c r="B902" t="str">
        <f>"1551603762026668"</f>
        <v>1551603762026668</v>
      </c>
      <c r="C902" t="s">
        <v>40</v>
      </c>
      <c r="D902">
        <v>4.2975500000000002</v>
      </c>
      <c r="E902">
        <v>0.55337799999999904</v>
      </c>
      <c r="F902" t="s">
        <v>43</v>
      </c>
      <c r="G902">
        <v>-310.45269999999999</v>
      </c>
      <c r="H902">
        <v>0.88573740000000001</v>
      </c>
      <c r="I902">
        <v>367.67250000000001</v>
      </c>
      <c r="J902">
        <v>-311.06229999999999</v>
      </c>
      <c r="K902">
        <v>1.075583</v>
      </c>
      <c r="L902">
        <v>367.81139999999999</v>
      </c>
      <c r="M902">
        <v>0.99984770000000001</v>
      </c>
      <c r="N902">
        <v>-1.447823E-2</v>
      </c>
      <c r="O902">
        <v>-9.7496179999999998E-3</v>
      </c>
      <c r="P902">
        <v>0.99078180000000005</v>
      </c>
      <c r="Q902">
        <v>0.12734480000000001</v>
      </c>
      <c r="R902">
        <v>-4.6209220000000002E-2</v>
      </c>
      <c r="S902">
        <v>3.0934750000000002</v>
      </c>
      <c r="T902">
        <v>-0.70278009999999902</v>
      </c>
      <c r="U902">
        <v>-0.52087399999999995</v>
      </c>
      <c r="V902">
        <v>3.656098E-2</v>
      </c>
      <c r="W902">
        <v>0.1416781</v>
      </c>
      <c r="X902">
        <v>0.98923740000000004</v>
      </c>
      <c r="Y902">
        <v>0.15259610000000001</v>
      </c>
      <c r="Z902">
        <v>-1.6093779999999999E-2</v>
      </c>
      <c r="AA902">
        <v>0.98815759999999997</v>
      </c>
      <c r="AB902">
        <v>37</v>
      </c>
      <c r="AC902">
        <v>0.60960000000000003</v>
      </c>
      <c r="AD902">
        <v>-0.189845599999999</v>
      </c>
      <c r="AE902">
        <v>-0.13889999999997801</v>
      </c>
      <c r="AF902">
        <v>0.121726282192321</v>
      </c>
      <c r="AG902">
        <v>-0.189845599999999</v>
      </c>
      <c r="AH902">
        <v>0.55935319601506805</v>
      </c>
      <c r="AI902">
        <v>108.34758015023</v>
      </c>
      <c r="AJ902">
        <v>77.7227305543705</v>
      </c>
      <c r="AK902">
        <v>0.60310416804064304</v>
      </c>
      <c r="AL902">
        <v>81.855037782685798</v>
      </c>
      <c r="AM902">
        <v>87.883382858847895</v>
      </c>
      <c r="AN902">
        <v>1.00000001141846</v>
      </c>
    </row>
    <row r="903" spans="1:40" x14ac:dyDescent="0.25">
      <c r="A903" t="str">
        <f>"20190303170242052"</f>
        <v>20190303170242052</v>
      </c>
      <c r="B903" t="str">
        <f>"1551603762036429"</f>
        <v>1551603762036429</v>
      </c>
      <c r="C903" t="s">
        <v>40</v>
      </c>
      <c r="D903">
        <v>4.3152730000000004</v>
      </c>
      <c r="E903">
        <v>0.55331790000000003</v>
      </c>
      <c r="F903" t="s">
        <v>43</v>
      </c>
      <c r="G903">
        <v>-310.12700000000001</v>
      </c>
      <c r="H903">
        <v>0.86352600000000002</v>
      </c>
      <c r="I903">
        <v>367.654</v>
      </c>
      <c r="J903">
        <v>-310.85140000000001</v>
      </c>
      <c r="K903">
        <v>1.075191</v>
      </c>
      <c r="L903">
        <v>367.80939999999998</v>
      </c>
      <c r="M903">
        <v>0.99985029999999997</v>
      </c>
      <c r="N903">
        <v>-1.435357E-2</v>
      </c>
      <c r="O903">
        <v>-9.6653020000000006E-3</v>
      </c>
      <c r="P903">
        <v>0.99080060000000003</v>
      </c>
      <c r="Q903">
        <v>0.1274091</v>
      </c>
      <c r="R903">
        <v>-4.5625659999999998E-2</v>
      </c>
      <c r="S903">
        <v>3.093842</v>
      </c>
      <c r="T903">
        <v>-0.70164230000000005</v>
      </c>
      <c r="U903">
        <v>-0.51980590000000004</v>
      </c>
      <c r="V903">
        <v>3.6049629999999999E-2</v>
      </c>
      <c r="W903">
        <v>0.14162239999999901</v>
      </c>
      <c r="X903">
        <v>0.98926409999999998</v>
      </c>
      <c r="Y903">
        <v>0.15234800000000001</v>
      </c>
      <c r="Z903">
        <v>-1.6046250000000001E-2</v>
      </c>
      <c r="AA903">
        <v>0.98819659999999998</v>
      </c>
      <c r="AB903">
        <v>37</v>
      </c>
      <c r="AC903">
        <v>0.72440000000000204</v>
      </c>
      <c r="AD903">
        <v>-0.21166499999999999</v>
      </c>
      <c r="AE903">
        <v>-0.15539999999998599</v>
      </c>
      <c r="AF903">
        <v>0.137192685562331</v>
      </c>
      <c r="AG903">
        <v>-0.21166499999999999</v>
      </c>
      <c r="AH903">
        <v>0.67109308769508602</v>
      </c>
      <c r="AI903">
        <v>107.17179028030699</v>
      </c>
      <c r="AJ903">
        <v>78.446126507350698</v>
      </c>
      <c r="AK903">
        <v>0.71693084572288401</v>
      </c>
      <c r="AL903">
        <v>81.858261323384198</v>
      </c>
      <c r="AM903">
        <v>87.9130162515942</v>
      </c>
      <c r="AN903">
        <v>0.99999996977685202</v>
      </c>
    </row>
    <row r="904" spans="1:40" x14ac:dyDescent="0.25">
      <c r="A904" t="str">
        <f>"20190303170242063"</f>
        <v>20190303170242063</v>
      </c>
      <c r="B904" t="str">
        <f>"1551603762056926"</f>
        <v>1551603762056926</v>
      </c>
      <c r="C904" t="s">
        <v>40</v>
      </c>
      <c r="D904">
        <v>4.3140479999999997</v>
      </c>
      <c r="E904">
        <v>0.55323540000000004</v>
      </c>
      <c r="F904" t="s">
        <v>43</v>
      </c>
      <c r="G904">
        <v>-310.10820000000001</v>
      </c>
      <c r="H904">
        <v>0.90677140000000001</v>
      </c>
      <c r="I904">
        <v>367.68490000000003</v>
      </c>
      <c r="J904">
        <v>-310.6404</v>
      </c>
      <c r="K904">
        <v>1.0748420000000001</v>
      </c>
      <c r="L904">
        <v>367.80739999999997</v>
      </c>
      <c r="M904">
        <v>0.99985270000000004</v>
      </c>
      <c r="N904">
        <v>-1.4258659999999999E-2</v>
      </c>
      <c r="O904">
        <v>-9.5679909999999996E-3</v>
      </c>
      <c r="P904">
        <v>0.99080259999999998</v>
      </c>
      <c r="Q904">
        <v>0.12758639999999999</v>
      </c>
      <c r="R904">
        <v>-4.5078489999999999E-2</v>
      </c>
      <c r="S904">
        <v>3.0942379999999998</v>
      </c>
      <c r="T904">
        <v>-0.701381699999999</v>
      </c>
      <c r="U904">
        <v>-0.51724239999999999</v>
      </c>
      <c r="V904">
        <v>3.5587889999999997E-2</v>
      </c>
      <c r="W904">
        <v>0.14170829999999901</v>
      </c>
      <c r="X904">
        <v>0.9892685</v>
      </c>
      <c r="Y904">
        <v>0.15164820000000001</v>
      </c>
      <c r="Z904">
        <v>-1.5969049999999999E-2</v>
      </c>
      <c r="AA904">
        <v>0.98830549999999995</v>
      </c>
      <c r="AB904">
        <v>37</v>
      </c>
      <c r="AC904">
        <v>0.53219999999998802</v>
      </c>
      <c r="AD904">
        <v>-0.16807059999999999</v>
      </c>
      <c r="AE904">
        <v>-0.122499999999945</v>
      </c>
      <c r="AF904">
        <v>0.10724427993655899</v>
      </c>
      <c r="AG904">
        <v>-0.16807059999999999</v>
      </c>
      <c r="AH904">
        <v>0.48720300034839698</v>
      </c>
      <c r="AI904">
        <v>108.61891551679599</v>
      </c>
      <c r="AJ904">
        <v>77.585893946912094</v>
      </c>
      <c r="AK904">
        <v>0.52641791925422798</v>
      </c>
      <c r="AL904">
        <v>81.853289332208405</v>
      </c>
      <c r="AM904">
        <v>87.939733255194</v>
      </c>
      <c r="AN904">
        <v>0.99999995264789399</v>
      </c>
    </row>
    <row r="905" spans="1:40" x14ac:dyDescent="0.25">
      <c r="A905" t="str">
        <f>"20190303170242076"</f>
        <v>20190303170242076</v>
      </c>
      <c r="B905" t="str">
        <f>"1551603762066684"</f>
        <v>1551603762066684</v>
      </c>
      <c r="C905" t="s">
        <v>40</v>
      </c>
      <c r="D905">
        <v>4.3466570000000004</v>
      </c>
      <c r="E905">
        <v>0.55320919999999996</v>
      </c>
      <c r="F905" t="s">
        <v>43</v>
      </c>
      <c r="G905">
        <v>-309.78539999999998</v>
      </c>
      <c r="H905">
        <v>0.88103770000000003</v>
      </c>
      <c r="I905">
        <v>367.66500000000002</v>
      </c>
      <c r="J905">
        <v>-310.43689999999998</v>
      </c>
      <c r="K905">
        <v>1.074538</v>
      </c>
      <c r="L905">
        <v>367.80549999999999</v>
      </c>
      <c r="M905">
        <v>0.99985460000000004</v>
      </c>
      <c r="N905">
        <v>-1.418268E-2</v>
      </c>
      <c r="O905">
        <v>-9.4679940000000004E-3</v>
      </c>
      <c r="P905">
        <v>0.9908382</v>
      </c>
      <c r="Q905">
        <v>0.12751779999999999</v>
      </c>
      <c r="R905">
        <v>-4.4487430000000001E-2</v>
      </c>
      <c r="S905">
        <v>3.0947269999999998</v>
      </c>
      <c r="T905">
        <v>-0.70146430000000004</v>
      </c>
      <c r="U905">
        <v>-0.51507570000000003</v>
      </c>
      <c r="V905">
        <v>3.5085030000000003E-2</v>
      </c>
      <c r="W905">
        <v>0.1415672</v>
      </c>
      <c r="X905">
        <v>0.98930669999999998</v>
      </c>
      <c r="Y905">
        <v>0.1510629</v>
      </c>
      <c r="Z905">
        <v>-1.591418E-2</v>
      </c>
      <c r="AA905">
        <v>0.98839600000000005</v>
      </c>
      <c r="AB905">
        <v>37</v>
      </c>
      <c r="AC905">
        <v>0.65149999999999797</v>
      </c>
      <c r="AD905">
        <v>-0.19350029999999999</v>
      </c>
      <c r="AE905">
        <v>-0.14049999999997401</v>
      </c>
      <c r="AF905">
        <v>0.123882261848971</v>
      </c>
      <c r="AG905">
        <v>-0.19350029999999999</v>
      </c>
      <c r="AH905">
        <v>0.60205231851726504</v>
      </c>
      <c r="AI905">
        <v>107.474304463088</v>
      </c>
      <c r="AJ905">
        <v>78.372728315878305</v>
      </c>
      <c r="AK905">
        <v>0.64440373612582402</v>
      </c>
      <c r="AL905">
        <v>81.861456398218905</v>
      </c>
      <c r="AM905">
        <v>87.968898809318304</v>
      </c>
      <c r="AN905">
        <v>0.99999998905541498</v>
      </c>
    </row>
    <row r="906" spans="1:40" x14ac:dyDescent="0.25">
      <c r="A906" t="str">
        <f>"20190303170242087"</f>
        <v>20190303170242087</v>
      </c>
      <c r="B906" t="str">
        <f>"1551603762076444"</f>
        <v>1551603762076444</v>
      </c>
      <c r="C906" t="s">
        <v>40</v>
      </c>
      <c r="D906">
        <v>4.3366119999999997</v>
      </c>
      <c r="E906">
        <v>0.55318239999999996</v>
      </c>
      <c r="F906" t="s">
        <v>43</v>
      </c>
      <c r="G906">
        <v>-309.4622</v>
      </c>
      <c r="H906">
        <v>0.85352830000000002</v>
      </c>
      <c r="I906">
        <v>367.64350000000002</v>
      </c>
      <c r="J906">
        <v>-310.24669999999998</v>
      </c>
      <c r="K906">
        <v>1.0742929999999999</v>
      </c>
      <c r="L906">
        <v>367.80380000000002</v>
      </c>
      <c r="M906">
        <v>0.99985619999999997</v>
      </c>
      <c r="N906">
        <v>-1.4146870000000001E-2</v>
      </c>
      <c r="O906">
        <v>-9.3621539999999993E-3</v>
      </c>
      <c r="P906">
        <v>0.99080119999999905</v>
      </c>
      <c r="Q906">
        <v>0.12787169999999901</v>
      </c>
      <c r="R906">
        <v>-4.429744E-2</v>
      </c>
      <c r="S906">
        <v>3.0950009999999999</v>
      </c>
      <c r="T906">
        <v>-0.70184959999999996</v>
      </c>
      <c r="U906">
        <v>-0.51348879999999997</v>
      </c>
      <c r="V906">
        <v>3.499116E-2</v>
      </c>
      <c r="W906">
        <v>0.14188770000000001</v>
      </c>
      <c r="X906">
        <v>0.98926409999999998</v>
      </c>
      <c r="Y906">
        <v>0.1506652</v>
      </c>
      <c r="Z906">
        <v>-1.5893230000000001E-2</v>
      </c>
      <c r="AA906">
        <v>0.98845709999999998</v>
      </c>
      <c r="AB906">
        <v>37</v>
      </c>
      <c r="AC906">
        <v>0.78449999999997999</v>
      </c>
      <c r="AD906">
        <v>-0.22076469999999901</v>
      </c>
      <c r="AE906">
        <v>-0.16030000000000599</v>
      </c>
      <c r="AF906">
        <v>0.142142433972645</v>
      </c>
      <c r="AG906">
        <v>-0.22076469999999901</v>
      </c>
      <c r="AH906">
        <v>0.73044083173122398</v>
      </c>
      <c r="AI906">
        <v>106.524035942842</v>
      </c>
      <c r="AJ906">
        <v>78.987973594036006</v>
      </c>
      <c r="AK906">
        <v>0.77619928688575901</v>
      </c>
      <c r="AL906">
        <v>81.842905772693797</v>
      </c>
      <c r="AM906">
        <v>87.974241329996502</v>
      </c>
      <c r="AN906">
        <v>0.99999998011912195</v>
      </c>
    </row>
    <row r="907" spans="1:40" x14ac:dyDescent="0.25">
      <c r="A907" t="str">
        <f>"20190303170242103"</f>
        <v>20190303170242103</v>
      </c>
      <c r="B907" t="str">
        <f>"1551603762096940"</f>
        <v>1551603762096940</v>
      </c>
      <c r="C907" t="s">
        <v>40</v>
      </c>
      <c r="D907">
        <v>4.3413019999999998</v>
      </c>
      <c r="E907">
        <v>0.55317709999999998</v>
      </c>
      <c r="F907" t="s">
        <v>43</v>
      </c>
      <c r="G907">
        <v>-309.44560000000001</v>
      </c>
      <c r="H907">
        <v>0.89297029999999999</v>
      </c>
      <c r="I907">
        <v>367.67070000000001</v>
      </c>
      <c r="J907">
        <v>-309.98419999999999</v>
      </c>
      <c r="K907">
        <v>1.073985</v>
      </c>
      <c r="L907">
        <v>367.8014</v>
      </c>
      <c r="M907">
        <v>0.99985800000000002</v>
      </c>
      <c r="N907">
        <v>-1.412098E-2</v>
      </c>
      <c r="O907">
        <v>-9.206199E-3</v>
      </c>
      <c r="P907">
        <v>0.99074899999999999</v>
      </c>
      <c r="Q907">
        <v>0.1283782</v>
      </c>
      <c r="R907">
        <v>-4.3995430000000002E-2</v>
      </c>
      <c r="S907">
        <v>3.095367</v>
      </c>
      <c r="T907">
        <v>-0.7007236</v>
      </c>
      <c r="U907">
        <v>-0.51327509999999998</v>
      </c>
      <c r="V907">
        <v>3.4832450000000001E-2</v>
      </c>
      <c r="W907">
        <v>0.14237060000000001</v>
      </c>
      <c r="X907">
        <v>0.98920039999999998</v>
      </c>
      <c r="Y907">
        <v>0.1507414</v>
      </c>
      <c r="Z907">
        <v>-1.5907859999999999E-2</v>
      </c>
      <c r="AA907">
        <v>0.98844520000000002</v>
      </c>
      <c r="AB907">
        <v>37</v>
      </c>
      <c r="AC907">
        <v>0.53859999999997399</v>
      </c>
      <c r="AD907">
        <v>-0.181014699999999</v>
      </c>
      <c r="AE907">
        <v>-0.13069999999998999</v>
      </c>
      <c r="AF907">
        <v>0.113616001054926</v>
      </c>
      <c r="AG907">
        <v>-0.181014699999999</v>
      </c>
      <c r="AH907">
        <v>0.48775169241223298</v>
      </c>
      <c r="AI907">
        <v>109.872091080347</v>
      </c>
      <c r="AJ907">
        <v>76.887450116600405</v>
      </c>
      <c r="AK907">
        <v>0.53251913652262395</v>
      </c>
      <c r="AL907">
        <v>81.814954528530606</v>
      </c>
      <c r="AM907">
        <v>87.983292243486403</v>
      </c>
      <c r="AN907">
        <v>1.0000000593387499</v>
      </c>
    </row>
    <row r="908" spans="1:40" x14ac:dyDescent="0.25">
      <c r="A908" t="str">
        <f>"20190303170242114"</f>
        <v>20190303170242114</v>
      </c>
      <c r="B908" t="str">
        <f>"1551603762106700"</f>
        <v>1551603762106700</v>
      </c>
      <c r="C908" t="s">
        <v>40</v>
      </c>
      <c r="D908">
        <v>4.3376340000000004</v>
      </c>
      <c r="E908">
        <v>0.55314600000000003</v>
      </c>
      <c r="F908" t="s">
        <v>43</v>
      </c>
      <c r="G908">
        <v>-309.1182</v>
      </c>
      <c r="H908">
        <v>0.87846979999999997</v>
      </c>
      <c r="I908">
        <v>367.65769999999998</v>
      </c>
      <c r="J908">
        <v>-309.79090000000002</v>
      </c>
      <c r="K908">
        <v>1.073774</v>
      </c>
      <c r="L908">
        <v>367.79969999999997</v>
      </c>
      <c r="M908">
        <v>0.9998591</v>
      </c>
      <c r="N908">
        <v>-1.4117070000000001E-2</v>
      </c>
      <c r="O908">
        <v>-9.0852699999999995E-3</v>
      </c>
      <c r="P908">
        <v>0.99070369999999996</v>
      </c>
      <c r="Q908">
        <v>0.12869800000000001</v>
      </c>
      <c r="R908">
        <v>-4.4078680000000002E-2</v>
      </c>
      <c r="S908">
        <v>3.0957949999999999</v>
      </c>
      <c r="T908">
        <v>-0.69905539999999999</v>
      </c>
      <c r="U908">
        <v>-0.51300049999999997</v>
      </c>
      <c r="V908">
        <v>3.5027860000000001E-2</v>
      </c>
      <c r="W908">
        <v>0.1426877</v>
      </c>
      <c r="X908">
        <v>0.98914769999999996</v>
      </c>
      <c r="Y908">
        <v>0.15076829999999999</v>
      </c>
      <c r="Z908">
        <v>-1.5899739999999999E-2</v>
      </c>
      <c r="AA908">
        <v>0.98844129999999997</v>
      </c>
      <c r="AB908">
        <v>37</v>
      </c>
      <c r="AC908">
        <v>0.67270000000001995</v>
      </c>
      <c r="AD908">
        <v>-0.19530420000000001</v>
      </c>
      <c r="AE908">
        <v>-0.14199999999999499</v>
      </c>
      <c r="AF908">
        <v>0.125735614580824</v>
      </c>
      <c r="AG908">
        <v>-0.19530420000000001</v>
      </c>
      <c r="AH908">
        <v>0.62363791600877105</v>
      </c>
      <c r="AI908">
        <v>107.066061538054</v>
      </c>
      <c r="AJ908">
        <v>78.601045902950403</v>
      </c>
      <c r="AK908">
        <v>0.66549036476527701</v>
      </c>
      <c r="AL908">
        <v>81.796597745064602</v>
      </c>
      <c r="AM908">
        <v>87.971879977812307</v>
      </c>
      <c r="AN908">
        <v>0.999999951561378</v>
      </c>
    </row>
    <row r="909" spans="1:40" x14ac:dyDescent="0.25">
      <c r="A909" t="str">
        <f>"20190303170242126"</f>
        <v>20190303170242126</v>
      </c>
      <c r="B909" t="str">
        <f>"1551603762116461"</f>
        <v>1551603762116461</v>
      </c>
      <c r="C909" t="s">
        <v>40</v>
      </c>
      <c r="D909">
        <v>4.3650270000000004</v>
      </c>
      <c r="E909">
        <v>0.55314030000000003</v>
      </c>
      <c r="F909" t="s">
        <v>43</v>
      </c>
      <c r="G909">
        <v>-309.10000000000002</v>
      </c>
      <c r="H909">
        <v>0.91803000000000001</v>
      </c>
      <c r="I909">
        <v>367.68490000000003</v>
      </c>
      <c r="J909">
        <v>-309.60849999999999</v>
      </c>
      <c r="K909">
        <v>1.073607</v>
      </c>
      <c r="L909">
        <v>367.79820000000001</v>
      </c>
      <c r="M909">
        <v>0.99985999999999997</v>
      </c>
      <c r="N909">
        <v>-1.4135150000000001E-2</v>
      </c>
      <c r="O909">
        <v>-8.9592219999999993E-3</v>
      </c>
      <c r="P909">
        <v>0.99069289999999999</v>
      </c>
      <c r="Q909">
        <v>0.1287933</v>
      </c>
      <c r="R909">
        <v>-4.404433E-2</v>
      </c>
      <c r="S909">
        <v>3.0960079999999999</v>
      </c>
      <c r="T909">
        <v>-0.69807959999999902</v>
      </c>
      <c r="U909">
        <v>-0.51330569999999998</v>
      </c>
      <c r="V909">
        <v>3.5112369999999997E-2</v>
      </c>
      <c r="W909">
        <v>0.14280190000000001</v>
      </c>
      <c r="X909">
        <v>0.98912829999999996</v>
      </c>
      <c r="Y909">
        <v>0.15097859999999999</v>
      </c>
      <c r="Z909">
        <v>-1.5931069999999999E-2</v>
      </c>
      <c r="AA909">
        <v>0.98840870000000003</v>
      </c>
      <c r="AB909">
        <v>37</v>
      </c>
      <c r="AC909">
        <v>0.50849999999996898</v>
      </c>
      <c r="AD909">
        <v>-0.15557699999999999</v>
      </c>
      <c r="AE909">
        <v>-0.113299999999981</v>
      </c>
      <c r="AF909">
        <v>9.9835891282445605E-2</v>
      </c>
      <c r="AG909">
        <v>-0.15557699999999999</v>
      </c>
      <c r="AH909">
        <v>0.46777840145817201</v>
      </c>
      <c r="AI909">
        <v>108.017714423184</v>
      </c>
      <c r="AJ909">
        <v>77.952367963693305</v>
      </c>
      <c r="AK909">
        <v>0.50297916556048605</v>
      </c>
      <c r="AL909">
        <v>81.789987496103194</v>
      </c>
      <c r="AM909">
        <v>87.966951092768795</v>
      </c>
      <c r="AN909">
        <v>1.0000000275157499</v>
      </c>
    </row>
    <row r="910" spans="1:40" x14ac:dyDescent="0.25">
      <c r="A910" t="str">
        <f>"20190303170242136"</f>
        <v>20190303170242136</v>
      </c>
      <c r="B910" t="str">
        <f>"1551603762126221"</f>
        <v>1551603762126221</v>
      </c>
      <c r="C910" t="s">
        <v>40</v>
      </c>
      <c r="D910">
        <v>4.3666159999999996</v>
      </c>
      <c r="E910">
        <v>0.55314240000000003</v>
      </c>
      <c r="F910" t="s">
        <v>43</v>
      </c>
      <c r="G910">
        <v>-308.7808</v>
      </c>
      <c r="H910">
        <v>0.88708819999999999</v>
      </c>
      <c r="I910">
        <v>367.66059999999999</v>
      </c>
      <c r="J910">
        <v>-309.42500000000001</v>
      </c>
      <c r="K910">
        <v>1.0734440000000001</v>
      </c>
      <c r="L910">
        <v>367.79660000000001</v>
      </c>
      <c r="M910">
        <v>0.99986090000000005</v>
      </c>
      <c r="N910">
        <v>-1.4155340000000001E-2</v>
      </c>
      <c r="O910">
        <v>-8.8308150000000005E-3</v>
      </c>
      <c r="P910">
        <v>0.99068710000000004</v>
      </c>
      <c r="Q910">
        <v>0.12879090000000001</v>
      </c>
      <c r="R910">
        <v>-4.4185090000000003E-2</v>
      </c>
      <c r="S910">
        <v>3.0960999999999999</v>
      </c>
      <c r="T910">
        <v>-0.69786169999999903</v>
      </c>
      <c r="U910">
        <v>-0.51293949999999999</v>
      </c>
      <c r="V910">
        <v>3.5374570000000001E-2</v>
      </c>
      <c r="W910">
        <v>0.14282129999999901</v>
      </c>
      <c r="X910">
        <v>0.98911610000000005</v>
      </c>
      <c r="Y910">
        <v>0.15098599999999901</v>
      </c>
      <c r="Z910">
        <v>-1.5955489999999999E-2</v>
      </c>
      <c r="AA910">
        <v>0.98840709999999998</v>
      </c>
      <c r="AB910">
        <v>37</v>
      </c>
      <c r="AC910">
        <v>0.64420000000001199</v>
      </c>
      <c r="AD910">
        <v>-0.18635579999999999</v>
      </c>
      <c r="AE910">
        <v>-0.13600000000002399</v>
      </c>
      <c r="AF910">
        <v>0.120640362584646</v>
      </c>
      <c r="AG910">
        <v>-0.18635579999999999</v>
      </c>
      <c r="AH910">
        <v>0.59750742201740403</v>
      </c>
      <c r="AI910">
        <v>106.999410792061</v>
      </c>
      <c r="AJ910">
        <v>78.585097908369903</v>
      </c>
      <c r="AK910">
        <v>0.63741485756458405</v>
      </c>
      <c r="AL910">
        <v>81.788863984395704</v>
      </c>
      <c r="AM910">
        <v>87.951757035259007</v>
      </c>
      <c r="AN910">
        <v>0.99999997160779197</v>
      </c>
    </row>
    <row r="911" spans="1:40" x14ac:dyDescent="0.25">
      <c r="A911" t="str">
        <f>"20190303170242147"</f>
        <v>20190303170242147</v>
      </c>
      <c r="B911" t="str">
        <f>"1551603762136956"</f>
        <v>1551603762136956</v>
      </c>
      <c r="C911" t="s">
        <v>40</v>
      </c>
      <c r="D911">
        <v>4.3747069999999999</v>
      </c>
      <c r="E911">
        <v>0.55312749999999999</v>
      </c>
      <c r="F911" t="s">
        <v>43</v>
      </c>
      <c r="G911">
        <v>-308.46050000000002</v>
      </c>
      <c r="H911">
        <v>0.85604639999999999</v>
      </c>
      <c r="I911">
        <v>367.63650000000001</v>
      </c>
      <c r="J911">
        <v>-309.24110000000002</v>
      </c>
      <c r="K911">
        <v>1.073299</v>
      </c>
      <c r="L911">
        <v>367.79509999999999</v>
      </c>
      <c r="M911">
        <v>0.99986169999999996</v>
      </c>
      <c r="N911">
        <v>-1.418473E-2</v>
      </c>
      <c r="O911">
        <v>-8.6941829999999994E-3</v>
      </c>
      <c r="P911">
        <v>0.99070950000000002</v>
      </c>
      <c r="Q911">
        <v>0.1286281</v>
      </c>
      <c r="R911">
        <v>-4.415471E-2</v>
      </c>
      <c r="S911">
        <v>3.0960079999999999</v>
      </c>
      <c r="T911">
        <v>-0.69786990000000004</v>
      </c>
      <c r="U911">
        <v>-0.51394649999999997</v>
      </c>
      <c r="V911">
        <v>3.5474890000000002E-2</v>
      </c>
      <c r="W911">
        <v>0.1426887</v>
      </c>
      <c r="X911">
        <v>0.98913169999999995</v>
      </c>
      <c r="Y911">
        <v>0.15142359999999999</v>
      </c>
      <c r="Z911">
        <v>-1.6038119999999999E-2</v>
      </c>
      <c r="AA911">
        <v>0.98833879999999996</v>
      </c>
      <c r="AB911">
        <v>37</v>
      </c>
      <c r="AC911">
        <v>0.78059999999999197</v>
      </c>
      <c r="AD911">
        <v>-0.21725259999999999</v>
      </c>
      <c r="AE911">
        <v>-0.15859999999997801</v>
      </c>
      <c r="AF911">
        <v>0.14129587514949199</v>
      </c>
      <c r="AG911">
        <v>-0.21725259999999999</v>
      </c>
      <c r="AH911">
        <v>0.72780901094442396</v>
      </c>
      <c r="AI911">
        <v>106.332227645126</v>
      </c>
      <c r="AJ911">
        <v>79.013341307302298</v>
      </c>
      <c r="AK911">
        <v>0.77257308583260997</v>
      </c>
      <c r="AL911">
        <v>81.7965404754204</v>
      </c>
      <c r="AM911">
        <v>87.945985686346702</v>
      </c>
      <c r="AN911">
        <v>1.0000000264365401</v>
      </c>
    </row>
    <row r="912" spans="1:40" x14ac:dyDescent="0.25">
      <c r="A912" t="str">
        <f>"20190303170242159"</f>
        <v>20190303170242159</v>
      </c>
      <c r="B912" t="str">
        <f>"1551603762146716"</f>
        <v>1551603762146716</v>
      </c>
      <c r="C912" t="s">
        <v>40</v>
      </c>
      <c r="D912">
        <v>4.396255</v>
      </c>
      <c r="E912">
        <v>0.55313950000000001</v>
      </c>
      <c r="F912" t="s">
        <v>43</v>
      </c>
      <c r="G912">
        <v>-308.44470000000001</v>
      </c>
      <c r="H912">
        <v>0.8935708</v>
      </c>
      <c r="I912">
        <v>367.66289999999998</v>
      </c>
      <c r="J912">
        <v>-309.05939999999998</v>
      </c>
      <c r="K912">
        <v>1.073161</v>
      </c>
      <c r="L912">
        <v>367.7937</v>
      </c>
      <c r="M912">
        <v>0.99986249999999999</v>
      </c>
      <c r="N912">
        <v>-1.421502E-2</v>
      </c>
      <c r="O912">
        <v>-8.5572189999999996E-3</v>
      </c>
      <c r="P912">
        <v>0.99072499999999997</v>
      </c>
      <c r="Q912">
        <v>0.12852740000000001</v>
      </c>
      <c r="R912">
        <v>-4.4105390000000001E-2</v>
      </c>
      <c r="S912">
        <v>3.0959780000000001</v>
      </c>
      <c r="T912">
        <v>-0.69870569999999999</v>
      </c>
      <c r="U912">
        <v>-0.51403809999999905</v>
      </c>
      <c r="V912">
        <v>3.5556860000000003E-2</v>
      </c>
      <c r="W912">
        <v>0.14261969999999999</v>
      </c>
      <c r="X912">
        <v>0.98913870000000004</v>
      </c>
      <c r="Y912">
        <v>0.15157290000000001</v>
      </c>
      <c r="Z912">
        <v>-1.6104179999999999E-2</v>
      </c>
      <c r="AA912">
        <v>0.9883149</v>
      </c>
      <c r="AB912">
        <v>37</v>
      </c>
      <c r="AC912">
        <v>0.61469999999997005</v>
      </c>
      <c r="AD912">
        <v>-0.17959020000000001</v>
      </c>
      <c r="AE912">
        <v>-0.13080000000002101</v>
      </c>
      <c r="AF912">
        <v>0.116057365165313</v>
      </c>
      <c r="AG912">
        <v>-0.17959020000000001</v>
      </c>
      <c r="AH912">
        <v>0.56930749546245896</v>
      </c>
      <c r="AI912">
        <v>107.176195117039</v>
      </c>
      <c r="AJ912">
        <v>78.477731231188102</v>
      </c>
      <c r="AK912">
        <v>0.60813894492532905</v>
      </c>
      <c r="AL912">
        <v>81.800534669339797</v>
      </c>
      <c r="AM912">
        <v>87.941258217753798</v>
      </c>
      <c r="AN912">
        <v>1.00000001847941</v>
      </c>
    </row>
    <row r="913" spans="1:40" x14ac:dyDescent="0.25">
      <c r="A913" t="str">
        <f>"20190303170242170"</f>
        <v>20190303170242170</v>
      </c>
      <c r="B913" t="str">
        <f>"1551603762156476"</f>
        <v>1551603762156476</v>
      </c>
      <c r="C913" t="s">
        <v>40</v>
      </c>
      <c r="D913">
        <v>4.3796869999999997</v>
      </c>
      <c r="E913">
        <v>0.55315179999999997</v>
      </c>
      <c r="F913" t="s">
        <v>43</v>
      </c>
      <c r="G913">
        <v>-308.12529999999998</v>
      </c>
      <c r="H913">
        <v>0.86222310000000002</v>
      </c>
      <c r="I913">
        <v>367.63810000000001</v>
      </c>
      <c r="J913">
        <v>-308.87819999999999</v>
      </c>
      <c r="K913">
        <v>1.073037</v>
      </c>
      <c r="L913">
        <v>367.79219999999998</v>
      </c>
      <c r="M913">
        <v>0.9998631</v>
      </c>
      <c r="N913">
        <v>-1.4247549999999999E-2</v>
      </c>
      <c r="O913">
        <v>-8.4163680000000005E-3</v>
      </c>
      <c r="P913">
        <v>0.99078270000000002</v>
      </c>
      <c r="Q913">
        <v>0.12816469999999999</v>
      </c>
      <c r="R913">
        <v>-4.385787E-2</v>
      </c>
      <c r="S913">
        <v>3.0958559999999999</v>
      </c>
      <c r="T913">
        <v>-0.69913630000000004</v>
      </c>
      <c r="U913">
        <v>-0.51431269999999996</v>
      </c>
      <c r="V913">
        <v>3.5445209999999998E-2</v>
      </c>
      <c r="W913">
        <v>0.1422908</v>
      </c>
      <c r="X913">
        <v>0.98919000000000001</v>
      </c>
      <c r="Y913">
        <v>0.1517897</v>
      </c>
      <c r="Z913">
        <v>-1.6171230000000002E-2</v>
      </c>
      <c r="AA913">
        <v>0.98828050000000001</v>
      </c>
      <c r="AB913">
        <v>37</v>
      </c>
      <c r="AC913">
        <v>0.752900000000011</v>
      </c>
      <c r="AD913">
        <v>-0.2108139</v>
      </c>
      <c r="AE913">
        <v>-0.15409999999997101</v>
      </c>
      <c r="AF913">
        <v>0.137416731519348</v>
      </c>
      <c r="AG913">
        <v>-0.2108139</v>
      </c>
      <c r="AH913">
        <v>0.70139136594329698</v>
      </c>
      <c r="AI913">
        <v>106.43382762352699</v>
      </c>
      <c r="AJ913">
        <v>78.915007993043503</v>
      </c>
      <c r="AK913">
        <v>0.74516824057019104</v>
      </c>
      <c r="AL913">
        <v>81.819572820552594</v>
      </c>
      <c r="AM913">
        <v>87.947823556460605</v>
      </c>
      <c r="AN913">
        <v>0.99999994538828996</v>
      </c>
    </row>
    <row r="914" spans="1:40" x14ac:dyDescent="0.25">
      <c r="A914" t="str">
        <f>"20190303170242183"</f>
        <v>20190303170242183</v>
      </c>
      <c r="B914" t="str">
        <f>"1551603762176972"</f>
        <v>1551603762176972</v>
      </c>
      <c r="C914" t="s">
        <v>40</v>
      </c>
      <c r="D914">
        <v>4.3914879999999998</v>
      </c>
      <c r="E914">
        <v>0.55313469999999998</v>
      </c>
      <c r="F914" t="s">
        <v>43</v>
      </c>
      <c r="G914">
        <v>-308.10939999999999</v>
      </c>
      <c r="H914">
        <v>0.89913339999999997</v>
      </c>
      <c r="I914">
        <v>367.66430000000003</v>
      </c>
      <c r="J914">
        <v>-308.65800000000002</v>
      </c>
      <c r="K914">
        <v>1.0729</v>
      </c>
      <c r="L914">
        <v>367.79050000000001</v>
      </c>
      <c r="M914">
        <v>0.99986410000000003</v>
      </c>
      <c r="N914">
        <v>-1.4287299999999999E-2</v>
      </c>
      <c r="O914">
        <v>-8.2432510000000001E-3</v>
      </c>
      <c r="P914">
        <v>0.99081900000000001</v>
      </c>
      <c r="Q914">
        <v>0.12791530000000001</v>
      </c>
      <c r="R914">
        <v>-4.3772030000000003E-2</v>
      </c>
      <c r="S914">
        <v>3.095764</v>
      </c>
      <c r="T914">
        <v>-0.70046569999999997</v>
      </c>
      <c r="U914">
        <v>-0.51361080000000003</v>
      </c>
      <c r="V914">
        <v>3.5526599999999998E-2</v>
      </c>
      <c r="W914">
        <v>0.14208219999999999</v>
      </c>
      <c r="X914">
        <v>0.98921709999999996</v>
      </c>
      <c r="Y914">
        <v>0.15173029999999901</v>
      </c>
      <c r="Z914">
        <v>-1.623206E-2</v>
      </c>
      <c r="AA914">
        <v>0.98828859999999996</v>
      </c>
      <c r="AB914">
        <v>37</v>
      </c>
      <c r="AC914">
        <v>0.54860000000002096</v>
      </c>
      <c r="AD914">
        <v>-0.17376659999999899</v>
      </c>
      <c r="AE914">
        <v>-0.12619999999998299</v>
      </c>
      <c r="AF914">
        <v>0.111087945861344</v>
      </c>
      <c r="AG914">
        <v>-0.17376659999999899</v>
      </c>
      <c r="AH914">
        <v>0.50180690051699695</v>
      </c>
      <c r="AI914">
        <v>108.6802051767</v>
      </c>
      <c r="AJ914">
        <v>77.517410251134393</v>
      </c>
      <c r="AK914">
        <v>0.54253620008044401</v>
      </c>
      <c r="AL914">
        <v>81.831647691996494</v>
      </c>
      <c r="AM914">
        <v>87.943171651644306</v>
      </c>
      <c r="AN914">
        <v>0.99999998089840403</v>
      </c>
    </row>
    <row r="915" spans="1:40" x14ac:dyDescent="0.25">
      <c r="A915" t="str">
        <f>"20190303170242194"</f>
        <v>20190303170242194</v>
      </c>
      <c r="B915" t="str">
        <f>"1551603762186732"</f>
        <v>1551603762186732</v>
      </c>
      <c r="C915" t="s">
        <v>40</v>
      </c>
      <c r="D915">
        <v>4.3948390000000002</v>
      </c>
      <c r="E915">
        <v>0.55313380000000001</v>
      </c>
      <c r="F915" t="s">
        <v>43</v>
      </c>
      <c r="G915">
        <v>-307.7876</v>
      </c>
      <c r="H915">
        <v>0.87560179999999999</v>
      </c>
      <c r="I915">
        <v>367.64609999999999</v>
      </c>
      <c r="J915">
        <v>-308.4606</v>
      </c>
      <c r="K915">
        <v>1.072783</v>
      </c>
      <c r="L915">
        <v>367.78910000000002</v>
      </c>
      <c r="M915">
        <v>0.9998648</v>
      </c>
      <c r="N915">
        <v>-1.432308E-2</v>
      </c>
      <c r="O915">
        <v>-8.0865899999999994E-3</v>
      </c>
      <c r="P915">
        <v>0.99082550000000003</v>
      </c>
      <c r="Q915">
        <v>0.12781999999999999</v>
      </c>
      <c r="R915">
        <v>-4.390082E-2</v>
      </c>
      <c r="S915">
        <v>3.0957029999999999</v>
      </c>
      <c r="T915">
        <v>-0.70170710000000003</v>
      </c>
      <c r="U915">
        <v>-0.51333620000000002</v>
      </c>
      <c r="V915">
        <v>3.580755E-2</v>
      </c>
      <c r="W915">
        <v>0.1420227</v>
      </c>
      <c r="X915">
        <v>0.98921559999999997</v>
      </c>
      <c r="Y915">
        <v>0.15178429999999901</v>
      </c>
      <c r="Z915">
        <v>-1.6300519999999999E-2</v>
      </c>
      <c r="AA915">
        <v>0.98827920000000002</v>
      </c>
      <c r="AB915">
        <v>37</v>
      </c>
      <c r="AC915">
        <v>0.67300000000000104</v>
      </c>
      <c r="AD915">
        <v>-0.1971812</v>
      </c>
      <c r="AE915">
        <v>-0.14300000000002899</v>
      </c>
      <c r="AF915">
        <v>0.12711225340111901</v>
      </c>
      <c r="AG915">
        <v>-0.1971812</v>
      </c>
      <c r="AH915">
        <v>0.62296766878062304</v>
      </c>
      <c r="AI915">
        <v>107.23018398414401</v>
      </c>
      <c r="AJ915">
        <v>78.467498928426195</v>
      </c>
      <c r="AK915">
        <v>0.66567759985154595</v>
      </c>
      <c r="AL915">
        <v>81.835092412787404</v>
      </c>
      <c r="AM915">
        <v>87.926916922122203</v>
      </c>
      <c r="AN915">
        <v>1.0000000656178201</v>
      </c>
    </row>
    <row r="916" spans="1:40" x14ac:dyDescent="0.25">
      <c r="A916" t="str">
        <f>"20190303170242207"</f>
        <v>20190303170242207</v>
      </c>
      <c r="B916" t="str">
        <f>"1551603762196492"</f>
        <v>1551603762196492</v>
      </c>
      <c r="C916" t="s">
        <v>40</v>
      </c>
      <c r="D916">
        <v>4.4155419999999896</v>
      </c>
      <c r="E916">
        <v>0.55310740000000003</v>
      </c>
      <c r="F916" t="s">
        <v>43</v>
      </c>
      <c r="G916">
        <v>-307.76929999999999</v>
      </c>
      <c r="H916">
        <v>0.91591080000000002</v>
      </c>
      <c r="I916">
        <v>367.67430000000002</v>
      </c>
      <c r="J916">
        <v>-308.2681</v>
      </c>
      <c r="K916">
        <v>1.072684</v>
      </c>
      <c r="L916">
        <v>367.7876</v>
      </c>
      <c r="M916">
        <v>0.99986560000000002</v>
      </c>
      <c r="N916">
        <v>-1.4356839999999999E-2</v>
      </c>
      <c r="O916">
        <v>-7.9326910000000004E-3</v>
      </c>
      <c r="P916">
        <v>0.99082749999999997</v>
      </c>
      <c r="Q916">
        <v>0.12790779999999999</v>
      </c>
      <c r="R916">
        <v>-4.3598249999999998E-2</v>
      </c>
      <c r="S916">
        <v>3.0956419999999998</v>
      </c>
      <c r="T916">
        <v>-0.70239379999999996</v>
      </c>
      <c r="U916">
        <v>-0.51354979999999995</v>
      </c>
      <c r="V916">
        <v>3.5655199999999998E-2</v>
      </c>
      <c r="W916">
        <v>0.14214450000000001</v>
      </c>
      <c r="X916">
        <v>0.98920359999999996</v>
      </c>
      <c r="Y916">
        <v>0.15198919999999999</v>
      </c>
      <c r="Z916">
        <v>-1.6374420000000001E-2</v>
      </c>
      <c r="AA916">
        <v>0.98824650000000003</v>
      </c>
      <c r="AB916">
        <v>37</v>
      </c>
      <c r="AC916">
        <v>0.49880000000001701</v>
      </c>
      <c r="AD916">
        <v>-0.156773199999999</v>
      </c>
      <c r="AE916">
        <v>-0.113299999999981</v>
      </c>
      <c r="AF916">
        <v>9.9950070142008907E-2</v>
      </c>
      <c r="AG916">
        <v>-0.156773199999999</v>
      </c>
      <c r="AH916">
        <v>0.45677458241004698</v>
      </c>
      <c r="AI916">
        <v>108.535522163485</v>
      </c>
      <c r="AJ916">
        <v>77.657246107148097</v>
      </c>
      <c r="AK916">
        <v>0.493164142953952</v>
      </c>
      <c r="AL916">
        <v>81.828042191952306</v>
      </c>
      <c r="AM916">
        <v>87.935704579529798</v>
      </c>
      <c r="AN916">
        <v>1.00000005721012</v>
      </c>
    </row>
    <row r="917" spans="1:40" x14ac:dyDescent="0.25">
      <c r="A917" t="str">
        <f>"20190303170242219"</f>
        <v>20190303170242219</v>
      </c>
      <c r="B917" t="str">
        <f>"1551603762206252"</f>
        <v>1551603762206252</v>
      </c>
      <c r="C917" t="s">
        <v>40</v>
      </c>
      <c r="D917">
        <v>4.3862220000000001</v>
      </c>
      <c r="E917">
        <v>0.55310309999999996</v>
      </c>
      <c r="F917" t="s">
        <v>43</v>
      </c>
      <c r="G917">
        <v>-307.45049999999998</v>
      </c>
      <c r="H917">
        <v>0.88722350000000005</v>
      </c>
      <c r="I917">
        <v>367.65190000000001</v>
      </c>
      <c r="J917">
        <v>-308.05029999999999</v>
      </c>
      <c r="K917">
        <v>1.072581</v>
      </c>
      <c r="L917">
        <v>367.786</v>
      </c>
      <c r="M917">
        <v>0.99986649999999999</v>
      </c>
      <c r="N917">
        <v>-1.4394219999999999E-2</v>
      </c>
      <c r="O917">
        <v>-7.7585450000000004E-3</v>
      </c>
      <c r="P917">
        <v>0.99086510000000005</v>
      </c>
      <c r="Q917">
        <v>0.1275403</v>
      </c>
      <c r="R917">
        <v>-4.3818419999999997E-2</v>
      </c>
      <c r="S917">
        <v>3.0958559999999999</v>
      </c>
      <c r="T917">
        <v>-0.70240389999999997</v>
      </c>
      <c r="U917">
        <v>-0.51242069999999995</v>
      </c>
      <c r="V917">
        <v>3.6045250000000001E-2</v>
      </c>
      <c r="W917">
        <v>0.14181550000000001</v>
      </c>
      <c r="X917">
        <v>0.98923669999999997</v>
      </c>
      <c r="Y917">
        <v>0.15179999999999999</v>
      </c>
      <c r="Z917">
        <v>-1.6391059999999999E-2</v>
      </c>
      <c r="AA917">
        <v>0.98827529999999997</v>
      </c>
      <c r="AB917">
        <v>37</v>
      </c>
      <c r="AC917">
        <v>0.59980000000001599</v>
      </c>
      <c r="AD917">
        <v>-0.18535749999999901</v>
      </c>
      <c r="AE917">
        <v>-0.13409999999998901</v>
      </c>
      <c r="AF917">
        <v>0.11865014481948701</v>
      </c>
      <c r="AG917">
        <v>-0.18535749999999901</v>
      </c>
      <c r="AH917">
        <v>0.55073102082554903</v>
      </c>
      <c r="AI917">
        <v>108.21209725606199</v>
      </c>
      <c r="AJ917">
        <v>77.841960726523496</v>
      </c>
      <c r="AK917">
        <v>0.593076653537708</v>
      </c>
      <c r="AL917">
        <v>81.847085543646998</v>
      </c>
      <c r="AM917">
        <v>87.913211846782303</v>
      </c>
      <c r="AN917">
        <v>1.0000000723573399</v>
      </c>
    </row>
    <row r="918" spans="1:40" x14ac:dyDescent="0.25">
      <c r="A918" t="str">
        <f>"20190303170242231"</f>
        <v>20190303170242231</v>
      </c>
      <c r="B918" t="str">
        <f>"1551603762226748"</f>
        <v>1551603762226748</v>
      </c>
      <c r="C918" t="s">
        <v>40</v>
      </c>
      <c r="D918">
        <v>4.4161830000000002</v>
      </c>
      <c r="E918">
        <v>0.55308109999999999</v>
      </c>
      <c r="F918" t="s">
        <v>43</v>
      </c>
      <c r="G918">
        <v>-307.12909999999999</v>
      </c>
      <c r="H918">
        <v>0.86307479999999903</v>
      </c>
      <c r="I918">
        <v>367.63350000000003</v>
      </c>
      <c r="J918">
        <v>-307.84629999999999</v>
      </c>
      <c r="K918">
        <v>1.0724910000000001</v>
      </c>
      <c r="L918">
        <v>367.78460000000001</v>
      </c>
      <c r="M918">
        <v>0.99986719999999896</v>
      </c>
      <c r="N918">
        <v>-1.44279E-2</v>
      </c>
      <c r="O918">
        <v>-7.5958429999999997E-3</v>
      </c>
      <c r="P918">
        <v>0.99081220000000003</v>
      </c>
      <c r="Q918">
        <v>0.12810849999999999</v>
      </c>
      <c r="R918">
        <v>-4.3355959999999999E-2</v>
      </c>
      <c r="S918">
        <v>3.0955810000000001</v>
      </c>
      <c r="T918">
        <v>-0.70398769999999999</v>
      </c>
      <c r="U918">
        <v>-0.51242069999999995</v>
      </c>
      <c r="V918">
        <v>3.5741990000000001E-2</v>
      </c>
      <c r="W918">
        <v>0.142416299999999</v>
      </c>
      <c r="X918">
        <v>0.98916130000000002</v>
      </c>
      <c r="Y918">
        <v>0.15194949999999999</v>
      </c>
      <c r="Z918">
        <v>-1.6480399999999999E-2</v>
      </c>
      <c r="AA918">
        <v>0.98825090000000004</v>
      </c>
      <c r="AB918">
        <v>37</v>
      </c>
      <c r="AC918">
        <v>0.71719999999999096</v>
      </c>
      <c r="AD918">
        <v>-0.2094162</v>
      </c>
      <c r="AE918">
        <v>-0.151099999999985</v>
      </c>
      <c r="AF918">
        <v>0.134654733905445</v>
      </c>
      <c r="AG918">
        <v>-0.2094162</v>
      </c>
      <c r="AH918">
        <v>0.66411206256778699</v>
      </c>
      <c r="AI918">
        <v>107.17345114570099</v>
      </c>
      <c r="AJ918">
        <v>78.538146393701595</v>
      </c>
      <c r="AK918">
        <v>0.70924739959595595</v>
      </c>
      <c r="AL918">
        <v>81.812308541796995</v>
      </c>
      <c r="AM918">
        <v>87.930595729765699</v>
      </c>
      <c r="AN918">
        <v>0.99999998488626995</v>
      </c>
    </row>
    <row r="919" spans="1:40" x14ac:dyDescent="0.25">
      <c r="A919" t="str">
        <f>"20190303170242248"</f>
        <v>20190303170242248</v>
      </c>
      <c r="B919" t="str">
        <f>"1551603762236508"</f>
        <v>1551603762236508</v>
      </c>
      <c r="C919" t="s">
        <v>40</v>
      </c>
      <c r="D919">
        <v>4.3984680000000003</v>
      </c>
      <c r="E919">
        <v>0.55306650000000002</v>
      </c>
      <c r="F919" t="s">
        <v>43</v>
      </c>
      <c r="G919">
        <v>-307.11059999999998</v>
      </c>
      <c r="H919">
        <v>0.90549029999999997</v>
      </c>
      <c r="I919">
        <v>367.66329999999999</v>
      </c>
      <c r="J919">
        <v>-307.58449999999999</v>
      </c>
      <c r="K919">
        <v>1.0723849999999999</v>
      </c>
      <c r="L919">
        <v>367.78280000000001</v>
      </c>
      <c r="M919">
        <v>0.99986799999999998</v>
      </c>
      <c r="N919">
        <v>-1.446821E-2</v>
      </c>
      <c r="O919">
        <v>-7.3876419999999998E-3</v>
      </c>
      <c r="P919">
        <v>0.99080849999999998</v>
      </c>
      <c r="Q919">
        <v>0.12810559999999999</v>
      </c>
      <c r="R919">
        <v>-4.3443629999999997E-2</v>
      </c>
      <c r="S919">
        <v>3.0963129999999999</v>
      </c>
      <c r="T919">
        <v>-0.70282880000000003</v>
      </c>
      <c r="U919">
        <v>-0.51046749999999996</v>
      </c>
      <c r="V919">
        <v>3.6033750000000003E-2</v>
      </c>
      <c r="W919">
        <v>0.1424541</v>
      </c>
      <c r="X919">
        <v>0.98914530000000001</v>
      </c>
      <c r="Y919">
        <v>0.1515299</v>
      </c>
      <c r="Z919">
        <v>-1.6450079999999999E-2</v>
      </c>
      <c r="AA919">
        <v>0.98831579999999997</v>
      </c>
      <c r="AB919">
        <v>37</v>
      </c>
      <c r="AC919">
        <v>0.47390000000001398</v>
      </c>
      <c r="AD919">
        <v>-0.16689470000000001</v>
      </c>
      <c r="AE919">
        <v>-0.119500000000016</v>
      </c>
      <c r="AF919">
        <v>0.10388164042001299</v>
      </c>
      <c r="AG919">
        <v>-0.16689470000000001</v>
      </c>
      <c r="AH919">
        <v>0.42518839518028401</v>
      </c>
      <c r="AI919">
        <v>110.872048688587</v>
      </c>
      <c r="AJ919">
        <v>76.270509379513797</v>
      </c>
      <c r="AK919">
        <v>0.46843399481723003</v>
      </c>
      <c r="AL919">
        <v>81.8101206847074</v>
      </c>
      <c r="AM919">
        <v>87.913684440789297</v>
      </c>
      <c r="AN919">
        <v>1.0000000131289799</v>
      </c>
    </row>
    <row r="920" spans="1:40" x14ac:dyDescent="0.25">
      <c r="A920" t="str">
        <f>"20190303170242258"</f>
        <v>20190303170242258</v>
      </c>
      <c r="B920" t="str">
        <f>"1551603762246268"</f>
        <v>1551603762246268</v>
      </c>
      <c r="C920" t="s">
        <v>40</v>
      </c>
      <c r="D920">
        <v>4.415343</v>
      </c>
      <c r="E920">
        <v>0.55304940000000002</v>
      </c>
      <c r="F920" t="s">
        <v>43</v>
      </c>
      <c r="G920">
        <v>-306.786</v>
      </c>
      <c r="H920">
        <v>0.89107239999999999</v>
      </c>
      <c r="I920">
        <v>367.65069999999997</v>
      </c>
      <c r="J920">
        <v>-307.39830000000001</v>
      </c>
      <c r="K920">
        <v>1.072319</v>
      </c>
      <c r="L920">
        <v>367.78160000000003</v>
      </c>
      <c r="M920">
        <v>0.9998688</v>
      </c>
      <c r="N920">
        <v>-1.449543E-2</v>
      </c>
      <c r="O920">
        <v>-7.2397109999999898E-3</v>
      </c>
      <c r="P920">
        <v>0.9908264</v>
      </c>
      <c r="Q920">
        <v>0.12806609999999999</v>
      </c>
      <c r="R920">
        <v>-4.3155529999999998E-2</v>
      </c>
      <c r="S920">
        <v>3.0963440000000002</v>
      </c>
      <c r="T920">
        <v>-0.70316990000000001</v>
      </c>
      <c r="U920">
        <v>-0.51068119999999995</v>
      </c>
      <c r="V920">
        <v>3.589084E-2</v>
      </c>
      <c r="W920">
        <v>0.14244179999999901</v>
      </c>
      <c r="X920">
        <v>0.98915229999999998</v>
      </c>
      <c r="Y920">
        <v>0.15172840000000001</v>
      </c>
      <c r="Z920">
        <v>-1.651381E-2</v>
      </c>
      <c r="AA920">
        <v>0.9882843</v>
      </c>
      <c r="AB920">
        <v>37</v>
      </c>
      <c r="AC920">
        <v>0.61230000000000395</v>
      </c>
      <c r="AD920">
        <v>-0.18124660000000001</v>
      </c>
      <c r="AE920">
        <v>-0.130900000000053</v>
      </c>
      <c r="AF920">
        <v>0.116685883750276</v>
      </c>
      <c r="AG920">
        <v>-0.18124660000000001</v>
      </c>
      <c r="AH920">
        <v>0.56582049241084198</v>
      </c>
      <c r="AI920">
        <v>107.41787422052801</v>
      </c>
      <c r="AJ920">
        <v>78.347576815219696</v>
      </c>
      <c r="AK920">
        <v>0.60549050786134595</v>
      </c>
      <c r="AL920">
        <v>81.810832952012504</v>
      </c>
      <c r="AM920">
        <v>87.921966201116305</v>
      </c>
      <c r="AN920">
        <v>1.00000004568921</v>
      </c>
    </row>
    <row r="921" spans="1:40" x14ac:dyDescent="0.25">
      <c r="A921" t="str">
        <f>"20190303170242270"</f>
        <v>20190303170242270</v>
      </c>
      <c r="B921" t="str">
        <f>"1551603762257004"</f>
        <v>1551603762257004</v>
      </c>
      <c r="C921" t="s">
        <v>40</v>
      </c>
      <c r="D921">
        <v>4.3943690000000002</v>
      </c>
      <c r="E921">
        <v>0.55303719999999901</v>
      </c>
      <c r="F921" t="s">
        <v>43</v>
      </c>
      <c r="G921">
        <v>-306.46789999999999</v>
      </c>
      <c r="H921">
        <v>0.8609173</v>
      </c>
      <c r="I921">
        <v>367.62830000000002</v>
      </c>
      <c r="J921">
        <v>-307.19760000000002</v>
      </c>
      <c r="K921">
        <v>1.0722499999999999</v>
      </c>
      <c r="L921">
        <v>367.78019999999998</v>
      </c>
      <c r="M921">
        <v>0.99986960000000003</v>
      </c>
      <c r="N921">
        <v>-1.452298E-2</v>
      </c>
      <c r="O921">
        <v>-7.0802299999999999E-3</v>
      </c>
      <c r="P921">
        <v>0.99084760000000005</v>
      </c>
      <c r="Q921">
        <v>0.12807370000000001</v>
      </c>
      <c r="R921">
        <v>-4.2643090000000002E-2</v>
      </c>
      <c r="S921">
        <v>3.096527</v>
      </c>
      <c r="T921">
        <v>-0.70361130000000005</v>
      </c>
      <c r="U921">
        <v>-0.50927730000000004</v>
      </c>
      <c r="V921">
        <v>3.5535039999999997E-2</v>
      </c>
      <c r="W921">
        <v>0.14247670000000001</v>
      </c>
      <c r="X921">
        <v>0.98916009999999999</v>
      </c>
      <c r="Y921">
        <v>0.1514395</v>
      </c>
      <c r="Z921">
        <v>-1.6524069999999998E-2</v>
      </c>
      <c r="AA921">
        <v>0.9883284</v>
      </c>
      <c r="AB921">
        <v>37</v>
      </c>
      <c r="AC921">
        <v>0.72970000000003599</v>
      </c>
      <c r="AD921">
        <v>-0.21133269999999901</v>
      </c>
      <c r="AE921">
        <v>-0.15189999999995499</v>
      </c>
      <c r="AF921">
        <v>0.13581087937348599</v>
      </c>
      <c r="AG921">
        <v>-0.21133269999999901</v>
      </c>
      <c r="AH921">
        <v>0.67638063770676504</v>
      </c>
      <c r="AI921">
        <v>107.031515495324</v>
      </c>
      <c r="AJ921">
        <v>78.646517913111396</v>
      </c>
      <c r="AK921">
        <v>0.72152399274736501</v>
      </c>
      <c r="AL921">
        <v>81.808812564280501</v>
      </c>
      <c r="AM921">
        <v>87.942564983671105</v>
      </c>
      <c r="AN921">
        <v>1.00000002627135</v>
      </c>
    </row>
    <row r="922" spans="1:40" x14ac:dyDescent="0.25">
      <c r="A922" t="str">
        <f>"20190303170242282"</f>
        <v>20190303170242282</v>
      </c>
      <c r="B922" t="str">
        <f>"1551603762276525"</f>
        <v>1551603762276525</v>
      </c>
      <c r="C922" t="s">
        <v>40</v>
      </c>
      <c r="D922">
        <v>4.4167779999999999</v>
      </c>
      <c r="E922">
        <v>0.55301119999999904</v>
      </c>
      <c r="F922" t="s">
        <v>43</v>
      </c>
      <c r="G922">
        <v>-306.45</v>
      </c>
      <c r="H922">
        <v>0.90236130000000003</v>
      </c>
      <c r="I922">
        <v>367.6574</v>
      </c>
      <c r="J922">
        <v>-307.02350000000001</v>
      </c>
      <c r="K922">
        <v>1.072203</v>
      </c>
      <c r="L922">
        <v>367.7792</v>
      </c>
      <c r="M922">
        <v>0.99987020000000004</v>
      </c>
      <c r="N922">
        <v>-1.454504E-2</v>
      </c>
      <c r="O922">
        <v>-6.9418269999999898E-3</v>
      </c>
      <c r="P922">
        <v>0.99091410000000002</v>
      </c>
      <c r="Q922">
        <v>0.1276321</v>
      </c>
      <c r="R922">
        <v>-4.2420199999999998E-2</v>
      </c>
      <c r="S922">
        <v>3.096832</v>
      </c>
      <c r="T922">
        <v>-0.70382739999999999</v>
      </c>
      <c r="U922">
        <v>-0.50778199999999996</v>
      </c>
      <c r="V922">
        <v>3.5448309999999997E-2</v>
      </c>
      <c r="W922">
        <v>0.14205809999999999</v>
      </c>
      <c r="X922">
        <v>0.98922339999999997</v>
      </c>
      <c r="Y922">
        <v>0.1510996</v>
      </c>
      <c r="Z922">
        <v>-1.6518060000000001E-2</v>
      </c>
      <c r="AA922">
        <v>0.98838060000000005</v>
      </c>
      <c r="AB922">
        <v>37</v>
      </c>
      <c r="AC922">
        <v>0.57350000000002399</v>
      </c>
      <c r="AD922">
        <v>-0.16984169999999901</v>
      </c>
      <c r="AE922">
        <v>-0.121800000000007</v>
      </c>
      <c r="AF922">
        <v>0.10869398491313401</v>
      </c>
      <c r="AG922">
        <v>-0.16984169999999901</v>
      </c>
      <c r="AH922">
        <v>0.52986582362326395</v>
      </c>
      <c r="AI922">
        <v>107.432219638655</v>
      </c>
      <c r="AJ922">
        <v>78.407455228106201</v>
      </c>
      <c r="AK922">
        <v>0.56693771832463702</v>
      </c>
      <c r="AL922">
        <v>81.833042915871104</v>
      </c>
      <c r="AM922">
        <v>87.947713464989803</v>
      </c>
      <c r="AN922">
        <v>1.00000001078251</v>
      </c>
    </row>
    <row r="923" spans="1:40" x14ac:dyDescent="0.25">
      <c r="A923" t="str">
        <f>"20190303170242293"</f>
        <v>20190303170242293</v>
      </c>
      <c r="B923" t="str">
        <f>"1551603762286285"</f>
        <v>1551603762286285</v>
      </c>
      <c r="C923" t="s">
        <v>40</v>
      </c>
      <c r="D923">
        <v>4.4157780000000004</v>
      </c>
      <c r="E923">
        <v>0.55299909999999997</v>
      </c>
      <c r="F923" t="s">
        <v>43</v>
      </c>
      <c r="G923">
        <v>-306.13400000000001</v>
      </c>
      <c r="H923">
        <v>0.86956389999999995</v>
      </c>
      <c r="I923">
        <v>367.63299999999998</v>
      </c>
      <c r="J923">
        <v>-306.82929999999999</v>
      </c>
      <c r="K923">
        <v>1.072149</v>
      </c>
      <c r="L923">
        <v>367.77800000000002</v>
      </c>
      <c r="M923">
        <v>0.99987079999999995</v>
      </c>
      <c r="N923">
        <v>-1.456851E-2</v>
      </c>
      <c r="O923">
        <v>-6.7874629999999997E-3</v>
      </c>
      <c r="P923">
        <v>0.99089939999999999</v>
      </c>
      <c r="Q923">
        <v>0.12782180000000001</v>
      </c>
      <c r="R923">
        <v>-4.2189560000000001E-2</v>
      </c>
      <c r="S923">
        <v>3.0967099999999999</v>
      </c>
      <c r="T923">
        <v>-0.70563529999999997</v>
      </c>
      <c r="U923">
        <v>-0.50738530000000004</v>
      </c>
      <c r="V923">
        <v>3.5369999999999999E-2</v>
      </c>
      <c r="W923">
        <v>0.14227139999999999</v>
      </c>
      <c r="X923">
        <v>0.98919550000000001</v>
      </c>
      <c r="Y923">
        <v>0.15111159999999901</v>
      </c>
      <c r="Z923">
        <v>-1.6592869999999999E-2</v>
      </c>
      <c r="AA923">
        <v>0.98837750000000002</v>
      </c>
      <c r="AB923">
        <v>37</v>
      </c>
      <c r="AC923">
        <v>0.69529999999997405</v>
      </c>
      <c r="AD923">
        <v>-0.20258509999999999</v>
      </c>
      <c r="AE923">
        <v>-0.14499999999998101</v>
      </c>
      <c r="AF923">
        <v>0.12972325079410599</v>
      </c>
      <c r="AG923">
        <v>-0.20258509999999999</v>
      </c>
      <c r="AH923">
        <v>0.64388523550404697</v>
      </c>
      <c r="AI923">
        <v>107.141428805472</v>
      </c>
      <c r="AJ923">
        <v>78.609131390871397</v>
      </c>
      <c r="AK923">
        <v>0.68735510548675105</v>
      </c>
      <c r="AL923">
        <v>81.820695925911195</v>
      </c>
      <c r="AM923">
        <v>87.952185665711397</v>
      </c>
      <c r="AN923">
        <v>0.99999996268910396</v>
      </c>
    </row>
    <row r="924" spans="1:40" x14ac:dyDescent="0.25">
      <c r="A924" t="str">
        <f>"20190303170242304"</f>
        <v>20190303170242304</v>
      </c>
      <c r="B924" t="str">
        <f>"1551603762297020"</f>
        <v>1551603762297020</v>
      </c>
      <c r="C924" t="s">
        <v>40</v>
      </c>
      <c r="D924">
        <v>4.4429480000000003</v>
      </c>
      <c r="E924">
        <v>0.55298169999999902</v>
      </c>
      <c r="F924" t="s">
        <v>43</v>
      </c>
      <c r="G924">
        <v>-306.11610000000002</v>
      </c>
      <c r="H924">
        <v>0.90976599999999996</v>
      </c>
      <c r="I924">
        <v>367.66090000000003</v>
      </c>
      <c r="J924">
        <v>-306.65120000000002</v>
      </c>
      <c r="K924">
        <v>1.0721050000000001</v>
      </c>
      <c r="L924">
        <v>367.77690000000001</v>
      </c>
      <c r="M924">
        <v>0.99987159999999997</v>
      </c>
      <c r="N924">
        <v>-1.45877E-2</v>
      </c>
      <c r="O924">
        <v>-6.6457199999999999E-3</v>
      </c>
      <c r="P924">
        <v>0.9909232</v>
      </c>
      <c r="Q924">
        <v>0.1277943</v>
      </c>
      <c r="R924">
        <v>-4.1715490000000001E-2</v>
      </c>
      <c r="S924">
        <v>3.0969850000000001</v>
      </c>
      <c r="T924">
        <v>-0.70530969999999904</v>
      </c>
      <c r="U924">
        <v>-0.50653079999999995</v>
      </c>
      <c r="V924">
        <v>3.5035530000000002E-2</v>
      </c>
      <c r="W924">
        <v>0.142263</v>
      </c>
      <c r="X924">
        <v>0.98920859999999999</v>
      </c>
      <c r="Y924">
        <v>0.150976</v>
      </c>
      <c r="Z924">
        <v>-1.6600030000000002E-2</v>
      </c>
      <c r="AA924">
        <v>0.988398</v>
      </c>
      <c r="AB924">
        <v>37</v>
      </c>
      <c r="AC924">
        <v>0.53509999999999902</v>
      </c>
      <c r="AD924">
        <v>-0.16233899999999901</v>
      </c>
      <c r="AE924">
        <v>-0.115999999999985</v>
      </c>
      <c r="AF924">
        <v>0.103355128035912</v>
      </c>
      <c r="AG924">
        <v>-0.16233899999999901</v>
      </c>
      <c r="AH924">
        <v>0.49255898463147801</v>
      </c>
      <c r="AI924">
        <v>107.87753442838</v>
      </c>
      <c r="AJ924">
        <v>78.149385592932902</v>
      </c>
      <c r="AK924">
        <v>0.52881999466123897</v>
      </c>
      <c r="AL924">
        <v>81.8211820676119</v>
      </c>
      <c r="AM924">
        <v>87.971561037193396</v>
      </c>
      <c r="AN924">
        <v>0.99999995192266899</v>
      </c>
    </row>
    <row r="925" spans="1:40" x14ac:dyDescent="0.25">
      <c r="A925" t="str">
        <f>"20190303170242316"</f>
        <v>20190303170242316</v>
      </c>
      <c r="B925" t="str">
        <f>"1551603762306780"</f>
        <v>1551603762306780</v>
      </c>
      <c r="C925" t="s">
        <v>40</v>
      </c>
      <c r="D925">
        <v>4.4441509999999997</v>
      </c>
      <c r="E925">
        <v>0.5529712</v>
      </c>
      <c r="F925" t="s">
        <v>43</v>
      </c>
      <c r="G925">
        <v>-305.8005</v>
      </c>
      <c r="H925">
        <v>0.87831099999999995</v>
      </c>
      <c r="I925">
        <v>367.63819999999998</v>
      </c>
      <c r="J925">
        <v>-306.45890000000003</v>
      </c>
      <c r="K925">
        <v>1.0720620000000001</v>
      </c>
      <c r="L925">
        <v>367.77569999999997</v>
      </c>
      <c r="M925">
        <v>0.99987230000000005</v>
      </c>
      <c r="N925">
        <v>-1.4607780000000001E-2</v>
      </c>
      <c r="O925">
        <v>-6.4926599999999999E-3</v>
      </c>
      <c r="P925">
        <v>0.99091779999999996</v>
      </c>
      <c r="Q925">
        <v>0.1278812</v>
      </c>
      <c r="R925">
        <v>-4.1577830000000003E-2</v>
      </c>
      <c r="S925">
        <v>3.097229</v>
      </c>
      <c r="T925">
        <v>-0.70550669999999904</v>
      </c>
      <c r="U925">
        <v>-0.50497440000000005</v>
      </c>
      <c r="V925">
        <v>3.5049259999999999E-2</v>
      </c>
      <c r="W925">
        <v>0.1423691</v>
      </c>
      <c r="X925">
        <v>0.98919290000000004</v>
      </c>
      <c r="Y925">
        <v>0.15063460000000001</v>
      </c>
      <c r="Z925">
        <v>-1.6596590000000001E-2</v>
      </c>
      <c r="AA925">
        <v>0.98845019999999995</v>
      </c>
      <c r="AB925">
        <v>37</v>
      </c>
      <c r="AC925">
        <v>0.65840000000002796</v>
      </c>
      <c r="AD925">
        <v>-0.19375100000000001</v>
      </c>
      <c r="AE925">
        <v>-0.13749999999998799</v>
      </c>
      <c r="AF925">
        <v>0.123014272616566</v>
      </c>
      <c r="AG925">
        <v>-0.19375100000000001</v>
      </c>
      <c r="AH925">
        <v>0.60876428371033497</v>
      </c>
      <c r="AI925">
        <v>107.326032866516</v>
      </c>
      <c r="AJ925">
        <v>78.575957232124196</v>
      </c>
      <c r="AK925">
        <v>0.65058889814516496</v>
      </c>
      <c r="AL925">
        <v>81.815040886900704</v>
      </c>
      <c r="AM925">
        <v>87.970734600866706</v>
      </c>
      <c r="AN925">
        <v>1.0000000023358799</v>
      </c>
    </row>
    <row r="926" spans="1:40" x14ac:dyDescent="0.25">
      <c r="A926" t="str">
        <f>"20190303170242327"</f>
        <v>20190303170242327</v>
      </c>
      <c r="B926" t="str">
        <f>"1551603762316541"</f>
        <v>1551603762316541</v>
      </c>
      <c r="C926" t="s">
        <v>40</v>
      </c>
      <c r="D926">
        <v>4.4302020000000004</v>
      </c>
      <c r="E926">
        <v>0.5529712</v>
      </c>
      <c r="F926" t="s">
        <v>43</v>
      </c>
      <c r="G926">
        <v>-305.48230000000001</v>
      </c>
      <c r="H926">
        <v>0.84964869999999904</v>
      </c>
      <c r="I926">
        <v>367.61630000000002</v>
      </c>
      <c r="J926">
        <v>-306.27699999999999</v>
      </c>
      <c r="K926">
        <v>1.0720289999999999</v>
      </c>
      <c r="L926">
        <v>367.7747</v>
      </c>
      <c r="M926">
        <v>0.99987289999999995</v>
      </c>
      <c r="N926">
        <v>-1.462428E-2</v>
      </c>
      <c r="O926">
        <v>-6.3478069999999996E-3</v>
      </c>
      <c r="P926">
        <v>0.99089320000000003</v>
      </c>
      <c r="Q926">
        <v>0.12822169999999999</v>
      </c>
      <c r="R926">
        <v>-4.1109350000000003E-2</v>
      </c>
      <c r="S926">
        <v>3.0974729999999999</v>
      </c>
      <c r="T926">
        <v>-0.70558920000000003</v>
      </c>
      <c r="U926">
        <v>-0.5041504</v>
      </c>
      <c r="V926">
        <v>3.4723999999999998E-2</v>
      </c>
      <c r="W926">
        <v>0.14272550000000001</v>
      </c>
      <c r="X926">
        <v>0.98915299999999995</v>
      </c>
      <c r="Y926">
        <v>0.15050849999999999</v>
      </c>
      <c r="Z926">
        <v>-1.66141E-2</v>
      </c>
      <c r="AA926">
        <v>0.98846909999999999</v>
      </c>
      <c r="AB926">
        <v>37</v>
      </c>
      <c r="AC926">
        <v>0.79469999999997698</v>
      </c>
      <c r="AD926">
        <v>-0.2223803</v>
      </c>
      <c r="AE926">
        <v>-0.15839999999997101</v>
      </c>
      <c r="AF926">
        <v>0.14261127623185799</v>
      </c>
      <c r="AG926">
        <v>-0.2223803</v>
      </c>
      <c r="AH926">
        <v>0.73996135891980197</v>
      </c>
      <c r="AI926">
        <v>106.441276736315</v>
      </c>
      <c r="AJ926">
        <v>79.091251481578993</v>
      </c>
      <c r="AK926">
        <v>0.78570591612320795</v>
      </c>
      <c r="AL926">
        <v>81.794409894164502</v>
      </c>
      <c r="AM926">
        <v>87.9894697937373</v>
      </c>
      <c r="AN926">
        <v>0.99999999096762404</v>
      </c>
    </row>
    <row r="927" spans="1:40" x14ac:dyDescent="0.25">
      <c r="A927" t="str">
        <f>"20190303170242339"</f>
        <v>20190303170242339</v>
      </c>
      <c r="B927" t="str">
        <f>"1551603762326300"</f>
        <v>1551603762326300</v>
      </c>
      <c r="C927" t="s">
        <v>40</v>
      </c>
      <c r="D927">
        <v>4.4208249999999998</v>
      </c>
      <c r="E927">
        <v>0.55112139999999998</v>
      </c>
      <c r="F927" t="s">
        <v>43</v>
      </c>
      <c r="G927">
        <v>-305.4665</v>
      </c>
      <c r="H927">
        <v>0.88777739999999905</v>
      </c>
      <c r="I927">
        <v>367.64260000000002</v>
      </c>
      <c r="J927">
        <v>-306.06880000000001</v>
      </c>
      <c r="K927">
        <v>1.07199</v>
      </c>
      <c r="L927">
        <v>367.77350000000001</v>
      </c>
      <c r="M927">
        <v>0.99987360000000003</v>
      </c>
      <c r="N927">
        <v>-1.4642219999999999E-2</v>
      </c>
      <c r="O927">
        <v>-6.1819860000000004E-3</v>
      </c>
      <c r="P927">
        <v>0.99086560000000001</v>
      </c>
      <c r="Q927">
        <v>0.12856529999999999</v>
      </c>
      <c r="R927">
        <v>-4.0697259999999999E-2</v>
      </c>
      <c r="S927">
        <v>3.0978699999999999</v>
      </c>
      <c r="T927">
        <v>-0.70442090000000002</v>
      </c>
      <c r="U927">
        <v>-0.50277709999999998</v>
      </c>
      <c r="V927">
        <v>3.4475980000000003E-2</v>
      </c>
      <c r="W927">
        <v>0.14308599999999999</v>
      </c>
      <c r="X927">
        <v>0.98910960000000003</v>
      </c>
      <c r="Y927">
        <v>0.1502414</v>
      </c>
      <c r="Z927">
        <v>-1.659207E-2</v>
      </c>
      <c r="AA927">
        <v>0.98851009999999995</v>
      </c>
      <c r="AB927">
        <v>37</v>
      </c>
      <c r="AC927">
        <v>0.60230000000001305</v>
      </c>
      <c r="AD927">
        <v>-0.1842126</v>
      </c>
      <c r="AE927">
        <v>-0.13089999999999599</v>
      </c>
      <c r="AF927">
        <v>0.116745488195276</v>
      </c>
      <c r="AG927">
        <v>-0.1842126</v>
      </c>
      <c r="AH927">
        <v>0.55364397794337705</v>
      </c>
      <c r="AI927">
        <v>108.033594677355</v>
      </c>
      <c r="AJ927">
        <v>78.092627775895807</v>
      </c>
      <c r="AK927">
        <v>0.59505079222338697</v>
      </c>
      <c r="AL927">
        <v>81.773540632948794</v>
      </c>
      <c r="AM927">
        <v>88.003731050633505</v>
      </c>
      <c r="AN927">
        <v>0.99999999870255996</v>
      </c>
    </row>
    <row r="928" spans="1:40" x14ac:dyDescent="0.25">
      <c r="A928" t="str">
        <f>"20190303170242349"</f>
        <v>20190303170242349</v>
      </c>
      <c r="B928" t="str">
        <f>"1551603762337036"</f>
        <v>1551603762337036</v>
      </c>
      <c r="C928" t="s">
        <v>40</v>
      </c>
      <c r="D928">
        <v>4.4249330000000002</v>
      </c>
      <c r="E928">
        <v>0.55112139999999998</v>
      </c>
      <c r="F928" t="s">
        <v>43</v>
      </c>
      <c r="G928">
        <v>-305.14999999999998</v>
      </c>
      <c r="H928">
        <v>0.85838379999999903</v>
      </c>
      <c r="I928">
        <v>367.6293</v>
      </c>
      <c r="J928">
        <v>-305.8913</v>
      </c>
      <c r="K928">
        <v>1.0719609999999999</v>
      </c>
      <c r="L928">
        <v>367.77260000000001</v>
      </c>
      <c r="M928">
        <v>0.9998745</v>
      </c>
      <c r="N928">
        <v>-1.465609E-2</v>
      </c>
      <c r="O928">
        <v>-6.0405800000000003E-3</v>
      </c>
      <c r="P928">
        <v>0.9908728</v>
      </c>
      <c r="Q928">
        <v>0.12864039999999999</v>
      </c>
      <c r="R928">
        <v>-4.0289119999999998E-2</v>
      </c>
      <c r="S928">
        <v>3.1012270000000002</v>
      </c>
      <c r="T928">
        <v>-0.72095730000000002</v>
      </c>
      <c r="U928">
        <v>-0.48654170000000002</v>
      </c>
      <c r="V928">
        <v>3.4207599999999998E-2</v>
      </c>
      <c r="W928">
        <v>0.14317479999999999</v>
      </c>
      <c r="X928">
        <v>0.98910609999999999</v>
      </c>
      <c r="Y928">
        <v>0.14513129999999999</v>
      </c>
      <c r="Z928">
        <v>-1.6344419999999998E-2</v>
      </c>
      <c r="AA928">
        <v>0.98927739999999997</v>
      </c>
      <c r="AB928">
        <v>37</v>
      </c>
      <c r="AC928">
        <v>0.74130000000002305</v>
      </c>
      <c r="AD928">
        <v>-0.21357719999999999</v>
      </c>
      <c r="AE928">
        <v>-0.14330000000001</v>
      </c>
      <c r="AF928">
        <v>0.128533966362674</v>
      </c>
      <c r="AG928">
        <v>-0.21357719999999999</v>
      </c>
      <c r="AH928">
        <v>0.68716636609890103</v>
      </c>
      <c r="AI928">
        <v>106.98843698233701</v>
      </c>
      <c r="AJ928">
        <v>79.405294676150504</v>
      </c>
      <c r="AK928">
        <v>0.730981405759634</v>
      </c>
      <c r="AL928">
        <v>81.768400097958605</v>
      </c>
      <c r="AM928">
        <v>88.019251676300598</v>
      </c>
      <c r="AN928">
        <v>1.0000000301550001</v>
      </c>
    </row>
    <row r="929" spans="1:40" x14ac:dyDescent="0.25">
      <c r="A929" t="str">
        <f>"20190303170242362"</f>
        <v>20190303170242362</v>
      </c>
      <c r="B929" t="str">
        <f>"1551603762356557"</f>
        <v>1551603762356557</v>
      </c>
      <c r="C929" t="s">
        <v>40</v>
      </c>
      <c r="D929">
        <v>4.4832910000000004</v>
      </c>
      <c r="E929">
        <v>0.55063459999999997</v>
      </c>
      <c r="F929" t="s">
        <v>43</v>
      </c>
      <c r="G929">
        <v>-305.13369999999998</v>
      </c>
      <c r="H929">
        <v>0.89600729999999995</v>
      </c>
      <c r="I929">
        <v>367.65370000000001</v>
      </c>
      <c r="J929">
        <v>-305.70190000000002</v>
      </c>
      <c r="K929">
        <v>1.071936</v>
      </c>
      <c r="L929">
        <v>367.7715</v>
      </c>
      <c r="M929">
        <v>0.99987499999999996</v>
      </c>
      <c r="N929">
        <v>-1.466954E-2</v>
      </c>
      <c r="O929">
        <v>-5.8895170000000004E-3</v>
      </c>
      <c r="P929">
        <v>0.99083299999999996</v>
      </c>
      <c r="Q929">
        <v>0.12908900000000001</v>
      </c>
      <c r="R929">
        <v>-3.982492E-2</v>
      </c>
      <c r="S929">
        <v>3.1013790000000001</v>
      </c>
      <c r="T929">
        <v>-0.72039759999999997</v>
      </c>
      <c r="U929">
        <v>-0.48617549999999998</v>
      </c>
      <c r="V929">
        <v>3.3892930000000002E-2</v>
      </c>
      <c r="W929">
        <v>0.14363629999999999</v>
      </c>
      <c r="X929">
        <v>0.98904999999999998</v>
      </c>
      <c r="Y929">
        <v>0.14516080000000001</v>
      </c>
      <c r="Z929">
        <v>-1.636922E-2</v>
      </c>
      <c r="AA929">
        <v>0.9892727</v>
      </c>
      <c r="AB929">
        <v>37</v>
      </c>
      <c r="AC929">
        <v>0.568200000000047</v>
      </c>
      <c r="AD929">
        <v>-0.17592869999999899</v>
      </c>
      <c r="AE929">
        <v>-0.117799999999988</v>
      </c>
      <c r="AF929">
        <v>0.10481676933995</v>
      </c>
      <c r="AG929">
        <v>-0.17592869999999899</v>
      </c>
      <c r="AH929">
        <v>0.52099582694559299</v>
      </c>
      <c r="AI929">
        <v>108.316846436723</v>
      </c>
      <c r="AJ929">
        <v>78.624774629894304</v>
      </c>
      <c r="AK929">
        <v>0.55979828001993404</v>
      </c>
      <c r="AL929">
        <v>81.741681769473303</v>
      </c>
      <c r="AM929">
        <v>88.037346704570993</v>
      </c>
      <c r="AN929">
        <v>1.0000000099408299</v>
      </c>
    </row>
    <row r="930" spans="1:40" x14ac:dyDescent="0.25">
      <c r="A930" t="str">
        <f>"20190303170242374"</f>
        <v>20190303170242374</v>
      </c>
      <c r="B930" t="str">
        <f>"1551603762366316"</f>
        <v>1551603762366316</v>
      </c>
      <c r="C930" t="s">
        <v>40</v>
      </c>
      <c r="D930">
        <v>4.4476430000000002</v>
      </c>
      <c r="E930">
        <v>0.53193469999999998</v>
      </c>
      <c r="F930" t="s">
        <v>43</v>
      </c>
      <c r="G930">
        <v>-304.81760000000003</v>
      </c>
      <c r="H930">
        <v>0.86688589999999999</v>
      </c>
      <c r="I930">
        <v>367.63409999999999</v>
      </c>
      <c r="J930">
        <v>-305.49990000000003</v>
      </c>
      <c r="K930">
        <v>1.0719110000000001</v>
      </c>
      <c r="L930">
        <v>367.77050000000003</v>
      </c>
      <c r="M930">
        <v>0.99987579999999998</v>
      </c>
      <c r="N930">
        <v>-1.468295E-2</v>
      </c>
      <c r="O930">
        <v>-5.7287969999999999E-3</v>
      </c>
      <c r="P930">
        <v>0.99078319999999998</v>
      </c>
      <c r="Q930">
        <v>0.12966079999999999</v>
      </c>
      <c r="R930">
        <v>-3.92044E-2</v>
      </c>
      <c r="S930">
        <v>3.1021420000000002</v>
      </c>
      <c r="T930">
        <v>-0.71936610000000001</v>
      </c>
      <c r="U930">
        <v>-0.48110960000000003</v>
      </c>
      <c r="V930">
        <v>3.3431530000000001E-2</v>
      </c>
      <c r="W930">
        <v>0.14421999999999999</v>
      </c>
      <c r="X930">
        <v>0.98898079999999999</v>
      </c>
      <c r="Y930">
        <v>0.1437514</v>
      </c>
      <c r="Z930">
        <v>-1.6210499999999999E-2</v>
      </c>
      <c r="AA930">
        <v>0.98948100000000005</v>
      </c>
      <c r="AB930">
        <v>37</v>
      </c>
      <c r="AC930">
        <v>0.68229999999999702</v>
      </c>
      <c r="AD930">
        <v>-0.20502509999999999</v>
      </c>
      <c r="AE930">
        <v>-0.13640000000003699</v>
      </c>
      <c r="AF930">
        <v>0.12190424832015399</v>
      </c>
      <c r="AG930">
        <v>-0.20502509999999999</v>
      </c>
      <c r="AH930">
        <v>0.62850073276019702</v>
      </c>
      <c r="AI930">
        <v>107.75738842739</v>
      </c>
      <c r="AJ930">
        <v>79.023185358418701</v>
      </c>
      <c r="AK930">
        <v>0.67224185266064596</v>
      </c>
      <c r="AL930">
        <v>81.707886677323899</v>
      </c>
      <c r="AM930">
        <v>88.063909374791294</v>
      </c>
      <c r="AN930">
        <v>1.00000004918338</v>
      </c>
    </row>
    <row r="931" spans="1:40" x14ac:dyDescent="0.25">
      <c r="A931" t="str">
        <f>"20190303170242386"</f>
        <v>20190303170242386</v>
      </c>
      <c r="B931" t="str">
        <f>"1551603762377052"</f>
        <v>1551603762377052</v>
      </c>
      <c r="C931" t="s">
        <v>40</v>
      </c>
      <c r="D931">
        <v>4.3631589999999996</v>
      </c>
      <c r="E931">
        <v>0.52878480000000005</v>
      </c>
      <c r="F931" t="s">
        <v>43</v>
      </c>
      <c r="G931">
        <v>-304.78629999999998</v>
      </c>
      <c r="H931">
        <v>0.93468929999999995</v>
      </c>
      <c r="I931">
        <v>367.69290000000001</v>
      </c>
      <c r="J931">
        <v>-305.2955</v>
      </c>
      <c r="K931">
        <v>1.071888</v>
      </c>
      <c r="L931">
        <v>367.76940000000002</v>
      </c>
      <c r="M931">
        <v>0.9998766</v>
      </c>
      <c r="N931">
        <v>-1.4694489999999999E-2</v>
      </c>
      <c r="O931">
        <v>-5.5659150000000003E-3</v>
      </c>
      <c r="P931">
        <v>0.99077930000000003</v>
      </c>
      <c r="Q931">
        <v>0.129743</v>
      </c>
      <c r="R931">
        <v>-3.9031740000000002E-2</v>
      </c>
      <c r="S931">
        <v>3.092438</v>
      </c>
      <c r="T931">
        <v>-0.59473869999999995</v>
      </c>
      <c r="U931">
        <v>-0.33505249999999998</v>
      </c>
      <c r="V931">
        <v>3.3419740000000003E-2</v>
      </c>
      <c r="W931">
        <v>0.14431340000000001</v>
      </c>
      <c r="X931">
        <v>0.9889675</v>
      </c>
      <c r="Y931">
        <v>0.1003061</v>
      </c>
      <c r="Z931">
        <v>-9.3002919999999999E-3</v>
      </c>
      <c r="AA931">
        <v>0.99491320000000005</v>
      </c>
      <c r="AB931">
        <v>37</v>
      </c>
      <c r="AC931">
        <v>0.50920000000002097</v>
      </c>
      <c r="AD931">
        <v>-0.13719869999999901</v>
      </c>
      <c r="AE931">
        <v>-7.6500000000009893E-2</v>
      </c>
      <c r="AF931">
        <v>6.8781200380689606E-2</v>
      </c>
      <c r="AG931">
        <v>-0.13719869999999901</v>
      </c>
      <c r="AH931">
        <v>0.475835823891186</v>
      </c>
      <c r="AI931">
        <v>105.92695437273299</v>
      </c>
      <c r="AJ931">
        <v>81.7749689302413</v>
      </c>
      <c r="AK931">
        <v>0.49997406743320399</v>
      </c>
      <c r="AL931">
        <v>81.702478068402201</v>
      </c>
      <c r="AM931">
        <v>88.064565630980695</v>
      </c>
      <c r="AN931">
        <v>0.99999997624873804</v>
      </c>
    </row>
    <row r="932" spans="1:40" x14ac:dyDescent="0.25">
      <c r="A932" t="str">
        <f>"20190303170242400"</f>
        <v>20190303170242400</v>
      </c>
      <c r="B932" t="str">
        <f>"1551603762396573"</f>
        <v>1551603762396573</v>
      </c>
      <c r="C932" t="s">
        <v>40</v>
      </c>
      <c r="D932">
        <v>4.4468160000000001</v>
      </c>
      <c r="E932">
        <v>0.50476379999999998</v>
      </c>
      <c r="F932" t="s">
        <v>43</v>
      </c>
      <c r="G932">
        <v>-304.4622</v>
      </c>
      <c r="H932">
        <v>0.92557780000000001</v>
      </c>
      <c r="I932">
        <v>367.68529999999998</v>
      </c>
      <c r="J932">
        <v>-305.0763</v>
      </c>
      <c r="K932">
        <v>1.071869</v>
      </c>
      <c r="L932">
        <v>367.76839999999999</v>
      </c>
      <c r="M932">
        <v>0.99987740000000003</v>
      </c>
      <c r="N932">
        <v>-1.4705950000000001E-2</v>
      </c>
      <c r="O932">
        <v>-5.3901510000000001E-3</v>
      </c>
      <c r="P932">
        <v>0.99071350000000002</v>
      </c>
      <c r="Q932">
        <v>0.1303532</v>
      </c>
      <c r="R932">
        <v>-3.8666430000000002E-2</v>
      </c>
      <c r="S932">
        <v>3.0866090000000002</v>
      </c>
      <c r="T932">
        <v>-0.54215599999999997</v>
      </c>
      <c r="U932">
        <v>-0.3113708</v>
      </c>
      <c r="V932">
        <v>3.3228239999999999E-2</v>
      </c>
      <c r="W932">
        <v>0.1449339</v>
      </c>
      <c r="X932">
        <v>0.98888330000000002</v>
      </c>
      <c r="Y932">
        <v>9.3533290000000005E-2</v>
      </c>
      <c r="Z932">
        <v>-7.9683759999999992E-3</v>
      </c>
      <c r="AA932">
        <v>0.99558420000000003</v>
      </c>
      <c r="AB932">
        <v>37</v>
      </c>
      <c r="AC932">
        <v>0.61410000000000697</v>
      </c>
      <c r="AD932">
        <v>-0.14629119999999901</v>
      </c>
      <c r="AE932">
        <v>-8.31000000000017E-2</v>
      </c>
      <c r="AF932">
        <v>7.5576572030722197E-2</v>
      </c>
      <c r="AG932">
        <v>-0.14629119999999901</v>
      </c>
      <c r="AH932">
        <v>0.58209949944183503</v>
      </c>
      <c r="AI932">
        <v>103.99442610102</v>
      </c>
      <c r="AJ932">
        <v>82.602415391594903</v>
      </c>
      <c r="AK932">
        <v>0.60494029514307501</v>
      </c>
      <c r="AL932">
        <v>81.666549051145793</v>
      </c>
      <c r="AM932">
        <v>88.075483862016</v>
      </c>
      <c r="AN932">
        <v>1.00000006616079</v>
      </c>
    </row>
    <row r="933" spans="1:40" x14ac:dyDescent="0.25">
      <c r="A933" t="str">
        <f>"20190303170242414"</f>
        <v>20190303170242414</v>
      </c>
      <c r="B933" t="str">
        <f>"1551603762406333"</f>
        <v>1551603762406333</v>
      </c>
      <c r="C933" t="s">
        <v>40</v>
      </c>
      <c r="D933">
        <v>4.5150350000000001</v>
      </c>
      <c r="E933">
        <v>0.50295670000000003</v>
      </c>
      <c r="F933" t="s">
        <v>44</v>
      </c>
      <c r="G933">
        <v>-287.91989999999998</v>
      </c>
      <c r="H933">
        <v>-0.05</v>
      </c>
      <c r="I933">
        <v>367.02640000000002</v>
      </c>
      <c r="J933">
        <v>-304.83620000000002</v>
      </c>
      <c r="K933">
        <v>1.07185</v>
      </c>
      <c r="L933">
        <v>367.76729999999998</v>
      </c>
      <c r="M933">
        <v>0.9998783</v>
      </c>
      <c r="N933">
        <v>-1.471712E-2</v>
      </c>
      <c r="O933">
        <v>-5.1951790000000003E-3</v>
      </c>
      <c r="P933">
        <v>0.99067740000000004</v>
      </c>
      <c r="Q933">
        <v>0.13088259999999999</v>
      </c>
      <c r="R933">
        <v>-3.7794029999999999E-2</v>
      </c>
      <c r="S933">
        <v>3.0492249999999999</v>
      </c>
      <c r="T933">
        <v>-0.1993904</v>
      </c>
      <c r="U933">
        <v>-0.1318665</v>
      </c>
      <c r="V933">
        <v>3.2548229999999997E-2</v>
      </c>
      <c r="W933">
        <v>0.14547260000000001</v>
      </c>
      <c r="X933">
        <v>0.98882680000000001</v>
      </c>
      <c r="Y933">
        <v>3.7921589999999998E-2</v>
      </c>
      <c r="Z933">
        <v>-1.2546969999999999E-3</v>
      </c>
      <c r="AA933">
        <v>0.9992799</v>
      </c>
      <c r="AB933">
        <v>37</v>
      </c>
      <c r="AC933">
        <v>16.9163</v>
      </c>
      <c r="AD933">
        <v>-1.12185</v>
      </c>
      <c r="AE933">
        <v>-0.74089999999995304</v>
      </c>
      <c r="AF933">
        <v>0.65014340263985004</v>
      </c>
      <c r="AG933">
        <v>-1.12185</v>
      </c>
      <c r="AH933">
        <v>16.845973832280698</v>
      </c>
      <c r="AI933">
        <v>93.807135088703703</v>
      </c>
      <c r="AJ933">
        <v>87.789857939641394</v>
      </c>
      <c r="AK933">
        <v>16.895800313225301</v>
      </c>
      <c r="AL933">
        <v>81.635353083018202</v>
      </c>
      <c r="AM933">
        <v>88.114732389266905</v>
      </c>
      <c r="AN933">
        <v>1.0000000525125601</v>
      </c>
    </row>
    <row r="934" spans="1:40" x14ac:dyDescent="0.25">
      <c r="A934" t="str">
        <f>"20190303170242427"</f>
        <v>20190303170242427</v>
      </c>
      <c r="B934" t="str">
        <f>"1551603762417069"</f>
        <v>1551603762417069</v>
      </c>
      <c r="C934" t="s">
        <v>40</v>
      </c>
      <c r="D934">
        <v>4.5030999999999999</v>
      </c>
      <c r="E934">
        <v>0.50043369999999998</v>
      </c>
      <c r="F934" t="s">
        <v>44</v>
      </c>
      <c r="G934">
        <v>-283.06029999999998</v>
      </c>
      <c r="H934">
        <v>-0.05</v>
      </c>
      <c r="I934">
        <v>366.93340000000001</v>
      </c>
      <c r="J934">
        <v>-304.62939999999998</v>
      </c>
      <c r="K934">
        <v>1.0718399999999999</v>
      </c>
      <c r="L934">
        <v>367.76639999999998</v>
      </c>
      <c r="M934">
        <v>0.99987899999999996</v>
      </c>
      <c r="N934">
        <v>-1.472509E-2</v>
      </c>
      <c r="O934">
        <v>-5.0225749999999996E-3</v>
      </c>
      <c r="P934">
        <v>0.99060340000000002</v>
      </c>
      <c r="Q934">
        <v>0.13163649999999999</v>
      </c>
      <c r="R934">
        <v>-3.7106060000000003E-2</v>
      </c>
      <c r="S934">
        <v>3.044495</v>
      </c>
      <c r="T934">
        <v>-0.15684579999999901</v>
      </c>
      <c r="U934">
        <v>-0.1165771</v>
      </c>
      <c r="V934">
        <v>3.2030049999999997E-2</v>
      </c>
      <c r="W934">
        <v>0.1462331</v>
      </c>
      <c r="X934">
        <v>0.98873149999999999</v>
      </c>
      <c r="Y934">
        <v>3.3190020000000001E-2</v>
      </c>
      <c r="Z934">
        <v>-9.1415639999999998E-4</v>
      </c>
      <c r="AA934">
        <v>0.99944869999999997</v>
      </c>
      <c r="AB934">
        <v>37</v>
      </c>
      <c r="AC934">
        <v>21.569099999999899</v>
      </c>
      <c r="AD934">
        <v>-1.1218399999999999</v>
      </c>
      <c r="AE934">
        <v>-0.83299999999996899</v>
      </c>
      <c r="AF934">
        <v>0.72269321459861402</v>
      </c>
      <c r="AG934">
        <v>-1.1218399999999999</v>
      </c>
      <c r="AH934">
        <v>21.514896936468599</v>
      </c>
      <c r="AI934">
        <v>92.983161221935703</v>
      </c>
      <c r="AJ934">
        <v>88.076137278821406</v>
      </c>
      <c r="AK934">
        <v>21.556242730468899</v>
      </c>
      <c r="AL934">
        <v>81.591308297192896</v>
      </c>
      <c r="AM934">
        <v>88.144546712176506</v>
      </c>
      <c r="AN934">
        <v>1.0000000113654299</v>
      </c>
    </row>
    <row r="935" spans="1:40" x14ac:dyDescent="0.25">
      <c r="A935" t="str">
        <f>"20190303170242442"</f>
        <v>20190303170242442</v>
      </c>
      <c r="B935" t="str">
        <f>"1551603762426829"</f>
        <v>1551603762426829</v>
      </c>
      <c r="C935" t="s">
        <v>40</v>
      </c>
      <c r="D935">
        <v>4.5687119999999997</v>
      </c>
      <c r="E935">
        <v>0.49921280000000001</v>
      </c>
      <c r="F935" t="s">
        <v>42</v>
      </c>
      <c r="G935">
        <v>-279.78230000000002</v>
      </c>
      <c r="H935" s="1">
        <v>-7.5858289999999899E-7</v>
      </c>
      <c r="I935">
        <v>366.9914</v>
      </c>
      <c r="J935">
        <v>-304.39060000000001</v>
      </c>
      <c r="K935">
        <v>1.0718259999999999</v>
      </c>
      <c r="L935">
        <v>367.7654</v>
      </c>
      <c r="M935">
        <v>0.99987990000000004</v>
      </c>
      <c r="N935">
        <v>-1.473344E-2</v>
      </c>
      <c r="O935">
        <v>-4.8193089999999999E-3</v>
      </c>
      <c r="P935">
        <v>0.99060919999999997</v>
      </c>
      <c r="Q935">
        <v>0.131722799999999</v>
      </c>
      <c r="R935">
        <v>-3.664245E-2</v>
      </c>
      <c r="S935">
        <v>3.0423279999999999</v>
      </c>
      <c r="T935">
        <v>-0.13123770000000001</v>
      </c>
      <c r="U935">
        <v>-9.4879149999999995E-2</v>
      </c>
      <c r="V935">
        <v>3.1766219999999998E-2</v>
      </c>
      <c r="W935">
        <v>0.14632790000000001</v>
      </c>
      <c r="X935">
        <v>0.98872599999999999</v>
      </c>
      <c r="Y935">
        <v>2.6322479999999999E-2</v>
      </c>
      <c r="Z935">
        <v>-6.2465839999999997E-4</v>
      </c>
      <c r="AA935">
        <v>0.99965329999999997</v>
      </c>
      <c r="AB935">
        <v>37</v>
      </c>
      <c r="AC935">
        <v>24.6082999999999</v>
      </c>
      <c r="AD935">
        <v>-1.0718267585829</v>
      </c>
      <c r="AE935">
        <v>-0.77400000000000002</v>
      </c>
      <c r="AF935">
        <v>0.654143403865171</v>
      </c>
      <c r="AG935">
        <v>-1.0718267585829</v>
      </c>
      <c r="AH935">
        <v>24.565188607894999</v>
      </c>
      <c r="AI935">
        <v>92.497457045141701</v>
      </c>
      <c r="AJ935">
        <v>88.4746381679563</v>
      </c>
      <c r="AK935">
        <v>24.5972601631704</v>
      </c>
      <c r="AL935">
        <v>81.585817710804093</v>
      </c>
      <c r="AM935">
        <v>88.1598092120134</v>
      </c>
      <c r="AN935">
        <v>1.00000002506374</v>
      </c>
    </row>
    <row r="936" spans="1:40" x14ac:dyDescent="0.25">
      <c r="A936" t="str">
        <f>"20190303170242455"</f>
        <v>20190303170242455</v>
      </c>
      <c r="B936" t="str">
        <f>"1551603762446348"</f>
        <v>1551603762446348</v>
      </c>
      <c r="C936" t="s">
        <v>40</v>
      </c>
      <c r="D936">
        <v>4.5627810000000002</v>
      </c>
      <c r="E936">
        <v>0.49831880000000001</v>
      </c>
      <c r="F936" t="s">
        <v>42</v>
      </c>
      <c r="G936">
        <v>-276.411</v>
      </c>
      <c r="H936" s="1">
        <v>-1.9874919999999998E-6</v>
      </c>
      <c r="I936">
        <v>366.99200000000002</v>
      </c>
      <c r="J936">
        <v>-304.1748</v>
      </c>
      <c r="K936">
        <v>1.0718179999999999</v>
      </c>
      <c r="L936">
        <v>367.76440000000002</v>
      </c>
      <c r="M936">
        <v>0.99988069999999896</v>
      </c>
      <c r="N936">
        <v>-1.474018E-2</v>
      </c>
      <c r="O936">
        <v>-4.6315169999999999E-3</v>
      </c>
      <c r="P936">
        <v>0.99064289999999999</v>
      </c>
      <c r="Q936">
        <v>0.1314649</v>
      </c>
      <c r="R936">
        <v>-3.6657670000000003E-2</v>
      </c>
      <c r="S936">
        <v>3.0408629999999999</v>
      </c>
      <c r="T936">
        <v>-0.11648749999999999</v>
      </c>
      <c r="U936">
        <v>-8.4045410000000001E-2</v>
      </c>
      <c r="V936">
        <v>3.1965540000000001E-2</v>
      </c>
      <c r="W936">
        <v>0.14607790000000001</v>
      </c>
      <c r="X936">
        <v>0.98875650000000004</v>
      </c>
      <c r="Y936">
        <v>2.2975530000000001E-2</v>
      </c>
      <c r="Z936">
        <v>-5.0020709999999897E-4</v>
      </c>
      <c r="AA936">
        <v>0.99973590000000001</v>
      </c>
      <c r="AB936">
        <v>37</v>
      </c>
      <c r="AC936">
        <v>27.7638</v>
      </c>
      <c r="AD936">
        <v>-1.071819987492</v>
      </c>
      <c r="AE936">
        <v>-0.77240000000006104</v>
      </c>
      <c r="AF936">
        <v>0.64283194091846796</v>
      </c>
      <c r="AG936">
        <v>-1.071819987492</v>
      </c>
      <c r="AH936">
        <v>27.725790976742299</v>
      </c>
      <c r="AI936">
        <v>92.213236153794597</v>
      </c>
      <c r="AJ936">
        <v>88.671815726206702</v>
      </c>
      <c r="AK936">
        <v>27.7539459586535</v>
      </c>
      <c r="AL936">
        <v>81.600296882876194</v>
      </c>
      <c r="AM936">
        <v>88.148327863351994</v>
      </c>
      <c r="AN936">
        <v>0.99999998245407495</v>
      </c>
    </row>
    <row r="937" spans="1:40" x14ac:dyDescent="0.25">
      <c r="A937" t="str">
        <f>"20190303170242466"</f>
        <v>20190303170242466</v>
      </c>
      <c r="B937" t="str">
        <f>"1551603762457085"</f>
        <v>1551603762457085</v>
      </c>
      <c r="C937" t="s">
        <v>40</v>
      </c>
      <c r="D937">
        <v>4.560581</v>
      </c>
      <c r="E937">
        <v>0.49813249999999998</v>
      </c>
      <c r="F937" t="s">
        <v>42</v>
      </c>
      <c r="G937">
        <v>-271.58699999999999</v>
      </c>
      <c r="H937" s="1">
        <v>-4.0671359999999997E-6</v>
      </c>
      <c r="I937">
        <v>366.93470000000002</v>
      </c>
      <c r="J937">
        <v>-303.9812</v>
      </c>
      <c r="K937">
        <v>1.0718129999999999</v>
      </c>
      <c r="L937">
        <v>367.76369999999997</v>
      </c>
      <c r="M937">
        <v>0.99988140000000003</v>
      </c>
      <c r="N937">
        <v>-1.474515E-2</v>
      </c>
      <c r="O937">
        <v>-4.4549009999999998E-3</v>
      </c>
      <c r="P937">
        <v>0.99064830000000004</v>
      </c>
      <c r="Q937">
        <v>0.13134799999999999</v>
      </c>
      <c r="R937">
        <v>-3.6933309999999997E-2</v>
      </c>
      <c r="S937">
        <v>3.0387270000000002</v>
      </c>
      <c r="T937">
        <v>-9.9944350000000001E-2</v>
      </c>
      <c r="U937">
        <v>-7.7362059999999996E-2</v>
      </c>
      <c r="V937">
        <v>3.2413780000000003E-2</v>
      </c>
      <c r="W937">
        <v>0.1459666</v>
      </c>
      <c r="X937">
        <v>0.98875840000000004</v>
      </c>
      <c r="Y937">
        <v>2.0980579999999999E-2</v>
      </c>
      <c r="Z937">
        <v>-4.1886929999999998E-4</v>
      </c>
      <c r="AA937">
        <v>0.9997798</v>
      </c>
      <c r="AB937">
        <v>37</v>
      </c>
      <c r="AC937">
        <v>32.394199999999998</v>
      </c>
      <c r="AD937">
        <v>-1.0718170671359999</v>
      </c>
      <c r="AE937">
        <v>-0.82899999999995</v>
      </c>
      <c r="AF937">
        <v>0.68391492110912699</v>
      </c>
      <c r="AG937">
        <v>-1.0718170671359999</v>
      </c>
      <c r="AH937">
        <v>32.362167360318203</v>
      </c>
      <c r="AI937">
        <v>91.896487989377803</v>
      </c>
      <c r="AJ937">
        <v>88.789339227225199</v>
      </c>
      <c r="AK937">
        <v>32.387133366538698</v>
      </c>
      <c r="AL937">
        <v>81.606743462612897</v>
      </c>
      <c r="AM937">
        <v>88.122384667301404</v>
      </c>
      <c r="AN937">
        <v>1.00000003751</v>
      </c>
    </row>
    <row r="938" spans="1:40" x14ac:dyDescent="0.25">
      <c r="A938" t="str">
        <f>"20190303170242478"</f>
        <v>20190303170242478</v>
      </c>
      <c r="B938" t="str">
        <f>"1551603762466845"</f>
        <v>1551603762466845</v>
      </c>
      <c r="C938" t="s">
        <v>40</v>
      </c>
      <c r="D938">
        <v>4.5595030000000003</v>
      </c>
      <c r="E938">
        <v>0.4978977</v>
      </c>
      <c r="F938" t="s">
        <v>42</v>
      </c>
      <c r="G938">
        <v>-269.68239999999997</v>
      </c>
      <c r="H938" s="1">
        <v>-8.1837810000000004E-7</v>
      </c>
      <c r="I938">
        <v>366.89440000000002</v>
      </c>
      <c r="J938">
        <v>-303.7903</v>
      </c>
      <c r="K938">
        <v>1.0718110000000001</v>
      </c>
      <c r="L938">
        <v>367.76299999999998</v>
      </c>
      <c r="M938">
        <v>0.99988200000000005</v>
      </c>
      <c r="N938">
        <v>-1.4749699999999999E-2</v>
      </c>
      <c r="O938">
        <v>-4.2779180000000003E-3</v>
      </c>
      <c r="P938">
        <v>0.99067620000000001</v>
      </c>
      <c r="Q938">
        <v>0.13113549999999999</v>
      </c>
      <c r="R938">
        <v>-3.6937909999999997E-2</v>
      </c>
      <c r="S938">
        <v>3.0379939999999999</v>
      </c>
      <c r="T938">
        <v>-9.4935179999999994E-2</v>
      </c>
      <c r="U938">
        <v>-7.6995850000000005E-2</v>
      </c>
      <c r="V938">
        <v>3.2591540000000002E-2</v>
      </c>
      <c r="W938">
        <v>0.1457599</v>
      </c>
      <c r="X938">
        <v>0.98878299999999997</v>
      </c>
      <c r="Y938">
        <v>2.104439E-2</v>
      </c>
      <c r="Z938">
        <v>-4.1342510000000001E-4</v>
      </c>
      <c r="AA938">
        <v>0.99977839999999996</v>
      </c>
      <c r="AB938">
        <v>37</v>
      </c>
      <c r="AC938">
        <v>34.107900000000001</v>
      </c>
      <c r="AD938">
        <v>-1.0718118183781</v>
      </c>
      <c r="AE938">
        <v>-0.86860000000001403</v>
      </c>
      <c r="AF938">
        <v>0.72195291694004904</v>
      </c>
      <c r="AG938">
        <v>-1.0718118183781</v>
      </c>
      <c r="AH938">
        <v>34.077674916532096</v>
      </c>
      <c r="AI938">
        <v>91.801070441051706</v>
      </c>
      <c r="AJ938">
        <v>88.786341251957495</v>
      </c>
      <c r="AK938">
        <v>34.102168909105004</v>
      </c>
      <c r="AL938">
        <v>81.618714123824603</v>
      </c>
      <c r="AM938">
        <v>88.112142027330293</v>
      </c>
      <c r="AN938">
        <v>0.99999998900829001</v>
      </c>
    </row>
    <row r="939" spans="1:40" x14ac:dyDescent="0.25">
      <c r="A939" t="str">
        <f>"20190303170242490"</f>
        <v>20190303170242490</v>
      </c>
      <c r="B939" t="str">
        <f>"1551603762476605"</f>
        <v>1551603762476605</v>
      </c>
      <c r="C939" t="s">
        <v>40</v>
      </c>
      <c r="D939">
        <v>4.5613780000000004</v>
      </c>
      <c r="E939">
        <v>0.4977143</v>
      </c>
      <c r="F939" t="s">
        <v>42</v>
      </c>
      <c r="G939">
        <v>-268.60039999999998</v>
      </c>
      <c r="H939" s="1">
        <v>-1.186233E-6</v>
      </c>
      <c r="I939">
        <v>366.89569999999998</v>
      </c>
      <c r="J939">
        <v>-303.59010000000001</v>
      </c>
      <c r="K939">
        <v>1.0718080000000001</v>
      </c>
      <c r="L939">
        <v>367.76229999999998</v>
      </c>
      <c r="M939">
        <v>0.99988290000000002</v>
      </c>
      <c r="N939">
        <v>-1.47536E-2</v>
      </c>
      <c r="O939">
        <v>-4.0851709999999899E-3</v>
      </c>
      <c r="P939">
        <v>0.99073549999999999</v>
      </c>
      <c r="Q939">
        <v>0.13067819999999999</v>
      </c>
      <c r="R939">
        <v>-3.6970599999999999E-2</v>
      </c>
      <c r="S939">
        <v>3.0376889999999999</v>
      </c>
      <c r="T939">
        <v>-9.252167E-2</v>
      </c>
      <c r="U939">
        <v>-7.4859620000000002E-2</v>
      </c>
      <c r="V939">
        <v>3.2812010000000003E-2</v>
      </c>
      <c r="W939">
        <v>0.14530799999999999</v>
      </c>
      <c r="X939">
        <v>0.9888422</v>
      </c>
      <c r="Y939">
        <v>2.0537920000000001E-2</v>
      </c>
      <c r="Z939">
        <v>-4.0012130000000002E-4</v>
      </c>
      <c r="AA939">
        <v>0.99978900000000004</v>
      </c>
      <c r="AB939">
        <v>37</v>
      </c>
      <c r="AC939">
        <v>34.989699999999999</v>
      </c>
      <c r="AD939">
        <v>-1.0718091862329999</v>
      </c>
      <c r="AE939">
        <v>-0.86660000000000503</v>
      </c>
      <c r="AF939">
        <v>0.72296035468671405</v>
      </c>
      <c r="AG939">
        <v>-1.0718091862329999</v>
      </c>
      <c r="AH939">
        <v>34.960164585931899</v>
      </c>
      <c r="AI939">
        <v>91.755649608913302</v>
      </c>
      <c r="AJ939">
        <v>88.815318108959502</v>
      </c>
      <c r="AK939">
        <v>34.984061434910402</v>
      </c>
      <c r="AL939">
        <v>81.644884556061498</v>
      </c>
      <c r="AM939">
        <v>88.099494387587896</v>
      </c>
      <c r="AN939">
        <v>0.99999996968253901</v>
      </c>
    </row>
    <row r="940" spans="1:40" x14ac:dyDescent="0.25">
      <c r="A940" t="str">
        <f>"20190303170242504"</f>
        <v>20190303170242504</v>
      </c>
      <c r="B940" t="str">
        <f>"1551603762496125"</f>
        <v>1551603762496125</v>
      </c>
      <c r="C940" t="s">
        <v>40</v>
      </c>
      <c r="D940">
        <v>4.4441670000000002</v>
      </c>
      <c r="E940">
        <v>0.49754769999999998</v>
      </c>
      <c r="F940" t="s">
        <v>42</v>
      </c>
      <c r="G940">
        <v>-268.06270000000001</v>
      </c>
      <c r="H940" s="1">
        <v>-1.3681160000000001E-6</v>
      </c>
      <c r="I940">
        <v>366.89980000000003</v>
      </c>
      <c r="J940">
        <v>-303.35719999999998</v>
      </c>
      <c r="K940">
        <v>1.0718049999999999</v>
      </c>
      <c r="L940">
        <v>367.76159999999999</v>
      </c>
      <c r="M940">
        <v>0.99988379999999999</v>
      </c>
      <c r="N940">
        <v>-1.475748E-2</v>
      </c>
      <c r="O940">
        <v>-3.8526950000000002E-3</v>
      </c>
      <c r="P940">
        <v>0.99077519999999997</v>
      </c>
      <c r="Q940">
        <v>0.13016900000000001</v>
      </c>
      <c r="R940">
        <v>-3.7693009999999999E-2</v>
      </c>
      <c r="S940">
        <v>3.0373540000000001</v>
      </c>
      <c r="T940">
        <v>-9.1632489999999997E-2</v>
      </c>
      <c r="U940">
        <v>-7.3730470000000006E-2</v>
      </c>
      <c r="V940">
        <v>3.3761630000000001E-2</v>
      </c>
      <c r="W940">
        <v>0.14480460000000001</v>
      </c>
      <c r="X940">
        <v>0.98888410000000004</v>
      </c>
      <c r="Y940">
        <v>2.0401909999999999E-2</v>
      </c>
      <c r="Z940">
        <v>-3.9891420000000001E-4</v>
      </c>
      <c r="AA940">
        <v>0.99979180000000001</v>
      </c>
      <c r="AB940">
        <v>37</v>
      </c>
      <c r="AC940">
        <v>35.2944999999999</v>
      </c>
      <c r="AD940">
        <v>-1.0718063681159999</v>
      </c>
      <c r="AE940">
        <v>-0.86179999999995904</v>
      </c>
      <c r="AF940">
        <v>0.72513155805030305</v>
      </c>
      <c r="AG940">
        <v>-1.0718063681159999</v>
      </c>
      <c r="AH940">
        <v>35.265057043424903</v>
      </c>
      <c r="AI940">
        <v>91.740479727676998</v>
      </c>
      <c r="AJ940">
        <v>88.8220315702211</v>
      </c>
      <c r="AK940">
        <v>35.288791888406003</v>
      </c>
      <c r="AL940">
        <v>81.674035754493005</v>
      </c>
      <c r="AM940">
        <v>88.044616306394801</v>
      </c>
      <c r="AN940">
        <v>0.99999999153711305</v>
      </c>
    </row>
    <row r="941" spans="1:40" x14ac:dyDescent="0.25">
      <c r="A941" t="str">
        <f>"20190303170242516"</f>
        <v>20190303170242516</v>
      </c>
      <c r="B941" t="str">
        <f>"1551603762506861"</f>
        <v>1551603762506861</v>
      </c>
      <c r="C941" t="s">
        <v>40</v>
      </c>
      <c r="D941">
        <v>4.5618210000000001</v>
      </c>
      <c r="E941">
        <v>0.4975657</v>
      </c>
      <c r="F941" t="s">
        <v>42</v>
      </c>
      <c r="G941">
        <v>-267.4658</v>
      </c>
      <c r="H941" s="1">
        <v>-1.5766160000000001E-6</v>
      </c>
      <c r="I941">
        <v>366.87970000000001</v>
      </c>
      <c r="J941">
        <v>-303.16879999999998</v>
      </c>
      <c r="K941">
        <v>1.0718080000000001</v>
      </c>
      <c r="L941">
        <v>367.76100000000002</v>
      </c>
      <c r="M941">
        <v>0.99988429999999995</v>
      </c>
      <c r="N941">
        <v>-1.4760290000000001E-2</v>
      </c>
      <c r="O941">
        <v>-3.6598149999999999E-3</v>
      </c>
      <c r="P941">
        <v>0.99078370000000004</v>
      </c>
      <c r="Q941">
        <v>0.13001389999999999</v>
      </c>
      <c r="R941">
        <v>-3.800067E-2</v>
      </c>
      <c r="S941">
        <v>3.037048</v>
      </c>
      <c r="T941">
        <v>-9.0693590000000004E-2</v>
      </c>
      <c r="U941">
        <v>-7.4615479999999998E-2</v>
      </c>
      <c r="V941">
        <v>3.4257339999999997E-2</v>
      </c>
      <c r="W941">
        <v>0.14465359999999999</v>
      </c>
      <c r="X941">
        <v>0.98888920000000002</v>
      </c>
      <c r="Y941">
        <v>2.0888239999999999E-2</v>
      </c>
      <c r="Z941">
        <v>-4.10772E-4</v>
      </c>
      <c r="AA941">
        <v>0.9997817</v>
      </c>
      <c r="AB941">
        <v>37</v>
      </c>
      <c r="AC941">
        <v>35.702999999999903</v>
      </c>
      <c r="AD941">
        <v>-1.0718095766159901</v>
      </c>
      <c r="AE941">
        <v>-0.88129999999995301</v>
      </c>
      <c r="AF941">
        <v>0.74993803724442398</v>
      </c>
      <c r="AG941">
        <v>-1.0718095766159901</v>
      </c>
      <c r="AH941">
        <v>35.673856538677803</v>
      </c>
      <c r="AI941">
        <v>91.720535722558694</v>
      </c>
      <c r="AJ941">
        <v>88.795701932446704</v>
      </c>
      <c r="AK941">
        <v>35.697832191470603</v>
      </c>
      <c r="AL941">
        <v>81.682779879803306</v>
      </c>
      <c r="AM941">
        <v>88.015939108028206</v>
      </c>
      <c r="AN941">
        <v>1.0000000396067299</v>
      </c>
    </row>
    <row r="942" spans="1:40" x14ac:dyDescent="0.25">
      <c r="A942" t="str">
        <f>"20190303170242528"</f>
        <v>20190303170242528</v>
      </c>
      <c r="B942" t="str">
        <f>"1551603762516621"</f>
        <v>1551603762516621</v>
      </c>
      <c r="C942" t="s">
        <v>40</v>
      </c>
      <c r="D942">
        <v>4.5593159999999999</v>
      </c>
      <c r="E942">
        <v>0.4975813</v>
      </c>
      <c r="F942" t="s">
        <v>42</v>
      </c>
      <c r="G942">
        <v>-267.0335</v>
      </c>
      <c r="H942" s="1">
        <v>-1.7437119999999901E-6</v>
      </c>
      <c r="I942">
        <v>366.86079999999998</v>
      </c>
      <c r="J942">
        <v>-302.98039999999997</v>
      </c>
      <c r="K942">
        <v>1.071815</v>
      </c>
      <c r="L942">
        <v>367.76049999999998</v>
      </c>
      <c r="M942">
        <v>0.99988520000000003</v>
      </c>
      <c r="N942">
        <v>-1.476248E-2</v>
      </c>
      <c r="O942">
        <v>-3.4578619999999999E-3</v>
      </c>
      <c r="P942">
        <v>0.99076070000000005</v>
      </c>
      <c r="Q942">
        <v>0.13012689999999999</v>
      </c>
      <c r="R942">
        <v>-3.8217639999999997E-2</v>
      </c>
      <c r="S942">
        <v>3.0368650000000001</v>
      </c>
      <c r="T942">
        <v>-9.0076569999999995E-2</v>
      </c>
      <c r="U942">
        <v>-7.5653079999999998E-2</v>
      </c>
      <c r="V942">
        <v>3.4671199999999999E-2</v>
      </c>
      <c r="W942">
        <v>0.14476919999999999</v>
      </c>
      <c r="X942">
        <v>0.98885780000000001</v>
      </c>
      <c r="Y942">
        <v>2.1432799999999998E-2</v>
      </c>
      <c r="Z942">
        <v>-4.2453860000000001E-4</v>
      </c>
      <c r="AA942">
        <v>0.99977020000000005</v>
      </c>
      <c r="AB942">
        <v>36</v>
      </c>
      <c r="AC942">
        <v>35.9468999999999</v>
      </c>
      <c r="AD942">
        <v>-1.0718167437120001</v>
      </c>
      <c r="AE942">
        <v>-0.89969999999999495</v>
      </c>
      <c r="AF942">
        <v>0.77469337537420702</v>
      </c>
      <c r="AG942">
        <v>-1.0718167437120001</v>
      </c>
      <c r="AH942">
        <v>35.917884208431303</v>
      </c>
      <c r="AI942">
        <v>91.708844839834995</v>
      </c>
      <c r="AJ942">
        <v>88.764409962983805</v>
      </c>
      <c r="AK942">
        <v>35.942222343202801</v>
      </c>
      <c r="AL942">
        <v>81.6760855365374</v>
      </c>
      <c r="AM942">
        <v>87.991925633044303</v>
      </c>
      <c r="AN942">
        <v>0.99999998099945897</v>
      </c>
    </row>
    <row r="943" spans="1:40" x14ac:dyDescent="0.25">
      <c r="A943" t="str">
        <f>"20190303170242539"</f>
        <v>20190303170242539</v>
      </c>
      <c r="B943" t="str">
        <f>"1551603762526380"</f>
        <v>1551603762526380</v>
      </c>
      <c r="C943" t="s">
        <v>40</v>
      </c>
      <c r="D943">
        <v>4.4986030000000001</v>
      </c>
      <c r="E943">
        <v>0.49752079999999999</v>
      </c>
      <c r="F943" t="s">
        <v>42</v>
      </c>
      <c r="G943">
        <v>-266.4307</v>
      </c>
      <c r="H943" s="1">
        <v>-2.0054310000000001E-6</v>
      </c>
      <c r="I943">
        <v>366.8433</v>
      </c>
      <c r="J943">
        <v>-302.81040000000002</v>
      </c>
      <c r="K943">
        <v>1.07182</v>
      </c>
      <c r="L943">
        <v>367.76010000000002</v>
      </c>
      <c r="M943">
        <v>0.99988569999999999</v>
      </c>
      <c r="N943">
        <v>-1.476425E-2</v>
      </c>
      <c r="O943">
        <v>-3.272493E-3</v>
      </c>
      <c r="P943">
        <v>0.99073960000000005</v>
      </c>
      <c r="Q943">
        <v>0.13019439999999999</v>
      </c>
      <c r="R943">
        <v>-3.8533980000000002E-2</v>
      </c>
      <c r="S943">
        <v>3.0367739999999999</v>
      </c>
      <c r="T943">
        <v>-8.9052919999999994E-2</v>
      </c>
      <c r="U943">
        <v>-7.6202389999999995E-2</v>
      </c>
      <c r="V943">
        <v>3.5168280000000003E-2</v>
      </c>
      <c r="W943">
        <v>0.14483950000000001</v>
      </c>
      <c r="X943">
        <v>0.98882999999999999</v>
      </c>
      <c r="Y943">
        <v>2.1799619999999999E-2</v>
      </c>
      <c r="Z943">
        <v>-4.3290769999999998E-4</v>
      </c>
      <c r="AA943">
        <v>0.99976220000000005</v>
      </c>
      <c r="AB943">
        <v>36</v>
      </c>
      <c r="AC943">
        <v>36.3797</v>
      </c>
      <c r="AD943">
        <v>-1.0718220054309999</v>
      </c>
      <c r="AE943">
        <v>-0.91680000000002304</v>
      </c>
      <c r="AF943">
        <v>0.79703840267741999</v>
      </c>
      <c r="AG943">
        <v>-1.0718220054309999</v>
      </c>
      <c r="AH943">
        <v>36.350972551935598</v>
      </c>
      <c r="AI943">
        <v>91.688492546722898</v>
      </c>
      <c r="AJ943">
        <v>88.743923002843204</v>
      </c>
      <c r="AK943">
        <v>36.375503819167101</v>
      </c>
      <c r="AL943">
        <v>81.672015139014903</v>
      </c>
      <c r="AM943">
        <v>87.963102791346401</v>
      </c>
      <c r="AN943">
        <v>1.0000000287891999</v>
      </c>
    </row>
    <row r="944" spans="1:40" x14ac:dyDescent="0.25">
      <c r="A944" t="str">
        <f>"20190303170242549"</f>
        <v>20190303170242549</v>
      </c>
      <c r="B944" t="str">
        <f>"1551603762537118"</f>
        <v>1551603762537118</v>
      </c>
      <c r="C944" t="s">
        <v>40</v>
      </c>
      <c r="D944">
        <v>4.4992470000000004</v>
      </c>
      <c r="E944">
        <v>0.497529</v>
      </c>
      <c r="F944" t="s">
        <v>42</v>
      </c>
      <c r="G944">
        <v>-265.98289999999997</v>
      </c>
      <c r="H944" s="1">
        <v>-2.2004749999999999E-6</v>
      </c>
      <c r="I944">
        <v>366.82659999999998</v>
      </c>
      <c r="J944">
        <v>-302.62599999999998</v>
      </c>
      <c r="K944">
        <v>1.0718259999999999</v>
      </c>
      <c r="L944">
        <v>367.75970000000001</v>
      </c>
      <c r="M944">
        <v>0.99988639999999995</v>
      </c>
      <c r="N944">
        <v>-1.4765769999999999E-2</v>
      </c>
      <c r="O944">
        <v>-3.0654190000000002E-3</v>
      </c>
      <c r="P944">
        <v>0.99068080000000003</v>
      </c>
      <c r="Q944">
        <v>0.13067780000000001</v>
      </c>
      <c r="R944">
        <v>-3.8408119999999997E-2</v>
      </c>
      <c r="S944">
        <v>3.0366209999999998</v>
      </c>
      <c r="T944">
        <v>-8.8377360000000002E-2</v>
      </c>
      <c r="U944">
        <v>-7.6965329999999998E-2</v>
      </c>
      <c r="V944">
        <v>3.524443E-2</v>
      </c>
      <c r="W944">
        <v>0.14532400000000001</v>
      </c>
      <c r="X944">
        <v>0.98875619999999997</v>
      </c>
      <c r="Y944">
        <v>2.2258799999999999E-2</v>
      </c>
      <c r="Z944">
        <v>-4.4428270000000002E-4</v>
      </c>
      <c r="AA944">
        <v>0.99975219999999998</v>
      </c>
      <c r="AB944">
        <v>36</v>
      </c>
      <c r="AC944">
        <v>36.643099999999997</v>
      </c>
      <c r="AD944">
        <v>-1.0718282004749999</v>
      </c>
      <c r="AE944">
        <v>-0.93310000000002402</v>
      </c>
      <c r="AF944">
        <v>0.820055748979441</v>
      </c>
      <c r="AG944">
        <v>-1.0718282004749999</v>
      </c>
      <c r="AH944">
        <v>36.614481750891898</v>
      </c>
      <c r="AI944">
        <v>91.676339875764</v>
      </c>
      <c r="AJ944">
        <v>88.716959053889894</v>
      </c>
      <c r="AK944">
        <v>36.6393447131518</v>
      </c>
      <c r="AL944">
        <v>81.643958486933101</v>
      </c>
      <c r="AM944">
        <v>87.958543785478199</v>
      </c>
      <c r="AN944">
        <v>1.00000002893023</v>
      </c>
    </row>
    <row r="945" spans="1:40" x14ac:dyDescent="0.25">
      <c r="A945" t="str">
        <f>"20190303170242561"</f>
        <v>20190303170242561</v>
      </c>
      <c r="B945" t="str">
        <f>"1551603762546877"</f>
        <v>1551603762546877</v>
      </c>
      <c r="C945" t="s">
        <v>40</v>
      </c>
      <c r="D945">
        <v>4.4951499999999998</v>
      </c>
      <c r="E945">
        <v>0.49752089999999999</v>
      </c>
      <c r="F945" t="s">
        <v>42</v>
      </c>
      <c r="G945">
        <v>-264.68939999999998</v>
      </c>
      <c r="H945" s="1">
        <v>-2.759997E-6</v>
      </c>
      <c r="I945">
        <v>366.80070000000001</v>
      </c>
      <c r="J945">
        <v>-302.43939999999998</v>
      </c>
      <c r="K945">
        <v>1.071834</v>
      </c>
      <c r="L945">
        <v>367.7593</v>
      </c>
      <c r="M945">
        <v>0.99988690000000002</v>
      </c>
      <c r="N945">
        <v>-1.4767000000000001E-2</v>
      </c>
      <c r="O945">
        <v>-2.8515569999999998E-3</v>
      </c>
      <c r="P945">
        <v>0.99065159999999997</v>
      </c>
      <c r="Q945">
        <v>0.13098850000000001</v>
      </c>
      <c r="R945">
        <v>-3.8093960000000003E-2</v>
      </c>
      <c r="S945">
        <v>3.0365600000000001</v>
      </c>
      <c r="T945">
        <v>-8.5792300000000002E-2</v>
      </c>
      <c r="U945">
        <v>-7.6751710000000001E-2</v>
      </c>
      <c r="V945">
        <v>3.5139360000000001E-2</v>
      </c>
      <c r="W945">
        <v>0.1456363</v>
      </c>
      <c r="X945">
        <v>0.98871399999999998</v>
      </c>
      <c r="Y945">
        <v>2.24034E-2</v>
      </c>
      <c r="Z945">
        <v>-4.434358E-4</v>
      </c>
      <c r="AA945">
        <v>0.99974890000000005</v>
      </c>
      <c r="AB945">
        <v>36</v>
      </c>
      <c r="AC945">
        <v>37.75</v>
      </c>
      <c r="AD945">
        <v>-1.071836759997</v>
      </c>
      <c r="AE945">
        <v>-0.95859999999999002</v>
      </c>
      <c r="AF945">
        <v>0.85025308495820495</v>
      </c>
      <c r="AG945">
        <v>-1.071836759997</v>
      </c>
      <c r="AH945">
        <v>37.7221896136354</v>
      </c>
      <c r="AI945">
        <v>91.627148976920495</v>
      </c>
      <c r="AJ945">
        <v>88.7087794655788</v>
      </c>
      <c r="AK945">
        <v>37.746991318456502</v>
      </c>
      <c r="AL945">
        <v>81.625872697414707</v>
      </c>
      <c r="AM945">
        <v>87.964537807805996</v>
      </c>
      <c r="AN945">
        <v>1.00000004014744</v>
      </c>
    </row>
    <row r="946" spans="1:40" x14ac:dyDescent="0.25">
      <c r="A946" t="str">
        <f>"20190303170242573"</f>
        <v>20190303170242573</v>
      </c>
      <c r="B946" t="str">
        <f>"1551603762566397"</f>
        <v>1551603762566397</v>
      </c>
      <c r="C946" t="s">
        <v>40</v>
      </c>
      <c r="D946">
        <v>4.4942260000000003</v>
      </c>
      <c r="E946">
        <v>0.49753710000000001</v>
      </c>
      <c r="F946" t="s">
        <v>42</v>
      </c>
      <c r="G946">
        <v>-264.08080000000001</v>
      </c>
      <c r="H946" s="1">
        <v>-3.02077E-6</v>
      </c>
      <c r="I946">
        <v>366.80239999999998</v>
      </c>
      <c r="J946">
        <v>-302.24299999999999</v>
      </c>
      <c r="K946">
        <v>1.0718399999999999</v>
      </c>
      <c r="L946">
        <v>367.75889999999998</v>
      </c>
      <c r="M946">
        <v>0.99988750000000004</v>
      </c>
      <c r="N946">
        <v>-1.476804E-2</v>
      </c>
      <c r="O946">
        <v>-2.6230329999999999E-3</v>
      </c>
      <c r="P946">
        <v>0.99059410000000003</v>
      </c>
      <c r="Q946">
        <v>0.131431399999999</v>
      </c>
      <c r="R946">
        <v>-3.8069119999999998E-2</v>
      </c>
      <c r="S946">
        <v>3.0366209999999998</v>
      </c>
      <c r="T946">
        <v>-8.4850789999999995E-2</v>
      </c>
      <c r="U946">
        <v>-7.5744629999999993E-2</v>
      </c>
      <c r="V946">
        <v>3.5337449999999999E-2</v>
      </c>
      <c r="W946">
        <v>0.14607979999999901</v>
      </c>
      <c r="X946">
        <v>0.98864149999999995</v>
      </c>
      <c r="Y946">
        <v>2.2300299999999999E-2</v>
      </c>
      <c r="Z946">
        <v>-4.4166570000000002E-4</v>
      </c>
      <c r="AA946">
        <v>0.99975119999999895</v>
      </c>
      <c r="AB946">
        <v>36</v>
      </c>
      <c r="AC946">
        <v>38.162199999999899</v>
      </c>
      <c r="AD946">
        <v>-1.0718430207699901</v>
      </c>
      <c r="AE946">
        <v>-0.95650000000000501</v>
      </c>
      <c r="AF946">
        <v>0.85571047552177804</v>
      </c>
      <c r="AG946">
        <v>-1.0718430207699901</v>
      </c>
      <c r="AH946">
        <v>38.134514288261499</v>
      </c>
      <c r="AI946">
        <v>91.609577971586603</v>
      </c>
      <c r="AJ946">
        <v>88.714540537292507</v>
      </c>
      <c r="AK946">
        <v>38.159170167611201</v>
      </c>
      <c r="AL946">
        <v>81.600187237914994</v>
      </c>
      <c r="AM946">
        <v>87.952923115397795</v>
      </c>
      <c r="AN946">
        <v>1.00000002943139</v>
      </c>
    </row>
    <row r="947" spans="1:40" x14ac:dyDescent="0.25">
      <c r="A947" t="str">
        <f>"20190303170242583"</f>
        <v>20190303170242583</v>
      </c>
      <c r="B947" t="str">
        <f>"1551603762576157"</f>
        <v>1551603762576157</v>
      </c>
      <c r="C947" t="s">
        <v>40</v>
      </c>
      <c r="D947">
        <v>4.4950239999999999</v>
      </c>
      <c r="E947">
        <v>0.4975369</v>
      </c>
      <c r="F947" t="s">
        <v>42</v>
      </c>
      <c r="G947">
        <v>-262.97340000000003</v>
      </c>
      <c r="H947" s="1">
        <v>-3.499873E-6</v>
      </c>
      <c r="I947">
        <v>366.77969999999999</v>
      </c>
      <c r="J947">
        <v>-302.07150000000001</v>
      </c>
      <c r="K947">
        <v>1.071844</v>
      </c>
      <c r="L947">
        <v>367.75869999999998</v>
      </c>
      <c r="M947">
        <v>0.99988809999999995</v>
      </c>
      <c r="N947">
        <v>-1.476858E-2</v>
      </c>
      <c r="O947">
        <v>-2.418861E-3</v>
      </c>
      <c r="P947">
        <v>0.99060239999999999</v>
      </c>
      <c r="Q947">
        <v>0.131471</v>
      </c>
      <c r="R947">
        <v>-3.7715159999999998E-2</v>
      </c>
      <c r="S947">
        <v>3.0365600000000001</v>
      </c>
      <c r="T947">
        <v>-8.2881090000000004E-2</v>
      </c>
      <c r="U947">
        <v>-7.5714110000000001E-2</v>
      </c>
      <c r="V947">
        <v>3.518363E-2</v>
      </c>
      <c r="W947">
        <v>0.14612039999999901</v>
      </c>
      <c r="X947">
        <v>0.98864099999999999</v>
      </c>
      <c r="Y947">
        <v>2.249526E-2</v>
      </c>
      <c r="Z947">
        <v>-4.4280520000000001E-4</v>
      </c>
      <c r="AA947">
        <v>0.99974689999999999</v>
      </c>
      <c r="AB947">
        <v>36</v>
      </c>
      <c r="AC947">
        <v>39.098099999999903</v>
      </c>
      <c r="AD947">
        <v>-1.0718474998729901</v>
      </c>
      <c r="AE947">
        <v>-0.97899999999998499</v>
      </c>
      <c r="AF947">
        <v>0.88375019754643802</v>
      </c>
      <c r="AG947">
        <v>-1.0718474998729901</v>
      </c>
      <c r="AH947">
        <v>39.071008716323298</v>
      </c>
      <c r="AI947">
        <v>91.571017713889105</v>
      </c>
      <c r="AJ947">
        <v>88.704243237853206</v>
      </c>
      <c r="AK947">
        <v>39.095697891016897</v>
      </c>
      <c r="AL947">
        <v>81.597835912761198</v>
      </c>
      <c r="AM947">
        <v>87.961825252345704</v>
      </c>
      <c r="AN947">
        <v>1.00000004299856</v>
      </c>
    </row>
    <row r="948" spans="1:40" x14ac:dyDescent="0.25">
      <c r="A948" t="str">
        <f>"20190303170242597"</f>
        <v>20190303170242597</v>
      </c>
      <c r="B948" t="str">
        <f>"1551603762586892"</f>
        <v>1551603762586892</v>
      </c>
      <c r="C948" t="s">
        <v>40</v>
      </c>
      <c r="D948">
        <v>4.5515109999999996</v>
      </c>
      <c r="E948">
        <v>0.49758200000000002</v>
      </c>
      <c r="F948" t="s">
        <v>42</v>
      </c>
      <c r="G948">
        <v>-262.63549999999998</v>
      </c>
      <c r="H948" s="1">
        <v>-3.6439829999999999E-6</v>
      </c>
      <c r="I948">
        <v>366.78440000000001</v>
      </c>
      <c r="J948">
        <v>-301.86439999999999</v>
      </c>
      <c r="K948">
        <v>1.0718490000000001</v>
      </c>
      <c r="L948">
        <v>367.75839999999999</v>
      </c>
      <c r="M948">
        <v>0.99988860000000002</v>
      </c>
      <c r="N948">
        <v>-1.47691E-2</v>
      </c>
      <c r="O948">
        <v>-2.17081E-3</v>
      </c>
      <c r="P948">
        <v>0.99056560000000005</v>
      </c>
      <c r="Q948">
        <v>0.1317904</v>
      </c>
      <c r="R948">
        <v>-3.7569440000000003E-2</v>
      </c>
      <c r="S948">
        <v>3.0365600000000001</v>
      </c>
      <c r="T948">
        <v>-8.2531930000000003E-2</v>
      </c>
      <c r="U948">
        <v>-7.5012209999999996E-2</v>
      </c>
      <c r="V948">
        <v>3.5281E-2</v>
      </c>
      <c r="W948">
        <v>0.14644019999999999</v>
      </c>
      <c r="X948">
        <v>0.98859019999999997</v>
      </c>
      <c r="Y948">
        <v>2.251239E-2</v>
      </c>
      <c r="Z948">
        <v>-4.452336E-4</v>
      </c>
      <c r="AA948">
        <v>0.99974640000000004</v>
      </c>
      <c r="AB948">
        <v>36</v>
      </c>
      <c r="AC948">
        <v>39.228900000000003</v>
      </c>
      <c r="AD948">
        <v>-1.0718526439830001</v>
      </c>
      <c r="AE948">
        <v>-0.97399999999998899</v>
      </c>
      <c r="AF948">
        <v>0.88816727788029404</v>
      </c>
      <c r="AG948">
        <v>-1.0718526439830001</v>
      </c>
      <c r="AH948">
        <v>39.201674235054298</v>
      </c>
      <c r="AI948">
        <v>91.565790059665204</v>
      </c>
      <c r="AJ948">
        <v>88.702108186981107</v>
      </c>
      <c r="AK948">
        <v>39.226381072375602</v>
      </c>
      <c r="AL948">
        <v>81.579313390335997</v>
      </c>
      <c r="AM948">
        <v>87.956084486314694</v>
      </c>
      <c r="AN948">
        <v>1.0000000323365299</v>
      </c>
    </row>
    <row r="949" spans="1:40" x14ac:dyDescent="0.25">
      <c r="A949" t="str">
        <f>"20190303170242618"</f>
        <v>20190303170242618</v>
      </c>
      <c r="B949" t="str">
        <f>"1551603762606413"</f>
        <v>1551603762606413</v>
      </c>
      <c r="C949" t="s">
        <v>40</v>
      </c>
      <c r="D949">
        <v>4.4946380000000001</v>
      </c>
      <c r="E949">
        <v>0.49756610000000001</v>
      </c>
      <c r="F949" t="s">
        <v>42</v>
      </c>
      <c r="G949">
        <v>-261.92959999999999</v>
      </c>
      <c r="H949" s="1">
        <v>-3.9484329999999996E-6</v>
      </c>
      <c r="I949">
        <v>366.77539999999999</v>
      </c>
      <c r="J949">
        <v>-301.52960000000002</v>
      </c>
      <c r="K949">
        <v>1.07186</v>
      </c>
      <c r="L949">
        <v>367.75799999999998</v>
      </c>
      <c r="M949">
        <v>0.99988929999999998</v>
      </c>
      <c r="N949">
        <v>-1.4769269999999999E-2</v>
      </c>
      <c r="O949">
        <v>-1.7631189999999901E-3</v>
      </c>
      <c r="P949">
        <v>0.99061670000000002</v>
      </c>
      <c r="Q949">
        <v>0.13155529999999999</v>
      </c>
      <c r="R949">
        <v>-3.7041039999999997E-2</v>
      </c>
      <c r="S949">
        <v>3.036591</v>
      </c>
      <c r="T949">
        <v>-8.1502199999999997E-2</v>
      </c>
      <c r="U949">
        <v>-7.473755E-2</v>
      </c>
      <c r="V949">
        <v>3.5153549999999999E-2</v>
      </c>
      <c r="W949">
        <v>0.14620620000000001</v>
      </c>
      <c r="X949">
        <v>0.98862930000000004</v>
      </c>
      <c r="Y949">
        <v>2.2829450000000001E-2</v>
      </c>
      <c r="Z949">
        <v>-4.5366820000000002E-4</v>
      </c>
      <c r="AA949">
        <v>0.9997393</v>
      </c>
      <c r="AB949">
        <v>36</v>
      </c>
      <c r="AC949">
        <v>39.6</v>
      </c>
      <c r="AD949">
        <v>-1.0718639484329999</v>
      </c>
      <c r="AE949">
        <v>-0.98260000000004699</v>
      </c>
      <c r="AF949">
        <v>0.91210350892824599</v>
      </c>
      <c r="AG949">
        <v>-1.0718639484329999</v>
      </c>
      <c r="AH949">
        <v>39.5726964768592</v>
      </c>
      <c r="AI949">
        <v>91.551119321202904</v>
      </c>
      <c r="AJ949">
        <v>88.679634322027297</v>
      </c>
      <c r="AK949">
        <v>39.597716242033101</v>
      </c>
      <c r="AL949">
        <v>81.592865854598102</v>
      </c>
      <c r="AM949">
        <v>87.9635422278932</v>
      </c>
      <c r="AN949">
        <v>0.99999995890726501</v>
      </c>
    </row>
    <row r="950" spans="1:40" x14ac:dyDescent="0.25">
      <c r="A950" t="str">
        <f>"20190303170242629"</f>
        <v>20190303170242629</v>
      </c>
      <c r="B950" t="str">
        <f>"1551603762617149"</f>
        <v>1551603762617149</v>
      </c>
      <c r="C950" t="s">
        <v>40</v>
      </c>
      <c r="D950">
        <v>4.4942510000000002</v>
      </c>
      <c r="E950">
        <v>0.49756840000000002</v>
      </c>
      <c r="F950" t="s">
        <v>42</v>
      </c>
      <c r="G950">
        <v>-261.8184</v>
      </c>
      <c r="H950" s="1">
        <v>-3.9907310000000004E-6</v>
      </c>
      <c r="I950">
        <v>366.8057</v>
      </c>
      <c r="J950">
        <v>-301.32659999999998</v>
      </c>
      <c r="K950">
        <v>1.071863</v>
      </c>
      <c r="L950">
        <v>367.75790000000001</v>
      </c>
      <c r="M950">
        <v>0.9998899</v>
      </c>
      <c r="N950">
        <v>-1.4769030000000001E-2</v>
      </c>
      <c r="O950">
        <v>-1.513564E-3</v>
      </c>
      <c r="P950">
        <v>0.9905891</v>
      </c>
      <c r="Q950">
        <v>0.13189129999999999</v>
      </c>
      <c r="R950">
        <v>-3.6584489999999997E-2</v>
      </c>
      <c r="S950">
        <v>3.0365600000000001</v>
      </c>
      <c r="T950">
        <v>-8.1961149999999997E-2</v>
      </c>
      <c r="U950">
        <v>-7.2814939999999995E-2</v>
      </c>
      <c r="V950">
        <v>3.4942790000000001E-2</v>
      </c>
      <c r="W950">
        <v>0.14654200000000001</v>
      </c>
      <c r="X950">
        <v>0.98858710000000005</v>
      </c>
      <c r="Y950">
        <v>2.2446669999999998E-2</v>
      </c>
      <c r="Z950">
        <v>-4.5018320000000001E-4</v>
      </c>
      <c r="AA950">
        <v>0.99974790000000002</v>
      </c>
      <c r="AB950">
        <v>36</v>
      </c>
      <c r="AC950">
        <v>39.508199999999903</v>
      </c>
      <c r="AD950">
        <v>-1.0718669907309999</v>
      </c>
      <c r="AE950">
        <v>-0.95220000000000404</v>
      </c>
      <c r="AF950">
        <v>0.89173822100538502</v>
      </c>
      <c r="AG950">
        <v>-1.0718669907309999</v>
      </c>
      <c r="AH950">
        <v>39.480553318274403</v>
      </c>
      <c r="AI950">
        <v>91.554758469360493</v>
      </c>
      <c r="AJ950">
        <v>88.706093346875093</v>
      </c>
      <c r="AK950">
        <v>39.505166576256002</v>
      </c>
      <c r="AL950">
        <v>81.573416841221501</v>
      </c>
      <c r="AM950">
        <v>87.975655104386604</v>
      </c>
      <c r="AN950">
        <v>1.00000000531169</v>
      </c>
    </row>
    <row r="951" spans="1:40" x14ac:dyDescent="0.25">
      <c r="A951" t="str">
        <f>"20190303170242641"</f>
        <v>20190303170242641</v>
      </c>
      <c r="B951" t="str">
        <f>"1551603762626909"</f>
        <v>1551603762626909</v>
      </c>
      <c r="C951" t="s">
        <v>40</v>
      </c>
      <c r="D951">
        <v>4.4915250000000002</v>
      </c>
      <c r="E951">
        <v>0.49757479999999998</v>
      </c>
      <c r="F951" t="s">
        <v>42</v>
      </c>
      <c r="G951">
        <v>-261.16340000000002</v>
      </c>
      <c r="H951" s="1">
        <v>-4.2706890000000004E-6</v>
      </c>
      <c r="I951">
        <v>366.81169999999997</v>
      </c>
      <c r="J951">
        <v>-301.15359999999998</v>
      </c>
      <c r="K951">
        <v>1.0718669999999999</v>
      </c>
      <c r="L951">
        <v>367.75779999999997</v>
      </c>
      <c r="M951">
        <v>0.9998901</v>
      </c>
      <c r="N951">
        <v>-1.4768699999999999E-2</v>
      </c>
      <c r="O951">
        <v>-1.2999039999999999E-3</v>
      </c>
      <c r="P951">
        <v>0.99060990000000004</v>
      </c>
      <c r="Q951">
        <v>0.13176949999999901</v>
      </c>
      <c r="R951">
        <v>-3.6456620000000002E-2</v>
      </c>
      <c r="S951">
        <v>3.0366520000000001</v>
      </c>
      <c r="T951">
        <v>-8.1041340000000003E-2</v>
      </c>
      <c r="U951">
        <v>-7.1533200000000005E-2</v>
      </c>
      <c r="V951">
        <v>3.502566E-2</v>
      </c>
      <c r="W951">
        <v>0.1464203</v>
      </c>
      <c r="X951">
        <v>0.98860219999999999</v>
      </c>
      <c r="Y951">
        <v>2.2238170000000002E-2</v>
      </c>
      <c r="Z951">
        <v>-4.4545510000000002E-4</v>
      </c>
      <c r="AA951">
        <v>0.99975259999999999</v>
      </c>
      <c r="AB951">
        <v>36</v>
      </c>
      <c r="AC951">
        <v>39.990199999999902</v>
      </c>
      <c r="AD951">
        <v>-1.0718712706889999</v>
      </c>
      <c r="AE951">
        <v>-0.94610000000000105</v>
      </c>
      <c r="AF951">
        <v>0.89346858369876203</v>
      </c>
      <c r="AG951">
        <v>-1.0718712706889999</v>
      </c>
      <c r="AH951">
        <v>39.9627022552217</v>
      </c>
      <c r="AI951">
        <v>91.536023425293493</v>
      </c>
      <c r="AJ951">
        <v>88.719219446507296</v>
      </c>
      <c r="AK951">
        <v>39.987057477019803</v>
      </c>
      <c r="AL951">
        <v>81.580465772515296</v>
      </c>
      <c r="AM951">
        <v>87.970889162580406</v>
      </c>
      <c r="AN951">
        <v>1.0000000054776801</v>
      </c>
    </row>
    <row r="952" spans="1:40" x14ac:dyDescent="0.25">
      <c r="A952" t="str">
        <f>"20190303170242652"</f>
        <v>20190303170242652</v>
      </c>
      <c r="B952" t="str">
        <f>"1551603762646428"</f>
        <v>1551603762646428</v>
      </c>
      <c r="C952" t="s">
        <v>40</v>
      </c>
      <c r="D952">
        <v>4.5486190000000004</v>
      </c>
      <c r="E952">
        <v>0.49760900000000002</v>
      </c>
      <c r="F952" t="s">
        <v>42</v>
      </c>
      <c r="G952">
        <v>-261.21030000000002</v>
      </c>
      <c r="H952" s="1">
        <v>-4.2492739999999998E-6</v>
      </c>
      <c r="I952">
        <v>366.81889999999999</v>
      </c>
      <c r="J952">
        <v>-300.95600000000002</v>
      </c>
      <c r="K952">
        <v>1.071869</v>
      </c>
      <c r="L952">
        <v>367.75779999999997</v>
      </c>
      <c r="M952">
        <v>0.99989039999999996</v>
      </c>
      <c r="N952">
        <v>-1.47682E-2</v>
      </c>
      <c r="O952">
        <v>-1.0559650000000001E-3</v>
      </c>
      <c r="P952">
        <v>0.9905697</v>
      </c>
      <c r="Q952">
        <v>0.13211989999999901</v>
      </c>
      <c r="R952">
        <v>-3.6281550000000003E-2</v>
      </c>
      <c r="S952">
        <v>3.0366520000000001</v>
      </c>
      <c r="T952">
        <v>-8.148801E-2</v>
      </c>
      <c r="U952">
        <v>-7.1380620000000006E-2</v>
      </c>
      <c r="V952">
        <v>3.5091160000000003E-2</v>
      </c>
      <c r="W952">
        <v>0.14676939999999999</v>
      </c>
      <c r="X952">
        <v>0.98854810000000004</v>
      </c>
      <c r="Y952">
        <v>2.2431630000000001E-2</v>
      </c>
      <c r="Z952">
        <v>-4.5385880000000002E-4</v>
      </c>
      <c r="AA952">
        <v>0.99974830000000003</v>
      </c>
      <c r="AB952">
        <v>36</v>
      </c>
      <c r="AC952">
        <v>39.7456999999999</v>
      </c>
      <c r="AD952">
        <v>-1.071873249274</v>
      </c>
      <c r="AE952">
        <v>-0.93889999999998897</v>
      </c>
      <c r="AF952">
        <v>0.89627334578906004</v>
      </c>
      <c r="AG952">
        <v>-1.071873249274</v>
      </c>
      <c r="AH952">
        <v>39.717799211584101</v>
      </c>
      <c r="AI952">
        <v>91.545485707481305</v>
      </c>
      <c r="AJ952">
        <v>88.707280690827403</v>
      </c>
      <c r="AK952">
        <v>39.742367724943001</v>
      </c>
      <c r="AL952">
        <v>81.560245287837006</v>
      </c>
      <c r="AM952">
        <v>87.966986628657594</v>
      </c>
      <c r="AN952">
        <v>0.99999999615005697</v>
      </c>
    </row>
    <row r="953" spans="1:40" x14ac:dyDescent="0.25">
      <c r="A953" t="str">
        <f>"20190303170242663"</f>
        <v>20190303170242663</v>
      </c>
      <c r="B953" t="str">
        <f>"1551603762657164"</f>
        <v>1551603762657164</v>
      </c>
      <c r="C953" t="s">
        <v>40</v>
      </c>
      <c r="D953">
        <v>4.4897460000000002</v>
      </c>
      <c r="E953">
        <v>0.49759619999999999</v>
      </c>
      <c r="F953" t="s">
        <v>42</v>
      </c>
      <c r="G953">
        <v>-260.23480000000001</v>
      </c>
      <c r="H953" s="1">
        <v>-4.670792E-6</v>
      </c>
      <c r="I953">
        <v>366.80180000000001</v>
      </c>
      <c r="J953">
        <v>-300.79750000000001</v>
      </c>
      <c r="K953">
        <v>1.0718730000000001</v>
      </c>
      <c r="L953">
        <v>367.75779999999997</v>
      </c>
      <c r="M953">
        <v>0.99989059999999996</v>
      </c>
      <c r="N953">
        <v>-1.476763E-2</v>
      </c>
      <c r="O953">
        <v>-8.5948719999999999E-4</v>
      </c>
      <c r="P953">
        <v>0.99055749999999998</v>
      </c>
      <c r="Q953">
        <v>0.13213820000000001</v>
      </c>
      <c r="R953">
        <v>-3.6542320000000003E-2</v>
      </c>
      <c r="S953">
        <v>3.0366209999999998</v>
      </c>
      <c r="T953">
        <v>-7.9930660000000001E-2</v>
      </c>
      <c r="U953">
        <v>-7.1289060000000001E-2</v>
      </c>
      <c r="V953">
        <v>3.5546130000000002E-2</v>
      </c>
      <c r="W953">
        <v>0.14678729999999901</v>
      </c>
      <c r="X953">
        <v>0.9885292</v>
      </c>
      <c r="Y953">
        <v>2.2598469999999999E-2</v>
      </c>
      <c r="Z953">
        <v>-4.543428E-4</v>
      </c>
      <c r="AA953">
        <v>0.99974450000000004</v>
      </c>
      <c r="AB953">
        <v>36</v>
      </c>
      <c r="AC953">
        <v>40.5627</v>
      </c>
      <c r="AD953">
        <v>-1.0718776707919999</v>
      </c>
      <c r="AE953">
        <v>-0.95599999999995999</v>
      </c>
      <c r="AF953">
        <v>0.92049031011786497</v>
      </c>
      <c r="AG953">
        <v>-1.0718776707919999</v>
      </c>
      <c r="AH953">
        <v>40.5352170916943</v>
      </c>
      <c r="AI953">
        <v>91.514336055401401</v>
      </c>
      <c r="AJ953">
        <v>88.699127551491699</v>
      </c>
      <c r="AK953">
        <v>40.559832948656798</v>
      </c>
      <c r="AL953">
        <v>81.559208573438298</v>
      </c>
      <c r="AM953">
        <v>87.940611061577798</v>
      </c>
      <c r="AN953">
        <v>1.00000000902595</v>
      </c>
    </row>
    <row r="954" spans="1:40" x14ac:dyDescent="0.25">
      <c r="A954" t="str">
        <f>"20190303170242672"</f>
        <v>20190303170242672</v>
      </c>
      <c r="B954" t="str">
        <f>"1551603762666925"</f>
        <v>1551603762666925</v>
      </c>
      <c r="C954" t="s">
        <v>40</v>
      </c>
      <c r="D954">
        <v>4.4279099999999998</v>
      </c>
      <c r="E954">
        <v>0.49758459999999899</v>
      </c>
      <c r="F954" t="s">
        <v>42</v>
      </c>
      <c r="G954">
        <v>-259.86079999999998</v>
      </c>
      <c r="H954" s="1">
        <v>-7.8551479999999899E-7</v>
      </c>
      <c r="I954">
        <v>366.78969999999998</v>
      </c>
      <c r="J954">
        <v>-300.63080000000002</v>
      </c>
      <c r="K954">
        <v>1.071874</v>
      </c>
      <c r="L954">
        <v>367.75779999999997</v>
      </c>
      <c r="M954">
        <v>0.99989070000000002</v>
      </c>
      <c r="N954">
        <v>-1.4766980000000001E-2</v>
      </c>
      <c r="O954">
        <v>-6.5275969999999996E-4</v>
      </c>
      <c r="P954">
        <v>0.99051199999999995</v>
      </c>
      <c r="Q954">
        <v>0.13246869999999999</v>
      </c>
      <c r="R954">
        <v>-3.6580809999999998E-2</v>
      </c>
      <c r="S954">
        <v>3.03653</v>
      </c>
      <c r="T954">
        <v>-7.9507469999999997E-2</v>
      </c>
      <c r="U954">
        <v>-7.1807860000000001E-2</v>
      </c>
      <c r="V954">
        <v>3.5788359999999998E-2</v>
      </c>
      <c r="W954">
        <v>0.147117</v>
      </c>
      <c r="X954">
        <v>0.9884714</v>
      </c>
      <c r="Y954">
        <v>2.2976469999999999E-2</v>
      </c>
      <c r="Z954">
        <v>-4.6298699999999999E-4</v>
      </c>
      <c r="AA954">
        <v>0.99973590000000001</v>
      </c>
      <c r="AB954">
        <v>36</v>
      </c>
      <c r="AC954">
        <v>40.770000000000003</v>
      </c>
      <c r="AD954">
        <v>-1.0718747855148001</v>
      </c>
      <c r="AE954">
        <v>-0.96809999999999197</v>
      </c>
      <c r="AF954">
        <v>0.94083393490816303</v>
      </c>
      <c r="AG954">
        <v>-1.0718747855148001</v>
      </c>
      <c r="AH954">
        <v>40.742477795035697</v>
      </c>
      <c r="AI954">
        <v>91.506618766745902</v>
      </c>
      <c r="AJ954">
        <v>88.677148815896501</v>
      </c>
      <c r="AK954">
        <v>40.767432846916797</v>
      </c>
      <c r="AL954">
        <v>81.540110434338601</v>
      </c>
      <c r="AM954">
        <v>87.926468376073998</v>
      </c>
      <c r="AN954">
        <v>0.99999996350922404</v>
      </c>
    </row>
    <row r="955" spans="1:40" x14ac:dyDescent="0.25">
      <c r="A955" t="str">
        <f>"20190303170242685"</f>
        <v>20190303170242685</v>
      </c>
      <c r="B955" t="str">
        <f>"1551603762676685"</f>
        <v>1551603762676685</v>
      </c>
      <c r="C955" t="s">
        <v>40</v>
      </c>
      <c r="D955">
        <v>4.4888979999999998</v>
      </c>
      <c r="E955">
        <v>0.49758799999999997</v>
      </c>
      <c r="F955" t="s">
        <v>42</v>
      </c>
      <c r="G955">
        <v>-259.11419999999998</v>
      </c>
      <c r="H955" s="1">
        <v>-1.042363E-6</v>
      </c>
      <c r="I955">
        <v>366.77940000000001</v>
      </c>
      <c r="J955">
        <v>-300.43430000000001</v>
      </c>
      <c r="K955">
        <v>1.071877</v>
      </c>
      <c r="L955">
        <v>367.75790000000001</v>
      </c>
      <c r="M955">
        <v>0.99989099999999997</v>
      </c>
      <c r="N955">
        <v>-1.4766059999999999E-2</v>
      </c>
      <c r="O955">
        <v>-4.0931529999999999E-4</v>
      </c>
      <c r="P955">
        <v>0.9904598</v>
      </c>
      <c r="Q955">
        <v>0.13269249999999999</v>
      </c>
      <c r="R955">
        <v>-3.718192E-2</v>
      </c>
      <c r="S955">
        <v>3.0366209999999998</v>
      </c>
      <c r="T955">
        <v>-7.8399300000000005E-2</v>
      </c>
      <c r="U955">
        <v>-7.1563719999999997E-2</v>
      </c>
      <c r="V955">
        <v>3.6629689999999999E-2</v>
      </c>
      <c r="W955">
        <v>0.1473401</v>
      </c>
      <c r="X955">
        <v>0.98840740000000005</v>
      </c>
      <c r="Y955">
        <v>2.3139010000000002E-2</v>
      </c>
      <c r="Z955">
        <v>-4.65002E-4</v>
      </c>
      <c r="AA955">
        <v>0.99973210000000001</v>
      </c>
      <c r="AB955">
        <v>36</v>
      </c>
      <c r="AC955">
        <v>41.320099999999996</v>
      </c>
      <c r="AD955">
        <v>-1.0718780423630001</v>
      </c>
      <c r="AE955">
        <v>-0.97849999999999604</v>
      </c>
      <c r="AF955">
        <v>0.96093884722137402</v>
      </c>
      <c r="AG955">
        <v>-1.0718780423630001</v>
      </c>
      <c r="AH955">
        <v>41.292725676114898</v>
      </c>
      <c r="AI955">
        <v>91.4865496733848</v>
      </c>
      <c r="AJ955">
        <v>88.666888570093207</v>
      </c>
      <c r="AK955">
        <v>41.317811168655602</v>
      </c>
      <c r="AL955">
        <v>81.527187340697495</v>
      </c>
      <c r="AM955">
        <v>87.877629567150194</v>
      </c>
      <c r="AN955">
        <v>1.00000001381613</v>
      </c>
    </row>
    <row r="956" spans="1:40" x14ac:dyDescent="0.25">
      <c r="A956" t="str">
        <f>"20190303170242698"</f>
        <v>20190303170242698</v>
      </c>
      <c r="B956" t="str">
        <f>"1551603762686445"</f>
        <v>1551603762686445</v>
      </c>
      <c r="C956" t="s">
        <v>40</v>
      </c>
      <c r="D956">
        <v>4.4308690000000004</v>
      </c>
      <c r="E956">
        <v>0.49761529999999998</v>
      </c>
      <c r="F956" t="s">
        <v>42</v>
      </c>
      <c r="G956">
        <v>-258.41140000000001</v>
      </c>
      <c r="H956" s="1">
        <v>-1.2892869999999999E-6</v>
      </c>
      <c r="I956">
        <v>366.75020000000001</v>
      </c>
      <c r="J956">
        <v>-300.23390000000001</v>
      </c>
      <c r="K956">
        <v>1.0718810000000001</v>
      </c>
      <c r="L956">
        <v>367.75810000000001</v>
      </c>
      <c r="M956">
        <v>0.99989110000000003</v>
      </c>
      <c r="N956">
        <v>-1.476506E-2</v>
      </c>
      <c r="O956">
        <v>-1.6146140000000001E-4</v>
      </c>
      <c r="P956">
        <v>0.99041179999999995</v>
      </c>
      <c r="Q956">
        <v>0.1329523</v>
      </c>
      <c r="R956">
        <v>-3.752962E-2</v>
      </c>
      <c r="S956">
        <v>3.03653</v>
      </c>
      <c r="T956">
        <v>-7.745254E-2</v>
      </c>
      <c r="U956">
        <v>-7.2814939999999995E-2</v>
      </c>
      <c r="V956">
        <v>3.7222470000000001E-2</v>
      </c>
      <c r="W956">
        <v>0.14759849999999999</v>
      </c>
      <c r="X956">
        <v>0.98834670000000002</v>
      </c>
      <c r="Y956">
        <v>2.3799130000000002E-2</v>
      </c>
      <c r="Z956">
        <v>-4.7747250000000001E-4</v>
      </c>
      <c r="AA956">
        <v>0.99971659999999996</v>
      </c>
      <c r="AB956">
        <v>36</v>
      </c>
      <c r="AC956">
        <v>41.822499999999899</v>
      </c>
      <c r="AD956">
        <v>-1.0718822892869999</v>
      </c>
      <c r="AE956">
        <v>-1.0079</v>
      </c>
      <c r="AF956">
        <v>1.0004897297608499</v>
      </c>
      <c r="AG956">
        <v>-1.0718822892869999</v>
      </c>
      <c r="AH956">
        <v>41.795224445530799</v>
      </c>
      <c r="AI956">
        <v>91.468667680864201</v>
      </c>
      <c r="AJ956">
        <v>88.628721482064407</v>
      </c>
      <c r="AK956">
        <v>41.820936118094501</v>
      </c>
      <c r="AL956">
        <v>81.512218456397093</v>
      </c>
      <c r="AM956">
        <v>87.843182992915402</v>
      </c>
      <c r="AN956">
        <v>1.0000000144380199</v>
      </c>
    </row>
    <row r="957" spans="1:40" x14ac:dyDescent="0.25">
      <c r="A957" t="str">
        <f>"20190303170242708"</f>
        <v>20190303170242708</v>
      </c>
      <c r="B957" t="str">
        <f>"1551603762697183"</f>
        <v>1551603762697183</v>
      </c>
      <c r="C957" t="s">
        <v>40</v>
      </c>
      <c r="D957">
        <v>4.4847919999999997</v>
      </c>
      <c r="E957">
        <v>0.49759890000000001</v>
      </c>
      <c r="F957" t="s">
        <v>42</v>
      </c>
      <c r="G957">
        <v>-257.73160000000001</v>
      </c>
      <c r="H957" s="1">
        <v>-1.5272759999999999E-6</v>
      </c>
      <c r="I957">
        <v>366.72519999999997</v>
      </c>
      <c r="J957">
        <v>-300.04259999999999</v>
      </c>
      <c r="K957">
        <v>1.071882</v>
      </c>
      <c r="L957">
        <v>367.75819999999999</v>
      </c>
      <c r="M957">
        <v>0.99989099999999997</v>
      </c>
      <c r="N957">
        <v>-1.476395E-2</v>
      </c>
      <c r="O957" s="1">
        <v>7.4526779999999998E-5</v>
      </c>
      <c r="P957">
        <v>0.99035519999999999</v>
      </c>
      <c r="Q957">
        <v>0.13332149999999901</v>
      </c>
      <c r="R957">
        <v>-3.7709560000000003E-2</v>
      </c>
      <c r="S957">
        <v>3.03653</v>
      </c>
      <c r="T957">
        <v>-7.6579209999999995E-2</v>
      </c>
      <c r="U957">
        <v>-7.3791499999999996E-2</v>
      </c>
      <c r="V957">
        <v>3.7635380000000003E-2</v>
      </c>
      <c r="W957">
        <v>0.1479664</v>
      </c>
      <c r="X957">
        <v>0.98827609999999999</v>
      </c>
      <c r="Y957">
        <v>2.4356329999999999E-2</v>
      </c>
      <c r="Z957">
        <v>-4.8768919999999999E-4</v>
      </c>
      <c r="AA957">
        <v>0.99970320000000001</v>
      </c>
      <c r="AB957">
        <v>36</v>
      </c>
      <c r="AC957">
        <v>42.3109999999999</v>
      </c>
      <c r="AD957">
        <v>-1.0718835272759999</v>
      </c>
      <c r="AE957">
        <v>-1.0330000000000099</v>
      </c>
      <c r="AF957">
        <v>1.03548947917944</v>
      </c>
      <c r="AG957">
        <v>-1.0718835272759999</v>
      </c>
      <c r="AH957">
        <v>42.283802003143599</v>
      </c>
      <c r="AI957">
        <v>91.451687261788294</v>
      </c>
      <c r="AJ957">
        <v>88.597162076558206</v>
      </c>
      <c r="AK957">
        <v>42.3100589056383</v>
      </c>
      <c r="AL957">
        <v>81.490905740125001</v>
      </c>
      <c r="AM957">
        <v>87.819124693871004</v>
      </c>
      <c r="AN957">
        <v>1.0000000635939501</v>
      </c>
    </row>
    <row r="958" spans="1:40" x14ac:dyDescent="0.25">
      <c r="A958" t="str">
        <f>"20190303170242720"</f>
        <v>20190303170242720</v>
      </c>
      <c r="B958" t="str">
        <f>"1551603762706940"</f>
        <v>1551603762706940</v>
      </c>
      <c r="C958" t="s">
        <v>40</v>
      </c>
      <c r="D958">
        <v>4.487158</v>
      </c>
      <c r="E958">
        <v>0.49758269999999999</v>
      </c>
      <c r="F958" t="s">
        <v>42</v>
      </c>
      <c r="G958">
        <v>-256.8279</v>
      </c>
      <c r="H958" s="1">
        <v>-1.8603889999999999E-6</v>
      </c>
      <c r="I958">
        <v>366.7002</v>
      </c>
      <c r="J958">
        <v>-299.87040000000002</v>
      </c>
      <c r="K958">
        <v>1.0718829999999999</v>
      </c>
      <c r="L958">
        <v>367.75839999999999</v>
      </c>
      <c r="M958">
        <v>0.99989099999999997</v>
      </c>
      <c r="N958">
        <v>-1.4762900000000001E-2</v>
      </c>
      <c r="O958">
        <v>2.8558650000000001E-4</v>
      </c>
      <c r="P958">
        <v>0.99033740000000003</v>
      </c>
      <c r="Q958">
        <v>0.13340940000000001</v>
      </c>
      <c r="R958">
        <v>-3.7865219999999998E-2</v>
      </c>
      <c r="S958">
        <v>3.0365600000000001</v>
      </c>
      <c r="T958">
        <v>-7.531786E-2</v>
      </c>
      <c r="U958">
        <v>-7.4340820000000002E-2</v>
      </c>
      <c r="V958">
        <v>3.7999730000000002E-2</v>
      </c>
      <c r="W958">
        <v>0.14805270000000001</v>
      </c>
      <c r="X958">
        <v>0.98824920000000005</v>
      </c>
      <c r="Y958">
        <v>2.4747970000000001E-2</v>
      </c>
      <c r="Z958">
        <v>-4.9245120000000005E-4</v>
      </c>
      <c r="AA958">
        <v>0.99969359999999996</v>
      </c>
      <c r="AB958">
        <v>36</v>
      </c>
      <c r="AC958">
        <v>43.042499999999997</v>
      </c>
      <c r="AD958">
        <v>-1.0718848603890001</v>
      </c>
      <c r="AE958">
        <v>-1.05819999999999</v>
      </c>
      <c r="AF958">
        <v>1.06983059165301</v>
      </c>
      <c r="AG958">
        <v>-1.0718848603890001</v>
      </c>
      <c r="AH958">
        <v>43.015535753894902</v>
      </c>
      <c r="AI958">
        <v>91.426991370790006</v>
      </c>
      <c r="AJ958">
        <v>88.575302090185502</v>
      </c>
      <c r="AK958">
        <v>43.042186176394203</v>
      </c>
      <c r="AL958">
        <v>81.485905771401207</v>
      </c>
      <c r="AM958">
        <v>87.797972336112196</v>
      </c>
      <c r="AN958">
        <v>1.0000000313790001</v>
      </c>
    </row>
    <row r="959" spans="1:40" x14ac:dyDescent="0.25">
      <c r="A959" t="str">
        <f>"20190303170242733"</f>
        <v>20190303170242733</v>
      </c>
      <c r="B959" t="str">
        <f>"1551603762726461"</f>
        <v>1551603762726461</v>
      </c>
      <c r="C959" t="s">
        <v>40</v>
      </c>
      <c r="D959">
        <v>4.4899009999999997</v>
      </c>
      <c r="E959">
        <v>0.49758790000000003</v>
      </c>
      <c r="F959" t="s">
        <v>42</v>
      </c>
      <c r="G959">
        <v>-256.44959999999998</v>
      </c>
      <c r="H959" s="1">
        <v>-2.0251249999999999E-6</v>
      </c>
      <c r="I959">
        <v>366.6866</v>
      </c>
      <c r="J959">
        <v>-299.66129999999998</v>
      </c>
      <c r="K959">
        <v>1.0718730000000001</v>
      </c>
      <c r="L959">
        <v>367.75869999999998</v>
      </c>
      <c r="M959">
        <v>0.99989090000000003</v>
      </c>
      <c r="N959">
        <v>-1.476153E-2</v>
      </c>
      <c r="O959">
        <v>5.3990309999999895E-4</v>
      </c>
      <c r="P959">
        <v>0.9903556</v>
      </c>
      <c r="Q959">
        <v>0.1333404</v>
      </c>
      <c r="R959">
        <v>-3.7632899999999997E-2</v>
      </c>
      <c r="S959">
        <v>3.03653</v>
      </c>
      <c r="T959">
        <v>-7.4959520000000002E-2</v>
      </c>
      <c r="U959">
        <v>-7.4951169999999998E-2</v>
      </c>
      <c r="V959">
        <v>3.8019900000000002E-2</v>
      </c>
      <c r="W959">
        <v>0.1479829</v>
      </c>
      <c r="X959">
        <v>0.98825879999999999</v>
      </c>
      <c r="Y959">
        <v>2.5203159999999999E-2</v>
      </c>
      <c r="Z959">
        <v>-5.0244459999999999E-4</v>
      </c>
      <c r="AA959">
        <v>0.99968219999999997</v>
      </c>
      <c r="AB959">
        <v>36</v>
      </c>
      <c r="AC959">
        <v>43.2117</v>
      </c>
      <c r="AD959">
        <v>-1.07187502512499</v>
      </c>
      <c r="AE959">
        <v>-1.0720999999999701</v>
      </c>
      <c r="AF959">
        <v>1.0947593277021599</v>
      </c>
      <c r="AG959">
        <v>-1.07187502512499</v>
      </c>
      <c r="AH959">
        <v>43.184559774439201</v>
      </c>
      <c r="AI959">
        <v>91.421378285420303</v>
      </c>
      <c r="AJ959">
        <v>88.547822239539499</v>
      </c>
      <c r="AK959">
        <v>43.211730085327403</v>
      </c>
      <c r="AL959">
        <v>81.489948893711599</v>
      </c>
      <c r="AM959">
        <v>87.796826047099103</v>
      </c>
      <c r="AN959">
        <v>0.99999995363292804</v>
      </c>
    </row>
    <row r="960" spans="1:40" x14ac:dyDescent="0.25">
      <c r="A960" t="str">
        <f>"20190303170242744"</f>
        <v>20190303170242744</v>
      </c>
      <c r="B960" t="str">
        <f>"1551603762737196"</f>
        <v>1551603762737196</v>
      </c>
      <c r="C960" t="s">
        <v>40</v>
      </c>
      <c r="D960">
        <v>4.4930680000000001</v>
      </c>
      <c r="E960">
        <v>0.49757410000000002</v>
      </c>
      <c r="F960" t="s">
        <v>42</v>
      </c>
      <c r="G960">
        <v>-256.13659999999999</v>
      </c>
      <c r="H960" s="1">
        <v>-2.1590290000000002E-6</v>
      </c>
      <c r="I960">
        <v>366.68869999999998</v>
      </c>
      <c r="J960">
        <v>-299.48500000000001</v>
      </c>
      <c r="K960">
        <v>1.0718669999999999</v>
      </c>
      <c r="L960">
        <v>367.75900000000001</v>
      </c>
      <c r="M960">
        <v>0.99989079999999997</v>
      </c>
      <c r="N960">
        <v>-1.4760280000000001E-2</v>
      </c>
      <c r="O960">
        <v>7.478071E-4</v>
      </c>
      <c r="P960">
        <v>0.99042220000000003</v>
      </c>
      <c r="Q960">
        <v>0.1329485</v>
      </c>
      <c r="R960">
        <v>-3.7261379999999997E-2</v>
      </c>
      <c r="S960">
        <v>3.036438</v>
      </c>
      <c r="T960">
        <v>-7.47776E-2</v>
      </c>
      <c r="U960">
        <v>-7.4646000000000004E-2</v>
      </c>
      <c r="V960">
        <v>3.7855760000000002E-2</v>
      </c>
      <c r="W960">
        <v>0.14759050000000001</v>
      </c>
      <c r="X960">
        <v>0.98832379999999997</v>
      </c>
      <c r="Y960">
        <v>2.531133E-2</v>
      </c>
      <c r="Z960">
        <v>-5.0583289999999999E-4</v>
      </c>
      <c r="AA960">
        <v>0.99967950000000005</v>
      </c>
      <c r="AB960">
        <v>36</v>
      </c>
      <c r="AC960">
        <v>43.348399999999998</v>
      </c>
      <c r="AD960">
        <v>-1.0718691590289999</v>
      </c>
      <c r="AE960">
        <v>-1.07030000000003</v>
      </c>
      <c r="AF960">
        <v>1.1020460741172999</v>
      </c>
      <c r="AG960">
        <v>-1.0718691590289999</v>
      </c>
      <c r="AH960">
        <v>43.321116288603797</v>
      </c>
      <c r="AI960">
        <v>91.416888731512799</v>
      </c>
      <c r="AJ960">
        <v>88.542766696472796</v>
      </c>
      <c r="AK960">
        <v>43.348385500896001</v>
      </c>
      <c r="AL960">
        <v>81.512681552098599</v>
      </c>
      <c r="AM960">
        <v>87.806472437643293</v>
      </c>
      <c r="AN960">
        <v>0.99999997395093299</v>
      </c>
    </row>
    <row r="961" spans="1:40" x14ac:dyDescent="0.25">
      <c r="A961" t="str">
        <f>"20190303170242755"</f>
        <v>20190303170242755</v>
      </c>
      <c r="B961" t="str">
        <f>"1551603762746956"</f>
        <v>1551603762746956</v>
      </c>
      <c r="C961" t="s">
        <v>40</v>
      </c>
      <c r="D961">
        <v>4.4857100000000001</v>
      </c>
      <c r="E961">
        <v>0.49758599999999997</v>
      </c>
      <c r="F961" t="s">
        <v>42</v>
      </c>
      <c r="G961">
        <v>-256.50080000000003</v>
      </c>
      <c r="H961" s="1">
        <v>-1.9983859999999998E-6</v>
      </c>
      <c r="I961">
        <v>366.71350000000001</v>
      </c>
      <c r="J961">
        <v>-299.2928</v>
      </c>
      <c r="K961">
        <v>1.071861</v>
      </c>
      <c r="L961">
        <v>367.75940000000003</v>
      </c>
      <c r="M961">
        <v>0.99989059999999996</v>
      </c>
      <c r="N961">
        <v>-1.475887E-2</v>
      </c>
      <c r="O961">
        <v>9.7172329999999996E-4</v>
      </c>
      <c r="P961">
        <v>0.99051299999999998</v>
      </c>
      <c r="Q961">
        <v>0.13231089999999901</v>
      </c>
      <c r="R961">
        <v>-3.7120340000000002E-2</v>
      </c>
      <c r="S961">
        <v>3.0363769999999999</v>
      </c>
      <c r="T961">
        <v>-7.5716019999999995E-2</v>
      </c>
      <c r="U961">
        <v>-7.3852539999999994E-2</v>
      </c>
      <c r="V961">
        <v>3.7938840000000001E-2</v>
      </c>
      <c r="W961">
        <v>0.14695239999999901</v>
      </c>
      <c r="X961">
        <v>0.98841570000000001</v>
      </c>
      <c r="Y961">
        <v>2.5274370000000001E-2</v>
      </c>
      <c r="Z961">
        <v>-5.1150830000000003E-4</v>
      </c>
      <c r="AA961">
        <v>0.99968040000000002</v>
      </c>
      <c r="AB961">
        <v>36</v>
      </c>
      <c r="AC961">
        <v>42.791999999999902</v>
      </c>
      <c r="AD961">
        <v>-1.071862998386</v>
      </c>
      <c r="AE961">
        <v>-1.04590000000001</v>
      </c>
      <c r="AF961">
        <v>1.0868045514724001</v>
      </c>
      <c r="AG961">
        <v>-1.071862998386</v>
      </c>
      <c r="AH961">
        <v>42.764148600097698</v>
      </c>
      <c r="AI961">
        <v>91.4353275343192</v>
      </c>
      <c r="AJ961">
        <v>88.544203140179206</v>
      </c>
      <c r="AK961">
        <v>42.791382776344697</v>
      </c>
      <c r="AL961">
        <v>81.549645085486205</v>
      </c>
      <c r="AM961">
        <v>87.801867333111304</v>
      </c>
      <c r="AN961">
        <v>0.99999997972639698</v>
      </c>
    </row>
    <row r="962" spans="1:40" x14ac:dyDescent="0.25">
      <c r="A962" t="str">
        <f>"20190303170242768"</f>
        <v>20190303170242768</v>
      </c>
      <c r="B962" t="str">
        <f>"1551603762756717"</f>
        <v>1551603762756717</v>
      </c>
      <c r="C962" t="s">
        <v>40</v>
      </c>
      <c r="D962">
        <v>4.4152849999999999</v>
      </c>
      <c r="E962">
        <v>0.49758599999999997</v>
      </c>
      <c r="F962" t="s">
        <v>42</v>
      </c>
      <c r="G962">
        <v>-257.41950000000003</v>
      </c>
      <c r="H962" s="1">
        <v>-1.6270780000000001E-6</v>
      </c>
      <c r="I962">
        <v>366.74930000000001</v>
      </c>
      <c r="J962">
        <v>-299.08659999999998</v>
      </c>
      <c r="K962">
        <v>1.071852</v>
      </c>
      <c r="L962">
        <v>367.75979999999998</v>
      </c>
      <c r="M962">
        <v>0.99989039999999996</v>
      </c>
      <c r="N962">
        <v>-1.475724E-2</v>
      </c>
      <c r="O962">
        <v>1.1996699999999999E-3</v>
      </c>
      <c r="P962">
        <v>0.99058080000000004</v>
      </c>
      <c r="Q962">
        <v>0.13185039999999901</v>
      </c>
      <c r="R962">
        <v>-3.6953689999999997E-2</v>
      </c>
      <c r="S962">
        <v>3.0364070000000001</v>
      </c>
      <c r="T962">
        <v>-7.7725050000000004E-2</v>
      </c>
      <c r="U962">
        <v>-7.3242189999999999E-2</v>
      </c>
      <c r="V962">
        <v>3.8001769999999997E-2</v>
      </c>
      <c r="W962">
        <v>0.14649019999999999</v>
      </c>
      <c r="X962">
        <v>0.98848190000000002</v>
      </c>
      <c r="Y962">
        <v>2.5300619999999999E-2</v>
      </c>
      <c r="Z962">
        <v>-5.2348640000000001E-4</v>
      </c>
      <c r="AA962">
        <v>0.99967969999999895</v>
      </c>
      <c r="AB962">
        <v>36</v>
      </c>
      <c r="AC962">
        <v>41.667099999999898</v>
      </c>
      <c r="AD962">
        <v>-1.0718536270779999</v>
      </c>
      <c r="AE962">
        <v>-1.01049999999997</v>
      </c>
      <c r="AF962">
        <v>1.05979059690375</v>
      </c>
      <c r="AG962">
        <v>-1.0718536270779999</v>
      </c>
      <c r="AH962">
        <v>41.638320253709701</v>
      </c>
      <c r="AI962">
        <v>91.474105096460093</v>
      </c>
      <c r="AJ962">
        <v>88.542005995756696</v>
      </c>
      <c r="AK962">
        <v>41.665594197822998</v>
      </c>
      <c r="AL962">
        <v>81.576417010395502</v>
      </c>
      <c r="AM962">
        <v>87.7983721377515</v>
      </c>
      <c r="AN962">
        <v>0.99999998992339101</v>
      </c>
    </row>
    <row r="963" spans="1:40" x14ac:dyDescent="0.25">
      <c r="A963" t="str">
        <f>"20190303170242781"</f>
        <v>20190303170242781</v>
      </c>
      <c r="B963" t="str">
        <f>"1551603762776237"</f>
        <v>1551603762776237</v>
      </c>
      <c r="C963" t="s">
        <v>40</v>
      </c>
      <c r="D963">
        <v>4.4633000000000003</v>
      </c>
      <c r="E963">
        <v>0.52615199999999995</v>
      </c>
      <c r="F963" t="s">
        <v>42</v>
      </c>
      <c r="G963">
        <v>-257.95839999999998</v>
      </c>
      <c r="H963" s="1">
        <v>-1.4363509999999901E-6</v>
      </c>
      <c r="I963">
        <v>366.77679999999998</v>
      </c>
      <c r="J963">
        <v>-298.90039999999999</v>
      </c>
      <c r="K963">
        <v>1.0718399999999999</v>
      </c>
      <c r="L963">
        <v>367.7602</v>
      </c>
      <c r="M963">
        <v>0.99989019999999995</v>
      </c>
      <c r="N963">
        <v>-1.475572E-2</v>
      </c>
      <c r="O963">
        <v>1.400012E-3</v>
      </c>
      <c r="P963">
        <v>0.99066909999999997</v>
      </c>
      <c r="Q963">
        <v>0.13127420000000001</v>
      </c>
      <c r="R963">
        <v>-3.663421E-2</v>
      </c>
      <c r="S963">
        <v>3.0363769999999999</v>
      </c>
      <c r="T963">
        <v>-7.9131720000000003E-2</v>
      </c>
      <c r="U963">
        <v>-7.2570800000000005E-2</v>
      </c>
      <c r="V963">
        <v>3.7885139999999998E-2</v>
      </c>
      <c r="W963">
        <v>0.14591279999999901</v>
      </c>
      <c r="X963">
        <v>0.9885718</v>
      </c>
      <c r="Y963">
        <v>2.527985E-2</v>
      </c>
      <c r="Z963">
        <v>-5.3172669999999997E-4</v>
      </c>
      <c r="AA963">
        <v>0.99968029999999997</v>
      </c>
      <c r="AB963">
        <v>36</v>
      </c>
      <c r="AC963">
        <v>40.942</v>
      </c>
      <c r="AD963">
        <v>-1.0718414363509901</v>
      </c>
      <c r="AE963">
        <v>-0.98340000000001704</v>
      </c>
      <c r="AF963">
        <v>1.04001218681063</v>
      </c>
      <c r="AG963">
        <v>-1.0718414363509901</v>
      </c>
      <c r="AH963">
        <v>40.912559009477299</v>
      </c>
      <c r="AI963">
        <v>91.500227043228605</v>
      </c>
      <c r="AJ963">
        <v>88.543833968315298</v>
      </c>
      <c r="AK963">
        <v>40.939808916473297</v>
      </c>
      <c r="AL963">
        <v>81.609859157139297</v>
      </c>
      <c r="AM963">
        <v>87.805321869086697</v>
      </c>
      <c r="AN963">
        <v>1.0000000163959399</v>
      </c>
    </row>
    <row r="964" spans="1:40" x14ac:dyDescent="0.25">
      <c r="A964" t="str">
        <f>"20190303170242796"</f>
        <v>20190303170242796</v>
      </c>
      <c r="B964" t="str">
        <f>"1551603762786973"</f>
        <v>1551603762786973</v>
      </c>
      <c r="C964" t="s">
        <v>40</v>
      </c>
      <c r="D964">
        <v>4.3949579999999999</v>
      </c>
      <c r="E964">
        <v>0.53253660000000003</v>
      </c>
      <c r="F964" t="s">
        <v>43</v>
      </c>
      <c r="G964">
        <v>-297.93810000000002</v>
      </c>
      <c r="H964">
        <v>0.99090290000000003</v>
      </c>
      <c r="I964">
        <v>367.6678</v>
      </c>
      <c r="J964">
        <v>-298.65219999999999</v>
      </c>
      <c r="K964">
        <v>1.071828</v>
      </c>
      <c r="L964">
        <v>367.76080000000002</v>
      </c>
      <c r="M964">
        <v>0.9998899</v>
      </c>
      <c r="N964">
        <v>-1.47536E-2</v>
      </c>
      <c r="O964">
        <v>1.656823E-3</v>
      </c>
      <c r="P964">
        <v>0.99075239999999998</v>
      </c>
      <c r="Q964">
        <v>0.13090389999999999</v>
      </c>
      <c r="R964">
        <v>-3.5693990000000002E-2</v>
      </c>
      <c r="S964">
        <v>3.0514220000000001</v>
      </c>
      <c r="T964">
        <v>-0.25670409999999999</v>
      </c>
      <c r="U964">
        <v>-0.2928772</v>
      </c>
      <c r="V964">
        <v>3.7205370000000001E-2</v>
      </c>
      <c r="W964">
        <v>0.1455391</v>
      </c>
      <c r="X964">
        <v>0.98865270000000005</v>
      </c>
      <c r="Y964">
        <v>9.6787970000000001E-2</v>
      </c>
      <c r="Z964">
        <v>-4.8863470000000001E-3</v>
      </c>
      <c r="AA964">
        <v>0.99529299999999998</v>
      </c>
      <c r="AB964">
        <v>36</v>
      </c>
      <c r="AC964">
        <v>0.71409999999997298</v>
      </c>
      <c r="AD964">
        <v>-8.0925099999999903E-2</v>
      </c>
      <c r="AE964">
        <v>-9.3000000000017694E-2</v>
      </c>
      <c r="AF964">
        <v>9.3008599691583399E-2</v>
      </c>
      <c r="AG964">
        <v>-8.0925099999999903E-2</v>
      </c>
      <c r="AH964">
        <v>0.70504145777958405</v>
      </c>
      <c r="AI964">
        <v>96.492031502570299</v>
      </c>
      <c r="AJ964">
        <v>82.4849723811178</v>
      </c>
      <c r="AK964">
        <v>0.71573942787481004</v>
      </c>
      <c r="AL964">
        <v>81.631501613065893</v>
      </c>
      <c r="AM964">
        <v>87.844839524690599</v>
      </c>
      <c r="AN964">
        <v>1.0000000152014601</v>
      </c>
    </row>
    <row r="965" spans="1:40" x14ac:dyDescent="0.25">
      <c r="A965" t="str">
        <f>"20190303170242809"</f>
        <v>20190303170242809</v>
      </c>
      <c r="B965" t="str">
        <f>"1551603762796733"</f>
        <v>1551603762796733</v>
      </c>
      <c r="C965" t="s">
        <v>40</v>
      </c>
      <c r="D965">
        <v>4.3758339999999896</v>
      </c>
      <c r="E965">
        <v>0.53745310000000002</v>
      </c>
      <c r="F965" t="s">
        <v>43</v>
      </c>
      <c r="G965">
        <v>-297.6302</v>
      </c>
      <c r="H965">
        <v>0.96453049999999996</v>
      </c>
      <c r="I965">
        <v>367.64729999999997</v>
      </c>
      <c r="J965">
        <v>-298.43029999999999</v>
      </c>
      <c r="K965">
        <v>1.0718129999999999</v>
      </c>
      <c r="L965">
        <v>367.76139999999998</v>
      </c>
      <c r="M965">
        <v>0.99988949999999999</v>
      </c>
      <c r="N965">
        <v>-1.475162E-2</v>
      </c>
      <c r="O965">
        <v>1.8690969999999999E-3</v>
      </c>
      <c r="P965">
        <v>0.99073710000000004</v>
      </c>
      <c r="Q965">
        <v>0.13116320000000001</v>
      </c>
      <c r="R965">
        <v>-3.5162190000000003E-2</v>
      </c>
      <c r="S965">
        <v>3.0582280000000002</v>
      </c>
      <c r="T965">
        <v>-0.32129760000000002</v>
      </c>
      <c r="U965">
        <v>-0.338653599999999</v>
      </c>
      <c r="V965">
        <v>3.6889440000000003E-2</v>
      </c>
      <c r="W965">
        <v>0.14579489999999901</v>
      </c>
      <c r="X965">
        <v>0.98862680000000003</v>
      </c>
      <c r="Y965">
        <v>0.11122170000000001</v>
      </c>
      <c r="Z965">
        <v>-6.8020959999999997E-3</v>
      </c>
      <c r="AA965">
        <v>0.99377230000000005</v>
      </c>
      <c r="AB965">
        <v>36</v>
      </c>
      <c r="AC965">
        <v>0.80009999999998604</v>
      </c>
      <c r="AD965">
        <v>-0.107282499999999</v>
      </c>
      <c r="AE965">
        <v>-0.114100000000007</v>
      </c>
      <c r="AF965">
        <v>0.11359381368940499</v>
      </c>
      <c r="AG965">
        <v>-0.107282499999999</v>
      </c>
      <c r="AH965">
        <v>0.78603475203788198</v>
      </c>
      <c r="AI965">
        <v>97.693085202479395</v>
      </c>
      <c r="AJ965">
        <v>81.776830768530104</v>
      </c>
      <c r="AK965">
        <v>0.80141357657953805</v>
      </c>
      <c r="AL965">
        <v>81.6166869291891</v>
      </c>
      <c r="AM965">
        <v>87.863067136720005</v>
      </c>
      <c r="AN965">
        <v>0.99999996666388102</v>
      </c>
    </row>
    <row r="966" spans="1:40" x14ac:dyDescent="0.25">
      <c r="A966" t="str">
        <f>"20190303170242825"</f>
        <v>20190303170242825</v>
      </c>
      <c r="B966" t="str">
        <f>"1551603762817229"</f>
        <v>1551603762817229</v>
      </c>
      <c r="C966" t="s">
        <v>40</v>
      </c>
      <c r="D966">
        <v>4.3627449999999897</v>
      </c>
      <c r="E966">
        <v>0.54239110000000001</v>
      </c>
      <c r="F966" t="s">
        <v>43</v>
      </c>
      <c r="G966">
        <v>-297.62599999999998</v>
      </c>
      <c r="H966">
        <v>0.97340499999999996</v>
      </c>
      <c r="I966">
        <v>367.6628</v>
      </c>
      <c r="J966">
        <v>-298.20429999999999</v>
      </c>
      <c r="K966">
        <v>1.071798</v>
      </c>
      <c r="L966">
        <v>367.762</v>
      </c>
      <c r="M966">
        <v>0.99988909999999998</v>
      </c>
      <c r="N966">
        <v>-1.474955E-2</v>
      </c>
      <c r="O966">
        <v>2.0737809999999998E-3</v>
      </c>
      <c r="P966">
        <v>0.99073009999999995</v>
      </c>
      <c r="Q966">
        <v>0.13139879999999901</v>
      </c>
      <c r="R966">
        <v>-3.4473829999999997E-2</v>
      </c>
      <c r="S966">
        <v>3.0644529999999999</v>
      </c>
      <c r="T966">
        <v>-0.37517230000000001</v>
      </c>
      <c r="U966">
        <v>-0.3743591</v>
      </c>
      <c r="V966">
        <v>3.6409839999999999E-2</v>
      </c>
      <c r="W966">
        <v>0.14602599999999999</v>
      </c>
      <c r="X966">
        <v>0.98861049999999995</v>
      </c>
      <c r="Y966">
        <v>0.122296699999999</v>
      </c>
      <c r="Z966">
        <v>-8.5617209999999996E-3</v>
      </c>
      <c r="AA966">
        <v>0.99245669999999997</v>
      </c>
      <c r="AB966">
        <v>36</v>
      </c>
      <c r="AC966">
        <v>0.57830000000001203</v>
      </c>
      <c r="AD966">
        <v>-9.8392999999999994E-2</v>
      </c>
      <c r="AE966">
        <v>-9.9199999999939295E-2</v>
      </c>
      <c r="AF966">
        <v>9.7653103615560899E-2</v>
      </c>
      <c r="AG966">
        <v>-9.8392999999999994E-2</v>
      </c>
      <c r="AH966">
        <v>0.56228123045025702</v>
      </c>
      <c r="AI966">
        <v>99.782092841351599</v>
      </c>
      <c r="AJ966">
        <v>80.147539794535604</v>
      </c>
      <c r="AK966">
        <v>0.57911785779011005</v>
      </c>
      <c r="AL966">
        <v>81.603302871616407</v>
      </c>
      <c r="AM966">
        <v>87.890789422012702</v>
      </c>
      <c r="AN966">
        <v>0.99999999491753699</v>
      </c>
    </row>
    <row r="967" spans="1:40" x14ac:dyDescent="0.25">
      <c r="A967" t="str">
        <f>"20190303170242843"</f>
        <v>20190303170242843</v>
      </c>
      <c r="B967" t="str">
        <f>"1551603762836749"</f>
        <v>1551603762836749</v>
      </c>
      <c r="C967" t="s">
        <v>40</v>
      </c>
      <c r="D967">
        <v>4.3435199999999998</v>
      </c>
      <c r="E967">
        <v>0.54450849999999995</v>
      </c>
      <c r="F967" t="s">
        <v>43</v>
      </c>
      <c r="G967">
        <v>-297.32279999999997</v>
      </c>
      <c r="H967">
        <v>0.93782699999999997</v>
      </c>
      <c r="I967">
        <v>367.64490000000001</v>
      </c>
      <c r="J967">
        <v>-297.89710000000002</v>
      </c>
      <c r="K967">
        <v>1.071769</v>
      </c>
      <c r="L967">
        <v>367.7629</v>
      </c>
      <c r="M967">
        <v>0.99988860000000002</v>
      </c>
      <c r="N967">
        <v>-1.474668E-2</v>
      </c>
      <c r="O967">
        <v>2.3294800000000001E-3</v>
      </c>
      <c r="P967">
        <v>0.99073739999999999</v>
      </c>
      <c r="Q967">
        <v>0.13142490000000001</v>
      </c>
      <c r="R967">
        <v>-3.4157449999999999E-2</v>
      </c>
      <c r="S967">
        <v>3.0758969999999999</v>
      </c>
      <c r="T967">
        <v>-0.46759489999999998</v>
      </c>
      <c r="U967">
        <v>-0.4079895</v>
      </c>
      <c r="V967">
        <v>3.6356010000000001E-2</v>
      </c>
      <c r="W967">
        <v>0.14604719999999999</v>
      </c>
      <c r="X967">
        <v>0.98860939999999997</v>
      </c>
      <c r="Y967">
        <v>0.13213629999999901</v>
      </c>
      <c r="Z967">
        <v>-1.124462E-2</v>
      </c>
      <c r="AA967">
        <v>0.99116780000000004</v>
      </c>
      <c r="AB967">
        <v>36</v>
      </c>
      <c r="AC967">
        <v>0.57430000000004999</v>
      </c>
      <c r="AD967">
        <v>-0.13394199999999901</v>
      </c>
      <c r="AE967">
        <v>-0.117999999999994</v>
      </c>
      <c r="AF967">
        <v>0.113418206037375</v>
      </c>
      <c r="AG967">
        <v>-0.13394199999999901</v>
      </c>
      <c r="AH967">
        <v>0.54555055973745503</v>
      </c>
      <c r="AI967">
        <v>103.516176229999</v>
      </c>
      <c r="AJ967">
        <v>78.255685224649795</v>
      </c>
      <c r="AK967">
        <v>0.57308774376580995</v>
      </c>
      <c r="AL967">
        <v>81.6020754607394</v>
      </c>
      <c r="AM967">
        <v>87.893902625419798</v>
      </c>
      <c r="AN967">
        <v>1.00000004492965</v>
      </c>
    </row>
    <row r="968" spans="1:40" x14ac:dyDescent="0.25">
      <c r="A968" t="str">
        <f>"20190303170242854"</f>
        <v>20190303170242854</v>
      </c>
      <c r="B968" t="str">
        <f>"1551603762846509"</f>
        <v>1551603762846509</v>
      </c>
      <c r="C968" t="s">
        <v>40</v>
      </c>
      <c r="D968">
        <v>4.3532739999999999</v>
      </c>
      <c r="E968">
        <v>0.54524649999999997</v>
      </c>
      <c r="F968" t="s">
        <v>43</v>
      </c>
      <c r="G968">
        <v>-297.01029999999997</v>
      </c>
      <c r="H968">
        <v>0.92209479999999999</v>
      </c>
      <c r="I968">
        <v>367.64109999999999</v>
      </c>
      <c r="J968">
        <v>-297.71289999999999</v>
      </c>
      <c r="K968">
        <v>1.071753</v>
      </c>
      <c r="L968">
        <v>367.76350000000002</v>
      </c>
      <c r="M968">
        <v>0.9998882</v>
      </c>
      <c r="N968">
        <v>-1.474492E-2</v>
      </c>
      <c r="O968">
        <v>2.4717960000000001E-3</v>
      </c>
      <c r="P968">
        <v>0.99084479999999997</v>
      </c>
      <c r="Q968">
        <v>0.1306745</v>
      </c>
      <c r="R968">
        <v>-3.3922969999999997E-2</v>
      </c>
      <c r="S968">
        <v>3.0825809999999998</v>
      </c>
      <c r="T968">
        <v>-0.52060439999999997</v>
      </c>
      <c r="U968">
        <v>-0.42163089999999998</v>
      </c>
      <c r="V968">
        <v>3.6268750000000002E-2</v>
      </c>
      <c r="W968">
        <v>0.145294799999999</v>
      </c>
      <c r="X968">
        <v>0.98872340000000003</v>
      </c>
      <c r="Y968">
        <v>0.1358781</v>
      </c>
      <c r="Z968">
        <v>-1.2732169999999999E-2</v>
      </c>
      <c r="AA968">
        <v>0.99064370000000002</v>
      </c>
      <c r="AB968">
        <v>36</v>
      </c>
      <c r="AC968">
        <v>0.70260000000001799</v>
      </c>
      <c r="AD968">
        <v>-0.14965819999999899</v>
      </c>
      <c r="AE968">
        <v>-0.122400000000027</v>
      </c>
      <c r="AF968">
        <v>0.11890067929249799</v>
      </c>
      <c r="AG968">
        <v>-0.14965819999999899</v>
      </c>
      <c r="AH968">
        <v>0.672673917824265</v>
      </c>
      <c r="AI968">
        <v>102.357477349966</v>
      </c>
      <c r="AJ968">
        <v>79.976035734547693</v>
      </c>
      <c r="AK968">
        <v>0.69930333052581894</v>
      </c>
      <c r="AL968">
        <v>81.645649071558907</v>
      </c>
      <c r="AM968">
        <v>87.899195080350097</v>
      </c>
      <c r="AN968">
        <v>0.999999981420581</v>
      </c>
    </row>
    <row r="969" spans="1:40" x14ac:dyDescent="0.25">
      <c r="A969" t="str">
        <f>"20190303170242865"</f>
        <v>20190303170242865</v>
      </c>
      <c r="B969" t="str">
        <f>"1551603762856269"</f>
        <v>1551603762856269</v>
      </c>
      <c r="C969" t="s">
        <v>40</v>
      </c>
      <c r="D969">
        <v>4.3558379999999897</v>
      </c>
      <c r="E969">
        <v>0.54589779999999999</v>
      </c>
      <c r="F969" t="s">
        <v>43</v>
      </c>
      <c r="G969">
        <v>-296.99889999999999</v>
      </c>
      <c r="H969">
        <v>0.94649170000000005</v>
      </c>
      <c r="I969">
        <v>367.6644</v>
      </c>
      <c r="J969">
        <v>-297.54059999999998</v>
      </c>
      <c r="K969">
        <v>1.071736</v>
      </c>
      <c r="L969">
        <v>367.76400000000001</v>
      </c>
      <c r="M969">
        <v>0.99988809999999995</v>
      </c>
      <c r="N969">
        <v>-1.474323E-2</v>
      </c>
      <c r="O969">
        <v>2.5899270000000001E-3</v>
      </c>
      <c r="P969">
        <v>0.99090060000000002</v>
      </c>
      <c r="Q969">
        <v>0.13019420000000001</v>
      </c>
      <c r="R969">
        <v>-3.4143069999999998E-2</v>
      </c>
      <c r="S969">
        <v>3.0845340000000001</v>
      </c>
      <c r="T969">
        <v>-0.54146589999999994</v>
      </c>
      <c r="U969">
        <v>-0.42611690000000002</v>
      </c>
      <c r="V969">
        <v>3.6611659999999997E-2</v>
      </c>
      <c r="W969">
        <v>0.14481260000000001</v>
      </c>
      <c r="X969">
        <v>0.98878149999999998</v>
      </c>
      <c r="Y969">
        <v>0.13714309999999999</v>
      </c>
      <c r="Z969">
        <v>-1.3326040000000001E-2</v>
      </c>
      <c r="AA969">
        <v>0.99046160000000005</v>
      </c>
      <c r="AB969">
        <v>36</v>
      </c>
      <c r="AC969">
        <v>0.54169999999999097</v>
      </c>
      <c r="AD969">
        <v>-0.1252443</v>
      </c>
      <c r="AE969">
        <v>-9.9600000000009403E-2</v>
      </c>
      <c r="AF969">
        <v>9.6036891816208295E-2</v>
      </c>
      <c r="AG969">
        <v>-0.1252443</v>
      </c>
      <c r="AH969">
        <v>0.514819818659631</v>
      </c>
      <c r="AI969">
        <v>103.449805099636</v>
      </c>
      <c r="AJ969">
        <v>79.433231412927299</v>
      </c>
      <c r="AK969">
        <v>0.53846881521304801</v>
      </c>
      <c r="AL969">
        <v>81.673572398273194</v>
      </c>
      <c r="AM969">
        <v>87.879475152788402</v>
      </c>
      <c r="AN969">
        <v>0.99999997875448199</v>
      </c>
    </row>
    <row r="970" spans="1:40" x14ac:dyDescent="0.25">
      <c r="A970" t="str">
        <f>"20190303170242876"</f>
        <v>20190303170242876</v>
      </c>
      <c r="B970" t="str">
        <f>"1551603762867006"</f>
        <v>1551603762867006</v>
      </c>
      <c r="C970" t="s">
        <v>40</v>
      </c>
      <c r="D970">
        <v>4.3314560000000002</v>
      </c>
      <c r="E970">
        <v>0.54648569999999996</v>
      </c>
      <c r="F970" t="s">
        <v>43</v>
      </c>
      <c r="G970">
        <v>-296.6927</v>
      </c>
      <c r="H970">
        <v>0.91807059999999996</v>
      </c>
      <c r="I970">
        <v>367.64569999999998</v>
      </c>
      <c r="J970">
        <v>-297.35419999999999</v>
      </c>
      <c r="K970">
        <v>1.0717179999999999</v>
      </c>
      <c r="L970">
        <v>367.76459999999997</v>
      </c>
      <c r="M970">
        <v>0.99988759999999999</v>
      </c>
      <c r="N970">
        <v>-1.474138E-2</v>
      </c>
      <c r="O970">
        <v>2.7141180000000002E-3</v>
      </c>
      <c r="P970">
        <v>0.99095440000000001</v>
      </c>
      <c r="Q970">
        <v>0.12971669999999999</v>
      </c>
      <c r="R970">
        <v>-3.4392699999999998E-2</v>
      </c>
      <c r="S970">
        <v>3.0862430000000001</v>
      </c>
      <c r="T970">
        <v>-0.55926350000000002</v>
      </c>
      <c r="U970">
        <v>-0.4309692</v>
      </c>
      <c r="V970">
        <v>3.6990259999999997E-2</v>
      </c>
      <c r="W970">
        <v>0.14433280000000001</v>
      </c>
      <c r="X970">
        <v>0.98883759999999998</v>
      </c>
      <c r="Y970">
        <v>0.1385517</v>
      </c>
      <c r="Z970">
        <v>-1.3874539999999999E-2</v>
      </c>
      <c r="AA970">
        <v>0.99025799999999997</v>
      </c>
      <c r="AB970">
        <v>36</v>
      </c>
      <c r="AC970">
        <v>0.66149999999998899</v>
      </c>
      <c r="AD970">
        <v>-0.15364739999999999</v>
      </c>
      <c r="AE970">
        <v>-0.118899999999996</v>
      </c>
      <c r="AF970">
        <v>0.11470071797249</v>
      </c>
      <c r="AG970">
        <v>-0.15364739999999999</v>
      </c>
      <c r="AH970">
        <v>0.62833700313701502</v>
      </c>
      <c r="AI970">
        <v>103.52579965533801</v>
      </c>
      <c r="AJ970">
        <v>79.654764747544903</v>
      </c>
      <c r="AK970">
        <v>0.65694076425608505</v>
      </c>
      <c r="AL970">
        <v>81.701355117532302</v>
      </c>
      <c r="AM970">
        <v>87.857688637380306</v>
      </c>
      <c r="AN970">
        <v>1.0000000178322299</v>
      </c>
    </row>
    <row r="971" spans="1:40" x14ac:dyDescent="0.25">
      <c r="A971" t="str">
        <f>"20190303170242888"</f>
        <v>20190303170242888</v>
      </c>
      <c r="B971" t="str">
        <f>"1551603762876765"</f>
        <v>1551603762876765</v>
      </c>
      <c r="C971" t="s">
        <v>40</v>
      </c>
      <c r="D971">
        <v>4.3370030000000002</v>
      </c>
      <c r="E971">
        <v>0.54703559999999996</v>
      </c>
      <c r="F971" t="s">
        <v>43</v>
      </c>
      <c r="G971">
        <v>-296.38529999999997</v>
      </c>
      <c r="H971">
        <v>0.89174629999999999</v>
      </c>
      <c r="I971">
        <v>367.62729999999999</v>
      </c>
      <c r="J971">
        <v>-297.1619</v>
      </c>
      <c r="K971">
        <v>1.0717019999999999</v>
      </c>
      <c r="L971">
        <v>367.76519999999999</v>
      </c>
      <c r="M971">
        <v>0.99988739999999998</v>
      </c>
      <c r="N971">
        <v>-1.4739459999999999E-2</v>
      </c>
      <c r="O971">
        <v>2.8281130000000002E-3</v>
      </c>
      <c r="P971">
        <v>0.99097219999999997</v>
      </c>
      <c r="Q971">
        <v>0.1294362</v>
      </c>
      <c r="R971">
        <v>-3.493723E-2</v>
      </c>
      <c r="S971">
        <v>3.0873719999999998</v>
      </c>
      <c r="T971">
        <v>-0.57363330000000001</v>
      </c>
      <c r="U971">
        <v>-0.43612669999999998</v>
      </c>
      <c r="V971">
        <v>3.7653529999999998E-2</v>
      </c>
      <c r="W971">
        <v>0.1440497</v>
      </c>
      <c r="X971">
        <v>0.9888538</v>
      </c>
      <c r="Y971">
        <v>0.14008880000000001</v>
      </c>
      <c r="Z971">
        <v>-1.4365889999999999E-2</v>
      </c>
      <c r="AA971">
        <v>0.99003470000000005</v>
      </c>
      <c r="AB971">
        <v>36</v>
      </c>
      <c r="AC971">
        <v>0.77660000000003004</v>
      </c>
      <c r="AD971">
        <v>-0.1799557</v>
      </c>
      <c r="AE971">
        <v>-0.13790000000000099</v>
      </c>
      <c r="AF971">
        <v>0.13316426415185301</v>
      </c>
      <c r="AG971">
        <v>-0.1799557</v>
      </c>
      <c r="AH971">
        <v>0.737801328881042</v>
      </c>
      <c r="AI971">
        <v>103.497348204286</v>
      </c>
      <c r="AJ971">
        <v>79.768947390242602</v>
      </c>
      <c r="AK971">
        <v>0.77101723463760896</v>
      </c>
      <c r="AL971">
        <v>81.717746458800804</v>
      </c>
      <c r="AM971">
        <v>87.819347439311898</v>
      </c>
      <c r="AN971">
        <v>0.99999997108299499</v>
      </c>
    </row>
    <row r="972" spans="1:40" x14ac:dyDescent="0.25">
      <c r="A972" t="str">
        <f>"20190303170242900"</f>
        <v>20190303170242900</v>
      </c>
      <c r="B972" t="str">
        <f>"1551603762886525"</f>
        <v>1551603762886525</v>
      </c>
      <c r="C972" t="s">
        <v>40</v>
      </c>
      <c r="D972">
        <v>4.3479739999999998</v>
      </c>
      <c r="E972">
        <v>0.54750149999999997</v>
      </c>
      <c r="F972" t="s">
        <v>43</v>
      </c>
      <c r="G972">
        <v>-296.3716</v>
      </c>
      <c r="H972">
        <v>0.9219811</v>
      </c>
      <c r="I972">
        <v>367.65190000000001</v>
      </c>
      <c r="J972">
        <v>-296.99709999999999</v>
      </c>
      <c r="K972">
        <v>1.0716870000000001</v>
      </c>
      <c r="L972">
        <v>367.76580000000001</v>
      </c>
      <c r="M972">
        <v>0.99988710000000003</v>
      </c>
      <c r="N972">
        <v>-1.4737800000000001E-2</v>
      </c>
      <c r="O972">
        <v>2.9209919999999999E-3</v>
      </c>
      <c r="P972">
        <v>0.99095540000000004</v>
      </c>
      <c r="Q972">
        <v>0.12951289999999999</v>
      </c>
      <c r="R972">
        <v>-3.5128159999999999E-2</v>
      </c>
      <c r="S972">
        <v>3.0882260000000001</v>
      </c>
      <c r="T972">
        <v>-0.58532430000000002</v>
      </c>
      <c r="U972">
        <v>-0.44174190000000002</v>
      </c>
      <c r="V972">
        <v>3.7940990000000001E-2</v>
      </c>
      <c r="W972">
        <v>0.14412329999999901</v>
      </c>
      <c r="X972">
        <v>0.98883209999999999</v>
      </c>
      <c r="Y972">
        <v>0.14177429999999999</v>
      </c>
      <c r="Z972">
        <v>-1.481472E-2</v>
      </c>
      <c r="AA972">
        <v>0.98978820000000001</v>
      </c>
      <c r="AB972">
        <v>36</v>
      </c>
      <c r="AC972">
        <v>0.62549999999998795</v>
      </c>
      <c r="AD972">
        <v>-0.1497059</v>
      </c>
      <c r="AE972">
        <v>-0.1139</v>
      </c>
      <c r="AF972">
        <v>0.10964747377041401</v>
      </c>
      <c r="AG972">
        <v>-0.1497059</v>
      </c>
      <c r="AH972">
        <v>0.59232366712134299</v>
      </c>
      <c r="AI972">
        <v>103.956470974152</v>
      </c>
      <c r="AJ972">
        <v>79.512459826805596</v>
      </c>
      <c r="AK972">
        <v>0.620710682710649</v>
      </c>
      <c r="AL972">
        <v>81.713485122379097</v>
      </c>
      <c r="AM972">
        <v>87.802667671514399</v>
      </c>
      <c r="AN972">
        <v>0.99999998315773897</v>
      </c>
    </row>
    <row r="973" spans="1:40" x14ac:dyDescent="0.25">
      <c r="A973" t="str">
        <f>"20190303170242911"</f>
        <v>20190303170242911</v>
      </c>
      <c r="B973" t="str">
        <f>"1551603762896285"</f>
        <v>1551603762896285</v>
      </c>
      <c r="C973" t="s">
        <v>40</v>
      </c>
      <c r="D973">
        <v>4.3309920000000002</v>
      </c>
      <c r="E973">
        <v>0.54782619999999904</v>
      </c>
      <c r="F973" t="s">
        <v>43</v>
      </c>
      <c r="G973">
        <v>-296.06599999999997</v>
      </c>
      <c r="H973">
        <v>0.89264709999999903</v>
      </c>
      <c r="I973">
        <v>367.63159999999999</v>
      </c>
      <c r="J973">
        <v>-296.8073</v>
      </c>
      <c r="K973">
        <v>1.0716749999999999</v>
      </c>
      <c r="L973">
        <v>367.76639999999998</v>
      </c>
      <c r="M973">
        <v>0.99988679999999996</v>
      </c>
      <c r="N973">
        <v>-1.473588E-2</v>
      </c>
      <c r="O973">
        <v>3.0199239999999998E-3</v>
      </c>
      <c r="P973">
        <v>0.99092250000000004</v>
      </c>
      <c r="Q973">
        <v>0.1296891</v>
      </c>
      <c r="R973">
        <v>-3.5400870000000001E-2</v>
      </c>
      <c r="S973">
        <v>3.089264</v>
      </c>
      <c r="T973">
        <v>-0.59397769999999905</v>
      </c>
      <c r="U973">
        <v>-0.44537349999999998</v>
      </c>
      <c r="V973">
        <v>3.8317030000000002E-2</v>
      </c>
      <c r="W973">
        <v>0.14429600000000001</v>
      </c>
      <c r="X973">
        <v>0.98879240000000002</v>
      </c>
      <c r="Y973">
        <v>0.14286769999999999</v>
      </c>
      <c r="Z973">
        <v>-1.5138769999999999E-2</v>
      </c>
      <c r="AA973">
        <v>0.98962600000000001</v>
      </c>
      <c r="AB973">
        <v>36</v>
      </c>
      <c r="AC973">
        <v>0.74130000000002305</v>
      </c>
      <c r="AD973">
        <v>-0.17902789999999999</v>
      </c>
      <c r="AE973">
        <v>-0.13479999999998399</v>
      </c>
      <c r="AF973">
        <v>0.12971486383536901</v>
      </c>
      <c r="AG973">
        <v>-0.17902789999999999</v>
      </c>
      <c r="AH973">
        <v>0.70129577298569101</v>
      </c>
      <c r="AI973">
        <v>104.091433838456</v>
      </c>
      <c r="AJ973">
        <v>79.520745253869805</v>
      </c>
      <c r="AK973">
        <v>0.735318091771062</v>
      </c>
      <c r="AL973">
        <v>81.703485510825999</v>
      </c>
      <c r="AM973">
        <v>87.780822172499199</v>
      </c>
      <c r="AN973">
        <v>0.99999997035089006</v>
      </c>
    </row>
    <row r="974" spans="1:40" x14ac:dyDescent="0.25">
      <c r="A974" t="str">
        <f>"20190303170242923"</f>
        <v>20190303170242923</v>
      </c>
      <c r="B974" t="str">
        <f>"1551603762916782"</f>
        <v>1551603762916782</v>
      </c>
      <c r="C974" t="s">
        <v>40</v>
      </c>
      <c r="D974">
        <v>4.3614350000000002</v>
      </c>
      <c r="E974">
        <v>0.5486183</v>
      </c>
      <c r="F974" t="s">
        <v>43</v>
      </c>
      <c r="G974">
        <v>-296.0514</v>
      </c>
      <c r="H974">
        <v>0.92474270000000003</v>
      </c>
      <c r="I974">
        <v>367.65679999999998</v>
      </c>
      <c r="J974">
        <v>-296.61110000000002</v>
      </c>
      <c r="K974">
        <v>1.0716619999999999</v>
      </c>
      <c r="L974">
        <v>367.7672</v>
      </c>
      <c r="M974">
        <v>0.99988659999999996</v>
      </c>
      <c r="N974">
        <v>-1.473388E-2</v>
      </c>
      <c r="O974">
        <v>3.1142790000000002E-3</v>
      </c>
      <c r="P974">
        <v>0.99092979999999997</v>
      </c>
      <c r="Q974">
        <v>0.1294998</v>
      </c>
      <c r="R974">
        <v>-3.5889509999999999E-2</v>
      </c>
      <c r="S974">
        <v>3.0900270000000001</v>
      </c>
      <c r="T974">
        <v>-0.60059479999999998</v>
      </c>
      <c r="U974">
        <v>-0.4484863</v>
      </c>
      <c r="V974">
        <v>3.8904130000000002E-2</v>
      </c>
      <c r="W974">
        <v>0.14410339999999999</v>
      </c>
      <c r="X974">
        <v>0.98879760000000005</v>
      </c>
      <c r="Y974">
        <v>0.14382410000000001</v>
      </c>
      <c r="Z974">
        <v>-1.5404370000000001E-2</v>
      </c>
      <c r="AA974">
        <v>0.98948340000000001</v>
      </c>
      <c r="AB974">
        <v>36</v>
      </c>
      <c r="AC974">
        <v>0.55970000000001996</v>
      </c>
      <c r="AD974">
        <v>-0.1469193</v>
      </c>
      <c r="AE974">
        <v>-0.11040000000002601</v>
      </c>
      <c r="AF974">
        <v>0.10516758539153299</v>
      </c>
      <c r="AG974">
        <v>-0.1469193</v>
      </c>
      <c r="AH974">
        <v>0.52456237931604</v>
      </c>
      <c r="AI974">
        <v>105.355745377264</v>
      </c>
      <c r="AJ974">
        <v>78.663277188446003</v>
      </c>
      <c r="AK974">
        <v>0.55480734631336703</v>
      </c>
      <c r="AL974">
        <v>81.714637539209093</v>
      </c>
      <c r="AM974">
        <v>87.746866172719606</v>
      </c>
      <c r="AN974">
        <v>1.0000000074941799</v>
      </c>
    </row>
    <row r="975" spans="1:40" x14ac:dyDescent="0.25">
      <c r="A975" t="str">
        <f>"20190303170242934"</f>
        <v>20190303170242934</v>
      </c>
      <c r="B975" t="str">
        <f>"1551603762926541"</f>
        <v>1551603762926541</v>
      </c>
      <c r="C975" t="s">
        <v>40</v>
      </c>
      <c r="D975">
        <v>4.3557649999999999</v>
      </c>
      <c r="E975">
        <v>0.548925</v>
      </c>
      <c r="F975" t="s">
        <v>43</v>
      </c>
      <c r="G975">
        <v>-295.74430000000001</v>
      </c>
      <c r="H975">
        <v>0.89972030000000003</v>
      </c>
      <c r="I975">
        <v>367.63940000000002</v>
      </c>
      <c r="J975">
        <v>-296.43400000000003</v>
      </c>
      <c r="K975">
        <v>1.071653</v>
      </c>
      <c r="L975">
        <v>367.76780000000002</v>
      </c>
      <c r="M975">
        <v>0.99988630000000001</v>
      </c>
      <c r="N975">
        <v>-1.473207E-2</v>
      </c>
      <c r="O975">
        <v>3.1965650000000002E-3</v>
      </c>
      <c r="P975">
        <v>0.99089519999999998</v>
      </c>
      <c r="Q975">
        <v>0.12959849999999901</v>
      </c>
      <c r="R975">
        <v>-3.648386E-2</v>
      </c>
      <c r="S975">
        <v>3.0910639999999998</v>
      </c>
      <c r="T975">
        <v>-0.61317029999999995</v>
      </c>
      <c r="U975">
        <v>-0.45547490000000002</v>
      </c>
      <c r="V975">
        <v>3.9584179999999997E-2</v>
      </c>
      <c r="W975">
        <v>0.14419870000000001</v>
      </c>
      <c r="X975">
        <v>0.98875670000000004</v>
      </c>
      <c r="Y975">
        <v>0.145890299999999</v>
      </c>
      <c r="Z975">
        <v>-1.5925350000000001E-2</v>
      </c>
      <c r="AA975">
        <v>0.98917259999999996</v>
      </c>
      <c r="AB975">
        <v>36</v>
      </c>
      <c r="AC975">
        <v>0.68970000000001597</v>
      </c>
      <c r="AD975">
        <v>-0.17193269999999899</v>
      </c>
      <c r="AE975">
        <v>-0.12839999999999899</v>
      </c>
      <c r="AF975">
        <v>0.12320435905777501</v>
      </c>
      <c r="AG975">
        <v>-0.17193269999999899</v>
      </c>
      <c r="AH975">
        <v>0.65023179675953302</v>
      </c>
      <c r="AI975">
        <v>104.563220370921</v>
      </c>
      <c r="AJ975">
        <v>79.2709242244471</v>
      </c>
      <c r="AK975">
        <v>0.68377010532580196</v>
      </c>
      <c r="AL975">
        <v>81.709119492038795</v>
      </c>
      <c r="AM975">
        <v>87.707427990418495</v>
      </c>
      <c r="AN975">
        <v>0.99999999209142598</v>
      </c>
    </row>
    <row r="976" spans="1:40" x14ac:dyDescent="0.25">
      <c r="A976" t="str">
        <f>"20190303170242945"</f>
        <v>20190303170242945</v>
      </c>
      <c r="B976" t="str">
        <f>"1551603762937277"</f>
        <v>1551603762937277</v>
      </c>
      <c r="C976" t="s">
        <v>40</v>
      </c>
      <c r="D976">
        <v>4.3463539999999998</v>
      </c>
      <c r="E976">
        <v>0.54921319999999996</v>
      </c>
      <c r="F976" t="s">
        <v>43</v>
      </c>
      <c r="G976">
        <v>-295.72989999999999</v>
      </c>
      <c r="H976">
        <v>0.93090249999999997</v>
      </c>
      <c r="I976">
        <v>367.66320000000002</v>
      </c>
      <c r="J976">
        <v>-296.26100000000002</v>
      </c>
      <c r="K976">
        <v>1.071642</v>
      </c>
      <c r="L976">
        <v>367.76839999999999</v>
      </c>
      <c r="M976">
        <v>0.99988630000000001</v>
      </c>
      <c r="N976">
        <v>-1.473026E-2</v>
      </c>
      <c r="O976">
        <v>3.2679060000000001E-3</v>
      </c>
      <c r="P976">
        <v>0.99089720000000003</v>
      </c>
      <c r="Q976">
        <v>0.1295026</v>
      </c>
      <c r="R976">
        <v>-3.6772359999999997E-2</v>
      </c>
      <c r="S976">
        <v>3.0915219999999999</v>
      </c>
      <c r="T976">
        <v>-0.6180812</v>
      </c>
      <c r="U976">
        <v>-0.45904539999999999</v>
      </c>
      <c r="V976">
        <v>3.9947179999999999E-2</v>
      </c>
      <c r="W976">
        <v>0.1441006</v>
      </c>
      <c r="X976">
        <v>0.98875639999999998</v>
      </c>
      <c r="Y976">
        <v>0.14698800000000001</v>
      </c>
      <c r="Z976">
        <v>-1.6168310000000002E-2</v>
      </c>
      <c r="AA976">
        <v>0.9890061</v>
      </c>
      <c r="AB976">
        <v>36</v>
      </c>
      <c r="AC976">
        <v>0.53109999999998003</v>
      </c>
      <c r="AD976">
        <v>-0.14073949999999999</v>
      </c>
      <c r="AE976">
        <v>-0.105199999999968</v>
      </c>
      <c r="AF976">
        <v>0.100166763319091</v>
      </c>
      <c r="AG976">
        <v>-0.14073949999999999</v>
      </c>
      <c r="AH976">
        <v>0.497159391086827</v>
      </c>
      <c r="AI976">
        <v>105.5099064388</v>
      </c>
      <c r="AJ976">
        <v>78.608655350484895</v>
      </c>
      <c r="AK976">
        <v>0.52631591984272896</v>
      </c>
      <c r="AL976">
        <v>81.714799507877402</v>
      </c>
      <c r="AM976">
        <v>87.686426388602598</v>
      </c>
      <c r="AN976">
        <v>0.99999998932563605</v>
      </c>
    </row>
    <row r="977" spans="1:40" x14ac:dyDescent="0.25">
      <c r="A977" t="str">
        <f>"20190303170242957"</f>
        <v>20190303170242957</v>
      </c>
      <c r="B977" t="str">
        <f>"1551603762947036"</f>
        <v>1551603762947036</v>
      </c>
      <c r="C977" t="s">
        <v>40</v>
      </c>
      <c r="D977">
        <v>4.3366009999999999</v>
      </c>
      <c r="E977">
        <v>0.54948200000000003</v>
      </c>
      <c r="F977" t="s">
        <v>43</v>
      </c>
      <c r="G977">
        <v>-295.42450000000002</v>
      </c>
      <c r="H977">
        <v>0.90320599999999995</v>
      </c>
      <c r="I977">
        <v>367.64339999999999</v>
      </c>
      <c r="J977">
        <v>-296.0797</v>
      </c>
      <c r="K977">
        <v>1.0716300000000001</v>
      </c>
      <c r="L977">
        <v>367.76909999999998</v>
      </c>
      <c r="M977">
        <v>0.99988600000000005</v>
      </c>
      <c r="N977">
        <v>-1.4728359999999999E-2</v>
      </c>
      <c r="O977">
        <v>3.3410900000000001E-3</v>
      </c>
      <c r="P977">
        <v>0.99088480000000001</v>
      </c>
      <c r="Q977">
        <v>0.1295019</v>
      </c>
      <c r="R977">
        <v>-3.710331E-2</v>
      </c>
      <c r="S977">
        <v>3.0917659999999998</v>
      </c>
      <c r="T977">
        <v>-0.62258649999999904</v>
      </c>
      <c r="U977">
        <v>-0.46182250000000002</v>
      </c>
      <c r="V977">
        <v>4.035482E-2</v>
      </c>
      <c r="W977">
        <v>0.1440968</v>
      </c>
      <c r="X977">
        <v>0.98874039999999996</v>
      </c>
      <c r="Y977">
        <v>0.14785570000000001</v>
      </c>
      <c r="Z977">
        <v>-1.63803E-2</v>
      </c>
      <c r="AA977">
        <v>0.98887329999999996</v>
      </c>
      <c r="AB977">
        <v>36</v>
      </c>
      <c r="AC977">
        <v>0.65519999999997902</v>
      </c>
      <c r="AD977">
        <v>-0.16842399999999899</v>
      </c>
      <c r="AE977">
        <v>-0.12569999999999401</v>
      </c>
      <c r="AF977">
        <v>0.120226269318747</v>
      </c>
      <c r="AG977">
        <v>-0.16842399999999899</v>
      </c>
      <c r="AH977">
        <v>0.61554590045589397</v>
      </c>
      <c r="AI977">
        <v>105.031737226112</v>
      </c>
      <c r="AJ977">
        <v>78.948322350537396</v>
      </c>
      <c r="AK977">
        <v>0.64939799443666402</v>
      </c>
      <c r="AL977">
        <v>81.715019524820406</v>
      </c>
      <c r="AM977">
        <v>87.662805854034403</v>
      </c>
      <c r="AN977">
        <v>0.99999998892981601</v>
      </c>
    </row>
    <row r="978" spans="1:40" x14ac:dyDescent="0.25">
      <c r="A978" t="str">
        <f>"20190303170242969"</f>
        <v>20190303170242969</v>
      </c>
      <c r="B978" t="str">
        <f>"1551603762956797"</f>
        <v>1551603762956797</v>
      </c>
      <c r="C978" t="s">
        <v>40</v>
      </c>
      <c r="D978">
        <v>4.347353</v>
      </c>
      <c r="E978">
        <v>0.54968700000000004</v>
      </c>
      <c r="F978" t="s">
        <v>43</v>
      </c>
      <c r="G978">
        <v>-295.11810000000003</v>
      </c>
      <c r="H978">
        <v>0.87674560000000001</v>
      </c>
      <c r="I978">
        <v>367.6241</v>
      </c>
      <c r="J978">
        <v>-295.88600000000002</v>
      </c>
      <c r="K978">
        <v>1.07162</v>
      </c>
      <c r="L978">
        <v>367.76979999999998</v>
      </c>
      <c r="M978">
        <v>0.99988580000000005</v>
      </c>
      <c r="N978">
        <v>-1.4726319999999999E-2</v>
      </c>
      <c r="O978">
        <v>3.4108770000000001E-3</v>
      </c>
      <c r="P978">
        <v>0.99088259999999995</v>
      </c>
      <c r="Q978">
        <v>0.12944020000000001</v>
      </c>
      <c r="R978">
        <v>-3.7382329999999998E-2</v>
      </c>
      <c r="S978">
        <v>3.0921020000000001</v>
      </c>
      <c r="T978">
        <v>-0.62685930000000001</v>
      </c>
      <c r="U978">
        <v>-0.4650879</v>
      </c>
      <c r="V978">
        <v>4.0706720000000002E-2</v>
      </c>
      <c r="W978">
        <v>0.14403170000000001</v>
      </c>
      <c r="X978">
        <v>0.98873540000000004</v>
      </c>
      <c r="Y978">
        <v>0.14886679999999999</v>
      </c>
      <c r="Z978">
        <v>-1.660209E-2</v>
      </c>
      <c r="AA978">
        <v>0.98871790000000004</v>
      </c>
      <c r="AB978">
        <v>36</v>
      </c>
      <c r="AC978">
        <v>0.76789999999993996</v>
      </c>
      <c r="AD978">
        <v>-0.1948744</v>
      </c>
      <c r="AE978">
        <v>-0.14569999999997599</v>
      </c>
      <c r="AF978">
        <v>0.139638156535595</v>
      </c>
      <c r="AG978">
        <v>-0.1948744</v>
      </c>
      <c r="AH978">
        <v>0.72248577465496999</v>
      </c>
      <c r="AI978">
        <v>104.832948958758</v>
      </c>
      <c r="AJ978">
        <v>79.061057979760406</v>
      </c>
      <c r="AK978">
        <v>0.76122305608462204</v>
      </c>
      <c r="AL978">
        <v>81.718788303776606</v>
      </c>
      <c r="AM978">
        <v>87.642436163800397</v>
      </c>
      <c r="AN978">
        <v>0.99999992943560101</v>
      </c>
    </row>
    <row r="979" spans="1:40" x14ac:dyDescent="0.25">
      <c r="A979" t="str">
        <f>"20190303170242983"</f>
        <v>20190303170242983</v>
      </c>
      <c r="B979" t="str">
        <f>"1551603762976316"</f>
        <v>1551603762976316</v>
      </c>
      <c r="C979" t="s">
        <v>40</v>
      </c>
      <c r="D979">
        <v>4.3566289999999999</v>
      </c>
      <c r="E979">
        <v>0.54999889999999996</v>
      </c>
      <c r="F979" t="s">
        <v>43</v>
      </c>
      <c r="G979">
        <v>-295.1026</v>
      </c>
      <c r="H979">
        <v>0.91194810000000004</v>
      </c>
      <c r="I979">
        <v>367.65100000000001</v>
      </c>
      <c r="J979">
        <v>-295.68270000000001</v>
      </c>
      <c r="K979">
        <v>1.071609</v>
      </c>
      <c r="L979">
        <v>367.7706</v>
      </c>
      <c r="M979">
        <v>0.99988560000000004</v>
      </c>
      <c r="N979">
        <v>-1.472417E-2</v>
      </c>
      <c r="O979">
        <v>3.4793490000000001E-3</v>
      </c>
      <c r="P979">
        <v>0.99092400000000003</v>
      </c>
      <c r="Q979">
        <v>0.12911439999999999</v>
      </c>
      <c r="R979">
        <v>-3.7407250000000003E-2</v>
      </c>
      <c r="S979">
        <v>3.092346</v>
      </c>
      <c r="T979">
        <v>-0.63046599999999997</v>
      </c>
      <c r="U979">
        <v>-0.46725460000000002</v>
      </c>
      <c r="V979">
        <v>4.0804140000000003E-2</v>
      </c>
      <c r="W979">
        <v>0.14370329999999901</v>
      </c>
      <c r="X979">
        <v>0.98877919999999997</v>
      </c>
      <c r="Y979">
        <v>0.1495494</v>
      </c>
      <c r="Z979">
        <v>-1.6774130000000002E-2</v>
      </c>
      <c r="AA979">
        <v>0.98861189999999999</v>
      </c>
      <c r="AB979">
        <v>36</v>
      </c>
      <c r="AC979">
        <v>0.58010000000001505</v>
      </c>
      <c r="AD979">
        <v>-0.15966089999999999</v>
      </c>
      <c r="AE979">
        <v>-0.11959999999999101</v>
      </c>
      <c r="AF979">
        <v>0.11337939210756399</v>
      </c>
      <c r="AG979">
        <v>-0.15966089999999999</v>
      </c>
      <c r="AH979">
        <v>0.54041239323495305</v>
      </c>
      <c r="AI979">
        <v>106.12709695349299</v>
      </c>
      <c r="AJ979">
        <v>78.151107917778702</v>
      </c>
      <c r="AK979">
        <v>0.57479739413589903</v>
      </c>
      <c r="AL979">
        <v>81.737802305093894</v>
      </c>
      <c r="AM979">
        <v>87.636904956035707</v>
      </c>
      <c r="AN979">
        <v>0.99999996131233404</v>
      </c>
    </row>
    <row r="980" spans="1:40" x14ac:dyDescent="0.25">
      <c r="A980" t="str">
        <f>"20190303170242997"</f>
        <v>20190303170242997</v>
      </c>
      <c r="B980" t="str">
        <f>"1551603762987053"</f>
        <v>1551603762987053</v>
      </c>
      <c r="C980" t="s">
        <v>40</v>
      </c>
      <c r="D980">
        <v>4.3692359999999999</v>
      </c>
      <c r="E980">
        <v>0.55015080000000005</v>
      </c>
      <c r="F980" t="s">
        <v>43</v>
      </c>
      <c r="G980">
        <v>-294.79559999999998</v>
      </c>
      <c r="H980">
        <v>0.88868559999999996</v>
      </c>
      <c r="I980">
        <v>367.63569999999999</v>
      </c>
      <c r="J980">
        <v>-295.44389999999999</v>
      </c>
      <c r="K980">
        <v>1.071599</v>
      </c>
      <c r="L980">
        <v>367.7715</v>
      </c>
      <c r="M980">
        <v>0.99988529999999998</v>
      </c>
      <c r="N980">
        <v>-1.4721629999999999E-2</v>
      </c>
      <c r="O980">
        <v>3.5536949999999999E-3</v>
      </c>
      <c r="P980">
        <v>0.99089519999999998</v>
      </c>
      <c r="Q980">
        <v>0.12934519999999999</v>
      </c>
      <c r="R980">
        <v>-3.7372790000000003E-2</v>
      </c>
      <c r="S980">
        <v>3.0928960000000001</v>
      </c>
      <c r="T980">
        <v>-0.63781449999999995</v>
      </c>
      <c r="U980">
        <v>-0.46966550000000001</v>
      </c>
      <c r="V980">
        <v>4.0847729999999999E-2</v>
      </c>
      <c r="W980">
        <v>0.14393029999999901</v>
      </c>
      <c r="X980">
        <v>0.98874439999999997</v>
      </c>
      <c r="Y980">
        <v>0.1502608</v>
      </c>
      <c r="Z980">
        <v>-1.7041529999999999E-2</v>
      </c>
      <c r="AA980">
        <v>0.98849949999999998</v>
      </c>
      <c r="AB980">
        <v>36</v>
      </c>
      <c r="AC980">
        <v>0.64830000000000598</v>
      </c>
      <c r="AD980">
        <v>-0.1829134</v>
      </c>
      <c r="AE980">
        <v>-0.13580000000001699</v>
      </c>
      <c r="AF980">
        <v>0.12831790007535299</v>
      </c>
      <c r="AG980">
        <v>-0.1829134</v>
      </c>
      <c r="AH980">
        <v>0.60191223470543698</v>
      </c>
      <c r="AI980">
        <v>106.552398575998</v>
      </c>
      <c r="AJ980">
        <v>77.965623191030502</v>
      </c>
      <c r="AK980">
        <v>0.64204449508379202</v>
      </c>
      <c r="AL980">
        <v>81.724659677229695</v>
      </c>
      <c r="AM980">
        <v>87.634300223535305</v>
      </c>
      <c r="AN980">
        <v>0.99999997841780097</v>
      </c>
    </row>
    <row r="981" spans="1:40" x14ac:dyDescent="0.25">
      <c r="A981" t="str">
        <f>"20190303170243020"</f>
        <v>20190303170243020</v>
      </c>
      <c r="B981" t="str">
        <f>"1551603763006574"</f>
        <v>1551603763006574</v>
      </c>
      <c r="C981" t="s">
        <v>40</v>
      </c>
      <c r="D981">
        <v>4.3548549999999997</v>
      </c>
      <c r="E981">
        <v>0.55041949999999995</v>
      </c>
      <c r="F981" t="s">
        <v>43</v>
      </c>
      <c r="G981">
        <v>-294.48489999999998</v>
      </c>
      <c r="H981">
        <v>0.87326999999999999</v>
      </c>
      <c r="I981">
        <v>367.62509999999997</v>
      </c>
      <c r="J981">
        <v>-295.08789999999999</v>
      </c>
      <c r="K981">
        <v>1.071585</v>
      </c>
      <c r="L981">
        <v>367.77289999999999</v>
      </c>
      <c r="M981">
        <v>0.99988509999999997</v>
      </c>
      <c r="N981">
        <v>-1.4717849999999999E-2</v>
      </c>
      <c r="O981">
        <v>3.6488039999999998E-3</v>
      </c>
      <c r="P981">
        <v>0.99084119999999998</v>
      </c>
      <c r="Q981">
        <v>0.12993339999999901</v>
      </c>
      <c r="R981">
        <v>-3.6759649999999998E-2</v>
      </c>
      <c r="S981">
        <v>3.0933229999999998</v>
      </c>
      <c r="T981">
        <v>-0.63975479999999996</v>
      </c>
      <c r="U981">
        <v>-0.47103879999999998</v>
      </c>
      <c r="V981">
        <v>4.0335280000000001E-2</v>
      </c>
      <c r="W981">
        <v>0.14451159999999999</v>
      </c>
      <c r="X981">
        <v>0.98868069999999997</v>
      </c>
      <c r="Y981">
        <v>0.15073259999999999</v>
      </c>
      <c r="Z981">
        <v>-1.7155810000000001E-2</v>
      </c>
      <c r="AA981">
        <v>0.98842569999999996</v>
      </c>
      <c r="AB981">
        <v>36</v>
      </c>
      <c r="AC981">
        <v>0.60300000000000797</v>
      </c>
      <c r="AD981">
        <v>-0.19831499999999899</v>
      </c>
      <c r="AE981">
        <v>-0.147800000000017</v>
      </c>
      <c r="AF981">
        <v>0.13611166251918699</v>
      </c>
      <c r="AG981">
        <v>-0.19831499999999899</v>
      </c>
      <c r="AH981">
        <v>0.54667771106540897</v>
      </c>
      <c r="AI981">
        <v>109.392941838426</v>
      </c>
      <c r="AJ981">
        <v>76.018788863989997</v>
      </c>
      <c r="AK981">
        <v>0.59725350034508096</v>
      </c>
      <c r="AL981">
        <v>81.691002210991101</v>
      </c>
      <c r="AM981">
        <v>87.663795377331894</v>
      </c>
      <c r="AN981">
        <v>1.0000000319498601</v>
      </c>
    </row>
    <row r="982" spans="1:40" x14ac:dyDescent="0.25">
      <c r="A982" t="str">
        <f>"20190303170243035"</f>
        <v>20190303170243035</v>
      </c>
      <c r="B982" t="str">
        <f>"1551603763027069"</f>
        <v>1551603763027069</v>
      </c>
      <c r="C982" t="s">
        <v>40</v>
      </c>
      <c r="D982">
        <v>4.3430849999999896</v>
      </c>
      <c r="E982">
        <v>0.55060500000000001</v>
      </c>
      <c r="F982" t="s">
        <v>43</v>
      </c>
      <c r="G982">
        <v>-294.16539999999998</v>
      </c>
      <c r="H982">
        <v>0.8800074</v>
      </c>
      <c r="I982">
        <v>367.63240000000002</v>
      </c>
      <c r="J982">
        <v>-294.83929999999998</v>
      </c>
      <c r="K982">
        <v>1.0715680000000001</v>
      </c>
      <c r="L982">
        <v>367.77379999999999</v>
      </c>
      <c r="M982">
        <v>0.99988489999999997</v>
      </c>
      <c r="N982">
        <v>-1.4715270000000001E-2</v>
      </c>
      <c r="O982">
        <v>3.707297E-3</v>
      </c>
      <c r="P982">
        <v>0.99079980000000001</v>
      </c>
      <c r="Q982">
        <v>0.1303684</v>
      </c>
      <c r="R982">
        <v>-3.6333999999999998E-2</v>
      </c>
      <c r="S982">
        <v>3.0945429999999998</v>
      </c>
      <c r="T982">
        <v>-0.64278290000000005</v>
      </c>
      <c r="U982">
        <v>-0.47116089999999999</v>
      </c>
      <c r="V982">
        <v>3.9971960000000001E-2</v>
      </c>
      <c r="W982">
        <v>0.14494189999999901</v>
      </c>
      <c r="X982">
        <v>0.98863239999999997</v>
      </c>
      <c r="Y982">
        <v>0.15074079999999901</v>
      </c>
      <c r="Z982">
        <v>-1.7236069999999999E-2</v>
      </c>
      <c r="AA982">
        <v>0.98842300000000005</v>
      </c>
      <c r="AB982">
        <v>35</v>
      </c>
      <c r="AC982">
        <v>0.67390000000000305</v>
      </c>
      <c r="AD982">
        <v>-0.1915606</v>
      </c>
      <c r="AE982">
        <v>-0.14139999999997599</v>
      </c>
      <c r="AF982">
        <v>0.133560774068435</v>
      </c>
      <c r="AG982">
        <v>-0.1915606</v>
      </c>
      <c r="AH982">
        <v>0.62499955907302895</v>
      </c>
      <c r="AI982">
        <v>106.685037992308</v>
      </c>
      <c r="AJ982">
        <v>77.937475458009004</v>
      </c>
      <c r="AK982">
        <v>0.66720191297957199</v>
      </c>
      <c r="AL982">
        <v>81.666084962235303</v>
      </c>
      <c r="AM982">
        <v>87.684702749947803</v>
      </c>
      <c r="AN982">
        <v>0.99999996714580497</v>
      </c>
    </row>
    <row r="983" spans="1:40" x14ac:dyDescent="0.25">
      <c r="A983" t="str">
        <f>"20190303170243048"</f>
        <v>20190303170243048</v>
      </c>
      <c r="B983" t="str">
        <f>"1551603763036829"</f>
        <v>1551603763036829</v>
      </c>
      <c r="C983" t="s">
        <v>40</v>
      </c>
      <c r="D983">
        <v>4.354908</v>
      </c>
      <c r="E983">
        <v>0.55066669999999995</v>
      </c>
      <c r="F983" t="s">
        <v>43</v>
      </c>
      <c r="G983">
        <v>-293.8544</v>
      </c>
      <c r="H983">
        <v>0.86633539999999998</v>
      </c>
      <c r="I983">
        <v>367.62360000000001</v>
      </c>
      <c r="J983">
        <v>-294.62220000000002</v>
      </c>
      <c r="K983">
        <v>1.0715589999999999</v>
      </c>
      <c r="L983">
        <v>367.7747</v>
      </c>
      <c r="M983">
        <v>0.99988480000000002</v>
      </c>
      <c r="N983">
        <v>-1.4712930000000001E-2</v>
      </c>
      <c r="O983">
        <v>3.749853E-3</v>
      </c>
      <c r="P983">
        <v>0.99077530000000003</v>
      </c>
      <c r="Q983">
        <v>0.1307171</v>
      </c>
      <c r="R983">
        <v>-3.5745209999999999E-2</v>
      </c>
      <c r="S983">
        <v>3.0954280000000001</v>
      </c>
      <c r="T983">
        <v>-0.64511079999999998</v>
      </c>
      <c r="U983">
        <v>-0.47143550000000001</v>
      </c>
      <c r="V983">
        <v>3.9429020000000002E-2</v>
      </c>
      <c r="W983">
        <v>0.14528679999999999</v>
      </c>
      <c r="X983">
        <v>0.98860360000000003</v>
      </c>
      <c r="Y983">
        <v>0.150802399999999</v>
      </c>
      <c r="Z983">
        <v>-1.7303599999999999E-2</v>
      </c>
      <c r="AA983">
        <v>0.98841250000000003</v>
      </c>
      <c r="AB983">
        <v>35</v>
      </c>
      <c r="AC983">
        <v>0.76780000000002202</v>
      </c>
      <c r="AD983">
        <v>-0.20522359999999901</v>
      </c>
      <c r="AE983">
        <v>-0.151099999999985</v>
      </c>
      <c r="AF983">
        <v>0.14406942571062101</v>
      </c>
      <c r="AG983">
        <v>-0.20522359999999901</v>
      </c>
      <c r="AH983">
        <v>0.71785457077007397</v>
      </c>
      <c r="AI983">
        <v>105.657943379646</v>
      </c>
      <c r="AJ983">
        <v>78.651814130162705</v>
      </c>
      <c r="AK983">
        <v>0.76038668465264103</v>
      </c>
      <c r="AL983">
        <v>81.646112425057595</v>
      </c>
      <c r="AM983">
        <v>87.716051487813303</v>
      </c>
      <c r="AN983">
        <v>0.99999998990268002</v>
      </c>
    </row>
    <row r="984" spans="1:40" x14ac:dyDescent="0.25">
      <c r="A984" t="str">
        <f>"20190303170243064"</f>
        <v>20190303170243064</v>
      </c>
      <c r="B984" t="str">
        <f>"1551603763056350"</f>
        <v>1551603763056350</v>
      </c>
      <c r="C984" t="s">
        <v>40</v>
      </c>
      <c r="D984">
        <v>4.3501409999999998</v>
      </c>
      <c r="E984">
        <v>0.55085099999999998</v>
      </c>
      <c r="F984" t="s">
        <v>43</v>
      </c>
      <c r="G984">
        <v>-293.83679999999998</v>
      </c>
      <c r="H984">
        <v>0.90778729999999996</v>
      </c>
      <c r="I984">
        <v>367.6551</v>
      </c>
      <c r="J984">
        <v>-294.3895</v>
      </c>
      <c r="K984">
        <v>1.0715490000000001</v>
      </c>
      <c r="L984">
        <v>367.7756</v>
      </c>
      <c r="M984">
        <v>0.99988469999999996</v>
      </c>
      <c r="N984">
        <v>-1.4710350000000001E-2</v>
      </c>
      <c r="O984">
        <v>3.7902550000000002E-3</v>
      </c>
      <c r="P984">
        <v>0.9907975</v>
      </c>
      <c r="Q984">
        <v>0.13079869999999999</v>
      </c>
      <c r="R984">
        <v>-3.4821860000000003E-2</v>
      </c>
      <c r="S984">
        <v>3.09613</v>
      </c>
      <c r="T984">
        <v>-0.64568840000000005</v>
      </c>
      <c r="U984">
        <v>-0.4704895</v>
      </c>
      <c r="V984">
        <v>3.8549939999999998E-2</v>
      </c>
      <c r="W984">
        <v>0.14536459999999901</v>
      </c>
      <c r="X984">
        <v>0.98862680000000003</v>
      </c>
      <c r="Y984">
        <v>0.15051489999999901</v>
      </c>
      <c r="Z984">
        <v>-1.7290489999999999E-2</v>
      </c>
      <c r="AA984">
        <v>0.98845649999999996</v>
      </c>
      <c r="AB984">
        <v>35</v>
      </c>
      <c r="AC984">
        <v>0.55270000000001496</v>
      </c>
      <c r="AD984">
        <v>-0.16376170000000001</v>
      </c>
      <c r="AE984">
        <v>-0.120499999999992</v>
      </c>
      <c r="AF984">
        <v>0.113114497324501</v>
      </c>
      <c r="AG984">
        <v>-0.16376170000000001</v>
      </c>
      <c r="AH984">
        <v>0.50953673117683296</v>
      </c>
      <c r="AI984">
        <v>107.419515333029</v>
      </c>
      <c r="AJ984">
        <v>77.483610823669693</v>
      </c>
      <c r="AK984">
        <v>0.54702876003939305</v>
      </c>
      <c r="AL984">
        <v>81.6416067080647</v>
      </c>
      <c r="AM984">
        <v>87.766972911500105</v>
      </c>
      <c r="AN984">
        <v>0.99999995724269997</v>
      </c>
    </row>
    <row r="985" spans="1:40" x14ac:dyDescent="0.25">
      <c r="A985" t="str">
        <f>"20190303170243075"</f>
        <v>20190303170243075</v>
      </c>
      <c r="B985" t="str">
        <f>"1551603763067086"</f>
        <v>1551603763067086</v>
      </c>
      <c r="C985" t="s">
        <v>40</v>
      </c>
      <c r="D985">
        <v>4.3513469999999996</v>
      </c>
      <c r="E985">
        <v>0.55096940000000005</v>
      </c>
      <c r="F985" t="s">
        <v>43</v>
      </c>
      <c r="G985">
        <v>-293.52809999999999</v>
      </c>
      <c r="H985">
        <v>0.89119110000000001</v>
      </c>
      <c r="I985">
        <v>367.64530000000002</v>
      </c>
      <c r="J985">
        <v>-294.2</v>
      </c>
      <c r="K985">
        <v>1.0715399999999999</v>
      </c>
      <c r="L985">
        <v>367.77640000000002</v>
      </c>
      <c r="M985">
        <v>0.99988469999999996</v>
      </c>
      <c r="N985">
        <v>-1.4708209999999999E-2</v>
      </c>
      <c r="O985">
        <v>3.8195490000000002E-3</v>
      </c>
      <c r="P985">
        <v>0.99083259999999995</v>
      </c>
      <c r="Q985">
        <v>0.13059519999999999</v>
      </c>
      <c r="R985">
        <v>-3.4577980000000001E-2</v>
      </c>
      <c r="S985">
        <v>3.0970149999999999</v>
      </c>
      <c r="T985">
        <v>-0.64846890000000001</v>
      </c>
      <c r="U985">
        <v>-0.46850589999999998</v>
      </c>
      <c r="V985">
        <v>3.8338730000000001E-2</v>
      </c>
      <c r="W985">
        <v>0.14515890000000001</v>
      </c>
      <c r="X985">
        <v>0.98866529999999997</v>
      </c>
      <c r="Y985">
        <v>0.149869899999999</v>
      </c>
      <c r="Z985">
        <v>-1.728936E-2</v>
      </c>
      <c r="AA985">
        <v>0.9885545</v>
      </c>
      <c r="AB985">
        <v>35</v>
      </c>
      <c r="AC985">
        <v>0.67189999999999295</v>
      </c>
      <c r="AD985">
        <v>-0.18034889999999901</v>
      </c>
      <c r="AE985">
        <v>-0.13110000000000299</v>
      </c>
      <c r="AF985">
        <v>0.124990699565524</v>
      </c>
      <c r="AG985">
        <v>-0.18034889999999901</v>
      </c>
      <c r="AH985">
        <v>0.62782044024205497</v>
      </c>
      <c r="AI985">
        <v>105.734272079991</v>
      </c>
      <c r="AJ985">
        <v>78.740391969311005</v>
      </c>
      <c r="AK985">
        <v>0.66506158052831199</v>
      </c>
      <c r="AL985">
        <v>81.6535193259745</v>
      </c>
      <c r="AM985">
        <v>87.779281481148999</v>
      </c>
      <c r="AN985">
        <v>1.00000001994565</v>
      </c>
    </row>
    <row r="986" spans="1:40" x14ac:dyDescent="0.25">
      <c r="A986" t="str">
        <f>"20190303170243091"</f>
        <v>20190303170243091</v>
      </c>
      <c r="B986" t="str">
        <f>"1551603763076845"</f>
        <v>1551603763076845</v>
      </c>
      <c r="C986" t="s">
        <v>40</v>
      </c>
      <c r="D986">
        <v>4.3734799999999998</v>
      </c>
      <c r="E986">
        <v>0.55102499999999999</v>
      </c>
      <c r="F986" t="s">
        <v>43</v>
      </c>
      <c r="G986">
        <v>-293.22269999999997</v>
      </c>
      <c r="H986">
        <v>0.86624230000000002</v>
      </c>
      <c r="I986">
        <v>367.62830000000002</v>
      </c>
      <c r="J986">
        <v>-293.95609999999999</v>
      </c>
      <c r="K986">
        <v>1.071528</v>
      </c>
      <c r="L986">
        <v>367.77730000000003</v>
      </c>
      <c r="M986">
        <v>0.99988449999999995</v>
      </c>
      <c r="N986">
        <v>-1.4705569999999999E-2</v>
      </c>
      <c r="O986">
        <v>3.848448E-3</v>
      </c>
      <c r="P986">
        <v>0.99085769999999995</v>
      </c>
      <c r="Q986">
        <v>0.13034760000000001</v>
      </c>
      <c r="R986">
        <v>-3.4794609999999997E-2</v>
      </c>
      <c r="S986">
        <v>3.0971980000000001</v>
      </c>
      <c r="T986">
        <v>-0.65072790000000003</v>
      </c>
      <c r="U986">
        <v>-0.46823120000000001</v>
      </c>
      <c r="V986">
        <v>3.8588270000000001E-2</v>
      </c>
      <c r="W986">
        <v>0.14490790000000001</v>
      </c>
      <c r="X986">
        <v>0.98869240000000003</v>
      </c>
      <c r="Y986">
        <v>0.14978269999999999</v>
      </c>
      <c r="Z986">
        <v>-1.7339630000000002E-2</v>
      </c>
      <c r="AA986">
        <v>0.98856690000000003</v>
      </c>
      <c r="AB986">
        <v>35</v>
      </c>
      <c r="AC986">
        <v>0.73340000000001704</v>
      </c>
      <c r="AD986">
        <v>-0.20528569999999999</v>
      </c>
      <c r="AE986">
        <v>-0.14899999999999999</v>
      </c>
      <c r="AF986">
        <v>0.14119743905034701</v>
      </c>
      <c r="AG986">
        <v>-0.20528569999999999</v>
      </c>
      <c r="AH986">
        <v>0.68153954690544805</v>
      </c>
      <c r="AI986">
        <v>106.43319089555401</v>
      </c>
      <c r="AJ986">
        <v>78.295374292282901</v>
      </c>
      <c r="AK986">
        <v>0.72565493825574501</v>
      </c>
      <c r="AL986">
        <v>81.668054146864705</v>
      </c>
      <c r="AM986">
        <v>87.764903034239495</v>
      </c>
      <c r="AN986">
        <v>1.00000000794088</v>
      </c>
    </row>
    <row r="987" spans="1:40" x14ac:dyDescent="0.25">
      <c r="A987" t="str">
        <f>"20190303170243104"</f>
        <v>20190303170243104</v>
      </c>
      <c r="B987" t="str">
        <f>"1551603763096365"</f>
        <v>1551603763096365</v>
      </c>
      <c r="C987" t="s">
        <v>40</v>
      </c>
      <c r="D987">
        <v>4.3605</v>
      </c>
      <c r="E987">
        <v>0.55117450000000001</v>
      </c>
      <c r="F987" t="s">
        <v>43</v>
      </c>
      <c r="G987">
        <v>-293.20269999999999</v>
      </c>
      <c r="H987">
        <v>0.91275479999999998</v>
      </c>
      <c r="I987">
        <v>367.66289999999998</v>
      </c>
      <c r="J987">
        <v>-293.74740000000003</v>
      </c>
      <c r="K987">
        <v>1.0715239999999999</v>
      </c>
      <c r="L987">
        <v>367.77820000000003</v>
      </c>
      <c r="M987">
        <v>0.99988440000000001</v>
      </c>
      <c r="N987">
        <v>-1.4703320000000001E-2</v>
      </c>
      <c r="O987">
        <v>3.8683260000000001E-3</v>
      </c>
      <c r="P987">
        <v>0.99084190000000005</v>
      </c>
      <c r="Q987">
        <v>0.13036</v>
      </c>
      <c r="R987">
        <v>-3.5197270000000003E-2</v>
      </c>
      <c r="S987">
        <v>3.0970759999999999</v>
      </c>
      <c r="T987">
        <v>-0.65279960000000004</v>
      </c>
      <c r="U987">
        <v>-0.46926879999999999</v>
      </c>
      <c r="V987">
        <v>3.9013730000000003E-2</v>
      </c>
      <c r="W987">
        <v>0.14491689999999999</v>
      </c>
      <c r="X987">
        <v>0.98867439999999995</v>
      </c>
      <c r="Y987">
        <v>0.15010270000000001</v>
      </c>
      <c r="Z987">
        <v>-1.742993E-2</v>
      </c>
      <c r="AA987">
        <v>0.98851670000000003</v>
      </c>
      <c r="AB987">
        <v>35</v>
      </c>
      <c r="AC987">
        <v>0.54470000000003405</v>
      </c>
      <c r="AD987">
        <v>-0.158769199999999</v>
      </c>
      <c r="AE987">
        <v>-0.115300000000047</v>
      </c>
      <c r="AF987">
        <v>0.108577256689586</v>
      </c>
      <c r="AG987">
        <v>-0.158769199999999</v>
      </c>
      <c r="AH987">
        <v>0.50332124367173503</v>
      </c>
      <c r="AI987">
        <v>107.137146433596</v>
      </c>
      <c r="AJ987">
        <v>77.826608571197596</v>
      </c>
      <c r="AK987">
        <v>0.53882182015035196</v>
      </c>
      <c r="AL987">
        <v>81.667533119520002</v>
      </c>
      <c r="AM987">
        <v>87.740243990854793</v>
      </c>
      <c r="AN987">
        <v>1.00000002412474</v>
      </c>
    </row>
    <row r="988" spans="1:40" x14ac:dyDescent="0.25">
      <c r="A988" t="str">
        <f>"20190303170243119"</f>
        <v>20190303170243119</v>
      </c>
      <c r="B988" t="str">
        <f>"1551603763107101"</f>
        <v>1551603763107101</v>
      </c>
      <c r="C988" t="s">
        <v>40</v>
      </c>
      <c r="D988">
        <v>4.393688</v>
      </c>
      <c r="E988">
        <v>0.55124759999999995</v>
      </c>
      <c r="F988" t="s">
        <v>43</v>
      </c>
      <c r="G988">
        <v>-292.89690000000002</v>
      </c>
      <c r="H988">
        <v>0.89149979999999995</v>
      </c>
      <c r="I988">
        <v>367.64859999999999</v>
      </c>
      <c r="J988">
        <v>-293.5052</v>
      </c>
      <c r="K988">
        <v>1.0715159999999999</v>
      </c>
      <c r="L988">
        <v>367.77910000000003</v>
      </c>
      <c r="M988">
        <v>0.99988440000000001</v>
      </c>
      <c r="N988">
        <v>-1.4700710000000001E-2</v>
      </c>
      <c r="O988">
        <v>3.8873599999999999E-3</v>
      </c>
      <c r="P988">
        <v>0.99076310000000001</v>
      </c>
      <c r="Q988">
        <v>0.13068589999999999</v>
      </c>
      <c r="R988">
        <v>-3.6190840000000002E-2</v>
      </c>
      <c r="S988">
        <v>3.097229</v>
      </c>
      <c r="T988">
        <v>-0.65555299999999905</v>
      </c>
      <c r="U988">
        <v>-0.47155760000000002</v>
      </c>
      <c r="V988">
        <v>4.0029420000000003E-2</v>
      </c>
      <c r="W988">
        <v>0.14523820000000001</v>
      </c>
      <c r="X988">
        <v>0.98858659999999998</v>
      </c>
      <c r="Y988">
        <v>0.15078429999999901</v>
      </c>
      <c r="Z988">
        <v>-1.7575520000000001E-2</v>
      </c>
      <c r="AA988">
        <v>0.98841049999999997</v>
      </c>
      <c r="AB988">
        <v>35</v>
      </c>
      <c r="AC988">
        <v>0.60829999999998496</v>
      </c>
      <c r="AD988">
        <v>-0.18001619999999899</v>
      </c>
      <c r="AE988">
        <v>-0.13050000000004</v>
      </c>
      <c r="AF988">
        <v>0.12259952502079501</v>
      </c>
      <c r="AG988">
        <v>-0.18001619999999899</v>
      </c>
      <c r="AH988">
        <v>0.560833286513721</v>
      </c>
      <c r="AI988">
        <v>107.41011565936699</v>
      </c>
      <c r="AJ988">
        <v>77.668981431035604</v>
      </c>
      <c r="AK988">
        <v>0.60163980175811604</v>
      </c>
      <c r="AL988">
        <v>81.648926747458304</v>
      </c>
      <c r="AM988">
        <v>87.681270820520893</v>
      </c>
      <c r="AN988">
        <v>0.99999997745216695</v>
      </c>
    </row>
    <row r="989" spans="1:40" x14ac:dyDescent="0.25">
      <c r="A989" t="str">
        <f>"20190303170243130"</f>
        <v>20190303170243130</v>
      </c>
      <c r="B989" t="str">
        <f>"1551603763116861"</f>
        <v>1551603763116861</v>
      </c>
      <c r="C989" t="s">
        <v>40</v>
      </c>
      <c r="D989">
        <v>4.3580379999999996</v>
      </c>
      <c r="E989">
        <v>0.55131969999999997</v>
      </c>
      <c r="F989" t="s">
        <v>43</v>
      </c>
      <c r="G989">
        <v>-292.58800000000002</v>
      </c>
      <c r="H989">
        <v>0.87723600000000002</v>
      </c>
      <c r="I989">
        <v>367.63819999999998</v>
      </c>
      <c r="J989">
        <v>-293.33530000000002</v>
      </c>
      <c r="K989">
        <v>1.0715079999999999</v>
      </c>
      <c r="L989">
        <v>367.77980000000002</v>
      </c>
      <c r="M989">
        <v>0.99988440000000001</v>
      </c>
      <c r="N989">
        <v>-1.4698879999999999E-2</v>
      </c>
      <c r="O989">
        <v>3.8979919999999999E-3</v>
      </c>
      <c r="P989">
        <v>0.99069260000000003</v>
      </c>
      <c r="Q989">
        <v>0.13098589999999999</v>
      </c>
      <c r="R989">
        <v>-3.703215E-2</v>
      </c>
      <c r="S989">
        <v>3.097137</v>
      </c>
      <c r="T989">
        <v>-0.65613630000000001</v>
      </c>
      <c r="U989">
        <v>-0.47494510000000001</v>
      </c>
      <c r="V989">
        <v>4.0882990000000001E-2</v>
      </c>
      <c r="W989">
        <v>0.14553440000000001</v>
      </c>
      <c r="X989">
        <v>0.9885081</v>
      </c>
      <c r="Y989">
        <v>0.1518254</v>
      </c>
      <c r="Z989">
        <v>-1.7707339999999998E-2</v>
      </c>
      <c r="AA989">
        <v>0.98824869999999998</v>
      </c>
      <c r="AB989">
        <v>35</v>
      </c>
      <c r="AC989">
        <v>0.74730000000005203</v>
      </c>
      <c r="AD989">
        <v>-0.194271999999999</v>
      </c>
      <c r="AE989">
        <v>-0.141600000000039</v>
      </c>
      <c r="AF989">
        <v>0.135661695816015</v>
      </c>
      <c r="AG989">
        <v>-0.194271999999999</v>
      </c>
      <c r="AH989">
        <v>0.70100878630760599</v>
      </c>
      <c r="AI989">
        <v>105.220803725377</v>
      </c>
      <c r="AJ989">
        <v>79.047310070814206</v>
      </c>
      <c r="AK989">
        <v>0.73997231311457801</v>
      </c>
      <c r="AL989">
        <v>81.631773438070994</v>
      </c>
      <c r="AM989">
        <v>87.631695103848301</v>
      </c>
      <c r="AN989">
        <v>0.99999997211015401</v>
      </c>
    </row>
    <row r="990" spans="1:40" x14ac:dyDescent="0.25">
      <c r="A990" t="str">
        <f>"20190303170243142"</f>
        <v>20190303170243142</v>
      </c>
      <c r="B990" t="str">
        <f>"1551603763136382"</f>
        <v>1551603763136382</v>
      </c>
      <c r="C990" t="s">
        <v>40</v>
      </c>
      <c r="D990">
        <v>4.4549019999999997</v>
      </c>
      <c r="E990">
        <v>0.55117340000000004</v>
      </c>
      <c r="F990" t="s">
        <v>43</v>
      </c>
      <c r="G990">
        <v>-292.57350000000002</v>
      </c>
      <c r="H990">
        <v>0.9100395</v>
      </c>
      <c r="I990">
        <v>367.66199999999998</v>
      </c>
      <c r="J990">
        <v>-293.15410000000003</v>
      </c>
      <c r="K990">
        <v>1.071504</v>
      </c>
      <c r="L990">
        <v>367.78050000000002</v>
      </c>
      <c r="M990">
        <v>0.99988449999999995</v>
      </c>
      <c r="N990">
        <v>-1.4696910000000001E-2</v>
      </c>
      <c r="O990">
        <v>3.9073229999999999E-3</v>
      </c>
      <c r="P990">
        <v>0.99063369999999995</v>
      </c>
      <c r="Q990">
        <v>0.1312557</v>
      </c>
      <c r="R990">
        <v>-3.7649290000000002E-2</v>
      </c>
      <c r="S990">
        <v>3.097137</v>
      </c>
      <c r="T990">
        <v>-0.65657929999999998</v>
      </c>
      <c r="U990">
        <v>-0.47766110000000001</v>
      </c>
      <c r="V990">
        <v>4.151113E-2</v>
      </c>
      <c r="W990">
        <v>0.14580099999999999</v>
      </c>
      <c r="X990">
        <v>0.98844270000000001</v>
      </c>
      <c r="Y990">
        <v>0.1526575</v>
      </c>
      <c r="Z990">
        <v>-1.7811980000000002E-2</v>
      </c>
      <c r="AA990">
        <v>0.98811859999999996</v>
      </c>
      <c r="AB990">
        <v>35</v>
      </c>
      <c r="AC990">
        <v>0.580600000000004</v>
      </c>
      <c r="AD990">
        <v>-0.16146450000000001</v>
      </c>
      <c r="AE990">
        <v>-0.11850000000004</v>
      </c>
      <c r="AF990">
        <v>0.112421069711775</v>
      </c>
      <c r="AG990">
        <v>-0.16146450000000001</v>
      </c>
      <c r="AH990">
        <v>0.54003670701017903</v>
      </c>
      <c r="AI990">
        <v>106.315427554729</v>
      </c>
      <c r="AJ990">
        <v>78.2405147979741</v>
      </c>
      <c r="AK990">
        <v>0.57475988603397499</v>
      </c>
      <c r="AL990">
        <v>81.616334255227699</v>
      </c>
      <c r="AM990">
        <v>87.595191146237894</v>
      </c>
      <c r="AN990">
        <v>1.0000000383490799</v>
      </c>
    </row>
    <row r="991" spans="1:40" x14ac:dyDescent="0.25">
      <c r="A991" t="str">
        <f>"20190303170243152"</f>
        <v>20190303170243152</v>
      </c>
      <c r="B991" t="str">
        <f>"1551603763147118"</f>
        <v>1551603763147118</v>
      </c>
      <c r="C991" t="s">
        <v>40</v>
      </c>
      <c r="D991">
        <v>4.3972989999999896</v>
      </c>
      <c r="E991">
        <v>0.55117340000000004</v>
      </c>
      <c r="F991" t="s">
        <v>43</v>
      </c>
      <c r="G991">
        <v>-292.2706</v>
      </c>
      <c r="H991">
        <v>0.88393149999999998</v>
      </c>
      <c r="I991">
        <v>367.64409999999998</v>
      </c>
      <c r="J991">
        <v>-292.97030000000001</v>
      </c>
      <c r="K991">
        <v>1.0715030000000001</v>
      </c>
      <c r="L991">
        <v>367.78129999999999</v>
      </c>
      <c r="M991">
        <v>0.99988440000000001</v>
      </c>
      <c r="N991">
        <v>-1.469491E-2</v>
      </c>
      <c r="O991">
        <v>3.9157109999999997E-3</v>
      </c>
      <c r="P991">
        <v>0.99052839999999998</v>
      </c>
      <c r="Q991">
        <v>0.13181760000000001</v>
      </c>
      <c r="R991">
        <v>-3.8441690000000001E-2</v>
      </c>
      <c r="S991">
        <v>3.0973510000000002</v>
      </c>
      <c r="T991">
        <v>-0.65757429999999994</v>
      </c>
      <c r="U991">
        <v>-0.47821039999999998</v>
      </c>
      <c r="V991">
        <v>4.2313179999999999E-2</v>
      </c>
      <c r="W991">
        <v>0.14635899999999999</v>
      </c>
      <c r="X991">
        <v>0.98832620000000004</v>
      </c>
      <c r="Y991">
        <v>0.152813</v>
      </c>
      <c r="Z991">
        <v>-1.7854370000000001E-2</v>
      </c>
      <c r="AA991">
        <v>0.98809389999999997</v>
      </c>
      <c r="AB991">
        <v>35</v>
      </c>
      <c r="AC991">
        <v>0.69970000000000698</v>
      </c>
      <c r="AD991">
        <v>-0.1875715</v>
      </c>
      <c r="AE991">
        <v>-0.13720000000000701</v>
      </c>
      <c r="AF991">
        <v>0.130881665253926</v>
      </c>
      <c r="AG991">
        <v>-0.1875715</v>
      </c>
      <c r="AH991">
        <v>0.65390515495495105</v>
      </c>
      <c r="AI991">
        <v>105.70967050292001</v>
      </c>
      <c r="AJ991">
        <v>78.681589250066907</v>
      </c>
      <c r="AK991">
        <v>0.69275178064624898</v>
      </c>
      <c r="AL991">
        <v>81.584016374873201</v>
      </c>
      <c r="AM991">
        <v>87.548494605579293</v>
      </c>
      <c r="AN991">
        <v>1.00000001984457</v>
      </c>
    </row>
    <row r="992" spans="1:40" x14ac:dyDescent="0.25">
      <c r="A992" t="str">
        <f>"20190303170243164"</f>
        <v>20190303170243164</v>
      </c>
      <c r="B992" t="str">
        <f>"1551603763157150"</f>
        <v>1551603763157150</v>
      </c>
      <c r="C992" t="s">
        <v>40</v>
      </c>
      <c r="D992">
        <v>4.298298</v>
      </c>
      <c r="E992">
        <v>0.52627919999999995</v>
      </c>
      <c r="F992" t="s">
        <v>43</v>
      </c>
      <c r="G992">
        <v>-292.2543</v>
      </c>
      <c r="H992">
        <v>0.91987669999999999</v>
      </c>
      <c r="I992">
        <v>367.67009999999999</v>
      </c>
      <c r="J992">
        <v>-292.78890000000001</v>
      </c>
      <c r="K992">
        <v>1.0715059999999901</v>
      </c>
      <c r="L992">
        <v>367.78199999999998</v>
      </c>
      <c r="M992">
        <v>0.99988440000000001</v>
      </c>
      <c r="N992">
        <v>-1.469293E-2</v>
      </c>
      <c r="O992">
        <v>3.9222119999999996E-3</v>
      </c>
      <c r="P992">
        <v>0.99038879999999996</v>
      </c>
      <c r="Q992">
        <v>0.1326735</v>
      </c>
      <c r="R992">
        <v>-3.9089449999999998E-2</v>
      </c>
      <c r="S992">
        <v>3.097321</v>
      </c>
      <c r="T992">
        <v>-0.65594229999999998</v>
      </c>
      <c r="U992">
        <v>-0.48040769999999999</v>
      </c>
      <c r="V992">
        <v>4.2968190000000003E-2</v>
      </c>
      <c r="W992">
        <v>0.14721039999999999</v>
      </c>
      <c r="X992">
        <v>0.98817149999999998</v>
      </c>
      <c r="Y992">
        <v>0.1535069</v>
      </c>
      <c r="Z992">
        <v>-1.7891480000000001E-2</v>
      </c>
      <c r="AA992">
        <v>0.98798560000000002</v>
      </c>
      <c r="AB992">
        <v>35</v>
      </c>
      <c r="AC992">
        <v>0.53460000000001096</v>
      </c>
      <c r="AD992">
        <v>-0.151629299999999</v>
      </c>
      <c r="AE992">
        <v>-0.11189999999999101</v>
      </c>
      <c r="AF992">
        <v>0.105839150542551</v>
      </c>
      <c r="AG992">
        <v>-0.151629299999999</v>
      </c>
      <c r="AH992">
        <v>0.49593519070021402</v>
      </c>
      <c r="AI992">
        <v>106.647229875905</v>
      </c>
      <c r="AJ992">
        <v>77.953044287384699</v>
      </c>
      <c r="AK992">
        <v>0.52928733574582798</v>
      </c>
      <c r="AL992">
        <v>81.534700756403893</v>
      </c>
      <c r="AM992">
        <v>87.510203335370093</v>
      </c>
      <c r="AN992">
        <v>1.00000004031614</v>
      </c>
    </row>
    <row r="993" spans="1:40" x14ac:dyDescent="0.25">
      <c r="A993" t="str">
        <f>"20190303170243177"</f>
        <v>20190303170243177</v>
      </c>
      <c r="B993" t="str">
        <f>"1551603763166910"</f>
        <v>1551603763166910</v>
      </c>
      <c r="C993" t="s">
        <v>40</v>
      </c>
      <c r="D993">
        <v>4.3844919999999998</v>
      </c>
      <c r="E993">
        <v>0.52377029999999902</v>
      </c>
      <c r="F993" t="s">
        <v>43</v>
      </c>
      <c r="G993">
        <v>-291.93</v>
      </c>
      <c r="H993">
        <v>0.94151410000000002</v>
      </c>
      <c r="I993">
        <v>367.7004</v>
      </c>
      <c r="J993">
        <v>-292.60320000000002</v>
      </c>
      <c r="K993">
        <v>1.0715059999999901</v>
      </c>
      <c r="L993">
        <v>367.78269999999998</v>
      </c>
      <c r="M993">
        <v>0.99988440000000001</v>
      </c>
      <c r="N993">
        <v>-1.46909E-2</v>
      </c>
      <c r="O993">
        <v>3.9283590000000002E-3</v>
      </c>
      <c r="P993">
        <v>0.99028210000000005</v>
      </c>
      <c r="Q993">
        <v>0.1333607</v>
      </c>
      <c r="R993">
        <v>-3.9454740000000002E-2</v>
      </c>
      <c r="S993">
        <v>3.0801090000000002</v>
      </c>
      <c r="T993">
        <v>-0.4663098</v>
      </c>
      <c r="U993">
        <v>-0.29147339999999999</v>
      </c>
      <c r="V993">
        <v>4.3340419999999998E-2</v>
      </c>
      <c r="W993">
        <v>0.14789379999999999</v>
      </c>
      <c r="X993">
        <v>0.98805310000000002</v>
      </c>
      <c r="Y993">
        <v>9.6881869999999995E-2</v>
      </c>
      <c r="Z993">
        <v>-8.5265949999999997E-3</v>
      </c>
      <c r="AA993">
        <v>0.99525929999999996</v>
      </c>
      <c r="AB993">
        <v>35</v>
      </c>
      <c r="AC993">
        <v>0.67320000000000801</v>
      </c>
      <c r="AD993">
        <v>-0.12999189999999899</v>
      </c>
      <c r="AE993">
        <v>-8.2299999999975101E-2</v>
      </c>
      <c r="AF993">
        <v>8.1934218325127803E-2</v>
      </c>
      <c r="AG993">
        <v>-0.12999189999999899</v>
      </c>
      <c r="AH993">
        <v>0.64902822851351305</v>
      </c>
      <c r="AI993">
        <v>101.238836431715</v>
      </c>
      <c r="AJ993">
        <v>82.804962871279898</v>
      </c>
      <c r="AK993">
        <v>0.66696982810734995</v>
      </c>
      <c r="AL993">
        <v>81.495110699809302</v>
      </c>
      <c r="AM993">
        <v>87.488361369297706</v>
      </c>
      <c r="AN993">
        <v>0.99999994825191096</v>
      </c>
    </row>
    <row r="994" spans="1:40" x14ac:dyDescent="0.25">
      <c r="A994" t="str">
        <f>"20190303170243189"</f>
        <v>20190303170243189</v>
      </c>
      <c r="B994" t="str">
        <f>"1551603763176670"</f>
        <v>1551603763176670</v>
      </c>
      <c r="C994" t="s">
        <v>40</v>
      </c>
      <c r="D994">
        <v>4.4945120000000003</v>
      </c>
      <c r="E994">
        <v>0.52233649999999998</v>
      </c>
      <c r="F994" t="s">
        <v>43</v>
      </c>
      <c r="G994">
        <v>-291.61189999999999</v>
      </c>
      <c r="H994">
        <v>0.9497871</v>
      </c>
      <c r="I994">
        <v>367.6936</v>
      </c>
      <c r="J994">
        <v>-292.41660000000002</v>
      </c>
      <c r="K994">
        <v>1.0715079999999999</v>
      </c>
      <c r="L994">
        <v>367.7835</v>
      </c>
      <c r="M994">
        <v>0.99988440000000001</v>
      </c>
      <c r="N994">
        <v>-1.468885E-2</v>
      </c>
      <c r="O994">
        <v>3.9335680000000001E-3</v>
      </c>
      <c r="P994">
        <v>0.99018139999999999</v>
      </c>
      <c r="Q994">
        <v>0.13394489999999901</v>
      </c>
      <c r="R994">
        <v>-3.9994210000000002E-2</v>
      </c>
      <c r="S994">
        <v>3.0691830000000002</v>
      </c>
      <c r="T994">
        <v>-0.37673970000000001</v>
      </c>
      <c r="U994">
        <v>-0.27593990000000002</v>
      </c>
      <c r="V994">
        <v>4.3885750000000001E-2</v>
      </c>
      <c r="W994">
        <v>0.14847379999999999</v>
      </c>
      <c r="X994">
        <v>0.98794210000000005</v>
      </c>
      <c r="Y994">
        <v>9.2666509999999994E-2</v>
      </c>
      <c r="Z994">
        <v>-6.7622730000000001E-3</v>
      </c>
      <c r="AA994">
        <v>0.99567430000000001</v>
      </c>
      <c r="AB994">
        <v>35</v>
      </c>
      <c r="AC994">
        <v>0.80470000000002495</v>
      </c>
      <c r="AD994">
        <v>-0.12172090000000001</v>
      </c>
      <c r="AE994">
        <v>-8.9899999999999994E-2</v>
      </c>
      <c r="AF994">
        <v>9.1008355593591994E-2</v>
      </c>
      <c r="AG994">
        <v>-0.12172090000000001</v>
      </c>
      <c r="AH994">
        <v>0.78656508845844997</v>
      </c>
      <c r="AI994">
        <v>98.739346495494999</v>
      </c>
      <c r="AJ994">
        <v>83.400023738211701</v>
      </c>
      <c r="AK994">
        <v>0.80111368523219495</v>
      </c>
      <c r="AL994">
        <v>81.461508704764995</v>
      </c>
      <c r="AM994">
        <v>87.456514595114299</v>
      </c>
      <c r="AN994">
        <v>1.0000000106459499</v>
      </c>
    </row>
    <row r="995" spans="1:40" x14ac:dyDescent="0.25">
      <c r="A995" t="str">
        <f>"20190303170243201"</f>
        <v>20190303170243201</v>
      </c>
      <c r="B995" t="str">
        <f>"1551603763186430"</f>
        <v>1551603763186430</v>
      </c>
      <c r="C995" t="s">
        <v>40</v>
      </c>
      <c r="D995">
        <v>4.5557339999999904</v>
      </c>
      <c r="E995">
        <v>0.52123520000000001</v>
      </c>
      <c r="F995" t="s">
        <v>43</v>
      </c>
      <c r="G995">
        <v>-291.59309999999999</v>
      </c>
      <c r="H995">
        <v>0.98798109999999995</v>
      </c>
      <c r="I995">
        <v>367.71129999999999</v>
      </c>
      <c r="J995">
        <v>-292.22710000000001</v>
      </c>
      <c r="K995">
        <v>1.0715059999999901</v>
      </c>
      <c r="L995">
        <v>367.7842</v>
      </c>
      <c r="M995">
        <v>0.99988449999999995</v>
      </c>
      <c r="N995">
        <v>-1.468677E-2</v>
      </c>
      <c r="O995">
        <v>3.9380709999999996E-3</v>
      </c>
      <c r="P995">
        <v>0.99011720000000003</v>
      </c>
      <c r="Q995">
        <v>0.13442960000000001</v>
      </c>
      <c r="R995">
        <v>-3.9965769999999998E-2</v>
      </c>
      <c r="S995">
        <v>3.0608520000000001</v>
      </c>
      <c r="T995">
        <v>-0.31041980000000002</v>
      </c>
      <c r="U995">
        <v>-0.26861570000000001</v>
      </c>
      <c r="V995">
        <v>4.3862310000000002E-2</v>
      </c>
      <c r="W995">
        <v>0.14895529999999901</v>
      </c>
      <c r="X995">
        <v>0.98787060000000004</v>
      </c>
      <c r="Y995">
        <v>9.0800610000000004E-2</v>
      </c>
      <c r="Z995">
        <v>-5.5938610000000003E-3</v>
      </c>
      <c r="AA995">
        <v>0.9958534</v>
      </c>
      <c r="AB995">
        <v>35</v>
      </c>
      <c r="AC995">
        <v>0.634000000000014</v>
      </c>
      <c r="AD995">
        <v>-8.3524899999999902E-2</v>
      </c>
      <c r="AE995">
        <v>-7.29000000000041E-2</v>
      </c>
      <c r="AF995">
        <v>7.4126674950658E-2</v>
      </c>
      <c r="AG995">
        <v>-8.3524899999999902E-2</v>
      </c>
      <c r="AH995">
        <v>0.62303557088921702</v>
      </c>
      <c r="AI995">
        <v>97.582763738252297</v>
      </c>
      <c r="AJ995">
        <v>83.215035779507403</v>
      </c>
      <c r="AK995">
        <v>0.63296484535280795</v>
      </c>
      <c r="AL995">
        <v>81.433610066633506</v>
      </c>
      <c r="AM995">
        <v>87.457687571467702</v>
      </c>
      <c r="AN995">
        <v>0.99999995299049205</v>
      </c>
    </row>
    <row r="996" spans="1:40" x14ac:dyDescent="0.25">
      <c r="A996" t="str">
        <f>"20190303170243213"</f>
        <v>20190303170243213</v>
      </c>
      <c r="B996" t="str">
        <f>"1551603763206926"</f>
        <v>1551603763206926</v>
      </c>
      <c r="C996" t="s">
        <v>40</v>
      </c>
      <c r="D996">
        <v>4.5013500000000004</v>
      </c>
      <c r="E996">
        <v>0.52013819999999999</v>
      </c>
      <c r="F996" t="s">
        <v>43</v>
      </c>
      <c r="G996">
        <v>-291.27809999999999</v>
      </c>
      <c r="H996">
        <v>0.99067969999999905</v>
      </c>
      <c r="I996">
        <v>367.70260000000002</v>
      </c>
      <c r="J996">
        <v>-292.02359999999999</v>
      </c>
      <c r="K996">
        <v>1.071507</v>
      </c>
      <c r="L996">
        <v>367.78500000000003</v>
      </c>
      <c r="M996">
        <v>0.99988449999999995</v>
      </c>
      <c r="N996">
        <v>-1.4684539999999999E-2</v>
      </c>
      <c r="O996">
        <v>3.9427610000000004E-3</v>
      </c>
      <c r="P996">
        <v>0.99008890000000005</v>
      </c>
      <c r="Q996">
        <v>0.13454820000000001</v>
      </c>
      <c r="R996">
        <v>-4.0263970000000003E-2</v>
      </c>
      <c r="S996">
        <v>3.0547789999999999</v>
      </c>
      <c r="T996">
        <v>-0.26046219999999998</v>
      </c>
      <c r="U996">
        <v>-0.26168819999999998</v>
      </c>
      <c r="V996">
        <v>4.4165719999999999E-2</v>
      </c>
      <c r="W996">
        <v>0.149070799999999</v>
      </c>
      <c r="X996">
        <v>0.98783969999999999</v>
      </c>
      <c r="Y996">
        <v>8.8895089999999996E-2</v>
      </c>
      <c r="Z996">
        <v>-4.708589E-3</v>
      </c>
      <c r="AA996">
        <v>0.99602990000000002</v>
      </c>
      <c r="AB996">
        <v>35</v>
      </c>
      <c r="AC996">
        <v>0.74549999999999195</v>
      </c>
      <c r="AD996">
        <v>-8.0827300000000102E-2</v>
      </c>
      <c r="AE996">
        <v>-8.2400000000006898E-2</v>
      </c>
      <c r="AF996">
        <v>8.43593330068199E-2</v>
      </c>
      <c r="AG996">
        <v>-8.0827300000000102E-2</v>
      </c>
      <c r="AH996">
        <v>0.73661492027411302</v>
      </c>
      <c r="AI996">
        <v>96.221556759250007</v>
      </c>
      <c r="AJ996">
        <v>83.466779766080094</v>
      </c>
      <c r="AK996">
        <v>0.74582242542114796</v>
      </c>
      <c r="AL996">
        <v>81.426918035346503</v>
      </c>
      <c r="AM996">
        <v>87.440044907618599</v>
      </c>
      <c r="AN996">
        <v>0.99999999356592395</v>
      </c>
    </row>
    <row r="997" spans="1:40" x14ac:dyDescent="0.25">
      <c r="A997" t="str">
        <f>"20190303170243227"</f>
        <v>20190303170243227</v>
      </c>
      <c r="B997" t="str">
        <f>"1551603763216686"</f>
        <v>1551603763216686</v>
      </c>
      <c r="C997" t="s">
        <v>40</v>
      </c>
      <c r="D997">
        <v>4.5516870000000003</v>
      </c>
      <c r="E997">
        <v>0.51994989999999996</v>
      </c>
      <c r="F997" t="s">
        <v>42</v>
      </c>
      <c r="G997">
        <v>-276.0745</v>
      </c>
      <c r="H997" s="1">
        <v>-2.2286289999999999E-6</v>
      </c>
      <c r="I997">
        <v>366.44639999999998</v>
      </c>
      <c r="J997">
        <v>-291.81799999999998</v>
      </c>
      <c r="K997">
        <v>1.0715079999999999</v>
      </c>
      <c r="L997">
        <v>367.78579999999999</v>
      </c>
      <c r="M997">
        <v>0.99988440000000001</v>
      </c>
      <c r="N997">
        <v>-1.4682280000000001E-2</v>
      </c>
      <c r="O997">
        <v>3.9476340000000002E-3</v>
      </c>
      <c r="P997">
        <v>0.99004239999999999</v>
      </c>
      <c r="Q997">
        <v>0.1348753</v>
      </c>
      <c r="R997">
        <v>-4.0308089999999998E-2</v>
      </c>
      <c r="S997">
        <v>3.0474549999999998</v>
      </c>
      <c r="T997">
        <v>-0.20473659999999999</v>
      </c>
      <c r="U997">
        <v>-0.25576779999999999</v>
      </c>
      <c r="V997">
        <v>4.4215119999999997E-2</v>
      </c>
      <c r="W997">
        <v>0.14939469999999999</v>
      </c>
      <c r="X997">
        <v>0.98778860000000002</v>
      </c>
      <c r="Y997">
        <v>8.7323940000000003E-2</v>
      </c>
      <c r="Z997">
        <v>-3.774651E-3</v>
      </c>
      <c r="AA997">
        <v>0.99617279999999997</v>
      </c>
      <c r="AB997">
        <v>35</v>
      </c>
      <c r="AC997">
        <v>15.7434999999999</v>
      </c>
      <c r="AD997">
        <v>-1.0715102286289999</v>
      </c>
      <c r="AE997">
        <v>-1.3394000000000099</v>
      </c>
      <c r="AF997">
        <v>1.3951297168361101</v>
      </c>
      <c r="AG997">
        <v>-1.0715102286289999</v>
      </c>
      <c r="AH997">
        <v>15.666042045572899</v>
      </c>
      <c r="AI997">
        <v>93.897389200848195</v>
      </c>
      <c r="AJ997">
        <v>84.910984465824399</v>
      </c>
      <c r="AK997">
        <v>15.7644979136829</v>
      </c>
      <c r="AL997">
        <v>81.408150132139298</v>
      </c>
      <c r="AM997">
        <v>87.437052974143896</v>
      </c>
      <c r="AN997">
        <v>1.00000003575733</v>
      </c>
    </row>
    <row r="998" spans="1:40" x14ac:dyDescent="0.25">
      <c r="A998" t="str">
        <f>"20190303170243241"</f>
        <v>20190303170243241</v>
      </c>
      <c r="B998" t="str">
        <f>"1551603763226446"</f>
        <v>1551603763226446</v>
      </c>
      <c r="C998" t="s">
        <v>40</v>
      </c>
      <c r="D998">
        <v>4.3818039999999998</v>
      </c>
      <c r="E998">
        <v>0.51977299999999904</v>
      </c>
      <c r="F998" t="s">
        <v>42</v>
      </c>
      <c r="G998">
        <v>-274.44459999999998</v>
      </c>
      <c r="H998" s="1">
        <v>-2.9481880000000001E-6</v>
      </c>
      <c r="I998">
        <v>366.33170000000001</v>
      </c>
      <c r="J998">
        <v>-291.60840000000002</v>
      </c>
      <c r="K998">
        <v>1.0715059999999901</v>
      </c>
      <c r="L998">
        <v>367.7867</v>
      </c>
      <c r="M998">
        <v>0.99988440000000001</v>
      </c>
      <c r="N998">
        <v>-1.467998E-2</v>
      </c>
      <c r="O998">
        <v>3.952629E-3</v>
      </c>
      <c r="P998">
        <v>0.99000290000000002</v>
      </c>
      <c r="Q998">
        <v>0.1351193</v>
      </c>
      <c r="R998">
        <v>-4.0460469999999998E-2</v>
      </c>
      <c r="S998">
        <v>3.0453800000000002</v>
      </c>
      <c r="T998">
        <v>-0.18782460000000001</v>
      </c>
      <c r="U998">
        <v>-0.25488280000000002</v>
      </c>
      <c r="V998">
        <v>4.4372849999999998E-2</v>
      </c>
      <c r="W998">
        <v>0.14963560000000001</v>
      </c>
      <c r="X998">
        <v>0.98774499999999998</v>
      </c>
      <c r="Y998">
        <v>8.7133760000000005E-2</v>
      </c>
      <c r="Z998">
        <v>-3.5064879999999999E-3</v>
      </c>
      <c r="AA998">
        <v>0.99619040000000003</v>
      </c>
      <c r="AB998">
        <v>35</v>
      </c>
      <c r="AC998">
        <v>17.163799999999998</v>
      </c>
      <c r="AD998">
        <v>-1.07150894818799</v>
      </c>
      <c r="AE998">
        <v>-1.4549999999999801</v>
      </c>
      <c r="AF998">
        <v>1.51696816887479</v>
      </c>
      <c r="AG998">
        <v>-1.07150894818799</v>
      </c>
      <c r="AH998">
        <v>17.091777549926999</v>
      </c>
      <c r="AI998">
        <v>93.573253329652402</v>
      </c>
      <c r="AJ998">
        <v>84.928045094478406</v>
      </c>
      <c r="AK998">
        <v>17.192387375452402</v>
      </c>
      <c r="AL998">
        <v>81.394190129934202</v>
      </c>
      <c r="AM998">
        <v>87.427808967027403</v>
      </c>
      <c r="AN998">
        <v>0.99999997381474004</v>
      </c>
    </row>
    <row r="999" spans="1:40" x14ac:dyDescent="0.25">
      <c r="A999" t="str">
        <f>"20190303170243253"</f>
        <v>20190303170243253</v>
      </c>
      <c r="B999" t="str">
        <f>"1551603763246942"</f>
        <v>1551603763246942</v>
      </c>
      <c r="C999" t="s">
        <v>40</v>
      </c>
      <c r="D999">
        <v>4.411899</v>
      </c>
      <c r="E999">
        <v>0.5196037</v>
      </c>
      <c r="F999" t="s">
        <v>42</v>
      </c>
      <c r="G999">
        <v>-272.86430000000001</v>
      </c>
      <c r="H999" s="1">
        <v>-3.645981E-6</v>
      </c>
      <c r="I999">
        <v>366.2199</v>
      </c>
      <c r="J999">
        <v>-291.39569999999998</v>
      </c>
      <c r="K999">
        <v>1.07151</v>
      </c>
      <c r="L999">
        <v>367.78750000000002</v>
      </c>
      <c r="M999">
        <v>0.99988449999999995</v>
      </c>
      <c r="N999">
        <v>-1.467765E-2</v>
      </c>
      <c r="O999">
        <v>3.9576869999999997E-3</v>
      </c>
      <c r="P999">
        <v>0.98991689999999999</v>
      </c>
      <c r="Q999">
        <v>0.13566339999999999</v>
      </c>
      <c r="R999">
        <v>-4.0745709999999997E-2</v>
      </c>
      <c r="S999">
        <v>3.0436399999999999</v>
      </c>
      <c r="T999">
        <v>-0.17398949999999999</v>
      </c>
      <c r="U999">
        <v>-0.25439450000000002</v>
      </c>
      <c r="V999">
        <v>4.4663199999999903E-2</v>
      </c>
      <c r="W999">
        <v>0.15017639999999999</v>
      </c>
      <c r="X999">
        <v>0.98764989999999997</v>
      </c>
      <c r="Y999">
        <v>8.7054419999999993E-2</v>
      </c>
      <c r="Z999">
        <v>-3.2902780000000002E-3</v>
      </c>
      <c r="AA999">
        <v>0.99619809999999998</v>
      </c>
      <c r="AB999">
        <v>35</v>
      </c>
      <c r="AC999">
        <v>18.531399999999898</v>
      </c>
      <c r="AD999">
        <v>-1.071513645981</v>
      </c>
      <c r="AE999">
        <v>-1.5676000000000201</v>
      </c>
      <c r="AF999">
        <v>1.63550790949699</v>
      </c>
      <c r="AG999">
        <v>-1.071513645981</v>
      </c>
      <c r="AH999">
        <v>18.4637582911256</v>
      </c>
      <c r="AI999">
        <v>93.3084153312425</v>
      </c>
      <c r="AJ999">
        <v>84.937988239258999</v>
      </c>
      <c r="AK999">
        <v>18.566997545340001</v>
      </c>
      <c r="AL999">
        <v>81.362851005818996</v>
      </c>
      <c r="AM999">
        <v>87.410751925570693</v>
      </c>
      <c r="AN999">
        <v>1.0000000387606001</v>
      </c>
    </row>
    <row r="1000" spans="1:40" x14ac:dyDescent="0.25">
      <c r="A1000" t="str">
        <f>"20190303170243265"</f>
        <v>20190303170243265</v>
      </c>
      <c r="B1000" t="str">
        <f>"1551603763256701"</f>
        <v>1551603763256701</v>
      </c>
      <c r="C1000" t="s">
        <v>40</v>
      </c>
      <c r="D1000">
        <v>4.4183960000000004</v>
      </c>
      <c r="E1000">
        <v>0.51960509999999904</v>
      </c>
      <c r="F1000" t="s">
        <v>42</v>
      </c>
      <c r="G1000">
        <v>-270.46789999999999</v>
      </c>
      <c r="H1000" s="1">
        <v>-4.7064039999999996E-6</v>
      </c>
      <c r="I1000">
        <v>366.03739999999999</v>
      </c>
      <c r="J1000">
        <v>-291.22539999999998</v>
      </c>
      <c r="K1000">
        <v>1.0715110000000001</v>
      </c>
      <c r="L1000">
        <v>367.78820000000002</v>
      </c>
      <c r="M1000">
        <v>0.99988449999999995</v>
      </c>
      <c r="N1000">
        <v>-1.4675759999999999E-2</v>
      </c>
      <c r="O1000">
        <v>3.9622140000000004E-3</v>
      </c>
      <c r="P1000">
        <v>0.98985619999999996</v>
      </c>
      <c r="Q1000">
        <v>0.1361599</v>
      </c>
      <c r="R1000">
        <v>-4.0558740000000003E-2</v>
      </c>
      <c r="S1000">
        <v>3.0414729999999999</v>
      </c>
      <c r="T1000">
        <v>-0.155724</v>
      </c>
      <c r="U1000">
        <v>-0.25433349999999999</v>
      </c>
      <c r="V1000">
        <v>4.4481140000000002E-2</v>
      </c>
      <c r="W1000">
        <v>0.1506699</v>
      </c>
      <c r="X1000">
        <v>0.98758290000000004</v>
      </c>
      <c r="Y1000">
        <v>8.7130479999999996E-2</v>
      </c>
      <c r="Z1000">
        <v>-3.0106180000000001E-3</v>
      </c>
      <c r="AA1000">
        <v>0.99619230000000003</v>
      </c>
      <c r="AB1000">
        <v>35</v>
      </c>
      <c r="AC1000">
        <v>20.7575</v>
      </c>
      <c r="AD1000">
        <v>-1.071515706404</v>
      </c>
      <c r="AE1000">
        <v>-1.7508000000000199</v>
      </c>
      <c r="AF1000">
        <v>1.82820357906363</v>
      </c>
      <c r="AG1000">
        <v>-1.071515706404</v>
      </c>
      <c r="AH1000">
        <v>20.695641285798601</v>
      </c>
      <c r="AI1000">
        <v>92.952362849791498</v>
      </c>
      <c r="AJ1000">
        <v>84.951731754135196</v>
      </c>
      <c r="AK1000">
        <v>20.8038468189425</v>
      </c>
      <c r="AL1000">
        <v>81.334249662181605</v>
      </c>
      <c r="AM1000">
        <v>87.421117456706895</v>
      </c>
      <c r="AN1000">
        <v>0.99999998747705898</v>
      </c>
    </row>
    <row r="1001" spans="1:40" x14ac:dyDescent="0.25">
      <c r="A1001" t="str">
        <f>"20190303170243277"</f>
        <v>20190303170243277</v>
      </c>
      <c r="B1001" t="str">
        <f>"1551603763266462"</f>
        <v>1551603763266462</v>
      </c>
      <c r="C1001" t="s">
        <v>40</v>
      </c>
      <c r="D1001">
        <v>4.4191880000000001</v>
      </c>
      <c r="E1001">
        <v>0.5196442</v>
      </c>
      <c r="F1001" t="s">
        <v>42</v>
      </c>
      <c r="G1001">
        <v>-269.26249999999999</v>
      </c>
      <c r="H1001" s="1">
        <v>-1.2109769999999999E-6</v>
      </c>
      <c r="I1001">
        <v>365.95600000000002</v>
      </c>
      <c r="J1001">
        <v>-291.0394</v>
      </c>
      <c r="K1001">
        <v>1.0715129999999999</v>
      </c>
      <c r="L1001">
        <v>367.78890000000001</v>
      </c>
      <c r="M1001">
        <v>0.99988449999999995</v>
      </c>
      <c r="N1001">
        <v>-1.467369E-2</v>
      </c>
      <c r="O1001">
        <v>3.967099E-3</v>
      </c>
      <c r="P1001">
        <v>0.98978999999999995</v>
      </c>
      <c r="Q1001">
        <v>0.136603</v>
      </c>
      <c r="R1001">
        <v>-4.0691560000000002E-2</v>
      </c>
      <c r="S1001">
        <v>3.0407410000000001</v>
      </c>
      <c r="T1001">
        <v>-0.148348799999999</v>
      </c>
      <c r="U1001">
        <v>-0.2536621</v>
      </c>
      <c r="V1001">
        <v>4.4618669999999999E-2</v>
      </c>
      <c r="W1001">
        <v>0.1511092</v>
      </c>
      <c r="X1001">
        <v>0.98750959999999999</v>
      </c>
      <c r="Y1001">
        <v>8.6949429999999994E-2</v>
      </c>
      <c r="Z1001">
        <v>-2.890653E-3</v>
      </c>
      <c r="AA1001">
        <v>0.99620850000000005</v>
      </c>
      <c r="AB1001">
        <v>35</v>
      </c>
      <c r="AC1001">
        <v>21.776900000000001</v>
      </c>
      <c r="AD1001">
        <v>-1.0715142109769999</v>
      </c>
      <c r="AE1001">
        <v>-1.8329000000000499</v>
      </c>
      <c r="AF1001">
        <v>1.91468305568927</v>
      </c>
      <c r="AG1001">
        <v>-1.0715142109769999</v>
      </c>
      <c r="AH1001">
        <v>21.717247832496898</v>
      </c>
      <c r="AI1001">
        <v>92.813747426396205</v>
      </c>
      <c r="AJ1001">
        <v>84.9615927803262</v>
      </c>
      <c r="AK1001">
        <v>21.827803538747499</v>
      </c>
      <c r="AL1001">
        <v>81.308788330982594</v>
      </c>
      <c r="AM1001">
        <v>87.412962942881904</v>
      </c>
      <c r="AN1001">
        <v>1.00000001306468</v>
      </c>
    </row>
    <row r="1002" spans="1:40" x14ac:dyDescent="0.25">
      <c r="A1002" t="str">
        <f>"20190303170243288"</f>
        <v>20190303170243288</v>
      </c>
      <c r="B1002" t="str">
        <f>"1551603763277199"</f>
        <v>1551603763277199</v>
      </c>
      <c r="C1002" t="s">
        <v>40</v>
      </c>
      <c r="D1002">
        <v>4.5975529999999996</v>
      </c>
      <c r="E1002">
        <v>0.51963400000000004</v>
      </c>
      <c r="F1002" t="s">
        <v>42</v>
      </c>
      <c r="G1002">
        <v>-268.07350000000002</v>
      </c>
      <c r="H1002" s="1">
        <v>-1.6403340000000001E-6</v>
      </c>
      <c r="I1002">
        <v>365.86290000000002</v>
      </c>
      <c r="J1002">
        <v>-290.85019999999997</v>
      </c>
      <c r="K1002">
        <v>1.0715159999999999</v>
      </c>
      <c r="L1002">
        <v>367.78969999999998</v>
      </c>
      <c r="M1002">
        <v>0.99988440000000001</v>
      </c>
      <c r="N1002">
        <v>-1.467158E-2</v>
      </c>
      <c r="O1002">
        <v>3.9724640000000002E-3</v>
      </c>
      <c r="P1002">
        <v>0.98970469999999999</v>
      </c>
      <c r="Q1002">
        <v>0.1372139</v>
      </c>
      <c r="R1002">
        <v>-4.0701260000000003E-2</v>
      </c>
      <c r="S1002">
        <v>3.0400999999999998</v>
      </c>
      <c r="T1002">
        <v>-0.1418411</v>
      </c>
      <c r="U1002">
        <v>-0.2549438</v>
      </c>
      <c r="V1002">
        <v>4.4633770000000003E-2</v>
      </c>
      <c r="W1002">
        <v>0.15171680000000001</v>
      </c>
      <c r="X1002">
        <v>0.98741570000000001</v>
      </c>
      <c r="Y1002">
        <v>8.7399019999999994E-2</v>
      </c>
      <c r="Z1002">
        <v>-2.8037219999999998E-3</v>
      </c>
      <c r="AA1002">
        <v>0.99616939999999998</v>
      </c>
      <c r="AB1002">
        <v>35</v>
      </c>
      <c r="AC1002">
        <v>22.776699999999899</v>
      </c>
      <c r="AD1002">
        <v>-1.0715176403340001</v>
      </c>
      <c r="AE1002">
        <v>-1.9267999999999501</v>
      </c>
      <c r="AF1002">
        <v>2.0128510099010701</v>
      </c>
      <c r="AG1002">
        <v>-1.0715176403340001</v>
      </c>
      <c r="AH1002">
        <v>22.718941409005598</v>
      </c>
      <c r="AI1002">
        <v>92.689780217720596</v>
      </c>
      <c r="AJ1002">
        <v>84.936933020861503</v>
      </c>
      <c r="AK1002">
        <v>22.8330904169242</v>
      </c>
      <c r="AL1002">
        <v>81.273568918429802</v>
      </c>
      <c r="AM1002">
        <v>87.411842851926394</v>
      </c>
      <c r="AN1002">
        <v>0.99999996271656999</v>
      </c>
    </row>
    <row r="1003" spans="1:40" x14ac:dyDescent="0.25">
      <c r="A1003" t="str">
        <f>"20190303170243300"</f>
        <v>20190303170243300</v>
      </c>
      <c r="B1003" t="str">
        <f>"1551603763286958"</f>
        <v>1551603763286958</v>
      </c>
      <c r="C1003" t="s">
        <v>40</v>
      </c>
      <c r="D1003">
        <v>4.4242839999999903</v>
      </c>
      <c r="E1003">
        <v>0.51970240000000001</v>
      </c>
      <c r="F1003" t="s">
        <v>42</v>
      </c>
      <c r="G1003">
        <v>-266.81470000000002</v>
      </c>
      <c r="H1003" s="1">
        <v>-2.0931189999999998E-6</v>
      </c>
      <c r="I1003">
        <v>365.77120000000002</v>
      </c>
      <c r="J1003">
        <v>-290.67489999999998</v>
      </c>
      <c r="K1003">
        <v>1.071518</v>
      </c>
      <c r="L1003">
        <v>367.79039999999998</v>
      </c>
      <c r="M1003">
        <v>0.99988449999999995</v>
      </c>
      <c r="N1003">
        <v>-1.4669639999999999E-2</v>
      </c>
      <c r="O1003">
        <v>3.977235E-3</v>
      </c>
      <c r="P1003">
        <v>0.98966730000000003</v>
      </c>
      <c r="Q1003">
        <v>0.13752739999999999</v>
      </c>
      <c r="R1003">
        <v>-4.0563670000000003E-2</v>
      </c>
      <c r="S1003">
        <v>3.03952</v>
      </c>
      <c r="T1003">
        <v>-0.13550379999999901</v>
      </c>
      <c r="U1003">
        <v>-0.255249</v>
      </c>
      <c r="V1003">
        <v>4.4500680000000001E-2</v>
      </c>
      <c r="W1003">
        <v>0.15202739999999901</v>
      </c>
      <c r="X1003">
        <v>0.98737390000000003</v>
      </c>
      <c r="Y1003">
        <v>8.7528549999999997E-2</v>
      </c>
      <c r="Z1003">
        <v>-2.7089319999999998E-3</v>
      </c>
      <c r="AA1003">
        <v>0.99615830000000005</v>
      </c>
      <c r="AB1003">
        <v>35</v>
      </c>
      <c r="AC1003">
        <v>23.860199999999899</v>
      </c>
      <c r="AD1003">
        <v>-1.0715200931190001</v>
      </c>
      <c r="AE1003">
        <v>-2.0191999999999499</v>
      </c>
      <c r="AF1003">
        <v>2.1098670380318301</v>
      </c>
      <c r="AG1003">
        <v>-1.0715200931190001</v>
      </c>
      <c r="AH1003">
        <v>23.8043135169038</v>
      </c>
      <c r="AI1003">
        <v>92.567303837869204</v>
      </c>
      <c r="AJ1003">
        <v>84.934892751417294</v>
      </c>
      <c r="AK1003">
        <v>23.9216436776234</v>
      </c>
      <c r="AL1003">
        <v>81.2555637026786</v>
      </c>
      <c r="AM1003">
        <v>87.4194407367156</v>
      </c>
      <c r="AN1003">
        <v>0.99999992963621298</v>
      </c>
    </row>
    <row r="1004" spans="1:40" x14ac:dyDescent="0.25">
      <c r="A1004" t="str">
        <f>"20190303170243311"</f>
        <v>20190303170243311</v>
      </c>
      <c r="B1004" t="str">
        <f>"1551603763296719"</f>
        <v>1551603763296719</v>
      </c>
      <c r="C1004" t="s">
        <v>40</v>
      </c>
      <c r="D1004">
        <v>4.5382379999999998</v>
      </c>
      <c r="E1004">
        <v>0.51969270000000001</v>
      </c>
      <c r="F1004" t="s">
        <v>42</v>
      </c>
      <c r="G1004">
        <v>-265.70370000000003</v>
      </c>
      <c r="H1004" s="1">
        <v>-2.5214499999999998E-6</v>
      </c>
      <c r="I1004">
        <v>365.69240000000002</v>
      </c>
      <c r="J1004">
        <v>-290.49650000000003</v>
      </c>
      <c r="K1004">
        <v>1.07152</v>
      </c>
      <c r="L1004">
        <v>367.79109999999997</v>
      </c>
      <c r="M1004">
        <v>0.99988460000000001</v>
      </c>
      <c r="N1004">
        <v>-1.4667680000000001E-2</v>
      </c>
      <c r="O1004">
        <v>3.982424E-3</v>
      </c>
      <c r="P1004">
        <v>0.98960879999999996</v>
      </c>
      <c r="Q1004">
        <v>0.1378759</v>
      </c>
      <c r="R1004">
        <v>-4.0803310000000002E-2</v>
      </c>
      <c r="S1004">
        <v>3.0389710000000001</v>
      </c>
      <c r="T1004">
        <v>-0.13040270000000001</v>
      </c>
      <c r="U1004">
        <v>-0.25531009999999998</v>
      </c>
      <c r="V1004">
        <v>4.4745630000000002E-2</v>
      </c>
      <c r="W1004">
        <v>0.15237329999999999</v>
      </c>
      <c r="X1004">
        <v>0.98730960000000001</v>
      </c>
      <c r="Y1004">
        <v>8.7576130000000002E-2</v>
      </c>
      <c r="Z1004">
        <v>-2.6308389999999998E-3</v>
      </c>
      <c r="AA1004">
        <v>0.9961544</v>
      </c>
      <c r="AB1004">
        <v>35</v>
      </c>
      <c r="AC1004">
        <v>24.7928</v>
      </c>
      <c r="AD1004">
        <v>-1.0715225214499999</v>
      </c>
      <c r="AE1004">
        <v>-2.0986999999999498</v>
      </c>
      <c r="AF1004">
        <v>2.1933615963381898</v>
      </c>
      <c r="AG1004">
        <v>-1.0715225214499999</v>
      </c>
      <c r="AH1004">
        <v>24.7383647355698</v>
      </c>
      <c r="AI1004">
        <v>92.470491500701797</v>
      </c>
      <c r="AJ1004">
        <v>84.933270266944803</v>
      </c>
      <c r="AK1004">
        <v>24.858513338418899</v>
      </c>
      <c r="AL1004">
        <v>81.235512274930699</v>
      </c>
      <c r="AM1004">
        <v>87.405086884480696</v>
      </c>
      <c r="AN1004">
        <v>1.00000002010457</v>
      </c>
    </row>
    <row r="1005" spans="1:40" x14ac:dyDescent="0.25">
      <c r="A1005" t="str">
        <f>"20190303170243323"</f>
        <v>20190303170243323</v>
      </c>
      <c r="B1005" t="str">
        <f>"1551603763317214"</f>
        <v>1551603763317214</v>
      </c>
      <c r="C1005" t="s">
        <v>40</v>
      </c>
      <c r="D1005">
        <v>4.6543780000000003</v>
      </c>
      <c r="E1005">
        <v>0.5196809</v>
      </c>
      <c r="F1005" t="s">
        <v>42</v>
      </c>
      <c r="G1005">
        <v>-264.77640000000002</v>
      </c>
      <c r="H1005" s="1">
        <v>-2.9314189999999999E-6</v>
      </c>
      <c r="I1005">
        <v>365.62369999999999</v>
      </c>
      <c r="J1005">
        <v>-290.3252</v>
      </c>
      <c r="K1005">
        <v>1.071523</v>
      </c>
      <c r="L1005">
        <v>367.79180000000002</v>
      </c>
      <c r="M1005">
        <v>0.99988449999999995</v>
      </c>
      <c r="N1005">
        <v>-1.466581E-2</v>
      </c>
      <c r="O1005">
        <v>3.9871400000000001E-3</v>
      </c>
      <c r="P1005">
        <v>0.98957139999999999</v>
      </c>
      <c r="Q1005">
        <v>0.13807639999999999</v>
      </c>
      <c r="R1005">
        <v>-4.103205E-2</v>
      </c>
      <c r="S1005">
        <v>3.0385439999999999</v>
      </c>
      <c r="T1005">
        <v>-0.12658829999999999</v>
      </c>
      <c r="U1005">
        <v>-0.25604250000000001</v>
      </c>
      <c r="V1005">
        <v>4.497901E-2</v>
      </c>
      <c r="W1005">
        <v>0.15257119999999999</v>
      </c>
      <c r="X1005">
        <v>0.98726840000000005</v>
      </c>
      <c r="Y1005">
        <v>8.783618E-2</v>
      </c>
      <c r="Z1005">
        <v>-2.578679E-3</v>
      </c>
      <c r="AA1005">
        <v>0.99613160000000001</v>
      </c>
      <c r="AB1005">
        <v>35</v>
      </c>
      <c r="AC1005">
        <v>25.5487999999999</v>
      </c>
      <c r="AD1005">
        <v>-1.071525931419</v>
      </c>
      <c r="AE1005">
        <v>-2.1681000000000301</v>
      </c>
      <c r="AF1005">
        <v>2.2660029753198199</v>
      </c>
      <c r="AG1005">
        <v>-1.071525931419</v>
      </c>
      <c r="AH1005">
        <v>25.495425775734098</v>
      </c>
      <c r="AI1005">
        <v>92.397181599136402</v>
      </c>
      <c r="AJ1005">
        <v>84.920965376828903</v>
      </c>
      <c r="AK1005">
        <v>25.618346410177001</v>
      </c>
      <c r="AL1005">
        <v>81.224039011700896</v>
      </c>
      <c r="AM1005">
        <v>87.391462525271805</v>
      </c>
      <c r="AN1005">
        <v>0.99999998802429002</v>
      </c>
    </row>
    <row r="1006" spans="1:40" x14ac:dyDescent="0.25">
      <c r="A1006" t="str">
        <f>"20190303170243333"</f>
        <v>20190303170243333</v>
      </c>
      <c r="B1006" t="str">
        <f>"1551603763326974"</f>
        <v>1551603763326974</v>
      </c>
      <c r="C1006" t="s">
        <v>40</v>
      </c>
      <c r="D1006">
        <v>4.6561789999999998</v>
      </c>
      <c r="E1006">
        <v>0.51969089999999996</v>
      </c>
      <c r="F1006" t="s">
        <v>42</v>
      </c>
      <c r="G1006">
        <v>-263.62950000000001</v>
      </c>
      <c r="H1006" s="1">
        <v>-3.4388999999999998E-6</v>
      </c>
      <c r="I1006">
        <v>365.5367</v>
      </c>
      <c r="J1006">
        <v>-290.1463</v>
      </c>
      <c r="K1006">
        <v>1.0715250000000001</v>
      </c>
      <c r="L1006">
        <v>367.79250000000002</v>
      </c>
      <c r="M1006">
        <v>0.99988469999999996</v>
      </c>
      <c r="N1006">
        <v>-1.4663870000000001E-2</v>
      </c>
      <c r="O1006">
        <v>3.9920379999999998E-3</v>
      </c>
      <c r="P1006">
        <v>0.98949529999999997</v>
      </c>
      <c r="Q1006">
        <v>0.1385624</v>
      </c>
      <c r="R1006">
        <v>-4.1228319999999999E-2</v>
      </c>
      <c r="S1006">
        <v>3.0379939999999999</v>
      </c>
      <c r="T1006">
        <v>-0.12194049999999999</v>
      </c>
      <c r="U1006">
        <v>-0.25662230000000003</v>
      </c>
      <c r="V1006">
        <v>4.5180079999999997E-2</v>
      </c>
      <c r="W1006">
        <v>0.15305469999999999</v>
      </c>
      <c r="X1006">
        <v>0.98718439999999996</v>
      </c>
      <c r="Y1006">
        <v>8.8051240000000003E-2</v>
      </c>
      <c r="Z1006">
        <v>-2.5118670000000001E-3</v>
      </c>
      <c r="AA1006">
        <v>0.99611280000000002</v>
      </c>
      <c r="AB1006">
        <v>35</v>
      </c>
      <c r="AC1006">
        <v>26.5167999999999</v>
      </c>
      <c r="AD1006">
        <v>-1.0715284388999999</v>
      </c>
      <c r="AE1006">
        <v>-2.2558000000000198</v>
      </c>
      <c r="AF1006">
        <v>2.3578269756408301</v>
      </c>
      <c r="AG1006">
        <v>-1.0715284388999999</v>
      </c>
      <c r="AH1006">
        <v>26.464678226104802</v>
      </c>
      <c r="AI1006">
        <v>92.309444877055995</v>
      </c>
      <c r="AJ1006">
        <v>84.908769134724594</v>
      </c>
      <c r="AK1006">
        <v>26.591102174481101</v>
      </c>
      <c r="AL1006">
        <v>81.196007469436694</v>
      </c>
      <c r="AM1006">
        <v>87.379595134029202</v>
      </c>
      <c r="AN1006">
        <v>1.00000001021212</v>
      </c>
    </row>
    <row r="1007" spans="1:40" x14ac:dyDescent="0.25">
      <c r="A1007" t="str">
        <f>"20190303170243345"</f>
        <v>20190303170243345</v>
      </c>
      <c r="B1007" t="str">
        <f>"1551603763336734"</f>
        <v>1551603763336734</v>
      </c>
      <c r="C1007" t="s">
        <v>40</v>
      </c>
      <c r="D1007">
        <v>4.5950259999999998</v>
      </c>
      <c r="E1007">
        <v>0.51963230000000005</v>
      </c>
      <c r="F1007" t="s">
        <v>42</v>
      </c>
      <c r="G1007">
        <v>-262.72239999999999</v>
      </c>
      <c r="H1007" s="1">
        <v>-3.8402059999999998E-6</v>
      </c>
      <c r="I1007">
        <v>365.46800000000002</v>
      </c>
      <c r="J1007">
        <v>-289.98050000000001</v>
      </c>
      <c r="K1007">
        <v>1.071528</v>
      </c>
      <c r="L1007">
        <v>367.79320000000001</v>
      </c>
      <c r="M1007">
        <v>0.99988469999999996</v>
      </c>
      <c r="N1007">
        <v>-1.4662049999999999E-2</v>
      </c>
      <c r="O1007">
        <v>3.9967550000000003E-3</v>
      </c>
      <c r="P1007">
        <v>0.98943910000000002</v>
      </c>
      <c r="Q1007">
        <v>0.1388597</v>
      </c>
      <c r="R1007">
        <v>-4.1575290000000001E-2</v>
      </c>
      <c r="S1007">
        <v>3.03775</v>
      </c>
      <c r="T1007">
        <v>-0.1186934</v>
      </c>
      <c r="U1007">
        <v>-0.25747680000000001</v>
      </c>
      <c r="V1007">
        <v>4.5531530000000001E-2</v>
      </c>
      <c r="W1007">
        <v>0.15334879999999901</v>
      </c>
      <c r="X1007">
        <v>0.98712259999999996</v>
      </c>
      <c r="Y1007">
        <v>8.834504E-2</v>
      </c>
      <c r="Z1007">
        <v>-2.468741E-3</v>
      </c>
      <c r="AA1007">
        <v>0.9960869</v>
      </c>
      <c r="AB1007">
        <v>35</v>
      </c>
      <c r="AC1007">
        <v>27.258099999999999</v>
      </c>
      <c r="AD1007">
        <v>-1.0715318402059999</v>
      </c>
      <c r="AE1007">
        <v>-2.3251999999999899</v>
      </c>
      <c r="AF1007">
        <v>2.4304084323258599</v>
      </c>
      <c r="AG1007">
        <v>-1.0715318402059999</v>
      </c>
      <c r="AH1007">
        <v>27.206848369790201</v>
      </c>
      <c r="AI1007">
        <v>92.246471414429493</v>
      </c>
      <c r="AJ1007">
        <v>84.895274261206495</v>
      </c>
      <c r="AK1007">
        <v>27.3361969529277</v>
      </c>
      <c r="AL1007">
        <v>81.178955399517207</v>
      </c>
      <c r="AM1007">
        <v>87.359074993458705</v>
      </c>
      <c r="AN1007">
        <v>1.00000000105817</v>
      </c>
    </row>
    <row r="1008" spans="1:40" x14ac:dyDescent="0.25">
      <c r="A1008" t="str">
        <f>"20190303170243356"</f>
        <v>20190303170243356</v>
      </c>
      <c r="B1008" t="str">
        <f>"1551603763346494"</f>
        <v>1551603763346494</v>
      </c>
      <c r="C1008" t="s">
        <v>40</v>
      </c>
      <c r="D1008">
        <v>4.6550459999999996</v>
      </c>
      <c r="E1008">
        <v>0.51964549999999998</v>
      </c>
      <c r="F1008" t="s">
        <v>42</v>
      </c>
      <c r="G1008">
        <v>-262.0795</v>
      </c>
      <c r="H1008" s="1">
        <v>-4.123767E-6</v>
      </c>
      <c r="I1008">
        <v>365.42439999999999</v>
      </c>
      <c r="J1008">
        <v>-289.80059999999997</v>
      </c>
      <c r="K1008">
        <v>1.071531</v>
      </c>
      <c r="L1008">
        <v>367.79390000000001</v>
      </c>
      <c r="M1008">
        <v>0.99988460000000001</v>
      </c>
      <c r="N1008">
        <v>-1.4660080000000001E-2</v>
      </c>
      <c r="O1008">
        <v>4.0021279999999998E-3</v>
      </c>
      <c r="P1008">
        <v>0.98935819999999997</v>
      </c>
      <c r="Q1008">
        <v>0.13929839999999999</v>
      </c>
      <c r="R1008">
        <v>-4.2031600000000002E-2</v>
      </c>
      <c r="S1008">
        <v>3.037506</v>
      </c>
      <c r="T1008">
        <v>-0.11665449999999999</v>
      </c>
      <c r="U1008">
        <v>-0.25787349999999998</v>
      </c>
      <c r="V1008">
        <v>4.5992720000000001E-2</v>
      </c>
      <c r="W1008">
        <v>0.15378459999999999</v>
      </c>
      <c r="X1008">
        <v>0.98703339999999995</v>
      </c>
      <c r="Y1008">
        <v>8.8488940000000002E-2</v>
      </c>
      <c r="Z1008">
        <v>-2.4405E-3</v>
      </c>
      <c r="AA1008">
        <v>0.99607420000000002</v>
      </c>
      <c r="AB1008">
        <v>35</v>
      </c>
      <c r="AC1008">
        <v>27.7210999999999</v>
      </c>
      <c r="AD1008">
        <v>-1.0715351237669899</v>
      </c>
      <c r="AE1008">
        <v>-2.3695000000000102</v>
      </c>
      <c r="AF1008">
        <v>2.47676253208297</v>
      </c>
      <c r="AG1008">
        <v>-1.0715351237669899</v>
      </c>
      <c r="AH1008">
        <v>27.670350323523898</v>
      </c>
      <c r="AI1008">
        <v>92.208850444328206</v>
      </c>
      <c r="AJ1008">
        <v>84.885107631676405</v>
      </c>
      <c r="AK1008">
        <v>27.801633534530598</v>
      </c>
      <c r="AL1008">
        <v>81.153686001989499</v>
      </c>
      <c r="AM1008">
        <v>87.332122715558697</v>
      </c>
      <c r="AN1008">
        <v>0.99999998310285898</v>
      </c>
    </row>
    <row r="1009" spans="1:40" x14ac:dyDescent="0.25">
      <c r="A1009" t="str">
        <f>"20190303170243367"</f>
        <v>20190303170243367</v>
      </c>
      <c r="B1009" t="str">
        <f>"1551603763357231"</f>
        <v>1551603763357231</v>
      </c>
      <c r="C1009" t="s">
        <v>40</v>
      </c>
      <c r="D1009">
        <v>4.2151230000000002</v>
      </c>
      <c r="E1009">
        <v>0.51962189999999997</v>
      </c>
      <c r="F1009" t="s">
        <v>42</v>
      </c>
      <c r="G1009">
        <v>-261.35809999999998</v>
      </c>
      <c r="H1009" s="1">
        <v>-4.4436549999999997E-6</v>
      </c>
      <c r="I1009">
        <v>365.36559999999997</v>
      </c>
      <c r="J1009">
        <v>-289.6121</v>
      </c>
      <c r="K1009">
        <v>1.0715300000000001</v>
      </c>
      <c r="L1009">
        <v>367.7946</v>
      </c>
      <c r="M1009">
        <v>0.99988469999999996</v>
      </c>
      <c r="N1009">
        <v>-1.4658010000000001E-2</v>
      </c>
      <c r="O1009">
        <v>4.0073840000000001E-3</v>
      </c>
      <c r="P1009">
        <v>0.98926009999999998</v>
      </c>
      <c r="Q1009">
        <v>0.139957</v>
      </c>
      <c r="R1009">
        <v>-4.215087E-2</v>
      </c>
      <c r="S1009">
        <v>3.0373540000000001</v>
      </c>
      <c r="T1009">
        <v>-0.11442819999999999</v>
      </c>
      <c r="U1009">
        <v>-0.25930789999999998</v>
      </c>
      <c r="V1009">
        <v>4.6117089999999999E-2</v>
      </c>
      <c r="W1009">
        <v>0.15443950000000001</v>
      </c>
      <c r="X1009">
        <v>0.98692539999999995</v>
      </c>
      <c r="Y1009">
        <v>8.8967870000000004E-2</v>
      </c>
      <c r="Z1009">
        <v>-2.4178530000000002E-3</v>
      </c>
      <c r="AA1009">
        <v>0.99603160000000002</v>
      </c>
      <c r="AB1009">
        <v>35</v>
      </c>
      <c r="AC1009">
        <v>28.254000000000001</v>
      </c>
      <c r="AD1009">
        <v>-1.0715344436549901</v>
      </c>
      <c r="AE1009">
        <v>-2.42900000000003</v>
      </c>
      <c r="AF1009">
        <v>2.53859277201824</v>
      </c>
      <c r="AG1009">
        <v>-1.0715344436549901</v>
      </c>
      <c r="AH1009">
        <v>28.203769965332899</v>
      </c>
      <c r="AI1009">
        <v>92.167016894714607</v>
      </c>
      <c r="AJ1009">
        <v>84.856724646837506</v>
      </c>
      <c r="AK1009">
        <v>28.338053560248198</v>
      </c>
      <c r="AL1009">
        <v>81.115709857053403</v>
      </c>
      <c r="AM1009">
        <v>87.324626600140604</v>
      </c>
      <c r="AN1009">
        <v>1.00000004515773</v>
      </c>
    </row>
    <row r="1010" spans="1:40" x14ac:dyDescent="0.25">
      <c r="A1010" t="str">
        <f>"20190303170243381"</f>
        <v>20190303170243381</v>
      </c>
      <c r="B1010" t="str">
        <f>"1551603763366991"</f>
        <v>1551603763366991</v>
      </c>
      <c r="C1010" t="s">
        <v>40</v>
      </c>
      <c r="D1010">
        <v>4.7140659999999999</v>
      </c>
      <c r="E1010">
        <v>0.51963720000000002</v>
      </c>
      <c r="F1010" t="s">
        <v>42</v>
      </c>
      <c r="G1010">
        <v>-260.43419999999998</v>
      </c>
      <c r="H1010" s="1">
        <v>-4.8513779999999996E-6</v>
      </c>
      <c r="I1010">
        <v>365.30149999999998</v>
      </c>
      <c r="J1010">
        <v>-289.41730000000001</v>
      </c>
      <c r="K1010">
        <v>1.0715330000000001</v>
      </c>
      <c r="L1010">
        <v>367.7953</v>
      </c>
      <c r="M1010">
        <v>0.99988449999999995</v>
      </c>
      <c r="N1010">
        <v>-1.465585E-2</v>
      </c>
      <c r="O1010">
        <v>4.0131170000000001E-3</v>
      </c>
      <c r="P1010">
        <v>0.98919550000000001</v>
      </c>
      <c r="Q1010">
        <v>0.14027419999999999</v>
      </c>
      <c r="R1010">
        <v>-4.2609269999999998E-2</v>
      </c>
      <c r="S1010">
        <v>3.0372919999999999</v>
      </c>
      <c r="T1010">
        <v>-0.111542</v>
      </c>
      <c r="U1010">
        <v>-0.25952150000000002</v>
      </c>
      <c r="V1010">
        <v>4.6580870000000003E-2</v>
      </c>
      <c r="W1010">
        <v>0.15475329999999901</v>
      </c>
      <c r="X1010">
        <v>0.98685440000000002</v>
      </c>
      <c r="Y1010">
        <v>8.9048569999999994E-2</v>
      </c>
      <c r="Z1010">
        <v>-2.3740340000000001E-3</v>
      </c>
      <c r="AA1010">
        <v>0.99602440000000003</v>
      </c>
      <c r="AB1010">
        <v>35</v>
      </c>
      <c r="AC1010">
        <v>28.9831</v>
      </c>
      <c r="AD1010">
        <v>-1.0715378513779901</v>
      </c>
      <c r="AE1010">
        <v>-2.4938000000000198</v>
      </c>
      <c r="AF1010">
        <v>2.6065683426034898</v>
      </c>
      <c r="AG1010">
        <v>-1.0715378513779901</v>
      </c>
      <c r="AH1010">
        <v>28.933599914676901</v>
      </c>
      <c r="AI1010">
        <v>92.112397387767203</v>
      </c>
      <c r="AJ1010">
        <v>84.852237513649797</v>
      </c>
      <c r="AK1010">
        <v>29.070527960705999</v>
      </c>
      <c r="AL1010">
        <v>81.097511109760802</v>
      </c>
      <c r="AM1010">
        <v>87.297567060621105</v>
      </c>
      <c r="AN1010">
        <v>0.99999998405510304</v>
      </c>
    </row>
    <row r="1011" spans="1:40" x14ac:dyDescent="0.25">
      <c r="A1011" t="str">
        <f>"20190303170243393"</f>
        <v>20190303170243393</v>
      </c>
      <c r="B1011" t="str">
        <f>"1551603763386510"</f>
        <v>1551603763386510</v>
      </c>
      <c r="C1011" t="s">
        <v>40</v>
      </c>
      <c r="D1011">
        <v>3.9534590000000001</v>
      </c>
      <c r="E1011">
        <v>0.51958890000000002</v>
      </c>
      <c r="F1011" t="s">
        <v>42</v>
      </c>
      <c r="G1011">
        <v>-259.7989</v>
      </c>
      <c r="H1011" s="1">
        <v>-1.2167149999999999E-6</v>
      </c>
      <c r="I1011">
        <v>365.2484</v>
      </c>
      <c r="J1011">
        <v>-289.22519999999997</v>
      </c>
      <c r="K1011">
        <v>1.0715349999999999</v>
      </c>
      <c r="L1011">
        <v>367.7962</v>
      </c>
      <c r="M1011">
        <v>0.99988469999999996</v>
      </c>
      <c r="N1011">
        <v>-1.465373E-2</v>
      </c>
      <c r="O1011">
        <v>4.0184929999999997E-3</v>
      </c>
      <c r="P1011">
        <v>0.98912420000000001</v>
      </c>
      <c r="Q1011">
        <v>0.1406656</v>
      </c>
      <c r="R1011">
        <v>-4.2977120000000001E-2</v>
      </c>
      <c r="S1011">
        <v>3.0371700000000001</v>
      </c>
      <c r="T1011">
        <v>-0.1098782</v>
      </c>
      <c r="U1011">
        <v>-0.2611694</v>
      </c>
      <c r="V1011">
        <v>4.6953870000000002E-2</v>
      </c>
      <c r="W1011">
        <v>0.1551419</v>
      </c>
      <c r="X1011">
        <v>0.98677570000000003</v>
      </c>
      <c r="Y1011">
        <v>8.9595469999999997E-2</v>
      </c>
      <c r="Z1011">
        <v>-2.3614759999999999E-3</v>
      </c>
      <c r="AA1011">
        <v>0.99597539999999996</v>
      </c>
      <c r="AB1011">
        <v>35</v>
      </c>
      <c r="AC1011">
        <v>29.426299999999902</v>
      </c>
      <c r="AD1011">
        <v>-1.071536216715</v>
      </c>
      <c r="AE1011">
        <v>-2.5477999999999899</v>
      </c>
      <c r="AF1011">
        <v>2.6625372398617602</v>
      </c>
      <c r="AG1011">
        <v>-1.071536216715</v>
      </c>
      <c r="AH1011">
        <v>29.3771587769867</v>
      </c>
      <c r="AI1011">
        <v>92.0804263347015</v>
      </c>
      <c r="AJ1011">
        <v>84.821266063827593</v>
      </c>
      <c r="AK1011">
        <v>29.517024786141199</v>
      </c>
      <c r="AL1011">
        <v>81.074973729700801</v>
      </c>
      <c r="AM1011">
        <v>87.275742653207999</v>
      </c>
      <c r="AN1011">
        <v>0.99999997857703804</v>
      </c>
    </row>
    <row r="1012" spans="1:40" x14ac:dyDescent="0.25">
      <c r="A1012" t="str">
        <f>"20190303170243404"</f>
        <v>20190303170243404</v>
      </c>
      <c r="B1012" t="str">
        <f>"1551603763396269"</f>
        <v>1551603763396269</v>
      </c>
      <c r="C1012" t="s">
        <v>40</v>
      </c>
      <c r="D1012">
        <v>4.706251</v>
      </c>
      <c r="E1012">
        <v>0.51960689999999998</v>
      </c>
      <c r="F1012" t="s">
        <v>42</v>
      </c>
      <c r="G1012">
        <v>-258.99950000000001</v>
      </c>
      <c r="H1012" s="1">
        <v>-1.504027E-6</v>
      </c>
      <c r="I1012">
        <v>365.19099999999997</v>
      </c>
      <c r="J1012">
        <v>-289.06310000000002</v>
      </c>
      <c r="K1012">
        <v>1.071536</v>
      </c>
      <c r="L1012">
        <v>367.79680000000002</v>
      </c>
      <c r="M1012">
        <v>0.99988469999999996</v>
      </c>
      <c r="N1012">
        <v>-1.465194E-2</v>
      </c>
      <c r="O1012">
        <v>4.0232109999999996E-3</v>
      </c>
      <c r="P1012">
        <v>0.98914440000000003</v>
      </c>
      <c r="Q1012">
        <v>0.14047209999999999</v>
      </c>
      <c r="R1012">
        <v>-4.3139110000000001E-2</v>
      </c>
      <c r="S1012">
        <v>3.0369259999999998</v>
      </c>
      <c r="T1012">
        <v>-0.1076622</v>
      </c>
      <c r="U1012">
        <v>-0.26174930000000002</v>
      </c>
      <c r="V1012">
        <v>4.7120790000000003E-2</v>
      </c>
      <c r="W1012">
        <v>0.15494639999999901</v>
      </c>
      <c r="X1012">
        <v>0.98679850000000002</v>
      </c>
      <c r="Y1012">
        <v>8.9798439999999993E-2</v>
      </c>
      <c r="Z1012">
        <v>-2.3311830000000001E-3</v>
      </c>
      <c r="AA1012">
        <v>0.99595730000000005</v>
      </c>
      <c r="AB1012">
        <v>35</v>
      </c>
      <c r="AC1012">
        <v>30.063600000000001</v>
      </c>
      <c r="AD1012">
        <v>-1.0715375040270001</v>
      </c>
      <c r="AE1012">
        <v>-2.6058000000000399</v>
      </c>
      <c r="AF1012">
        <v>2.7233102463990799</v>
      </c>
      <c r="AG1012">
        <v>-1.0715375040270001</v>
      </c>
      <c r="AH1012">
        <v>30.015025747953899</v>
      </c>
      <c r="AI1012">
        <v>92.036235983234903</v>
      </c>
      <c r="AJ1012">
        <v>84.815659391197599</v>
      </c>
      <c r="AK1012">
        <v>30.1573603283015</v>
      </c>
      <c r="AL1012">
        <v>81.086312515642206</v>
      </c>
      <c r="AM1012">
        <v>87.266135715952004</v>
      </c>
      <c r="AN1012">
        <v>1.00000001766271</v>
      </c>
    </row>
    <row r="1013" spans="1:40" x14ac:dyDescent="0.25">
      <c r="A1013" t="str">
        <f>"20190303170243418"</f>
        <v>20190303170243418</v>
      </c>
      <c r="B1013" t="str">
        <f>"1551603763406627"</f>
        <v>1551603763406627</v>
      </c>
      <c r="C1013" t="s">
        <v>40</v>
      </c>
      <c r="D1013">
        <v>4.7041839999999997</v>
      </c>
      <c r="E1013">
        <v>0.51964120000000003</v>
      </c>
      <c r="F1013" t="s">
        <v>42</v>
      </c>
      <c r="G1013">
        <v>-258.91059999999999</v>
      </c>
      <c r="H1013" s="1">
        <v>-1.5338250000000001E-6</v>
      </c>
      <c r="I1013">
        <v>365.1927</v>
      </c>
      <c r="J1013">
        <v>-288.84780000000001</v>
      </c>
      <c r="K1013">
        <v>1.0715349999999999</v>
      </c>
      <c r="L1013">
        <v>367.79770000000002</v>
      </c>
      <c r="M1013">
        <v>0.99988460000000001</v>
      </c>
      <c r="N1013">
        <v>-1.4649570000000001E-2</v>
      </c>
      <c r="O1013">
        <v>4.0296020000000002E-3</v>
      </c>
      <c r="P1013">
        <v>0.98914120000000005</v>
      </c>
      <c r="Q1013">
        <v>0.14047460000000001</v>
      </c>
      <c r="R1013">
        <v>-4.3206210000000002E-2</v>
      </c>
      <c r="S1013">
        <v>3.0368040000000001</v>
      </c>
      <c r="T1013">
        <v>-0.1079193</v>
      </c>
      <c r="U1013">
        <v>-0.262268099999999</v>
      </c>
      <c r="V1013">
        <v>4.7194260000000002E-2</v>
      </c>
      <c r="W1013">
        <v>0.15494639999999901</v>
      </c>
      <c r="X1013">
        <v>0.98679490000000003</v>
      </c>
      <c r="Y1013">
        <v>8.9976630000000002E-2</v>
      </c>
      <c r="Z1013">
        <v>-2.3398799999999999E-3</v>
      </c>
      <c r="AA1013">
        <v>0.99594110000000002</v>
      </c>
      <c r="AB1013">
        <v>35</v>
      </c>
      <c r="AC1013">
        <v>29.937200000000001</v>
      </c>
      <c r="AD1013">
        <v>-1.071536533825</v>
      </c>
      <c r="AE1013">
        <v>-2.6050000000000102</v>
      </c>
      <c r="AF1013">
        <v>2.7221655621026999</v>
      </c>
      <c r="AG1013">
        <v>-1.071536533825</v>
      </c>
      <c r="AH1013">
        <v>29.888455543204401</v>
      </c>
      <c r="AI1013">
        <v>92.044786062431896</v>
      </c>
      <c r="AJ1013">
        <v>84.796001669562301</v>
      </c>
      <c r="AK1013">
        <v>30.0312861970467</v>
      </c>
      <c r="AL1013">
        <v>81.086311726602005</v>
      </c>
      <c r="AM1013">
        <v>87.261869625482802</v>
      </c>
      <c r="AN1013">
        <v>0.99999992985795605</v>
      </c>
    </row>
    <row r="1014" spans="1:40" x14ac:dyDescent="0.25">
      <c r="A1014" t="str">
        <f>"20190303170243432"</f>
        <v>20190303170243432</v>
      </c>
      <c r="B1014" t="str">
        <f>"1551603763427123"</f>
        <v>1551603763427123</v>
      </c>
      <c r="C1014" t="s">
        <v>40</v>
      </c>
      <c r="D1014">
        <v>4.4554769999999904</v>
      </c>
      <c r="E1014">
        <v>0.51967050000000004</v>
      </c>
      <c r="F1014" t="s">
        <v>42</v>
      </c>
      <c r="G1014">
        <v>-258.5206</v>
      </c>
      <c r="H1014" s="1">
        <v>-1.6708149999999999E-6</v>
      </c>
      <c r="I1014">
        <v>365.17660000000001</v>
      </c>
      <c r="J1014">
        <v>-288.61410000000001</v>
      </c>
      <c r="K1014">
        <v>1.0715319999999999</v>
      </c>
      <c r="L1014">
        <v>367.79860000000002</v>
      </c>
      <c r="M1014">
        <v>0.99988460000000001</v>
      </c>
      <c r="N1014">
        <v>-1.464702E-2</v>
      </c>
      <c r="O1014">
        <v>4.0365310000000003E-3</v>
      </c>
      <c r="P1014">
        <v>0.9891411</v>
      </c>
      <c r="Q1014">
        <v>0.140392299999999</v>
      </c>
      <c r="R1014">
        <v>-4.3471080000000002E-2</v>
      </c>
      <c r="S1014">
        <v>3.0367130000000002</v>
      </c>
      <c r="T1014">
        <v>-0.1072943</v>
      </c>
      <c r="U1014">
        <v>-0.2624512</v>
      </c>
      <c r="V1014">
        <v>4.7466229999999998E-2</v>
      </c>
      <c r="W1014">
        <v>0.1548621</v>
      </c>
      <c r="X1014">
        <v>0.98679519999999998</v>
      </c>
      <c r="Y1014">
        <v>9.0046470000000003E-2</v>
      </c>
      <c r="Z1014">
        <v>-2.331648E-3</v>
      </c>
      <c r="AA1014">
        <v>0.99593480000000001</v>
      </c>
      <c r="AB1014">
        <v>35</v>
      </c>
      <c r="AC1014">
        <v>30.093499999999999</v>
      </c>
      <c r="AD1014">
        <v>-1.0715336708149901</v>
      </c>
      <c r="AE1014">
        <v>-2.6220000000000101</v>
      </c>
      <c r="AF1014">
        <v>2.7400172650450498</v>
      </c>
      <c r="AG1014">
        <v>-1.0715336708149901</v>
      </c>
      <c r="AH1014">
        <v>30.044864616420899</v>
      </c>
      <c r="AI1014">
        <v>92.034122696894599</v>
      </c>
      <c r="AJ1014">
        <v>84.789180973297107</v>
      </c>
      <c r="AK1014">
        <v>30.188570168848599</v>
      </c>
      <c r="AL1014">
        <v>81.091201762569298</v>
      </c>
      <c r="AM1014">
        <v>87.246115447746703</v>
      </c>
      <c r="AN1014">
        <v>1.00000003987493</v>
      </c>
    </row>
    <row r="1015" spans="1:40" x14ac:dyDescent="0.25">
      <c r="A1015" t="str">
        <f>"20190303170243447"</f>
        <v>20190303170243447</v>
      </c>
      <c r="B1015" t="str">
        <f>"1551603763436883"</f>
        <v>1551603763436883</v>
      </c>
      <c r="C1015" t="s">
        <v>40</v>
      </c>
      <c r="D1015">
        <v>4.7626679999999997</v>
      </c>
      <c r="E1015">
        <v>0.51964350000000004</v>
      </c>
      <c r="F1015" t="s">
        <v>42</v>
      </c>
      <c r="G1015">
        <v>-257.9468</v>
      </c>
      <c r="H1015" s="1">
        <v>-1.876342E-6</v>
      </c>
      <c r="I1015">
        <v>365.13799999999998</v>
      </c>
      <c r="J1015">
        <v>-288.39670000000001</v>
      </c>
      <c r="K1015">
        <v>1.071534</v>
      </c>
      <c r="L1015">
        <v>367.79950000000002</v>
      </c>
      <c r="M1015">
        <v>0.99988469999999996</v>
      </c>
      <c r="N1015">
        <v>-1.464463E-2</v>
      </c>
      <c r="O1015">
        <v>4.0424500000000004E-3</v>
      </c>
      <c r="P1015">
        <v>0.98913969999999996</v>
      </c>
      <c r="Q1015">
        <v>0.14038519999999999</v>
      </c>
      <c r="R1015">
        <v>-4.3531340000000002E-2</v>
      </c>
      <c r="S1015">
        <v>3.036438</v>
      </c>
      <c r="T1015">
        <v>-0.1060947</v>
      </c>
      <c r="U1015">
        <v>-0.26342769999999999</v>
      </c>
      <c r="V1015">
        <v>4.7532100000000001E-2</v>
      </c>
      <c r="W1015">
        <v>0.1548522</v>
      </c>
      <c r="X1015">
        <v>0.98679349999999999</v>
      </c>
      <c r="Y1015">
        <v>9.037924E-2</v>
      </c>
      <c r="Z1015">
        <v>-2.3207219999999999E-3</v>
      </c>
      <c r="AA1015">
        <v>0.99590469999999998</v>
      </c>
      <c r="AB1015">
        <v>35</v>
      </c>
      <c r="AC1015">
        <v>30.4499</v>
      </c>
      <c r="AD1015">
        <v>-1.071535876342</v>
      </c>
      <c r="AE1015">
        <v>-2.6614999999999802</v>
      </c>
      <c r="AF1015">
        <v>2.7811657045942599</v>
      </c>
      <c r="AG1015">
        <v>-1.071535876342</v>
      </c>
      <c r="AH1015">
        <v>30.401528869636198</v>
      </c>
      <c r="AI1015">
        <v>92.010231035357805</v>
      </c>
      <c r="AJ1015">
        <v>84.773066951106998</v>
      </c>
      <c r="AK1015">
        <v>30.547275319118398</v>
      </c>
      <c r="AL1015">
        <v>81.091775181643897</v>
      </c>
      <c r="AM1015">
        <v>87.242294969387004</v>
      </c>
      <c r="AN1015">
        <v>0.99999995800874897</v>
      </c>
    </row>
    <row r="1016" spans="1:40" x14ac:dyDescent="0.25">
      <c r="A1016" t="str">
        <f>"20190303170243461"</f>
        <v>20190303170243461</v>
      </c>
      <c r="B1016" t="str">
        <f>"1551603763446642"</f>
        <v>1551603763446642</v>
      </c>
      <c r="C1016" t="s">
        <v>40</v>
      </c>
      <c r="D1016">
        <v>4.5900829999999999</v>
      </c>
      <c r="E1016">
        <v>0.51959420000000001</v>
      </c>
      <c r="F1016" t="s">
        <v>42</v>
      </c>
      <c r="G1016">
        <v>-257.59690000000001</v>
      </c>
      <c r="H1016" s="1">
        <v>-1.9985290000000002E-6</v>
      </c>
      <c r="I1016">
        <v>365.12639999999999</v>
      </c>
      <c r="J1016">
        <v>-288.19200000000001</v>
      </c>
      <c r="K1016">
        <v>1.071536</v>
      </c>
      <c r="L1016">
        <v>367.80029999999999</v>
      </c>
      <c r="M1016">
        <v>0.99988460000000001</v>
      </c>
      <c r="N1016">
        <v>-1.464237E-2</v>
      </c>
      <c r="O1016">
        <v>4.0483669999999998E-3</v>
      </c>
      <c r="P1016">
        <v>0.98908479999999999</v>
      </c>
      <c r="Q1016">
        <v>0.14070959999999999</v>
      </c>
      <c r="R1016">
        <v>-4.3727820000000001E-2</v>
      </c>
      <c r="S1016">
        <v>3.036346</v>
      </c>
      <c r="T1016">
        <v>-0.10563500000000001</v>
      </c>
      <c r="U1016">
        <v>-0.26351930000000001</v>
      </c>
      <c r="V1016">
        <v>4.7734230000000002E-2</v>
      </c>
      <c r="W1016">
        <v>0.1551739</v>
      </c>
      <c r="X1016">
        <v>0.98673330000000004</v>
      </c>
      <c r="Y1016">
        <v>9.0418070000000003E-2</v>
      </c>
      <c r="Z1016">
        <v>-2.3143220000000002E-3</v>
      </c>
      <c r="AA1016">
        <v>0.99590120000000004</v>
      </c>
      <c r="AB1016">
        <v>35</v>
      </c>
      <c r="AC1016">
        <v>30.595099999999999</v>
      </c>
      <c r="AD1016">
        <v>-1.0715379985289999</v>
      </c>
      <c r="AE1016">
        <v>-2.6739000000000002</v>
      </c>
      <c r="AF1016">
        <v>2.7943499224398098</v>
      </c>
      <c r="AG1016">
        <v>-1.0715379985289999</v>
      </c>
      <c r="AH1016">
        <v>30.546837688179401</v>
      </c>
      <c r="AI1016">
        <v>92.000680924775395</v>
      </c>
      <c r="AJ1016">
        <v>84.773269320393197</v>
      </c>
      <c r="AK1016">
        <v>30.693091696981401</v>
      </c>
      <c r="AL1016">
        <v>81.0731184372531</v>
      </c>
      <c r="AM1016">
        <v>87.230417364729405</v>
      </c>
      <c r="AN1016">
        <v>1.00000005064189</v>
      </c>
    </row>
    <row r="1017" spans="1:40" x14ac:dyDescent="0.25">
      <c r="A1017" t="str">
        <f>"20190303170243472"</f>
        <v>20190303170243472</v>
      </c>
      <c r="B1017" t="str">
        <f>"1551603763467140"</f>
        <v>1551603763467140</v>
      </c>
      <c r="C1017" t="s">
        <v>40</v>
      </c>
      <c r="D1017">
        <v>4.7072629999999904</v>
      </c>
      <c r="E1017">
        <v>0.51967920000000001</v>
      </c>
      <c r="F1017" t="s">
        <v>42</v>
      </c>
      <c r="G1017">
        <v>-257.02640000000002</v>
      </c>
      <c r="H1017" s="1">
        <v>-2.2004600000000001E-6</v>
      </c>
      <c r="I1017">
        <v>365.09699999999998</v>
      </c>
      <c r="J1017">
        <v>-287.99689999999998</v>
      </c>
      <c r="K1017">
        <v>1.071537</v>
      </c>
      <c r="L1017">
        <v>367.80110000000002</v>
      </c>
      <c r="M1017">
        <v>0.99988469999999996</v>
      </c>
      <c r="N1017">
        <v>-1.4640190000000001E-2</v>
      </c>
      <c r="O1017">
        <v>4.0539249999999999E-3</v>
      </c>
      <c r="P1017">
        <v>0.9890352</v>
      </c>
      <c r="Q1017">
        <v>0.14098869999999999</v>
      </c>
      <c r="R1017">
        <v>-4.3948420000000002E-2</v>
      </c>
      <c r="S1017">
        <v>3.0363159999999998</v>
      </c>
      <c r="T1017">
        <v>-0.1043948</v>
      </c>
      <c r="U1017">
        <v>-0.26336670000000001</v>
      </c>
      <c r="V1017">
        <v>4.7960280000000001E-2</v>
      </c>
      <c r="W1017">
        <v>0.15544949999999999</v>
      </c>
      <c r="X1017">
        <v>0.98667890000000003</v>
      </c>
      <c r="Y1017">
        <v>9.0376390000000001E-2</v>
      </c>
      <c r="Z1017">
        <v>-2.2932690000000001E-3</v>
      </c>
      <c r="AA1017">
        <v>0.99590500000000004</v>
      </c>
      <c r="AB1017">
        <v>35</v>
      </c>
      <c r="AC1017">
        <v>30.970499999999902</v>
      </c>
      <c r="AD1017">
        <v>-1.07153920046</v>
      </c>
      <c r="AE1017">
        <v>-2.7041000000000301</v>
      </c>
      <c r="AF1017">
        <v>2.8262856391159601</v>
      </c>
      <c r="AG1017">
        <v>-1.07153920046</v>
      </c>
      <c r="AH1017">
        <v>30.922545654844999</v>
      </c>
      <c r="AI1017">
        <v>91.976408415951497</v>
      </c>
      <c r="AJ1017">
        <v>84.777740235020204</v>
      </c>
      <c r="AK1017">
        <v>31.0699198027283</v>
      </c>
      <c r="AL1017">
        <v>81.057133241059304</v>
      </c>
      <c r="AM1017">
        <v>87.217169127760002</v>
      </c>
      <c r="AN1017">
        <v>0.99999999360656899</v>
      </c>
    </row>
    <row r="1018" spans="1:40" x14ac:dyDescent="0.25">
      <c r="A1018" t="str">
        <f>"20190303170243487"</f>
        <v>20190303170243487</v>
      </c>
      <c r="B1018" t="str">
        <f>"1551603763476900"</f>
        <v>1551603763476900</v>
      </c>
      <c r="C1018" t="s">
        <v>40</v>
      </c>
      <c r="D1018">
        <v>4.7083360000000001</v>
      </c>
      <c r="E1018">
        <v>0.51968199999999998</v>
      </c>
      <c r="F1018" t="s">
        <v>42</v>
      </c>
      <c r="G1018">
        <v>-256.21899999999999</v>
      </c>
      <c r="H1018" s="1">
        <v>-2.4937310000000002E-6</v>
      </c>
      <c r="I1018">
        <v>365.02749999999997</v>
      </c>
      <c r="J1018">
        <v>-287.76850000000002</v>
      </c>
      <c r="K1018">
        <v>1.0715410000000001</v>
      </c>
      <c r="L1018">
        <v>367.80200000000002</v>
      </c>
      <c r="M1018">
        <v>0.99988469999999996</v>
      </c>
      <c r="N1018">
        <v>-1.463764E-2</v>
      </c>
      <c r="O1018">
        <v>4.0604980000000001E-3</v>
      </c>
      <c r="P1018">
        <v>0.98901059999999996</v>
      </c>
      <c r="Q1018">
        <v>0.14109910000000001</v>
      </c>
      <c r="R1018">
        <v>-4.4150729999999999E-2</v>
      </c>
      <c r="S1018">
        <v>3.036041</v>
      </c>
      <c r="T1018">
        <v>-0.10237400000000001</v>
      </c>
      <c r="U1018">
        <v>-0.2649841</v>
      </c>
      <c r="V1018">
        <v>4.8168860000000001E-2</v>
      </c>
      <c r="W1018">
        <v>0.15555739999999901</v>
      </c>
      <c r="X1018">
        <v>0.98665170000000002</v>
      </c>
      <c r="Y1018">
        <v>9.0919349999999996E-2</v>
      </c>
      <c r="Z1018">
        <v>-2.273841E-3</v>
      </c>
      <c r="AA1018">
        <v>0.99585570000000001</v>
      </c>
      <c r="AB1018">
        <v>35</v>
      </c>
      <c r="AC1018">
        <v>31.549499999999998</v>
      </c>
      <c r="AD1018">
        <v>-1.071543493731</v>
      </c>
      <c r="AE1018">
        <v>-2.7744999999999802</v>
      </c>
      <c r="AF1018">
        <v>2.8992787371470099</v>
      </c>
      <c r="AG1018">
        <v>-1.071543493731</v>
      </c>
      <c r="AH1018">
        <v>31.501912789605399</v>
      </c>
      <c r="AI1018">
        <v>91.939982963121196</v>
      </c>
      <c r="AJ1018">
        <v>84.741596194384499</v>
      </c>
      <c r="AK1018">
        <v>31.653191498781499</v>
      </c>
      <c r="AL1018">
        <v>81.050874596578197</v>
      </c>
      <c r="AM1018">
        <v>87.205008773650803</v>
      </c>
      <c r="AN1018">
        <v>0.99999996044067396</v>
      </c>
    </row>
    <row r="1019" spans="1:40" x14ac:dyDescent="0.25">
      <c r="A1019" t="str">
        <f>"20190303170243498"</f>
        <v>20190303170243498</v>
      </c>
      <c r="B1019" t="str">
        <f>"1551603763486659"</f>
        <v>1551603763486659</v>
      </c>
      <c r="C1019" t="s">
        <v>40</v>
      </c>
      <c r="D1019">
        <v>4.7160339999999996</v>
      </c>
      <c r="E1019">
        <v>0.51968199999999998</v>
      </c>
      <c r="F1019" t="s">
        <v>42</v>
      </c>
      <c r="G1019">
        <v>-255.81139999999999</v>
      </c>
      <c r="H1019" s="1">
        <v>-2.6380610000000002E-6</v>
      </c>
      <c r="I1019">
        <v>365.00630000000001</v>
      </c>
      <c r="J1019">
        <v>-287.59989999999999</v>
      </c>
      <c r="K1019">
        <v>1.071536</v>
      </c>
      <c r="L1019">
        <v>367.80270000000002</v>
      </c>
      <c r="M1019">
        <v>0.99988469999999996</v>
      </c>
      <c r="N1019">
        <v>-1.4635749999999999E-2</v>
      </c>
      <c r="O1019">
        <v>4.0653989999999999E-3</v>
      </c>
      <c r="P1019">
        <v>0.98903319999999995</v>
      </c>
      <c r="Q1019">
        <v>0.14092199999999999</v>
      </c>
      <c r="R1019">
        <v>-4.4214950000000003E-2</v>
      </c>
      <c r="S1019">
        <v>3.0360109999999998</v>
      </c>
      <c r="T1019">
        <v>-0.1017994</v>
      </c>
      <c r="U1019">
        <v>-0.26559450000000001</v>
      </c>
      <c r="V1019">
        <v>4.82379E-2</v>
      </c>
      <c r="W1019">
        <v>0.1553784</v>
      </c>
      <c r="X1019">
        <v>0.98667660000000001</v>
      </c>
      <c r="Y1019">
        <v>9.1124319999999995E-2</v>
      </c>
      <c r="Z1019">
        <v>-2.2694460000000001E-3</v>
      </c>
      <c r="AA1019">
        <v>0.99583690000000002</v>
      </c>
      <c r="AB1019">
        <v>35</v>
      </c>
      <c r="AC1019">
        <v>31.788499999999999</v>
      </c>
      <c r="AD1019">
        <v>-1.0715386380609999</v>
      </c>
      <c r="AE1019">
        <v>-2.7964000000000002</v>
      </c>
      <c r="AF1019">
        <v>2.9223286459190301</v>
      </c>
      <c r="AG1019">
        <v>-1.0715386380609999</v>
      </c>
      <c r="AH1019">
        <v>31.7410785643563</v>
      </c>
      <c r="AI1019">
        <v>91.925361971337097</v>
      </c>
      <c r="AJ1019">
        <v>84.7397377346539</v>
      </c>
      <c r="AK1019">
        <v>31.893326389642301</v>
      </c>
      <c r="AL1019">
        <v>81.061257384178205</v>
      </c>
      <c r="AM1019">
        <v>87.201079627126703</v>
      </c>
      <c r="AN1019">
        <v>1.0000000275852601</v>
      </c>
    </row>
    <row r="1020" spans="1:40" x14ac:dyDescent="0.25">
      <c r="A1020" t="str">
        <f>"20190303170243509"</f>
        <v>20190303170243509</v>
      </c>
      <c r="B1020" t="str">
        <f>"1551603763496420"</f>
        <v>1551603763496420</v>
      </c>
      <c r="C1020" t="s">
        <v>40</v>
      </c>
      <c r="D1020">
        <v>4.7150420000000004</v>
      </c>
      <c r="E1020">
        <v>0.50438139999999998</v>
      </c>
      <c r="F1020" t="s">
        <v>42</v>
      </c>
      <c r="G1020">
        <v>-255.81620000000001</v>
      </c>
      <c r="H1020" s="1">
        <v>-2.6322470000000002E-6</v>
      </c>
      <c r="I1020">
        <v>365.02210000000002</v>
      </c>
      <c r="J1020">
        <v>-287.42189999999999</v>
      </c>
      <c r="K1020">
        <v>1.071537</v>
      </c>
      <c r="L1020">
        <v>367.80340000000001</v>
      </c>
      <c r="M1020">
        <v>0.99988469999999996</v>
      </c>
      <c r="N1020">
        <v>-1.4633760000000001E-2</v>
      </c>
      <c r="O1020">
        <v>4.0705969999999996E-3</v>
      </c>
      <c r="P1020">
        <v>0.98904650000000005</v>
      </c>
      <c r="Q1020">
        <v>0.14085420000000001</v>
      </c>
      <c r="R1020">
        <v>-4.412634E-2</v>
      </c>
      <c r="S1020">
        <v>3.0359500000000001</v>
      </c>
      <c r="T1020">
        <v>-0.1023519</v>
      </c>
      <c r="U1020">
        <v>-0.26559450000000001</v>
      </c>
      <c r="V1020">
        <v>4.8154849999999999E-2</v>
      </c>
      <c r="W1020">
        <v>0.15530910000000001</v>
      </c>
      <c r="X1020">
        <v>0.98669150000000005</v>
      </c>
      <c r="Y1020">
        <v>9.1130539999999996E-2</v>
      </c>
      <c r="Z1020">
        <v>-2.278656E-3</v>
      </c>
      <c r="AA1020">
        <v>0.99583639999999995</v>
      </c>
      <c r="AB1020">
        <v>35</v>
      </c>
      <c r="AC1020">
        <v>31.605699999999899</v>
      </c>
      <c r="AD1020">
        <v>-1.0715396322470001</v>
      </c>
      <c r="AE1020">
        <v>-2.7812999999999799</v>
      </c>
      <c r="AF1020">
        <v>2.9066294717786798</v>
      </c>
      <c r="AG1020">
        <v>-1.0715396322470001</v>
      </c>
      <c r="AH1020">
        <v>31.5581199674508</v>
      </c>
      <c r="AI1020">
        <v>91.936511189470494</v>
      </c>
      <c r="AJ1020">
        <v>84.737675662573594</v>
      </c>
      <c r="AK1020">
        <v>31.7098033413913</v>
      </c>
      <c r="AL1020">
        <v>81.0652761766125</v>
      </c>
      <c r="AM1020">
        <v>87.205932943132595</v>
      </c>
      <c r="AN1020">
        <v>0.99999996114679002</v>
      </c>
    </row>
    <row r="1021" spans="1:40" x14ac:dyDescent="0.25">
      <c r="A1021" t="str">
        <f>"20190303170243521"</f>
        <v>20190303170243521</v>
      </c>
      <c r="B1021" t="str">
        <f>"1551603763516514"</f>
        <v>1551603763516514</v>
      </c>
      <c r="C1021" t="s">
        <v>40</v>
      </c>
      <c r="D1021">
        <v>4.6602499999999996</v>
      </c>
      <c r="E1021">
        <v>0.49939800000000001</v>
      </c>
      <c r="F1021" t="s">
        <v>42</v>
      </c>
      <c r="G1021">
        <v>-237.60419999999999</v>
      </c>
      <c r="H1021" s="1">
        <v>-1.91732E-6</v>
      </c>
      <c r="I1021">
        <v>365.42230000000001</v>
      </c>
      <c r="J1021">
        <v>-287.24669999999998</v>
      </c>
      <c r="K1021">
        <v>1.071537</v>
      </c>
      <c r="L1021">
        <v>367.80410000000001</v>
      </c>
      <c r="M1021">
        <v>0.99988469999999996</v>
      </c>
      <c r="N1021">
        <v>-1.463181E-2</v>
      </c>
      <c r="O1021">
        <v>4.075497E-3</v>
      </c>
      <c r="P1021">
        <v>0.98901749999999999</v>
      </c>
      <c r="Q1021">
        <v>0.14104849999999999</v>
      </c>
      <c r="R1021">
        <v>-4.4161260000000001E-2</v>
      </c>
      <c r="S1021">
        <v>3.036041</v>
      </c>
      <c r="T1021">
        <v>-6.5302730000000003E-2</v>
      </c>
      <c r="U1021">
        <v>-0.14511109999999999</v>
      </c>
      <c r="V1021">
        <v>4.8194109999999998E-2</v>
      </c>
      <c r="W1021">
        <v>0.15550129999999901</v>
      </c>
      <c r="X1021">
        <v>0.98665930000000002</v>
      </c>
      <c r="Y1021">
        <v>5.1792339999999999E-2</v>
      </c>
      <c r="Z1021">
        <v>-9.6384580000000001E-4</v>
      </c>
      <c r="AA1021">
        <v>0.99865740000000003</v>
      </c>
      <c r="AB1021">
        <v>35</v>
      </c>
      <c r="AC1021">
        <v>49.642499999999899</v>
      </c>
      <c r="AD1021">
        <v>-1.0715389173200001</v>
      </c>
      <c r="AE1021">
        <v>-2.3817999999999899</v>
      </c>
      <c r="AF1021">
        <v>2.5829190620728402</v>
      </c>
      <c r="AG1021">
        <v>-1.0715389173200001</v>
      </c>
      <c r="AH1021">
        <v>49.609318837493802</v>
      </c>
      <c r="AI1021">
        <v>91.235697396628694</v>
      </c>
      <c r="AJ1021">
        <v>87.019574985624701</v>
      </c>
      <c r="AK1021">
        <v>49.688068809852801</v>
      </c>
      <c r="AL1021">
        <v>81.054128395147998</v>
      </c>
      <c r="AM1021">
        <v>87.203567477286398</v>
      </c>
      <c r="AN1021">
        <v>0.99999995040843404</v>
      </c>
    </row>
    <row r="1022" spans="1:40" x14ac:dyDescent="0.25">
      <c r="A1022" t="str">
        <f>"20190303170243533"</f>
        <v>20190303170243533</v>
      </c>
      <c r="B1022" t="str">
        <f>"1551603763526272"</f>
        <v>1551603763526272</v>
      </c>
      <c r="C1022" t="s">
        <v>40</v>
      </c>
      <c r="D1022">
        <v>4.599958</v>
      </c>
      <c r="E1022">
        <v>0.49848969999999998</v>
      </c>
      <c r="F1022" t="s">
        <v>42</v>
      </c>
      <c r="G1022">
        <v>-232.23330000000001</v>
      </c>
      <c r="H1022" s="1">
        <v>-3.9748719999999999E-6</v>
      </c>
      <c r="I1022">
        <v>365.892</v>
      </c>
      <c r="J1022">
        <v>-287.06670000000003</v>
      </c>
      <c r="K1022">
        <v>1.0715380000000001</v>
      </c>
      <c r="L1022">
        <v>367.80489999999998</v>
      </c>
      <c r="M1022">
        <v>0.99988460000000001</v>
      </c>
      <c r="N1022">
        <v>-1.462983E-2</v>
      </c>
      <c r="O1022">
        <v>4.0807559999999996E-3</v>
      </c>
      <c r="P1022">
        <v>0.98901150000000004</v>
      </c>
      <c r="Q1022">
        <v>0.1411615</v>
      </c>
      <c r="R1022">
        <v>-4.392691E-2</v>
      </c>
      <c r="S1022">
        <v>3.037048</v>
      </c>
      <c r="T1022">
        <v>-5.9154989999999998E-2</v>
      </c>
      <c r="U1022">
        <v>-0.1055603</v>
      </c>
      <c r="V1022">
        <v>4.7965250000000001E-2</v>
      </c>
      <c r="W1022">
        <v>0.155612</v>
      </c>
      <c r="X1022">
        <v>0.986653</v>
      </c>
      <c r="Y1022">
        <v>3.8802070000000001E-2</v>
      </c>
      <c r="Z1022">
        <v>-6.8149149999999995E-4</v>
      </c>
      <c r="AA1022">
        <v>0.99924669999999904</v>
      </c>
      <c r="AB1022">
        <v>34</v>
      </c>
      <c r="AC1022">
        <v>54.833399999999997</v>
      </c>
      <c r="AD1022">
        <v>-1.0715419748720001</v>
      </c>
      <c r="AE1022">
        <v>-1.9128999999999701</v>
      </c>
      <c r="AF1022">
        <v>2.1358551055843402</v>
      </c>
      <c r="AG1022">
        <v>-1.0715419748720001</v>
      </c>
      <c r="AH1022">
        <v>54.804233173114199</v>
      </c>
      <c r="AI1022">
        <v>91.119264945178301</v>
      </c>
      <c r="AJ1022">
        <v>87.768172716147504</v>
      </c>
      <c r="AK1022">
        <v>54.8563036754122</v>
      </c>
      <c r="AL1022">
        <v>81.047707597476901</v>
      </c>
      <c r="AM1022">
        <v>87.216808260549101</v>
      </c>
      <c r="AN1022">
        <v>0.99999995108027995</v>
      </c>
    </row>
    <row r="1023" spans="1:40" x14ac:dyDescent="0.25">
      <c r="A1023" t="str">
        <f>"20190303170243544"</f>
        <v>20190303170243544</v>
      </c>
      <c r="B1023" t="str">
        <f>"1551603763537008"</f>
        <v>1551603763537008</v>
      </c>
      <c r="C1023" t="s">
        <v>40</v>
      </c>
      <c r="D1023">
        <v>4.657654</v>
      </c>
      <c r="E1023">
        <v>0.49787749999999997</v>
      </c>
      <c r="F1023" t="s">
        <v>42</v>
      </c>
      <c r="G1023">
        <v>-229.68369999999999</v>
      </c>
      <c r="H1023" s="1">
        <v>-1.0657260000000001E-6</v>
      </c>
      <c r="I1023">
        <v>365.96319999999997</v>
      </c>
      <c r="J1023">
        <v>-286.88810000000001</v>
      </c>
      <c r="K1023">
        <v>1.0715380000000001</v>
      </c>
      <c r="L1023">
        <v>367.80560000000003</v>
      </c>
      <c r="M1023">
        <v>0.99988460000000001</v>
      </c>
      <c r="N1023">
        <v>-1.462784E-2</v>
      </c>
      <c r="O1023">
        <v>4.0859549999999996E-3</v>
      </c>
      <c r="P1023">
        <v>0.98900129999999997</v>
      </c>
      <c r="Q1023">
        <v>0.14120769999999999</v>
      </c>
      <c r="R1023">
        <v>-4.4010140000000003E-2</v>
      </c>
      <c r="S1023">
        <v>3.03714</v>
      </c>
      <c r="T1023">
        <v>-5.6713819999999998E-2</v>
      </c>
      <c r="U1023">
        <v>-9.747314E-2</v>
      </c>
      <c r="V1023">
        <v>4.8053499999999999E-2</v>
      </c>
      <c r="W1023">
        <v>0.15565580000000001</v>
      </c>
      <c r="X1023">
        <v>0.98664180000000001</v>
      </c>
      <c r="Y1023">
        <v>3.6149969999999997E-2</v>
      </c>
      <c r="Z1023">
        <v>-6.1844619999999999E-4</v>
      </c>
      <c r="AA1023">
        <v>0.99934619999999996</v>
      </c>
      <c r="AB1023">
        <v>34</v>
      </c>
      <c r="AC1023">
        <v>57.2044</v>
      </c>
      <c r="AD1023">
        <v>-1.07153906572599</v>
      </c>
      <c r="AE1023">
        <v>-1.84240000000005</v>
      </c>
      <c r="AF1023">
        <v>2.0754167805424202</v>
      </c>
      <c r="AG1023">
        <v>-1.07153906572599</v>
      </c>
      <c r="AH1023">
        <v>57.176352429870498</v>
      </c>
      <c r="AI1023">
        <v>91.072945108477995</v>
      </c>
      <c r="AJ1023">
        <v>87.9211608867992</v>
      </c>
      <c r="AK1023">
        <v>57.224040646978899</v>
      </c>
      <c r="AL1023">
        <v>81.0451671139365</v>
      </c>
      <c r="AM1023">
        <v>87.211664011187096</v>
      </c>
      <c r="AN1023">
        <v>0.99999995422156396</v>
      </c>
    </row>
    <row r="1024" spans="1:40" x14ac:dyDescent="0.25">
      <c r="A1024" t="str">
        <f>"20190303170243556"</f>
        <v>20190303170243556</v>
      </c>
      <c r="B1024" t="str">
        <f>"1551603763546768"</f>
        <v>1551603763546768</v>
      </c>
      <c r="C1024" t="s">
        <v>40</v>
      </c>
      <c r="D1024">
        <v>4.5982349999999999</v>
      </c>
      <c r="E1024">
        <v>0.49758479999999999</v>
      </c>
      <c r="F1024" t="s">
        <v>42</v>
      </c>
      <c r="G1024">
        <v>-227.56059999999999</v>
      </c>
      <c r="H1024" s="1">
        <v>-1.7810129999999999E-6</v>
      </c>
      <c r="I1024">
        <v>365.99029999999999</v>
      </c>
      <c r="J1024">
        <v>-286.71620000000001</v>
      </c>
      <c r="K1024">
        <v>1.0715380000000001</v>
      </c>
      <c r="L1024">
        <v>367.80630000000002</v>
      </c>
      <c r="M1024">
        <v>0.99988469999999996</v>
      </c>
      <c r="N1024">
        <v>-1.462594E-2</v>
      </c>
      <c r="O1024">
        <v>4.0910340000000003E-3</v>
      </c>
      <c r="P1024">
        <v>0.98898660000000005</v>
      </c>
      <c r="Q1024">
        <v>0.14124919999999999</v>
      </c>
      <c r="R1024">
        <v>-4.4207580000000003E-2</v>
      </c>
      <c r="S1024">
        <v>3.0370789999999999</v>
      </c>
      <c r="T1024">
        <v>-5.485392E-2</v>
      </c>
      <c r="U1024">
        <v>-9.2926030000000007E-2</v>
      </c>
      <c r="V1024">
        <v>4.8255930000000002E-2</v>
      </c>
      <c r="W1024">
        <v>0.15569539999999901</v>
      </c>
      <c r="X1024">
        <v>0.98662570000000005</v>
      </c>
      <c r="Y1024">
        <v>3.4661919999999999E-2</v>
      </c>
      <c r="Z1024">
        <v>-5.8055940000000005E-4</v>
      </c>
      <c r="AA1024">
        <v>0.99939889999999998</v>
      </c>
      <c r="AB1024">
        <v>34</v>
      </c>
      <c r="AC1024">
        <v>59.1556</v>
      </c>
      <c r="AD1024">
        <v>-1.0715397810129901</v>
      </c>
      <c r="AE1024">
        <v>-1.81600000000003</v>
      </c>
      <c r="AF1024">
        <v>2.0573438436900799</v>
      </c>
      <c r="AG1024">
        <v>-1.0715397810129901</v>
      </c>
      <c r="AH1024">
        <v>59.128292190169901</v>
      </c>
      <c r="AI1024">
        <v>91.037589059593699</v>
      </c>
      <c r="AJ1024">
        <v>88.007221592099398</v>
      </c>
      <c r="AK1024">
        <v>59.173776273950601</v>
      </c>
      <c r="AL1024">
        <v>81.0428704495381</v>
      </c>
      <c r="AM1024">
        <v>87.199890911922594</v>
      </c>
      <c r="AN1024">
        <v>0.99999998213090702</v>
      </c>
    </row>
    <row r="1025" spans="1:40" x14ac:dyDescent="0.25">
      <c r="A1025" t="str">
        <f>"20190303170243567"</f>
        <v>20190303170243567</v>
      </c>
      <c r="B1025" t="str">
        <f>"1551603763556528"</f>
        <v>1551603763556528</v>
      </c>
      <c r="C1025" t="s">
        <v>40</v>
      </c>
      <c r="D1025">
        <v>4.5399200000000004</v>
      </c>
      <c r="E1025">
        <v>0.49738470000000001</v>
      </c>
      <c r="F1025" t="s">
        <v>42</v>
      </c>
      <c r="G1025">
        <v>-225.8381</v>
      </c>
      <c r="H1025" s="1">
        <v>-2.4126680000000002E-6</v>
      </c>
      <c r="I1025">
        <v>365.98079999999999</v>
      </c>
      <c r="J1025">
        <v>-286.53769999999997</v>
      </c>
      <c r="K1025">
        <v>1.071542</v>
      </c>
      <c r="L1025">
        <v>367.80709999999999</v>
      </c>
      <c r="M1025">
        <v>0.99988469999999996</v>
      </c>
      <c r="N1025">
        <v>-1.462397E-2</v>
      </c>
      <c r="O1025">
        <v>4.0964080000000002E-3</v>
      </c>
      <c r="P1025">
        <v>0.98898299999999995</v>
      </c>
      <c r="Q1025">
        <v>0.141280399999999</v>
      </c>
      <c r="R1025">
        <v>-4.4185629999999997E-2</v>
      </c>
      <c r="S1025">
        <v>3.0369570000000001</v>
      </c>
      <c r="T1025">
        <v>-5.3454639999999998E-2</v>
      </c>
      <c r="U1025">
        <v>-9.1064450000000005E-2</v>
      </c>
      <c r="V1025">
        <v>4.8239509999999999E-2</v>
      </c>
      <c r="W1025">
        <v>0.15572459999999999</v>
      </c>
      <c r="X1025">
        <v>0.98662190000000005</v>
      </c>
      <c r="Y1025">
        <v>3.4057049999999998E-2</v>
      </c>
      <c r="Z1025">
        <v>-5.6095210000000001E-4</v>
      </c>
      <c r="AA1025">
        <v>0.99941970000000002</v>
      </c>
      <c r="AB1025">
        <v>34</v>
      </c>
      <c r="AC1025">
        <v>60.699599999999897</v>
      </c>
      <c r="AD1025">
        <v>-1.071544412668</v>
      </c>
      <c r="AE1025">
        <v>-1.8263</v>
      </c>
      <c r="AF1025">
        <v>2.0743157378800201</v>
      </c>
      <c r="AG1025">
        <v>-1.071544412668</v>
      </c>
      <c r="AH1025">
        <v>60.6727177837613</v>
      </c>
      <c r="AI1025">
        <v>91.011208234132098</v>
      </c>
      <c r="AJ1025">
        <v>88.041899757351999</v>
      </c>
      <c r="AK1025">
        <v>60.717622454083902</v>
      </c>
      <c r="AL1025">
        <v>81.041176802608007</v>
      </c>
      <c r="AM1025">
        <v>87.200831422939302</v>
      </c>
      <c r="AN1025">
        <v>0.99999998746490504</v>
      </c>
    </row>
    <row r="1026" spans="1:40" x14ac:dyDescent="0.25">
      <c r="A1026" t="str">
        <f>"20190303170243578"</f>
        <v>20190303170243578</v>
      </c>
      <c r="B1026" t="str">
        <f>"1551603763567264"</f>
        <v>1551603763567264</v>
      </c>
      <c r="C1026" t="s">
        <v>40</v>
      </c>
      <c r="D1026">
        <v>4.5425420000000001</v>
      </c>
      <c r="E1026">
        <v>0.49723709999999999</v>
      </c>
      <c r="F1026" t="s">
        <v>42</v>
      </c>
      <c r="G1026">
        <v>-224.68809999999999</v>
      </c>
      <c r="H1026" s="1">
        <v>-2.9053010000000002E-6</v>
      </c>
      <c r="I1026">
        <v>365.98469999999998</v>
      </c>
      <c r="J1026">
        <v>-286.37520000000001</v>
      </c>
      <c r="K1026">
        <v>1.0715380000000001</v>
      </c>
      <c r="L1026">
        <v>367.80770000000001</v>
      </c>
      <c r="M1026">
        <v>0.99988469999999996</v>
      </c>
      <c r="N1026">
        <v>-1.462218E-2</v>
      </c>
      <c r="O1026">
        <v>4.1014850000000002E-3</v>
      </c>
      <c r="P1026">
        <v>0.9889812</v>
      </c>
      <c r="Q1026">
        <v>0.14127100000000001</v>
      </c>
      <c r="R1026">
        <v>-4.4261590000000003E-2</v>
      </c>
      <c r="S1026">
        <v>3.0369259999999998</v>
      </c>
      <c r="T1026">
        <v>-5.2614689999999999E-2</v>
      </c>
      <c r="U1026">
        <v>-8.9477539999999994E-2</v>
      </c>
      <c r="V1026">
        <v>4.8320340000000003E-2</v>
      </c>
      <c r="W1026">
        <v>0.1557132</v>
      </c>
      <c r="X1026">
        <v>0.98661980000000005</v>
      </c>
      <c r="Y1026">
        <v>3.3541019999999998E-2</v>
      </c>
      <c r="Z1026">
        <v>-5.4686239999999998E-4</v>
      </c>
      <c r="AA1026">
        <v>0.99943720000000003</v>
      </c>
      <c r="AB1026">
        <v>34</v>
      </c>
      <c r="AC1026">
        <v>61.687100000000001</v>
      </c>
      <c r="AD1026">
        <v>-1.0715409053010001</v>
      </c>
      <c r="AE1026">
        <v>-1.8230000000000299</v>
      </c>
      <c r="AF1026">
        <v>2.0753947477739199</v>
      </c>
      <c r="AG1026">
        <v>-1.0715409053010001</v>
      </c>
      <c r="AH1026">
        <v>61.660514190744401</v>
      </c>
      <c r="AI1026">
        <v>90.995026660288701</v>
      </c>
      <c r="AJ1026">
        <v>88.072243031140005</v>
      </c>
      <c r="AK1026">
        <v>61.704736232624903</v>
      </c>
      <c r="AL1026">
        <v>81.041838540744095</v>
      </c>
      <c r="AM1026">
        <v>87.196142663069494</v>
      </c>
      <c r="AN1026">
        <v>1.00000004283199</v>
      </c>
    </row>
    <row r="1027" spans="1:40" x14ac:dyDescent="0.25">
      <c r="A1027" t="str">
        <f>"20190303170243588"</f>
        <v>20190303170243588</v>
      </c>
      <c r="B1027" t="str">
        <f>"1551603763577024"</f>
        <v>1551603763577024</v>
      </c>
      <c r="C1027" t="s">
        <v>40</v>
      </c>
      <c r="D1027">
        <v>4.5990169999999999</v>
      </c>
      <c r="E1027">
        <v>0.49717630000000002</v>
      </c>
      <c r="F1027" t="s">
        <v>42</v>
      </c>
      <c r="G1027">
        <v>-223.4811</v>
      </c>
      <c r="H1027" s="1">
        <v>-3.4250919999999998E-6</v>
      </c>
      <c r="I1027">
        <v>365.9735</v>
      </c>
      <c r="J1027">
        <v>-286.20979999999997</v>
      </c>
      <c r="K1027">
        <v>1.071537</v>
      </c>
      <c r="L1027">
        <v>367.80840000000001</v>
      </c>
      <c r="M1027">
        <v>0.99988480000000002</v>
      </c>
      <c r="N1027">
        <v>-1.4620350000000001E-2</v>
      </c>
      <c r="O1027">
        <v>4.1062069999999997E-3</v>
      </c>
      <c r="P1027">
        <v>0.98899219999999999</v>
      </c>
      <c r="Q1027">
        <v>0.14116489999999901</v>
      </c>
      <c r="R1027">
        <v>-4.4356329999999999E-2</v>
      </c>
      <c r="S1027">
        <v>3.036835</v>
      </c>
      <c r="T1027">
        <v>-5.1739220000000002E-2</v>
      </c>
      <c r="U1027">
        <v>-8.8562009999999997E-2</v>
      </c>
      <c r="V1027">
        <v>4.8419749999999998E-2</v>
      </c>
      <c r="W1027">
        <v>0.15560589999999999</v>
      </c>
      <c r="X1027">
        <v>0.98663179999999995</v>
      </c>
      <c r="Y1027">
        <v>3.3245900000000002E-2</v>
      </c>
      <c r="Z1027">
        <v>-5.3617490000000003E-4</v>
      </c>
      <c r="AA1027">
        <v>0.99944699999999997</v>
      </c>
      <c r="AB1027">
        <v>34</v>
      </c>
      <c r="AC1027">
        <v>62.728699999999897</v>
      </c>
      <c r="AD1027">
        <v>-1.071540425092</v>
      </c>
      <c r="AE1027">
        <v>-1.8349</v>
      </c>
      <c r="AF1027">
        <v>2.0918791712268501</v>
      </c>
      <c r="AG1027">
        <v>-1.071540425092</v>
      </c>
      <c r="AH1027">
        <v>62.702354894770899</v>
      </c>
      <c r="AI1027">
        <v>90.978506148355805</v>
      </c>
      <c r="AJ1027">
        <v>88.089203985085803</v>
      </c>
      <c r="AK1027">
        <v>62.746390069066301</v>
      </c>
      <c r="AL1027">
        <v>81.048061749728504</v>
      </c>
      <c r="AM1027">
        <v>87.190417605439393</v>
      </c>
      <c r="AN1027">
        <v>0.99999998853805605</v>
      </c>
    </row>
    <row r="1028" spans="1:40" x14ac:dyDescent="0.25">
      <c r="A1028" t="str">
        <f>"20190303170243603"</f>
        <v>20190303170243603</v>
      </c>
      <c r="B1028" t="str">
        <f>"1551603763596544"</f>
        <v>1551603763596544</v>
      </c>
      <c r="C1028" t="s">
        <v>40</v>
      </c>
      <c r="D1028">
        <v>4.4809519999999896</v>
      </c>
      <c r="E1028">
        <v>0.49708350000000001</v>
      </c>
      <c r="F1028" t="s">
        <v>42</v>
      </c>
      <c r="G1028">
        <v>-222.1688</v>
      </c>
      <c r="H1028" s="1">
        <v>-3.9935580000000003E-6</v>
      </c>
      <c r="I1028">
        <v>365.94260000000003</v>
      </c>
      <c r="J1028">
        <v>-286.00349999999997</v>
      </c>
      <c r="K1028">
        <v>1.071537</v>
      </c>
      <c r="L1028">
        <v>367.80930000000001</v>
      </c>
      <c r="M1028">
        <v>0.99988480000000002</v>
      </c>
      <c r="N1028">
        <v>-1.461807E-2</v>
      </c>
      <c r="O1028">
        <v>4.112241E-3</v>
      </c>
      <c r="P1028">
        <v>0.98902840000000003</v>
      </c>
      <c r="Q1028">
        <v>0.14090239999999901</v>
      </c>
      <c r="R1028">
        <v>-4.4373460000000003E-2</v>
      </c>
      <c r="S1028">
        <v>3.0366819999999999</v>
      </c>
      <c r="T1028">
        <v>-5.0809979999999998E-2</v>
      </c>
      <c r="U1028">
        <v>-8.8470460000000001E-2</v>
      </c>
      <c r="V1028">
        <v>4.8443420000000001E-2</v>
      </c>
      <c r="W1028">
        <v>0.1553416</v>
      </c>
      <c r="X1028">
        <v>0.98667229999999995</v>
      </c>
      <c r="Y1028">
        <v>3.3223540000000003E-2</v>
      </c>
      <c r="Z1028">
        <v>-5.2948480000000004E-4</v>
      </c>
      <c r="AA1028">
        <v>0.9994478</v>
      </c>
      <c r="AB1028">
        <v>34</v>
      </c>
      <c r="AC1028">
        <v>63.834699999999899</v>
      </c>
      <c r="AD1028">
        <v>-1.071540993558</v>
      </c>
      <c r="AE1028">
        <v>-1.86669999999998</v>
      </c>
      <c r="AF1028">
        <v>2.12861662679083</v>
      </c>
      <c r="AG1028">
        <v>-1.071540993558</v>
      </c>
      <c r="AH1028">
        <v>63.808518658927902</v>
      </c>
      <c r="AI1028">
        <v>90.961546889912896</v>
      </c>
      <c r="AJ1028">
        <v>88.089353267796298</v>
      </c>
      <c r="AK1028">
        <v>63.853005115589298</v>
      </c>
      <c r="AL1028">
        <v>81.0633915598427</v>
      </c>
      <c r="AM1028">
        <v>87.189161539417299</v>
      </c>
      <c r="AN1028">
        <v>1.0000000026095699</v>
      </c>
    </row>
    <row r="1029" spans="1:40" x14ac:dyDescent="0.25">
      <c r="A1029" t="str">
        <f>"20190303170243615"</f>
        <v>20190303170243615</v>
      </c>
      <c r="B1029" t="str">
        <f>"1551603763606843"</f>
        <v>1551603763606843</v>
      </c>
      <c r="C1029" t="s">
        <v>40</v>
      </c>
      <c r="D1029">
        <v>4.4810309999999998</v>
      </c>
      <c r="E1029">
        <v>0.49703429999999998</v>
      </c>
      <c r="F1029" t="s">
        <v>42</v>
      </c>
      <c r="G1029">
        <v>-221.62119999999999</v>
      </c>
      <c r="H1029" s="1">
        <v>-4.2274390000000004E-6</v>
      </c>
      <c r="I1029">
        <v>365.94830000000002</v>
      </c>
      <c r="J1029">
        <v>-285.80860000000001</v>
      </c>
      <c r="K1029">
        <v>1.071536</v>
      </c>
      <c r="L1029">
        <v>367.81009999999998</v>
      </c>
      <c r="M1029">
        <v>0.99988480000000002</v>
      </c>
      <c r="N1029">
        <v>-1.4615899999999999E-2</v>
      </c>
      <c r="O1029">
        <v>4.1181550000000001E-3</v>
      </c>
      <c r="P1029">
        <v>0.9890506</v>
      </c>
      <c r="Q1029">
        <v>0.14069289999999901</v>
      </c>
      <c r="R1029">
        <v>-4.4548310000000001E-2</v>
      </c>
      <c r="S1029">
        <v>3.03653</v>
      </c>
      <c r="T1029">
        <v>-5.0538180000000002E-2</v>
      </c>
      <c r="U1029">
        <v>-8.7768550000000001E-2</v>
      </c>
      <c r="V1029">
        <v>4.8624109999999998E-2</v>
      </c>
      <c r="W1029">
        <v>0.15513009999999999</v>
      </c>
      <c r="X1029">
        <v>0.98669669999999998</v>
      </c>
      <c r="Y1029">
        <v>3.3000210000000002E-2</v>
      </c>
      <c r="Z1029">
        <v>-5.2414219999999997E-4</v>
      </c>
      <c r="AA1029">
        <v>0.99945519999999999</v>
      </c>
      <c r="AB1029">
        <v>34</v>
      </c>
      <c r="AC1029">
        <v>64.187399999999997</v>
      </c>
      <c r="AD1029">
        <v>-1.071540227439</v>
      </c>
      <c r="AE1029">
        <v>-1.8617999999999599</v>
      </c>
      <c r="AF1029">
        <v>2.1255542167458401</v>
      </c>
      <c r="AG1029">
        <v>-1.071540227439</v>
      </c>
      <c r="AH1029">
        <v>64.161321675571301</v>
      </c>
      <c r="AI1029">
        <v>90.956267284771201</v>
      </c>
      <c r="AJ1029">
        <v>88.102583309428695</v>
      </c>
      <c r="AK1029">
        <v>64.205462215791897</v>
      </c>
      <c r="AL1029">
        <v>81.075658432330201</v>
      </c>
      <c r="AM1029">
        <v>87.178763904452495</v>
      </c>
      <c r="AN1029">
        <v>1.0000000148950901</v>
      </c>
    </row>
    <row r="1030" spans="1:40" x14ac:dyDescent="0.25">
      <c r="A1030" t="str">
        <f>"20190303170243628"</f>
        <v>20190303170243628</v>
      </c>
      <c r="B1030" t="str">
        <f>"1551603763616605"</f>
        <v>1551603763616605</v>
      </c>
      <c r="C1030" t="s">
        <v>40</v>
      </c>
      <c r="D1030">
        <v>4.4809359999999998</v>
      </c>
      <c r="E1030">
        <v>0.49698920000000002</v>
      </c>
      <c r="F1030" t="s">
        <v>42</v>
      </c>
      <c r="G1030">
        <v>-221.44919999999999</v>
      </c>
      <c r="H1030" s="1">
        <v>-4.3018860000000003E-6</v>
      </c>
      <c r="I1030">
        <v>365.94459999999998</v>
      </c>
      <c r="J1030">
        <v>-285.6105</v>
      </c>
      <c r="K1030">
        <v>1.071536</v>
      </c>
      <c r="L1030">
        <v>367.8109</v>
      </c>
      <c r="M1030">
        <v>0.99988480000000002</v>
      </c>
      <c r="N1030">
        <v>-1.461372E-2</v>
      </c>
      <c r="O1030">
        <v>4.1244259999999996E-3</v>
      </c>
      <c r="P1030">
        <v>0.9890698</v>
      </c>
      <c r="Q1030">
        <v>0.14049539999999999</v>
      </c>
      <c r="R1030">
        <v>-4.4744850000000003E-2</v>
      </c>
      <c r="S1030">
        <v>3.0364689999999999</v>
      </c>
      <c r="T1030">
        <v>-5.055511E-2</v>
      </c>
      <c r="U1030">
        <v>-8.8012699999999999E-2</v>
      </c>
      <c r="V1030">
        <v>4.8826929999999998E-2</v>
      </c>
      <c r="W1030">
        <v>0.15493080000000001</v>
      </c>
      <c r="X1030">
        <v>0.98671799999999998</v>
      </c>
      <c r="Y1030">
        <v>3.3087320000000003E-2</v>
      </c>
      <c r="Z1030">
        <v>-5.2561120000000001E-4</v>
      </c>
      <c r="AA1030">
        <v>0.99945240000000002</v>
      </c>
      <c r="AB1030">
        <v>34</v>
      </c>
      <c r="AC1030">
        <v>64.161299999999997</v>
      </c>
      <c r="AD1030">
        <v>-1.0715403018859999</v>
      </c>
      <c r="AE1030">
        <v>-1.8663000000000201</v>
      </c>
      <c r="AF1030">
        <v>2.1303472120371301</v>
      </c>
      <c r="AG1030">
        <v>-1.0715403018859999</v>
      </c>
      <c r="AH1030">
        <v>64.135182828749805</v>
      </c>
      <c r="AI1030">
        <v>90.956654217303907</v>
      </c>
      <c r="AJ1030">
        <v>88.097533406811294</v>
      </c>
      <c r="AK1030">
        <v>64.179500265579804</v>
      </c>
      <c r="AL1030">
        <v>81.087217246707198</v>
      </c>
      <c r="AM1030">
        <v>87.167076202161994</v>
      </c>
      <c r="AN1030">
        <v>1.0000000167029299</v>
      </c>
    </row>
    <row r="1031" spans="1:40" x14ac:dyDescent="0.25">
      <c r="A1031" t="str">
        <f>"20190303170243642"</f>
        <v>20190303170243642</v>
      </c>
      <c r="B1031" t="str">
        <f>"1551603763626363"</f>
        <v>1551603763626363</v>
      </c>
      <c r="C1031" t="s">
        <v>40</v>
      </c>
      <c r="D1031">
        <v>4.5416639999999999</v>
      </c>
      <c r="E1031">
        <v>0.49696010000000002</v>
      </c>
      <c r="F1031" t="s">
        <v>42</v>
      </c>
      <c r="G1031">
        <v>-221.369</v>
      </c>
      <c r="H1031" s="1">
        <v>-4.3362479999999997E-6</v>
      </c>
      <c r="I1031">
        <v>365.94490000000002</v>
      </c>
      <c r="J1031">
        <v>-285.3999</v>
      </c>
      <c r="K1031">
        <v>1.0715330000000001</v>
      </c>
      <c r="L1031">
        <v>367.81180000000001</v>
      </c>
      <c r="M1031">
        <v>0.99988469999999996</v>
      </c>
      <c r="N1031">
        <v>-1.461139E-2</v>
      </c>
      <c r="O1031">
        <v>4.130997E-3</v>
      </c>
      <c r="P1031">
        <v>0.98909000000000002</v>
      </c>
      <c r="Q1031">
        <v>0.14023179999999999</v>
      </c>
      <c r="R1031">
        <v>-4.512178E-2</v>
      </c>
      <c r="S1031">
        <v>3.036346</v>
      </c>
      <c r="T1031">
        <v>-5.0645830000000003E-2</v>
      </c>
      <c r="U1031">
        <v>-8.8195800000000005E-2</v>
      </c>
      <c r="V1031">
        <v>4.9210459999999998E-2</v>
      </c>
      <c r="W1031">
        <v>0.1546652</v>
      </c>
      <c r="X1031">
        <v>0.98674059999999997</v>
      </c>
      <c r="Y1031">
        <v>3.3155230000000001E-2</v>
      </c>
      <c r="Z1031">
        <v>-5.272896E-4</v>
      </c>
      <c r="AA1031">
        <v>0.99945010000000001</v>
      </c>
      <c r="AB1031">
        <v>34</v>
      </c>
      <c r="AC1031">
        <v>64.030899999999903</v>
      </c>
      <c r="AD1031">
        <v>-1.0715373362480001</v>
      </c>
      <c r="AE1031">
        <v>-1.86689999999998</v>
      </c>
      <c r="AF1031">
        <v>2.1308275356941699</v>
      </c>
      <c r="AG1031">
        <v>-1.0715373362480001</v>
      </c>
      <c r="AH1031">
        <v>64.004731257788393</v>
      </c>
      <c r="AI1031">
        <v>90.958598616713005</v>
      </c>
      <c r="AJ1031">
        <v>88.093229242515093</v>
      </c>
      <c r="AK1031">
        <v>64.049154886161901</v>
      </c>
      <c r="AL1031">
        <v>81.102620549580607</v>
      </c>
      <c r="AM1031">
        <v>87.144925868247896</v>
      </c>
      <c r="AN1031">
        <v>1.0000000025764</v>
      </c>
    </row>
    <row r="1032" spans="1:40" x14ac:dyDescent="0.25">
      <c r="A1032" t="str">
        <f>"20190303170243655"</f>
        <v>20190303170243655</v>
      </c>
      <c r="B1032" t="str">
        <f>"1551603763646860"</f>
        <v>1551603763646860</v>
      </c>
      <c r="C1032" t="s">
        <v>40</v>
      </c>
      <c r="D1032">
        <v>4.4824650000000004</v>
      </c>
      <c r="E1032">
        <v>0.49696750000000001</v>
      </c>
      <c r="F1032" t="s">
        <v>42</v>
      </c>
      <c r="G1032">
        <v>-221.19759999999999</v>
      </c>
      <c r="H1032" s="1">
        <v>-4.4110550000000002E-6</v>
      </c>
      <c r="I1032">
        <v>365.93779999999998</v>
      </c>
      <c r="J1032">
        <v>-285.18650000000002</v>
      </c>
      <c r="K1032">
        <v>1.0715330000000001</v>
      </c>
      <c r="L1032">
        <v>367.81270000000001</v>
      </c>
      <c r="M1032">
        <v>0.99988469999999996</v>
      </c>
      <c r="N1032">
        <v>-1.460905E-2</v>
      </c>
      <c r="O1032">
        <v>4.1375680000000003E-3</v>
      </c>
      <c r="P1032">
        <v>0.98911150000000003</v>
      </c>
      <c r="Q1032">
        <v>0.13997000000000001</v>
      </c>
      <c r="R1032">
        <v>-4.5459930000000003E-2</v>
      </c>
      <c r="S1032">
        <v>3.0361940000000001</v>
      </c>
      <c r="T1032">
        <v>-5.0674080000000003E-2</v>
      </c>
      <c r="U1032">
        <v>-8.8623049999999995E-2</v>
      </c>
      <c r="V1032">
        <v>4.9555259999999997E-2</v>
      </c>
      <c r="W1032">
        <v>0.15440129999999999</v>
      </c>
      <c r="X1032">
        <v>0.98676470000000005</v>
      </c>
      <c r="Y1032">
        <v>3.3303739999999998E-2</v>
      </c>
      <c r="Z1032">
        <v>-5.2980810000000003E-4</v>
      </c>
      <c r="AA1032">
        <v>0.99944509999999998</v>
      </c>
      <c r="AB1032">
        <v>34</v>
      </c>
      <c r="AC1032">
        <v>63.988900000000001</v>
      </c>
      <c r="AD1032">
        <v>-1.071537411055</v>
      </c>
      <c r="AE1032">
        <v>-1.87490000000002</v>
      </c>
      <c r="AF1032">
        <v>2.1390713171162998</v>
      </c>
      <c r="AG1032">
        <v>-1.071537411055</v>
      </c>
      <c r="AH1032">
        <v>63.962672919485797</v>
      </c>
      <c r="AI1032">
        <v>90.959224068166804</v>
      </c>
      <c r="AJ1032">
        <v>88.084600075375306</v>
      </c>
      <c r="AK1032">
        <v>64.007400709043907</v>
      </c>
      <c r="AL1032">
        <v>81.117924984503802</v>
      </c>
      <c r="AM1032">
        <v>87.125024937053993</v>
      </c>
      <c r="AN1032">
        <v>1.0000000292007201</v>
      </c>
    </row>
    <row r="1033" spans="1:40" x14ac:dyDescent="0.25">
      <c r="A1033" t="str">
        <f>"20190303170243666"</f>
        <v>20190303170243666</v>
      </c>
      <c r="B1033" t="str">
        <f>"1551603763656620"</f>
        <v>1551603763656620</v>
      </c>
      <c r="C1033" t="s">
        <v>40</v>
      </c>
      <c r="D1033">
        <v>4.3664990000000001</v>
      </c>
      <c r="E1033">
        <v>0.49693140000000002</v>
      </c>
      <c r="F1033" t="s">
        <v>42</v>
      </c>
      <c r="G1033">
        <v>-220.31630000000001</v>
      </c>
      <c r="H1033" s="1">
        <v>-4.7974159999999996E-6</v>
      </c>
      <c r="I1033">
        <v>365.89100000000002</v>
      </c>
      <c r="J1033">
        <v>-285.01830000000001</v>
      </c>
      <c r="K1033">
        <v>1.071534</v>
      </c>
      <c r="L1033">
        <v>367.8134</v>
      </c>
      <c r="M1033">
        <v>0.99988480000000002</v>
      </c>
      <c r="N1033">
        <v>-1.4607200000000001E-2</v>
      </c>
      <c r="O1033">
        <v>4.1424699999999997E-3</v>
      </c>
      <c r="P1033">
        <v>0.98909619999999998</v>
      </c>
      <c r="Q1033">
        <v>0.14004240000000001</v>
      </c>
      <c r="R1033">
        <v>-4.5571489999999999E-2</v>
      </c>
      <c r="S1033">
        <v>3.0360109999999998</v>
      </c>
      <c r="T1033">
        <v>-5.0149319999999997E-2</v>
      </c>
      <c r="U1033">
        <v>-8.9935299999999996E-2</v>
      </c>
      <c r="V1033">
        <v>4.9671640000000003E-2</v>
      </c>
      <c r="W1033">
        <v>0.154472</v>
      </c>
      <c r="X1033">
        <v>0.98674770000000001</v>
      </c>
      <c r="Y1033">
        <v>3.3742029999999999E-2</v>
      </c>
      <c r="Z1033">
        <v>-5.3304389999999995E-4</v>
      </c>
      <c r="AA1033">
        <v>0.99943040000000005</v>
      </c>
      <c r="AB1033">
        <v>34</v>
      </c>
      <c r="AC1033">
        <v>64.701999999999998</v>
      </c>
      <c r="AD1033">
        <v>-1.071538797416</v>
      </c>
      <c r="AE1033">
        <v>-1.9224000000000301</v>
      </c>
      <c r="AF1033">
        <v>2.1898380957930099</v>
      </c>
      <c r="AG1033">
        <v>-1.071538797416</v>
      </c>
      <c r="AH1033">
        <v>64.675757341206506</v>
      </c>
      <c r="AI1033">
        <v>90.948638016903899</v>
      </c>
      <c r="AJ1033">
        <v>88.060779299740801</v>
      </c>
      <c r="AK1033">
        <v>64.721690135060399</v>
      </c>
      <c r="AL1033">
        <v>81.113824247950902</v>
      </c>
      <c r="AM1033">
        <v>87.118234892735302</v>
      </c>
      <c r="AN1033">
        <v>0.99999994702978801</v>
      </c>
    </row>
    <row r="1034" spans="1:40" x14ac:dyDescent="0.25">
      <c r="A1034" t="str">
        <f>"20190303170243678"</f>
        <v>20190303170243678</v>
      </c>
      <c r="B1034" t="str">
        <f>"1551603763667356"</f>
        <v>1551603763667356</v>
      </c>
      <c r="C1034" t="s">
        <v>40</v>
      </c>
      <c r="D1034">
        <v>4.3647199999999904</v>
      </c>
      <c r="E1034">
        <v>0.49689329999999998</v>
      </c>
      <c r="F1034" t="s">
        <v>42</v>
      </c>
      <c r="G1034">
        <v>-219.0378</v>
      </c>
      <c r="H1034" s="1">
        <v>-1.314221E-6</v>
      </c>
      <c r="I1034">
        <v>365.85550000000001</v>
      </c>
      <c r="J1034">
        <v>-284.84539999999998</v>
      </c>
      <c r="K1034">
        <v>1.071536</v>
      </c>
      <c r="L1034">
        <v>367.8141</v>
      </c>
      <c r="M1034">
        <v>0.99988469999999996</v>
      </c>
      <c r="N1034">
        <v>-1.460529E-2</v>
      </c>
      <c r="O1034">
        <v>4.1474909999999997E-3</v>
      </c>
      <c r="P1034">
        <v>0.98912359999999999</v>
      </c>
      <c r="Q1034">
        <v>0.13978850000000001</v>
      </c>
      <c r="R1034">
        <v>-4.5758689999999998E-2</v>
      </c>
      <c r="S1034">
        <v>3.0358890000000001</v>
      </c>
      <c r="T1034">
        <v>-4.930329E-2</v>
      </c>
      <c r="U1034">
        <v>-9.0087890000000004E-2</v>
      </c>
      <c r="V1034">
        <v>4.9863820000000003E-2</v>
      </c>
      <c r="W1034">
        <v>0.1542162</v>
      </c>
      <c r="X1034">
        <v>0.98677809999999999</v>
      </c>
      <c r="Y1034">
        <v>3.3798639999999998E-2</v>
      </c>
      <c r="Z1034">
        <v>-5.2806049999999996E-4</v>
      </c>
      <c r="AA1034">
        <v>0.99942850000000005</v>
      </c>
      <c r="AB1034">
        <v>34</v>
      </c>
      <c r="AC1034">
        <v>65.807599999999894</v>
      </c>
      <c r="AD1034">
        <v>-1.0715373142209901</v>
      </c>
      <c r="AE1034">
        <v>-1.9585999999999899</v>
      </c>
      <c r="AF1034">
        <v>2.2309577291265099</v>
      </c>
      <c r="AG1034">
        <v>-1.0715373142209901</v>
      </c>
      <c r="AH1034">
        <v>65.781484378486695</v>
      </c>
      <c r="AI1034">
        <v>90.932692056813195</v>
      </c>
      <c r="AJ1034">
        <v>88.057576702171204</v>
      </c>
      <c r="AK1034">
        <v>65.828026338650105</v>
      </c>
      <c r="AL1034">
        <v>81.128658984885007</v>
      </c>
      <c r="AM1034">
        <v>87.107193192891998</v>
      </c>
      <c r="AN1034">
        <v>1.0000000277635199</v>
      </c>
    </row>
    <row r="1035" spans="1:40" x14ac:dyDescent="0.25">
      <c r="A1035" t="str">
        <f>"20190303170243690"</f>
        <v>20190303170243690</v>
      </c>
      <c r="B1035" t="str">
        <f>"1551603763677116"</f>
        <v>1551603763677116</v>
      </c>
      <c r="C1035" t="s">
        <v>40</v>
      </c>
      <c r="D1035">
        <v>4.3635519999999897</v>
      </c>
      <c r="E1035">
        <v>0.49688599999999999</v>
      </c>
      <c r="F1035" t="s">
        <v>42</v>
      </c>
      <c r="G1035">
        <v>-219.17160000000001</v>
      </c>
      <c r="H1035" s="1">
        <v>-1.2690649999999999E-6</v>
      </c>
      <c r="I1035">
        <v>365.85399999999998</v>
      </c>
      <c r="J1035">
        <v>-284.6447</v>
      </c>
      <c r="K1035">
        <v>1.071537</v>
      </c>
      <c r="L1035">
        <v>367.81490000000002</v>
      </c>
      <c r="M1035">
        <v>0.99988489999999997</v>
      </c>
      <c r="N1035">
        <v>-1.4603069999999999E-2</v>
      </c>
      <c r="O1035">
        <v>4.1532309999999899E-3</v>
      </c>
      <c r="P1035">
        <v>0.9891489</v>
      </c>
      <c r="Q1035">
        <v>0.13965039999999901</v>
      </c>
      <c r="R1035">
        <v>-4.5635450000000001E-2</v>
      </c>
      <c r="S1035">
        <v>3.0357970000000001</v>
      </c>
      <c r="T1035">
        <v>-4.9532180000000002E-2</v>
      </c>
      <c r="U1035">
        <v>-9.0606690000000004E-2</v>
      </c>
      <c r="V1035">
        <v>4.9746449999999998E-2</v>
      </c>
      <c r="W1035">
        <v>0.1540763</v>
      </c>
      <c r="X1035">
        <v>0.98680590000000001</v>
      </c>
      <c r="Y1035">
        <v>3.3975810000000002E-2</v>
      </c>
      <c r="Z1035">
        <v>-5.3237749999999996E-4</v>
      </c>
      <c r="AA1035">
        <v>0.99942249999999999</v>
      </c>
      <c r="AB1035">
        <v>34</v>
      </c>
      <c r="AC1035">
        <v>65.473099999999903</v>
      </c>
      <c r="AD1035">
        <v>-1.0715382690649999</v>
      </c>
      <c r="AE1035">
        <v>-1.9608999999999801</v>
      </c>
      <c r="AF1035">
        <v>2.2322395822569501</v>
      </c>
      <c r="AG1035">
        <v>-1.0715382690649999</v>
      </c>
      <c r="AH1035">
        <v>65.446876104323593</v>
      </c>
      <c r="AI1035">
        <v>90.9374544450109</v>
      </c>
      <c r="AJ1035">
        <v>88.046532497731405</v>
      </c>
      <c r="AK1035">
        <v>65.493699541477696</v>
      </c>
      <c r="AL1035">
        <v>81.136771823874497</v>
      </c>
      <c r="AM1035">
        <v>87.114071954271694</v>
      </c>
      <c r="AN1035">
        <v>1.00000004989205</v>
      </c>
    </row>
    <row r="1036" spans="1:40" x14ac:dyDescent="0.25">
      <c r="A1036" t="str">
        <f>"20190303170243703"</f>
        <v>20190303170243703</v>
      </c>
      <c r="B1036" t="str">
        <f>"1551603763696636"</f>
        <v>1551603763696636</v>
      </c>
      <c r="C1036" t="s">
        <v>40</v>
      </c>
      <c r="D1036">
        <v>4.3047380000000004</v>
      </c>
      <c r="E1036">
        <v>0.49690069999999997</v>
      </c>
      <c r="F1036" t="s">
        <v>42</v>
      </c>
      <c r="G1036">
        <v>-218.57409999999999</v>
      </c>
      <c r="H1036" s="1">
        <v>-1.474651E-6</v>
      </c>
      <c r="I1036">
        <v>365.84559999999999</v>
      </c>
      <c r="J1036">
        <v>-284.46879999999999</v>
      </c>
      <c r="K1036">
        <v>1.0715399999999999</v>
      </c>
      <c r="L1036">
        <v>367.81569999999999</v>
      </c>
      <c r="M1036">
        <v>0.99988480000000002</v>
      </c>
      <c r="N1036">
        <v>-1.460112E-2</v>
      </c>
      <c r="O1036">
        <v>4.1583119999999999E-3</v>
      </c>
      <c r="P1036">
        <v>0.98913459999999997</v>
      </c>
      <c r="Q1036">
        <v>0.13976540000000001</v>
      </c>
      <c r="R1036">
        <v>-4.5592590000000002E-2</v>
      </c>
      <c r="S1036">
        <v>3.0356450000000001</v>
      </c>
      <c r="T1036">
        <v>-4.9232239999999997E-2</v>
      </c>
      <c r="U1036">
        <v>-9.0484620000000002E-2</v>
      </c>
      <c r="V1036">
        <v>4.9708410000000001E-2</v>
      </c>
      <c r="W1036">
        <v>0.154189299999999</v>
      </c>
      <c r="X1036">
        <v>0.9867901</v>
      </c>
      <c r="Y1036">
        <v>3.3942319999999998E-2</v>
      </c>
      <c r="Z1036">
        <v>-5.2977359999999997E-4</v>
      </c>
      <c r="AA1036">
        <v>0.99942370000000003</v>
      </c>
      <c r="AB1036">
        <v>34</v>
      </c>
      <c r="AC1036">
        <v>65.8947</v>
      </c>
      <c r="AD1036">
        <v>-1.0715414746509999</v>
      </c>
      <c r="AE1036">
        <v>-1.9701</v>
      </c>
      <c r="AF1036">
        <v>2.2435301494199602</v>
      </c>
      <c r="AG1036">
        <v>-1.0715414746509999</v>
      </c>
      <c r="AH1036">
        <v>65.868534688730804</v>
      </c>
      <c r="AI1036">
        <v>90.931458648548997</v>
      </c>
      <c r="AJ1036">
        <v>88.049218276115795</v>
      </c>
      <c r="AK1036">
        <v>65.915441974576694</v>
      </c>
      <c r="AL1036">
        <v>81.130218506523704</v>
      </c>
      <c r="AM1036">
        <v>87.116228937856206</v>
      </c>
      <c r="AN1036">
        <v>0.999999983858613</v>
      </c>
    </row>
    <row r="1037" spans="1:40" x14ac:dyDescent="0.25">
      <c r="A1037" t="str">
        <f>"20190303170243713"</f>
        <v>20190303170243713</v>
      </c>
      <c r="B1037" t="str">
        <f>"1551603763707125"</f>
        <v>1551603763707125</v>
      </c>
      <c r="C1037" t="s">
        <v>40</v>
      </c>
      <c r="D1037">
        <v>4.24681</v>
      </c>
      <c r="E1037">
        <v>0.49694840000000001</v>
      </c>
      <c r="F1037" t="s">
        <v>42</v>
      </c>
      <c r="G1037">
        <v>-216.4083</v>
      </c>
      <c r="H1037" s="1">
        <v>-2.2276480000000001E-6</v>
      </c>
      <c r="I1037">
        <v>365.78559999999999</v>
      </c>
      <c r="J1037">
        <v>-284.28820000000002</v>
      </c>
      <c r="K1037">
        <v>1.071542</v>
      </c>
      <c r="L1037">
        <v>367.81639999999999</v>
      </c>
      <c r="M1037">
        <v>0.99988480000000002</v>
      </c>
      <c r="N1037">
        <v>-1.459912E-2</v>
      </c>
      <c r="O1037">
        <v>4.1633939999999999E-3</v>
      </c>
      <c r="P1037">
        <v>0.98916009999999999</v>
      </c>
      <c r="Q1037">
        <v>0.13963589999999901</v>
      </c>
      <c r="R1037">
        <v>-4.5436579999999997E-2</v>
      </c>
      <c r="S1037">
        <v>3.0355219999999998</v>
      </c>
      <c r="T1037">
        <v>-4.7791119999999999E-2</v>
      </c>
      <c r="U1037">
        <v>-9.0545650000000005E-2</v>
      </c>
      <c r="V1037">
        <v>4.9557400000000001E-2</v>
      </c>
      <c r="W1037">
        <v>0.15405839999999901</v>
      </c>
      <c r="X1037">
        <v>0.98681810000000003</v>
      </c>
      <c r="Y1037">
        <v>3.3969039999999999E-2</v>
      </c>
      <c r="Z1037">
        <v>-5.2014460000000004E-4</v>
      </c>
      <c r="AA1037">
        <v>0.9994227</v>
      </c>
      <c r="AB1037">
        <v>34</v>
      </c>
      <c r="AC1037">
        <v>67.879900000000006</v>
      </c>
      <c r="AD1037">
        <v>-1.0715442276480001</v>
      </c>
      <c r="AE1037">
        <v>-2.0308000000000002</v>
      </c>
      <c r="AF1037">
        <v>2.3128474414827398</v>
      </c>
      <c r="AG1037">
        <v>-1.0715442276480001</v>
      </c>
      <c r="AH1037">
        <v>67.853961952313199</v>
      </c>
      <c r="AI1037">
        <v>90.904210037898494</v>
      </c>
      <c r="AJ1037">
        <v>88.0477910446713</v>
      </c>
      <c r="AK1037">
        <v>67.901823413994904</v>
      </c>
      <c r="AL1037">
        <v>81.1378088699296</v>
      </c>
      <c r="AM1037">
        <v>87.125056312230797</v>
      </c>
      <c r="AN1037">
        <v>0.99999994449646301</v>
      </c>
    </row>
    <row r="1038" spans="1:40" x14ac:dyDescent="0.25">
      <c r="A1038" t="str">
        <f>"20190303170243725"</f>
        <v>20190303170243725</v>
      </c>
      <c r="B1038" t="str">
        <f>"1551603763716885"</f>
        <v>1551603763716885</v>
      </c>
      <c r="C1038" t="s">
        <v>40</v>
      </c>
      <c r="D1038">
        <v>4.2915900000000002</v>
      </c>
      <c r="E1038">
        <v>0.49694840000000001</v>
      </c>
      <c r="F1038" t="s">
        <v>42</v>
      </c>
      <c r="G1038">
        <v>-215.84829999999999</v>
      </c>
      <c r="H1038" s="1">
        <v>-2.4440889999999999E-6</v>
      </c>
      <c r="I1038">
        <v>365.779</v>
      </c>
      <c r="J1038">
        <v>-284.12049999999999</v>
      </c>
      <c r="K1038">
        <v>1.0715410000000001</v>
      </c>
      <c r="L1038">
        <v>367.81720000000001</v>
      </c>
      <c r="M1038">
        <v>0.99988480000000002</v>
      </c>
      <c r="N1038">
        <v>-1.4597270000000001E-2</v>
      </c>
      <c r="O1038">
        <v>4.1679409999999997E-3</v>
      </c>
      <c r="P1038">
        <v>0.98915070000000005</v>
      </c>
      <c r="Q1038">
        <v>0.13975969999999999</v>
      </c>
      <c r="R1038">
        <v>-4.5258930000000003E-2</v>
      </c>
      <c r="S1038">
        <v>3.035431</v>
      </c>
      <c r="T1038">
        <v>-4.7524810000000001E-2</v>
      </c>
      <c r="U1038">
        <v>-9.036255E-2</v>
      </c>
      <c r="V1038">
        <v>4.9384240000000003E-2</v>
      </c>
      <c r="W1038">
        <v>0.15417990000000001</v>
      </c>
      <c r="X1038">
        <v>0.98680789999999996</v>
      </c>
      <c r="Y1038">
        <v>3.3914340000000001E-2</v>
      </c>
      <c r="Z1038">
        <v>-5.1745320000000004E-4</v>
      </c>
      <c r="AA1038">
        <v>0.9994246</v>
      </c>
      <c r="AB1038">
        <v>34</v>
      </c>
      <c r="AC1038">
        <v>68.272199999999998</v>
      </c>
      <c r="AD1038">
        <v>-1.0715434440889999</v>
      </c>
      <c r="AE1038">
        <v>-2.03820000000001</v>
      </c>
      <c r="AF1038">
        <v>2.32219557009175</v>
      </c>
      <c r="AG1038">
        <v>-1.0715434440889999</v>
      </c>
      <c r="AH1038">
        <v>68.246314161395702</v>
      </c>
      <c r="AI1038">
        <v>90.899013681304496</v>
      </c>
      <c r="AJ1038">
        <v>88.051166677984199</v>
      </c>
      <c r="AK1038">
        <v>68.294217868237098</v>
      </c>
      <c r="AL1038">
        <v>81.130764090196394</v>
      </c>
      <c r="AM1038">
        <v>87.135055411134701</v>
      </c>
      <c r="AN1038">
        <v>1.00000003811339</v>
      </c>
    </row>
    <row r="1039" spans="1:40" x14ac:dyDescent="0.25">
      <c r="A1039" t="str">
        <f>"20190303170243738"</f>
        <v>20190303170243738</v>
      </c>
      <c r="B1039" t="str">
        <f>"1551603763726645"</f>
        <v>1551603763726645</v>
      </c>
      <c r="C1039" t="s">
        <v>40</v>
      </c>
      <c r="D1039">
        <v>4.3062050000000003</v>
      </c>
      <c r="E1039">
        <v>0.49696679999999999</v>
      </c>
      <c r="F1039" t="s">
        <v>42</v>
      </c>
      <c r="G1039">
        <v>-215.1097</v>
      </c>
      <c r="H1039" s="1">
        <v>-2.761609E-6</v>
      </c>
      <c r="I1039">
        <v>365.77530000000002</v>
      </c>
      <c r="J1039">
        <v>-283.94240000000002</v>
      </c>
      <c r="K1039">
        <v>1.0715410000000001</v>
      </c>
      <c r="L1039">
        <v>367.81790000000001</v>
      </c>
      <c r="M1039">
        <v>0.99988480000000002</v>
      </c>
      <c r="N1039">
        <v>-1.459532E-2</v>
      </c>
      <c r="O1039">
        <v>4.172846E-3</v>
      </c>
      <c r="P1039">
        <v>0.98921809999999999</v>
      </c>
      <c r="Q1039">
        <v>0.13930890000000001</v>
      </c>
      <c r="R1039">
        <v>-4.517496E-2</v>
      </c>
      <c r="S1039">
        <v>3.0354920000000001</v>
      </c>
      <c r="T1039">
        <v>-4.7132609999999998E-2</v>
      </c>
      <c r="U1039">
        <v>-8.9813229999999994E-2</v>
      </c>
      <c r="V1039">
        <v>4.9305300000000003E-2</v>
      </c>
      <c r="W1039">
        <v>0.15372849999999999</v>
      </c>
      <c r="X1039">
        <v>0.98688220000000004</v>
      </c>
      <c r="Y1039">
        <v>3.3738079999999997E-2</v>
      </c>
      <c r="Z1039">
        <v>-5.1204259999999998E-4</v>
      </c>
      <c r="AA1039">
        <v>0.99943059999999995</v>
      </c>
      <c r="AB1039">
        <v>34</v>
      </c>
      <c r="AC1039">
        <v>68.832700000000003</v>
      </c>
      <c r="AD1039">
        <v>-1.071543761609</v>
      </c>
      <c r="AE1039">
        <v>-2.04259999999999</v>
      </c>
      <c r="AF1039">
        <v>2.3292770734364598</v>
      </c>
      <c r="AG1039">
        <v>-1.071543761609</v>
      </c>
      <c r="AH1039">
        <v>68.806916033739</v>
      </c>
      <c r="AI1039">
        <v>90.891695719800296</v>
      </c>
      <c r="AJ1039">
        <v>88.061142567588305</v>
      </c>
      <c r="AK1039">
        <v>68.854668917887395</v>
      </c>
      <c r="AL1039">
        <v>81.156938864828206</v>
      </c>
      <c r="AM1039">
        <v>87.139842365639794</v>
      </c>
      <c r="AN1039">
        <v>0.99999997049858902</v>
      </c>
    </row>
    <row r="1040" spans="1:40" x14ac:dyDescent="0.25">
      <c r="A1040" t="str">
        <f>"20190303170243749"</f>
        <v>20190303170243749</v>
      </c>
      <c r="B1040" t="str">
        <f>"1551603763736405"</f>
        <v>1551603763736405</v>
      </c>
      <c r="C1040" t="s">
        <v>40</v>
      </c>
      <c r="D1040">
        <v>4.307499</v>
      </c>
      <c r="E1040">
        <v>0.49699260000000001</v>
      </c>
      <c r="F1040" t="s">
        <v>42</v>
      </c>
      <c r="G1040">
        <v>-216.35980000000001</v>
      </c>
      <c r="H1040" s="1">
        <v>-2.2334749999999998E-6</v>
      </c>
      <c r="I1040">
        <v>365.82569999999998</v>
      </c>
      <c r="J1040">
        <v>-283.7611</v>
      </c>
      <c r="K1040">
        <v>1.071542</v>
      </c>
      <c r="L1040">
        <v>367.81869999999998</v>
      </c>
      <c r="M1040">
        <v>0.99988480000000002</v>
      </c>
      <c r="N1040">
        <v>-1.459332E-2</v>
      </c>
      <c r="O1040">
        <v>4.1780460000000004E-3</v>
      </c>
      <c r="P1040">
        <v>0.98925850000000004</v>
      </c>
      <c r="Q1040">
        <v>0.1389985</v>
      </c>
      <c r="R1040">
        <v>-4.524736E-2</v>
      </c>
      <c r="S1040">
        <v>3.0354000000000001</v>
      </c>
      <c r="T1040">
        <v>-4.8127169999999997E-2</v>
      </c>
      <c r="U1040">
        <v>-8.9477539999999994E-2</v>
      </c>
      <c r="V1040">
        <v>4.9382929999999998E-2</v>
      </c>
      <c r="W1040">
        <v>0.15341659999999999</v>
      </c>
      <c r="X1040">
        <v>0.98692690000000005</v>
      </c>
      <c r="Y1040">
        <v>3.3633509999999998E-2</v>
      </c>
      <c r="Z1040">
        <v>-5.1733430000000004E-4</v>
      </c>
      <c r="AA1040">
        <v>0.99943409999999999</v>
      </c>
      <c r="AB1040">
        <v>34</v>
      </c>
      <c r="AC1040">
        <v>67.401299999999907</v>
      </c>
      <c r="AD1040">
        <v>-1.0715442334750001</v>
      </c>
      <c r="AE1040">
        <v>-1.9929999999999899</v>
      </c>
      <c r="AF1040">
        <v>2.2740440665248798</v>
      </c>
      <c r="AG1040">
        <v>-1.0715442334750001</v>
      </c>
      <c r="AH1040">
        <v>67.375369904324302</v>
      </c>
      <c r="AI1040">
        <v>90.910642198629901</v>
      </c>
      <c r="AJ1040">
        <v>88.066894693293406</v>
      </c>
      <c r="AK1040">
        <v>67.422251172779198</v>
      </c>
      <c r="AL1040">
        <v>81.175024364373598</v>
      </c>
      <c r="AM1040">
        <v>87.135476141920805</v>
      </c>
      <c r="AN1040">
        <v>1.00000001643727</v>
      </c>
    </row>
    <row r="1041" spans="1:40" x14ac:dyDescent="0.25">
      <c r="A1041" t="str">
        <f>"20190303170243761"</f>
        <v>20190303170243761</v>
      </c>
      <c r="B1041" t="str">
        <f>"1551603763747141"</f>
        <v>1551603763747141</v>
      </c>
      <c r="C1041" t="s">
        <v>40</v>
      </c>
      <c r="D1041">
        <v>4.2007940000000001</v>
      </c>
      <c r="E1041">
        <v>0.49700859999999902</v>
      </c>
      <c r="F1041" t="s">
        <v>42</v>
      </c>
      <c r="G1041">
        <v>-216.8314</v>
      </c>
      <c r="H1041" s="1">
        <v>-2.0676860000000002E-6</v>
      </c>
      <c r="I1041">
        <v>365.84559999999999</v>
      </c>
      <c r="J1041">
        <v>-283.58789999999999</v>
      </c>
      <c r="K1041">
        <v>1.0715399999999999</v>
      </c>
      <c r="L1041">
        <v>367.81939999999997</v>
      </c>
      <c r="M1041">
        <v>0.99988489999999997</v>
      </c>
      <c r="N1041">
        <v>-1.4591410000000001E-2</v>
      </c>
      <c r="O1041">
        <v>4.1827690000000002E-3</v>
      </c>
      <c r="P1041">
        <v>0.98927860000000001</v>
      </c>
      <c r="Q1041">
        <v>0.13884850000000001</v>
      </c>
      <c r="R1041">
        <v>-4.526575E-2</v>
      </c>
      <c r="S1041">
        <v>3.0353089999999998</v>
      </c>
      <c r="T1041">
        <v>-4.8595190000000003E-2</v>
      </c>
      <c r="U1041">
        <v>-8.9477539999999994E-2</v>
      </c>
      <c r="V1041">
        <v>4.9406239999999997E-2</v>
      </c>
      <c r="W1041">
        <v>0.1532654</v>
      </c>
      <c r="X1041">
        <v>0.98694919999999997</v>
      </c>
      <c r="Y1041">
        <v>3.3638999999999898E-2</v>
      </c>
      <c r="Z1041">
        <v>-5.2064720000000002E-4</v>
      </c>
      <c r="AA1041">
        <v>0.99943389999999999</v>
      </c>
      <c r="AB1041">
        <v>34</v>
      </c>
      <c r="AC1041">
        <v>66.756499999999903</v>
      </c>
      <c r="AD1041">
        <v>-1.0715420676859999</v>
      </c>
      <c r="AE1041">
        <v>-1.97379999999998</v>
      </c>
      <c r="AF1041">
        <v>2.25245960703975</v>
      </c>
      <c r="AG1041">
        <v>-1.0715420676859999</v>
      </c>
      <c r="AH1041">
        <v>66.730480936593196</v>
      </c>
      <c r="AI1041">
        <v>90.919439275265603</v>
      </c>
      <c r="AJ1041">
        <v>88.066738823808606</v>
      </c>
      <c r="AK1041">
        <v>66.777083364828002</v>
      </c>
      <c r="AL1041">
        <v>81.183790945529395</v>
      </c>
      <c r="AM1041">
        <v>87.134190913468103</v>
      </c>
      <c r="AN1041">
        <v>0.99999999138436801</v>
      </c>
    </row>
    <row r="1042" spans="1:40" x14ac:dyDescent="0.25">
      <c r="A1042" t="str">
        <f>"20190303170243772"</f>
        <v>20190303170243772</v>
      </c>
      <c r="B1042" t="str">
        <f>"1551603763766661"</f>
        <v>1551603763766661</v>
      </c>
      <c r="C1042" t="s">
        <v>40</v>
      </c>
      <c r="D1042">
        <v>4.249269</v>
      </c>
      <c r="E1042">
        <v>0.49704569999999998</v>
      </c>
      <c r="F1042" t="s">
        <v>42</v>
      </c>
      <c r="G1042">
        <v>-216.72130000000001</v>
      </c>
      <c r="H1042" s="1">
        <v>-2.1085779999999998E-6</v>
      </c>
      <c r="I1042">
        <v>365.83269999999999</v>
      </c>
      <c r="J1042">
        <v>-283.40179999999998</v>
      </c>
      <c r="K1042">
        <v>1.0715330000000001</v>
      </c>
      <c r="L1042">
        <v>367.8202</v>
      </c>
      <c r="M1042">
        <v>0.99988500000000002</v>
      </c>
      <c r="N1042">
        <v>-1.4589359999999999E-2</v>
      </c>
      <c r="O1042">
        <v>4.1878499999999999E-3</v>
      </c>
      <c r="P1042">
        <v>0.98931999999999998</v>
      </c>
      <c r="Q1042">
        <v>0.1384775</v>
      </c>
      <c r="R1042">
        <v>-4.5500539999999999E-2</v>
      </c>
      <c r="S1042">
        <v>3.0352480000000002</v>
      </c>
      <c r="T1042">
        <v>-4.8640009999999997E-2</v>
      </c>
      <c r="U1042">
        <v>-9.017944E-2</v>
      </c>
      <c r="V1042">
        <v>4.9646139999999998E-2</v>
      </c>
      <c r="W1042">
        <v>0.15289259999999999</v>
      </c>
      <c r="X1042">
        <v>0.98699499999999996</v>
      </c>
      <c r="Y1042">
        <v>3.3875500000000003E-2</v>
      </c>
      <c r="Z1042">
        <v>-5.245658E-4</v>
      </c>
      <c r="AA1042">
        <v>0.99942589999999998</v>
      </c>
      <c r="AB1042">
        <v>34</v>
      </c>
      <c r="AC1042">
        <v>66.680499999999896</v>
      </c>
      <c r="AD1042">
        <v>-1.0715351085780001</v>
      </c>
      <c r="AE1042">
        <v>-1.98750000000001</v>
      </c>
      <c r="AF1042">
        <v>2.2661754809313299</v>
      </c>
      <c r="AG1042">
        <v>-1.0715351085780001</v>
      </c>
      <c r="AH1042">
        <v>66.654393693313395</v>
      </c>
      <c r="AI1042">
        <v>90.9204750667772</v>
      </c>
      <c r="AJ1042">
        <v>88.052757082143501</v>
      </c>
      <c r="AK1042">
        <v>66.701513756604598</v>
      </c>
      <c r="AL1042">
        <v>81.205405712281802</v>
      </c>
      <c r="AM1042">
        <v>87.120432282680099</v>
      </c>
      <c r="AN1042">
        <v>1.00000000818832</v>
      </c>
    </row>
    <row r="1043" spans="1:40" x14ac:dyDescent="0.25">
      <c r="A1043" t="str">
        <f>"20190303170243785"</f>
        <v>20190303170243785</v>
      </c>
      <c r="B1043" t="str">
        <f>"1551603763776422"</f>
        <v>1551603763776422</v>
      </c>
      <c r="C1043" t="s">
        <v>40</v>
      </c>
      <c r="D1043">
        <v>4.181432</v>
      </c>
      <c r="E1043">
        <v>0.49781740000000002</v>
      </c>
      <c r="F1043" t="s">
        <v>42</v>
      </c>
      <c r="G1043">
        <v>-217.2167</v>
      </c>
      <c r="H1043" s="1">
        <v>-1.937443E-6</v>
      </c>
      <c r="I1043">
        <v>365.8424</v>
      </c>
      <c r="J1043">
        <v>-283.23</v>
      </c>
      <c r="K1043">
        <v>1.0715319999999999</v>
      </c>
      <c r="L1043">
        <v>367.82089999999999</v>
      </c>
      <c r="M1043">
        <v>0.99988480000000002</v>
      </c>
      <c r="N1043">
        <v>-1.458746E-2</v>
      </c>
      <c r="O1043">
        <v>4.1929289999999998E-3</v>
      </c>
      <c r="P1043">
        <v>0.98935110000000004</v>
      </c>
      <c r="Q1043">
        <v>0.1383276</v>
      </c>
      <c r="R1043">
        <v>-4.5280210000000001E-2</v>
      </c>
      <c r="S1043">
        <v>3.035126</v>
      </c>
      <c r="T1043">
        <v>-4.9138550000000003E-2</v>
      </c>
      <c r="U1043">
        <v>-9.0698239999999999E-2</v>
      </c>
      <c r="V1043">
        <v>4.94309E-2</v>
      </c>
      <c r="W1043">
        <v>0.1527414</v>
      </c>
      <c r="X1043">
        <v>0.98702920000000005</v>
      </c>
      <c r="Y1043">
        <v>3.4052289999999999E-2</v>
      </c>
      <c r="Z1043">
        <v>-5.3075279999999995E-4</v>
      </c>
      <c r="AA1043">
        <v>0.99941990000000003</v>
      </c>
      <c r="AB1043">
        <v>34</v>
      </c>
      <c r="AC1043">
        <v>66.013300000000001</v>
      </c>
      <c r="AD1043">
        <v>-1.071533937443</v>
      </c>
      <c r="AE1043">
        <v>-1.9784999999999899</v>
      </c>
      <c r="AF1043">
        <v>2.2547076014142302</v>
      </c>
      <c r="AG1043">
        <v>-1.071533937443</v>
      </c>
      <c r="AH1043">
        <v>65.987052284939494</v>
      </c>
      <c r="AI1043">
        <v>90.9297760075154</v>
      </c>
      <c r="AJ1043">
        <v>88.043025335701401</v>
      </c>
      <c r="AK1043">
        <v>66.034255963115896</v>
      </c>
      <c r="AL1043">
        <v>81.214171682844693</v>
      </c>
      <c r="AM1043">
        <v>87.132994901944997</v>
      </c>
      <c r="AN1043">
        <v>0.99999999540070506</v>
      </c>
    </row>
    <row r="1044" spans="1:40" x14ac:dyDescent="0.25">
      <c r="A1044" t="str">
        <f>"20190303170243795"</f>
        <v>20190303170243795</v>
      </c>
      <c r="B1044" t="str">
        <f>"1551603763787157"</f>
        <v>1551603763787157</v>
      </c>
      <c r="C1044" t="s">
        <v>40</v>
      </c>
      <c r="D1044">
        <v>4.1794029999999998</v>
      </c>
      <c r="E1044">
        <v>0.49843769999999998</v>
      </c>
      <c r="F1044" t="s">
        <v>42</v>
      </c>
      <c r="G1044">
        <v>-215.84299999999999</v>
      </c>
      <c r="H1044" s="1">
        <v>-2.4653450000000001E-6</v>
      </c>
      <c r="I1044">
        <v>365.67200000000003</v>
      </c>
      <c r="J1044">
        <v>-283.04969999999997</v>
      </c>
      <c r="K1044">
        <v>1.0715319999999999</v>
      </c>
      <c r="L1044">
        <v>367.82170000000002</v>
      </c>
      <c r="M1044">
        <v>0.99988489999999997</v>
      </c>
      <c r="N1044">
        <v>-1.458545E-2</v>
      </c>
      <c r="O1044">
        <v>4.1981290000000001E-3</v>
      </c>
      <c r="P1044">
        <v>0.98933689999999996</v>
      </c>
      <c r="Q1044">
        <v>0.13839089999999901</v>
      </c>
      <c r="R1044">
        <v>-4.5395020000000001E-2</v>
      </c>
      <c r="S1044">
        <v>3.0346069999999998</v>
      </c>
      <c r="T1044">
        <v>-4.8253890000000001E-2</v>
      </c>
      <c r="U1044">
        <v>-9.6771239999999994E-2</v>
      </c>
      <c r="V1044">
        <v>4.9550900000000002E-2</v>
      </c>
      <c r="W1044">
        <v>0.15280260000000001</v>
      </c>
      <c r="X1044">
        <v>0.98701369999999999</v>
      </c>
      <c r="Y1044">
        <v>3.6060429999999997E-2</v>
      </c>
      <c r="Z1044">
        <v>-5.5521979999999997E-4</v>
      </c>
      <c r="AA1044">
        <v>0.9993495</v>
      </c>
      <c r="AB1044">
        <v>34</v>
      </c>
      <c r="AC1044">
        <v>67.206699999999898</v>
      </c>
      <c r="AD1044">
        <v>-1.0715344653450001</v>
      </c>
      <c r="AE1044">
        <v>-2.1497000000000499</v>
      </c>
      <c r="AF1044">
        <v>2.4312360348881699</v>
      </c>
      <c r="AG1044">
        <v>-1.0715344653450001</v>
      </c>
      <c r="AH1044">
        <v>67.180021796222107</v>
      </c>
      <c r="AI1044">
        <v>90.913203665802698</v>
      </c>
      <c r="AJ1044">
        <v>87.927377902317303</v>
      </c>
      <c r="AK1044">
        <v>67.232539914156405</v>
      </c>
      <c r="AL1044">
        <v>81.210623439950695</v>
      </c>
      <c r="AM1044">
        <v>87.126001468341897</v>
      </c>
      <c r="AN1044">
        <v>0.999999985122629</v>
      </c>
    </row>
    <row r="1045" spans="1:40" x14ac:dyDescent="0.25">
      <c r="A1045" t="str">
        <f>"20190303170243813"</f>
        <v>20190303170243813</v>
      </c>
      <c r="B1045" t="str">
        <f>"1551603763806305"</f>
        <v>1551603763806305</v>
      </c>
      <c r="C1045" t="s">
        <v>40</v>
      </c>
      <c r="D1045">
        <v>4.1190699999999998</v>
      </c>
      <c r="E1045">
        <v>0.49967149999999999</v>
      </c>
      <c r="F1045" t="s">
        <v>42</v>
      </c>
      <c r="G1045">
        <v>-214.25659999999999</v>
      </c>
      <c r="H1045" s="1">
        <v>-3.1759750000000001E-6</v>
      </c>
      <c r="I1045">
        <v>365.50240000000002</v>
      </c>
      <c r="J1045">
        <v>-282.78989999999999</v>
      </c>
      <c r="K1045">
        <v>1.071534</v>
      </c>
      <c r="L1045">
        <v>367.82279999999997</v>
      </c>
      <c r="M1045">
        <v>0.99988480000000002</v>
      </c>
      <c r="N1045">
        <v>-1.4582589999999999E-2</v>
      </c>
      <c r="O1045">
        <v>4.2058970000000001E-3</v>
      </c>
      <c r="P1045">
        <v>0.98939779999999999</v>
      </c>
      <c r="Q1045">
        <v>0.13794339999999999</v>
      </c>
      <c r="R1045">
        <v>-4.5424920000000001E-2</v>
      </c>
      <c r="S1045">
        <v>3.0342410000000002</v>
      </c>
      <c r="T1045">
        <v>-4.7261949999999997E-2</v>
      </c>
      <c r="U1045">
        <v>-0.10229489999999999</v>
      </c>
      <c r="V1045">
        <v>4.9588800000000002E-2</v>
      </c>
      <c r="W1045">
        <v>0.15235299999999999</v>
      </c>
      <c r="X1045">
        <v>0.98708130000000005</v>
      </c>
      <c r="Y1045">
        <v>3.788913E-2</v>
      </c>
      <c r="Z1045">
        <v>-5.7554209999999999E-4</v>
      </c>
      <c r="AA1045">
        <v>0.9992818</v>
      </c>
      <c r="AB1045">
        <v>34</v>
      </c>
      <c r="AC1045">
        <v>68.533299999999997</v>
      </c>
      <c r="AD1045">
        <v>-1.0715371759749901</v>
      </c>
      <c r="AE1045">
        <v>-2.3203999999999398</v>
      </c>
      <c r="AF1045">
        <v>2.6080173013591099</v>
      </c>
      <c r="AG1045">
        <v>-1.0715371759749901</v>
      </c>
      <c r="AH1045">
        <v>68.506205323287404</v>
      </c>
      <c r="AI1045">
        <v>90.895468092175093</v>
      </c>
      <c r="AJ1045">
        <v>87.819814176704199</v>
      </c>
      <c r="AK1045">
        <v>68.564204319455897</v>
      </c>
      <c r="AL1045">
        <v>81.236688846888796</v>
      </c>
      <c r="AM1045">
        <v>87.124003567196098</v>
      </c>
      <c r="AN1045">
        <v>0.99999998925206401</v>
      </c>
    </row>
    <row r="1046" spans="1:40" x14ac:dyDescent="0.25">
      <c r="A1046" t="str">
        <f>"20190303170243826"</f>
        <v>20190303170243826</v>
      </c>
      <c r="B1046" t="str">
        <f>"1551603763817025"</f>
        <v>1551603763817025</v>
      </c>
      <c r="C1046" t="s">
        <v>40</v>
      </c>
      <c r="D1046">
        <v>4.1555749999999998</v>
      </c>
      <c r="E1046">
        <v>0.5002318</v>
      </c>
      <c r="F1046" t="s">
        <v>42</v>
      </c>
      <c r="G1046">
        <v>-213.42920000000001</v>
      </c>
      <c r="H1046" s="1">
        <v>-3.5746960000000002E-6</v>
      </c>
      <c r="I1046">
        <v>365.25569999999999</v>
      </c>
      <c r="J1046">
        <v>-282.59179999999998</v>
      </c>
      <c r="K1046">
        <v>1.0715330000000001</v>
      </c>
      <c r="L1046">
        <v>367.8236</v>
      </c>
      <c r="M1046">
        <v>0.99988489999999997</v>
      </c>
      <c r="N1046">
        <v>-1.458043E-2</v>
      </c>
      <c r="O1046">
        <v>4.2116330000000002E-3</v>
      </c>
      <c r="P1046">
        <v>0.98944670000000001</v>
      </c>
      <c r="Q1046">
        <v>0.13758219999999999</v>
      </c>
      <c r="R1046">
        <v>-4.5460880000000002E-2</v>
      </c>
      <c r="S1046">
        <v>3.033569</v>
      </c>
      <c r="T1046">
        <v>-4.6864870000000003E-2</v>
      </c>
      <c r="U1046">
        <v>-0.1122742</v>
      </c>
      <c r="V1046">
        <v>4.9630489999999999E-2</v>
      </c>
      <c r="W1046">
        <v>0.15199019999999999</v>
      </c>
      <c r="X1046">
        <v>0.98713519999999999</v>
      </c>
      <c r="Y1046">
        <v>4.118459E-2</v>
      </c>
      <c r="Z1046">
        <v>-6.2204640000000004E-4</v>
      </c>
      <c r="AA1046">
        <v>0.99915129999999996</v>
      </c>
      <c r="AB1046">
        <v>34</v>
      </c>
      <c r="AC1046">
        <v>69.162599999999898</v>
      </c>
      <c r="AD1046">
        <v>-1.0715365746959999</v>
      </c>
      <c r="AE1046">
        <v>-2.5678999999999998</v>
      </c>
      <c r="AF1046">
        <v>2.8585104628963398</v>
      </c>
      <c r="AG1046">
        <v>-1.0715365746959999</v>
      </c>
      <c r="AH1046">
        <v>69.134598510813603</v>
      </c>
      <c r="AI1046">
        <v>90.887214355283007</v>
      </c>
      <c r="AJ1046">
        <v>87.632338184961498</v>
      </c>
      <c r="AK1046">
        <v>69.201965174038193</v>
      </c>
      <c r="AL1046">
        <v>81.2577212681893</v>
      </c>
      <c r="AM1046">
        <v>87.121746645074396</v>
      </c>
      <c r="AN1046">
        <v>1.0000000547563499</v>
      </c>
    </row>
    <row r="1047" spans="1:40" x14ac:dyDescent="0.25">
      <c r="A1047" t="str">
        <f>"20190303170243842"</f>
        <v>20190303170243842</v>
      </c>
      <c r="B1047" t="str">
        <f>"1551603763826784"</f>
        <v>1551603763826784</v>
      </c>
      <c r="C1047" t="s">
        <v>40</v>
      </c>
      <c r="D1047">
        <v>4.1749289999999997</v>
      </c>
      <c r="E1047">
        <v>0.50076940000000003</v>
      </c>
      <c r="F1047" t="s">
        <v>42</v>
      </c>
      <c r="G1047">
        <v>-213.9417</v>
      </c>
      <c r="H1047" s="1">
        <v>-3.3685820000000002E-6</v>
      </c>
      <c r="I1047">
        <v>365.1782</v>
      </c>
      <c r="J1047">
        <v>-282.36219999999997</v>
      </c>
      <c r="K1047">
        <v>1.0715330000000001</v>
      </c>
      <c r="L1047">
        <v>367.82459999999998</v>
      </c>
      <c r="M1047">
        <v>0.99988489999999997</v>
      </c>
      <c r="N1047">
        <v>-1.4577909999999999E-2</v>
      </c>
      <c r="O1047">
        <v>4.2183860000000002E-3</v>
      </c>
      <c r="P1047">
        <v>0.98944180000000004</v>
      </c>
      <c r="Q1047">
        <v>0.13756989999999999</v>
      </c>
      <c r="R1047">
        <v>-4.5607300000000003E-2</v>
      </c>
      <c r="S1047">
        <v>3.0331730000000001</v>
      </c>
      <c r="T1047">
        <v>-4.7343730000000001E-2</v>
      </c>
      <c r="U1047">
        <v>-0.11688229999999999</v>
      </c>
      <c r="V1047">
        <v>4.9783569999999999E-2</v>
      </c>
      <c r="W1047">
        <v>0.15197559999999999</v>
      </c>
      <c r="X1047">
        <v>0.9871297</v>
      </c>
      <c r="Y1047">
        <v>4.2711399999999997E-2</v>
      </c>
      <c r="Z1047">
        <v>-6.4902169999999997E-4</v>
      </c>
      <c r="AA1047">
        <v>0.99908719999999995</v>
      </c>
      <c r="AB1047">
        <v>34</v>
      </c>
      <c r="AC1047">
        <v>68.420499999999905</v>
      </c>
      <c r="AD1047">
        <v>-1.0715363685820001</v>
      </c>
      <c r="AE1047">
        <v>-2.6463999999999701</v>
      </c>
      <c r="AF1047">
        <v>2.9343125650972399</v>
      </c>
      <c r="AG1047">
        <v>-1.0715363685820001</v>
      </c>
      <c r="AH1047">
        <v>68.391977058046393</v>
      </c>
      <c r="AI1047">
        <v>90.896787548686305</v>
      </c>
      <c r="AJ1047">
        <v>87.5432691517221</v>
      </c>
      <c r="AK1047">
        <v>68.463281445802906</v>
      </c>
      <c r="AL1047">
        <v>81.258567274649593</v>
      </c>
      <c r="AM1047">
        <v>87.112867914886394</v>
      </c>
      <c r="AN1047">
        <v>1.00000001572969</v>
      </c>
    </row>
    <row r="1048" spans="1:40" x14ac:dyDescent="0.25">
      <c r="A1048" t="str">
        <f>"20190303170243857"</f>
        <v>20190303170243857</v>
      </c>
      <c r="B1048" t="str">
        <f>"1551603763846305"</f>
        <v>1551603763846305</v>
      </c>
      <c r="C1048" t="s">
        <v>40</v>
      </c>
      <c r="D1048">
        <v>4.1770670000000001</v>
      </c>
      <c r="E1048">
        <v>0.501776</v>
      </c>
      <c r="F1048" t="s">
        <v>42</v>
      </c>
      <c r="G1048">
        <v>-212.8922</v>
      </c>
      <c r="H1048" s="1">
        <v>-3.8443629999999996E-6</v>
      </c>
      <c r="I1048">
        <v>365.03410000000002</v>
      </c>
      <c r="J1048">
        <v>-282.13420000000002</v>
      </c>
      <c r="K1048">
        <v>1.0715300000000001</v>
      </c>
      <c r="L1048">
        <v>367.82560000000001</v>
      </c>
      <c r="M1048">
        <v>0.99988500000000002</v>
      </c>
      <c r="N1048">
        <v>-1.457541E-2</v>
      </c>
      <c r="O1048">
        <v>4.2249619999999996E-3</v>
      </c>
      <c r="P1048">
        <v>0.98940890000000004</v>
      </c>
      <c r="Q1048">
        <v>0.13782030000000001</v>
      </c>
      <c r="R1048">
        <v>-4.5563899999999997E-2</v>
      </c>
      <c r="S1048">
        <v>3.032959</v>
      </c>
      <c r="T1048">
        <v>-4.6781660000000003E-2</v>
      </c>
      <c r="U1048">
        <v>-0.1218262</v>
      </c>
      <c r="V1048">
        <v>4.9746569999999997E-2</v>
      </c>
      <c r="W1048">
        <v>0.152223</v>
      </c>
      <c r="X1048">
        <v>0.98709340000000001</v>
      </c>
      <c r="Y1048">
        <v>4.4346459999999997E-2</v>
      </c>
      <c r="Z1048">
        <v>-6.6880110000000004E-4</v>
      </c>
      <c r="AA1048">
        <v>0.99901600000000002</v>
      </c>
      <c r="AB1048">
        <v>34</v>
      </c>
      <c r="AC1048">
        <v>69.242000000000004</v>
      </c>
      <c r="AD1048">
        <v>-1.07153384436299</v>
      </c>
      <c r="AE1048">
        <v>-2.7914999999999801</v>
      </c>
      <c r="AF1048">
        <v>3.0833137340397099</v>
      </c>
      <c r="AG1048">
        <v>-1.07153384436299</v>
      </c>
      <c r="AH1048">
        <v>69.213038268923199</v>
      </c>
      <c r="AI1048">
        <v>90.886085185839207</v>
      </c>
      <c r="AJ1048">
        <v>87.449264707977207</v>
      </c>
      <c r="AK1048">
        <v>69.289968067372897</v>
      </c>
      <c r="AL1048">
        <v>81.244225045721905</v>
      </c>
      <c r="AM1048">
        <v>87.114904139187502</v>
      </c>
      <c r="AN1048">
        <v>0.99999997163966203</v>
      </c>
    </row>
    <row r="1049" spans="1:40" x14ac:dyDescent="0.25">
      <c r="A1049" t="str">
        <f>"20190303170243871"</f>
        <v>20190303170243871</v>
      </c>
      <c r="B1049" t="str">
        <f>"1551603763857040"</f>
        <v>1551603763857040</v>
      </c>
      <c r="C1049" t="s">
        <v>40</v>
      </c>
      <c r="D1049">
        <v>4.1792220000000002</v>
      </c>
      <c r="E1049">
        <v>0.50227270000000002</v>
      </c>
      <c r="F1049" t="s">
        <v>52</v>
      </c>
      <c r="G1049">
        <v>-208.7559</v>
      </c>
      <c r="H1049" s="1">
        <v>-5.639808E-6</v>
      </c>
      <c r="I1049">
        <v>364.67880000000002</v>
      </c>
      <c r="J1049">
        <v>-281.91480000000001</v>
      </c>
      <c r="K1049">
        <v>1.0715269999999999</v>
      </c>
      <c r="L1049">
        <v>367.82650000000001</v>
      </c>
      <c r="M1049">
        <v>0.99988489999999997</v>
      </c>
      <c r="N1049">
        <v>-1.4572999999999999E-2</v>
      </c>
      <c r="O1049">
        <v>4.231004E-3</v>
      </c>
      <c r="P1049">
        <v>0.98941730000000006</v>
      </c>
      <c r="Q1049">
        <v>0.13786689999999999</v>
      </c>
      <c r="R1049">
        <v>-4.5238100000000003E-2</v>
      </c>
      <c r="S1049">
        <v>3.0322879999999999</v>
      </c>
      <c r="T1049">
        <v>-4.4280170000000001E-2</v>
      </c>
      <c r="U1049">
        <v>-0.1300354</v>
      </c>
      <c r="V1049">
        <v>4.9426659999999997E-2</v>
      </c>
      <c r="W1049">
        <v>0.152267299999999</v>
      </c>
      <c r="X1049">
        <v>0.9871027</v>
      </c>
      <c r="Y1049">
        <v>4.706138E-2</v>
      </c>
      <c r="Z1049">
        <v>-6.8668750000000001E-4</v>
      </c>
      <c r="AA1049">
        <v>0.9988918</v>
      </c>
      <c r="AB1049">
        <v>34</v>
      </c>
      <c r="AC1049">
        <v>73.158900000000003</v>
      </c>
      <c r="AD1049">
        <v>-1.0715326398080001</v>
      </c>
      <c r="AE1049">
        <v>-3.14769999999998</v>
      </c>
      <c r="AF1049">
        <v>3.4565001453745601</v>
      </c>
      <c r="AG1049">
        <v>-1.0715326398080001</v>
      </c>
      <c r="AH1049">
        <v>73.129266673553303</v>
      </c>
      <c r="AI1049">
        <v>90.838535079411301</v>
      </c>
      <c r="AJ1049">
        <v>87.2938934287493</v>
      </c>
      <c r="AK1049">
        <v>73.218749099290207</v>
      </c>
      <c r="AL1049">
        <v>81.241657445572798</v>
      </c>
      <c r="AM1049">
        <v>87.133453516654399</v>
      </c>
      <c r="AN1049">
        <v>1.0000000328576599</v>
      </c>
    </row>
    <row r="1050" spans="1:40" x14ac:dyDescent="0.25">
      <c r="A1050" t="str">
        <f>"20190303170243884"</f>
        <v>20190303170243884</v>
      </c>
      <c r="B1050" t="str">
        <f>"1551603763876560"</f>
        <v>1551603763876560</v>
      </c>
      <c r="C1050" t="s">
        <v>40</v>
      </c>
      <c r="D1050">
        <v>4.1784489999999996</v>
      </c>
      <c r="E1050">
        <v>0.50309510000000002</v>
      </c>
      <c r="F1050" t="s">
        <v>52</v>
      </c>
      <c r="G1050">
        <v>-207.58439999999999</v>
      </c>
      <c r="H1050" s="1">
        <v>-5.2651260000000001E-6</v>
      </c>
      <c r="I1050">
        <v>364.56689999999998</v>
      </c>
      <c r="J1050">
        <v>-281.7192</v>
      </c>
      <c r="K1050">
        <v>1.071529</v>
      </c>
      <c r="L1050">
        <v>367.82729999999998</v>
      </c>
      <c r="M1050">
        <v>0.99988500000000002</v>
      </c>
      <c r="N1050">
        <v>-1.457084E-2</v>
      </c>
      <c r="O1050">
        <v>4.2364439999999998E-3</v>
      </c>
      <c r="P1050">
        <v>0.9894674</v>
      </c>
      <c r="Q1050">
        <v>0.13754430000000001</v>
      </c>
      <c r="R1050">
        <v>-4.5124310000000001E-2</v>
      </c>
      <c r="S1050">
        <v>3.0320740000000002</v>
      </c>
      <c r="T1050">
        <v>-4.3709749999999999E-2</v>
      </c>
      <c r="U1050">
        <v>-0.1329651</v>
      </c>
      <c r="V1050">
        <v>4.9318529999999999E-2</v>
      </c>
      <c r="W1050">
        <v>0.15194349999999901</v>
      </c>
      <c r="X1050">
        <v>0.98715790000000003</v>
      </c>
      <c r="Y1050">
        <v>4.8033159999999998E-2</v>
      </c>
      <c r="Z1050">
        <v>-6.9553819999999995E-4</v>
      </c>
      <c r="AA1050">
        <v>0.99884550000000005</v>
      </c>
      <c r="AB1050">
        <v>34</v>
      </c>
      <c r="AC1050">
        <v>74.134799999999998</v>
      </c>
      <c r="AD1050">
        <v>-1.071534265126</v>
      </c>
      <c r="AE1050">
        <v>-3.2604000000000002</v>
      </c>
      <c r="AF1050">
        <v>3.5737268061678802</v>
      </c>
      <c r="AG1050">
        <v>-1.071534265126</v>
      </c>
      <c r="AH1050">
        <v>74.104868953261999</v>
      </c>
      <c r="AI1050">
        <v>90.827460610779596</v>
      </c>
      <c r="AJ1050">
        <v>87.239034999659907</v>
      </c>
      <c r="AK1050">
        <v>74.198728503570706</v>
      </c>
      <c r="AL1050">
        <v>81.260427342263696</v>
      </c>
      <c r="AM1050">
        <v>87.139873870549906</v>
      </c>
      <c r="AN1050">
        <v>0.99999993206300797</v>
      </c>
    </row>
    <row r="1051" spans="1:40" x14ac:dyDescent="0.25">
      <c r="A1051" t="str">
        <f>"20190303170243896"</f>
        <v>20190303170243896</v>
      </c>
      <c r="B1051" t="str">
        <f>"1551603763886321"</f>
        <v>1551603763886321</v>
      </c>
      <c r="C1051" t="s">
        <v>40</v>
      </c>
      <c r="D1051">
        <v>4.1235780000000002</v>
      </c>
      <c r="E1051">
        <v>0.50339619999999996</v>
      </c>
      <c r="F1051" t="s">
        <v>52</v>
      </c>
      <c r="G1051">
        <v>-207.2313</v>
      </c>
      <c r="H1051" s="1">
        <v>-5.1484459999999997E-6</v>
      </c>
      <c r="I1051">
        <v>364.41109999999998</v>
      </c>
      <c r="J1051">
        <v>-281.54750000000001</v>
      </c>
      <c r="K1051">
        <v>1.071529</v>
      </c>
      <c r="L1051">
        <v>367.82799999999997</v>
      </c>
      <c r="M1051">
        <v>0.99988480000000002</v>
      </c>
      <c r="N1051">
        <v>-1.4568940000000001E-2</v>
      </c>
      <c r="O1051">
        <v>4.2414649999999998E-3</v>
      </c>
      <c r="P1051">
        <v>0.98946750000000006</v>
      </c>
      <c r="Q1051">
        <v>0.1376213</v>
      </c>
      <c r="R1051">
        <v>-4.4883960000000001E-2</v>
      </c>
      <c r="S1051">
        <v>3.031647</v>
      </c>
      <c r="T1051">
        <v>-4.3611289999999997E-2</v>
      </c>
      <c r="U1051">
        <v>-0.1390381</v>
      </c>
      <c r="V1051">
        <v>4.9083099999999998E-2</v>
      </c>
      <c r="W1051">
        <v>0.1520185</v>
      </c>
      <c r="X1051">
        <v>0.98715819999999999</v>
      </c>
      <c r="Y1051">
        <v>5.0040719999999997E-2</v>
      </c>
      <c r="Z1051">
        <v>-7.2370559999999895E-4</v>
      </c>
      <c r="AA1051">
        <v>0.99874689999999999</v>
      </c>
      <c r="AB1051">
        <v>34</v>
      </c>
      <c r="AC1051">
        <v>74.316199999999995</v>
      </c>
      <c r="AD1051">
        <v>-1.0715341484459999</v>
      </c>
      <c r="AE1051">
        <v>-3.4169000000000498</v>
      </c>
      <c r="AF1051">
        <v>3.7313382076389501</v>
      </c>
      <c r="AG1051">
        <v>-1.0715341484459999</v>
      </c>
      <c r="AH1051">
        <v>74.285626111429394</v>
      </c>
      <c r="AI1051">
        <v>90.825366128997501</v>
      </c>
      <c r="AJ1051">
        <v>87.124471909590895</v>
      </c>
      <c r="AK1051">
        <v>74.386996961956697</v>
      </c>
      <c r="AL1051">
        <v>81.256080634683499</v>
      </c>
      <c r="AM1051">
        <v>87.153505501643096</v>
      </c>
      <c r="AN1051">
        <v>1.00000004343754</v>
      </c>
    </row>
    <row r="1052" spans="1:40" x14ac:dyDescent="0.25">
      <c r="A1052" t="str">
        <f>"20190303170243907"</f>
        <v>20190303170243907</v>
      </c>
      <c r="B1052" t="str">
        <f>"1551603763897057"</f>
        <v>1551603763897057</v>
      </c>
      <c r="C1052" t="s">
        <v>40</v>
      </c>
      <c r="D1052">
        <v>4.2130519999999896</v>
      </c>
      <c r="E1052">
        <v>0.50377479999999997</v>
      </c>
      <c r="F1052" t="s">
        <v>52</v>
      </c>
      <c r="G1052">
        <v>-205.93389999999999</v>
      </c>
      <c r="H1052" s="1">
        <v>-4.5665420000000001E-6</v>
      </c>
      <c r="I1052">
        <v>364.3098</v>
      </c>
      <c r="J1052">
        <v>-281.36520000000002</v>
      </c>
      <c r="K1052">
        <v>1.0715300000000001</v>
      </c>
      <c r="L1052">
        <v>367.8288</v>
      </c>
      <c r="M1052">
        <v>0.99988500000000002</v>
      </c>
      <c r="N1052">
        <v>-1.4566930000000001E-2</v>
      </c>
      <c r="O1052">
        <v>4.2463659999999997E-3</v>
      </c>
      <c r="P1052">
        <v>0.98950669999999996</v>
      </c>
      <c r="Q1052">
        <v>0.13743639999999999</v>
      </c>
      <c r="R1052">
        <v>-4.458554E-2</v>
      </c>
      <c r="S1052">
        <v>3.0315249999999998</v>
      </c>
      <c r="T1052">
        <v>-4.2960289999999998E-2</v>
      </c>
      <c r="U1052">
        <v>-0.14105219999999999</v>
      </c>
      <c r="V1052">
        <v>4.8789949999999999E-2</v>
      </c>
      <c r="W1052">
        <v>0.151832299999999</v>
      </c>
      <c r="X1052">
        <v>0.98720129999999995</v>
      </c>
      <c r="Y1052">
        <v>5.0709690000000002E-2</v>
      </c>
      <c r="Z1052">
        <v>-7.2701179999999904E-4</v>
      </c>
      <c r="AA1052">
        <v>0.99871319999999997</v>
      </c>
      <c r="AB1052">
        <v>34</v>
      </c>
      <c r="AC1052">
        <v>75.431299999999993</v>
      </c>
      <c r="AD1052">
        <v>-1.071534566542</v>
      </c>
      <c r="AE1052">
        <v>-3.5190000000000001</v>
      </c>
      <c r="AF1052">
        <v>3.8385382116075299</v>
      </c>
      <c r="AG1052">
        <v>-1.071534566542</v>
      </c>
      <c r="AH1052">
        <v>75.400492875249896</v>
      </c>
      <c r="AI1052">
        <v>90.813136439773103</v>
      </c>
      <c r="AJ1052">
        <v>87.085664471708299</v>
      </c>
      <c r="AK1052">
        <v>75.505740760288404</v>
      </c>
      <c r="AL1052">
        <v>81.266873638828798</v>
      </c>
      <c r="AM1052">
        <v>87.170601880917403</v>
      </c>
      <c r="AN1052">
        <v>0.99999995663299002</v>
      </c>
    </row>
    <row r="1053" spans="1:40" x14ac:dyDescent="0.25">
      <c r="A1053" t="str">
        <f>"20190303170243920"</f>
        <v>20190303170243920</v>
      </c>
      <c r="B1053" t="str">
        <f>"1551603763906473"</f>
        <v>1551603763906473</v>
      </c>
      <c r="C1053" t="s">
        <v>40</v>
      </c>
      <c r="D1053">
        <v>4.2006759999999996</v>
      </c>
      <c r="E1053">
        <v>0.50412860000000004</v>
      </c>
      <c r="F1053" t="s">
        <v>52</v>
      </c>
      <c r="G1053">
        <v>-205.4563</v>
      </c>
      <c r="H1053" s="1">
        <v>-4.3598619999999998E-6</v>
      </c>
      <c r="I1053">
        <v>364.23860000000002</v>
      </c>
      <c r="J1053">
        <v>-281.18639999999999</v>
      </c>
      <c r="K1053">
        <v>1.07159</v>
      </c>
      <c r="L1053">
        <v>367.82960000000003</v>
      </c>
      <c r="M1053">
        <v>0.99988189999999999</v>
      </c>
      <c r="N1053">
        <v>-1.477535E-2</v>
      </c>
      <c r="O1053">
        <v>4.2512640000000003E-3</v>
      </c>
      <c r="P1053">
        <v>0.98959229999999998</v>
      </c>
      <c r="Q1053">
        <v>0.13685559999999999</v>
      </c>
      <c r="R1053">
        <v>-4.447541E-2</v>
      </c>
      <c r="S1053">
        <v>3.0313110000000001</v>
      </c>
      <c r="T1053">
        <v>-4.2790170000000002E-2</v>
      </c>
      <c r="U1053">
        <v>-0.14337159999999999</v>
      </c>
      <c r="V1053">
        <v>4.8684940000000003E-2</v>
      </c>
      <c r="W1053">
        <v>0.1514585</v>
      </c>
      <c r="X1053">
        <v>0.98726389999999997</v>
      </c>
      <c r="Y1053">
        <v>5.1480150000000002E-2</v>
      </c>
      <c r="Z1053">
        <v>-7.4091300000000005E-4</v>
      </c>
      <c r="AA1053">
        <v>0.9986737</v>
      </c>
      <c r="AB1053">
        <v>34</v>
      </c>
      <c r="AC1053">
        <v>75.730099999999993</v>
      </c>
      <c r="AD1053">
        <v>-1.0715943598619999</v>
      </c>
      <c r="AE1053">
        <v>-3.5910000000000002</v>
      </c>
      <c r="AF1053">
        <v>3.91216973970855</v>
      </c>
      <c r="AG1053">
        <v>-1.0715943598619999</v>
      </c>
      <c r="AH1053">
        <v>75.699024524991501</v>
      </c>
      <c r="AI1053">
        <v>90.809943336588006</v>
      </c>
      <c r="AJ1053">
        <v>87.041552711612397</v>
      </c>
      <c r="AK1053">
        <v>75.807622971437695</v>
      </c>
      <c r="AL1053">
        <v>81.288541371295494</v>
      </c>
      <c r="AM1053">
        <v>87.176860425711098</v>
      </c>
      <c r="AN1053">
        <v>0.99999995442413003</v>
      </c>
    </row>
    <row r="1054" spans="1:40" x14ac:dyDescent="0.25">
      <c r="A1054" t="str">
        <f>"20190303170243933"</f>
        <v>20190303170243933</v>
      </c>
      <c r="B1054" t="str">
        <f>"1551603763926955"</f>
        <v>1551603763926955</v>
      </c>
      <c r="C1054" t="s">
        <v>40</v>
      </c>
      <c r="D1054">
        <v>4.2618099999999997</v>
      </c>
      <c r="E1054">
        <v>0.5048416</v>
      </c>
      <c r="F1054" t="s">
        <v>52</v>
      </c>
      <c r="G1054">
        <v>-207.31460000000001</v>
      </c>
      <c r="H1054" s="1">
        <v>-5.2164029999999996E-6</v>
      </c>
      <c r="I1054">
        <v>364.27969999999999</v>
      </c>
      <c r="J1054">
        <v>-280.96769999999998</v>
      </c>
      <c r="K1054">
        <v>1.0717669999999999</v>
      </c>
      <c r="L1054">
        <v>367.83049999999997</v>
      </c>
      <c r="M1054">
        <v>0.99987190000000004</v>
      </c>
      <c r="N1054">
        <v>-1.543106E-2</v>
      </c>
      <c r="O1054">
        <v>4.2565299999999997E-3</v>
      </c>
      <c r="P1054">
        <v>0.98973290000000003</v>
      </c>
      <c r="Q1054">
        <v>0.13600719999999999</v>
      </c>
      <c r="R1054">
        <v>-4.3946909999999999E-2</v>
      </c>
      <c r="S1054">
        <v>3.0310670000000002</v>
      </c>
      <c r="T1054">
        <v>-4.3969149999999999E-2</v>
      </c>
      <c r="U1054">
        <v>-0.1456604</v>
      </c>
      <c r="V1054">
        <v>4.8162150000000001E-2</v>
      </c>
      <c r="W1054">
        <v>0.15126010000000001</v>
      </c>
      <c r="X1054">
        <v>0.98731999999999998</v>
      </c>
      <c r="Y1054">
        <v>5.2240790000000002E-2</v>
      </c>
      <c r="Z1054">
        <v>-7.7809489999999999E-4</v>
      </c>
      <c r="AA1054">
        <v>0.99863420000000003</v>
      </c>
      <c r="AB1054">
        <v>34</v>
      </c>
      <c r="AC1054">
        <v>73.653099999999895</v>
      </c>
      <c r="AD1054">
        <v>-1.0717722164029999</v>
      </c>
      <c r="AE1054">
        <v>-3.5507999999999802</v>
      </c>
      <c r="AF1054">
        <v>3.86349558211072</v>
      </c>
      <c r="AG1054">
        <v>-1.0717722164029999</v>
      </c>
      <c r="AH1054">
        <v>73.621763484586197</v>
      </c>
      <c r="AI1054">
        <v>90.832896693203793</v>
      </c>
      <c r="AJ1054">
        <v>86.996008889026996</v>
      </c>
      <c r="AK1054">
        <v>73.730857531817705</v>
      </c>
      <c r="AL1054">
        <v>81.300041716545906</v>
      </c>
      <c r="AM1054">
        <v>87.207286126117097</v>
      </c>
      <c r="AN1054">
        <v>0.99999999647231597</v>
      </c>
    </row>
    <row r="1055" spans="1:40" x14ac:dyDescent="0.25">
      <c r="A1055" t="str">
        <f>"20190303170243946"</f>
        <v>20190303170243946</v>
      </c>
      <c r="B1055" t="str">
        <f>"1551603763936713"</f>
        <v>1551603763936713</v>
      </c>
      <c r="C1055" t="s">
        <v>40</v>
      </c>
      <c r="D1055">
        <v>4.2528360000000003</v>
      </c>
      <c r="E1055">
        <v>0.50516799999999995</v>
      </c>
      <c r="F1055" t="s">
        <v>42</v>
      </c>
      <c r="G1055">
        <v>-210.4778</v>
      </c>
      <c r="H1055" s="1">
        <v>-5.0026399999999996E-6</v>
      </c>
      <c r="I1055">
        <v>364.34339999999997</v>
      </c>
      <c r="J1055">
        <v>-280.79079999999999</v>
      </c>
      <c r="K1055">
        <v>1.072114</v>
      </c>
      <c r="L1055">
        <v>367.8313</v>
      </c>
      <c r="M1055">
        <v>0.99986149999999996</v>
      </c>
      <c r="N1055">
        <v>-1.6097719999999999E-2</v>
      </c>
      <c r="O1055">
        <v>4.2608380000000003E-3</v>
      </c>
      <c r="P1055">
        <v>0.98980440000000003</v>
      </c>
      <c r="Q1055">
        <v>0.1355461</v>
      </c>
      <c r="R1055">
        <v>-4.375913E-2</v>
      </c>
      <c r="S1055">
        <v>3.0308229999999998</v>
      </c>
      <c r="T1055">
        <v>-4.6082499999999998E-2</v>
      </c>
      <c r="U1055">
        <v>-0.14993290000000001</v>
      </c>
      <c r="V1055">
        <v>4.7979330000000001E-2</v>
      </c>
      <c r="W1055">
        <v>0.15145810000000001</v>
      </c>
      <c r="X1055">
        <v>0.98729849999999997</v>
      </c>
      <c r="Y1055">
        <v>5.365193E-2</v>
      </c>
      <c r="Z1055">
        <v>-8.3597749999999996E-4</v>
      </c>
      <c r="AA1055">
        <v>0.99855939999999999</v>
      </c>
      <c r="AB1055">
        <v>34</v>
      </c>
      <c r="AC1055">
        <v>70.312999999999903</v>
      </c>
      <c r="AD1055">
        <v>-1.07211900264</v>
      </c>
      <c r="AE1055">
        <v>-3.4879000000000202</v>
      </c>
      <c r="AF1055">
        <v>3.7866211999246802</v>
      </c>
      <c r="AG1055">
        <v>-1.07211900264</v>
      </c>
      <c r="AH1055">
        <v>70.281198314272402</v>
      </c>
      <c r="AI1055">
        <v>90.872696928962597</v>
      </c>
      <c r="AJ1055">
        <v>86.915991026736407</v>
      </c>
      <c r="AK1055">
        <v>70.391297585409106</v>
      </c>
      <c r="AL1055">
        <v>81.288564519411295</v>
      </c>
      <c r="AM1055">
        <v>87.217809886519106</v>
      </c>
      <c r="AN1055">
        <v>0.99999995013255305</v>
      </c>
    </row>
    <row r="1056" spans="1:40" x14ac:dyDescent="0.25">
      <c r="A1056" t="str">
        <f>"20190303170243959"</f>
        <v>20190303170243959</v>
      </c>
      <c r="B1056" t="str">
        <f>"1551603763946474"</f>
        <v>1551603763946474</v>
      </c>
      <c r="C1056" t="s">
        <v>40</v>
      </c>
      <c r="D1056">
        <v>4.2083879999999896</v>
      </c>
      <c r="E1056">
        <v>0.50547909999999996</v>
      </c>
      <c r="F1056" t="s">
        <v>42</v>
      </c>
      <c r="G1056">
        <v>-212.36699999999999</v>
      </c>
      <c r="H1056" s="1">
        <v>-4.1820050000000003E-6</v>
      </c>
      <c r="I1056">
        <v>364.4008</v>
      </c>
      <c r="J1056">
        <v>-280.61399999999998</v>
      </c>
      <c r="K1056">
        <v>1.072481</v>
      </c>
      <c r="L1056">
        <v>367.83210000000003</v>
      </c>
      <c r="M1056">
        <v>0.99985360000000001</v>
      </c>
      <c r="N1056">
        <v>-1.657459E-2</v>
      </c>
      <c r="O1056">
        <v>4.2664620000000004E-3</v>
      </c>
      <c r="P1056">
        <v>0.98984689999999997</v>
      </c>
      <c r="Q1056">
        <v>0.13531109999999999</v>
      </c>
      <c r="R1056">
        <v>-4.3522569999999997E-2</v>
      </c>
      <c r="S1056">
        <v>3.0307309999999998</v>
      </c>
      <c r="T1056">
        <v>-4.7487849999999998E-2</v>
      </c>
      <c r="U1056">
        <v>-0.151947</v>
      </c>
      <c r="V1056">
        <v>4.7748520000000003E-2</v>
      </c>
      <c r="W1056">
        <v>0.1516951</v>
      </c>
      <c r="X1056">
        <v>0.98727330000000002</v>
      </c>
      <c r="Y1056">
        <v>5.4320090000000001E-2</v>
      </c>
      <c r="Z1056">
        <v>-8.7194039999999903E-4</v>
      </c>
      <c r="AA1056">
        <v>0.99852320000000006</v>
      </c>
      <c r="AB1056">
        <v>33</v>
      </c>
      <c r="AC1056">
        <v>68.247</v>
      </c>
      <c r="AD1056">
        <v>-1.0724851820049901</v>
      </c>
      <c r="AE1056">
        <v>-3.4313000000000198</v>
      </c>
      <c r="AF1056">
        <v>3.7215652399454902</v>
      </c>
      <c r="AG1056">
        <v>-1.0724851820049901</v>
      </c>
      <c r="AH1056">
        <v>68.214933714343204</v>
      </c>
      <c r="AI1056">
        <v>90.899401150820395</v>
      </c>
      <c r="AJ1056">
        <v>86.877240895122995</v>
      </c>
      <c r="AK1056">
        <v>68.324793844936195</v>
      </c>
      <c r="AL1056">
        <v>81.274826655229106</v>
      </c>
      <c r="AM1056">
        <v>87.231102485379694</v>
      </c>
      <c r="AN1056">
        <v>0.99999994670954295</v>
      </c>
    </row>
    <row r="1057" spans="1:40" x14ac:dyDescent="0.25">
      <c r="A1057" t="str">
        <f>"20190303170243970"</f>
        <v>20190303170243970</v>
      </c>
      <c r="B1057" t="str">
        <f>"1551603763957210"</f>
        <v>1551603763957210</v>
      </c>
      <c r="C1057" t="s">
        <v>40</v>
      </c>
      <c r="D1057">
        <v>4.2582620000000002</v>
      </c>
      <c r="E1057">
        <v>0.50578529999999999</v>
      </c>
      <c r="F1057" t="s">
        <v>42</v>
      </c>
      <c r="G1057">
        <v>-213.02070000000001</v>
      </c>
      <c r="H1057" s="1">
        <v>-3.9015660000000004E-6</v>
      </c>
      <c r="I1057">
        <v>364.4008</v>
      </c>
      <c r="J1057">
        <v>-280.435</v>
      </c>
      <c r="K1057">
        <v>1.0728770000000001</v>
      </c>
      <c r="L1057">
        <v>367.83280000000002</v>
      </c>
      <c r="M1057">
        <v>0.99985380000000001</v>
      </c>
      <c r="N1057">
        <v>-1.6566350000000001E-2</v>
      </c>
      <c r="O1057">
        <v>4.2746650000000004E-3</v>
      </c>
      <c r="P1057">
        <v>0.98980299999999999</v>
      </c>
      <c r="Q1057">
        <v>0.1356579</v>
      </c>
      <c r="R1057">
        <v>-4.3443509999999998E-2</v>
      </c>
      <c r="S1057">
        <v>3.0305789999999999</v>
      </c>
      <c r="T1057">
        <v>-4.8085330000000003E-2</v>
      </c>
      <c r="U1057">
        <v>-0.15383910000000001</v>
      </c>
      <c r="V1057">
        <v>4.767677E-2</v>
      </c>
      <c r="W1057">
        <v>0.1520331</v>
      </c>
      <c r="X1057">
        <v>0.98722480000000001</v>
      </c>
      <c r="Y1057">
        <v>5.4952189999999998E-2</v>
      </c>
      <c r="Z1057">
        <v>-8.8821399999999904E-4</v>
      </c>
      <c r="AA1057">
        <v>0.99848859999999995</v>
      </c>
      <c r="AB1057">
        <v>33</v>
      </c>
      <c r="AC1057">
        <v>67.414299999999997</v>
      </c>
      <c r="AD1057">
        <v>-1.0728809015659999</v>
      </c>
      <c r="AE1057">
        <v>-3.4320000000000102</v>
      </c>
      <c r="AF1057">
        <v>3.7192421167164098</v>
      </c>
      <c r="AG1057">
        <v>-1.0728809015659999</v>
      </c>
      <c r="AH1057">
        <v>67.381988927178497</v>
      </c>
      <c r="AI1057">
        <v>90.910821285655601</v>
      </c>
      <c r="AJ1057">
        <v>86.840685997518193</v>
      </c>
      <c r="AK1057">
        <v>67.493083105856996</v>
      </c>
      <c r="AL1057">
        <v>81.255233647504099</v>
      </c>
      <c r="AM1057">
        <v>87.235121134058701</v>
      </c>
      <c r="AN1057">
        <v>0.99999997181414102</v>
      </c>
    </row>
    <row r="1058" spans="1:40" x14ac:dyDescent="0.25">
      <c r="A1058" t="str">
        <f>"20190303170243983"</f>
        <v>20190303170243983</v>
      </c>
      <c r="B1058" t="str">
        <f>"1551603763966970"</f>
        <v>1551603763966970</v>
      </c>
      <c r="C1058" t="s">
        <v>40</v>
      </c>
      <c r="D1058">
        <v>4.2063879999999996</v>
      </c>
      <c r="E1058">
        <v>0.50605449999999996</v>
      </c>
      <c r="F1058" t="s">
        <v>42</v>
      </c>
      <c r="G1058">
        <v>-210.8194</v>
      </c>
      <c r="H1058" s="1">
        <v>-4.8737249999999997E-6</v>
      </c>
      <c r="I1058">
        <v>364.24419999999998</v>
      </c>
      <c r="J1058">
        <v>-280.26100000000002</v>
      </c>
      <c r="K1058">
        <v>1.0732469999999901</v>
      </c>
      <c r="L1058">
        <v>367.83359999999999</v>
      </c>
      <c r="M1058">
        <v>0.9998631</v>
      </c>
      <c r="N1058">
        <v>-1.597751E-2</v>
      </c>
      <c r="O1058">
        <v>4.2852410000000004E-3</v>
      </c>
      <c r="P1058">
        <v>0.98973869999999997</v>
      </c>
      <c r="Q1058">
        <v>0.13617670000000001</v>
      </c>
      <c r="R1058">
        <v>-4.328303E-2</v>
      </c>
      <c r="S1058">
        <v>3.0304869999999999</v>
      </c>
      <c r="T1058">
        <v>-4.6704290000000002E-2</v>
      </c>
      <c r="U1058">
        <v>-0.15621949999999901</v>
      </c>
      <c r="V1058">
        <v>4.7525810000000002E-2</v>
      </c>
      <c r="W1058">
        <v>0.15196899999999999</v>
      </c>
      <c r="X1058">
        <v>0.98724199999999995</v>
      </c>
      <c r="Y1058">
        <v>5.5747110000000002E-2</v>
      </c>
      <c r="Z1058">
        <v>-8.7256110000000003E-4</v>
      </c>
      <c r="AA1058">
        <v>0.99844460000000002</v>
      </c>
      <c r="AB1058">
        <v>33</v>
      </c>
      <c r="AC1058">
        <v>69.441599999999895</v>
      </c>
      <c r="AD1058">
        <v>-1.0732518737250001</v>
      </c>
      <c r="AE1058">
        <v>-3.5894000000000101</v>
      </c>
      <c r="AF1058">
        <v>3.88605324356958</v>
      </c>
      <c r="AG1058">
        <v>-1.0732518737250001</v>
      </c>
      <c r="AH1058">
        <v>69.409043192683498</v>
      </c>
      <c r="AI1058">
        <v>90.884492427296806</v>
      </c>
      <c r="AJ1058">
        <v>86.795486146865898</v>
      </c>
      <c r="AK1058">
        <v>69.526027905527002</v>
      </c>
      <c r="AL1058">
        <v>81.258949935405795</v>
      </c>
      <c r="AM1058">
        <v>87.243910054458098</v>
      </c>
      <c r="AN1058">
        <v>1.0000000230705699</v>
      </c>
    </row>
    <row r="1059" spans="1:40" x14ac:dyDescent="0.25">
      <c r="A1059" t="str">
        <f>"20190303170243994"</f>
        <v>20190303170243994</v>
      </c>
      <c r="B1059" t="str">
        <f>"1551603763986491"</f>
        <v>1551603763986491</v>
      </c>
      <c r="C1059" t="s">
        <v>40</v>
      </c>
      <c r="D1059">
        <v>4.2463959999999998</v>
      </c>
      <c r="E1059">
        <v>0.50659989999999999</v>
      </c>
      <c r="F1059" t="s">
        <v>52</v>
      </c>
      <c r="G1059">
        <v>-208.55410000000001</v>
      </c>
      <c r="H1059" s="1">
        <v>-5.6615830000000003E-6</v>
      </c>
      <c r="I1059">
        <v>364.10680000000002</v>
      </c>
      <c r="J1059">
        <v>-280.07929999999999</v>
      </c>
      <c r="K1059">
        <v>1.0736209999999999</v>
      </c>
      <c r="L1059">
        <v>367.83440000000002</v>
      </c>
      <c r="M1059">
        <v>0.99987800000000004</v>
      </c>
      <c r="N1059">
        <v>-1.501369E-2</v>
      </c>
      <c r="O1059">
        <v>4.2974989999999998E-3</v>
      </c>
      <c r="P1059">
        <v>0.98958440000000003</v>
      </c>
      <c r="Q1059">
        <v>0.13735610000000001</v>
      </c>
      <c r="R1059">
        <v>-4.3081790000000002E-2</v>
      </c>
      <c r="S1059">
        <v>3.0304869999999999</v>
      </c>
      <c r="T1059">
        <v>-4.5357939999999999E-2</v>
      </c>
      <c r="U1059">
        <v>-0.15750120000000001</v>
      </c>
      <c r="V1059">
        <v>4.733503E-2</v>
      </c>
      <c r="W1059">
        <v>0.1521952</v>
      </c>
      <c r="X1059">
        <v>0.98721630000000005</v>
      </c>
      <c r="Y1059">
        <v>5.618132E-2</v>
      </c>
      <c r="Z1059">
        <v>-8.4202840000000001E-4</v>
      </c>
      <c r="AA1059">
        <v>0.99842019999999998</v>
      </c>
      <c r="AB1059">
        <v>33</v>
      </c>
      <c r="AC1059">
        <v>71.525199999999899</v>
      </c>
      <c r="AD1059">
        <v>-1.0736266615829999</v>
      </c>
      <c r="AE1059">
        <v>-3.72759999999999</v>
      </c>
      <c r="AF1059">
        <v>4.0340732397835897</v>
      </c>
      <c r="AG1059">
        <v>-1.0736266615829999</v>
      </c>
      <c r="AH1059">
        <v>71.492453575725406</v>
      </c>
      <c r="AI1059">
        <v>90.858999455467696</v>
      </c>
      <c r="AJ1059">
        <v>86.770420952591294</v>
      </c>
      <c r="AK1059">
        <v>71.614225817149304</v>
      </c>
      <c r="AL1059">
        <v>81.245836927200202</v>
      </c>
      <c r="AM1059">
        <v>87.254885352370096</v>
      </c>
      <c r="AN1059">
        <v>1.0000000034769101</v>
      </c>
    </row>
    <row r="1060" spans="1:40" x14ac:dyDescent="0.25">
      <c r="A1060" t="str">
        <f>"20190303170244006"</f>
        <v>20190303170244006</v>
      </c>
      <c r="B1060" t="str">
        <f>"1551603763997227"</f>
        <v>1551603763997227</v>
      </c>
      <c r="C1060" t="s">
        <v>40</v>
      </c>
      <c r="D1060">
        <v>4.2521829999999996</v>
      </c>
      <c r="E1060">
        <v>0.50683449999999997</v>
      </c>
      <c r="F1060" t="s">
        <v>52</v>
      </c>
      <c r="G1060">
        <v>-202.50710000000001</v>
      </c>
      <c r="H1060" s="1">
        <v>-3.012341E-6</v>
      </c>
      <c r="I1060">
        <v>363.6995</v>
      </c>
      <c r="J1060">
        <v>-279.90969999999999</v>
      </c>
      <c r="K1060">
        <v>1.074111</v>
      </c>
      <c r="L1060">
        <v>367.83510000000001</v>
      </c>
      <c r="M1060">
        <v>0.99989430000000001</v>
      </c>
      <c r="N1060">
        <v>-1.390049E-2</v>
      </c>
      <c r="O1060">
        <v>4.3115330000000002E-3</v>
      </c>
      <c r="P1060">
        <v>0.98944500000000002</v>
      </c>
      <c r="Q1060">
        <v>0.1383432</v>
      </c>
      <c r="R1060">
        <v>-4.3126589999999999E-2</v>
      </c>
      <c r="S1060">
        <v>3.0303339999999999</v>
      </c>
      <c r="T1060">
        <v>-4.1940810000000002E-2</v>
      </c>
      <c r="U1060">
        <v>-0.16152949999999999</v>
      </c>
      <c r="V1060">
        <v>4.7391889999999999E-2</v>
      </c>
      <c r="W1060">
        <v>0.1520811</v>
      </c>
      <c r="X1060">
        <v>0.98723110000000003</v>
      </c>
      <c r="Y1060">
        <v>5.7522959999999998E-2</v>
      </c>
      <c r="Z1060">
        <v>-7.9764470000000004E-4</v>
      </c>
      <c r="AA1060">
        <v>0.99834389999999995</v>
      </c>
      <c r="AB1060">
        <v>33</v>
      </c>
      <c r="AC1060">
        <v>77.402599999999893</v>
      </c>
      <c r="AD1060">
        <v>-1.074114012341</v>
      </c>
      <c r="AE1060">
        <v>-4.1356000000000099</v>
      </c>
      <c r="AF1060">
        <v>4.4684595493379096</v>
      </c>
      <c r="AG1060">
        <v>-1.074114012341</v>
      </c>
      <c r="AH1060">
        <v>77.369191323182207</v>
      </c>
      <c r="AI1060">
        <v>90.794061299861895</v>
      </c>
      <c r="AJ1060">
        <v>86.694552844146997</v>
      </c>
      <c r="AK1060">
        <v>77.5055650754108</v>
      </c>
      <c r="AL1060">
        <v>81.252450888223294</v>
      </c>
      <c r="AM1060">
        <v>87.251634045644394</v>
      </c>
      <c r="AN1060">
        <v>0.99999994851109397</v>
      </c>
    </row>
    <row r="1061" spans="1:40" x14ac:dyDescent="0.25">
      <c r="A1061" t="str">
        <f>"20190303170244020"</f>
        <v>20190303170244020</v>
      </c>
      <c r="B1061" t="str">
        <f>"1551603764006985"</f>
        <v>1551603764006985</v>
      </c>
      <c r="C1061" t="s">
        <v>40</v>
      </c>
      <c r="D1061">
        <v>4.4249919999999996</v>
      </c>
      <c r="E1061">
        <v>0.50708549999999997</v>
      </c>
      <c r="F1061" t="s">
        <v>52</v>
      </c>
      <c r="G1061">
        <v>-197.9776</v>
      </c>
      <c r="H1061" s="1">
        <v>-9.0776480000000006E-6</v>
      </c>
      <c r="I1061">
        <v>363.4085</v>
      </c>
      <c r="J1061">
        <v>-279.7063</v>
      </c>
      <c r="K1061">
        <v>1.074776</v>
      </c>
      <c r="L1061">
        <v>367.83600000000001</v>
      </c>
      <c r="M1061">
        <v>0.99991129999999995</v>
      </c>
      <c r="N1061">
        <v>-1.259943E-2</v>
      </c>
      <c r="O1061">
        <v>4.3298360000000001E-3</v>
      </c>
      <c r="P1061">
        <v>0.98927719999999997</v>
      </c>
      <c r="Q1061">
        <v>0.139570899999999</v>
      </c>
      <c r="R1061">
        <v>-4.302081E-2</v>
      </c>
      <c r="S1061">
        <v>3.0304259999999998</v>
      </c>
      <c r="T1061">
        <v>-3.9728520000000003E-2</v>
      </c>
      <c r="U1061">
        <v>-0.16372679999999901</v>
      </c>
      <c r="V1061">
        <v>4.7302150000000001E-2</v>
      </c>
      <c r="W1061">
        <v>0.1520222</v>
      </c>
      <c r="X1061">
        <v>0.98724449999999997</v>
      </c>
      <c r="Y1061">
        <v>5.8262540000000002E-2</v>
      </c>
      <c r="Z1061">
        <v>-7.511703E-4</v>
      </c>
      <c r="AA1061">
        <v>0.99830099999999999</v>
      </c>
      <c r="AB1061">
        <v>33</v>
      </c>
      <c r="AC1061">
        <v>81.728700000000003</v>
      </c>
      <c r="AD1061">
        <v>-1.0747850776479999</v>
      </c>
      <c r="AE1061">
        <v>-4.4275000000000002</v>
      </c>
      <c r="AF1061">
        <v>4.7805341079860604</v>
      </c>
      <c r="AG1061">
        <v>-1.0747850776479999</v>
      </c>
      <c r="AH1061">
        <v>81.694675010583097</v>
      </c>
      <c r="AI1061">
        <v>90.7524597014487</v>
      </c>
      <c r="AJ1061">
        <v>86.651037170493893</v>
      </c>
      <c r="AK1061">
        <v>81.841484556461694</v>
      </c>
      <c r="AL1061">
        <v>81.255865524313506</v>
      </c>
      <c r="AM1061">
        <v>87.256867496775101</v>
      </c>
      <c r="AN1061">
        <v>0.99999997273385499</v>
      </c>
    </row>
    <row r="1062" spans="1:40" x14ac:dyDescent="0.25">
      <c r="A1062" t="str">
        <f>"20190303170244034"</f>
        <v>20190303170244034</v>
      </c>
      <c r="B1062" t="str">
        <f>"1551603764026505"</f>
        <v>1551603764026505</v>
      </c>
      <c r="C1062" t="s">
        <v>40</v>
      </c>
      <c r="D1062">
        <v>4.3033060000000001</v>
      </c>
      <c r="E1062">
        <v>0.50757799999999997</v>
      </c>
      <c r="F1062" t="s">
        <v>52</v>
      </c>
      <c r="G1062">
        <v>-190.0351</v>
      </c>
      <c r="H1062" s="1">
        <v>-6.3394769999999996E-6</v>
      </c>
      <c r="I1062">
        <v>362.94619999999998</v>
      </c>
      <c r="J1062">
        <v>-279.48840000000001</v>
      </c>
      <c r="K1062">
        <v>1.075636</v>
      </c>
      <c r="L1062">
        <v>367.83699999999999</v>
      </c>
      <c r="M1062">
        <v>0.9999268</v>
      </c>
      <c r="N1062">
        <v>-1.128845E-2</v>
      </c>
      <c r="O1062">
        <v>4.3519830000000002E-3</v>
      </c>
      <c r="P1062">
        <v>0.98906879999999997</v>
      </c>
      <c r="Q1062">
        <v>0.14108970000000001</v>
      </c>
      <c r="R1062">
        <v>-4.2857369999999999E-2</v>
      </c>
      <c r="S1062">
        <v>3.0304570000000002</v>
      </c>
      <c r="T1062">
        <v>-3.6322470000000003E-2</v>
      </c>
      <c r="U1062">
        <v>-0.1652527</v>
      </c>
      <c r="V1062">
        <v>4.7158270000000002E-2</v>
      </c>
      <c r="W1062">
        <v>0.15224470000000001</v>
      </c>
      <c r="X1062">
        <v>0.98721709999999996</v>
      </c>
      <c r="Y1062">
        <v>5.878684E-2</v>
      </c>
      <c r="Z1062">
        <v>-6.8714799999999995E-4</v>
      </c>
      <c r="AA1062">
        <v>0.99827030000000005</v>
      </c>
      <c r="AB1062">
        <v>33</v>
      </c>
      <c r="AC1062">
        <v>89.453299999999999</v>
      </c>
      <c r="AD1062">
        <v>-1.0756423394769901</v>
      </c>
      <c r="AE1062">
        <v>-4.8908000000000103</v>
      </c>
      <c r="AF1062">
        <v>5.27931666115279</v>
      </c>
      <c r="AG1062">
        <v>-1.0756423394769901</v>
      </c>
      <c r="AH1062">
        <v>89.418276143775998</v>
      </c>
      <c r="AI1062">
        <v>90.687998890019401</v>
      </c>
      <c r="AJ1062">
        <v>86.621140053144302</v>
      </c>
      <c r="AK1062">
        <v>89.580445965488394</v>
      </c>
      <c r="AL1062">
        <v>81.242967110597803</v>
      </c>
      <c r="AM1062">
        <v>87.265122868672094</v>
      </c>
      <c r="AN1062">
        <v>0.99999997681994601</v>
      </c>
    </row>
    <row r="1063" spans="1:40" x14ac:dyDescent="0.25">
      <c r="A1063" t="str">
        <f>"20190303170244051"</f>
        <v>20190303170244051</v>
      </c>
      <c r="B1063" t="str">
        <f>"1551603764036266"</f>
        <v>1551603764036266</v>
      </c>
      <c r="C1063" t="s">
        <v>40</v>
      </c>
      <c r="D1063">
        <v>4.2591970000000003</v>
      </c>
      <c r="E1063">
        <v>0.50781849999999995</v>
      </c>
      <c r="F1063" t="s">
        <v>52</v>
      </c>
      <c r="G1063">
        <v>-180</v>
      </c>
      <c r="H1063">
        <v>1.4788610000000001E-2</v>
      </c>
      <c r="I1063">
        <v>362.30259999999998</v>
      </c>
      <c r="J1063">
        <v>-279.25110000000001</v>
      </c>
      <c r="K1063">
        <v>1.076719</v>
      </c>
      <c r="L1063">
        <v>367.83800000000002</v>
      </c>
      <c r="M1063">
        <v>0.99994079999999996</v>
      </c>
      <c r="N1063">
        <v>-9.9657809999999999E-3</v>
      </c>
      <c r="O1063">
        <v>4.3845250000000002E-3</v>
      </c>
      <c r="P1063">
        <v>0.98885520000000005</v>
      </c>
      <c r="Q1063">
        <v>0.1425691</v>
      </c>
      <c r="R1063">
        <v>-4.2893460000000001E-2</v>
      </c>
      <c r="S1063">
        <v>3.0304570000000002</v>
      </c>
      <c r="T1063">
        <v>-3.231382E-2</v>
      </c>
      <c r="U1063">
        <v>-0.16857910000000001</v>
      </c>
      <c r="V1063">
        <v>4.7224339999999997E-2</v>
      </c>
      <c r="W1063">
        <v>0.1524162</v>
      </c>
      <c r="X1063">
        <v>0.9871875</v>
      </c>
      <c r="Y1063">
        <v>5.9913279999999999E-2</v>
      </c>
      <c r="Z1063">
        <v>-6.2102309999999999E-4</v>
      </c>
      <c r="AA1063">
        <v>0.99820339999999996</v>
      </c>
      <c r="AB1063">
        <v>33</v>
      </c>
      <c r="AC1063">
        <v>99.251099999999994</v>
      </c>
      <c r="AD1063">
        <v>-1.0619303899999999</v>
      </c>
      <c r="AE1063">
        <v>-5.5354000000000303</v>
      </c>
      <c r="AF1063">
        <v>5.96985600016873</v>
      </c>
      <c r="AG1063">
        <v>-1.0619303899999999</v>
      </c>
      <c r="AH1063">
        <v>99.214551943905093</v>
      </c>
      <c r="AI1063">
        <v>90.612127661803598</v>
      </c>
      <c r="AJ1063">
        <v>86.556597409640901</v>
      </c>
      <c r="AK1063">
        <v>99.3996689845887</v>
      </c>
      <c r="AL1063">
        <v>81.233025043447697</v>
      </c>
      <c r="AM1063">
        <v>87.261215069374103</v>
      </c>
      <c r="AN1063">
        <v>0.999999998233562</v>
      </c>
    </row>
    <row r="1064" spans="1:40" x14ac:dyDescent="0.25">
      <c r="A1064" t="str">
        <f>"20190303170244067"</f>
        <v>20190303170244067</v>
      </c>
      <c r="B1064" t="str">
        <f>"1551603764056762"</f>
        <v>1551603764056762</v>
      </c>
      <c r="C1064" t="s">
        <v>40</v>
      </c>
      <c r="D1064">
        <v>4.268891</v>
      </c>
      <c r="E1064">
        <v>0.50824269999999905</v>
      </c>
      <c r="F1064" t="s">
        <v>44</v>
      </c>
      <c r="G1064">
        <v>-157.7704</v>
      </c>
      <c r="H1064">
        <v>-0.05</v>
      </c>
      <c r="I1064">
        <v>360.99590000000001</v>
      </c>
      <c r="J1064">
        <v>-279.024</v>
      </c>
      <c r="K1064">
        <v>1.0778080000000001</v>
      </c>
      <c r="L1064">
        <v>367.83909999999997</v>
      </c>
      <c r="M1064">
        <v>0.99995210000000001</v>
      </c>
      <c r="N1064">
        <v>-8.7323360000000003E-3</v>
      </c>
      <c r="O1064">
        <v>4.4170320000000004E-3</v>
      </c>
      <c r="P1064">
        <v>0.98868860000000003</v>
      </c>
      <c r="Q1064">
        <v>0.1437677</v>
      </c>
      <c r="R1064">
        <v>-4.2730799999999999E-2</v>
      </c>
      <c r="S1064">
        <v>3.0304869999999999</v>
      </c>
      <c r="T1064">
        <v>-2.8107400000000001E-2</v>
      </c>
      <c r="U1064">
        <v>-0.1706848</v>
      </c>
      <c r="V1064">
        <v>4.7091800000000003E-2</v>
      </c>
      <c r="W1064">
        <v>0.152395899999999</v>
      </c>
      <c r="X1064">
        <v>0.98719699999999999</v>
      </c>
      <c r="Y1064">
        <v>6.0638060000000001E-2</v>
      </c>
      <c r="Z1064">
        <v>-5.483536E-4</v>
      </c>
      <c r="AA1064">
        <v>0.99815960000000004</v>
      </c>
      <c r="AB1064">
        <v>33</v>
      </c>
      <c r="AC1064">
        <v>121.25360000000001</v>
      </c>
      <c r="AD1064">
        <v>-1.1278079999999999</v>
      </c>
      <c r="AE1064">
        <v>-6.8431999999999604</v>
      </c>
      <c r="AF1064">
        <v>7.3780984257978197</v>
      </c>
      <c r="AG1064">
        <v>-1.1278079999999999</v>
      </c>
      <c r="AH1064">
        <v>121.211736189546</v>
      </c>
      <c r="AI1064">
        <v>90.532105295070295</v>
      </c>
      <c r="AJ1064">
        <v>86.516731947864798</v>
      </c>
      <c r="AK1064">
        <v>121.44131618748899</v>
      </c>
      <c r="AL1064">
        <v>81.2342021975427</v>
      </c>
      <c r="AM1064">
        <v>87.268916340631904</v>
      </c>
      <c r="AN1064">
        <v>1.0000000323865199</v>
      </c>
    </row>
    <row r="1065" spans="1:40" x14ac:dyDescent="0.25">
      <c r="A1065" t="str">
        <f>"20190303170244080"</f>
        <v>20190303170244080</v>
      </c>
      <c r="B1065" t="str">
        <f>"1551603764066522"</f>
        <v>1551603764066522</v>
      </c>
      <c r="C1065" t="s">
        <v>40</v>
      </c>
      <c r="D1065">
        <v>4.4229890000000003</v>
      </c>
      <c r="E1065">
        <v>0.50842579999999904</v>
      </c>
      <c r="F1065" t="s">
        <v>41</v>
      </c>
      <c r="G1065">
        <v>-158.19499999999999</v>
      </c>
      <c r="H1065">
        <v>0.10596609999999999</v>
      </c>
      <c r="I1065">
        <v>360.91289999999998</v>
      </c>
      <c r="J1065">
        <v>-278.8091</v>
      </c>
      <c r="K1065">
        <v>1.078857</v>
      </c>
      <c r="L1065">
        <v>367.84</v>
      </c>
      <c r="M1065">
        <v>0.99996130000000005</v>
      </c>
      <c r="N1065">
        <v>-7.5953560000000002E-3</v>
      </c>
      <c r="O1065">
        <v>4.4488110000000004E-3</v>
      </c>
      <c r="P1065">
        <v>0.98853020000000003</v>
      </c>
      <c r="Q1065">
        <v>0.144835299999999</v>
      </c>
      <c r="R1065">
        <v>-4.2789430000000003E-2</v>
      </c>
      <c r="S1065">
        <v>3.0303339999999999</v>
      </c>
      <c r="T1065">
        <v>-2.4371150000000001E-2</v>
      </c>
      <c r="U1065">
        <v>-0.1737061</v>
      </c>
      <c r="V1065">
        <v>4.7180380000000001E-2</v>
      </c>
      <c r="W1065">
        <v>0.1523399</v>
      </c>
      <c r="X1065">
        <v>0.98720140000000001</v>
      </c>
      <c r="Y1065">
        <v>6.1665669999999999E-2</v>
      </c>
      <c r="Z1065">
        <v>-4.8413969999999999E-4</v>
      </c>
      <c r="AA1065">
        <v>0.99809680000000001</v>
      </c>
      <c r="AB1065">
        <v>33</v>
      </c>
      <c r="AC1065">
        <v>120.61409999999999</v>
      </c>
      <c r="AD1065">
        <v>-0.9728909</v>
      </c>
      <c r="AE1065">
        <v>-6.9270999999999896</v>
      </c>
      <c r="AF1065">
        <v>7.4631522599314897</v>
      </c>
      <c r="AG1065">
        <v>-0.9728909</v>
      </c>
      <c r="AH1065">
        <v>120.57426898921599</v>
      </c>
      <c r="AI1065">
        <v>90.461415735864705</v>
      </c>
      <c r="AJ1065">
        <v>86.458097582802097</v>
      </c>
      <c r="AK1065">
        <v>120.80893799981099</v>
      </c>
      <c r="AL1065">
        <v>81.237448547167403</v>
      </c>
      <c r="AM1065">
        <v>87.263799130159001</v>
      </c>
      <c r="AN1065">
        <v>1.0000000187754501</v>
      </c>
    </row>
    <row r="1066" spans="1:40" x14ac:dyDescent="0.25">
      <c r="A1066" t="str">
        <f>"20190303170244092"</f>
        <v>20190303170244092</v>
      </c>
      <c r="B1066" t="str">
        <f>"1551603764087018"</f>
        <v>1551603764087018</v>
      </c>
      <c r="C1066" t="s">
        <v>40</v>
      </c>
      <c r="D1066">
        <v>4.3205249999999999</v>
      </c>
      <c r="E1066">
        <v>0.50880590000000003</v>
      </c>
      <c r="F1066" t="s">
        <v>41</v>
      </c>
      <c r="G1066">
        <v>-158.19499999999999</v>
      </c>
      <c r="H1066">
        <v>0.2187653</v>
      </c>
      <c r="I1066">
        <v>360.86810000000003</v>
      </c>
      <c r="J1066">
        <v>-278.62209999999999</v>
      </c>
      <c r="K1066">
        <v>1.0797779999999999</v>
      </c>
      <c r="L1066">
        <v>367.84089999999998</v>
      </c>
      <c r="M1066">
        <v>0.99996810000000003</v>
      </c>
      <c r="N1066">
        <v>-6.6316099999999996E-3</v>
      </c>
      <c r="O1066">
        <v>4.477455E-3</v>
      </c>
      <c r="P1066">
        <v>0.98842220000000003</v>
      </c>
      <c r="Q1066">
        <v>0.145589</v>
      </c>
      <c r="R1066">
        <v>-4.2724989999999997E-2</v>
      </c>
      <c r="S1066">
        <v>3.0304570000000002</v>
      </c>
      <c r="T1066">
        <v>-2.160776E-2</v>
      </c>
      <c r="U1066">
        <v>-0.17517089999999999</v>
      </c>
      <c r="V1066">
        <v>4.7143400000000002E-2</v>
      </c>
      <c r="W1066">
        <v>0.15214150000000001</v>
      </c>
      <c r="X1066">
        <v>0.98723380000000005</v>
      </c>
      <c r="Y1066">
        <v>6.2173600000000002E-2</v>
      </c>
      <c r="Z1066">
        <v>-4.300339E-4</v>
      </c>
      <c r="AA1066">
        <v>0.99806519999999999</v>
      </c>
      <c r="AB1066">
        <v>33</v>
      </c>
      <c r="AC1066">
        <v>120.4271</v>
      </c>
      <c r="AD1066">
        <v>-0.86101269999999996</v>
      </c>
      <c r="AE1066">
        <v>-6.9727999999999497</v>
      </c>
      <c r="AF1066">
        <v>7.5115661291173899</v>
      </c>
      <c r="AG1066">
        <v>-0.86101269999999996</v>
      </c>
      <c r="AH1066">
        <v>120.38853830866999</v>
      </c>
      <c r="AI1066">
        <v>90.408974233534096</v>
      </c>
      <c r="AJ1066">
        <v>86.429694682865801</v>
      </c>
      <c r="AK1066">
        <v>120.625723312566</v>
      </c>
      <c r="AL1066">
        <v>81.248950426585594</v>
      </c>
      <c r="AM1066">
        <v>87.266030102933101</v>
      </c>
      <c r="AN1066">
        <v>1.00000005602412</v>
      </c>
    </row>
    <row r="1067" spans="1:40" x14ac:dyDescent="0.25">
      <c r="A1067" t="str">
        <f>"20190303170244104"</f>
        <v>20190303170244104</v>
      </c>
      <c r="B1067" t="str">
        <f>"1551603764096778"</f>
        <v>1551603764096778</v>
      </c>
      <c r="C1067" t="s">
        <v>40</v>
      </c>
      <c r="D1067">
        <v>4.376169</v>
      </c>
      <c r="E1067">
        <v>0.50898409999999905</v>
      </c>
      <c r="F1067" t="s">
        <v>41</v>
      </c>
      <c r="G1067">
        <v>-158.19499999999999</v>
      </c>
      <c r="H1067">
        <v>0.29444930000000002</v>
      </c>
      <c r="I1067">
        <v>360.75580000000002</v>
      </c>
      <c r="J1067">
        <v>-278.45800000000003</v>
      </c>
      <c r="K1067">
        <v>1.0806770000000001</v>
      </c>
      <c r="L1067">
        <v>367.8417</v>
      </c>
      <c r="M1067">
        <v>0.9999711</v>
      </c>
      <c r="N1067">
        <v>-6.1529410000000003E-3</v>
      </c>
      <c r="O1067">
        <v>4.503717E-3</v>
      </c>
      <c r="P1067">
        <v>0.98835439999999997</v>
      </c>
      <c r="Q1067">
        <v>0.14599319999999999</v>
      </c>
      <c r="R1067">
        <v>-4.2916749999999997E-2</v>
      </c>
      <c r="S1067">
        <v>3.0303339999999999</v>
      </c>
      <c r="T1067">
        <v>-1.9759180000000001E-2</v>
      </c>
      <c r="U1067">
        <v>-0.17828369999999999</v>
      </c>
      <c r="V1067">
        <v>4.7360810000000003E-2</v>
      </c>
      <c r="W1067">
        <v>0.15207309999999999</v>
      </c>
      <c r="X1067">
        <v>0.9872339</v>
      </c>
      <c r="Y1067">
        <v>6.3224279999999994E-2</v>
      </c>
      <c r="Z1067">
        <v>-4.0228189999999997E-4</v>
      </c>
      <c r="AA1067">
        <v>0.99799930000000003</v>
      </c>
      <c r="AB1067">
        <v>33</v>
      </c>
      <c r="AC1067">
        <v>120.262999999999</v>
      </c>
      <c r="AD1067">
        <v>-0.78622769999999997</v>
      </c>
      <c r="AE1067">
        <v>-7.0858999999999801</v>
      </c>
      <c r="AF1067">
        <v>7.6271439563636196</v>
      </c>
      <c r="AG1067">
        <v>-0.78622769999999997</v>
      </c>
      <c r="AH1067">
        <v>120.22474617925801</v>
      </c>
      <c r="AI1067">
        <v>90.373937253712896</v>
      </c>
      <c r="AJ1067">
        <v>86.3699794628549</v>
      </c>
      <c r="AK1067">
        <v>120.469004614441</v>
      </c>
      <c r="AL1067">
        <v>81.2529153113896</v>
      </c>
      <c r="AM1067">
        <v>87.253441464235095</v>
      </c>
      <c r="AN1067">
        <v>1.00000002368833</v>
      </c>
    </row>
    <row r="1068" spans="1:40" x14ac:dyDescent="0.25">
      <c r="A1068" t="str">
        <f>"20190303170244115"</f>
        <v>20190303170244115</v>
      </c>
      <c r="B1068" t="str">
        <f>"1551603764106537"</f>
        <v>1551603764106537</v>
      </c>
      <c r="C1068" t="s">
        <v>40</v>
      </c>
      <c r="D1068">
        <v>4.3053480000000004</v>
      </c>
      <c r="E1068">
        <v>0.50916890000000004</v>
      </c>
      <c r="F1068" t="s">
        <v>41</v>
      </c>
      <c r="G1068">
        <v>-158.19499999999999</v>
      </c>
      <c r="H1068">
        <v>0.3354125</v>
      </c>
      <c r="I1068">
        <v>360.69709999999998</v>
      </c>
      <c r="J1068">
        <v>-278.298</v>
      </c>
      <c r="K1068">
        <v>1.0815680000000001</v>
      </c>
      <c r="L1068">
        <v>367.8424</v>
      </c>
      <c r="M1068">
        <v>0.99997309999999995</v>
      </c>
      <c r="N1068">
        <v>-5.7673869999999997E-3</v>
      </c>
      <c r="O1068">
        <v>4.5300740000000003E-3</v>
      </c>
      <c r="P1068">
        <v>0.98829840000000002</v>
      </c>
      <c r="Q1068">
        <v>0.14627599999999999</v>
      </c>
      <c r="R1068">
        <v>-4.3241120000000001E-2</v>
      </c>
      <c r="S1068">
        <v>3.0303040000000001</v>
      </c>
      <c r="T1068">
        <v>-1.8776419999999999E-2</v>
      </c>
      <c r="U1068">
        <v>-0.18002319999999999</v>
      </c>
      <c r="V1068">
        <v>4.771077E-2</v>
      </c>
      <c r="W1068">
        <v>0.15197459999999999</v>
      </c>
      <c r="X1068">
        <v>0.9872322</v>
      </c>
      <c r="Y1068">
        <v>6.3822299999999998E-2</v>
      </c>
      <c r="Z1068">
        <v>-3.837054E-4</v>
      </c>
      <c r="AA1068">
        <v>0.99796119999999999</v>
      </c>
      <c r="AB1068">
        <v>33</v>
      </c>
      <c r="AC1068">
        <v>120.10299999999999</v>
      </c>
      <c r="AD1068">
        <v>-0.74615549999999997</v>
      </c>
      <c r="AE1068">
        <v>-7.1453000000000104</v>
      </c>
      <c r="AF1068">
        <v>7.6890154869577403</v>
      </c>
      <c r="AG1068">
        <v>-0.74615549999999997</v>
      </c>
      <c r="AH1068">
        <v>120.064780556607</v>
      </c>
      <c r="AI1068">
        <v>90.355338312798096</v>
      </c>
      <c r="AJ1068">
        <v>86.335750134335797</v>
      </c>
      <c r="AK1068">
        <v>120.313046829074</v>
      </c>
      <c r="AL1068">
        <v>81.258625163946803</v>
      </c>
      <c r="AM1068">
        <v>87.233173170712604</v>
      </c>
      <c r="AN1068">
        <v>1.0000000066679899</v>
      </c>
    </row>
    <row r="1069" spans="1:40" x14ac:dyDescent="0.25">
      <c r="A1069" t="str">
        <f>"20190303170244126"</f>
        <v>20190303170244126</v>
      </c>
      <c r="B1069" t="str">
        <f>"1551603764116298"</f>
        <v>1551603764116298</v>
      </c>
      <c r="C1069" t="s">
        <v>40</v>
      </c>
      <c r="D1069">
        <v>4.3731239999999998</v>
      </c>
      <c r="E1069">
        <v>0.50933649999999997</v>
      </c>
      <c r="F1069" t="s">
        <v>41</v>
      </c>
      <c r="G1069">
        <v>-158.19499999999999</v>
      </c>
      <c r="H1069">
        <v>0.35776999999999998</v>
      </c>
      <c r="I1069">
        <v>360.61290000000002</v>
      </c>
      <c r="J1069">
        <v>-278.13600000000002</v>
      </c>
      <c r="K1069">
        <v>1.0827199999999999</v>
      </c>
      <c r="L1069">
        <v>367.84320000000002</v>
      </c>
      <c r="M1069">
        <v>0.9999728</v>
      </c>
      <c r="N1069">
        <v>-5.8282430000000003E-3</v>
      </c>
      <c r="O1069">
        <v>4.5578520000000003E-3</v>
      </c>
      <c r="P1069">
        <v>0.98827730000000003</v>
      </c>
      <c r="Q1069">
        <v>0.146343899999999</v>
      </c>
      <c r="R1069">
        <v>-4.3493579999999997E-2</v>
      </c>
      <c r="S1069">
        <v>3.0302120000000001</v>
      </c>
      <c r="T1069">
        <v>-1.8259290000000001E-2</v>
      </c>
      <c r="U1069">
        <v>-0.1824036</v>
      </c>
      <c r="V1069">
        <v>4.79908E-2</v>
      </c>
      <c r="W1069">
        <v>0.1521024</v>
      </c>
      <c r="X1069">
        <v>0.98719889999999999</v>
      </c>
      <c r="Y1069">
        <v>6.4632980000000007E-2</v>
      </c>
      <c r="Z1069">
        <v>-3.8397730000000002E-4</v>
      </c>
      <c r="AA1069">
        <v>0.99790900000000005</v>
      </c>
      <c r="AB1069">
        <v>33</v>
      </c>
      <c r="AC1069">
        <v>119.94099999999899</v>
      </c>
      <c r="AD1069">
        <v>-0.72494999999999998</v>
      </c>
      <c r="AE1069">
        <v>-7.2302999999999997</v>
      </c>
      <c r="AF1069">
        <v>7.7766243421111296</v>
      </c>
      <c r="AG1069">
        <v>-0.72494999999999998</v>
      </c>
      <c r="AH1069">
        <v>119.90243444282</v>
      </c>
      <c r="AI1069">
        <v>90.345689262958501</v>
      </c>
      <c r="AJ1069">
        <v>86.289111560280205</v>
      </c>
      <c r="AK1069">
        <v>120.156544657274</v>
      </c>
      <c r="AL1069">
        <v>81.251216247194293</v>
      </c>
      <c r="AM1069">
        <v>87.216865493017806</v>
      </c>
      <c r="AN1069">
        <v>0.99999996256580403</v>
      </c>
    </row>
    <row r="1070" spans="1:40" x14ac:dyDescent="0.25">
      <c r="A1070" t="str">
        <f>"20190303170244137"</f>
        <v>20190303170244137</v>
      </c>
      <c r="B1070" t="str">
        <f>"1551603764127034"</f>
        <v>1551603764127034</v>
      </c>
      <c r="C1070" t="s">
        <v>40</v>
      </c>
      <c r="D1070">
        <v>4.3019280000000002</v>
      </c>
      <c r="E1070">
        <v>0.50947989999999999</v>
      </c>
      <c r="F1070" t="s">
        <v>41</v>
      </c>
      <c r="G1070">
        <v>-158.19499999999999</v>
      </c>
      <c r="H1070">
        <v>0.36071589999999998</v>
      </c>
      <c r="I1070">
        <v>360.54230000000001</v>
      </c>
      <c r="J1070">
        <v>-277.9776</v>
      </c>
      <c r="K1070">
        <v>1.0838719999999999</v>
      </c>
      <c r="L1070">
        <v>367.84390000000002</v>
      </c>
      <c r="M1070">
        <v>0.99997219999999998</v>
      </c>
      <c r="N1070">
        <v>-5.8914049999999997E-3</v>
      </c>
      <c r="O1070">
        <v>4.5849080000000004E-3</v>
      </c>
      <c r="P1070">
        <v>0.98828550000000004</v>
      </c>
      <c r="Q1070">
        <v>0.14618210000000001</v>
      </c>
      <c r="R1070">
        <v>-4.3845719999999998E-2</v>
      </c>
      <c r="S1070">
        <v>3.0301819999999999</v>
      </c>
      <c r="T1070">
        <v>-1.823843E-2</v>
      </c>
      <c r="U1070">
        <v>-0.18444820000000001</v>
      </c>
      <c r="V1070">
        <v>4.8369740000000001E-2</v>
      </c>
      <c r="W1070">
        <v>0.1520029</v>
      </c>
      <c r="X1070">
        <v>0.98719579999999996</v>
      </c>
      <c r="Y1070">
        <v>6.5331440000000005E-2</v>
      </c>
      <c r="Z1070">
        <v>-3.8964419999999999E-4</v>
      </c>
      <c r="AA1070">
        <v>0.99786350000000001</v>
      </c>
      <c r="AB1070">
        <v>33</v>
      </c>
      <c r="AC1070">
        <v>119.7826</v>
      </c>
      <c r="AD1070">
        <v>-0.72315609999999997</v>
      </c>
      <c r="AE1070">
        <v>-7.3015999999999996</v>
      </c>
      <c r="AF1070">
        <v>7.8504398727811999</v>
      </c>
      <c r="AG1070">
        <v>-0.72315609999999997</v>
      </c>
      <c r="AH1070">
        <v>119.743514925033</v>
      </c>
      <c r="AI1070">
        <v>90.345275760466606</v>
      </c>
      <c r="AJ1070">
        <v>86.249030322644799</v>
      </c>
      <c r="AK1070">
        <v>120.00275716642</v>
      </c>
      <c r="AL1070">
        <v>81.256984843616294</v>
      </c>
      <c r="AM1070">
        <v>87.194915760788703</v>
      </c>
      <c r="AN1070">
        <v>1.0000000304468499</v>
      </c>
    </row>
    <row r="1071" spans="1:40" x14ac:dyDescent="0.25">
      <c r="A1071" t="str">
        <f>"20190303170244148"</f>
        <v>20190303170244148</v>
      </c>
      <c r="B1071" t="str">
        <f>"1551603764136794"</f>
        <v>1551603764136794</v>
      </c>
      <c r="C1071" t="s">
        <v>40</v>
      </c>
      <c r="D1071">
        <v>4.3278309999999998</v>
      </c>
      <c r="E1071">
        <v>0.50962819999999998</v>
      </c>
      <c r="F1071" t="s">
        <v>41</v>
      </c>
      <c r="G1071">
        <v>-158.19499999999999</v>
      </c>
      <c r="H1071">
        <v>0.32938770000000001</v>
      </c>
      <c r="I1071">
        <v>360.4667</v>
      </c>
      <c r="J1071">
        <v>-277.80610000000001</v>
      </c>
      <c r="K1071">
        <v>1.085243</v>
      </c>
      <c r="L1071">
        <v>367.84469999999999</v>
      </c>
      <c r="M1071">
        <v>0.99997159999999996</v>
      </c>
      <c r="N1071">
        <v>-5.9773739999999997E-3</v>
      </c>
      <c r="O1071">
        <v>4.6141029999999996E-3</v>
      </c>
      <c r="P1071">
        <v>0.98830099999999999</v>
      </c>
      <c r="Q1071">
        <v>0.1459713</v>
      </c>
      <c r="R1071">
        <v>-4.4201629999999999E-2</v>
      </c>
      <c r="S1071">
        <v>3.0300289999999999</v>
      </c>
      <c r="T1071">
        <v>-1.9083260000000001E-2</v>
      </c>
      <c r="U1071">
        <v>-0.186615</v>
      </c>
      <c r="V1071">
        <v>4.875409E-2</v>
      </c>
      <c r="W1071">
        <v>0.15187709999999999</v>
      </c>
      <c r="X1071">
        <v>0.98719619999999997</v>
      </c>
      <c r="Y1071">
        <v>6.6074279999999999E-2</v>
      </c>
      <c r="Z1071">
        <v>-4.070179E-4</v>
      </c>
      <c r="AA1071">
        <v>0.9978146</v>
      </c>
      <c r="AB1071">
        <v>33</v>
      </c>
      <c r="AC1071">
        <v>119.61109999999999</v>
      </c>
      <c r="AD1071">
        <v>-0.75585529999999901</v>
      </c>
      <c r="AE1071">
        <v>-7.3779999999999797</v>
      </c>
      <c r="AF1071">
        <v>7.9295137417232402</v>
      </c>
      <c r="AG1071">
        <v>-0.75585529999999901</v>
      </c>
      <c r="AH1071">
        <v>119.57102647690699</v>
      </c>
      <c r="AI1071">
        <v>90.361390464491095</v>
      </c>
      <c r="AJ1071">
        <v>86.205908626456804</v>
      </c>
      <c r="AK1071">
        <v>119.836049993964</v>
      </c>
      <c r="AL1071">
        <v>81.264276841208201</v>
      </c>
      <c r="AM1071">
        <v>87.172663494831497</v>
      </c>
      <c r="AN1071">
        <v>0.99999997604528801</v>
      </c>
    </row>
    <row r="1072" spans="1:40" x14ac:dyDescent="0.25">
      <c r="A1072" t="str">
        <f>"20190303170244160"</f>
        <v>20190303170244160</v>
      </c>
      <c r="B1072" t="str">
        <f>"1551603764146554"</f>
        <v>1551603764146554</v>
      </c>
      <c r="C1072" t="s">
        <v>40</v>
      </c>
      <c r="D1072">
        <v>4.3080259999999999</v>
      </c>
      <c r="E1072">
        <v>0.5097952</v>
      </c>
      <c r="F1072" t="s">
        <v>41</v>
      </c>
      <c r="G1072">
        <v>-158.19499999999999</v>
      </c>
      <c r="H1072">
        <v>0.29874420000000002</v>
      </c>
      <c r="I1072">
        <v>360.38760000000002</v>
      </c>
      <c r="J1072">
        <v>-277.64449999999999</v>
      </c>
      <c r="K1072">
        <v>1.086562</v>
      </c>
      <c r="L1072">
        <v>367.84550000000002</v>
      </c>
      <c r="M1072">
        <v>0.99997130000000001</v>
      </c>
      <c r="N1072">
        <v>-5.994531E-3</v>
      </c>
      <c r="O1072">
        <v>4.6414759999999899E-3</v>
      </c>
      <c r="P1072">
        <v>0.98831720000000001</v>
      </c>
      <c r="Q1072">
        <v>0.1458323</v>
      </c>
      <c r="R1072">
        <v>-4.4295910000000001E-2</v>
      </c>
      <c r="S1072">
        <v>3.0299990000000001</v>
      </c>
      <c r="T1072">
        <v>-1.9921419999999999E-2</v>
      </c>
      <c r="U1072">
        <v>-0.18890380000000001</v>
      </c>
      <c r="V1072">
        <v>4.8875200000000001E-2</v>
      </c>
      <c r="W1072">
        <v>0.15175549999999999</v>
      </c>
      <c r="X1072">
        <v>0.987209</v>
      </c>
      <c r="Y1072">
        <v>6.6852839999999997E-2</v>
      </c>
      <c r="Z1072">
        <v>-4.2282190000000002E-4</v>
      </c>
      <c r="AA1072">
        <v>0.9977627</v>
      </c>
      <c r="AB1072">
        <v>33</v>
      </c>
      <c r="AC1072">
        <v>119.4495</v>
      </c>
      <c r="AD1072">
        <v>-0.78781780000000001</v>
      </c>
      <c r="AE1072">
        <v>-7.4578999999999898</v>
      </c>
      <c r="AF1072">
        <v>8.0119044307247798</v>
      </c>
      <c r="AG1072">
        <v>-0.78781780000000001</v>
      </c>
      <c r="AH1072">
        <v>119.40842297323999</v>
      </c>
      <c r="AI1072">
        <v>90.377165353498796</v>
      </c>
      <c r="AJ1072">
        <v>86.161398996700996</v>
      </c>
      <c r="AK1072">
        <v>119.679500109456</v>
      </c>
      <c r="AL1072">
        <v>81.271326481303305</v>
      </c>
      <c r="AM1072">
        <v>87.165688238489494</v>
      </c>
      <c r="AN1072">
        <v>1.0000000633181401</v>
      </c>
    </row>
    <row r="1073" spans="1:40" x14ac:dyDescent="0.25">
      <c r="A1073" t="str">
        <f>"20190303170244169"</f>
        <v>20190303170244169</v>
      </c>
      <c r="B1073" t="str">
        <f>"1551603764156314"</f>
        <v>1551603764156314</v>
      </c>
      <c r="C1073" t="s">
        <v>40</v>
      </c>
      <c r="D1073">
        <v>4.30267</v>
      </c>
      <c r="E1073">
        <v>0.5099515</v>
      </c>
      <c r="F1073" t="s">
        <v>41</v>
      </c>
      <c r="G1073">
        <v>-158.19499999999999</v>
      </c>
      <c r="H1073">
        <v>0.27690700000000001</v>
      </c>
      <c r="I1073">
        <v>360.34179999999998</v>
      </c>
      <c r="J1073">
        <v>-277.4898</v>
      </c>
      <c r="K1073">
        <v>1.087858</v>
      </c>
      <c r="L1073">
        <v>367.84620000000001</v>
      </c>
      <c r="M1073">
        <v>0.99997139999999995</v>
      </c>
      <c r="N1073">
        <v>-5.9327980000000004E-3</v>
      </c>
      <c r="O1073">
        <v>4.6677139999999999E-3</v>
      </c>
      <c r="P1073">
        <v>0.98834069999999996</v>
      </c>
      <c r="Q1073">
        <v>0.14560290000000001</v>
      </c>
      <c r="R1073">
        <v>-4.4521409999999997E-2</v>
      </c>
      <c r="S1073">
        <v>3.029938</v>
      </c>
      <c r="T1073">
        <v>-2.0535350000000001E-2</v>
      </c>
      <c r="U1073">
        <v>-0.19033810000000001</v>
      </c>
      <c r="V1073">
        <v>4.9126509999999998E-2</v>
      </c>
      <c r="W1073">
        <v>0.15146560000000001</v>
      </c>
      <c r="X1073">
        <v>0.98724100000000004</v>
      </c>
      <c r="Y1073">
        <v>6.7350599999999997E-2</v>
      </c>
      <c r="Z1073">
        <v>-4.3193829999999998E-4</v>
      </c>
      <c r="AA1073">
        <v>0.99772930000000004</v>
      </c>
      <c r="AB1073">
        <v>33</v>
      </c>
      <c r="AC1073">
        <v>119.2948</v>
      </c>
      <c r="AD1073">
        <v>-0.81095099999999998</v>
      </c>
      <c r="AE1073">
        <v>-7.5044000000000297</v>
      </c>
      <c r="AF1073">
        <v>8.0607910832579002</v>
      </c>
      <c r="AG1073">
        <v>-0.81095099999999998</v>
      </c>
      <c r="AH1073">
        <v>119.25298227411</v>
      </c>
      <c r="AI1073">
        <v>90.388733042400304</v>
      </c>
      <c r="AJ1073">
        <v>86.133028857620701</v>
      </c>
      <c r="AK1073">
        <v>119.527853555904</v>
      </c>
      <c r="AL1073">
        <v>81.288130372851299</v>
      </c>
      <c r="AM1073">
        <v>87.151230708131905</v>
      </c>
      <c r="AN1073">
        <v>1.00000001702457</v>
      </c>
    </row>
    <row r="1074" spans="1:40" x14ac:dyDescent="0.25">
      <c r="A1074" t="str">
        <f>"20190303170244181"</f>
        <v>20190303170244181</v>
      </c>
      <c r="B1074" t="str">
        <f>"1551603764176811"</f>
        <v>1551603764176811</v>
      </c>
      <c r="C1074" t="s">
        <v>40</v>
      </c>
      <c r="D1074">
        <v>4.3500940000000003</v>
      </c>
      <c r="E1074">
        <v>0.51023999999999903</v>
      </c>
      <c r="F1074" t="s">
        <v>41</v>
      </c>
      <c r="G1074">
        <v>-158.19499999999999</v>
      </c>
      <c r="H1074">
        <v>0.2349453</v>
      </c>
      <c r="I1074">
        <v>360.28250000000003</v>
      </c>
      <c r="J1074">
        <v>-277.32740000000001</v>
      </c>
      <c r="K1074">
        <v>1.0892599999999999</v>
      </c>
      <c r="L1074">
        <v>367.84699999999998</v>
      </c>
      <c r="M1074">
        <v>0.99997179999999997</v>
      </c>
      <c r="N1074">
        <v>-5.8671299999999999E-3</v>
      </c>
      <c r="O1074">
        <v>4.6944969999999997E-3</v>
      </c>
      <c r="P1074">
        <v>0.9883767</v>
      </c>
      <c r="Q1074">
        <v>0.145320799999999</v>
      </c>
      <c r="R1074">
        <v>-4.4649170000000002E-2</v>
      </c>
      <c r="S1074">
        <v>3.029938</v>
      </c>
      <c r="T1074">
        <v>-2.166069E-2</v>
      </c>
      <c r="U1074">
        <v>-0.19210820000000001</v>
      </c>
      <c r="V1074">
        <v>4.9280530000000003E-2</v>
      </c>
      <c r="W1074">
        <v>0.15111910000000001</v>
      </c>
      <c r="X1074">
        <v>0.98728640000000001</v>
      </c>
      <c r="Y1074">
        <v>6.7957589999999998E-2</v>
      </c>
      <c r="Z1074">
        <v>-4.4824090000000001E-4</v>
      </c>
      <c r="AA1074">
        <v>0.99768809999999997</v>
      </c>
      <c r="AB1074">
        <v>33</v>
      </c>
      <c r="AC1074">
        <v>119.1324</v>
      </c>
      <c r="AD1074">
        <v>-0.85431469999999998</v>
      </c>
      <c r="AE1074">
        <v>-7.56449999999995</v>
      </c>
      <c r="AF1074">
        <v>8.1232768817791001</v>
      </c>
      <c r="AG1074">
        <v>-0.85431469999999998</v>
      </c>
      <c r="AH1074">
        <v>119.089475469654</v>
      </c>
      <c r="AI1074">
        <v>90.410064063818695</v>
      </c>
      <c r="AJ1074">
        <v>86.097811032746307</v>
      </c>
      <c r="AK1074">
        <v>119.36926174079299</v>
      </c>
      <c r="AL1074">
        <v>81.308214349077005</v>
      </c>
      <c r="AM1074">
        <v>87.142445303097801</v>
      </c>
      <c r="AN1074">
        <v>0.99999999432342501</v>
      </c>
    </row>
    <row r="1075" spans="1:40" x14ac:dyDescent="0.25">
      <c r="A1075" t="str">
        <f>"20190303170244193"</f>
        <v>20190303170244193</v>
      </c>
      <c r="B1075" t="str">
        <f>"1551603764186569"</f>
        <v>1551603764186569</v>
      </c>
      <c r="C1075" t="s">
        <v>40</v>
      </c>
      <c r="D1075">
        <v>4.3263809999999996</v>
      </c>
      <c r="E1075">
        <v>0.51037069999999995</v>
      </c>
      <c r="F1075" t="s">
        <v>41</v>
      </c>
      <c r="G1075">
        <v>-158.19499999999999</v>
      </c>
      <c r="H1075">
        <v>0.2166767</v>
      </c>
      <c r="I1075">
        <v>360.18150000000003</v>
      </c>
      <c r="J1075">
        <v>-277.1465</v>
      </c>
      <c r="K1075">
        <v>1.0908500000000001</v>
      </c>
      <c r="L1075">
        <v>367.84780000000001</v>
      </c>
      <c r="M1075">
        <v>0.99997199999999997</v>
      </c>
      <c r="N1075">
        <v>-5.793299E-3</v>
      </c>
      <c r="O1075">
        <v>4.7239819999999998E-3</v>
      </c>
      <c r="P1075">
        <v>0.98835059999999997</v>
      </c>
      <c r="Q1075">
        <v>0.14546479999999901</v>
      </c>
      <c r="R1075">
        <v>-4.4756320000000002E-2</v>
      </c>
      <c r="S1075">
        <v>3.0297550000000002</v>
      </c>
      <c r="T1075">
        <v>-2.218914E-2</v>
      </c>
      <c r="U1075">
        <v>-0.19494629999999999</v>
      </c>
      <c r="V1075">
        <v>4.9416450000000001E-2</v>
      </c>
      <c r="W1075">
        <v>0.1511894</v>
      </c>
      <c r="X1075">
        <v>0.9872689</v>
      </c>
      <c r="Y1075">
        <v>6.8921430000000006E-2</v>
      </c>
      <c r="Z1075">
        <v>-4.591951E-4</v>
      </c>
      <c r="AA1075">
        <v>0.99762200000000001</v>
      </c>
      <c r="AB1075">
        <v>33</v>
      </c>
      <c r="AC1075">
        <v>118.9515</v>
      </c>
      <c r="AD1075">
        <v>-0.87417330000000004</v>
      </c>
      <c r="AE1075">
        <v>-7.6662999999999704</v>
      </c>
      <c r="AF1075">
        <v>8.2277061439334709</v>
      </c>
      <c r="AG1075">
        <v>-0.87417330000000004</v>
      </c>
      <c r="AH1075">
        <v>118.907561260525</v>
      </c>
      <c r="AI1075">
        <v>90.420209366336806</v>
      </c>
      <c r="AJ1075">
        <v>86.041777006684697</v>
      </c>
      <c r="AK1075">
        <v>119.195081493638</v>
      </c>
      <c r="AL1075">
        <v>81.304140130863701</v>
      </c>
      <c r="AM1075">
        <v>87.134526327991594</v>
      </c>
      <c r="AN1075">
        <v>1.0000000505550799</v>
      </c>
    </row>
    <row r="1076" spans="1:40" x14ac:dyDescent="0.25">
      <c r="A1076" t="str">
        <f>"20190303170244204"</f>
        <v>20190303170244204</v>
      </c>
      <c r="B1076" t="str">
        <f>"1551603764196330"</f>
        <v>1551603764196330</v>
      </c>
      <c r="C1076" t="s">
        <v>40</v>
      </c>
      <c r="D1076">
        <v>4.0317829999999999</v>
      </c>
      <c r="E1076">
        <v>0.51049299999999997</v>
      </c>
      <c r="F1076" t="s">
        <v>41</v>
      </c>
      <c r="G1076">
        <v>-158.19499999999999</v>
      </c>
      <c r="H1076">
        <v>0.2165079</v>
      </c>
      <c r="I1076">
        <v>360.13529999999997</v>
      </c>
      <c r="J1076">
        <v>-276.9939</v>
      </c>
      <c r="K1076">
        <v>1.092222</v>
      </c>
      <c r="L1076">
        <v>367.84859999999998</v>
      </c>
      <c r="M1076">
        <v>0.99997190000000002</v>
      </c>
      <c r="N1076">
        <v>-5.8047899999999998E-3</v>
      </c>
      <c r="O1076">
        <v>4.7481520000000003E-3</v>
      </c>
      <c r="P1076">
        <v>0.98834250000000001</v>
      </c>
      <c r="Q1076">
        <v>0.14546429999999999</v>
      </c>
      <c r="R1076">
        <v>-4.4936299999999998E-2</v>
      </c>
      <c r="S1076">
        <v>3.0297550000000002</v>
      </c>
      <c r="T1076">
        <v>-2.2267700000000001E-2</v>
      </c>
      <c r="U1076">
        <v>-0.1964417</v>
      </c>
      <c r="V1076">
        <v>4.9620110000000002E-2</v>
      </c>
      <c r="W1076">
        <v>0.15120069999999999</v>
      </c>
      <c r="X1076">
        <v>0.98725689999999999</v>
      </c>
      <c r="Y1076">
        <v>6.9435830000000004E-2</v>
      </c>
      <c r="Z1076">
        <v>-4.6397160000000002E-4</v>
      </c>
      <c r="AA1076">
        <v>0.99758630000000004</v>
      </c>
      <c r="AB1076">
        <v>33</v>
      </c>
      <c r="AC1076">
        <v>118.7989</v>
      </c>
      <c r="AD1076">
        <v>-0.87571409999999905</v>
      </c>
      <c r="AE1076">
        <v>-7.7133000000000003</v>
      </c>
      <c r="AF1076">
        <v>8.2768499196839596</v>
      </c>
      <c r="AG1076">
        <v>-0.87571409999999905</v>
      </c>
      <c r="AH1076">
        <v>118.754510514816</v>
      </c>
      <c r="AI1076">
        <v>90.421477840816294</v>
      </c>
      <c r="AJ1076">
        <v>86.013095325842798</v>
      </c>
      <c r="AK1076">
        <v>119.045818437237</v>
      </c>
      <c r="AL1076">
        <v>81.3034846878694</v>
      </c>
      <c r="AM1076">
        <v>87.122701741801094</v>
      </c>
      <c r="AN1076">
        <v>0.99999999679725604</v>
      </c>
    </row>
    <row r="1077" spans="1:40" x14ac:dyDescent="0.25">
      <c r="A1077" t="str">
        <f>"20190303170244214"</f>
        <v>20190303170244214</v>
      </c>
      <c r="B1077" t="str">
        <f>"1551603764207066"</f>
        <v>1551603764207066</v>
      </c>
      <c r="C1077" t="s">
        <v>40</v>
      </c>
      <c r="D1077">
        <v>4.4849509999999997</v>
      </c>
      <c r="E1077">
        <v>0.51062619999999903</v>
      </c>
      <c r="F1077" t="s">
        <v>41</v>
      </c>
      <c r="G1077">
        <v>-158.19499999999999</v>
      </c>
      <c r="H1077">
        <v>0.21091460000000001</v>
      </c>
      <c r="I1077">
        <v>360.09690000000001</v>
      </c>
      <c r="J1077">
        <v>-276.83749999999998</v>
      </c>
      <c r="K1077">
        <v>1.0936440000000001</v>
      </c>
      <c r="L1077">
        <v>367.8494</v>
      </c>
      <c r="M1077">
        <v>0.99997170000000002</v>
      </c>
      <c r="N1077">
        <v>-5.8264320000000003E-3</v>
      </c>
      <c r="O1077">
        <v>4.7730059999999998E-3</v>
      </c>
      <c r="P1077">
        <v>0.98836829999999998</v>
      </c>
      <c r="Q1077">
        <v>0.14527899999999999</v>
      </c>
      <c r="R1077">
        <v>-4.4968029999999999E-2</v>
      </c>
      <c r="S1077">
        <v>3.0297239999999999</v>
      </c>
      <c r="T1077">
        <v>-2.2473690000000001E-2</v>
      </c>
      <c r="U1077">
        <v>-0.1976929</v>
      </c>
      <c r="V1077">
        <v>4.9676419999999999E-2</v>
      </c>
      <c r="W1077">
        <v>0.1510367</v>
      </c>
      <c r="X1077">
        <v>0.98727920000000002</v>
      </c>
      <c r="Y1077">
        <v>6.9871440000000007E-2</v>
      </c>
      <c r="Z1077">
        <v>-4.7022749999999999E-4</v>
      </c>
      <c r="AA1077">
        <v>0.99755590000000005</v>
      </c>
      <c r="AB1077">
        <v>33</v>
      </c>
      <c r="AC1077">
        <v>118.642499999999</v>
      </c>
      <c r="AD1077">
        <v>-0.8827294</v>
      </c>
      <c r="AE1077">
        <v>-7.7524999999999897</v>
      </c>
      <c r="AF1077">
        <v>8.3182441116628301</v>
      </c>
      <c r="AG1077">
        <v>-0.8827294</v>
      </c>
      <c r="AH1077">
        <v>118.597607833618</v>
      </c>
      <c r="AI1077">
        <v>90.425403149210993</v>
      </c>
      <c r="AJ1077">
        <v>85.987937193416599</v>
      </c>
      <c r="AK1077">
        <v>118.89224104268401</v>
      </c>
      <c r="AL1077">
        <v>81.312990610278405</v>
      </c>
      <c r="AM1077">
        <v>87.119506970755495</v>
      </c>
      <c r="AN1077">
        <v>1.00000002510177</v>
      </c>
    </row>
    <row r="1078" spans="1:40" x14ac:dyDescent="0.25">
      <c r="A1078" t="str">
        <f>"20190303170244228"</f>
        <v>20190303170244228</v>
      </c>
      <c r="B1078" t="str">
        <f>"1551603764216825"</f>
        <v>1551603764216825</v>
      </c>
      <c r="C1078" t="s">
        <v>40</v>
      </c>
      <c r="D1078">
        <v>4.546284</v>
      </c>
      <c r="E1078">
        <v>0.51076129999999997</v>
      </c>
      <c r="F1078" t="s">
        <v>41</v>
      </c>
      <c r="G1078">
        <v>-158.19499999999999</v>
      </c>
      <c r="H1078">
        <v>0.182725</v>
      </c>
      <c r="I1078">
        <v>360.06470000000002</v>
      </c>
      <c r="J1078">
        <v>-276.66230000000002</v>
      </c>
      <c r="K1078">
        <v>1.095245</v>
      </c>
      <c r="L1078">
        <v>367.85019999999997</v>
      </c>
      <c r="M1078">
        <v>0.99997069999999999</v>
      </c>
      <c r="N1078">
        <v>-5.9629009999999996E-3</v>
      </c>
      <c r="O1078">
        <v>4.7998490000000001E-3</v>
      </c>
      <c r="P1078">
        <v>0.9883902</v>
      </c>
      <c r="Q1078">
        <v>0.14511099999999999</v>
      </c>
      <c r="R1078">
        <v>-4.5033950000000003E-2</v>
      </c>
      <c r="S1078">
        <v>3.0296940000000001</v>
      </c>
      <c r="T1078">
        <v>-2.325928E-2</v>
      </c>
      <c r="U1078">
        <v>-0.19879150000000001</v>
      </c>
      <c r="V1078">
        <v>4.9768449999999999E-2</v>
      </c>
      <c r="W1078">
        <v>0.15100369999999999</v>
      </c>
      <c r="X1078">
        <v>0.98727960000000003</v>
      </c>
      <c r="Y1078">
        <v>7.025882E-2</v>
      </c>
      <c r="Z1078">
        <v>-4.8732499999999999E-4</v>
      </c>
      <c r="AA1078">
        <v>0.99752870000000005</v>
      </c>
      <c r="AB1078">
        <v>33</v>
      </c>
      <c r="AC1078">
        <v>118.46729999999999</v>
      </c>
      <c r="AD1078">
        <v>-0.91252</v>
      </c>
      <c r="AE1078">
        <v>-7.7854999999999501</v>
      </c>
      <c r="AF1078">
        <v>8.3535520748009304</v>
      </c>
      <c r="AG1078">
        <v>-0.91252</v>
      </c>
      <c r="AH1078">
        <v>118.421569442983</v>
      </c>
      <c r="AI1078">
        <v>90.440400509332704</v>
      </c>
      <c r="AJ1078">
        <v>85.964993837444098</v>
      </c>
      <c r="AK1078">
        <v>118.719343977113</v>
      </c>
      <c r="AL1078">
        <v>81.314903196284405</v>
      </c>
      <c r="AM1078">
        <v>87.114180779777598</v>
      </c>
      <c r="AN1078">
        <v>1.00000001230262</v>
      </c>
    </row>
    <row r="1079" spans="1:40" x14ac:dyDescent="0.25">
      <c r="A1079" t="str">
        <f>"20190303170244243"</f>
        <v>20190303170244243</v>
      </c>
      <c r="B1079" t="str">
        <f>"1551603764236346"</f>
        <v>1551603764236346</v>
      </c>
      <c r="C1079" t="s">
        <v>40</v>
      </c>
      <c r="D1079">
        <v>4.4843039999999998</v>
      </c>
      <c r="E1079">
        <v>0.51100749999999995</v>
      </c>
      <c r="F1079" t="s">
        <v>41</v>
      </c>
      <c r="G1079">
        <v>-158.19499999999999</v>
      </c>
      <c r="H1079">
        <v>0.1570539</v>
      </c>
      <c r="I1079">
        <v>360.02440000000001</v>
      </c>
      <c r="J1079">
        <v>-276.42380000000003</v>
      </c>
      <c r="K1079">
        <v>1.0974010000000001</v>
      </c>
      <c r="L1079">
        <v>367.85140000000001</v>
      </c>
      <c r="M1079">
        <v>0.99996890000000005</v>
      </c>
      <c r="N1079">
        <v>-6.2086340000000002E-3</v>
      </c>
      <c r="O1079">
        <v>4.8364219999999999E-3</v>
      </c>
      <c r="P1079">
        <v>0.98840620000000001</v>
      </c>
      <c r="Q1079">
        <v>0.14493629999999999</v>
      </c>
      <c r="R1079">
        <v>-4.5240370000000002E-2</v>
      </c>
      <c r="S1079">
        <v>3.029633</v>
      </c>
      <c r="T1079">
        <v>-2.3990629999999999E-2</v>
      </c>
      <c r="U1079">
        <v>-0.20013429999999999</v>
      </c>
      <c r="V1079">
        <v>5.0010949999999998E-2</v>
      </c>
      <c r="W1079">
        <v>0.15107200000000001</v>
      </c>
      <c r="X1079">
        <v>0.98725689999999999</v>
      </c>
      <c r="Y1079">
        <v>7.0736530000000006E-2</v>
      </c>
      <c r="Z1079">
        <v>-5.078592E-4</v>
      </c>
      <c r="AA1079">
        <v>0.99749489999999996</v>
      </c>
      <c r="AB1079">
        <v>33</v>
      </c>
      <c r="AC1079">
        <v>118.22880000000001</v>
      </c>
      <c r="AD1079">
        <v>-0.94034709999999999</v>
      </c>
      <c r="AE1079">
        <v>-7.8269999999999902</v>
      </c>
      <c r="AF1079">
        <v>8.3981949679744794</v>
      </c>
      <c r="AG1079">
        <v>-0.94034709999999999</v>
      </c>
      <c r="AH1079">
        <v>118.18211819666401</v>
      </c>
      <c r="AI1079">
        <v>90.454732670460203</v>
      </c>
      <c r="AJ1079">
        <v>85.935310397231603</v>
      </c>
      <c r="AK1079">
        <v>118.483868070041</v>
      </c>
      <c r="AL1079">
        <v>81.310944507688205</v>
      </c>
      <c r="AM1079">
        <v>87.100076818385304</v>
      </c>
      <c r="AN1079">
        <v>1.00000001545075</v>
      </c>
    </row>
    <row r="1080" spans="1:40" x14ac:dyDescent="0.25">
      <c r="A1080" t="str">
        <f>"20190303170244257"</f>
        <v>20190303170244257</v>
      </c>
      <c r="B1080" t="str">
        <f>"1551603764248058"</f>
        <v>1551603764248058</v>
      </c>
      <c r="C1080" t="s">
        <v>40</v>
      </c>
      <c r="D1080">
        <v>4.5419519999999904</v>
      </c>
      <c r="E1080">
        <v>0.51112740000000001</v>
      </c>
      <c r="F1080" t="s">
        <v>41</v>
      </c>
      <c r="G1080">
        <v>-158.19499999999999</v>
      </c>
      <c r="H1080">
        <v>0.1191101</v>
      </c>
      <c r="I1080">
        <v>359.95080000000002</v>
      </c>
      <c r="J1080">
        <v>-276.21080000000001</v>
      </c>
      <c r="K1080">
        <v>1.0992879999999901</v>
      </c>
      <c r="L1080">
        <v>367.85239999999999</v>
      </c>
      <c r="M1080">
        <v>0.99996719999999895</v>
      </c>
      <c r="N1080">
        <v>-6.4922599999999997E-3</v>
      </c>
      <c r="O1080">
        <v>4.8686709999999998E-3</v>
      </c>
      <c r="P1080">
        <v>0.98842419999999998</v>
      </c>
      <c r="Q1080">
        <v>0.14483969999999999</v>
      </c>
      <c r="R1080">
        <v>-4.5161239999999998E-2</v>
      </c>
      <c r="S1080">
        <v>3.029633</v>
      </c>
      <c r="T1080">
        <v>-2.506661E-2</v>
      </c>
      <c r="U1080">
        <v>-0.20245360000000001</v>
      </c>
      <c r="V1080">
        <v>4.9963550000000002E-2</v>
      </c>
      <c r="W1080">
        <v>0.15125539999999901</v>
      </c>
      <c r="X1080">
        <v>0.98723119999999998</v>
      </c>
      <c r="Y1080">
        <v>7.1528560000000005E-2</v>
      </c>
      <c r="Z1080">
        <v>-5.3669730000000004E-4</v>
      </c>
      <c r="AA1080">
        <v>0.99743839999999995</v>
      </c>
      <c r="AB1080">
        <v>33</v>
      </c>
      <c r="AC1080">
        <v>118.0158</v>
      </c>
      <c r="AD1080">
        <v>-0.98017789999999905</v>
      </c>
      <c r="AE1080">
        <v>-7.90159999999997</v>
      </c>
      <c r="AF1080">
        <v>8.4755164448643292</v>
      </c>
      <c r="AG1080">
        <v>-0.98017789999999905</v>
      </c>
      <c r="AH1080">
        <v>117.96782889278001</v>
      </c>
      <c r="AI1080">
        <v>90.474827661890401</v>
      </c>
      <c r="AJ1080">
        <v>85.890588529128394</v>
      </c>
      <c r="AK1080">
        <v>118.275964512656</v>
      </c>
      <c r="AL1080">
        <v>81.3003141484363</v>
      </c>
      <c r="AM1080">
        <v>87.102745366727206</v>
      </c>
      <c r="AN1080">
        <v>0.99999999730560096</v>
      </c>
    </row>
    <row r="1081" spans="1:40" x14ac:dyDescent="0.25">
      <c r="A1081" t="str">
        <f>"20190303170244271"</f>
        <v>20190303170244271</v>
      </c>
      <c r="B1081" t="str">
        <f>"1551603764256842"</f>
        <v>1551603764256842</v>
      </c>
      <c r="C1081" t="s">
        <v>40</v>
      </c>
      <c r="D1081">
        <v>4.2795209999999999</v>
      </c>
      <c r="E1081">
        <v>0.51122920000000005</v>
      </c>
      <c r="F1081" t="s">
        <v>41</v>
      </c>
      <c r="G1081">
        <v>-158.19499999999999</v>
      </c>
      <c r="H1081">
        <v>0.1001205</v>
      </c>
      <c r="I1081">
        <v>359.93509999999998</v>
      </c>
      <c r="J1081">
        <v>-276.0086</v>
      </c>
      <c r="K1081">
        <v>1.1010139999999999</v>
      </c>
      <c r="L1081">
        <v>367.8535</v>
      </c>
      <c r="M1081">
        <v>0.99996490000000005</v>
      </c>
      <c r="N1081">
        <v>-6.8122390000000003E-3</v>
      </c>
      <c r="O1081">
        <v>4.8995640000000003E-3</v>
      </c>
      <c r="P1081">
        <v>0.98849739999999997</v>
      </c>
      <c r="Q1081">
        <v>0.14439949999999999</v>
      </c>
      <c r="R1081">
        <v>-4.496642E-2</v>
      </c>
      <c r="S1081">
        <v>3.0296020000000001</v>
      </c>
      <c r="T1081">
        <v>-2.564752E-2</v>
      </c>
      <c r="U1081">
        <v>-0.20324710000000001</v>
      </c>
      <c r="V1081">
        <v>4.979952E-2</v>
      </c>
      <c r="W1081">
        <v>0.151131399999999</v>
      </c>
      <c r="X1081">
        <v>0.98725850000000004</v>
      </c>
      <c r="Y1081">
        <v>7.1819850000000005E-2</v>
      </c>
      <c r="Z1081">
        <v>-5.5665979999999999E-4</v>
      </c>
      <c r="AA1081">
        <v>0.99741740000000001</v>
      </c>
      <c r="AB1081">
        <v>33</v>
      </c>
      <c r="AC1081">
        <v>117.81359999999999</v>
      </c>
      <c r="AD1081">
        <v>-1.0008935000000001</v>
      </c>
      <c r="AE1081">
        <v>-7.9184000000000099</v>
      </c>
      <c r="AF1081">
        <v>8.4949431948141392</v>
      </c>
      <c r="AG1081">
        <v>-1.0008935000000001</v>
      </c>
      <c r="AH1081">
        <v>117.76492679892</v>
      </c>
      <c r="AI1081">
        <v>90.485687753677396</v>
      </c>
      <c r="AJ1081">
        <v>85.874129754674996</v>
      </c>
      <c r="AK1081">
        <v>118.075161789584</v>
      </c>
      <c r="AL1081">
        <v>81.307501639271393</v>
      </c>
      <c r="AM1081">
        <v>87.1123206261218</v>
      </c>
      <c r="AN1081">
        <v>1.0000000190402201</v>
      </c>
    </row>
    <row r="1082" spans="1:40" x14ac:dyDescent="0.25">
      <c r="A1082" t="str">
        <f>"20190303170244283"</f>
        <v>20190303170244283</v>
      </c>
      <c r="B1082" t="str">
        <f>"1551603764276362"</f>
        <v>1551603764276362</v>
      </c>
      <c r="C1082" t="s">
        <v>40</v>
      </c>
      <c r="D1082">
        <v>4.3306019999999998</v>
      </c>
      <c r="E1082">
        <v>0.51143919999999998</v>
      </c>
      <c r="F1082" t="s">
        <v>44</v>
      </c>
      <c r="G1082">
        <v>-148.39850000000001</v>
      </c>
      <c r="H1082">
        <v>-0.05</v>
      </c>
      <c r="I1082">
        <v>359.27969999999999</v>
      </c>
      <c r="J1082">
        <v>-275.84190000000001</v>
      </c>
      <c r="K1082">
        <v>1.102371</v>
      </c>
      <c r="L1082">
        <v>367.85430000000002</v>
      </c>
      <c r="M1082">
        <v>0.99996289999999999</v>
      </c>
      <c r="N1082">
        <v>-7.0935340000000003E-3</v>
      </c>
      <c r="O1082">
        <v>4.9249990000000002E-3</v>
      </c>
      <c r="P1082">
        <v>0.9885796</v>
      </c>
      <c r="Q1082">
        <v>0.1439578</v>
      </c>
      <c r="R1082">
        <v>-4.4576589999999999E-2</v>
      </c>
      <c r="S1082">
        <v>3.029633</v>
      </c>
      <c r="T1082">
        <v>-2.732658E-2</v>
      </c>
      <c r="U1082">
        <v>-0.20355219999999999</v>
      </c>
      <c r="V1082">
        <v>4.9434899999999997E-2</v>
      </c>
      <c r="W1082">
        <v>0.1509683</v>
      </c>
      <c r="X1082">
        <v>0.98730180000000001</v>
      </c>
      <c r="Y1082">
        <v>7.1943999999999994E-2</v>
      </c>
      <c r="Z1082">
        <v>-5.8903340000000001E-4</v>
      </c>
      <c r="AA1082">
        <v>0.99740850000000003</v>
      </c>
      <c r="AB1082">
        <v>33</v>
      </c>
      <c r="AC1082">
        <v>127.4434</v>
      </c>
      <c r="AD1082">
        <v>-1.15237099999999</v>
      </c>
      <c r="AE1082">
        <v>-8.5746000000000304</v>
      </c>
      <c r="AF1082">
        <v>9.2014213611821098</v>
      </c>
      <c r="AG1082">
        <v>-1.15237099999999</v>
      </c>
      <c r="AH1082">
        <v>127.38925472753201</v>
      </c>
      <c r="AI1082">
        <v>90.516940309623095</v>
      </c>
      <c r="AJ1082">
        <v>85.868657718963107</v>
      </c>
      <c r="AK1082">
        <v>127.72633375316001</v>
      </c>
      <c r="AL1082">
        <v>81.316955236526297</v>
      </c>
      <c r="AM1082">
        <v>87.133553628940106</v>
      </c>
      <c r="AN1082">
        <v>1.00000004061306</v>
      </c>
    </row>
    <row r="1083" spans="1:40" x14ac:dyDescent="0.25">
      <c r="A1083" t="str">
        <f>"20190303170244293"</f>
        <v>20190303170244293</v>
      </c>
      <c r="B1083" t="str">
        <f>"1551603764287098"</f>
        <v>1551603764287098</v>
      </c>
      <c r="C1083" t="s">
        <v>40</v>
      </c>
      <c r="D1083">
        <v>4.004391</v>
      </c>
      <c r="E1083">
        <v>0.51154909999999998</v>
      </c>
      <c r="F1083" t="s">
        <v>44</v>
      </c>
      <c r="G1083">
        <v>-156.2141</v>
      </c>
      <c r="H1083">
        <v>-0.05</v>
      </c>
      <c r="I1083">
        <v>359.80259999999998</v>
      </c>
      <c r="J1083">
        <v>-275.66539999999998</v>
      </c>
      <c r="K1083">
        <v>1.103777</v>
      </c>
      <c r="L1083">
        <v>367.85520000000002</v>
      </c>
      <c r="M1083">
        <v>0.99996050000000003</v>
      </c>
      <c r="N1083">
        <v>-7.4011830000000004E-3</v>
      </c>
      <c r="O1083">
        <v>4.951965E-3</v>
      </c>
      <c r="P1083">
        <v>0.98870150000000001</v>
      </c>
      <c r="Q1083">
        <v>0.14320829999999901</v>
      </c>
      <c r="R1083">
        <v>-4.42858E-2</v>
      </c>
      <c r="S1083">
        <v>3.0296940000000001</v>
      </c>
      <c r="T1083">
        <v>-2.9184939999999999E-2</v>
      </c>
      <c r="U1083">
        <v>-0.2039185</v>
      </c>
      <c r="V1083">
        <v>4.9171409999999999E-2</v>
      </c>
      <c r="W1083">
        <v>0.1505233</v>
      </c>
      <c r="X1083">
        <v>0.9873828</v>
      </c>
      <c r="Y1083">
        <v>7.2088890000000003E-2</v>
      </c>
      <c r="Z1083">
        <v>-6.2494320000000005E-4</v>
      </c>
      <c r="AA1083">
        <v>0.99739800000000001</v>
      </c>
      <c r="AB1083">
        <v>33</v>
      </c>
      <c r="AC1083">
        <v>119.45129999999899</v>
      </c>
      <c r="AD1083">
        <v>-1.1537770000000001</v>
      </c>
      <c r="AE1083">
        <v>-8.0526000000000408</v>
      </c>
      <c r="AF1083">
        <v>8.6432333015086495</v>
      </c>
      <c r="AG1083">
        <v>-1.1537770000000001</v>
      </c>
      <c r="AH1083">
        <v>119.398869025921</v>
      </c>
      <c r="AI1083">
        <v>90.552199380318399</v>
      </c>
      <c r="AJ1083">
        <v>85.8596050682808</v>
      </c>
      <c r="AK1083">
        <v>119.716860165722</v>
      </c>
      <c r="AL1083">
        <v>81.342745731418901</v>
      </c>
      <c r="AM1083">
        <v>87.149040137428301</v>
      </c>
      <c r="AN1083">
        <v>0.99999994257005698</v>
      </c>
    </row>
    <row r="1084" spans="1:40" x14ac:dyDescent="0.25">
      <c r="A1084" t="str">
        <f>"20190303170244306"</f>
        <v>20190303170244306</v>
      </c>
      <c r="B1084" t="str">
        <f>"1551603764296858"</f>
        <v>1551603764296858</v>
      </c>
      <c r="C1084" t="s">
        <v>40</v>
      </c>
      <c r="D1084">
        <v>4.4618650000000004</v>
      </c>
      <c r="E1084">
        <v>0.51154909999999998</v>
      </c>
      <c r="F1084" t="s">
        <v>52</v>
      </c>
      <c r="G1084">
        <v>-178.98249999999999</v>
      </c>
      <c r="H1084">
        <v>7.9987929999999999E-2</v>
      </c>
      <c r="I1084">
        <v>361.34010000000001</v>
      </c>
      <c r="J1084">
        <v>-275.49869999999999</v>
      </c>
      <c r="K1084">
        <v>1.105008</v>
      </c>
      <c r="L1084">
        <v>367.85599999999999</v>
      </c>
      <c r="M1084">
        <v>0.99995809999999996</v>
      </c>
      <c r="N1084">
        <v>-7.7019790000000003E-3</v>
      </c>
      <c r="O1084">
        <v>4.976945E-3</v>
      </c>
      <c r="P1084">
        <v>0.98883750000000004</v>
      </c>
      <c r="Q1084">
        <v>0.14245769999999999</v>
      </c>
      <c r="R1084">
        <v>-4.3666389999999999E-2</v>
      </c>
      <c r="S1084">
        <v>3.0297239999999999</v>
      </c>
      <c r="T1084">
        <v>-3.2082199999999998E-2</v>
      </c>
      <c r="U1084">
        <v>-0.2041626</v>
      </c>
      <c r="V1084">
        <v>4.8577120000000001E-2</v>
      </c>
      <c r="W1084">
        <v>0.15007119999999999</v>
      </c>
      <c r="X1084">
        <v>0.9874811</v>
      </c>
      <c r="Y1084">
        <v>7.2192069999999997E-2</v>
      </c>
      <c r="Z1084">
        <v>-6.7448080000000004E-4</v>
      </c>
      <c r="AA1084">
        <v>0.99739049999999996</v>
      </c>
      <c r="AB1084">
        <v>33</v>
      </c>
      <c r="AC1084">
        <v>96.516199999999998</v>
      </c>
      <c r="AD1084">
        <v>-1.0250200700000001</v>
      </c>
      <c r="AE1084">
        <v>-6.5158999999999798</v>
      </c>
      <c r="AF1084">
        <v>6.9954038718502298</v>
      </c>
      <c r="AG1084">
        <v>-1.0250200700000001</v>
      </c>
      <c r="AH1084">
        <v>96.471742813503198</v>
      </c>
      <c r="AI1084">
        <v>90.6071553680016</v>
      </c>
      <c r="AJ1084">
        <v>85.852600718543201</v>
      </c>
      <c r="AK1084">
        <v>96.730468327972602</v>
      </c>
      <c r="AL1084">
        <v>81.368947382682194</v>
      </c>
      <c r="AM1084">
        <v>87.183721193675098</v>
      </c>
      <c r="AN1084">
        <v>1.00000001225707</v>
      </c>
    </row>
    <row r="1085" spans="1:40" x14ac:dyDescent="0.25">
      <c r="A1085" t="str">
        <f>"20190303170244318"</f>
        <v>20190303170244318</v>
      </c>
      <c r="B1085" t="str">
        <f>"1551603764306618"</f>
        <v>1551603764306618</v>
      </c>
      <c r="C1085" t="s">
        <v>40</v>
      </c>
      <c r="D1085">
        <v>4.4569879999999999</v>
      </c>
      <c r="E1085">
        <v>0.52540889999999996</v>
      </c>
      <c r="F1085" t="s">
        <v>52</v>
      </c>
      <c r="G1085">
        <v>-180</v>
      </c>
      <c r="H1085">
        <v>2.1288689999999999E-2</v>
      </c>
      <c r="I1085">
        <v>361.47199999999998</v>
      </c>
      <c r="J1085">
        <v>-275.32580000000002</v>
      </c>
      <c r="K1085">
        <v>1.10625</v>
      </c>
      <c r="L1085">
        <v>367.8569</v>
      </c>
      <c r="M1085">
        <v>0.9999555</v>
      </c>
      <c r="N1085">
        <v>-8.0142430000000008E-3</v>
      </c>
      <c r="O1085">
        <v>5.0027869999999999E-3</v>
      </c>
      <c r="P1085">
        <v>0.98892210000000003</v>
      </c>
      <c r="Q1085">
        <v>0.14202609999999999</v>
      </c>
      <c r="R1085">
        <v>-4.3148980000000003E-2</v>
      </c>
      <c r="S1085">
        <v>3.0298769999999999</v>
      </c>
      <c r="T1085">
        <v>-3.438306E-2</v>
      </c>
      <c r="U1085">
        <v>-0.20254520000000001</v>
      </c>
      <c r="V1085">
        <v>4.8085759999999998E-2</v>
      </c>
      <c r="W1085">
        <v>0.1499482</v>
      </c>
      <c r="X1085">
        <v>0.98752390000000001</v>
      </c>
      <c r="Y1085">
        <v>7.1683529999999995E-2</v>
      </c>
      <c r="Z1085">
        <v>-7.1051250000000001E-4</v>
      </c>
      <c r="AA1085">
        <v>0.99742719999999896</v>
      </c>
      <c r="AB1085">
        <v>33</v>
      </c>
      <c r="AC1085">
        <v>95.325800000000001</v>
      </c>
      <c r="AD1085">
        <v>-1.08496131</v>
      </c>
      <c r="AE1085">
        <v>-6.3849000000000098</v>
      </c>
      <c r="AF1085">
        <v>6.8608452293715301</v>
      </c>
      <c r="AG1085">
        <v>-1.08496131</v>
      </c>
      <c r="AH1085">
        <v>95.280376099400499</v>
      </c>
      <c r="AI1085">
        <v>90.650716395819103</v>
      </c>
      <c r="AJ1085">
        <v>85.881416566094501</v>
      </c>
      <c r="AK1085">
        <v>95.533231955947102</v>
      </c>
      <c r="AL1085">
        <v>81.376075992197499</v>
      </c>
      <c r="AM1085">
        <v>87.212283461666502</v>
      </c>
      <c r="AN1085">
        <v>1.0000000780346101</v>
      </c>
    </row>
    <row r="1086" spans="1:40" x14ac:dyDescent="0.25">
      <c r="A1086" t="str">
        <f>"20190303170244329"</f>
        <v>20190303170244329</v>
      </c>
      <c r="B1086" t="str">
        <f>"1551603764316379"</f>
        <v>1551603764316379</v>
      </c>
      <c r="C1086" t="s">
        <v>40</v>
      </c>
      <c r="D1086">
        <v>4.4767029999999997</v>
      </c>
      <c r="E1086">
        <v>0.52909309999999998</v>
      </c>
      <c r="F1086" t="s">
        <v>43</v>
      </c>
      <c r="G1086">
        <v>-274.34899999999999</v>
      </c>
      <c r="H1086">
        <v>1.017193</v>
      </c>
      <c r="I1086">
        <v>367.76060000000001</v>
      </c>
      <c r="J1086">
        <v>-275.15809999999999</v>
      </c>
      <c r="K1086">
        <v>1.1073729999999999</v>
      </c>
      <c r="L1086">
        <v>367.8578</v>
      </c>
      <c r="M1086">
        <v>0.99995290000000003</v>
      </c>
      <c r="N1086">
        <v>-8.3169509999999995E-3</v>
      </c>
      <c r="O1086">
        <v>5.0274289999999999E-3</v>
      </c>
      <c r="P1086">
        <v>0.98901629999999996</v>
      </c>
      <c r="Q1086">
        <v>0.14153499999999999</v>
      </c>
      <c r="R1086">
        <v>-4.260034E-2</v>
      </c>
      <c r="S1086">
        <v>3.0606080000000002</v>
      </c>
      <c r="T1086">
        <v>-0.27929969999999998</v>
      </c>
      <c r="U1086">
        <v>-0.30062870000000003</v>
      </c>
      <c r="V1086">
        <v>4.7561829999999999E-2</v>
      </c>
      <c r="W1086">
        <v>0.14975729999999901</v>
      </c>
      <c r="X1086">
        <v>0.98757819999999996</v>
      </c>
      <c r="Y1086">
        <v>0.1022801</v>
      </c>
      <c r="Z1086">
        <v>-5.4885109999999997E-3</v>
      </c>
      <c r="AA1086">
        <v>0.99474050000000003</v>
      </c>
      <c r="AB1086">
        <v>33</v>
      </c>
      <c r="AC1086">
        <v>0.80910000000000004</v>
      </c>
      <c r="AD1086">
        <v>-9.0179999999999899E-2</v>
      </c>
      <c r="AE1086">
        <v>-9.7199999999986603E-2</v>
      </c>
      <c r="AF1086">
        <v>0.10004149959483701</v>
      </c>
      <c r="AG1086">
        <v>-9.0179999999999899E-2</v>
      </c>
      <c r="AH1086">
        <v>0.79881878256345895</v>
      </c>
      <c r="AI1086">
        <v>96.391437804862605</v>
      </c>
      <c r="AJ1086">
        <v>82.861625734205504</v>
      </c>
      <c r="AK1086">
        <v>0.81009393369988303</v>
      </c>
      <c r="AL1086">
        <v>81.387138331732899</v>
      </c>
      <c r="AM1086">
        <v>87.242761940369306</v>
      </c>
      <c r="AN1086">
        <v>1.00000003884573</v>
      </c>
    </row>
    <row r="1087" spans="1:40" x14ac:dyDescent="0.25">
      <c r="A1087" t="str">
        <f>"20190303170244342"</f>
        <v>20190303170244342</v>
      </c>
      <c r="B1087" t="str">
        <f>"1551603764336873"</f>
        <v>1551603764336873</v>
      </c>
      <c r="C1087" t="s">
        <v>40</v>
      </c>
      <c r="D1087">
        <v>4.4356989999999996</v>
      </c>
      <c r="E1087">
        <v>0.53349639999999998</v>
      </c>
      <c r="F1087" t="s">
        <v>43</v>
      </c>
      <c r="G1087">
        <v>-274.34980000000002</v>
      </c>
      <c r="H1087">
        <v>1.015906</v>
      </c>
      <c r="I1087">
        <v>367.77170000000001</v>
      </c>
      <c r="J1087">
        <v>-274.95620000000002</v>
      </c>
      <c r="K1087">
        <v>1.108646</v>
      </c>
      <c r="L1087">
        <v>367.85890000000001</v>
      </c>
      <c r="M1087">
        <v>0.99994959999999999</v>
      </c>
      <c r="N1087">
        <v>-8.6750990000000004E-3</v>
      </c>
      <c r="O1087">
        <v>5.057565E-3</v>
      </c>
      <c r="P1087">
        <v>0.98909619999999998</v>
      </c>
      <c r="Q1087">
        <v>0.1411126</v>
      </c>
      <c r="R1087">
        <v>-4.2143279999999998E-2</v>
      </c>
      <c r="S1087">
        <v>3.0690309999999998</v>
      </c>
      <c r="T1087">
        <v>-0.34757510000000003</v>
      </c>
      <c r="U1087">
        <v>-0.32550050000000003</v>
      </c>
      <c r="V1087">
        <v>4.7134740000000001E-2</v>
      </c>
      <c r="W1087">
        <v>0.149689299999999</v>
      </c>
      <c r="X1087">
        <v>0.98760890000000001</v>
      </c>
      <c r="Y1087">
        <v>0.1097214</v>
      </c>
      <c r="Z1087">
        <v>-7.1808230000000002E-3</v>
      </c>
      <c r="AA1087">
        <v>0.99393640000000005</v>
      </c>
      <c r="AB1087">
        <v>33</v>
      </c>
      <c r="AC1087">
        <v>0.60640000000000704</v>
      </c>
      <c r="AD1087">
        <v>-9.2740000000000003E-2</v>
      </c>
      <c r="AE1087">
        <v>-8.7199999999995698E-2</v>
      </c>
      <c r="AF1087">
        <v>8.8243768604479605E-2</v>
      </c>
      <c r="AG1087">
        <v>-9.2740000000000003E-2</v>
      </c>
      <c r="AH1087">
        <v>0.59237667539365702</v>
      </c>
      <c r="AI1087">
        <v>98.802179586344593</v>
      </c>
      <c r="AJ1087">
        <v>81.527203707107503</v>
      </c>
      <c r="AK1087">
        <v>0.60605098452849904</v>
      </c>
      <c r="AL1087">
        <v>81.391078133496194</v>
      </c>
      <c r="AM1087">
        <v>87.267568171968406</v>
      </c>
      <c r="AN1087">
        <v>0.99999995480428205</v>
      </c>
    </row>
    <row r="1088" spans="1:40" x14ac:dyDescent="0.25">
      <c r="A1088" t="str">
        <f>"20190303170244353"</f>
        <v>20190303170244353</v>
      </c>
      <c r="B1088" t="str">
        <f>"1551603764347610"</f>
        <v>1551603764347610</v>
      </c>
      <c r="C1088" t="s">
        <v>40</v>
      </c>
      <c r="D1088">
        <v>4.4177059999999999</v>
      </c>
      <c r="E1088">
        <v>0.53462359999999998</v>
      </c>
      <c r="F1088" t="s">
        <v>43</v>
      </c>
      <c r="G1088">
        <v>-274.0763</v>
      </c>
      <c r="H1088">
        <v>0.97696609999999995</v>
      </c>
      <c r="I1088">
        <v>367.75779999999997</v>
      </c>
      <c r="J1088">
        <v>-274.79079999999999</v>
      </c>
      <c r="K1088">
        <v>1.109645</v>
      </c>
      <c r="L1088">
        <v>367.85969999999998</v>
      </c>
      <c r="M1088">
        <v>0.99994700000000003</v>
      </c>
      <c r="N1088">
        <v>-8.9647809999999998E-3</v>
      </c>
      <c r="O1088">
        <v>5.0825180000000003E-3</v>
      </c>
      <c r="P1088">
        <v>0.98912290000000003</v>
      </c>
      <c r="Q1088">
        <v>0.1410593</v>
      </c>
      <c r="R1088">
        <v>-4.169258E-2</v>
      </c>
      <c r="S1088">
        <v>3.0838009999999998</v>
      </c>
      <c r="T1088">
        <v>-0.46147300000000002</v>
      </c>
      <c r="U1088">
        <v>-0.35391240000000002</v>
      </c>
      <c r="V1088">
        <v>4.6708890000000003E-2</v>
      </c>
      <c r="W1088">
        <v>0.14992230000000001</v>
      </c>
      <c r="X1088">
        <v>0.98759379999999997</v>
      </c>
      <c r="Y1088">
        <v>0.117643</v>
      </c>
      <c r="Z1088">
        <v>-9.9663129999999992E-3</v>
      </c>
      <c r="AA1088">
        <v>0.9930059</v>
      </c>
      <c r="AB1088">
        <v>33</v>
      </c>
      <c r="AC1088">
        <v>0.71449999999998604</v>
      </c>
      <c r="AD1088">
        <v>-0.13267889999999899</v>
      </c>
      <c r="AE1088">
        <v>-0.1019</v>
      </c>
      <c r="AF1088">
        <v>0.102080463007915</v>
      </c>
      <c r="AG1088">
        <v>-0.13267889999999899</v>
      </c>
      <c r="AH1088">
        <v>0.690632796623741</v>
      </c>
      <c r="AI1088">
        <v>100.760583530628</v>
      </c>
      <c r="AJ1088">
        <v>81.592150266259793</v>
      </c>
      <c r="AK1088">
        <v>0.71063195200149198</v>
      </c>
      <c r="AL1088">
        <v>81.377575938512706</v>
      </c>
      <c r="AM1088">
        <v>87.292176727580397</v>
      </c>
      <c r="AN1088">
        <v>0.99999996512038003</v>
      </c>
    </row>
    <row r="1089" spans="1:40" x14ac:dyDescent="0.25">
      <c r="A1089" t="str">
        <f>"20190303170244366"</f>
        <v>20190303170244366</v>
      </c>
      <c r="B1089" t="str">
        <f>"1551603764356393"</f>
        <v>1551603764356393</v>
      </c>
      <c r="C1089" t="s">
        <v>40</v>
      </c>
      <c r="D1089">
        <v>4.4066320000000001</v>
      </c>
      <c r="E1089">
        <v>0.53546380000000005</v>
      </c>
      <c r="F1089" t="s">
        <v>43</v>
      </c>
      <c r="G1089">
        <v>-274.06900000000002</v>
      </c>
      <c r="H1089">
        <v>0.9925988</v>
      </c>
      <c r="I1089">
        <v>367.77550000000002</v>
      </c>
      <c r="J1089">
        <v>-274.62560000000002</v>
      </c>
      <c r="K1089">
        <v>1.1105449999999999</v>
      </c>
      <c r="L1089">
        <v>367.8605</v>
      </c>
      <c r="M1089">
        <v>0.99994430000000001</v>
      </c>
      <c r="N1089">
        <v>-9.241572E-3</v>
      </c>
      <c r="O1089">
        <v>5.107131E-3</v>
      </c>
      <c r="P1089">
        <v>0.98916119999999996</v>
      </c>
      <c r="Q1089">
        <v>0.14083019999999999</v>
      </c>
      <c r="R1089">
        <v>-4.1558489999999997E-2</v>
      </c>
      <c r="S1089">
        <v>3.0892330000000001</v>
      </c>
      <c r="T1089">
        <v>-0.50086189999999997</v>
      </c>
      <c r="U1089">
        <v>-0.3601685</v>
      </c>
      <c r="V1089">
        <v>4.6599099999999997E-2</v>
      </c>
      <c r="W1089">
        <v>0.14996709999999999</v>
      </c>
      <c r="X1089">
        <v>0.98759220000000003</v>
      </c>
      <c r="Y1089">
        <v>0.1191913</v>
      </c>
      <c r="Z1089">
        <v>-1.0897469999999999E-2</v>
      </c>
      <c r="AA1089">
        <v>0.99281149999999996</v>
      </c>
      <c r="AB1089">
        <v>33</v>
      </c>
      <c r="AC1089">
        <v>0.55660000000000298</v>
      </c>
      <c r="AD1089">
        <v>-0.1179462</v>
      </c>
      <c r="AE1089">
        <v>-8.4999999999979495E-2</v>
      </c>
      <c r="AF1089">
        <v>8.4149152303536798E-2</v>
      </c>
      <c r="AG1089">
        <v>-0.1179462</v>
      </c>
      <c r="AH1089">
        <v>0.53278007026501395</v>
      </c>
      <c r="AI1089">
        <v>102.334609702187</v>
      </c>
      <c r="AJ1089">
        <v>81.024647099041204</v>
      </c>
      <c r="AK1089">
        <v>0.55212950401100402</v>
      </c>
      <c r="AL1089">
        <v>81.374979868205401</v>
      </c>
      <c r="AM1089">
        <v>87.298527699907794</v>
      </c>
      <c r="AN1089">
        <v>0.99999998035202997</v>
      </c>
    </row>
    <row r="1090" spans="1:40" x14ac:dyDescent="0.25">
      <c r="A1090" t="str">
        <f>"20190303170244376"</f>
        <v>20190303170244376</v>
      </c>
      <c r="B1090" t="str">
        <f>"1551603764367132"</f>
        <v>1551603764367132</v>
      </c>
      <c r="C1090" t="s">
        <v>40</v>
      </c>
      <c r="D1090">
        <v>4.4192289999999996</v>
      </c>
      <c r="E1090">
        <v>0.53629169999999904</v>
      </c>
      <c r="F1090" t="s">
        <v>43</v>
      </c>
      <c r="G1090">
        <v>-273.78899999999999</v>
      </c>
      <c r="H1090">
        <v>0.96740930000000003</v>
      </c>
      <c r="I1090">
        <v>367.76139999999998</v>
      </c>
      <c r="J1090">
        <v>-274.45760000000001</v>
      </c>
      <c r="K1090">
        <v>1.1114280000000001</v>
      </c>
      <c r="L1090">
        <v>367.86149999999998</v>
      </c>
      <c r="M1090">
        <v>0.99994159999999999</v>
      </c>
      <c r="N1090">
        <v>-9.5191960000000006E-3</v>
      </c>
      <c r="O1090">
        <v>5.1322370000000004E-3</v>
      </c>
      <c r="P1090">
        <v>0.98920229999999998</v>
      </c>
      <c r="Q1090">
        <v>0.14064380000000001</v>
      </c>
      <c r="R1090">
        <v>-4.1214630000000002E-2</v>
      </c>
      <c r="S1090">
        <v>3.0928650000000002</v>
      </c>
      <c r="T1090">
        <v>-0.52939820000000004</v>
      </c>
      <c r="U1090">
        <v>-0.36532589999999998</v>
      </c>
      <c r="V1090">
        <v>4.6280189999999999E-2</v>
      </c>
      <c r="W1090">
        <v>0.1500552</v>
      </c>
      <c r="X1090">
        <v>0.98759379999999997</v>
      </c>
      <c r="Y1090">
        <v>0.1205058</v>
      </c>
      <c r="Z1090">
        <v>-1.1604939999999999E-2</v>
      </c>
      <c r="AA1090">
        <v>0.99264479999999999</v>
      </c>
      <c r="AB1090">
        <v>33</v>
      </c>
      <c r="AC1090">
        <v>0.66860000000002595</v>
      </c>
      <c r="AD1090">
        <v>-0.1440187</v>
      </c>
      <c r="AE1090">
        <v>-0.100099999999997</v>
      </c>
      <c r="AF1090">
        <v>9.9035864264854195E-2</v>
      </c>
      <c r="AG1090">
        <v>-0.1440187</v>
      </c>
      <c r="AH1090">
        <v>0.63907530171968097</v>
      </c>
      <c r="AI1090">
        <v>102.55470943991099</v>
      </c>
      <c r="AJ1090">
        <v>81.1910887360781</v>
      </c>
      <c r="AK1090">
        <v>0.66254564343030597</v>
      </c>
      <c r="AL1090">
        <v>81.3698742161084</v>
      </c>
      <c r="AM1090">
        <v>87.316992983048905</v>
      </c>
      <c r="AN1090">
        <v>0.99999996641595701</v>
      </c>
    </row>
    <row r="1091" spans="1:40" x14ac:dyDescent="0.25">
      <c r="A1091" t="str">
        <f>"20190303170244388"</f>
        <v>20190303170244388</v>
      </c>
      <c r="B1091" t="str">
        <f>"1551603764376890"</f>
        <v>1551603764376890</v>
      </c>
      <c r="C1091" t="s">
        <v>40</v>
      </c>
      <c r="D1091">
        <v>4.4357249999999997</v>
      </c>
      <c r="E1091">
        <v>0.53683479999999995</v>
      </c>
      <c r="F1091" t="s">
        <v>43</v>
      </c>
      <c r="G1091">
        <v>-273.50869999999998</v>
      </c>
      <c r="H1091">
        <v>0.94247530000000002</v>
      </c>
      <c r="I1091">
        <v>367.74759999999998</v>
      </c>
      <c r="J1091">
        <v>-274.29169999999999</v>
      </c>
      <c r="K1091">
        <v>1.112222</v>
      </c>
      <c r="L1091">
        <v>367.8623</v>
      </c>
      <c r="M1091">
        <v>0.99993889999999996</v>
      </c>
      <c r="N1091">
        <v>-9.7794460000000007E-3</v>
      </c>
      <c r="O1091">
        <v>5.1570299999999999E-3</v>
      </c>
      <c r="P1091">
        <v>0.98932580000000003</v>
      </c>
      <c r="Q1091">
        <v>0.13988239999999999</v>
      </c>
      <c r="R1091">
        <v>-4.0833700000000001E-2</v>
      </c>
      <c r="S1091">
        <v>3.0957029999999999</v>
      </c>
      <c r="T1091">
        <v>-0.55132680000000001</v>
      </c>
      <c r="U1091">
        <v>-0.37057499999999999</v>
      </c>
      <c r="V1091">
        <v>4.592483E-2</v>
      </c>
      <c r="W1091">
        <v>0.14955170000000001</v>
      </c>
      <c r="X1091">
        <v>0.98768679999999998</v>
      </c>
      <c r="Y1091">
        <v>0.1219071</v>
      </c>
      <c r="Z1091">
        <v>-1.219466E-2</v>
      </c>
      <c r="AA1091">
        <v>0.99246659999999998</v>
      </c>
      <c r="AB1091">
        <v>33</v>
      </c>
      <c r="AC1091">
        <v>0.78300000000001502</v>
      </c>
      <c r="AD1091">
        <v>-0.1697467</v>
      </c>
      <c r="AE1091">
        <v>-0.114700000000027</v>
      </c>
      <c r="AF1091">
        <v>0.11351377962916</v>
      </c>
      <c r="AG1091">
        <v>-0.1697467</v>
      </c>
      <c r="AH1091">
        <v>0.747982871082853</v>
      </c>
      <c r="AI1091">
        <v>102.64603566649799</v>
      </c>
      <c r="AJ1091">
        <v>81.370645911686097</v>
      </c>
      <c r="AK1091">
        <v>0.77535649591651401</v>
      </c>
      <c r="AL1091">
        <v>81.399052249059807</v>
      </c>
      <c r="AM1091">
        <v>87.337814885785093</v>
      </c>
      <c r="AN1091">
        <v>1.00000000793882</v>
      </c>
    </row>
    <row r="1092" spans="1:40" x14ac:dyDescent="0.25">
      <c r="A1092" t="str">
        <f>"20190303170244400"</f>
        <v>20190303170244400</v>
      </c>
      <c r="B1092" t="str">
        <f>"1551603764386650"</f>
        <v>1551603764386650</v>
      </c>
      <c r="C1092" t="s">
        <v>40</v>
      </c>
      <c r="D1092">
        <v>4.4671529999999997</v>
      </c>
      <c r="E1092">
        <v>0.53729059999999995</v>
      </c>
      <c r="F1092" t="s">
        <v>43</v>
      </c>
      <c r="G1092">
        <v>-273.49810000000002</v>
      </c>
      <c r="H1092">
        <v>0.96589740000000002</v>
      </c>
      <c r="I1092">
        <v>367.76650000000001</v>
      </c>
      <c r="J1092">
        <v>-274.13069999999999</v>
      </c>
      <c r="K1092">
        <v>1.1129560000000001</v>
      </c>
      <c r="L1092">
        <v>367.86320000000001</v>
      </c>
      <c r="M1092">
        <v>0.99993639999999995</v>
      </c>
      <c r="N1092">
        <v>-1.0025299999999999E-2</v>
      </c>
      <c r="O1092">
        <v>5.1805489999999996E-3</v>
      </c>
      <c r="P1092">
        <v>0.98941800000000002</v>
      </c>
      <c r="Q1092">
        <v>0.13928119999999999</v>
      </c>
      <c r="R1092">
        <v>-4.0660929999999998E-2</v>
      </c>
      <c r="S1092">
        <v>3.0977480000000002</v>
      </c>
      <c r="T1092">
        <v>-0.57125380000000003</v>
      </c>
      <c r="U1092">
        <v>-0.37301640000000003</v>
      </c>
      <c r="V1092">
        <v>4.5775580000000003E-2</v>
      </c>
      <c r="W1092">
        <v>0.1491943</v>
      </c>
      <c r="X1092">
        <v>0.98774779999999995</v>
      </c>
      <c r="Y1092">
        <v>0.12246700000000001</v>
      </c>
      <c r="Z1092">
        <v>-1.267253E-2</v>
      </c>
      <c r="AA1092">
        <v>0.99239169999999999</v>
      </c>
      <c r="AB1092">
        <v>33</v>
      </c>
      <c r="AC1092">
        <v>0.63259999999996797</v>
      </c>
      <c r="AD1092">
        <v>-0.14705860000000001</v>
      </c>
      <c r="AE1092">
        <v>-9.6699999999998398E-2</v>
      </c>
      <c r="AF1092">
        <v>9.4961455130166503E-2</v>
      </c>
      <c r="AG1092">
        <v>-0.14705860000000001</v>
      </c>
      <c r="AH1092">
        <v>0.60038596154234103</v>
      </c>
      <c r="AI1092">
        <v>103.60038613450099</v>
      </c>
      <c r="AJ1092">
        <v>81.012134506754194</v>
      </c>
      <c r="AK1092">
        <v>0.62538565110779398</v>
      </c>
      <c r="AL1092">
        <v>81.4197622937765</v>
      </c>
      <c r="AM1092">
        <v>87.346617910744598</v>
      </c>
      <c r="AN1092">
        <v>1.00000002964083</v>
      </c>
    </row>
    <row r="1093" spans="1:40" x14ac:dyDescent="0.25">
      <c r="A1093" t="str">
        <f>"20190303170244410"</f>
        <v>20190303170244410</v>
      </c>
      <c r="B1093" t="str">
        <f>"1551603764396410"</f>
        <v>1551603764396410</v>
      </c>
      <c r="C1093" t="s">
        <v>40</v>
      </c>
      <c r="D1093">
        <v>4.4467809999999997</v>
      </c>
      <c r="E1093">
        <v>0.53768680000000002</v>
      </c>
      <c r="F1093" t="s">
        <v>43</v>
      </c>
      <c r="G1093">
        <v>-273.2183</v>
      </c>
      <c r="H1093">
        <v>0.94061139999999999</v>
      </c>
      <c r="I1093">
        <v>367.75229999999999</v>
      </c>
      <c r="J1093">
        <v>-273.96629999999999</v>
      </c>
      <c r="K1093">
        <v>1.11365</v>
      </c>
      <c r="L1093">
        <v>367.86410000000001</v>
      </c>
      <c r="M1093">
        <v>0.99993390000000004</v>
      </c>
      <c r="N1093">
        <v>-1.026551E-2</v>
      </c>
      <c r="O1093">
        <v>5.2049000000000002E-3</v>
      </c>
      <c r="P1093">
        <v>0.98951060000000002</v>
      </c>
      <c r="Q1093">
        <v>0.1386915</v>
      </c>
      <c r="R1093">
        <v>-4.0417330000000001E-2</v>
      </c>
      <c r="S1093">
        <v>3.0990600000000001</v>
      </c>
      <c r="T1093">
        <v>-0.58541269999999901</v>
      </c>
      <c r="U1093">
        <v>-0.37615969999999999</v>
      </c>
      <c r="V1093">
        <v>4.5556920000000001E-2</v>
      </c>
      <c r="W1093">
        <v>0.148843</v>
      </c>
      <c r="X1093">
        <v>0.98781090000000005</v>
      </c>
      <c r="Y1093">
        <v>0.1233088</v>
      </c>
      <c r="Z1093">
        <v>-1.306273E-2</v>
      </c>
      <c r="AA1093">
        <v>0.99228240000000001</v>
      </c>
      <c r="AB1093">
        <v>33</v>
      </c>
      <c r="AC1093">
        <v>0.74799999999999001</v>
      </c>
      <c r="AD1093">
        <v>-0.17303859999999999</v>
      </c>
      <c r="AE1093">
        <v>-0.111800000000016</v>
      </c>
      <c r="AF1093">
        <v>0.10993713314134899</v>
      </c>
      <c r="AG1093">
        <v>-0.17303859999999999</v>
      </c>
      <c r="AH1093">
        <v>0.71022989242460599</v>
      </c>
      <c r="AI1093">
        <v>103.537444825376</v>
      </c>
      <c r="AJ1093">
        <v>81.200966151854203</v>
      </c>
      <c r="AK1093">
        <v>0.73922596709447796</v>
      </c>
      <c r="AL1093">
        <v>81.440117521627002</v>
      </c>
      <c r="AM1093">
        <v>87.359443003087094</v>
      </c>
      <c r="AN1093">
        <v>1.0000000228838399</v>
      </c>
    </row>
    <row r="1094" spans="1:40" x14ac:dyDescent="0.25">
      <c r="A1094" t="str">
        <f>"20190303170244425"</f>
        <v>20190303170244425</v>
      </c>
      <c r="B1094" t="str">
        <f>"1551603764416907"</f>
        <v>1551603764416907</v>
      </c>
      <c r="C1094" t="s">
        <v>40</v>
      </c>
      <c r="D1094">
        <v>4.4458799999999998</v>
      </c>
      <c r="E1094">
        <v>0.53829559999999999</v>
      </c>
      <c r="F1094" t="s">
        <v>43</v>
      </c>
      <c r="G1094">
        <v>-273.20620000000002</v>
      </c>
      <c r="H1094">
        <v>0.96704610000000002</v>
      </c>
      <c r="I1094">
        <v>367.77109999999999</v>
      </c>
      <c r="J1094">
        <v>-273.74430000000001</v>
      </c>
      <c r="K1094">
        <v>1.1145050000000001</v>
      </c>
      <c r="L1094">
        <v>367.86529999999999</v>
      </c>
      <c r="M1094">
        <v>0.99993030000000005</v>
      </c>
      <c r="N1094">
        <v>-1.057256E-2</v>
      </c>
      <c r="O1094">
        <v>5.2375700000000004E-3</v>
      </c>
      <c r="P1094">
        <v>0.98956789999999994</v>
      </c>
      <c r="Q1094">
        <v>0.1384021</v>
      </c>
      <c r="R1094">
        <v>-4.000596E-2</v>
      </c>
      <c r="S1094">
        <v>3.1001590000000001</v>
      </c>
      <c r="T1094">
        <v>-0.59796059999999995</v>
      </c>
      <c r="U1094">
        <v>-0.37872309999999998</v>
      </c>
      <c r="V1094">
        <v>4.5178160000000002E-2</v>
      </c>
      <c r="W1094">
        <v>0.14885770000000001</v>
      </c>
      <c r="X1094">
        <v>0.98782599999999998</v>
      </c>
      <c r="Y1094">
        <v>0.1239939</v>
      </c>
      <c r="Z1094">
        <v>-1.3413029999999999E-2</v>
      </c>
      <c r="AA1094">
        <v>0.99219230000000003</v>
      </c>
      <c r="AB1094">
        <v>33</v>
      </c>
      <c r="AC1094">
        <v>0.53809999999998503</v>
      </c>
      <c r="AD1094">
        <v>-0.147458899999999</v>
      </c>
      <c r="AE1094">
        <v>-9.42000000000007E-2</v>
      </c>
      <c r="AF1094">
        <v>9.0428332074171905E-2</v>
      </c>
      <c r="AG1094">
        <v>-0.147458899999999</v>
      </c>
      <c r="AH1094">
        <v>0.50108845694892601</v>
      </c>
      <c r="AI1094">
        <v>106.150976658788</v>
      </c>
      <c r="AJ1094">
        <v>79.770287995293202</v>
      </c>
      <c r="AK1094">
        <v>0.53010475579679806</v>
      </c>
      <c r="AL1094">
        <v>81.439265101578002</v>
      </c>
      <c r="AM1094">
        <v>87.381405866769299</v>
      </c>
      <c r="AN1094">
        <v>0.99999994363313605</v>
      </c>
    </row>
    <row r="1095" spans="1:40" x14ac:dyDescent="0.25">
      <c r="A1095" t="str">
        <f>"20190303170244440"</f>
        <v>20190303170244440</v>
      </c>
      <c r="B1095" t="str">
        <f>"1551603764426666"</f>
        <v>1551603764426666</v>
      </c>
      <c r="C1095" t="s">
        <v>40</v>
      </c>
      <c r="D1095">
        <v>4.432042</v>
      </c>
      <c r="E1095">
        <v>0.53853879999999998</v>
      </c>
      <c r="F1095" t="s">
        <v>43</v>
      </c>
      <c r="G1095">
        <v>-272.92230000000001</v>
      </c>
      <c r="H1095">
        <v>0.95162080000000004</v>
      </c>
      <c r="I1095">
        <v>367.76409999999998</v>
      </c>
      <c r="J1095">
        <v>-273.54320000000001</v>
      </c>
      <c r="K1095">
        <v>1.115216</v>
      </c>
      <c r="L1095">
        <v>367.86630000000002</v>
      </c>
      <c r="M1095">
        <v>0.99992749999999997</v>
      </c>
      <c r="N1095">
        <v>-1.0837080000000001E-2</v>
      </c>
      <c r="O1095">
        <v>5.2667879999999997E-3</v>
      </c>
      <c r="P1095">
        <v>0.98960809999999999</v>
      </c>
      <c r="Q1095">
        <v>0.13812669999999999</v>
      </c>
      <c r="R1095">
        <v>-3.9963209999999999E-2</v>
      </c>
      <c r="S1095">
        <v>3.1022029999999998</v>
      </c>
      <c r="T1095">
        <v>-0.61466149999999997</v>
      </c>
      <c r="U1095">
        <v>-0.38156129999999999</v>
      </c>
      <c r="V1095">
        <v>4.5164759999999998E-2</v>
      </c>
      <c r="W1095">
        <v>0.148844</v>
      </c>
      <c r="X1095">
        <v>0.9878287</v>
      </c>
      <c r="Y1095">
        <v>0.12468949999999999</v>
      </c>
      <c r="Z1095">
        <v>-1.3847689999999999E-2</v>
      </c>
      <c r="AA1095">
        <v>0.99209919999999996</v>
      </c>
      <c r="AB1095">
        <v>33</v>
      </c>
      <c r="AC1095">
        <v>0.620900000000006</v>
      </c>
      <c r="AD1095">
        <v>-0.163595199999999</v>
      </c>
      <c r="AE1095">
        <v>-0.102200000000038</v>
      </c>
      <c r="AF1095">
        <v>9.8791518797224004E-2</v>
      </c>
      <c r="AG1095">
        <v>-0.163595199999999</v>
      </c>
      <c r="AH1095">
        <v>0.58107755677197603</v>
      </c>
      <c r="AI1095">
        <v>105.512253193321</v>
      </c>
      <c r="AJ1095">
        <v>80.351155999067799</v>
      </c>
      <c r="AK1095">
        <v>0.61169786711528695</v>
      </c>
      <c r="AL1095">
        <v>81.440059091685399</v>
      </c>
      <c r="AM1095">
        <v>87.382188615564303</v>
      </c>
      <c r="AN1095">
        <v>0.99999996621277298</v>
      </c>
    </row>
    <row r="1096" spans="1:40" x14ac:dyDescent="0.25">
      <c r="A1096" t="str">
        <f>"20190303170244453"</f>
        <v>20190303170244453</v>
      </c>
      <c r="B1096" t="str">
        <f>"1551603764447162"</f>
        <v>1551603764447162</v>
      </c>
      <c r="C1096" t="s">
        <v>40</v>
      </c>
      <c r="D1096">
        <v>4.440194</v>
      </c>
      <c r="E1096">
        <v>0.53881889999999999</v>
      </c>
      <c r="F1096" t="s">
        <v>43</v>
      </c>
      <c r="G1096">
        <v>-272.63940000000002</v>
      </c>
      <c r="H1096">
        <v>0.93410269999999995</v>
      </c>
      <c r="I1096">
        <v>367.75459999999998</v>
      </c>
      <c r="J1096">
        <v>-273.33800000000002</v>
      </c>
      <c r="K1096">
        <v>1.115882</v>
      </c>
      <c r="L1096">
        <v>367.86739999999998</v>
      </c>
      <c r="M1096">
        <v>0.99992449999999999</v>
      </c>
      <c r="N1096">
        <v>-1.109197E-2</v>
      </c>
      <c r="O1096">
        <v>5.2967980000000001E-3</v>
      </c>
      <c r="P1096">
        <v>0.98966209999999999</v>
      </c>
      <c r="Q1096">
        <v>0.13771659999999999</v>
      </c>
      <c r="R1096">
        <v>-4.0042519999999998E-2</v>
      </c>
      <c r="S1096">
        <v>3.102875</v>
      </c>
      <c r="T1096">
        <v>-0.62195710000000004</v>
      </c>
      <c r="U1096">
        <v>-0.38241579999999997</v>
      </c>
      <c r="V1096">
        <v>4.5274210000000002E-2</v>
      </c>
      <c r="W1096">
        <v>0.14868599999999901</v>
      </c>
      <c r="X1096">
        <v>0.98784749999999999</v>
      </c>
      <c r="Y1096">
        <v>0.1248954</v>
      </c>
      <c r="Z1096">
        <v>-1.404065E-2</v>
      </c>
      <c r="AA1096">
        <v>0.99207060000000002</v>
      </c>
      <c r="AB1096">
        <v>33</v>
      </c>
      <c r="AC1096">
        <v>0.69859999999994205</v>
      </c>
      <c r="AD1096">
        <v>-0.1817793</v>
      </c>
      <c r="AE1096">
        <v>-0.112799999999992</v>
      </c>
      <c r="AF1096">
        <v>0.10928750312854101</v>
      </c>
      <c r="AG1096">
        <v>-0.1817793</v>
      </c>
      <c r="AH1096">
        <v>0.65478575276054496</v>
      </c>
      <c r="AI1096">
        <v>105.313833067998</v>
      </c>
      <c r="AJ1096">
        <v>80.524350414469296</v>
      </c>
      <c r="AK1096">
        <v>0.68828181311636705</v>
      </c>
      <c r="AL1096">
        <v>81.449213828039603</v>
      </c>
      <c r="AM1096">
        <v>87.375903471644506</v>
      </c>
      <c r="AN1096">
        <v>0.99999998197168605</v>
      </c>
    </row>
    <row r="1097" spans="1:40" x14ac:dyDescent="0.25">
      <c r="A1097" t="str">
        <f>"20190303170244467"</f>
        <v>20190303170244467</v>
      </c>
      <c r="B1097" t="str">
        <f>"1551603764456922"</f>
        <v>1551603764456922</v>
      </c>
      <c r="C1097" t="s">
        <v>40</v>
      </c>
      <c r="D1097">
        <v>4.4449319999999997</v>
      </c>
      <c r="E1097">
        <v>0.53891679999999997</v>
      </c>
      <c r="F1097" t="s">
        <v>43</v>
      </c>
      <c r="G1097">
        <v>-272.62299999999999</v>
      </c>
      <c r="H1097">
        <v>0.96987060000000003</v>
      </c>
      <c r="I1097">
        <v>367.77859999999998</v>
      </c>
      <c r="J1097">
        <v>-273.1515</v>
      </c>
      <c r="K1097">
        <v>1.1164080000000001</v>
      </c>
      <c r="L1097">
        <v>367.86849999999998</v>
      </c>
      <c r="M1097">
        <v>0.99992210000000004</v>
      </c>
      <c r="N1097">
        <v>-1.130606E-2</v>
      </c>
      <c r="O1097">
        <v>5.3238490000000003E-3</v>
      </c>
      <c r="P1097">
        <v>0.98969790000000002</v>
      </c>
      <c r="Q1097">
        <v>0.1375062</v>
      </c>
      <c r="R1097">
        <v>-3.9881769999999997E-2</v>
      </c>
      <c r="S1097">
        <v>3.104034</v>
      </c>
      <c r="T1097">
        <v>-0.63404019999999905</v>
      </c>
      <c r="U1097">
        <v>-0.38415529999999998</v>
      </c>
      <c r="V1097">
        <v>4.5140449999999999E-2</v>
      </c>
      <c r="W1097">
        <v>0.1486874</v>
      </c>
      <c r="X1097">
        <v>0.98785339999999999</v>
      </c>
      <c r="Y1097">
        <v>0.12531339999999999</v>
      </c>
      <c r="Z1097">
        <v>-1.4352719999999999E-2</v>
      </c>
      <c r="AA1097">
        <v>0.99201340000000005</v>
      </c>
      <c r="AB1097">
        <v>33</v>
      </c>
      <c r="AC1097">
        <v>0.52850000000000796</v>
      </c>
      <c r="AD1097">
        <v>-0.14653740000000001</v>
      </c>
      <c r="AE1097">
        <v>-8.9899999999999994E-2</v>
      </c>
      <c r="AF1097">
        <v>8.6266959126027998E-2</v>
      </c>
      <c r="AG1097">
        <v>-0.14653740000000001</v>
      </c>
      <c r="AH1097">
        <v>0.49130507049112698</v>
      </c>
      <c r="AI1097">
        <v>106.37106570186801</v>
      </c>
      <c r="AJ1097">
        <v>80.041104640505594</v>
      </c>
      <c r="AK1097">
        <v>0.51989986547978995</v>
      </c>
      <c r="AL1097">
        <v>81.4491326222374</v>
      </c>
      <c r="AM1097">
        <v>87.383661026850007</v>
      </c>
      <c r="AN1097">
        <v>0.99999997151826003</v>
      </c>
    </row>
    <row r="1098" spans="1:40" x14ac:dyDescent="0.25">
      <c r="A1098" t="str">
        <f>"20190303170244482"</f>
        <v>20190303170244482</v>
      </c>
      <c r="B1098" t="str">
        <f>"1551603764476442"</f>
        <v>1551603764476442</v>
      </c>
      <c r="C1098" t="s">
        <v>40</v>
      </c>
      <c r="D1098">
        <v>4.4313890000000002</v>
      </c>
      <c r="E1098">
        <v>0.53918959999999905</v>
      </c>
      <c r="F1098" t="s">
        <v>43</v>
      </c>
      <c r="G1098">
        <v>-272.34179999999998</v>
      </c>
      <c r="H1098">
        <v>0.94990580000000002</v>
      </c>
      <c r="I1098">
        <v>367.76819999999998</v>
      </c>
      <c r="J1098">
        <v>-272.92630000000003</v>
      </c>
      <c r="K1098">
        <v>1.1169990000000001</v>
      </c>
      <c r="L1098">
        <v>367.86970000000002</v>
      </c>
      <c r="M1098">
        <v>0.99991890000000005</v>
      </c>
      <c r="N1098">
        <v>-1.1552099999999999E-2</v>
      </c>
      <c r="O1098">
        <v>5.3565929999999998E-3</v>
      </c>
      <c r="P1098">
        <v>0.98980080000000004</v>
      </c>
      <c r="Q1098">
        <v>0.1368412</v>
      </c>
      <c r="R1098">
        <v>-3.9611170000000001E-2</v>
      </c>
      <c r="S1098">
        <v>3.1044309999999999</v>
      </c>
      <c r="T1098">
        <v>-0.63836289999999996</v>
      </c>
      <c r="U1098">
        <v>-0.38446039999999998</v>
      </c>
      <c r="V1098">
        <v>4.4902919999999999E-2</v>
      </c>
      <c r="W1098">
        <v>0.148266799999999</v>
      </c>
      <c r="X1098">
        <v>0.98792749999999996</v>
      </c>
      <c r="Y1098">
        <v>0.125385199999999</v>
      </c>
      <c r="Z1098">
        <v>-1.447083E-2</v>
      </c>
      <c r="AA1098">
        <v>0.99200259999999996</v>
      </c>
      <c r="AB1098">
        <v>33</v>
      </c>
      <c r="AC1098">
        <v>0.58450000000004798</v>
      </c>
      <c r="AD1098">
        <v>-0.167093199999999</v>
      </c>
      <c r="AE1098">
        <v>-0.101500000000044</v>
      </c>
      <c r="AF1098">
        <v>9.6939335317677899E-2</v>
      </c>
      <c r="AG1098">
        <v>-0.167093199999999</v>
      </c>
      <c r="AH1098">
        <v>0.54102735424421999</v>
      </c>
      <c r="AI1098">
        <v>106.909426005641</v>
      </c>
      <c r="AJ1098">
        <v>79.841740529349494</v>
      </c>
      <c r="AK1098">
        <v>0.57448060912320897</v>
      </c>
      <c r="AL1098">
        <v>81.473501843194697</v>
      </c>
      <c r="AM1098">
        <v>87.397604218353607</v>
      </c>
      <c r="AN1098">
        <v>1.0000000307315</v>
      </c>
    </row>
    <row r="1099" spans="1:40" x14ac:dyDescent="0.25">
      <c r="A1099" t="str">
        <f>"20190303170244494"</f>
        <v>20190303170244494</v>
      </c>
      <c r="B1099" t="str">
        <f>"1551603764487178"</f>
        <v>1551603764487178</v>
      </c>
      <c r="C1099" t="s">
        <v>40</v>
      </c>
      <c r="D1099">
        <v>4.4357189999999997</v>
      </c>
      <c r="E1099">
        <v>0.53934969999999904</v>
      </c>
      <c r="F1099" t="s">
        <v>43</v>
      </c>
      <c r="G1099">
        <v>-272.05790000000002</v>
      </c>
      <c r="H1099">
        <v>0.93611759999999999</v>
      </c>
      <c r="I1099">
        <v>367.76139999999998</v>
      </c>
      <c r="J1099">
        <v>-272.7516</v>
      </c>
      <c r="K1099">
        <v>1.1174230000000001</v>
      </c>
      <c r="L1099">
        <v>367.8707</v>
      </c>
      <c r="M1099">
        <v>0.99991680000000005</v>
      </c>
      <c r="N1099">
        <v>-1.17333E-2</v>
      </c>
      <c r="O1099">
        <v>5.3815829999999997E-3</v>
      </c>
      <c r="P1099">
        <v>0.98985919999999905</v>
      </c>
      <c r="Q1099">
        <v>0.13649120000000001</v>
      </c>
      <c r="R1099">
        <v>-3.9359209999999999E-2</v>
      </c>
      <c r="S1099">
        <v>3.1049190000000002</v>
      </c>
      <c r="T1099">
        <v>-0.64693089999999998</v>
      </c>
      <c r="U1099">
        <v>-0.38580320000000001</v>
      </c>
      <c r="V1099">
        <v>4.467612E-2</v>
      </c>
      <c r="W1099">
        <v>0.14809659999999999</v>
      </c>
      <c r="X1099">
        <v>0.98796329999999999</v>
      </c>
      <c r="Y1099">
        <v>0.12573019999999999</v>
      </c>
      <c r="Z1099">
        <v>-1.470283E-2</v>
      </c>
      <c r="AA1099">
        <v>0.99195549999999999</v>
      </c>
      <c r="AB1099">
        <v>33</v>
      </c>
      <c r="AC1099">
        <v>0.693699999999978</v>
      </c>
      <c r="AD1099">
        <v>-0.18130540000000001</v>
      </c>
      <c r="AE1099">
        <v>-0.10930000000001799</v>
      </c>
      <c r="AF1099">
        <v>0.10596861361511201</v>
      </c>
      <c r="AG1099">
        <v>-0.18130540000000001</v>
      </c>
      <c r="AH1099">
        <v>0.64979038079639195</v>
      </c>
      <c r="AI1099">
        <v>105.39667293646001</v>
      </c>
      <c r="AJ1099">
        <v>80.7376715566607</v>
      </c>
      <c r="AK1099">
        <v>0.68288251853169302</v>
      </c>
      <c r="AL1099">
        <v>81.483362355358295</v>
      </c>
      <c r="AM1099">
        <v>87.410824413361794</v>
      </c>
      <c r="AN1099">
        <v>1.0000000203883499</v>
      </c>
    </row>
    <row r="1100" spans="1:40" x14ac:dyDescent="0.25">
      <c r="A1100" t="str">
        <f>"20190303170244505"</f>
        <v>20190303170244505</v>
      </c>
      <c r="B1100" t="str">
        <f>"1551603764496938"</f>
        <v>1551603764496938</v>
      </c>
      <c r="C1100" t="s">
        <v>40</v>
      </c>
      <c r="D1100">
        <v>4.4364910000000002</v>
      </c>
      <c r="E1100">
        <v>0.53942019999999902</v>
      </c>
      <c r="F1100" t="s">
        <v>43</v>
      </c>
      <c r="G1100">
        <v>-272.04270000000002</v>
      </c>
      <c r="H1100">
        <v>0.96884040000000005</v>
      </c>
      <c r="I1100">
        <v>367.78199999999998</v>
      </c>
      <c r="J1100">
        <v>-272.57850000000002</v>
      </c>
      <c r="K1100">
        <v>1.1177919999999999</v>
      </c>
      <c r="L1100">
        <v>367.8716</v>
      </c>
      <c r="M1100">
        <v>0.99991479999999999</v>
      </c>
      <c r="N1100">
        <v>-1.189789E-2</v>
      </c>
      <c r="O1100">
        <v>5.4063569999999997E-3</v>
      </c>
      <c r="P1100">
        <v>0.98990219999999995</v>
      </c>
      <c r="Q1100">
        <v>0.1361802</v>
      </c>
      <c r="R1100">
        <v>-3.9354409999999999E-2</v>
      </c>
      <c r="S1100">
        <v>3.1051329999999999</v>
      </c>
      <c r="T1100">
        <v>-0.65102910000000003</v>
      </c>
      <c r="U1100">
        <v>-0.38644410000000001</v>
      </c>
      <c r="V1100">
        <v>4.4696260000000002E-2</v>
      </c>
      <c r="W1100">
        <v>0.14794849999999901</v>
      </c>
      <c r="X1100">
        <v>0.98798450000000004</v>
      </c>
      <c r="Y1100">
        <v>0.1259062</v>
      </c>
      <c r="Z1100">
        <v>-1.4822470000000001E-2</v>
      </c>
      <c r="AA1100">
        <v>0.99193140000000002</v>
      </c>
      <c r="AB1100">
        <v>33</v>
      </c>
      <c r="AC1100">
        <v>0.53579999999999395</v>
      </c>
      <c r="AD1100">
        <v>-0.14895159999999899</v>
      </c>
      <c r="AE1100">
        <v>-8.9600000000018498E-2</v>
      </c>
      <c r="AF1100">
        <v>8.60279725348706E-2</v>
      </c>
      <c r="AG1100">
        <v>-0.14895159999999899</v>
      </c>
      <c r="AH1100">
        <v>0.49787695654792402</v>
      </c>
      <c r="AI1100">
        <v>106.42578032517</v>
      </c>
      <c r="AJ1100">
        <v>80.196682351989395</v>
      </c>
      <c r="AK1100">
        <v>0.52675312534663099</v>
      </c>
      <c r="AL1100">
        <v>81.491941716834305</v>
      </c>
      <c r="AM1100">
        <v>87.409714309551106</v>
      </c>
      <c r="AN1100">
        <v>0.999999943275242</v>
      </c>
    </row>
    <row r="1101" spans="1:40" x14ac:dyDescent="0.25">
      <c r="A1101" t="str">
        <f>"20190303170244517"</f>
        <v>20190303170244517</v>
      </c>
      <c r="B1101" t="str">
        <f>"1551603764506699"</f>
        <v>1551603764506699</v>
      </c>
      <c r="C1101" t="s">
        <v>40</v>
      </c>
      <c r="D1101">
        <v>4.4606589999999997</v>
      </c>
      <c r="E1101">
        <v>0.53976569999999902</v>
      </c>
      <c r="F1101" t="s">
        <v>43</v>
      </c>
      <c r="G1101">
        <v>-271.7636</v>
      </c>
      <c r="H1101">
        <v>0.94598360000000004</v>
      </c>
      <c r="I1101">
        <v>367.77</v>
      </c>
      <c r="J1101">
        <v>-272.41269999999997</v>
      </c>
      <c r="K1101">
        <v>1.118131</v>
      </c>
      <c r="L1101">
        <v>367.87259999999998</v>
      </c>
      <c r="M1101">
        <v>0.99991269999999999</v>
      </c>
      <c r="N1101">
        <v>-1.2051330000000001E-2</v>
      </c>
      <c r="O1101">
        <v>5.4302909999999899E-3</v>
      </c>
      <c r="P1101">
        <v>0.98996499999999998</v>
      </c>
      <c r="Q1101">
        <v>0.13569049999999999</v>
      </c>
      <c r="R1101">
        <v>-3.9466599999999998E-2</v>
      </c>
      <c r="S1101">
        <v>3.1052550000000001</v>
      </c>
      <c r="T1101">
        <v>-0.65471449999999998</v>
      </c>
      <c r="U1101">
        <v>-0.38684079999999998</v>
      </c>
      <c r="V1101">
        <v>4.4832549999999999E-2</v>
      </c>
      <c r="W1101">
        <v>0.147611299999999</v>
      </c>
      <c r="X1101">
        <v>0.98802880000000004</v>
      </c>
      <c r="Y1101">
        <v>0.12601299999999999</v>
      </c>
      <c r="Z1101">
        <v>-1.4925620000000001E-2</v>
      </c>
      <c r="AA1101">
        <v>0.99191629999999997</v>
      </c>
      <c r="AB1101">
        <v>32</v>
      </c>
      <c r="AC1101">
        <v>0.64909999999997503</v>
      </c>
      <c r="AD1101">
        <v>-0.17214740000000001</v>
      </c>
      <c r="AE1101">
        <v>-0.102599999999995</v>
      </c>
      <c r="AF1101">
        <v>9.9308821383694804E-2</v>
      </c>
      <c r="AG1101">
        <v>-0.17214740000000001</v>
      </c>
      <c r="AH1101">
        <v>0.60688767867399096</v>
      </c>
      <c r="AI1101">
        <v>105.638687379727</v>
      </c>
      <c r="AJ1101">
        <v>80.7066979739255</v>
      </c>
      <c r="AK1101">
        <v>0.63859973681304005</v>
      </c>
      <c r="AL1101">
        <v>81.511476666834298</v>
      </c>
      <c r="AM1101">
        <v>87.401943025967995</v>
      </c>
      <c r="AN1101">
        <v>0.99999998152831604</v>
      </c>
    </row>
    <row r="1102" spans="1:40" x14ac:dyDescent="0.25">
      <c r="A1102" t="str">
        <f>"20190303170244528"</f>
        <v>20190303170244528</v>
      </c>
      <c r="B1102" t="str">
        <f>"1551603764516458"</f>
        <v>1551603764516458</v>
      </c>
      <c r="C1102" t="s">
        <v>40</v>
      </c>
      <c r="D1102">
        <v>4.4076219999999999</v>
      </c>
      <c r="E1102">
        <v>0.54005300000000001</v>
      </c>
      <c r="F1102" t="s">
        <v>43</v>
      </c>
      <c r="G1102">
        <v>-271.48509999999999</v>
      </c>
      <c r="H1102">
        <v>0.92124989999999995</v>
      </c>
      <c r="I1102">
        <v>367.7559</v>
      </c>
      <c r="J1102">
        <v>-272.24930000000001</v>
      </c>
      <c r="K1102">
        <v>1.1184229999999999</v>
      </c>
      <c r="L1102">
        <v>367.87349999999998</v>
      </c>
      <c r="M1102">
        <v>0.99991079999999999</v>
      </c>
      <c r="N1102">
        <v>-1.219109E-2</v>
      </c>
      <c r="O1102">
        <v>5.4538199999999998E-3</v>
      </c>
      <c r="P1102">
        <v>0.99000529999999998</v>
      </c>
      <c r="Q1102">
        <v>0.13541</v>
      </c>
      <c r="R1102">
        <v>-3.9417699999999903E-2</v>
      </c>
      <c r="S1102">
        <v>3.105194</v>
      </c>
      <c r="T1102">
        <v>-0.65922579999999997</v>
      </c>
      <c r="U1102">
        <v>-0.38928220000000002</v>
      </c>
      <c r="V1102">
        <v>4.4807119999999999E-2</v>
      </c>
      <c r="W1102">
        <v>0.1474693</v>
      </c>
      <c r="X1102">
        <v>0.98805120000000002</v>
      </c>
      <c r="Y1102">
        <v>0.12674750000000001</v>
      </c>
      <c r="Z1102">
        <v>-1.5115460000000001E-2</v>
      </c>
      <c r="AA1102">
        <v>0.99181989999999998</v>
      </c>
      <c r="AB1102">
        <v>32</v>
      </c>
      <c r="AC1102">
        <v>0.76420000000001598</v>
      </c>
      <c r="AD1102">
        <v>-0.19717309999999999</v>
      </c>
      <c r="AE1102">
        <v>-0.117599999999981</v>
      </c>
      <c r="AF1102">
        <v>0.114331353078911</v>
      </c>
      <c r="AG1102">
        <v>-0.19717309999999999</v>
      </c>
      <c r="AH1102">
        <v>0.71692526010967195</v>
      </c>
      <c r="AI1102">
        <v>105.19466979525301</v>
      </c>
      <c r="AJ1102">
        <v>80.9390785267409</v>
      </c>
      <c r="AK1102">
        <v>0.75228366873393304</v>
      </c>
      <c r="AL1102">
        <v>81.519703048368896</v>
      </c>
      <c r="AM1102">
        <v>87.4034734693671</v>
      </c>
      <c r="AN1102">
        <v>1.0000000231333099</v>
      </c>
    </row>
    <row r="1103" spans="1:40" x14ac:dyDescent="0.25">
      <c r="A1103" t="str">
        <f>"20190303170244539"</f>
        <v>20190303170244539</v>
      </c>
      <c r="B1103" t="str">
        <f>"1551603764527194"</f>
        <v>1551603764527194</v>
      </c>
      <c r="C1103" t="s">
        <v>40</v>
      </c>
      <c r="D1103">
        <v>4.4250829999999999</v>
      </c>
      <c r="E1103">
        <v>0.54031899999999999</v>
      </c>
      <c r="F1103" t="s">
        <v>43</v>
      </c>
      <c r="G1103">
        <v>-271.471</v>
      </c>
      <c r="H1103">
        <v>0.95239030000000002</v>
      </c>
      <c r="I1103">
        <v>367.77499999999998</v>
      </c>
      <c r="J1103">
        <v>-272.09719999999999</v>
      </c>
      <c r="K1103">
        <v>1.118682</v>
      </c>
      <c r="L1103">
        <v>367.87430000000001</v>
      </c>
      <c r="M1103">
        <v>0.9999091</v>
      </c>
      <c r="N1103">
        <v>-1.231644E-2</v>
      </c>
      <c r="O1103">
        <v>5.4754019999999999E-3</v>
      </c>
      <c r="P1103">
        <v>0.99003580000000002</v>
      </c>
      <c r="Q1103">
        <v>0.13520799999999999</v>
      </c>
      <c r="R1103">
        <v>-3.9339060000000002E-2</v>
      </c>
      <c r="S1103">
        <v>3.1053470000000001</v>
      </c>
      <c r="T1103">
        <v>-0.66260269999999899</v>
      </c>
      <c r="U1103">
        <v>-0.39135740000000002</v>
      </c>
      <c r="V1103">
        <v>4.4750209999999999E-2</v>
      </c>
      <c r="W1103">
        <v>0.14739150000000001</v>
      </c>
      <c r="X1103">
        <v>0.98806539999999998</v>
      </c>
      <c r="Y1103">
        <v>0.12736910000000001</v>
      </c>
      <c r="Z1103">
        <v>-1.5267350000000001E-2</v>
      </c>
      <c r="AA1103">
        <v>0.99173789999999995</v>
      </c>
      <c r="AB1103">
        <v>32</v>
      </c>
      <c r="AC1103">
        <v>0.62619999999998299</v>
      </c>
      <c r="AD1103">
        <v>-0.16629169999999899</v>
      </c>
      <c r="AE1103">
        <v>-9.9300000000027894E-2</v>
      </c>
      <c r="AF1103">
        <v>9.6115615640385094E-2</v>
      </c>
      <c r="AG1103">
        <v>-0.16629169999999899</v>
      </c>
      <c r="AH1103">
        <v>0.58537832603899698</v>
      </c>
      <c r="AI1103">
        <v>105.659354944369</v>
      </c>
      <c r="AJ1103">
        <v>80.675576528346198</v>
      </c>
      <c r="AK1103">
        <v>0.61608353788673698</v>
      </c>
      <c r="AL1103">
        <v>81.524210011296105</v>
      </c>
      <c r="AM1103">
        <v>87.406804058341194</v>
      </c>
      <c r="AN1103">
        <v>1.00000003512222</v>
      </c>
    </row>
    <row r="1104" spans="1:40" x14ac:dyDescent="0.25">
      <c r="A1104" t="str">
        <f>"20190303170244549"</f>
        <v>20190303170244549</v>
      </c>
      <c r="B1104" t="str">
        <f>"1551603764536954"</f>
        <v>1551603764536954</v>
      </c>
      <c r="C1104" t="s">
        <v>40</v>
      </c>
      <c r="D1104">
        <v>4.4100960000000002</v>
      </c>
      <c r="E1104">
        <v>0.54057029999999995</v>
      </c>
      <c r="F1104" t="s">
        <v>43</v>
      </c>
      <c r="G1104">
        <v>-271.19400000000002</v>
      </c>
      <c r="H1104">
        <v>0.92526140000000001</v>
      </c>
      <c r="I1104">
        <v>367.75959999999998</v>
      </c>
      <c r="J1104">
        <v>-271.94569999999999</v>
      </c>
      <c r="K1104">
        <v>1.1189180000000001</v>
      </c>
      <c r="L1104">
        <v>367.87520000000001</v>
      </c>
      <c r="M1104">
        <v>0.99990760000000001</v>
      </c>
      <c r="N1104">
        <v>-1.2433980000000001E-2</v>
      </c>
      <c r="O1104">
        <v>5.4967269999999999E-3</v>
      </c>
      <c r="P1104">
        <v>0.99004400000000004</v>
      </c>
      <c r="Q1104">
        <v>0.1352112</v>
      </c>
      <c r="R1104">
        <v>-3.912409E-2</v>
      </c>
      <c r="S1104">
        <v>3.1053470000000001</v>
      </c>
      <c r="T1104">
        <v>-0.66516260000000005</v>
      </c>
      <c r="U1104">
        <v>-0.39370729999999998</v>
      </c>
      <c r="V1104">
        <v>4.4556289999999998E-2</v>
      </c>
      <c r="W1104">
        <v>0.14751129999999901</v>
      </c>
      <c r="X1104">
        <v>0.98805620000000005</v>
      </c>
      <c r="Y1104">
        <v>0.12808710000000001</v>
      </c>
      <c r="Z1104">
        <v>-1.541322E-2</v>
      </c>
      <c r="AA1104">
        <v>0.9916431</v>
      </c>
      <c r="AB1104">
        <v>32</v>
      </c>
      <c r="AC1104">
        <v>0.75169999999997095</v>
      </c>
      <c r="AD1104">
        <v>-0.19365660000000001</v>
      </c>
      <c r="AE1104">
        <v>-0.115600000000029</v>
      </c>
      <c r="AF1104">
        <v>0.112440159516504</v>
      </c>
      <c r="AG1104">
        <v>-0.19365660000000001</v>
      </c>
      <c r="AH1104">
        <v>0.70532207676389702</v>
      </c>
      <c r="AI1104">
        <v>105.17049255577901</v>
      </c>
      <c r="AJ1104">
        <v>80.942309161495501</v>
      </c>
      <c r="AK1104">
        <v>0.74001682424536297</v>
      </c>
      <c r="AL1104">
        <v>81.517269396020893</v>
      </c>
      <c r="AM1104">
        <v>87.418002132040201</v>
      </c>
      <c r="AN1104">
        <v>0.99999995048234502</v>
      </c>
    </row>
    <row r="1105" spans="1:40" x14ac:dyDescent="0.25">
      <c r="A1105" t="str">
        <f>"20190303170244563"</f>
        <v>20190303170244563</v>
      </c>
      <c r="B1105" t="str">
        <f>"1551603764556474"</f>
        <v>1551603764556474</v>
      </c>
      <c r="C1105" t="s">
        <v>40</v>
      </c>
      <c r="D1105">
        <v>4.3843620000000003</v>
      </c>
      <c r="E1105">
        <v>0.54109160000000001</v>
      </c>
      <c r="F1105" t="s">
        <v>43</v>
      </c>
      <c r="G1105">
        <v>-271.1807</v>
      </c>
      <c r="H1105">
        <v>0.95464769999999999</v>
      </c>
      <c r="I1105">
        <v>367.77760000000001</v>
      </c>
      <c r="J1105">
        <v>-271.74849999999998</v>
      </c>
      <c r="K1105">
        <v>1.1192029999999999</v>
      </c>
      <c r="L1105">
        <v>367.87630000000001</v>
      </c>
      <c r="M1105">
        <v>0.99990559999999995</v>
      </c>
      <c r="N1105">
        <v>-1.257787E-2</v>
      </c>
      <c r="O1105">
        <v>5.5247300000000003E-3</v>
      </c>
      <c r="P1105">
        <v>0.99006930000000004</v>
      </c>
      <c r="Q1105">
        <v>0.13509549999999901</v>
      </c>
      <c r="R1105">
        <v>-3.8886490000000003E-2</v>
      </c>
      <c r="S1105">
        <v>3.1056520000000001</v>
      </c>
      <c r="T1105">
        <v>-0.66703029999999996</v>
      </c>
      <c r="U1105">
        <v>-0.39532469999999997</v>
      </c>
      <c r="V1105">
        <v>4.4346570000000002E-2</v>
      </c>
      <c r="W1105">
        <v>0.14753769999999999</v>
      </c>
      <c r="X1105">
        <v>0.98806170000000004</v>
      </c>
      <c r="Y1105">
        <v>0.12858059999999999</v>
      </c>
      <c r="Z1105">
        <v>-1.552123E-2</v>
      </c>
      <c r="AA1105">
        <v>0.99157759999999995</v>
      </c>
      <c r="AB1105">
        <v>32</v>
      </c>
      <c r="AC1105">
        <v>0.56779999999997699</v>
      </c>
      <c r="AD1105">
        <v>-0.16455529999999999</v>
      </c>
      <c r="AE1105">
        <v>-9.8700000000008004E-2</v>
      </c>
      <c r="AF1105">
        <v>9.4159119366038296E-2</v>
      </c>
      <c r="AG1105">
        <v>-0.16455529999999999</v>
      </c>
      <c r="AH1105">
        <v>0.52448593609171901</v>
      </c>
      <c r="AI1105">
        <v>107.16115472467099</v>
      </c>
      <c r="AJ1105">
        <v>79.822307119228796</v>
      </c>
      <c r="AK1105">
        <v>0.55770053225354299</v>
      </c>
      <c r="AL1105">
        <v>81.515740110473502</v>
      </c>
      <c r="AM1105">
        <v>87.430153176456201</v>
      </c>
      <c r="AN1105">
        <v>0.99999995709947098</v>
      </c>
    </row>
    <row r="1106" spans="1:40" x14ac:dyDescent="0.25">
      <c r="A1106" t="str">
        <f>"20190303170244574"</f>
        <v>20190303170244574</v>
      </c>
      <c r="B1106" t="str">
        <f>"1551603764567211"</f>
        <v>1551603764567211</v>
      </c>
      <c r="C1106" t="s">
        <v>40</v>
      </c>
      <c r="D1106">
        <v>4.3725709999999998</v>
      </c>
      <c r="E1106">
        <v>0.54129700000000003</v>
      </c>
      <c r="F1106" t="s">
        <v>43</v>
      </c>
      <c r="G1106">
        <v>-270.90030000000002</v>
      </c>
      <c r="H1106">
        <v>0.93603460000000005</v>
      </c>
      <c r="I1106">
        <v>367.76710000000003</v>
      </c>
      <c r="J1106">
        <v>-271.5908</v>
      </c>
      <c r="K1106">
        <v>1.1194109999999999</v>
      </c>
      <c r="L1106">
        <v>367.87720000000002</v>
      </c>
      <c r="M1106">
        <v>0.99990429999999997</v>
      </c>
      <c r="N1106">
        <v>-1.2688380000000001E-2</v>
      </c>
      <c r="O1106">
        <v>5.5470320000000004E-3</v>
      </c>
      <c r="P1106">
        <v>0.99005019999999999</v>
      </c>
      <c r="Q1106">
        <v>0.13532549999999999</v>
      </c>
      <c r="R1106">
        <v>-3.8575159999999997E-2</v>
      </c>
      <c r="S1106">
        <v>3.105988</v>
      </c>
      <c r="T1106">
        <v>-0.67079009999999994</v>
      </c>
      <c r="U1106">
        <v>-0.39901730000000002</v>
      </c>
      <c r="V1106">
        <v>4.4057249999999999E-2</v>
      </c>
      <c r="W1106">
        <v>0.147876799999999</v>
      </c>
      <c r="X1106">
        <v>0.98802400000000001</v>
      </c>
      <c r="Y1106">
        <v>0.1296872</v>
      </c>
      <c r="Z1106">
        <v>-1.5736050000000001E-2</v>
      </c>
      <c r="AA1106">
        <v>0.99143009999999998</v>
      </c>
      <c r="AB1106">
        <v>32</v>
      </c>
      <c r="AC1106">
        <v>0.69049999999998501</v>
      </c>
      <c r="AD1106">
        <v>-0.18337639999999999</v>
      </c>
      <c r="AE1106">
        <v>-0.110099999999988</v>
      </c>
      <c r="AF1106">
        <v>0.106597189318203</v>
      </c>
      <c r="AG1106">
        <v>-0.18337639999999999</v>
      </c>
      <c r="AH1106">
        <v>0.64548291790486201</v>
      </c>
      <c r="AI1106">
        <v>105.65793744113699</v>
      </c>
      <c r="AJ1106">
        <v>80.622621330412997</v>
      </c>
      <c r="AK1106">
        <v>0.67943952060097001</v>
      </c>
      <c r="AL1106">
        <v>81.496096059661099</v>
      </c>
      <c r="AM1106">
        <v>87.446799482520902</v>
      </c>
      <c r="AN1106">
        <v>1.0000000069159001</v>
      </c>
    </row>
    <row r="1107" spans="1:40" x14ac:dyDescent="0.25">
      <c r="A1107" t="str">
        <f>"20190303170244584"</f>
        <v>20190303170244584</v>
      </c>
      <c r="B1107" t="str">
        <f>"1551603764576970"</f>
        <v>1551603764576970</v>
      </c>
      <c r="C1107" t="s">
        <v>40</v>
      </c>
      <c r="D1107">
        <v>4.3645740000000002</v>
      </c>
      <c r="E1107">
        <v>0.54149729999999996</v>
      </c>
      <c r="F1107" t="s">
        <v>43</v>
      </c>
      <c r="G1107">
        <v>-270.88600000000002</v>
      </c>
      <c r="H1107">
        <v>0.96699389999999996</v>
      </c>
      <c r="I1107">
        <v>367.78620000000001</v>
      </c>
      <c r="J1107">
        <v>-271.44220000000001</v>
      </c>
      <c r="K1107">
        <v>1.119583</v>
      </c>
      <c r="L1107">
        <v>367.87810000000002</v>
      </c>
      <c r="M1107">
        <v>0.99990290000000004</v>
      </c>
      <c r="N1107">
        <v>-1.278308E-2</v>
      </c>
      <c r="O1107">
        <v>5.5679400000000004E-3</v>
      </c>
      <c r="P1107">
        <v>0.99006300000000003</v>
      </c>
      <c r="Q1107">
        <v>0.13532420000000001</v>
      </c>
      <c r="R1107">
        <v>-3.8248699999999997E-2</v>
      </c>
      <c r="S1107">
        <v>3.1064150000000001</v>
      </c>
      <c r="T1107">
        <v>-0.67189929999999998</v>
      </c>
      <c r="U1107">
        <v>-0.39996340000000002</v>
      </c>
      <c r="V1107">
        <v>4.3751819999999997E-2</v>
      </c>
      <c r="W1107">
        <v>0.1479692</v>
      </c>
      <c r="X1107">
        <v>0.98802369999999995</v>
      </c>
      <c r="Y1107">
        <v>0.129969899999999</v>
      </c>
      <c r="Z1107">
        <v>-1.5799870000000001E-2</v>
      </c>
      <c r="AA1107">
        <v>0.99139200000000005</v>
      </c>
      <c r="AB1107">
        <v>32</v>
      </c>
      <c r="AC1107">
        <v>0.55620000000004599</v>
      </c>
      <c r="AD1107">
        <v>-0.15258909999999901</v>
      </c>
      <c r="AE1107">
        <v>-9.1900000000009599E-2</v>
      </c>
      <c r="AF1107">
        <v>8.8511085265245606E-2</v>
      </c>
      <c r="AG1107">
        <v>-0.15258909999999901</v>
      </c>
      <c r="AH1107">
        <v>0.51774764283828001</v>
      </c>
      <c r="AI1107">
        <v>106.198722936191</v>
      </c>
      <c r="AJ1107">
        <v>80.2988323217389</v>
      </c>
      <c r="AK1107">
        <v>0.546973735492151</v>
      </c>
      <c r="AL1107">
        <v>81.4907427139958</v>
      </c>
      <c r="AM1107">
        <v>87.464475776478395</v>
      </c>
      <c r="AN1107">
        <v>0.99999996883181996</v>
      </c>
    </row>
    <row r="1108" spans="1:40" x14ac:dyDescent="0.25">
      <c r="A1108" t="str">
        <f>"20190303170244595"</f>
        <v>20190303170244595</v>
      </c>
      <c r="B1108" t="str">
        <f>"1551603764586730"</f>
        <v>1551603764586730</v>
      </c>
      <c r="C1108" t="s">
        <v>40</v>
      </c>
      <c r="D1108">
        <v>4.3580509999999997</v>
      </c>
      <c r="E1108">
        <v>0.54168380000000005</v>
      </c>
      <c r="F1108" t="s">
        <v>43</v>
      </c>
      <c r="G1108">
        <v>-270.6103</v>
      </c>
      <c r="H1108">
        <v>0.93924700000000005</v>
      </c>
      <c r="I1108">
        <v>367.7706</v>
      </c>
      <c r="J1108">
        <v>-271.2903</v>
      </c>
      <c r="K1108">
        <v>1.1197549999999901</v>
      </c>
      <c r="L1108">
        <v>367.87889999999999</v>
      </c>
      <c r="M1108">
        <v>0.9999015</v>
      </c>
      <c r="N1108">
        <v>-1.287903E-2</v>
      </c>
      <c r="O1108">
        <v>5.5893729999999999E-3</v>
      </c>
      <c r="P1108">
        <v>0.99009789999999998</v>
      </c>
      <c r="Q1108">
        <v>0.13514979999999999</v>
      </c>
      <c r="R1108">
        <v>-3.7956999999999998E-2</v>
      </c>
      <c r="S1108">
        <v>3.1066590000000001</v>
      </c>
      <c r="T1108">
        <v>-0.67361349999999998</v>
      </c>
      <c r="U1108">
        <v>-0.40078740000000002</v>
      </c>
      <c r="V1108">
        <v>4.3481550000000001E-2</v>
      </c>
      <c r="W1108">
        <v>0.14788999999999999</v>
      </c>
      <c r="X1108">
        <v>0.98804749999999997</v>
      </c>
      <c r="Y1108">
        <v>0.1302169</v>
      </c>
      <c r="Z1108">
        <v>-1.587411E-2</v>
      </c>
      <c r="AA1108">
        <v>0.99135850000000003</v>
      </c>
      <c r="AB1108">
        <v>32</v>
      </c>
      <c r="AC1108">
        <v>0.68000000000000604</v>
      </c>
      <c r="AD1108">
        <v>-0.180507999999999</v>
      </c>
      <c r="AE1108">
        <v>-0.10829999999998501</v>
      </c>
      <c r="AF1108">
        <v>0.104891061526519</v>
      </c>
      <c r="AG1108">
        <v>-0.180507999999999</v>
      </c>
      <c r="AH1108">
        <v>0.63569752147515302</v>
      </c>
      <c r="AI1108">
        <v>105.65098380054199</v>
      </c>
      <c r="AJ1108">
        <v>80.6305297515988</v>
      </c>
      <c r="AK1108">
        <v>0.66910134633089202</v>
      </c>
      <c r="AL1108">
        <v>81.495331114663699</v>
      </c>
      <c r="AM1108">
        <v>87.480178947694199</v>
      </c>
      <c r="AN1108">
        <v>0.999999979773326</v>
      </c>
    </row>
    <row r="1109" spans="1:40" x14ac:dyDescent="0.25">
      <c r="A1109" t="str">
        <f>"20190303170244606"</f>
        <v>20190303170244606</v>
      </c>
      <c r="B1109" t="str">
        <f>"1551603764596491"</f>
        <v>1551603764596491</v>
      </c>
      <c r="C1109" t="s">
        <v>40</v>
      </c>
      <c r="D1109">
        <v>4.371696</v>
      </c>
      <c r="E1109">
        <v>0.54187109999999905</v>
      </c>
      <c r="F1109" t="s">
        <v>43</v>
      </c>
      <c r="G1109">
        <v>-270.3338</v>
      </c>
      <c r="H1109">
        <v>0.91182459999999999</v>
      </c>
      <c r="I1109">
        <v>367.75529999999998</v>
      </c>
      <c r="J1109">
        <v>-271.12259999999998</v>
      </c>
      <c r="K1109">
        <v>1.1199159999999999</v>
      </c>
      <c r="L1109">
        <v>367.87990000000002</v>
      </c>
      <c r="M1109">
        <v>0.99990020000000002</v>
      </c>
      <c r="N1109">
        <v>-1.2974619999999999E-2</v>
      </c>
      <c r="O1109">
        <v>5.6119330000000004E-3</v>
      </c>
      <c r="P1109">
        <v>0.99016490000000001</v>
      </c>
      <c r="Q1109">
        <v>0.13475899999999999</v>
      </c>
      <c r="R1109">
        <v>-3.7603619999999997E-2</v>
      </c>
      <c r="S1109">
        <v>3.1068419999999999</v>
      </c>
      <c r="T1109">
        <v>-0.6753865</v>
      </c>
      <c r="U1109">
        <v>-0.4013062</v>
      </c>
      <c r="V1109">
        <v>4.3151080000000001E-2</v>
      </c>
      <c r="W1109">
        <v>0.14759430000000001</v>
      </c>
      <c r="X1109">
        <v>0.98810629999999999</v>
      </c>
      <c r="Y1109">
        <v>0.13037290000000001</v>
      </c>
      <c r="Z1109">
        <v>-1.5940050000000001E-2</v>
      </c>
      <c r="AA1109">
        <v>0.99133689999999997</v>
      </c>
      <c r="AB1109">
        <v>32</v>
      </c>
      <c r="AC1109">
        <v>0.78879999999997996</v>
      </c>
      <c r="AD1109">
        <v>-0.20809140000000001</v>
      </c>
      <c r="AE1109">
        <v>-0.124600000000043</v>
      </c>
      <c r="AF1109">
        <v>0.120821312050181</v>
      </c>
      <c r="AG1109">
        <v>-0.20809140000000001</v>
      </c>
      <c r="AH1109">
        <v>0.73797933203616295</v>
      </c>
      <c r="AI1109">
        <v>105.550282245491</v>
      </c>
      <c r="AJ1109">
        <v>80.702074641701998</v>
      </c>
      <c r="AK1109">
        <v>0.77621731152559803</v>
      </c>
      <c r="AL1109">
        <v>81.512462294929605</v>
      </c>
      <c r="AM1109">
        <v>87.499454397156498</v>
      </c>
      <c r="AN1109">
        <v>1.0000000765986701</v>
      </c>
    </row>
    <row r="1110" spans="1:40" x14ac:dyDescent="0.25">
      <c r="A1110" t="str">
        <f>"20190303170244618"</f>
        <v>20190303170244618</v>
      </c>
      <c r="B1110" t="str">
        <f>"1551603764607226"</f>
        <v>1551603764607226</v>
      </c>
      <c r="C1110" t="s">
        <v>40</v>
      </c>
      <c r="D1110">
        <v>4.3394779999999997</v>
      </c>
      <c r="E1110">
        <v>0.54205459999999905</v>
      </c>
      <c r="F1110" t="s">
        <v>43</v>
      </c>
      <c r="G1110">
        <v>-270.31950000000001</v>
      </c>
      <c r="H1110">
        <v>0.94476830000000001</v>
      </c>
      <c r="I1110">
        <v>367.77600000000001</v>
      </c>
      <c r="J1110">
        <v>-270.95229999999998</v>
      </c>
      <c r="K1110">
        <v>1.12007099999999</v>
      </c>
      <c r="L1110">
        <v>367.8809</v>
      </c>
      <c r="M1110">
        <v>0.99989879999999998</v>
      </c>
      <c r="N1110">
        <v>-1.306883E-2</v>
      </c>
      <c r="O1110">
        <v>5.6348530000000004E-3</v>
      </c>
      <c r="P1110">
        <v>0.99022250000000001</v>
      </c>
      <c r="Q1110">
        <v>0.13441710000000001</v>
      </c>
      <c r="R1110">
        <v>-3.7304820000000002E-2</v>
      </c>
      <c r="S1110">
        <v>3.1068120000000001</v>
      </c>
      <c r="T1110">
        <v>-0.67765019999999998</v>
      </c>
      <c r="U1110">
        <v>-0.40167239999999999</v>
      </c>
      <c r="V1110">
        <v>4.28756E-2</v>
      </c>
      <c r="W1110">
        <v>0.14734620000000001</v>
      </c>
      <c r="X1110">
        <v>0.98815520000000001</v>
      </c>
      <c r="Y1110">
        <v>0.13048599999999999</v>
      </c>
      <c r="Z1110">
        <v>-1.6013039999999999E-2</v>
      </c>
      <c r="AA1110">
        <v>0.9913208</v>
      </c>
      <c r="AB1110">
        <v>32</v>
      </c>
      <c r="AC1110">
        <v>0.63279999999997405</v>
      </c>
      <c r="AD1110">
        <v>-0.17530269999999901</v>
      </c>
      <c r="AE1110">
        <v>-0.104899999999986</v>
      </c>
      <c r="AF1110">
        <v>0.10092606036232001</v>
      </c>
      <c r="AG1110">
        <v>-0.17530269999999901</v>
      </c>
      <c r="AH1110">
        <v>0.58826075973845204</v>
      </c>
      <c r="AI1110">
        <v>106.36805846103699</v>
      </c>
      <c r="AJ1110">
        <v>80.264723629297805</v>
      </c>
      <c r="AK1110">
        <v>0.62206738198977196</v>
      </c>
      <c r="AL1110">
        <v>81.526833516122807</v>
      </c>
      <c r="AM1110">
        <v>87.515520813208596</v>
      </c>
      <c r="AN1110">
        <v>0.99999995950841902</v>
      </c>
    </row>
    <row r="1111" spans="1:40" x14ac:dyDescent="0.25">
      <c r="A1111" t="str">
        <f>"20190303170244629"</f>
        <v>20190303170244629</v>
      </c>
      <c r="B1111" t="str">
        <f>"1551603764616987"</f>
        <v>1551603764616987</v>
      </c>
      <c r="C1111" t="s">
        <v>40</v>
      </c>
      <c r="D1111">
        <v>4.3360519999999996</v>
      </c>
      <c r="E1111">
        <v>0.54222919999999997</v>
      </c>
      <c r="F1111" t="s">
        <v>43</v>
      </c>
      <c r="G1111">
        <v>-270.04230000000001</v>
      </c>
      <c r="H1111">
        <v>0.92091829999999997</v>
      </c>
      <c r="I1111">
        <v>367.76299999999998</v>
      </c>
      <c r="J1111">
        <v>-270.79250000000002</v>
      </c>
      <c r="K1111">
        <v>1.120198</v>
      </c>
      <c r="L1111">
        <v>367.8818</v>
      </c>
      <c r="M1111">
        <v>0.99989749999999999</v>
      </c>
      <c r="N1111">
        <v>-1.3150729999999999E-2</v>
      </c>
      <c r="O1111">
        <v>5.6559959999999999E-3</v>
      </c>
      <c r="P1111">
        <v>0.99029180000000006</v>
      </c>
      <c r="Q1111">
        <v>0.134023799999999</v>
      </c>
      <c r="R1111">
        <v>-3.6876739999999998E-2</v>
      </c>
      <c r="S1111">
        <v>3.1067809999999998</v>
      </c>
      <c r="T1111">
        <v>-0.67997739999999995</v>
      </c>
      <c r="U1111">
        <v>-0.40252690000000002</v>
      </c>
      <c r="V1111">
        <v>4.2469010000000001E-2</v>
      </c>
      <c r="W1111">
        <v>0.1470349</v>
      </c>
      <c r="X1111">
        <v>0.98821910000000002</v>
      </c>
      <c r="Y1111">
        <v>0.13074639999999901</v>
      </c>
      <c r="Z1111">
        <v>-1.610315E-2</v>
      </c>
      <c r="AA1111">
        <v>0.99128499999999997</v>
      </c>
      <c r="AB1111">
        <v>32</v>
      </c>
      <c r="AC1111">
        <v>0.75020000000000597</v>
      </c>
      <c r="AD1111">
        <v>-0.199279699999999</v>
      </c>
      <c r="AE1111">
        <v>-0.118799999999964</v>
      </c>
      <c r="AF1111">
        <v>0.115117378340386</v>
      </c>
      <c r="AG1111">
        <v>-0.199279699999999</v>
      </c>
      <c r="AH1111">
        <v>0.70124511998022099</v>
      </c>
      <c r="AI1111">
        <v>105.664894666485</v>
      </c>
      <c r="AJ1111">
        <v>80.677396174359103</v>
      </c>
      <c r="AK1111">
        <v>0.73804412329082902</v>
      </c>
      <c r="AL1111">
        <v>81.544865884963102</v>
      </c>
      <c r="AM1111">
        <v>87.539210998203103</v>
      </c>
      <c r="AN1111">
        <v>0.99999993411659704</v>
      </c>
    </row>
    <row r="1112" spans="1:40" x14ac:dyDescent="0.25">
      <c r="A1112" t="str">
        <f>"20190303170244642"</f>
        <v>20190303170244642</v>
      </c>
      <c r="B1112" t="str">
        <f>"1551603764626745"</f>
        <v>1551603764626745</v>
      </c>
      <c r="C1112" t="s">
        <v>40</v>
      </c>
      <c r="D1112">
        <v>4.3234529999999998</v>
      </c>
      <c r="E1112">
        <v>0.54238310000000001</v>
      </c>
      <c r="F1112" t="s">
        <v>43</v>
      </c>
      <c r="G1112">
        <v>-270.02809999999999</v>
      </c>
      <c r="H1112">
        <v>0.95238040000000002</v>
      </c>
      <c r="I1112">
        <v>367.7826</v>
      </c>
      <c r="J1112">
        <v>-270.61790000000002</v>
      </c>
      <c r="K1112">
        <v>1.1203270000000001</v>
      </c>
      <c r="L1112">
        <v>367.88279999999997</v>
      </c>
      <c r="M1112">
        <v>0.99989620000000001</v>
      </c>
      <c r="N1112">
        <v>-1.323504E-2</v>
      </c>
      <c r="O1112">
        <v>5.6782500000000001E-3</v>
      </c>
      <c r="P1112">
        <v>0.99030410000000002</v>
      </c>
      <c r="Q1112">
        <v>0.13402269999999999</v>
      </c>
      <c r="R1112">
        <v>-3.6543909999999999E-2</v>
      </c>
      <c r="S1112">
        <v>3.1067200000000001</v>
      </c>
      <c r="T1112">
        <v>-0.68212629999999996</v>
      </c>
      <c r="U1112">
        <v>-0.40298460000000003</v>
      </c>
      <c r="V1112">
        <v>4.215911E-2</v>
      </c>
      <c r="W1112">
        <v>0.147117</v>
      </c>
      <c r="X1112">
        <v>0.98822019999999999</v>
      </c>
      <c r="Y1112">
        <v>0.13088900000000001</v>
      </c>
      <c r="Z1112">
        <v>-1.6176650000000001E-2</v>
      </c>
      <c r="AA1112">
        <v>0.99126510000000001</v>
      </c>
      <c r="AB1112">
        <v>32</v>
      </c>
      <c r="AC1112">
        <v>0.58980000000002497</v>
      </c>
      <c r="AD1112">
        <v>-0.1679466</v>
      </c>
      <c r="AE1112">
        <v>-0.10019999999997201</v>
      </c>
      <c r="AF1112">
        <v>9.5983357989972595E-2</v>
      </c>
      <c r="AG1112">
        <v>-0.1679466</v>
      </c>
      <c r="AH1112">
        <v>0.54617775967503901</v>
      </c>
      <c r="AI1112">
        <v>106.84911484535201</v>
      </c>
      <c r="AJ1112">
        <v>80.032816205997605</v>
      </c>
      <c r="AK1112">
        <v>0.57942127215544603</v>
      </c>
      <c r="AL1112">
        <v>81.540110600151905</v>
      </c>
      <c r="AM1112">
        <v>87.557148468930393</v>
      </c>
      <c r="AN1112">
        <v>0.99999998296651504</v>
      </c>
    </row>
    <row r="1113" spans="1:40" x14ac:dyDescent="0.25">
      <c r="A1113" t="str">
        <f>"20190303170244654"</f>
        <v>20190303170244654</v>
      </c>
      <c r="B1113" t="str">
        <f>"1551603764647242"</f>
        <v>1551603764647242</v>
      </c>
      <c r="C1113" t="s">
        <v>40</v>
      </c>
      <c r="D1113">
        <v>4.281981</v>
      </c>
      <c r="E1113">
        <v>0.54268319999999903</v>
      </c>
      <c r="F1113" t="s">
        <v>43</v>
      </c>
      <c r="G1113">
        <v>-269.75080000000003</v>
      </c>
      <c r="H1113">
        <v>0.92967719999999998</v>
      </c>
      <c r="I1113">
        <v>367.77010000000001</v>
      </c>
      <c r="J1113">
        <v>-270.43099999999998</v>
      </c>
      <c r="K1113">
        <v>1.1204590000000001</v>
      </c>
      <c r="L1113">
        <v>367.88389999999998</v>
      </c>
      <c r="M1113">
        <v>0.99989519999999998</v>
      </c>
      <c r="N1113">
        <v>-1.3320749999999999E-2</v>
      </c>
      <c r="O1113">
        <v>5.7015640000000001E-3</v>
      </c>
      <c r="P1113">
        <v>0.99035770000000001</v>
      </c>
      <c r="Q1113">
        <v>0.1336965</v>
      </c>
      <c r="R1113">
        <v>-3.6295069999999999E-2</v>
      </c>
      <c r="S1113">
        <v>3.1069339999999999</v>
      </c>
      <c r="T1113">
        <v>-0.68315990000000004</v>
      </c>
      <c r="U1113">
        <v>-0.40356449999999999</v>
      </c>
      <c r="V1113">
        <v>4.1933730000000002E-2</v>
      </c>
      <c r="W1113">
        <v>0.14687649999999999</v>
      </c>
      <c r="X1113">
        <v>0.98826559999999997</v>
      </c>
      <c r="Y1113">
        <v>0.13106989999999999</v>
      </c>
      <c r="Z1113">
        <v>-1.6229009999999999E-2</v>
      </c>
      <c r="AA1113">
        <v>0.99124029999999996</v>
      </c>
      <c r="AB1113">
        <v>32</v>
      </c>
      <c r="AC1113">
        <v>0.68019999999995595</v>
      </c>
      <c r="AD1113">
        <v>-0.1907818</v>
      </c>
      <c r="AE1113">
        <v>-0.113799999999969</v>
      </c>
      <c r="AF1113">
        <v>0.109311478881098</v>
      </c>
      <c r="AG1113">
        <v>-0.1907818</v>
      </c>
      <c r="AH1113">
        <v>0.63123395887544798</v>
      </c>
      <c r="AI1113">
        <v>106.583739437557</v>
      </c>
      <c r="AJ1113">
        <v>80.175460453397903</v>
      </c>
      <c r="AK1113">
        <v>0.66843324682722305</v>
      </c>
      <c r="AL1113">
        <v>81.554041883375206</v>
      </c>
      <c r="AM1113">
        <v>87.570303597711302</v>
      </c>
      <c r="AN1113">
        <v>1.0000000200536601</v>
      </c>
    </row>
    <row r="1114" spans="1:40" x14ac:dyDescent="0.25">
      <c r="A1114" t="str">
        <f>"20190303170244667"</f>
        <v>20190303170244667</v>
      </c>
      <c r="B1114" t="str">
        <f>"1551603764657002"</f>
        <v>1551603764657002</v>
      </c>
      <c r="C1114" t="s">
        <v>40</v>
      </c>
      <c r="D1114">
        <v>4.255185</v>
      </c>
      <c r="E1114">
        <v>0.54282489999999906</v>
      </c>
      <c r="F1114" t="s">
        <v>43</v>
      </c>
      <c r="G1114">
        <v>-269.73379999999997</v>
      </c>
      <c r="H1114">
        <v>0.9665262</v>
      </c>
      <c r="I1114">
        <v>367.7928</v>
      </c>
      <c r="J1114">
        <v>-270.25740000000002</v>
      </c>
      <c r="K1114">
        <v>1.1205689999999999</v>
      </c>
      <c r="L1114">
        <v>367.88490000000002</v>
      </c>
      <c r="M1114">
        <v>0.99989410000000001</v>
      </c>
      <c r="N1114">
        <v>-1.3392360000000001E-2</v>
      </c>
      <c r="O1114">
        <v>5.722586E-3</v>
      </c>
      <c r="P1114">
        <v>0.99032339999999996</v>
      </c>
      <c r="Q1114">
        <v>0.13397999999999999</v>
      </c>
      <c r="R1114">
        <v>-3.6183609999999998E-2</v>
      </c>
      <c r="S1114">
        <v>3.106903</v>
      </c>
      <c r="T1114">
        <v>-0.68598570000000003</v>
      </c>
      <c r="U1114">
        <v>-0.40573120000000001</v>
      </c>
      <c r="V1114">
        <v>4.1843190000000002E-2</v>
      </c>
      <c r="W1114">
        <v>0.14723020000000001</v>
      </c>
      <c r="X1114">
        <v>0.98821680000000001</v>
      </c>
      <c r="Y1114">
        <v>0.13172690000000001</v>
      </c>
      <c r="Z1114">
        <v>-1.6375420000000002E-2</v>
      </c>
      <c r="AA1114">
        <v>0.9911508</v>
      </c>
      <c r="AB1114">
        <v>32</v>
      </c>
      <c r="AC1114">
        <v>0.52360000000004403</v>
      </c>
      <c r="AD1114">
        <v>-0.15404280000000001</v>
      </c>
      <c r="AE1114">
        <v>-9.2100000000016197E-2</v>
      </c>
      <c r="AF1114">
        <v>8.7729698335074505E-2</v>
      </c>
      <c r="AG1114">
        <v>-0.15404280000000001</v>
      </c>
      <c r="AH1114">
        <v>0.48255139107339901</v>
      </c>
      <c r="AI1114">
        <v>107.43632216835201</v>
      </c>
      <c r="AJ1114">
        <v>79.695948683161305</v>
      </c>
      <c r="AK1114">
        <v>0.51408319290624205</v>
      </c>
      <c r="AL1114">
        <v>81.533553578666101</v>
      </c>
      <c r="AM1114">
        <v>87.575423758425103</v>
      </c>
      <c r="AN1114">
        <v>1.0000000140718199</v>
      </c>
    </row>
    <row r="1115" spans="1:40" x14ac:dyDescent="0.25">
      <c r="A1115" t="str">
        <f>"20190303170244680"</f>
        <v>20190303170244680</v>
      </c>
      <c r="B1115" t="str">
        <f>"1551603764666762"</f>
        <v>1551603764666762</v>
      </c>
      <c r="C1115" t="s">
        <v>40</v>
      </c>
      <c r="D1115">
        <v>4.2682659999999997</v>
      </c>
      <c r="E1115">
        <v>0.54297600000000001</v>
      </c>
      <c r="F1115" t="s">
        <v>43</v>
      </c>
      <c r="G1115">
        <v>-269.45710000000003</v>
      </c>
      <c r="H1115">
        <v>0.94395879999999999</v>
      </c>
      <c r="I1115">
        <v>367.78030000000001</v>
      </c>
      <c r="J1115">
        <v>-270.065</v>
      </c>
      <c r="K1115">
        <v>1.1206769999999999</v>
      </c>
      <c r="L1115">
        <v>367.88600000000002</v>
      </c>
      <c r="M1115">
        <v>0.99989289999999997</v>
      </c>
      <c r="N1115">
        <v>-1.3468310000000001E-2</v>
      </c>
      <c r="O1115">
        <v>5.7454219999999896E-3</v>
      </c>
      <c r="P1115">
        <v>0.99028179999999999</v>
      </c>
      <c r="Q1115">
        <v>0.1343056</v>
      </c>
      <c r="R1115">
        <v>-3.6113600000000003E-2</v>
      </c>
      <c r="S1115">
        <v>3.1072389999999999</v>
      </c>
      <c r="T1115">
        <v>-0.6856911</v>
      </c>
      <c r="U1115">
        <v>-0.40649410000000002</v>
      </c>
      <c r="V1115">
        <v>4.1796050000000001E-2</v>
      </c>
      <c r="W1115">
        <v>0.1476297</v>
      </c>
      <c r="X1115">
        <v>0.98815920000000002</v>
      </c>
      <c r="Y1115">
        <v>0.13197110000000001</v>
      </c>
      <c r="Z1115">
        <v>-1.6404539999999999E-2</v>
      </c>
      <c r="AA1115">
        <v>0.99111780000000005</v>
      </c>
      <c r="AB1115">
        <v>32</v>
      </c>
      <c r="AC1115">
        <v>0.60789999999997202</v>
      </c>
      <c r="AD1115">
        <v>-0.17671819999999999</v>
      </c>
      <c r="AE1115">
        <v>-0.105699999999956</v>
      </c>
      <c r="AF1115">
        <v>0.10091347253814199</v>
      </c>
      <c r="AG1115">
        <v>-0.17671819999999999</v>
      </c>
      <c r="AH1115">
        <v>0.56124477284549801</v>
      </c>
      <c r="AI1115">
        <v>107.218145683909</v>
      </c>
      <c r="AJ1115">
        <v>79.806961803471694</v>
      </c>
      <c r="AK1115">
        <v>0.59699961993065098</v>
      </c>
      <c r="AL1115">
        <v>81.510411086733896</v>
      </c>
      <c r="AM1115">
        <v>87.578010998727194</v>
      </c>
      <c r="AN1115">
        <v>1.0000000213311599</v>
      </c>
    </row>
    <row r="1116" spans="1:40" x14ac:dyDescent="0.25">
      <c r="A1116" t="str">
        <f>"20190303170244694"</f>
        <v>20190303170244694</v>
      </c>
      <c r="B1116" t="str">
        <f>"1551603764686283"</f>
        <v>1551603764686283</v>
      </c>
      <c r="C1116" t="s">
        <v>40</v>
      </c>
      <c r="D1116">
        <v>4.2435090000000004</v>
      </c>
      <c r="E1116">
        <v>0.54322090000000001</v>
      </c>
      <c r="F1116" t="s">
        <v>43</v>
      </c>
      <c r="G1116">
        <v>-269.17860000000002</v>
      </c>
      <c r="H1116">
        <v>0.92512660000000002</v>
      </c>
      <c r="I1116">
        <v>367.76960000000003</v>
      </c>
      <c r="J1116">
        <v>-269.86630000000002</v>
      </c>
      <c r="K1116">
        <v>1.1207780000000001</v>
      </c>
      <c r="L1116">
        <v>367.88720000000001</v>
      </c>
      <c r="M1116">
        <v>0.9998918</v>
      </c>
      <c r="N1116">
        <v>-1.354151E-2</v>
      </c>
      <c r="O1116">
        <v>5.7684540000000001E-3</v>
      </c>
      <c r="P1116">
        <v>0.99018969999999995</v>
      </c>
      <c r="Q1116">
        <v>0.1349775</v>
      </c>
      <c r="R1116">
        <v>-3.6129420000000002E-2</v>
      </c>
      <c r="S1116">
        <v>3.1075740000000001</v>
      </c>
      <c r="T1116">
        <v>-0.68566319999999903</v>
      </c>
      <c r="U1116">
        <v>-0.40716550000000001</v>
      </c>
      <c r="V1116">
        <v>4.1834620000000003E-2</v>
      </c>
      <c r="W1116">
        <v>0.14837239999999999</v>
      </c>
      <c r="X1116">
        <v>0.98804630000000004</v>
      </c>
      <c r="Y1116">
        <v>0.13218489999999999</v>
      </c>
      <c r="Z1116">
        <v>-1.6435970000000001E-2</v>
      </c>
      <c r="AA1116">
        <v>0.99108879999999999</v>
      </c>
      <c r="AB1116">
        <v>32</v>
      </c>
      <c r="AC1116">
        <v>0.68770000000000597</v>
      </c>
      <c r="AD1116">
        <v>-0.1956514</v>
      </c>
      <c r="AE1116">
        <v>-0.117599999999981</v>
      </c>
      <c r="AF1116">
        <v>0.112702326556035</v>
      </c>
      <c r="AG1116">
        <v>-0.1956514</v>
      </c>
      <c r="AH1116">
        <v>0.63692183043529105</v>
      </c>
      <c r="AI1116">
        <v>106.82971312932899</v>
      </c>
      <c r="AJ1116">
        <v>79.965470164556706</v>
      </c>
      <c r="AK1116">
        <v>0.67575935274189503</v>
      </c>
      <c r="AL1116">
        <v>81.467383455955499</v>
      </c>
      <c r="AM1116">
        <v>87.575501942167705</v>
      </c>
      <c r="AN1116">
        <v>0.99999999772799697</v>
      </c>
    </row>
    <row r="1117" spans="1:40" x14ac:dyDescent="0.25">
      <c r="A1117" t="str">
        <f>"20190303170244706"</f>
        <v>20190303170244706</v>
      </c>
      <c r="B1117" t="str">
        <f>"1551603764697018"</f>
        <v>1551603764697018</v>
      </c>
      <c r="C1117" t="s">
        <v>40</v>
      </c>
      <c r="D1117">
        <v>4.2400180000000001</v>
      </c>
      <c r="E1117">
        <v>0.54335429999999996</v>
      </c>
      <c r="F1117" t="s">
        <v>43</v>
      </c>
      <c r="G1117">
        <v>-269.16030000000001</v>
      </c>
      <c r="H1117">
        <v>0.96518409999999999</v>
      </c>
      <c r="I1117">
        <v>367.79399999999998</v>
      </c>
      <c r="J1117">
        <v>-269.69209999999998</v>
      </c>
      <c r="K1117">
        <v>1.120854</v>
      </c>
      <c r="L1117">
        <v>367.88819999999998</v>
      </c>
      <c r="M1117">
        <v>0.99989079999999997</v>
      </c>
      <c r="N1117">
        <v>-1.359951E-2</v>
      </c>
      <c r="O1117">
        <v>5.7877199999999997E-3</v>
      </c>
      <c r="P1117">
        <v>0.99017670000000002</v>
      </c>
      <c r="Q1117">
        <v>0.135009299999999</v>
      </c>
      <c r="R1117">
        <v>-3.6370960000000001E-2</v>
      </c>
      <c r="S1117">
        <v>3.108215</v>
      </c>
      <c r="T1117">
        <v>-0.68510170000000004</v>
      </c>
      <c r="U1117">
        <v>-0.4091187</v>
      </c>
      <c r="V1117">
        <v>4.2095069999999998E-2</v>
      </c>
      <c r="W1117">
        <v>0.1484615</v>
      </c>
      <c r="X1117">
        <v>0.98802190000000001</v>
      </c>
      <c r="Y1117">
        <v>0.1327808</v>
      </c>
      <c r="Z1117">
        <v>-1.6496009999999998E-2</v>
      </c>
      <c r="AA1117">
        <v>0.99100820000000001</v>
      </c>
      <c r="AB1117">
        <v>32</v>
      </c>
      <c r="AC1117">
        <v>0.53179999999997496</v>
      </c>
      <c r="AD1117">
        <v>-0.1556699</v>
      </c>
      <c r="AE1117">
        <v>-9.4199999999943801E-2</v>
      </c>
      <c r="AF1117">
        <v>8.9814819899950299E-2</v>
      </c>
      <c r="AG1117">
        <v>-0.1556699</v>
      </c>
      <c r="AH1117">
        <v>0.49049557001676097</v>
      </c>
      <c r="AI1117">
        <v>107.337434591129</v>
      </c>
      <c r="AJ1117">
        <v>79.623502727862302</v>
      </c>
      <c r="AK1117">
        <v>0.52238465123483202</v>
      </c>
      <c r="AL1117">
        <v>81.462221622451594</v>
      </c>
      <c r="AM1117">
        <v>87.560365738506206</v>
      </c>
      <c r="AN1117">
        <v>1.00000004339008</v>
      </c>
    </row>
    <row r="1118" spans="1:40" x14ac:dyDescent="0.25">
      <c r="A1118" t="str">
        <f>"20190303170244718"</f>
        <v>20190303170244718</v>
      </c>
      <c r="B1118" t="str">
        <f>"1551603764706778"</f>
        <v>1551603764706778</v>
      </c>
      <c r="C1118" t="s">
        <v>40</v>
      </c>
      <c r="D1118">
        <v>4.2573309999999998</v>
      </c>
      <c r="E1118">
        <v>0.54347829999999997</v>
      </c>
      <c r="F1118" t="s">
        <v>43</v>
      </c>
      <c r="G1118">
        <v>-268.88409999999999</v>
      </c>
      <c r="H1118">
        <v>0.94263799999999998</v>
      </c>
      <c r="I1118">
        <v>367.78129999999999</v>
      </c>
      <c r="J1118">
        <v>-269.52069999999998</v>
      </c>
      <c r="K1118">
        <v>1.1209209999999901</v>
      </c>
      <c r="L1118">
        <v>367.88929999999999</v>
      </c>
      <c r="M1118">
        <v>0.99988999999999995</v>
      </c>
      <c r="N1118">
        <v>-1.365446E-2</v>
      </c>
      <c r="O1118">
        <v>5.8062869999999898E-3</v>
      </c>
      <c r="P1118">
        <v>0.99017829999999996</v>
      </c>
      <c r="Q1118">
        <v>0.1350286</v>
      </c>
      <c r="R1118">
        <v>-3.6258119999999998E-2</v>
      </c>
      <c r="S1118">
        <v>3.1081240000000001</v>
      </c>
      <c r="T1118">
        <v>-0.68555379999999999</v>
      </c>
      <c r="U1118">
        <v>-0.4111938</v>
      </c>
      <c r="V1118">
        <v>4.2000820000000001E-2</v>
      </c>
      <c r="W1118">
        <v>0.1485351</v>
      </c>
      <c r="X1118">
        <v>0.98801479999999997</v>
      </c>
      <c r="Y1118">
        <v>0.13343160000000001</v>
      </c>
      <c r="Z1118">
        <v>-1.6588269999999999E-2</v>
      </c>
      <c r="AA1118">
        <v>0.9909192</v>
      </c>
      <c r="AB1118">
        <v>32</v>
      </c>
      <c r="AC1118">
        <v>0.63659999999998695</v>
      </c>
      <c r="AD1118">
        <v>-0.178282999999999</v>
      </c>
      <c r="AE1118">
        <v>-0.108000000000004</v>
      </c>
      <c r="AF1118">
        <v>0.103782762451194</v>
      </c>
      <c r="AG1118">
        <v>-0.178282999999999</v>
      </c>
      <c r="AH1118">
        <v>0.59091294516191695</v>
      </c>
      <c r="AI1118">
        <v>106.549811526737</v>
      </c>
      <c r="AJ1118">
        <v>80.038666603602195</v>
      </c>
      <c r="AK1118">
        <v>0.62588641032613201</v>
      </c>
      <c r="AL1118">
        <v>81.457956956942496</v>
      </c>
      <c r="AM1118">
        <v>87.565803980724198</v>
      </c>
      <c r="AN1118">
        <v>0.999999994915861</v>
      </c>
    </row>
    <row r="1119" spans="1:40" x14ac:dyDescent="0.25">
      <c r="A1119" t="str">
        <f>"20190303170244729"</f>
        <v>20190303170244729</v>
      </c>
      <c r="B1119" t="str">
        <f>"1551603764716538"</f>
        <v>1551603764716538</v>
      </c>
      <c r="C1119" t="s">
        <v>40</v>
      </c>
      <c r="D1119">
        <v>4.2297459999999996</v>
      </c>
      <c r="E1119">
        <v>0.54358019999999996</v>
      </c>
      <c r="F1119" t="s">
        <v>43</v>
      </c>
      <c r="G1119">
        <v>-268.60809999999998</v>
      </c>
      <c r="H1119">
        <v>0.91946660000000002</v>
      </c>
      <c r="I1119">
        <v>367.7681</v>
      </c>
      <c r="J1119">
        <v>-269.36439999999999</v>
      </c>
      <c r="K1119">
        <v>1.1209750000000001</v>
      </c>
      <c r="L1119">
        <v>367.89019999999999</v>
      </c>
      <c r="M1119">
        <v>0.99988929999999998</v>
      </c>
      <c r="N1119">
        <v>-1.3700540000000001E-2</v>
      </c>
      <c r="O1119">
        <v>5.8225830000000001E-3</v>
      </c>
      <c r="P1119">
        <v>0.99019619999999997</v>
      </c>
      <c r="Q1119">
        <v>0.13493279999999999</v>
      </c>
      <c r="R1119">
        <v>-3.612365E-2</v>
      </c>
      <c r="S1119">
        <v>3.108215</v>
      </c>
      <c r="T1119">
        <v>-0.68622569999999905</v>
      </c>
      <c r="U1119">
        <v>-0.41217039999999999</v>
      </c>
      <c r="V1119">
        <v>4.188302E-2</v>
      </c>
      <c r="W1119">
        <v>0.14848459999999999</v>
      </c>
      <c r="X1119">
        <v>0.9880274</v>
      </c>
      <c r="Y1119">
        <v>0.13373499999999999</v>
      </c>
      <c r="Z1119">
        <v>-1.6643870000000002E-2</v>
      </c>
      <c r="AA1119">
        <v>0.99087729999999996</v>
      </c>
      <c r="AB1119">
        <v>32</v>
      </c>
      <c r="AC1119">
        <v>0.75630000000000996</v>
      </c>
      <c r="AD1119">
        <v>-0.2015084</v>
      </c>
      <c r="AE1119">
        <v>-0.122099999999989</v>
      </c>
      <c r="AF1119">
        <v>0.11831604675738699</v>
      </c>
      <c r="AG1119">
        <v>-0.2015084</v>
      </c>
      <c r="AH1119">
        <v>0.70668299732397699</v>
      </c>
      <c r="AI1119">
        <v>105.70770545674699</v>
      </c>
      <c r="AJ1119">
        <v>80.495435927788904</v>
      </c>
      <c r="AK1119">
        <v>0.74431524295667595</v>
      </c>
      <c r="AL1119">
        <v>81.460882912783404</v>
      </c>
      <c r="AM1119">
        <v>87.5726539284789</v>
      </c>
      <c r="AN1119">
        <v>1.0000000034761201</v>
      </c>
    </row>
    <row r="1120" spans="1:40" x14ac:dyDescent="0.25">
      <c r="A1120" t="str">
        <f>"20190303170244739"</f>
        <v>20190303170244739</v>
      </c>
      <c r="B1120" t="str">
        <f>"1551603764727274"</f>
        <v>1551603764727274</v>
      </c>
      <c r="C1120" t="s">
        <v>40</v>
      </c>
      <c r="D1120">
        <v>4.2442890000000002</v>
      </c>
      <c r="E1120">
        <v>0.54369239999999996</v>
      </c>
      <c r="F1120" t="s">
        <v>43</v>
      </c>
      <c r="G1120">
        <v>-268.5942</v>
      </c>
      <c r="H1120">
        <v>0.9507409</v>
      </c>
      <c r="I1120">
        <v>367.78769999999997</v>
      </c>
      <c r="J1120">
        <v>-269.2133</v>
      </c>
      <c r="K1120">
        <v>1.1210230000000001</v>
      </c>
      <c r="L1120">
        <v>367.89109999999999</v>
      </c>
      <c r="M1120">
        <v>0.99988849999999996</v>
      </c>
      <c r="N1120">
        <v>-1.374293E-2</v>
      </c>
      <c r="O1120">
        <v>5.8375909999999996E-3</v>
      </c>
      <c r="P1120">
        <v>0.99021369999999997</v>
      </c>
      <c r="Q1120">
        <v>0.13481889999999999</v>
      </c>
      <c r="R1120">
        <v>-3.6066830000000001E-2</v>
      </c>
      <c r="S1120">
        <v>3.108276</v>
      </c>
      <c r="T1120">
        <v>-0.68706109999999998</v>
      </c>
      <c r="U1120">
        <v>-0.4129333</v>
      </c>
      <c r="V1120">
        <v>4.1841629999999998E-2</v>
      </c>
      <c r="W1120">
        <v>0.14841299999999999</v>
      </c>
      <c r="X1120">
        <v>0.98803989999999997</v>
      </c>
      <c r="Y1120">
        <v>0.1339716</v>
      </c>
      <c r="Z1120">
        <v>-1.6695229999999998E-2</v>
      </c>
      <c r="AA1120">
        <v>0.99084450000000002</v>
      </c>
      <c r="AB1120">
        <v>32</v>
      </c>
      <c r="AC1120">
        <v>0.61910000000000298</v>
      </c>
      <c r="AD1120">
        <v>-0.17028209999999899</v>
      </c>
      <c r="AE1120">
        <v>-0.103400000000021</v>
      </c>
      <c r="AF1120">
        <v>9.9676602705491696E-2</v>
      </c>
      <c r="AG1120">
        <v>-0.17028209999999899</v>
      </c>
      <c r="AH1120">
        <v>0.57608677439010603</v>
      </c>
      <c r="AI1120">
        <v>106.23854756673001</v>
      </c>
      <c r="AJ1120">
        <v>80.183666191168498</v>
      </c>
      <c r="AK1120">
        <v>0.608939562136108</v>
      </c>
      <c r="AL1120">
        <v>81.465031157545695</v>
      </c>
      <c r="AM1120">
        <v>87.575080478618801</v>
      </c>
      <c r="AN1120">
        <v>0.99999999228103298</v>
      </c>
    </row>
    <row r="1121" spans="1:40" x14ac:dyDescent="0.25">
      <c r="A1121" t="str">
        <f>"20190303170244750"</f>
        <v>20190303170244750</v>
      </c>
      <c r="B1121" t="str">
        <f>"1551603764737034"</f>
        <v>1551603764737034</v>
      </c>
      <c r="C1121" t="s">
        <v>40</v>
      </c>
      <c r="D1121">
        <v>4.2232379999999896</v>
      </c>
      <c r="E1121">
        <v>0.54379509999999998</v>
      </c>
      <c r="F1121" t="s">
        <v>43</v>
      </c>
      <c r="G1121">
        <v>-268.32060000000001</v>
      </c>
      <c r="H1121">
        <v>0.92342559999999996</v>
      </c>
      <c r="I1121">
        <v>367.77229999999997</v>
      </c>
      <c r="J1121">
        <v>-269.04919999999998</v>
      </c>
      <c r="K1121">
        <v>1.121067</v>
      </c>
      <c r="L1121">
        <v>367.89210000000003</v>
      </c>
      <c r="M1121">
        <v>0.99988779999999999</v>
      </c>
      <c r="N1121">
        <v>-1.378598E-2</v>
      </c>
      <c r="O1121">
        <v>5.8528879999999997E-3</v>
      </c>
      <c r="P1121">
        <v>0.99024239999999997</v>
      </c>
      <c r="Q1121">
        <v>0.1346869</v>
      </c>
      <c r="R1121">
        <v>-3.5768420000000002E-2</v>
      </c>
      <c r="S1121">
        <v>3.1082459999999998</v>
      </c>
      <c r="T1121">
        <v>-0.6879594</v>
      </c>
      <c r="U1121">
        <v>-0.41363529999999998</v>
      </c>
      <c r="V1121">
        <v>4.1558949999999997E-2</v>
      </c>
      <c r="W1121">
        <v>0.14832429999999999</v>
      </c>
      <c r="X1121">
        <v>0.98806510000000003</v>
      </c>
      <c r="Y1121">
        <v>0.1341926</v>
      </c>
      <c r="Z1121">
        <v>-1.6746850000000001E-2</v>
      </c>
      <c r="AA1121">
        <v>0.99081370000000002</v>
      </c>
      <c r="AB1121">
        <v>32</v>
      </c>
      <c r="AC1121">
        <v>0.72859999999997105</v>
      </c>
      <c r="AD1121">
        <v>-0.19764139999999999</v>
      </c>
      <c r="AE1121">
        <v>-0.119800000000054</v>
      </c>
      <c r="AF1121">
        <v>0.11576842141553</v>
      </c>
      <c r="AG1121">
        <v>-0.19764139999999999</v>
      </c>
      <c r="AH1121">
        <v>0.679222678164491</v>
      </c>
      <c r="AI1121">
        <v>106.005276634149</v>
      </c>
      <c r="AJ1121">
        <v>80.327314409244494</v>
      </c>
      <c r="AK1121">
        <v>0.71680394594613395</v>
      </c>
      <c r="AL1121">
        <v>81.470169748283894</v>
      </c>
      <c r="AM1121">
        <v>87.591505113559606</v>
      </c>
      <c r="AN1121">
        <v>0.99999994306679896</v>
      </c>
    </row>
    <row r="1122" spans="1:40" x14ac:dyDescent="0.25">
      <c r="A1122" t="str">
        <f>"20190303170244761"</f>
        <v>20190303170244761</v>
      </c>
      <c r="B1122" t="str">
        <f>"1551603764746794"</f>
        <v>1551603764746794</v>
      </c>
      <c r="C1122" t="s">
        <v>40</v>
      </c>
      <c r="D1122">
        <v>4.2312659999999997</v>
      </c>
      <c r="E1122">
        <v>0.54390039999999995</v>
      </c>
      <c r="F1122" t="s">
        <v>43</v>
      </c>
      <c r="G1122">
        <v>-268.30579999999998</v>
      </c>
      <c r="H1122">
        <v>0.95623639999999999</v>
      </c>
      <c r="I1122">
        <v>367.79309999999998</v>
      </c>
      <c r="J1122">
        <v>-268.90120000000002</v>
      </c>
      <c r="K1122">
        <v>1.1211100000000001</v>
      </c>
      <c r="L1122">
        <v>367.89299999999997</v>
      </c>
      <c r="M1122">
        <v>0.99988739999999998</v>
      </c>
      <c r="N1122">
        <v>-1.382222E-2</v>
      </c>
      <c r="O1122">
        <v>5.8659050000000003E-3</v>
      </c>
      <c r="P1122">
        <v>0.99025390000000002</v>
      </c>
      <c r="Q1122">
        <v>0.13458200000000001</v>
      </c>
      <c r="R1122">
        <v>-3.5852309999999998E-2</v>
      </c>
      <c r="S1122">
        <v>3.1083370000000001</v>
      </c>
      <c r="T1122">
        <v>-0.68908639999999999</v>
      </c>
      <c r="U1122">
        <v>-0.41397089999999998</v>
      </c>
      <c r="V1122">
        <v>4.1656180000000001E-2</v>
      </c>
      <c r="W1122">
        <v>0.148255</v>
      </c>
      <c r="X1122">
        <v>0.98807140000000004</v>
      </c>
      <c r="Y1122">
        <v>0.13429260000000001</v>
      </c>
      <c r="Z1122">
        <v>-1.6788290000000001E-2</v>
      </c>
      <c r="AA1122">
        <v>0.99079950000000006</v>
      </c>
      <c r="AB1122">
        <v>32</v>
      </c>
      <c r="AC1122">
        <v>0.59540000000004001</v>
      </c>
      <c r="AD1122">
        <v>-0.16487360000000001</v>
      </c>
      <c r="AE1122">
        <v>-9.9900000000047798E-2</v>
      </c>
      <c r="AF1122">
        <v>9.6215354113428894E-2</v>
      </c>
      <c r="AG1122">
        <v>-0.16487360000000001</v>
      </c>
      <c r="AH1122">
        <v>0.553521600612491</v>
      </c>
      <c r="AI1122">
        <v>106.35498723187</v>
      </c>
      <c r="AJ1122">
        <v>80.139143620583795</v>
      </c>
      <c r="AK1122">
        <v>0.58551418487407003</v>
      </c>
      <c r="AL1122">
        <v>81.474184683119503</v>
      </c>
      <c r="AM1122">
        <v>87.585892308677899</v>
      </c>
      <c r="AN1122">
        <v>0.99999993692757405</v>
      </c>
    </row>
    <row r="1123" spans="1:40" x14ac:dyDescent="0.25">
      <c r="A1123" t="str">
        <f>"20190303170244772"</f>
        <v>20190303170244772</v>
      </c>
      <c r="B1123" t="str">
        <f>"1551603764766314"</f>
        <v>1551603764766314</v>
      </c>
      <c r="C1123" t="s">
        <v>40</v>
      </c>
      <c r="D1123">
        <v>4.2410300000000003</v>
      </c>
      <c r="E1123">
        <v>0.54409839999999998</v>
      </c>
      <c r="F1123" t="s">
        <v>43</v>
      </c>
      <c r="G1123">
        <v>-268.03280000000001</v>
      </c>
      <c r="H1123">
        <v>0.92838639999999995</v>
      </c>
      <c r="I1123">
        <v>367.77699999999999</v>
      </c>
      <c r="J1123">
        <v>-268.73770000000002</v>
      </c>
      <c r="K1123">
        <v>1.121149</v>
      </c>
      <c r="L1123">
        <v>367.89389999999997</v>
      </c>
      <c r="M1123">
        <v>0.99988679999999996</v>
      </c>
      <c r="N1123">
        <v>-1.386048E-2</v>
      </c>
      <c r="O1123">
        <v>5.8800939999999998E-3</v>
      </c>
      <c r="P1123">
        <v>0.99025510000000005</v>
      </c>
      <c r="Q1123">
        <v>0.134537299999999</v>
      </c>
      <c r="R1123">
        <v>-3.5983210000000002E-2</v>
      </c>
      <c r="S1123">
        <v>3.1083069999999999</v>
      </c>
      <c r="T1123">
        <v>-0.68986440000000004</v>
      </c>
      <c r="U1123">
        <v>-0.41488649999999999</v>
      </c>
      <c r="V1123">
        <v>4.1801949999999997E-2</v>
      </c>
      <c r="W1123">
        <v>0.14824789999999999</v>
      </c>
      <c r="X1123">
        <v>0.98806640000000001</v>
      </c>
      <c r="Y1123">
        <v>0.134579</v>
      </c>
      <c r="Z1123">
        <v>-1.6844310000000001E-2</v>
      </c>
      <c r="AA1123">
        <v>0.99075970000000002</v>
      </c>
      <c r="AB1123">
        <v>32</v>
      </c>
      <c r="AC1123">
        <v>0.70490000000000896</v>
      </c>
      <c r="AD1123">
        <v>-0.19276260000000001</v>
      </c>
      <c r="AE1123">
        <v>-0.116899999999986</v>
      </c>
      <c r="AF1123">
        <v>0.112831464772255</v>
      </c>
      <c r="AG1123">
        <v>-0.19276260000000001</v>
      </c>
      <c r="AH1123">
        <v>0.65642615713711205</v>
      </c>
      <c r="AI1123">
        <v>106.140994177853</v>
      </c>
      <c r="AJ1123">
        <v>80.246878252268601</v>
      </c>
      <c r="AK1123">
        <v>0.69338564967499094</v>
      </c>
      <c r="AL1123">
        <v>81.474596800950593</v>
      </c>
      <c r="AM1123">
        <v>87.577442277740801</v>
      </c>
      <c r="AN1123">
        <v>1.00000002684358</v>
      </c>
    </row>
    <row r="1124" spans="1:40" x14ac:dyDescent="0.25">
      <c r="A1124" t="str">
        <f>"20190303170244784"</f>
        <v>20190303170244784</v>
      </c>
      <c r="B1124" t="str">
        <f>"1551603764777050"</f>
        <v>1551603764777050</v>
      </c>
      <c r="C1124" t="s">
        <v>40</v>
      </c>
      <c r="D1124">
        <v>4.2550160000000004</v>
      </c>
      <c r="E1124">
        <v>0.54420100000000005</v>
      </c>
      <c r="F1124" t="s">
        <v>43</v>
      </c>
      <c r="G1124">
        <v>-268.0179</v>
      </c>
      <c r="H1124">
        <v>0.96102149999999997</v>
      </c>
      <c r="I1124">
        <v>367.79730000000001</v>
      </c>
      <c r="J1124">
        <v>-268.57499999999999</v>
      </c>
      <c r="K1124">
        <v>1.1211850000000001</v>
      </c>
      <c r="L1124">
        <v>367.89490000000001</v>
      </c>
      <c r="M1124">
        <v>0.99988600000000005</v>
      </c>
      <c r="N1124">
        <v>-1.389522E-2</v>
      </c>
      <c r="O1124">
        <v>5.8934159999999899E-3</v>
      </c>
      <c r="P1124">
        <v>0.99023559999999999</v>
      </c>
      <c r="Q1124">
        <v>0.13466400000000001</v>
      </c>
      <c r="R1124">
        <v>-3.6038880000000002E-2</v>
      </c>
      <c r="S1124">
        <v>3.1083370000000001</v>
      </c>
      <c r="T1124">
        <v>-0.6915519</v>
      </c>
      <c r="U1124">
        <v>-0.41683959999999998</v>
      </c>
      <c r="V1124">
        <v>4.187134E-2</v>
      </c>
      <c r="W1124">
        <v>0.14840819999999999</v>
      </c>
      <c r="X1124">
        <v>0.98803940000000001</v>
      </c>
      <c r="Y1124">
        <v>0.13517019999999999</v>
      </c>
      <c r="Z1124">
        <v>-1.695557E-2</v>
      </c>
      <c r="AA1124">
        <v>0.99067729999999998</v>
      </c>
      <c r="AB1124">
        <v>32</v>
      </c>
      <c r="AC1124">
        <v>0.55709999999999105</v>
      </c>
      <c r="AD1124">
        <v>-0.16016349999999999</v>
      </c>
      <c r="AE1124">
        <v>-9.7599999999999895E-2</v>
      </c>
      <c r="AF1124">
        <v>9.3392502307560202E-2</v>
      </c>
      <c r="AG1124">
        <v>-0.16016349999999999</v>
      </c>
      <c r="AH1124">
        <v>0.51520008851173305</v>
      </c>
      <c r="AI1124">
        <v>107.00840443016</v>
      </c>
      <c r="AJ1124">
        <v>79.725324924371705</v>
      </c>
      <c r="AK1124">
        <v>0.54754510081089702</v>
      </c>
      <c r="AL1124">
        <v>81.465309576573503</v>
      </c>
      <c r="AM1124">
        <v>87.573359475228401</v>
      </c>
      <c r="AN1124">
        <v>1.0000000294464899</v>
      </c>
    </row>
    <row r="1125" spans="1:40" x14ac:dyDescent="0.25">
      <c r="A1125" t="str">
        <f>"20190303170244796"</f>
        <v>20190303170244796</v>
      </c>
      <c r="B1125" t="str">
        <f>"1551603764786810"</f>
        <v>1551603764786810</v>
      </c>
      <c r="C1125" t="s">
        <v>40</v>
      </c>
      <c r="D1125">
        <v>4.2516959999999999</v>
      </c>
      <c r="E1125">
        <v>0.54429189999999905</v>
      </c>
      <c r="F1125" t="s">
        <v>43</v>
      </c>
      <c r="G1125">
        <v>-267.74400000000003</v>
      </c>
      <c r="H1125">
        <v>0.93620429999999999</v>
      </c>
      <c r="I1125">
        <v>367.78339999999997</v>
      </c>
      <c r="J1125">
        <v>-268.40499999999997</v>
      </c>
      <c r="K1125">
        <v>1.1212120000000001</v>
      </c>
      <c r="L1125">
        <v>367.89589999999998</v>
      </c>
      <c r="M1125">
        <v>0.99988569999999999</v>
      </c>
      <c r="N1125">
        <v>-1.393029E-2</v>
      </c>
      <c r="O1125">
        <v>5.9064369999999996E-3</v>
      </c>
      <c r="P1125">
        <v>0.99025079999999999</v>
      </c>
      <c r="Q1125">
        <v>0.134542299999999</v>
      </c>
      <c r="R1125">
        <v>-3.6083560000000001E-2</v>
      </c>
      <c r="S1125">
        <v>3.1084900000000002</v>
      </c>
      <c r="T1125">
        <v>-0.69198110000000002</v>
      </c>
      <c r="U1125">
        <v>-0.41726679999999999</v>
      </c>
      <c r="V1125">
        <v>4.1929460000000002E-2</v>
      </c>
      <c r="W1125">
        <v>0.1483215</v>
      </c>
      <c r="X1125">
        <v>0.98804990000000004</v>
      </c>
      <c r="Y1125">
        <v>0.13530239999999999</v>
      </c>
      <c r="Z1125">
        <v>-1.698473E-2</v>
      </c>
      <c r="AA1125">
        <v>0.99065879999999995</v>
      </c>
      <c r="AB1125">
        <v>32</v>
      </c>
      <c r="AC1125">
        <v>0.66099999999994397</v>
      </c>
      <c r="AD1125">
        <v>-0.1850077</v>
      </c>
      <c r="AE1125">
        <v>-0.11250000000001099</v>
      </c>
      <c r="AF1125">
        <v>0.10816741607019099</v>
      </c>
      <c r="AG1125">
        <v>-0.1850077</v>
      </c>
      <c r="AH1125">
        <v>0.61360786983981397</v>
      </c>
      <c r="AI1125">
        <v>106.53772222647</v>
      </c>
      <c r="AJ1125">
        <v>80.002554431664606</v>
      </c>
      <c r="AK1125">
        <v>0.64995588841701102</v>
      </c>
      <c r="AL1125">
        <v>81.470332253258206</v>
      </c>
      <c r="AM1125">
        <v>87.570020976265198</v>
      </c>
      <c r="AN1125">
        <v>0.99999997593407497</v>
      </c>
    </row>
    <row r="1126" spans="1:40" x14ac:dyDescent="0.25">
      <c r="A1126" t="str">
        <f>"20190303170244809"</f>
        <v>20190303170244809</v>
      </c>
      <c r="B1126" t="str">
        <f>"1551603764796570"</f>
        <v>1551603764796570</v>
      </c>
      <c r="C1126" t="s">
        <v>40</v>
      </c>
      <c r="D1126">
        <v>4.264996</v>
      </c>
      <c r="E1126">
        <v>0.54433019999999999</v>
      </c>
      <c r="F1126" t="s">
        <v>43</v>
      </c>
      <c r="G1126">
        <v>-267.46910000000003</v>
      </c>
      <c r="H1126">
        <v>0.91256300000000001</v>
      </c>
      <c r="I1126">
        <v>367.7697</v>
      </c>
      <c r="J1126">
        <v>-268.22140000000002</v>
      </c>
      <c r="K1126">
        <v>1.121243</v>
      </c>
      <c r="L1126">
        <v>367.89699999999999</v>
      </c>
      <c r="M1126">
        <v>0.99988509999999997</v>
      </c>
      <c r="N1126">
        <v>-1.396419E-2</v>
      </c>
      <c r="O1126">
        <v>5.9199459999999997E-3</v>
      </c>
      <c r="P1126">
        <v>0.99022929999999998</v>
      </c>
      <c r="Q1126">
        <v>0.13468060000000001</v>
      </c>
      <c r="R1126">
        <v>-3.6160970000000001E-2</v>
      </c>
      <c r="S1126">
        <v>3.1084290000000001</v>
      </c>
      <c r="T1126">
        <v>-0.6931465</v>
      </c>
      <c r="U1126">
        <v>-0.4182129</v>
      </c>
      <c r="V1126">
        <v>4.2020429999999998E-2</v>
      </c>
      <c r="W1126">
        <v>0.14849270000000001</v>
      </c>
      <c r="X1126">
        <v>0.98802040000000002</v>
      </c>
      <c r="Y1126">
        <v>0.13559460000000001</v>
      </c>
      <c r="Z1126">
        <v>-1.70502999999999E-2</v>
      </c>
      <c r="AA1126">
        <v>0.99061770000000005</v>
      </c>
      <c r="AB1126">
        <v>32</v>
      </c>
      <c r="AC1126">
        <v>0.75229999999999098</v>
      </c>
      <c r="AD1126">
        <v>-0.20868</v>
      </c>
      <c r="AE1126">
        <v>-0.127299999999991</v>
      </c>
      <c r="AF1126">
        <v>0.12258226040112701</v>
      </c>
      <c r="AG1126">
        <v>-0.20868</v>
      </c>
      <c r="AH1126">
        <v>0.69922874323375295</v>
      </c>
      <c r="AI1126">
        <v>106.38122844768399</v>
      </c>
      <c r="AJ1126">
        <v>80.0564841792268</v>
      </c>
      <c r="AK1126">
        <v>0.73992877247023103</v>
      </c>
      <c r="AL1126">
        <v>81.460414054679504</v>
      </c>
      <c r="AM1126">
        <v>87.564682619826996</v>
      </c>
      <c r="AN1126">
        <v>1.00000005465341</v>
      </c>
    </row>
    <row r="1127" spans="1:40" x14ac:dyDescent="0.25">
      <c r="A1127" t="str">
        <f>"20190303170244823"</f>
        <v>20190303170244823</v>
      </c>
      <c r="B1127" t="str">
        <f>"1551603764817231"</f>
        <v>1551603764817231</v>
      </c>
      <c r="C1127" t="s">
        <v>40</v>
      </c>
      <c r="D1127">
        <v>4.2481350000000004</v>
      </c>
      <c r="E1127">
        <v>0.54447869999999998</v>
      </c>
      <c r="F1127" t="s">
        <v>43</v>
      </c>
      <c r="G1127">
        <v>-267.4529</v>
      </c>
      <c r="H1127">
        <v>0.94982849999999996</v>
      </c>
      <c r="I1127">
        <v>367.79320000000001</v>
      </c>
      <c r="J1127">
        <v>-268.03289999999998</v>
      </c>
      <c r="K1127">
        <v>1.121275</v>
      </c>
      <c r="L1127">
        <v>367.89819999999997</v>
      </c>
      <c r="M1127">
        <v>0.99988440000000001</v>
      </c>
      <c r="N1127">
        <v>-1.399677E-2</v>
      </c>
      <c r="O1127">
        <v>5.9331679999999999E-3</v>
      </c>
      <c r="P1127">
        <v>0.99025779999999997</v>
      </c>
      <c r="Q1127">
        <v>0.13445509999999999</v>
      </c>
      <c r="R1127">
        <v>-3.621224E-2</v>
      </c>
      <c r="S1127">
        <v>3.108673</v>
      </c>
      <c r="T1127">
        <v>-0.69364559999999997</v>
      </c>
      <c r="U1127">
        <v>-0.41857909999999998</v>
      </c>
      <c r="V1127">
        <v>4.2085419999999998E-2</v>
      </c>
      <c r="W1127">
        <v>0.14829979999999901</v>
      </c>
      <c r="X1127">
        <v>0.98804650000000005</v>
      </c>
      <c r="Y1127">
        <v>0.13570409999999999</v>
      </c>
      <c r="Z1127">
        <v>-1.7077910000000002E-2</v>
      </c>
      <c r="AA1127">
        <v>0.99060219999999999</v>
      </c>
      <c r="AB1127">
        <v>32</v>
      </c>
      <c r="AC1127">
        <v>0.57999999999998397</v>
      </c>
      <c r="AD1127">
        <v>-0.1714465</v>
      </c>
      <c r="AE1127">
        <v>-0.104999999999961</v>
      </c>
      <c r="AF1127">
        <v>9.9980843946522499E-2</v>
      </c>
      <c r="AG1127">
        <v>-0.1714465</v>
      </c>
      <c r="AH1127">
        <v>0.53417302128674704</v>
      </c>
      <c r="AI1127">
        <v>107.509362764729</v>
      </c>
      <c r="AJ1127">
        <v>79.398644485259894</v>
      </c>
      <c r="AK1127">
        <v>0.56985163699784203</v>
      </c>
      <c r="AL1127">
        <v>81.471589250227197</v>
      </c>
      <c r="AM1127">
        <v>87.560984985899395</v>
      </c>
      <c r="AN1127">
        <v>0.99999994970943196</v>
      </c>
    </row>
    <row r="1128" spans="1:40" x14ac:dyDescent="0.25">
      <c r="A1128" t="str">
        <f>"20190303170244835"</f>
        <v>20190303170244835</v>
      </c>
      <c r="B1128" t="str">
        <f>"1551603764826990"</f>
        <v>1551603764826990</v>
      </c>
      <c r="C1128" t="s">
        <v>40</v>
      </c>
      <c r="D1128">
        <v>4.2720289999999999</v>
      </c>
      <c r="E1128">
        <v>0.5445584</v>
      </c>
      <c r="F1128" t="s">
        <v>43</v>
      </c>
      <c r="G1128">
        <v>-267.1773</v>
      </c>
      <c r="H1128">
        <v>0.92991259999999998</v>
      </c>
      <c r="I1128">
        <v>367.7826</v>
      </c>
      <c r="J1128">
        <v>-267.84300000000002</v>
      </c>
      <c r="K1128">
        <v>1.121305</v>
      </c>
      <c r="L1128">
        <v>367.89929999999998</v>
      </c>
      <c r="M1128">
        <v>0.99988390000000005</v>
      </c>
      <c r="N1128">
        <v>-1.4027629999999999E-2</v>
      </c>
      <c r="O1128">
        <v>5.9456889999999997E-3</v>
      </c>
      <c r="P1128">
        <v>0.99027209999999999</v>
      </c>
      <c r="Q1128">
        <v>0.13434570000000001</v>
      </c>
      <c r="R1128">
        <v>-3.6229570000000003E-2</v>
      </c>
      <c r="S1128">
        <v>3.1086429999999998</v>
      </c>
      <c r="T1128">
        <v>-0.69539010000000001</v>
      </c>
      <c r="U1128">
        <v>-0.41958620000000002</v>
      </c>
      <c r="V1128">
        <v>4.2115600000000003E-2</v>
      </c>
      <c r="W1128">
        <v>0.14822099999999999</v>
      </c>
      <c r="X1128">
        <v>0.98805710000000002</v>
      </c>
      <c r="Y1128">
        <v>0.13600699999999999</v>
      </c>
      <c r="Z1128">
        <v>-1.715759E-2</v>
      </c>
      <c r="AA1128">
        <v>0.99055930000000003</v>
      </c>
      <c r="AB1128">
        <v>32</v>
      </c>
      <c r="AC1128">
        <v>0.66570000000001495</v>
      </c>
      <c r="AD1128">
        <v>-0.19139239999999999</v>
      </c>
      <c r="AE1128">
        <v>-0.11669999999998</v>
      </c>
      <c r="AF1128">
        <v>0.11169870627631</v>
      </c>
      <c r="AG1128">
        <v>-0.19139239999999999</v>
      </c>
      <c r="AH1128">
        <v>0.61562437265219905</v>
      </c>
      <c r="AI1128">
        <v>107.00872339756999</v>
      </c>
      <c r="AJ1128">
        <v>79.716145974788503</v>
      </c>
      <c r="AK1128">
        <v>0.65429429155768704</v>
      </c>
      <c r="AL1128">
        <v>81.476155136661404</v>
      </c>
      <c r="AM1128">
        <v>87.559264204241302</v>
      </c>
      <c r="AN1128">
        <v>1.0000000107323801</v>
      </c>
    </row>
    <row r="1129" spans="1:40" x14ac:dyDescent="0.25">
      <c r="A1129" t="str">
        <f>"20190303170244849"</f>
        <v>20190303170244849</v>
      </c>
      <c r="B1129" t="str">
        <f>"1551603764836752"</f>
        <v>1551603764836752</v>
      </c>
      <c r="C1129" t="s">
        <v>40</v>
      </c>
      <c r="D1129">
        <v>4.2629519999999896</v>
      </c>
      <c r="E1129">
        <v>0.54462169999999999</v>
      </c>
      <c r="F1129" t="s">
        <v>43</v>
      </c>
      <c r="G1129">
        <v>-266.90120000000002</v>
      </c>
      <c r="H1129">
        <v>0.91038680000000005</v>
      </c>
      <c r="I1129">
        <v>367.77179999999998</v>
      </c>
      <c r="J1129">
        <v>-267.6549</v>
      </c>
      <c r="K1129">
        <v>1.121326</v>
      </c>
      <c r="L1129">
        <v>367.90039999999999</v>
      </c>
      <c r="M1129">
        <v>0.99988339999999998</v>
      </c>
      <c r="N1129">
        <v>-1.405475E-2</v>
      </c>
      <c r="O1129">
        <v>5.9563899999999998E-3</v>
      </c>
      <c r="P1129">
        <v>0.99028729999999998</v>
      </c>
      <c r="Q1129">
        <v>0.1341521</v>
      </c>
      <c r="R1129">
        <v>-3.6528949999999998E-2</v>
      </c>
      <c r="S1129">
        <v>3.1086119999999999</v>
      </c>
      <c r="T1129">
        <v>-0.6962235</v>
      </c>
      <c r="U1129">
        <v>-0.42019649999999997</v>
      </c>
      <c r="V1129">
        <v>4.2425890000000001E-2</v>
      </c>
      <c r="W1129">
        <v>0.14805460000000001</v>
      </c>
      <c r="X1129">
        <v>0.98806879999999997</v>
      </c>
      <c r="Y1129">
        <v>0.13619600000000001</v>
      </c>
      <c r="Z1129">
        <v>-1.720271E-2</v>
      </c>
      <c r="AA1129">
        <v>0.99053250000000004</v>
      </c>
      <c r="AB1129">
        <v>32</v>
      </c>
      <c r="AC1129">
        <v>0.75369999999998005</v>
      </c>
      <c r="AD1129">
        <v>-0.21093919999999999</v>
      </c>
      <c r="AE1129">
        <v>-0.12860000000000499</v>
      </c>
      <c r="AF1129">
        <v>0.123674359649746</v>
      </c>
      <c r="AG1129">
        <v>-0.21093919999999999</v>
      </c>
      <c r="AH1129">
        <v>0.69966730761683604</v>
      </c>
      <c r="AI1129">
        <v>106.535241853671</v>
      </c>
      <c r="AJ1129">
        <v>79.975847104586407</v>
      </c>
      <c r="AK1129">
        <v>0.74116464748341004</v>
      </c>
      <c r="AL1129">
        <v>81.4857957456381</v>
      </c>
      <c r="AM1129">
        <v>87.541332956664405</v>
      </c>
      <c r="AN1129">
        <v>1.0000000371284401</v>
      </c>
    </row>
    <row r="1130" spans="1:40" x14ac:dyDescent="0.25">
      <c r="A1130" t="str">
        <f>"20190303170244863"</f>
        <v>20190303170244863</v>
      </c>
      <c r="B1130" t="str">
        <f>"1551603764856270"</f>
        <v>1551603764856270</v>
      </c>
      <c r="C1130" t="s">
        <v>40</v>
      </c>
      <c r="D1130">
        <v>4.301685</v>
      </c>
      <c r="E1130">
        <v>0.54479809999999995</v>
      </c>
      <c r="F1130" t="s">
        <v>43</v>
      </c>
      <c r="G1130">
        <v>-266.88459999999998</v>
      </c>
      <c r="H1130">
        <v>0.94853160000000003</v>
      </c>
      <c r="I1130">
        <v>367.79579999999999</v>
      </c>
      <c r="J1130">
        <v>-267.45949999999999</v>
      </c>
      <c r="K1130">
        <v>1.1213489999999999</v>
      </c>
      <c r="L1130">
        <v>367.90159999999997</v>
      </c>
      <c r="M1130">
        <v>0.99988310000000002</v>
      </c>
      <c r="N1130">
        <v>-1.4081089999999999E-2</v>
      </c>
      <c r="O1130">
        <v>5.9664360000000003E-3</v>
      </c>
      <c r="P1130">
        <v>0.99034390000000005</v>
      </c>
      <c r="Q1130">
        <v>0.13366879999999901</v>
      </c>
      <c r="R1130">
        <v>-3.6765270000000003E-2</v>
      </c>
      <c r="S1130">
        <v>3.1083980000000002</v>
      </c>
      <c r="T1130">
        <v>-0.69742320000000002</v>
      </c>
      <c r="U1130">
        <v>-0.42144779999999998</v>
      </c>
      <c r="V1130">
        <v>4.2673040000000002E-2</v>
      </c>
      <c r="W1130">
        <v>0.1475976</v>
      </c>
      <c r="X1130">
        <v>0.98812650000000002</v>
      </c>
      <c r="Y1130">
        <v>0.1365835</v>
      </c>
      <c r="Z1130">
        <v>-1.7280150000000001E-2</v>
      </c>
      <c r="AA1130">
        <v>0.99047790000000002</v>
      </c>
      <c r="AB1130">
        <v>32</v>
      </c>
      <c r="AC1130">
        <v>0.57490000000001296</v>
      </c>
      <c r="AD1130">
        <v>-0.17281740000000001</v>
      </c>
      <c r="AE1130">
        <v>-0.105799999999987</v>
      </c>
      <c r="AF1130">
        <v>0.100449034217428</v>
      </c>
      <c r="AG1130">
        <v>-0.17281740000000001</v>
      </c>
      <c r="AH1130">
        <v>0.52810095466937101</v>
      </c>
      <c r="AI1130">
        <v>107.821526642458</v>
      </c>
      <c r="AJ1130">
        <v>79.2305302409696</v>
      </c>
      <c r="AK1130">
        <v>0.56466492767009602</v>
      </c>
      <c r="AL1130">
        <v>81.5122705551358</v>
      </c>
      <c r="AM1130">
        <v>87.527172064974593</v>
      </c>
      <c r="AN1130">
        <v>1.00000000993542</v>
      </c>
    </row>
    <row r="1131" spans="1:40" x14ac:dyDescent="0.25">
      <c r="A1131" t="str">
        <f>"20190303170244877"</f>
        <v>20190303170244877</v>
      </c>
      <c r="B1131" t="str">
        <f>"1551603764867007"</f>
        <v>1551603764867007</v>
      </c>
      <c r="C1131" t="s">
        <v>40</v>
      </c>
      <c r="D1131">
        <v>4.2789070000000002</v>
      </c>
      <c r="E1131">
        <v>0.54486669999999904</v>
      </c>
      <c r="F1131" t="s">
        <v>43</v>
      </c>
      <c r="G1131">
        <v>-266.60919999999999</v>
      </c>
      <c r="H1131">
        <v>0.92987640000000005</v>
      </c>
      <c r="I1131">
        <v>367.78559999999999</v>
      </c>
      <c r="J1131">
        <v>-267.25209999999998</v>
      </c>
      <c r="K1131">
        <v>1.1213679999999999</v>
      </c>
      <c r="L1131">
        <v>367.90280000000001</v>
      </c>
      <c r="M1131">
        <v>0.99988259999999995</v>
      </c>
      <c r="N1131">
        <v>-1.410701E-2</v>
      </c>
      <c r="O1131">
        <v>5.9766569999999998E-3</v>
      </c>
      <c r="P1131">
        <v>0.9903634</v>
      </c>
      <c r="Q1131">
        <v>0.1334331</v>
      </c>
      <c r="R1131">
        <v>-3.7093830000000001E-2</v>
      </c>
      <c r="S1131">
        <v>3.107971</v>
      </c>
      <c r="T1131">
        <v>-0.69990289999999999</v>
      </c>
      <c r="U1131">
        <v>-0.42358400000000002</v>
      </c>
      <c r="V1131">
        <v>4.3012370000000001E-2</v>
      </c>
      <c r="W1131">
        <v>0.14738770000000001</v>
      </c>
      <c r="X1131">
        <v>0.98814310000000005</v>
      </c>
      <c r="Y1131">
        <v>0.13723659999999999</v>
      </c>
      <c r="Z1131">
        <v>-1.7419359999999998E-2</v>
      </c>
      <c r="AA1131">
        <v>0.99038510000000002</v>
      </c>
      <c r="AB1131">
        <v>32</v>
      </c>
      <c r="AC1131">
        <v>0.64289999999999703</v>
      </c>
      <c r="AD1131">
        <v>-0.19149159999999901</v>
      </c>
      <c r="AE1131">
        <v>-0.11720000000002501</v>
      </c>
      <c r="AF1131">
        <v>0.111469401185568</v>
      </c>
      <c r="AG1131">
        <v>-0.19149159999999901</v>
      </c>
      <c r="AH1131">
        <v>0.59140702748066298</v>
      </c>
      <c r="AI1131">
        <v>107.650410879549</v>
      </c>
      <c r="AJ1131">
        <v>79.326017488037294</v>
      </c>
      <c r="AK1131">
        <v>0.631551052904468</v>
      </c>
      <c r="AL1131">
        <v>81.524429771892699</v>
      </c>
      <c r="AM1131">
        <v>87.507575004945195</v>
      </c>
      <c r="AN1131">
        <v>0.99999999208095802</v>
      </c>
    </row>
    <row r="1132" spans="1:40" x14ac:dyDescent="0.25">
      <c r="A1132" t="str">
        <f>"20190303170244890"</f>
        <v>20190303170244890</v>
      </c>
      <c r="B1132" t="str">
        <f>"1551603764876766"</f>
        <v>1551603764876766</v>
      </c>
      <c r="C1132" t="s">
        <v>40</v>
      </c>
      <c r="D1132">
        <v>4.3043430000000003</v>
      </c>
      <c r="E1132">
        <v>0.54492989999999997</v>
      </c>
      <c r="F1132" t="s">
        <v>43</v>
      </c>
      <c r="G1132">
        <v>-266.33229999999998</v>
      </c>
      <c r="H1132">
        <v>0.91386100000000003</v>
      </c>
      <c r="I1132">
        <v>367.77690000000001</v>
      </c>
      <c r="J1132">
        <v>-267.06330000000003</v>
      </c>
      <c r="K1132">
        <v>1.1213839999999999</v>
      </c>
      <c r="L1132">
        <v>367.904</v>
      </c>
      <c r="M1132">
        <v>0.9998823</v>
      </c>
      <c r="N1132">
        <v>-1.41282E-2</v>
      </c>
      <c r="O1132">
        <v>5.9845250000000001E-3</v>
      </c>
      <c r="P1132">
        <v>0.99039860000000002</v>
      </c>
      <c r="Q1132">
        <v>0.13310369999999999</v>
      </c>
      <c r="R1132">
        <v>-3.7340360000000003E-2</v>
      </c>
      <c r="S1132">
        <v>3.1077270000000001</v>
      </c>
      <c r="T1132">
        <v>-0.70123679999999999</v>
      </c>
      <c r="U1132">
        <v>-0.42492679999999999</v>
      </c>
      <c r="V1132">
        <v>4.3267390000000003E-2</v>
      </c>
      <c r="W1132">
        <v>0.1470793</v>
      </c>
      <c r="X1132">
        <v>0.988178</v>
      </c>
      <c r="Y1132">
        <v>0.13764960000000001</v>
      </c>
      <c r="Z1132">
        <v>-1.7502730000000001E-2</v>
      </c>
      <c r="AA1132">
        <v>0.99032629999999999</v>
      </c>
      <c r="AB1132">
        <v>32</v>
      </c>
      <c r="AC1132">
        <v>0.73100000000005105</v>
      </c>
      <c r="AD1132">
        <v>-0.20752299999999901</v>
      </c>
      <c r="AE1132">
        <v>-0.127099999999984</v>
      </c>
      <c r="AF1132">
        <v>0.121934165169338</v>
      </c>
      <c r="AG1132">
        <v>-0.20752299999999901</v>
      </c>
      <c r="AH1132">
        <v>0.67724646779455699</v>
      </c>
      <c r="AI1132">
        <v>106.78188216622</v>
      </c>
      <c r="AJ1132">
        <v>79.793584226296502</v>
      </c>
      <c r="AK1132">
        <v>0.71874648820341902</v>
      </c>
      <c r="AL1132">
        <v>81.5422951789525</v>
      </c>
      <c r="AM1132">
        <v>87.492904673022593</v>
      </c>
      <c r="AN1132">
        <v>1.0000000736049399</v>
      </c>
    </row>
    <row r="1133" spans="1:40" x14ac:dyDescent="0.25">
      <c r="A1133" t="str">
        <f>"20190303170244903"</f>
        <v>20190303170244903</v>
      </c>
      <c r="B1133" t="str">
        <f>"1551603764896286"</f>
        <v>1551603764896286</v>
      </c>
      <c r="C1133" t="s">
        <v>40</v>
      </c>
      <c r="D1133">
        <v>4.3133339999999896</v>
      </c>
      <c r="E1133">
        <v>0.54505609999999904</v>
      </c>
      <c r="F1133" t="s">
        <v>43</v>
      </c>
      <c r="G1133">
        <v>-266.31549999999999</v>
      </c>
      <c r="H1133">
        <v>0.95230510000000002</v>
      </c>
      <c r="I1133">
        <v>367.80119999999999</v>
      </c>
      <c r="J1133">
        <v>-266.8947</v>
      </c>
      <c r="K1133">
        <v>1.1213919999999999</v>
      </c>
      <c r="L1133">
        <v>367.90499999999997</v>
      </c>
      <c r="M1133">
        <v>0.99988200000000005</v>
      </c>
      <c r="N1133">
        <v>-1.4145619999999999E-2</v>
      </c>
      <c r="O1133">
        <v>5.9902740000000003E-3</v>
      </c>
      <c r="P1133">
        <v>0.99038570000000004</v>
      </c>
      <c r="Q1133">
        <v>0.13317590000000001</v>
      </c>
      <c r="R1133">
        <v>-3.7423129999999999E-2</v>
      </c>
      <c r="S1133">
        <v>3.1074519999999999</v>
      </c>
      <c r="T1133">
        <v>-0.70274389999999998</v>
      </c>
      <c r="U1133">
        <v>-0.42620849999999999</v>
      </c>
      <c r="V1133">
        <v>4.3356499999999999E-2</v>
      </c>
      <c r="W1133">
        <v>0.14716889999999999</v>
      </c>
      <c r="X1133">
        <v>0.9881607</v>
      </c>
      <c r="Y1133">
        <v>0.13804129999999901</v>
      </c>
      <c r="Z1133">
        <v>-1.758728E-2</v>
      </c>
      <c r="AA1133">
        <v>0.99027030000000005</v>
      </c>
      <c r="AB1133">
        <v>32</v>
      </c>
      <c r="AC1133">
        <v>0.57920000000001404</v>
      </c>
      <c r="AD1133">
        <v>-0.16908690000000001</v>
      </c>
      <c r="AE1133">
        <v>-0.10379999999997799</v>
      </c>
      <c r="AF1133">
        <v>9.9086279991419099E-2</v>
      </c>
      <c r="AG1133">
        <v>-0.16908690000000001</v>
      </c>
      <c r="AH1133">
        <v>0.53443803430991399</v>
      </c>
      <c r="AI1133">
        <v>107.279935931471</v>
      </c>
      <c r="AJ1133">
        <v>79.496471357565795</v>
      </c>
      <c r="AK1133">
        <v>0.56923851165499395</v>
      </c>
      <c r="AL1133">
        <v>81.537104542216994</v>
      </c>
      <c r="AM1133">
        <v>87.487703945579099</v>
      </c>
      <c r="AN1133">
        <v>1.0000000201219701</v>
      </c>
    </row>
    <row r="1134" spans="1:40" x14ac:dyDescent="0.25">
      <c r="A1134" t="str">
        <f>"20190303170244915"</f>
        <v>20190303170244915</v>
      </c>
      <c r="B1134" t="str">
        <f>"1551603764907023"</f>
        <v>1551603764907023</v>
      </c>
      <c r="C1134" t="s">
        <v>40</v>
      </c>
      <c r="D1134">
        <v>4.3082099999999999</v>
      </c>
      <c r="E1134">
        <v>0.54510999999999998</v>
      </c>
      <c r="F1134" t="s">
        <v>43</v>
      </c>
      <c r="G1134">
        <v>-266.04289999999997</v>
      </c>
      <c r="H1134">
        <v>0.92859159999999996</v>
      </c>
      <c r="I1134">
        <v>367.7876</v>
      </c>
      <c r="J1134">
        <v>-266.7079</v>
      </c>
      <c r="K1134">
        <v>1.1214059999999999</v>
      </c>
      <c r="L1134">
        <v>367.90620000000001</v>
      </c>
      <c r="M1134">
        <v>0.99988169999999998</v>
      </c>
      <c r="N1134">
        <v>-1.4163810000000001E-2</v>
      </c>
      <c r="O1134">
        <v>5.9956549999999999E-3</v>
      </c>
      <c r="P1134">
        <v>0.9904191</v>
      </c>
      <c r="Q1134">
        <v>0.13289609999999999</v>
      </c>
      <c r="R1134">
        <v>-3.7531490000000001E-2</v>
      </c>
      <c r="S1134">
        <v>3.1075740000000001</v>
      </c>
      <c r="T1134">
        <v>-0.70350500000000005</v>
      </c>
      <c r="U1134">
        <v>-0.42752079999999998</v>
      </c>
      <c r="V1134">
        <v>4.3471000000000003E-2</v>
      </c>
      <c r="W1134">
        <v>0.14690710000000001</v>
      </c>
      <c r="X1134">
        <v>0.98819460000000003</v>
      </c>
      <c r="Y1134">
        <v>0.13843369999999999</v>
      </c>
      <c r="Z1134">
        <v>-1.7652649999999999E-2</v>
      </c>
      <c r="AA1134">
        <v>0.99021429999999999</v>
      </c>
      <c r="AB1134">
        <v>32</v>
      </c>
      <c r="AC1134">
        <v>0.66500000000002002</v>
      </c>
      <c r="AD1134">
        <v>-0.192814399999999</v>
      </c>
      <c r="AE1134">
        <v>-0.118600000000014</v>
      </c>
      <c r="AF1134">
        <v>0.11334992345051299</v>
      </c>
      <c r="AG1134">
        <v>-0.192814399999999</v>
      </c>
      <c r="AH1134">
        <v>0.61423095836885</v>
      </c>
      <c r="AI1134">
        <v>107.155432734458</v>
      </c>
      <c r="AJ1134">
        <v>79.5442910626155</v>
      </c>
      <c r="AK1134">
        <v>0.65368590944911198</v>
      </c>
      <c r="AL1134">
        <v>81.552269198234001</v>
      </c>
      <c r="AM1134">
        <v>87.481164068160595</v>
      </c>
      <c r="AN1134">
        <v>0.99999999567028497</v>
      </c>
    </row>
    <row r="1135" spans="1:40" x14ac:dyDescent="0.25">
      <c r="A1135" t="str">
        <f>"20190303170244928"</f>
        <v>20190303170244928</v>
      </c>
      <c r="B1135" t="str">
        <f>"1551603764916784"</f>
        <v>1551603764916784</v>
      </c>
      <c r="C1135" t="s">
        <v>40</v>
      </c>
      <c r="D1135">
        <v>4.3317690000000004</v>
      </c>
      <c r="E1135">
        <v>0.5451319</v>
      </c>
      <c r="F1135" t="s">
        <v>43</v>
      </c>
      <c r="G1135">
        <v>-265.76830000000001</v>
      </c>
      <c r="H1135">
        <v>0.908327</v>
      </c>
      <c r="I1135">
        <v>367.77659999999997</v>
      </c>
      <c r="J1135">
        <v>-266.52249999999998</v>
      </c>
      <c r="K1135">
        <v>1.121416</v>
      </c>
      <c r="L1135">
        <v>367.90730000000002</v>
      </c>
      <c r="M1135">
        <v>0.99988160000000004</v>
      </c>
      <c r="N1135">
        <v>-1.4179860000000001E-2</v>
      </c>
      <c r="O1135">
        <v>5.9995550000000002E-3</v>
      </c>
      <c r="P1135">
        <v>0.99043440000000005</v>
      </c>
      <c r="Q1135">
        <v>0.1327362</v>
      </c>
      <c r="R1135">
        <v>-3.7697990000000001E-2</v>
      </c>
      <c r="S1135">
        <v>3.1074220000000001</v>
      </c>
      <c r="T1135">
        <v>-0.70477129999999999</v>
      </c>
      <c r="U1135">
        <v>-0.42813109999999999</v>
      </c>
      <c r="V1135">
        <v>4.3642170000000001E-2</v>
      </c>
      <c r="W1135">
        <v>0.14676330000000001</v>
      </c>
      <c r="X1135">
        <v>0.98820839999999999</v>
      </c>
      <c r="Y1135">
        <v>0.1386165</v>
      </c>
      <c r="Z1135">
        <v>-1.7706220000000002E-2</v>
      </c>
      <c r="AA1135">
        <v>0.99018779999999995</v>
      </c>
      <c r="AB1135">
        <v>32</v>
      </c>
      <c r="AC1135">
        <v>0.75419999999996801</v>
      </c>
      <c r="AD1135">
        <v>-0.213089</v>
      </c>
      <c r="AE1135">
        <v>-0.130700000000047</v>
      </c>
      <c r="AF1135">
        <v>0.12549701940841601</v>
      </c>
      <c r="AG1135">
        <v>-0.213089</v>
      </c>
      <c r="AH1135">
        <v>0.69921355595711199</v>
      </c>
      <c r="AI1135">
        <v>106.69724818796099</v>
      </c>
      <c r="AJ1135">
        <v>79.824715375403599</v>
      </c>
      <c r="AK1135">
        <v>0.74165761685267295</v>
      </c>
      <c r="AL1135">
        <v>81.560598425948598</v>
      </c>
      <c r="AM1135">
        <v>87.471294097980007</v>
      </c>
      <c r="AN1135">
        <v>0.99999997352987902</v>
      </c>
    </row>
    <row r="1136" spans="1:40" x14ac:dyDescent="0.25">
      <c r="A1136" t="str">
        <f>"20190303170244941"</f>
        <v>20190303170244941</v>
      </c>
      <c r="B1136" t="str">
        <f>"1551603764926542"</f>
        <v>1551603764926542</v>
      </c>
      <c r="C1136" t="s">
        <v>40</v>
      </c>
      <c r="D1136">
        <v>4.33413</v>
      </c>
      <c r="E1136">
        <v>0.54516940000000003</v>
      </c>
      <c r="F1136" t="s">
        <v>43</v>
      </c>
      <c r="G1136">
        <v>-265.75200000000001</v>
      </c>
      <c r="H1136">
        <v>0.94645360000000001</v>
      </c>
      <c r="I1136">
        <v>367.80070000000001</v>
      </c>
      <c r="J1136">
        <v>-266.35669999999999</v>
      </c>
      <c r="K1136">
        <v>1.121424</v>
      </c>
      <c r="L1136">
        <v>367.90820000000002</v>
      </c>
      <c r="M1136">
        <v>0.99988129999999997</v>
      </c>
      <c r="N1136">
        <v>-1.419338E-2</v>
      </c>
      <c r="O1136">
        <v>6.0025850000000004E-3</v>
      </c>
      <c r="P1136">
        <v>0.99046500000000004</v>
      </c>
      <c r="Q1136">
        <v>0.1325017</v>
      </c>
      <c r="R1136">
        <v>-3.771207E-2</v>
      </c>
      <c r="S1136">
        <v>3.107208</v>
      </c>
      <c r="T1136">
        <v>-0.70562530000000001</v>
      </c>
      <c r="U1136">
        <v>-0.4291992</v>
      </c>
      <c r="V1136">
        <v>4.3660089999999999E-2</v>
      </c>
      <c r="W1136">
        <v>0.14654249999999999</v>
      </c>
      <c r="X1136">
        <v>0.98824040000000002</v>
      </c>
      <c r="Y1136">
        <v>0.1389445</v>
      </c>
      <c r="Z1136">
        <v>-1.7767350000000001E-2</v>
      </c>
      <c r="AA1136">
        <v>0.99014080000000004</v>
      </c>
      <c r="AB1136">
        <v>32</v>
      </c>
      <c r="AC1136">
        <v>0.60469999999997903</v>
      </c>
      <c r="AD1136">
        <v>-0.174970399999999</v>
      </c>
      <c r="AE1136">
        <v>-0.107500000000015</v>
      </c>
      <c r="AF1136">
        <v>0.102786174524731</v>
      </c>
      <c r="AG1136">
        <v>-0.174970399999999</v>
      </c>
      <c r="AH1136">
        <v>0.55870024114089401</v>
      </c>
      <c r="AI1136">
        <v>107.119092592231</v>
      </c>
      <c r="AJ1136">
        <v>79.575646635901705</v>
      </c>
      <c r="AK1136">
        <v>0.59441197666305701</v>
      </c>
      <c r="AL1136">
        <v>81.573387818443393</v>
      </c>
      <c r="AM1136">
        <v>87.470338938180603</v>
      </c>
      <c r="AN1136">
        <v>0.99999999797860895</v>
      </c>
    </row>
    <row r="1137" spans="1:40" x14ac:dyDescent="0.25">
      <c r="A1137" t="str">
        <f>"20190303170244950"</f>
        <v>20190303170244950</v>
      </c>
      <c r="B1137" t="str">
        <f>"1551603764936303"</f>
        <v>1551603764936303</v>
      </c>
      <c r="C1137" t="s">
        <v>40</v>
      </c>
      <c r="D1137">
        <v>4.3349789999999997</v>
      </c>
      <c r="E1137">
        <v>0.54523469999999996</v>
      </c>
      <c r="F1137" t="s">
        <v>43</v>
      </c>
      <c r="G1137">
        <v>-265.4803</v>
      </c>
      <c r="H1137">
        <v>0.92204710000000001</v>
      </c>
      <c r="I1137">
        <v>367.78710000000001</v>
      </c>
      <c r="J1137">
        <v>-266.20819999999998</v>
      </c>
      <c r="K1137">
        <v>1.121429</v>
      </c>
      <c r="L1137">
        <v>367.90910000000002</v>
      </c>
      <c r="M1137">
        <v>0.99988109999999997</v>
      </c>
      <c r="N1137">
        <v>-1.4204629999999999E-2</v>
      </c>
      <c r="O1137">
        <v>6.0045050000000003E-3</v>
      </c>
      <c r="P1137">
        <v>0.99049909999999997</v>
      </c>
      <c r="Q1137">
        <v>0.13231019999999999</v>
      </c>
      <c r="R1137">
        <v>-3.7492169999999998E-2</v>
      </c>
      <c r="S1137">
        <v>3.1070859999999998</v>
      </c>
      <c r="T1137">
        <v>-0.70690540000000002</v>
      </c>
      <c r="U1137">
        <v>-0.42959589999999998</v>
      </c>
      <c r="V1137">
        <v>4.3442710000000002E-2</v>
      </c>
      <c r="W1137">
        <v>0.146362299999999</v>
      </c>
      <c r="X1137">
        <v>0.98827670000000001</v>
      </c>
      <c r="Y1137">
        <v>0.13905890000000001</v>
      </c>
      <c r="Z1137">
        <v>-1.7812479999999999E-2</v>
      </c>
      <c r="AA1137">
        <v>0.99012389999999995</v>
      </c>
      <c r="AB1137">
        <v>32</v>
      </c>
      <c r="AC1137">
        <v>0.72789999999997601</v>
      </c>
      <c r="AD1137">
        <v>-0.1993819</v>
      </c>
      <c r="AE1137">
        <v>-0.122000000000014</v>
      </c>
      <c r="AF1137">
        <v>0.11777393014800799</v>
      </c>
      <c r="AG1137">
        <v>-0.1993819</v>
      </c>
      <c r="AH1137">
        <v>0.67769680890319495</v>
      </c>
      <c r="AI1137">
        <v>106.16479234534501</v>
      </c>
      <c r="AJ1137">
        <v>80.141282159254104</v>
      </c>
      <c r="AK1137">
        <v>0.71616814050032396</v>
      </c>
      <c r="AL1137">
        <v>81.583825189618096</v>
      </c>
      <c r="AM1137">
        <v>87.483010008327696</v>
      </c>
      <c r="AN1137">
        <v>1.00000001383816</v>
      </c>
    </row>
    <row r="1138" spans="1:40" x14ac:dyDescent="0.25">
      <c r="A1138" t="str">
        <f>"20190303170244964"</f>
        <v>20190303170244964</v>
      </c>
      <c r="B1138" t="str">
        <f>"1551603764956799"</f>
        <v>1551603764956799</v>
      </c>
      <c r="C1138" t="s">
        <v>40</v>
      </c>
      <c r="D1138">
        <v>4.3519110000000003</v>
      </c>
      <c r="E1138">
        <v>0.54533019999999999</v>
      </c>
      <c r="F1138" t="s">
        <v>43</v>
      </c>
      <c r="G1138">
        <v>-265.46660000000003</v>
      </c>
      <c r="H1138">
        <v>0.95252630000000005</v>
      </c>
      <c r="I1138">
        <v>367.80669999999998</v>
      </c>
      <c r="J1138">
        <v>-266.029</v>
      </c>
      <c r="K1138">
        <v>1.1214299999999999</v>
      </c>
      <c r="L1138">
        <v>367.91019999999997</v>
      </c>
      <c r="M1138">
        <v>0.99988100000000002</v>
      </c>
      <c r="N1138">
        <v>-1.4216980000000001E-2</v>
      </c>
      <c r="O1138">
        <v>6.0059400000000004E-3</v>
      </c>
      <c r="P1138">
        <v>0.99053349999999996</v>
      </c>
      <c r="Q1138">
        <v>0.13205699999999901</v>
      </c>
      <c r="R1138">
        <v>-3.7477009999999998E-2</v>
      </c>
      <c r="S1138">
        <v>3.107056</v>
      </c>
      <c r="T1138">
        <v>-0.70776249999999996</v>
      </c>
      <c r="U1138">
        <v>-0.42932130000000002</v>
      </c>
      <c r="V1138">
        <v>4.3429959999999997E-2</v>
      </c>
      <c r="W1138">
        <v>0.14612130000000001</v>
      </c>
      <c r="X1138">
        <v>0.98831290000000005</v>
      </c>
      <c r="Y1138">
        <v>0.138968799999999</v>
      </c>
      <c r="Z1138">
        <v>-1.782311E-2</v>
      </c>
      <c r="AA1138">
        <v>0.99013640000000003</v>
      </c>
      <c r="AB1138">
        <v>32</v>
      </c>
      <c r="AC1138">
        <v>0.56239999999996804</v>
      </c>
      <c r="AD1138">
        <v>-0.16890369999999899</v>
      </c>
      <c r="AE1138">
        <v>-0.103499999999996</v>
      </c>
      <c r="AF1138">
        <v>9.8300354738331402E-2</v>
      </c>
      <c r="AG1138">
        <v>-0.16890369999999899</v>
      </c>
      <c r="AH1138">
        <v>0.51669130756121495</v>
      </c>
      <c r="AI1138">
        <v>107.803628208758</v>
      </c>
      <c r="AJ1138">
        <v>79.228226499388597</v>
      </c>
      <c r="AK1138">
        <v>0.55241409008522702</v>
      </c>
      <c r="AL1138">
        <v>81.597783355677905</v>
      </c>
      <c r="AM1138">
        <v>87.483839817084601</v>
      </c>
      <c r="AN1138">
        <v>0.99999999202284995</v>
      </c>
    </row>
    <row r="1139" spans="1:40" x14ac:dyDescent="0.25">
      <c r="A1139" t="str">
        <f>"20190303170244976"</f>
        <v>20190303170244976</v>
      </c>
      <c r="B1139" t="str">
        <f>"1551603764966558"</f>
        <v>1551603764966558</v>
      </c>
      <c r="C1139" t="s">
        <v>40</v>
      </c>
      <c r="D1139">
        <v>4.3518879999999998</v>
      </c>
      <c r="E1139">
        <v>0.5453597</v>
      </c>
      <c r="F1139" t="s">
        <v>43</v>
      </c>
      <c r="G1139">
        <v>-265.19420000000002</v>
      </c>
      <c r="H1139">
        <v>0.93086210000000003</v>
      </c>
      <c r="I1139">
        <v>367.79450000000003</v>
      </c>
      <c r="J1139">
        <v>-265.85950000000003</v>
      </c>
      <c r="K1139">
        <v>1.1214360000000001</v>
      </c>
      <c r="L1139">
        <v>367.91129999999998</v>
      </c>
      <c r="M1139">
        <v>0.99988089999999996</v>
      </c>
      <c r="N1139">
        <v>-1.4228040000000001E-2</v>
      </c>
      <c r="O1139">
        <v>6.0068509999999997E-3</v>
      </c>
      <c r="P1139">
        <v>0.99057229999999996</v>
      </c>
      <c r="Q1139">
        <v>0.13180510000000001</v>
      </c>
      <c r="R1139">
        <v>-3.7338219999999998E-2</v>
      </c>
      <c r="S1139">
        <v>3.1069640000000001</v>
      </c>
      <c r="T1139">
        <v>-0.70926999999999996</v>
      </c>
      <c r="U1139">
        <v>-0.42993160000000002</v>
      </c>
      <c r="V1139">
        <v>4.3292530000000003E-2</v>
      </c>
      <c r="W1139">
        <v>0.14588119999999999</v>
      </c>
      <c r="X1139">
        <v>0.98835439999999997</v>
      </c>
      <c r="Y1139">
        <v>0.13914370000000001</v>
      </c>
      <c r="Z1139">
        <v>-1.788035E-2</v>
      </c>
      <c r="AA1139">
        <v>0.99011079999999996</v>
      </c>
      <c r="AB1139">
        <v>32</v>
      </c>
      <c r="AC1139">
        <v>0.665300000000002</v>
      </c>
      <c r="AD1139">
        <v>-0.19057389999999999</v>
      </c>
      <c r="AE1139">
        <v>-0.116799999999955</v>
      </c>
      <c r="AF1139">
        <v>0.111888430431344</v>
      </c>
      <c r="AG1139">
        <v>-0.19057389999999999</v>
      </c>
      <c r="AH1139">
        <v>0.61558618725705505</v>
      </c>
      <c r="AI1139">
        <v>106.94025202687899</v>
      </c>
      <c r="AJ1139">
        <v>79.698426860160794</v>
      </c>
      <c r="AK1139">
        <v>0.65405182223374103</v>
      </c>
      <c r="AL1139">
        <v>81.611689095892402</v>
      </c>
      <c r="AM1139">
        <v>87.491896966035398</v>
      </c>
      <c r="AN1139">
        <v>0.99999999383329996</v>
      </c>
    </row>
    <row r="1140" spans="1:40" x14ac:dyDescent="0.25">
      <c r="A1140" t="str">
        <f>"20190303170244989"</f>
        <v>20190303170244989</v>
      </c>
      <c r="B1140" t="str">
        <f>"1551603764976319"</f>
        <v>1551603764976319</v>
      </c>
      <c r="C1140" t="s">
        <v>40</v>
      </c>
      <c r="D1140">
        <v>4.3523120000000004</v>
      </c>
      <c r="E1140">
        <v>0.54540880000000003</v>
      </c>
      <c r="F1140" t="s">
        <v>43</v>
      </c>
      <c r="G1140">
        <v>-264.9221</v>
      </c>
      <c r="H1140">
        <v>0.9071051</v>
      </c>
      <c r="I1140">
        <v>367.78160000000003</v>
      </c>
      <c r="J1140">
        <v>-265.66410000000002</v>
      </c>
      <c r="K1140">
        <v>1.1214390000000001</v>
      </c>
      <c r="L1140">
        <v>367.91239999999999</v>
      </c>
      <c r="M1140">
        <v>0.99988069999999896</v>
      </c>
      <c r="N1140">
        <v>-1.4239150000000001E-2</v>
      </c>
      <c r="O1140">
        <v>6.007231E-3</v>
      </c>
      <c r="P1140">
        <v>0.99061319999999997</v>
      </c>
      <c r="Q1140">
        <v>0.13144359999999999</v>
      </c>
      <c r="R1140">
        <v>-3.7526400000000001E-2</v>
      </c>
      <c r="S1140">
        <v>3.106903</v>
      </c>
      <c r="T1140">
        <v>-0.710422</v>
      </c>
      <c r="U1140">
        <v>-0.42926029999999998</v>
      </c>
      <c r="V1140">
        <v>4.3481859999999997E-2</v>
      </c>
      <c r="W1140">
        <v>0.14553070000000001</v>
      </c>
      <c r="X1140">
        <v>0.98839779999999999</v>
      </c>
      <c r="Y1140">
        <v>0.13893</v>
      </c>
      <c r="Z1140">
        <v>-1.7883039999999999E-2</v>
      </c>
      <c r="AA1140">
        <v>0.99014069999999998</v>
      </c>
      <c r="AB1140">
        <v>32</v>
      </c>
      <c r="AC1140">
        <v>0.74200000000001798</v>
      </c>
      <c r="AD1140">
        <v>-0.21433389999999899</v>
      </c>
      <c r="AE1140">
        <v>-0.130799999999965</v>
      </c>
      <c r="AF1140">
        <v>0.12512933963564399</v>
      </c>
      <c r="AG1140">
        <v>-0.21433389999999899</v>
      </c>
      <c r="AH1140">
        <v>0.68570959865408598</v>
      </c>
      <c r="AI1140">
        <v>107.092381481226</v>
      </c>
      <c r="AJ1140">
        <v>79.658366768017601</v>
      </c>
      <c r="AK1140">
        <v>0.72924209012728503</v>
      </c>
      <c r="AL1140">
        <v>81.631988234674495</v>
      </c>
      <c r="AM1140">
        <v>87.481052916444796</v>
      </c>
      <c r="AN1140">
        <v>1.00000003391819</v>
      </c>
    </row>
    <row r="1141" spans="1:40" x14ac:dyDescent="0.25">
      <c r="A1141" t="str">
        <f>"20190303170245001"</f>
        <v>20190303170245001</v>
      </c>
      <c r="B1141" t="str">
        <f>"1551603764987055"</f>
        <v>1551603764987055</v>
      </c>
      <c r="C1141" t="s">
        <v>40</v>
      </c>
      <c r="D1141">
        <v>4.3669719999999996</v>
      </c>
      <c r="E1141">
        <v>0.54546119999999898</v>
      </c>
      <c r="F1141" t="s">
        <v>43</v>
      </c>
      <c r="G1141">
        <v>-264.90480000000002</v>
      </c>
      <c r="H1141">
        <v>0.94745889999999999</v>
      </c>
      <c r="I1141">
        <v>367.80720000000002</v>
      </c>
      <c r="J1141">
        <v>-265.49880000000002</v>
      </c>
      <c r="K1141">
        <v>1.1214500000000001</v>
      </c>
      <c r="L1141">
        <v>367.9135</v>
      </c>
      <c r="M1141">
        <v>0.99988060000000001</v>
      </c>
      <c r="N1141">
        <v>-1.4247869999999999E-2</v>
      </c>
      <c r="O1141">
        <v>6.0073339999999996E-3</v>
      </c>
      <c r="P1141">
        <v>0.99064870000000005</v>
      </c>
      <c r="Q1141">
        <v>0.13116029999999901</v>
      </c>
      <c r="R1141">
        <v>-3.7582999999999998E-2</v>
      </c>
      <c r="S1141">
        <v>3.1066280000000002</v>
      </c>
      <c r="T1141">
        <v>-0.71182489999999998</v>
      </c>
      <c r="U1141">
        <v>-0.43020629999999999</v>
      </c>
      <c r="V1141">
        <v>4.3538889999999997E-2</v>
      </c>
      <c r="W1141">
        <v>0.14525660000000001</v>
      </c>
      <c r="X1141">
        <v>0.98843559999999997</v>
      </c>
      <c r="Y1141">
        <v>0.1392147</v>
      </c>
      <c r="Z1141">
        <v>-1.7951599999999901E-2</v>
      </c>
      <c r="AA1141">
        <v>0.99009950000000002</v>
      </c>
      <c r="AB1141">
        <v>32</v>
      </c>
      <c r="AC1141">
        <v>0.59399999999999398</v>
      </c>
      <c r="AD1141">
        <v>-0.17399110000000001</v>
      </c>
      <c r="AE1141">
        <v>-0.106299999999976</v>
      </c>
      <c r="AF1141">
        <v>0.101433953538263</v>
      </c>
      <c r="AG1141">
        <v>-0.17399110000000001</v>
      </c>
      <c r="AH1141">
        <v>0.54780789992109002</v>
      </c>
      <c r="AI1141">
        <v>107.343830143308</v>
      </c>
      <c r="AJ1141">
        <v>79.5097318036334</v>
      </c>
      <c r="AK1141">
        <v>0.58365678701234003</v>
      </c>
      <c r="AL1141">
        <v>81.647861605932903</v>
      </c>
      <c r="AM1141">
        <v>87.477849707894094</v>
      </c>
      <c r="AN1141">
        <v>1.0000000250666701</v>
      </c>
    </row>
    <row r="1142" spans="1:40" x14ac:dyDescent="0.25">
      <c r="A1142" t="str">
        <f>"20190303170245014"</f>
        <v>20190303170245014</v>
      </c>
      <c r="B1142" t="str">
        <f>"1551603765006575"</f>
        <v>1551603765006575</v>
      </c>
      <c r="C1142" t="s">
        <v>40</v>
      </c>
      <c r="D1142">
        <v>4.3849900000000002</v>
      </c>
      <c r="E1142">
        <v>0.54555669999999901</v>
      </c>
      <c r="F1142" t="s">
        <v>43</v>
      </c>
      <c r="G1142">
        <v>-264.63420000000002</v>
      </c>
      <c r="H1142">
        <v>0.92298659999999999</v>
      </c>
      <c r="I1142">
        <v>367.79349999999999</v>
      </c>
      <c r="J1142">
        <v>-265.31229999999999</v>
      </c>
      <c r="K1142">
        <v>1.121456</v>
      </c>
      <c r="L1142">
        <v>367.91460000000001</v>
      </c>
      <c r="M1142">
        <v>0.99988030000000006</v>
      </c>
      <c r="N1142">
        <v>-1.425704E-2</v>
      </c>
      <c r="O1142">
        <v>6.0074339999999999E-3</v>
      </c>
      <c r="P1142">
        <v>0.99063749999999995</v>
      </c>
      <c r="Q1142">
        <v>0.13123889999999999</v>
      </c>
      <c r="R1142">
        <v>-3.759995E-2</v>
      </c>
      <c r="S1142">
        <v>3.1064150000000001</v>
      </c>
      <c r="T1142">
        <v>-0.7132001</v>
      </c>
      <c r="U1142">
        <v>-0.43054199999999998</v>
      </c>
      <c r="V1142">
        <v>4.3556200000000003E-2</v>
      </c>
      <c r="W1142">
        <v>0.14534430000000001</v>
      </c>
      <c r="X1142">
        <v>0.98842189999999996</v>
      </c>
      <c r="Y1142">
        <v>0.139311299999999</v>
      </c>
      <c r="Z1142">
        <v>-1.7996959999999999E-2</v>
      </c>
      <c r="AA1142">
        <v>0.99008510000000005</v>
      </c>
      <c r="AB1142">
        <v>32</v>
      </c>
      <c r="AC1142">
        <v>0.67809999999997195</v>
      </c>
      <c r="AD1142">
        <v>-0.19846939999999999</v>
      </c>
      <c r="AE1142">
        <v>-0.121100000000012</v>
      </c>
      <c r="AF1142">
        <v>0.115577058396389</v>
      </c>
      <c r="AG1142">
        <v>-0.19846939999999999</v>
      </c>
      <c r="AH1142">
        <v>0.62543843305077895</v>
      </c>
      <c r="AI1142">
        <v>107.33028142847</v>
      </c>
      <c r="AJ1142">
        <v>79.530213346119197</v>
      </c>
      <c r="AK1142">
        <v>0.66627426237318899</v>
      </c>
      <c r="AL1142">
        <v>81.642782491271504</v>
      </c>
      <c r="AM1142">
        <v>87.476813331250597</v>
      </c>
      <c r="AN1142">
        <v>0.99999998025026904</v>
      </c>
    </row>
    <row r="1143" spans="1:40" x14ac:dyDescent="0.25">
      <c r="A1143" t="str">
        <f>"20190303170245029"</f>
        <v>20190303170245029</v>
      </c>
      <c r="B1143" t="str">
        <f>"1551603765016335"</f>
        <v>1551603765016335</v>
      </c>
      <c r="C1143" t="s">
        <v>40</v>
      </c>
      <c r="D1143">
        <v>4.4016609999999998</v>
      </c>
      <c r="E1143">
        <v>0.54560540000000002</v>
      </c>
      <c r="F1143" t="s">
        <v>43</v>
      </c>
      <c r="G1143">
        <v>-264.61669999999998</v>
      </c>
      <c r="H1143">
        <v>0.96166160000000001</v>
      </c>
      <c r="I1143">
        <v>367.8177</v>
      </c>
      <c r="J1143">
        <v>-265.10820000000001</v>
      </c>
      <c r="K1143">
        <v>1.1214649999999999</v>
      </c>
      <c r="L1143">
        <v>367.91579999999999</v>
      </c>
      <c r="M1143">
        <v>0.9998802</v>
      </c>
      <c r="N1143">
        <v>-1.4265689999999999E-2</v>
      </c>
      <c r="O1143">
        <v>6.0068279999999996E-3</v>
      </c>
      <c r="P1143">
        <v>0.99064359999999996</v>
      </c>
      <c r="Q1143">
        <v>0.13119020000000001</v>
      </c>
      <c r="R1143">
        <v>-3.7611560000000002E-2</v>
      </c>
      <c r="S1143">
        <v>3.1065369999999999</v>
      </c>
      <c r="T1143">
        <v>-0.71377100000000004</v>
      </c>
      <c r="U1143">
        <v>-0.4316101</v>
      </c>
      <c r="V1143">
        <v>4.3567300000000003E-2</v>
      </c>
      <c r="W1143">
        <v>0.14530419999999999</v>
      </c>
      <c r="X1143">
        <v>0.98842730000000001</v>
      </c>
      <c r="Y1143">
        <v>0.13962529999999901</v>
      </c>
      <c r="Z1143">
        <v>-1.8047440000000001E-2</v>
      </c>
      <c r="AA1143">
        <v>0.99003989999999997</v>
      </c>
      <c r="AB1143">
        <v>32</v>
      </c>
      <c r="AC1143">
        <v>0.49150000000003002</v>
      </c>
      <c r="AD1143">
        <v>-0.15980339999999901</v>
      </c>
      <c r="AE1143">
        <v>-9.8099999999988002E-2</v>
      </c>
      <c r="AF1143">
        <v>9.1725834980629195E-2</v>
      </c>
      <c r="AG1143">
        <v>-0.15980339999999901</v>
      </c>
      <c r="AH1143">
        <v>0.44560101639197303</v>
      </c>
      <c r="AI1143">
        <v>109.35431583418701</v>
      </c>
      <c r="AJ1143">
        <v>78.368284234684594</v>
      </c>
      <c r="AK1143">
        <v>0.48219396643260998</v>
      </c>
      <c r="AL1143">
        <v>81.645104650023299</v>
      </c>
      <c r="AM1143">
        <v>87.476184916126599</v>
      </c>
      <c r="AN1143">
        <v>0.99999997377610905</v>
      </c>
    </row>
    <row r="1144" spans="1:40" x14ac:dyDescent="0.25">
      <c r="A1144" t="str">
        <f>"20190303170245045"</f>
        <v>20190303170245045</v>
      </c>
      <c r="B1144" t="str">
        <f>"1551603765036831"</f>
        <v>1551603765036831</v>
      </c>
      <c r="C1144" t="s">
        <v>40</v>
      </c>
      <c r="D1144">
        <v>4.430771</v>
      </c>
      <c r="E1144">
        <v>0.54561700000000002</v>
      </c>
      <c r="F1144" t="s">
        <v>43</v>
      </c>
      <c r="G1144">
        <v>-264.34289999999999</v>
      </c>
      <c r="H1144">
        <v>0.94546929999999996</v>
      </c>
      <c r="I1144">
        <v>367.80950000000001</v>
      </c>
      <c r="J1144">
        <v>-264.89960000000002</v>
      </c>
      <c r="K1144">
        <v>1.1214729999999999</v>
      </c>
      <c r="L1144">
        <v>367.91699999999997</v>
      </c>
      <c r="M1144">
        <v>0.9998802</v>
      </c>
      <c r="N1144">
        <v>-1.427375E-2</v>
      </c>
      <c r="O1144">
        <v>6.0061089999999999E-3</v>
      </c>
      <c r="P1144">
        <v>0.99061500000000002</v>
      </c>
      <c r="Q1144">
        <v>0.1313619</v>
      </c>
      <c r="R1144">
        <v>-3.7767990000000001E-2</v>
      </c>
      <c r="S1144">
        <v>3.1065670000000001</v>
      </c>
      <c r="T1144">
        <v>-0.71441860000000001</v>
      </c>
      <c r="U1144">
        <v>-0.43173220000000001</v>
      </c>
      <c r="V1144">
        <v>4.3723100000000001E-2</v>
      </c>
      <c r="W1144">
        <v>0.14548349999999999</v>
      </c>
      <c r="X1144">
        <v>0.98839410000000005</v>
      </c>
      <c r="Y1144">
        <v>0.13965369999999999</v>
      </c>
      <c r="Z1144">
        <v>-1.8066200000000001E-2</v>
      </c>
      <c r="AA1144">
        <v>0.99003560000000002</v>
      </c>
      <c r="AB1144">
        <v>31</v>
      </c>
      <c r="AC1144">
        <v>0.55670000000003395</v>
      </c>
      <c r="AD1144">
        <v>-0.17600369999999901</v>
      </c>
      <c r="AE1144">
        <v>-0.107499999999959</v>
      </c>
      <c r="AF1144">
        <v>0.10109990680513101</v>
      </c>
      <c r="AG1144">
        <v>-0.17600369999999901</v>
      </c>
      <c r="AH1144">
        <v>0.507172546163557</v>
      </c>
      <c r="AI1144">
        <v>108.795147856456</v>
      </c>
      <c r="AJ1144">
        <v>78.726418637044702</v>
      </c>
      <c r="AK1144">
        <v>0.546280591959591</v>
      </c>
      <c r="AL1144">
        <v>81.634721633541702</v>
      </c>
      <c r="AM1144">
        <v>87.467086326340194</v>
      </c>
      <c r="AN1144">
        <v>1.00000002758033</v>
      </c>
    </row>
    <row r="1145" spans="1:40" x14ac:dyDescent="0.25">
      <c r="A1145" t="str">
        <f>"20190303170245064"</f>
        <v>20190303170245064</v>
      </c>
      <c r="B1145" t="str">
        <f>"1551603765057326"</f>
        <v>1551603765057326</v>
      </c>
      <c r="C1145" t="s">
        <v>40</v>
      </c>
      <c r="D1145">
        <v>4.2991279999999996</v>
      </c>
      <c r="E1145">
        <v>0.52946780000000004</v>
      </c>
      <c r="F1145" t="s">
        <v>43</v>
      </c>
      <c r="G1145">
        <v>-264.06869999999998</v>
      </c>
      <c r="H1145">
        <v>0.93049219999999999</v>
      </c>
      <c r="I1145">
        <v>367.80119999999999</v>
      </c>
      <c r="J1145">
        <v>-264.62490000000003</v>
      </c>
      <c r="K1145">
        <v>1.121481</v>
      </c>
      <c r="L1145">
        <v>367.91860000000003</v>
      </c>
      <c r="M1145">
        <v>0.99988010000000005</v>
      </c>
      <c r="N1145">
        <v>-1.428303E-2</v>
      </c>
      <c r="O1145">
        <v>6.0053809999999997E-3</v>
      </c>
      <c r="P1145">
        <v>0.99062879999999998</v>
      </c>
      <c r="Q1145">
        <v>0.13128239999999999</v>
      </c>
      <c r="R1145">
        <v>-3.7680690000000003E-2</v>
      </c>
      <c r="S1145">
        <v>3.1066590000000001</v>
      </c>
      <c r="T1145">
        <v>-0.7141149</v>
      </c>
      <c r="U1145">
        <v>-0.43237300000000001</v>
      </c>
      <c r="V1145">
        <v>4.3635180000000003E-2</v>
      </c>
      <c r="W1145">
        <v>0.14541319999999999</v>
      </c>
      <c r="X1145">
        <v>0.98840830000000002</v>
      </c>
      <c r="Y1145">
        <v>0.13984750000000001</v>
      </c>
      <c r="Z1145">
        <v>-1.808212E-2</v>
      </c>
      <c r="AA1145">
        <v>0.99000790000000005</v>
      </c>
      <c r="AB1145">
        <v>31</v>
      </c>
      <c r="AC1145">
        <v>0.55620000000004599</v>
      </c>
      <c r="AD1145">
        <v>-0.19098879999999999</v>
      </c>
      <c r="AE1145">
        <v>-0.11740000000003099</v>
      </c>
      <c r="AF1145">
        <v>0.10849169130982</v>
      </c>
      <c r="AG1145">
        <v>-0.19098879999999999</v>
      </c>
      <c r="AH1145">
        <v>0.49914099084480201</v>
      </c>
      <c r="AI1145">
        <v>110.50099785032</v>
      </c>
      <c r="AJ1145">
        <v>77.737113720511203</v>
      </c>
      <c r="AK1145">
        <v>0.54533374877247098</v>
      </c>
      <c r="AL1145">
        <v>81.638792567791597</v>
      </c>
      <c r="AM1145">
        <v>87.472209256930995</v>
      </c>
      <c r="AN1145">
        <v>0.99999999758838098</v>
      </c>
    </row>
    <row r="1146" spans="1:40" x14ac:dyDescent="0.25">
      <c r="A1146" t="str">
        <f>"20190303170245078"</f>
        <v>20190303170245078</v>
      </c>
      <c r="B1146" t="str">
        <f>"1551603765067087"</f>
        <v>1551603765067087</v>
      </c>
      <c r="C1146" t="s">
        <v>40</v>
      </c>
      <c r="D1146">
        <v>4.3439949999999996</v>
      </c>
      <c r="E1146">
        <v>0.52750280000000005</v>
      </c>
      <c r="F1146" t="s">
        <v>43</v>
      </c>
      <c r="G1146">
        <v>-263.76330000000002</v>
      </c>
      <c r="H1146">
        <v>0.98359039999999998</v>
      </c>
      <c r="I1146">
        <v>367.83109999999999</v>
      </c>
      <c r="J1146">
        <v>-264.4246</v>
      </c>
      <c r="K1146">
        <v>1.1214839999999999</v>
      </c>
      <c r="L1146">
        <v>367.91989999999998</v>
      </c>
      <c r="M1146">
        <v>0.99987999999999999</v>
      </c>
      <c r="N1146">
        <v>-1.428899E-2</v>
      </c>
      <c r="O1146">
        <v>6.0051559999999898E-3</v>
      </c>
      <c r="P1146">
        <v>0.99062050000000001</v>
      </c>
      <c r="Q1146">
        <v>0.13134189999999901</v>
      </c>
      <c r="R1146">
        <v>-3.7690729999999999E-2</v>
      </c>
      <c r="S1146">
        <v>3.0818479999999999</v>
      </c>
      <c r="T1146">
        <v>-0.49326900000000001</v>
      </c>
      <c r="U1146">
        <v>-0.3126526</v>
      </c>
      <c r="V1146">
        <v>4.3645139999999999E-2</v>
      </c>
      <c r="W1146">
        <v>0.14547879999999999</v>
      </c>
      <c r="X1146">
        <v>0.9883982</v>
      </c>
      <c r="Y1146">
        <v>0.105393</v>
      </c>
      <c r="Z1146">
        <v>-9.9877630000000002E-3</v>
      </c>
      <c r="AA1146">
        <v>0.9943805</v>
      </c>
      <c r="AB1146">
        <v>31</v>
      </c>
      <c r="AC1146">
        <v>0.66129999999998201</v>
      </c>
      <c r="AD1146">
        <v>-0.13789359999999901</v>
      </c>
      <c r="AE1146">
        <v>-8.8799999999991996E-2</v>
      </c>
      <c r="AF1146">
        <v>8.8970096481875205E-2</v>
      </c>
      <c r="AG1146">
        <v>-0.13789359999999901</v>
      </c>
      <c r="AH1146">
        <v>0.63368984087307301</v>
      </c>
      <c r="AI1146">
        <v>102.160751119184</v>
      </c>
      <c r="AJ1146">
        <v>82.007909296306906</v>
      </c>
      <c r="AK1146">
        <v>0.65459387211819697</v>
      </c>
      <c r="AL1146">
        <v>81.634993508165607</v>
      </c>
      <c r="AM1146">
        <v>87.471607218985</v>
      </c>
      <c r="AN1146">
        <v>0.99999999062914902</v>
      </c>
    </row>
    <row r="1147" spans="1:40" x14ac:dyDescent="0.25">
      <c r="A1147" t="str">
        <f>"20190303170245091"</f>
        <v>20190303170245091</v>
      </c>
      <c r="B1147" t="str">
        <f>"1551603765076846"</f>
        <v>1551603765076846</v>
      </c>
      <c r="C1147" t="s">
        <v>40</v>
      </c>
      <c r="D1147">
        <v>4.4411889999999996</v>
      </c>
      <c r="E1147">
        <v>0.52687689999999998</v>
      </c>
      <c r="F1147" t="s">
        <v>43</v>
      </c>
      <c r="G1147">
        <v>-263.4778</v>
      </c>
      <c r="H1147">
        <v>0.99400129999999998</v>
      </c>
      <c r="I1147">
        <v>367.827</v>
      </c>
      <c r="J1147">
        <v>-264.22919999999999</v>
      </c>
      <c r="K1147">
        <v>1.1214850000000001</v>
      </c>
      <c r="L1147">
        <v>367.92099999999999</v>
      </c>
      <c r="M1147">
        <v>0.99987999999999999</v>
      </c>
      <c r="N1147">
        <v>-1.4294070000000001E-2</v>
      </c>
      <c r="O1147">
        <v>6.0047590000000001E-3</v>
      </c>
      <c r="P1147">
        <v>0.99065740000000002</v>
      </c>
      <c r="Q1147">
        <v>0.13106789999999999</v>
      </c>
      <c r="R1147">
        <v>-3.7675920000000002E-2</v>
      </c>
      <c r="S1147">
        <v>3.0718380000000001</v>
      </c>
      <c r="T1147">
        <v>-0.4137788</v>
      </c>
      <c r="U1147">
        <v>-0.300537099999999</v>
      </c>
      <c r="V1147">
        <v>4.3630059999999998E-2</v>
      </c>
      <c r="W1147">
        <v>0.1452099</v>
      </c>
      <c r="X1147">
        <v>0.98843840000000005</v>
      </c>
      <c r="Y1147">
        <v>0.10228950000000001</v>
      </c>
      <c r="Z1147">
        <v>-8.2966910000000001E-3</v>
      </c>
      <c r="AA1147">
        <v>0.99472000000000005</v>
      </c>
      <c r="AB1147">
        <v>31</v>
      </c>
      <c r="AC1147">
        <v>0.75139999999998897</v>
      </c>
      <c r="AD1147">
        <v>-0.12748369999999901</v>
      </c>
      <c r="AE1147">
        <v>-9.3999999999994005E-2</v>
      </c>
      <c r="AF1147">
        <v>9.5795745569560206E-2</v>
      </c>
      <c r="AG1147">
        <v>-0.12748369999999901</v>
      </c>
      <c r="AH1147">
        <v>0.73012899238450901</v>
      </c>
      <c r="AI1147">
        <v>99.821731576041401</v>
      </c>
      <c r="AJ1147">
        <v>82.525268298931607</v>
      </c>
      <c r="AK1147">
        <v>0.74734012615096201</v>
      </c>
      <c r="AL1147">
        <v>81.650565645951204</v>
      </c>
      <c r="AM1147">
        <v>87.472582342077104</v>
      </c>
      <c r="AN1147">
        <v>0.99999998389408595</v>
      </c>
    </row>
    <row r="1148" spans="1:40" x14ac:dyDescent="0.25">
      <c r="A1148" t="str">
        <f>"20190303170245107"</f>
        <v>20190303170245107</v>
      </c>
      <c r="B1148" t="str">
        <f>"1551603765097343"</f>
        <v>1551603765097343</v>
      </c>
      <c r="C1148" t="s">
        <v>40</v>
      </c>
      <c r="D1148">
        <v>4.3391699999999904</v>
      </c>
      <c r="E1148">
        <v>0.52464940000000004</v>
      </c>
      <c r="F1148" t="s">
        <v>43</v>
      </c>
      <c r="G1148">
        <v>-263.45920000000001</v>
      </c>
      <c r="H1148">
        <v>1.0321180000000001</v>
      </c>
      <c r="I1148">
        <v>367.846</v>
      </c>
      <c r="J1148">
        <v>-264.01679999999999</v>
      </c>
      <c r="K1148">
        <v>1.1214820000000001</v>
      </c>
      <c r="L1148">
        <v>367.92230000000001</v>
      </c>
      <c r="M1148">
        <v>0.99987979999999999</v>
      </c>
      <c r="N1148">
        <v>-1.4297850000000001E-2</v>
      </c>
      <c r="O1148">
        <v>6.0047290000000003E-3</v>
      </c>
      <c r="P1148">
        <v>0.99076399999999998</v>
      </c>
      <c r="Q1148">
        <v>0.13016510000000001</v>
      </c>
      <c r="R1148">
        <v>-3.7995569999999999E-2</v>
      </c>
      <c r="S1148">
        <v>3.0640559999999999</v>
      </c>
      <c r="T1148">
        <v>-0.3558424</v>
      </c>
      <c r="U1148">
        <v>-0.29769899999999999</v>
      </c>
      <c r="V1148">
        <v>4.3950360000000001E-2</v>
      </c>
      <c r="W1148">
        <v>0.14431250000000001</v>
      </c>
      <c r="X1148">
        <v>0.98855570000000004</v>
      </c>
      <c r="Y1148">
        <v>0.10188460000000001</v>
      </c>
      <c r="Z1148">
        <v>-7.2235069999999997E-3</v>
      </c>
      <c r="AA1148">
        <v>0.99477000000000004</v>
      </c>
      <c r="AB1148">
        <v>31</v>
      </c>
      <c r="AC1148">
        <v>0.557599999999979</v>
      </c>
      <c r="AD1148">
        <v>-8.9363999999999694E-2</v>
      </c>
      <c r="AE1148">
        <v>-7.6300000000003296E-2</v>
      </c>
      <c r="AF1148">
        <v>7.7688450926329894E-2</v>
      </c>
      <c r="AG1148">
        <v>-8.9363999999999694E-2</v>
      </c>
      <c r="AH1148">
        <v>0.54343027678570299</v>
      </c>
      <c r="AI1148">
        <v>99.246029148974998</v>
      </c>
      <c r="AJ1148">
        <v>81.864157592989798</v>
      </c>
      <c r="AK1148">
        <v>0.55618152219461503</v>
      </c>
      <c r="AL1148">
        <v>81.702530812256597</v>
      </c>
      <c r="AM1148">
        <v>87.454353914344395</v>
      </c>
      <c r="AN1148">
        <v>1.00000005190143</v>
      </c>
    </row>
    <row r="1149" spans="1:40" x14ac:dyDescent="0.25">
      <c r="A1149" t="str">
        <f>"20190303170245119"</f>
        <v>20190303170245119</v>
      </c>
      <c r="B1149" t="str">
        <f>"1551603765107103"</f>
        <v>1551603765107103</v>
      </c>
      <c r="C1149" t="s">
        <v>40</v>
      </c>
      <c r="D1149">
        <v>4.3040580000000004</v>
      </c>
      <c r="E1149">
        <v>0.52413329999999902</v>
      </c>
      <c r="F1149" t="s">
        <v>43</v>
      </c>
      <c r="G1149">
        <v>-263.17329999999998</v>
      </c>
      <c r="H1149">
        <v>1.043601</v>
      </c>
      <c r="I1149">
        <v>367.84410000000003</v>
      </c>
      <c r="J1149">
        <v>-263.84500000000003</v>
      </c>
      <c r="K1149">
        <v>1.121486</v>
      </c>
      <c r="L1149">
        <v>367.92329999999998</v>
      </c>
      <c r="M1149">
        <v>0.99987979999999999</v>
      </c>
      <c r="N1149">
        <v>-1.429805E-2</v>
      </c>
      <c r="O1149">
        <v>6.0047260000000002E-3</v>
      </c>
      <c r="P1149">
        <v>0.99084269999999997</v>
      </c>
      <c r="Q1149">
        <v>0.1294409</v>
      </c>
      <c r="R1149">
        <v>-3.8418750000000002E-2</v>
      </c>
      <c r="S1149">
        <v>3.0541689999999999</v>
      </c>
      <c r="T1149">
        <v>-0.28190890000000002</v>
      </c>
      <c r="U1149">
        <v>-0.28320309999999999</v>
      </c>
      <c r="V1149">
        <v>4.437398E-2</v>
      </c>
      <c r="W1149">
        <v>0.14358959999999901</v>
      </c>
      <c r="X1149">
        <v>0.98864200000000002</v>
      </c>
      <c r="Y1149">
        <v>9.7813700000000003E-2</v>
      </c>
      <c r="Z1149">
        <v>-5.6640190000000002E-3</v>
      </c>
      <c r="AA1149">
        <v>0.99518870000000004</v>
      </c>
      <c r="AB1149">
        <v>31</v>
      </c>
      <c r="AC1149">
        <v>0.67170000000004304</v>
      </c>
      <c r="AD1149">
        <v>-7.7884999999999899E-2</v>
      </c>
      <c r="AE1149">
        <v>-7.9199999999957499E-2</v>
      </c>
      <c r="AF1149">
        <v>8.2143097963089204E-2</v>
      </c>
      <c r="AG1149">
        <v>-7.7884999999999899E-2</v>
      </c>
      <c r="AH1149">
        <v>0.66242812128545903</v>
      </c>
      <c r="AI1149">
        <v>96.655255195912105</v>
      </c>
      <c r="AJ1149">
        <v>82.9312335849514</v>
      </c>
      <c r="AK1149">
        <v>0.67203019101656103</v>
      </c>
      <c r="AL1149">
        <v>81.744385541139096</v>
      </c>
      <c r="AM1149">
        <v>87.430074242750806</v>
      </c>
      <c r="AN1149">
        <v>1.0000000137466001</v>
      </c>
    </row>
    <row r="1150" spans="1:40" x14ac:dyDescent="0.25">
      <c r="A1150" t="str">
        <f>"20190303170245131"</f>
        <v>20190303170245131</v>
      </c>
      <c r="B1150" t="str">
        <f>"1551603765116863"</f>
        <v>1551603765116863</v>
      </c>
      <c r="C1150" t="s">
        <v>40</v>
      </c>
      <c r="D1150">
        <v>4.3024740000000001</v>
      </c>
      <c r="E1150">
        <v>0.52380839999999995</v>
      </c>
      <c r="F1150" t="s">
        <v>43</v>
      </c>
      <c r="G1150">
        <v>-262.89510000000001</v>
      </c>
      <c r="H1150">
        <v>1.040802</v>
      </c>
      <c r="I1150">
        <v>367.83539999999999</v>
      </c>
      <c r="J1150">
        <v>-263.67750000000001</v>
      </c>
      <c r="K1150">
        <v>1.121478</v>
      </c>
      <c r="L1150">
        <v>367.92430000000002</v>
      </c>
      <c r="M1150">
        <v>0.99987979999999999</v>
      </c>
      <c r="N1150">
        <v>-1.429358E-2</v>
      </c>
      <c r="O1150">
        <v>6.004578E-3</v>
      </c>
      <c r="P1150">
        <v>0.99090679999999998</v>
      </c>
      <c r="Q1150">
        <v>0.12890940000000001</v>
      </c>
      <c r="R1150">
        <v>-3.855186E-2</v>
      </c>
      <c r="S1150">
        <v>3.0506899999999999</v>
      </c>
      <c r="T1150">
        <v>-0.25931110000000002</v>
      </c>
      <c r="U1150">
        <v>-0.2814026</v>
      </c>
      <c r="V1150">
        <v>4.4507400000000003E-2</v>
      </c>
      <c r="W1150">
        <v>0.1430544</v>
      </c>
      <c r="X1150">
        <v>0.98871359999999997</v>
      </c>
      <c r="Y1150">
        <v>9.7408090000000003E-2</v>
      </c>
      <c r="Z1150">
        <v>-5.245764E-3</v>
      </c>
      <c r="AA1150">
        <v>0.99523070000000002</v>
      </c>
      <c r="AB1150">
        <v>31</v>
      </c>
      <c r="AC1150">
        <v>0.78239999999999499</v>
      </c>
      <c r="AD1150">
        <v>-8.0675999999999901E-2</v>
      </c>
      <c r="AE1150">
        <v>-8.8900000000023696E-2</v>
      </c>
      <c r="AF1150">
        <v>9.2624590370200904E-2</v>
      </c>
      <c r="AG1150">
        <v>-8.0675999999999901E-2</v>
      </c>
      <c r="AH1150">
        <v>0.773730282627479</v>
      </c>
      <c r="AI1150">
        <v>95.910756659877293</v>
      </c>
      <c r="AJ1150">
        <v>83.173509356114494</v>
      </c>
      <c r="AK1150">
        <v>0.78341973550073696</v>
      </c>
      <c r="AL1150">
        <v>81.775370228650203</v>
      </c>
      <c r="AM1150">
        <v>87.422544023826305</v>
      </c>
      <c r="AN1150">
        <v>1.0000000264195299</v>
      </c>
    </row>
    <row r="1151" spans="1:40" x14ac:dyDescent="0.25">
      <c r="A1151" t="str">
        <f>"20190303170245141"</f>
        <v>20190303170245141</v>
      </c>
      <c r="B1151" t="str">
        <f>"1551603765126623"</f>
        <v>1551603765126623</v>
      </c>
      <c r="C1151" t="s">
        <v>40</v>
      </c>
      <c r="D1151">
        <v>4.3433599999999997</v>
      </c>
      <c r="E1151">
        <v>0.52354829999999997</v>
      </c>
      <c r="F1151" t="s">
        <v>42</v>
      </c>
      <c r="G1151">
        <v>-249.45490000000001</v>
      </c>
      <c r="H1151" s="1">
        <v>-9.9167370000000007E-7</v>
      </c>
      <c r="I1151">
        <v>366.61669999999998</v>
      </c>
      <c r="J1151">
        <v>-263.5342</v>
      </c>
      <c r="K1151">
        <v>1.121475</v>
      </c>
      <c r="L1151">
        <v>367.92520000000002</v>
      </c>
      <c r="M1151">
        <v>0.99987999999999999</v>
      </c>
      <c r="N1151">
        <v>-1.428568E-2</v>
      </c>
      <c r="O1151">
        <v>6.0045139999999999E-3</v>
      </c>
      <c r="P1151">
        <v>0.99093759999999997</v>
      </c>
      <c r="Q1151">
        <v>0.12858039999999901</v>
      </c>
      <c r="R1151">
        <v>-3.8859539999999998E-2</v>
      </c>
      <c r="S1151">
        <v>3.047882</v>
      </c>
      <c r="T1151">
        <v>-0.24033199999999999</v>
      </c>
      <c r="U1151">
        <v>-0.28021239999999997</v>
      </c>
      <c r="V1151">
        <v>4.4815059999999997E-2</v>
      </c>
      <c r="W1151">
        <v>0.1427184</v>
      </c>
      <c r="X1151">
        <v>0.98874830000000002</v>
      </c>
      <c r="Y1151">
        <v>9.7162689999999996E-2</v>
      </c>
      <c r="Z1151">
        <v>-4.8998569999999997E-3</v>
      </c>
      <c r="AA1151">
        <v>0.99525640000000004</v>
      </c>
      <c r="AB1151">
        <v>31</v>
      </c>
      <c r="AC1151">
        <v>14.0792999999999</v>
      </c>
      <c r="AD1151">
        <v>-1.1214759916736901</v>
      </c>
      <c r="AE1151">
        <v>-1.30850000000003</v>
      </c>
      <c r="AF1151">
        <v>1.38431638816786</v>
      </c>
      <c r="AG1151">
        <v>-1.1214759916736901</v>
      </c>
      <c r="AH1151">
        <v>13.983227426931499</v>
      </c>
      <c r="AI1151">
        <v>94.563181769789395</v>
      </c>
      <c r="AJ1151">
        <v>84.346234798493896</v>
      </c>
      <c r="AK1151">
        <v>14.096265091709199</v>
      </c>
      <c r="AL1151">
        <v>81.794821521882099</v>
      </c>
      <c r="AM1151">
        <v>87.404842440712599</v>
      </c>
      <c r="AN1151">
        <v>1.00000006602712</v>
      </c>
    </row>
    <row r="1152" spans="1:40" x14ac:dyDescent="0.25">
      <c r="A1152" t="str">
        <f>"20190303170245152"</f>
        <v>20190303170245152</v>
      </c>
      <c r="B1152" t="str">
        <f>"1551603765147119"</f>
        <v>1551603765147119</v>
      </c>
      <c r="C1152" t="s">
        <v>40</v>
      </c>
      <c r="D1152">
        <v>4.3043389999999997</v>
      </c>
      <c r="E1152">
        <v>0.52364279999999996</v>
      </c>
      <c r="F1152" t="s">
        <v>42</v>
      </c>
      <c r="G1152">
        <v>-248.3142</v>
      </c>
      <c r="H1152" s="1">
        <v>-1.4535130000000001E-6</v>
      </c>
      <c r="I1152">
        <v>366.52730000000003</v>
      </c>
      <c r="J1152">
        <v>-263.36750000000001</v>
      </c>
      <c r="K1152">
        <v>1.121472</v>
      </c>
      <c r="L1152">
        <v>367.92619999999999</v>
      </c>
      <c r="M1152">
        <v>0.99988010000000005</v>
      </c>
      <c r="N1152">
        <v>-1.4273640000000001E-2</v>
      </c>
      <c r="O1152">
        <v>6.0047190000000004E-3</v>
      </c>
      <c r="P1152">
        <v>0.99100690000000002</v>
      </c>
      <c r="Q1152">
        <v>0.12800619999999999</v>
      </c>
      <c r="R1152">
        <v>-3.8982969999999999E-2</v>
      </c>
      <c r="S1152">
        <v>3.0455930000000002</v>
      </c>
      <c r="T1152">
        <v>-0.22441230000000001</v>
      </c>
      <c r="U1152">
        <v>-0.27972409999999998</v>
      </c>
      <c r="V1152">
        <v>4.4939189999999997E-2</v>
      </c>
      <c r="W1152">
        <v>0.14213310000000001</v>
      </c>
      <c r="X1152">
        <v>0.98882689999999995</v>
      </c>
      <c r="Y1152">
        <v>9.711641E-2</v>
      </c>
      <c r="Z1152">
        <v>-4.6168889999999999E-3</v>
      </c>
      <c r="AA1152">
        <v>0.99526230000000004</v>
      </c>
      <c r="AB1152">
        <v>31</v>
      </c>
      <c r="AC1152">
        <v>15.0533</v>
      </c>
      <c r="AD1152">
        <v>-1.121473453513</v>
      </c>
      <c r="AE1152">
        <v>-1.3988999999999601</v>
      </c>
      <c r="AF1152">
        <v>1.4811245558628601</v>
      </c>
      <c r="AG1152">
        <v>-1.121473453513</v>
      </c>
      <c r="AH1152">
        <v>14.9622938725813</v>
      </c>
      <c r="AI1152">
        <v>94.2657214801104</v>
      </c>
      <c r="AJ1152">
        <v>84.346681483853402</v>
      </c>
      <c r="AK1152">
        <v>15.0771904075792</v>
      </c>
      <c r="AL1152">
        <v>81.828701539816095</v>
      </c>
      <c r="AM1152">
        <v>87.397870739565903</v>
      </c>
      <c r="AN1152">
        <v>0.99999999353853797</v>
      </c>
    </row>
    <row r="1153" spans="1:40" x14ac:dyDescent="0.25">
      <c r="A1153" t="str">
        <f>"20190303170245164"</f>
        <v>20190303170245164</v>
      </c>
      <c r="B1153" t="str">
        <f>"1551603765156879"</f>
        <v>1551603765156879</v>
      </c>
      <c r="C1153" t="s">
        <v>40</v>
      </c>
      <c r="D1153">
        <v>4.3022229999999997</v>
      </c>
      <c r="E1153">
        <v>0.52349659999999998</v>
      </c>
      <c r="F1153" t="s">
        <v>42</v>
      </c>
      <c r="G1153">
        <v>-246.6739</v>
      </c>
      <c r="H1153" s="1">
        <v>-2.1268219999999999E-6</v>
      </c>
      <c r="I1153">
        <v>366.38</v>
      </c>
      <c r="J1153">
        <v>-263.21879999999999</v>
      </c>
      <c r="K1153">
        <v>1.1214649999999999</v>
      </c>
      <c r="L1153">
        <v>367.9271</v>
      </c>
      <c r="M1153">
        <v>0.9998804</v>
      </c>
      <c r="N1153">
        <v>-1.4258349999999999E-2</v>
      </c>
      <c r="O1153">
        <v>6.0047089999999996E-3</v>
      </c>
      <c r="P1153">
        <v>0.99098030000000004</v>
      </c>
      <c r="Q1153">
        <v>0.12815280000000001</v>
      </c>
      <c r="R1153">
        <v>-3.9179869999999999E-2</v>
      </c>
      <c r="S1153">
        <v>3.0425420000000001</v>
      </c>
      <c r="T1153">
        <v>-0.2043973</v>
      </c>
      <c r="U1153">
        <v>-0.28179929999999997</v>
      </c>
      <c r="V1153">
        <v>4.5136009999999997E-2</v>
      </c>
      <c r="W1153">
        <v>0.14226440000000001</v>
      </c>
      <c r="X1153">
        <v>0.98879899999999998</v>
      </c>
      <c r="Y1153">
        <v>9.7928950000000001E-2</v>
      </c>
      <c r="Z1153">
        <v>-4.2961049999999997E-3</v>
      </c>
      <c r="AA1153">
        <v>0.99518410000000002</v>
      </c>
      <c r="AB1153">
        <v>31</v>
      </c>
      <c r="AC1153">
        <v>16.544899999999899</v>
      </c>
      <c r="AD1153">
        <v>-1.121467126822</v>
      </c>
      <c r="AE1153">
        <v>-1.5470999999999999</v>
      </c>
      <c r="AF1153">
        <v>1.63896444279405</v>
      </c>
      <c r="AG1153">
        <v>-1.121467126822</v>
      </c>
      <c r="AH1153">
        <v>16.460338225858099</v>
      </c>
      <c r="AI1153">
        <v>93.878502733252006</v>
      </c>
      <c r="AJ1153">
        <v>84.313771629328102</v>
      </c>
      <c r="AK1153">
        <v>16.579705289025199</v>
      </c>
      <c r="AL1153">
        <v>81.821100936458507</v>
      </c>
      <c r="AM1153">
        <v>87.386416330568807</v>
      </c>
      <c r="AN1153">
        <v>0.99999994065353803</v>
      </c>
    </row>
    <row r="1154" spans="1:40" x14ac:dyDescent="0.25">
      <c r="A1154" t="str">
        <f>"20190303170245175"</f>
        <v>20190303170245175</v>
      </c>
      <c r="B1154" t="str">
        <f>"1551603765166639"</f>
        <v>1551603765166639</v>
      </c>
      <c r="C1154" t="s">
        <v>40</v>
      </c>
      <c r="D1154">
        <v>4.5497740000000002</v>
      </c>
      <c r="E1154">
        <v>0.52341789999999999</v>
      </c>
      <c r="F1154" t="s">
        <v>42</v>
      </c>
      <c r="G1154">
        <v>-245.7517</v>
      </c>
      <c r="H1154" s="1">
        <v>-2.5750579999999998E-6</v>
      </c>
      <c r="I1154">
        <v>366.31060000000002</v>
      </c>
      <c r="J1154">
        <v>-263.0625</v>
      </c>
      <c r="K1154">
        <v>1.1214630000000001</v>
      </c>
      <c r="L1154">
        <v>367.928</v>
      </c>
      <c r="M1154">
        <v>0.99988060000000001</v>
      </c>
      <c r="N1154">
        <v>-1.424131E-2</v>
      </c>
      <c r="O1154">
        <v>6.0046519999999897E-3</v>
      </c>
      <c r="P1154">
        <v>0.9909386</v>
      </c>
      <c r="Q1154">
        <v>0.1283801</v>
      </c>
      <c r="R1154">
        <v>-3.9492689999999997E-2</v>
      </c>
      <c r="S1154">
        <v>3.0414430000000001</v>
      </c>
      <c r="T1154">
        <v>-0.19527459999999999</v>
      </c>
      <c r="U1154">
        <v>-0.28146359999999998</v>
      </c>
      <c r="V1154">
        <v>4.54484E-2</v>
      </c>
      <c r="W1154">
        <v>0.1424744</v>
      </c>
      <c r="X1154">
        <v>0.98875449999999998</v>
      </c>
      <c r="Y1154">
        <v>9.7875130000000005E-2</v>
      </c>
      <c r="Z1154">
        <v>-4.1305140000000001E-3</v>
      </c>
      <c r="AA1154">
        <v>0.99519009999999997</v>
      </c>
      <c r="AB1154">
        <v>31</v>
      </c>
      <c r="AC1154">
        <v>17.3108</v>
      </c>
      <c r="AD1154">
        <v>-1.12146557505799</v>
      </c>
      <c r="AE1154">
        <v>-1.6174000000000299</v>
      </c>
      <c r="AF1154">
        <v>1.7141945134232299</v>
      </c>
      <c r="AG1154">
        <v>-1.12146557505799</v>
      </c>
      <c r="AH1154">
        <v>17.229090465865099</v>
      </c>
      <c r="AI1154">
        <v>93.705962300833505</v>
      </c>
      <c r="AJ1154">
        <v>84.318101764621801</v>
      </c>
      <c r="AK1154">
        <v>17.3504382119546</v>
      </c>
      <c r="AL1154">
        <v>81.808945374750607</v>
      </c>
      <c r="AM1154">
        <v>87.368234574279398</v>
      </c>
      <c r="AN1154">
        <v>0.99999998649408395</v>
      </c>
    </row>
    <row r="1155" spans="1:40" x14ac:dyDescent="0.25">
      <c r="A1155" t="str">
        <f>"20190303170245186"</f>
        <v>20190303170245186</v>
      </c>
      <c r="B1155" t="str">
        <f>"1551603765177375"</f>
        <v>1551603765177375</v>
      </c>
      <c r="C1155" t="s">
        <v>40</v>
      </c>
      <c r="D1155">
        <v>4.442869</v>
      </c>
      <c r="E1155">
        <v>0.52373019999999904</v>
      </c>
      <c r="F1155" t="s">
        <v>42</v>
      </c>
      <c r="G1155">
        <v>-244.8826</v>
      </c>
      <c r="H1155" s="1">
        <v>-2.9983690000000002E-6</v>
      </c>
      <c r="I1155">
        <v>366.24029999999999</v>
      </c>
      <c r="J1155">
        <v>-262.90100000000001</v>
      </c>
      <c r="K1155">
        <v>1.1214599999999999</v>
      </c>
      <c r="L1155">
        <v>367.92899999999997</v>
      </c>
      <c r="M1155">
        <v>0.99988100000000002</v>
      </c>
      <c r="N1155">
        <v>-1.421886E-2</v>
      </c>
      <c r="O1155">
        <v>6.0046350000000004E-3</v>
      </c>
      <c r="P1155">
        <v>0.99092270000000005</v>
      </c>
      <c r="Q1155">
        <v>0.12839929999999999</v>
      </c>
      <c r="R1155">
        <v>-3.9826090000000001E-2</v>
      </c>
      <c r="S1155">
        <v>3.0404969999999998</v>
      </c>
      <c r="T1155">
        <v>-0.18755949999999999</v>
      </c>
      <c r="U1155">
        <v>-0.28225709999999998</v>
      </c>
      <c r="V1155">
        <v>4.578169E-2</v>
      </c>
      <c r="W1155">
        <v>0.1424706</v>
      </c>
      <c r="X1155">
        <v>0.9887397</v>
      </c>
      <c r="Y1155">
        <v>9.8178189999999999E-2</v>
      </c>
      <c r="Z1155">
        <v>-4.0033079999999997E-3</v>
      </c>
      <c r="AA1155">
        <v>0.99516079999999996</v>
      </c>
      <c r="AB1155">
        <v>31</v>
      </c>
      <c r="AC1155">
        <v>18.0184</v>
      </c>
      <c r="AD1155">
        <v>-1.1214629983689901</v>
      </c>
      <c r="AE1155">
        <v>-1.6887000000000301</v>
      </c>
      <c r="AF1155">
        <v>1.79000065823185</v>
      </c>
      <c r="AG1155">
        <v>-1.1214629983689901</v>
      </c>
      <c r="AH1155">
        <v>17.939046805497799</v>
      </c>
      <c r="AI1155">
        <v>93.559570766524601</v>
      </c>
      <c r="AJ1155">
        <v>84.301752784777094</v>
      </c>
      <c r="AK1155">
        <v>18.062978212438299</v>
      </c>
      <c r="AL1155">
        <v>81.809165575111606</v>
      </c>
      <c r="AM1155">
        <v>87.348922668634998</v>
      </c>
      <c r="AN1155">
        <v>1.00000001467985</v>
      </c>
    </row>
    <row r="1156" spans="1:40" x14ac:dyDescent="0.25">
      <c r="A1156" t="str">
        <f>"20190303170245198"</f>
        <v>20190303170245198</v>
      </c>
      <c r="B1156" t="str">
        <f>"1551603765187135"</f>
        <v>1551603765187135</v>
      </c>
      <c r="C1156" t="s">
        <v>40</v>
      </c>
      <c r="D1156">
        <v>4.3023930000000004</v>
      </c>
      <c r="E1156">
        <v>0.52370709999999998</v>
      </c>
      <c r="F1156" t="s">
        <v>42</v>
      </c>
      <c r="G1156">
        <v>-243.96420000000001</v>
      </c>
      <c r="H1156" s="1">
        <v>-3.4490189999999998E-6</v>
      </c>
      <c r="I1156">
        <v>366.14729999999997</v>
      </c>
      <c r="J1156">
        <v>-262.73610000000002</v>
      </c>
      <c r="K1156">
        <v>1.1214660000000001</v>
      </c>
      <c r="L1156">
        <v>367.93</v>
      </c>
      <c r="M1156">
        <v>0.99988129999999997</v>
      </c>
      <c r="N1156">
        <v>-1.4194470000000001E-2</v>
      </c>
      <c r="O1156">
        <v>6.0048089999999998E-3</v>
      </c>
      <c r="P1156">
        <v>0.990873</v>
      </c>
      <c r="Q1156">
        <v>0.12871640000000001</v>
      </c>
      <c r="R1156">
        <v>-4.003926E-2</v>
      </c>
      <c r="S1156">
        <v>3.039307</v>
      </c>
      <c r="T1156">
        <v>-0.1799917</v>
      </c>
      <c r="U1156">
        <v>-0.28594969999999997</v>
      </c>
      <c r="V1156">
        <v>4.5994649999999998E-2</v>
      </c>
      <c r="W1156">
        <v>0.14276320000000001</v>
      </c>
      <c r="X1156">
        <v>0.9886876</v>
      </c>
      <c r="Y1156">
        <v>9.9427039999999994E-2</v>
      </c>
      <c r="Z1156">
        <v>-3.9126220000000001E-3</v>
      </c>
      <c r="AA1156">
        <v>0.99503710000000001</v>
      </c>
      <c r="AB1156">
        <v>31</v>
      </c>
      <c r="AC1156">
        <v>18.771899999999999</v>
      </c>
      <c r="AD1156">
        <v>-1.121469449019</v>
      </c>
      <c r="AE1156">
        <v>-1.7827000000000299</v>
      </c>
      <c r="AF1156">
        <v>1.88872010088395</v>
      </c>
      <c r="AG1156">
        <v>-1.121469449019</v>
      </c>
      <c r="AH1156">
        <v>18.694728703436301</v>
      </c>
      <c r="AI1156">
        <v>93.415630127370804</v>
      </c>
      <c r="AJ1156">
        <v>84.231007793799506</v>
      </c>
      <c r="AK1156">
        <v>18.823332293716</v>
      </c>
      <c r="AL1156">
        <v>81.792227608484296</v>
      </c>
      <c r="AM1156">
        <v>87.336468375729496</v>
      </c>
      <c r="AN1156">
        <v>1.00000000474831</v>
      </c>
    </row>
    <row r="1157" spans="1:40" x14ac:dyDescent="0.25">
      <c r="A1157" t="str">
        <f>"20190303170245210"</f>
        <v>20190303170245210</v>
      </c>
      <c r="B1157" t="str">
        <f>"1551603765196896"</f>
        <v>1551603765196896</v>
      </c>
      <c r="C1157" t="s">
        <v>40</v>
      </c>
      <c r="D1157">
        <v>4.3114999999999997</v>
      </c>
      <c r="E1157">
        <v>0.52373649999999905</v>
      </c>
      <c r="F1157" t="s">
        <v>42</v>
      </c>
      <c r="G1157">
        <v>-243.1463</v>
      </c>
      <c r="H1157" s="1">
        <v>-3.8469070000000004E-6</v>
      </c>
      <c r="I1157">
        <v>366.08359999999999</v>
      </c>
      <c r="J1157">
        <v>-262.57040000000001</v>
      </c>
      <c r="K1157">
        <v>1.121464</v>
      </c>
      <c r="L1157">
        <v>367.93099999999998</v>
      </c>
      <c r="M1157">
        <v>0.99988169999999998</v>
      </c>
      <c r="N1157">
        <v>-1.416663E-2</v>
      </c>
      <c r="O1157">
        <v>6.0048289999999997E-3</v>
      </c>
      <c r="P1157">
        <v>0.99082190000000003</v>
      </c>
      <c r="Q1157">
        <v>0.1290269</v>
      </c>
      <c r="R1157">
        <v>-4.0299639999999998E-2</v>
      </c>
      <c r="S1157">
        <v>3.0386959999999998</v>
      </c>
      <c r="T1157">
        <v>-0.1739588</v>
      </c>
      <c r="U1157">
        <v>-0.28640749999999998</v>
      </c>
      <c r="V1157">
        <v>4.6255070000000002E-2</v>
      </c>
      <c r="W1157">
        <v>0.14304500000000001</v>
      </c>
      <c r="X1157">
        <v>0.98863469999999998</v>
      </c>
      <c r="Y1157">
        <v>9.9607200000000007E-2</v>
      </c>
      <c r="Z1157">
        <v>-3.8083129999999998E-3</v>
      </c>
      <c r="AA1157">
        <v>0.9950196</v>
      </c>
      <c r="AB1157">
        <v>31</v>
      </c>
      <c r="AC1157">
        <v>19.424099999999999</v>
      </c>
      <c r="AD1157">
        <v>-1.1214678469069901</v>
      </c>
      <c r="AE1157">
        <v>-1.8473999999999899</v>
      </c>
      <c r="AF1157">
        <v>1.95754991551559</v>
      </c>
      <c r="AG1157">
        <v>-1.1214678469069901</v>
      </c>
      <c r="AH1157">
        <v>19.348735759439201</v>
      </c>
      <c r="AI1157">
        <v>93.300386362827794</v>
      </c>
      <c r="AJ1157">
        <v>84.222929920951302</v>
      </c>
      <c r="AK1157">
        <v>19.4798169214185</v>
      </c>
      <c r="AL1157">
        <v>81.775914077331095</v>
      </c>
      <c r="AM1157">
        <v>87.321266343273294</v>
      </c>
      <c r="AN1157">
        <v>0.99999998678489699</v>
      </c>
    </row>
    <row r="1158" spans="1:40" x14ac:dyDescent="0.25">
      <c r="A1158" t="str">
        <f>"20190303170245222"</f>
        <v>20190303170245222</v>
      </c>
      <c r="B1158" t="str">
        <f>"1551603765217391"</f>
        <v>1551603765217391</v>
      </c>
      <c r="C1158" t="s">
        <v>40</v>
      </c>
      <c r="D1158">
        <v>4.2988989999999996</v>
      </c>
      <c r="E1158">
        <v>0.52392070000000002</v>
      </c>
      <c r="F1158" t="s">
        <v>42</v>
      </c>
      <c r="G1158">
        <v>-242.28049999999999</v>
      </c>
      <c r="H1158" s="1">
        <v>-4.2696429999999999E-6</v>
      </c>
      <c r="I1158">
        <v>366.0077</v>
      </c>
      <c r="J1158">
        <v>-262.41860000000003</v>
      </c>
      <c r="K1158">
        <v>1.1214569999999999</v>
      </c>
      <c r="L1158">
        <v>367.93189999999998</v>
      </c>
      <c r="M1158">
        <v>0.99988220000000005</v>
      </c>
      <c r="N1158">
        <v>-1.4138639999999999E-2</v>
      </c>
      <c r="O1158">
        <v>6.0046709999999996E-3</v>
      </c>
      <c r="P1158">
        <v>0.99079229999999996</v>
      </c>
      <c r="Q1158">
        <v>0.12929740000000001</v>
      </c>
      <c r="R1158">
        <v>-4.0167910000000001E-2</v>
      </c>
      <c r="S1158">
        <v>3.0379330000000002</v>
      </c>
      <c r="T1158">
        <v>-0.16791329999999999</v>
      </c>
      <c r="U1158">
        <v>-0.28796389999999999</v>
      </c>
      <c r="V1158">
        <v>4.6122879999999998E-2</v>
      </c>
      <c r="W1158">
        <v>0.14328750000000001</v>
      </c>
      <c r="X1158">
        <v>0.98860570000000003</v>
      </c>
      <c r="Y1158">
        <v>0.1001475</v>
      </c>
      <c r="Z1158">
        <v>-3.7159350000000001E-3</v>
      </c>
      <c r="AA1158">
        <v>0.99496569999999995</v>
      </c>
      <c r="AB1158">
        <v>31</v>
      </c>
      <c r="AC1158">
        <v>20.138100000000001</v>
      </c>
      <c r="AD1158">
        <v>-1.121461269643</v>
      </c>
      <c r="AE1158">
        <v>-1.9241999999999799</v>
      </c>
      <c r="AF1158">
        <v>2.0388343790536001</v>
      </c>
      <c r="AG1158">
        <v>-1.121461269643</v>
      </c>
      <c r="AH1158">
        <v>20.0645201445809</v>
      </c>
      <c r="AI1158">
        <v>93.182734973882106</v>
      </c>
      <c r="AJ1158">
        <v>84.197866784577002</v>
      </c>
      <c r="AK1158">
        <v>20.198997243348799</v>
      </c>
      <c r="AL1158">
        <v>81.761874751335597</v>
      </c>
      <c r="AM1158">
        <v>87.328832415342404</v>
      </c>
      <c r="AN1158">
        <v>0.99999992889411404</v>
      </c>
    </row>
    <row r="1159" spans="1:40" x14ac:dyDescent="0.25">
      <c r="A1159" t="str">
        <f>"20190303170245233"</f>
        <v>20190303170245233</v>
      </c>
      <c r="B1159" t="str">
        <f>"1551603765227152"</f>
        <v>1551603765227152</v>
      </c>
      <c r="C1159" t="s">
        <v>40</v>
      </c>
      <c r="D1159">
        <v>4.3060049999999999</v>
      </c>
      <c r="E1159">
        <v>0.52383590000000002</v>
      </c>
      <c r="F1159" t="s">
        <v>42</v>
      </c>
      <c r="G1159">
        <v>-241.05269999999999</v>
      </c>
      <c r="H1159" s="1">
        <v>-4.8692669999999998E-6</v>
      </c>
      <c r="I1159">
        <v>365.89929999999998</v>
      </c>
      <c r="J1159">
        <v>-262.25819999999999</v>
      </c>
      <c r="K1159">
        <v>1.121454</v>
      </c>
      <c r="L1159">
        <v>367.93279999999999</v>
      </c>
      <c r="M1159">
        <v>0.99988250000000001</v>
      </c>
      <c r="N1159">
        <v>-1.410728E-2</v>
      </c>
      <c r="O1159">
        <v>6.0048949999999997E-3</v>
      </c>
      <c r="P1159">
        <v>0.99076039999999999</v>
      </c>
      <c r="Q1159">
        <v>0.1295318</v>
      </c>
      <c r="R1159">
        <v>-4.0191150000000002E-2</v>
      </c>
      <c r="S1159">
        <v>3.0369570000000001</v>
      </c>
      <c r="T1159">
        <v>-0.1594052</v>
      </c>
      <c r="U1159">
        <v>-0.2889099</v>
      </c>
      <c r="V1159">
        <v>4.6146409999999999E-2</v>
      </c>
      <c r="W1159">
        <v>0.14349049999999999</v>
      </c>
      <c r="X1159">
        <v>0.98857519999999999</v>
      </c>
      <c r="Y1159">
        <v>0.10050190000000001</v>
      </c>
      <c r="Z1159">
        <v>-3.5708160000000001E-3</v>
      </c>
      <c r="AA1159">
        <v>0.99493039999999999</v>
      </c>
      <c r="AB1159">
        <v>31</v>
      </c>
      <c r="AC1159">
        <v>21.205500000000001</v>
      </c>
      <c r="AD1159">
        <v>-1.121458869267</v>
      </c>
      <c r="AE1159">
        <v>-2.0335000000000001</v>
      </c>
      <c r="AF1159">
        <v>2.1548409403692399</v>
      </c>
      <c r="AG1159">
        <v>-1.121458869267</v>
      </c>
      <c r="AH1159">
        <v>21.134334409337399</v>
      </c>
      <c r="AI1159">
        <v>93.021820951251499</v>
      </c>
      <c r="AJ1159">
        <v>84.178283108322802</v>
      </c>
      <c r="AK1159">
        <v>21.273483504105599</v>
      </c>
      <c r="AL1159">
        <v>81.750122606579296</v>
      </c>
      <c r="AM1159">
        <v>87.327389335927705</v>
      </c>
      <c r="AN1159">
        <v>0.99999997040058797</v>
      </c>
    </row>
    <row r="1160" spans="1:40" x14ac:dyDescent="0.25">
      <c r="A1160" t="str">
        <f>"20190303170245243"</f>
        <v>20190303170245243</v>
      </c>
      <c r="B1160" t="str">
        <f>"1551603765236911"</f>
        <v>1551603765236911</v>
      </c>
      <c r="C1160" t="s">
        <v>40</v>
      </c>
      <c r="D1160">
        <v>4.2869659999999996</v>
      </c>
      <c r="E1160">
        <v>0.52377470000000004</v>
      </c>
      <c r="F1160" t="s">
        <v>42</v>
      </c>
      <c r="G1160">
        <v>-240.38239999999999</v>
      </c>
      <c r="H1160" s="1">
        <v>-5.1944709999999998E-6</v>
      </c>
      <c r="I1160">
        <v>365.85219999999998</v>
      </c>
      <c r="J1160">
        <v>-262.10500000000002</v>
      </c>
      <c r="K1160">
        <v>1.121451</v>
      </c>
      <c r="L1160">
        <v>367.93380000000002</v>
      </c>
      <c r="M1160">
        <v>0.99988299999999997</v>
      </c>
      <c r="N1160">
        <v>-1.40765E-2</v>
      </c>
      <c r="O1160">
        <v>6.0049939999999996E-3</v>
      </c>
      <c r="P1160">
        <v>0.9907186</v>
      </c>
      <c r="Q1160">
        <v>0.1298251</v>
      </c>
      <c r="R1160">
        <v>-4.0279339999999997E-2</v>
      </c>
      <c r="S1160">
        <v>3.0366209999999998</v>
      </c>
      <c r="T1160">
        <v>-0.15567210000000001</v>
      </c>
      <c r="U1160">
        <v>-0.28881839999999998</v>
      </c>
      <c r="V1160">
        <v>4.6234310000000001E-2</v>
      </c>
      <c r="W1160">
        <v>0.1437524</v>
      </c>
      <c r="X1160">
        <v>0.98853310000000005</v>
      </c>
      <c r="Y1160">
        <v>0.1004902</v>
      </c>
      <c r="Z1160">
        <v>-3.500502E-3</v>
      </c>
      <c r="AA1160">
        <v>0.99493189999999998</v>
      </c>
      <c r="AB1160">
        <v>31</v>
      </c>
      <c r="AC1160">
        <v>21.7226</v>
      </c>
      <c r="AD1160">
        <v>-1.121456194471</v>
      </c>
      <c r="AE1160">
        <v>-2.0816000000000301</v>
      </c>
      <c r="AF1160">
        <v>2.20619286166411</v>
      </c>
      <c r="AG1160">
        <v>-1.121456194471</v>
      </c>
      <c r="AH1160">
        <v>21.652522346094401</v>
      </c>
      <c r="AI1160">
        <v>92.949645341538499</v>
      </c>
      <c r="AJ1160">
        <v>84.182164727786599</v>
      </c>
      <c r="AK1160">
        <v>21.793500748780499</v>
      </c>
      <c r="AL1160">
        <v>81.734960112326306</v>
      </c>
      <c r="AM1160">
        <v>87.322192058463003</v>
      </c>
      <c r="AN1160">
        <v>1.0000000268612701</v>
      </c>
    </row>
    <row r="1161" spans="1:40" x14ac:dyDescent="0.25">
      <c r="A1161" t="str">
        <f>"20190303170245256"</f>
        <v>20190303170245256</v>
      </c>
      <c r="B1161" t="str">
        <f>"1551603765246671"</f>
        <v>1551603765246671</v>
      </c>
      <c r="C1161" t="s">
        <v>40</v>
      </c>
      <c r="D1161">
        <v>4.2888729999999997</v>
      </c>
      <c r="E1161">
        <v>0.52372129999999995</v>
      </c>
      <c r="F1161" t="s">
        <v>42</v>
      </c>
      <c r="G1161">
        <v>-239.78139999999999</v>
      </c>
      <c r="H1161" s="1">
        <v>-1.0728130000000001E-6</v>
      </c>
      <c r="I1161">
        <v>365.81169999999997</v>
      </c>
      <c r="J1161">
        <v>-261.9402</v>
      </c>
      <c r="K1161">
        <v>1.121448</v>
      </c>
      <c r="L1161">
        <v>367.9348</v>
      </c>
      <c r="M1161">
        <v>0.99988339999999998</v>
      </c>
      <c r="N1161">
        <v>-1.4043089999999999E-2</v>
      </c>
      <c r="O1161">
        <v>6.0050520000000003E-3</v>
      </c>
      <c r="P1161">
        <v>0.99071620000000005</v>
      </c>
      <c r="Q1161">
        <v>0.12982009999999999</v>
      </c>
      <c r="R1161">
        <v>-4.0353970000000003E-2</v>
      </c>
      <c r="S1161">
        <v>3.0363769999999999</v>
      </c>
      <c r="T1161">
        <v>-0.15253520000000001</v>
      </c>
      <c r="U1161">
        <v>-0.28863529999999998</v>
      </c>
      <c r="V1161">
        <v>4.6308920000000003E-2</v>
      </c>
      <c r="W1161">
        <v>0.1437146</v>
      </c>
      <c r="X1161">
        <v>0.98853500000000005</v>
      </c>
      <c r="Y1161">
        <v>0.1004447</v>
      </c>
      <c r="Z1161">
        <v>-3.439901E-3</v>
      </c>
      <c r="AA1161">
        <v>0.99493670000000001</v>
      </c>
      <c r="AB1161">
        <v>31</v>
      </c>
      <c r="AC1161">
        <v>22.158799999999999</v>
      </c>
      <c r="AD1161">
        <v>-1.121449072813</v>
      </c>
      <c r="AE1161">
        <v>-2.12310000000002</v>
      </c>
      <c r="AF1161">
        <v>2.2504279060647998</v>
      </c>
      <c r="AG1161">
        <v>-1.121449072813</v>
      </c>
      <c r="AH1161">
        <v>22.089585618854699</v>
      </c>
      <c r="AI1161">
        <v>92.8913694502195</v>
      </c>
      <c r="AJ1161">
        <v>84.182928922479704</v>
      </c>
      <c r="AK1161">
        <v>22.232225857885201</v>
      </c>
      <c r="AL1161">
        <v>81.737147763641602</v>
      </c>
      <c r="AM1161">
        <v>87.317882234406895</v>
      </c>
      <c r="AN1161">
        <v>0.99999992427485995</v>
      </c>
    </row>
    <row r="1162" spans="1:40" x14ac:dyDescent="0.25">
      <c r="A1162" t="str">
        <f>"20190303170245269"</f>
        <v>20190303170245269</v>
      </c>
      <c r="B1162" t="str">
        <f>"1551603765257406"</f>
        <v>1551603765257406</v>
      </c>
      <c r="C1162" t="s">
        <v>40</v>
      </c>
      <c r="D1162">
        <v>4.299372</v>
      </c>
      <c r="E1162">
        <v>0.52363459999999995</v>
      </c>
      <c r="F1162" t="s">
        <v>42</v>
      </c>
      <c r="G1162">
        <v>-239.28710000000001</v>
      </c>
      <c r="H1162" s="1">
        <v>-1.248591E-6</v>
      </c>
      <c r="I1162">
        <v>365.78320000000002</v>
      </c>
      <c r="J1162">
        <v>-261.75709999999998</v>
      </c>
      <c r="K1162">
        <v>1.1214459999999999</v>
      </c>
      <c r="L1162">
        <v>367.93579999999997</v>
      </c>
      <c r="M1162">
        <v>0.99988390000000005</v>
      </c>
      <c r="N1162">
        <v>-1.400406E-2</v>
      </c>
      <c r="O1162">
        <v>6.0051490000000004E-3</v>
      </c>
      <c r="P1162">
        <v>0.99066279999999995</v>
      </c>
      <c r="Q1162">
        <v>0.1302277</v>
      </c>
      <c r="R1162">
        <v>-4.0351150000000002E-2</v>
      </c>
      <c r="S1162">
        <v>3.0361020000000001</v>
      </c>
      <c r="T1162">
        <v>-0.15030289999999999</v>
      </c>
      <c r="U1162">
        <v>-0.28836060000000002</v>
      </c>
      <c r="V1162">
        <v>4.6305789999999999E-2</v>
      </c>
      <c r="W1162">
        <v>0.14408319999999999</v>
      </c>
      <c r="X1162">
        <v>0.98848159999999896</v>
      </c>
      <c r="Y1162">
        <v>0.1003685</v>
      </c>
      <c r="Z1162">
        <v>-3.3948310000000001E-3</v>
      </c>
      <c r="AA1162">
        <v>0.99494450000000001</v>
      </c>
      <c r="AB1162">
        <v>31</v>
      </c>
      <c r="AC1162">
        <v>22.469999999999899</v>
      </c>
      <c r="AD1162">
        <v>-1.1214472485910001</v>
      </c>
      <c r="AE1162">
        <v>-2.1525999999999499</v>
      </c>
      <c r="AF1162">
        <v>2.2818779319236602</v>
      </c>
      <c r="AG1162">
        <v>-1.1214472485910001</v>
      </c>
      <c r="AH1162">
        <v>22.4013752675523</v>
      </c>
      <c r="AI1162">
        <v>92.851192694049402</v>
      </c>
      <c r="AJ1162">
        <v>84.183724471164695</v>
      </c>
      <c r="AK1162">
        <v>22.545204028912099</v>
      </c>
      <c r="AL1162">
        <v>81.715807341720406</v>
      </c>
      <c r="AM1162">
        <v>87.317918580200498</v>
      </c>
      <c r="AN1162">
        <v>1.0000000341241599</v>
      </c>
    </row>
    <row r="1163" spans="1:40" x14ac:dyDescent="0.25">
      <c r="A1163" t="str">
        <f>"20190303170245281"</f>
        <v>20190303170245281</v>
      </c>
      <c r="B1163" t="str">
        <f>"1551603765267167"</f>
        <v>1551603765267167</v>
      </c>
      <c r="C1163" t="s">
        <v>40</v>
      </c>
      <c r="D1163">
        <v>4.2242410000000001</v>
      </c>
      <c r="E1163">
        <v>0.52357540000000002</v>
      </c>
      <c r="F1163" t="s">
        <v>42</v>
      </c>
      <c r="G1163">
        <v>-238.54650000000001</v>
      </c>
      <c r="H1163" s="1">
        <v>-1.5123600000000001E-6</v>
      </c>
      <c r="I1163">
        <v>365.73910000000001</v>
      </c>
      <c r="J1163">
        <v>-261.58300000000003</v>
      </c>
      <c r="K1163">
        <v>1.121443</v>
      </c>
      <c r="L1163">
        <v>367.93689999999998</v>
      </c>
      <c r="M1163">
        <v>0.99988440000000001</v>
      </c>
      <c r="N1163">
        <v>-1.3966920000000001E-2</v>
      </c>
      <c r="O1163">
        <v>6.0052329999999996E-3</v>
      </c>
      <c r="P1163">
        <v>0.99067000000000005</v>
      </c>
      <c r="Q1163">
        <v>0.13018869999999999</v>
      </c>
      <c r="R1163">
        <v>-4.029638E-2</v>
      </c>
      <c r="S1163">
        <v>3.0358580000000002</v>
      </c>
      <c r="T1163">
        <v>-0.14668059999999999</v>
      </c>
      <c r="U1163">
        <v>-0.287323</v>
      </c>
      <c r="V1163">
        <v>4.6251349999999997E-2</v>
      </c>
      <c r="W1163">
        <v>0.1440072</v>
      </c>
      <c r="X1163">
        <v>0.98849520000000002</v>
      </c>
      <c r="Y1163">
        <v>0.1000465</v>
      </c>
      <c r="Z1163">
        <v>-3.3166269999999999E-3</v>
      </c>
      <c r="AA1163">
        <v>0.99497720000000001</v>
      </c>
      <c r="AB1163">
        <v>31</v>
      </c>
      <c r="AC1163">
        <v>23.036499999999901</v>
      </c>
      <c r="AD1163">
        <v>-1.1214445123600001</v>
      </c>
      <c r="AE1163">
        <v>-2.1977999999999702</v>
      </c>
      <c r="AF1163">
        <v>2.33063994231691</v>
      </c>
      <c r="AG1163">
        <v>-1.1214445123600001</v>
      </c>
      <c r="AH1163">
        <v>22.968942768884801</v>
      </c>
      <c r="AI1163">
        <v>92.780954435675298</v>
      </c>
      <c r="AJ1163">
        <v>84.206074292938098</v>
      </c>
      <c r="AK1163">
        <v>23.114105049846302</v>
      </c>
      <c r="AL1163">
        <v>81.720207516698295</v>
      </c>
      <c r="AM1163">
        <v>87.321104011404799</v>
      </c>
      <c r="AN1163">
        <v>1.00000001072585</v>
      </c>
    </row>
    <row r="1164" spans="1:40" x14ac:dyDescent="0.25">
      <c r="A1164" t="str">
        <f>"20190303170245296"</f>
        <v>20190303170245296</v>
      </c>
      <c r="B1164" t="str">
        <f>"1551603765286687"</f>
        <v>1551603765286687</v>
      </c>
      <c r="C1164" t="s">
        <v>40</v>
      </c>
      <c r="D1164">
        <v>4.426399</v>
      </c>
      <c r="E1164">
        <v>0.52355959999999901</v>
      </c>
      <c r="F1164" t="s">
        <v>42</v>
      </c>
      <c r="G1164">
        <v>-237.99029999999999</v>
      </c>
      <c r="H1164" s="1">
        <v>-1.710139E-6</v>
      </c>
      <c r="I1164">
        <v>365.70710000000003</v>
      </c>
      <c r="J1164">
        <v>-261.38150000000002</v>
      </c>
      <c r="K1164">
        <v>1.1214379999999999</v>
      </c>
      <c r="L1164">
        <v>367.93810000000002</v>
      </c>
      <c r="M1164">
        <v>0.99988509999999997</v>
      </c>
      <c r="N1164">
        <v>-1.392402E-2</v>
      </c>
      <c r="O1164">
        <v>6.0052359999999997E-3</v>
      </c>
      <c r="P1164">
        <v>0.99064589999999997</v>
      </c>
      <c r="Q1164">
        <v>0.13040739999999901</v>
      </c>
      <c r="R1164">
        <v>-4.0185560000000002E-2</v>
      </c>
      <c r="S1164">
        <v>3.0355530000000002</v>
      </c>
      <c r="T1164">
        <v>-0.14429029999999901</v>
      </c>
      <c r="U1164">
        <v>-0.28689579999999998</v>
      </c>
      <c r="V1164">
        <v>4.6140210000000001E-2</v>
      </c>
      <c r="W1164">
        <v>0.14418320000000001</v>
      </c>
      <c r="X1164">
        <v>0.98847470000000004</v>
      </c>
      <c r="Y1164">
        <v>9.9921789999999996E-2</v>
      </c>
      <c r="Z1164">
        <v>-3.2672249999999999E-3</v>
      </c>
      <c r="AA1164">
        <v>0.99498989999999998</v>
      </c>
      <c r="AB1164">
        <v>31</v>
      </c>
      <c r="AC1164">
        <v>23.391200000000001</v>
      </c>
      <c r="AD1164">
        <v>-1.1214397101389999</v>
      </c>
      <c r="AE1164">
        <v>-2.2309999999999901</v>
      </c>
      <c r="AF1164">
        <v>2.36605367113027</v>
      </c>
      <c r="AG1164">
        <v>-1.1214397101389999</v>
      </c>
      <c r="AH1164">
        <v>23.324251375535201</v>
      </c>
      <c r="AI1164">
        <v>92.738651739155301</v>
      </c>
      <c r="AJ1164">
        <v>84.207628353433293</v>
      </c>
      <c r="AK1164">
        <v>23.470759238407702</v>
      </c>
      <c r="AL1164">
        <v>81.710016798686098</v>
      </c>
      <c r="AM1164">
        <v>87.327476595160107</v>
      </c>
      <c r="AN1164">
        <v>0.99999997334058599</v>
      </c>
    </row>
    <row r="1165" spans="1:40" x14ac:dyDescent="0.25">
      <c r="A1165" t="str">
        <f>"20190303170245312"</f>
        <v>20190303170245312</v>
      </c>
      <c r="B1165" t="str">
        <f>"1551603765296446"</f>
        <v>1551603765296446</v>
      </c>
      <c r="C1165" t="s">
        <v>40</v>
      </c>
      <c r="D1165">
        <v>4.3144169999999997</v>
      </c>
      <c r="E1165">
        <v>0.52349699999999999</v>
      </c>
      <c r="F1165" t="s">
        <v>42</v>
      </c>
      <c r="G1165">
        <v>-236.99279999999999</v>
      </c>
      <c r="H1165" s="1">
        <v>-2.0696730000000002E-6</v>
      </c>
      <c r="I1165">
        <v>365.63170000000002</v>
      </c>
      <c r="J1165">
        <v>-261.16390000000001</v>
      </c>
      <c r="K1165">
        <v>1.121434</v>
      </c>
      <c r="L1165">
        <v>367.93939999999998</v>
      </c>
      <c r="M1165">
        <v>0.99988569999999999</v>
      </c>
      <c r="N1165">
        <v>-1.387976E-2</v>
      </c>
      <c r="O1165">
        <v>6.0053679999999996E-3</v>
      </c>
      <c r="P1165">
        <v>0.99061900000000003</v>
      </c>
      <c r="Q1165">
        <v>0.13068009999999999</v>
      </c>
      <c r="R1165">
        <v>-3.9962270000000001E-2</v>
      </c>
      <c r="S1165">
        <v>3.0350649999999999</v>
      </c>
      <c r="T1165">
        <v>-0.13955780000000001</v>
      </c>
      <c r="U1165">
        <v>-0.28701779999999999</v>
      </c>
      <c r="V1165">
        <v>4.5916949999999998E-2</v>
      </c>
      <c r="W1165">
        <v>0.14441199999999901</v>
      </c>
      <c r="X1165">
        <v>0.98845170000000004</v>
      </c>
      <c r="Y1165">
        <v>9.9985149999999995E-2</v>
      </c>
      <c r="Z1165">
        <v>-3.180628E-3</v>
      </c>
      <c r="AA1165">
        <v>0.99498390000000003</v>
      </c>
      <c r="AB1165">
        <v>31</v>
      </c>
      <c r="AC1165">
        <v>24.171099999999999</v>
      </c>
      <c r="AD1165">
        <v>-1.1214360696729999</v>
      </c>
      <c r="AE1165">
        <v>-2.3076999999999499</v>
      </c>
      <c r="AF1165">
        <v>2.44760766106748</v>
      </c>
      <c r="AG1165">
        <v>-1.1214360696729999</v>
      </c>
      <c r="AH1165">
        <v>24.1053844327582</v>
      </c>
      <c r="AI1165">
        <v>92.650000459158804</v>
      </c>
      <c r="AJ1165">
        <v>84.202183231132494</v>
      </c>
      <c r="AK1165">
        <v>24.255266660499601</v>
      </c>
      <c r="AL1165">
        <v>81.696768911564405</v>
      </c>
      <c r="AM1165">
        <v>87.340327803379793</v>
      </c>
      <c r="AN1165">
        <v>0.99999997763709603</v>
      </c>
    </row>
    <row r="1166" spans="1:40" x14ac:dyDescent="0.25">
      <c r="A1166" t="str">
        <f>"20190303170245323"</f>
        <v>20190303170245323</v>
      </c>
      <c r="B1166" t="str">
        <f>"1551603765316944"</f>
        <v>1551603765316944</v>
      </c>
      <c r="C1166" t="s">
        <v>40</v>
      </c>
      <c r="D1166">
        <v>4.2181170000000003</v>
      </c>
      <c r="E1166">
        <v>0.5234936</v>
      </c>
      <c r="F1166" t="s">
        <v>42</v>
      </c>
      <c r="G1166">
        <v>-236.27760000000001</v>
      </c>
      <c r="H1166" s="1">
        <v>-2.3223409999999998E-6</v>
      </c>
      <c r="I1166">
        <v>365.59679999999997</v>
      </c>
      <c r="J1166">
        <v>-260.99689999999998</v>
      </c>
      <c r="K1166">
        <v>1.121435</v>
      </c>
      <c r="L1166">
        <v>367.94040000000001</v>
      </c>
      <c r="M1166">
        <v>0.99988619999999995</v>
      </c>
      <c r="N1166">
        <v>-1.38478E-2</v>
      </c>
      <c r="O1166">
        <v>6.0054119999999999E-3</v>
      </c>
      <c r="P1166">
        <v>0.99060130000000002</v>
      </c>
      <c r="Q1166">
        <v>0.1308029</v>
      </c>
      <c r="R1166">
        <v>-3.9996160000000003E-2</v>
      </c>
      <c r="S1166">
        <v>3.0349119999999998</v>
      </c>
      <c r="T1166">
        <v>-0.13675960000000001</v>
      </c>
      <c r="U1166">
        <v>-0.28567500000000001</v>
      </c>
      <c r="V1166">
        <v>4.5950900000000003E-2</v>
      </c>
      <c r="W1166">
        <v>0.14450260000000001</v>
      </c>
      <c r="X1166">
        <v>0.98843689999999995</v>
      </c>
      <c r="Y1166">
        <v>9.9559110000000006E-2</v>
      </c>
      <c r="Z1166">
        <v>-3.1153969999999998E-3</v>
      </c>
      <c r="AA1166">
        <v>0.99502679999999999</v>
      </c>
      <c r="AB1166">
        <v>31</v>
      </c>
      <c r="AC1166">
        <v>24.719299999999901</v>
      </c>
      <c r="AD1166">
        <v>-1.1214373223409999</v>
      </c>
      <c r="AE1166">
        <v>-2.3436000000000301</v>
      </c>
      <c r="AF1166">
        <v>2.4869486069547002</v>
      </c>
      <c r="AG1166">
        <v>-1.1214373223409999</v>
      </c>
      <c r="AH1166">
        <v>24.654487863673999</v>
      </c>
      <c r="AI1166">
        <v>92.591236610228407</v>
      </c>
      <c r="AJ1166">
        <v>84.239941350902001</v>
      </c>
      <c r="AK1166">
        <v>24.804965367071599</v>
      </c>
      <c r="AL1166">
        <v>81.691523041692093</v>
      </c>
      <c r="AM1166">
        <v>87.338324330426701</v>
      </c>
      <c r="AN1166">
        <v>0.99999999594958899</v>
      </c>
    </row>
    <row r="1167" spans="1:40" x14ac:dyDescent="0.25">
      <c r="A1167" t="str">
        <f>"20190303170245335"</f>
        <v>20190303170245335</v>
      </c>
      <c r="B1167" t="str">
        <f>"1551603765326704"</f>
        <v>1551603765326704</v>
      </c>
      <c r="C1167" t="s">
        <v>40</v>
      </c>
      <c r="D1167">
        <v>4.2462609999999996</v>
      </c>
      <c r="E1167">
        <v>0.52347739999999998</v>
      </c>
      <c r="F1167" t="s">
        <v>42</v>
      </c>
      <c r="G1167">
        <v>-235.50120000000001</v>
      </c>
      <c r="H1167" s="1">
        <v>-2.6355419999999999E-6</v>
      </c>
      <c r="I1167">
        <v>365.53910000000002</v>
      </c>
      <c r="J1167">
        <v>-260.8329</v>
      </c>
      <c r="K1167">
        <v>1.121437</v>
      </c>
      <c r="L1167">
        <v>367.94139999999999</v>
      </c>
      <c r="M1167">
        <v>0.99988659999999996</v>
      </c>
      <c r="N1167">
        <v>-1.381723E-2</v>
      </c>
      <c r="O1167">
        <v>6.0054469999999997E-3</v>
      </c>
      <c r="P1167">
        <v>0.99055769999999999</v>
      </c>
      <c r="Q1167">
        <v>0.13108229999999901</v>
      </c>
      <c r="R1167">
        <v>-4.0165510000000001E-2</v>
      </c>
      <c r="S1167">
        <v>3.0345149999999999</v>
      </c>
      <c r="T1167">
        <v>-0.13347339999999999</v>
      </c>
      <c r="U1167">
        <v>-0.28579710000000003</v>
      </c>
      <c r="V1167">
        <v>4.6119920000000002E-2</v>
      </c>
      <c r="W1167">
        <v>0.1447513</v>
      </c>
      <c r="X1167">
        <v>0.98839270000000001</v>
      </c>
      <c r="Y1167">
        <v>9.9616620000000003E-2</v>
      </c>
      <c r="Z1167">
        <v>-3.0558270000000001E-3</v>
      </c>
      <c r="AA1167">
        <v>0.99502120000000005</v>
      </c>
      <c r="AB1167">
        <v>31</v>
      </c>
      <c r="AC1167">
        <v>25.331699999999898</v>
      </c>
      <c r="AD1167">
        <v>-1.121439635542</v>
      </c>
      <c r="AE1167">
        <v>-2.4022999999999599</v>
      </c>
      <c r="AF1167">
        <v>2.5494473600201601</v>
      </c>
      <c r="AG1167">
        <v>-1.121439635542</v>
      </c>
      <c r="AH1167">
        <v>25.267735238254001</v>
      </c>
      <c r="AI1167">
        <v>92.528428812277994</v>
      </c>
      <c r="AJ1167">
        <v>84.238506456317296</v>
      </c>
      <c r="AK1167">
        <v>25.420774039516999</v>
      </c>
      <c r="AL1167">
        <v>81.6771226912618</v>
      </c>
      <c r="AM1167">
        <v>87.328428823383604</v>
      </c>
      <c r="AN1167">
        <v>1.00000005764289</v>
      </c>
    </row>
    <row r="1168" spans="1:40" x14ac:dyDescent="0.25">
      <c r="A1168" t="str">
        <f>"20190303170245346"</f>
        <v>20190303170245346</v>
      </c>
      <c r="B1168" t="str">
        <f>"1551603765336463"</f>
        <v>1551603765336463</v>
      </c>
      <c r="C1168" t="s">
        <v>40</v>
      </c>
      <c r="D1168">
        <v>4.2198330000000004</v>
      </c>
      <c r="E1168">
        <v>0.52348170000000005</v>
      </c>
      <c r="F1168" t="s">
        <v>42</v>
      </c>
      <c r="G1168">
        <v>-234.87649999999999</v>
      </c>
      <c r="H1168" s="1">
        <v>-2.911479E-6</v>
      </c>
      <c r="I1168">
        <v>365.49419999999998</v>
      </c>
      <c r="J1168">
        <v>-260.67669999999998</v>
      </c>
      <c r="K1168">
        <v>1.1214379999999999</v>
      </c>
      <c r="L1168">
        <v>367.94240000000002</v>
      </c>
      <c r="M1168">
        <v>0.99988690000000002</v>
      </c>
      <c r="N1168">
        <v>-1.3790180000000001E-2</v>
      </c>
      <c r="O1168">
        <v>6.005636E-3</v>
      </c>
      <c r="P1168">
        <v>0.99052839999999998</v>
      </c>
      <c r="Q1168">
        <v>0.13126479999999999</v>
      </c>
      <c r="R1168">
        <v>-4.0290060000000003E-2</v>
      </c>
      <c r="S1168">
        <v>3.0343629999999999</v>
      </c>
      <c r="T1168">
        <v>-0.13109870000000001</v>
      </c>
      <c r="U1168">
        <v>-0.28607179999999999</v>
      </c>
      <c r="V1168">
        <v>4.6244479999999998E-2</v>
      </c>
      <c r="W1168">
        <v>0.14490600000000001</v>
      </c>
      <c r="X1168">
        <v>0.98836420000000003</v>
      </c>
      <c r="Y1168">
        <v>9.9714700000000003E-2</v>
      </c>
      <c r="Z1168">
        <v>-3.0140140000000002E-3</v>
      </c>
      <c r="AA1168">
        <v>0.99501150000000005</v>
      </c>
      <c r="AB1168">
        <v>31</v>
      </c>
      <c r="AC1168">
        <v>25.800199999999901</v>
      </c>
      <c r="AD1168">
        <v>-1.1214409114789901</v>
      </c>
      <c r="AE1168">
        <v>-2.4482000000000399</v>
      </c>
      <c r="AF1168">
        <v>2.5982520466380299</v>
      </c>
      <c r="AG1168">
        <v>-1.1214409114789901</v>
      </c>
      <c r="AH1168">
        <v>25.736838911407901</v>
      </c>
      <c r="AI1168">
        <v>92.482390132171403</v>
      </c>
      <c r="AJ1168">
        <v>84.235259484395897</v>
      </c>
      <c r="AK1168">
        <v>25.891956677075498</v>
      </c>
      <c r="AL1168">
        <v>81.668164492016601</v>
      </c>
      <c r="AM1168">
        <v>87.321146847835493</v>
      </c>
      <c r="AN1168">
        <v>1.0000000463040499</v>
      </c>
    </row>
    <row r="1169" spans="1:40" x14ac:dyDescent="0.25">
      <c r="A1169" t="str">
        <f>"20190303170245357"</f>
        <v>20190303170245357</v>
      </c>
      <c r="B1169" t="str">
        <f>"1551603765347199"</f>
        <v>1551603765347199</v>
      </c>
      <c r="C1169" t="s">
        <v>40</v>
      </c>
      <c r="D1169">
        <v>4.2383150000000001</v>
      </c>
      <c r="E1169">
        <v>0.52347270000000001</v>
      </c>
      <c r="F1169" t="s">
        <v>42</v>
      </c>
      <c r="G1169">
        <v>-234.32220000000001</v>
      </c>
      <c r="H1169" s="1">
        <v>-3.1561179999999998E-6</v>
      </c>
      <c r="I1169">
        <v>365.4556</v>
      </c>
      <c r="J1169">
        <v>-260.52170000000001</v>
      </c>
      <c r="K1169">
        <v>1.1214409999999999</v>
      </c>
      <c r="L1169">
        <v>367.94330000000002</v>
      </c>
      <c r="M1169">
        <v>0.99988730000000003</v>
      </c>
      <c r="N1169">
        <v>-1.3763930000000001E-2</v>
      </c>
      <c r="O1169">
        <v>6.0058189999999999E-3</v>
      </c>
      <c r="P1169">
        <v>0.99047209999999997</v>
      </c>
      <c r="Q1169">
        <v>0.13160160000000001</v>
      </c>
      <c r="R1169">
        <v>-4.0577790000000002E-2</v>
      </c>
      <c r="S1169">
        <v>3.034119</v>
      </c>
      <c r="T1169">
        <v>-0.12910830000000001</v>
      </c>
      <c r="U1169">
        <v>-0.28628540000000002</v>
      </c>
      <c r="V1169">
        <v>4.6531959999999997E-2</v>
      </c>
      <c r="W1169">
        <v>0.1452165</v>
      </c>
      <c r="X1169">
        <v>0.98830510000000005</v>
      </c>
      <c r="Y1169">
        <v>9.979507E-2</v>
      </c>
      <c r="Z1169">
        <v>-2.978783E-3</v>
      </c>
      <c r="AA1169">
        <v>0.99500359999999999</v>
      </c>
      <c r="AB1169">
        <v>31</v>
      </c>
      <c r="AC1169">
        <v>26.1995</v>
      </c>
      <c r="AD1169">
        <v>-1.121444156118</v>
      </c>
      <c r="AE1169">
        <v>-2.48770000000001</v>
      </c>
      <c r="AF1169">
        <v>2.64022531989345</v>
      </c>
      <c r="AG1169">
        <v>-1.121444156118</v>
      </c>
      <c r="AH1169">
        <v>26.136626066955898</v>
      </c>
      <c r="AI1169">
        <v>92.444457786184103</v>
      </c>
      <c r="AJ1169">
        <v>84.231759383144194</v>
      </c>
      <c r="AK1169">
        <v>26.293566682726301</v>
      </c>
      <c r="AL1169">
        <v>81.650183686766994</v>
      </c>
      <c r="AM1169">
        <v>87.304357222975099</v>
      </c>
      <c r="AN1169">
        <v>1.0000000129298501</v>
      </c>
    </row>
    <row r="1170" spans="1:40" x14ac:dyDescent="0.25">
      <c r="A1170" t="str">
        <f>"20190303170245369"</f>
        <v>20190303170245369</v>
      </c>
      <c r="B1170" t="str">
        <f>"1551603765356960"</f>
        <v>1551603765356960</v>
      </c>
      <c r="C1170" t="s">
        <v>40</v>
      </c>
      <c r="D1170">
        <v>4.2421360000000004</v>
      </c>
      <c r="E1170">
        <v>0.52350810000000003</v>
      </c>
      <c r="F1170" t="s">
        <v>42</v>
      </c>
      <c r="G1170">
        <v>-233.4803</v>
      </c>
      <c r="H1170" s="1">
        <v>-3.5304600000000001E-6</v>
      </c>
      <c r="I1170">
        <v>365.38139999999999</v>
      </c>
      <c r="J1170">
        <v>-260.35550000000001</v>
      </c>
      <c r="K1170">
        <v>1.1214379999999999</v>
      </c>
      <c r="L1170">
        <v>367.9443</v>
      </c>
      <c r="M1170">
        <v>0.99988770000000005</v>
      </c>
      <c r="N1170">
        <v>-1.373748E-2</v>
      </c>
      <c r="O1170">
        <v>6.0058239999999999E-3</v>
      </c>
      <c r="P1170">
        <v>0.99041259999999998</v>
      </c>
      <c r="Q1170">
        <v>0.13204260000000001</v>
      </c>
      <c r="R1170">
        <v>-4.059608E-2</v>
      </c>
      <c r="S1170">
        <v>3.0338129999999999</v>
      </c>
      <c r="T1170">
        <v>-0.12581600000000001</v>
      </c>
      <c r="U1170">
        <v>-0.28741460000000002</v>
      </c>
      <c r="V1170">
        <v>4.6549920000000002E-2</v>
      </c>
      <c r="W1170">
        <v>0.14563019999999999</v>
      </c>
      <c r="X1170">
        <v>0.98824330000000005</v>
      </c>
      <c r="Y1170">
        <v>0.1001765</v>
      </c>
      <c r="Z1170">
        <v>-2.9278709999999999E-3</v>
      </c>
      <c r="AA1170">
        <v>0.9949654</v>
      </c>
      <c r="AB1170">
        <v>31</v>
      </c>
      <c r="AC1170">
        <v>26.8752</v>
      </c>
      <c r="AD1170">
        <v>-1.1214415304599901</v>
      </c>
      <c r="AE1170">
        <v>-2.5629000000000102</v>
      </c>
      <c r="AF1170">
        <v>2.7195840293406501</v>
      </c>
      <c r="AG1170">
        <v>-1.1214415304599901</v>
      </c>
      <c r="AH1170">
        <v>26.8130551630185</v>
      </c>
      <c r="AI1170">
        <v>92.382758321730407</v>
      </c>
      <c r="AJ1170">
        <v>84.208432349505003</v>
      </c>
      <c r="AK1170">
        <v>26.973944753668501</v>
      </c>
      <c r="AL1170">
        <v>81.626225082033002</v>
      </c>
      <c r="AM1170">
        <v>87.303149929250694</v>
      </c>
      <c r="AN1170">
        <v>0.99999993509946605</v>
      </c>
    </row>
    <row r="1171" spans="1:40" x14ac:dyDescent="0.25">
      <c r="A1171" t="str">
        <f>"20190303170245381"</f>
        <v>20190303170245381</v>
      </c>
      <c r="B1171" t="str">
        <f>"1551603765366719"</f>
        <v>1551603765366719</v>
      </c>
      <c r="C1171" t="s">
        <v>40</v>
      </c>
      <c r="D1171">
        <v>4.2247560000000002</v>
      </c>
      <c r="E1171">
        <v>0.52355640000000003</v>
      </c>
      <c r="F1171" t="s">
        <v>42</v>
      </c>
      <c r="G1171">
        <v>-232.67429999999999</v>
      </c>
      <c r="H1171" s="1">
        <v>-3.8873750000000002E-6</v>
      </c>
      <c r="I1171">
        <v>365.3186</v>
      </c>
      <c r="J1171">
        <v>-260.20670000000001</v>
      </c>
      <c r="K1171">
        <v>1.12144</v>
      </c>
      <c r="L1171">
        <v>367.9452</v>
      </c>
      <c r="M1171">
        <v>0.99988790000000005</v>
      </c>
      <c r="N1171">
        <v>-1.371494E-2</v>
      </c>
      <c r="O1171">
        <v>6.0058009999999998E-3</v>
      </c>
      <c r="P1171">
        <v>0.99036310000000005</v>
      </c>
      <c r="Q1171">
        <v>0.13232839999999901</v>
      </c>
      <c r="R1171">
        <v>-4.0868979999999999E-2</v>
      </c>
      <c r="S1171">
        <v>3.0335999999999999</v>
      </c>
      <c r="T1171">
        <v>-0.12289940000000001</v>
      </c>
      <c r="U1171">
        <v>-0.28775020000000001</v>
      </c>
      <c r="V1171">
        <v>4.6822549999999998E-2</v>
      </c>
      <c r="W1171">
        <v>0.14589340000000001</v>
      </c>
      <c r="X1171">
        <v>0.98819170000000001</v>
      </c>
      <c r="Y1171">
        <v>0.10029680000000001</v>
      </c>
      <c r="Z1171">
        <v>-2.8765269999999998E-3</v>
      </c>
      <c r="AA1171">
        <v>0.99495339999999999</v>
      </c>
      <c r="AB1171">
        <v>31</v>
      </c>
      <c r="AC1171">
        <v>27.532399999999999</v>
      </c>
      <c r="AD1171">
        <v>-1.1214438873749999</v>
      </c>
      <c r="AE1171">
        <v>-2.6265999999999901</v>
      </c>
      <c r="AF1171">
        <v>2.7873395839176802</v>
      </c>
      <c r="AG1171">
        <v>-1.1214438873749999</v>
      </c>
      <c r="AH1171">
        <v>27.4709616159615</v>
      </c>
      <c r="AI1171">
        <v>92.325752865918702</v>
      </c>
      <c r="AJ1171">
        <v>84.206314901021599</v>
      </c>
      <c r="AK1171">
        <v>27.634772125969</v>
      </c>
      <c r="AL1171">
        <v>81.610982881293594</v>
      </c>
      <c r="AM1171">
        <v>87.287237315566102</v>
      </c>
      <c r="AN1171">
        <v>1.0000000356504699</v>
      </c>
    </row>
    <row r="1172" spans="1:40" x14ac:dyDescent="0.25">
      <c r="A1172" t="str">
        <f>"20190303170245393"</f>
        <v>20190303170245393</v>
      </c>
      <c r="B1172" t="str">
        <f>"1551603765387215"</f>
        <v>1551603765387215</v>
      </c>
      <c r="C1172" t="s">
        <v>40</v>
      </c>
      <c r="D1172">
        <v>4.2333040000000004</v>
      </c>
      <c r="E1172">
        <v>0.52360189999999995</v>
      </c>
      <c r="F1172" t="s">
        <v>42</v>
      </c>
      <c r="G1172">
        <v>-231.97290000000001</v>
      </c>
      <c r="H1172" s="1">
        <v>-4.1994470000000002E-6</v>
      </c>
      <c r="I1172">
        <v>365.25569999999999</v>
      </c>
      <c r="J1172">
        <v>-260.03559999999999</v>
      </c>
      <c r="K1172">
        <v>1.121443</v>
      </c>
      <c r="L1172">
        <v>367.94619999999998</v>
      </c>
      <c r="M1172">
        <v>0.99988840000000001</v>
      </c>
      <c r="N1172">
        <v>-1.369016E-2</v>
      </c>
      <c r="O1172">
        <v>6.0058539999999997E-3</v>
      </c>
      <c r="P1172">
        <v>0.99031159999999996</v>
      </c>
      <c r="Q1172">
        <v>0.13269510000000001</v>
      </c>
      <c r="R1172">
        <v>-4.0925669999999997E-2</v>
      </c>
      <c r="S1172">
        <v>3.033325</v>
      </c>
      <c r="T1172">
        <v>-0.1204828</v>
      </c>
      <c r="U1172">
        <v>-0.28894039999999999</v>
      </c>
      <c r="V1172">
        <v>4.6879190000000001E-2</v>
      </c>
      <c r="W1172">
        <v>0.14623449999999999</v>
      </c>
      <c r="X1172">
        <v>0.98813859999999998</v>
      </c>
      <c r="Y1172">
        <v>0.1006957</v>
      </c>
      <c r="Z1172">
        <v>-2.841648E-3</v>
      </c>
      <c r="AA1172">
        <v>0.99491320000000005</v>
      </c>
      <c r="AB1172">
        <v>31</v>
      </c>
      <c r="AC1172">
        <v>28.0626999999999</v>
      </c>
      <c r="AD1172">
        <v>-1.1214471994470001</v>
      </c>
      <c r="AE1172">
        <v>-2.6904999999999801</v>
      </c>
      <c r="AF1172">
        <v>2.8544906799909699</v>
      </c>
      <c r="AG1172">
        <v>-1.1214471994470001</v>
      </c>
      <c r="AH1172">
        <v>28.001722709323701</v>
      </c>
      <c r="AI1172">
        <v>92.281614002270899</v>
      </c>
      <c r="AJ1172">
        <v>84.179384843044005</v>
      </c>
      <c r="AK1172">
        <v>28.169171722881</v>
      </c>
      <c r="AL1172">
        <v>81.591227455041604</v>
      </c>
      <c r="AM1172">
        <v>87.283814934861596</v>
      </c>
      <c r="AN1172">
        <v>1.0000000401276301</v>
      </c>
    </row>
    <row r="1173" spans="1:40" x14ac:dyDescent="0.25">
      <c r="A1173" t="str">
        <f>"20190303170245404"</f>
        <v>20190303170245404</v>
      </c>
      <c r="B1173" t="str">
        <f>"1551603765396975"</f>
        <v>1551603765396975</v>
      </c>
      <c r="C1173" t="s">
        <v>40</v>
      </c>
      <c r="D1173">
        <v>4.3444529999999997</v>
      </c>
      <c r="E1173">
        <v>0.52358420000000006</v>
      </c>
      <c r="F1173" t="s">
        <v>42</v>
      </c>
      <c r="G1173">
        <v>-230.92760000000001</v>
      </c>
      <c r="H1173" s="1">
        <v>-4.66364E-6</v>
      </c>
      <c r="I1173">
        <v>365.16680000000002</v>
      </c>
      <c r="J1173">
        <v>-259.875</v>
      </c>
      <c r="K1173">
        <v>1.1214459999999999</v>
      </c>
      <c r="L1173">
        <v>367.94720000000001</v>
      </c>
      <c r="M1173">
        <v>0.99988860000000002</v>
      </c>
      <c r="N1173">
        <v>-1.366878E-2</v>
      </c>
      <c r="O1173">
        <v>6.0060010000000004E-3</v>
      </c>
      <c r="P1173">
        <v>0.99026720000000001</v>
      </c>
      <c r="Q1173">
        <v>0.13291919999999999</v>
      </c>
      <c r="R1173">
        <v>-4.1278910000000002E-2</v>
      </c>
      <c r="S1173">
        <v>3.0330810000000001</v>
      </c>
      <c r="T1173">
        <v>-0.116855399999999</v>
      </c>
      <c r="U1173">
        <v>-0.28961179999999997</v>
      </c>
      <c r="V1173">
        <v>4.7231910000000002E-2</v>
      </c>
      <c r="W1173">
        <v>0.14643689999999901</v>
      </c>
      <c r="X1173">
        <v>0.98809179999999996</v>
      </c>
      <c r="Y1173">
        <v>0.10092710000000001</v>
      </c>
      <c r="Z1173">
        <v>-2.7797099999999999E-3</v>
      </c>
      <c r="AA1173">
        <v>0.99488989999999999</v>
      </c>
      <c r="AB1173">
        <v>31</v>
      </c>
      <c r="AC1173">
        <v>28.947399999999899</v>
      </c>
      <c r="AD1173">
        <v>-1.1214506636399999</v>
      </c>
      <c r="AE1173">
        <v>-2.7803999999999802</v>
      </c>
      <c r="AF1173">
        <v>2.9498373572189198</v>
      </c>
      <c r="AG1173">
        <v>-1.1214506636399999</v>
      </c>
      <c r="AH1173">
        <v>28.887217711734198</v>
      </c>
      <c r="AI1173">
        <v>92.211712643247495</v>
      </c>
      <c r="AJ1173">
        <v>84.169413858210703</v>
      </c>
      <c r="AK1173">
        <v>29.059087032289099</v>
      </c>
      <c r="AL1173">
        <v>81.579504355391194</v>
      </c>
      <c r="AM1173">
        <v>87.263279834008202</v>
      </c>
      <c r="AN1173">
        <v>1.0000000121155399</v>
      </c>
    </row>
    <row r="1174" spans="1:40" x14ac:dyDescent="0.25">
      <c r="A1174" t="str">
        <f>"20190303170245417"</f>
        <v>20190303170245417</v>
      </c>
      <c r="B1174" t="str">
        <f>"1551603765406735"</f>
        <v>1551603765406735</v>
      </c>
      <c r="C1174" t="s">
        <v>40</v>
      </c>
      <c r="D1174">
        <v>4.2027850000000004</v>
      </c>
      <c r="E1174">
        <v>0.52358159999999998</v>
      </c>
      <c r="F1174" t="s">
        <v>42</v>
      </c>
      <c r="G1174">
        <v>-230.4502</v>
      </c>
      <c r="H1174" s="1">
        <v>-4.8753520000000003E-6</v>
      </c>
      <c r="I1174">
        <v>365.12790000000001</v>
      </c>
      <c r="J1174">
        <v>-259.70659999999998</v>
      </c>
      <c r="K1174">
        <v>1.121448</v>
      </c>
      <c r="L1174">
        <v>367.94819999999999</v>
      </c>
      <c r="M1174">
        <v>0.99988900000000003</v>
      </c>
      <c r="N1174">
        <v>-1.3647090000000001E-2</v>
      </c>
      <c r="O1174">
        <v>6.0061519999999998E-3</v>
      </c>
      <c r="P1174">
        <v>0.99024789999999996</v>
      </c>
      <c r="Q1174">
        <v>0.1329746</v>
      </c>
      <c r="R1174">
        <v>-4.156091E-2</v>
      </c>
      <c r="S1174">
        <v>3.0328979999999999</v>
      </c>
      <c r="T1174">
        <v>-0.1155907</v>
      </c>
      <c r="U1174">
        <v>-0.29058840000000002</v>
      </c>
      <c r="V1174">
        <v>4.7514130000000002E-2</v>
      </c>
      <c r="W1174">
        <v>0.14647079999999901</v>
      </c>
      <c r="X1174">
        <v>0.98807319999999998</v>
      </c>
      <c r="Y1174">
        <v>0.10125199999999999</v>
      </c>
      <c r="Z1174">
        <v>-2.7637780000000002E-3</v>
      </c>
      <c r="AA1174">
        <v>0.99485699999999999</v>
      </c>
      <c r="AB1174">
        <v>31</v>
      </c>
      <c r="AC1174">
        <v>29.2563999999999</v>
      </c>
      <c r="AD1174">
        <v>-1.1214528753519999</v>
      </c>
      <c r="AE1174">
        <v>-2.8202999999999698</v>
      </c>
      <c r="AF1174">
        <v>2.9916286156731098</v>
      </c>
      <c r="AG1174">
        <v>-1.1214528753519999</v>
      </c>
      <c r="AH1174">
        <v>29.196427182737001</v>
      </c>
      <c r="AI1174">
        <v>92.188238911750602</v>
      </c>
      <c r="AJ1174">
        <v>84.149573080219398</v>
      </c>
      <c r="AK1174">
        <v>29.370714301198301</v>
      </c>
      <c r="AL1174">
        <v>81.577540484344695</v>
      </c>
      <c r="AM1174">
        <v>87.246900728201098</v>
      </c>
      <c r="AN1174">
        <v>0.99999996818026704</v>
      </c>
    </row>
    <row r="1175" spans="1:40" x14ac:dyDescent="0.25">
      <c r="A1175" t="str">
        <f>"20190303170245431"</f>
        <v>20190303170245431</v>
      </c>
      <c r="B1175" t="str">
        <f>"1551603765417128"</f>
        <v>1551603765417128</v>
      </c>
      <c r="C1175" t="s">
        <v>40</v>
      </c>
      <c r="D1175">
        <v>4.1894450000000001</v>
      </c>
      <c r="E1175">
        <v>0.5235805</v>
      </c>
      <c r="F1175" t="s">
        <v>42</v>
      </c>
      <c r="G1175">
        <v>-230.0591</v>
      </c>
      <c r="H1175" s="1">
        <v>-5.0484660000000004E-6</v>
      </c>
      <c r="I1175">
        <v>365.09780000000001</v>
      </c>
      <c r="J1175">
        <v>-259.50470000000001</v>
      </c>
      <c r="K1175">
        <v>1.121445</v>
      </c>
      <c r="L1175">
        <v>367.94940000000003</v>
      </c>
      <c r="M1175">
        <v>0.99988940000000004</v>
      </c>
      <c r="N1175">
        <v>-1.3623329999999999E-2</v>
      </c>
      <c r="O1175">
        <v>6.0061369999999999E-3</v>
      </c>
      <c r="P1175">
        <v>0.99019769999999896</v>
      </c>
      <c r="Q1175">
        <v>0.1331166</v>
      </c>
      <c r="R1175">
        <v>-4.2294989999999998E-2</v>
      </c>
      <c r="S1175">
        <v>3.0327449999999998</v>
      </c>
      <c r="T1175">
        <v>-0.114716899999999</v>
      </c>
      <c r="U1175">
        <v>-0.29156490000000002</v>
      </c>
      <c r="V1175">
        <v>4.8247779999999997E-2</v>
      </c>
      <c r="W1175">
        <v>0.14658829999999901</v>
      </c>
      <c r="X1175">
        <v>0.98802020000000002</v>
      </c>
      <c r="Y1175">
        <v>0.10157529999999999</v>
      </c>
      <c r="Z1175">
        <v>-2.7548379999999999E-3</v>
      </c>
      <c r="AA1175">
        <v>0.99482409999999999</v>
      </c>
      <c r="AB1175">
        <v>31</v>
      </c>
      <c r="AC1175">
        <v>29.445599999999999</v>
      </c>
      <c r="AD1175">
        <v>-1.1214500484659999</v>
      </c>
      <c r="AE1175">
        <v>-2.8516000000000101</v>
      </c>
      <c r="AF1175">
        <v>3.0240735593771801</v>
      </c>
      <c r="AG1175">
        <v>-1.1214500484659999</v>
      </c>
      <c r="AH1175">
        <v>29.385712039489</v>
      </c>
      <c r="AI1175">
        <v>92.174053690117802</v>
      </c>
      <c r="AJ1175">
        <v>84.124394370649298</v>
      </c>
      <c r="AK1175">
        <v>29.562184343710101</v>
      </c>
      <c r="AL1175">
        <v>81.570734589540706</v>
      </c>
      <c r="AM1175">
        <v>87.204308230897894</v>
      </c>
      <c r="AN1175">
        <v>0.99999994678992699</v>
      </c>
    </row>
    <row r="1176" spans="1:40" x14ac:dyDescent="0.25">
      <c r="A1176" t="str">
        <f>"20190303170245443"</f>
        <v>20190303170245443</v>
      </c>
      <c r="B1176" t="str">
        <f>"1551603765436647"</f>
        <v>1551603765436647</v>
      </c>
      <c r="C1176" t="s">
        <v>40</v>
      </c>
      <c r="D1176">
        <v>4.1843349999999999</v>
      </c>
      <c r="E1176">
        <v>0.52362679999999995</v>
      </c>
      <c r="F1176" t="s">
        <v>42</v>
      </c>
      <c r="G1176">
        <v>-229.60120000000001</v>
      </c>
      <c r="H1176" s="1">
        <v>-1.3355519999999999E-6</v>
      </c>
      <c r="I1176">
        <v>365.05459999999999</v>
      </c>
      <c r="J1176">
        <v>-259.34050000000002</v>
      </c>
      <c r="K1176">
        <v>1.121443</v>
      </c>
      <c r="L1176">
        <v>367.9504</v>
      </c>
      <c r="M1176">
        <v>0.99988949999999999</v>
      </c>
      <c r="N1176">
        <v>-1.360539E-2</v>
      </c>
      <c r="O1176">
        <v>6.0064389999999997E-3</v>
      </c>
      <c r="P1176">
        <v>0.99010889999999996</v>
      </c>
      <c r="Q1176">
        <v>0.13363800000000001</v>
      </c>
      <c r="R1176">
        <v>-4.2722000000000003E-2</v>
      </c>
      <c r="S1176">
        <v>3.0324399999999998</v>
      </c>
      <c r="T1176">
        <v>-0.1137228</v>
      </c>
      <c r="U1176">
        <v>-0.29354859999999999</v>
      </c>
      <c r="V1176">
        <v>4.8674710000000003E-2</v>
      </c>
      <c r="W1176">
        <v>0.1470911</v>
      </c>
      <c r="X1176">
        <v>0.98792460000000004</v>
      </c>
      <c r="Y1176">
        <v>0.10223069999999999</v>
      </c>
      <c r="Z1176">
        <v>-2.75238E-3</v>
      </c>
      <c r="AA1176">
        <v>0.99475690000000005</v>
      </c>
      <c r="AB1176">
        <v>31</v>
      </c>
      <c r="AC1176">
        <v>29.7393</v>
      </c>
      <c r="AD1176">
        <v>-1.1214443355519901</v>
      </c>
      <c r="AE1176">
        <v>-2.8957999999999999</v>
      </c>
      <c r="AF1176">
        <v>3.0700669869401498</v>
      </c>
      <c r="AG1176">
        <v>-1.1214443355519901</v>
      </c>
      <c r="AH1176">
        <v>29.6795609921558</v>
      </c>
      <c r="AI1176">
        <v>92.152421865258603</v>
      </c>
      <c r="AJ1176">
        <v>84.094302829383807</v>
      </c>
      <c r="AK1176">
        <v>29.858990093255599</v>
      </c>
      <c r="AL1176">
        <v>81.5416111739912</v>
      </c>
      <c r="AM1176">
        <v>87.179337284692906</v>
      </c>
      <c r="AN1176">
        <v>1.00000001718897</v>
      </c>
    </row>
    <row r="1177" spans="1:40" x14ac:dyDescent="0.25">
      <c r="A1177" t="str">
        <f>"20190303170245456"</f>
        <v>20190303170245456</v>
      </c>
      <c r="B1177" t="str">
        <f>"1551603765447383"</f>
        <v>1551603765447383</v>
      </c>
      <c r="C1177" t="s">
        <v>40</v>
      </c>
      <c r="D1177">
        <v>4.2012090000000004</v>
      </c>
      <c r="E1177">
        <v>0.52364650000000001</v>
      </c>
      <c r="F1177" t="s">
        <v>42</v>
      </c>
      <c r="G1177">
        <v>-228.59870000000001</v>
      </c>
      <c r="H1177" s="1">
        <v>-1.7033010000000001E-6</v>
      </c>
      <c r="I1177">
        <v>364.9547</v>
      </c>
      <c r="J1177">
        <v>-259.1728</v>
      </c>
      <c r="K1177">
        <v>1.121445</v>
      </c>
      <c r="L1177">
        <v>367.95139999999998</v>
      </c>
      <c r="M1177">
        <v>0.99988980000000005</v>
      </c>
      <c r="N1177">
        <v>-1.3588070000000001E-2</v>
      </c>
      <c r="O1177">
        <v>6.0063800000000004E-3</v>
      </c>
      <c r="P1177">
        <v>0.99004159999999997</v>
      </c>
      <c r="Q1177">
        <v>0.13400519999999999</v>
      </c>
      <c r="R1177">
        <v>-4.3133940000000003E-2</v>
      </c>
      <c r="S1177">
        <v>3.0321660000000001</v>
      </c>
      <c r="T1177">
        <v>-0.11061169999999999</v>
      </c>
      <c r="U1177">
        <v>-0.29547119999999999</v>
      </c>
      <c r="V1177">
        <v>4.908614E-2</v>
      </c>
      <c r="W1177">
        <v>0.1474396</v>
      </c>
      <c r="X1177">
        <v>0.98785230000000002</v>
      </c>
      <c r="Y1177">
        <v>0.1028683</v>
      </c>
      <c r="Z1177">
        <v>-2.7092589999999999E-3</v>
      </c>
      <c r="AA1177">
        <v>0.99469129999999994</v>
      </c>
      <c r="AB1177">
        <v>31</v>
      </c>
      <c r="AC1177">
        <v>30.574099999999898</v>
      </c>
      <c r="AD1177">
        <v>-1.121446703301</v>
      </c>
      <c r="AE1177">
        <v>-2.9966999999999699</v>
      </c>
      <c r="AF1177">
        <v>3.17607011277742</v>
      </c>
      <c r="AG1177">
        <v>-1.121446703301</v>
      </c>
      <c r="AH1177">
        <v>30.514883479746601</v>
      </c>
      <c r="AI1177">
        <v>92.093420589105193</v>
      </c>
      <c r="AJ1177">
        <v>84.057898788774295</v>
      </c>
      <c r="AK1177">
        <v>30.700214622248801</v>
      </c>
      <c r="AL1177">
        <v>81.521423561873107</v>
      </c>
      <c r="AM1177">
        <v>87.155326376748903</v>
      </c>
      <c r="AN1177">
        <v>1.00000002570177</v>
      </c>
    </row>
    <row r="1178" spans="1:40" x14ac:dyDescent="0.25">
      <c r="A1178" t="str">
        <f>"20190303170245469"</f>
        <v>20190303170245469</v>
      </c>
      <c r="B1178" t="str">
        <f>"1551603765457142"</f>
        <v>1551603765457142</v>
      </c>
      <c r="C1178" t="s">
        <v>40</v>
      </c>
      <c r="D1178">
        <v>4.1651309999999997</v>
      </c>
      <c r="E1178">
        <v>0.52361880000000005</v>
      </c>
      <c r="F1178" t="s">
        <v>42</v>
      </c>
      <c r="G1178">
        <v>-227.94370000000001</v>
      </c>
      <c r="H1178" s="1">
        <v>-1.9426260000000001E-6</v>
      </c>
      <c r="I1178">
        <v>364.8929</v>
      </c>
      <c r="J1178">
        <v>-258.98169999999999</v>
      </c>
      <c r="K1178">
        <v>1.1214519999999999</v>
      </c>
      <c r="L1178">
        <v>367.95249999999999</v>
      </c>
      <c r="M1178">
        <v>0.9998899</v>
      </c>
      <c r="N1178">
        <v>-1.3579870000000001E-2</v>
      </c>
      <c r="O1178">
        <v>6.0064360000000004E-3</v>
      </c>
      <c r="P1178">
        <v>0.98996779999999995</v>
      </c>
      <c r="Q1178">
        <v>0.1344486</v>
      </c>
      <c r="R1178">
        <v>-4.3450599999999999E-2</v>
      </c>
      <c r="S1178">
        <v>3.0320130000000001</v>
      </c>
      <c r="T1178">
        <v>-0.1088803</v>
      </c>
      <c r="U1178">
        <v>-0.29693599999999998</v>
      </c>
      <c r="V1178">
        <v>4.9402330000000001E-2</v>
      </c>
      <c r="W1178">
        <v>0.14787439999999999</v>
      </c>
      <c r="X1178">
        <v>0.98777150000000002</v>
      </c>
      <c r="Y1178">
        <v>0.10335129999999999</v>
      </c>
      <c r="Z1178">
        <v>-2.6881990000000001E-3</v>
      </c>
      <c r="AA1178">
        <v>0.99464129999999995</v>
      </c>
      <c r="AB1178">
        <v>31</v>
      </c>
      <c r="AC1178">
        <v>31.037999999999901</v>
      </c>
      <c r="AD1178">
        <v>-1.121453942626</v>
      </c>
      <c r="AE1178">
        <v>-3.0595999999999801</v>
      </c>
      <c r="AF1178">
        <v>3.2417982983522302</v>
      </c>
      <c r="AG1178">
        <v>-1.121453942626</v>
      </c>
      <c r="AH1178">
        <v>30.979007276996501</v>
      </c>
      <c r="AI1178">
        <v>92.061978181896393</v>
      </c>
      <c r="AJ1178">
        <v>84.026025840664104</v>
      </c>
      <c r="AK1178">
        <v>31.168346234935701</v>
      </c>
      <c r="AL1178">
        <v>81.496234887232902</v>
      </c>
      <c r="AM1178">
        <v>87.136798904037803</v>
      </c>
      <c r="AN1178">
        <v>0.99999998229851905</v>
      </c>
    </row>
    <row r="1179" spans="1:40" x14ac:dyDescent="0.25">
      <c r="A1179" t="str">
        <f>"20190303170245483"</f>
        <v>20190303170245483</v>
      </c>
      <c r="B1179" t="str">
        <f>"1551603765476663"</f>
        <v>1551603765476663</v>
      </c>
      <c r="C1179" t="s">
        <v>40</v>
      </c>
      <c r="D1179">
        <v>4.2376259999999997</v>
      </c>
      <c r="E1179">
        <v>0.52366599999999996</v>
      </c>
      <c r="F1179" t="s">
        <v>42</v>
      </c>
      <c r="G1179">
        <v>-227.1343</v>
      </c>
      <c r="H1179" s="1">
        <v>-2.2346830000000001E-6</v>
      </c>
      <c r="I1179">
        <v>364.83049999999997</v>
      </c>
      <c r="J1179">
        <v>-258.79860000000002</v>
      </c>
      <c r="K1179">
        <v>1.121456</v>
      </c>
      <c r="L1179">
        <v>367.95359999999999</v>
      </c>
      <c r="M1179">
        <v>0.99988999999999995</v>
      </c>
      <c r="N1179">
        <v>-1.3578689999999999E-2</v>
      </c>
      <c r="O1179">
        <v>6.0066240000000003E-3</v>
      </c>
      <c r="P1179">
        <v>0.98991280000000004</v>
      </c>
      <c r="Q1179">
        <v>0.13474369999999999</v>
      </c>
      <c r="R1179">
        <v>-4.3787680000000002E-2</v>
      </c>
      <c r="S1179">
        <v>3.0318909999999999</v>
      </c>
      <c r="T1179">
        <v>-0.10676289999999999</v>
      </c>
      <c r="U1179">
        <v>-0.29721069999999999</v>
      </c>
      <c r="V1179">
        <v>4.973926E-2</v>
      </c>
      <c r="W1179">
        <v>0.148167299999999</v>
      </c>
      <c r="X1179">
        <v>0.98771070000000005</v>
      </c>
      <c r="Y1179">
        <v>0.1034477</v>
      </c>
      <c r="Z1179">
        <v>-2.6504139999999998E-3</v>
      </c>
      <c r="AA1179">
        <v>0.99463140000000005</v>
      </c>
      <c r="AB1179">
        <v>31</v>
      </c>
      <c r="AC1179">
        <v>31.664300000000001</v>
      </c>
      <c r="AD1179">
        <v>-1.121458234683</v>
      </c>
      <c r="AE1179">
        <v>-3.12310000000002</v>
      </c>
      <c r="AF1179">
        <v>3.3091457763301402</v>
      </c>
      <c r="AG1179">
        <v>-1.121458234683</v>
      </c>
      <c r="AH1179">
        <v>31.605704304619302</v>
      </c>
      <c r="AI1179">
        <v>92.021122323380595</v>
      </c>
      <c r="AJ1179">
        <v>84.0228577053512</v>
      </c>
      <c r="AK1179">
        <v>31.798249306088699</v>
      </c>
      <c r="AL1179">
        <v>81.479266049943703</v>
      </c>
      <c r="AM1179">
        <v>87.117127195036602</v>
      </c>
      <c r="AN1179">
        <v>0.99999998483456298</v>
      </c>
    </row>
    <row r="1180" spans="1:40" x14ac:dyDescent="0.25">
      <c r="A1180" t="str">
        <f>"20190303170245496"</f>
        <v>20190303170245496</v>
      </c>
      <c r="B1180" t="str">
        <f>"1551603765487399"</f>
        <v>1551603765487399</v>
      </c>
      <c r="C1180" t="s">
        <v>40</v>
      </c>
      <c r="D1180">
        <v>4.1763769999999996</v>
      </c>
      <c r="E1180">
        <v>0.5236693</v>
      </c>
      <c r="F1180" t="s">
        <v>42</v>
      </c>
      <c r="G1180">
        <v>-226.2002</v>
      </c>
      <c r="H1180" s="1">
        <v>-2.5769330000000001E-6</v>
      </c>
      <c r="I1180">
        <v>364.7389</v>
      </c>
      <c r="J1180">
        <v>-258.6071</v>
      </c>
      <c r="K1180">
        <v>1.121462</v>
      </c>
      <c r="L1180">
        <v>367.9547</v>
      </c>
      <c r="M1180">
        <v>0.99988969999999999</v>
      </c>
      <c r="N1180">
        <v>-1.3583659999999999E-2</v>
      </c>
      <c r="O1180">
        <v>6.0068880000000002E-3</v>
      </c>
      <c r="P1180">
        <v>0.98991200000000001</v>
      </c>
      <c r="Q1180">
        <v>0.1347681</v>
      </c>
      <c r="R1180">
        <v>-4.372624E-2</v>
      </c>
      <c r="S1180">
        <v>3.0315089999999998</v>
      </c>
      <c r="T1180">
        <v>-0.1042906</v>
      </c>
      <c r="U1180">
        <v>-0.2989502</v>
      </c>
      <c r="V1180">
        <v>4.9678140000000003E-2</v>
      </c>
      <c r="W1180">
        <v>0.14819649999999901</v>
      </c>
      <c r="X1180">
        <v>0.98770939999999996</v>
      </c>
      <c r="Y1180">
        <v>0.10402839999999999</v>
      </c>
      <c r="Z1180">
        <v>-2.617847E-3</v>
      </c>
      <c r="AA1180">
        <v>0.99457090000000004</v>
      </c>
      <c r="AB1180">
        <v>31</v>
      </c>
      <c r="AC1180">
        <v>32.4069</v>
      </c>
      <c r="AD1180">
        <v>-1.1214645769330001</v>
      </c>
      <c r="AE1180">
        <v>-3.2158000000000002</v>
      </c>
      <c r="AF1180">
        <v>3.4063849886962698</v>
      </c>
      <c r="AG1180">
        <v>-1.1214645769330001</v>
      </c>
      <c r="AH1180">
        <v>32.348634905984703</v>
      </c>
      <c r="AI1180">
        <v>91.974629593316095</v>
      </c>
      <c r="AJ1180">
        <v>83.988777122921604</v>
      </c>
      <c r="AK1180">
        <v>32.546817383105598</v>
      </c>
      <c r="AL1180">
        <v>81.477574377141707</v>
      </c>
      <c r="AM1180">
        <v>87.120659943907796</v>
      </c>
      <c r="AN1180">
        <v>0.99999998952723401</v>
      </c>
    </row>
    <row r="1181" spans="1:40" x14ac:dyDescent="0.25">
      <c r="A1181" t="str">
        <f>"20190303170245509"</f>
        <v>20190303170245509</v>
      </c>
      <c r="B1181" t="str">
        <f>"1551603765497158"</f>
        <v>1551603765497158</v>
      </c>
      <c r="C1181" t="s">
        <v>40</v>
      </c>
      <c r="D1181">
        <v>4.1914730000000002</v>
      </c>
      <c r="E1181">
        <v>0.52370300000000003</v>
      </c>
      <c r="F1181" t="s">
        <v>42</v>
      </c>
      <c r="G1181">
        <v>-225.78100000000001</v>
      </c>
      <c r="H1181" s="1">
        <v>-2.7241520000000001E-6</v>
      </c>
      <c r="I1181">
        <v>364.72179999999997</v>
      </c>
      <c r="J1181">
        <v>-258.42599999999999</v>
      </c>
      <c r="K1181">
        <v>1.1214649999999999</v>
      </c>
      <c r="L1181">
        <v>367.95580000000001</v>
      </c>
      <c r="M1181">
        <v>0.99988960000000005</v>
      </c>
      <c r="N1181">
        <v>-1.359579E-2</v>
      </c>
      <c r="O1181">
        <v>6.0069839999999999E-3</v>
      </c>
      <c r="P1181">
        <v>0.99001430000000001</v>
      </c>
      <c r="Q1181">
        <v>0.1340269</v>
      </c>
      <c r="R1181">
        <v>-4.368495E-2</v>
      </c>
      <c r="S1181">
        <v>3.031479</v>
      </c>
      <c r="T1181">
        <v>-0.1035664</v>
      </c>
      <c r="U1181">
        <v>-0.29855350000000003</v>
      </c>
      <c r="V1181">
        <v>4.9637559999999997E-2</v>
      </c>
      <c r="W1181">
        <v>0.14746879999999901</v>
      </c>
      <c r="X1181">
        <v>0.98782029999999998</v>
      </c>
      <c r="Y1181">
        <v>0.1039017</v>
      </c>
      <c r="Z1181">
        <v>-2.6015959999999999E-3</v>
      </c>
      <c r="AA1181">
        <v>0.99458409999999997</v>
      </c>
      <c r="AB1181">
        <v>31</v>
      </c>
      <c r="AC1181">
        <v>32.645000000000003</v>
      </c>
      <c r="AD1181">
        <v>-1.1214677241519999</v>
      </c>
      <c r="AE1181">
        <v>-3.2340000000000302</v>
      </c>
      <c r="AF1181">
        <v>3.4260537562550399</v>
      </c>
      <c r="AG1181">
        <v>-1.1214677241519999</v>
      </c>
      <c r="AH1181">
        <v>32.586898588680803</v>
      </c>
      <c r="AI1181">
        <v>91.960242522057698</v>
      </c>
      <c r="AJ1181">
        <v>83.998204103845495</v>
      </c>
      <c r="AK1181">
        <v>32.7856903820254</v>
      </c>
      <c r="AL1181">
        <v>81.519731300308706</v>
      </c>
      <c r="AM1181">
        <v>87.123330453378799</v>
      </c>
      <c r="AN1181">
        <v>0.99999993971414003</v>
      </c>
    </row>
    <row r="1182" spans="1:40" x14ac:dyDescent="0.25">
      <c r="A1182" t="str">
        <f>"20190303170245523"</f>
        <v>20190303170245523</v>
      </c>
      <c r="B1182" t="str">
        <f>"1551603765517229"</f>
        <v>1551603765517229</v>
      </c>
      <c r="C1182" t="s">
        <v>40</v>
      </c>
      <c r="D1182">
        <v>4.1707320000000001</v>
      </c>
      <c r="E1182">
        <v>0.52375939999999999</v>
      </c>
      <c r="F1182" t="s">
        <v>42</v>
      </c>
      <c r="G1182">
        <v>-226.16990000000001</v>
      </c>
      <c r="H1182" s="1">
        <v>-2.578155E-6</v>
      </c>
      <c r="I1182">
        <v>364.77300000000002</v>
      </c>
      <c r="J1182">
        <v>-258.24700000000001</v>
      </c>
      <c r="K1182">
        <v>1.12147</v>
      </c>
      <c r="L1182">
        <v>367.95690000000002</v>
      </c>
      <c r="M1182">
        <v>0.99988940000000004</v>
      </c>
      <c r="N1182">
        <v>-1.3611460000000001E-2</v>
      </c>
      <c r="O1182">
        <v>6.0070549999999999E-3</v>
      </c>
      <c r="P1182">
        <v>0.99004099999999995</v>
      </c>
      <c r="Q1182">
        <v>0.13379530000000001</v>
      </c>
      <c r="R1182">
        <v>-4.3799339999999999E-2</v>
      </c>
      <c r="S1182">
        <v>3.031326</v>
      </c>
      <c r="T1182">
        <v>-0.1053917</v>
      </c>
      <c r="U1182">
        <v>-0.2991028</v>
      </c>
      <c r="V1182">
        <v>4.975193E-2</v>
      </c>
      <c r="W1182">
        <v>0.1472533</v>
      </c>
      <c r="X1182">
        <v>0.98784669999999997</v>
      </c>
      <c r="Y1182">
        <v>0.1040823</v>
      </c>
      <c r="Z1182">
        <v>-2.6415660000000001E-3</v>
      </c>
      <c r="AA1182">
        <v>0.99456520000000004</v>
      </c>
      <c r="AB1182">
        <v>31</v>
      </c>
      <c r="AC1182">
        <v>32.077100000000002</v>
      </c>
      <c r="AD1182">
        <v>-1.1214725781549999</v>
      </c>
      <c r="AE1182">
        <v>-3.1838999999999902</v>
      </c>
      <c r="AF1182">
        <v>3.3724672454168299</v>
      </c>
      <c r="AG1182">
        <v>-1.1214725781549999</v>
      </c>
      <c r="AH1182">
        <v>32.018638110007899</v>
      </c>
      <c r="AI1182">
        <v>91.994973377836004</v>
      </c>
      <c r="AJ1182">
        <v>83.987305213029501</v>
      </c>
      <c r="AK1182">
        <v>32.215282436828197</v>
      </c>
      <c r="AL1182">
        <v>81.532214879060206</v>
      </c>
      <c r="AM1182">
        <v>87.116790410148297</v>
      </c>
      <c r="AN1182">
        <v>0.99999994580025098</v>
      </c>
    </row>
    <row r="1183" spans="1:40" x14ac:dyDescent="0.25">
      <c r="A1183" t="str">
        <f>"20190303170245533"</f>
        <v>20190303170245533</v>
      </c>
      <c r="B1183" t="str">
        <f>"1551603765526988"</f>
        <v>1551603765526988</v>
      </c>
      <c r="C1183" t="s">
        <v>40</v>
      </c>
      <c r="D1183">
        <v>4.1965130000000004</v>
      </c>
      <c r="E1183">
        <v>0.52377799999999997</v>
      </c>
      <c r="F1183" t="s">
        <v>42</v>
      </c>
      <c r="G1183">
        <v>-225.89930000000001</v>
      </c>
      <c r="H1183" s="1">
        <v>-2.6744120000000001E-6</v>
      </c>
      <c r="I1183">
        <v>364.75740000000002</v>
      </c>
      <c r="J1183">
        <v>-258.08499999999998</v>
      </c>
      <c r="K1183">
        <v>1.12147</v>
      </c>
      <c r="L1183">
        <v>367.9579</v>
      </c>
      <c r="M1183">
        <v>0.99988920000000003</v>
      </c>
      <c r="N1183">
        <v>-1.3628049999999999E-2</v>
      </c>
      <c r="O1183">
        <v>6.0071200000000003E-3</v>
      </c>
      <c r="P1183">
        <v>0.99010679999999995</v>
      </c>
      <c r="Q1183">
        <v>0.13328319999999999</v>
      </c>
      <c r="R1183">
        <v>-4.3872590000000003E-2</v>
      </c>
      <c r="S1183">
        <v>3.0311129999999999</v>
      </c>
      <c r="T1183">
        <v>-0.1050864</v>
      </c>
      <c r="U1183">
        <v>-0.29980469999999998</v>
      </c>
      <c r="V1183">
        <v>4.9825769999999998E-2</v>
      </c>
      <c r="W1183">
        <v>0.14675859999999999</v>
      </c>
      <c r="X1183">
        <v>0.98791660000000003</v>
      </c>
      <c r="Y1183">
        <v>0.10431749999999999</v>
      </c>
      <c r="Z1183">
        <v>-2.6423060000000001E-3</v>
      </c>
      <c r="AA1183">
        <v>0.99454050000000005</v>
      </c>
      <c r="AB1183">
        <v>31</v>
      </c>
      <c r="AC1183">
        <v>32.185699999999898</v>
      </c>
      <c r="AD1183">
        <v>-1.121472674412</v>
      </c>
      <c r="AE1183">
        <v>-3.2004999999999701</v>
      </c>
      <c r="AF1183">
        <v>3.3897283946518701</v>
      </c>
      <c r="AG1183">
        <v>-1.121472674412</v>
      </c>
      <c r="AH1183">
        <v>32.1272680601964</v>
      </c>
      <c r="AI1183">
        <v>91.988195973467</v>
      </c>
      <c r="AJ1183">
        <v>83.977041056081205</v>
      </c>
      <c r="AK1183">
        <v>32.3250570387846</v>
      </c>
      <c r="AL1183">
        <v>81.560870474884894</v>
      </c>
      <c r="AM1183">
        <v>87.112722449886604</v>
      </c>
      <c r="AN1183">
        <v>0.99999995129280494</v>
      </c>
    </row>
    <row r="1184" spans="1:40" x14ac:dyDescent="0.25">
      <c r="A1184" t="str">
        <f>"20190303170245545"</f>
        <v>20190303170245545</v>
      </c>
      <c r="B1184" t="str">
        <f>"1551603765536748"</f>
        <v>1551603765536748</v>
      </c>
      <c r="C1184" t="s">
        <v>40</v>
      </c>
      <c r="D1184">
        <v>4.240278</v>
      </c>
      <c r="E1184">
        <v>0.5238448</v>
      </c>
      <c r="F1184" t="s">
        <v>42</v>
      </c>
      <c r="G1184">
        <v>-225.99969999999999</v>
      </c>
      <c r="H1184" s="1">
        <v>-2.633382E-6</v>
      </c>
      <c r="I1184">
        <v>364.78309999999999</v>
      </c>
      <c r="J1184">
        <v>-257.93700000000001</v>
      </c>
      <c r="K1184">
        <v>1.1214729999999999</v>
      </c>
      <c r="L1184">
        <v>367.95870000000002</v>
      </c>
      <c r="M1184">
        <v>0.99988900000000003</v>
      </c>
      <c r="N1184">
        <v>-1.364782E-2</v>
      </c>
      <c r="O1184">
        <v>6.0071630000000003E-3</v>
      </c>
      <c r="P1184">
        <v>0.9900873</v>
      </c>
      <c r="Q1184">
        <v>0.133461</v>
      </c>
      <c r="R1184">
        <v>-4.3766920000000001E-2</v>
      </c>
      <c r="S1184">
        <v>3.030945</v>
      </c>
      <c r="T1184">
        <v>-0.1059401</v>
      </c>
      <c r="U1184">
        <v>-0.2998962</v>
      </c>
      <c r="V1184">
        <v>4.9720140000000003E-2</v>
      </c>
      <c r="W1184">
        <v>0.14695569999999999</v>
      </c>
      <c r="X1184">
        <v>0.98789269999999996</v>
      </c>
      <c r="Y1184">
        <v>0.104351399999999</v>
      </c>
      <c r="Z1184">
        <v>-2.660487E-3</v>
      </c>
      <c r="AA1184">
        <v>0.99453689999999995</v>
      </c>
      <c r="AB1184">
        <v>31</v>
      </c>
      <c r="AC1184">
        <v>31.9373</v>
      </c>
      <c r="AD1184">
        <v>-1.121475633382</v>
      </c>
      <c r="AE1184">
        <v>-3.17560000000003</v>
      </c>
      <c r="AF1184">
        <v>3.3633065443004799</v>
      </c>
      <c r="AG1184">
        <v>-1.121475633382</v>
      </c>
      <c r="AH1184">
        <v>31.878722056995201</v>
      </c>
      <c r="AI1184">
        <v>92.003691157510104</v>
      </c>
      <c r="AJ1184">
        <v>83.977392851172397</v>
      </c>
      <c r="AK1184">
        <v>32.075262407256403</v>
      </c>
      <c r="AL1184">
        <v>81.549454348457004</v>
      </c>
      <c r="AM1184">
        <v>87.118763530943397</v>
      </c>
      <c r="AN1184">
        <v>1.0000000283986901</v>
      </c>
    </row>
    <row r="1185" spans="1:40" x14ac:dyDescent="0.25">
      <c r="A1185" t="str">
        <f>"20190303170245558"</f>
        <v>20190303170245558</v>
      </c>
      <c r="B1185" t="str">
        <f>"1551603765546509"</f>
        <v>1551603765546509</v>
      </c>
      <c r="C1185" t="s">
        <v>40</v>
      </c>
      <c r="D1185">
        <v>4.2129969999999997</v>
      </c>
      <c r="E1185">
        <v>0.52387819999999996</v>
      </c>
      <c r="F1185" t="s">
        <v>42</v>
      </c>
      <c r="G1185">
        <v>-225.52690000000001</v>
      </c>
      <c r="H1185" s="1">
        <v>-2.8031330000000002E-6</v>
      </c>
      <c r="I1185">
        <v>364.74990000000003</v>
      </c>
      <c r="J1185">
        <v>-257.76560000000001</v>
      </c>
      <c r="K1185">
        <v>1.12148</v>
      </c>
      <c r="L1185">
        <v>367.95979999999997</v>
      </c>
      <c r="M1185">
        <v>0.99988860000000002</v>
      </c>
      <c r="N1185">
        <v>-1.3671549999999999E-2</v>
      </c>
      <c r="O1185">
        <v>6.0072980000000003E-3</v>
      </c>
      <c r="P1185">
        <v>0.99011709999999997</v>
      </c>
      <c r="Q1185">
        <v>0.1332989</v>
      </c>
      <c r="R1185">
        <v>-4.358749E-2</v>
      </c>
      <c r="S1185">
        <v>3.0309140000000001</v>
      </c>
      <c r="T1185">
        <v>-0.1048776</v>
      </c>
      <c r="U1185">
        <v>-0.30007929999999999</v>
      </c>
      <c r="V1185">
        <v>4.9540899999999999E-2</v>
      </c>
      <c r="W1185">
        <v>0.14681710000000001</v>
      </c>
      <c r="X1185">
        <v>0.98792230000000003</v>
      </c>
      <c r="Y1185">
        <v>0.10441350000000001</v>
      </c>
      <c r="Z1185">
        <v>-2.6427690000000001E-3</v>
      </c>
      <c r="AA1185">
        <v>0.99453040000000004</v>
      </c>
      <c r="AB1185">
        <v>31</v>
      </c>
      <c r="AC1185">
        <v>32.238699999999902</v>
      </c>
      <c r="AD1185">
        <v>-1.121482803133</v>
      </c>
      <c r="AE1185">
        <v>-3.2098999999999398</v>
      </c>
      <c r="AF1185">
        <v>3.3994542465979798</v>
      </c>
      <c r="AG1185">
        <v>-1.121482803133</v>
      </c>
      <c r="AH1185">
        <v>32.1802736648498</v>
      </c>
      <c r="AI1185">
        <v>91.984915061633501</v>
      </c>
      <c r="AJ1185">
        <v>83.969763054158506</v>
      </c>
      <c r="AK1185">
        <v>32.3787588705475</v>
      </c>
      <c r="AL1185">
        <v>81.557482519539505</v>
      </c>
      <c r="AM1185">
        <v>87.129218789574793</v>
      </c>
      <c r="AN1185">
        <v>1.0000000162312499</v>
      </c>
    </row>
    <row r="1186" spans="1:40" x14ac:dyDescent="0.25">
      <c r="A1186" t="str">
        <f>"20190303170245569"</f>
        <v>20190303170245569</v>
      </c>
      <c r="B1186" t="str">
        <f>"1551603765557245"</f>
        <v>1551603765557245</v>
      </c>
      <c r="C1186" t="s">
        <v>40</v>
      </c>
      <c r="D1186">
        <v>4.2743840000000004</v>
      </c>
      <c r="E1186">
        <v>0.52395700000000001</v>
      </c>
      <c r="F1186" t="s">
        <v>42</v>
      </c>
      <c r="G1186">
        <v>-225.3142</v>
      </c>
      <c r="H1186" s="1">
        <v>-2.8760979999999998E-6</v>
      </c>
      <c r="I1186">
        <v>364.74770000000001</v>
      </c>
      <c r="J1186">
        <v>-257.58789999999999</v>
      </c>
      <c r="K1186">
        <v>1.1214900000000001</v>
      </c>
      <c r="L1186">
        <v>367.96080000000001</v>
      </c>
      <c r="M1186">
        <v>0.9998882</v>
      </c>
      <c r="N1186">
        <v>-1.3698210000000001E-2</v>
      </c>
      <c r="O1186">
        <v>6.0072930000000004E-3</v>
      </c>
      <c r="P1186">
        <v>0.99009000000000003</v>
      </c>
      <c r="Q1186">
        <v>0.13357649999999999</v>
      </c>
      <c r="R1186">
        <v>-4.3351769999999998E-2</v>
      </c>
      <c r="S1186">
        <v>3.0308380000000001</v>
      </c>
      <c r="T1186">
        <v>-0.1047418</v>
      </c>
      <c r="U1186">
        <v>-0.29998780000000003</v>
      </c>
      <c r="V1186">
        <v>4.9305139999999997E-2</v>
      </c>
      <c r="W1186">
        <v>0.14712030000000001</v>
      </c>
      <c r="X1186">
        <v>0.98788900000000002</v>
      </c>
      <c r="Y1186">
        <v>0.1043864</v>
      </c>
      <c r="Z1186">
        <v>-2.6408030000000002E-3</v>
      </c>
      <c r="AA1186">
        <v>0.99453329999999995</v>
      </c>
      <c r="AB1186">
        <v>31</v>
      </c>
      <c r="AC1186">
        <v>32.273699999999899</v>
      </c>
      <c r="AD1186">
        <v>-1.1214928760980001</v>
      </c>
      <c r="AE1186">
        <v>-3.2130999999999901</v>
      </c>
      <c r="AF1186">
        <v>3.40286904724115</v>
      </c>
      <c r="AG1186">
        <v>-1.1214928760980001</v>
      </c>
      <c r="AH1186">
        <v>32.215294774061299</v>
      </c>
      <c r="AI1186">
        <v>91.982778616208606</v>
      </c>
      <c r="AJ1186">
        <v>83.970263906942407</v>
      </c>
      <c r="AK1186">
        <v>32.413924190129698</v>
      </c>
      <c r="AL1186">
        <v>81.539919827106601</v>
      </c>
      <c r="AM1186">
        <v>87.142761698772205</v>
      </c>
      <c r="AN1186">
        <v>1.00000002791175</v>
      </c>
    </row>
    <row r="1187" spans="1:40" x14ac:dyDescent="0.25">
      <c r="A1187" t="str">
        <f>"20190303170245581"</f>
        <v>20190303170245581</v>
      </c>
      <c r="B1187" t="str">
        <f>"1551603765567004"</f>
        <v>1551603765567004</v>
      </c>
      <c r="C1187" t="s">
        <v>40</v>
      </c>
      <c r="D1187">
        <v>4.1590730000000002</v>
      </c>
      <c r="E1187">
        <v>0.52399019999999996</v>
      </c>
      <c r="F1187" t="s">
        <v>42</v>
      </c>
      <c r="G1187">
        <v>-224.6919</v>
      </c>
      <c r="H1187" s="1">
        <v>-3.130194E-6</v>
      </c>
      <c r="I1187">
        <v>364.70769999999999</v>
      </c>
      <c r="J1187">
        <v>-257.43299999999999</v>
      </c>
      <c r="K1187">
        <v>1.121497</v>
      </c>
      <c r="L1187">
        <v>367.96179999999998</v>
      </c>
      <c r="M1187">
        <v>0.99988790000000005</v>
      </c>
      <c r="N1187">
        <v>-1.3721240000000001E-2</v>
      </c>
      <c r="O1187">
        <v>6.0073130000000002E-3</v>
      </c>
      <c r="P1187">
        <v>0.99009760000000002</v>
      </c>
      <c r="Q1187">
        <v>0.13357160000000001</v>
      </c>
      <c r="R1187">
        <v>-4.3188270000000001E-2</v>
      </c>
      <c r="S1187">
        <v>3.0308069999999998</v>
      </c>
      <c r="T1187">
        <v>-0.10332620000000001</v>
      </c>
      <c r="U1187">
        <v>-0.29971310000000001</v>
      </c>
      <c r="V1187">
        <v>4.9141909999999997E-2</v>
      </c>
      <c r="W1187">
        <v>0.14713870000000001</v>
      </c>
      <c r="X1187">
        <v>0.98789439999999995</v>
      </c>
      <c r="Y1187">
        <v>0.1043002</v>
      </c>
      <c r="Z1187">
        <v>-2.6127379999999999E-3</v>
      </c>
      <c r="AA1187">
        <v>0.99454240000000005</v>
      </c>
      <c r="AB1187">
        <v>31</v>
      </c>
      <c r="AC1187">
        <v>32.741099999999904</v>
      </c>
      <c r="AD1187">
        <v>-1.121500130194</v>
      </c>
      <c r="AE1187">
        <v>-3.25409999999999</v>
      </c>
      <c r="AF1187">
        <v>3.4467412756813398</v>
      </c>
      <c r="AG1187">
        <v>-1.121500130194</v>
      </c>
      <c r="AH1187">
        <v>32.682986746281401</v>
      </c>
      <c r="AI1187">
        <v>91.954474434791607</v>
      </c>
      <c r="AJ1187">
        <v>83.979850927395006</v>
      </c>
      <c r="AK1187">
        <v>32.883360695359499</v>
      </c>
      <c r="AL1187">
        <v>81.538854045513204</v>
      </c>
      <c r="AM1187">
        <v>87.152220839249694</v>
      </c>
      <c r="AN1187">
        <v>1.0000000349537399</v>
      </c>
    </row>
    <row r="1188" spans="1:40" x14ac:dyDescent="0.25">
      <c r="A1188" t="str">
        <f>"20190303170245593"</f>
        <v>20190303170245593</v>
      </c>
      <c r="B1188" t="str">
        <f>"1551603765586524"</f>
        <v>1551603765586524</v>
      </c>
      <c r="C1188" t="s">
        <v>40</v>
      </c>
      <c r="D1188">
        <v>4.1701259999999998</v>
      </c>
      <c r="E1188">
        <v>0.52407289999999995</v>
      </c>
      <c r="F1188" t="s">
        <v>42</v>
      </c>
      <c r="G1188">
        <v>-224.4907</v>
      </c>
      <c r="H1188" s="1">
        <v>-3.2172509999999998E-6</v>
      </c>
      <c r="I1188">
        <v>364.70350000000002</v>
      </c>
      <c r="J1188">
        <v>-257.27460000000002</v>
      </c>
      <c r="K1188">
        <v>1.1215010000000001</v>
      </c>
      <c r="L1188">
        <v>367.96269999999998</v>
      </c>
      <c r="M1188">
        <v>0.99988759999999999</v>
      </c>
      <c r="N1188">
        <v>-1.374469E-2</v>
      </c>
      <c r="O1188">
        <v>6.0073289999999996E-3</v>
      </c>
      <c r="P1188">
        <v>0.99009659999999999</v>
      </c>
      <c r="Q1188">
        <v>0.1337168</v>
      </c>
      <c r="R1188">
        <v>-4.2766609999999997E-2</v>
      </c>
      <c r="S1188">
        <v>3.0308839999999999</v>
      </c>
      <c r="T1188">
        <v>-0.1031842</v>
      </c>
      <c r="U1188">
        <v>-0.29977419999999999</v>
      </c>
      <c r="V1188">
        <v>4.8719890000000002E-2</v>
      </c>
      <c r="W1188">
        <v>0.1473071</v>
      </c>
      <c r="X1188">
        <v>0.98789020000000005</v>
      </c>
      <c r="Y1188">
        <v>0.1043178</v>
      </c>
      <c r="Z1188">
        <v>-2.6114770000000001E-3</v>
      </c>
      <c r="AA1188">
        <v>0.9945406</v>
      </c>
      <c r="AB1188">
        <v>31</v>
      </c>
      <c r="AC1188">
        <v>32.783900000000003</v>
      </c>
      <c r="AD1188">
        <v>-1.1215042172509999</v>
      </c>
      <c r="AE1188">
        <v>-3.2591999999999599</v>
      </c>
      <c r="AF1188">
        <v>3.4521031311497499</v>
      </c>
      <c r="AG1188">
        <v>-1.1215042172509999</v>
      </c>
      <c r="AH1188">
        <v>32.7258046529656</v>
      </c>
      <c r="AI1188">
        <v>91.951921058438003</v>
      </c>
      <c r="AJ1188">
        <v>83.978385563049997</v>
      </c>
      <c r="AK1188">
        <v>32.926479889618797</v>
      </c>
      <c r="AL1188">
        <v>81.529099084124397</v>
      </c>
      <c r="AM1188">
        <v>87.176625219625095</v>
      </c>
      <c r="AN1188">
        <v>1.00000002832403</v>
      </c>
    </row>
    <row r="1189" spans="1:40" x14ac:dyDescent="0.25">
      <c r="A1189" t="str">
        <f>"20190303170245604"</f>
        <v>20190303170245604</v>
      </c>
      <c r="B1189" t="str">
        <f>"1551603765597261"</f>
        <v>1551603765597261</v>
      </c>
      <c r="C1189" t="s">
        <v>40</v>
      </c>
      <c r="D1189">
        <v>4.2014680000000002</v>
      </c>
      <c r="E1189">
        <v>0.52412609999999904</v>
      </c>
      <c r="F1189" t="s">
        <v>42</v>
      </c>
      <c r="G1189">
        <v>-224.07929999999999</v>
      </c>
      <c r="H1189" s="1">
        <v>-3.3970490000000001E-6</v>
      </c>
      <c r="I1189">
        <v>364.6848</v>
      </c>
      <c r="J1189">
        <v>-257.12889999999999</v>
      </c>
      <c r="K1189">
        <v>1.1214999999999999</v>
      </c>
      <c r="L1189">
        <v>367.96359999999999</v>
      </c>
      <c r="M1189">
        <v>0.99988719999999998</v>
      </c>
      <c r="N1189">
        <v>-1.3767639999999999E-2</v>
      </c>
      <c r="O1189">
        <v>6.0072889999999999E-3</v>
      </c>
      <c r="P1189">
        <v>0.99013580000000001</v>
      </c>
      <c r="Q1189">
        <v>0.1334526</v>
      </c>
      <c r="R1189">
        <v>-4.2679889999999998E-2</v>
      </c>
      <c r="S1189">
        <v>3.0309140000000001</v>
      </c>
      <c r="T1189">
        <v>-0.1023993</v>
      </c>
      <c r="U1189">
        <v>-0.29928589999999999</v>
      </c>
      <c r="V1189">
        <v>4.8633589999999997E-2</v>
      </c>
      <c r="W1189">
        <v>0.14706610000000001</v>
      </c>
      <c r="X1189">
        <v>0.98793039999999999</v>
      </c>
      <c r="Y1189">
        <v>0.1041593</v>
      </c>
      <c r="Z1189">
        <v>-2.5937479999999999E-3</v>
      </c>
      <c r="AA1189">
        <v>0.99455729999999998</v>
      </c>
      <c r="AB1189">
        <v>31</v>
      </c>
      <c r="AC1189">
        <v>33.049599999999998</v>
      </c>
      <c r="AD1189">
        <v>-1.121503397049</v>
      </c>
      <c r="AE1189">
        <v>-3.27879999999998</v>
      </c>
      <c r="AF1189">
        <v>3.4733375280360499</v>
      </c>
      <c r="AG1189">
        <v>-1.121503397049</v>
      </c>
      <c r="AH1189">
        <v>32.991684898029398</v>
      </c>
      <c r="AI1189">
        <v>91.936242754968006</v>
      </c>
      <c r="AJ1189">
        <v>83.990086113597798</v>
      </c>
      <c r="AK1189">
        <v>33.192967867669203</v>
      </c>
      <c r="AL1189">
        <v>81.543059763304598</v>
      </c>
      <c r="AM1189">
        <v>87.181732833413804</v>
      </c>
      <c r="AN1189">
        <v>1.0000000695448199</v>
      </c>
    </row>
    <row r="1190" spans="1:40" x14ac:dyDescent="0.25">
      <c r="A1190" t="str">
        <f>"20190303170245615"</f>
        <v>20190303170245615</v>
      </c>
      <c r="B1190" t="str">
        <f>"1551603765607021"</f>
        <v>1551603765607021</v>
      </c>
      <c r="C1190" t="s">
        <v>40</v>
      </c>
      <c r="D1190">
        <v>4.1620759999999999</v>
      </c>
      <c r="E1190">
        <v>0.52415879999999904</v>
      </c>
      <c r="F1190" t="s">
        <v>42</v>
      </c>
      <c r="G1190">
        <v>-224.05590000000001</v>
      </c>
      <c r="H1190" s="1">
        <v>-3.4051600000000002E-6</v>
      </c>
      <c r="I1190">
        <v>364.69569999999999</v>
      </c>
      <c r="J1190">
        <v>-256.97280000000001</v>
      </c>
      <c r="K1190">
        <v>1.121505</v>
      </c>
      <c r="L1190">
        <v>367.96449999999999</v>
      </c>
      <c r="M1190">
        <v>0.99988679999999996</v>
      </c>
      <c r="N1190">
        <v>-1.3792570000000001E-2</v>
      </c>
      <c r="O1190">
        <v>6.0074730000000002E-3</v>
      </c>
      <c r="P1190">
        <v>0.99021179999999998</v>
      </c>
      <c r="Q1190">
        <v>0.13293139999999901</v>
      </c>
      <c r="R1190">
        <v>-4.2543490000000003E-2</v>
      </c>
      <c r="S1190">
        <v>3.0308229999999998</v>
      </c>
      <c r="T1190">
        <v>-0.1027747</v>
      </c>
      <c r="U1190">
        <v>-0.29946899999999999</v>
      </c>
      <c r="V1190">
        <v>4.849759E-2</v>
      </c>
      <c r="W1190">
        <v>0.146570799999999</v>
      </c>
      <c r="X1190">
        <v>0.98801059999999996</v>
      </c>
      <c r="Y1190">
        <v>0.1042213</v>
      </c>
      <c r="Z1190">
        <v>-2.6036100000000001E-3</v>
      </c>
      <c r="AA1190">
        <v>0.99455070000000001</v>
      </c>
      <c r="AB1190">
        <v>31</v>
      </c>
      <c r="AC1190">
        <v>32.916899999999998</v>
      </c>
      <c r="AD1190">
        <v>-1.1215084051599999</v>
      </c>
      <c r="AE1190">
        <v>-3.2687999999999899</v>
      </c>
      <c r="AF1190">
        <v>3.46252706686687</v>
      </c>
      <c r="AG1190">
        <v>-1.1215084051599999</v>
      </c>
      <c r="AH1190">
        <v>32.858895811333298</v>
      </c>
      <c r="AI1190">
        <v>91.944050645944898</v>
      </c>
      <c r="AJ1190">
        <v>83.984620182550103</v>
      </c>
      <c r="AK1190">
        <v>33.059853428769003</v>
      </c>
      <c r="AL1190">
        <v>81.571748501726105</v>
      </c>
      <c r="AM1190">
        <v>87.189829006093902</v>
      </c>
      <c r="AN1190">
        <v>0.99999998068040297</v>
      </c>
    </row>
    <row r="1191" spans="1:40" x14ac:dyDescent="0.25">
      <c r="A1191" t="str">
        <f>"20190303170245626"</f>
        <v>20190303170245626</v>
      </c>
      <c r="B1191" t="str">
        <f>"1551603765616522"</f>
        <v>1551603765616522</v>
      </c>
      <c r="C1191" t="s">
        <v>40</v>
      </c>
      <c r="D1191">
        <v>4.1830980000000002</v>
      </c>
      <c r="E1191">
        <v>0.52422120000000005</v>
      </c>
      <c r="F1191" t="s">
        <v>42</v>
      </c>
      <c r="G1191">
        <v>-224.24279999999999</v>
      </c>
      <c r="H1191" s="1">
        <v>-3.3190770000000001E-6</v>
      </c>
      <c r="I1191">
        <v>364.72910000000002</v>
      </c>
      <c r="J1191">
        <v>-256.81020000000001</v>
      </c>
      <c r="K1191">
        <v>1.1215079999999999</v>
      </c>
      <c r="L1191">
        <v>367.96550000000002</v>
      </c>
      <c r="M1191">
        <v>0.99988650000000001</v>
      </c>
      <c r="N1191">
        <v>-1.382009E-2</v>
      </c>
      <c r="O1191">
        <v>6.0074600000000001E-3</v>
      </c>
      <c r="P1191">
        <v>0.99023910000000004</v>
      </c>
      <c r="Q1191">
        <v>0.1327651</v>
      </c>
      <c r="R1191">
        <v>-4.2425959999999999E-2</v>
      </c>
      <c r="S1191">
        <v>3.0307620000000002</v>
      </c>
      <c r="T1191">
        <v>-0.1038501</v>
      </c>
      <c r="U1191">
        <v>-0.299591099999999</v>
      </c>
      <c r="V1191">
        <v>4.8380390000000002E-2</v>
      </c>
      <c r="W1191">
        <v>0.1464317</v>
      </c>
      <c r="X1191">
        <v>0.98803700000000005</v>
      </c>
      <c r="Y1191">
        <v>0.1042613</v>
      </c>
      <c r="Z1191">
        <v>-2.6264399999999999E-3</v>
      </c>
      <c r="AA1191">
        <v>0.9945465</v>
      </c>
      <c r="AB1191">
        <v>31</v>
      </c>
      <c r="AC1191">
        <v>32.567399999999999</v>
      </c>
      <c r="AD1191">
        <v>-1.1215113190770001</v>
      </c>
      <c r="AE1191">
        <v>-3.2364000000000002</v>
      </c>
      <c r="AF1191">
        <v>3.42798219168944</v>
      </c>
      <c r="AG1191">
        <v>-1.1215113190770001</v>
      </c>
      <c r="AH1191">
        <v>32.509192770811701</v>
      </c>
      <c r="AI1191">
        <v>91.964937177847801</v>
      </c>
      <c r="AJ1191">
        <v>83.980601850153505</v>
      </c>
      <c r="AK1191">
        <v>32.708660384600797</v>
      </c>
      <c r="AL1191">
        <v>81.579805514815007</v>
      </c>
      <c r="AM1191">
        <v>87.196684046950594</v>
      </c>
      <c r="AN1191">
        <v>1.0000000091352199</v>
      </c>
    </row>
    <row r="1192" spans="1:40" x14ac:dyDescent="0.25">
      <c r="A1192" t="str">
        <f>"20190303170245637"</f>
        <v>20190303170245637</v>
      </c>
      <c r="B1192" t="str">
        <f>"1551603765627237"</f>
        <v>1551603765627237</v>
      </c>
      <c r="C1192" t="s">
        <v>40</v>
      </c>
      <c r="D1192">
        <v>4.379607</v>
      </c>
      <c r="E1192">
        <v>0.52427120000000005</v>
      </c>
      <c r="F1192" t="s">
        <v>42</v>
      </c>
      <c r="G1192">
        <v>-224.07689999999999</v>
      </c>
      <c r="H1192" s="1">
        <v>-3.3901329999999998E-6</v>
      </c>
      <c r="I1192">
        <v>364.7296</v>
      </c>
      <c r="J1192">
        <v>-256.66480000000001</v>
      </c>
      <c r="K1192">
        <v>1.121507</v>
      </c>
      <c r="L1192">
        <v>367.96640000000002</v>
      </c>
      <c r="M1192">
        <v>0.99988619999999995</v>
      </c>
      <c r="N1192">
        <v>-1.38446E-2</v>
      </c>
      <c r="O1192">
        <v>6.0074680000000002E-3</v>
      </c>
      <c r="P1192">
        <v>0.99024650000000003</v>
      </c>
      <c r="Q1192">
        <v>0.13268360000000001</v>
      </c>
      <c r="R1192">
        <v>-4.2509320000000003E-2</v>
      </c>
      <c r="S1192">
        <v>3.030624</v>
      </c>
      <c r="T1192">
        <v>-0.1038352</v>
      </c>
      <c r="U1192">
        <v>-0.299591099999999</v>
      </c>
      <c r="V1192">
        <v>4.8463920000000001E-2</v>
      </c>
      <c r="W1192">
        <v>0.14637510000000001</v>
      </c>
      <c r="X1192">
        <v>0.98804130000000001</v>
      </c>
      <c r="Y1192">
        <v>0.1042656</v>
      </c>
      <c r="Z1192">
        <v>-2.6274850000000002E-3</v>
      </c>
      <c r="AA1192">
        <v>0.99454600000000004</v>
      </c>
      <c r="AB1192">
        <v>31</v>
      </c>
      <c r="AC1192">
        <v>32.587899999999998</v>
      </c>
      <c r="AD1192">
        <v>-1.1215103901329999</v>
      </c>
      <c r="AE1192">
        <v>-3.2368000000000099</v>
      </c>
      <c r="AF1192">
        <v>3.4285100791685199</v>
      </c>
      <c r="AG1192">
        <v>-1.1215103901329999</v>
      </c>
      <c r="AH1192">
        <v>32.529713597325099</v>
      </c>
      <c r="AI1192">
        <v>91.963707264182901</v>
      </c>
      <c r="AJ1192">
        <v>83.983451659786098</v>
      </c>
      <c r="AK1192">
        <v>32.729111409296401</v>
      </c>
      <c r="AL1192">
        <v>81.583083837275296</v>
      </c>
      <c r="AM1192">
        <v>87.191863991224196</v>
      </c>
      <c r="AN1192">
        <v>1.0000000159737299</v>
      </c>
    </row>
    <row r="1193" spans="1:40" x14ac:dyDescent="0.25">
      <c r="A1193" t="str">
        <f>"20190303170245648"</f>
        <v>20190303170245648</v>
      </c>
      <c r="B1193" t="str">
        <f>"1551603765636996"</f>
        <v>1551603765636996</v>
      </c>
      <c r="C1193" t="s">
        <v>40</v>
      </c>
      <c r="D1193">
        <v>4.1746290000000004</v>
      </c>
      <c r="E1193">
        <v>0.52432259999999997</v>
      </c>
      <c r="F1193" t="s">
        <v>42</v>
      </c>
      <c r="G1193">
        <v>-223.93020000000001</v>
      </c>
      <c r="H1193" s="1">
        <v>-3.453728E-6</v>
      </c>
      <c r="I1193">
        <v>364.726</v>
      </c>
      <c r="J1193">
        <v>-256.5104</v>
      </c>
      <c r="K1193">
        <v>1.121515</v>
      </c>
      <c r="L1193">
        <v>367.96730000000002</v>
      </c>
      <c r="M1193">
        <v>0.99988589999999999</v>
      </c>
      <c r="N1193">
        <v>-1.387031E-2</v>
      </c>
      <c r="O1193">
        <v>6.0074669999999998E-3</v>
      </c>
      <c r="P1193">
        <v>0.99030419999999997</v>
      </c>
      <c r="Q1193">
        <v>0.13231760000000001</v>
      </c>
      <c r="R1193">
        <v>-4.2304599999999998E-2</v>
      </c>
      <c r="S1193">
        <v>3.0305789999999999</v>
      </c>
      <c r="T1193">
        <v>-0.10382950000000001</v>
      </c>
      <c r="U1193">
        <v>-0.29998780000000003</v>
      </c>
      <c r="V1193">
        <v>4.8259499999999997E-2</v>
      </c>
      <c r="W1193">
        <v>0.146035</v>
      </c>
      <c r="X1193">
        <v>0.98810160000000002</v>
      </c>
      <c r="Y1193">
        <v>0.1043959</v>
      </c>
      <c r="Z1193">
        <v>-2.6317200000000002E-3</v>
      </c>
      <c r="AA1193">
        <v>0.99453230000000004</v>
      </c>
      <c r="AB1193">
        <v>31</v>
      </c>
      <c r="AC1193">
        <v>32.580199999999898</v>
      </c>
      <c r="AD1193">
        <v>-1.1215184537279901</v>
      </c>
      <c r="AE1193">
        <v>-3.2413000000000198</v>
      </c>
      <c r="AF1193">
        <v>3.4329567139361599</v>
      </c>
      <c r="AG1193">
        <v>-1.1215184537279901</v>
      </c>
      <c r="AH1193">
        <v>32.521978403313803</v>
      </c>
      <c r="AI1193">
        <v>91.964154942681006</v>
      </c>
      <c r="AJ1193">
        <v>83.974283485913404</v>
      </c>
      <c r="AK1193">
        <v>32.721889840096601</v>
      </c>
      <c r="AL1193">
        <v>81.602781548486206</v>
      </c>
      <c r="AM1193">
        <v>87.203860199441493</v>
      </c>
      <c r="AN1193">
        <v>0.99999998624390496</v>
      </c>
    </row>
    <row r="1194" spans="1:40" x14ac:dyDescent="0.25">
      <c r="A1194" t="str">
        <f>"20190303170245662"</f>
        <v>20190303170245662</v>
      </c>
      <c r="B1194" t="str">
        <f>"1551603765646756"</f>
        <v>1551603765646756</v>
      </c>
      <c r="C1194" t="s">
        <v>40</v>
      </c>
      <c r="D1194">
        <v>4.3526939999999996</v>
      </c>
      <c r="E1194">
        <v>0.52432259999999997</v>
      </c>
      <c r="F1194" t="s">
        <v>42</v>
      </c>
      <c r="G1194">
        <v>-224.03620000000001</v>
      </c>
      <c r="H1194" s="1">
        <v>-3.4033460000000001E-6</v>
      </c>
      <c r="I1194">
        <v>364.75369999999998</v>
      </c>
      <c r="J1194">
        <v>-256.33859999999999</v>
      </c>
      <c r="K1194">
        <v>1.1215189999999999</v>
      </c>
      <c r="L1194">
        <v>367.96839999999997</v>
      </c>
      <c r="M1194">
        <v>0.99988540000000004</v>
      </c>
      <c r="N1194">
        <v>-1.3897899999999901E-2</v>
      </c>
      <c r="O1194">
        <v>6.0073929999999998E-3</v>
      </c>
      <c r="P1194">
        <v>0.99026829999999999</v>
      </c>
      <c r="Q1194">
        <v>0.13254050000000001</v>
      </c>
      <c r="R1194">
        <v>-4.2448720000000002E-2</v>
      </c>
      <c r="S1194">
        <v>3.030548</v>
      </c>
      <c r="T1194">
        <v>-0.1046617</v>
      </c>
      <c r="U1194">
        <v>-0.2998962</v>
      </c>
      <c r="V1194">
        <v>4.840328E-2</v>
      </c>
      <c r="W1194">
        <v>0.146285</v>
      </c>
      <c r="X1194">
        <v>0.98805759999999998</v>
      </c>
      <c r="Y1194">
        <v>0.10436579999999999</v>
      </c>
      <c r="Z1194">
        <v>-2.648227E-3</v>
      </c>
      <c r="AA1194">
        <v>0.99453539999999996</v>
      </c>
      <c r="AB1194">
        <v>31</v>
      </c>
      <c r="AC1194">
        <v>32.302399999999899</v>
      </c>
      <c r="AD1194">
        <v>-1.1215224033460001</v>
      </c>
      <c r="AE1194">
        <v>-3.2146999999999899</v>
      </c>
      <c r="AF1194">
        <v>3.4046500712767802</v>
      </c>
      <c r="AG1194">
        <v>-1.1215224033460001</v>
      </c>
      <c r="AH1194">
        <v>32.2440160593274</v>
      </c>
      <c r="AI1194">
        <v>91.981074016792704</v>
      </c>
      <c r="AJ1194">
        <v>83.972465464277306</v>
      </c>
      <c r="AK1194">
        <v>32.442657508952898</v>
      </c>
      <c r="AL1194">
        <v>81.588302223230997</v>
      </c>
      <c r="AM1194">
        <v>87.195418224185303</v>
      </c>
      <c r="AN1194">
        <v>0.99999999982875898</v>
      </c>
    </row>
    <row r="1195" spans="1:40" x14ac:dyDescent="0.25">
      <c r="A1195" t="str">
        <f>"20190303170245676"</f>
        <v>20190303170245676</v>
      </c>
      <c r="B1195" t="str">
        <f>"1551603765667320"</f>
        <v>1551603765667320</v>
      </c>
      <c r="C1195" t="s">
        <v>40</v>
      </c>
      <c r="D1195">
        <v>4.1636119999999996</v>
      </c>
      <c r="E1195">
        <v>0.52444829999999998</v>
      </c>
      <c r="F1195" t="s">
        <v>42</v>
      </c>
      <c r="G1195">
        <v>-223.65039999999999</v>
      </c>
      <c r="H1195" s="1">
        <v>-3.5739370000000002E-6</v>
      </c>
      <c r="I1195">
        <v>364.72489999999999</v>
      </c>
      <c r="J1195">
        <v>-256.15050000000002</v>
      </c>
      <c r="K1195">
        <v>1.121521</v>
      </c>
      <c r="L1195">
        <v>367.96949999999998</v>
      </c>
      <c r="M1195">
        <v>0.99988500000000002</v>
      </c>
      <c r="N1195">
        <v>-1.392704E-2</v>
      </c>
      <c r="O1195">
        <v>6.0075459999999999E-3</v>
      </c>
      <c r="P1195">
        <v>0.99023629999999996</v>
      </c>
      <c r="Q1195">
        <v>0.13282649999999999</v>
      </c>
      <c r="R1195">
        <v>-4.2301110000000003E-2</v>
      </c>
      <c r="S1195">
        <v>3.0305019999999998</v>
      </c>
      <c r="T1195">
        <v>-0.1039754</v>
      </c>
      <c r="U1195">
        <v>-0.3006897</v>
      </c>
      <c r="V1195">
        <v>4.8255659999999999E-2</v>
      </c>
      <c r="W1195">
        <v>0.1465987</v>
      </c>
      <c r="X1195">
        <v>0.98801830000000002</v>
      </c>
      <c r="Y1195">
        <v>0.1046261</v>
      </c>
      <c r="Z1195">
        <v>-2.6427270000000001E-3</v>
      </c>
      <c r="AA1195">
        <v>0.99450810000000001</v>
      </c>
      <c r="AB1195">
        <v>31</v>
      </c>
      <c r="AC1195">
        <v>32.500100000000003</v>
      </c>
      <c r="AD1195">
        <v>-1.1215245739369999</v>
      </c>
      <c r="AE1195">
        <v>-3.2445999999999899</v>
      </c>
      <c r="AF1195">
        <v>3.43575520534197</v>
      </c>
      <c r="AG1195">
        <v>-1.1215245739369999</v>
      </c>
      <c r="AH1195">
        <v>32.441768182309602</v>
      </c>
      <c r="AI1195">
        <v>91.968946674471397</v>
      </c>
      <c r="AJ1195">
        <v>83.954607624304003</v>
      </c>
      <c r="AK1195">
        <v>32.642465501179501</v>
      </c>
      <c r="AL1195">
        <v>81.570132439752697</v>
      </c>
      <c r="AM1195">
        <v>87.203846984513504</v>
      </c>
      <c r="AN1195">
        <v>0.99999997434930699</v>
      </c>
    </row>
    <row r="1196" spans="1:40" x14ac:dyDescent="0.25">
      <c r="A1196" t="str">
        <f>"20190303170245688"</f>
        <v>20190303170245688</v>
      </c>
      <c r="B1196" t="str">
        <f>"1551603765677078"</f>
        <v>1551603765677078</v>
      </c>
      <c r="C1196" t="s">
        <v>40</v>
      </c>
      <c r="D1196">
        <v>4.1588539999999998</v>
      </c>
      <c r="E1196">
        <v>0.52450569999999996</v>
      </c>
      <c r="F1196" t="s">
        <v>42</v>
      </c>
      <c r="G1196">
        <v>-223.03200000000001</v>
      </c>
      <c r="H1196" s="1">
        <v>-3.8479559999999999E-6</v>
      </c>
      <c r="I1196">
        <v>364.67570000000001</v>
      </c>
      <c r="J1196">
        <v>-255.9727</v>
      </c>
      <c r="K1196">
        <v>1.121524</v>
      </c>
      <c r="L1196">
        <v>367.97059999999999</v>
      </c>
      <c r="M1196">
        <v>0.99988469999999996</v>
      </c>
      <c r="N1196">
        <v>-1.395214E-2</v>
      </c>
      <c r="O1196">
        <v>6.0075479999999997E-3</v>
      </c>
      <c r="P1196">
        <v>0.99026000000000003</v>
      </c>
      <c r="Q1196">
        <v>0.13273879999999999</v>
      </c>
      <c r="R1196">
        <v>-4.2021259999999998E-2</v>
      </c>
      <c r="S1196">
        <v>3.0304410000000002</v>
      </c>
      <c r="T1196">
        <v>-0.10262259999999999</v>
      </c>
      <c r="U1196">
        <v>-0.30139159999999998</v>
      </c>
      <c r="V1196">
        <v>4.7975950000000003E-2</v>
      </c>
      <c r="W1196">
        <v>0.1465369</v>
      </c>
      <c r="X1196">
        <v>0.98804110000000001</v>
      </c>
      <c r="Y1196">
        <v>0.1048579</v>
      </c>
      <c r="Z1196">
        <v>-2.6235009999999999E-3</v>
      </c>
      <c r="AA1196">
        <v>0.99448380000000003</v>
      </c>
      <c r="AB1196">
        <v>31</v>
      </c>
      <c r="AC1196">
        <v>32.9406999999999</v>
      </c>
      <c r="AD1196">
        <v>-1.121527847956</v>
      </c>
      <c r="AE1196">
        <v>-3.2948999999999802</v>
      </c>
      <c r="AF1196">
        <v>3.48874855402893</v>
      </c>
      <c r="AG1196">
        <v>-1.121527847956</v>
      </c>
      <c r="AH1196">
        <v>32.882569711370202</v>
      </c>
      <c r="AI1196">
        <v>91.942539285053499</v>
      </c>
      <c r="AJ1196">
        <v>83.943734794875198</v>
      </c>
      <c r="AK1196">
        <v>33.086138819906203</v>
      </c>
      <c r="AL1196">
        <v>81.573712066712304</v>
      </c>
      <c r="AM1196">
        <v>87.220093208554701</v>
      </c>
      <c r="AN1196">
        <v>0.99999998506461096</v>
      </c>
    </row>
    <row r="1197" spans="1:40" x14ac:dyDescent="0.25">
      <c r="A1197" t="str">
        <f>"20190303170245704"</f>
        <v>20190303170245704</v>
      </c>
      <c r="B1197" t="str">
        <f>"1551603765686838"</f>
        <v>1551603765686838</v>
      </c>
      <c r="C1197" t="s">
        <v>40</v>
      </c>
      <c r="D1197">
        <v>4.2158509999999998</v>
      </c>
      <c r="E1197">
        <v>0.52462140000000002</v>
      </c>
      <c r="F1197" t="s">
        <v>42</v>
      </c>
      <c r="G1197">
        <v>-222.81180000000001</v>
      </c>
      <c r="H1197" s="1">
        <v>-3.9427530000000004E-6</v>
      </c>
      <c r="I1197">
        <v>364.6739</v>
      </c>
      <c r="J1197">
        <v>-255.76939999999999</v>
      </c>
      <c r="K1197">
        <v>1.121524</v>
      </c>
      <c r="L1197">
        <v>367.97179999999997</v>
      </c>
      <c r="M1197">
        <v>0.9998842</v>
      </c>
      <c r="N1197">
        <v>-1.3979470000000001E-2</v>
      </c>
      <c r="O1197">
        <v>6.0075340000000001E-3</v>
      </c>
      <c r="P1197">
        <v>0.9903073</v>
      </c>
      <c r="Q1197">
        <v>0.132487299999999</v>
      </c>
      <c r="R1197">
        <v>-4.1698199999999998E-2</v>
      </c>
      <c r="S1197">
        <v>3.0304410000000002</v>
      </c>
      <c r="T1197">
        <v>-0.1024915</v>
      </c>
      <c r="U1197">
        <v>-0.30126950000000002</v>
      </c>
      <c r="V1197">
        <v>4.7653019999999997E-2</v>
      </c>
      <c r="W1197">
        <v>0.14631279999999999</v>
      </c>
      <c r="X1197">
        <v>0.98809000000000002</v>
      </c>
      <c r="Y1197">
        <v>0.10481840000000001</v>
      </c>
      <c r="Z1197">
        <v>-2.6213130000000001E-3</v>
      </c>
      <c r="AA1197">
        <v>0.99448789999999998</v>
      </c>
      <c r="AB1197">
        <v>31</v>
      </c>
      <c r="AC1197">
        <v>32.9575999999999</v>
      </c>
      <c r="AD1197">
        <v>-1.1215279427530001</v>
      </c>
      <c r="AE1197">
        <v>-3.2978999999999701</v>
      </c>
      <c r="AF1197">
        <v>3.4918502551119701</v>
      </c>
      <c r="AG1197">
        <v>-1.1215279427530001</v>
      </c>
      <c r="AH1197">
        <v>32.899471027322399</v>
      </c>
      <c r="AI1197">
        <v>91.941534182877206</v>
      </c>
      <c r="AJ1197">
        <v>83.941481331552197</v>
      </c>
      <c r="AK1197">
        <v>33.103263238057501</v>
      </c>
      <c r="AL1197">
        <v>81.586692475217703</v>
      </c>
      <c r="AM1197">
        <v>87.238912369281095</v>
      </c>
      <c r="AN1197">
        <v>1.0000000469294701</v>
      </c>
    </row>
    <row r="1198" spans="1:40" x14ac:dyDescent="0.25">
      <c r="A1198" t="str">
        <f>"20190303170245716"</f>
        <v>20190303170245716</v>
      </c>
      <c r="B1198" t="str">
        <f>"1551603765707333"</f>
        <v>1551603765707333</v>
      </c>
      <c r="C1198" t="s">
        <v>40</v>
      </c>
      <c r="D1198">
        <v>4.1578229999999996</v>
      </c>
      <c r="E1198">
        <v>0.52474580000000004</v>
      </c>
      <c r="F1198" t="s">
        <v>42</v>
      </c>
      <c r="G1198">
        <v>-222.6978</v>
      </c>
      <c r="H1198" s="1">
        <v>-3.990096E-6</v>
      </c>
      <c r="I1198">
        <v>364.68259999999998</v>
      </c>
      <c r="J1198">
        <v>-255.59700000000001</v>
      </c>
      <c r="K1198">
        <v>1.1215250000000001</v>
      </c>
      <c r="L1198">
        <v>367.97280000000001</v>
      </c>
      <c r="M1198">
        <v>0.999884</v>
      </c>
      <c r="N1198">
        <v>-1.400155E-2</v>
      </c>
      <c r="O1198">
        <v>6.0073779999999998E-3</v>
      </c>
      <c r="P1198">
        <v>0.99033979999999999</v>
      </c>
      <c r="Q1198">
        <v>0.1322701</v>
      </c>
      <c r="R1198">
        <v>-4.1617700000000001E-2</v>
      </c>
      <c r="S1198">
        <v>3.0304410000000002</v>
      </c>
      <c r="T1198">
        <v>-0.1027685</v>
      </c>
      <c r="U1198">
        <v>-0.30139159999999998</v>
      </c>
      <c r="V1198">
        <v>4.7572709999999997E-2</v>
      </c>
      <c r="W1198">
        <v>0.146118</v>
      </c>
      <c r="X1198">
        <v>0.98812259999999996</v>
      </c>
      <c r="Y1198">
        <v>0.1048574</v>
      </c>
      <c r="Z1198">
        <v>-2.6285940000000002E-3</v>
      </c>
      <c r="AA1198">
        <v>0.99448380000000003</v>
      </c>
      <c r="AB1198">
        <v>31</v>
      </c>
      <c r="AC1198">
        <v>32.8992</v>
      </c>
      <c r="AD1198">
        <v>-1.1215289900959999</v>
      </c>
      <c r="AE1198">
        <v>-3.29020000000002</v>
      </c>
      <c r="AF1198">
        <v>3.4837894263470299</v>
      </c>
      <c r="AG1198">
        <v>-1.1215289900959999</v>
      </c>
      <c r="AH1198">
        <v>32.841051574469603</v>
      </c>
      <c r="AI1198">
        <v>91.944998606261905</v>
      </c>
      <c r="AJ1198">
        <v>83.944690860482496</v>
      </c>
      <c r="AK1198">
        <v>33.044353293107797</v>
      </c>
      <c r="AL1198">
        <v>81.597974149897794</v>
      </c>
      <c r="AM1198">
        <v>87.243649268662097</v>
      </c>
      <c r="AN1198">
        <v>0.99999995264575003</v>
      </c>
    </row>
    <row r="1199" spans="1:40" x14ac:dyDescent="0.25">
      <c r="A1199" t="str">
        <f>"20190303170245727"</f>
        <v>20190303170245727</v>
      </c>
      <c r="B1199" t="str">
        <f>"1551603765717094"</f>
        <v>1551603765717094</v>
      </c>
      <c r="C1199" t="s">
        <v>40</v>
      </c>
      <c r="D1199">
        <v>4.0723849999999997</v>
      </c>
      <c r="E1199">
        <v>0.52473910000000001</v>
      </c>
      <c r="F1199" t="s">
        <v>42</v>
      </c>
      <c r="G1199">
        <v>-222.61009999999999</v>
      </c>
      <c r="H1199" s="1">
        <v>-4.02696999999999E-6</v>
      </c>
      <c r="I1199">
        <v>364.68700000000001</v>
      </c>
      <c r="J1199">
        <v>-255.42930000000001</v>
      </c>
      <c r="K1199">
        <v>1.121524</v>
      </c>
      <c r="L1199">
        <v>367.97379999999998</v>
      </c>
      <c r="M1199">
        <v>0.99988379999999999</v>
      </c>
      <c r="N1199">
        <v>-1.402102E-2</v>
      </c>
      <c r="O1199">
        <v>6.007419E-3</v>
      </c>
      <c r="P1199">
        <v>0.99033380000000004</v>
      </c>
      <c r="Q1199">
        <v>0.132232399999999</v>
      </c>
      <c r="R1199">
        <v>-4.1880500000000001E-2</v>
      </c>
      <c r="S1199">
        <v>3.0303499999999999</v>
      </c>
      <c r="T1199">
        <v>-0.103029</v>
      </c>
      <c r="U1199">
        <v>-0.30184939999999999</v>
      </c>
      <c r="V1199">
        <v>4.7835349999999999E-2</v>
      </c>
      <c r="W1199">
        <v>0.14609910000000001</v>
      </c>
      <c r="X1199">
        <v>0.98811269999999995</v>
      </c>
      <c r="Y1199">
        <v>0.10500859999999999</v>
      </c>
      <c r="Z1199">
        <v>-2.6381870000000002E-3</v>
      </c>
      <c r="AA1199">
        <v>0.99446780000000001</v>
      </c>
      <c r="AB1199">
        <v>30</v>
      </c>
      <c r="AC1199">
        <v>32.819200000000002</v>
      </c>
      <c r="AD1199">
        <v>-1.1215280269700001</v>
      </c>
      <c r="AE1199">
        <v>-3.2868000000000199</v>
      </c>
      <c r="AF1199">
        <v>3.4798952898959801</v>
      </c>
      <c r="AG1199">
        <v>-1.1215280269700001</v>
      </c>
      <c r="AH1199">
        <v>32.760982548884002</v>
      </c>
      <c r="AI1199">
        <v>91.949718203794006</v>
      </c>
      <c r="AJ1199">
        <v>83.936736218146194</v>
      </c>
      <c r="AK1199">
        <v>32.964366730034399</v>
      </c>
      <c r="AL1199">
        <v>81.599068661727898</v>
      </c>
      <c r="AM1199">
        <v>87.228427910648804</v>
      </c>
      <c r="AN1199">
        <v>0.99999993781585905</v>
      </c>
    </row>
    <row r="1200" spans="1:40" x14ac:dyDescent="0.25">
      <c r="A1200" t="str">
        <f>"20190303170245739"</f>
        <v>20190303170245739</v>
      </c>
      <c r="B1200" t="str">
        <f>"1551603765726855"</f>
        <v>1551603765726855</v>
      </c>
      <c r="C1200" t="s">
        <v>40</v>
      </c>
      <c r="D1200">
        <v>4.1651860000000003</v>
      </c>
      <c r="E1200">
        <v>0.5247906</v>
      </c>
      <c r="F1200" t="s">
        <v>42</v>
      </c>
      <c r="G1200">
        <v>-222.4083</v>
      </c>
      <c r="H1200" s="1">
        <v>-4.1152760000000004E-6</v>
      </c>
      <c r="I1200">
        <v>364.67720000000003</v>
      </c>
      <c r="J1200">
        <v>-255.2807</v>
      </c>
      <c r="K1200">
        <v>1.121526</v>
      </c>
      <c r="L1200">
        <v>367.97469999999998</v>
      </c>
      <c r="M1200">
        <v>0.99988370000000004</v>
      </c>
      <c r="N1200">
        <v>-1.4037569999999999E-2</v>
      </c>
      <c r="O1200">
        <v>6.0073030000000003E-3</v>
      </c>
      <c r="P1200">
        <v>0.99037189999999997</v>
      </c>
      <c r="Q1200">
        <v>0.13199720000000001</v>
      </c>
      <c r="R1200">
        <v>-4.1719220000000001E-2</v>
      </c>
      <c r="S1200">
        <v>3.0302120000000001</v>
      </c>
      <c r="T1200">
        <v>-0.102918</v>
      </c>
      <c r="U1200">
        <v>-0.30252079999999998</v>
      </c>
      <c r="V1200">
        <v>4.7674349999999997E-2</v>
      </c>
      <c r="W1200">
        <v>0.14588119999999999</v>
      </c>
      <c r="X1200">
        <v>0.98815269999999999</v>
      </c>
      <c r="Y1200">
        <v>0.10523100000000001</v>
      </c>
      <c r="Z1200">
        <v>-2.6422310000000001E-3</v>
      </c>
      <c r="AA1200">
        <v>0.99444429999999995</v>
      </c>
      <c r="AB1200">
        <v>30</v>
      </c>
      <c r="AC1200">
        <v>32.872399999999999</v>
      </c>
      <c r="AD1200">
        <v>-1.121530115276</v>
      </c>
      <c r="AE1200">
        <v>-3.2974999999999501</v>
      </c>
      <c r="AF1200">
        <v>3.4909113637640998</v>
      </c>
      <c r="AG1200">
        <v>-1.121530115276</v>
      </c>
      <c r="AH1200">
        <v>32.814179987222197</v>
      </c>
      <c r="AI1200">
        <v>91.946530000210998</v>
      </c>
      <c r="AJ1200">
        <v>83.927472542104596</v>
      </c>
      <c r="AK1200">
        <v>33.018399418853399</v>
      </c>
      <c r="AL1200">
        <v>81.611688838256001</v>
      </c>
      <c r="AM1200">
        <v>87.2378533934383</v>
      </c>
      <c r="AN1200">
        <v>0.99999996333932495</v>
      </c>
    </row>
    <row r="1201" spans="1:40" x14ac:dyDescent="0.25">
      <c r="A1201" t="str">
        <f>"20190303170245754"</f>
        <v>20190303170245754</v>
      </c>
      <c r="B1201" t="str">
        <f>"1551603765747351"</f>
        <v>1551603765747351</v>
      </c>
      <c r="C1201" t="s">
        <v>40</v>
      </c>
      <c r="D1201">
        <v>4.1488699999999996</v>
      </c>
      <c r="E1201">
        <v>0.5249085</v>
      </c>
      <c r="F1201" t="s">
        <v>42</v>
      </c>
      <c r="G1201">
        <v>-222.35059999999999</v>
      </c>
      <c r="H1201" s="1">
        <v>-4.1372220000000001E-6</v>
      </c>
      <c r="I1201">
        <v>364.69310000000002</v>
      </c>
      <c r="J1201">
        <v>-255.07300000000001</v>
      </c>
      <c r="K1201">
        <v>1.121529</v>
      </c>
      <c r="L1201">
        <v>367.976</v>
      </c>
      <c r="M1201">
        <v>0.99988330000000003</v>
      </c>
      <c r="N1201">
        <v>-1.4059169999999999E-2</v>
      </c>
      <c r="O1201">
        <v>6.007269E-3</v>
      </c>
      <c r="P1201">
        <v>0.99040090000000003</v>
      </c>
      <c r="Q1201">
        <v>0.13176470000000001</v>
      </c>
      <c r="R1201">
        <v>-4.1769359999999998E-2</v>
      </c>
      <c r="S1201">
        <v>3.0301819999999999</v>
      </c>
      <c r="T1201">
        <v>-0.1032013</v>
      </c>
      <c r="U1201">
        <v>-0.3019714</v>
      </c>
      <c r="V1201">
        <v>4.7724509999999998E-2</v>
      </c>
      <c r="W1201">
        <v>0.1456703</v>
      </c>
      <c r="X1201">
        <v>0.98818139999999999</v>
      </c>
      <c r="Y1201">
        <v>0.1050532</v>
      </c>
      <c r="Z1201">
        <v>-2.64446E-3</v>
      </c>
      <c r="AA1201">
        <v>0.99446310000000004</v>
      </c>
      <c r="AB1201">
        <v>30</v>
      </c>
      <c r="AC1201">
        <v>32.722399999999901</v>
      </c>
      <c r="AD1201">
        <v>-1.1215331372220001</v>
      </c>
      <c r="AE1201">
        <v>-3.2828999999999802</v>
      </c>
      <c r="AF1201">
        <v>3.4753904825227</v>
      </c>
      <c r="AG1201">
        <v>-1.1215331372220001</v>
      </c>
      <c r="AH1201">
        <v>32.664097474945599</v>
      </c>
      <c r="AI1201">
        <v>91.955469301712597</v>
      </c>
      <c r="AJ1201">
        <v>83.926699786120395</v>
      </c>
      <c r="AK1201">
        <v>32.867604710971001</v>
      </c>
      <c r="AL1201">
        <v>81.623903069427598</v>
      </c>
      <c r="AM1201">
        <v>87.235031922859307</v>
      </c>
      <c r="AN1201">
        <v>0.99999997223139403</v>
      </c>
    </row>
    <row r="1202" spans="1:40" x14ac:dyDescent="0.25">
      <c r="A1202" t="str">
        <f>"20190303170245767"</f>
        <v>20190303170245767</v>
      </c>
      <c r="B1202" t="str">
        <f>"1551603765757110"</f>
        <v>1551603765757110</v>
      </c>
      <c r="C1202" t="s">
        <v>40</v>
      </c>
      <c r="D1202">
        <v>4.334778</v>
      </c>
      <c r="E1202">
        <v>0.52494859999999999</v>
      </c>
      <c r="F1202" t="s">
        <v>42</v>
      </c>
      <c r="G1202">
        <v>-222.10560000000001</v>
      </c>
      <c r="H1202" s="1">
        <v>-4.2461190000000002E-6</v>
      </c>
      <c r="I1202">
        <v>364.67149999999998</v>
      </c>
      <c r="J1202">
        <v>-254.89769999999999</v>
      </c>
      <c r="K1202">
        <v>1.1215349999999999</v>
      </c>
      <c r="L1202">
        <v>367.97710000000001</v>
      </c>
      <c r="M1202">
        <v>0.99988299999999997</v>
      </c>
      <c r="N1202">
        <v>-1.407539E-2</v>
      </c>
      <c r="O1202">
        <v>6.0073319999999998E-3</v>
      </c>
      <c r="P1202">
        <v>0.99039679999999997</v>
      </c>
      <c r="Q1202">
        <v>0.13178790000000001</v>
      </c>
      <c r="R1202">
        <v>-4.178859E-2</v>
      </c>
      <c r="S1202">
        <v>3.0299839999999998</v>
      </c>
      <c r="T1202">
        <v>-0.10307819999999999</v>
      </c>
      <c r="U1202">
        <v>-0.30371090000000001</v>
      </c>
      <c r="V1202">
        <v>4.7743819999999999E-2</v>
      </c>
      <c r="W1202">
        <v>0.14570949999999999</v>
      </c>
      <c r="X1202">
        <v>0.98817469999999996</v>
      </c>
      <c r="Y1202">
        <v>0.1056246</v>
      </c>
      <c r="Z1202">
        <v>-2.6566720000000001E-3</v>
      </c>
      <c r="AA1202">
        <v>0.99440249999999997</v>
      </c>
      <c r="AB1202">
        <v>30</v>
      </c>
      <c r="AC1202">
        <v>32.792099999999898</v>
      </c>
      <c r="AD1202">
        <v>-1.1215392461189999</v>
      </c>
      <c r="AE1202">
        <v>-3.3056000000000201</v>
      </c>
      <c r="AF1202">
        <v>3.4985016864967799</v>
      </c>
      <c r="AG1202">
        <v>-1.1215392461189999</v>
      </c>
      <c r="AH1202">
        <v>32.733743478306799</v>
      </c>
      <c r="AI1202">
        <v>91.951223975945098</v>
      </c>
      <c r="AJ1202">
        <v>83.8995263855914</v>
      </c>
      <c r="AK1202">
        <v>32.939267241919701</v>
      </c>
      <c r="AL1202">
        <v>81.621632953528206</v>
      </c>
      <c r="AM1202">
        <v>87.233896190070595</v>
      </c>
      <c r="AN1202">
        <v>0.99999998422926595</v>
      </c>
    </row>
    <row r="1203" spans="1:40" x14ac:dyDescent="0.25">
      <c r="A1203" t="str">
        <f>"20190303170245778"</f>
        <v>20190303170245778</v>
      </c>
      <c r="B1203" t="str">
        <f>"1551603765766871"</f>
        <v>1551603765766871</v>
      </c>
      <c r="C1203" t="s">
        <v>40</v>
      </c>
      <c r="D1203">
        <v>4.1779349999999997</v>
      </c>
      <c r="E1203">
        <v>0.52499090000000004</v>
      </c>
      <c r="F1203" t="s">
        <v>42</v>
      </c>
      <c r="G1203">
        <v>-221.8563</v>
      </c>
      <c r="H1203" s="1">
        <v>-4.3547960000000001E-6</v>
      </c>
      <c r="I1203">
        <v>364.6617</v>
      </c>
      <c r="J1203">
        <v>-254.74979999999999</v>
      </c>
      <c r="K1203">
        <v>1.121537</v>
      </c>
      <c r="L1203">
        <v>367.97789999999998</v>
      </c>
      <c r="M1203">
        <v>0.99988279999999996</v>
      </c>
      <c r="N1203">
        <v>-1.408849E-2</v>
      </c>
      <c r="O1203">
        <v>6.0074169999999897E-3</v>
      </c>
      <c r="P1203">
        <v>0.99043360000000003</v>
      </c>
      <c r="Q1203">
        <v>0.13155210000000001</v>
      </c>
      <c r="R1203">
        <v>-4.1659040000000001E-2</v>
      </c>
      <c r="S1203">
        <v>3.029938</v>
      </c>
      <c r="T1203">
        <v>-0.10284649999999999</v>
      </c>
      <c r="U1203">
        <v>-0.30401610000000001</v>
      </c>
      <c r="V1203">
        <v>4.7614650000000001E-2</v>
      </c>
      <c r="W1203">
        <v>0.1454868</v>
      </c>
      <c r="X1203">
        <v>0.98821380000000003</v>
      </c>
      <c r="Y1203">
        <v>0.1057256</v>
      </c>
      <c r="Z1203">
        <v>-2.655251E-3</v>
      </c>
      <c r="AA1203">
        <v>0.99439180000000005</v>
      </c>
      <c r="AB1203">
        <v>30</v>
      </c>
      <c r="AC1203">
        <v>32.893499999999896</v>
      </c>
      <c r="AD1203">
        <v>-1.121541354796</v>
      </c>
      <c r="AE1203">
        <v>-3.3161999999999798</v>
      </c>
      <c r="AF1203">
        <v>3.5097255484627099</v>
      </c>
      <c r="AG1203">
        <v>-1.121541354796</v>
      </c>
      <c r="AH1203">
        <v>32.835194188473899</v>
      </c>
      <c r="AI1203">
        <v>91.945201199794397</v>
      </c>
      <c r="AJ1203">
        <v>83.898868964335605</v>
      </c>
      <c r="AK1203">
        <v>33.041277303258703</v>
      </c>
      <c r="AL1203">
        <v>81.6345306219674</v>
      </c>
      <c r="AM1203">
        <v>87.241477236086496</v>
      </c>
      <c r="AN1203">
        <v>1.00000003918965</v>
      </c>
    </row>
    <row r="1204" spans="1:40" x14ac:dyDescent="0.25">
      <c r="A1204" t="str">
        <f>"20190303170245790"</f>
        <v>20190303170245790</v>
      </c>
      <c r="B1204" t="str">
        <f>"1551603765776630"</f>
        <v>1551603765776630</v>
      </c>
      <c r="C1204" t="s">
        <v>40</v>
      </c>
      <c r="D1204">
        <v>4.1972269999999998</v>
      </c>
      <c r="E1204">
        <v>0.5250705</v>
      </c>
      <c r="F1204" t="s">
        <v>42</v>
      </c>
      <c r="G1204">
        <v>-221.91909999999999</v>
      </c>
      <c r="H1204" s="1">
        <v>-4.3232369999999999E-6</v>
      </c>
      <c r="I1204">
        <v>364.68770000000001</v>
      </c>
      <c r="J1204">
        <v>-254.59020000000001</v>
      </c>
      <c r="K1204">
        <v>1.1215360000000001</v>
      </c>
      <c r="L1204">
        <v>367.97890000000001</v>
      </c>
      <c r="M1204">
        <v>0.99988250000000001</v>
      </c>
      <c r="N1204">
        <v>-1.410139E-2</v>
      </c>
      <c r="O1204">
        <v>6.0075040000000003E-3</v>
      </c>
      <c r="P1204">
        <v>0.99043840000000005</v>
      </c>
      <c r="Q1204">
        <v>0.13149159999999999</v>
      </c>
      <c r="R1204">
        <v>-4.1732659999999998E-2</v>
      </c>
      <c r="S1204">
        <v>3.0299680000000002</v>
      </c>
      <c r="T1204">
        <v>-0.10350760000000001</v>
      </c>
      <c r="U1204">
        <v>-0.30364989999999997</v>
      </c>
      <c r="V1204">
        <v>4.768845E-2</v>
      </c>
      <c r="W1204">
        <v>0.1454396</v>
      </c>
      <c r="X1204">
        <v>0.98821720000000002</v>
      </c>
      <c r="Y1204">
        <v>0.1056048</v>
      </c>
      <c r="Z1204">
        <v>-2.6657410000000001E-3</v>
      </c>
      <c r="AA1204">
        <v>0.99440459999999997</v>
      </c>
      <c r="AB1204">
        <v>30</v>
      </c>
      <c r="AC1204">
        <v>32.671100000000003</v>
      </c>
      <c r="AD1204">
        <v>-1.121540323237</v>
      </c>
      <c r="AE1204">
        <v>-3.2911999999999999</v>
      </c>
      <c r="AF1204">
        <v>3.4833682302030802</v>
      </c>
      <c r="AG1204">
        <v>-1.121540323237</v>
      </c>
      <c r="AH1204">
        <v>32.612690909785201</v>
      </c>
      <c r="AI1204">
        <v>91.958476743641498</v>
      </c>
      <c r="AJ1204">
        <v>83.903340298482703</v>
      </c>
      <c r="AK1204">
        <v>32.817363015650997</v>
      </c>
      <c r="AL1204">
        <v>81.637264146959694</v>
      </c>
      <c r="AM1204">
        <v>87.237217792766799</v>
      </c>
      <c r="AN1204">
        <v>1.0000000499436901</v>
      </c>
    </row>
    <row r="1205" spans="1:40" x14ac:dyDescent="0.25">
      <c r="A1205" t="str">
        <f>"20190303170245801"</f>
        <v>20190303170245801</v>
      </c>
      <c r="B1205" t="str">
        <f>"1551603765787366"</f>
        <v>1551603765787366</v>
      </c>
      <c r="C1205" t="s">
        <v>40</v>
      </c>
      <c r="D1205">
        <v>4.2255039999999999</v>
      </c>
      <c r="E1205">
        <v>0.52512190000000003</v>
      </c>
      <c r="F1205" t="s">
        <v>42</v>
      </c>
      <c r="G1205">
        <v>-221.7893</v>
      </c>
      <c r="H1205" s="1">
        <v>-4.3806190000000004E-6</v>
      </c>
      <c r="I1205">
        <v>364.67840000000001</v>
      </c>
      <c r="J1205">
        <v>-254.44839999999999</v>
      </c>
      <c r="K1205">
        <v>1.1215389999999901</v>
      </c>
      <c r="L1205">
        <v>367.97969999999998</v>
      </c>
      <c r="M1205">
        <v>0.99988239999999995</v>
      </c>
      <c r="N1205">
        <v>-1.4112100000000001E-2</v>
      </c>
      <c r="O1205">
        <v>6.0074280000000004E-3</v>
      </c>
      <c r="P1205">
        <v>0.99046140000000005</v>
      </c>
      <c r="Q1205">
        <v>0.13128719999999999</v>
      </c>
      <c r="R1205">
        <v>-4.1832849999999998E-2</v>
      </c>
      <c r="S1205">
        <v>3.0298769999999999</v>
      </c>
      <c r="T1205">
        <v>-0.1035982</v>
      </c>
      <c r="U1205">
        <v>-0.30487059999999999</v>
      </c>
      <c r="V1205">
        <v>4.7788560000000001E-2</v>
      </c>
      <c r="W1205">
        <v>0.14524619999999999</v>
      </c>
      <c r="X1205">
        <v>0.98824080000000003</v>
      </c>
      <c r="Y1205">
        <v>0.1060039</v>
      </c>
      <c r="Z1205">
        <v>-2.6776600000000001E-3</v>
      </c>
      <c r="AA1205">
        <v>0.99436210000000003</v>
      </c>
      <c r="AB1205">
        <v>30</v>
      </c>
      <c r="AC1205">
        <v>32.659099999999903</v>
      </c>
      <c r="AD1205">
        <v>-1.1215433806189901</v>
      </c>
      <c r="AE1205">
        <v>-3.3012999999999599</v>
      </c>
      <c r="AF1205">
        <v>3.4933790755660601</v>
      </c>
      <c r="AG1205">
        <v>-1.1215433806189901</v>
      </c>
      <c r="AH1205">
        <v>32.600619263175197</v>
      </c>
      <c r="AI1205">
        <v>91.959134943119594</v>
      </c>
      <c r="AJ1205">
        <v>83.883704832222193</v>
      </c>
      <c r="AK1205">
        <v>32.806431278984398</v>
      </c>
      <c r="AL1205">
        <v>81.648464011024203</v>
      </c>
      <c r="AM1205">
        <v>87.231493048157503</v>
      </c>
      <c r="AN1205">
        <v>1.00000004193297</v>
      </c>
    </row>
    <row r="1206" spans="1:40" x14ac:dyDescent="0.25">
      <c r="A1206" t="str">
        <f>"20190303170245811"</f>
        <v>20190303170245811</v>
      </c>
      <c r="B1206" t="str">
        <f>"1551603765797126"</f>
        <v>1551603765797126</v>
      </c>
      <c r="C1206" t="s">
        <v>40</v>
      </c>
      <c r="D1206">
        <v>4.146922</v>
      </c>
      <c r="E1206">
        <v>0.5251555</v>
      </c>
      <c r="F1206" t="s">
        <v>42</v>
      </c>
      <c r="G1206">
        <v>-221.8081</v>
      </c>
      <c r="H1206" s="1">
        <v>-4.3705370000000003E-6</v>
      </c>
      <c r="I1206">
        <v>364.68970000000002</v>
      </c>
      <c r="J1206">
        <v>-254.2998</v>
      </c>
      <c r="K1206">
        <v>1.1215389999999901</v>
      </c>
      <c r="L1206">
        <v>367.98059999999998</v>
      </c>
      <c r="M1206">
        <v>0.9998823</v>
      </c>
      <c r="N1206">
        <v>-1.412267E-2</v>
      </c>
      <c r="O1206">
        <v>6.0073519999999997E-3</v>
      </c>
      <c r="P1206">
        <v>0.99049770000000004</v>
      </c>
      <c r="Q1206">
        <v>0.13088939999999999</v>
      </c>
      <c r="R1206">
        <v>-4.2218899999999997E-2</v>
      </c>
      <c r="S1206">
        <v>3.029785</v>
      </c>
      <c r="T1206">
        <v>-0.10410510000000001</v>
      </c>
      <c r="U1206">
        <v>-0.30538939999999998</v>
      </c>
      <c r="V1206">
        <v>4.817478E-2</v>
      </c>
      <c r="W1206">
        <v>0.1448593</v>
      </c>
      <c r="X1206">
        <v>0.98827880000000001</v>
      </c>
      <c r="Y1206">
        <v>0.1061744</v>
      </c>
      <c r="Z1206">
        <v>-2.6921789999999998E-3</v>
      </c>
      <c r="AA1206">
        <v>0.99434389999999995</v>
      </c>
      <c r="AB1206">
        <v>30</v>
      </c>
      <c r="AC1206">
        <v>32.491700000000002</v>
      </c>
      <c r="AD1206">
        <v>-1.1215433705369999</v>
      </c>
      <c r="AE1206">
        <v>-3.2908999999999602</v>
      </c>
      <c r="AF1206">
        <v>3.4819425955498899</v>
      </c>
      <c r="AG1206">
        <v>-1.1215433705369999</v>
      </c>
      <c r="AH1206">
        <v>32.433091001360097</v>
      </c>
      <c r="AI1206">
        <v>91.969204681645607</v>
      </c>
      <c r="AJ1206">
        <v>83.872325881025901</v>
      </c>
      <c r="AK1206">
        <v>32.638737348022602</v>
      </c>
      <c r="AL1206">
        <v>81.670868402787505</v>
      </c>
      <c r="AM1206">
        <v>87.209260761720103</v>
      </c>
      <c r="AN1206">
        <v>1.0000000063769801</v>
      </c>
    </row>
    <row r="1207" spans="1:40" x14ac:dyDescent="0.25">
      <c r="A1207" t="str">
        <f>"20190303170245824"</f>
        <v>20190303170245824</v>
      </c>
      <c r="B1207" t="str">
        <f>"1551603765816646"</f>
        <v>1551603765816646</v>
      </c>
      <c r="C1207" t="s">
        <v>40</v>
      </c>
      <c r="D1207">
        <v>4.2064209999999997</v>
      </c>
      <c r="E1207">
        <v>0.52523390000000003</v>
      </c>
      <c r="F1207" t="s">
        <v>42</v>
      </c>
      <c r="G1207">
        <v>-222.03919999999999</v>
      </c>
      <c r="H1207" s="1">
        <v>-4.2674379999999998E-6</v>
      </c>
      <c r="I1207">
        <v>364.71210000000002</v>
      </c>
      <c r="J1207">
        <v>-254.12649999999999</v>
      </c>
      <c r="K1207">
        <v>1.12154</v>
      </c>
      <c r="L1207">
        <v>367.98169999999999</v>
      </c>
      <c r="M1207">
        <v>0.99988220000000005</v>
      </c>
      <c r="N1207">
        <v>-1.413376E-2</v>
      </c>
      <c r="O1207">
        <v>6.0072729999999996E-3</v>
      </c>
      <c r="P1207">
        <v>0.99052770000000001</v>
      </c>
      <c r="Q1207">
        <v>0.13063469999999999</v>
      </c>
      <c r="R1207">
        <v>-4.2304639999999998E-2</v>
      </c>
      <c r="S1207">
        <v>3.0295869999999998</v>
      </c>
      <c r="T1207">
        <v>-0.1053234</v>
      </c>
      <c r="U1207">
        <v>-0.30694579999999999</v>
      </c>
      <c r="V1207">
        <v>4.8260600000000001E-2</v>
      </c>
      <c r="W1207">
        <v>0.14461589999999999</v>
      </c>
      <c r="X1207">
        <v>0.98831029999999997</v>
      </c>
      <c r="Y1207">
        <v>0.1066843</v>
      </c>
      <c r="Z1207">
        <v>-2.7289430000000002E-3</v>
      </c>
      <c r="AA1207">
        <v>0.99428919999999998</v>
      </c>
      <c r="AB1207">
        <v>30</v>
      </c>
      <c r="AC1207">
        <v>32.087299999999999</v>
      </c>
      <c r="AD1207">
        <v>-1.1215442674380001</v>
      </c>
      <c r="AE1207">
        <v>-3.2695999999999601</v>
      </c>
      <c r="AF1207">
        <v>3.4581359855374099</v>
      </c>
      <c r="AG1207">
        <v>-1.1215442674380001</v>
      </c>
      <c r="AH1207">
        <v>32.028350462606902</v>
      </c>
      <c r="AI1207">
        <v>91.993940976423204</v>
      </c>
      <c r="AJ1207">
        <v>83.837584752517301</v>
      </c>
      <c r="AK1207">
        <v>32.234016184674601</v>
      </c>
      <c r="AL1207">
        <v>81.684962942925907</v>
      </c>
      <c r="AM1207">
        <v>87.204386100203493</v>
      </c>
      <c r="AN1207">
        <v>1.00000004656562</v>
      </c>
    </row>
    <row r="1208" spans="1:40" x14ac:dyDescent="0.25">
      <c r="A1208" t="str">
        <f>"20190303170245837"</f>
        <v>20190303170245837</v>
      </c>
      <c r="B1208" t="str">
        <f>"1551603765827383"</f>
        <v>1551603765827383</v>
      </c>
      <c r="C1208" t="s">
        <v>40</v>
      </c>
      <c r="D1208">
        <v>4.2006199999999998</v>
      </c>
      <c r="E1208">
        <v>0.52530219999999905</v>
      </c>
      <c r="F1208" t="s">
        <v>42</v>
      </c>
      <c r="G1208">
        <v>-221.9761</v>
      </c>
      <c r="H1208" s="1">
        <v>-4.2941379999999999E-6</v>
      </c>
      <c r="I1208">
        <v>364.71409999999997</v>
      </c>
      <c r="J1208">
        <v>-253.95949999999999</v>
      </c>
      <c r="K1208">
        <v>1.1215360000000001</v>
      </c>
      <c r="L1208">
        <v>367.98270000000002</v>
      </c>
      <c r="M1208">
        <v>0.99988200000000005</v>
      </c>
      <c r="N1208">
        <v>-1.414383E-2</v>
      </c>
      <c r="O1208">
        <v>6.0073799999999997E-3</v>
      </c>
      <c r="P1208">
        <v>0.99048530000000001</v>
      </c>
      <c r="Q1208">
        <v>0.13096849999999999</v>
      </c>
      <c r="R1208">
        <v>-4.2264120000000002E-2</v>
      </c>
      <c r="S1208">
        <v>3.0294650000000001</v>
      </c>
      <c r="T1208">
        <v>-0.1056803</v>
      </c>
      <c r="U1208">
        <v>-0.30789179999999999</v>
      </c>
      <c r="V1208">
        <v>4.8220039999999999E-2</v>
      </c>
      <c r="W1208">
        <v>0.1449589</v>
      </c>
      <c r="X1208">
        <v>0.98826199999999997</v>
      </c>
      <c r="Y1208">
        <v>0.1069949</v>
      </c>
      <c r="Z1208">
        <v>-2.7440640000000001E-3</v>
      </c>
      <c r="AA1208">
        <v>0.99425580000000002</v>
      </c>
      <c r="AB1208">
        <v>30</v>
      </c>
      <c r="AC1208">
        <v>31.9833999999999</v>
      </c>
      <c r="AD1208">
        <v>-1.1215402941379999</v>
      </c>
      <c r="AE1208">
        <v>-3.2686000000000401</v>
      </c>
      <c r="AF1208">
        <v>3.4564903204666702</v>
      </c>
      <c r="AG1208">
        <v>-1.1215402941379999</v>
      </c>
      <c r="AH1208">
        <v>31.924335164024502</v>
      </c>
      <c r="AI1208">
        <v>92.000361113384699</v>
      </c>
      <c r="AJ1208">
        <v>83.820581012647807</v>
      </c>
      <c r="AK1208">
        <v>32.130489470778798</v>
      </c>
      <c r="AL1208">
        <v>81.665100962526196</v>
      </c>
      <c r="AM1208">
        <v>87.206595614247504</v>
      </c>
      <c r="AN1208">
        <v>1.0000000177954</v>
      </c>
    </row>
    <row r="1209" spans="1:40" x14ac:dyDescent="0.25">
      <c r="A1209" t="str">
        <f>"20190303170245848"</f>
        <v>20190303170245848</v>
      </c>
      <c r="B1209" t="str">
        <f>"1551603765837143"</f>
        <v>1551603765837143</v>
      </c>
      <c r="C1209" t="s">
        <v>40</v>
      </c>
      <c r="D1209">
        <v>4.144177</v>
      </c>
      <c r="E1209">
        <v>0.52534519999999996</v>
      </c>
      <c r="F1209" t="s">
        <v>42</v>
      </c>
      <c r="G1209">
        <v>-221.37540000000001</v>
      </c>
      <c r="H1209" s="1">
        <v>-4.5607670000000002E-6</v>
      </c>
      <c r="I1209">
        <v>364.66379999999998</v>
      </c>
      <c r="J1209">
        <v>-253.79679999999999</v>
      </c>
      <c r="K1209">
        <v>1.1215379999999999</v>
      </c>
      <c r="L1209">
        <v>367.98360000000002</v>
      </c>
      <c r="M1209">
        <v>0.99988189999999999</v>
      </c>
      <c r="N1209">
        <v>-1.415252E-2</v>
      </c>
      <c r="O1209">
        <v>6.0073180000000002E-3</v>
      </c>
      <c r="P1209">
        <v>0.99051339999999999</v>
      </c>
      <c r="Q1209">
        <v>0.1308058</v>
      </c>
      <c r="R1209">
        <v>-4.2110050000000003E-2</v>
      </c>
      <c r="S1209">
        <v>3.0294340000000002</v>
      </c>
      <c r="T1209">
        <v>-0.1042722</v>
      </c>
      <c r="U1209">
        <v>-0.30856319999999998</v>
      </c>
      <c r="V1209">
        <v>4.806614E-2</v>
      </c>
      <c r="W1209">
        <v>0.14480509999999999</v>
      </c>
      <c r="X1209">
        <v>0.98829199999999995</v>
      </c>
      <c r="Y1209">
        <v>0.1072158</v>
      </c>
      <c r="Z1209">
        <v>-2.7222729999999999E-3</v>
      </c>
      <c r="AA1209">
        <v>0.99423209999999995</v>
      </c>
      <c r="AB1209">
        <v>30</v>
      </c>
      <c r="AC1209">
        <v>32.421399999999899</v>
      </c>
      <c r="AD1209">
        <v>-1.121542560767</v>
      </c>
      <c r="AE1209">
        <v>-3.3198000000000398</v>
      </c>
      <c r="AF1209">
        <v>3.5103681303024801</v>
      </c>
      <c r="AG1209">
        <v>-1.121542560767</v>
      </c>
      <c r="AH1209">
        <v>32.362544892412203</v>
      </c>
      <c r="AI1209">
        <v>91.973258502701896</v>
      </c>
      <c r="AJ1209">
        <v>83.809325307103904</v>
      </c>
      <c r="AK1209">
        <v>32.5716879212492</v>
      </c>
      <c r="AL1209">
        <v>81.674006654664694</v>
      </c>
      <c r="AM1209">
        <v>87.215581434957002</v>
      </c>
      <c r="AN1209">
        <v>0.99999997403225405</v>
      </c>
    </row>
    <row r="1210" spans="1:40" x14ac:dyDescent="0.25">
      <c r="A1210" t="str">
        <f>"20190303170245861"</f>
        <v>20190303170245861</v>
      </c>
      <c r="B1210" t="str">
        <f>"1551603765846902"</f>
        <v>1551603765846902</v>
      </c>
      <c r="C1210" t="s">
        <v>40</v>
      </c>
      <c r="D1210">
        <v>4.2604569999999997</v>
      </c>
      <c r="E1210">
        <v>0.52543549999999895</v>
      </c>
      <c r="F1210" t="s">
        <v>42</v>
      </c>
      <c r="G1210">
        <v>-221.2688</v>
      </c>
      <c r="H1210" s="1">
        <v>-4.6049459999999997E-6</v>
      </c>
      <c r="I1210">
        <v>364.67239999999998</v>
      </c>
      <c r="J1210">
        <v>-253.63339999999999</v>
      </c>
      <c r="K1210">
        <v>1.12154</v>
      </c>
      <c r="L1210">
        <v>367.9846</v>
      </c>
      <c r="M1210">
        <v>0.99988169999999998</v>
      </c>
      <c r="N1210">
        <v>-1.416063E-2</v>
      </c>
      <c r="O1210">
        <v>6.0072600000000004E-3</v>
      </c>
      <c r="P1210">
        <v>0.99046900000000004</v>
      </c>
      <c r="Q1210">
        <v>0.13112179999999901</v>
      </c>
      <c r="R1210">
        <v>-4.2173229999999999E-2</v>
      </c>
      <c r="S1210">
        <v>3.0294189999999999</v>
      </c>
      <c r="T1210">
        <v>-0.104452</v>
      </c>
      <c r="U1210">
        <v>-0.30838009999999999</v>
      </c>
      <c r="V1210">
        <v>4.8128810000000001E-2</v>
      </c>
      <c r="W1210">
        <v>0.1451287</v>
      </c>
      <c r="X1210">
        <v>0.98824149999999999</v>
      </c>
      <c r="Y1210">
        <v>0.1071566</v>
      </c>
      <c r="Z1210">
        <v>-2.7247600000000001E-3</v>
      </c>
      <c r="AA1210">
        <v>0.99423839999999997</v>
      </c>
      <c r="AB1210">
        <v>30</v>
      </c>
      <c r="AC1210">
        <v>32.364600000000003</v>
      </c>
      <c r="AD1210">
        <v>-1.1215446049460001</v>
      </c>
      <c r="AE1210">
        <v>-3.31220000000001</v>
      </c>
      <c r="AF1210">
        <v>3.5024199600609802</v>
      </c>
      <c r="AG1210">
        <v>-1.1215446049460001</v>
      </c>
      <c r="AH1210">
        <v>32.305724095100203</v>
      </c>
      <c r="AI1210">
        <v>91.976741705866104</v>
      </c>
      <c r="AJ1210">
        <v>83.812453968313903</v>
      </c>
      <c r="AK1210">
        <v>32.514375546614097</v>
      </c>
      <c r="AL1210">
        <v>81.655267943961704</v>
      </c>
      <c r="AM1210">
        <v>87.211814508635001</v>
      </c>
      <c r="AN1210">
        <v>0.99999999211897805</v>
      </c>
    </row>
    <row r="1211" spans="1:40" x14ac:dyDescent="0.25">
      <c r="A1211" t="str">
        <f>"20190303170245874"</f>
        <v>20190303170245874</v>
      </c>
      <c r="B1211" t="str">
        <f>"1551603765866422"</f>
        <v>1551603765866422</v>
      </c>
      <c r="C1211" t="s">
        <v>40</v>
      </c>
      <c r="D1211">
        <v>4.2619449999999999</v>
      </c>
      <c r="E1211">
        <v>0.52554590000000001</v>
      </c>
      <c r="F1211" t="s">
        <v>42</v>
      </c>
      <c r="G1211">
        <v>-220.66550000000001</v>
      </c>
      <c r="H1211" s="1">
        <v>-4.8738940000000003E-6</v>
      </c>
      <c r="I1211">
        <v>364.61520000000002</v>
      </c>
      <c r="J1211">
        <v>-253.45519999999999</v>
      </c>
      <c r="K1211">
        <v>1.121537</v>
      </c>
      <c r="L1211">
        <v>367.98570000000001</v>
      </c>
      <c r="M1211">
        <v>0.99988160000000004</v>
      </c>
      <c r="N1211">
        <v>-1.4168790000000001E-2</v>
      </c>
      <c r="O1211">
        <v>6.0073210000000004E-3</v>
      </c>
      <c r="P1211">
        <v>0.99044100000000002</v>
      </c>
      <c r="Q1211">
        <v>0.13135150000000001</v>
      </c>
      <c r="R1211">
        <v>-4.2111780000000001E-2</v>
      </c>
      <c r="S1211">
        <v>3.0293429999999999</v>
      </c>
      <c r="T1211">
        <v>-0.1030558</v>
      </c>
      <c r="U1211">
        <v>-0.30960079999999901</v>
      </c>
      <c r="V1211">
        <v>4.8067369999999998E-2</v>
      </c>
      <c r="W1211">
        <v>0.145366</v>
      </c>
      <c r="X1211">
        <v>0.98820960000000002</v>
      </c>
      <c r="Y1211">
        <v>0.107557399999999</v>
      </c>
      <c r="Z1211">
        <v>-2.7074489999999998E-3</v>
      </c>
      <c r="AA1211">
        <v>0.99419519999999995</v>
      </c>
      <c r="AB1211">
        <v>30</v>
      </c>
      <c r="AC1211">
        <v>32.789699999999897</v>
      </c>
      <c r="AD1211">
        <v>-1.121541873894</v>
      </c>
      <c r="AE1211">
        <v>-3.3704999999999901</v>
      </c>
      <c r="AF1211">
        <v>3.5633119909182902</v>
      </c>
      <c r="AG1211">
        <v>-1.121541873894</v>
      </c>
      <c r="AH1211">
        <v>32.730966278518501</v>
      </c>
      <c r="AI1211">
        <v>91.950980436923999</v>
      </c>
      <c r="AJ1211">
        <v>83.786866905523596</v>
      </c>
      <c r="AK1211">
        <v>32.943454616130303</v>
      </c>
      <c r="AL1211">
        <v>81.641525822462597</v>
      </c>
      <c r="AM1211">
        <v>87.215278480556606</v>
      </c>
      <c r="AN1211">
        <v>0.99999997977343802</v>
      </c>
    </row>
    <row r="1212" spans="1:40" x14ac:dyDescent="0.25">
      <c r="A1212" t="str">
        <f>"20190303170245886"</f>
        <v>20190303170245886</v>
      </c>
      <c r="B1212" t="str">
        <f>"1551603765877160"</f>
        <v>1551603765877160</v>
      </c>
      <c r="C1212" t="s">
        <v>40</v>
      </c>
      <c r="D1212">
        <v>4.2438359999999999</v>
      </c>
      <c r="E1212">
        <v>0.52558490000000002</v>
      </c>
      <c r="F1212" t="s">
        <v>42</v>
      </c>
      <c r="G1212">
        <v>-220.25059999999999</v>
      </c>
      <c r="H1212" s="1">
        <v>-5.0571810000000002E-6</v>
      </c>
      <c r="I1212">
        <v>364.58539999999999</v>
      </c>
      <c r="J1212">
        <v>-253.28870000000001</v>
      </c>
      <c r="K1212">
        <v>1.1215379999999999</v>
      </c>
      <c r="L1212">
        <v>367.98669999999998</v>
      </c>
      <c r="M1212">
        <v>0.99988149999999998</v>
      </c>
      <c r="N1212">
        <v>-1.417539E-2</v>
      </c>
      <c r="O1212">
        <v>6.0072739999999999E-3</v>
      </c>
      <c r="P1212">
        <v>0.99043409999999998</v>
      </c>
      <c r="Q1212">
        <v>0.13139509999999999</v>
      </c>
      <c r="R1212">
        <v>-4.2140280000000002E-2</v>
      </c>
      <c r="S1212">
        <v>3.0293580000000002</v>
      </c>
      <c r="T1212">
        <v>-0.1023215</v>
      </c>
      <c r="U1212">
        <v>-0.31021120000000002</v>
      </c>
      <c r="V1212">
        <v>4.8095720000000002E-2</v>
      </c>
      <c r="W1212">
        <v>0.14541599999999999</v>
      </c>
      <c r="X1212">
        <v>0.98820090000000005</v>
      </c>
      <c r="Y1212">
        <v>0.107756</v>
      </c>
      <c r="Z1212">
        <v>-2.6980530000000002E-3</v>
      </c>
      <c r="AA1212">
        <v>0.99417370000000005</v>
      </c>
      <c r="AB1212">
        <v>30</v>
      </c>
      <c r="AC1212">
        <v>33.0381</v>
      </c>
      <c r="AD1212">
        <v>-1.1215430571809999</v>
      </c>
      <c r="AE1212">
        <v>-3.4012999999999902</v>
      </c>
      <c r="AF1212">
        <v>3.5956273432635402</v>
      </c>
      <c r="AG1212">
        <v>-1.1215430571809999</v>
      </c>
      <c r="AH1212">
        <v>32.979462338922097</v>
      </c>
      <c r="AI1212">
        <v>91.936260080563002</v>
      </c>
      <c r="AJ1212">
        <v>83.777831676067805</v>
      </c>
      <c r="AK1212">
        <v>33.193844775577197</v>
      </c>
      <c r="AL1212">
        <v>81.638630563111306</v>
      </c>
      <c r="AM1212">
        <v>87.213614155045093</v>
      </c>
      <c r="AN1212">
        <v>1.00000001504956</v>
      </c>
    </row>
    <row r="1213" spans="1:40" x14ac:dyDescent="0.25">
      <c r="A1213" t="str">
        <f>"20190303170245902"</f>
        <v>20190303170245902</v>
      </c>
      <c r="B1213" t="str">
        <f>"1551603765896678"</f>
        <v>1551603765896678</v>
      </c>
      <c r="C1213" t="s">
        <v>40</v>
      </c>
      <c r="D1213">
        <v>4.277533</v>
      </c>
      <c r="E1213">
        <v>0.52571869999999998</v>
      </c>
      <c r="F1213" t="s">
        <v>42</v>
      </c>
      <c r="G1213">
        <v>-220.0402</v>
      </c>
      <c r="H1213" s="1">
        <v>-5.1481750000000001E-6</v>
      </c>
      <c r="I1213">
        <v>364.58120000000002</v>
      </c>
      <c r="J1213">
        <v>-253.084</v>
      </c>
      <c r="K1213">
        <v>1.12154</v>
      </c>
      <c r="L1213">
        <v>367.98790000000002</v>
      </c>
      <c r="M1213">
        <v>0.99988140000000003</v>
      </c>
      <c r="N1213">
        <v>-1.4182800000000001E-2</v>
      </c>
      <c r="O1213">
        <v>6.0072210000000001E-3</v>
      </c>
      <c r="P1213">
        <v>0.990448</v>
      </c>
      <c r="Q1213">
        <v>0.13130610000000001</v>
      </c>
      <c r="R1213">
        <v>-4.2086470000000001E-2</v>
      </c>
      <c r="S1213">
        <v>3.0292970000000001</v>
      </c>
      <c r="T1213">
        <v>-0.1021845</v>
      </c>
      <c r="U1213">
        <v>-0.3102722</v>
      </c>
      <c r="V1213">
        <v>4.8042019999999998E-2</v>
      </c>
      <c r="W1213">
        <v>0.14533489999999999</v>
      </c>
      <c r="X1213">
        <v>0.98821539999999997</v>
      </c>
      <c r="Y1213">
        <v>0.107778</v>
      </c>
      <c r="Z1213">
        <v>-2.6962739999999998E-3</v>
      </c>
      <c r="AA1213">
        <v>0.99417129999999998</v>
      </c>
      <c r="AB1213">
        <v>30</v>
      </c>
      <c r="AC1213">
        <v>33.043799999999997</v>
      </c>
      <c r="AD1213">
        <v>-1.1215451481750001</v>
      </c>
      <c r="AE1213">
        <v>-3.4066999999999998</v>
      </c>
      <c r="AF1213">
        <v>3.60105509402542</v>
      </c>
      <c r="AG1213">
        <v>-1.1215451481750001</v>
      </c>
      <c r="AH1213">
        <v>32.985137462802399</v>
      </c>
      <c r="AI1213">
        <v>91.935900398106895</v>
      </c>
      <c r="AJ1213">
        <v>83.769576590410395</v>
      </c>
      <c r="AK1213">
        <v>33.200071607597103</v>
      </c>
      <c r="AL1213">
        <v>81.643326789190098</v>
      </c>
      <c r="AM1213">
        <v>87.216761100166906</v>
      </c>
      <c r="AN1213">
        <v>0.99999997282042397</v>
      </c>
    </row>
    <row r="1214" spans="1:40" x14ac:dyDescent="0.25">
      <c r="A1214" t="str">
        <f>"20190303170245916"</f>
        <v>20190303170245916</v>
      </c>
      <c r="B1214" t="str">
        <f>"1551603765906438"</f>
        <v>1551603765906438</v>
      </c>
      <c r="C1214" t="s">
        <v>40</v>
      </c>
      <c r="D1214">
        <v>4.2167690000000002</v>
      </c>
      <c r="E1214">
        <v>0.5257484</v>
      </c>
      <c r="F1214" t="s">
        <v>42</v>
      </c>
      <c r="G1214">
        <v>-219.86510000000001</v>
      </c>
      <c r="H1214" s="1">
        <v>-1.373621E-6</v>
      </c>
      <c r="I1214">
        <v>364.57409999999999</v>
      </c>
      <c r="J1214">
        <v>-252.89570000000001</v>
      </c>
      <c r="K1214">
        <v>1.12154</v>
      </c>
      <c r="L1214">
        <v>367.98899999999998</v>
      </c>
      <c r="M1214">
        <v>0.99988129999999997</v>
      </c>
      <c r="N1214">
        <v>-1.4188889999999999E-2</v>
      </c>
      <c r="O1214">
        <v>6.0071769999999998E-3</v>
      </c>
      <c r="P1214">
        <v>0.99046480000000003</v>
      </c>
      <c r="Q1214">
        <v>0.13120670000000001</v>
      </c>
      <c r="R1214">
        <v>-4.2003659999999998E-2</v>
      </c>
      <c r="S1214">
        <v>3.0292819999999998</v>
      </c>
      <c r="T1214">
        <v>-0.1022748</v>
      </c>
      <c r="U1214">
        <v>-0.31130980000000003</v>
      </c>
      <c r="V1214">
        <v>4.7959189999999999E-2</v>
      </c>
      <c r="W1214">
        <v>0.1452415</v>
      </c>
      <c r="X1214">
        <v>0.98823320000000003</v>
      </c>
      <c r="Y1214">
        <v>0.108115</v>
      </c>
      <c r="Z1214">
        <v>-2.7064049999999998E-3</v>
      </c>
      <c r="AA1214">
        <v>0.99413470000000004</v>
      </c>
      <c r="AB1214">
        <v>30</v>
      </c>
      <c r="AC1214">
        <v>33.0305999999999</v>
      </c>
      <c r="AD1214">
        <v>-1.121541373621</v>
      </c>
      <c r="AE1214">
        <v>-3.4149000000000398</v>
      </c>
      <c r="AF1214">
        <v>3.60916195149465</v>
      </c>
      <c r="AG1214">
        <v>-1.121541373621</v>
      </c>
      <c r="AH1214">
        <v>32.971876142069704</v>
      </c>
      <c r="AI1214">
        <v>91.936611335164301</v>
      </c>
      <c r="AJ1214">
        <v>83.753169431301401</v>
      </c>
      <c r="AK1214">
        <v>33.1877766861965</v>
      </c>
      <c r="AL1214">
        <v>81.648735981061805</v>
      </c>
      <c r="AM1214">
        <v>87.221602166989797</v>
      </c>
      <c r="AN1214">
        <v>1.0000000174049699</v>
      </c>
    </row>
    <row r="1215" spans="1:40" x14ac:dyDescent="0.25">
      <c r="A1215" t="str">
        <f>"20190303170245926"</f>
        <v>20190303170245926</v>
      </c>
      <c r="B1215" t="str">
        <f>"1551603765917175"</f>
        <v>1551603765917175</v>
      </c>
      <c r="C1215" t="s">
        <v>40</v>
      </c>
      <c r="D1215">
        <v>4.2539249999999997</v>
      </c>
      <c r="E1215">
        <v>0.52579659999999995</v>
      </c>
      <c r="F1215" t="s">
        <v>42</v>
      </c>
      <c r="G1215">
        <v>-219.70750000000001</v>
      </c>
      <c r="H1215" s="1">
        <v>-1.425963E-6</v>
      </c>
      <c r="I1215">
        <v>364.57900000000001</v>
      </c>
      <c r="J1215">
        <v>-252.73599999999999</v>
      </c>
      <c r="K1215">
        <v>1.121542</v>
      </c>
      <c r="L1215">
        <v>367.99</v>
      </c>
      <c r="M1215">
        <v>0.99988129999999997</v>
      </c>
      <c r="N1215">
        <v>-1.4193290000000001E-2</v>
      </c>
      <c r="O1215">
        <v>6.0071459999999997E-3</v>
      </c>
      <c r="P1215">
        <v>0.99044209999999999</v>
      </c>
      <c r="Q1215">
        <v>0.1314361</v>
      </c>
      <c r="R1215">
        <v>-4.1825609999999999E-2</v>
      </c>
      <c r="S1215">
        <v>3.029236</v>
      </c>
      <c r="T1215">
        <v>-0.1023676</v>
      </c>
      <c r="U1215">
        <v>-0.31124879999999999</v>
      </c>
      <c r="V1215">
        <v>4.7780900000000001E-2</v>
      </c>
      <c r="W1215">
        <v>0.14547499999999999</v>
      </c>
      <c r="X1215">
        <v>0.98820750000000002</v>
      </c>
      <c r="Y1215">
        <v>0.1080965</v>
      </c>
      <c r="Z1215">
        <v>-2.708041E-3</v>
      </c>
      <c r="AA1215">
        <v>0.99413669999999998</v>
      </c>
      <c r="AB1215">
        <v>30</v>
      </c>
      <c r="AC1215">
        <v>33.028499999999902</v>
      </c>
      <c r="AD1215">
        <v>-1.1215434259629999</v>
      </c>
      <c r="AE1215">
        <v>-3.411</v>
      </c>
      <c r="AF1215">
        <v>3.6052522103318898</v>
      </c>
      <c r="AG1215">
        <v>-1.1215434259629999</v>
      </c>
      <c r="AH1215">
        <v>32.969796316748599</v>
      </c>
      <c r="AI1215">
        <v>91.936760316739495</v>
      </c>
      <c r="AJ1215">
        <v>83.759492560456906</v>
      </c>
      <c r="AK1215">
        <v>33.185285479023896</v>
      </c>
      <c r="AL1215">
        <v>81.635213875824306</v>
      </c>
      <c r="AM1215">
        <v>87.231842988851199</v>
      </c>
      <c r="AN1215">
        <v>1.00000002654302</v>
      </c>
    </row>
    <row r="1216" spans="1:40" x14ac:dyDescent="0.25">
      <c r="A1216" t="str">
        <f>"20190303170245939"</f>
        <v>20190303170245939</v>
      </c>
      <c r="B1216" t="str">
        <f>"1551603765926934"</f>
        <v>1551603765926934</v>
      </c>
      <c r="C1216" t="s">
        <v>40</v>
      </c>
      <c r="D1216">
        <v>4.1994730000000002</v>
      </c>
      <c r="E1216">
        <v>0.52581499999999903</v>
      </c>
      <c r="F1216" t="s">
        <v>42</v>
      </c>
      <c r="G1216">
        <v>-219.24189999999999</v>
      </c>
      <c r="H1216" s="1">
        <v>-1.5924789999999901E-6</v>
      </c>
      <c r="I1216">
        <v>364.54860000000002</v>
      </c>
      <c r="J1216">
        <v>-252.5847</v>
      </c>
      <c r="K1216">
        <v>1.121545</v>
      </c>
      <c r="L1216">
        <v>367.99090000000001</v>
      </c>
      <c r="M1216">
        <v>0.99988109999999997</v>
      </c>
      <c r="N1216">
        <v>-1.419722E-2</v>
      </c>
      <c r="O1216">
        <v>6.0072959999999996E-3</v>
      </c>
      <c r="P1216">
        <v>0.99037869999999995</v>
      </c>
      <c r="Q1216">
        <v>0.13198979999999999</v>
      </c>
      <c r="R1216">
        <v>-4.1579100000000001E-2</v>
      </c>
      <c r="S1216">
        <v>3.0292509999999999</v>
      </c>
      <c r="T1216">
        <v>-0.10143389999999999</v>
      </c>
      <c r="U1216">
        <v>-0.31124879999999999</v>
      </c>
      <c r="V1216">
        <v>4.7534180000000002E-2</v>
      </c>
      <c r="W1216">
        <v>0.1460312</v>
      </c>
      <c r="X1216">
        <v>0.98813740000000005</v>
      </c>
      <c r="Y1216">
        <v>0.1080975</v>
      </c>
      <c r="Z1216">
        <v>-2.689795E-3</v>
      </c>
      <c r="AA1216">
        <v>0.99413660000000004</v>
      </c>
      <c r="AB1216">
        <v>30</v>
      </c>
      <c r="AC1216">
        <v>33.342799999999997</v>
      </c>
      <c r="AD1216">
        <v>-1.121546592479</v>
      </c>
      <c r="AE1216">
        <v>-3.4422999999999799</v>
      </c>
      <c r="AF1216">
        <v>3.6384848443586302</v>
      </c>
      <c r="AG1216">
        <v>-1.121546592479</v>
      </c>
      <c r="AH1216">
        <v>33.2842553456899</v>
      </c>
      <c r="AI1216">
        <v>91.918488752137705</v>
      </c>
      <c r="AJ1216">
        <v>83.761454763246704</v>
      </c>
      <c r="AK1216">
        <v>33.501314789703699</v>
      </c>
      <c r="AL1216">
        <v>81.6030023017926</v>
      </c>
      <c r="AM1216">
        <v>87.245919435312501</v>
      </c>
      <c r="AN1216">
        <v>1.0000000654602299</v>
      </c>
    </row>
    <row r="1217" spans="1:40" x14ac:dyDescent="0.25">
      <c r="A1217" t="str">
        <f>"20190303170245950"</f>
        <v>20190303170245950</v>
      </c>
      <c r="B1217" t="str">
        <f>"1551603765936695"</f>
        <v>1551603765936695</v>
      </c>
      <c r="C1217" t="s">
        <v>40</v>
      </c>
      <c r="D1217">
        <v>4.2985340000000001</v>
      </c>
      <c r="E1217">
        <v>0.52581499999999903</v>
      </c>
      <c r="F1217" t="s">
        <v>42</v>
      </c>
      <c r="G1217">
        <v>-218.4684</v>
      </c>
      <c r="H1217" s="1">
        <v>-1.8710050000000001E-6</v>
      </c>
      <c r="I1217">
        <v>364.49119999999999</v>
      </c>
      <c r="J1217">
        <v>-252.4239</v>
      </c>
      <c r="K1217">
        <v>1.12155</v>
      </c>
      <c r="L1217">
        <v>367.99189999999999</v>
      </c>
      <c r="M1217">
        <v>0.99988109999999997</v>
      </c>
      <c r="N1217">
        <v>-1.4200920000000001E-2</v>
      </c>
      <c r="O1217">
        <v>6.0072700000000003E-3</v>
      </c>
      <c r="P1217">
        <v>0.99033289999999996</v>
      </c>
      <c r="Q1217">
        <v>0.13238910000000001</v>
      </c>
      <c r="R1217">
        <v>-4.1401159999999999E-2</v>
      </c>
      <c r="S1217">
        <v>3.0293730000000001</v>
      </c>
      <c r="T1217">
        <v>-9.9588040000000003E-2</v>
      </c>
      <c r="U1217">
        <v>-0.3107605</v>
      </c>
      <c r="V1217">
        <v>4.7356019999999999E-2</v>
      </c>
      <c r="W1217">
        <v>0.14643399999999901</v>
      </c>
      <c r="X1217">
        <v>0.98808629999999997</v>
      </c>
      <c r="Y1217">
        <v>0.1079377</v>
      </c>
      <c r="Z1217">
        <v>-2.6496660000000002E-3</v>
      </c>
      <c r="AA1217">
        <v>0.99415419999999999</v>
      </c>
      <c r="AB1217">
        <v>30</v>
      </c>
      <c r="AC1217">
        <v>33.955500000000001</v>
      </c>
      <c r="AD1217">
        <v>-1.1215518710050001</v>
      </c>
      <c r="AE1217">
        <v>-3.5006999999999899</v>
      </c>
      <c r="AF1217">
        <v>3.7006423709970502</v>
      </c>
      <c r="AG1217">
        <v>-1.1215518710050001</v>
      </c>
      <c r="AH1217">
        <v>33.897262978093103</v>
      </c>
      <c r="AI1217">
        <v>91.883857449615107</v>
      </c>
      <c r="AJ1217">
        <v>83.769562118130594</v>
      </c>
      <c r="AK1217">
        <v>34.117108171170798</v>
      </c>
      <c r="AL1217">
        <v>81.579672412878494</v>
      </c>
      <c r="AM1217">
        <v>87.2560843548534</v>
      </c>
      <c r="AN1217">
        <v>1.0000000226169601</v>
      </c>
    </row>
    <row r="1218" spans="1:40" x14ac:dyDescent="0.25">
      <c r="A1218" t="str">
        <f>"20190303170245962"</f>
        <v>20190303170245962</v>
      </c>
      <c r="B1218" t="str">
        <f>"1551603765947431"</f>
        <v>1551603765947431</v>
      </c>
      <c r="C1218" t="s">
        <v>40</v>
      </c>
      <c r="D1218">
        <v>4.2783179999999996</v>
      </c>
      <c r="E1218">
        <v>0.53364029999999996</v>
      </c>
      <c r="F1218" t="s">
        <v>42</v>
      </c>
      <c r="G1218">
        <v>-217.88939999999999</v>
      </c>
      <c r="H1218" s="1">
        <v>-2.0773969999999999E-6</v>
      </c>
      <c r="I1218">
        <v>364.45600000000002</v>
      </c>
      <c r="J1218">
        <v>-252.27359999999999</v>
      </c>
      <c r="K1218">
        <v>1.121553</v>
      </c>
      <c r="L1218">
        <v>367.99279999999999</v>
      </c>
      <c r="M1218">
        <v>0.99988109999999997</v>
      </c>
      <c r="N1218">
        <v>-1.4204E-2</v>
      </c>
      <c r="O1218">
        <v>6.0072479999999998E-3</v>
      </c>
      <c r="P1218">
        <v>0.99025450000000004</v>
      </c>
      <c r="Q1218">
        <v>0.13297800000000001</v>
      </c>
      <c r="R1218">
        <v>-4.1392489999999997E-2</v>
      </c>
      <c r="S1218">
        <v>3.0294650000000001</v>
      </c>
      <c r="T1218">
        <v>-9.8385570000000006E-2</v>
      </c>
      <c r="U1218">
        <v>-0.31018069999999998</v>
      </c>
      <c r="V1218">
        <v>4.7346859999999998E-2</v>
      </c>
      <c r="W1218">
        <v>0.14702460000000001</v>
      </c>
      <c r="X1218">
        <v>0.98799899999999996</v>
      </c>
      <c r="Y1218">
        <v>0.1077482</v>
      </c>
      <c r="Z1218">
        <v>-2.6216159999999998E-3</v>
      </c>
      <c r="AA1218">
        <v>0.99417480000000003</v>
      </c>
      <c r="AB1218">
        <v>30</v>
      </c>
      <c r="AC1218">
        <v>34.3841999999999</v>
      </c>
      <c r="AD1218">
        <v>-1.121555077397</v>
      </c>
      <c r="AE1218">
        <v>-3.5368000000000199</v>
      </c>
      <c r="AF1218">
        <v>3.7393745475800202</v>
      </c>
      <c r="AG1218">
        <v>-1.121555077397</v>
      </c>
      <c r="AH1218">
        <v>34.326191715464198</v>
      </c>
      <c r="AI1218">
        <v>91.860386599073195</v>
      </c>
      <c r="AJ1218">
        <v>83.782915071567601</v>
      </c>
      <c r="AK1218">
        <v>34.547478134959803</v>
      </c>
      <c r="AL1218">
        <v>81.545463000789297</v>
      </c>
      <c r="AM1218">
        <v>87.256372258885904</v>
      </c>
      <c r="AN1218">
        <v>0.99999999107900905</v>
      </c>
    </row>
    <row r="1219" spans="1:40" x14ac:dyDescent="0.25">
      <c r="A1219" t="str">
        <f>"20190303170245975"</f>
        <v>20190303170245975</v>
      </c>
      <c r="B1219" t="str">
        <f>"1551603765966951"</f>
        <v>1551603765966951</v>
      </c>
      <c r="C1219" t="s">
        <v>40</v>
      </c>
      <c r="D1219">
        <v>4.3094979999999996</v>
      </c>
      <c r="E1219">
        <v>0.53442670000000003</v>
      </c>
      <c r="F1219" t="s">
        <v>42</v>
      </c>
      <c r="G1219">
        <v>-212.06569999999999</v>
      </c>
      <c r="H1219" s="1">
        <v>-4.5537309999999999E-6</v>
      </c>
      <c r="I1219">
        <v>363.03379999999999</v>
      </c>
      <c r="J1219">
        <v>-252.09110000000001</v>
      </c>
      <c r="K1219">
        <v>1.121559</v>
      </c>
      <c r="L1219">
        <v>367.9939</v>
      </c>
      <c r="M1219">
        <v>0.99988109999999997</v>
      </c>
      <c r="N1219">
        <v>-1.420743E-2</v>
      </c>
      <c r="O1219">
        <v>6.0070449999999999E-3</v>
      </c>
      <c r="P1219">
        <v>0.99019380000000001</v>
      </c>
      <c r="Q1219">
        <v>0.1333934</v>
      </c>
      <c r="R1219">
        <v>-4.1504300000000001E-2</v>
      </c>
      <c r="S1219">
        <v>3.0252379999999999</v>
      </c>
      <c r="T1219">
        <v>-8.4385749999999995E-2</v>
      </c>
      <c r="U1219">
        <v>-0.37310789999999999</v>
      </c>
      <c r="V1219">
        <v>4.7458090000000001E-2</v>
      </c>
      <c r="W1219">
        <v>0.1474424</v>
      </c>
      <c r="X1219">
        <v>0.98793140000000002</v>
      </c>
      <c r="Y1219">
        <v>0.1282896</v>
      </c>
      <c r="Z1219">
        <v>-2.7791360000000002E-3</v>
      </c>
      <c r="AA1219">
        <v>0.99173279999999997</v>
      </c>
      <c r="AB1219">
        <v>30</v>
      </c>
      <c r="AC1219">
        <v>40.025399999999998</v>
      </c>
      <c r="AD1219">
        <v>-1.121563553731</v>
      </c>
      <c r="AE1219">
        <v>-4.9601000000000104</v>
      </c>
      <c r="AF1219">
        <v>5.1964506161283603</v>
      </c>
      <c r="AG1219">
        <v>-1.121563553731</v>
      </c>
      <c r="AH1219">
        <v>39.963974324705497</v>
      </c>
      <c r="AI1219">
        <v>91.594134883446799</v>
      </c>
      <c r="AJ1219">
        <v>82.591489162048703</v>
      </c>
      <c r="AK1219">
        <v>40.316004857086703</v>
      </c>
      <c r="AL1219">
        <v>81.521261067701502</v>
      </c>
      <c r="AM1219">
        <v>87.249748765656193</v>
      </c>
      <c r="AN1219">
        <v>0.999999991365084</v>
      </c>
    </row>
    <row r="1220" spans="1:40" x14ac:dyDescent="0.25">
      <c r="A1220" t="str">
        <f>"20190303170245989"</f>
        <v>20190303170245989</v>
      </c>
      <c r="B1220" t="str">
        <f>"1551603765976711"</f>
        <v>1551603765976711</v>
      </c>
      <c r="C1220" t="s">
        <v>40</v>
      </c>
      <c r="D1220">
        <v>4.3040940000000001</v>
      </c>
      <c r="E1220">
        <v>0.53560200000000002</v>
      </c>
      <c r="F1220" t="s">
        <v>42</v>
      </c>
      <c r="G1220">
        <v>-211.3792</v>
      </c>
      <c r="H1220" s="1">
        <v>-4.8743050000000004E-6</v>
      </c>
      <c r="I1220">
        <v>362.887</v>
      </c>
      <c r="J1220">
        <v>-251.90100000000001</v>
      </c>
      <c r="K1220">
        <v>1.1215649999999999</v>
      </c>
      <c r="L1220">
        <v>367.995</v>
      </c>
      <c r="M1220">
        <v>0.99988109999999997</v>
      </c>
      <c r="N1220">
        <v>-1.421035E-2</v>
      </c>
      <c r="O1220">
        <v>6.0072019999999997E-3</v>
      </c>
      <c r="P1220">
        <v>0.99014489999999999</v>
      </c>
      <c r="Q1220">
        <v>0.1337614</v>
      </c>
      <c r="R1220">
        <v>-4.1488869999999997E-2</v>
      </c>
      <c r="S1220">
        <v>3.0250089999999998</v>
      </c>
      <c r="T1220">
        <v>-8.3335279999999998E-2</v>
      </c>
      <c r="U1220">
        <v>-0.3794556</v>
      </c>
      <c r="V1220">
        <v>4.7442579999999998E-2</v>
      </c>
      <c r="W1220">
        <v>0.14781259999999999</v>
      </c>
      <c r="X1220">
        <v>0.9878768</v>
      </c>
      <c r="Y1220">
        <v>0.1303483</v>
      </c>
      <c r="Z1220">
        <v>-2.7980050000000001E-3</v>
      </c>
      <c r="AA1220">
        <v>0.99146429999999997</v>
      </c>
      <c r="AB1220">
        <v>30</v>
      </c>
      <c r="AC1220">
        <v>40.521799999999899</v>
      </c>
      <c r="AD1220">
        <v>-1.121569874305</v>
      </c>
      <c r="AE1220">
        <v>-5.10800000000006</v>
      </c>
      <c r="AF1220">
        <v>5.3473225944550702</v>
      </c>
      <c r="AG1220">
        <v>-1.121569874305</v>
      </c>
      <c r="AH1220">
        <v>40.459870060019398</v>
      </c>
      <c r="AI1220">
        <v>91.574182118978399</v>
      </c>
      <c r="AJ1220">
        <v>82.471216096973805</v>
      </c>
      <c r="AK1220">
        <v>40.827109415016999</v>
      </c>
      <c r="AL1220">
        <v>81.499814984055206</v>
      </c>
      <c r="AM1220">
        <v>87.250494485023907</v>
      </c>
      <c r="AN1220">
        <v>0.99999996754702702</v>
      </c>
    </row>
    <row r="1221" spans="1:40" x14ac:dyDescent="0.25">
      <c r="A1221" t="str">
        <f>"20190303170246004"</f>
        <v>20190303170246004</v>
      </c>
      <c r="B1221" t="str">
        <f>"1551603765997207"</f>
        <v>1551603765997207</v>
      </c>
      <c r="C1221" t="s">
        <v>40</v>
      </c>
      <c r="D1221">
        <v>4.3360059999999896</v>
      </c>
      <c r="E1221">
        <v>0.53722479999999995</v>
      </c>
      <c r="F1221" t="s">
        <v>42</v>
      </c>
      <c r="G1221">
        <v>-211.1953</v>
      </c>
      <c r="H1221" s="1">
        <v>-4.9750660000000004E-6</v>
      </c>
      <c r="I1221">
        <v>362.76369999999997</v>
      </c>
      <c r="J1221">
        <v>-251.71889999999999</v>
      </c>
      <c r="K1221">
        <v>1.1215660000000001</v>
      </c>
      <c r="L1221">
        <v>367.99610000000001</v>
      </c>
      <c r="M1221">
        <v>0.99988100000000002</v>
      </c>
      <c r="N1221">
        <v>-1.4212789999999999E-2</v>
      </c>
      <c r="O1221">
        <v>6.0073640000000003E-3</v>
      </c>
      <c r="P1221">
        <v>0.99013390000000001</v>
      </c>
      <c r="Q1221">
        <v>0.1339071</v>
      </c>
      <c r="R1221">
        <v>-4.1278530000000001E-2</v>
      </c>
      <c r="S1221">
        <v>3.024826</v>
      </c>
      <c r="T1221">
        <v>-8.3343390000000003E-2</v>
      </c>
      <c r="U1221">
        <v>-0.38873289999999999</v>
      </c>
      <c r="V1221">
        <v>4.7232179999999999E-2</v>
      </c>
      <c r="W1221">
        <v>0.1479608</v>
      </c>
      <c r="X1221">
        <v>0.98786470000000004</v>
      </c>
      <c r="Y1221">
        <v>0.1333462</v>
      </c>
      <c r="Z1221">
        <v>-2.8608010000000001E-3</v>
      </c>
      <c r="AA1221">
        <v>0.99106539999999999</v>
      </c>
      <c r="AB1221">
        <v>30</v>
      </c>
      <c r="AC1221">
        <v>40.523599999999902</v>
      </c>
      <c r="AD1221">
        <v>-1.1215709750659999</v>
      </c>
      <c r="AE1221">
        <v>-5.2324000000000401</v>
      </c>
      <c r="AF1221">
        <v>5.4716475261713402</v>
      </c>
      <c r="AG1221">
        <v>-1.1215709750659999</v>
      </c>
      <c r="AH1221">
        <v>40.460947068359701</v>
      </c>
      <c r="AI1221">
        <v>91.573507630990406</v>
      </c>
      <c r="AJ1221">
        <v>82.2984524140291</v>
      </c>
      <c r="AK1221">
        <v>40.8446457417784</v>
      </c>
      <c r="AL1221">
        <v>81.491229376672706</v>
      </c>
      <c r="AM1221">
        <v>87.262636022636201</v>
      </c>
      <c r="AN1221">
        <v>0.99999997133513996</v>
      </c>
    </row>
    <row r="1222" spans="1:40" x14ac:dyDescent="0.25">
      <c r="A1222" t="str">
        <f>"20190303170246017"</f>
        <v>20190303170246017</v>
      </c>
      <c r="B1222" t="str">
        <f>"1551603766006967"</f>
        <v>1551603766006967</v>
      </c>
      <c r="C1222" t="s">
        <v>40</v>
      </c>
      <c r="D1222">
        <v>4.3151060000000001</v>
      </c>
      <c r="E1222">
        <v>0.5375875</v>
      </c>
      <c r="F1222" t="s">
        <v>52</v>
      </c>
      <c r="G1222">
        <v>-208.53749999999999</v>
      </c>
      <c r="H1222" s="1">
        <v>-5.9444869999999999E-6</v>
      </c>
      <c r="I1222">
        <v>362.26</v>
      </c>
      <c r="J1222">
        <v>-251.53579999999999</v>
      </c>
      <c r="K1222">
        <v>1.121569</v>
      </c>
      <c r="L1222">
        <v>367.9973</v>
      </c>
      <c r="M1222">
        <v>0.99988089999999996</v>
      </c>
      <c r="N1222">
        <v>-1.4214930000000001E-2</v>
      </c>
      <c r="O1222">
        <v>6.00717E-3</v>
      </c>
      <c r="P1222">
        <v>0.99015249999999999</v>
      </c>
      <c r="Q1222">
        <v>0.1337333</v>
      </c>
      <c r="R1222">
        <v>-4.1395870000000001E-2</v>
      </c>
      <c r="S1222">
        <v>3.0237729999999998</v>
      </c>
      <c r="T1222">
        <v>-7.8537940000000001E-2</v>
      </c>
      <c r="U1222">
        <v>-0.40167239999999999</v>
      </c>
      <c r="V1222">
        <v>4.7349580000000002E-2</v>
      </c>
      <c r="W1222">
        <v>0.14778910000000001</v>
      </c>
      <c r="X1222">
        <v>0.98788480000000001</v>
      </c>
      <c r="Y1222">
        <v>0.13756309999999999</v>
      </c>
      <c r="Z1222">
        <v>-2.8310169999999999E-3</v>
      </c>
      <c r="AA1222">
        <v>0.99048890000000001</v>
      </c>
      <c r="AB1222">
        <v>30</v>
      </c>
      <c r="AC1222">
        <v>42.9983</v>
      </c>
      <c r="AD1222">
        <v>-1.121574944487</v>
      </c>
      <c r="AE1222">
        <v>-5.7373000000000003</v>
      </c>
      <c r="AF1222">
        <v>5.9915154400567898</v>
      </c>
      <c r="AG1222">
        <v>-1.121574944487</v>
      </c>
      <c r="AH1222">
        <v>42.934354736801701</v>
      </c>
      <c r="AI1222">
        <v>91.482043531746598</v>
      </c>
      <c r="AJ1222">
        <v>82.055644289291706</v>
      </c>
      <c r="AK1222">
        <v>43.364905214817099</v>
      </c>
      <c r="AL1222">
        <v>81.501176574436997</v>
      </c>
      <c r="AM1222">
        <v>87.255898184584495</v>
      </c>
      <c r="AN1222">
        <v>0.99999998943801305</v>
      </c>
    </row>
    <row r="1223" spans="1:40" x14ac:dyDescent="0.25">
      <c r="A1223" t="str">
        <f>"20190303170246030"</f>
        <v>20190303170246030</v>
      </c>
      <c r="B1223" t="str">
        <f>"1551603766016727"</f>
        <v>1551603766016727</v>
      </c>
      <c r="C1223" t="s">
        <v>40</v>
      </c>
      <c r="D1223">
        <v>4.333996</v>
      </c>
      <c r="E1223">
        <v>0.53787390000000002</v>
      </c>
      <c r="F1223" t="s">
        <v>52</v>
      </c>
      <c r="G1223">
        <v>-208.44489999999999</v>
      </c>
      <c r="H1223" s="1">
        <v>-5.9185839999999999E-6</v>
      </c>
      <c r="I1223">
        <v>362.22739999999999</v>
      </c>
      <c r="J1223">
        <v>-251.36009999999999</v>
      </c>
      <c r="K1223">
        <v>1.1215710000000001</v>
      </c>
      <c r="L1223">
        <v>367.99829999999997</v>
      </c>
      <c r="M1223">
        <v>0.99988100000000002</v>
      </c>
      <c r="N1223">
        <v>-1.421657E-2</v>
      </c>
      <c r="O1223">
        <v>6.0071580000000003E-3</v>
      </c>
      <c r="P1223">
        <v>0.99015410000000004</v>
      </c>
      <c r="Q1223">
        <v>0.13371459999999999</v>
      </c>
      <c r="R1223">
        <v>-4.1421949999999999E-2</v>
      </c>
      <c r="S1223">
        <v>3.0235289999999999</v>
      </c>
      <c r="T1223">
        <v>-7.8696849999999999E-2</v>
      </c>
      <c r="U1223">
        <v>-0.40484619999999999</v>
      </c>
      <c r="V1223">
        <v>4.7375550000000002E-2</v>
      </c>
      <c r="W1223">
        <v>0.14777209999999999</v>
      </c>
      <c r="X1223">
        <v>0.98788609999999999</v>
      </c>
      <c r="Y1223">
        <v>0.1385943</v>
      </c>
      <c r="Z1223">
        <v>-2.8558500000000001E-3</v>
      </c>
      <c r="AA1223">
        <v>0.99034509999999998</v>
      </c>
      <c r="AB1223">
        <v>30</v>
      </c>
      <c r="AC1223">
        <v>42.915199999999999</v>
      </c>
      <c r="AD1223">
        <v>-1.1215769185840001</v>
      </c>
      <c r="AE1223">
        <v>-5.7708999999999797</v>
      </c>
      <c r="AF1223">
        <v>6.02457842667976</v>
      </c>
      <c r="AG1223">
        <v>-1.1215769185840001</v>
      </c>
      <c r="AH1223">
        <v>42.851006903167601</v>
      </c>
      <c r="AI1223">
        <v>91.484714861527806</v>
      </c>
      <c r="AJ1223">
        <v>81.997033904461702</v>
      </c>
      <c r="AK1223">
        <v>43.286975785088401</v>
      </c>
      <c r="AL1223">
        <v>81.502161433101904</v>
      </c>
      <c r="AM1223">
        <v>87.254399026777193</v>
      </c>
      <c r="AN1223">
        <v>0.99999999142471097</v>
      </c>
    </row>
    <row r="1224" spans="1:40" x14ac:dyDescent="0.25">
      <c r="A1224" t="str">
        <f>"20190303170246043"</f>
        <v>20190303170246043</v>
      </c>
      <c r="B1224" t="str">
        <f>"1551603766037222"</f>
        <v>1551603766037222</v>
      </c>
      <c r="C1224" t="s">
        <v>40</v>
      </c>
      <c r="D1224">
        <v>4.3336230000000002</v>
      </c>
      <c r="E1224">
        <v>0.53843109999999905</v>
      </c>
      <c r="F1224" t="s">
        <v>52</v>
      </c>
      <c r="G1224">
        <v>-207.54249999999999</v>
      </c>
      <c r="H1224" s="1">
        <v>-5.6363889999999998E-6</v>
      </c>
      <c r="I1224">
        <v>362.1001</v>
      </c>
      <c r="J1224">
        <v>-251.1918</v>
      </c>
      <c r="K1224">
        <v>1.1215660000000001</v>
      </c>
      <c r="L1224">
        <v>367.99930000000001</v>
      </c>
      <c r="M1224">
        <v>0.99988100000000002</v>
      </c>
      <c r="N1224">
        <v>-1.421797E-2</v>
      </c>
      <c r="O1224">
        <v>6.0071480000000003E-3</v>
      </c>
      <c r="P1224">
        <v>0.99013620000000002</v>
      </c>
      <c r="Q1224">
        <v>0.13381680000000001</v>
      </c>
      <c r="R1224">
        <v>-4.1517020000000002E-2</v>
      </c>
      <c r="S1224">
        <v>3.0232540000000001</v>
      </c>
      <c r="T1224">
        <v>-7.7384590000000003E-2</v>
      </c>
      <c r="U1224">
        <v>-0.40695189999999998</v>
      </c>
      <c r="V1224">
        <v>4.7470539999999999E-2</v>
      </c>
      <c r="W1224">
        <v>0.14787539999999999</v>
      </c>
      <c r="X1224">
        <v>0.98786609999999997</v>
      </c>
      <c r="Y1224">
        <v>0.139285299999999</v>
      </c>
      <c r="Z1224">
        <v>-2.837282E-3</v>
      </c>
      <c r="AA1224">
        <v>0.99024829999999997</v>
      </c>
      <c r="AB1224">
        <v>30</v>
      </c>
      <c r="AC1224">
        <v>43.649299999999997</v>
      </c>
      <c r="AD1224">
        <v>-1.121571636389</v>
      </c>
      <c r="AE1224">
        <v>-5.8992000000000004</v>
      </c>
      <c r="AF1224">
        <v>6.1573354435730501</v>
      </c>
      <c r="AG1224">
        <v>-1.121571636389</v>
      </c>
      <c r="AH1224">
        <v>43.584811233576403</v>
      </c>
      <c r="AI1224">
        <v>91.459585006845899</v>
      </c>
      <c r="AJ1224">
        <v>81.958894543159502</v>
      </c>
      <c r="AK1224">
        <v>44.031880188866801</v>
      </c>
      <c r="AL1224">
        <v>81.496177181673403</v>
      </c>
      <c r="AM1224">
        <v>87.248846816363496</v>
      </c>
      <c r="AN1224">
        <v>1.00000000881113</v>
      </c>
    </row>
    <row r="1225" spans="1:40" x14ac:dyDescent="0.25">
      <c r="A1225" t="str">
        <f>"20190303170246056"</f>
        <v>20190303170246056</v>
      </c>
      <c r="B1225" t="str">
        <f>"1551603766046983"</f>
        <v>1551603766046983</v>
      </c>
      <c r="C1225" t="s">
        <v>40</v>
      </c>
      <c r="D1225">
        <v>4.3629759999999997</v>
      </c>
      <c r="E1225">
        <v>0.53868059999999995</v>
      </c>
      <c r="F1225" t="s">
        <v>52</v>
      </c>
      <c r="G1225">
        <v>-206.70939999999999</v>
      </c>
      <c r="H1225" s="1">
        <v>-5.3825900000000001E-6</v>
      </c>
      <c r="I1225">
        <v>361.93959999999998</v>
      </c>
      <c r="J1225">
        <v>-251.01159999999999</v>
      </c>
      <c r="K1225">
        <v>1.1215679999999999</v>
      </c>
      <c r="L1225">
        <v>368.00040000000001</v>
      </c>
      <c r="M1225">
        <v>0.99988100000000002</v>
      </c>
      <c r="N1225">
        <v>-1.4219310000000001E-2</v>
      </c>
      <c r="O1225">
        <v>6.0071380000000004E-3</v>
      </c>
      <c r="P1225">
        <v>0.99009150000000001</v>
      </c>
      <c r="Q1225">
        <v>0.134042299999999</v>
      </c>
      <c r="R1225">
        <v>-4.1852819999999999E-2</v>
      </c>
      <c r="S1225">
        <v>3.0229029999999999</v>
      </c>
      <c r="T1225">
        <v>-7.6218839999999996E-2</v>
      </c>
      <c r="U1225">
        <v>-0.41180420000000001</v>
      </c>
      <c r="V1225">
        <v>4.7806269999999998E-2</v>
      </c>
      <c r="W1225">
        <v>0.14810129999999999</v>
      </c>
      <c r="X1225">
        <v>0.98781609999999997</v>
      </c>
      <c r="Y1225">
        <v>0.14086209999999999</v>
      </c>
      <c r="Z1225">
        <v>-2.8395180000000001E-3</v>
      </c>
      <c r="AA1225">
        <v>0.99002520000000005</v>
      </c>
      <c r="AB1225">
        <v>30</v>
      </c>
      <c r="AC1225">
        <v>44.302199999999999</v>
      </c>
      <c r="AD1225">
        <v>-1.1215733825900001</v>
      </c>
      <c r="AE1225">
        <v>-6.0608000000000199</v>
      </c>
      <c r="AF1225">
        <v>6.3228689113047301</v>
      </c>
      <c r="AG1225">
        <v>-1.1215733825900001</v>
      </c>
      <c r="AH1225">
        <v>44.237157105490702</v>
      </c>
      <c r="AI1225">
        <v>91.437740426456998</v>
      </c>
      <c r="AJ1225">
        <v>81.865740708439404</v>
      </c>
      <c r="AK1225">
        <v>44.700812821445901</v>
      </c>
      <c r="AL1225">
        <v>81.483090239065106</v>
      </c>
      <c r="AM1225">
        <v>87.229279789518699</v>
      </c>
      <c r="AN1225">
        <v>1.0000000409661001</v>
      </c>
    </row>
    <row r="1226" spans="1:40" x14ac:dyDescent="0.25">
      <c r="A1226" t="str">
        <f>"20190303170246068"</f>
        <v>20190303170246068</v>
      </c>
      <c r="B1226" t="str">
        <f>"1551603766056743"</f>
        <v>1551603766056743</v>
      </c>
      <c r="C1226" t="s">
        <v>40</v>
      </c>
      <c r="D1226">
        <v>4.335229</v>
      </c>
      <c r="E1226">
        <v>0.53882669999999999</v>
      </c>
      <c r="F1226" t="s">
        <v>52</v>
      </c>
      <c r="G1226">
        <v>-205.76079999999999</v>
      </c>
      <c r="H1226" s="1">
        <v>-5.0445949999999996E-6</v>
      </c>
      <c r="I1226">
        <v>361.79020000000003</v>
      </c>
      <c r="J1226">
        <v>-250.85130000000001</v>
      </c>
      <c r="K1226">
        <v>1.12157</v>
      </c>
      <c r="L1226">
        <v>368.00139999999999</v>
      </c>
      <c r="M1226">
        <v>0.99988089999999996</v>
      </c>
      <c r="N1226">
        <v>-1.4220099999999999E-2</v>
      </c>
      <c r="O1226">
        <v>6.0073110000000004E-3</v>
      </c>
      <c r="P1226">
        <v>0.99004029999999998</v>
      </c>
      <c r="Q1226">
        <v>0.13441800000000001</v>
      </c>
      <c r="R1226">
        <v>-4.1858279999999998E-2</v>
      </c>
      <c r="S1226">
        <v>3.0226289999999998</v>
      </c>
      <c r="T1226">
        <v>-7.4918029999999997E-2</v>
      </c>
      <c r="U1226">
        <v>-0.41482540000000001</v>
      </c>
      <c r="V1226">
        <v>4.7811439999999997E-2</v>
      </c>
      <c r="W1226">
        <v>0.14847759999999999</v>
      </c>
      <c r="X1226">
        <v>0.98775930000000001</v>
      </c>
      <c r="Y1226">
        <v>0.1418471</v>
      </c>
      <c r="Z1226">
        <v>-2.82614E-3</v>
      </c>
      <c r="AA1226">
        <v>0.9898846</v>
      </c>
      <c r="AB1226">
        <v>30</v>
      </c>
      <c r="AC1226">
        <v>45.090499999999999</v>
      </c>
      <c r="AD1226">
        <v>-1.1215750445949999</v>
      </c>
      <c r="AE1226">
        <v>-6.2111999999999599</v>
      </c>
      <c r="AF1226">
        <v>6.4780545384258197</v>
      </c>
      <c r="AG1226">
        <v>-1.1215750445949999</v>
      </c>
      <c r="AH1226">
        <v>45.025031187913797</v>
      </c>
      <c r="AI1226">
        <v>91.412406792813101</v>
      </c>
      <c r="AJ1226">
        <v>81.812655803564397</v>
      </c>
      <c r="AK1226">
        <v>45.502489543497397</v>
      </c>
      <c r="AL1226">
        <v>81.461288303695696</v>
      </c>
      <c r="AM1226">
        <v>87.228821521494893</v>
      </c>
      <c r="AN1226">
        <v>0.99999998311656102</v>
      </c>
    </row>
    <row r="1227" spans="1:40" x14ac:dyDescent="0.25">
      <c r="A1227" t="str">
        <f>"20190303170246084"</f>
        <v>20190303170246084</v>
      </c>
      <c r="B1227" t="str">
        <f>"1551603766077238"</f>
        <v>1551603766077238</v>
      </c>
      <c r="C1227" t="s">
        <v>40</v>
      </c>
      <c r="D1227">
        <v>4.3518210000000002</v>
      </c>
      <c r="E1227">
        <v>0.53891049999999996</v>
      </c>
      <c r="F1227" t="s">
        <v>52</v>
      </c>
      <c r="G1227">
        <v>-205.05350000000001</v>
      </c>
      <c r="H1227" s="1">
        <v>-4.73603599999999E-6</v>
      </c>
      <c r="I1227">
        <v>361.69580000000002</v>
      </c>
      <c r="J1227">
        <v>-250.6592</v>
      </c>
      <c r="K1227">
        <v>1.121572</v>
      </c>
      <c r="L1227">
        <v>368.0025</v>
      </c>
      <c r="M1227">
        <v>0.99988089999999996</v>
      </c>
      <c r="N1227">
        <v>-1.4220770000000001E-2</v>
      </c>
      <c r="O1227">
        <v>6.0073069999999999E-3</v>
      </c>
      <c r="P1227">
        <v>0.99003949999999996</v>
      </c>
      <c r="Q1227">
        <v>0.13438939999999999</v>
      </c>
      <c r="R1227">
        <v>-4.1966990000000003E-2</v>
      </c>
      <c r="S1227">
        <v>3.0226440000000001</v>
      </c>
      <c r="T1227">
        <v>-7.4023599999999995E-2</v>
      </c>
      <c r="U1227">
        <v>-0.41616819999999999</v>
      </c>
      <c r="V1227">
        <v>4.7920190000000001E-2</v>
      </c>
      <c r="W1227">
        <v>0.14844930000000001</v>
      </c>
      <c r="X1227">
        <v>0.98775829999999998</v>
      </c>
      <c r="Y1227">
        <v>0.14227909999999999</v>
      </c>
      <c r="Z1227">
        <v>-2.8118489999999999E-3</v>
      </c>
      <c r="AA1227">
        <v>0.9898226</v>
      </c>
      <c r="AB1227">
        <v>30</v>
      </c>
      <c r="AC1227">
        <v>45.605699999999899</v>
      </c>
      <c r="AD1227">
        <v>-1.1215767360360001</v>
      </c>
      <c r="AE1227">
        <v>-6.30669999999997</v>
      </c>
      <c r="AF1227">
        <v>6.5766782990152102</v>
      </c>
      <c r="AG1227">
        <v>-1.1215767360360001</v>
      </c>
      <c r="AH1227">
        <v>45.539960573321203</v>
      </c>
      <c r="AI1227">
        <v>91.396338688998298</v>
      </c>
      <c r="AJ1227">
        <v>81.782412642089</v>
      </c>
      <c r="AK1227">
        <v>46.026064798581302</v>
      </c>
      <c r="AL1227">
        <v>81.462928083716406</v>
      </c>
      <c r="AM1227">
        <v>87.2225253605516</v>
      </c>
      <c r="AN1227">
        <v>0.999999999249508</v>
      </c>
    </row>
    <row r="1228" spans="1:40" x14ac:dyDescent="0.25">
      <c r="A1228" t="str">
        <f>"20190303170246096"</f>
        <v>20190303170246096</v>
      </c>
      <c r="B1228" t="str">
        <f>"1551603766086998"</f>
        <v>1551603766086998</v>
      </c>
      <c r="C1228" t="s">
        <v>40</v>
      </c>
      <c r="D1228">
        <v>4.2344369999999998</v>
      </c>
      <c r="E1228">
        <v>0.53866800000000004</v>
      </c>
      <c r="F1228" t="s">
        <v>52</v>
      </c>
      <c r="G1228">
        <v>-205.56379999999999</v>
      </c>
      <c r="H1228" s="1">
        <v>-4.9548670000000003E-6</v>
      </c>
      <c r="I1228">
        <v>361.78100000000001</v>
      </c>
      <c r="J1228">
        <v>-250.47900000000001</v>
      </c>
      <c r="K1228">
        <v>1.121572</v>
      </c>
      <c r="L1228">
        <v>368.00360000000001</v>
      </c>
      <c r="M1228">
        <v>0.99988089999999996</v>
      </c>
      <c r="N1228">
        <v>-1.422114E-2</v>
      </c>
      <c r="O1228">
        <v>6.0073039999999998E-3</v>
      </c>
      <c r="P1228">
        <v>0.99001050000000002</v>
      </c>
      <c r="Q1228">
        <v>0.13457620000000001</v>
      </c>
      <c r="R1228">
        <v>-4.2052619999999999E-2</v>
      </c>
      <c r="S1228">
        <v>3.0227050000000002</v>
      </c>
      <c r="T1228">
        <v>-7.5178380000000003E-2</v>
      </c>
      <c r="U1228">
        <v>-0.41702270000000002</v>
      </c>
      <c r="V1228">
        <v>4.8005640000000002E-2</v>
      </c>
      <c r="W1228">
        <v>0.14863599999999999</v>
      </c>
      <c r="X1228">
        <v>0.98772610000000005</v>
      </c>
      <c r="Y1228">
        <v>0.14254919999999999</v>
      </c>
      <c r="Z1228">
        <v>-2.8464190000000002E-3</v>
      </c>
      <c r="AA1228">
        <v>0.98978359999999999</v>
      </c>
      <c r="AB1228">
        <v>30</v>
      </c>
      <c r="AC1228">
        <v>44.915199999999999</v>
      </c>
      <c r="AD1228">
        <v>-1.121576954867</v>
      </c>
      <c r="AE1228">
        <v>-6.2225999999999999</v>
      </c>
      <c r="AF1228">
        <v>6.4883645964032501</v>
      </c>
      <c r="AG1228">
        <v>-1.121576954867</v>
      </c>
      <c r="AH1228">
        <v>44.849565258680499</v>
      </c>
      <c r="AI1228">
        <v>91.417773948550504</v>
      </c>
      <c r="AJ1228">
        <v>81.768159440184107</v>
      </c>
      <c r="AK1228">
        <v>45.330346500927902</v>
      </c>
      <c r="AL1228">
        <v>81.452111180766295</v>
      </c>
      <c r="AM1228">
        <v>87.217489853533607</v>
      </c>
      <c r="AN1228">
        <v>1.0000000252945001</v>
      </c>
    </row>
    <row r="1229" spans="1:40" x14ac:dyDescent="0.25">
      <c r="A1229" t="str">
        <f>"20190303170246109"</f>
        <v>20190303170246109</v>
      </c>
      <c r="B1229" t="str">
        <f>"1551603766096759"</f>
        <v>1551603766096759</v>
      </c>
      <c r="C1229" t="s">
        <v>40</v>
      </c>
      <c r="D1229">
        <v>4.3171629999999999</v>
      </c>
      <c r="E1229">
        <v>0.53884019999999899</v>
      </c>
      <c r="F1229" t="s">
        <v>52</v>
      </c>
      <c r="G1229">
        <v>-205.34289999999999</v>
      </c>
      <c r="H1229" s="1">
        <v>-4.8476290000000001E-6</v>
      </c>
      <c r="I1229">
        <v>361.80040000000002</v>
      </c>
      <c r="J1229">
        <v>-250.30109999999999</v>
      </c>
      <c r="K1229">
        <v>1.1215679999999999</v>
      </c>
      <c r="L1229">
        <v>368.00470000000001</v>
      </c>
      <c r="M1229">
        <v>0.99988089999999996</v>
      </c>
      <c r="N1229">
        <v>-1.422123E-2</v>
      </c>
      <c r="O1229">
        <v>6.0073030000000003E-3</v>
      </c>
      <c r="P1229">
        <v>0.9900215</v>
      </c>
      <c r="Q1229">
        <v>0.13445499999999999</v>
      </c>
      <c r="R1229">
        <v>-4.218438E-2</v>
      </c>
      <c r="S1229">
        <v>3.0228269999999999</v>
      </c>
      <c r="T1229">
        <v>-7.5113529999999998E-2</v>
      </c>
      <c r="U1229">
        <v>-0.41543580000000002</v>
      </c>
      <c r="V1229">
        <v>4.8137480000000003E-2</v>
      </c>
      <c r="W1229">
        <v>0.1485148</v>
      </c>
      <c r="X1229">
        <v>0.98773789999999995</v>
      </c>
      <c r="Y1229">
        <v>0.1420342</v>
      </c>
      <c r="Z1229">
        <v>-2.8346790000000001E-3</v>
      </c>
      <c r="AA1229">
        <v>0.98985769999999995</v>
      </c>
      <c r="AB1229">
        <v>30</v>
      </c>
      <c r="AC1229">
        <v>44.958199999999998</v>
      </c>
      <c r="AD1229">
        <v>-1.1215728476289999</v>
      </c>
      <c r="AE1229">
        <v>-6.2042999999999804</v>
      </c>
      <c r="AF1229">
        <v>6.4703412679094301</v>
      </c>
      <c r="AG1229">
        <v>-1.1215728476289999</v>
      </c>
      <c r="AH1229">
        <v>44.892696746324702</v>
      </c>
      <c r="AI1229">
        <v>91.416515409834503</v>
      </c>
      <c r="AJ1229">
        <v>81.798493567377406</v>
      </c>
      <c r="AK1229">
        <v>45.370447021527397</v>
      </c>
      <c r="AL1229">
        <v>81.459133244297306</v>
      </c>
      <c r="AM1229">
        <v>87.209893462166306</v>
      </c>
      <c r="AN1229">
        <v>1.0000000109481</v>
      </c>
    </row>
    <row r="1230" spans="1:40" x14ac:dyDescent="0.25">
      <c r="A1230" t="str">
        <f>"20190303170246124"</f>
        <v>20190303170246124</v>
      </c>
      <c r="B1230" t="str">
        <f>"1551603766117256"</f>
        <v>1551603766117256</v>
      </c>
      <c r="C1230" t="s">
        <v>40</v>
      </c>
      <c r="D1230">
        <v>4.3858309999999996</v>
      </c>
      <c r="E1230">
        <v>0.53921249999999998</v>
      </c>
      <c r="F1230" t="s">
        <v>52</v>
      </c>
      <c r="G1230">
        <v>-206.09280000000001</v>
      </c>
      <c r="H1230" s="1">
        <v>-5.1731060000000002E-6</v>
      </c>
      <c r="I1230">
        <v>361.90809999999999</v>
      </c>
      <c r="J1230">
        <v>-250.10599999999999</v>
      </c>
      <c r="K1230">
        <v>1.1215649999999999</v>
      </c>
      <c r="L1230">
        <v>368.0059</v>
      </c>
      <c r="M1230">
        <v>0.99988089999999996</v>
      </c>
      <c r="N1230">
        <v>-1.422115E-2</v>
      </c>
      <c r="O1230">
        <v>6.0073039999999998E-3</v>
      </c>
      <c r="P1230">
        <v>0.99008320000000005</v>
      </c>
      <c r="Q1230">
        <v>0.13398470000000001</v>
      </c>
      <c r="R1230">
        <v>-4.2232899999999997E-2</v>
      </c>
      <c r="S1230">
        <v>3.0228579999999998</v>
      </c>
      <c r="T1230">
        <v>-7.6690439999999999E-2</v>
      </c>
      <c r="U1230">
        <v>-0.41687010000000002</v>
      </c>
      <c r="V1230">
        <v>4.818625E-2</v>
      </c>
      <c r="W1230">
        <v>0.1480456</v>
      </c>
      <c r="X1230">
        <v>0.98780599999999996</v>
      </c>
      <c r="Y1230">
        <v>0.14249120000000001</v>
      </c>
      <c r="Z1230">
        <v>-2.8836449999999998E-3</v>
      </c>
      <c r="AA1230">
        <v>0.98979189999999995</v>
      </c>
      <c r="AB1230">
        <v>30</v>
      </c>
      <c r="AC1230">
        <v>44.013199999999898</v>
      </c>
      <c r="AD1230">
        <v>-1.1215701731059999</v>
      </c>
      <c r="AE1230">
        <v>-6.0978000000000003</v>
      </c>
      <c r="AF1230">
        <v>6.35806641107665</v>
      </c>
      <c r="AG1230">
        <v>-1.1215701731059999</v>
      </c>
      <c r="AH1230">
        <v>43.947770064362899</v>
      </c>
      <c r="AI1230">
        <v>91.446844497091604</v>
      </c>
      <c r="AJ1230">
        <v>81.767949906816796</v>
      </c>
      <c r="AK1230">
        <v>44.419471200938098</v>
      </c>
      <c r="AL1230">
        <v>81.486317298346506</v>
      </c>
      <c r="AM1230">
        <v>87.207263409034695</v>
      </c>
      <c r="AN1230">
        <v>1.0000000540022</v>
      </c>
    </row>
    <row r="1231" spans="1:40" x14ac:dyDescent="0.25">
      <c r="A1231" t="str">
        <f>"20190303170246137"</f>
        <v>20190303170246137</v>
      </c>
      <c r="B1231" t="str">
        <f>"1551603766127015"</f>
        <v>1551603766127015</v>
      </c>
      <c r="C1231" t="s">
        <v>40</v>
      </c>
      <c r="D1231">
        <v>4.329364</v>
      </c>
      <c r="E1231">
        <v>0.5393308</v>
      </c>
      <c r="F1231" t="s">
        <v>52</v>
      </c>
      <c r="G1231">
        <v>-207.4402</v>
      </c>
      <c r="H1231" s="1">
        <v>-5.6052379999999999E-6</v>
      </c>
      <c r="I1231">
        <v>362.08030000000002</v>
      </c>
      <c r="J1231">
        <v>-249.93270000000001</v>
      </c>
      <c r="K1231">
        <v>1.121569</v>
      </c>
      <c r="L1231">
        <v>368.00689999999997</v>
      </c>
      <c r="M1231">
        <v>0.99988100000000002</v>
      </c>
      <c r="N1231">
        <v>-1.422095E-2</v>
      </c>
      <c r="O1231">
        <v>6.0071269999999897E-3</v>
      </c>
      <c r="P1231">
        <v>0.99008620000000003</v>
      </c>
      <c r="Q1231">
        <v>0.13398950000000001</v>
      </c>
      <c r="R1231">
        <v>-4.2147650000000002E-2</v>
      </c>
      <c r="S1231">
        <v>3.022888</v>
      </c>
      <c r="T1231">
        <v>-7.9463599999999995E-2</v>
      </c>
      <c r="U1231">
        <v>-0.41983029999999999</v>
      </c>
      <c r="V1231">
        <v>4.8101020000000001E-2</v>
      </c>
      <c r="W1231">
        <v>0.1480504</v>
      </c>
      <c r="X1231">
        <v>0.98780939999999995</v>
      </c>
      <c r="Y1231">
        <v>0.1434358</v>
      </c>
      <c r="Z1231">
        <v>-2.9731720000000001E-3</v>
      </c>
      <c r="AA1231">
        <v>0.98965510000000001</v>
      </c>
      <c r="AB1231">
        <v>30</v>
      </c>
      <c r="AC1231">
        <v>42.4925</v>
      </c>
      <c r="AD1231">
        <v>-1.121574605238</v>
      </c>
      <c r="AE1231">
        <v>-5.9265999999999499</v>
      </c>
      <c r="AF1231">
        <v>6.17755502146629</v>
      </c>
      <c r="AG1231">
        <v>-1.121574605238</v>
      </c>
      <c r="AH1231">
        <v>42.427133713863498</v>
      </c>
      <c r="AI1231">
        <v>91.498485567403606</v>
      </c>
      <c r="AJ1231">
        <v>81.715728735843797</v>
      </c>
      <c r="AK1231">
        <v>42.889180346707597</v>
      </c>
      <c r="AL1231">
        <v>81.486038921653105</v>
      </c>
      <c r="AM1231">
        <v>87.212204875830295</v>
      </c>
      <c r="AN1231">
        <v>1.00000001989678</v>
      </c>
    </row>
    <row r="1232" spans="1:40" x14ac:dyDescent="0.25">
      <c r="A1232" t="str">
        <f>"20190303170246149"</f>
        <v>20190303170246149</v>
      </c>
      <c r="B1232" t="str">
        <f>"1551603766136775"</f>
        <v>1551603766136775</v>
      </c>
      <c r="C1232" t="s">
        <v>40</v>
      </c>
      <c r="D1232">
        <v>4.3513010000000003</v>
      </c>
      <c r="E1232">
        <v>0.53951559999999998</v>
      </c>
      <c r="F1232" t="s">
        <v>52</v>
      </c>
      <c r="G1232">
        <v>-207.65600000000001</v>
      </c>
      <c r="H1232" s="1">
        <v>-5.6702079999999997E-6</v>
      </c>
      <c r="I1232">
        <v>362.12689999999998</v>
      </c>
      <c r="J1232">
        <v>-249.77019999999999</v>
      </c>
      <c r="K1232">
        <v>1.121567</v>
      </c>
      <c r="L1232">
        <v>368.00779999999997</v>
      </c>
      <c r="M1232">
        <v>0.99988089999999996</v>
      </c>
      <c r="N1232">
        <v>-1.42206E-2</v>
      </c>
      <c r="O1232">
        <v>6.0073080000000003E-3</v>
      </c>
      <c r="P1232">
        <v>0.99009669999999905</v>
      </c>
      <c r="Q1232">
        <v>0.13390920000000001</v>
      </c>
      <c r="R1232">
        <v>-4.2151460000000002E-2</v>
      </c>
      <c r="S1232">
        <v>3.022964</v>
      </c>
      <c r="T1232">
        <v>-8.0197329999999997E-2</v>
      </c>
      <c r="U1232">
        <v>-0.4204407</v>
      </c>
      <c r="V1232">
        <v>4.8105019999999998E-2</v>
      </c>
      <c r="W1232">
        <v>0.14796970000000001</v>
      </c>
      <c r="X1232">
        <v>0.98782130000000001</v>
      </c>
      <c r="Y1232">
        <v>0.14362730000000001</v>
      </c>
      <c r="Z1232">
        <v>-2.9957550000000001E-3</v>
      </c>
      <c r="AA1232">
        <v>0.98962729999999999</v>
      </c>
      <c r="AB1232">
        <v>30</v>
      </c>
      <c r="AC1232">
        <v>42.114199999999997</v>
      </c>
      <c r="AD1232">
        <v>-1.121572670208</v>
      </c>
      <c r="AE1232">
        <v>-5.8808999999999898</v>
      </c>
      <c r="AF1232">
        <v>6.1295481880559697</v>
      </c>
      <c r="AG1232">
        <v>-1.121572670208</v>
      </c>
      <c r="AH1232">
        <v>42.048855369258298</v>
      </c>
      <c r="AI1232">
        <v>91.511921091132194</v>
      </c>
      <c r="AJ1232">
        <v>81.706292761486495</v>
      </c>
      <c r="AK1232">
        <v>42.508064224439302</v>
      </c>
      <c r="AL1232">
        <v>81.490714210735604</v>
      </c>
      <c r="AM1232">
        <v>87.2120069468005</v>
      </c>
      <c r="AN1232">
        <v>1.0000000229004899</v>
      </c>
    </row>
    <row r="1233" spans="1:40" x14ac:dyDescent="0.25">
      <c r="A1233" t="str">
        <f>"20190303170246162"</f>
        <v>20190303170246162</v>
      </c>
      <c r="B1233" t="str">
        <f>"1551603766157271"</f>
        <v>1551603766157271</v>
      </c>
      <c r="C1233" t="s">
        <v>40</v>
      </c>
      <c r="D1233">
        <v>4.3726640000000003</v>
      </c>
      <c r="E1233">
        <v>0.53996789999999995</v>
      </c>
      <c r="F1233" t="s">
        <v>52</v>
      </c>
      <c r="G1233">
        <v>-208.46680000000001</v>
      </c>
      <c r="H1233" s="1">
        <v>-5.9232079999999997E-6</v>
      </c>
      <c r="I1233">
        <v>362.24489999999997</v>
      </c>
      <c r="J1233">
        <v>-249.6138</v>
      </c>
      <c r="K1233">
        <v>1.1215679999999999</v>
      </c>
      <c r="L1233">
        <v>368.00880000000001</v>
      </c>
      <c r="M1233">
        <v>0.99988100000000002</v>
      </c>
      <c r="N1233">
        <v>-1.4220170000000001E-2</v>
      </c>
      <c r="O1233">
        <v>6.0073110000000004E-3</v>
      </c>
      <c r="P1233">
        <v>0.99012469999999997</v>
      </c>
      <c r="Q1233">
        <v>0.13369919999999999</v>
      </c>
      <c r="R1233">
        <v>-4.2165809999999998E-2</v>
      </c>
      <c r="S1233">
        <v>3.0231629999999998</v>
      </c>
      <c r="T1233">
        <v>-8.2092520000000002E-2</v>
      </c>
      <c r="U1233">
        <v>-0.42181400000000002</v>
      </c>
      <c r="V1233">
        <v>4.8119429999999998E-2</v>
      </c>
      <c r="W1233">
        <v>0.14775929999999901</v>
      </c>
      <c r="X1233">
        <v>0.98785199999999995</v>
      </c>
      <c r="Y1233">
        <v>0.1440562</v>
      </c>
      <c r="Z1233">
        <v>-3.052955E-3</v>
      </c>
      <c r="AA1233">
        <v>0.98956480000000002</v>
      </c>
      <c r="AB1233">
        <v>30</v>
      </c>
      <c r="AC1233">
        <v>41.146999999999899</v>
      </c>
      <c r="AD1233">
        <v>-1.121573923208</v>
      </c>
      <c r="AE1233">
        <v>-5.7639000000000298</v>
      </c>
      <c r="AF1233">
        <v>6.0066268166392103</v>
      </c>
      <c r="AG1233">
        <v>-1.121573923208</v>
      </c>
      <c r="AH1233">
        <v>41.081692730423001</v>
      </c>
      <c r="AI1233">
        <v>91.547402781725395</v>
      </c>
      <c r="AJ1233">
        <v>81.681625150375694</v>
      </c>
      <c r="AK1233">
        <v>41.533636625950301</v>
      </c>
      <c r="AL1233">
        <v>81.502902451382795</v>
      </c>
      <c r="AM1233">
        <v>87.211259646585901</v>
      </c>
      <c r="AN1233">
        <v>0.99999993209200499</v>
      </c>
    </row>
    <row r="1234" spans="1:40" x14ac:dyDescent="0.25">
      <c r="A1234" t="str">
        <f>"20190303170246172"</f>
        <v>20190303170246172</v>
      </c>
      <c r="B1234" t="str">
        <f>"1551603766167031"</f>
        <v>1551603766167031</v>
      </c>
      <c r="C1234" t="s">
        <v>40</v>
      </c>
      <c r="D1234">
        <v>4.3711919999999997</v>
      </c>
      <c r="E1234">
        <v>0.54017999999999999</v>
      </c>
      <c r="F1234" t="s">
        <v>52</v>
      </c>
      <c r="G1234">
        <v>-209.8389</v>
      </c>
      <c r="H1234" s="1">
        <v>-6.3563340000000001E-6</v>
      </c>
      <c r="I1234">
        <v>362.41239999999999</v>
      </c>
      <c r="J1234">
        <v>-249.45920000000001</v>
      </c>
      <c r="K1234">
        <v>1.121567</v>
      </c>
      <c r="L1234">
        <v>368.00970000000001</v>
      </c>
      <c r="M1234">
        <v>0.99988089999999996</v>
      </c>
      <c r="N1234">
        <v>-1.421968E-2</v>
      </c>
      <c r="O1234">
        <v>6.0074940000000004E-3</v>
      </c>
      <c r="P1234">
        <v>0.99007389999999995</v>
      </c>
      <c r="Q1234">
        <v>0.1340462</v>
      </c>
      <c r="R1234">
        <v>-4.2253569999999997E-2</v>
      </c>
      <c r="S1234">
        <v>3.0233150000000002</v>
      </c>
      <c r="T1234">
        <v>-8.5251569999999999E-2</v>
      </c>
      <c r="U1234">
        <v>-0.4253845</v>
      </c>
      <c r="V1234">
        <v>4.8207149999999997E-2</v>
      </c>
      <c r="W1234">
        <v>0.1481055</v>
      </c>
      <c r="X1234">
        <v>0.98779589999999995</v>
      </c>
      <c r="Y1234">
        <v>0.1451897</v>
      </c>
      <c r="Z1234">
        <v>-3.1578539999999999E-3</v>
      </c>
      <c r="AA1234">
        <v>0.98939880000000002</v>
      </c>
      <c r="AB1234">
        <v>30</v>
      </c>
      <c r="AC1234">
        <v>39.6203</v>
      </c>
      <c r="AD1234">
        <v>-1.121573356334</v>
      </c>
      <c r="AE1234">
        <v>-5.5973000000000104</v>
      </c>
      <c r="AF1234">
        <v>5.8306607981315199</v>
      </c>
      <c r="AG1234">
        <v>-1.121573356334</v>
      </c>
      <c r="AH1234">
        <v>39.554878868156997</v>
      </c>
      <c r="AI1234">
        <v>91.606824948965198</v>
      </c>
      <c r="AJ1234">
        <v>81.614595520661197</v>
      </c>
      <c r="AK1234">
        <v>39.998037131977803</v>
      </c>
      <c r="AL1234">
        <v>81.482846169305802</v>
      </c>
      <c r="AM1234">
        <v>87.206025501759299</v>
      </c>
      <c r="AN1234">
        <v>0.99999995424909005</v>
      </c>
    </row>
    <row r="1235" spans="1:40" x14ac:dyDescent="0.25">
      <c r="A1235" t="str">
        <f>"20190303170246184"</f>
        <v>20190303170246184</v>
      </c>
      <c r="B1235" t="str">
        <f>"1551603766176790"</f>
        <v>1551603766176790</v>
      </c>
      <c r="C1235" t="s">
        <v>40</v>
      </c>
      <c r="D1235">
        <v>4.3869699999999998</v>
      </c>
      <c r="E1235">
        <v>0.54040369999999904</v>
      </c>
      <c r="F1235" t="s">
        <v>52</v>
      </c>
      <c r="G1235">
        <v>-209.67609999999999</v>
      </c>
      <c r="H1235" s="1">
        <v>-6.305684E-6</v>
      </c>
      <c r="I1235">
        <v>362.38780000000003</v>
      </c>
      <c r="J1235">
        <v>-249.30760000000001</v>
      </c>
      <c r="K1235">
        <v>1.121572</v>
      </c>
      <c r="L1235">
        <v>368.01060000000001</v>
      </c>
      <c r="M1235">
        <v>0.99988089999999996</v>
      </c>
      <c r="N1235">
        <v>-1.421907E-2</v>
      </c>
      <c r="O1235">
        <v>6.007498E-3</v>
      </c>
      <c r="P1235">
        <v>0.99008359999999995</v>
      </c>
      <c r="Q1235">
        <v>0.13397229999999999</v>
      </c>
      <c r="R1235">
        <v>-4.2262729999999998E-2</v>
      </c>
      <c r="S1235">
        <v>3.023361</v>
      </c>
      <c r="T1235">
        <v>-8.5235240000000004E-2</v>
      </c>
      <c r="U1235">
        <v>-0.42724609999999902</v>
      </c>
      <c r="V1235">
        <v>4.8216340000000003E-2</v>
      </c>
      <c r="W1235">
        <v>0.148031</v>
      </c>
      <c r="X1235">
        <v>0.98780670000000004</v>
      </c>
      <c r="Y1235">
        <v>0.14578459999999999</v>
      </c>
      <c r="Z1235">
        <v>-3.1699060000000001E-3</v>
      </c>
      <c r="AA1235">
        <v>0.9893113</v>
      </c>
      <c r="AB1235">
        <v>30</v>
      </c>
      <c r="AC1235">
        <v>39.631500000000003</v>
      </c>
      <c r="AD1235">
        <v>-1.1215783056839901</v>
      </c>
      <c r="AE1235">
        <v>-5.6227999999999803</v>
      </c>
      <c r="AF1235">
        <v>5.8562110429522001</v>
      </c>
      <c r="AG1235">
        <v>-1.1215783056839901</v>
      </c>
      <c r="AH1235">
        <v>39.565939243601697</v>
      </c>
      <c r="AI1235">
        <v>91.606242787743</v>
      </c>
      <c r="AJ1235">
        <v>81.580696558534996</v>
      </c>
      <c r="AK1235">
        <v>40.012706655558297</v>
      </c>
      <c r="AL1235">
        <v>81.487162969054395</v>
      </c>
      <c r="AM1235">
        <v>87.205524219689906</v>
      </c>
      <c r="AN1235">
        <v>1.00000003448444</v>
      </c>
    </row>
    <row r="1236" spans="1:40" x14ac:dyDescent="0.25">
      <c r="A1236" t="str">
        <f>"20190303170246194"</f>
        <v>20190303170246194</v>
      </c>
      <c r="B1236" t="str">
        <f>"1551603766186550"</f>
        <v>1551603766186550</v>
      </c>
      <c r="C1236" t="s">
        <v>40</v>
      </c>
      <c r="D1236">
        <v>4.3655359999999996</v>
      </c>
      <c r="E1236">
        <v>0.54049250000000004</v>
      </c>
      <c r="F1236" t="s">
        <v>42</v>
      </c>
      <c r="G1236">
        <v>-210.09520000000001</v>
      </c>
      <c r="H1236" s="1">
        <v>-5.50362499999999E-6</v>
      </c>
      <c r="I1236">
        <v>362.44450000000001</v>
      </c>
      <c r="J1236">
        <v>-249.17179999999999</v>
      </c>
      <c r="K1236">
        <v>1.1215729999999999</v>
      </c>
      <c r="L1236">
        <v>368.01139999999998</v>
      </c>
      <c r="M1236">
        <v>0.99988089999999996</v>
      </c>
      <c r="N1236">
        <v>-1.421851E-2</v>
      </c>
      <c r="O1236">
        <v>6.0075019999999996E-3</v>
      </c>
      <c r="P1236">
        <v>0.9900312</v>
      </c>
      <c r="Q1236">
        <v>0.13437079999999901</v>
      </c>
      <c r="R1236">
        <v>-4.2224730000000002E-2</v>
      </c>
      <c r="S1236">
        <v>3.0234529999999999</v>
      </c>
      <c r="T1236">
        <v>-8.6478589999999994E-2</v>
      </c>
      <c r="U1236">
        <v>-0.42916870000000001</v>
      </c>
      <c r="V1236">
        <v>4.8177919999999999E-2</v>
      </c>
      <c r="W1236">
        <v>0.14842849999999999</v>
      </c>
      <c r="X1236">
        <v>0.98774890000000004</v>
      </c>
      <c r="Y1236">
        <v>0.14639469999999999</v>
      </c>
      <c r="Z1236">
        <v>-3.2150659999999999E-3</v>
      </c>
      <c r="AA1236">
        <v>0.98922100000000002</v>
      </c>
      <c r="AB1236">
        <v>30</v>
      </c>
      <c r="AC1236">
        <v>39.0765999999999</v>
      </c>
      <c r="AD1236">
        <v>-1.1215785036249999</v>
      </c>
      <c r="AE1236">
        <v>-5.5668999999999702</v>
      </c>
      <c r="AF1236">
        <v>5.7968954669693096</v>
      </c>
      <c r="AG1236">
        <v>-1.1215785036249999</v>
      </c>
      <c r="AH1236">
        <v>39.010949914292297</v>
      </c>
      <c r="AI1236">
        <v>91.6289438020451</v>
      </c>
      <c r="AJ1236">
        <v>81.547888681410299</v>
      </c>
      <c r="AK1236">
        <v>39.455242346362297</v>
      </c>
      <c r="AL1236">
        <v>81.464133283482894</v>
      </c>
      <c r="AM1236">
        <v>87.207584268013207</v>
      </c>
      <c r="AN1236">
        <v>1.0000000105194899</v>
      </c>
    </row>
    <row r="1237" spans="1:40" x14ac:dyDescent="0.25">
      <c r="A1237" t="str">
        <f>"20190303170246205"</f>
        <v>20190303170246205</v>
      </c>
      <c r="B1237" t="str">
        <f>"1551603766197286"</f>
        <v>1551603766197286</v>
      </c>
      <c r="C1237" t="s">
        <v>40</v>
      </c>
      <c r="D1237">
        <v>4.3820819999999996</v>
      </c>
      <c r="E1237">
        <v>0.54070659999999904</v>
      </c>
      <c r="F1237" t="s">
        <v>52</v>
      </c>
      <c r="G1237">
        <v>-209.65889999999999</v>
      </c>
      <c r="H1237" s="1">
        <v>-6.2979960000000004E-6</v>
      </c>
      <c r="I1237">
        <v>362.40010000000001</v>
      </c>
      <c r="J1237">
        <v>-249.03049999999999</v>
      </c>
      <c r="K1237">
        <v>1.121575</v>
      </c>
      <c r="L1237">
        <v>368.01229999999998</v>
      </c>
      <c r="M1237">
        <v>0.99988089999999996</v>
      </c>
      <c r="N1237">
        <v>-1.4217799999999999E-2</v>
      </c>
      <c r="O1237">
        <v>6.0075069999999996E-3</v>
      </c>
      <c r="P1237">
        <v>0.99003419999999998</v>
      </c>
      <c r="Q1237">
        <v>0.13431949999999901</v>
      </c>
      <c r="R1237">
        <v>-4.2315329999999998E-2</v>
      </c>
      <c r="S1237">
        <v>3.0235289999999999</v>
      </c>
      <c r="T1237">
        <v>-8.5823300000000005E-2</v>
      </c>
      <c r="U1237">
        <v>-0.42938229999999999</v>
      </c>
      <c r="V1237">
        <v>4.8268680000000001E-2</v>
      </c>
      <c r="W1237">
        <v>0.14837620000000001</v>
      </c>
      <c r="X1237">
        <v>0.98775230000000003</v>
      </c>
      <c r="Y1237">
        <v>0.1464609</v>
      </c>
      <c r="Z1237">
        <v>-3.1992879999999998E-3</v>
      </c>
      <c r="AA1237">
        <v>0.98921130000000002</v>
      </c>
      <c r="AB1237">
        <v>30</v>
      </c>
      <c r="AC1237">
        <v>39.371600000000001</v>
      </c>
      <c r="AD1237">
        <v>-1.121581297996</v>
      </c>
      <c r="AE1237">
        <v>-5.6121999999999703</v>
      </c>
      <c r="AF1237">
        <v>5.8439997349037602</v>
      </c>
      <c r="AG1237">
        <v>-1.121581297996</v>
      </c>
      <c r="AH1237">
        <v>39.305908609640198</v>
      </c>
      <c r="AI1237">
        <v>91.616710873255897</v>
      </c>
      <c r="AJ1237">
        <v>81.543218796621701</v>
      </c>
      <c r="AK1237">
        <v>39.7538014426163</v>
      </c>
      <c r="AL1237">
        <v>81.467163178587597</v>
      </c>
      <c r="AM1237">
        <v>87.202341738520801</v>
      </c>
      <c r="AN1237">
        <v>0.99999998417533598</v>
      </c>
    </row>
    <row r="1238" spans="1:40" x14ac:dyDescent="0.25">
      <c r="A1238" t="str">
        <f>"20190303170246216"</f>
        <v>20190303170246216</v>
      </c>
      <c r="B1238" t="str">
        <f>"1551603766207046"</f>
        <v>1551603766207046</v>
      </c>
      <c r="C1238" t="s">
        <v>40</v>
      </c>
      <c r="D1238">
        <v>4.3784559999999999</v>
      </c>
      <c r="E1238">
        <v>0.54089989999999999</v>
      </c>
      <c r="F1238" t="s">
        <v>52</v>
      </c>
      <c r="G1238">
        <v>-209.8613</v>
      </c>
      <c r="H1238" s="1">
        <v>-6.3623229999999996E-6</v>
      </c>
      <c r="I1238">
        <v>362.42189999999999</v>
      </c>
      <c r="J1238">
        <v>-248.88130000000001</v>
      </c>
      <c r="K1238">
        <v>1.1215759999999999</v>
      </c>
      <c r="L1238">
        <v>368.01319999999998</v>
      </c>
      <c r="M1238">
        <v>0.99988089999999996</v>
      </c>
      <c r="N1238">
        <v>-1.421703E-2</v>
      </c>
      <c r="O1238">
        <v>6.0073339999999996E-3</v>
      </c>
      <c r="P1238">
        <v>0.99000390000000005</v>
      </c>
      <c r="Q1238">
        <v>0.1344796</v>
      </c>
      <c r="R1238">
        <v>-4.2516999999999999E-2</v>
      </c>
      <c r="S1238">
        <v>3.0234830000000001</v>
      </c>
      <c r="T1238">
        <v>-8.6575150000000003E-2</v>
      </c>
      <c r="U1238">
        <v>-0.43151859999999997</v>
      </c>
      <c r="V1238">
        <v>4.8470119999999998E-2</v>
      </c>
      <c r="W1238">
        <v>0.1485351</v>
      </c>
      <c r="X1238">
        <v>0.9877186</v>
      </c>
      <c r="Y1238">
        <v>0.1471461</v>
      </c>
      <c r="Z1238">
        <v>-3.2334659999999999E-3</v>
      </c>
      <c r="AA1238">
        <v>0.98910949999999997</v>
      </c>
      <c r="AB1238">
        <v>30</v>
      </c>
      <c r="AC1238">
        <v>39.020000000000003</v>
      </c>
      <c r="AD1238">
        <v>-1.1215823623229999</v>
      </c>
      <c r="AE1238">
        <v>-5.5912999999999897</v>
      </c>
      <c r="AF1238">
        <v>5.8209164433006801</v>
      </c>
      <c r="AG1238">
        <v>-1.1215823623229999</v>
      </c>
      <c r="AH1238">
        <v>38.95416698375</v>
      </c>
      <c r="AI1238">
        <v>91.631124581763999</v>
      </c>
      <c r="AJ1238">
        <v>81.501183807135305</v>
      </c>
      <c r="AK1238">
        <v>39.402641290061297</v>
      </c>
      <c r="AL1238">
        <v>81.4579572642551</v>
      </c>
      <c r="AM1238">
        <v>87.1905892203972</v>
      </c>
      <c r="AN1238">
        <v>1.00000003062539</v>
      </c>
    </row>
    <row r="1239" spans="1:40" x14ac:dyDescent="0.25">
      <c r="A1239" t="str">
        <f>"20190303170246227"</f>
        <v>20190303170246227</v>
      </c>
      <c r="B1239" t="str">
        <f>"1551603766216807"</f>
        <v>1551603766216807</v>
      </c>
      <c r="C1239" t="s">
        <v>40</v>
      </c>
      <c r="D1239">
        <v>4.3722500000000002</v>
      </c>
      <c r="E1239">
        <v>0.54106239999999906</v>
      </c>
      <c r="F1239" t="s">
        <v>52</v>
      </c>
      <c r="G1239">
        <v>-209.62289999999999</v>
      </c>
      <c r="H1239" s="1">
        <v>-6.2882449999999898E-6</v>
      </c>
      <c r="I1239">
        <v>362.38549999999998</v>
      </c>
      <c r="J1239">
        <v>-248.72890000000001</v>
      </c>
      <c r="K1239">
        <v>1.1215759999999999</v>
      </c>
      <c r="L1239">
        <v>368.01409999999998</v>
      </c>
      <c r="M1239">
        <v>0.99988100000000002</v>
      </c>
      <c r="N1239">
        <v>-1.421616E-2</v>
      </c>
      <c r="O1239">
        <v>6.0073399999999999E-3</v>
      </c>
      <c r="P1239">
        <v>0.98998750000000002</v>
      </c>
      <c r="Q1239">
        <v>0.1345595</v>
      </c>
      <c r="R1239">
        <v>-4.2645950000000002E-2</v>
      </c>
      <c r="S1239">
        <v>3.0234220000000001</v>
      </c>
      <c r="T1239">
        <v>-8.6376910000000001E-2</v>
      </c>
      <c r="U1239">
        <v>-0.43341059999999998</v>
      </c>
      <c r="V1239">
        <v>4.8598839999999997E-2</v>
      </c>
      <c r="W1239">
        <v>0.14861389999999999</v>
      </c>
      <c r="X1239">
        <v>0.98770040000000003</v>
      </c>
      <c r="Y1239">
        <v>0.14775539999999901</v>
      </c>
      <c r="Z1239">
        <v>-3.2412259999999998E-3</v>
      </c>
      <c r="AA1239">
        <v>0.98901859999999997</v>
      </c>
      <c r="AB1239">
        <v>30</v>
      </c>
      <c r="AC1239">
        <v>39.106000000000002</v>
      </c>
      <c r="AD1239">
        <v>-1.1215822882449999</v>
      </c>
      <c r="AE1239">
        <v>-5.6285999999999996</v>
      </c>
      <c r="AF1239">
        <v>5.8587237439786302</v>
      </c>
      <c r="AG1239">
        <v>-1.1215822882449999</v>
      </c>
      <c r="AH1239">
        <v>39.040016321606899</v>
      </c>
      <c r="AI1239">
        <v>91.627387116897495</v>
      </c>
      <c r="AJ1239">
        <v>81.4653284945054</v>
      </c>
      <c r="AK1239">
        <v>39.493106552016101</v>
      </c>
      <c r="AL1239">
        <v>81.453391501326294</v>
      </c>
      <c r="AM1239">
        <v>87.183088568553899</v>
      </c>
      <c r="AN1239">
        <v>1.0000000093413499</v>
      </c>
    </row>
    <row r="1240" spans="1:40" x14ac:dyDescent="0.25">
      <c r="A1240" t="str">
        <f>"20190303170246239"</f>
        <v>20190303170246239</v>
      </c>
      <c r="B1240" t="str">
        <f>"1551603766226566"</f>
        <v>1551603766226566</v>
      </c>
      <c r="C1240" t="s">
        <v>40</v>
      </c>
      <c r="D1240">
        <v>4.3707010000000004</v>
      </c>
      <c r="E1240">
        <v>0.54119899999999999</v>
      </c>
      <c r="F1240" t="s">
        <v>52</v>
      </c>
      <c r="G1240">
        <v>-209.62270000000001</v>
      </c>
      <c r="H1240" s="1">
        <v>-6.28802299999999E-6</v>
      </c>
      <c r="I1240">
        <v>362.38639999999998</v>
      </c>
      <c r="J1240">
        <v>-248.59059999999999</v>
      </c>
      <c r="K1240">
        <v>1.121578</v>
      </c>
      <c r="L1240">
        <v>368.01490000000001</v>
      </c>
      <c r="M1240">
        <v>0.99988089999999996</v>
      </c>
      <c r="N1240">
        <v>-1.421536E-2</v>
      </c>
      <c r="O1240">
        <v>6.0073459999999898E-3</v>
      </c>
      <c r="P1240">
        <v>0.99000710000000003</v>
      </c>
      <c r="Q1240">
        <v>0.13437969999999999</v>
      </c>
      <c r="R1240">
        <v>-4.2758490000000003E-2</v>
      </c>
      <c r="S1240">
        <v>3.0233759999999998</v>
      </c>
      <c r="T1240">
        <v>-8.6711650000000001E-2</v>
      </c>
      <c r="U1240">
        <v>-0.43508910000000001</v>
      </c>
      <c r="V1240">
        <v>4.8711339999999999E-2</v>
      </c>
      <c r="W1240">
        <v>0.1484337</v>
      </c>
      <c r="X1240">
        <v>0.98772190000000004</v>
      </c>
      <c r="Y1240">
        <v>0.1482946</v>
      </c>
      <c r="Z1240">
        <v>-3.2615000000000001E-3</v>
      </c>
      <c r="AA1240">
        <v>0.98893790000000004</v>
      </c>
      <c r="AB1240">
        <v>30</v>
      </c>
      <c r="AC1240">
        <v>38.967899999999901</v>
      </c>
      <c r="AD1240">
        <v>-1.121584288023</v>
      </c>
      <c r="AE1240">
        <v>-5.62850000000003</v>
      </c>
      <c r="AF1240">
        <v>5.8577622261313103</v>
      </c>
      <c r="AG1240">
        <v>-1.121584288023</v>
      </c>
      <c r="AH1240">
        <v>38.901812565245599</v>
      </c>
      <c r="AI1240">
        <v>91.633046414691606</v>
      </c>
      <c r="AJ1240">
        <v>81.436841578250693</v>
      </c>
      <c r="AK1240">
        <v>39.356350827719403</v>
      </c>
      <c r="AL1240">
        <v>81.463831529292705</v>
      </c>
      <c r="AM1240">
        <v>87.176639682409601</v>
      </c>
      <c r="AN1240">
        <v>0.99999995483994597</v>
      </c>
    </row>
    <row r="1241" spans="1:40" x14ac:dyDescent="0.25">
      <c r="A1241" t="str">
        <f>"20190303170246249"</f>
        <v>20190303170246249</v>
      </c>
      <c r="B1241" t="str">
        <f>"1551603766237302"</f>
        <v>1551603766237302</v>
      </c>
      <c r="C1241" t="s">
        <v>40</v>
      </c>
      <c r="D1241">
        <v>4.3943570000000003</v>
      </c>
      <c r="E1241">
        <v>0.54137769999999996</v>
      </c>
      <c r="F1241" t="s">
        <v>42</v>
      </c>
      <c r="G1241">
        <v>-210.1653</v>
      </c>
      <c r="H1241" s="1">
        <v>-5.469702E-6</v>
      </c>
      <c r="I1241">
        <v>362.46620000000001</v>
      </c>
      <c r="J1241">
        <v>-248.44069999999999</v>
      </c>
      <c r="K1241">
        <v>1.121577</v>
      </c>
      <c r="L1241">
        <v>368.01580000000001</v>
      </c>
      <c r="M1241">
        <v>0.99988100000000002</v>
      </c>
      <c r="N1241">
        <v>-1.421448E-2</v>
      </c>
      <c r="O1241">
        <v>6.0073519999999997E-3</v>
      </c>
      <c r="P1241">
        <v>0.99002380000000001</v>
      </c>
      <c r="Q1241">
        <v>0.13422129999999999</v>
      </c>
      <c r="R1241">
        <v>-4.2871390000000002E-2</v>
      </c>
      <c r="S1241">
        <v>3.0234070000000002</v>
      </c>
      <c r="T1241">
        <v>-8.8249090000000002E-2</v>
      </c>
      <c r="U1241">
        <v>-0.43658449999999999</v>
      </c>
      <c r="V1241">
        <v>4.8824439999999997E-2</v>
      </c>
      <c r="W1241">
        <v>0.14827479999999901</v>
      </c>
      <c r="X1241">
        <v>0.98774019999999996</v>
      </c>
      <c r="Y1241">
        <v>0.14876929999999999</v>
      </c>
      <c r="Z1241">
        <v>-3.312195E-3</v>
      </c>
      <c r="AA1241">
        <v>0.98886640000000003</v>
      </c>
      <c r="AB1241">
        <v>30</v>
      </c>
      <c r="AC1241">
        <v>38.275399999999898</v>
      </c>
      <c r="AD1241">
        <v>-1.121582469702</v>
      </c>
      <c r="AE1241">
        <v>-5.5495999999999901</v>
      </c>
      <c r="AF1241">
        <v>5.7746005112483196</v>
      </c>
      <c r="AG1241">
        <v>-1.121582469702</v>
      </c>
      <c r="AH1241">
        <v>38.209234092921101</v>
      </c>
      <c r="AI1241">
        <v>91.662492257989598</v>
      </c>
      <c r="AJ1241">
        <v>81.405868248315301</v>
      </c>
      <c r="AK1241">
        <v>38.6594041375252</v>
      </c>
      <c r="AL1241">
        <v>81.473037853491704</v>
      </c>
      <c r="AM1241">
        <v>87.170147276385606</v>
      </c>
      <c r="AN1241">
        <v>0.99999997247619599</v>
      </c>
    </row>
    <row r="1242" spans="1:40" x14ac:dyDescent="0.25">
      <c r="A1242" t="str">
        <f>"20190303170246261"</f>
        <v>20190303170246261</v>
      </c>
      <c r="B1242" t="str">
        <f>"1551603766247063"</f>
        <v>1551603766247063</v>
      </c>
      <c r="C1242" t="s">
        <v>40</v>
      </c>
      <c r="D1242">
        <v>4.342435</v>
      </c>
      <c r="E1242">
        <v>0.54148929999999995</v>
      </c>
      <c r="F1242" t="s">
        <v>42</v>
      </c>
      <c r="G1242">
        <v>-210.59950000000001</v>
      </c>
      <c r="H1242" s="1">
        <v>-5.2721750000000001E-6</v>
      </c>
      <c r="I1242">
        <v>362.52969999999999</v>
      </c>
      <c r="J1242">
        <v>-248.29220000000001</v>
      </c>
      <c r="K1242">
        <v>1.121578</v>
      </c>
      <c r="L1242">
        <v>368.01670000000001</v>
      </c>
      <c r="M1242">
        <v>0.99988100000000002</v>
      </c>
      <c r="N1242">
        <v>-1.421355E-2</v>
      </c>
      <c r="O1242">
        <v>6.00718E-3</v>
      </c>
      <c r="P1242">
        <v>0.99002699999999999</v>
      </c>
      <c r="Q1242">
        <v>0.13418849999999999</v>
      </c>
      <c r="R1242">
        <v>-4.2901109999999999E-2</v>
      </c>
      <c r="S1242">
        <v>3.0234070000000002</v>
      </c>
      <c r="T1242">
        <v>-8.9611049999999998E-2</v>
      </c>
      <c r="U1242">
        <v>-0.43832399999999999</v>
      </c>
      <c r="V1242">
        <v>4.8854010000000003E-2</v>
      </c>
      <c r="W1242">
        <v>0.14824079999999901</v>
      </c>
      <c r="X1242">
        <v>0.98774390000000001</v>
      </c>
      <c r="Y1242">
        <v>0.1493236</v>
      </c>
      <c r="Z1242">
        <v>-3.3602229999999999E-3</v>
      </c>
      <c r="AA1242">
        <v>0.98878270000000001</v>
      </c>
      <c r="AB1242">
        <v>30</v>
      </c>
      <c r="AC1242">
        <v>37.692700000000002</v>
      </c>
      <c r="AD1242">
        <v>-1.1215832721750001</v>
      </c>
      <c r="AE1242">
        <v>-5.4870000000000196</v>
      </c>
      <c r="AF1242">
        <v>5.7084012323294502</v>
      </c>
      <c r="AG1242">
        <v>-1.1215832721750001</v>
      </c>
      <c r="AH1242">
        <v>37.626431240597398</v>
      </c>
      <c r="AI1242">
        <v>91.688084098568197</v>
      </c>
      <c r="AJ1242">
        <v>81.373296747469894</v>
      </c>
      <c r="AK1242">
        <v>38.073509446452199</v>
      </c>
      <c r="AL1242">
        <v>81.475008177704794</v>
      </c>
      <c r="AM1242">
        <v>87.168446784238299</v>
      </c>
      <c r="AN1242">
        <v>1.0000000305324599</v>
      </c>
    </row>
    <row r="1243" spans="1:40" x14ac:dyDescent="0.25">
      <c r="A1243" t="str">
        <f>"20190303170246273"</f>
        <v>20190303170246273</v>
      </c>
      <c r="B1243" t="str">
        <f>"1551603766266583"</f>
        <v>1551603766266583</v>
      </c>
      <c r="C1243" t="s">
        <v>40</v>
      </c>
      <c r="D1243">
        <v>4.4135059999999999</v>
      </c>
      <c r="E1243">
        <v>0.54179100000000002</v>
      </c>
      <c r="F1243" t="s">
        <v>42</v>
      </c>
      <c r="G1243">
        <v>-210.56979999999999</v>
      </c>
      <c r="H1243" s="1">
        <v>-5.2843439999999999E-6</v>
      </c>
      <c r="I1243">
        <v>362.53289999999998</v>
      </c>
      <c r="J1243">
        <v>-248.1344</v>
      </c>
      <c r="K1243">
        <v>1.1215740000000001</v>
      </c>
      <c r="L1243">
        <v>368.01760000000002</v>
      </c>
      <c r="M1243">
        <v>0.99988100000000002</v>
      </c>
      <c r="N1243">
        <v>-1.4212519999999999E-2</v>
      </c>
      <c r="O1243">
        <v>6.0073660000000001E-3</v>
      </c>
      <c r="P1243">
        <v>0.99004300000000001</v>
      </c>
      <c r="Q1243">
        <v>0.13404579999999999</v>
      </c>
      <c r="R1243">
        <v>-4.2974970000000001E-2</v>
      </c>
      <c r="S1243">
        <v>3.023361</v>
      </c>
      <c r="T1243">
        <v>-8.9892029999999998E-2</v>
      </c>
      <c r="U1243">
        <v>-0.43951420000000002</v>
      </c>
      <c r="V1243">
        <v>4.8928239999999998E-2</v>
      </c>
      <c r="W1243">
        <v>0.14809749999999999</v>
      </c>
      <c r="X1243">
        <v>0.98776169999999996</v>
      </c>
      <c r="Y1243">
        <v>0.14970629999999999</v>
      </c>
      <c r="Z1243">
        <v>-3.3760050000000001E-3</v>
      </c>
      <c r="AA1243">
        <v>0.98872479999999996</v>
      </c>
      <c r="AB1243">
        <v>30</v>
      </c>
      <c r="AC1243">
        <v>37.564599999999999</v>
      </c>
      <c r="AD1243">
        <v>-1.121579284344</v>
      </c>
      <c r="AE1243">
        <v>-5.4847000000000303</v>
      </c>
      <c r="AF1243">
        <v>5.7053081980872502</v>
      </c>
      <c r="AG1243">
        <v>-1.121579284344</v>
      </c>
      <c r="AH1243">
        <v>37.498239633292798</v>
      </c>
      <c r="AI1243">
        <v>91.693735968732</v>
      </c>
      <c r="AJ1243">
        <v>81.348870439994997</v>
      </c>
      <c r="AK1243">
        <v>37.946362899783701</v>
      </c>
      <c r="AL1243">
        <v>81.483310117174298</v>
      </c>
      <c r="AM1243">
        <v>87.164202489495594</v>
      </c>
      <c r="AN1243">
        <v>1.0000000090813099</v>
      </c>
    </row>
    <row r="1244" spans="1:40" x14ac:dyDescent="0.25">
      <c r="A1244" t="str">
        <f>"20190303170246286"</f>
        <v>20190303170246286</v>
      </c>
      <c r="B1244" t="str">
        <f>"1551603766277318"</f>
        <v>1551603766277318</v>
      </c>
      <c r="C1244" t="s">
        <v>40</v>
      </c>
      <c r="D1244">
        <v>4.4023529999999997</v>
      </c>
      <c r="E1244">
        <v>0.54192589999999996</v>
      </c>
      <c r="F1244" t="s">
        <v>42</v>
      </c>
      <c r="G1244">
        <v>-210.91569999999999</v>
      </c>
      <c r="H1244" s="1">
        <v>-5.1276099999999997E-6</v>
      </c>
      <c r="I1244">
        <v>362.57990000000001</v>
      </c>
      <c r="J1244">
        <v>-247.97290000000001</v>
      </c>
      <c r="K1244">
        <v>1.121577</v>
      </c>
      <c r="L1244">
        <v>368.01859999999999</v>
      </c>
      <c r="M1244">
        <v>0.99988109999999997</v>
      </c>
      <c r="N1244">
        <v>-1.4211379999999999E-2</v>
      </c>
      <c r="O1244">
        <v>6.0073749999999997E-3</v>
      </c>
      <c r="P1244">
        <v>0.99005290000000001</v>
      </c>
      <c r="Q1244">
        <v>0.1340026</v>
      </c>
      <c r="R1244">
        <v>-4.2882669999999998E-2</v>
      </c>
      <c r="S1244">
        <v>3.0233150000000002</v>
      </c>
      <c r="T1244">
        <v>-9.1106889999999996E-2</v>
      </c>
      <c r="U1244">
        <v>-0.44171139999999998</v>
      </c>
      <c r="V1244">
        <v>4.883585E-2</v>
      </c>
      <c r="W1244">
        <v>0.1480532</v>
      </c>
      <c r="X1244">
        <v>0.98777289999999995</v>
      </c>
      <c r="Y1244">
        <v>0.1504094</v>
      </c>
      <c r="Z1244">
        <v>-3.4237640000000001E-3</v>
      </c>
      <c r="AA1244">
        <v>0.98861790000000005</v>
      </c>
      <c r="AB1244">
        <v>30</v>
      </c>
      <c r="AC1244">
        <v>37.057200000000002</v>
      </c>
      <c r="AD1244">
        <v>-1.12158212761</v>
      </c>
      <c r="AE1244">
        <v>-5.4386999999999803</v>
      </c>
      <c r="AF1244">
        <v>5.65616873774733</v>
      </c>
      <c r="AG1244">
        <v>-1.12158212761</v>
      </c>
      <c r="AH1244">
        <v>36.9906849338415</v>
      </c>
      <c r="AI1244">
        <v>91.716772322856002</v>
      </c>
      <c r="AJ1244">
        <v>81.306358967122193</v>
      </c>
      <c r="AK1244">
        <v>37.437427303883702</v>
      </c>
      <c r="AL1244">
        <v>81.485876501891894</v>
      </c>
      <c r="AM1244">
        <v>87.169580582001899</v>
      </c>
      <c r="AN1244">
        <v>0.99999999612493595</v>
      </c>
    </row>
    <row r="1245" spans="1:40" x14ac:dyDescent="0.25">
      <c r="A1245" t="str">
        <f>"20190303170246303"</f>
        <v>20190303170246303</v>
      </c>
      <c r="B1245" t="str">
        <f>"1551603766296839"</f>
        <v>1551603766296839</v>
      </c>
      <c r="C1245" t="s">
        <v>40</v>
      </c>
      <c r="D1245">
        <v>4.434024</v>
      </c>
      <c r="E1245">
        <v>0.54222899999999996</v>
      </c>
      <c r="F1245" t="s">
        <v>42</v>
      </c>
      <c r="G1245">
        <v>-210.98089999999999</v>
      </c>
      <c r="H1245" s="1">
        <v>-5.0956540000000002E-6</v>
      </c>
      <c r="I1245">
        <v>362.60250000000002</v>
      </c>
      <c r="J1245">
        <v>-247.7381</v>
      </c>
      <c r="K1245">
        <v>1.121578</v>
      </c>
      <c r="L1245">
        <v>368.02</v>
      </c>
      <c r="M1245">
        <v>0.99988109999999997</v>
      </c>
      <c r="N1245">
        <v>-1.4209650000000001E-2</v>
      </c>
      <c r="O1245">
        <v>6.0073870000000003E-3</v>
      </c>
      <c r="P1245">
        <v>0.99001439999999996</v>
      </c>
      <c r="Q1245">
        <v>0.13441910000000001</v>
      </c>
      <c r="R1245">
        <v>-4.2465219999999998E-2</v>
      </c>
      <c r="S1245">
        <v>3.0233919999999999</v>
      </c>
      <c r="T1245">
        <v>-9.1667529999999997E-2</v>
      </c>
      <c r="U1245">
        <v>-0.44265749999999998</v>
      </c>
      <c r="V1245">
        <v>4.8418290000000003E-2</v>
      </c>
      <c r="W1245">
        <v>0.14846719999999999</v>
      </c>
      <c r="X1245">
        <v>0.98773129999999998</v>
      </c>
      <c r="Y1245">
        <v>0.15070749999999999</v>
      </c>
      <c r="Z1245">
        <v>-3.445151E-3</v>
      </c>
      <c r="AA1245">
        <v>0.98857240000000002</v>
      </c>
      <c r="AB1245">
        <v>29</v>
      </c>
      <c r="AC1245">
        <v>36.757199999999997</v>
      </c>
      <c r="AD1245">
        <v>-1.1215830956540001</v>
      </c>
      <c r="AE1245">
        <v>-5.4174999999999596</v>
      </c>
      <c r="AF1245">
        <v>5.6331059653236899</v>
      </c>
      <c r="AG1245">
        <v>-1.1215830956540001</v>
      </c>
      <c r="AH1245">
        <v>36.690553454470198</v>
      </c>
      <c r="AI1245">
        <v>91.730647516359198</v>
      </c>
      <c r="AJ1245">
        <v>81.271525955587705</v>
      </c>
      <c r="AK1245">
        <v>37.137400881757401</v>
      </c>
      <c r="AL1245">
        <v>81.461890836900295</v>
      </c>
      <c r="AM1245">
        <v>87.193624596789306</v>
      </c>
      <c r="AN1245">
        <v>0.99999998064102602</v>
      </c>
    </row>
    <row r="1246" spans="1:40" x14ac:dyDescent="0.25">
      <c r="A1246" t="str">
        <f>"20190303170246318"</f>
        <v>20190303170246318</v>
      </c>
      <c r="B1246" t="str">
        <f>"1551603766306599"</f>
        <v>1551603766306599</v>
      </c>
      <c r="C1246" t="s">
        <v>40</v>
      </c>
      <c r="D1246">
        <v>4.4190940000000003</v>
      </c>
      <c r="E1246">
        <v>0.54240569999999999</v>
      </c>
      <c r="F1246" t="s">
        <v>42</v>
      </c>
      <c r="G1246">
        <v>-210.63040000000001</v>
      </c>
      <c r="H1246" s="1">
        <v>-5.251753E-6</v>
      </c>
      <c r="I1246">
        <v>362.5702</v>
      </c>
      <c r="J1246">
        <v>-247.5446</v>
      </c>
      <c r="K1246">
        <v>1.1215790000000001</v>
      </c>
      <c r="L1246">
        <v>368.02120000000002</v>
      </c>
      <c r="M1246">
        <v>0.99988100000000002</v>
      </c>
      <c r="N1246">
        <v>-1.4208159999999999E-2</v>
      </c>
      <c r="O1246">
        <v>6.0073979999999997E-3</v>
      </c>
      <c r="P1246">
        <v>0.99000650000000001</v>
      </c>
      <c r="Q1246">
        <v>0.1345546</v>
      </c>
      <c r="R1246">
        <v>-4.2219640000000003E-2</v>
      </c>
      <c r="S1246">
        <v>3.0236209999999999</v>
      </c>
      <c r="T1246">
        <v>-9.1388819999999996E-2</v>
      </c>
      <c r="U1246">
        <v>-0.44406129999999999</v>
      </c>
      <c r="V1246">
        <v>4.8172689999999997E-2</v>
      </c>
      <c r="W1246">
        <v>0.1486016</v>
      </c>
      <c r="X1246">
        <v>0.98772309999999996</v>
      </c>
      <c r="Y1246">
        <v>0.15114629999999901</v>
      </c>
      <c r="Z1246">
        <v>-3.4470920000000001E-3</v>
      </c>
      <c r="AA1246">
        <v>0.98850539999999998</v>
      </c>
      <c r="AB1246">
        <v>29</v>
      </c>
      <c r="AC1246">
        <v>36.914200000000001</v>
      </c>
      <c r="AD1246">
        <v>-1.1215842517529999</v>
      </c>
      <c r="AE1246">
        <v>-5.4510000000000201</v>
      </c>
      <c r="AF1246">
        <v>5.6675618876557703</v>
      </c>
      <c r="AG1246">
        <v>-1.1215842517529999</v>
      </c>
      <c r="AH1246">
        <v>36.8474939153704</v>
      </c>
      <c r="AI1246">
        <v>91.723209891181796</v>
      </c>
      <c r="AJ1246">
        <v>81.2557871148571</v>
      </c>
      <c r="AK1246">
        <v>37.2976811186359</v>
      </c>
      <c r="AL1246">
        <v>81.454103925122695</v>
      </c>
      <c r="AM1246">
        <v>87.207814105170002</v>
      </c>
      <c r="AN1246">
        <v>0.99999998292900205</v>
      </c>
    </row>
    <row r="1247" spans="1:40" x14ac:dyDescent="0.25">
      <c r="A1247" t="str">
        <f>"20190303170246330"</f>
        <v>20190303170246330</v>
      </c>
      <c r="B1247" t="str">
        <f>"1551603766317334"</f>
        <v>1551603766317334</v>
      </c>
      <c r="C1247" t="s">
        <v>40</v>
      </c>
      <c r="D1247">
        <v>4.3898409999999997</v>
      </c>
      <c r="E1247">
        <v>0.54256280000000001</v>
      </c>
      <c r="F1247" t="s">
        <v>42</v>
      </c>
      <c r="G1247">
        <v>-210.44800000000001</v>
      </c>
      <c r="H1247" s="1">
        <v>-5.3311130000000002E-6</v>
      </c>
      <c r="I1247">
        <v>362.56389999999999</v>
      </c>
      <c r="J1247">
        <v>-247.37020000000001</v>
      </c>
      <c r="K1247">
        <v>1.1215790000000001</v>
      </c>
      <c r="L1247">
        <v>368.0222</v>
      </c>
      <c r="M1247">
        <v>0.99988100000000002</v>
      </c>
      <c r="N1247">
        <v>-1.4206730000000001E-2</v>
      </c>
      <c r="O1247">
        <v>6.0074079999999997E-3</v>
      </c>
      <c r="P1247">
        <v>0.9900255</v>
      </c>
      <c r="Q1247">
        <v>0.1345162</v>
      </c>
      <c r="R1247">
        <v>-4.1895660000000001E-2</v>
      </c>
      <c r="S1247">
        <v>3.0237430000000001</v>
      </c>
      <c r="T1247">
        <v>-9.1420169999999995E-2</v>
      </c>
      <c r="U1247">
        <v>-0.4448242</v>
      </c>
      <c r="V1247">
        <v>4.7848689999999999E-2</v>
      </c>
      <c r="W1247">
        <v>0.148562</v>
      </c>
      <c r="X1247">
        <v>0.98774479999999998</v>
      </c>
      <c r="Y1247">
        <v>0.15138450000000001</v>
      </c>
      <c r="Z1247">
        <v>-3.452994E-3</v>
      </c>
      <c r="AA1247">
        <v>0.98846889999999998</v>
      </c>
      <c r="AB1247">
        <v>29</v>
      </c>
      <c r="AC1247">
        <v>36.922199999999997</v>
      </c>
      <c r="AD1247">
        <v>-1.121584331113</v>
      </c>
      <c r="AE1247">
        <v>-5.4583000000000004</v>
      </c>
      <c r="AF1247">
        <v>5.6749060201323296</v>
      </c>
      <c r="AG1247">
        <v>-1.121584331113</v>
      </c>
      <c r="AH1247">
        <v>36.855458677847899</v>
      </c>
      <c r="AI1247">
        <v>91.722794862756999</v>
      </c>
      <c r="AJ1247">
        <v>81.246494456710195</v>
      </c>
      <c r="AK1247">
        <v>37.306666215352003</v>
      </c>
      <c r="AL1247">
        <v>81.456398258239304</v>
      </c>
      <c r="AM1247">
        <v>87.226625210831202</v>
      </c>
      <c r="AN1247">
        <v>0.99999997745287705</v>
      </c>
    </row>
    <row r="1248" spans="1:40" x14ac:dyDescent="0.25">
      <c r="A1248" t="str">
        <f>"20190303170246343"</f>
        <v>20190303170246343</v>
      </c>
      <c r="B1248" t="str">
        <f>"1551603766336855"</f>
        <v>1551603766336855</v>
      </c>
      <c r="C1248" t="s">
        <v>40</v>
      </c>
      <c r="D1248">
        <v>4.4600839999999904</v>
      </c>
      <c r="E1248">
        <v>0.54279180000000005</v>
      </c>
      <c r="F1248" t="s">
        <v>42</v>
      </c>
      <c r="G1248">
        <v>-210.35910000000001</v>
      </c>
      <c r="H1248" s="1">
        <v>-5.3665710000000003E-6</v>
      </c>
      <c r="I1248">
        <v>362.5788</v>
      </c>
      <c r="J1248">
        <v>-247.20660000000001</v>
      </c>
      <c r="K1248">
        <v>1.1215850000000001</v>
      </c>
      <c r="L1248">
        <v>368.02330000000001</v>
      </c>
      <c r="M1248">
        <v>0.99988109999999997</v>
      </c>
      <c r="N1248">
        <v>-1.420539E-2</v>
      </c>
      <c r="O1248">
        <v>6.0072379999999998E-3</v>
      </c>
      <c r="P1248">
        <v>0.99004709999999996</v>
      </c>
      <c r="Q1248">
        <v>0.13438900000000001</v>
      </c>
      <c r="R1248">
        <v>-4.1794650000000003E-2</v>
      </c>
      <c r="S1248">
        <v>3.0238649999999998</v>
      </c>
      <c r="T1248">
        <v>-9.1634989999999999E-2</v>
      </c>
      <c r="U1248">
        <v>-0.44473269999999998</v>
      </c>
      <c r="V1248">
        <v>4.7747770000000002E-2</v>
      </c>
      <c r="W1248">
        <v>0.1484337</v>
      </c>
      <c r="X1248">
        <v>0.98776900000000001</v>
      </c>
      <c r="Y1248">
        <v>0.15134890000000001</v>
      </c>
      <c r="Z1248">
        <v>-3.457782E-3</v>
      </c>
      <c r="AA1248">
        <v>0.98847439999999998</v>
      </c>
      <c r="AB1248">
        <v>29</v>
      </c>
      <c r="AC1248">
        <v>36.847499999999997</v>
      </c>
      <c r="AD1248">
        <v>-1.1215903665710001</v>
      </c>
      <c r="AE1248">
        <v>-5.4444999999999997</v>
      </c>
      <c r="AF1248">
        <v>5.6606431562188799</v>
      </c>
      <c r="AG1248">
        <v>-1.1215903665710001</v>
      </c>
      <c r="AH1248">
        <v>36.78077545931</v>
      </c>
      <c r="AI1248">
        <v>91.726319651905897</v>
      </c>
      <c r="AJ1248">
        <v>81.250699440947898</v>
      </c>
      <c r="AK1248">
        <v>37.230717012711601</v>
      </c>
      <c r="AL1248">
        <v>81.4638319615093</v>
      </c>
      <c r="AM1248">
        <v>87.232533265009806</v>
      </c>
      <c r="AN1248">
        <v>1.00000000509833</v>
      </c>
    </row>
    <row r="1249" spans="1:40" x14ac:dyDescent="0.25">
      <c r="A1249" t="str">
        <f>"20190303170246356"</f>
        <v>20190303170246356</v>
      </c>
      <c r="B1249" t="str">
        <f>"1551603766346615"</f>
        <v>1551603766346615</v>
      </c>
      <c r="C1249" t="s">
        <v>40</v>
      </c>
      <c r="D1249">
        <v>4.4799790000000002</v>
      </c>
      <c r="E1249">
        <v>0.54279180000000005</v>
      </c>
      <c r="F1249" t="s">
        <v>42</v>
      </c>
      <c r="G1249">
        <v>-210.59620000000001</v>
      </c>
      <c r="H1249" s="1">
        <v>-5.2570200000000004E-6</v>
      </c>
      <c r="I1249">
        <v>362.62299999999999</v>
      </c>
      <c r="J1249">
        <v>-247.0453</v>
      </c>
      <c r="K1249">
        <v>1.1215839999999999</v>
      </c>
      <c r="L1249">
        <v>368.02420000000001</v>
      </c>
      <c r="M1249">
        <v>0.99988109999999997</v>
      </c>
      <c r="N1249">
        <v>-1.4204069999999999E-2</v>
      </c>
      <c r="O1249">
        <v>6.0072479999999998E-3</v>
      </c>
      <c r="P1249">
        <v>0.99012429999999996</v>
      </c>
      <c r="Q1249">
        <v>0.13390569999999999</v>
      </c>
      <c r="R1249">
        <v>-4.151295E-2</v>
      </c>
      <c r="S1249">
        <v>3.023911</v>
      </c>
      <c r="T1249">
        <v>-9.2639920000000001E-2</v>
      </c>
      <c r="U1249">
        <v>-0.44604490000000002</v>
      </c>
      <c r="V1249">
        <v>4.7466769999999998E-2</v>
      </c>
      <c r="W1249">
        <v>0.1479499</v>
      </c>
      <c r="X1249">
        <v>0.98785509999999999</v>
      </c>
      <c r="Y1249">
        <v>0.1517645</v>
      </c>
      <c r="Z1249">
        <v>-3.4938959999999998E-3</v>
      </c>
      <c r="AA1249">
        <v>0.98841049999999997</v>
      </c>
      <c r="AB1249">
        <v>29</v>
      </c>
      <c r="AC1249">
        <v>36.449099999999902</v>
      </c>
      <c r="AD1249">
        <v>-1.1215892570199999</v>
      </c>
      <c r="AE1249">
        <v>-5.4011999999999496</v>
      </c>
      <c r="AF1249">
        <v>5.61488102071183</v>
      </c>
      <c r="AG1249">
        <v>-1.1215892570199999</v>
      </c>
      <c r="AH1249">
        <v>36.382283198906201</v>
      </c>
      <c r="AI1249">
        <v>91.745102200765999</v>
      </c>
      <c r="AJ1249">
        <v>81.226753338824906</v>
      </c>
      <c r="AK1249">
        <v>36.830088000215603</v>
      </c>
      <c r="AL1249">
        <v>81.491860949618996</v>
      </c>
      <c r="AM1249">
        <v>87.2490343856621</v>
      </c>
      <c r="AN1249">
        <v>0.99999998288012604</v>
      </c>
    </row>
    <row r="1250" spans="1:40" x14ac:dyDescent="0.25">
      <c r="A1250" t="str">
        <f>"20190303170246369"</f>
        <v>20190303170246369</v>
      </c>
      <c r="B1250" t="str">
        <f>"1551603766357351"</f>
        <v>1551603766357351</v>
      </c>
      <c r="C1250" t="s">
        <v>40</v>
      </c>
      <c r="D1250">
        <v>4.3750450000000001</v>
      </c>
      <c r="E1250">
        <v>0.51054009999999905</v>
      </c>
      <c r="F1250" t="s">
        <v>42</v>
      </c>
      <c r="G1250">
        <v>-210.9751</v>
      </c>
      <c r="H1250" s="1">
        <v>-5.0789060000000004E-6</v>
      </c>
      <c r="I1250">
        <v>362.71100000000001</v>
      </c>
      <c r="J1250">
        <v>-246.8716</v>
      </c>
      <c r="K1250">
        <v>1.121588</v>
      </c>
      <c r="L1250">
        <v>368.02530000000002</v>
      </c>
      <c r="M1250">
        <v>0.99988129999999997</v>
      </c>
      <c r="N1250">
        <v>-1.420255E-2</v>
      </c>
      <c r="O1250">
        <v>6.007259E-3</v>
      </c>
      <c r="P1250">
        <v>0.99019069999999998</v>
      </c>
      <c r="Q1250">
        <v>0.13356379999999901</v>
      </c>
      <c r="R1250">
        <v>-4.1031640000000001E-2</v>
      </c>
      <c r="S1250">
        <v>3.0239560000000001</v>
      </c>
      <c r="T1250">
        <v>-9.4028470000000003E-2</v>
      </c>
      <c r="U1250">
        <v>-0.44543460000000001</v>
      </c>
      <c r="V1250">
        <v>4.6985569999999997E-2</v>
      </c>
      <c r="W1250">
        <v>0.1476075</v>
      </c>
      <c r="X1250">
        <v>0.98792930000000001</v>
      </c>
      <c r="Y1250">
        <v>0.15156459999999999</v>
      </c>
      <c r="Z1250">
        <v>-3.5266379999999999E-3</v>
      </c>
      <c r="AA1250">
        <v>0.98844109999999996</v>
      </c>
      <c r="AB1250">
        <v>29</v>
      </c>
      <c r="AC1250">
        <v>35.896500000000003</v>
      </c>
      <c r="AD1250">
        <v>-1.121593078906</v>
      </c>
      <c r="AE1250">
        <v>-5.3143000000000002</v>
      </c>
      <c r="AF1250">
        <v>5.5245876000124898</v>
      </c>
      <c r="AG1250">
        <v>-1.121593078906</v>
      </c>
      <c r="AH1250">
        <v>35.829695606342597</v>
      </c>
      <c r="AI1250">
        <v>91.772042574500006</v>
      </c>
      <c r="AJ1250">
        <v>81.234582636844493</v>
      </c>
      <c r="AK1250">
        <v>36.270458039953503</v>
      </c>
      <c r="AL1250">
        <v>81.511696616607793</v>
      </c>
      <c r="AM1250">
        <v>87.277084649200006</v>
      </c>
      <c r="AN1250">
        <v>0.99999995982148104</v>
      </c>
    </row>
    <row r="1251" spans="1:40" x14ac:dyDescent="0.25">
      <c r="A1251" t="str">
        <f>"20190303170246381"</f>
        <v>20190303170246381</v>
      </c>
      <c r="B1251" t="str">
        <f>"1551603766376871"</f>
        <v>1551603766376871</v>
      </c>
      <c r="C1251" t="s">
        <v>40</v>
      </c>
      <c r="D1251">
        <v>4.4575490000000002</v>
      </c>
      <c r="E1251">
        <v>0.4971467</v>
      </c>
      <c r="F1251" t="s">
        <v>42</v>
      </c>
      <c r="G1251">
        <v>-211.28440000000001</v>
      </c>
      <c r="H1251" s="1">
        <v>-4.3919320000000003E-6</v>
      </c>
      <c r="I1251">
        <v>365.8356</v>
      </c>
      <c r="J1251">
        <v>-246.71360000000001</v>
      </c>
      <c r="K1251">
        <v>1.1215869999999999</v>
      </c>
      <c r="L1251">
        <v>368.02620000000002</v>
      </c>
      <c r="M1251">
        <v>0.99988129999999997</v>
      </c>
      <c r="N1251">
        <v>-1.4201180000000001E-2</v>
      </c>
      <c r="O1251">
        <v>6.007269E-3</v>
      </c>
      <c r="P1251">
        <v>0.99019809999999997</v>
      </c>
      <c r="Q1251">
        <v>0.13359879999999999</v>
      </c>
      <c r="R1251">
        <v>-4.0738379999999998E-2</v>
      </c>
      <c r="S1251">
        <v>3.0348820000000001</v>
      </c>
      <c r="T1251">
        <v>-9.5649600000000001E-2</v>
      </c>
      <c r="U1251">
        <v>-0.18673709999999999</v>
      </c>
      <c r="V1251">
        <v>4.6692409999999997E-2</v>
      </c>
      <c r="W1251">
        <v>0.14764189999999999</v>
      </c>
      <c r="X1251">
        <v>0.98793810000000004</v>
      </c>
      <c r="Y1251">
        <v>6.7360249999999997E-2</v>
      </c>
      <c r="Z1251">
        <v>-1.6430609999999999E-3</v>
      </c>
      <c r="AA1251">
        <v>0.99772740000000004</v>
      </c>
      <c r="AB1251">
        <v>29</v>
      </c>
      <c r="AC1251">
        <v>35.429200000000002</v>
      </c>
      <c r="AD1251">
        <v>-1.121591391932</v>
      </c>
      <c r="AE1251">
        <v>-2.1906000000000101</v>
      </c>
      <c r="AF1251">
        <v>2.4010175321120801</v>
      </c>
      <c r="AG1251">
        <v>-1.121591391932</v>
      </c>
      <c r="AH1251">
        <v>35.380077501797203</v>
      </c>
      <c r="AI1251">
        <v>91.811573664197198</v>
      </c>
      <c r="AJ1251">
        <v>86.117657896610496</v>
      </c>
      <c r="AK1251">
        <v>35.479187370529502</v>
      </c>
      <c r="AL1251">
        <v>81.509704156258607</v>
      </c>
      <c r="AM1251">
        <v>87.294072641804206</v>
      </c>
      <c r="AN1251">
        <v>1.0000000006094101</v>
      </c>
    </row>
    <row r="1252" spans="1:40" x14ac:dyDescent="0.25">
      <c r="A1252" t="str">
        <f>"20190303170246392"</f>
        <v>20190303170246392</v>
      </c>
      <c r="B1252" t="str">
        <f>"1551603766386631"</f>
        <v>1551603766386631</v>
      </c>
      <c r="C1252" t="s">
        <v>40</v>
      </c>
      <c r="D1252">
        <v>4.4917179999999997</v>
      </c>
      <c r="E1252">
        <v>0.49310559999999998</v>
      </c>
      <c r="F1252" t="s">
        <v>52</v>
      </c>
      <c r="G1252">
        <v>-205.7431</v>
      </c>
      <c r="H1252" s="1">
        <v>-3.8913619999999999E-6</v>
      </c>
      <c r="I1252">
        <v>366.95400000000001</v>
      </c>
      <c r="J1252">
        <v>-246.5635</v>
      </c>
      <c r="K1252">
        <v>1.121586</v>
      </c>
      <c r="L1252">
        <v>368.02710000000002</v>
      </c>
      <c r="M1252">
        <v>0.99988109999999997</v>
      </c>
      <c r="N1252">
        <v>-1.419988E-2</v>
      </c>
      <c r="O1252">
        <v>6.0074569999999999E-3</v>
      </c>
      <c r="P1252">
        <v>0.99018229999999996</v>
      </c>
      <c r="Q1252">
        <v>0.133723799999999</v>
      </c>
      <c r="R1252">
        <v>-4.071002E-2</v>
      </c>
      <c r="S1252">
        <v>3.0376590000000001</v>
      </c>
      <c r="T1252">
        <v>-8.3157540000000002E-2</v>
      </c>
      <c r="U1252">
        <v>-7.9498289999999999E-2</v>
      </c>
      <c r="V1252">
        <v>4.6664169999999998E-2</v>
      </c>
      <c r="W1252">
        <v>0.14776500000000001</v>
      </c>
      <c r="X1252">
        <v>0.98792100000000005</v>
      </c>
      <c r="Y1252">
        <v>3.2148690000000001E-2</v>
      </c>
      <c r="Z1252">
        <v>-7.4737039999999897E-4</v>
      </c>
      <c r="AA1252">
        <v>0.9994828</v>
      </c>
      <c r="AB1252">
        <v>29</v>
      </c>
      <c r="AC1252">
        <v>40.820399999999999</v>
      </c>
      <c r="AD1252">
        <v>-1.1215898913619999</v>
      </c>
      <c r="AE1252">
        <v>-1.0731000000000099</v>
      </c>
      <c r="AF1252">
        <v>1.3173383368161</v>
      </c>
      <c r="AG1252">
        <v>-1.1215898913619999</v>
      </c>
      <c r="AH1252">
        <v>40.782448871402799</v>
      </c>
      <c r="AI1252">
        <v>91.574517978484195</v>
      </c>
      <c r="AJ1252">
        <v>88.149897950103494</v>
      </c>
      <c r="AK1252">
        <v>40.8191313004899</v>
      </c>
      <c r="AL1252">
        <v>81.5025725747076</v>
      </c>
      <c r="AM1252">
        <v>87.295660042079803</v>
      </c>
      <c r="AN1252">
        <v>0.99999997111389405</v>
      </c>
    </row>
    <row r="1253" spans="1:40" x14ac:dyDescent="0.25">
      <c r="A1253" t="str">
        <f>"20190303170246405"</f>
        <v>20190303170246405</v>
      </c>
      <c r="B1253" t="str">
        <f>"1551603766397367"</f>
        <v>1551603766397367</v>
      </c>
      <c r="C1253" t="s">
        <v>40</v>
      </c>
      <c r="D1253">
        <v>4.4562419999999996</v>
      </c>
      <c r="E1253">
        <v>0.49050169999999998</v>
      </c>
      <c r="F1253" t="s">
        <v>52</v>
      </c>
      <c r="G1253">
        <v>-203.10769999999999</v>
      </c>
      <c r="H1253" s="1">
        <v>-2.4370920000000001E-6</v>
      </c>
      <c r="I1253">
        <v>367.35019999999997</v>
      </c>
      <c r="J1253">
        <v>-246.4118</v>
      </c>
      <c r="K1253">
        <v>1.1215820000000001</v>
      </c>
      <c r="L1253">
        <v>368.02800000000002</v>
      </c>
      <c r="M1253">
        <v>0.99988109999999997</v>
      </c>
      <c r="N1253">
        <v>-1.4198550000000001E-2</v>
      </c>
      <c r="O1253">
        <v>6.0074660000000004E-3</v>
      </c>
      <c r="P1253">
        <v>0.99019440000000003</v>
      </c>
      <c r="Q1253">
        <v>0.1335266</v>
      </c>
      <c r="R1253">
        <v>-4.106054E-2</v>
      </c>
      <c r="S1253">
        <v>3.0383909999999998</v>
      </c>
      <c r="T1253">
        <v>-7.842064E-2</v>
      </c>
      <c r="U1253">
        <v>-4.7332760000000001E-2</v>
      </c>
      <c r="V1253">
        <v>4.701487E-2</v>
      </c>
      <c r="W1253">
        <v>0.147566899999999</v>
      </c>
      <c r="X1253">
        <v>0.98793399999999998</v>
      </c>
      <c r="Y1253">
        <v>2.157187E-2</v>
      </c>
      <c r="Z1253">
        <v>-5.0125069999999998E-4</v>
      </c>
      <c r="AA1253">
        <v>0.99976719999999997</v>
      </c>
      <c r="AB1253">
        <v>29</v>
      </c>
      <c r="AC1253">
        <v>43.304099999999998</v>
      </c>
      <c r="AD1253">
        <v>-1.1215844370919901</v>
      </c>
      <c r="AE1253">
        <v>-0.67780000000004703</v>
      </c>
      <c r="AF1253">
        <v>0.93733328666224103</v>
      </c>
      <c r="AG1253">
        <v>-1.1215844370919901</v>
      </c>
      <c r="AH1253">
        <v>43.270226731046499</v>
      </c>
      <c r="AI1253">
        <v>91.484452730779296</v>
      </c>
      <c r="AJ1253">
        <v>88.759034855059795</v>
      </c>
      <c r="AK1253">
        <v>43.294908092014502</v>
      </c>
      <c r="AL1253">
        <v>81.514048823916397</v>
      </c>
      <c r="AM1253">
        <v>87.275402151269503</v>
      </c>
      <c r="AN1253">
        <v>0.99999998816636304</v>
      </c>
    </row>
    <row r="1254" spans="1:40" x14ac:dyDescent="0.25">
      <c r="A1254" t="str">
        <f>"20190303170246416"</f>
        <v>20190303170246416</v>
      </c>
      <c r="B1254" t="str">
        <f>"1551603766407128"</f>
        <v>1551603766407128</v>
      </c>
      <c r="C1254" t="s">
        <v>40</v>
      </c>
      <c r="D1254">
        <v>4.422123</v>
      </c>
      <c r="E1254">
        <v>0.48861100000000002</v>
      </c>
      <c r="F1254" t="s">
        <v>52</v>
      </c>
      <c r="G1254">
        <v>-201.8544</v>
      </c>
      <c r="H1254" s="1">
        <v>-1.623907E-6</v>
      </c>
      <c r="I1254">
        <v>367.6182</v>
      </c>
      <c r="J1254">
        <v>-246.2611</v>
      </c>
      <c r="K1254">
        <v>1.1215790000000001</v>
      </c>
      <c r="L1254">
        <v>368.02890000000002</v>
      </c>
      <c r="M1254">
        <v>0.99988109999999997</v>
      </c>
      <c r="N1254">
        <v>-1.419722E-2</v>
      </c>
      <c r="O1254">
        <v>6.0072959999999996E-3</v>
      </c>
      <c r="P1254">
        <v>0.99023510000000003</v>
      </c>
      <c r="Q1254">
        <v>0.13321060000000001</v>
      </c>
      <c r="R1254">
        <v>-4.109894E-2</v>
      </c>
      <c r="S1254">
        <v>3.0388489999999999</v>
      </c>
      <c r="T1254">
        <v>-7.6492909999999997E-2</v>
      </c>
      <c r="U1254">
        <v>-2.7954099999999999E-2</v>
      </c>
      <c r="V1254">
        <v>4.7053360000000002E-2</v>
      </c>
      <c r="W1254">
        <v>0.14724999999999999</v>
      </c>
      <c r="X1254">
        <v>0.98797950000000001</v>
      </c>
      <c r="Y1254">
        <v>1.5198110000000001E-2</v>
      </c>
      <c r="Z1254">
        <v>-3.6507020000000001E-4</v>
      </c>
      <c r="AA1254">
        <v>0.99988440000000001</v>
      </c>
      <c r="AB1254">
        <v>29</v>
      </c>
      <c r="AC1254">
        <v>44.406700000000001</v>
      </c>
      <c r="AD1254">
        <v>-1.1215806239070001</v>
      </c>
      <c r="AE1254">
        <v>-0.41070000000001899</v>
      </c>
      <c r="AF1254">
        <v>0.67705182039275003</v>
      </c>
      <c r="AG1254">
        <v>-1.1215806239070001</v>
      </c>
      <c r="AH1254">
        <v>44.3751259058266</v>
      </c>
      <c r="AI1254">
        <v>91.447673271082195</v>
      </c>
      <c r="AJ1254">
        <v>89.125879616107198</v>
      </c>
      <c r="AK1254">
        <v>44.394460706504702</v>
      </c>
      <c r="AL1254">
        <v>81.532406815206002</v>
      </c>
      <c r="AM1254">
        <v>87.273300341066602</v>
      </c>
      <c r="AN1254">
        <v>1.00000003680376</v>
      </c>
    </row>
    <row r="1255" spans="1:40" x14ac:dyDescent="0.25">
      <c r="A1255" t="str">
        <f>"20190303170246429"</f>
        <v>20190303170246429</v>
      </c>
      <c r="B1255" t="str">
        <f>"1551603766416887"</f>
        <v>1551603766416887</v>
      </c>
      <c r="C1255" t="s">
        <v>40</v>
      </c>
      <c r="D1255">
        <v>4.3025449999999896</v>
      </c>
      <c r="E1255">
        <v>0.48726380000000002</v>
      </c>
      <c r="F1255" t="s">
        <v>52</v>
      </c>
      <c r="G1255">
        <v>-201.4999</v>
      </c>
      <c r="H1255" s="1">
        <v>-1.3556289999999999E-6</v>
      </c>
      <c r="I1255">
        <v>367.83789999999999</v>
      </c>
      <c r="J1255">
        <v>-246.0909</v>
      </c>
      <c r="K1255">
        <v>1.121577</v>
      </c>
      <c r="L1255">
        <v>368.03</v>
      </c>
      <c r="M1255">
        <v>0.99988120000000003</v>
      </c>
      <c r="N1255">
        <v>-1.419569E-2</v>
      </c>
      <c r="O1255">
        <v>6.0062859999999996E-3</v>
      </c>
      <c r="P1255">
        <v>0.99029120000000004</v>
      </c>
      <c r="Q1255">
        <v>0.1326261</v>
      </c>
      <c r="R1255">
        <v>-4.1639509999999998E-2</v>
      </c>
      <c r="S1255">
        <v>3.039291</v>
      </c>
      <c r="T1255">
        <v>-7.6155539999999994E-2</v>
      </c>
      <c r="U1255">
        <v>-1.2969970000000001E-2</v>
      </c>
      <c r="V1255">
        <v>4.759331E-2</v>
      </c>
      <c r="W1255">
        <v>0.14666470000000001</v>
      </c>
      <c r="X1255">
        <v>0.98804069999999999</v>
      </c>
      <c r="Y1255">
        <v>1.026875E-2</v>
      </c>
      <c r="Z1255">
        <v>-2.6675260000000003E-4</v>
      </c>
      <c r="AA1255">
        <v>0.99994720000000004</v>
      </c>
      <c r="AB1255">
        <v>29</v>
      </c>
      <c r="AC1255">
        <v>44.591000000000001</v>
      </c>
      <c r="AD1255">
        <v>-1.121578355629</v>
      </c>
      <c r="AE1255">
        <v>-0.19209999999998201</v>
      </c>
      <c r="AF1255">
        <v>0.45965902346397902</v>
      </c>
      <c r="AG1255">
        <v>-1.121578355629</v>
      </c>
      <c r="AH1255">
        <v>44.560850602636897</v>
      </c>
      <c r="AI1255">
        <v>91.441730215720995</v>
      </c>
      <c r="AJ1255">
        <v>89.408997188228497</v>
      </c>
      <c r="AK1255">
        <v>44.577333151010599</v>
      </c>
      <c r="AL1255">
        <v>81.566310164927501</v>
      </c>
      <c r="AM1255">
        <v>87.242229328267996</v>
      </c>
      <c r="AN1255">
        <v>1.0000000411196599</v>
      </c>
    </row>
    <row r="1256" spans="1:40" x14ac:dyDescent="0.25">
      <c r="A1256" t="str">
        <f>"20190303170246441"</f>
        <v>20190303170246441</v>
      </c>
      <c r="B1256" t="str">
        <f>"1551603766426646"</f>
        <v>1551603766426646</v>
      </c>
      <c r="C1256" t="s">
        <v>40</v>
      </c>
      <c r="D1256">
        <v>4.4830969999999999</v>
      </c>
      <c r="E1256">
        <v>0.4849483</v>
      </c>
      <c r="F1256" t="s">
        <v>52</v>
      </c>
      <c r="G1256">
        <v>-201.58519999999999</v>
      </c>
      <c r="H1256" s="1">
        <v>-1.3703389999999901E-6</v>
      </c>
      <c r="I1256">
        <v>367.97230000000002</v>
      </c>
      <c r="J1256">
        <v>-245.935</v>
      </c>
      <c r="K1256">
        <v>1.121575</v>
      </c>
      <c r="L1256">
        <v>368.03089999999997</v>
      </c>
      <c r="M1256">
        <v>0.99988129999999997</v>
      </c>
      <c r="N1256">
        <v>-1.419428E-2</v>
      </c>
      <c r="O1256">
        <v>6.0041340000000004E-3</v>
      </c>
      <c r="P1256">
        <v>0.99033769999999999</v>
      </c>
      <c r="Q1256">
        <v>0.13219639999999999</v>
      </c>
      <c r="R1256">
        <v>-4.1897839999999999E-2</v>
      </c>
      <c r="S1256">
        <v>3.0395050000000001</v>
      </c>
      <c r="T1256">
        <v>-7.6597929999999995E-2</v>
      </c>
      <c r="U1256">
        <v>-3.9367680000000002E-3</v>
      </c>
      <c r="V1256">
        <v>4.7850190000000001E-2</v>
      </c>
      <c r="W1256">
        <v>0.146234</v>
      </c>
      <c r="X1256">
        <v>0.98809210000000003</v>
      </c>
      <c r="Y1256">
        <v>7.295925E-3</v>
      </c>
      <c r="Z1256">
        <v>-2.0977389999999999E-4</v>
      </c>
      <c r="AA1256">
        <v>0.99997340000000001</v>
      </c>
      <c r="AB1256">
        <v>29</v>
      </c>
      <c r="AC1256">
        <v>44.349800000000002</v>
      </c>
      <c r="AD1256">
        <v>-1.12157637033899</v>
      </c>
      <c r="AE1256">
        <v>-5.8599999999955799E-2</v>
      </c>
      <c r="AF1256">
        <v>0.324700234165339</v>
      </c>
      <c r="AG1256">
        <v>-1.12157637033899</v>
      </c>
      <c r="AH1256">
        <v>44.320303565315697</v>
      </c>
      <c r="AI1256">
        <v>91.449587466387698</v>
      </c>
      <c r="AJ1256">
        <v>89.580246101843798</v>
      </c>
      <c r="AK1256">
        <v>44.335681701292401</v>
      </c>
      <c r="AL1256">
        <v>81.591256165514693</v>
      </c>
      <c r="AM1256">
        <v>87.227511714689399</v>
      </c>
      <c r="AN1256">
        <v>1.0000000107607201</v>
      </c>
    </row>
    <row r="1257" spans="1:40" x14ac:dyDescent="0.25">
      <c r="A1257" t="str">
        <f>"20190303170246452"</f>
        <v>20190303170246452</v>
      </c>
      <c r="B1257" t="str">
        <f>"1551603766447143"</f>
        <v>1551603766447143</v>
      </c>
      <c r="C1257" t="s">
        <v>40</v>
      </c>
      <c r="D1257">
        <v>4.4867720000000002</v>
      </c>
      <c r="E1257">
        <v>0.48381770000000002</v>
      </c>
      <c r="F1257" t="s">
        <v>52</v>
      </c>
      <c r="G1257">
        <v>-198.74209999999999</v>
      </c>
      <c r="H1257" s="1">
        <v>-8.6617629999999994E-6</v>
      </c>
      <c r="I1257">
        <v>368.2398</v>
      </c>
      <c r="J1257">
        <v>-245.77969999999999</v>
      </c>
      <c r="K1257">
        <v>1.121577</v>
      </c>
      <c r="L1257">
        <v>368.03179999999998</v>
      </c>
      <c r="M1257">
        <v>0.99988140000000003</v>
      </c>
      <c r="N1257">
        <v>-1.419287E-2</v>
      </c>
      <c r="O1257">
        <v>6.0007219999999896E-3</v>
      </c>
      <c r="P1257">
        <v>0.99036409999999997</v>
      </c>
      <c r="Q1257">
        <v>0.13194919999999999</v>
      </c>
      <c r="R1257">
        <v>-4.2060609999999998E-2</v>
      </c>
      <c r="S1257">
        <v>3.0395050000000001</v>
      </c>
      <c r="T1257">
        <v>-7.2236540000000002E-2</v>
      </c>
      <c r="U1257">
        <v>1.345825E-2</v>
      </c>
      <c r="V1257">
        <v>4.8009980000000001E-2</v>
      </c>
      <c r="W1257">
        <v>0.1459859</v>
      </c>
      <c r="X1257">
        <v>0.98812100000000003</v>
      </c>
      <c r="Y1257">
        <v>1.572628E-3</v>
      </c>
      <c r="Z1257" s="1">
        <v>-8.7271260000000003E-5</v>
      </c>
      <c r="AA1257">
        <v>0.99999870000000002</v>
      </c>
      <c r="AB1257">
        <v>29</v>
      </c>
      <c r="AC1257">
        <v>47.037599999999998</v>
      </c>
      <c r="AD1257">
        <v>-1.121585661763</v>
      </c>
      <c r="AE1257">
        <v>0.208000000000026</v>
      </c>
      <c r="AF1257">
        <v>7.42494889267305E-2</v>
      </c>
      <c r="AG1257">
        <v>-1.121585661763</v>
      </c>
      <c r="AH1257">
        <v>47.011273115838101</v>
      </c>
      <c r="AI1257">
        <v>91.366690413296695</v>
      </c>
      <c r="AJ1257">
        <v>89.909507262254294</v>
      </c>
      <c r="AK1257">
        <v>47.024709115051401</v>
      </c>
      <c r="AL1257">
        <v>81.605625159707103</v>
      </c>
      <c r="AM1257">
        <v>87.218349069499098</v>
      </c>
      <c r="AN1257">
        <v>0.99999997590970402</v>
      </c>
    </row>
    <row r="1258" spans="1:40" x14ac:dyDescent="0.25">
      <c r="A1258" t="str">
        <f>"20190303170246463"</f>
        <v>20190303170246463</v>
      </c>
      <c r="B1258" t="str">
        <f>"1551603766456903"</f>
        <v>1551603766456903</v>
      </c>
      <c r="C1258" t="s">
        <v>40</v>
      </c>
      <c r="D1258">
        <v>4.4229050000000001</v>
      </c>
      <c r="E1258">
        <v>0.48342309999999999</v>
      </c>
      <c r="F1258" t="s">
        <v>52</v>
      </c>
      <c r="G1258">
        <v>-198.85050000000001</v>
      </c>
      <c r="H1258" s="1">
        <v>-8.6822919999999996E-6</v>
      </c>
      <c r="I1258">
        <v>368.37150000000003</v>
      </c>
      <c r="J1258">
        <v>-245.63239999999999</v>
      </c>
      <c r="K1258">
        <v>1.121575</v>
      </c>
      <c r="L1258">
        <v>368.03269999999998</v>
      </c>
      <c r="M1258">
        <v>0.99988140000000003</v>
      </c>
      <c r="N1258">
        <v>-1.4191509999999999E-2</v>
      </c>
      <c r="O1258">
        <v>5.9949699999999996E-3</v>
      </c>
      <c r="P1258">
        <v>0.99033729999999998</v>
      </c>
      <c r="Q1258">
        <v>0.1320433</v>
      </c>
      <c r="R1258">
        <v>-4.2391369999999998E-2</v>
      </c>
      <c r="S1258">
        <v>3.0398100000000001</v>
      </c>
      <c r="T1258">
        <v>-7.264996E-2</v>
      </c>
      <c r="U1258">
        <v>2.2003169999999999E-2</v>
      </c>
      <c r="V1258">
        <v>4.833581E-2</v>
      </c>
      <c r="W1258">
        <v>0.1460784</v>
      </c>
      <c r="X1258">
        <v>0.98809150000000001</v>
      </c>
      <c r="Y1258">
        <v>-1.2423200000000001E-3</v>
      </c>
      <c r="Z1258" s="1">
        <v>-3.4515470000000003E-5</v>
      </c>
      <c r="AA1258">
        <v>0.99999919999999998</v>
      </c>
      <c r="AB1258">
        <v>29</v>
      </c>
      <c r="AC1258">
        <v>46.781899999999901</v>
      </c>
      <c r="AD1258">
        <v>-1.121583682292</v>
      </c>
      <c r="AE1258">
        <v>0.33880000000004801</v>
      </c>
      <c r="AF1258">
        <v>-5.8276104221363499E-2</v>
      </c>
      <c r="AG1258">
        <v>-1.121583682292</v>
      </c>
      <c r="AH1258">
        <v>46.756216960116802</v>
      </c>
      <c r="AI1258">
        <v>91.374141109743405</v>
      </c>
      <c r="AJ1258">
        <v>90.071412387623198</v>
      </c>
      <c r="AK1258">
        <v>46.769703553499397</v>
      </c>
      <c r="AL1258">
        <v>81.600268334422296</v>
      </c>
      <c r="AM1258">
        <v>87.199417275137293</v>
      </c>
      <c r="AN1258">
        <v>1.0000000309235799</v>
      </c>
    </row>
    <row r="1259" spans="1:40" x14ac:dyDescent="0.25">
      <c r="A1259" t="str">
        <f>"20190303170246475"</f>
        <v>20190303170246475</v>
      </c>
      <c r="B1259" t="str">
        <f>"1551603766466663"</f>
        <v>1551603766466663</v>
      </c>
      <c r="C1259" t="s">
        <v>40</v>
      </c>
      <c r="D1259">
        <v>4.4255599999999999</v>
      </c>
      <c r="E1259">
        <v>0.48308279999999998</v>
      </c>
      <c r="F1259" t="s">
        <v>52</v>
      </c>
      <c r="G1259">
        <v>-198.7028</v>
      </c>
      <c r="H1259" s="1">
        <v>-8.6237149999999995E-6</v>
      </c>
      <c r="I1259">
        <v>368.40539999999999</v>
      </c>
      <c r="J1259">
        <v>-245.4881</v>
      </c>
      <c r="K1259">
        <v>1.121569</v>
      </c>
      <c r="L1259">
        <v>368.03359999999998</v>
      </c>
      <c r="M1259">
        <v>0.99988140000000003</v>
      </c>
      <c r="N1259">
        <v>-1.419016E-2</v>
      </c>
      <c r="O1259">
        <v>5.9885579999999997E-3</v>
      </c>
      <c r="P1259">
        <v>0.99027019999999999</v>
      </c>
      <c r="Q1259">
        <v>0.13244739999999999</v>
      </c>
      <c r="R1259">
        <v>-4.269854E-2</v>
      </c>
      <c r="S1259">
        <v>3.0399929999999999</v>
      </c>
      <c r="T1259">
        <v>-7.265365E-2</v>
      </c>
      <c r="U1259">
        <v>2.4139399999999998E-2</v>
      </c>
      <c r="V1259">
        <v>4.8637029999999998E-2</v>
      </c>
      <c r="W1259">
        <v>0.14647929999999901</v>
      </c>
      <c r="X1259">
        <v>0.98801729999999999</v>
      </c>
      <c r="Y1259">
        <v>-1.950642E-3</v>
      </c>
      <c r="Z1259" s="1">
        <v>-2.0970739999999998E-5</v>
      </c>
      <c r="AA1259">
        <v>0.9999981</v>
      </c>
      <c r="AB1259">
        <v>29</v>
      </c>
      <c r="AC1259">
        <v>46.785299999999999</v>
      </c>
      <c r="AD1259">
        <v>-1.1215776237149999</v>
      </c>
      <c r="AE1259">
        <v>0.37180000000000701</v>
      </c>
      <c r="AF1259">
        <v>-9.1536039566724098E-2</v>
      </c>
      <c r="AG1259">
        <v>-1.1215776237149999</v>
      </c>
      <c r="AH1259">
        <v>46.759816581711199</v>
      </c>
      <c r="AI1259">
        <v>91.374026383135003</v>
      </c>
      <c r="AJ1259">
        <v>90.112160877107399</v>
      </c>
      <c r="AK1259">
        <v>46.773355256682599</v>
      </c>
      <c r="AL1259">
        <v>81.577048137922205</v>
      </c>
      <c r="AM1259">
        <v>87.181781305828594</v>
      </c>
      <c r="AN1259">
        <v>0.99999996555749904</v>
      </c>
    </row>
    <row r="1260" spans="1:40" x14ac:dyDescent="0.25">
      <c r="A1260" t="str">
        <f>"20190303170246489"</f>
        <v>20190303170246489</v>
      </c>
      <c r="B1260" t="str">
        <f>"1551603766476423"</f>
        <v>1551603766476423</v>
      </c>
      <c r="C1260" t="s">
        <v>40</v>
      </c>
      <c r="D1260">
        <v>4.487406</v>
      </c>
      <c r="E1260">
        <v>0.48277819999999999</v>
      </c>
      <c r="F1260" t="s">
        <v>52</v>
      </c>
      <c r="G1260">
        <v>-197.52539999999999</v>
      </c>
      <c r="H1260" s="1">
        <v>-8.1903369999999997E-6</v>
      </c>
      <c r="I1260">
        <v>368.44229999999999</v>
      </c>
      <c r="J1260">
        <v>-245.3158</v>
      </c>
      <c r="K1260">
        <v>1.121569</v>
      </c>
      <c r="L1260">
        <v>368.03460000000001</v>
      </c>
      <c r="M1260">
        <v>0.99988160000000004</v>
      </c>
      <c r="N1260">
        <v>-1.418852E-2</v>
      </c>
      <c r="O1260">
        <v>5.9751989999999996E-3</v>
      </c>
      <c r="P1260">
        <v>0.99023720000000004</v>
      </c>
      <c r="Q1260">
        <v>0.1325866</v>
      </c>
      <c r="R1260">
        <v>-4.3029600000000001E-2</v>
      </c>
      <c r="S1260">
        <v>3.0401150000000001</v>
      </c>
      <c r="T1260">
        <v>-7.1091290000000001E-2</v>
      </c>
      <c r="U1260">
        <v>2.5909419999999999E-2</v>
      </c>
      <c r="V1260">
        <v>4.895629E-2</v>
      </c>
      <c r="W1260">
        <v>0.1466161</v>
      </c>
      <c r="X1260">
        <v>0.98798129999999995</v>
      </c>
      <c r="Y1260">
        <v>-2.5456039999999999E-3</v>
      </c>
      <c r="Z1260" s="1">
        <v>-7.1015910000000003E-6</v>
      </c>
      <c r="AA1260">
        <v>0.99999680000000002</v>
      </c>
      <c r="AB1260">
        <v>29</v>
      </c>
      <c r="AC1260">
        <v>47.790399999999998</v>
      </c>
      <c r="AD1260">
        <v>-1.121577190337</v>
      </c>
      <c r="AE1260">
        <v>0.40769999999997703</v>
      </c>
      <c r="AF1260">
        <v>-0.122039643528285</v>
      </c>
      <c r="AG1260">
        <v>-1.121577190337</v>
      </c>
      <c r="AH1260">
        <v>47.765676629172397</v>
      </c>
      <c r="AI1260">
        <v>91.345100248167995</v>
      </c>
      <c r="AJ1260">
        <v>90.146388406612203</v>
      </c>
      <c r="AK1260">
        <v>47.778998450272503</v>
      </c>
      <c r="AL1260">
        <v>81.569125025994296</v>
      </c>
      <c r="AM1260">
        <v>87.1632090623945</v>
      </c>
      <c r="AN1260">
        <v>1.00000002412973</v>
      </c>
    </row>
    <row r="1261" spans="1:40" x14ac:dyDescent="0.25">
      <c r="A1261" t="str">
        <f>"20190303170246504"</f>
        <v>20190303170246504</v>
      </c>
      <c r="B1261" t="str">
        <f>"1551603766496919"</f>
        <v>1551603766496919</v>
      </c>
      <c r="C1261" t="s">
        <v>40</v>
      </c>
      <c r="D1261">
        <v>4.7988429999999997</v>
      </c>
      <c r="E1261">
        <v>0.48222510000000002</v>
      </c>
      <c r="F1261" t="s">
        <v>52</v>
      </c>
      <c r="G1261">
        <v>-196.81549999999999</v>
      </c>
      <c r="H1261" s="1">
        <v>-7.9286609999999907E-6</v>
      </c>
      <c r="I1261">
        <v>368.46690000000001</v>
      </c>
      <c r="J1261">
        <v>-245.10820000000001</v>
      </c>
      <c r="K1261">
        <v>1.1215649999999999</v>
      </c>
      <c r="L1261">
        <v>368.03579999999999</v>
      </c>
      <c r="M1261">
        <v>0.99988160000000004</v>
      </c>
      <c r="N1261">
        <v>-1.4186519999999999E-2</v>
      </c>
      <c r="O1261">
        <v>5.9546060000000003E-3</v>
      </c>
      <c r="P1261">
        <v>0.99016820000000005</v>
      </c>
      <c r="Q1261">
        <v>0.13291220000000001</v>
      </c>
      <c r="R1261">
        <v>-4.3604730000000001E-2</v>
      </c>
      <c r="S1261">
        <v>3.0401609999999999</v>
      </c>
      <c r="T1261">
        <v>-7.0304160000000004E-2</v>
      </c>
      <c r="U1261">
        <v>2.709961E-2</v>
      </c>
      <c r="V1261">
        <v>4.9513059999999998E-2</v>
      </c>
      <c r="W1261">
        <v>0.14693779999999901</v>
      </c>
      <c r="X1261">
        <v>0.9879057</v>
      </c>
      <c r="Y1261">
        <v>-2.9573540000000001E-3</v>
      </c>
      <c r="Z1261" s="1">
        <v>1.9684789999999999E-6</v>
      </c>
      <c r="AA1261">
        <v>0.99999559999999998</v>
      </c>
      <c r="AB1261">
        <v>29</v>
      </c>
      <c r="AC1261">
        <v>48.292700000000004</v>
      </c>
      <c r="AD1261">
        <v>-1.1215729286609999</v>
      </c>
      <c r="AE1261">
        <v>0.43110000000001403</v>
      </c>
      <c r="AF1261">
        <v>-0.14342205025454899</v>
      </c>
      <c r="AG1261">
        <v>-1.1215729286609999</v>
      </c>
      <c r="AH1261">
        <v>48.268378187061103</v>
      </c>
      <c r="AI1261">
        <v>91.331089887832803</v>
      </c>
      <c r="AJ1261">
        <v>90.170245081639607</v>
      </c>
      <c r="AK1261">
        <v>48.281619986574199</v>
      </c>
      <c r="AL1261">
        <v>81.550490668568401</v>
      </c>
      <c r="AM1261">
        <v>87.130781226379597</v>
      </c>
      <c r="AN1261">
        <v>0.99999996613594599</v>
      </c>
    </row>
    <row r="1262" spans="1:40" x14ac:dyDescent="0.25">
      <c r="A1262" t="str">
        <f>"20190303170246519"</f>
        <v>20190303170246519</v>
      </c>
      <c r="B1262" t="str">
        <f>"1551603766506679"</f>
        <v>1551603766506679</v>
      </c>
      <c r="C1262" t="s">
        <v>40</v>
      </c>
      <c r="D1262">
        <v>4.414828</v>
      </c>
      <c r="E1262">
        <v>0.48185499999999998</v>
      </c>
      <c r="F1262" t="s">
        <v>52</v>
      </c>
      <c r="G1262">
        <v>-195.7841</v>
      </c>
      <c r="H1262" s="1">
        <v>-7.5449899999999897E-6</v>
      </c>
      <c r="I1262">
        <v>368.5274</v>
      </c>
      <c r="J1262">
        <v>-244.92259999999999</v>
      </c>
      <c r="K1262">
        <v>1.1215569999999999</v>
      </c>
      <c r="L1262">
        <v>368.0369</v>
      </c>
      <c r="M1262">
        <v>0.99988189999999999</v>
      </c>
      <c r="N1262">
        <v>-1.418472E-2</v>
      </c>
      <c r="O1262">
        <v>5.9313329999999996E-3</v>
      </c>
      <c r="P1262">
        <v>0.99013839999999997</v>
      </c>
      <c r="Q1262">
        <v>0.133133</v>
      </c>
      <c r="R1262">
        <v>-4.3612020000000001E-2</v>
      </c>
      <c r="S1262">
        <v>3.0404049999999998</v>
      </c>
      <c r="T1262">
        <v>-6.9135310000000005E-2</v>
      </c>
      <c r="U1262">
        <v>3.0303960000000001E-2</v>
      </c>
      <c r="V1262">
        <v>4.9499080000000001E-2</v>
      </c>
      <c r="W1262">
        <v>0.1471557</v>
      </c>
      <c r="X1262">
        <v>0.98787400000000003</v>
      </c>
      <c r="Y1262">
        <v>-4.0332959999999996E-3</v>
      </c>
      <c r="Z1262" s="1">
        <v>2.3747000000000002E-5</v>
      </c>
      <c r="AA1262">
        <v>0.99999190000000004</v>
      </c>
      <c r="AB1262">
        <v>29</v>
      </c>
      <c r="AC1262">
        <v>49.138499999999901</v>
      </c>
      <c r="AD1262">
        <v>-1.12156454499</v>
      </c>
      <c r="AE1262">
        <v>0.49049999999999699</v>
      </c>
      <c r="AF1262">
        <v>-0.19890165732231199</v>
      </c>
      <c r="AG1262">
        <v>-1.12156454499</v>
      </c>
      <c r="AH1262">
        <v>49.114960663454603</v>
      </c>
      <c r="AI1262">
        <v>91.308139536495403</v>
      </c>
      <c r="AJ1262">
        <v>90.232030384413704</v>
      </c>
      <c r="AK1262">
        <v>49.128167377488801</v>
      </c>
      <c r="AL1262">
        <v>81.537868995030095</v>
      </c>
      <c r="AM1262">
        <v>87.131498105438297</v>
      </c>
      <c r="AN1262">
        <v>0.999999999419668</v>
      </c>
    </row>
    <row r="1263" spans="1:40" x14ac:dyDescent="0.25">
      <c r="A1263" t="str">
        <f>"20190303170246533"</f>
        <v>20190303170246533</v>
      </c>
      <c r="B1263" t="str">
        <f>"1551603766527175"</f>
        <v>1551603766527175</v>
      </c>
      <c r="C1263" t="s">
        <v>40</v>
      </c>
      <c r="D1263">
        <v>4.413208</v>
      </c>
      <c r="E1263">
        <v>0.48102539999999999</v>
      </c>
      <c r="F1263" t="s">
        <v>52</v>
      </c>
      <c r="G1263">
        <v>-196.22499999999999</v>
      </c>
      <c r="H1263" s="1">
        <v>-7.6990849999999995E-6</v>
      </c>
      <c r="I1263">
        <v>368.57060000000001</v>
      </c>
      <c r="J1263">
        <v>-244.73609999999999</v>
      </c>
      <c r="K1263">
        <v>1.121551</v>
      </c>
      <c r="L1263">
        <v>368.03800000000001</v>
      </c>
      <c r="M1263">
        <v>0.99988200000000005</v>
      </c>
      <c r="N1263">
        <v>-1.418291E-2</v>
      </c>
      <c r="O1263">
        <v>5.9031680000000003E-3</v>
      </c>
      <c r="P1263">
        <v>0.99014120000000005</v>
      </c>
      <c r="Q1263">
        <v>0.132997</v>
      </c>
      <c r="R1263">
        <v>-4.396021E-2</v>
      </c>
      <c r="S1263">
        <v>3.0407709999999999</v>
      </c>
      <c r="T1263">
        <v>-7.00326E-2</v>
      </c>
      <c r="U1263">
        <v>3.3325199999999902E-2</v>
      </c>
      <c r="V1263">
        <v>4.982164E-2</v>
      </c>
      <c r="W1263">
        <v>0.14701700000000001</v>
      </c>
      <c r="X1263">
        <v>0.98787840000000005</v>
      </c>
      <c r="Y1263">
        <v>-5.053264E-3</v>
      </c>
      <c r="Z1263" s="1">
        <v>4.1816759999999898E-5</v>
      </c>
      <c r="AA1263">
        <v>0.99998719999999996</v>
      </c>
      <c r="AB1263">
        <v>29</v>
      </c>
      <c r="AC1263">
        <v>48.511099999999999</v>
      </c>
      <c r="AD1263">
        <v>-1.1215586990849999</v>
      </c>
      <c r="AE1263">
        <v>0.53260000000000196</v>
      </c>
      <c r="AF1263">
        <v>-0.246061232586476</v>
      </c>
      <c r="AG1263">
        <v>-1.1215586990849999</v>
      </c>
      <c r="AH1263">
        <v>48.487484647356901</v>
      </c>
      <c r="AI1263">
        <v>91.325049060964901</v>
      </c>
      <c r="AJ1263">
        <v>90.290758516539896</v>
      </c>
      <c r="AK1263">
        <v>48.501078415570703</v>
      </c>
      <c r="AL1263">
        <v>81.545902998902704</v>
      </c>
      <c r="AM1263">
        <v>87.112849918826498</v>
      </c>
      <c r="AN1263">
        <v>0.99999996364392396</v>
      </c>
    </row>
    <row r="1264" spans="1:40" x14ac:dyDescent="0.25">
      <c r="A1264" t="str">
        <f>"20190303170246548"</f>
        <v>20190303170246548</v>
      </c>
      <c r="B1264" t="str">
        <f>"1551603766536935"</f>
        <v>1551603766536935</v>
      </c>
      <c r="C1264" t="s">
        <v>40</v>
      </c>
      <c r="D1264">
        <v>4.4317830000000002</v>
      </c>
      <c r="E1264">
        <v>0.48063129999999998</v>
      </c>
      <c r="F1264" t="s">
        <v>52</v>
      </c>
      <c r="G1264">
        <v>-195.64599999999999</v>
      </c>
      <c r="H1264" s="1">
        <v>-7.4752899999999902E-6</v>
      </c>
      <c r="I1264">
        <v>368.66320000000002</v>
      </c>
      <c r="J1264">
        <v>-244.54750000000001</v>
      </c>
      <c r="K1264">
        <v>1.12154</v>
      </c>
      <c r="L1264">
        <v>368.03910000000002</v>
      </c>
      <c r="M1264">
        <v>0.9998823</v>
      </c>
      <c r="N1264">
        <v>-1.4181060000000001E-2</v>
      </c>
      <c r="O1264">
        <v>5.8679719999999999E-3</v>
      </c>
      <c r="P1264">
        <v>0.99015929999999996</v>
      </c>
      <c r="Q1264">
        <v>0.13269210000000001</v>
      </c>
      <c r="R1264">
        <v>-4.446725E-2</v>
      </c>
      <c r="S1264">
        <v>3.040924</v>
      </c>
      <c r="T1264">
        <v>-6.9475889999999998E-2</v>
      </c>
      <c r="U1264">
        <v>3.872681E-2</v>
      </c>
      <c r="V1264">
        <v>5.0296059999999997E-2</v>
      </c>
      <c r="W1264">
        <v>0.14670999999999901</v>
      </c>
      <c r="X1264">
        <v>0.9879</v>
      </c>
      <c r="Y1264">
        <v>-6.8631909999999898E-3</v>
      </c>
      <c r="Z1264" s="1">
        <v>7.6237819999999998E-5</v>
      </c>
      <c r="AA1264">
        <v>0.99997650000000005</v>
      </c>
      <c r="AB1264">
        <v>29</v>
      </c>
      <c r="AC1264">
        <v>48.901499999999999</v>
      </c>
      <c r="AD1264">
        <v>-1.1215474752900001</v>
      </c>
      <c r="AE1264">
        <v>0.62409999999999799</v>
      </c>
      <c r="AF1264">
        <v>-0.33693058503737</v>
      </c>
      <c r="AG1264">
        <v>-1.1215474752900001</v>
      </c>
      <c r="AH1264">
        <v>48.878614204874097</v>
      </c>
      <c r="AI1264">
        <v>91.314422227905396</v>
      </c>
      <c r="AJ1264">
        <v>90.394945623382995</v>
      </c>
      <c r="AK1264">
        <v>48.892640729944098</v>
      </c>
      <c r="AL1264">
        <v>81.563685627047207</v>
      </c>
      <c r="AM1264">
        <v>87.085468209656895</v>
      </c>
      <c r="AN1264">
        <v>0.99999996387576096</v>
      </c>
    </row>
    <row r="1265" spans="1:40" x14ac:dyDescent="0.25">
      <c r="A1265" t="str">
        <f>"20190303170246561"</f>
        <v>20190303170246561</v>
      </c>
      <c r="B1265" t="str">
        <f>"1551603766546696"</f>
        <v>1551603766546696</v>
      </c>
      <c r="C1265" t="s">
        <v>40</v>
      </c>
      <c r="D1265">
        <v>4.4232069999999997</v>
      </c>
      <c r="E1265">
        <v>0.48033789999999998</v>
      </c>
      <c r="F1265" t="s">
        <v>52</v>
      </c>
      <c r="G1265">
        <v>-195.9033</v>
      </c>
      <c r="H1265" s="1">
        <v>-7.5655569999999999E-6</v>
      </c>
      <c r="I1265">
        <v>368.6859</v>
      </c>
      <c r="J1265">
        <v>-244.37950000000001</v>
      </c>
      <c r="K1265">
        <v>1.121537</v>
      </c>
      <c r="L1265">
        <v>368.04</v>
      </c>
      <c r="M1265">
        <v>0.99988239999999995</v>
      </c>
      <c r="N1265">
        <v>-1.417941E-2</v>
      </c>
      <c r="O1265">
        <v>5.8332649999999998E-3</v>
      </c>
      <c r="P1265">
        <v>0.99015399999999998</v>
      </c>
      <c r="Q1265">
        <v>0.13265629999999901</v>
      </c>
      <c r="R1265">
        <v>-4.4690639999999997E-2</v>
      </c>
      <c r="S1265">
        <v>3.0410159999999999</v>
      </c>
      <c r="T1265">
        <v>-7.0114019999999999E-2</v>
      </c>
      <c r="U1265">
        <v>4.0435789999999999E-2</v>
      </c>
      <c r="V1265">
        <v>5.0486910000000003E-2</v>
      </c>
      <c r="W1265">
        <v>0.1466713</v>
      </c>
      <c r="X1265">
        <v>0.987896</v>
      </c>
      <c r="Y1265">
        <v>-7.4590949999999998E-3</v>
      </c>
      <c r="Z1265" s="1">
        <v>8.7115710000000004E-5</v>
      </c>
      <c r="AA1265">
        <v>0.99997219999999998</v>
      </c>
      <c r="AB1265">
        <v>29</v>
      </c>
      <c r="AC1265">
        <v>48.476199999999999</v>
      </c>
      <c r="AD1265">
        <v>-1.121544565557</v>
      </c>
      <c r="AE1265">
        <v>0.64589999999998304</v>
      </c>
      <c r="AF1265">
        <v>-0.36289183026406102</v>
      </c>
      <c r="AG1265">
        <v>-1.121544565557</v>
      </c>
      <c r="AH1265">
        <v>48.453212034369997</v>
      </c>
      <c r="AI1265">
        <v>91.325949168388107</v>
      </c>
      <c r="AJ1265">
        <v>90.429110489654704</v>
      </c>
      <c r="AK1265">
        <v>48.467549031703903</v>
      </c>
      <c r="AL1265">
        <v>81.565927126397696</v>
      </c>
      <c r="AM1265">
        <v>87.074416277315905</v>
      </c>
      <c r="AN1265">
        <v>0.99999995257051699</v>
      </c>
    </row>
    <row r="1266" spans="1:40" x14ac:dyDescent="0.25">
      <c r="A1266" t="str">
        <f>"20190303170246573"</f>
        <v>20190303170246573</v>
      </c>
      <c r="B1266" t="str">
        <f>"1551603766567191"</f>
        <v>1551603766567191</v>
      </c>
      <c r="C1266" t="s">
        <v>40</v>
      </c>
      <c r="D1266">
        <v>4.40822</v>
      </c>
      <c r="E1266">
        <v>0.47981449999999998</v>
      </c>
      <c r="F1266" t="s">
        <v>52</v>
      </c>
      <c r="G1266">
        <v>-195.35820000000001</v>
      </c>
      <c r="H1266" s="1">
        <v>-7.3628369999999996E-6</v>
      </c>
      <c r="I1266">
        <v>368.7174</v>
      </c>
      <c r="J1266">
        <v>-244.21809999999999</v>
      </c>
      <c r="K1266">
        <v>1.1215389999999901</v>
      </c>
      <c r="L1266">
        <v>368.04090000000002</v>
      </c>
      <c r="M1266">
        <v>0.99988279999999996</v>
      </c>
      <c r="N1266">
        <v>-1.4177820000000001E-2</v>
      </c>
      <c r="O1266">
        <v>5.7965389999999999E-3</v>
      </c>
      <c r="P1266">
        <v>0.99008839999999998</v>
      </c>
      <c r="Q1266">
        <v>0.1330539</v>
      </c>
      <c r="R1266">
        <v>-4.4965409999999997E-2</v>
      </c>
      <c r="S1266">
        <v>3.041061</v>
      </c>
      <c r="T1266">
        <v>-6.957555E-2</v>
      </c>
      <c r="U1266">
        <v>4.2022709999999998E-2</v>
      </c>
      <c r="V1266">
        <v>5.0726790000000001E-2</v>
      </c>
      <c r="W1266">
        <v>0.14706610000000001</v>
      </c>
      <c r="X1266">
        <v>0.98782510000000001</v>
      </c>
      <c r="Y1266">
        <v>-8.017138E-3</v>
      </c>
      <c r="Z1266" s="1">
        <v>9.8132620000000004E-5</v>
      </c>
      <c r="AA1266">
        <v>0.99996790000000002</v>
      </c>
      <c r="AB1266">
        <v>29</v>
      </c>
      <c r="AC1266">
        <v>48.859899999999897</v>
      </c>
      <c r="AD1266">
        <v>-1.1215463628369999</v>
      </c>
      <c r="AE1266">
        <v>0.67649999999997501</v>
      </c>
      <c r="AF1266">
        <v>-0.39303482821541202</v>
      </c>
      <c r="AG1266">
        <v>-1.1215463628369999</v>
      </c>
      <c r="AH1266">
        <v>48.837273244250703</v>
      </c>
      <c r="AI1266">
        <v>91.315521853926896</v>
      </c>
      <c r="AJ1266">
        <v>90.461097624978393</v>
      </c>
      <c r="AK1266">
        <v>48.851730783604602</v>
      </c>
      <c r="AL1266">
        <v>81.5430594825784</v>
      </c>
      <c r="AM1266">
        <v>87.060329576097899</v>
      </c>
      <c r="AN1266">
        <v>1.0000000365914601</v>
      </c>
    </row>
    <row r="1267" spans="1:40" x14ac:dyDescent="0.25">
      <c r="A1267" t="str">
        <f>"20190303170246583"</f>
        <v>20190303170246583</v>
      </c>
      <c r="B1267" t="str">
        <f>"1551603766576951"</f>
        <v>1551603766576951</v>
      </c>
      <c r="C1267" t="s">
        <v>40</v>
      </c>
      <c r="D1267">
        <v>4.4782120000000001</v>
      </c>
      <c r="E1267">
        <v>0.47976560000000001</v>
      </c>
      <c r="F1267" t="s">
        <v>52</v>
      </c>
      <c r="G1267">
        <v>-193.24019999999999</v>
      </c>
      <c r="H1267" s="1">
        <v>-6.5799359999999996E-6</v>
      </c>
      <c r="I1267">
        <v>368.80669999999998</v>
      </c>
      <c r="J1267">
        <v>-244.0788</v>
      </c>
      <c r="K1267">
        <v>1.1215379999999999</v>
      </c>
      <c r="L1267">
        <v>368.04169999999999</v>
      </c>
      <c r="M1267">
        <v>0.99988299999999997</v>
      </c>
      <c r="N1267">
        <v>-1.417643E-2</v>
      </c>
      <c r="O1267">
        <v>5.7616819999999997E-3</v>
      </c>
      <c r="P1267">
        <v>0.99001799999999995</v>
      </c>
      <c r="Q1267">
        <v>0.13344410000000001</v>
      </c>
      <c r="R1267">
        <v>-4.5356870000000001E-2</v>
      </c>
      <c r="S1267">
        <v>3.0411069999999998</v>
      </c>
      <c r="T1267">
        <v>-6.6906209999999994E-2</v>
      </c>
      <c r="U1267">
        <v>4.5684809999999999E-2</v>
      </c>
      <c r="V1267">
        <v>5.1084669999999999E-2</v>
      </c>
      <c r="W1267">
        <v>0.14745329999999901</v>
      </c>
      <c r="X1267">
        <v>0.98774890000000004</v>
      </c>
      <c r="Y1267">
        <v>-9.2553670000000005E-3</v>
      </c>
      <c r="Z1267">
        <v>1.22359E-4</v>
      </c>
      <c r="AA1267">
        <v>0.99995710000000004</v>
      </c>
      <c r="AB1267">
        <v>29</v>
      </c>
      <c r="AC1267">
        <v>50.8386</v>
      </c>
      <c r="AD1267">
        <v>-1.121544579936</v>
      </c>
      <c r="AE1267">
        <v>0.76499999999998602</v>
      </c>
      <c r="AF1267">
        <v>-0.47181247036749002</v>
      </c>
      <c r="AG1267">
        <v>-1.121544579936</v>
      </c>
      <c r="AH1267">
        <v>50.817437739386399</v>
      </c>
      <c r="AI1267">
        <v>91.264262335413903</v>
      </c>
      <c r="AJ1267">
        <v>90.531945091317496</v>
      </c>
      <c r="AK1267">
        <v>50.832002199877898</v>
      </c>
      <c r="AL1267">
        <v>81.520629752774497</v>
      </c>
      <c r="AM1267">
        <v>87.039398846919497</v>
      </c>
      <c r="AN1267">
        <v>1.0000000043205499</v>
      </c>
    </row>
    <row r="1268" spans="1:40" x14ac:dyDescent="0.25">
      <c r="A1268" t="str">
        <f>"20190303170246595"</f>
        <v>20190303170246595</v>
      </c>
      <c r="B1268" t="str">
        <f>"1551603766586711"</f>
        <v>1551603766586711</v>
      </c>
      <c r="C1268" t="s">
        <v>40</v>
      </c>
      <c r="D1268">
        <v>4.4777440000000004</v>
      </c>
      <c r="E1268">
        <v>0.47968300000000003</v>
      </c>
      <c r="F1268" t="s">
        <v>52</v>
      </c>
      <c r="G1268">
        <v>-192.20150000000001</v>
      </c>
      <c r="H1268" s="1">
        <v>-6.2020290000000002E-6</v>
      </c>
      <c r="I1268">
        <v>368.80849999999998</v>
      </c>
      <c r="J1268">
        <v>-243.93170000000001</v>
      </c>
      <c r="K1268">
        <v>1.1215409999999999</v>
      </c>
      <c r="L1268">
        <v>368.04250000000002</v>
      </c>
      <c r="M1268">
        <v>0.99988319999999997</v>
      </c>
      <c r="N1268">
        <v>-1.417495E-2</v>
      </c>
      <c r="O1268">
        <v>5.7242040000000001E-3</v>
      </c>
      <c r="P1268">
        <v>0.98991379999999995</v>
      </c>
      <c r="Q1268">
        <v>0.13418189999999999</v>
      </c>
      <c r="R1268">
        <v>-4.545337E-2</v>
      </c>
      <c r="S1268">
        <v>3.0411679999999999</v>
      </c>
      <c r="T1268">
        <v>-6.5747620000000007E-2</v>
      </c>
      <c r="U1268">
        <v>4.4952390000000002E-2</v>
      </c>
      <c r="V1268">
        <v>5.1144700000000001E-2</v>
      </c>
      <c r="W1268">
        <v>0.1481876</v>
      </c>
      <c r="X1268">
        <v>0.98763590000000001</v>
      </c>
      <c r="Y1268">
        <v>-9.0519380000000007E-3</v>
      </c>
      <c r="Z1268">
        <v>1.1941380000000001E-4</v>
      </c>
      <c r="AA1268">
        <v>0.99995909999999999</v>
      </c>
      <c r="AB1268">
        <v>29</v>
      </c>
      <c r="AC1268">
        <v>51.730200000000004</v>
      </c>
      <c r="AD1268">
        <v>-1.1215472020289901</v>
      </c>
      <c r="AE1268">
        <v>0.76599999999996204</v>
      </c>
      <c r="AF1268">
        <v>-0.46962279356143999</v>
      </c>
      <c r="AG1268">
        <v>-1.1215472020289901</v>
      </c>
      <c r="AH1268">
        <v>51.709436648580201</v>
      </c>
      <c r="AI1268">
        <v>91.242465647818705</v>
      </c>
      <c r="AJ1268">
        <v>90.520343403899304</v>
      </c>
      <c r="AK1268">
        <v>51.723730068587898</v>
      </c>
      <c r="AL1268">
        <v>81.478090161839702</v>
      </c>
      <c r="AM1268">
        <v>87.035587492791393</v>
      </c>
      <c r="AN1268">
        <v>1.00000000805033</v>
      </c>
    </row>
    <row r="1269" spans="1:40" x14ac:dyDescent="0.25">
      <c r="A1269" t="str">
        <f>"20190303170246606"</f>
        <v>20190303170246606</v>
      </c>
      <c r="B1269" t="str">
        <f>"1551603766596474"</f>
        <v>1551603766596474</v>
      </c>
      <c r="C1269" t="s">
        <v>40</v>
      </c>
      <c r="D1269">
        <v>4.43614</v>
      </c>
      <c r="E1269">
        <v>0.47945110000000002</v>
      </c>
      <c r="F1269" t="s">
        <v>52</v>
      </c>
      <c r="G1269">
        <v>-190.50819999999999</v>
      </c>
      <c r="H1269" s="1">
        <v>-5.5847969999999996E-6</v>
      </c>
      <c r="I1269">
        <v>368.84120000000001</v>
      </c>
      <c r="J1269">
        <v>-243.78729999999999</v>
      </c>
      <c r="K1269">
        <v>1.1215409999999999</v>
      </c>
      <c r="L1269">
        <v>368.04329999999999</v>
      </c>
      <c r="M1269">
        <v>0.99988359999999998</v>
      </c>
      <c r="N1269">
        <v>-1.417349E-2</v>
      </c>
      <c r="O1269">
        <v>5.6839949999999998E-3</v>
      </c>
      <c r="P1269">
        <v>0.98985230000000002</v>
      </c>
      <c r="Q1269">
        <v>0.13456580000000001</v>
      </c>
      <c r="R1269">
        <v>-4.5658600000000001E-2</v>
      </c>
      <c r="S1269">
        <v>3.04129</v>
      </c>
      <c r="T1269">
        <v>-6.3847299999999996E-2</v>
      </c>
      <c r="U1269">
        <v>4.5471190000000002E-2</v>
      </c>
      <c r="V1269">
        <v>5.1310790000000002E-2</v>
      </c>
      <c r="W1269">
        <v>0.14856910000000001</v>
      </c>
      <c r="X1269">
        <v>0.98756999999999995</v>
      </c>
      <c r="Y1269">
        <v>-9.2621549999999993E-3</v>
      </c>
      <c r="Z1269">
        <v>1.241185E-4</v>
      </c>
      <c r="AA1269">
        <v>0.99995710000000004</v>
      </c>
      <c r="AB1269">
        <v>29</v>
      </c>
      <c r="AC1269">
        <v>53.2791</v>
      </c>
      <c r="AD1269">
        <v>-1.1215465847970001</v>
      </c>
      <c r="AE1269">
        <v>0.79790000000002603</v>
      </c>
      <c r="AF1269">
        <v>-0.49479940314683002</v>
      </c>
      <c r="AG1269">
        <v>-1.1215465847970001</v>
      </c>
      <c r="AH1269">
        <v>53.259179979426001</v>
      </c>
      <c r="AI1269">
        <v>91.206320072960807</v>
      </c>
      <c r="AJ1269">
        <v>90.532285737715796</v>
      </c>
      <c r="AK1269">
        <v>53.273285474730301</v>
      </c>
      <c r="AL1269">
        <v>81.455987429539206</v>
      </c>
      <c r="AM1269">
        <v>87.025779858829097</v>
      </c>
      <c r="AN1269">
        <v>1.0000000397726101</v>
      </c>
    </row>
    <row r="1270" spans="1:40" x14ac:dyDescent="0.25">
      <c r="A1270" t="str">
        <f>"20190303170246618"</f>
        <v>20190303170246618</v>
      </c>
      <c r="B1270" t="str">
        <f>"1551603766607207"</f>
        <v>1551603766607207</v>
      </c>
      <c r="C1270" t="s">
        <v>40</v>
      </c>
      <c r="D1270">
        <v>4.4083560000000004</v>
      </c>
      <c r="E1270">
        <v>0.47920089999999999</v>
      </c>
      <c r="F1270" t="s">
        <v>52</v>
      </c>
      <c r="G1270">
        <v>-188.9734</v>
      </c>
      <c r="H1270" s="1">
        <v>-8.733587E-6</v>
      </c>
      <c r="I1270">
        <v>368.88920000000002</v>
      </c>
      <c r="J1270">
        <v>-243.63390000000001</v>
      </c>
      <c r="K1270">
        <v>1.1215409999999999</v>
      </c>
      <c r="L1270">
        <v>368.04410000000001</v>
      </c>
      <c r="M1270">
        <v>0.99988379999999999</v>
      </c>
      <c r="N1270">
        <v>-1.4171960000000001E-2</v>
      </c>
      <c r="O1270">
        <v>5.6407480000000001E-3</v>
      </c>
      <c r="P1270">
        <v>0.9898072</v>
      </c>
      <c r="Q1270">
        <v>0.134853</v>
      </c>
      <c r="R1270">
        <v>-4.5789620000000003E-2</v>
      </c>
      <c r="S1270">
        <v>3.0413670000000002</v>
      </c>
      <c r="T1270">
        <v>-6.2229510000000002E-2</v>
      </c>
      <c r="U1270">
        <v>4.6936039999999998E-2</v>
      </c>
      <c r="V1270">
        <v>5.1399779999999999E-2</v>
      </c>
      <c r="W1270">
        <v>0.14885390000000001</v>
      </c>
      <c r="X1270">
        <v>0.98752240000000002</v>
      </c>
      <c r="Y1270">
        <v>-9.7864700000000002E-3</v>
      </c>
      <c r="Z1270">
        <v>1.340142E-4</v>
      </c>
      <c r="AA1270">
        <v>0.99995210000000001</v>
      </c>
      <c r="AB1270">
        <v>29</v>
      </c>
      <c r="AC1270">
        <v>54.660499999999999</v>
      </c>
      <c r="AD1270">
        <v>-1.1215497335869999</v>
      </c>
      <c r="AE1270">
        <v>0.84510000000000196</v>
      </c>
      <c r="AF1270">
        <v>-0.53650370340729903</v>
      </c>
      <c r="AG1270">
        <v>-1.1215497335869999</v>
      </c>
      <c r="AH1270">
        <v>54.641398754779999</v>
      </c>
      <c r="AI1270">
        <v>91.175810826819003</v>
      </c>
      <c r="AJ1270">
        <v>90.5625480101221</v>
      </c>
      <c r="AK1270">
        <v>54.655541054018997</v>
      </c>
      <c r="AL1270">
        <v>81.439485382771494</v>
      </c>
      <c r="AM1270">
        <v>87.020487504911202</v>
      </c>
      <c r="AN1270">
        <v>0.99999995571550804</v>
      </c>
    </row>
    <row r="1271" spans="1:40" x14ac:dyDescent="0.25">
      <c r="A1271" t="str">
        <f>"20190303170246630"</f>
        <v>20190303170246630</v>
      </c>
      <c r="B1271" t="str">
        <f>"1551603766616967"</f>
        <v>1551603766616967</v>
      </c>
      <c r="C1271" t="s">
        <v>40</v>
      </c>
      <c r="D1271">
        <v>4.4732839999999996</v>
      </c>
      <c r="E1271">
        <v>0.47914960000000001</v>
      </c>
      <c r="F1271" t="s">
        <v>52</v>
      </c>
      <c r="G1271">
        <v>-187.39359999999999</v>
      </c>
      <c r="H1271" s="1">
        <v>-8.8930880000000001E-6</v>
      </c>
      <c r="I1271">
        <v>368.94189999999998</v>
      </c>
      <c r="J1271">
        <v>-243.47659999999999</v>
      </c>
      <c r="K1271">
        <v>1.121543</v>
      </c>
      <c r="L1271">
        <v>368.04489999999998</v>
      </c>
      <c r="M1271">
        <v>0.99988390000000005</v>
      </c>
      <c r="N1271">
        <v>-1.41704E-2</v>
      </c>
      <c r="O1271">
        <v>5.5948259999999998E-3</v>
      </c>
      <c r="P1271">
        <v>0.9897553</v>
      </c>
      <c r="Q1271">
        <v>0.1351464</v>
      </c>
      <c r="R1271">
        <v>-4.6045910000000002E-2</v>
      </c>
      <c r="S1271">
        <v>3.0414119999999998</v>
      </c>
      <c r="T1271">
        <v>-6.065214E-2</v>
      </c>
      <c r="U1271">
        <v>4.8553470000000001E-2</v>
      </c>
      <c r="V1271">
        <v>5.1611020000000001E-2</v>
      </c>
      <c r="W1271">
        <v>0.14914479999999999</v>
      </c>
      <c r="X1271">
        <v>0.98746750000000005</v>
      </c>
      <c r="Y1271">
        <v>-1.036373E-2</v>
      </c>
      <c r="Z1271">
        <v>1.4449639999999901E-4</v>
      </c>
      <c r="AA1271">
        <v>0.99994629999999995</v>
      </c>
      <c r="AB1271">
        <v>29</v>
      </c>
      <c r="AC1271">
        <v>56.082999999999998</v>
      </c>
      <c r="AD1271">
        <v>-1.121551893088</v>
      </c>
      <c r="AE1271">
        <v>0.89699999999999103</v>
      </c>
      <c r="AF1271">
        <v>-0.58294673643438499</v>
      </c>
      <c r="AG1271">
        <v>-1.121551893088</v>
      </c>
      <c r="AH1271">
        <v>56.064725289420998</v>
      </c>
      <c r="AI1271">
        <v>91.145963843256197</v>
      </c>
      <c r="AJ1271">
        <v>90.595725456800693</v>
      </c>
      <c r="AK1271">
        <v>56.0789722384839</v>
      </c>
      <c r="AL1271">
        <v>81.422629976955704</v>
      </c>
      <c r="AM1271">
        <v>87.008098638710393</v>
      </c>
      <c r="AN1271">
        <v>0.99999996615436404</v>
      </c>
    </row>
    <row r="1272" spans="1:40" x14ac:dyDescent="0.25">
      <c r="A1272" t="str">
        <f>"20190303170246642"</f>
        <v>20190303170246642</v>
      </c>
      <c r="B1272" t="str">
        <f>"1551603766626727"</f>
        <v>1551603766626727</v>
      </c>
      <c r="C1272" t="s">
        <v>40</v>
      </c>
      <c r="D1272">
        <v>4.4191370000000001</v>
      </c>
      <c r="E1272">
        <v>0.47911340000000002</v>
      </c>
      <c r="F1272" t="s">
        <v>52</v>
      </c>
      <c r="G1272">
        <v>-186.55779999999999</v>
      </c>
      <c r="H1272" s="1">
        <v>-8.9670480000000003E-6</v>
      </c>
      <c r="I1272">
        <v>368.94330000000002</v>
      </c>
      <c r="J1272">
        <v>-243.33590000000001</v>
      </c>
      <c r="K1272">
        <v>1.121542</v>
      </c>
      <c r="L1272">
        <v>368.04570000000001</v>
      </c>
      <c r="M1272">
        <v>0.9998842</v>
      </c>
      <c r="N1272">
        <v>-1.416896E-2</v>
      </c>
      <c r="O1272">
        <v>5.552609E-3</v>
      </c>
      <c r="P1272">
        <v>0.9897783</v>
      </c>
      <c r="Q1272">
        <v>0.13492270000000001</v>
      </c>
      <c r="R1272">
        <v>-4.6206770000000001E-2</v>
      </c>
      <c r="S1272">
        <v>3.0414430000000001</v>
      </c>
      <c r="T1272">
        <v>-5.992985E-2</v>
      </c>
      <c r="U1272">
        <v>4.8004150000000002E-2</v>
      </c>
      <c r="V1272">
        <v>5.1730900000000003E-2</v>
      </c>
      <c r="W1272">
        <v>0.14891989999999999</v>
      </c>
      <c r="X1272">
        <v>0.98749520000000002</v>
      </c>
      <c r="Y1272">
        <v>-1.0225339999999999E-2</v>
      </c>
      <c r="Z1272">
        <v>1.4246850000000001E-4</v>
      </c>
      <c r="AA1272">
        <v>0.99994769999999999</v>
      </c>
      <c r="AB1272">
        <v>29</v>
      </c>
      <c r="AC1272">
        <v>56.778100000000002</v>
      </c>
      <c r="AD1272">
        <v>-1.1215509670479999</v>
      </c>
      <c r="AE1272">
        <v>0.89760000000001094</v>
      </c>
      <c r="AF1272">
        <v>-0.58206086275565305</v>
      </c>
      <c r="AG1272">
        <v>-1.1215509670479999</v>
      </c>
      <c r="AH1272">
        <v>56.760067377326898</v>
      </c>
      <c r="AI1272">
        <v>91.131929566492602</v>
      </c>
      <c r="AJ1272">
        <v>90.587533867619598</v>
      </c>
      <c r="AK1272">
        <v>56.774130729570203</v>
      </c>
      <c r="AL1272">
        <v>81.435661588544093</v>
      </c>
      <c r="AM1272">
        <v>87.001245806959403</v>
      </c>
      <c r="AN1272">
        <v>0.99999999632692904</v>
      </c>
    </row>
    <row r="1273" spans="1:40" x14ac:dyDescent="0.25">
      <c r="A1273" t="str">
        <f>"20190303170246652"</f>
        <v>20190303170246652</v>
      </c>
      <c r="B1273" t="str">
        <f>"1551603766636487"</f>
        <v>1551603766636487</v>
      </c>
      <c r="C1273" t="s">
        <v>40</v>
      </c>
      <c r="D1273">
        <v>4.5338019999999997</v>
      </c>
      <c r="E1273">
        <v>0.47905160000000002</v>
      </c>
      <c r="F1273" t="s">
        <v>52</v>
      </c>
      <c r="G1273">
        <v>-187.08850000000001</v>
      </c>
      <c r="H1273" s="1">
        <v>-8.9145609999999993E-6</v>
      </c>
      <c r="I1273">
        <v>368.92840000000001</v>
      </c>
      <c r="J1273">
        <v>-243.1985</v>
      </c>
      <c r="K1273">
        <v>1.12154</v>
      </c>
      <c r="L1273">
        <v>368.04640000000001</v>
      </c>
      <c r="M1273">
        <v>0.99988449999999995</v>
      </c>
      <c r="N1273">
        <v>-1.4167529999999999E-2</v>
      </c>
      <c r="O1273">
        <v>5.510694E-3</v>
      </c>
      <c r="P1273">
        <v>0.98978820000000001</v>
      </c>
      <c r="Q1273">
        <v>0.13472629999999999</v>
      </c>
      <c r="R1273">
        <v>-4.6563100000000003E-2</v>
      </c>
      <c r="S1273">
        <v>3.0414729999999999</v>
      </c>
      <c r="T1273">
        <v>-6.0645699999999997E-2</v>
      </c>
      <c r="U1273">
        <v>4.7729489999999999E-2</v>
      </c>
      <c r="V1273">
        <v>5.2046460000000003E-2</v>
      </c>
      <c r="W1273">
        <v>0.14872189999999999</v>
      </c>
      <c r="X1273">
        <v>0.98750850000000001</v>
      </c>
      <c r="Y1273">
        <v>-1.017678E-2</v>
      </c>
      <c r="Z1273">
        <v>1.4176360000000001E-4</v>
      </c>
      <c r="AA1273">
        <v>0.99994819999999995</v>
      </c>
      <c r="AB1273">
        <v>29</v>
      </c>
      <c r="AC1273">
        <v>56.1099999999999</v>
      </c>
      <c r="AD1273">
        <v>-1.121548914561</v>
      </c>
      <c r="AE1273">
        <v>0.882000000000005</v>
      </c>
      <c r="AF1273">
        <v>-0.572521857259087</v>
      </c>
      <c r="AG1273">
        <v>-1.121548914561</v>
      </c>
      <c r="AH1273">
        <v>56.091603697059497</v>
      </c>
      <c r="AI1273">
        <v>91.145414067814201</v>
      </c>
      <c r="AJ1273">
        <v>90.584792461912201</v>
      </c>
      <c r="AK1273">
        <v>56.105736413960102</v>
      </c>
      <c r="AL1273">
        <v>81.4471342620391</v>
      </c>
      <c r="AM1273">
        <v>86.983027570275098</v>
      </c>
      <c r="AN1273">
        <v>1.0000000375551901</v>
      </c>
    </row>
    <row r="1274" spans="1:40" x14ac:dyDescent="0.25">
      <c r="A1274" t="str">
        <f>"20190303170246663"</f>
        <v>20190303170246663</v>
      </c>
      <c r="B1274" t="str">
        <f>"1551603766656983"</f>
        <v>1551603766656983</v>
      </c>
      <c r="C1274" t="s">
        <v>40</v>
      </c>
      <c r="D1274">
        <v>4.454898</v>
      </c>
      <c r="E1274">
        <v>0.47883530000000002</v>
      </c>
      <c r="F1274" t="s">
        <v>52</v>
      </c>
      <c r="G1274">
        <v>-187.27350000000001</v>
      </c>
      <c r="H1274" s="1">
        <v>-8.8952810000000007E-6</v>
      </c>
      <c r="I1274">
        <v>368.92070000000001</v>
      </c>
      <c r="J1274">
        <v>-243.05179999999999</v>
      </c>
      <c r="K1274">
        <v>1.1215360000000001</v>
      </c>
      <c r="L1274">
        <v>368.0471</v>
      </c>
      <c r="M1274">
        <v>0.99988480000000002</v>
      </c>
      <c r="N1274">
        <v>-1.4166049999999999E-2</v>
      </c>
      <c r="O1274">
        <v>5.4661589999999999E-3</v>
      </c>
      <c r="P1274">
        <v>0.98981229999999998</v>
      </c>
      <c r="Q1274">
        <v>0.13439200000000001</v>
      </c>
      <c r="R1274">
        <v>-4.7016889999999999E-2</v>
      </c>
      <c r="S1274">
        <v>3.0414729999999999</v>
      </c>
      <c r="T1274">
        <v>-6.0995220000000003E-2</v>
      </c>
      <c r="U1274">
        <v>4.7546390000000001E-2</v>
      </c>
      <c r="V1274">
        <v>5.2456660000000002E-2</v>
      </c>
      <c r="W1274">
        <v>0.14838609999999999</v>
      </c>
      <c r="X1274">
        <v>0.98753729999999995</v>
      </c>
      <c r="Y1274">
        <v>-1.0161109999999999E-2</v>
      </c>
      <c r="Z1274">
        <v>1.4169329999999999E-4</v>
      </c>
      <c r="AA1274">
        <v>0.99994839999999996</v>
      </c>
      <c r="AB1274">
        <v>29</v>
      </c>
      <c r="AC1274">
        <v>55.778299999999902</v>
      </c>
      <c r="AD1274">
        <v>-1.1215448952810001</v>
      </c>
      <c r="AE1274">
        <v>0.87360000000001004</v>
      </c>
      <c r="AF1274">
        <v>-0.56843355749589797</v>
      </c>
      <c r="AG1274">
        <v>-1.1215448952810001</v>
      </c>
      <c r="AH1274">
        <v>55.759704175141302</v>
      </c>
      <c r="AI1274">
        <v>91.152226124129896</v>
      </c>
      <c r="AJ1274">
        <v>90.584072603956699</v>
      </c>
      <c r="AK1274">
        <v>55.773879095511099</v>
      </c>
      <c r="AL1274">
        <v>81.466589972359102</v>
      </c>
      <c r="AM1274">
        <v>86.959382502629694</v>
      </c>
      <c r="AN1274">
        <v>1.00000002737142</v>
      </c>
    </row>
    <row r="1275" spans="1:40" x14ac:dyDescent="0.25">
      <c r="A1275" t="str">
        <f>"20190303170246674"</f>
        <v>20190303170246674</v>
      </c>
      <c r="B1275" t="str">
        <f>"1551603766666743"</f>
        <v>1551603766666743</v>
      </c>
      <c r="C1275" t="s">
        <v>40</v>
      </c>
      <c r="D1275">
        <v>4.5362439999999999</v>
      </c>
      <c r="E1275">
        <v>0.47880840000000002</v>
      </c>
      <c r="F1275" t="s">
        <v>52</v>
      </c>
      <c r="G1275">
        <v>-187.7158</v>
      </c>
      <c r="H1275" s="1">
        <v>-8.854834E-6</v>
      </c>
      <c r="I1275">
        <v>368.91660000000002</v>
      </c>
      <c r="J1275">
        <v>-242.90520000000001</v>
      </c>
      <c r="K1275">
        <v>1.1215349999999999</v>
      </c>
      <c r="L1275">
        <v>368.04790000000003</v>
      </c>
      <c r="M1275">
        <v>0.99988500000000002</v>
      </c>
      <c r="N1275">
        <v>-1.416457E-2</v>
      </c>
      <c r="O1275">
        <v>5.4217419999999898E-3</v>
      </c>
      <c r="P1275">
        <v>0.98985389999999995</v>
      </c>
      <c r="Q1275">
        <v>0.13392579999999901</v>
      </c>
      <c r="R1275">
        <v>-4.746802E-2</v>
      </c>
      <c r="S1275">
        <v>3.0415190000000001</v>
      </c>
      <c r="T1275">
        <v>-6.1645270000000002E-2</v>
      </c>
      <c r="U1275">
        <v>4.7790529999999998E-2</v>
      </c>
      <c r="V1275">
        <v>5.2864510000000003E-2</v>
      </c>
      <c r="W1275">
        <v>0.1479192</v>
      </c>
      <c r="X1275">
        <v>0.98758550000000001</v>
      </c>
      <c r="Y1275">
        <v>-1.028544E-2</v>
      </c>
      <c r="Z1275">
        <v>1.4400710000000001E-4</v>
      </c>
      <c r="AA1275">
        <v>0.99994709999999998</v>
      </c>
      <c r="AB1275">
        <v>29</v>
      </c>
      <c r="AC1275">
        <v>55.189399999999999</v>
      </c>
      <c r="AD1275">
        <v>-1.121543854834</v>
      </c>
      <c r="AE1275">
        <v>0.86869999999998904</v>
      </c>
      <c r="AF1275">
        <v>-0.56919952074180702</v>
      </c>
      <c r="AG1275">
        <v>-1.121543854834</v>
      </c>
      <c r="AH1275">
        <v>55.170520750319199</v>
      </c>
      <c r="AI1275">
        <v>91.164525194895006</v>
      </c>
      <c r="AJ1275">
        <v>90.591105045654601</v>
      </c>
      <c r="AK1275">
        <v>55.184854884054303</v>
      </c>
      <c r="AL1275">
        <v>81.493639071559201</v>
      </c>
      <c r="AM1275">
        <v>86.935935877910893</v>
      </c>
      <c r="AN1275">
        <v>0.99999993297821199</v>
      </c>
    </row>
    <row r="1276" spans="1:40" x14ac:dyDescent="0.25">
      <c r="A1276" t="str">
        <f>"20190303170246685"</f>
        <v>20190303170246685</v>
      </c>
      <c r="B1276" t="str">
        <f>"1551603766676503"</f>
        <v>1551603766676503</v>
      </c>
      <c r="C1276" t="s">
        <v>40</v>
      </c>
      <c r="D1276">
        <v>4.4432530000000003</v>
      </c>
      <c r="E1276">
        <v>0.47880410000000001</v>
      </c>
      <c r="F1276" t="s">
        <v>52</v>
      </c>
      <c r="G1276">
        <v>-188.75569999999999</v>
      </c>
      <c r="H1276" s="1">
        <v>-8.7487680000000008E-6</v>
      </c>
      <c r="I1276">
        <v>368.87920000000003</v>
      </c>
      <c r="J1276">
        <v>-242.77420000000001</v>
      </c>
      <c r="K1276">
        <v>1.1215360000000001</v>
      </c>
      <c r="L1276">
        <v>368.04860000000002</v>
      </c>
      <c r="M1276">
        <v>0.99988529999999998</v>
      </c>
      <c r="N1276">
        <v>-1.4163210000000001E-2</v>
      </c>
      <c r="O1276">
        <v>5.3817479999999996E-3</v>
      </c>
      <c r="P1276">
        <v>0.98989000000000005</v>
      </c>
      <c r="Q1276">
        <v>0.13354829999999901</v>
      </c>
      <c r="R1276">
        <v>-4.7777849999999997E-2</v>
      </c>
      <c r="S1276">
        <v>3.0415040000000002</v>
      </c>
      <c r="T1276">
        <v>-6.2995670000000004E-2</v>
      </c>
      <c r="U1276">
        <v>4.669189E-2</v>
      </c>
      <c r="V1276">
        <v>5.3135000000000002E-2</v>
      </c>
      <c r="W1276">
        <v>0.14754010000000001</v>
      </c>
      <c r="X1276">
        <v>0.9876277</v>
      </c>
      <c r="Y1276">
        <v>-9.9644160000000002E-3</v>
      </c>
      <c r="Z1276">
        <v>1.385328E-4</v>
      </c>
      <c r="AA1276">
        <v>0.99995029999999996</v>
      </c>
      <c r="AB1276">
        <v>29</v>
      </c>
      <c r="AC1276">
        <v>54.018500000000003</v>
      </c>
      <c r="AD1276">
        <v>-1.1215447487679999</v>
      </c>
      <c r="AE1276">
        <v>0.830600000000004</v>
      </c>
      <c r="AF1276">
        <v>-0.53961232148849203</v>
      </c>
      <c r="AG1276">
        <v>-1.1215447487679999</v>
      </c>
      <c r="AH1276">
        <v>53.998916260133598</v>
      </c>
      <c r="AI1276">
        <v>91.189789358807502</v>
      </c>
      <c r="AJ1276">
        <v>90.572538888772598</v>
      </c>
      <c r="AK1276">
        <v>54.0132576443036</v>
      </c>
      <c r="AL1276">
        <v>81.515600946343795</v>
      </c>
      <c r="AM1276">
        <v>86.920419529501103</v>
      </c>
      <c r="AN1276">
        <v>0.99999994157014804</v>
      </c>
    </row>
    <row r="1277" spans="1:40" x14ac:dyDescent="0.25">
      <c r="A1277" t="str">
        <f>"20190303170246698"</f>
        <v>20190303170246698</v>
      </c>
      <c r="B1277" t="str">
        <f>"1551603766687239"</f>
        <v>1551603766687239</v>
      </c>
      <c r="C1277" t="s">
        <v>40</v>
      </c>
      <c r="D1277">
        <v>4.4513059999999998</v>
      </c>
      <c r="E1277">
        <v>0.47863600000000001</v>
      </c>
      <c r="F1277" t="s">
        <v>52</v>
      </c>
      <c r="G1277">
        <v>-189.8494</v>
      </c>
      <c r="H1277" s="1">
        <v>-8.6572979999999903E-6</v>
      </c>
      <c r="I1277">
        <v>368.8451</v>
      </c>
      <c r="J1277">
        <v>-242.60980000000001</v>
      </c>
      <c r="K1277">
        <v>1.1215349999999999</v>
      </c>
      <c r="L1277">
        <v>368.04950000000002</v>
      </c>
      <c r="M1277">
        <v>0.99988569999999999</v>
      </c>
      <c r="N1277">
        <v>-1.41615E-2</v>
      </c>
      <c r="O1277">
        <v>5.3315029999999996E-3</v>
      </c>
      <c r="P1277">
        <v>0.98984190000000005</v>
      </c>
      <c r="Q1277">
        <v>0.13371830000000001</v>
      </c>
      <c r="R1277">
        <v>-4.8299099999999998E-2</v>
      </c>
      <c r="S1277">
        <v>3.0415190000000001</v>
      </c>
      <c r="T1277">
        <v>-6.4453720000000006E-2</v>
      </c>
      <c r="U1277">
        <v>4.5776369999999997E-2</v>
      </c>
      <c r="V1277">
        <v>5.3606500000000001E-2</v>
      </c>
      <c r="W1277">
        <v>0.14770800000000001</v>
      </c>
      <c r="X1277">
        <v>0.98757720000000004</v>
      </c>
      <c r="Y1277">
        <v>-9.7136389999999996E-3</v>
      </c>
      <c r="Z1277">
        <v>1.34244E-4</v>
      </c>
      <c r="AA1277">
        <v>0.99995279999999998</v>
      </c>
      <c r="AB1277">
        <v>29</v>
      </c>
      <c r="AC1277">
        <v>52.760399999999997</v>
      </c>
      <c r="AD1277">
        <v>-1.121543657298</v>
      </c>
      <c r="AE1277">
        <v>0.79559999999997899</v>
      </c>
      <c r="AF1277">
        <v>-0.51403607698388998</v>
      </c>
      <c r="AG1277">
        <v>-1.121543657298</v>
      </c>
      <c r="AH1277">
        <v>52.740065773997301</v>
      </c>
      <c r="AI1277">
        <v>91.218181711270404</v>
      </c>
      <c r="AJ1277">
        <v>90.558421092918707</v>
      </c>
      <c r="AK1277">
        <v>52.754493942309999</v>
      </c>
      <c r="AL1277">
        <v>81.505875070400904</v>
      </c>
      <c r="AM1277">
        <v>86.892987233354503</v>
      </c>
      <c r="AN1277">
        <v>1.00000001803304</v>
      </c>
    </row>
    <row r="1278" spans="1:40" x14ac:dyDescent="0.25">
      <c r="A1278" t="str">
        <f>"20190303170246710"</f>
        <v>20190303170246710</v>
      </c>
      <c r="B1278" t="str">
        <f>"1551603766696999"</f>
        <v>1551603766696999</v>
      </c>
      <c r="C1278" t="s">
        <v>40</v>
      </c>
      <c r="D1278">
        <v>4.4585410000000003</v>
      </c>
      <c r="E1278">
        <v>0.47845969999999999</v>
      </c>
      <c r="F1278" t="s">
        <v>52</v>
      </c>
      <c r="G1278">
        <v>-189.19390000000001</v>
      </c>
      <c r="H1278" s="1">
        <v>-8.6996879999999996E-6</v>
      </c>
      <c r="I1278">
        <v>368.85230000000001</v>
      </c>
      <c r="J1278">
        <v>-242.44040000000001</v>
      </c>
      <c r="K1278">
        <v>1.1215360000000001</v>
      </c>
      <c r="L1278">
        <v>368.05029999999999</v>
      </c>
      <c r="M1278">
        <v>0.99988589999999999</v>
      </c>
      <c r="N1278">
        <v>-1.4159740000000001E-2</v>
      </c>
      <c r="O1278">
        <v>5.2800119999999997E-3</v>
      </c>
      <c r="P1278">
        <v>0.98982170000000003</v>
      </c>
      <c r="Q1278">
        <v>0.1337981</v>
      </c>
      <c r="R1278">
        <v>-4.8490239999999997E-2</v>
      </c>
      <c r="S1278">
        <v>3.0416720000000002</v>
      </c>
      <c r="T1278">
        <v>-6.3864229999999994E-2</v>
      </c>
      <c r="U1278">
        <v>4.5715329999999998E-2</v>
      </c>
      <c r="V1278">
        <v>5.3746830000000002E-2</v>
      </c>
      <c r="W1278">
        <v>0.14778529999999901</v>
      </c>
      <c r="X1278">
        <v>0.98755800000000005</v>
      </c>
      <c r="Y1278">
        <v>-9.7443510000000001E-3</v>
      </c>
      <c r="Z1278">
        <v>1.3521010000000001E-4</v>
      </c>
      <c r="AA1278">
        <v>0.99995250000000002</v>
      </c>
      <c r="AB1278">
        <v>29</v>
      </c>
      <c r="AC1278">
        <v>53.246499999999997</v>
      </c>
      <c r="AD1278">
        <v>-1.1215446996879901</v>
      </c>
      <c r="AE1278">
        <v>0.80200000000002003</v>
      </c>
      <c r="AF1278">
        <v>-0.52058758571774899</v>
      </c>
      <c r="AG1278">
        <v>-1.1215446996879901</v>
      </c>
      <c r="AH1278">
        <v>53.226383519947198</v>
      </c>
      <c r="AI1278">
        <v>91.2070554819107</v>
      </c>
      <c r="AJ1278">
        <v>90.560370975909393</v>
      </c>
      <c r="AK1278">
        <v>53.240743576328001</v>
      </c>
      <c r="AL1278">
        <v>81.501396891753203</v>
      </c>
      <c r="AM1278">
        <v>86.884809312234594</v>
      </c>
      <c r="AN1278">
        <v>1.0000000099975599</v>
      </c>
    </row>
    <row r="1279" spans="1:40" x14ac:dyDescent="0.25">
      <c r="A1279" t="str">
        <f>"20190303170246724"</f>
        <v>20190303170246724</v>
      </c>
      <c r="B1279" t="str">
        <f>"1551603766716519"</f>
        <v>1551603766716519</v>
      </c>
      <c r="C1279" t="s">
        <v>40</v>
      </c>
      <c r="D1279">
        <v>4.4843950000000001</v>
      </c>
      <c r="E1279">
        <v>0.47840290000000002</v>
      </c>
      <c r="F1279" t="s">
        <v>52</v>
      </c>
      <c r="G1279">
        <v>-188.64869999999999</v>
      </c>
      <c r="H1279" s="1">
        <v>-8.7564790000000008E-6</v>
      </c>
      <c r="I1279">
        <v>368.87490000000003</v>
      </c>
      <c r="J1279">
        <v>-242.27760000000001</v>
      </c>
      <c r="K1279">
        <v>1.121542</v>
      </c>
      <c r="L1279">
        <v>368.05110000000002</v>
      </c>
      <c r="M1279">
        <v>0.99988619999999995</v>
      </c>
      <c r="N1279">
        <v>-1.415804E-2</v>
      </c>
      <c r="O1279">
        <v>5.230434E-3</v>
      </c>
      <c r="P1279">
        <v>0.98976830000000005</v>
      </c>
      <c r="Q1279">
        <v>0.13413739999999999</v>
      </c>
      <c r="R1279">
        <v>-4.8641860000000002E-2</v>
      </c>
      <c r="S1279">
        <v>3.0417019999999999</v>
      </c>
      <c r="T1279">
        <v>-6.3418870000000002E-2</v>
      </c>
      <c r="U1279">
        <v>4.6630860000000003E-2</v>
      </c>
      <c r="V1279">
        <v>5.3849130000000002E-2</v>
      </c>
      <c r="W1279">
        <v>0.14812249999999999</v>
      </c>
      <c r="X1279">
        <v>0.98750190000000004</v>
      </c>
      <c r="Y1279">
        <v>-1.00946E-2</v>
      </c>
      <c r="Z1279">
        <v>1.4171480000000001E-4</v>
      </c>
      <c r="AA1279">
        <v>0.99994899999999998</v>
      </c>
      <c r="AB1279">
        <v>29</v>
      </c>
      <c r="AC1279">
        <v>53.628900000000002</v>
      </c>
      <c r="AD1279">
        <v>-1.1215507564789999</v>
      </c>
      <c r="AE1279">
        <v>0.82380000000000497</v>
      </c>
      <c r="AF1279">
        <v>-0.54302078042857005</v>
      </c>
      <c r="AG1279">
        <v>-1.1215507564789999</v>
      </c>
      <c r="AH1279">
        <v>53.609034564804901</v>
      </c>
      <c r="AI1279">
        <v>91.198444584604204</v>
      </c>
      <c r="AJ1279">
        <v>90.580344994894205</v>
      </c>
      <c r="AK1279">
        <v>53.623514754609197</v>
      </c>
      <c r="AL1279">
        <v>81.481861697637598</v>
      </c>
      <c r="AM1279">
        <v>86.878714709805706</v>
      </c>
      <c r="AN1279">
        <v>1.0000000031558001</v>
      </c>
    </row>
    <row r="1280" spans="1:40" x14ac:dyDescent="0.25">
      <c r="A1280" t="str">
        <f>"20190303170246737"</f>
        <v>20190303170246737</v>
      </c>
      <c r="B1280" t="str">
        <f>"1551603766727255"</f>
        <v>1551603766727255</v>
      </c>
      <c r="C1280" t="s">
        <v>40</v>
      </c>
      <c r="D1280">
        <v>4.4879730000000002</v>
      </c>
      <c r="E1280">
        <v>0.47836050000000002</v>
      </c>
      <c r="F1280" t="s">
        <v>52</v>
      </c>
      <c r="G1280">
        <v>-187.65790000000001</v>
      </c>
      <c r="H1280" s="1">
        <v>-8.8496810000000007E-6</v>
      </c>
      <c r="I1280">
        <v>368.89060000000001</v>
      </c>
      <c r="J1280">
        <v>-242.0994</v>
      </c>
      <c r="K1280">
        <v>1.121545</v>
      </c>
      <c r="L1280">
        <v>368.05200000000002</v>
      </c>
      <c r="M1280">
        <v>0.99988639999999995</v>
      </c>
      <c r="N1280">
        <v>-1.4156180000000001E-2</v>
      </c>
      <c r="O1280">
        <v>5.1765079999999998E-3</v>
      </c>
      <c r="P1280">
        <v>0.98963990000000002</v>
      </c>
      <c r="Q1280">
        <v>0.13494320000000001</v>
      </c>
      <c r="R1280">
        <v>-4.9023049999999999E-2</v>
      </c>
      <c r="S1280">
        <v>3.0417939999999999</v>
      </c>
      <c r="T1280">
        <v>-6.2459710000000002E-2</v>
      </c>
      <c r="U1280">
        <v>4.6752929999999998E-2</v>
      </c>
      <c r="V1280">
        <v>5.4176420000000003E-2</v>
      </c>
      <c r="W1280">
        <v>0.1489241</v>
      </c>
      <c r="X1280">
        <v>0.9873634</v>
      </c>
      <c r="Y1280">
        <v>-1.018822E-2</v>
      </c>
      <c r="Z1280">
        <v>1.4372110000000001E-4</v>
      </c>
      <c r="AA1280">
        <v>0.99994810000000001</v>
      </c>
      <c r="AB1280">
        <v>29</v>
      </c>
      <c r="AC1280">
        <v>54.441499999999898</v>
      </c>
      <c r="AD1280">
        <v>-1.121553849681</v>
      </c>
      <c r="AE1280">
        <v>0.83860000000004198</v>
      </c>
      <c r="AF1280">
        <v>-0.55650753238661199</v>
      </c>
      <c r="AG1280">
        <v>-1.121553849681</v>
      </c>
      <c r="AH1280">
        <v>54.422020412418803</v>
      </c>
      <c r="AI1280">
        <v>91.180548766217299</v>
      </c>
      <c r="AJ1280">
        <v>90.585873536380802</v>
      </c>
      <c r="AK1280">
        <v>54.436420615623398</v>
      </c>
      <c r="AL1280">
        <v>81.435418073176294</v>
      </c>
      <c r="AM1280">
        <v>86.859342076580603</v>
      </c>
      <c r="AN1280">
        <v>0.99999997785219297</v>
      </c>
    </row>
    <row r="1281" spans="1:40" x14ac:dyDescent="0.25">
      <c r="A1281" t="str">
        <f>"20190303170246750"</f>
        <v>20190303170246750</v>
      </c>
      <c r="B1281" t="str">
        <f>"1551603766737016"</f>
        <v>1551603766737016</v>
      </c>
      <c r="C1281" t="s">
        <v>40</v>
      </c>
      <c r="D1281">
        <v>4.4729890000000001</v>
      </c>
      <c r="E1281">
        <v>0.47831400000000002</v>
      </c>
      <c r="F1281" t="s">
        <v>52</v>
      </c>
      <c r="G1281">
        <v>-185.2741</v>
      </c>
      <c r="H1281" s="1">
        <v>-9.0658099999999995E-6</v>
      </c>
      <c r="I1281">
        <v>368.90769999999998</v>
      </c>
      <c r="J1281">
        <v>-241.93960000000001</v>
      </c>
      <c r="K1281">
        <v>1.121545</v>
      </c>
      <c r="L1281">
        <v>368.05270000000002</v>
      </c>
      <c r="M1281">
        <v>0.99988670000000002</v>
      </c>
      <c r="N1281">
        <v>-1.415449E-2</v>
      </c>
      <c r="O1281">
        <v>5.1285970000000004E-3</v>
      </c>
      <c r="P1281">
        <v>0.98960680000000001</v>
      </c>
      <c r="Q1281">
        <v>0.13507369999999999</v>
      </c>
      <c r="R1281">
        <v>-4.9331010000000002E-2</v>
      </c>
      <c r="S1281">
        <v>3.0418699999999999</v>
      </c>
      <c r="T1281">
        <v>-6.0037020000000003E-2</v>
      </c>
      <c r="U1281">
        <v>4.5806880000000001E-2</v>
      </c>
      <c r="V1281">
        <v>5.4436999999999999E-2</v>
      </c>
      <c r="W1281">
        <v>0.1490524</v>
      </c>
      <c r="X1281">
        <v>0.98732969999999998</v>
      </c>
      <c r="Y1281">
        <v>-9.9251170000000007E-3</v>
      </c>
      <c r="Z1281">
        <v>1.3957760000000001E-4</v>
      </c>
      <c r="AA1281">
        <v>0.99995069999999997</v>
      </c>
      <c r="AB1281">
        <v>29</v>
      </c>
      <c r="AC1281">
        <v>56.665500000000002</v>
      </c>
      <c r="AD1281">
        <v>-1.1215540658100001</v>
      </c>
      <c r="AE1281">
        <v>0.85499999999996101</v>
      </c>
      <c r="AF1281">
        <v>-0.56412419057795704</v>
      </c>
      <c r="AG1281">
        <v>-1.1215540658100001</v>
      </c>
      <c r="AH1281">
        <v>56.646953927830197</v>
      </c>
      <c r="AI1281">
        <v>91.134195756370602</v>
      </c>
      <c r="AJ1281">
        <v>90.570566721933005</v>
      </c>
      <c r="AK1281">
        <v>56.660863997353999</v>
      </c>
      <c r="AL1281">
        <v>81.427983991447505</v>
      </c>
      <c r="AM1281">
        <v>86.844158973045893</v>
      </c>
      <c r="AN1281">
        <v>0.99999997070842395</v>
      </c>
    </row>
    <row r="1282" spans="1:40" x14ac:dyDescent="0.25">
      <c r="A1282" t="str">
        <f>"20190303170246763"</f>
        <v>20190303170246763</v>
      </c>
      <c r="B1282" t="str">
        <f>"1551603766756535"</f>
        <v>1551603766756535</v>
      </c>
      <c r="C1282" t="s">
        <v>40</v>
      </c>
      <c r="D1282">
        <v>4.4772489999999996</v>
      </c>
      <c r="E1282">
        <v>0.47819739999999999</v>
      </c>
      <c r="F1282" t="s">
        <v>52</v>
      </c>
      <c r="G1282">
        <v>-184.5539</v>
      </c>
      <c r="H1282" s="1">
        <v>-9.1313199999999998E-6</v>
      </c>
      <c r="I1282">
        <v>368.91340000000002</v>
      </c>
      <c r="J1282">
        <v>-241.7758</v>
      </c>
      <c r="K1282">
        <v>1.1215409999999999</v>
      </c>
      <c r="L1282">
        <v>368.05349999999999</v>
      </c>
      <c r="M1282">
        <v>0.99988690000000002</v>
      </c>
      <c r="N1282">
        <v>-1.415278E-2</v>
      </c>
      <c r="O1282">
        <v>5.079498E-3</v>
      </c>
      <c r="P1282">
        <v>0.98960300000000001</v>
      </c>
      <c r="Q1282">
        <v>0.1350905</v>
      </c>
      <c r="R1282">
        <v>-4.9358630000000001E-2</v>
      </c>
      <c r="S1282">
        <v>3.0419010000000002</v>
      </c>
      <c r="T1282">
        <v>-5.9451339999999998E-2</v>
      </c>
      <c r="U1282">
        <v>4.5623780000000003E-2</v>
      </c>
      <c r="V1282">
        <v>5.4415949999999998E-2</v>
      </c>
      <c r="W1282">
        <v>0.149067899999999</v>
      </c>
      <c r="X1282">
        <v>0.98732850000000005</v>
      </c>
      <c r="Y1282">
        <v>-9.9139410000000008E-3</v>
      </c>
      <c r="Z1282">
        <v>1.396685E-4</v>
      </c>
      <c r="AA1282">
        <v>0.99995080000000003</v>
      </c>
      <c r="AB1282">
        <v>29</v>
      </c>
      <c r="AC1282">
        <v>57.221899999999998</v>
      </c>
      <c r="AD1282">
        <v>-1.12155013131999</v>
      </c>
      <c r="AE1282">
        <v>0.85990000000003797</v>
      </c>
      <c r="AF1282">
        <v>-0.56898272011665996</v>
      </c>
      <c r="AG1282">
        <v>-1.12155013131999</v>
      </c>
      <c r="AH1282">
        <v>57.203559552694401</v>
      </c>
      <c r="AI1282">
        <v>91.123158769923606</v>
      </c>
      <c r="AJ1282">
        <v>90.569881204740994</v>
      </c>
      <c r="AK1282">
        <v>57.217382337289003</v>
      </c>
      <c r="AL1282">
        <v>81.427085700084405</v>
      </c>
      <c r="AM1282">
        <v>86.845372999508001</v>
      </c>
      <c r="AN1282">
        <v>0.99999995066852998</v>
      </c>
    </row>
    <row r="1283" spans="1:40" x14ac:dyDescent="0.25">
      <c r="A1283" t="str">
        <f>"20190303170246775"</f>
        <v>20190303170246775</v>
      </c>
      <c r="B1283" t="str">
        <f>"1551603766767272"</f>
        <v>1551603766767272</v>
      </c>
      <c r="C1283" t="s">
        <v>40</v>
      </c>
      <c r="D1283">
        <v>4.5089560000000004</v>
      </c>
      <c r="E1283">
        <v>0.47815279999999999</v>
      </c>
      <c r="F1283" t="s">
        <v>52</v>
      </c>
      <c r="G1283">
        <v>-184.7483</v>
      </c>
      <c r="H1283" s="1">
        <v>-9.1178439999999997E-6</v>
      </c>
      <c r="I1283">
        <v>368.92250000000001</v>
      </c>
      <c r="J1283">
        <v>-241.61920000000001</v>
      </c>
      <c r="K1283">
        <v>1.1215409999999999</v>
      </c>
      <c r="L1283">
        <v>368.05430000000001</v>
      </c>
      <c r="M1283">
        <v>0.99988719999999998</v>
      </c>
      <c r="N1283">
        <v>-1.4151149999999999E-2</v>
      </c>
      <c r="O1283">
        <v>5.0324259999999996E-3</v>
      </c>
      <c r="P1283">
        <v>0.98960610000000004</v>
      </c>
      <c r="Q1283">
        <v>0.13497670000000001</v>
      </c>
      <c r="R1283">
        <v>-4.9612499999999997E-2</v>
      </c>
      <c r="S1283">
        <v>3.0420069999999999</v>
      </c>
      <c r="T1283">
        <v>-5.9826610000000002E-2</v>
      </c>
      <c r="U1283">
        <v>4.6356199999999903E-2</v>
      </c>
      <c r="V1283">
        <v>5.462322E-2</v>
      </c>
      <c r="W1283">
        <v>0.14895239999999901</v>
      </c>
      <c r="X1283">
        <v>0.9873345</v>
      </c>
      <c r="Y1283">
        <v>-1.020107E-2</v>
      </c>
      <c r="Z1283">
        <v>1.4475180000000001E-4</v>
      </c>
      <c r="AA1283">
        <v>0.99994799999999995</v>
      </c>
      <c r="AB1283">
        <v>29</v>
      </c>
      <c r="AC1283">
        <v>56.870899999999999</v>
      </c>
      <c r="AD1283">
        <v>-1.1215501178439999</v>
      </c>
      <c r="AE1283">
        <v>0.86820000000000097</v>
      </c>
      <c r="AF1283">
        <v>-0.58173555230002405</v>
      </c>
      <c r="AG1283">
        <v>-1.1215501178439999</v>
      </c>
      <c r="AH1283">
        <v>56.852443562159898</v>
      </c>
      <c r="AI1283">
        <v>91.130090241787897</v>
      </c>
      <c r="AJ1283">
        <v>90.586251472335505</v>
      </c>
      <c r="AK1283">
        <v>56.866480723781599</v>
      </c>
      <c r="AL1283">
        <v>81.433778196204898</v>
      </c>
      <c r="AM1283">
        <v>86.833400657678197</v>
      </c>
      <c r="AN1283">
        <v>0.99999996425958804</v>
      </c>
    </row>
    <row r="1284" spans="1:40" x14ac:dyDescent="0.25">
      <c r="A1284" t="str">
        <f>"20190303170246786"</f>
        <v>20190303170246786</v>
      </c>
      <c r="B1284" t="str">
        <f>"1551603766777031"</f>
        <v>1551603766777031</v>
      </c>
      <c r="C1284" t="s">
        <v>40</v>
      </c>
      <c r="D1284">
        <v>4.5020660000000001</v>
      </c>
      <c r="E1284">
        <v>0.47798889999999999</v>
      </c>
      <c r="F1284" t="s">
        <v>52</v>
      </c>
      <c r="G1284">
        <v>-185.1086</v>
      </c>
      <c r="H1284" s="1">
        <v>-9.0818119999999995E-6</v>
      </c>
      <c r="I1284">
        <v>368.91140000000001</v>
      </c>
      <c r="J1284">
        <v>-241.46019999999999</v>
      </c>
      <c r="K1284">
        <v>1.121542</v>
      </c>
      <c r="L1284">
        <v>368.05500000000001</v>
      </c>
      <c r="M1284">
        <v>0.99988750000000004</v>
      </c>
      <c r="N1284">
        <v>-1.4149490000000001E-2</v>
      </c>
      <c r="O1284">
        <v>4.9848799999999997E-3</v>
      </c>
      <c r="P1284">
        <v>0.98961399999999999</v>
      </c>
      <c r="Q1284">
        <v>0.1348222</v>
      </c>
      <c r="R1284">
        <v>-4.9871209999999999E-2</v>
      </c>
      <c r="S1284">
        <v>3.0420530000000001</v>
      </c>
      <c r="T1284">
        <v>-6.0374860000000002E-2</v>
      </c>
      <c r="U1284">
        <v>4.6142580000000002E-2</v>
      </c>
      <c r="V1284">
        <v>5.4834939999999999E-2</v>
      </c>
      <c r="W1284">
        <v>0.14879679999999901</v>
      </c>
      <c r="X1284">
        <v>0.98734619999999995</v>
      </c>
      <c r="Y1284">
        <v>-1.017815E-2</v>
      </c>
      <c r="Z1284">
        <v>1.446284E-4</v>
      </c>
      <c r="AA1284">
        <v>0.99994819999999995</v>
      </c>
      <c r="AB1284">
        <v>29</v>
      </c>
      <c r="AC1284">
        <v>56.351599999999898</v>
      </c>
      <c r="AD1284">
        <v>-1.121551081812</v>
      </c>
      <c r="AE1284">
        <v>0.85640000000000704</v>
      </c>
      <c r="AF1284">
        <v>-0.575227473512958</v>
      </c>
      <c r="AG1284">
        <v>-1.121551081812</v>
      </c>
      <c r="AH1284">
        <v>56.332859832322598</v>
      </c>
      <c r="AI1284">
        <v>91.140512066821103</v>
      </c>
      <c r="AJ1284">
        <v>90.585039729173005</v>
      </c>
      <c r="AK1284">
        <v>56.346959637264398</v>
      </c>
      <c r="AL1284">
        <v>81.442793667844001</v>
      </c>
      <c r="AM1284">
        <v>86.8211896107168</v>
      </c>
      <c r="AN1284">
        <v>0.999999938494739</v>
      </c>
    </row>
    <row r="1285" spans="1:40" x14ac:dyDescent="0.25">
      <c r="A1285" t="str">
        <f>"20190303170246798"</f>
        <v>20190303170246798</v>
      </c>
      <c r="B1285" t="str">
        <f>"1551603766786791"</f>
        <v>1551603766786791</v>
      </c>
      <c r="C1285" t="s">
        <v>40</v>
      </c>
      <c r="D1285">
        <v>4.5033709999999996</v>
      </c>
      <c r="E1285">
        <v>0.47783940000000003</v>
      </c>
      <c r="F1285" t="s">
        <v>52</v>
      </c>
      <c r="G1285">
        <v>-185.32669999999999</v>
      </c>
      <c r="H1285" s="1">
        <v>-9.0662139999999997E-6</v>
      </c>
      <c r="I1285">
        <v>368.9205</v>
      </c>
      <c r="J1285">
        <v>-241.32689999999999</v>
      </c>
      <c r="K1285">
        <v>1.121543</v>
      </c>
      <c r="L1285">
        <v>368.05560000000003</v>
      </c>
      <c r="M1285">
        <v>0.99988790000000005</v>
      </c>
      <c r="N1285">
        <v>-1.414812E-2</v>
      </c>
      <c r="O1285">
        <v>4.9446630000000002E-3</v>
      </c>
      <c r="P1285">
        <v>0.9896393</v>
      </c>
      <c r="Q1285">
        <v>0.13456599999999999</v>
      </c>
      <c r="R1285">
        <v>-5.0064150000000002E-2</v>
      </c>
      <c r="S1285">
        <v>3.0420989999999999</v>
      </c>
      <c r="T1285">
        <v>-6.078136E-2</v>
      </c>
      <c r="U1285">
        <v>4.6905519999999999E-2</v>
      </c>
      <c r="V1285">
        <v>5.498799E-2</v>
      </c>
      <c r="W1285">
        <v>0.1485389</v>
      </c>
      <c r="X1285">
        <v>0.98737660000000005</v>
      </c>
      <c r="Y1285">
        <v>-1.0468730000000001E-2</v>
      </c>
      <c r="Z1285">
        <v>1.498215E-4</v>
      </c>
      <c r="AA1285">
        <v>0.99994519999999998</v>
      </c>
      <c r="AB1285">
        <v>29</v>
      </c>
      <c r="AC1285">
        <v>56.0002</v>
      </c>
      <c r="AD1285">
        <v>-1.1215520662139999</v>
      </c>
      <c r="AE1285">
        <v>0.86489999999997702</v>
      </c>
      <c r="AF1285">
        <v>-0.58772396587912001</v>
      </c>
      <c r="AG1285">
        <v>-1.1215520662139999</v>
      </c>
      <c r="AH1285">
        <v>55.981343204466299</v>
      </c>
      <c r="AI1285">
        <v>91.1476692252932</v>
      </c>
      <c r="AJ1285">
        <v>90.601501566986698</v>
      </c>
      <c r="AK1285">
        <v>55.995661309368799</v>
      </c>
      <c r="AL1285">
        <v>81.457736981066205</v>
      </c>
      <c r="AM1285">
        <v>86.812433434671405</v>
      </c>
      <c r="AN1285">
        <v>1.0000000170425001</v>
      </c>
    </row>
    <row r="1286" spans="1:40" x14ac:dyDescent="0.25">
      <c r="A1286" t="str">
        <f>"20190303170246809"</f>
        <v>20190303170246809</v>
      </c>
      <c r="B1286" t="str">
        <f>"1551603766796551"</f>
        <v>1551603766796551</v>
      </c>
      <c r="C1286" t="s">
        <v>40</v>
      </c>
      <c r="D1286">
        <v>4.595739</v>
      </c>
      <c r="E1286">
        <v>0.47776960000000002</v>
      </c>
      <c r="F1286" t="s">
        <v>52</v>
      </c>
      <c r="G1286">
        <v>-185.9391</v>
      </c>
      <c r="H1286" s="1">
        <v>-9.0120859999999997E-6</v>
      </c>
      <c r="I1286">
        <v>368.9196</v>
      </c>
      <c r="J1286">
        <v>-241.18440000000001</v>
      </c>
      <c r="K1286">
        <v>1.1215389999999901</v>
      </c>
      <c r="L1286">
        <v>368.05630000000002</v>
      </c>
      <c r="M1286">
        <v>0.99988809999999995</v>
      </c>
      <c r="N1286">
        <v>-1.414668E-2</v>
      </c>
      <c r="O1286">
        <v>4.9022989999999997E-3</v>
      </c>
      <c r="P1286">
        <v>0.98964490000000005</v>
      </c>
      <c r="Q1286">
        <v>0.13441040000000001</v>
      </c>
      <c r="R1286">
        <v>-5.0370579999999998E-2</v>
      </c>
      <c r="S1286">
        <v>3.0421749999999999</v>
      </c>
      <c r="T1286">
        <v>-6.1601280000000001E-2</v>
      </c>
      <c r="U1286">
        <v>4.7454830000000003E-2</v>
      </c>
      <c r="V1286">
        <v>5.5252330000000002E-2</v>
      </c>
      <c r="W1286">
        <v>0.14838189999999901</v>
      </c>
      <c r="X1286">
        <v>0.98738550000000003</v>
      </c>
      <c r="Y1286">
        <v>-1.069107E-2</v>
      </c>
      <c r="Z1286">
        <v>1.5396729999999999E-4</v>
      </c>
      <c r="AA1286">
        <v>0.99994280000000002</v>
      </c>
      <c r="AB1286">
        <v>29</v>
      </c>
      <c r="AC1286">
        <v>55.2453</v>
      </c>
      <c r="AD1286">
        <v>-1.12154801208599</v>
      </c>
      <c r="AE1286">
        <v>0.86329999999998097</v>
      </c>
      <c r="AF1286">
        <v>-0.59218958590918302</v>
      </c>
      <c r="AG1286">
        <v>-1.12154801208599</v>
      </c>
      <c r="AH1286">
        <v>55.226113249174702</v>
      </c>
      <c r="AI1286">
        <v>91.163352611512295</v>
      </c>
      <c r="AJ1286">
        <v>90.614359070095205</v>
      </c>
      <c r="AK1286">
        <v>55.240674715826401</v>
      </c>
      <c r="AL1286">
        <v>81.466833648341805</v>
      </c>
      <c r="AM1286">
        <v>86.797170699864097</v>
      </c>
      <c r="AN1286">
        <v>1.00000006691414</v>
      </c>
    </row>
    <row r="1287" spans="1:40" x14ac:dyDescent="0.25">
      <c r="A1287" t="str">
        <f>"20190303170246821"</f>
        <v>20190303170246821</v>
      </c>
      <c r="B1287" t="str">
        <f>"1551603766807287"</f>
        <v>1551603766807287</v>
      </c>
      <c r="C1287" t="s">
        <v>40</v>
      </c>
      <c r="D1287">
        <v>4.5352249999999996</v>
      </c>
      <c r="E1287">
        <v>0.4777071</v>
      </c>
      <c r="F1287" t="s">
        <v>52</v>
      </c>
      <c r="G1287">
        <v>-186.4511</v>
      </c>
      <c r="H1287" s="1">
        <v>-8.9624769999999997E-6</v>
      </c>
      <c r="I1287">
        <v>368.90780000000001</v>
      </c>
      <c r="J1287">
        <v>-241.02500000000001</v>
      </c>
      <c r="K1287">
        <v>1.1215389999999901</v>
      </c>
      <c r="L1287">
        <v>368.05700000000002</v>
      </c>
      <c r="M1287">
        <v>0.99988840000000001</v>
      </c>
      <c r="N1287">
        <v>-1.4145069999999999E-2</v>
      </c>
      <c r="O1287">
        <v>4.8549270000000002E-3</v>
      </c>
      <c r="P1287">
        <v>0.98960570000000003</v>
      </c>
      <c r="Q1287">
        <v>0.13457160000000001</v>
      </c>
      <c r="R1287">
        <v>-5.07137E-2</v>
      </c>
      <c r="S1287">
        <v>3.0422820000000002</v>
      </c>
      <c r="T1287">
        <v>-6.2339779999999997E-2</v>
      </c>
      <c r="U1287">
        <v>4.7332760000000001E-2</v>
      </c>
      <c r="V1287">
        <v>5.554833E-2</v>
      </c>
      <c r="W1287">
        <v>0.14854120000000001</v>
      </c>
      <c r="X1287">
        <v>0.98734489999999997</v>
      </c>
      <c r="Y1287">
        <v>-1.0697720000000001E-2</v>
      </c>
      <c r="Z1287">
        <v>1.544738E-4</v>
      </c>
      <c r="AA1287">
        <v>0.99994280000000002</v>
      </c>
      <c r="AB1287">
        <v>29</v>
      </c>
      <c r="AC1287">
        <v>54.573900000000002</v>
      </c>
      <c r="AD1287">
        <v>-1.1215479624769999</v>
      </c>
      <c r="AE1287">
        <v>0.85080000000004896</v>
      </c>
      <c r="AF1287">
        <v>-0.58556397304789098</v>
      </c>
      <c r="AG1287">
        <v>-1.1215479624769999</v>
      </c>
      <c r="AH1287">
        <v>54.554352617315999</v>
      </c>
      <c r="AI1287">
        <v>91.1776734779138</v>
      </c>
      <c r="AJ1287">
        <v>90.614965705317005</v>
      </c>
      <c r="AK1287">
        <v>54.569021839255299</v>
      </c>
      <c r="AL1287">
        <v>81.457603819424705</v>
      </c>
      <c r="AM1287">
        <v>86.7799162559092</v>
      </c>
      <c r="AN1287">
        <v>1.00000002830961</v>
      </c>
    </row>
    <row r="1288" spans="1:40" x14ac:dyDescent="0.25">
      <c r="A1288" t="str">
        <f>"20190303170246833"</f>
        <v>20190303170246833</v>
      </c>
      <c r="B1288" t="str">
        <f>"1551603766826807"</f>
        <v>1551603766826807</v>
      </c>
      <c r="C1288" t="s">
        <v>40</v>
      </c>
      <c r="D1288">
        <v>4.5239089999999997</v>
      </c>
      <c r="E1288">
        <v>0.47759210000000002</v>
      </c>
      <c r="F1288" t="s">
        <v>52</v>
      </c>
      <c r="G1288">
        <v>-186.13509999999999</v>
      </c>
      <c r="H1288" s="1">
        <v>-8.9869209999999994E-6</v>
      </c>
      <c r="I1288">
        <v>368.89940000000001</v>
      </c>
      <c r="J1288">
        <v>-240.86969999999999</v>
      </c>
      <c r="K1288">
        <v>1.1215409999999999</v>
      </c>
      <c r="L1288">
        <v>368.05770000000001</v>
      </c>
      <c r="M1288">
        <v>0.99988849999999996</v>
      </c>
      <c r="N1288">
        <v>-1.414351E-2</v>
      </c>
      <c r="O1288">
        <v>4.809163E-3</v>
      </c>
      <c r="P1288">
        <v>0.98955020000000005</v>
      </c>
      <c r="Q1288">
        <v>0.13481799999999999</v>
      </c>
      <c r="R1288">
        <v>-5.1136019999999997E-2</v>
      </c>
      <c r="S1288">
        <v>3.0423429999999998</v>
      </c>
      <c r="T1288">
        <v>-6.216323E-2</v>
      </c>
      <c r="U1288">
        <v>4.669189E-2</v>
      </c>
      <c r="V1288">
        <v>5.5925339999999997E-2</v>
      </c>
      <c r="W1288">
        <v>0.148785</v>
      </c>
      <c r="X1288">
        <v>0.98728689999999997</v>
      </c>
      <c r="Y1288">
        <v>-1.0532659999999999E-2</v>
      </c>
      <c r="Z1288">
        <v>1.5186290000000001E-4</v>
      </c>
      <c r="AA1288">
        <v>0.99994450000000001</v>
      </c>
      <c r="AB1288">
        <v>29</v>
      </c>
      <c r="AC1288">
        <v>54.7346</v>
      </c>
      <c r="AD1288">
        <v>-1.1215499869209999</v>
      </c>
      <c r="AE1288">
        <v>0.841700000000003</v>
      </c>
      <c r="AF1288">
        <v>-0.578193635260146</v>
      </c>
      <c r="AG1288">
        <v>-1.1215499869209999</v>
      </c>
      <c r="AH1288">
        <v>54.715047496907701</v>
      </c>
      <c r="AI1288">
        <v>91.174219886850395</v>
      </c>
      <c r="AJ1288">
        <v>90.605442625256202</v>
      </c>
      <c r="AK1288">
        <v>54.729595328687402</v>
      </c>
      <c r="AL1288">
        <v>81.443478083237594</v>
      </c>
      <c r="AM1288">
        <v>86.757917759884904</v>
      </c>
      <c r="AN1288">
        <v>1.0000000213953599</v>
      </c>
    </row>
    <row r="1289" spans="1:40" x14ac:dyDescent="0.25">
      <c r="A1289" t="str">
        <f>"20190303170246845"</f>
        <v>20190303170246845</v>
      </c>
      <c r="B1289" t="str">
        <f>"1551603766836567"</f>
        <v>1551603766836567</v>
      </c>
      <c r="C1289" t="s">
        <v>40</v>
      </c>
      <c r="D1289">
        <v>4.5209149999999996</v>
      </c>
      <c r="E1289">
        <v>0.47759210000000002</v>
      </c>
      <c r="F1289" t="s">
        <v>52</v>
      </c>
      <c r="G1289">
        <v>-185.7825</v>
      </c>
      <c r="H1289" s="1">
        <v>-9.017176E-6</v>
      </c>
      <c r="I1289">
        <v>368.89760000000001</v>
      </c>
      <c r="J1289">
        <v>-240.7278</v>
      </c>
      <c r="K1289">
        <v>1.121548</v>
      </c>
      <c r="L1289">
        <v>368.05829999999997</v>
      </c>
      <c r="M1289">
        <v>0.99988869999999996</v>
      </c>
      <c r="N1289">
        <v>-1.414197E-2</v>
      </c>
      <c r="O1289">
        <v>4.7675139999999996E-3</v>
      </c>
      <c r="P1289">
        <v>0.98948670000000005</v>
      </c>
      <c r="Q1289">
        <v>0.1351263</v>
      </c>
      <c r="R1289">
        <v>-5.1546750000000002E-2</v>
      </c>
      <c r="S1289">
        <v>3.0424959999999999</v>
      </c>
      <c r="T1289">
        <v>-6.1943770000000002E-2</v>
      </c>
      <c r="U1289">
        <v>4.6386719999999999E-2</v>
      </c>
      <c r="V1289">
        <v>5.6294400000000001E-2</v>
      </c>
      <c r="W1289">
        <v>0.1490911</v>
      </c>
      <c r="X1289">
        <v>0.98721979999999998</v>
      </c>
      <c r="Y1289">
        <v>-1.047331E-2</v>
      </c>
      <c r="Z1289">
        <v>1.5104889999999999E-4</v>
      </c>
      <c r="AA1289">
        <v>0.99994519999999998</v>
      </c>
      <c r="AB1289">
        <v>29</v>
      </c>
      <c r="AC1289">
        <v>54.945300000000003</v>
      </c>
      <c r="AD1289">
        <v>-1.1215570171760001</v>
      </c>
      <c r="AE1289">
        <v>0.83930000000003602</v>
      </c>
      <c r="AF1289">
        <v>-0.57707140574561699</v>
      </c>
      <c r="AG1289">
        <v>-1.1215570171760001</v>
      </c>
      <c r="AH1289">
        <v>54.925797181146997</v>
      </c>
      <c r="AI1289">
        <v>91.169723753570395</v>
      </c>
      <c r="AJ1289">
        <v>90.601949197530303</v>
      </c>
      <c r="AK1289">
        <v>54.940277552398697</v>
      </c>
      <c r="AL1289">
        <v>81.425742485960498</v>
      </c>
      <c r="AM1289">
        <v>86.736347515974103</v>
      </c>
      <c r="AN1289">
        <v>1.0000000745413</v>
      </c>
    </row>
    <row r="1290" spans="1:40" x14ac:dyDescent="0.25">
      <c r="A1290" t="str">
        <f>"20190303170246857"</f>
        <v>20190303170246857</v>
      </c>
      <c r="B1290" t="str">
        <f>"1551603766847303"</f>
        <v>1551603766847303</v>
      </c>
      <c r="C1290" t="s">
        <v>40</v>
      </c>
      <c r="D1290">
        <v>4.5250700000000004</v>
      </c>
      <c r="E1290">
        <v>0.46706910000000001</v>
      </c>
      <c r="F1290" t="s">
        <v>52</v>
      </c>
      <c r="G1290">
        <v>-184.74180000000001</v>
      </c>
      <c r="H1290" s="1">
        <v>-9.1066970000000005E-6</v>
      </c>
      <c r="I1290">
        <v>368.89280000000002</v>
      </c>
      <c r="J1290">
        <v>-240.57409999999999</v>
      </c>
      <c r="K1290">
        <v>1.1215469999999901</v>
      </c>
      <c r="L1290">
        <v>368.05900000000003</v>
      </c>
      <c r="M1290">
        <v>0.99988900000000003</v>
      </c>
      <c r="N1290">
        <v>-1.414029E-2</v>
      </c>
      <c r="O1290">
        <v>4.7219319999999999E-3</v>
      </c>
      <c r="P1290">
        <v>0.98943349999999997</v>
      </c>
      <c r="Q1290">
        <v>0.13539699999999999</v>
      </c>
      <c r="R1290">
        <v>-5.1859420000000003E-2</v>
      </c>
      <c r="S1290">
        <v>3.0425719999999998</v>
      </c>
      <c r="T1290">
        <v>-6.0951350000000001E-2</v>
      </c>
      <c r="U1290">
        <v>4.534912E-2</v>
      </c>
      <c r="V1290">
        <v>5.6561809999999997E-2</v>
      </c>
      <c r="W1290">
        <v>0.14935889999999999</v>
      </c>
      <c r="X1290">
        <v>0.98716400000000004</v>
      </c>
      <c r="Y1290">
        <v>-1.0177759999999999E-2</v>
      </c>
      <c r="Z1290">
        <v>1.4609700000000001E-4</v>
      </c>
      <c r="AA1290">
        <v>0.99994819999999995</v>
      </c>
      <c r="AB1290">
        <v>29</v>
      </c>
      <c r="AC1290">
        <v>55.832299999999897</v>
      </c>
      <c r="AD1290">
        <v>-1.1215561066969999</v>
      </c>
      <c r="AE1290">
        <v>0.83379999999999599</v>
      </c>
      <c r="AF1290">
        <v>-0.56989813462403105</v>
      </c>
      <c r="AG1290">
        <v>-1.1215561066969999</v>
      </c>
      <c r="AH1290">
        <v>55.813097990139099</v>
      </c>
      <c r="AI1290">
        <v>91.151135449742</v>
      </c>
      <c r="AJ1290">
        <v>90.585017214761507</v>
      </c>
      <c r="AK1290">
        <v>55.827274510235497</v>
      </c>
      <c r="AL1290">
        <v>81.410224642215994</v>
      </c>
      <c r="AM1290">
        <v>86.720693295443297</v>
      </c>
      <c r="AN1290">
        <v>1.00000004112784</v>
      </c>
    </row>
    <row r="1291" spans="1:40" x14ac:dyDescent="0.25">
      <c r="A1291" t="str">
        <f>"20190303170246868"</f>
        <v>20190303170246868</v>
      </c>
      <c r="B1291" t="str">
        <f>"1551603766857063"</f>
        <v>1551603766857063</v>
      </c>
      <c r="C1291" t="s">
        <v>40</v>
      </c>
      <c r="D1291">
        <v>4.5961470000000002</v>
      </c>
      <c r="E1291">
        <v>0.46921279999999999</v>
      </c>
      <c r="F1291" t="s">
        <v>52</v>
      </c>
      <c r="G1291">
        <v>-178.8313</v>
      </c>
      <c r="H1291">
        <v>7.9988100000000006E-2</v>
      </c>
      <c r="I1291">
        <v>370.6481</v>
      </c>
      <c r="J1291">
        <v>-240.4254</v>
      </c>
      <c r="K1291">
        <v>1.1215459999999999</v>
      </c>
      <c r="L1291">
        <v>368.05970000000002</v>
      </c>
      <c r="M1291">
        <v>0.99988929999999998</v>
      </c>
      <c r="N1291">
        <v>-1.4138599999999999E-2</v>
      </c>
      <c r="O1291">
        <v>4.6780190000000003E-3</v>
      </c>
      <c r="P1291">
        <v>0.98939699999999997</v>
      </c>
      <c r="Q1291">
        <v>0.13541</v>
      </c>
      <c r="R1291">
        <v>-5.251691E-2</v>
      </c>
      <c r="S1291">
        <v>3.0457459999999998</v>
      </c>
      <c r="T1291">
        <v>-5.1379679999999997E-2</v>
      </c>
      <c r="U1291">
        <v>0.1277161</v>
      </c>
      <c r="V1291">
        <v>5.7175829999999997E-2</v>
      </c>
      <c r="W1291">
        <v>0.14936969999999999</v>
      </c>
      <c r="X1291">
        <v>0.98712690000000003</v>
      </c>
      <c r="Y1291">
        <v>-3.7211250000000001E-2</v>
      </c>
      <c r="Z1291">
        <v>5.6416810000000002E-4</v>
      </c>
      <c r="AA1291">
        <v>0.99930730000000001</v>
      </c>
      <c r="AB1291">
        <v>28</v>
      </c>
      <c r="AC1291">
        <v>61.594099999999997</v>
      </c>
      <c r="AD1291">
        <v>-1.0415578999999999</v>
      </c>
      <c r="AE1291">
        <v>2.5883999999999698</v>
      </c>
      <c r="AF1291">
        <v>-2.2995481609895601</v>
      </c>
      <c r="AG1291">
        <v>-1.0415578999999999</v>
      </c>
      <c r="AH1291">
        <v>61.5879557262815</v>
      </c>
      <c r="AI1291">
        <v>90.968202960215805</v>
      </c>
      <c r="AJ1291">
        <v>92.138295188040601</v>
      </c>
      <c r="AK1291">
        <v>61.639671114844298</v>
      </c>
      <c r="AL1291">
        <v>81.409598036750893</v>
      </c>
      <c r="AM1291">
        <v>86.685048665777302</v>
      </c>
      <c r="AN1291">
        <v>0.99999994975894302</v>
      </c>
    </row>
    <row r="1292" spans="1:40" x14ac:dyDescent="0.25">
      <c r="A1292" t="str">
        <f>"20190303170246881"</f>
        <v>20190303170246881</v>
      </c>
      <c r="B1292" t="str">
        <f>"1551603766866823"</f>
        <v>1551603766866823</v>
      </c>
      <c r="C1292" t="s">
        <v>40</v>
      </c>
      <c r="D1292">
        <v>4.5067009999999996</v>
      </c>
      <c r="E1292">
        <v>0.47035539999999998</v>
      </c>
      <c r="F1292" t="s">
        <v>52</v>
      </c>
      <c r="G1292">
        <v>-183.46299999999999</v>
      </c>
      <c r="H1292" s="1">
        <v>-7.9873769999999995E-6</v>
      </c>
      <c r="I1292">
        <v>370.09930000000003</v>
      </c>
      <c r="J1292">
        <v>-240.2773</v>
      </c>
      <c r="K1292">
        <v>1.1215469999999901</v>
      </c>
      <c r="L1292">
        <v>368.06029999999998</v>
      </c>
      <c r="M1292">
        <v>0.99988940000000004</v>
      </c>
      <c r="N1292">
        <v>-1.4136920000000001E-2</v>
      </c>
      <c r="O1292">
        <v>4.6343460000000001E-3</v>
      </c>
      <c r="P1292">
        <v>0.98937989999999998</v>
      </c>
      <c r="Q1292">
        <v>0.13536689999999901</v>
      </c>
      <c r="R1292">
        <v>-5.2945100000000002E-2</v>
      </c>
      <c r="S1292">
        <v>3.0461429999999998</v>
      </c>
      <c r="T1292">
        <v>-5.9976700000000001E-2</v>
      </c>
      <c r="U1292">
        <v>0.10906979999999999</v>
      </c>
      <c r="V1292">
        <v>5.756058E-2</v>
      </c>
      <c r="W1292">
        <v>0.14932490000000001</v>
      </c>
      <c r="X1292">
        <v>0.98711139999999997</v>
      </c>
      <c r="Y1292">
        <v>-3.1140439999999998E-2</v>
      </c>
      <c r="Z1292">
        <v>5.0096359999999998E-4</v>
      </c>
      <c r="AA1292">
        <v>0.99951489999999998</v>
      </c>
      <c r="AB1292">
        <v>28</v>
      </c>
      <c r="AC1292">
        <v>56.814300000000003</v>
      </c>
      <c r="AD1292">
        <v>-1.1215549873770001</v>
      </c>
      <c r="AE1292">
        <v>2.0390000000000401</v>
      </c>
      <c r="AF1292">
        <v>-1.77496387368577</v>
      </c>
      <c r="AG1292">
        <v>-1.1215549873770001</v>
      </c>
      <c r="AH1292">
        <v>56.801033489565597</v>
      </c>
      <c r="AI1292">
        <v>91.130625175302896</v>
      </c>
      <c r="AJ1292">
        <v>91.7898416567417</v>
      </c>
      <c r="AK1292">
        <v>56.839825719519503</v>
      </c>
      <c r="AL1292">
        <v>81.412194705630895</v>
      </c>
      <c r="AM1292">
        <v>86.662739521459898</v>
      </c>
      <c r="AN1292">
        <v>1.0000000310699499</v>
      </c>
    </row>
    <row r="1293" spans="1:40" x14ac:dyDescent="0.25">
      <c r="A1293" t="str">
        <f>"20190303170246894"</f>
        <v>20190303170246894</v>
      </c>
      <c r="B1293" t="str">
        <f>"1551603766887319"</f>
        <v>1551603766887319</v>
      </c>
      <c r="C1293" t="s">
        <v>40</v>
      </c>
      <c r="D1293">
        <v>4.5274409999999996</v>
      </c>
      <c r="E1293">
        <v>0.47189880000000001</v>
      </c>
      <c r="F1293" t="s">
        <v>52</v>
      </c>
      <c r="G1293">
        <v>-186.73439999999999</v>
      </c>
      <c r="H1293" s="1">
        <v>-9.1823240000000008E-6</v>
      </c>
      <c r="I1293">
        <v>369.80040000000002</v>
      </c>
      <c r="J1293">
        <v>-240.0986</v>
      </c>
      <c r="K1293">
        <v>1.121545</v>
      </c>
      <c r="L1293">
        <v>368.06110000000001</v>
      </c>
      <c r="M1293">
        <v>0.99988969999999999</v>
      </c>
      <c r="N1293">
        <v>-1.4134910000000001E-2</v>
      </c>
      <c r="O1293">
        <v>4.5811990000000002E-3</v>
      </c>
      <c r="P1293">
        <v>0.9893786</v>
      </c>
      <c r="Q1293">
        <v>0.135046</v>
      </c>
      <c r="R1293">
        <v>-5.378616E-2</v>
      </c>
      <c r="S1293">
        <v>3.0462189999999998</v>
      </c>
      <c r="T1293">
        <v>-6.3808680000000007E-2</v>
      </c>
      <c r="U1293">
        <v>9.8999019999999993E-2</v>
      </c>
      <c r="V1293">
        <v>5.834889E-2</v>
      </c>
      <c r="W1293">
        <v>0.149002</v>
      </c>
      <c r="X1293">
        <v>0.98711389999999999</v>
      </c>
      <c r="Y1293">
        <v>-2.7892130000000001E-2</v>
      </c>
      <c r="Z1293">
        <v>4.580575E-4</v>
      </c>
      <c r="AA1293">
        <v>0.99961080000000002</v>
      </c>
      <c r="AB1293">
        <v>28</v>
      </c>
      <c r="AC1293">
        <v>53.364199999999997</v>
      </c>
      <c r="AD1293">
        <v>-1.1215541823240001</v>
      </c>
      <c r="AE1293">
        <v>1.7393000000000101</v>
      </c>
      <c r="AF1293">
        <v>-1.49412604783918</v>
      </c>
      <c r="AG1293">
        <v>-1.1215541823240001</v>
      </c>
      <c r="AH1293">
        <v>53.348069225039303</v>
      </c>
      <c r="AI1293">
        <v>91.203898854982398</v>
      </c>
      <c r="AJ1293">
        <v>91.604270688576506</v>
      </c>
      <c r="AK1293">
        <v>53.380771692345398</v>
      </c>
      <c r="AL1293">
        <v>81.430904737632105</v>
      </c>
      <c r="AM1293">
        <v>86.617148680001307</v>
      </c>
      <c r="AN1293">
        <v>1.00000002027072</v>
      </c>
    </row>
    <row r="1294" spans="1:40" x14ac:dyDescent="0.25">
      <c r="A1294" t="str">
        <f>"20190303170246909"</f>
        <v>20190303170246909</v>
      </c>
      <c r="B1294" t="str">
        <f>"1551603766897079"</f>
        <v>1551603766897079</v>
      </c>
      <c r="C1294" t="s">
        <v>40</v>
      </c>
      <c r="D1294">
        <v>4.868811</v>
      </c>
      <c r="E1294">
        <v>0.47211880000000001</v>
      </c>
      <c r="F1294" t="s">
        <v>52</v>
      </c>
      <c r="G1294">
        <v>-189.66139999999999</v>
      </c>
      <c r="H1294" s="1">
        <v>-8.8966139999999903E-6</v>
      </c>
      <c r="I1294">
        <v>369.45729999999998</v>
      </c>
      <c r="J1294">
        <v>-239.92240000000001</v>
      </c>
      <c r="K1294">
        <v>1.121545</v>
      </c>
      <c r="L1294">
        <v>368.06189999999998</v>
      </c>
      <c r="M1294">
        <v>0.9998899</v>
      </c>
      <c r="N1294">
        <v>-1.413293E-2</v>
      </c>
      <c r="O1294">
        <v>4.5288869999999997E-3</v>
      </c>
      <c r="P1294">
        <v>0.98935450000000003</v>
      </c>
      <c r="Q1294">
        <v>0.13509949999999901</v>
      </c>
      <c r="R1294">
        <v>-5.4089249999999998E-2</v>
      </c>
      <c r="S1294">
        <v>3.0460210000000001</v>
      </c>
      <c r="T1294">
        <v>-6.7733290000000002E-2</v>
      </c>
      <c r="U1294">
        <v>8.4320069999999997E-2</v>
      </c>
      <c r="V1294">
        <v>5.8600279999999998E-2</v>
      </c>
      <c r="W1294">
        <v>0.14905289999999999</v>
      </c>
      <c r="X1294">
        <v>0.9870913</v>
      </c>
      <c r="Y1294">
        <v>-2.313436E-2</v>
      </c>
      <c r="Z1294">
        <v>3.8400689999999998E-4</v>
      </c>
      <c r="AA1294">
        <v>0.99973230000000002</v>
      </c>
      <c r="AB1294">
        <v>28</v>
      </c>
      <c r="AC1294">
        <v>50.261000000000003</v>
      </c>
      <c r="AD1294">
        <v>-1.121553896614</v>
      </c>
      <c r="AE1294">
        <v>1.39539999999999</v>
      </c>
      <c r="AF1294">
        <v>-1.16715584053385</v>
      </c>
      <c r="AG1294">
        <v>-1.121553896614</v>
      </c>
      <c r="AH1294">
        <v>50.241806491021599</v>
      </c>
      <c r="AI1294">
        <v>91.278463382520599</v>
      </c>
      <c r="AJ1294">
        <v>91.330785703922999</v>
      </c>
      <c r="AK1294">
        <v>50.267874983734501</v>
      </c>
      <c r="AL1294">
        <v>81.427955248505</v>
      </c>
      <c r="AM1294">
        <v>86.602530486956098</v>
      </c>
      <c r="AN1294">
        <v>0.99999999717508903</v>
      </c>
    </row>
    <row r="1295" spans="1:40" x14ac:dyDescent="0.25">
      <c r="A1295" t="str">
        <f>"20190303170246927"</f>
        <v>20190303170246927</v>
      </c>
      <c r="B1295" t="str">
        <f>"1551603766916976"</f>
        <v>1551603766916976</v>
      </c>
      <c r="C1295" t="s">
        <v>40</v>
      </c>
      <c r="D1295">
        <v>4.5353320000000004</v>
      </c>
      <c r="E1295">
        <v>0.47259859999999998</v>
      </c>
      <c r="F1295" t="s">
        <v>52</v>
      </c>
      <c r="G1295">
        <v>-189.71420000000001</v>
      </c>
      <c r="H1295" s="1">
        <v>-8.8731649999999993E-6</v>
      </c>
      <c r="I1295">
        <v>369.40949999999998</v>
      </c>
      <c r="J1295">
        <v>-239.67779999999999</v>
      </c>
      <c r="K1295">
        <v>1.1215520000000001</v>
      </c>
      <c r="L1295">
        <v>368.06279999999998</v>
      </c>
      <c r="M1295">
        <v>0.99989030000000001</v>
      </c>
      <c r="N1295">
        <v>-1.4130190000000001E-2</v>
      </c>
      <c r="O1295">
        <v>4.4560770000000001E-3</v>
      </c>
      <c r="P1295">
        <v>0.98921250000000005</v>
      </c>
      <c r="Q1295">
        <v>0.13591230000000001</v>
      </c>
      <c r="R1295">
        <v>-5.4652880000000001E-2</v>
      </c>
      <c r="S1295">
        <v>3.0460210000000001</v>
      </c>
      <c r="T1295">
        <v>-6.8042279999999997E-2</v>
      </c>
      <c r="U1295">
        <v>8.1756590000000004E-2</v>
      </c>
      <c r="V1295">
        <v>5.9091209999999998E-2</v>
      </c>
      <c r="W1295">
        <v>0.14986099999999999</v>
      </c>
      <c r="X1295">
        <v>0.98693969999999998</v>
      </c>
      <c r="Y1295">
        <v>-2.236666E-2</v>
      </c>
      <c r="Z1295">
        <v>3.7127619999999999E-4</v>
      </c>
      <c r="AA1295">
        <v>0.99974980000000002</v>
      </c>
      <c r="AB1295">
        <v>28</v>
      </c>
      <c r="AC1295">
        <v>49.9635999999999</v>
      </c>
      <c r="AD1295">
        <v>-1.121560873165</v>
      </c>
      <c r="AE1295">
        <v>1.34669999999999</v>
      </c>
      <c r="AF1295">
        <v>-1.12345707160458</v>
      </c>
      <c r="AG1295">
        <v>-1.121560873165</v>
      </c>
      <c r="AH1295">
        <v>49.943957305737598</v>
      </c>
      <c r="AI1295">
        <v>91.286114792718493</v>
      </c>
      <c r="AJ1295">
        <v>91.288614249985898</v>
      </c>
      <c r="AK1295">
        <v>49.969179760541302</v>
      </c>
      <c r="AL1295">
        <v>81.381128874518893</v>
      </c>
      <c r="AM1295">
        <v>86.573610359039705</v>
      </c>
      <c r="AN1295">
        <v>1.00000003092817</v>
      </c>
    </row>
    <row r="1296" spans="1:40" x14ac:dyDescent="0.25">
      <c r="A1296" t="str">
        <f>"20190303170246942"</f>
        <v>20190303170246942</v>
      </c>
      <c r="B1296" t="str">
        <f>"1551603766926736"</f>
        <v>1551603766926736</v>
      </c>
      <c r="C1296" t="s">
        <v>40</v>
      </c>
      <c r="D1296">
        <v>4.5494089999999998</v>
      </c>
      <c r="E1296">
        <v>0.47259859999999998</v>
      </c>
      <c r="F1296" t="s">
        <v>52</v>
      </c>
      <c r="G1296">
        <v>-188.2056</v>
      </c>
      <c r="H1296" s="1">
        <v>-8.9826949999999992E-6</v>
      </c>
      <c r="I1296">
        <v>369.351</v>
      </c>
      <c r="J1296">
        <v>-239.50040000000001</v>
      </c>
      <c r="K1296">
        <v>1.1215539999999999</v>
      </c>
      <c r="L1296">
        <v>368.06360000000001</v>
      </c>
      <c r="M1296">
        <v>0.99989050000000002</v>
      </c>
      <c r="N1296">
        <v>-1.4128190000000001E-2</v>
      </c>
      <c r="O1296">
        <v>4.4031679999999998E-3</v>
      </c>
      <c r="P1296">
        <v>0.98915980000000003</v>
      </c>
      <c r="Q1296">
        <v>0.13613169999999999</v>
      </c>
      <c r="R1296">
        <v>-5.5057769999999999E-2</v>
      </c>
      <c r="S1296">
        <v>3.0460509999999998</v>
      </c>
      <c r="T1296">
        <v>-6.6372390000000003E-2</v>
      </c>
      <c r="U1296">
        <v>7.6232910000000001E-2</v>
      </c>
      <c r="V1296">
        <v>5.9443309999999999E-2</v>
      </c>
      <c r="W1296">
        <v>0.1500774</v>
      </c>
      <c r="X1296">
        <v>0.98688569999999998</v>
      </c>
      <c r="Y1296">
        <v>-2.0608560000000001E-2</v>
      </c>
      <c r="Z1296">
        <v>3.3638940000000001E-4</v>
      </c>
      <c r="AA1296">
        <v>0.9997876</v>
      </c>
      <c r="AB1296">
        <v>28</v>
      </c>
      <c r="AC1296">
        <v>51.294800000000002</v>
      </c>
      <c r="AD1296">
        <v>-1.121562982695</v>
      </c>
      <c r="AE1296">
        <v>1.2873999999999901</v>
      </c>
      <c r="AF1296">
        <v>-1.06099842845814</v>
      </c>
      <c r="AG1296">
        <v>-1.121562982695</v>
      </c>
      <c r="AH1296">
        <v>51.275473502823402</v>
      </c>
      <c r="AI1296">
        <v>91.252778950585494</v>
      </c>
      <c r="AJ1296">
        <v>91.185402180863903</v>
      </c>
      <c r="AK1296">
        <v>51.298711525028402</v>
      </c>
      <c r="AL1296">
        <v>81.368588486005805</v>
      </c>
      <c r="AM1296">
        <v>86.5530548572615</v>
      </c>
      <c r="AN1296">
        <v>1.0000000589795</v>
      </c>
    </row>
    <row r="1297" spans="1:40" x14ac:dyDescent="0.25">
      <c r="A1297" t="str">
        <f>"20190303170246954"</f>
        <v>20190303170246954</v>
      </c>
      <c r="B1297" t="str">
        <f>"1551603766947232"</f>
        <v>1551603766947232</v>
      </c>
      <c r="C1297" t="s">
        <v>40</v>
      </c>
      <c r="D1297">
        <v>4.5392960000000002</v>
      </c>
      <c r="E1297">
        <v>0.46665770000000001</v>
      </c>
      <c r="F1297" t="s">
        <v>52</v>
      </c>
      <c r="G1297">
        <v>-187.3125</v>
      </c>
      <c r="H1297" s="1">
        <v>-9.0631419999999996E-6</v>
      </c>
      <c r="I1297">
        <v>369.35610000000003</v>
      </c>
      <c r="J1297">
        <v>-239.34100000000001</v>
      </c>
      <c r="K1297">
        <v>1.1215580000000001</v>
      </c>
      <c r="L1297">
        <v>368.06420000000003</v>
      </c>
      <c r="M1297">
        <v>0.99989079999999997</v>
      </c>
      <c r="N1297">
        <v>-1.4126390000000001E-2</v>
      </c>
      <c r="O1297">
        <v>4.3557400000000003E-3</v>
      </c>
      <c r="P1297">
        <v>0.98913450000000003</v>
      </c>
      <c r="Q1297">
        <v>0.13618659999999999</v>
      </c>
      <c r="R1297">
        <v>-5.5374560000000003E-2</v>
      </c>
      <c r="S1297">
        <v>3.0460820000000002</v>
      </c>
      <c r="T1297">
        <v>-6.5462950000000006E-2</v>
      </c>
      <c r="U1297">
        <v>7.5439450000000005E-2</v>
      </c>
      <c r="V1297">
        <v>5.9713179999999998E-2</v>
      </c>
      <c r="W1297">
        <v>0.15013019999999999</v>
      </c>
      <c r="X1297">
        <v>0.98686130000000005</v>
      </c>
      <c r="Y1297">
        <v>-2.0395719999999999E-2</v>
      </c>
      <c r="Z1297">
        <v>3.3115880000000002E-4</v>
      </c>
      <c r="AA1297">
        <v>0.99979189999999996</v>
      </c>
      <c r="AB1297">
        <v>28</v>
      </c>
      <c r="AC1297">
        <v>52.028499999999902</v>
      </c>
      <c r="AD1297">
        <v>-1.1215670631420001</v>
      </c>
      <c r="AE1297">
        <v>1.2918999999999901</v>
      </c>
      <c r="AF1297">
        <v>-1.0647480461308401</v>
      </c>
      <c r="AG1297">
        <v>-1.1215670631420001</v>
      </c>
      <c r="AH1297">
        <v>52.009480439393002</v>
      </c>
      <c r="AI1297">
        <v>91.235114145074206</v>
      </c>
      <c r="AJ1297">
        <v>91.172806346480897</v>
      </c>
      <c r="AK1297">
        <v>52.032467331988599</v>
      </c>
      <c r="AL1297">
        <v>81.3655279413355</v>
      </c>
      <c r="AM1297">
        <v>86.537358463846004</v>
      </c>
      <c r="AN1297">
        <v>0.99999998312772098</v>
      </c>
    </row>
    <row r="1298" spans="1:40" x14ac:dyDescent="0.25">
      <c r="A1298" t="str">
        <f>"20190303170246964"</f>
        <v>20190303170246964</v>
      </c>
      <c r="B1298" t="str">
        <f>"1551603766956993"</f>
        <v>1551603766956993</v>
      </c>
      <c r="C1298" t="s">
        <v>40</v>
      </c>
      <c r="D1298">
        <v>4.6057639999999997</v>
      </c>
      <c r="E1298">
        <v>0.48994320000000002</v>
      </c>
      <c r="F1298" t="s">
        <v>52</v>
      </c>
      <c r="G1298">
        <v>-183.13290000000001</v>
      </c>
      <c r="H1298" s="1">
        <v>-7.838056E-6</v>
      </c>
      <c r="I1298">
        <v>370.31349999999998</v>
      </c>
      <c r="J1298">
        <v>-239.2072</v>
      </c>
      <c r="K1298">
        <v>1.1215660000000001</v>
      </c>
      <c r="L1298">
        <v>368.06479999999999</v>
      </c>
      <c r="M1298">
        <v>0.99989090000000003</v>
      </c>
      <c r="N1298">
        <v>-1.4124869999999999E-2</v>
      </c>
      <c r="O1298">
        <v>4.3158809999999997E-3</v>
      </c>
      <c r="P1298">
        <v>0.98910500000000001</v>
      </c>
      <c r="Q1298">
        <v>0.13619100000000001</v>
      </c>
      <c r="R1298">
        <v>-5.5885410000000003E-2</v>
      </c>
      <c r="S1298">
        <v>3.0481569999999998</v>
      </c>
      <c r="T1298">
        <v>-6.0822370000000001E-2</v>
      </c>
      <c r="U1298">
        <v>0.1219788</v>
      </c>
      <c r="V1298">
        <v>6.0184410000000001E-2</v>
      </c>
      <c r="W1298">
        <v>0.1501326</v>
      </c>
      <c r="X1298">
        <v>0.9868323</v>
      </c>
      <c r="Y1298">
        <v>-3.5659950000000003E-2</v>
      </c>
      <c r="Z1298">
        <v>5.8246709999999996E-4</v>
      </c>
      <c r="AA1298">
        <v>0.99936380000000002</v>
      </c>
      <c r="AB1298">
        <v>28</v>
      </c>
      <c r="AC1298">
        <v>56.074300000000001</v>
      </c>
      <c r="AD1298">
        <v>-1.1215738380560001</v>
      </c>
      <c r="AE1298">
        <v>2.2486999999999799</v>
      </c>
      <c r="AF1298">
        <v>-2.0058437204214101</v>
      </c>
      <c r="AG1298">
        <v>-1.1215738380560001</v>
      </c>
      <c r="AH1298">
        <v>56.0610918010373</v>
      </c>
      <c r="AI1298">
        <v>91.145389726145197</v>
      </c>
      <c r="AJ1298">
        <v>92.049146231934799</v>
      </c>
      <c r="AK1298">
        <v>56.1081754366447</v>
      </c>
      <c r="AL1298">
        <v>81.365388780491699</v>
      </c>
      <c r="AM1298">
        <v>86.509997797590103</v>
      </c>
      <c r="AN1298">
        <v>0.99999997455654799</v>
      </c>
    </row>
    <row r="1299" spans="1:40" x14ac:dyDescent="0.25">
      <c r="A1299" t="str">
        <f>"20190303170246978"</f>
        <v>20190303170246978</v>
      </c>
      <c r="B1299" t="str">
        <f>"1551603766966753"</f>
        <v>1551603766966753</v>
      </c>
      <c r="C1299" t="s">
        <v>40</v>
      </c>
      <c r="D1299">
        <v>4.5528620000000002</v>
      </c>
      <c r="E1299">
        <v>0.49857990000000002</v>
      </c>
      <c r="F1299" t="s">
        <v>52</v>
      </c>
      <c r="G1299">
        <v>-193.52950000000001</v>
      </c>
      <c r="H1299" s="1">
        <v>-6.9304520000000003E-6</v>
      </c>
      <c r="I1299">
        <v>367.0985</v>
      </c>
      <c r="J1299">
        <v>-239.0419</v>
      </c>
      <c r="K1299">
        <v>1.121567</v>
      </c>
      <c r="L1299">
        <v>368.06540000000001</v>
      </c>
      <c r="M1299">
        <v>0.99989130000000004</v>
      </c>
      <c r="N1299">
        <v>-1.41229999999999E-2</v>
      </c>
      <c r="O1299">
        <v>4.2662489999999997E-3</v>
      </c>
      <c r="P1299">
        <v>0.98909959999999997</v>
      </c>
      <c r="Q1299">
        <v>0.13602510000000001</v>
      </c>
      <c r="R1299">
        <v>-5.6387569999999998E-2</v>
      </c>
      <c r="S1299">
        <v>3.0397029999999998</v>
      </c>
      <c r="T1299">
        <v>-7.4637170000000003E-2</v>
      </c>
      <c r="U1299">
        <v>-6.4300540000000003E-2</v>
      </c>
      <c r="V1299">
        <v>6.0637360000000001E-2</v>
      </c>
      <c r="W1299">
        <v>0.14996470000000001</v>
      </c>
      <c r="X1299">
        <v>0.98683010000000004</v>
      </c>
      <c r="Y1299">
        <v>2.5402060000000001E-2</v>
      </c>
      <c r="Z1299">
        <v>-5.3571199999999895E-4</v>
      </c>
      <c r="AA1299">
        <v>0.99967720000000004</v>
      </c>
      <c r="AB1299">
        <v>28</v>
      </c>
      <c r="AC1299">
        <v>45.5123999999999</v>
      </c>
      <c r="AD1299">
        <v>-1.121573930452</v>
      </c>
      <c r="AE1299">
        <v>-0.96690000000000897</v>
      </c>
      <c r="AF1299">
        <v>1.16037340509898</v>
      </c>
      <c r="AG1299">
        <v>-1.121573930452</v>
      </c>
      <c r="AH1299">
        <v>45.480253029900702</v>
      </c>
      <c r="AI1299">
        <v>91.4122071351497</v>
      </c>
      <c r="AJ1299">
        <v>88.538484861557606</v>
      </c>
      <c r="AK1299">
        <v>45.508876169210303</v>
      </c>
      <c r="AL1299">
        <v>81.375118891132402</v>
      </c>
      <c r="AM1299">
        <v>86.483789751696406</v>
      </c>
      <c r="AN1299">
        <v>0.99999997346993397</v>
      </c>
    </row>
    <row r="1300" spans="1:40" x14ac:dyDescent="0.25">
      <c r="A1300" t="str">
        <f>"20190303170246991"</f>
        <v>20190303170246991</v>
      </c>
      <c r="B1300" t="str">
        <f>"1551603766976513"</f>
        <v>1551603766976513</v>
      </c>
      <c r="C1300" t="s">
        <v>40</v>
      </c>
      <c r="D1300">
        <v>4.6184719999999997</v>
      </c>
      <c r="E1300">
        <v>0.49857990000000002</v>
      </c>
      <c r="F1300" t="s">
        <v>52</v>
      </c>
      <c r="G1300">
        <v>-195.78</v>
      </c>
      <c r="H1300" s="1">
        <v>-7.8849499999999998E-6</v>
      </c>
      <c r="I1300">
        <v>366.14960000000002</v>
      </c>
      <c r="J1300">
        <v>-238.87129999999999</v>
      </c>
      <c r="K1300">
        <v>1.1215660000000001</v>
      </c>
      <c r="L1300">
        <v>368.06610000000001</v>
      </c>
      <c r="M1300">
        <v>0.99989159999999999</v>
      </c>
      <c r="N1300">
        <v>-1.4121079999999999E-2</v>
      </c>
      <c r="O1300">
        <v>4.2158370000000001E-3</v>
      </c>
      <c r="P1300">
        <v>0.98911360000000004</v>
      </c>
      <c r="Q1300">
        <v>0.1357602</v>
      </c>
      <c r="R1300">
        <v>-5.6780549999999999E-2</v>
      </c>
      <c r="S1300">
        <v>3.0362550000000001</v>
      </c>
      <c r="T1300">
        <v>-7.8715439999999998E-2</v>
      </c>
      <c r="U1300">
        <v>-0.13446040000000001</v>
      </c>
      <c r="V1300">
        <v>6.0980430000000002E-2</v>
      </c>
      <c r="W1300">
        <v>0.14969830000000001</v>
      </c>
      <c r="X1300">
        <v>0.98684939999999999</v>
      </c>
      <c r="Y1300">
        <v>4.8427949999999997E-2</v>
      </c>
      <c r="Z1300">
        <v>-1.019266E-3</v>
      </c>
      <c r="AA1300">
        <v>0.99882610000000005</v>
      </c>
      <c r="AB1300">
        <v>28</v>
      </c>
      <c r="AC1300">
        <v>43.091299999999897</v>
      </c>
      <c r="AD1300">
        <v>-1.1215738849500001</v>
      </c>
      <c r="AE1300">
        <v>-1.9164999999999801</v>
      </c>
      <c r="AF1300">
        <v>2.0967493055341002</v>
      </c>
      <c r="AG1300">
        <v>-1.1215738849500001</v>
      </c>
      <c r="AH1300">
        <v>43.053727405786397</v>
      </c>
      <c r="AI1300">
        <v>91.490484180958305</v>
      </c>
      <c r="AJ1300">
        <v>87.211854794901598</v>
      </c>
      <c r="AK1300">
        <v>43.119342865603002</v>
      </c>
      <c r="AL1300">
        <v>81.390556692726406</v>
      </c>
      <c r="AM1300">
        <v>86.464015287223603</v>
      </c>
      <c r="AN1300">
        <v>0.99999996607311603</v>
      </c>
    </row>
    <row r="1301" spans="1:40" x14ac:dyDescent="0.25">
      <c r="A1301" t="str">
        <f>"20190303170247004"</f>
        <v>20190303170247004</v>
      </c>
      <c r="B1301" t="str">
        <f>"1551603766997009"</f>
        <v>1551603766997009</v>
      </c>
      <c r="C1301" t="s">
        <v>40</v>
      </c>
      <c r="D1301">
        <v>4.5719219999999998</v>
      </c>
      <c r="E1301">
        <v>0.54668989999999995</v>
      </c>
      <c r="F1301" t="s">
        <v>52</v>
      </c>
      <c r="G1301">
        <v>-196.06190000000001</v>
      </c>
      <c r="H1301" s="1">
        <v>-7.9870970000000003E-6</v>
      </c>
      <c r="I1301">
        <v>366.15219999999999</v>
      </c>
      <c r="J1301">
        <v>-238.71019999999999</v>
      </c>
      <c r="K1301">
        <v>1.1215649999999999</v>
      </c>
      <c r="L1301">
        <v>368.06670000000003</v>
      </c>
      <c r="M1301">
        <v>0.9998918</v>
      </c>
      <c r="N1301">
        <v>-1.411926E-2</v>
      </c>
      <c r="O1301">
        <v>4.1680509999999999E-3</v>
      </c>
      <c r="P1301">
        <v>0.98908779999999996</v>
      </c>
      <c r="Q1301">
        <v>0.1357072</v>
      </c>
      <c r="R1301">
        <v>-5.7350829999999998E-2</v>
      </c>
      <c r="S1301">
        <v>3.0361479999999998</v>
      </c>
      <c r="T1301">
        <v>-7.9544779999999995E-2</v>
      </c>
      <c r="U1301">
        <v>-0.13574220000000001</v>
      </c>
      <c r="V1301">
        <v>6.1503530000000001E-2</v>
      </c>
      <c r="W1301">
        <v>0.1496432</v>
      </c>
      <c r="X1301">
        <v>0.98682530000000002</v>
      </c>
      <c r="Y1301">
        <v>4.8801940000000002E-2</v>
      </c>
      <c r="Z1301">
        <v>-1.0339730000000001E-3</v>
      </c>
      <c r="AA1301">
        <v>0.99880800000000003</v>
      </c>
      <c r="AB1301">
        <v>28</v>
      </c>
      <c r="AC1301">
        <v>42.6482999999999</v>
      </c>
      <c r="AD1301">
        <v>-1.1215729870969999</v>
      </c>
      <c r="AE1301">
        <v>-1.9145000000000301</v>
      </c>
      <c r="AF1301">
        <v>2.0908182565899098</v>
      </c>
      <c r="AG1301">
        <v>-1.1215729870969999</v>
      </c>
      <c r="AH1301">
        <v>42.610538984012202</v>
      </c>
      <c r="AI1301">
        <v>91.5059513008067</v>
      </c>
      <c r="AJ1301">
        <v>87.190857927010896</v>
      </c>
      <c r="AK1301">
        <v>42.6765448397068</v>
      </c>
      <c r="AL1301">
        <v>81.393749708556001</v>
      </c>
      <c r="AM1301">
        <v>86.433674117703106</v>
      </c>
      <c r="AN1301">
        <v>0.99999997211439495</v>
      </c>
    </row>
    <row r="1302" spans="1:40" x14ac:dyDescent="0.25">
      <c r="A1302" t="str">
        <f>"20190303170247017"</f>
        <v>20190303170247017</v>
      </c>
      <c r="B1302" t="str">
        <f>"1551603767006770"</f>
        <v>1551603767006770</v>
      </c>
      <c r="C1302" t="s">
        <v>40</v>
      </c>
      <c r="D1302">
        <v>4.5609890000000002</v>
      </c>
      <c r="E1302">
        <v>0.54817850000000001</v>
      </c>
      <c r="F1302" t="s">
        <v>52</v>
      </c>
      <c r="G1302">
        <v>-206.85210000000001</v>
      </c>
      <c r="H1302" s="1">
        <v>-5.32993E-6</v>
      </c>
      <c r="I1302">
        <v>362.58260000000001</v>
      </c>
      <c r="J1302">
        <v>-238.5532</v>
      </c>
      <c r="K1302">
        <v>1.121564</v>
      </c>
      <c r="L1302">
        <v>368.06740000000002</v>
      </c>
      <c r="M1302">
        <v>0.99989189999999994</v>
      </c>
      <c r="N1302">
        <v>-1.411751E-2</v>
      </c>
      <c r="O1302">
        <v>4.1214570000000002E-3</v>
      </c>
      <c r="P1302">
        <v>0.98912250000000002</v>
      </c>
      <c r="Q1302">
        <v>0.1351069</v>
      </c>
      <c r="R1302">
        <v>-5.8165889999999998E-2</v>
      </c>
      <c r="S1302">
        <v>3.0175320000000001</v>
      </c>
      <c r="T1302">
        <v>-0.10623290000000001</v>
      </c>
      <c r="U1302">
        <v>-0.51943969999999995</v>
      </c>
      <c r="V1302">
        <v>6.2272479999999998E-2</v>
      </c>
      <c r="W1302">
        <v>0.14904149999999999</v>
      </c>
      <c r="X1302">
        <v>0.98686810000000003</v>
      </c>
      <c r="Y1302">
        <v>0.17355779999999901</v>
      </c>
      <c r="Z1302">
        <v>-4.3527349999999999E-3</v>
      </c>
      <c r="AA1302">
        <v>0.98481399999999997</v>
      </c>
      <c r="AB1302">
        <v>28</v>
      </c>
      <c r="AC1302">
        <v>31.7011</v>
      </c>
      <c r="AD1302">
        <v>-1.12156932992999</v>
      </c>
      <c r="AE1302">
        <v>-5.4847999999999999</v>
      </c>
      <c r="AF1302">
        <v>5.60860484123166</v>
      </c>
      <c r="AG1302">
        <v>-1.12156932992999</v>
      </c>
      <c r="AH1302">
        <v>31.6397703435624</v>
      </c>
      <c r="AI1302">
        <v>91.999036975262698</v>
      </c>
      <c r="AJ1302">
        <v>79.947917868153496</v>
      </c>
      <c r="AK1302">
        <v>32.152596060354099</v>
      </c>
      <c r="AL1302">
        <v>81.428615293203293</v>
      </c>
      <c r="AM1302">
        <v>86.389359427073401</v>
      </c>
      <c r="AN1302">
        <v>0.99999993864260295</v>
      </c>
    </row>
    <row r="1303" spans="1:40" x14ac:dyDescent="0.25">
      <c r="A1303" t="str">
        <f>"20190303170247031"</f>
        <v>20190303170247031</v>
      </c>
      <c r="B1303" t="str">
        <f>"1551603767016529"</f>
        <v>1551603767016529</v>
      </c>
      <c r="C1303" t="s">
        <v>40</v>
      </c>
      <c r="D1303">
        <v>4.5870569999999997</v>
      </c>
      <c r="E1303">
        <v>0.54891749999999995</v>
      </c>
      <c r="F1303" t="s">
        <v>52</v>
      </c>
      <c r="G1303">
        <v>-206.32079999999999</v>
      </c>
      <c r="H1303" s="1">
        <v>-5.1792429999999996E-6</v>
      </c>
      <c r="I1303">
        <v>362.35930000000002</v>
      </c>
      <c r="J1303">
        <v>-238.3776</v>
      </c>
      <c r="K1303">
        <v>1.1215599999999999</v>
      </c>
      <c r="L1303">
        <v>368.06799999999998</v>
      </c>
      <c r="M1303">
        <v>0.99989209999999995</v>
      </c>
      <c r="N1303">
        <v>-1.411566E-2</v>
      </c>
      <c r="O1303">
        <v>4.0690259999999999E-3</v>
      </c>
      <c r="P1303">
        <v>0.98912250000000002</v>
      </c>
      <c r="Q1303">
        <v>0.13492479999999901</v>
      </c>
      <c r="R1303">
        <v>-5.8583959999999997E-2</v>
      </c>
      <c r="S1303">
        <v>3.01593</v>
      </c>
      <c r="T1303">
        <v>-0.1049433</v>
      </c>
      <c r="U1303">
        <v>-0.53408809999999995</v>
      </c>
      <c r="V1303">
        <v>6.2638330000000006E-2</v>
      </c>
      <c r="W1303">
        <v>0.14885760000000001</v>
      </c>
      <c r="X1303">
        <v>0.98687270000000005</v>
      </c>
      <c r="Y1303">
        <v>0.17823249999999999</v>
      </c>
      <c r="Z1303">
        <v>-4.4277860000000004E-3</v>
      </c>
      <c r="AA1303">
        <v>0.98397849999999998</v>
      </c>
      <c r="AB1303">
        <v>28</v>
      </c>
      <c r="AC1303">
        <v>32.056800000000003</v>
      </c>
      <c r="AD1303">
        <v>-1.1215651792429999</v>
      </c>
      <c r="AE1303">
        <v>-5.7087000000000199</v>
      </c>
      <c r="AF1303">
        <v>5.83218607505784</v>
      </c>
      <c r="AG1303">
        <v>-1.1215651792429999</v>
      </c>
      <c r="AH1303">
        <v>31.995342487338402</v>
      </c>
      <c r="AI1303">
        <v>91.975106273858003</v>
      </c>
      <c r="AJ1303">
        <v>79.669412041319006</v>
      </c>
      <c r="AK1303">
        <v>32.541884452924201</v>
      </c>
      <c r="AL1303">
        <v>81.439270827581794</v>
      </c>
      <c r="AM1303">
        <v>86.368220453227096</v>
      </c>
      <c r="AN1303">
        <v>0.99999993573411705</v>
      </c>
    </row>
    <row r="1304" spans="1:40" x14ac:dyDescent="0.25">
      <c r="A1304" t="str">
        <f>"20190303170247044"</f>
        <v>20190303170247044</v>
      </c>
      <c r="B1304" t="str">
        <f>"1551603767036719"</f>
        <v>1551603767036719</v>
      </c>
      <c r="C1304" t="s">
        <v>40</v>
      </c>
      <c r="D1304">
        <v>4.6181650000000003</v>
      </c>
      <c r="E1304">
        <v>0.54992959999999902</v>
      </c>
      <c r="F1304" t="s">
        <v>52</v>
      </c>
      <c r="G1304">
        <v>-205.51740000000001</v>
      </c>
      <c r="H1304" s="1">
        <v>-4.847034E-6</v>
      </c>
      <c r="I1304">
        <v>362.16989999999998</v>
      </c>
      <c r="J1304">
        <v>-238.2072</v>
      </c>
      <c r="K1304">
        <v>1.121561</v>
      </c>
      <c r="L1304">
        <v>368.0686</v>
      </c>
      <c r="M1304">
        <v>0.99989240000000001</v>
      </c>
      <c r="N1304">
        <v>-1.411389E-2</v>
      </c>
      <c r="O1304">
        <v>4.0182009999999999E-3</v>
      </c>
      <c r="P1304">
        <v>0.98905829999999995</v>
      </c>
      <c r="Q1304">
        <v>0.13520969999999999</v>
      </c>
      <c r="R1304">
        <v>-5.9011719999999997E-2</v>
      </c>
      <c r="S1304">
        <v>3.014999</v>
      </c>
      <c r="T1304">
        <v>-0.10290630000000001</v>
      </c>
      <c r="U1304">
        <v>-0.54116819999999999</v>
      </c>
      <c r="V1304">
        <v>6.3015559999999998E-2</v>
      </c>
      <c r="W1304">
        <v>0.14913959999999901</v>
      </c>
      <c r="X1304">
        <v>0.98680619999999997</v>
      </c>
      <c r="Y1304">
        <v>0.18047669999999999</v>
      </c>
      <c r="Z1304">
        <v>-4.4187540000000004E-3</v>
      </c>
      <c r="AA1304">
        <v>0.98356929999999998</v>
      </c>
      <c r="AB1304">
        <v>28</v>
      </c>
      <c r="AC1304">
        <v>32.689799999999899</v>
      </c>
      <c r="AD1304">
        <v>-1.121565847034</v>
      </c>
      <c r="AE1304">
        <v>-5.8987000000000096</v>
      </c>
      <c r="AF1304">
        <v>6.0231531619692404</v>
      </c>
      <c r="AG1304">
        <v>-1.121565847034</v>
      </c>
      <c r="AH1304">
        <v>32.6286344701738</v>
      </c>
      <c r="AI1304">
        <v>91.936007025361505</v>
      </c>
      <c r="AJ1304">
        <v>79.541100850672905</v>
      </c>
      <c r="AK1304">
        <v>33.198856476541302</v>
      </c>
      <c r="AL1304">
        <v>81.422931825632702</v>
      </c>
      <c r="AM1304">
        <v>86.346162123477896</v>
      </c>
      <c r="AN1304">
        <v>1.00000002872435</v>
      </c>
    </row>
    <row r="1305" spans="1:40" x14ac:dyDescent="0.25">
      <c r="A1305" t="str">
        <f>"20190303170247056"</f>
        <v>20190303170247056</v>
      </c>
      <c r="B1305" t="str">
        <f>"1551603767046480"</f>
        <v>1551603767046480</v>
      </c>
      <c r="C1305" t="s">
        <v>40</v>
      </c>
      <c r="D1305">
        <v>4.6167389999999999</v>
      </c>
      <c r="E1305">
        <v>0.55022879999999996</v>
      </c>
      <c r="F1305" t="s">
        <v>52</v>
      </c>
      <c r="G1305">
        <v>-203.76320000000001</v>
      </c>
      <c r="H1305" s="1">
        <v>-4.0712920000000001E-6</v>
      </c>
      <c r="I1305">
        <v>361.77449999999999</v>
      </c>
      <c r="J1305">
        <v>-238.05549999999999</v>
      </c>
      <c r="K1305">
        <v>1.121564</v>
      </c>
      <c r="L1305">
        <v>368.06920000000002</v>
      </c>
      <c r="M1305">
        <v>0.99989249999999996</v>
      </c>
      <c r="N1305">
        <v>-1.4112319999999999E-2</v>
      </c>
      <c r="O1305">
        <v>3.9731549999999999E-3</v>
      </c>
      <c r="P1305">
        <v>0.98902679999999998</v>
      </c>
      <c r="Q1305">
        <v>0.1354167</v>
      </c>
      <c r="R1305">
        <v>-5.9060319999999999E-2</v>
      </c>
      <c r="S1305">
        <v>3.013763</v>
      </c>
      <c r="T1305">
        <v>-9.8134159999999998E-2</v>
      </c>
      <c r="U1305">
        <v>-0.55072019999999899</v>
      </c>
      <c r="V1305">
        <v>6.301959E-2</v>
      </c>
      <c r="W1305">
        <v>0.1493447</v>
      </c>
      <c r="X1305">
        <v>0.98677490000000001</v>
      </c>
      <c r="Y1305">
        <v>0.1835291</v>
      </c>
      <c r="Z1305">
        <v>-4.3416139999999997E-3</v>
      </c>
      <c r="AA1305">
        <v>0.98300469999999895</v>
      </c>
      <c r="AB1305">
        <v>28</v>
      </c>
      <c r="AC1305">
        <v>34.292299999999898</v>
      </c>
      <c r="AD1305">
        <v>-1.121568071292</v>
      </c>
      <c r="AE1305">
        <v>-6.2947000000000299</v>
      </c>
      <c r="AF1305">
        <v>6.4242645275117596</v>
      </c>
      <c r="AG1305">
        <v>-1.121568071292</v>
      </c>
      <c r="AH1305">
        <v>34.231593339467999</v>
      </c>
      <c r="AI1305">
        <v>91.844398348293197</v>
      </c>
      <c r="AJ1305">
        <v>79.370900924271496</v>
      </c>
      <c r="AK1305">
        <v>34.847253438638504</v>
      </c>
      <c r="AL1305">
        <v>81.411047164461493</v>
      </c>
      <c r="AM1305">
        <v>86.3458134934029</v>
      </c>
      <c r="AN1305">
        <v>1.00000000570593</v>
      </c>
    </row>
    <row r="1306" spans="1:40" x14ac:dyDescent="0.25">
      <c r="A1306" t="str">
        <f>"20190303170247068"</f>
        <v>20190303170247068</v>
      </c>
      <c r="B1306" t="str">
        <f>"1551603767057215"</f>
        <v>1551603767057215</v>
      </c>
      <c r="C1306" t="s">
        <v>40</v>
      </c>
      <c r="D1306">
        <v>4.5662949999999896</v>
      </c>
      <c r="E1306">
        <v>0.55038299999999996</v>
      </c>
      <c r="F1306" t="s">
        <v>52</v>
      </c>
      <c r="G1306">
        <v>-203.20400000000001</v>
      </c>
      <c r="H1306" s="1">
        <v>-3.8127969999999999E-6</v>
      </c>
      <c r="I1306">
        <v>361.67110000000002</v>
      </c>
      <c r="J1306">
        <v>-237.90010000000001</v>
      </c>
      <c r="K1306">
        <v>1.1215679999999999</v>
      </c>
      <c r="L1306">
        <v>368.06979999999999</v>
      </c>
      <c r="M1306">
        <v>0.99989269999999997</v>
      </c>
      <c r="N1306">
        <v>-1.411069E-2</v>
      </c>
      <c r="O1306">
        <v>3.9270340000000003E-3</v>
      </c>
      <c r="P1306">
        <v>0.98900279999999996</v>
      </c>
      <c r="Q1306">
        <v>0.1355915</v>
      </c>
      <c r="R1306">
        <v>-5.9064609999999997E-2</v>
      </c>
      <c r="S1306">
        <v>3.0134889999999999</v>
      </c>
      <c r="T1306">
        <v>-9.697807E-2</v>
      </c>
      <c r="U1306">
        <v>-0.55322269999999996</v>
      </c>
      <c r="V1306">
        <v>6.297838E-2</v>
      </c>
      <c r="W1306">
        <v>0.14951779999999901</v>
      </c>
      <c r="X1306">
        <v>0.9867513</v>
      </c>
      <c r="Y1306">
        <v>0.1842915</v>
      </c>
      <c r="Z1306">
        <v>-4.3219770000000003E-3</v>
      </c>
      <c r="AA1306">
        <v>0.98286209999999996</v>
      </c>
      <c r="AB1306">
        <v>28</v>
      </c>
      <c r="AC1306">
        <v>34.696100000000001</v>
      </c>
      <c r="AD1306">
        <v>-1.121571812797</v>
      </c>
      <c r="AE1306">
        <v>-6.3986999999999599</v>
      </c>
      <c r="AF1306">
        <v>6.5283196436180297</v>
      </c>
      <c r="AG1306">
        <v>-1.121571812797</v>
      </c>
      <c r="AH1306">
        <v>34.6357000998294</v>
      </c>
      <c r="AI1306">
        <v>91.822630234443906</v>
      </c>
      <c r="AJ1306">
        <v>79.325819316761496</v>
      </c>
      <c r="AK1306">
        <v>35.263417334481801</v>
      </c>
      <c r="AL1306">
        <v>81.401016494129493</v>
      </c>
      <c r="AM1306">
        <v>86.348109480795799</v>
      </c>
      <c r="AN1306">
        <v>0.999999988457977</v>
      </c>
    </row>
    <row r="1307" spans="1:40" x14ac:dyDescent="0.25">
      <c r="A1307" t="str">
        <f>"20190303170247080"</f>
        <v>20190303170247080</v>
      </c>
      <c r="B1307" t="str">
        <f>"1551603767066974"</f>
        <v>1551603767066974</v>
      </c>
      <c r="C1307" t="s">
        <v>40</v>
      </c>
      <c r="D1307">
        <v>4.6057389999999998</v>
      </c>
      <c r="E1307">
        <v>0.55058619999999903</v>
      </c>
      <c r="F1307" t="s">
        <v>52</v>
      </c>
      <c r="G1307">
        <v>-203.01920000000001</v>
      </c>
      <c r="H1307" s="1">
        <v>-3.7245539999999999E-6</v>
      </c>
      <c r="I1307">
        <v>361.6497</v>
      </c>
      <c r="J1307">
        <v>-237.75229999999999</v>
      </c>
      <c r="K1307">
        <v>1.12157</v>
      </c>
      <c r="L1307">
        <v>368.07029999999997</v>
      </c>
      <c r="M1307">
        <v>0.99989289999999997</v>
      </c>
      <c r="N1307">
        <v>-1.4109139999999999E-2</v>
      </c>
      <c r="O1307">
        <v>3.883119E-3</v>
      </c>
      <c r="P1307">
        <v>0.98895710000000003</v>
      </c>
      <c r="Q1307">
        <v>0.1359542</v>
      </c>
      <c r="R1307">
        <v>-5.8994049999999999E-2</v>
      </c>
      <c r="S1307">
        <v>3.0135190000000001</v>
      </c>
      <c r="T1307">
        <v>-9.68976E-2</v>
      </c>
      <c r="U1307">
        <v>-0.55465699999999996</v>
      </c>
      <c r="V1307">
        <v>6.2864199999999995E-2</v>
      </c>
      <c r="W1307">
        <v>0.14987839999999999</v>
      </c>
      <c r="X1307">
        <v>0.98670389999999997</v>
      </c>
      <c r="Y1307">
        <v>0.184699</v>
      </c>
      <c r="Z1307">
        <v>-4.3277999999999997E-3</v>
      </c>
      <c r="AA1307">
        <v>0.98278560000000004</v>
      </c>
      <c r="AB1307">
        <v>28</v>
      </c>
      <c r="AC1307">
        <v>34.733099999999901</v>
      </c>
      <c r="AD1307">
        <v>-1.1215737245540001</v>
      </c>
      <c r="AE1307">
        <v>-6.4205999999999701</v>
      </c>
      <c r="AF1307">
        <v>6.5488347924340102</v>
      </c>
      <c r="AG1307">
        <v>-1.1215737245540001</v>
      </c>
      <c r="AH1307">
        <v>34.672944026544997</v>
      </c>
      <c r="AI1307">
        <v>91.8205478594559</v>
      </c>
      <c r="AJ1307">
        <v>79.304285565456993</v>
      </c>
      <c r="AK1307">
        <v>35.3037988356228</v>
      </c>
      <c r="AL1307">
        <v>81.380120395631806</v>
      </c>
      <c r="AM1307">
        <v>86.354537858621597</v>
      </c>
      <c r="AN1307">
        <v>1.0000000143517001</v>
      </c>
    </row>
    <row r="1308" spans="1:40" x14ac:dyDescent="0.25">
      <c r="A1308" t="str">
        <f>"20190303170247091"</f>
        <v>20190303170247091</v>
      </c>
      <c r="B1308" t="str">
        <f>"1551603767086494"</f>
        <v>1551603767086494</v>
      </c>
      <c r="C1308" t="s">
        <v>40</v>
      </c>
      <c r="D1308">
        <v>4.5852459999999997</v>
      </c>
      <c r="E1308">
        <v>0.55098689999999995</v>
      </c>
      <c r="F1308" t="s">
        <v>52</v>
      </c>
      <c r="G1308">
        <v>-202.30619999999999</v>
      </c>
      <c r="H1308" s="1">
        <v>-3.3920650000000002E-6</v>
      </c>
      <c r="I1308">
        <v>361.53100000000001</v>
      </c>
      <c r="J1308">
        <v>-237.6062</v>
      </c>
      <c r="K1308">
        <v>1.1215710000000001</v>
      </c>
      <c r="L1308">
        <v>368.07080000000002</v>
      </c>
      <c r="M1308">
        <v>0.99989309999999998</v>
      </c>
      <c r="N1308">
        <v>-1.410761E-2</v>
      </c>
      <c r="O1308">
        <v>3.8395629999999998E-3</v>
      </c>
      <c r="P1308">
        <v>0.98894380000000004</v>
      </c>
      <c r="Q1308">
        <v>0.1360537</v>
      </c>
      <c r="R1308">
        <v>-5.8987989999999997E-2</v>
      </c>
      <c r="S1308">
        <v>3.0134430000000001</v>
      </c>
      <c r="T1308">
        <v>-9.5350379999999998E-2</v>
      </c>
      <c r="U1308">
        <v>-0.55593870000000001</v>
      </c>
      <c r="V1308">
        <v>6.2814999999999996E-2</v>
      </c>
      <c r="W1308">
        <v>0.14997650000000001</v>
      </c>
      <c r="X1308">
        <v>0.98669209999999996</v>
      </c>
      <c r="Y1308">
        <v>0.18506819999999999</v>
      </c>
      <c r="Z1308">
        <v>-4.286364E-3</v>
      </c>
      <c r="AA1308">
        <v>0.98271629999999999</v>
      </c>
      <c r="AB1308">
        <v>28</v>
      </c>
      <c r="AC1308">
        <v>35.299999999999997</v>
      </c>
      <c r="AD1308">
        <v>-1.1215743920650001</v>
      </c>
      <c r="AE1308">
        <v>-6.5398000000000103</v>
      </c>
      <c r="AF1308">
        <v>6.6687930932238801</v>
      </c>
      <c r="AG1308">
        <v>-1.1215743920650001</v>
      </c>
      <c r="AH1308">
        <v>35.240232730830897</v>
      </c>
      <c r="AI1308">
        <v>91.791142647113404</v>
      </c>
      <c r="AJ1308">
        <v>79.284173956073005</v>
      </c>
      <c r="AK1308">
        <v>35.883209630136101</v>
      </c>
      <c r="AL1308">
        <v>81.374435189030606</v>
      </c>
      <c r="AM1308">
        <v>86.357339810993395</v>
      </c>
      <c r="AN1308">
        <v>0.99999998748982899</v>
      </c>
    </row>
    <row r="1309" spans="1:40" x14ac:dyDescent="0.25">
      <c r="A1309" t="str">
        <f>"20190303170247106"</f>
        <v>20190303170247106</v>
      </c>
      <c r="B1309" t="str">
        <f>"1551603767097230"</f>
        <v>1551603767097230</v>
      </c>
      <c r="C1309" t="s">
        <v>40</v>
      </c>
      <c r="D1309">
        <v>4.6504009999999996</v>
      </c>
      <c r="E1309">
        <v>0.55114640000000004</v>
      </c>
      <c r="F1309" t="s">
        <v>52</v>
      </c>
      <c r="G1309">
        <v>-202.48519999999999</v>
      </c>
      <c r="H1309" s="1">
        <v>-3.4769530000000001E-6</v>
      </c>
      <c r="I1309">
        <v>361.55439999999999</v>
      </c>
      <c r="J1309">
        <v>-237.4282</v>
      </c>
      <c r="K1309">
        <v>1.121567</v>
      </c>
      <c r="L1309">
        <v>368.07150000000001</v>
      </c>
      <c r="M1309">
        <v>0.99989349999999999</v>
      </c>
      <c r="N1309">
        <v>-1.410579E-2</v>
      </c>
      <c r="O1309">
        <v>3.7864130000000002E-3</v>
      </c>
      <c r="P1309">
        <v>0.98900869999999996</v>
      </c>
      <c r="Q1309">
        <v>0.1358529</v>
      </c>
      <c r="R1309">
        <v>-5.8360860000000001E-2</v>
      </c>
      <c r="S1309">
        <v>3.0134280000000002</v>
      </c>
      <c r="T1309">
        <v>-9.6232529999999997E-2</v>
      </c>
      <c r="U1309">
        <v>-0.55911250000000001</v>
      </c>
      <c r="V1309">
        <v>6.2135490000000002E-2</v>
      </c>
      <c r="W1309">
        <v>0.14977470000000001</v>
      </c>
      <c r="X1309">
        <v>0.98676580000000003</v>
      </c>
      <c r="Y1309">
        <v>0.18601490000000001</v>
      </c>
      <c r="Z1309">
        <v>-4.3347960000000001E-3</v>
      </c>
      <c r="AA1309">
        <v>0.98253740000000001</v>
      </c>
      <c r="AB1309">
        <v>28</v>
      </c>
      <c r="AC1309">
        <v>34.942999999999998</v>
      </c>
      <c r="AD1309">
        <v>-1.1215704769529999</v>
      </c>
      <c r="AE1309">
        <v>-6.5171000000000197</v>
      </c>
      <c r="AF1309">
        <v>6.64276154509382</v>
      </c>
      <c r="AG1309">
        <v>-1.1215704769529999</v>
      </c>
      <c r="AH1309">
        <v>34.883340894361801</v>
      </c>
      <c r="AI1309">
        <v>91.809055229948996</v>
      </c>
      <c r="AJ1309">
        <v>79.218371820068597</v>
      </c>
      <c r="AK1309">
        <v>35.527899927127798</v>
      </c>
      <c r="AL1309">
        <v>81.386129779534798</v>
      </c>
      <c r="AM1309">
        <v>86.396908828058699</v>
      </c>
      <c r="AN1309">
        <v>1.0000000119636301</v>
      </c>
    </row>
    <row r="1310" spans="1:40" x14ac:dyDescent="0.25">
      <c r="A1310" t="str">
        <f>"20190303170247122"</f>
        <v>20190303170247122</v>
      </c>
      <c r="B1310" t="str">
        <f>"1551603767106990"</f>
        <v>1551603767106990</v>
      </c>
      <c r="C1310" t="s">
        <v>40</v>
      </c>
      <c r="D1310">
        <v>4.6311859999999996</v>
      </c>
      <c r="E1310">
        <v>0.55126989999999998</v>
      </c>
      <c r="F1310" t="s">
        <v>52</v>
      </c>
      <c r="G1310">
        <v>-202.77080000000001</v>
      </c>
      <c r="H1310" s="1">
        <v>-3.5991859999999998E-6</v>
      </c>
      <c r="I1310">
        <v>361.65140000000002</v>
      </c>
      <c r="J1310">
        <v>-237.23910000000001</v>
      </c>
      <c r="K1310">
        <v>1.121567</v>
      </c>
      <c r="L1310">
        <v>368.07209999999998</v>
      </c>
      <c r="M1310">
        <v>0.99989360000000005</v>
      </c>
      <c r="N1310">
        <v>-1.4103829999999999E-2</v>
      </c>
      <c r="O1310">
        <v>3.7301040000000001E-3</v>
      </c>
      <c r="P1310">
        <v>0.98904130000000001</v>
      </c>
      <c r="Q1310">
        <v>0.13569719999999999</v>
      </c>
      <c r="R1310">
        <v>-5.8170970000000002E-2</v>
      </c>
      <c r="S1310">
        <v>3.0137939999999999</v>
      </c>
      <c r="T1310">
        <v>-9.7531320000000005E-2</v>
      </c>
      <c r="U1310">
        <v>-0.55828859999999902</v>
      </c>
      <c r="V1310">
        <v>6.1889800000000002E-2</v>
      </c>
      <c r="W1310">
        <v>0.14961769999999999</v>
      </c>
      <c r="X1310">
        <v>0.98680500000000004</v>
      </c>
      <c r="Y1310">
        <v>0.1856756</v>
      </c>
      <c r="Z1310">
        <v>-4.3667599999999999E-3</v>
      </c>
      <c r="AA1310">
        <v>0.98260139999999996</v>
      </c>
      <c r="AB1310">
        <v>28</v>
      </c>
      <c r="AC1310">
        <v>34.468299999999999</v>
      </c>
      <c r="AD1310">
        <v>-1.1215705991860001</v>
      </c>
      <c r="AE1310">
        <v>-6.4206999999999503</v>
      </c>
      <c r="AF1310">
        <v>6.5425435268435397</v>
      </c>
      <c r="AG1310">
        <v>-1.1215705991860001</v>
      </c>
      <c r="AH1310">
        <v>34.408897581240801</v>
      </c>
      <c r="AI1310">
        <v>91.834079019377398</v>
      </c>
      <c r="AJ1310">
        <v>79.234233747837195</v>
      </c>
      <c r="AK1310">
        <v>35.0433307373304</v>
      </c>
      <c r="AL1310">
        <v>81.395227244902799</v>
      </c>
      <c r="AM1310">
        <v>86.411260697321396</v>
      </c>
      <c r="AN1310">
        <v>0.99999995576116396</v>
      </c>
    </row>
    <row r="1311" spans="1:40" x14ac:dyDescent="0.25">
      <c r="A1311" t="str">
        <f>"20190303170247136"</f>
        <v>20190303170247136</v>
      </c>
      <c r="B1311" t="str">
        <f>"1551603767127238"</f>
        <v>1551603767127238</v>
      </c>
      <c r="C1311" t="s">
        <v>40</v>
      </c>
      <c r="D1311">
        <v>4.6712819999999997</v>
      </c>
      <c r="E1311">
        <v>0.55160609999999999</v>
      </c>
      <c r="F1311" t="s">
        <v>52</v>
      </c>
      <c r="G1311">
        <v>-203.11699999999999</v>
      </c>
      <c r="H1311" s="1">
        <v>-3.7517189999999999E-6</v>
      </c>
      <c r="I1311">
        <v>361.7491</v>
      </c>
      <c r="J1311">
        <v>-237.06610000000001</v>
      </c>
      <c r="K1311">
        <v>1.12157</v>
      </c>
      <c r="L1311">
        <v>368.0727</v>
      </c>
      <c r="M1311">
        <v>0.99989380000000005</v>
      </c>
      <c r="N1311">
        <v>-1.410203E-2</v>
      </c>
      <c r="O1311">
        <v>3.6782630000000002E-3</v>
      </c>
      <c r="P1311">
        <v>0.98907330000000004</v>
      </c>
      <c r="Q1311">
        <v>0.13554059999999901</v>
      </c>
      <c r="R1311">
        <v>-5.7992920000000003E-2</v>
      </c>
      <c r="S1311">
        <v>3.0139619999999998</v>
      </c>
      <c r="T1311">
        <v>-9.9067089999999997E-2</v>
      </c>
      <c r="U1311">
        <v>-0.55850219999999995</v>
      </c>
      <c r="V1311">
        <v>6.1660670000000001E-2</v>
      </c>
      <c r="W1311">
        <v>0.1494597</v>
      </c>
      <c r="X1311">
        <v>0.98684329999999998</v>
      </c>
      <c r="Y1311">
        <v>0.1856785</v>
      </c>
      <c r="Z1311">
        <v>-4.4142859999999999E-3</v>
      </c>
      <c r="AA1311">
        <v>0.98260060000000005</v>
      </c>
      <c r="AB1311">
        <v>28</v>
      </c>
      <c r="AC1311">
        <v>33.949099999999902</v>
      </c>
      <c r="AD1311">
        <v>-1.1215737517190001</v>
      </c>
      <c r="AE1311">
        <v>-6.3235999999999901</v>
      </c>
      <c r="AF1311">
        <v>6.4416484410060599</v>
      </c>
      <c r="AG1311">
        <v>-1.1215737517190001</v>
      </c>
      <c r="AH1311">
        <v>33.889859735879</v>
      </c>
      <c r="AI1311">
        <v>91.862176546334993</v>
      </c>
      <c r="AJ1311">
        <v>79.237831088667605</v>
      </c>
      <c r="AK1311">
        <v>34.514857021804602</v>
      </c>
      <c r="AL1311">
        <v>81.404383044695805</v>
      </c>
      <c r="AM1311">
        <v>86.424650896112894</v>
      </c>
      <c r="AN1311">
        <v>0.99999996945191305</v>
      </c>
    </row>
    <row r="1312" spans="1:40" x14ac:dyDescent="0.25">
      <c r="A1312" t="str">
        <f>"20190303170247151"</f>
        <v>20190303170247151</v>
      </c>
      <c r="B1312" t="str">
        <f>"1551603767136999"</f>
        <v>1551603767136999</v>
      </c>
      <c r="C1312" t="s">
        <v>40</v>
      </c>
      <c r="D1312">
        <v>4.6268330000000004</v>
      </c>
      <c r="E1312">
        <v>0.55175620000000003</v>
      </c>
      <c r="F1312" t="s">
        <v>52</v>
      </c>
      <c r="G1312">
        <v>-203.12530000000001</v>
      </c>
      <c r="H1312" s="1">
        <v>-3.7537300000000001E-6</v>
      </c>
      <c r="I1312">
        <v>361.75880000000001</v>
      </c>
      <c r="J1312">
        <v>-236.8605</v>
      </c>
      <c r="K1312">
        <v>1.121569</v>
      </c>
      <c r="L1312">
        <v>368.07339999999999</v>
      </c>
      <c r="M1312">
        <v>0.99989410000000001</v>
      </c>
      <c r="N1312">
        <v>-1.409994E-2</v>
      </c>
      <c r="O1312">
        <v>3.6141350000000001E-3</v>
      </c>
      <c r="P1312">
        <v>0.98910699999999996</v>
      </c>
      <c r="Q1312">
        <v>0.1354591</v>
      </c>
      <c r="R1312">
        <v>-5.7607930000000002E-2</v>
      </c>
      <c r="S1312">
        <v>3.013916</v>
      </c>
      <c r="T1312">
        <v>-9.9594829999999995E-2</v>
      </c>
      <c r="U1312">
        <v>-0.56066890000000003</v>
      </c>
      <c r="V1312">
        <v>6.1212629999999997E-2</v>
      </c>
      <c r="W1312">
        <v>0.14937629999999999</v>
      </c>
      <c r="X1312">
        <v>0.98688390000000004</v>
      </c>
      <c r="Y1312">
        <v>0.1862993</v>
      </c>
      <c r="Z1312">
        <v>-4.444155E-3</v>
      </c>
      <c r="AA1312">
        <v>0.982483</v>
      </c>
      <c r="AB1312">
        <v>28</v>
      </c>
      <c r="AC1312">
        <v>33.735199999999899</v>
      </c>
      <c r="AD1312">
        <v>-1.12157275373</v>
      </c>
      <c r="AE1312">
        <v>-6.31459999999998</v>
      </c>
      <c r="AF1312">
        <v>6.4296282043581003</v>
      </c>
      <c r="AG1312">
        <v>-1.12157275373</v>
      </c>
      <c r="AH1312">
        <v>33.676192581300903</v>
      </c>
      <c r="AI1312">
        <v>91.873689274127003</v>
      </c>
      <c r="AJ1312">
        <v>79.190887727503494</v>
      </c>
      <c r="AK1312">
        <v>34.302827741471297</v>
      </c>
      <c r="AL1312">
        <v>81.409216449266907</v>
      </c>
      <c r="AM1312">
        <v>86.450709160172394</v>
      </c>
      <c r="AN1312">
        <v>1.0000000485762</v>
      </c>
    </row>
    <row r="1313" spans="1:40" x14ac:dyDescent="0.25">
      <c r="A1313" t="str">
        <f>"20190303170247164"</f>
        <v>20190303170247164</v>
      </c>
      <c r="B1313" t="str">
        <f>"1551603767156518"</f>
        <v>1551603767156518</v>
      </c>
      <c r="C1313" t="s">
        <v>40</v>
      </c>
      <c r="D1313">
        <v>4.6651639999999999</v>
      </c>
      <c r="E1313">
        <v>0.55195079999999996</v>
      </c>
      <c r="F1313" t="s">
        <v>52</v>
      </c>
      <c r="G1313">
        <v>-202.88419999999999</v>
      </c>
      <c r="H1313" s="1">
        <v>-3.6330479999999998E-6</v>
      </c>
      <c r="I1313">
        <v>361.7559</v>
      </c>
      <c r="J1313">
        <v>-236.70519999999999</v>
      </c>
      <c r="K1313">
        <v>1.121572</v>
      </c>
      <c r="L1313">
        <v>368.07389999999998</v>
      </c>
      <c r="M1313">
        <v>0.99989430000000001</v>
      </c>
      <c r="N1313">
        <v>-1.4098390000000001E-2</v>
      </c>
      <c r="O1313">
        <v>3.5636349999999999E-3</v>
      </c>
      <c r="P1313">
        <v>0.98906479999999997</v>
      </c>
      <c r="Q1313">
        <v>0.1357158</v>
      </c>
      <c r="R1313">
        <v>-5.7723999999999998E-2</v>
      </c>
      <c r="S1313">
        <v>3.0140229999999999</v>
      </c>
      <c r="T1313">
        <v>-9.9494219999999994E-2</v>
      </c>
      <c r="U1313">
        <v>-0.56042479999999995</v>
      </c>
      <c r="V1313">
        <v>6.1279279999999998E-2</v>
      </c>
      <c r="W1313">
        <v>0.14963089999999901</v>
      </c>
      <c r="X1313">
        <v>0.98684110000000003</v>
      </c>
      <c r="Y1313">
        <v>0.1861669</v>
      </c>
      <c r="Z1313">
        <v>-4.4366600000000003E-3</v>
      </c>
      <c r="AA1313">
        <v>0.9825081</v>
      </c>
      <c r="AB1313">
        <v>28</v>
      </c>
      <c r="AC1313">
        <v>33.820999999999998</v>
      </c>
      <c r="AD1313">
        <v>-1.121575633048</v>
      </c>
      <c r="AE1313">
        <v>-6.3179999999999801</v>
      </c>
      <c r="AF1313">
        <v>6.4316629906007101</v>
      </c>
      <c r="AG1313">
        <v>-1.121575633048</v>
      </c>
      <c r="AH1313">
        <v>33.762390568431698</v>
      </c>
      <c r="AI1313">
        <v>91.869060606699406</v>
      </c>
      <c r="AJ1313">
        <v>79.214504297496106</v>
      </c>
      <c r="AK1313">
        <v>34.387835605350801</v>
      </c>
      <c r="AL1313">
        <v>81.394462336457593</v>
      </c>
      <c r="AM1313">
        <v>86.446700781887301</v>
      </c>
      <c r="AN1313">
        <v>0.99999995652066798</v>
      </c>
    </row>
    <row r="1314" spans="1:40" x14ac:dyDescent="0.25">
      <c r="A1314" t="str">
        <f>"20190303170247177"</f>
        <v>20190303170247177</v>
      </c>
      <c r="B1314" t="str">
        <f>"1551603767167254"</f>
        <v>1551603767167254</v>
      </c>
      <c r="C1314" t="s">
        <v>40</v>
      </c>
      <c r="D1314">
        <v>4.6560489999999897</v>
      </c>
      <c r="E1314">
        <v>0.55201020000000001</v>
      </c>
      <c r="F1314" t="s">
        <v>52</v>
      </c>
      <c r="G1314">
        <v>-202.74979999999999</v>
      </c>
      <c r="H1314" s="1">
        <v>-3.5700280000000001E-6</v>
      </c>
      <c r="I1314">
        <v>361.73509999999999</v>
      </c>
      <c r="J1314">
        <v>-236.55520000000001</v>
      </c>
      <c r="K1314">
        <v>1.121569</v>
      </c>
      <c r="L1314">
        <v>368.07440000000003</v>
      </c>
      <c r="M1314">
        <v>0.99989459999999997</v>
      </c>
      <c r="N1314">
        <v>-1.4096879999999999E-2</v>
      </c>
      <c r="O1314">
        <v>3.5131239999999998E-3</v>
      </c>
      <c r="P1314">
        <v>0.98907540000000005</v>
      </c>
      <c r="Q1314">
        <v>0.13571</v>
      </c>
      <c r="R1314">
        <v>-5.755474E-2</v>
      </c>
      <c r="S1314">
        <v>3.013992</v>
      </c>
      <c r="T1314">
        <v>-9.9554539999999997E-2</v>
      </c>
      <c r="U1314">
        <v>-0.56265259999999995</v>
      </c>
      <c r="V1314">
        <v>6.1060980000000001E-2</v>
      </c>
      <c r="W1314">
        <v>0.14962339999999999</v>
      </c>
      <c r="X1314">
        <v>0.98685579999999995</v>
      </c>
      <c r="Y1314">
        <v>0.18682019999999999</v>
      </c>
      <c r="Z1314">
        <v>-4.4527439999999998E-3</v>
      </c>
      <c r="AA1314">
        <v>0.98238400000000003</v>
      </c>
      <c r="AB1314">
        <v>28</v>
      </c>
      <c r="AC1314">
        <v>33.805399999999999</v>
      </c>
      <c r="AD1314">
        <v>-1.1215725700279999</v>
      </c>
      <c r="AE1314">
        <v>-6.3393000000000299</v>
      </c>
      <c r="AF1314">
        <v>6.4511754133252497</v>
      </c>
      <c r="AG1314">
        <v>-1.1215725700279999</v>
      </c>
      <c r="AH1314">
        <v>33.7470337438589</v>
      </c>
      <c r="AI1314">
        <v>91.869676688241796</v>
      </c>
      <c r="AJ1314">
        <v>79.177747780803799</v>
      </c>
      <c r="AK1314">
        <v>34.3764145272959</v>
      </c>
      <c r="AL1314">
        <v>81.394897216495195</v>
      </c>
      <c r="AM1314">
        <v>86.459379327431293</v>
      </c>
      <c r="AN1314">
        <v>0.99999998754987995</v>
      </c>
    </row>
    <row r="1315" spans="1:40" x14ac:dyDescent="0.25">
      <c r="A1315" t="str">
        <f>"20190303170247187"</f>
        <v>20190303170247187</v>
      </c>
      <c r="B1315" t="str">
        <f>"1551603767177013"</f>
        <v>1551603767177013</v>
      </c>
      <c r="C1315" t="s">
        <v>40</v>
      </c>
      <c r="D1315">
        <v>4.7042089999999996</v>
      </c>
      <c r="E1315">
        <v>0.55212069999999902</v>
      </c>
      <c r="F1315" t="s">
        <v>52</v>
      </c>
      <c r="G1315">
        <v>-202.75569999999999</v>
      </c>
      <c r="H1315" s="1">
        <v>-3.5662280000000002E-6</v>
      </c>
      <c r="I1315">
        <v>361.76560000000001</v>
      </c>
      <c r="J1315">
        <v>-236.40479999999999</v>
      </c>
      <c r="K1315">
        <v>1.1215660000000001</v>
      </c>
      <c r="L1315">
        <v>368.07490000000001</v>
      </c>
      <c r="M1315">
        <v>0.99989479999999997</v>
      </c>
      <c r="N1315">
        <v>-1.4095369999999999E-2</v>
      </c>
      <c r="O1315">
        <v>3.4546999999999998E-3</v>
      </c>
      <c r="P1315">
        <v>0.98908850000000004</v>
      </c>
      <c r="Q1315">
        <v>0.13553680000000001</v>
      </c>
      <c r="R1315">
        <v>-5.7744120000000003E-2</v>
      </c>
      <c r="S1315">
        <v>3.0141300000000002</v>
      </c>
      <c r="T1315">
        <v>-0.100018</v>
      </c>
      <c r="U1315">
        <v>-0.56259159999999997</v>
      </c>
      <c r="V1315">
        <v>6.1194129999999999E-2</v>
      </c>
      <c r="W1315">
        <v>0.14944839999999901</v>
      </c>
      <c r="X1315">
        <v>0.98687409999999998</v>
      </c>
      <c r="Y1315">
        <v>0.1867345</v>
      </c>
      <c r="Z1315">
        <v>-4.4641100000000003E-3</v>
      </c>
      <c r="AA1315">
        <v>0.9824003</v>
      </c>
      <c r="AB1315">
        <v>28</v>
      </c>
      <c r="AC1315">
        <v>33.649099999999997</v>
      </c>
      <c r="AD1315">
        <v>-1.1215695662279901</v>
      </c>
      <c r="AE1315">
        <v>-6.3093000000000004</v>
      </c>
      <c r="AF1315">
        <v>6.4186326539428897</v>
      </c>
      <c r="AG1315">
        <v>-1.1215695662279901</v>
      </c>
      <c r="AH1315">
        <v>33.591048806912298</v>
      </c>
      <c r="AI1315">
        <v>91.878375641376195</v>
      </c>
      <c r="AJ1315">
        <v>79.182230745984597</v>
      </c>
      <c r="AK1315">
        <v>34.217178775967398</v>
      </c>
      <c r="AL1315">
        <v>81.4050382576159</v>
      </c>
      <c r="AM1315">
        <v>86.451743959430999</v>
      </c>
      <c r="AN1315">
        <v>1.00000001752991</v>
      </c>
    </row>
    <row r="1316" spans="1:40" x14ac:dyDescent="0.25">
      <c r="A1316" t="str">
        <f>"20190303170247199"</f>
        <v>20190303170247199</v>
      </c>
      <c r="B1316" t="str">
        <f>"1551603767186774"</f>
        <v>1551603767186774</v>
      </c>
      <c r="C1316" t="s">
        <v>40</v>
      </c>
      <c r="D1316">
        <v>4.7082379999999997</v>
      </c>
      <c r="E1316">
        <v>0.55216160000000003</v>
      </c>
      <c r="F1316" t="s">
        <v>52</v>
      </c>
      <c r="G1316">
        <v>-202.6379</v>
      </c>
      <c r="H1316" s="1">
        <v>-3.5093820000000002E-6</v>
      </c>
      <c r="I1316">
        <v>361.75459999999998</v>
      </c>
      <c r="J1316">
        <v>-236.26900000000001</v>
      </c>
      <c r="K1316">
        <v>1.1215599999999999</v>
      </c>
      <c r="L1316">
        <v>368.07530000000003</v>
      </c>
      <c r="M1316">
        <v>0.99989490000000003</v>
      </c>
      <c r="N1316">
        <v>-1.4094010000000001E-2</v>
      </c>
      <c r="O1316">
        <v>3.3980500000000001E-3</v>
      </c>
      <c r="P1316">
        <v>0.98907520000000004</v>
      </c>
      <c r="Q1316">
        <v>0.13555439999999999</v>
      </c>
      <c r="R1316">
        <v>-5.7926060000000001E-2</v>
      </c>
      <c r="S1316">
        <v>3.0139010000000002</v>
      </c>
      <c r="T1316">
        <v>-0.10010670000000001</v>
      </c>
      <c r="U1316">
        <v>-0.56411739999999999</v>
      </c>
      <c r="V1316">
        <v>6.1322260000000003E-2</v>
      </c>
      <c r="W1316">
        <v>0.14946400000000001</v>
      </c>
      <c r="X1316">
        <v>0.98686379999999996</v>
      </c>
      <c r="Y1316">
        <v>0.18717230000000001</v>
      </c>
      <c r="Z1316">
        <v>-4.4762109999999999E-3</v>
      </c>
      <c r="AA1316">
        <v>0.98231690000000005</v>
      </c>
      <c r="AB1316">
        <v>28</v>
      </c>
      <c r="AC1316">
        <v>33.631100000000004</v>
      </c>
      <c r="AD1316">
        <v>-1.121563509382</v>
      </c>
      <c r="AE1316">
        <v>-6.3207000000000404</v>
      </c>
      <c r="AF1316">
        <v>6.4280499231317103</v>
      </c>
      <c r="AG1316">
        <v>-1.121563509382</v>
      </c>
      <c r="AH1316">
        <v>33.573360696327597</v>
      </c>
      <c r="AI1316">
        <v>91.879222328338201</v>
      </c>
      <c r="AJ1316">
        <v>79.161162136867404</v>
      </c>
      <c r="AK1316">
        <v>34.201582989176998</v>
      </c>
      <c r="AL1316">
        <v>81.4041344270873</v>
      </c>
      <c r="AM1316">
        <v>86.444296545284402</v>
      </c>
      <c r="AN1316">
        <v>1.00000003330897</v>
      </c>
    </row>
    <row r="1317" spans="1:40" x14ac:dyDescent="0.25">
      <c r="A1317" t="str">
        <f>"20190303170247212"</f>
        <v>20190303170247212</v>
      </c>
      <c r="B1317" t="str">
        <f>"1551603767196534"</f>
        <v>1551603767196534</v>
      </c>
      <c r="C1317" t="s">
        <v>40</v>
      </c>
      <c r="D1317">
        <v>4.7176900000000002</v>
      </c>
      <c r="E1317">
        <v>0.55225349999999995</v>
      </c>
      <c r="F1317" t="s">
        <v>52</v>
      </c>
      <c r="G1317">
        <v>-202.52709999999999</v>
      </c>
      <c r="H1317" s="1">
        <v>-3.4556009999999998E-6</v>
      </c>
      <c r="I1317">
        <v>361.74579999999997</v>
      </c>
      <c r="J1317">
        <v>-236.1088</v>
      </c>
      <c r="K1317">
        <v>1.121553</v>
      </c>
      <c r="L1317">
        <v>368.07569999999998</v>
      </c>
      <c r="M1317">
        <v>0.99989519999999998</v>
      </c>
      <c r="N1317">
        <v>-1.409241E-2</v>
      </c>
      <c r="O1317">
        <v>3.3233429999999999E-3</v>
      </c>
      <c r="P1317">
        <v>0.98907469999999997</v>
      </c>
      <c r="Q1317">
        <v>0.13548060000000001</v>
      </c>
      <c r="R1317">
        <v>-5.8109260000000003E-2</v>
      </c>
      <c r="S1317">
        <v>3.013763</v>
      </c>
      <c r="T1317">
        <v>-0.1001761</v>
      </c>
      <c r="U1317">
        <v>-0.56533809999999995</v>
      </c>
      <c r="V1317">
        <v>6.1434610000000001E-2</v>
      </c>
      <c r="W1317">
        <v>0.14938709999999999</v>
      </c>
      <c r="X1317">
        <v>0.98686839999999998</v>
      </c>
      <c r="Y1317">
        <v>0.18749099999999999</v>
      </c>
      <c r="Z1317">
        <v>-4.4844510000000004E-3</v>
      </c>
      <c r="AA1317">
        <v>0.98225609999999997</v>
      </c>
      <c r="AB1317">
        <v>28</v>
      </c>
      <c r="AC1317">
        <v>33.581699999999998</v>
      </c>
      <c r="AD1317">
        <v>-1.121556455601</v>
      </c>
      <c r="AE1317">
        <v>-6.3299000000000003</v>
      </c>
      <c r="AF1317">
        <v>6.4345486789337398</v>
      </c>
      <c r="AG1317">
        <v>-1.121556455601</v>
      </c>
      <c r="AH1317">
        <v>33.524365368956097</v>
      </c>
      <c r="AI1317">
        <v>91.8817902771967</v>
      </c>
      <c r="AJ1317">
        <v>79.134984742085805</v>
      </c>
      <c r="AK1317">
        <v>34.1547123977927</v>
      </c>
      <c r="AL1317">
        <v>81.4085900214791</v>
      </c>
      <c r="AM1317">
        <v>86.4378153751978</v>
      </c>
      <c r="AN1317">
        <v>0.99999997793540996</v>
      </c>
    </row>
    <row r="1318" spans="1:40" x14ac:dyDescent="0.25">
      <c r="A1318" t="str">
        <f>"20190303170247223"</f>
        <v>20190303170247223</v>
      </c>
      <c r="B1318" t="str">
        <f>"1551603767217030"</f>
        <v>1551603767217030</v>
      </c>
      <c r="C1318" t="s">
        <v>40</v>
      </c>
      <c r="D1318">
        <v>4.6926829999999997</v>
      </c>
      <c r="E1318">
        <v>0.55253079999999999</v>
      </c>
      <c r="F1318" t="s">
        <v>52</v>
      </c>
      <c r="G1318">
        <v>-202.50210000000001</v>
      </c>
      <c r="H1318" s="1">
        <v>-3.4409739999999999E-6</v>
      </c>
      <c r="I1318">
        <v>361.75490000000002</v>
      </c>
      <c r="J1318">
        <v>-235.9624</v>
      </c>
      <c r="K1318">
        <v>1.121545</v>
      </c>
      <c r="L1318">
        <v>368.0761</v>
      </c>
      <c r="M1318">
        <v>0.9998956</v>
      </c>
      <c r="N1318">
        <v>-1.409095E-2</v>
      </c>
      <c r="O1318">
        <v>3.2426949999999999E-3</v>
      </c>
      <c r="P1318">
        <v>0.98909150000000001</v>
      </c>
      <c r="Q1318">
        <v>0.135295</v>
      </c>
      <c r="R1318">
        <v>-5.825234E-2</v>
      </c>
      <c r="S1318">
        <v>3.0136259999999999</v>
      </c>
      <c r="T1318">
        <v>-0.1005735</v>
      </c>
      <c r="U1318">
        <v>-0.56680299999999995</v>
      </c>
      <c r="V1318">
        <v>6.1502399999999999E-2</v>
      </c>
      <c r="W1318">
        <v>0.14919849999999901</v>
      </c>
      <c r="X1318">
        <v>0.98689269999999996</v>
      </c>
      <c r="Y1318">
        <v>0.18787980000000001</v>
      </c>
      <c r="Z1318">
        <v>-4.5047159999999998E-3</v>
      </c>
      <c r="AA1318">
        <v>0.98218170000000005</v>
      </c>
      <c r="AB1318">
        <v>28</v>
      </c>
      <c r="AC1318">
        <v>33.460299999999897</v>
      </c>
      <c r="AD1318">
        <v>-1.121548440974</v>
      </c>
      <c r="AE1318">
        <v>-6.32119999999997</v>
      </c>
      <c r="AF1318">
        <v>6.4227117522627202</v>
      </c>
      <c r="AG1318">
        <v>-1.121548440974</v>
      </c>
      <c r="AH1318">
        <v>33.403388527845401</v>
      </c>
      <c r="AI1318">
        <v>91.888467987170898</v>
      </c>
      <c r="AJ1318">
        <v>79.116154857773097</v>
      </c>
      <c r="AK1318">
        <v>34.033740057482603</v>
      </c>
      <c r="AL1318">
        <v>81.419518407384203</v>
      </c>
      <c r="AM1318">
        <v>86.433982402293395</v>
      </c>
      <c r="AN1318">
        <v>0.99999996946064895</v>
      </c>
    </row>
    <row r="1319" spans="1:40" x14ac:dyDescent="0.25">
      <c r="A1319" t="str">
        <f>"20190303170247235"</f>
        <v>20190303170247235</v>
      </c>
      <c r="B1319" t="str">
        <f>"1551603767226441"</f>
        <v>1551603767226441</v>
      </c>
      <c r="C1319" t="s">
        <v>40</v>
      </c>
      <c r="D1319">
        <v>4.6905789999999996</v>
      </c>
      <c r="E1319">
        <v>0.55258019999999997</v>
      </c>
      <c r="F1319" t="s">
        <v>52</v>
      </c>
      <c r="G1319">
        <v>-202.68879999999999</v>
      </c>
      <c r="H1319" s="1">
        <v>-3.5278389999999999E-6</v>
      </c>
      <c r="I1319">
        <v>361.7869</v>
      </c>
      <c r="J1319">
        <v>-235.81989999999999</v>
      </c>
      <c r="K1319">
        <v>1.1215310000000001</v>
      </c>
      <c r="L1319">
        <v>368.07650000000001</v>
      </c>
      <c r="M1319">
        <v>0.99989589999999995</v>
      </c>
      <c r="N1319">
        <v>-1.4089519999999999E-2</v>
      </c>
      <c r="O1319">
        <v>3.1597090000000001E-3</v>
      </c>
      <c r="P1319">
        <v>0.9890234</v>
      </c>
      <c r="Q1319">
        <v>0.1356115</v>
      </c>
      <c r="R1319">
        <v>-5.8672969999999998E-2</v>
      </c>
      <c r="S1319">
        <v>3.0134280000000002</v>
      </c>
      <c r="T1319">
        <v>-0.1015731</v>
      </c>
      <c r="U1319">
        <v>-0.56958009999999903</v>
      </c>
      <c r="V1319">
        <v>6.1844940000000001E-2</v>
      </c>
      <c r="W1319">
        <v>0.1495107</v>
      </c>
      <c r="X1319">
        <v>0.98682409999999998</v>
      </c>
      <c r="Y1319">
        <v>0.18868099999999999</v>
      </c>
      <c r="Z1319">
        <v>-4.554036E-3</v>
      </c>
      <c r="AA1319">
        <v>0.98202789999999995</v>
      </c>
      <c r="AB1319">
        <v>28</v>
      </c>
      <c r="AC1319">
        <v>33.131100000000004</v>
      </c>
      <c r="AD1319">
        <v>-1.1215345278389901</v>
      </c>
      <c r="AE1319">
        <v>-6.2896000000000001</v>
      </c>
      <c r="AF1319">
        <v>6.3871990028628396</v>
      </c>
      <c r="AG1319">
        <v>-1.1215345278389901</v>
      </c>
      <c r="AH1319">
        <v>33.074477054872602</v>
      </c>
      <c r="AI1319">
        <v>91.906913700051803</v>
      </c>
      <c r="AJ1319">
        <v>79.069838244330597</v>
      </c>
      <c r="AK1319">
        <v>33.704230939936899</v>
      </c>
      <c r="AL1319">
        <v>81.401428236902504</v>
      </c>
      <c r="AM1319">
        <v>86.413924385392804</v>
      </c>
      <c r="AN1319">
        <v>1.0000000251794501</v>
      </c>
    </row>
    <row r="1320" spans="1:40" x14ac:dyDescent="0.25">
      <c r="A1320" t="str">
        <f>"20190303170247245"</f>
        <v>20190303170247245</v>
      </c>
      <c r="B1320" t="str">
        <f>"1551603767237158"</f>
        <v>1551603767237158</v>
      </c>
      <c r="C1320" t="s">
        <v>40</v>
      </c>
      <c r="D1320">
        <v>4.6779409999999997</v>
      </c>
      <c r="E1320">
        <v>0.55272889999999997</v>
      </c>
      <c r="F1320" t="s">
        <v>52</v>
      </c>
      <c r="G1320">
        <v>-202.44399999999999</v>
      </c>
      <c r="H1320" s="1">
        <v>-3.4136019999999999E-6</v>
      </c>
      <c r="I1320">
        <v>361.7466</v>
      </c>
      <c r="J1320">
        <v>-235.6841</v>
      </c>
      <c r="K1320">
        <v>1.121516</v>
      </c>
      <c r="L1320">
        <v>368.07679999999999</v>
      </c>
      <c r="M1320">
        <v>0.99989609999999995</v>
      </c>
      <c r="N1320">
        <v>-1.408819E-2</v>
      </c>
      <c r="O1320">
        <v>3.060143E-3</v>
      </c>
      <c r="P1320">
        <v>0.98898010000000003</v>
      </c>
      <c r="Q1320">
        <v>0.13577149999999999</v>
      </c>
      <c r="R1320">
        <v>-5.9029909999999998E-2</v>
      </c>
      <c r="S1320">
        <v>3.0132599999999998</v>
      </c>
      <c r="T1320">
        <v>-0.1012551</v>
      </c>
      <c r="U1320">
        <v>-0.57147219999999999</v>
      </c>
      <c r="V1320">
        <v>6.2109190000000002E-2</v>
      </c>
      <c r="W1320">
        <v>0.14966670000000001</v>
      </c>
      <c r="X1320">
        <v>0.98678379999999999</v>
      </c>
      <c r="Y1320">
        <v>0.18918889999999999</v>
      </c>
      <c r="Z1320">
        <v>-4.5539300000000003E-3</v>
      </c>
      <c r="AA1320">
        <v>0.98193010000000003</v>
      </c>
      <c r="AB1320">
        <v>28</v>
      </c>
      <c r="AC1320">
        <v>33.240099999999899</v>
      </c>
      <c r="AD1320">
        <v>-1.1215194136019999</v>
      </c>
      <c r="AE1320">
        <v>-6.3301999999999898</v>
      </c>
      <c r="AF1320">
        <v>6.4248419377177699</v>
      </c>
      <c r="AG1320">
        <v>-1.1215194136019999</v>
      </c>
      <c r="AH1320">
        <v>33.184116889494497</v>
      </c>
      <c r="AI1320">
        <v>91.900416631608195</v>
      </c>
      <c r="AJ1320">
        <v>79.042426419235099</v>
      </c>
      <c r="AK1320">
        <v>33.818959378658903</v>
      </c>
      <c r="AL1320">
        <v>81.392387905532701</v>
      </c>
      <c r="AM1320">
        <v>86.398495411899503</v>
      </c>
      <c r="AN1320">
        <v>0.99999997025689202</v>
      </c>
    </row>
    <row r="1321" spans="1:40" x14ac:dyDescent="0.25">
      <c r="A1321" t="str">
        <f>"20190303170247257"</f>
        <v>20190303170247257</v>
      </c>
      <c r="B1321" t="str">
        <f>"1551603767246918"</f>
        <v>1551603767246918</v>
      </c>
      <c r="C1321" t="s">
        <v>40</v>
      </c>
      <c r="D1321">
        <v>4.6835839999999997</v>
      </c>
      <c r="E1321">
        <v>0.55286150000000001</v>
      </c>
      <c r="F1321" t="s">
        <v>52</v>
      </c>
      <c r="G1321">
        <v>-202.1722</v>
      </c>
      <c r="H1321" s="1">
        <v>-3.2880079999999999E-6</v>
      </c>
      <c r="I1321">
        <v>361.69630000000001</v>
      </c>
      <c r="J1321">
        <v>-235.54220000000001</v>
      </c>
      <c r="K1321">
        <v>1.1214959999999901</v>
      </c>
      <c r="L1321">
        <v>368.07709999999997</v>
      </c>
      <c r="M1321">
        <v>0.99989649999999997</v>
      </c>
      <c r="N1321">
        <v>-1.408681E-2</v>
      </c>
      <c r="O1321">
        <v>2.9511369999999999E-3</v>
      </c>
      <c r="P1321">
        <v>0.98893229999999999</v>
      </c>
      <c r="Q1321">
        <v>0.13585549999999999</v>
      </c>
      <c r="R1321">
        <v>-5.9634939999999997E-2</v>
      </c>
      <c r="S1321">
        <v>3.0130309999999998</v>
      </c>
      <c r="T1321">
        <v>-0.10083499999999999</v>
      </c>
      <c r="U1321">
        <v>-0.5736694</v>
      </c>
      <c r="V1321">
        <v>6.2612600000000004E-2</v>
      </c>
      <c r="W1321">
        <v>0.1497454</v>
      </c>
      <c r="X1321">
        <v>0.98674010000000001</v>
      </c>
      <c r="Y1321">
        <v>0.18978709999999999</v>
      </c>
      <c r="Z1321">
        <v>-4.5525110000000004E-3</v>
      </c>
      <c r="AA1321">
        <v>0.98181470000000004</v>
      </c>
      <c r="AB1321">
        <v>28</v>
      </c>
      <c r="AC1321">
        <v>33.369999999999997</v>
      </c>
      <c r="AD1321">
        <v>-1.1214992880079999</v>
      </c>
      <c r="AE1321">
        <v>-6.3807999999999598</v>
      </c>
      <c r="AF1321">
        <v>6.4722089237080596</v>
      </c>
      <c r="AG1321">
        <v>-1.1214992880079999</v>
      </c>
      <c r="AH1321">
        <v>33.314720539147601</v>
      </c>
      <c r="AI1321">
        <v>91.892703599155894</v>
      </c>
      <c r="AJ1321">
        <v>79.005828142046894</v>
      </c>
      <c r="AK1321">
        <v>33.9561165860679</v>
      </c>
      <c r="AL1321">
        <v>81.387827796358195</v>
      </c>
      <c r="AM1321">
        <v>86.369221751501101</v>
      </c>
      <c r="AN1321">
        <v>1.0000000237239599</v>
      </c>
    </row>
    <row r="1322" spans="1:40" x14ac:dyDescent="0.25">
      <c r="A1322" t="str">
        <f>"20190303170247268"</f>
        <v>20190303170247268</v>
      </c>
      <c r="B1322" t="str">
        <f>"1551603767256677"</f>
        <v>1551603767256677</v>
      </c>
      <c r="C1322" t="s">
        <v>40</v>
      </c>
      <c r="D1322">
        <v>4.6702059999999896</v>
      </c>
      <c r="E1322">
        <v>0.55297790000000002</v>
      </c>
      <c r="F1322" t="s">
        <v>52</v>
      </c>
      <c r="G1322">
        <v>-202.10079999999999</v>
      </c>
      <c r="H1322" s="1">
        <v>-3.25625E-6</v>
      </c>
      <c r="I1322">
        <v>361.67739999999998</v>
      </c>
      <c r="J1322">
        <v>-235.40119999999999</v>
      </c>
      <c r="K1322">
        <v>1.121478</v>
      </c>
      <c r="L1322">
        <v>368.07749999999999</v>
      </c>
      <c r="M1322">
        <v>0.99989689999999998</v>
      </c>
      <c r="N1322">
        <v>-1.4085449999999999E-2</v>
      </c>
      <c r="O1322">
        <v>2.824872E-3</v>
      </c>
      <c r="P1322">
        <v>0.98893189999999997</v>
      </c>
      <c r="Q1322">
        <v>0.1355963</v>
      </c>
      <c r="R1322">
        <v>-6.0229980000000002E-2</v>
      </c>
      <c r="S1322">
        <v>3.01268</v>
      </c>
      <c r="T1322">
        <v>-0.101034</v>
      </c>
      <c r="U1322">
        <v>-0.57653809999999905</v>
      </c>
      <c r="V1322">
        <v>6.3089549999999994E-2</v>
      </c>
      <c r="W1322">
        <v>0.14948239999999999</v>
      </c>
      <c r="X1322">
        <v>0.9867496</v>
      </c>
      <c r="Y1322">
        <v>0.190585</v>
      </c>
      <c r="Z1322">
        <v>-4.5754899999999998E-3</v>
      </c>
      <c r="AA1322">
        <v>0.98165999999999998</v>
      </c>
      <c r="AB1322">
        <v>28</v>
      </c>
      <c r="AC1322">
        <v>33.300400000000003</v>
      </c>
      <c r="AD1322">
        <v>-1.1214812562500001</v>
      </c>
      <c r="AE1322">
        <v>-6.4001000000000001</v>
      </c>
      <c r="AF1322">
        <v>6.4870576984822499</v>
      </c>
      <c r="AG1322">
        <v>-1.1214812562500001</v>
      </c>
      <c r="AH1322">
        <v>33.245822041114998</v>
      </c>
      <c r="AI1322">
        <v>91.896290795747504</v>
      </c>
      <c r="AJ1322">
        <v>78.958946873789301</v>
      </c>
      <c r="AK1322">
        <v>33.891360565504698</v>
      </c>
      <c r="AL1322">
        <v>81.403068144737006</v>
      </c>
      <c r="AM1322">
        <v>86.341674336053799</v>
      </c>
      <c r="AN1322">
        <v>1.0000000261645601</v>
      </c>
    </row>
    <row r="1323" spans="1:40" x14ac:dyDescent="0.25">
      <c r="A1323" t="str">
        <f>"20190303170247280"</f>
        <v>20190303170247280</v>
      </c>
      <c r="B1323" t="str">
        <f>"1551603767266437"</f>
        <v>1551603767266437</v>
      </c>
      <c r="C1323" t="s">
        <v>40</v>
      </c>
      <c r="D1323">
        <v>4.6604609999999997</v>
      </c>
      <c r="E1323">
        <v>0.55307530000000005</v>
      </c>
      <c r="F1323" t="s">
        <v>52</v>
      </c>
      <c r="G1323">
        <v>-202.22149999999999</v>
      </c>
      <c r="H1323" s="1">
        <v>-3.312765E-6</v>
      </c>
      <c r="I1323">
        <v>361.69639999999998</v>
      </c>
      <c r="J1323">
        <v>-235.2638</v>
      </c>
      <c r="K1323">
        <v>1.121456</v>
      </c>
      <c r="L1323">
        <v>368.07769999999999</v>
      </c>
      <c r="M1323">
        <v>0.99989720000000004</v>
      </c>
      <c r="N1323">
        <v>-1.408414E-2</v>
      </c>
      <c r="O1323">
        <v>2.6908560000000002E-3</v>
      </c>
      <c r="P1323">
        <v>0.98892159999999996</v>
      </c>
      <c r="Q1323">
        <v>0.13544239999999999</v>
      </c>
      <c r="R1323">
        <v>-6.0742999999999998E-2</v>
      </c>
      <c r="S1323">
        <v>3.0122529999999998</v>
      </c>
      <c r="T1323">
        <v>-0.10181469999999999</v>
      </c>
      <c r="U1323">
        <v>-0.57931519999999903</v>
      </c>
      <c r="V1323">
        <v>6.3476920000000006E-2</v>
      </c>
      <c r="W1323">
        <v>0.14932400000000001</v>
      </c>
      <c r="X1323">
        <v>0.98674870000000003</v>
      </c>
      <c r="Y1323">
        <v>0.19134950000000001</v>
      </c>
      <c r="Z1323">
        <v>-4.6164630000000003E-3</v>
      </c>
      <c r="AA1323">
        <v>0.98151109999999997</v>
      </c>
      <c r="AB1323">
        <v>28</v>
      </c>
      <c r="AC1323">
        <v>33.042299999999997</v>
      </c>
      <c r="AD1323">
        <v>-1.1214593127650001</v>
      </c>
      <c r="AE1323">
        <v>-6.3813000000000004</v>
      </c>
      <c r="AF1323">
        <v>6.4630205215176204</v>
      </c>
      <c r="AG1323">
        <v>-1.1214593127650001</v>
      </c>
      <c r="AH1323">
        <v>32.988373505201601</v>
      </c>
      <c r="AI1323">
        <v>91.910756001646504</v>
      </c>
      <c r="AJ1323">
        <v>78.915121682552098</v>
      </c>
      <c r="AK1323">
        <v>33.634225006240797</v>
      </c>
      <c r="AL1323">
        <v>81.412246472185004</v>
      </c>
      <c r="AM1323">
        <v>86.319270419537105</v>
      </c>
      <c r="AN1323">
        <v>0.99999998665018797</v>
      </c>
    </row>
    <row r="1324" spans="1:40" x14ac:dyDescent="0.25">
      <c r="A1324" t="str">
        <f>"20190303170247292"</f>
        <v>20190303170247292</v>
      </c>
      <c r="B1324" t="str">
        <f>"1551603767286934"</f>
        <v>1551603767286934</v>
      </c>
      <c r="C1324" t="s">
        <v>40</v>
      </c>
      <c r="D1324">
        <v>4.6261780000000003</v>
      </c>
      <c r="E1324">
        <v>0.55322109999999902</v>
      </c>
      <c r="F1324" t="s">
        <v>52</v>
      </c>
      <c r="G1324">
        <v>-202.28319999999999</v>
      </c>
      <c r="H1324" s="1">
        <v>-3.3406069999999998E-6</v>
      </c>
      <c r="I1324">
        <v>361.71080000000001</v>
      </c>
      <c r="J1324">
        <v>-235.1</v>
      </c>
      <c r="K1324">
        <v>1.121429</v>
      </c>
      <c r="L1324">
        <v>368.07799999999997</v>
      </c>
      <c r="M1324">
        <v>0.9998977</v>
      </c>
      <c r="N1324">
        <v>-1.4082590000000001E-2</v>
      </c>
      <c r="O1324">
        <v>2.5146809999999999E-3</v>
      </c>
      <c r="P1324">
        <v>0.98892089999999999</v>
      </c>
      <c r="Q1324">
        <v>0.13511879999999901</v>
      </c>
      <c r="R1324">
        <v>-6.1470049999999998E-2</v>
      </c>
      <c r="S1324">
        <v>3.011917</v>
      </c>
      <c r="T1324">
        <v>-0.10241599999999999</v>
      </c>
      <c r="U1324">
        <v>-0.58145139999999995</v>
      </c>
      <c r="V1324">
        <v>6.4038220000000007E-2</v>
      </c>
      <c r="W1324">
        <v>0.14899479999999901</v>
      </c>
      <c r="X1324">
        <v>0.98676220000000003</v>
      </c>
      <c r="Y1324">
        <v>0.19186610000000001</v>
      </c>
      <c r="Z1324">
        <v>-4.6448949999999996E-3</v>
      </c>
      <c r="AA1324">
        <v>0.98141009999999995</v>
      </c>
      <c r="AB1324">
        <v>28</v>
      </c>
      <c r="AC1324">
        <v>32.816800000000001</v>
      </c>
      <c r="AD1324">
        <v>-1.1214323406069999</v>
      </c>
      <c r="AE1324">
        <v>-6.36720000000002</v>
      </c>
      <c r="AF1324">
        <v>6.4424615153700397</v>
      </c>
      <c r="AG1324">
        <v>-1.1214323406069999</v>
      </c>
      <c r="AH1324">
        <v>32.763810924211903</v>
      </c>
      <c r="AI1324">
        <v>91.923536374667293</v>
      </c>
      <c r="AJ1324">
        <v>78.8756567559833</v>
      </c>
      <c r="AK1324">
        <v>33.410031834002901</v>
      </c>
      <c r="AL1324">
        <v>81.431321677436998</v>
      </c>
      <c r="AM1324">
        <v>86.286864575265795</v>
      </c>
      <c r="AN1324">
        <v>0.99999999169832399</v>
      </c>
    </row>
    <row r="1325" spans="1:40" x14ac:dyDescent="0.25">
      <c r="A1325" t="str">
        <f>"20190303170247304"</f>
        <v>20190303170247304</v>
      </c>
      <c r="B1325" t="str">
        <f>"1551603767296694"</f>
        <v>1551603767296694</v>
      </c>
      <c r="C1325" t="s">
        <v>40</v>
      </c>
      <c r="D1325">
        <v>4.6437889999999999</v>
      </c>
      <c r="E1325">
        <v>0.55335219999999996</v>
      </c>
      <c r="F1325" t="s">
        <v>52</v>
      </c>
      <c r="G1325">
        <v>-202.6027</v>
      </c>
      <c r="H1325" s="1">
        <v>-3.4897970000000002E-6</v>
      </c>
      <c r="I1325">
        <v>361.76319999999998</v>
      </c>
      <c r="J1325">
        <v>-234.96260000000001</v>
      </c>
      <c r="K1325">
        <v>1.1214029999999999</v>
      </c>
      <c r="L1325">
        <v>368.07810000000001</v>
      </c>
      <c r="M1325">
        <v>0.99989810000000001</v>
      </c>
      <c r="N1325">
        <v>-1.408128E-2</v>
      </c>
      <c r="O1325">
        <v>2.344994E-3</v>
      </c>
      <c r="P1325">
        <v>0.98892570000000002</v>
      </c>
      <c r="Q1325">
        <v>0.13476250000000001</v>
      </c>
      <c r="R1325">
        <v>-6.2169370000000002E-2</v>
      </c>
      <c r="S1325">
        <v>3.011444</v>
      </c>
      <c r="T1325">
        <v>-0.1039206</v>
      </c>
      <c r="U1325">
        <v>-0.58517459999999999</v>
      </c>
      <c r="V1325">
        <v>6.4576969999999997E-2</v>
      </c>
      <c r="W1325">
        <v>0.1486336</v>
      </c>
      <c r="X1325">
        <v>0.98678149999999998</v>
      </c>
      <c r="Y1325">
        <v>0.19289290000000001</v>
      </c>
      <c r="Z1325">
        <v>-4.7151770000000001E-3</v>
      </c>
      <c r="AA1325">
        <v>0.98120850000000004</v>
      </c>
      <c r="AB1325">
        <v>28</v>
      </c>
      <c r="AC1325">
        <v>32.359900000000003</v>
      </c>
      <c r="AD1325">
        <v>-1.121406489797</v>
      </c>
      <c r="AE1325">
        <v>-6.3149000000000202</v>
      </c>
      <c r="AF1325">
        <v>6.3833892528188096</v>
      </c>
      <c r="AG1325">
        <v>-1.121406489797</v>
      </c>
      <c r="AH1325">
        <v>32.307625792437697</v>
      </c>
      <c r="AI1325">
        <v>91.950280453750096</v>
      </c>
      <c r="AJ1325">
        <v>78.823369368212298</v>
      </c>
      <c r="AK1325">
        <v>32.951295804756199</v>
      </c>
      <c r="AL1325">
        <v>81.452249418218798</v>
      </c>
      <c r="AM1325">
        <v>86.255787690531093</v>
      </c>
      <c r="AN1325">
        <v>0.999999930422793</v>
      </c>
    </row>
    <row r="1326" spans="1:40" x14ac:dyDescent="0.25">
      <c r="A1326" t="str">
        <f>"20190303170247319"</f>
        <v>20190303170247319</v>
      </c>
      <c r="B1326" t="str">
        <f>"1551603767307429"</f>
        <v>1551603767307429</v>
      </c>
      <c r="C1326" t="s">
        <v>40</v>
      </c>
      <c r="D1326">
        <v>4.5998449999999904</v>
      </c>
      <c r="E1326">
        <v>0.55344300000000002</v>
      </c>
      <c r="F1326" t="s">
        <v>52</v>
      </c>
      <c r="G1326">
        <v>-202.91290000000001</v>
      </c>
      <c r="H1326" s="1">
        <v>-3.6332440000000002E-6</v>
      </c>
      <c r="I1326">
        <v>361.8202</v>
      </c>
      <c r="J1326">
        <v>-234.78</v>
      </c>
      <c r="K1326">
        <v>1.121375</v>
      </c>
      <c r="L1326">
        <v>368.07830000000001</v>
      </c>
      <c r="M1326">
        <v>0.99989879999999998</v>
      </c>
      <c r="N1326">
        <v>-1.407954E-2</v>
      </c>
      <c r="O1326">
        <v>2.1040199999999998E-3</v>
      </c>
      <c r="P1326">
        <v>0.98881180000000002</v>
      </c>
      <c r="Q1326">
        <v>0.13476009999999999</v>
      </c>
      <c r="R1326">
        <v>-6.3960980000000001E-2</v>
      </c>
      <c r="S1326">
        <v>3.011002</v>
      </c>
      <c r="T1326">
        <v>-0.10535360000000001</v>
      </c>
      <c r="U1326">
        <v>-0.58792109999999997</v>
      </c>
      <c r="V1326">
        <v>6.614022E-2</v>
      </c>
      <c r="W1326">
        <v>0.14862330000000001</v>
      </c>
      <c r="X1326">
        <v>0.98667959999999999</v>
      </c>
      <c r="Y1326">
        <v>0.19354150000000001</v>
      </c>
      <c r="Z1326">
        <v>-4.772737E-3</v>
      </c>
      <c r="AA1326">
        <v>0.98108050000000002</v>
      </c>
      <c r="AB1326">
        <v>28</v>
      </c>
      <c r="AC1326">
        <v>31.867099999999901</v>
      </c>
      <c r="AD1326">
        <v>-1.1213786332439999</v>
      </c>
      <c r="AE1326">
        <v>-6.2581000000000104</v>
      </c>
      <c r="AF1326">
        <v>6.3176093130624604</v>
      </c>
      <c r="AG1326">
        <v>-1.1213786332439999</v>
      </c>
      <c r="AH1326">
        <v>31.8159268493871</v>
      </c>
      <c r="AI1326">
        <v>91.979976237164095</v>
      </c>
      <c r="AJ1326">
        <v>78.769008202191102</v>
      </c>
      <c r="AK1326">
        <v>32.456476684278897</v>
      </c>
      <c r="AL1326">
        <v>81.452846994863194</v>
      </c>
      <c r="AM1326">
        <v>86.165021888482102</v>
      </c>
      <c r="AN1326">
        <v>1.0000000235303399</v>
      </c>
    </row>
    <row r="1327" spans="1:40" x14ac:dyDescent="0.25">
      <c r="A1327" t="str">
        <f>"20190303170247333"</f>
        <v>20190303170247333</v>
      </c>
      <c r="B1327" t="str">
        <f>"1551603767326950"</f>
        <v>1551603767326950</v>
      </c>
      <c r="C1327" t="s">
        <v>40</v>
      </c>
      <c r="D1327">
        <v>4.622052</v>
      </c>
      <c r="E1327">
        <v>0.55356319999999903</v>
      </c>
      <c r="F1327" t="s">
        <v>52</v>
      </c>
      <c r="G1327">
        <v>-202.8982</v>
      </c>
      <c r="H1327" s="1">
        <v>-3.6333469999999998E-6</v>
      </c>
      <c r="I1327">
        <v>361.78629999999998</v>
      </c>
      <c r="J1327">
        <v>-234.59520000000001</v>
      </c>
      <c r="K1327">
        <v>1.121354</v>
      </c>
      <c r="L1327">
        <v>368.07839999999999</v>
      </c>
      <c r="M1327">
        <v>0.99989919999999999</v>
      </c>
      <c r="N1327">
        <v>-1.407779E-2</v>
      </c>
      <c r="O1327">
        <v>1.834072E-3</v>
      </c>
      <c r="P1327">
        <v>0.98873250000000001</v>
      </c>
      <c r="Q1327">
        <v>0.1347612</v>
      </c>
      <c r="R1327">
        <v>-6.5174179999999998E-2</v>
      </c>
      <c r="S1327">
        <v>3.0099490000000002</v>
      </c>
      <c r="T1327">
        <v>-0.1058687</v>
      </c>
      <c r="U1327">
        <v>-0.59402469999999996</v>
      </c>
      <c r="V1327">
        <v>6.7096370000000002E-2</v>
      </c>
      <c r="W1327">
        <v>0.1486162</v>
      </c>
      <c r="X1327">
        <v>0.9866161</v>
      </c>
      <c r="Y1327">
        <v>0.1952537</v>
      </c>
      <c r="Z1327">
        <v>-4.8264559999999998E-3</v>
      </c>
      <c r="AA1327">
        <v>0.98074090000000003</v>
      </c>
      <c r="AB1327">
        <v>28</v>
      </c>
      <c r="AC1327">
        <v>31.696999999999999</v>
      </c>
      <c r="AD1327">
        <v>-1.1213576333469999</v>
      </c>
      <c r="AE1327">
        <v>-6.2920999999999996</v>
      </c>
      <c r="AF1327">
        <v>6.3425925636985196</v>
      </c>
      <c r="AG1327">
        <v>-1.1213576333469999</v>
      </c>
      <c r="AH1327">
        <v>31.647298464852799</v>
      </c>
      <c r="AI1327">
        <v>91.989775735667294</v>
      </c>
      <c r="AJ1327">
        <v>78.6672074515606</v>
      </c>
      <c r="AK1327">
        <v>32.296089910303799</v>
      </c>
      <c r="AL1327">
        <v>81.453258275063902</v>
      </c>
      <c r="AM1327">
        <v>86.1095012924457</v>
      </c>
      <c r="AN1327">
        <v>1.00000001327441</v>
      </c>
    </row>
    <row r="1328" spans="1:40" x14ac:dyDescent="0.25">
      <c r="A1328" t="str">
        <f>"20190303170247348"</f>
        <v>20190303170247348</v>
      </c>
      <c r="B1328" t="str">
        <f>"1551603767336709"</f>
        <v>1551603767336709</v>
      </c>
      <c r="C1328" t="s">
        <v>40</v>
      </c>
      <c r="D1328">
        <v>4.5903080000000003</v>
      </c>
      <c r="E1328">
        <v>0.55363839999999997</v>
      </c>
      <c r="F1328" t="s">
        <v>52</v>
      </c>
      <c r="G1328">
        <v>-203.01300000000001</v>
      </c>
      <c r="H1328" s="1">
        <v>-3.688801E-6</v>
      </c>
      <c r="I1328">
        <v>361.79680000000002</v>
      </c>
      <c r="J1328">
        <v>-234.4186</v>
      </c>
      <c r="K1328">
        <v>1.1213299999999999</v>
      </c>
      <c r="L1328">
        <v>368.07850000000002</v>
      </c>
      <c r="M1328">
        <v>0.99989989999999995</v>
      </c>
      <c r="N1328">
        <v>-1.4076139999999999E-2</v>
      </c>
      <c r="O1328">
        <v>1.549693E-3</v>
      </c>
      <c r="P1328">
        <v>0.9886199</v>
      </c>
      <c r="Q1328">
        <v>0.1348654</v>
      </c>
      <c r="R1328">
        <v>-6.6650269999999998E-2</v>
      </c>
      <c r="S1328">
        <v>3.009293</v>
      </c>
      <c r="T1328">
        <v>-0.106848</v>
      </c>
      <c r="U1328">
        <v>-0.59854130000000005</v>
      </c>
      <c r="V1328">
        <v>6.8300070000000004E-2</v>
      </c>
      <c r="W1328">
        <v>0.14871239999999999</v>
      </c>
      <c r="X1328">
        <v>0.98651900000000003</v>
      </c>
      <c r="Y1328">
        <v>0.19642809999999999</v>
      </c>
      <c r="Z1328">
        <v>-4.8817309999999899E-3</v>
      </c>
      <c r="AA1328">
        <v>0.98050610000000005</v>
      </c>
      <c r="AB1328">
        <v>28</v>
      </c>
      <c r="AC1328">
        <v>31.4056</v>
      </c>
      <c r="AD1328">
        <v>-1.1213336888009999</v>
      </c>
      <c r="AE1328">
        <v>-6.2816999999999998</v>
      </c>
      <c r="AF1328">
        <v>6.3226160538854002</v>
      </c>
      <c r="AG1328">
        <v>-1.1213336888009999</v>
      </c>
      <c r="AH1328">
        <v>31.357388768423899</v>
      </c>
      <c r="AI1328">
        <v>92.007642745183901</v>
      </c>
      <c r="AJ1328">
        <v>78.600250400153897</v>
      </c>
      <c r="AK1328">
        <v>32.008103558014298</v>
      </c>
      <c r="AL1328">
        <v>81.447684433166998</v>
      </c>
      <c r="AM1328">
        <v>86.039537840682797</v>
      </c>
      <c r="AN1328">
        <v>1.0000000074183799</v>
      </c>
    </row>
    <row r="1329" spans="1:40" x14ac:dyDescent="0.25">
      <c r="A1329" t="str">
        <f>"20190303170247362"</f>
        <v>20190303170247362</v>
      </c>
      <c r="B1329" t="str">
        <f>"1551603767347446"</f>
        <v>1551603767347446</v>
      </c>
      <c r="C1329" t="s">
        <v>40</v>
      </c>
      <c r="D1329">
        <v>4.5935389999999998</v>
      </c>
      <c r="E1329">
        <v>0.55373530000000004</v>
      </c>
      <c r="F1329" t="s">
        <v>52</v>
      </c>
      <c r="G1329">
        <v>-202.96780000000001</v>
      </c>
      <c r="H1329" s="1">
        <v>-3.6714749999999999E-6</v>
      </c>
      <c r="I1329">
        <v>361.77249999999998</v>
      </c>
      <c r="J1329">
        <v>-234.25479999999999</v>
      </c>
      <c r="K1329">
        <v>1.1213109999999999</v>
      </c>
      <c r="L1329">
        <v>368.07850000000002</v>
      </c>
      <c r="M1329">
        <v>0.99990020000000002</v>
      </c>
      <c r="N1329">
        <v>-1.407459E-2</v>
      </c>
      <c r="O1329">
        <v>1.2713239999999999E-3</v>
      </c>
      <c r="P1329">
        <v>0.98854679999999995</v>
      </c>
      <c r="Q1329">
        <v>0.13476869999999999</v>
      </c>
      <c r="R1329">
        <v>-6.7917930000000001E-2</v>
      </c>
      <c r="S1329">
        <v>3.0084689999999998</v>
      </c>
      <c r="T1329">
        <v>-0.10726280000000001</v>
      </c>
      <c r="U1329">
        <v>-0.60321040000000004</v>
      </c>
      <c r="V1329">
        <v>6.9300349999999997E-2</v>
      </c>
      <c r="W1329">
        <v>0.14860909999999999</v>
      </c>
      <c r="X1329">
        <v>0.98646480000000003</v>
      </c>
      <c r="Y1329">
        <v>0.1976676</v>
      </c>
      <c r="Z1329">
        <v>-4.9205619999999999E-3</v>
      </c>
      <c r="AA1329">
        <v>0.98025669999999998</v>
      </c>
      <c r="AB1329">
        <v>28</v>
      </c>
      <c r="AC1329">
        <v>31.2869999999999</v>
      </c>
      <c r="AD1329">
        <v>-1.121314671475</v>
      </c>
      <c r="AE1329">
        <v>-6.30600000000004</v>
      </c>
      <c r="AF1329">
        <v>6.3379515923676797</v>
      </c>
      <c r="AG1329">
        <v>-1.121314671475</v>
      </c>
      <c r="AH1329">
        <v>31.240395800018501</v>
      </c>
      <c r="AI1329">
        <v>92.014633482278498</v>
      </c>
      <c r="AJ1329">
        <v>78.531666512415796</v>
      </c>
      <c r="AK1329">
        <v>31.896540670133401</v>
      </c>
      <c r="AL1329">
        <v>81.453669549297302</v>
      </c>
      <c r="AM1329">
        <v>85.981503979140399</v>
      </c>
      <c r="AN1329">
        <v>1.0000000023759801</v>
      </c>
    </row>
    <row r="1330" spans="1:40" x14ac:dyDescent="0.25">
      <c r="A1330" t="str">
        <f>"20190303170247374"</f>
        <v>20190303170247374</v>
      </c>
      <c r="B1330" t="str">
        <f>"1551603767366968"</f>
        <v>1551603767366968</v>
      </c>
      <c r="C1330" t="s">
        <v>40</v>
      </c>
      <c r="D1330">
        <v>4.5770339999999896</v>
      </c>
      <c r="E1330">
        <v>0.55395530000000004</v>
      </c>
      <c r="F1330" t="s">
        <v>52</v>
      </c>
      <c r="G1330">
        <v>-202.9796</v>
      </c>
      <c r="H1330" s="1">
        <v>-3.680531E-6</v>
      </c>
      <c r="I1330">
        <v>361.75850000000003</v>
      </c>
      <c r="J1330">
        <v>-234.08949999999999</v>
      </c>
      <c r="K1330">
        <v>1.121291</v>
      </c>
      <c r="L1330">
        <v>368.07839999999999</v>
      </c>
      <c r="M1330">
        <v>0.99990060000000003</v>
      </c>
      <c r="N1330">
        <v>-1.407302E-2</v>
      </c>
      <c r="O1330">
        <v>9.7681900000000008E-4</v>
      </c>
      <c r="P1330">
        <v>0.98839399999999999</v>
      </c>
      <c r="Q1330">
        <v>0.1347575</v>
      </c>
      <c r="R1330">
        <v>-7.0129059999999993E-2</v>
      </c>
      <c r="S1330">
        <v>3.0076900000000002</v>
      </c>
      <c r="T1330">
        <v>-0.1078355</v>
      </c>
      <c r="U1330">
        <v>-0.60778809999999905</v>
      </c>
      <c r="V1330">
        <v>7.1227689999999996E-2</v>
      </c>
      <c r="W1330">
        <v>0.1485889</v>
      </c>
      <c r="X1330">
        <v>0.98633059999999995</v>
      </c>
      <c r="Y1330">
        <v>0.1988588</v>
      </c>
      <c r="Z1330">
        <v>-4.9631060000000001E-3</v>
      </c>
      <c r="AA1330">
        <v>0.98001559999999999</v>
      </c>
      <c r="AB1330">
        <v>28</v>
      </c>
      <c r="AC1330">
        <v>31.1098999999999</v>
      </c>
      <c r="AD1330">
        <v>-1.121294680531</v>
      </c>
      <c r="AE1330">
        <v>-6.3198999999999597</v>
      </c>
      <c r="AF1330">
        <v>6.3423759106990101</v>
      </c>
      <c r="AG1330">
        <v>-1.121294680531</v>
      </c>
      <c r="AH1330">
        <v>31.064954150341698</v>
      </c>
      <c r="AI1330">
        <v>92.025456193313801</v>
      </c>
      <c r="AJ1330">
        <v>78.460794614416002</v>
      </c>
      <c r="AK1330">
        <v>31.725611267807501</v>
      </c>
      <c r="AL1330">
        <v>81.454840317350801</v>
      </c>
      <c r="AM1330">
        <v>85.869565493889198</v>
      </c>
      <c r="AN1330">
        <v>1.00000004876115</v>
      </c>
    </row>
    <row r="1331" spans="1:40" x14ac:dyDescent="0.25">
      <c r="A1331" t="str">
        <f>"20190303170247390"</f>
        <v>20190303170247390</v>
      </c>
      <c r="B1331" t="str">
        <f>"1551603767376726"</f>
        <v>1551603767376726</v>
      </c>
      <c r="C1331" t="s">
        <v>40</v>
      </c>
      <c r="D1331">
        <v>4.5835499999999998</v>
      </c>
      <c r="E1331">
        <v>0.55401440000000002</v>
      </c>
      <c r="F1331" t="s">
        <v>52</v>
      </c>
      <c r="G1331">
        <v>-203.14779999999999</v>
      </c>
      <c r="H1331" s="1">
        <v>-3.7683890000000001E-6</v>
      </c>
      <c r="I1331">
        <v>361.74400000000003</v>
      </c>
      <c r="J1331">
        <v>-233.9006</v>
      </c>
      <c r="K1331">
        <v>1.12127</v>
      </c>
      <c r="L1331">
        <v>368.07819999999998</v>
      </c>
      <c r="M1331">
        <v>0.99990080000000003</v>
      </c>
      <c r="N1331">
        <v>-1.4071210000000001E-2</v>
      </c>
      <c r="O1331">
        <v>6.1477679999999999E-4</v>
      </c>
      <c r="P1331">
        <v>0.98831579999999997</v>
      </c>
      <c r="Q1331">
        <v>0.13469020000000001</v>
      </c>
      <c r="R1331">
        <v>-7.1348439999999999E-2</v>
      </c>
      <c r="S1331">
        <v>3.006424</v>
      </c>
      <c r="T1331">
        <v>-0.1089498</v>
      </c>
      <c r="U1331">
        <v>-0.61547850000000004</v>
      </c>
      <c r="V1331">
        <v>7.2096880000000002E-2</v>
      </c>
      <c r="W1331">
        <v>0.1485148</v>
      </c>
      <c r="X1331">
        <v>0.98627849999999995</v>
      </c>
      <c r="Y1331">
        <v>0.200986</v>
      </c>
      <c r="Z1331">
        <v>-5.0459930000000004E-3</v>
      </c>
      <c r="AA1331">
        <v>0.97958109999999998</v>
      </c>
      <c r="AB1331">
        <v>28</v>
      </c>
      <c r="AC1331">
        <v>30.752800000000001</v>
      </c>
      <c r="AD1331">
        <v>-1.1212737683889999</v>
      </c>
      <c r="AE1331">
        <v>-6.3341999999999503</v>
      </c>
      <c r="AF1331">
        <v>6.3450150386345499</v>
      </c>
      <c r="AG1331">
        <v>-1.1212737683889999</v>
      </c>
      <c r="AH1331">
        <v>30.709735815303102</v>
      </c>
      <c r="AI1331">
        <v>92.0478393794384</v>
      </c>
      <c r="AJ1331">
        <v>78.3262390490152</v>
      </c>
      <c r="AK1331">
        <v>31.378405704399398</v>
      </c>
      <c r="AL1331">
        <v>81.459132657417598</v>
      </c>
      <c r="AM1331">
        <v>85.819119469275606</v>
      </c>
      <c r="AN1331">
        <v>0.99999994274351001</v>
      </c>
    </row>
    <row r="1332" spans="1:40" x14ac:dyDescent="0.25">
      <c r="A1332" t="str">
        <f>"20190303170247403"</f>
        <v>20190303170247403</v>
      </c>
      <c r="B1332" t="str">
        <f>"1551603767397222"</f>
        <v>1551603767397222</v>
      </c>
      <c r="C1332" t="s">
        <v>40</v>
      </c>
      <c r="D1332">
        <v>4.5826260000000003</v>
      </c>
      <c r="E1332">
        <v>0.55419419999999897</v>
      </c>
      <c r="F1332" t="s">
        <v>52</v>
      </c>
      <c r="G1332">
        <v>-203.16579999999999</v>
      </c>
      <c r="H1332" s="1">
        <v>-3.7773930000000001E-6</v>
      </c>
      <c r="I1332">
        <v>361.74400000000003</v>
      </c>
      <c r="J1332">
        <v>-233.74780000000001</v>
      </c>
      <c r="K1332">
        <v>1.121254</v>
      </c>
      <c r="L1332">
        <v>368.0779</v>
      </c>
      <c r="M1332">
        <v>0.99990100000000004</v>
      </c>
      <c r="N1332">
        <v>-1.4069760000000001E-2</v>
      </c>
      <c r="O1332">
        <v>3.0998039999999998E-4</v>
      </c>
      <c r="P1332">
        <v>0.98826619999999998</v>
      </c>
      <c r="Q1332">
        <v>0.1346145</v>
      </c>
      <c r="R1332">
        <v>-7.2171639999999995E-2</v>
      </c>
      <c r="S1332">
        <v>3.0056919999999998</v>
      </c>
      <c r="T1332">
        <v>-0.1096543</v>
      </c>
      <c r="U1332">
        <v>-0.61944580000000005</v>
      </c>
      <c r="V1332">
        <v>7.2624910000000001E-2</v>
      </c>
      <c r="W1332">
        <v>0.1484337</v>
      </c>
      <c r="X1332">
        <v>0.98625200000000002</v>
      </c>
      <c r="Y1332">
        <v>0.20197200000000001</v>
      </c>
      <c r="Z1332">
        <v>-5.087912E-3</v>
      </c>
      <c r="AA1332">
        <v>0.97937810000000003</v>
      </c>
      <c r="AB1332">
        <v>28</v>
      </c>
      <c r="AC1332">
        <v>30.582000000000001</v>
      </c>
      <c r="AD1332">
        <v>-1.1212577773929999</v>
      </c>
      <c r="AE1332">
        <v>-6.3338999999999697</v>
      </c>
      <c r="AF1332">
        <v>6.3352146352813596</v>
      </c>
      <c r="AG1332">
        <v>-1.1212577773929999</v>
      </c>
      <c r="AH1332">
        <v>30.540669342537502</v>
      </c>
      <c r="AI1332">
        <v>92.058800650790502</v>
      </c>
      <c r="AJ1332">
        <v>78.281029981945906</v>
      </c>
      <c r="AK1332">
        <v>31.210969984424601</v>
      </c>
      <c r="AL1332">
        <v>81.463831695581504</v>
      </c>
      <c r="AM1332">
        <v>85.788496157359504</v>
      </c>
      <c r="AN1332">
        <v>0.99999997417609798</v>
      </c>
    </row>
    <row r="1333" spans="1:40" x14ac:dyDescent="0.25">
      <c r="A1333" t="str">
        <f>"20190303170247414"</f>
        <v>20190303170247414</v>
      </c>
      <c r="B1333" t="str">
        <f>"1551603767406982"</f>
        <v>1551603767406982</v>
      </c>
      <c r="C1333" t="s">
        <v>40</v>
      </c>
      <c r="D1333">
        <v>4.5731719999999996</v>
      </c>
      <c r="E1333">
        <v>0.5542762</v>
      </c>
      <c r="F1333" t="s">
        <v>52</v>
      </c>
      <c r="G1333">
        <v>-203.18340000000001</v>
      </c>
      <c r="H1333" s="1">
        <v>-3.7881230000000002E-6</v>
      </c>
      <c r="I1333">
        <v>361.73570000000001</v>
      </c>
      <c r="J1333">
        <v>-233.59360000000001</v>
      </c>
      <c r="K1333">
        <v>1.12124</v>
      </c>
      <c r="L1333">
        <v>368.07769999999999</v>
      </c>
      <c r="M1333">
        <v>0.99990109999999999</v>
      </c>
      <c r="N1333">
        <v>-1.4068300000000001E-2</v>
      </c>
      <c r="O1333" s="1">
        <v>-5.5372549999999997E-6</v>
      </c>
      <c r="P1333">
        <v>0.9882666</v>
      </c>
      <c r="Q1333">
        <v>0.13423560000000001</v>
      </c>
      <c r="R1333">
        <v>-7.2871450000000004E-2</v>
      </c>
      <c r="S1333">
        <v>3.0050659999999998</v>
      </c>
      <c r="T1333">
        <v>-0.1102413</v>
      </c>
      <c r="U1333">
        <v>-0.623565699999999</v>
      </c>
      <c r="V1333">
        <v>7.3018120000000006E-2</v>
      </c>
      <c r="W1333">
        <v>0.14805079999999901</v>
      </c>
      <c r="X1333">
        <v>0.98628059999999995</v>
      </c>
      <c r="Y1333">
        <v>0.20298830000000001</v>
      </c>
      <c r="Z1333">
        <v>-5.126378E-3</v>
      </c>
      <c r="AA1333">
        <v>0.97916780000000003</v>
      </c>
      <c r="AB1333">
        <v>28</v>
      </c>
      <c r="AC1333">
        <v>30.4102</v>
      </c>
      <c r="AD1333">
        <v>-1.121243788123</v>
      </c>
      <c r="AE1333">
        <v>-6.3419999999999801</v>
      </c>
      <c r="AF1333">
        <v>6.3335803105859796</v>
      </c>
      <c r="AG1333">
        <v>-1.121243788123</v>
      </c>
      <c r="AH1333">
        <v>30.370668715606801</v>
      </c>
      <c r="AI1333">
        <v>92.069832447459106</v>
      </c>
      <c r="AJ1333">
        <v>78.220216423784606</v>
      </c>
      <c r="AK1333">
        <v>31.044306167414799</v>
      </c>
      <c r="AL1333">
        <v>81.486016036893602</v>
      </c>
      <c r="AM1333">
        <v>85.765899033954696</v>
      </c>
      <c r="AN1333">
        <v>1.0000000535826601</v>
      </c>
    </row>
    <row r="1334" spans="1:40" x14ac:dyDescent="0.25">
      <c r="A1334" t="str">
        <f>"20190303170247426"</f>
        <v>20190303170247426</v>
      </c>
      <c r="B1334" t="str">
        <f>"1551603767416742"</f>
        <v>1551603767416742</v>
      </c>
      <c r="C1334" t="s">
        <v>40</v>
      </c>
      <c r="D1334">
        <v>4.5555870000000001</v>
      </c>
      <c r="E1334">
        <v>0.55434240000000001</v>
      </c>
      <c r="F1334" t="s">
        <v>52</v>
      </c>
      <c r="G1334">
        <v>-203.34649999999999</v>
      </c>
      <c r="H1334" s="1">
        <v>-3.8619250000000003E-6</v>
      </c>
      <c r="I1334">
        <v>361.77280000000002</v>
      </c>
      <c r="J1334">
        <v>-233.45099999999999</v>
      </c>
      <c r="K1334">
        <v>1.121227</v>
      </c>
      <c r="L1334">
        <v>368.07740000000001</v>
      </c>
      <c r="M1334">
        <v>0.99990109999999999</v>
      </c>
      <c r="N1334">
        <v>-1.406693E-2</v>
      </c>
      <c r="O1334">
        <v>-3.1314500000000002E-4</v>
      </c>
      <c r="P1334">
        <v>0.98820719999999995</v>
      </c>
      <c r="Q1334">
        <v>0.13437260000000001</v>
      </c>
      <c r="R1334">
        <v>-7.3421780000000006E-2</v>
      </c>
      <c r="S1334">
        <v>3.004562</v>
      </c>
      <c r="T1334">
        <v>-0.11137710000000001</v>
      </c>
      <c r="U1334">
        <v>-0.62628169999999905</v>
      </c>
      <c r="V1334">
        <v>7.3269550000000003E-2</v>
      </c>
      <c r="W1334">
        <v>0.14818290000000001</v>
      </c>
      <c r="X1334">
        <v>0.98624210000000001</v>
      </c>
      <c r="Y1334">
        <v>0.20356450000000001</v>
      </c>
      <c r="Z1334">
        <v>-5.1722369999999997E-3</v>
      </c>
      <c r="AA1334">
        <v>0.97904789999999997</v>
      </c>
      <c r="AB1334">
        <v>28</v>
      </c>
      <c r="AC1334">
        <v>30.104500000000002</v>
      </c>
      <c r="AD1334">
        <v>-1.121230861925</v>
      </c>
      <c r="AE1334">
        <v>-6.30459999999999</v>
      </c>
      <c r="AF1334">
        <v>6.2868172610831596</v>
      </c>
      <c r="AG1334">
        <v>-1.121230861925</v>
      </c>
      <c r="AH1334">
        <v>30.066518185796198</v>
      </c>
      <c r="AI1334">
        <v>92.090496477279999</v>
      </c>
      <c r="AJ1334">
        <v>78.189785402239593</v>
      </c>
      <c r="AK1334">
        <v>30.7372208525234</v>
      </c>
      <c r="AL1334">
        <v>81.478362726630806</v>
      </c>
      <c r="AM1334">
        <v>85.751207413899394</v>
      </c>
      <c r="AN1334">
        <v>1.00000003931101</v>
      </c>
    </row>
    <row r="1335" spans="1:40" x14ac:dyDescent="0.25">
      <c r="A1335" t="str">
        <f>"20190303170247438"</f>
        <v>20190303170247438</v>
      </c>
      <c r="B1335" t="str">
        <f>"1551603767427478"</f>
        <v>1551603767427478</v>
      </c>
      <c r="C1335" t="s">
        <v>40</v>
      </c>
      <c r="D1335">
        <v>4.5442080000000002</v>
      </c>
      <c r="E1335">
        <v>0.55440239999999996</v>
      </c>
      <c r="F1335" t="s">
        <v>52</v>
      </c>
      <c r="G1335">
        <v>-203.14099999999999</v>
      </c>
      <c r="H1335" s="1">
        <v>-3.76632E-6</v>
      </c>
      <c r="I1335">
        <v>361.73770000000002</v>
      </c>
      <c r="J1335">
        <v>-233.3151</v>
      </c>
      <c r="K1335">
        <v>1.121213</v>
      </c>
      <c r="L1335">
        <v>368.077</v>
      </c>
      <c r="M1335">
        <v>0.99990100000000004</v>
      </c>
      <c r="N1335">
        <v>-1.4065630000000001E-2</v>
      </c>
      <c r="O1335">
        <v>-6.0970939999999997E-4</v>
      </c>
      <c r="P1335">
        <v>0.98821340000000002</v>
      </c>
      <c r="Q1335">
        <v>0.13406650000000001</v>
      </c>
      <c r="R1335">
        <v>-7.3896080000000003E-2</v>
      </c>
      <c r="S1335">
        <v>3.0041959999999999</v>
      </c>
      <c r="T1335">
        <v>-0.1111313</v>
      </c>
      <c r="U1335">
        <v>-0.6283569</v>
      </c>
      <c r="V1335">
        <v>7.345496E-2</v>
      </c>
      <c r="W1335">
        <v>0.14787400000000001</v>
      </c>
      <c r="X1335">
        <v>0.98627469999999995</v>
      </c>
      <c r="Y1335">
        <v>0.2039464</v>
      </c>
      <c r="Z1335">
        <v>-5.1671579999999998E-3</v>
      </c>
      <c r="AA1335">
        <v>0.97896839999999996</v>
      </c>
      <c r="AB1335">
        <v>28</v>
      </c>
      <c r="AC1335">
        <v>30.174099999999999</v>
      </c>
      <c r="AD1335">
        <v>-1.1212167663199999</v>
      </c>
      <c r="AE1335">
        <v>-6.3392999999999802</v>
      </c>
      <c r="AF1335">
        <v>6.3125520497374401</v>
      </c>
      <c r="AG1335">
        <v>-1.1212167663199999</v>
      </c>
      <c r="AH1335">
        <v>30.138106214937999</v>
      </c>
      <c r="AI1335">
        <v>92.085359818879297</v>
      </c>
      <c r="AJ1335">
        <v>78.170176950903496</v>
      </c>
      <c r="AK1335">
        <v>30.812511852177899</v>
      </c>
      <c r="AL1335">
        <v>81.496258789710495</v>
      </c>
      <c r="AM1335">
        <v>85.740635558305499</v>
      </c>
      <c r="AN1335">
        <v>1.0000000674423399</v>
      </c>
    </row>
    <row r="1336" spans="1:40" x14ac:dyDescent="0.25">
      <c r="A1336" t="str">
        <f>"20190303170247448"</f>
        <v>20190303170247448</v>
      </c>
      <c r="B1336" t="str">
        <f>"1551603767437238"</f>
        <v>1551603767437238</v>
      </c>
      <c r="C1336" t="s">
        <v>40</v>
      </c>
      <c r="D1336">
        <v>4.5433879999999904</v>
      </c>
      <c r="E1336">
        <v>0.55448310000000001</v>
      </c>
      <c r="F1336" t="s">
        <v>52</v>
      </c>
      <c r="G1336">
        <v>-203.2989</v>
      </c>
      <c r="H1336" s="1">
        <v>-3.8366370000000002E-6</v>
      </c>
      <c r="I1336">
        <v>361.779</v>
      </c>
      <c r="J1336">
        <v>-233.17500000000001</v>
      </c>
      <c r="K1336">
        <v>1.1212009999999999</v>
      </c>
      <c r="L1336">
        <v>368.07659999999998</v>
      </c>
      <c r="M1336">
        <v>0.99990080000000003</v>
      </c>
      <c r="N1336">
        <v>-1.40643E-2</v>
      </c>
      <c r="O1336">
        <v>-9.2581049999999995E-4</v>
      </c>
      <c r="P1336">
        <v>0.98815989999999998</v>
      </c>
      <c r="Q1336">
        <v>0.13418350000000001</v>
      </c>
      <c r="R1336">
        <v>-7.4397469999999993E-2</v>
      </c>
      <c r="S1336">
        <v>3.003876</v>
      </c>
      <c r="T1336">
        <v>-0.1122059</v>
      </c>
      <c r="U1336">
        <v>-0.63027949999999999</v>
      </c>
      <c r="V1336">
        <v>7.3648500000000006E-2</v>
      </c>
      <c r="W1336">
        <v>0.1479867</v>
      </c>
      <c r="X1336">
        <v>0.98624330000000004</v>
      </c>
      <c r="Y1336">
        <v>0.20425470000000001</v>
      </c>
      <c r="Z1336">
        <v>-5.2037150000000003E-3</v>
      </c>
      <c r="AA1336">
        <v>0.97890390000000005</v>
      </c>
      <c r="AB1336">
        <v>27</v>
      </c>
      <c r="AC1336">
        <v>29.876100000000001</v>
      </c>
      <c r="AD1336">
        <v>-1.121204836637</v>
      </c>
      <c r="AE1336">
        <v>-6.2975999999999797</v>
      </c>
      <c r="AF1336">
        <v>6.2614915203201704</v>
      </c>
      <c r="AG1336">
        <v>-1.121204836637</v>
      </c>
      <c r="AH1336">
        <v>29.841677511526999</v>
      </c>
      <c r="AI1336">
        <v>92.105877399472604</v>
      </c>
      <c r="AJ1336">
        <v>78.149895210195695</v>
      </c>
      <c r="AK1336">
        <v>30.5121138737832</v>
      </c>
      <c r="AL1336">
        <v>81.489729193612106</v>
      </c>
      <c r="AM1336">
        <v>85.729318936117807</v>
      </c>
      <c r="AN1336">
        <v>1.00000000586201</v>
      </c>
    </row>
    <row r="1337" spans="1:40" x14ac:dyDescent="0.25">
      <c r="A1337" t="str">
        <f>"20190303170247460"</f>
        <v>20190303170247460</v>
      </c>
      <c r="B1337" t="str">
        <f>"1551603767446998"</f>
        <v>1551603767446998</v>
      </c>
      <c r="C1337" t="s">
        <v>40</v>
      </c>
      <c r="D1337">
        <v>4.5440550000000002</v>
      </c>
      <c r="E1337">
        <v>0.55457100000000004</v>
      </c>
      <c r="F1337" t="s">
        <v>52</v>
      </c>
      <c r="G1337">
        <v>-203.0865</v>
      </c>
      <c r="H1337" s="1">
        <v>-3.7382489999999999E-6</v>
      </c>
      <c r="I1337">
        <v>361.74059999999997</v>
      </c>
      <c r="J1337">
        <v>-233.03739999999999</v>
      </c>
      <c r="K1337">
        <v>1.1211899999999999</v>
      </c>
      <c r="L1337">
        <v>368.07619999999997</v>
      </c>
      <c r="M1337">
        <v>0.99990049999999997</v>
      </c>
      <c r="N1337">
        <v>-1.4062989999999999E-2</v>
      </c>
      <c r="O1337">
        <v>-1.242742E-3</v>
      </c>
      <c r="P1337">
        <v>0.98813359999999995</v>
      </c>
      <c r="Q1337">
        <v>0.13424469999999999</v>
      </c>
      <c r="R1337">
        <v>-7.4636279999999999E-2</v>
      </c>
      <c r="S1337">
        <v>3.0035249999999998</v>
      </c>
      <c r="T1337">
        <v>-0.1119219</v>
      </c>
      <c r="U1337">
        <v>-0.63247679999999995</v>
      </c>
      <c r="V1337">
        <v>7.3578389999999994E-2</v>
      </c>
      <c r="W1337">
        <v>0.14804419999999999</v>
      </c>
      <c r="X1337">
        <v>0.98623989999999995</v>
      </c>
      <c r="Y1337">
        <v>0.2046538</v>
      </c>
      <c r="Z1337">
        <v>-5.1973000000000002E-3</v>
      </c>
      <c r="AA1337">
        <v>0.97882060000000004</v>
      </c>
      <c r="AB1337">
        <v>27</v>
      </c>
      <c r="AC1337">
        <v>29.950899999999901</v>
      </c>
      <c r="AD1337">
        <v>-1.12119373824899</v>
      </c>
      <c r="AE1337">
        <v>-6.3356000000000003</v>
      </c>
      <c r="AF1337">
        <v>6.2899334079515201</v>
      </c>
      <c r="AG1337">
        <v>-1.12119373824899</v>
      </c>
      <c r="AH1337">
        <v>29.9186208650586</v>
      </c>
      <c r="AI1337">
        <v>92.100272180726506</v>
      </c>
      <c r="AJ1337">
        <v>78.127340081652093</v>
      </c>
      <c r="AK1337">
        <v>30.5932053263837</v>
      </c>
      <c r="AL1337">
        <v>81.486397964381794</v>
      </c>
      <c r="AM1337">
        <v>85.733354754306106</v>
      </c>
      <c r="AN1337">
        <v>1.00000000249032</v>
      </c>
    </row>
    <row r="1338" spans="1:40" x14ac:dyDescent="0.25">
      <c r="A1338" t="str">
        <f>"20190303170247474"</f>
        <v>20190303170247474</v>
      </c>
      <c r="B1338" t="str">
        <f>"1551603767466519"</f>
        <v>1551603767466519</v>
      </c>
      <c r="C1338" t="s">
        <v>40</v>
      </c>
      <c r="D1338">
        <v>4.5504049999999996</v>
      </c>
      <c r="E1338">
        <v>0.55472730000000003</v>
      </c>
      <c r="F1338" t="s">
        <v>52</v>
      </c>
      <c r="G1338">
        <v>-202.82919999999999</v>
      </c>
      <c r="H1338" s="1">
        <v>-3.6175359999999998E-6</v>
      </c>
      <c r="I1338">
        <v>361.70100000000002</v>
      </c>
      <c r="J1338">
        <v>-232.85990000000001</v>
      </c>
      <c r="K1338">
        <v>1.12117</v>
      </c>
      <c r="L1338">
        <v>368.07549999999998</v>
      </c>
      <c r="M1338">
        <v>0.99989969999999995</v>
      </c>
      <c r="N1338">
        <v>-1.4061290000000001E-2</v>
      </c>
      <c r="O1338">
        <v>-1.661294E-3</v>
      </c>
      <c r="P1338">
        <v>0.98809089999999999</v>
      </c>
      <c r="Q1338">
        <v>0.13438369999999999</v>
      </c>
      <c r="R1338">
        <v>-7.4949959999999996E-2</v>
      </c>
      <c r="S1338">
        <v>3.0033110000000001</v>
      </c>
      <c r="T1338">
        <v>-0.11146929999999999</v>
      </c>
      <c r="U1338">
        <v>-0.63381960000000004</v>
      </c>
      <c r="V1338">
        <v>7.3483989999999999E-2</v>
      </c>
      <c r="W1338">
        <v>0.14817859999999999</v>
      </c>
      <c r="X1338">
        <v>0.98622670000000001</v>
      </c>
      <c r="Y1338">
        <v>0.20467850000000001</v>
      </c>
      <c r="Z1338">
        <v>-5.1733100000000004E-3</v>
      </c>
      <c r="AA1338">
        <v>0.97881560000000001</v>
      </c>
      <c r="AB1338">
        <v>27</v>
      </c>
      <c r="AC1338">
        <v>30.0307</v>
      </c>
      <c r="AD1338">
        <v>-1.1211736175360001</v>
      </c>
      <c r="AE1338">
        <v>-6.37450000000001</v>
      </c>
      <c r="AF1338">
        <v>6.3161722408534899</v>
      </c>
      <c r="AG1338">
        <v>-1.1211736175360001</v>
      </c>
      <c r="AH1338">
        <v>30.001235327410502</v>
      </c>
      <c r="AI1338">
        <v>92.094331615830697</v>
      </c>
      <c r="AJ1338">
        <v>78.111117578728695</v>
      </c>
      <c r="AK1338">
        <v>30.6793934625092</v>
      </c>
      <c r="AL1338">
        <v>81.478611073738193</v>
      </c>
      <c r="AM1338">
        <v>85.738751798880799</v>
      </c>
      <c r="AN1338">
        <v>0.99999994903858302</v>
      </c>
    </row>
    <row r="1339" spans="1:40" x14ac:dyDescent="0.25">
      <c r="A1339" t="str">
        <f>"20190303170247487"</f>
        <v>20190303170247487</v>
      </c>
      <c r="B1339" t="str">
        <f>"1551603767477254"</f>
        <v>1551603767477254</v>
      </c>
      <c r="C1339" t="s">
        <v>40</v>
      </c>
      <c r="D1339">
        <v>4.5305980000000003</v>
      </c>
      <c r="E1339">
        <v>0.55481480000000005</v>
      </c>
      <c r="F1339" t="s">
        <v>52</v>
      </c>
      <c r="G1339">
        <v>-202.4203</v>
      </c>
      <c r="H1339" s="1">
        <v>-3.429003E-6</v>
      </c>
      <c r="I1339">
        <v>361.6234</v>
      </c>
      <c r="J1339">
        <v>-232.6986</v>
      </c>
      <c r="K1339">
        <v>1.121156</v>
      </c>
      <c r="L1339">
        <v>368.07479999999998</v>
      </c>
      <c r="M1339">
        <v>0.99989919999999999</v>
      </c>
      <c r="N1339">
        <v>-1.4059779999999999E-2</v>
      </c>
      <c r="O1339">
        <v>-2.0599339999999998E-3</v>
      </c>
      <c r="P1339">
        <v>0.98807780000000001</v>
      </c>
      <c r="Q1339">
        <v>0.13430410000000001</v>
      </c>
      <c r="R1339">
        <v>-7.5266589999999994E-2</v>
      </c>
      <c r="S1339">
        <v>3.0029140000000001</v>
      </c>
      <c r="T1339">
        <v>-0.1106057</v>
      </c>
      <c r="U1339">
        <v>-0.63650509999999905</v>
      </c>
      <c r="V1339">
        <v>7.3411879999999999E-2</v>
      </c>
      <c r="W1339">
        <v>0.14809559999999999</v>
      </c>
      <c r="X1339">
        <v>0.98624460000000003</v>
      </c>
      <c r="Y1339">
        <v>0.20515439999999999</v>
      </c>
      <c r="Z1339">
        <v>-5.1478849999999996E-3</v>
      </c>
      <c r="AA1339">
        <v>0.97871609999999998</v>
      </c>
      <c r="AB1339">
        <v>27</v>
      </c>
      <c r="AC1339">
        <v>30.278300000000002</v>
      </c>
      <c r="AD1339">
        <v>-1.121159429003</v>
      </c>
      <c r="AE1339">
        <v>-6.4513999999999703</v>
      </c>
      <c r="AF1339">
        <v>6.3806402315930102</v>
      </c>
      <c r="AG1339">
        <v>-1.121159429003</v>
      </c>
      <c r="AH1339">
        <v>30.251849256273001</v>
      </c>
      <c r="AI1339">
        <v>92.076808634242596</v>
      </c>
      <c r="AJ1339">
        <v>78.089889259637502</v>
      </c>
      <c r="AK1339">
        <v>30.937743157097501</v>
      </c>
      <c r="AL1339">
        <v>81.483420208976199</v>
      </c>
      <c r="AM1339">
        <v>85.742994971474403</v>
      </c>
      <c r="AN1339">
        <v>1.0000000109468199</v>
      </c>
    </row>
    <row r="1340" spans="1:40" x14ac:dyDescent="0.25">
      <c r="A1340" t="str">
        <f>"20190303170247500"</f>
        <v>20190303170247500</v>
      </c>
      <c r="B1340" t="str">
        <f>"1551603767487013"</f>
        <v>1551603767487013</v>
      </c>
      <c r="C1340" t="s">
        <v>40</v>
      </c>
      <c r="D1340">
        <v>4.5496749999999997</v>
      </c>
      <c r="E1340">
        <v>0.55481480000000005</v>
      </c>
      <c r="F1340" t="s">
        <v>52</v>
      </c>
      <c r="G1340">
        <v>-202.27529999999999</v>
      </c>
      <c r="H1340" s="1">
        <v>-3.359814E-6</v>
      </c>
      <c r="I1340">
        <v>361.60640000000001</v>
      </c>
      <c r="J1340">
        <v>-232.55189999999999</v>
      </c>
      <c r="K1340">
        <v>1.1211450000000001</v>
      </c>
      <c r="L1340">
        <v>368.07409999999999</v>
      </c>
      <c r="M1340">
        <v>0.99989819999999996</v>
      </c>
      <c r="N1340">
        <v>-1.405841E-2</v>
      </c>
      <c r="O1340">
        <v>-2.4307909999999999E-3</v>
      </c>
      <c r="P1340">
        <v>0.98811640000000001</v>
      </c>
      <c r="Q1340">
        <v>0.13396749999999999</v>
      </c>
      <c r="R1340">
        <v>-7.5355569999999997E-2</v>
      </c>
      <c r="S1340">
        <v>3.0026090000000001</v>
      </c>
      <c r="T1340">
        <v>-0.1106521</v>
      </c>
      <c r="U1340">
        <v>-0.6383972</v>
      </c>
      <c r="V1340">
        <v>7.3139270000000006E-2</v>
      </c>
      <c r="W1340">
        <v>0.1477561</v>
      </c>
      <c r="X1340">
        <v>0.98631579999999996</v>
      </c>
      <c r="Y1340">
        <v>0.20540149999999999</v>
      </c>
      <c r="Z1340">
        <v>-5.1473990000000004E-3</v>
      </c>
      <c r="AA1340">
        <v>0.97866430000000004</v>
      </c>
      <c r="AB1340">
        <v>27</v>
      </c>
      <c r="AC1340">
        <v>30.276599999999998</v>
      </c>
      <c r="AD1340">
        <v>-1.121148359814</v>
      </c>
      <c r="AE1340">
        <v>-6.4676999999999696</v>
      </c>
      <c r="AF1340">
        <v>6.3857033682464497</v>
      </c>
      <c r="AG1340">
        <v>-1.121148359814</v>
      </c>
      <c r="AH1340">
        <v>30.252560760617399</v>
      </c>
      <c r="AI1340">
        <v>92.076671278343497</v>
      </c>
      <c r="AJ1340">
        <v>78.080980928661006</v>
      </c>
      <c r="AK1340">
        <v>30.939483087582399</v>
      </c>
      <c r="AL1340">
        <v>81.503088735975098</v>
      </c>
      <c r="AM1340">
        <v>85.759050327721695</v>
      </c>
      <c r="AN1340">
        <v>1.0000000376164899</v>
      </c>
    </row>
    <row r="1341" spans="1:40" x14ac:dyDescent="0.25">
      <c r="A1341" t="str">
        <f>"20190303170247511"</f>
        <v>20190303170247511</v>
      </c>
      <c r="B1341" t="str">
        <f>"1551603767496774"</f>
        <v>1551603767496774</v>
      </c>
      <c r="C1341" t="s">
        <v>40</v>
      </c>
      <c r="D1341">
        <v>4.5582979999999997</v>
      </c>
      <c r="E1341">
        <v>0.56005249999999995</v>
      </c>
      <c r="F1341" t="s">
        <v>52</v>
      </c>
      <c r="G1341">
        <v>-202.32339999999999</v>
      </c>
      <c r="H1341" s="1">
        <v>-3.3762069999999999E-6</v>
      </c>
      <c r="I1341">
        <v>361.64159999999998</v>
      </c>
      <c r="J1341">
        <v>-232.41480000000001</v>
      </c>
      <c r="K1341">
        <v>1.121129</v>
      </c>
      <c r="L1341">
        <v>368.07339999999999</v>
      </c>
      <c r="M1341">
        <v>0.99989740000000005</v>
      </c>
      <c r="N1341">
        <v>-1.4057160000000001E-2</v>
      </c>
      <c r="O1341">
        <v>-2.788179E-3</v>
      </c>
      <c r="P1341">
        <v>0.98808300000000004</v>
      </c>
      <c r="Q1341">
        <v>0.1339272</v>
      </c>
      <c r="R1341">
        <v>-7.5865639999999998E-2</v>
      </c>
      <c r="S1341">
        <v>3.0024570000000002</v>
      </c>
      <c r="T1341">
        <v>-0.1113585</v>
      </c>
      <c r="U1341">
        <v>-0.63891600000000004</v>
      </c>
      <c r="V1341">
        <v>7.3300939999999995E-2</v>
      </c>
      <c r="W1341">
        <v>0.14771219999999999</v>
      </c>
      <c r="X1341">
        <v>0.98631040000000003</v>
      </c>
      <c r="Y1341">
        <v>0.20522180000000001</v>
      </c>
      <c r="Z1341">
        <v>-5.158017E-3</v>
      </c>
      <c r="AA1341">
        <v>0.97870190000000001</v>
      </c>
      <c r="AB1341">
        <v>27</v>
      </c>
      <c r="AC1341">
        <v>30.0914</v>
      </c>
      <c r="AD1341">
        <v>-1.121132376207</v>
      </c>
      <c r="AE1341">
        <v>-6.4318000000000097</v>
      </c>
      <c r="AF1341">
        <v>6.3394510109614099</v>
      </c>
      <c r="AG1341">
        <v>-1.121132376207</v>
      </c>
      <c r="AH1341">
        <v>30.069301410276299</v>
      </c>
      <c r="AI1341">
        <v>92.089392885638105</v>
      </c>
      <c r="AJ1341">
        <v>78.094790718187099</v>
      </c>
      <c r="AK1341">
        <v>30.750747376728899</v>
      </c>
      <c r="AL1341">
        <v>81.505632148167905</v>
      </c>
      <c r="AM1341">
        <v>85.749687091547401</v>
      </c>
      <c r="AN1341">
        <v>1.0000000634909301</v>
      </c>
    </row>
    <row r="1342" spans="1:40" x14ac:dyDescent="0.25">
      <c r="A1342" t="str">
        <f>"20190303170247524"</f>
        <v>20190303170247524</v>
      </c>
      <c r="B1342" t="str">
        <f>"1551603767517270"</f>
        <v>1551603767517270</v>
      </c>
      <c r="C1342" t="s">
        <v>40</v>
      </c>
      <c r="D1342">
        <v>4.5293869999999998</v>
      </c>
      <c r="E1342">
        <v>0.55990010000000001</v>
      </c>
      <c r="F1342" t="s">
        <v>52</v>
      </c>
      <c r="G1342">
        <v>-202.99520000000001</v>
      </c>
      <c r="H1342" s="1">
        <v>-3.7724850000000001E-6</v>
      </c>
      <c r="I1342">
        <v>361.37909999999999</v>
      </c>
      <c r="J1342">
        <v>-232.2637</v>
      </c>
      <c r="K1342">
        <v>1.121113</v>
      </c>
      <c r="L1342">
        <v>368.07249999999999</v>
      </c>
      <c r="M1342">
        <v>0.99989609999999995</v>
      </c>
      <c r="N1342">
        <v>-1.405579E-2</v>
      </c>
      <c r="O1342">
        <v>-3.1955569999999999E-3</v>
      </c>
      <c r="P1342">
        <v>0.98811470000000001</v>
      </c>
      <c r="Q1342">
        <v>0.13354679999999999</v>
      </c>
      <c r="R1342">
        <v>-7.6122449999999994E-2</v>
      </c>
      <c r="S1342">
        <v>2.9992369999999999</v>
      </c>
      <c r="T1342">
        <v>-0.1142961</v>
      </c>
      <c r="U1342">
        <v>-0.68246459999999998</v>
      </c>
      <c r="V1342">
        <v>7.3160539999999996E-2</v>
      </c>
      <c r="W1342">
        <v>0.1473283</v>
      </c>
      <c r="X1342">
        <v>0.98637819999999998</v>
      </c>
      <c r="Y1342">
        <v>0.2185492</v>
      </c>
      <c r="Z1342">
        <v>-5.5905850000000003E-3</v>
      </c>
      <c r="AA1342">
        <v>0.97580990000000001</v>
      </c>
      <c r="AB1342">
        <v>27</v>
      </c>
      <c r="AC1342">
        <v>29.2684999999999</v>
      </c>
      <c r="AD1342">
        <v>-1.121116772485</v>
      </c>
      <c r="AE1342">
        <v>-6.6933999999999898</v>
      </c>
      <c r="AF1342">
        <v>6.59063797575193</v>
      </c>
      <c r="AG1342">
        <v>-1.121116772485</v>
      </c>
      <c r="AH1342">
        <v>29.248959452510899</v>
      </c>
      <c r="AI1342">
        <v>92.141441872833198</v>
      </c>
      <c r="AJ1342">
        <v>77.301677282674106</v>
      </c>
      <c r="AK1342">
        <v>30.003250503897</v>
      </c>
      <c r="AL1342">
        <v>81.527870969129296</v>
      </c>
      <c r="AM1342">
        <v>85.758088885494104</v>
      </c>
      <c r="AN1342">
        <v>1.00000002301461</v>
      </c>
    </row>
    <row r="1343" spans="1:40" x14ac:dyDescent="0.25">
      <c r="A1343" t="str">
        <f>"20190303170247537"</f>
        <v>20190303170247537</v>
      </c>
      <c r="B1343" t="str">
        <f>"1551603767527030"</f>
        <v>1551603767527030</v>
      </c>
      <c r="C1343" t="s">
        <v>40</v>
      </c>
      <c r="D1343">
        <v>4.5177370000000003</v>
      </c>
      <c r="E1343">
        <v>0.55979969999999901</v>
      </c>
      <c r="F1343" t="s">
        <v>52</v>
      </c>
      <c r="G1343">
        <v>-204.23849999999999</v>
      </c>
      <c r="H1343" s="1">
        <v>-4.3274219999999996E-6</v>
      </c>
      <c r="I1343">
        <v>361.69799999999998</v>
      </c>
      <c r="J1343">
        <v>-232.1009</v>
      </c>
      <c r="K1343">
        <v>1.121094</v>
      </c>
      <c r="L1343">
        <v>368.07159999999999</v>
      </c>
      <c r="M1343">
        <v>0.99989459999999997</v>
      </c>
      <c r="N1343">
        <v>-1.405433E-2</v>
      </c>
      <c r="O1343">
        <v>-3.6438540000000002E-3</v>
      </c>
      <c r="P1343">
        <v>0.98807699999999998</v>
      </c>
      <c r="Q1343">
        <v>0.13345290000000001</v>
      </c>
      <c r="R1343">
        <v>-7.6772980000000005E-2</v>
      </c>
      <c r="S1343">
        <v>2.9997410000000002</v>
      </c>
      <c r="T1343">
        <v>-0.12000130000000001</v>
      </c>
      <c r="U1343">
        <v>-0.68231200000000003</v>
      </c>
      <c r="V1343">
        <v>7.3374519999999999E-2</v>
      </c>
      <c r="W1343">
        <v>0.14722929999999901</v>
      </c>
      <c r="X1343">
        <v>0.98637710000000001</v>
      </c>
      <c r="Y1343">
        <v>0.2180116</v>
      </c>
      <c r="Z1343">
        <v>-5.7629109999999999E-3</v>
      </c>
      <c r="AA1343">
        <v>0.97592909999999999</v>
      </c>
      <c r="AB1343">
        <v>27</v>
      </c>
      <c r="AC1343">
        <v>27.862400000000001</v>
      </c>
      <c r="AD1343">
        <v>-1.1210983274220001</v>
      </c>
      <c r="AE1343">
        <v>-6.37359999999995</v>
      </c>
      <c r="AF1343">
        <v>6.2623864109628897</v>
      </c>
      <c r="AG1343">
        <v>-1.1210983274220001</v>
      </c>
      <c r="AH1343">
        <v>27.8426057227313</v>
      </c>
      <c r="AI1343">
        <v>92.249658948918494</v>
      </c>
      <c r="AJ1343">
        <v>77.323925450716999</v>
      </c>
      <c r="AK1343">
        <v>28.5602002522992</v>
      </c>
      <c r="AL1343">
        <v>81.533605893067303</v>
      </c>
      <c r="AM1343">
        <v>85.745722898359801</v>
      </c>
      <c r="AN1343">
        <v>1.0000000351840601</v>
      </c>
    </row>
    <row r="1344" spans="1:40" x14ac:dyDescent="0.25">
      <c r="A1344" t="str">
        <f>"20190303170247552"</f>
        <v>20190303170247552</v>
      </c>
      <c r="B1344" t="str">
        <f>"1551603767547527"</f>
        <v>1551603767547527</v>
      </c>
      <c r="C1344" t="s">
        <v>40</v>
      </c>
      <c r="D1344">
        <v>4.5506460000000004</v>
      </c>
      <c r="E1344">
        <v>0.56008389999999997</v>
      </c>
      <c r="F1344" t="s">
        <v>52</v>
      </c>
      <c r="G1344">
        <v>-204.13839999999999</v>
      </c>
      <c r="H1344" s="1">
        <v>-4.2764030000000001E-6</v>
      </c>
      <c r="I1344">
        <v>361.70080000000002</v>
      </c>
      <c r="J1344">
        <v>-231.90209999999999</v>
      </c>
      <c r="K1344">
        <v>1.1210719999999901</v>
      </c>
      <c r="L1344">
        <v>368.07029999999997</v>
      </c>
      <c r="M1344">
        <v>0.99989249999999996</v>
      </c>
      <c r="N1344">
        <v>-1.405256E-2</v>
      </c>
      <c r="O1344">
        <v>-4.2147649999999997E-3</v>
      </c>
      <c r="P1344">
        <v>0.98805350000000003</v>
      </c>
      <c r="Q1344">
        <v>0.13328609999999999</v>
      </c>
      <c r="R1344">
        <v>-7.7363920000000003E-2</v>
      </c>
      <c r="S1344">
        <v>2.9993590000000001</v>
      </c>
      <c r="T1344">
        <v>-0.1202531</v>
      </c>
      <c r="U1344">
        <v>-0.6833496</v>
      </c>
      <c r="V1344">
        <v>7.3408780000000007E-2</v>
      </c>
      <c r="W1344">
        <v>0.1470571</v>
      </c>
      <c r="X1344">
        <v>0.98640019999999995</v>
      </c>
      <c r="Y1344">
        <v>0.21780179999999999</v>
      </c>
      <c r="Z1344">
        <v>-5.7515429999999996E-3</v>
      </c>
      <c r="AA1344">
        <v>0.97597599999999995</v>
      </c>
      <c r="AB1344">
        <v>27</v>
      </c>
      <c r="AC1344">
        <v>27.7637</v>
      </c>
      <c r="AD1344">
        <v>-1.12107627640299</v>
      </c>
      <c r="AE1344">
        <v>-6.3694999999999604</v>
      </c>
      <c r="AF1344">
        <v>6.2427446720821802</v>
      </c>
      <c r="AG1344">
        <v>-1.12107627640299</v>
      </c>
      <c r="AH1344">
        <v>27.747322592658701</v>
      </c>
      <c r="AI1344">
        <v>92.257300711486295</v>
      </c>
      <c r="AJ1344">
        <v>77.320408397671798</v>
      </c>
      <c r="AK1344">
        <v>28.463003778930201</v>
      </c>
      <c r="AL1344">
        <v>81.543580476427493</v>
      </c>
      <c r="AM1344">
        <v>85.7438430999361</v>
      </c>
      <c r="AN1344">
        <v>0.99999999710076903</v>
      </c>
    </row>
    <row r="1345" spans="1:40" x14ac:dyDescent="0.25">
      <c r="A1345" t="str">
        <f>"20190303170247565"</f>
        <v>20190303170247565</v>
      </c>
      <c r="B1345" t="str">
        <f>"1551603767557286"</f>
        <v>1551603767557286</v>
      </c>
      <c r="C1345" t="s">
        <v>40</v>
      </c>
      <c r="D1345">
        <v>4.55748</v>
      </c>
      <c r="E1345">
        <v>0.56035219999999997</v>
      </c>
      <c r="F1345" t="s">
        <v>52</v>
      </c>
      <c r="G1345">
        <v>-203.31880000000001</v>
      </c>
      <c r="H1345" s="1">
        <v>-3.9045819999999998E-6</v>
      </c>
      <c r="I1345">
        <v>361.51769999999999</v>
      </c>
      <c r="J1345">
        <v>-231.75909999999999</v>
      </c>
      <c r="K1345">
        <v>1.1210530000000001</v>
      </c>
      <c r="L1345">
        <v>368.06920000000002</v>
      </c>
      <c r="M1345">
        <v>0.99989050000000002</v>
      </c>
      <c r="N1345">
        <v>-1.4051299999999999E-2</v>
      </c>
      <c r="O1345">
        <v>-4.6394000000000001E-3</v>
      </c>
      <c r="P1345">
        <v>0.98803030000000003</v>
      </c>
      <c r="Q1345">
        <v>0.13303289999999901</v>
      </c>
      <c r="R1345">
        <v>-7.8091899999999895E-2</v>
      </c>
      <c r="S1345">
        <v>2.9983219999999999</v>
      </c>
      <c r="T1345">
        <v>-0.1175983</v>
      </c>
      <c r="U1345">
        <v>-0.68734740000000005</v>
      </c>
      <c r="V1345">
        <v>7.3722049999999997E-2</v>
      </c>
      <c r="W1345">
        <v>0.14680000000000001</v>
      </c>
      <c r="X1345">
        <v>0.98641509999999999</v>
      </c>
      <c r="Y1345">
        <v>0.2187048</v>
      </c>
      <c r="Z1345">
        <v>-5.6743449999999999E-3</v>
      </c>
      <c r="AA1345">
        <v>0.97577460000000005</v>
      </c>
      <c r="AB1345">
        <v>27</v>
      </c>
      <c r="AC1345">
        <v>28.440299999999901</v>
      </c>
      <c r="AD1345">
        <v>-1.121056904582</v>
      </c>
      <c r="AE1345">
        <v>-6.5515000000000301</v>
      </c>
      <c r="AF1345">
        <v>6.4100127146722503</v>
      </c>
      <c r="AG1345">
        <v>-1.121056904582</v>
      </c>
      <c r="AH1345">
        <v>28.428446461863501</v>
      </c>
      <c r="AI1345">
        <v>92.203000673953298</v>
      </c>
      <c r="AJ1345">
        <v>77.293506472108902</v>
      </c>
      <c r="AK1345">
        <v>29.163703465448499</v>
      </c>
      <c r="AL1345">
        <v>81.558472574455806</v>
      </c>
      <c r="AM1345">
        <v>85.725811557969706</v>
      </c>
      <c r="AN1345">
        <v>0.99999996508210498</v>
      </c>
    </row>
    <row r="1346" spans="1:40" x14ac:dyDescent="0.25">
      <c r="A1346" t="str">
        <f>"20190303170247580"</f>
        <v>20190303170247580</v>
      </c>
      <c r="B1346" t="str">
        <f>"1551603767567047"</f>
        <v>1551603767567047</v>
      </c>
      <c r="C1346" t="s">
        <v>40</v>
      </c>
      <c r="D1346">
        <v>4.5402670000000001</v>
      </c>
      <c r="E1346">
        <v>0.56034819999999996</v>
      </c>
      <c r="F1346" t="s">
        <v>52</v>
      </c>
      <c r="G1346">
        <v>-203.50729999999999</v>
      </c>
      <c r="H1346" s="1">
        <v>-3.9917269999999999E-6</v>
      </c>
      <c r="I1346">
        <v>361.55250000000001</v>
      </c>
      <c r="J1346">
        <v>-231.57490000000001</v>
      </c>
      <c r="K1346">
        <v>1.121032</v>
      </c>
      <c r="L1346">
        <v>368.0677</v>
      </c>
      <c r="M1346">
        <v>0.99988790000000005</v>
      </c>
      <c r="N1346">
        <v>-1.404966E-2</v>
      </c>
      <c r="O1346">
        <v>-5.1978440000000001E-3</v>
      </c>
      <c r="P1346">
        <v>0.98796010000000001</v>
      </c>
      <c r="Q1346">
        <v>0.13307620000000001</v>
      </c>
      <c r="R1346">
        <v>-7.8903630000000002E-2</v>
      </c>
      <c r="S1346">
        <v>2.9977260000000001</v>
      </c>
      <c r="T1346">
        <v>-0.1189524</v>
      </c>
      <c r="U1346">
        <v>-0.69146730000000001</v>
      </c>
      <c r="V1346">
        <v>7.3988789999999999E-2</v>
      </c>
      <c r="W1346">
        <v>0.146837299999999</v>
      </c>
      <c r="X1346">
        <v>0.98638959999999998</v>
      </c>
      <c r="Y1346">
        <v>0.21947059999999999</v>
      </c>
      <c r="Z1346">
        <v>-5.7275349999999997E-3</v>
      </c>
      <c r="AA1346">
        <v>0.97560230000000003</v>
      </c>
      <c r="AB1346">
        <v>27</v>
      </c>
      <c r="AC1346">
        <v>28.067599999999999</v>
      </c>
      <c r="AD1346">
        <v>-1.1210359917270001</v>
      </c>
      <c r="AE1346">
        <v>-6.5151999999999903</v>
      </c>
      <c r="AF1346">
        <v>6.3595801553389597</v>
      </c>
      <c r="AG1346">
        <v>-1.1210359917270001</v>
      </c>
      <c r="AH1346">
        <v>28.058617090256799</v>
      </c>
      <c r="AI1346">
        <v>92.231403582743994</v>
      </c>
      <c r="AJ1346">
        <v>77.2294819844047</v>
      </c>
      <c r="AK1346">
        <v>28.7921338991152</v>
      </c>
      <c r="AL1346">
        <v>81.556312226815805</v>
      </c>
      <c r="AM1346">
        <v>85.710293894505199</v>
      </c>
      <c r="AN1346">
        <v>0.99999998835255699</v>
      </c>
    </row>
    <row r="1347" spans="1:40" x14ac:dyDescent="0.25">
      <c r="A1347" t="str">
        <f>"20190303170247592"</f>
        <v>20190303170247592</v>
      </c>
      <c r="B1347" t="str">
        <f>"1551603767587541"</f>
        <v>1551603767587541</v>
      </c>
      <c r="C1347" t="s">
        <v>40</v>
      </c>
      <c r="D1347">
        <v>4.5472630000000001</v>
      </c>
      <c r="E1347">
        <v>0.56050949999999999</v>
      </c>
      <c r="F1347" t="s">
        <v>52</v>
      </c>
      <c r="G1347">
        <v>-203.3741</v>
      </c>
      <c r="H1347" s="1">
        <v>-3.9272310000000001E-6</v>
      </c>
      <c r="I1347">
        <v>361.541</v>
      </c>
      <c r="J1347">
        <v>-231.41159999999999</v>
      </c>
      <c r="K1347">
        <v>1.1210180000000001</v>
      </c>
      <c r="L1347">
        <v>368.06639999999999</v>
      </c>
      <c r="M1347">
        <v>0.99988500000000002</v>
      </c>
      <c r="N1347">
        <v>-1.404817E-2</v>
      </c>
      <c r="O1347">
        <v>-5.7058050000000004E-3</v>
      </c>
      <c r="P1347">
        <v>0.98797570000000001</v>
      </c>
      <c r="Q1347">
        <v>0.1325694</v>
      </c>
      <c r="R1347">
        <v>-7.9559089999999999E-2</v>
      </c>
      <c r="S1347">
        <v>2.9971920000000001</v>
      </c>
      <c r="T1347">
        <v>-0.11914420000000001</v>
      </c>
      <c r="U1347">
        <v>-0.69366459999999996</v>
      </c>
      <c r="V1347">
        <v>7.4146409999999996E-2</v>
      </c>
      <c r="W1347">
        <v>0.1463274</v>
      </c>
      <c r="X1347">
        <v>0.98645349999999998</v>
      </c>
      <c r="Y1347">
        <v>0.21969140000000001</v>
      </c>
      <c r="Z1347">
        <v>-5.7274910000000004E-3</v>
      </c>
      <c r="AA1347">
        <v>0.97555259999999999</v>
      </c>
      <c r="AB1347">
        <v>27</v>
      </c>
      <c r="AC1347">
        <v>28.037499999999898</v>
      </c>
      <c r="AD1347">
        <v>-1.121021927231</v>
      </c>
      <c r="AE1347">
        <v>-6.5253999999999897</v>
      </c>
      <c r="AF1347">
        <v>6.3556631413495897</v>
      </c>
      <c r="AG1347">
        <v>-1.121021927231</v>
      </c>
      <c r="AH1347">
        <v>28.031769884633601</v>
      </c>
      <c r="AI1347">
        <v>92.233473327873597</v>
      </c>
      <c r="AJ1347">
        <v>77.225267281382202</v>
      </c>
      <c r="AK1347">
        <v>28.765105023147299</v>
      </c>
      <c r="AL1347">
        <v>81.585846058677504</v>
      </c>
      <c r="AM1347">
        <v>85.7014670789966</v>
      </c>
      <c r="AN1347">
        <v>0.99999995288444798</v>
      </c>
    </row>
    <row r="1348" spans="1:40" x14ac:dyDescent="0.25">
      <c r="A1348" t="str">
        <f>"20190303170247604"</f>
        <v>20190303170247604</v>
      </c>
      <c r="B1348" t="str">
        <f>"1551603767597302"</f>
        <v>1551603767597302</v>
      </c>
      <c r="C1348" t="s">
        <v>40</v>
      </c>
      <c r="D1348">
        <v>4.5583239999999998</v>
      </c>
      <c r="E1348">
        <v>0.56058369999999902</v>
      </c>
      <c r="F1348" t="s">
        <v>52</v>
      </c>
      <c r="G1348">
        <v>-203.5342</v>
      </c>
      <c r="H1348" s="1">
        <v>-3.9992060000000003E-6</v>
      </c>
      <c r="I1348">
        <v>361.57979999999998</v>
      </c>
      <c r="J1348">
        <v>-231.274</v>
      </c>
      <c r="K1348">
        <v>1.1210039999999999</v>
      </c>
      <c r="L1348">
        <v>368.06509999999997</v>
      </c>
      <c r="M1348">
        <v>0.99988250000000001</v>
      </c>
      <c r="N1348">
        <v>-1.4046960000000001E-2</v>
      </c>
      <c r="O1348">
        <v>-6.1463400000000001E-3</v>
      </c>
      <c r="P1348">
        <v>0.98798560000000002</v>
      </c>
      <c r="Q1348">
        <v>0.13202439999999999</v>
      </c>
      <c r="R1348">
        <v>-8.0338870000000007E-2</v>
      </c>
      <c r="S1348">
        <v>2.9965359999999999</v>
      </c>
      <c r="T1348">
        <v>-0.12049840000000001</v>
      </c>
      <c r="U1348">
        <v>-0.6972351</v>
      </c>
      <c r="V1348">
        <v>7.4493760000000006E-2</v>
      </c>
      <c r="W1348">
        <v>0.14577879999999999</v>
      </c>
      <c r="X1348">
        <v>0.98650859999999996</v>
      </c>
      <c r="Y1348">
        <v>0.22040650000000001</v>
      </c>
      <c r="Z1348">
        <v>-5.7821950000000004E-3</v>
      </c>
      <c r="AA1348">
        <v>0.97539100000000001</v>
      </c>
      <c r="AB1348">
        <v>27</v>
      </c>
      <c r="AC1348">
        <v>27.739799999999999</v>
      </c>
      <c r="AD1348">
        <v>-1.121007999206</v>
      </c>
      <c r="AE1348">
        <v>-6.4852999999999899</v>
      </c>
      <c r="AF1348">
        <v>6.3048995533116301</v>
      </c>
      <c r="AG1348">
        <v>-1.121007999206</v>
      </c>
      <c r="AH1348">
        <v>27.7361924117508</v>
      </c>
      <c r="AI1348">
        <v>92.256937121391701</v>
      </c>
      <c r="AJ1348">
        <v>77.193338597246907</v>
      </c>
      <c r="AK1348">
        <v>28.465852996411201</v>
      </c>
      <c r="AL1348">
        <v>81.617619620709505</v>
      </c>
      <c r="AM1348">
        <v>85.681646257313602</v>
      </c>
      <c r="AN1348">
        <v>0.99999999834116804</v>
      </c>
    </row>
    <row r="1349" spans="1:40" x14ac:dyDescent="0.25">
      <c r="A1349" t="str">
        <f>"20190303170247615"</f>
        <v>20190303170247615</v>
      </c>
      <c r="B1349" t="str">
        <f>"1551603767607062"</f>
        <v>1551603767607062</v>
      </c>
      <c r="C1349" t="s">
        <v>40</v>
      </c>
      <c r="D1349">
        <v>4.5432220000000001</v>
      </c>
      <c r="E1349">
        <v>0.56053109999999995</v>
      </c>
      <c r="F1349" t="s">
        <v>52</v>
      </c>
      <c r="G1349">
        <v>-203.80629999999999</v>
      </c>
      <c r="H1349" s="1">
        <v>-4.1212189999999999E-6</v>
      </c>
      <c r="I1349">
        <v>361.64710000000002</v>
      </c>
      <c r="J1349">
        <v>-231.13229999999999</v>
      </c>
      <c r="K1349">
        <v>1.1209929999999999</v>
      </c>
      <c r="L1349">
        <v>368.06380000000001</v>
      </c>
      <c r="M1349">
        <v>0.99987959999999998</v>
      </c>
      <c r="N1349">
        <v>-1.4045719999999999E-2</v>
      </c>
      <c r="O1349">
        <v>-6.603083E-3</v>
      </c>
      <c r="P1349">
        <v>0.98794669999999896</v>
      </c>
      <c r="Q1349">
        <v>0.1316724</v>
      </c>
      <c r="R1349">
        <v>-8.1386650000000005E-2</v>
      </c>
      <c r="S1349">
        <v>2.9958800000000001</v>
      </c>
      <c r="T1349">
        <v>-0.12226770000000001</v>
      </c>
      <c r="U1349">
        <v>-0.70001219999999997</v>
      </c>
      <c r="V1349">
        <v>7.5093389999999996E-2</v>
      </c>
      <c r="W1349">
        <v>0.1454231</v>
      </c>
      <c r="X1349">
        <v>0.98651560000000005</v>
      </c>
      <c r="Y1349">
        <v>0.22085940000000001</v>
      </c>
      <c r="Z1349">
        <v>-5.843539E-3</v>
      </c>
      <c r="AA1349">
        <v>0.97528820000000005</v>
      </c>
      <c r="AB1349">
        <v>27</v>
      </c>
      <c r="AC1349">
        <v>27.326000000000001</v>
      </c>
      <c r="AD1349">
        <v>-1.120997121219</v>
      </c>
      <c r="AE1349">
        <v>-6.4166999999999899</v>
      </c>
      <c r="AF1349">
        <v>6.2261760190170996</v>
      </c>
      <c r="AG1349">
        <v>-1.120997121219</v>
      </c>
      <c r="AH1349">
        <v>27.324197664665601</v>
      </c>
      <c r="AI1349">
        <v>92.290638514718793</v>
      </c>
      <c r="AJ1349">
        <v>77.163574293279595</v>
      </c>
      <c r="AK1349">
        <v>28.046990576232599</v>
      </c>
      <c r="AL1349">
        <v>81.638218946779006</v>
      </c>
      <c r="AM1349">
        <v>85.647049946666797</v>
      </c>
      <c r="AN1349">
        <v>0.99999996213932996</v>
      </c>
    </row>
    <row r="1350" spans="1:40" x14ac:dyDescent="0.25">
      <c r="A1350" t="str">
        <f>"20190303170247627"</f>
        <v>20190303170247627</v>
      </c>
      <c r="B1350" t="str">
        <f>"1551603767616822"</f>
        <v>1551603767616822</v>
      </c>
      <c r="C1350" t="s">
        <v>40</v>
      </c>
      <c r="D1350">
        <v>4.5535909999999999</v>
      </c>
      <c r="E1350">
        <v>0.56066759999999904</v>
      </c>
      <c r="F1350" t="s">
        <v>52</v>
      </c>
      <c r="G1350">
        <v>-204.11330000000001</v>
      </c>
      <c r="H1350" s="1">
        <v>-4.2579000000000003E-6</v>
      </c>
      <c r="I1350">
        <v>361.72730000000001</v>
      </c>
      <c r="J1350">
        <v>-230.98910000000001</v>
      </c>
      <c r="K1350">
        <v>1.120984</v>
      </c>
      <c r="L1350">
        <v>368.06229999999999</v>
      </c>
      <c r="M1350">
        <v>0.9998764</v>
      </c>
      <c r="N1350">
        <v>-1.404453E-2</v>
      </c>
      <c r="O1350">
        <v>-7.0774480000000001E-3</v>
      </c>
      <c r="P1350">
        <v>0.98790460000000002</v>
      </c>
      <c r="Q1350">
        <v>0.13117579999999901</v>
      </c>
      <c r="R1350">
        <v>-8.2691139999999996E-2</v>
      </c>
      <c r="S1350">
        <v>2.9952999999999999</v>
      </c>
      <c r="T1350">
        <v>-0.1242723</v>
      </c>
      <c r="U1350">
        <v>-0.70245360000000001</v>
      </c>
      <c r="V1350">
        <v>7.5931849999999995E-2</v>
      </c>
      <c r="W1350">
        <v>0.14492260000000001</v>
      </c>
      <c r="X1350">
        <v>0.98652510000000004</v>
      </c>
      <c r="Y1350">
        <v>0.2211853</v>
      </c>
      <c r="Z1350">
        <v>-5.9085989999999996E-3</v>
      </c>
      <c r="AA1350">
        <v>0.97521389999999997</v>
      </c>
      <c r="AB1350">
        <v>27</v>
      </c>
      <c r="AC1350">
        <v>26.875800000000002</v>
      </c>
      <c r="AD1350">
        <v>-1.1209882578999999</v>
      </c>
      <c r="AE1350">
        <v>-6.3349999999999804</v>
      </c>
      <c r="AF1350">
        <v>6.13449992296432</v>
      </c>
      <c r="AG1350">
        <v>-1.1209882578999999</v>
      </c>
      <c r="AH1350">
        <v>26.8756717426409</v>
      </c>
      <c r="AI1350">
        <v>92.328609150690497</v>
      </c>
      <c r="AJ1350">
        <v>77.142242707295097</v>
      </c>
      <c r="AK1350">
        <v>27.589679874862401</v>
      </c>
      <c r="AL1350">
        <v>81.667202757610397</v>
      </c>
      <c r="AM1350">
        <v>85.598678957699207</v>
      </c>
      <c r="AN1350">
        <v>0.99999998938259604</v>
      </c>
    </row>
    <row r="1351" spans="1:40" x14ac:dyDescent="0.25">
      <c r="A1351" t="str">
        <f>"20190303170247640"</f>
        <v>20190303170247640</v>
      </c>
      <c r="B1351" t="str">
        <f>"1551603767626583"</f>
        <v>1551603767626583</v>
      </c>
      <c r="C1351" t="s">
        <v>40</v>
      </c>
      <c r="D1351">
        <v>4.5609449999999896</v>
      </c>
      <c r="E1351">
        <v>0.5607877</v>
      </c>
      <c r="F1351" t="s">
        <v>52</v>
      </c>
      <c r="G1351">
        <v>-204.23859999999999</v>
      </c>
      <c r="H1351" s="1">
        <v>-4.3172069999999999E-6</v>
      </c>
      <c r="I1351">
        <v>361.74419999999998</v>
      </c>
      <c r="J1351">
        <v>-230.84469999999999</v>
      </c>
      <c r="K1351">
        <v>1.1209709999999999</v>
      </c>
      <c r="L1351">
        <v>368.06079999999997</v>
      </c>
      <c r="M1351">
        <v>0.99987300000000001</v>
      </c>
      <c r="N1351">
        <v>-1.404328E-2</v>
      </c>
      <c r="O1351">
        <v>-7.5597879999999996E-3</v>
      </c>
      <c r="P1351">
        <v>0.9878287</v>
      </c>
      <c r="Q1351">
        <v>0.13100439999999999</v>
      </c>
      <c r="R1351">
        <v>-8.3860870000000004E-2</v>
      </c>
      <c r="S1351">
        <v>2.9941710000000001</v>
      </c>
      <c r="T1351">
        <v>-0.12547159999999999</v>
      </c>
      <c r="U1351">
        <v>-0.70718380000000003</v>
      </c>
      <c r="V1351">
        <v>7.6628260000000004E-2</v>
      </c>
      <c r="W1351">
        <v>0.1447466</v>
      </c>
      <c r="X1351">
        <v>0.98649710000000002</v>
      </c>
      <c r="Y1351">
        <v>0.22225110000000001</v>
      </c>
      <c r="Z1351">
        <v>-5.9667519999999996E-3</v>
      </c>
      <c r="AA1351">
        <v>0.97497120000000004</v>
      </c>
      <c r="AB1351">
        <v>27</v>
      </c>
      <c r="AC1351">
        <v>26.606100000000001</v>
      </c>
      <c r="AD1351">
        <v>-1.1209753172069901</v>
      </c>
      <c r="AE1351">
        <v>-6.3165999999999896</v>
      </c>
      <c r="AF1351">
        <v>6.1050042639310496</v>
      </c>
      <c r="AG1351">
        <v>-1.1209753172069901</v>
      </c>
      <c r="AH1351">
        <v>26.6083833587738</v>
      </c>
      <c r="AI1351">
        <v>92.351342408996899</v>
      </c>
      <c r="AJ1351">
        <v>77.077760282582105</v>
      </c>
      <c r="AK1351">
        <v>27.322769400115199</v>
      </c>
      <c r="AL1351">
        <v>81.677394350888704</v>
      </c>
      <c r="AM1351">
        <v>85.558347413189793</v>
      </c>
      <c r="AN1351">
        <v>0.99999999837529796</v>
      </c>
    </row>
    <row r="1352" spans="1:40" x14ac:dyDescent="0.25">
      <c r="A1352" t="str">
        <f>"20190303170247652"</f>
        <v>20190303170247652</v>
      </c>
      <c r="B1352" t="str">
        <f>"1551603767647079"</f>
        <v>1551603767647079</v>
      </c>
      <c r="C1352" t="s">
        <v>40</v>
      </c>
      <c r="D1352">
        <v>4.581353</v>
      </c>
      <c r="E1352">
        <v>0.56101480000000004</v>
      </c>
      <c r="F1352" t="s">
        <v>52</v>
      </c>
      <c r="G1352">
        <v>-204.29740000000001</v>
      </c>
      <c r="H1352" s="1">
        <v>-4.3450659999999996E-6</v>
      </c>
      <c r="I1352">
        <v>361.75220000000002</v>
      </c>
      <c r="J1352">
        <v>-230.67490000000001</v>
      </c>
      <c r="K1352">
        <v>1.12096</v>
      </c>
      <c r="L1352">
        <v>368.05889999999999</v>
      </c>
      <c r="M1352">
        <v>0.99986850000000005</v>
      </c>
      <c r="N1352">
        <v>-1.404175E-2</v>
      </c>
      <c r="O1352">
        <v>-8.1353520000000002E-3</v>
      </c>
      <c r="P1352">
        <v>0.98761399999999999</v>
      </c>
      <c r="Q1352">
        <v>0.131357</v>
      </c>
      <c r="R1352">
        <v>-8.5814420000000002E-2</v>
      </c>
      <c r="S1352">
        <v>2.993347</v>
      </c>
      <c r="T1352">
        <v>-0.1263958</v>
      </c>
      <c r="U1352">
        <v>-0.71133419999999903</v>
      </c>
      <c r="V1352">
        <v>7.8018420000000005E-2</v>
      </c>
      <c r="W1352">
        <v>0.14509140000000001</v>
      </c>
      <c r="X1352">
        <v>0.98633749999999998</v>
      </c>
      <c r="Y1352">
        <v>0.223026</v>
      </c>
      <c r="Z1352">
        <v>-6.0044570000000004E-3</v>
      </c>
      <c r="AA1352">
        <v>0.97479400000000005</v>
      </c>
      <c r="AB1352">
        <v>27</v>
      </c>
      <c r="AC1352">
        <v>26.377500000000001</v>
      </c>
      <c r="AD1352">
        <v>-1.1209643450660001</v>
      </c>
      <c r="AE1352">
        <v>-6.30669999999997</v>
      </c>
      <c r="AF1352">
        <v>6.0814906613681803</v>
      </c>
      <c r="AG1352">
        <v>-1.1209643450660001</v>
      </c>
      <c r="AH1352">
        <v>26.382868411080899</v>
      </c>
      <c r="AI1352">
        <v>92.370841632699893</v>
      </c>
      <c r="AJ1352">
        <v>77.019536036276904</v>
      </c>
      <c r="AK1352">
        <v>27.097912010404499</v>
      </c>
      <c r="AL1352">
        <v>81.657428224148006</v>
      </c>
      <c r="AM1352">
        <v>85.477371253353098</v>
      </c>
      <c r="AN1352">
        <v>1.0000000260597499</v>
      </c>
    </row>
    <row r="1353" spans="1:40" x14ac:dyDescent="0.25">
      <c r="A1353" t="str">
        <f>"20190303170247666"</f>
        <v>20190303170247666</v>
      </c>
      <c r="B1353" t="str">
        <f>"1551603767656838"</f>
        <v>1551603767656838</v>
      </c>
      <c r="C1353" t="s">
        <v>40</v>
      </c>
      <c r="D1353">
        <v>4.5827260000000001</v>
      </c>
      <c r="E1353">
        <v>0.56108780000000003</v>
      </c>
      <c r="F1353" t="s">
        <v>52</v>
      </c>
      <c r="G1353">
        <v>-203.9118</v>
      </c>
      <c r="H1353" s="1">
        <v>-4.17861E-6</v>
      </c>
      <c r="I1353">
        <v>361.6277</v>
      </c>
      <c r="J1353">
        <v>-230.52160000000001</v>
      </c>
      <c r="K1353">
        <v>1.1209579999999999</v>
      </c>
      <c r="L1353">
        <v>368.05700000000002</v>
      </c>
      <c r="M1353">
        <v>0.99986390000000003</v>
      </c>
      <c r="N1353">
        <v>-1.4040230000000001E-2</v>
      </c>
      <c r="O1353">
        <v>-8.6632050000000002E-3</v>
      </c>
      <c r="P1353">
        <v>0.98747810000000003</v>
      </c>
      <c r="Q1353">
        <v>0.13172320000000001</v>
      </c>
      <c r="R1353">
        <v>-8.6809419999999998E-2</v>
      </c>
      <c r="S1353">
        <v>2.9917910000000001</v>
      </c>
      <c r="T1353">
        <v>-0.12531049999999999</v>
      </c>
      <c r="U1353">
        <v>-0.71893309999999999</v>
      </c>
      <c r="V1353">
        <v>7.8496109999999994E-2</v>
      </c>
      <c r="W1353">
        <v>0.14545239999999901</v>
      </c>
      <c r="X1353">
        <v>0.98624639999999997</v>
      </c>
      <c r="Y1353">
        <v>0.22496869999999999</v>
      </c>
      <c r="Z1353">
        <v>-6.0081639999999999E-3</v>
      </c>
      <c r="AA1353">
        <v>0.97434750000000003</v>
      </c>
      <c r="AB1353">
        <v>27</v>
      </c>
      <c r="AC1353">
        <v>26.6098</v>
      </c>
      <c r="AD1353">
        <v>-1.1209621786099999</v>
      </c>
      <c r="AE1353">
        <v>-6.4292999999999498</v>
      </c>
      <c r="AF1353">
        <v>6.1881340956463697</v>
      </c>
      <c r="AG1353">
        <v>-1.1209621786099999</v>
      </c>
      <c r="AH1353">
        <v>26.619871244538999</v>
      </c>
      <c r="AI1353">
        <v>92.348745329632607</v>
      </c>
      <c r="AJ1353">
        <v>76.913280561674895</v>
      </c>
      <c r="AK1353">
        <v>27.3526434712883</v>
      </c>
      <c r="AL1353">
        <v>81.6365224639828</v>
      </c>
      <c r="AM1353">
        <v>85.449377563363697</v>
      </c>
      <c r="AN1353">
        <v>1.0000000007319201</v>
      </c>
    </row>
    <row r="1354" spans="1:40" x14ac:dyDescent="0.25">
      <c r="A1354" t="str">
        <f>"20190303170247678"</f>
        <v>20190303170247678</v>
      </c>
      <c r="B1354" t="str">
        <f>"1551603767666598"</f>
        <v>1551603767666598</v>
      </c>
      <c r="C1354" t="s">
        <v>40</v>
      </c>
      <c r="D1354">
        <v>4.543139</v>
      </c>
      <c r="E1354">
        <v>0.56113059999999904</v>
      </c>
      <c r="F1354" t="s">
        <v>52</v>
      </c>
      <c r="G1354">
        <v>-203.49199999999999</v>
      </c>
      <c r="H1354" s="1">
        <v>-3.9897369999999996E-6</v>
      </c>
      <c r="I1354">
        <v>361.52679999999998</v>
      </c>
      <c r="J1354">
        <v>-230.37719999999999</v>
      </c>
      <c r="K1354">
        <v>1.1209499999999999</v>
      </c>
      <c r="L1354">
        <v>368.05529999999999</v>
      </c>
      <c r="M1354">
        <v>0.99985950000000001</v>
      </c>
      <c r="N1354">
        <v>-1.4038780000000001E-2</v>
      </c>
      <c r="O1354">
        <v>-9.1644659999999996E-3</v>
      </c>
      <c r="P1354">
        <v>0.98734580000000005</v>
      </c>
      <c r="Q1354">
        <v>0.132158</v>
      </c>
      <c r="R1354">
        <v>-8.7651419999999994E-2</v>
      </c>
      <c r="S1354">
        <v>2.9910580000000002</v>
      </c>
      <c r="T1354">
        <v>-0.12404419999999999</v>
      </c>
      <c r="U1354">
        <v>-0.72262569999999904</v>
      </c>
      <c r="V1354">
        <v>7.8847280000000006E-2</v>
      </c>
      <c r="W1354">
        <v>0.1458826</v>
      </c>
      <c r="X1354">
        <v>0.98615489999999995</v>
      </c>
      <c r="Y1354">
        <v>0.22567499999999999</v>
      </c>
      <c r="Z1354">
        <v>-5.9712439999999997E-3</v>
      </c>
      <c r="AA1354">
        <v>0.9741843</v>
      </c>
      <c r="AB1354">
        <v>27</v>
      </c>
      <c r="AC1354">
        <v>26.885199999999902</v>
      </c>
      <c r="AD1354">
        <v>-1.120953989737</v>
      </c>
      <c r="AE1354">
        <v>-6.5285000000000002</v>
      </c>
      <c r="AF1354">
        <v>6.2715176934713597</v>
      </c>
      <c r="AG1354">
        <v>-1.120953989737</v>
      </c>
      <c r="AH1354">
        <v>26.8997482533442</v>
      </c>
      <c r="AI1354">
        <v>92.323968700671699</v>
      </c>
      <c r="AJ1354">
        <v>76.876260377810297</v>
      </c>
      <c r="AK1354">
        <v>27.643894952049099</v>
      </c>
      <c r="AL1354">
        <v>81.611608545289798</v>
      </c>
      <c r="AM1354">
        <v>85.428683097169099</v>
      </c>
      <c r="AN1354">
        <v>1.00000005667008</v>
      </c>
    </row>
    <row r="1355" spans="1:40" x14ac:dyDescent="0.25">
      <c r="A1355" t="str">
        <f>"20190303170247690"</f>
        <v>20190303170247690</v>
      </c>
      <c r="B1355" t="str">
        <f>"1551603767677334"</f>
        <v>1551603767677334</v>
      </c>
      <c r="C1355" t="s">
        <v>40</v>
      </c>
      <c r="D1355">
        <v>4.5770780000000002</v>
      </c>
      <c r="E1355">
        <v>0.56123239999999996</v>
      </c>
      <c r="F1355" t="s">
        <v>52</v>
      </c>
      <c r="G1355">
        <v>-203.00810000000001</v>
      </c>
      <c r="H1355" s="1">
        <v>-3.7714999999999998E-6</v>
      </c>
      <c r="I1355">
        <v>361.41289999999998</v>
      </c>
      <c r="J1355">
        <v>-230.22970000000001</v>
      </c>
      <c r="K1355">
        <v>1.1209420000000001</v>
      </c>
      <c r="L1355">
        <v>368.05340000000001</v>
      </c>
      <c r="M1355">
        <v>0.99985460000000004</v>
      </c>
      <c r="N1355">
        <v>-1.4037269999999999E-2</v>
      </c>
      <c r="O1355">
        <v>-9.6827700000000003E-3</v>
      </c>
      <c r="P1355">
        <v>0.98725240000000003</v>
      </c>
      <c r="Q1355">
        <v>0.1322197</v>
      </c>
      <c r="R1355">
        <v>-8.860527E-2</v>
      </c>
      <c r="S1355">
        <v>2.9904169999999999</v>
      </c>
      <c r="T1355">
        <v>-0.12247860000000001</v>
      </c>
      <c r="U1355">
        <v>-0.725769</v>
      </c>
      <c r="V1355">
        <v>7.929224E-2</v>
      </c>
      <c r="W1355">
        <v>0.14594019999999999</v>
      </c>
      <c r="X1355">
        <v>0.98611059999999995</v>
      </c>
      <c r="Y1355">
        <v>0.2261898</v>
      </c>
      <c r="Z1355">
        <v>-5.9184789999999999E-3</v>
      </c>
      <c r="AA1355">
        <v>0.97406519999999996</v>
      </c>
      <c r="AB1355">
        <v>27</v>
      </c>
      <c r="AC1355">
        <v>27.221599999999899</v>
      </c>
      <c r="AD1355">
        <v>-1.1209457715</v>
      </c>
      <c r="AE1355">
        <v>-6.6405000000000296</v>
      </c>
      <c r="AF1355">
        <v>6.3663931853126003</v>
      </c>
      <c r="AG1355">
        <v>-1.1209457715</v>
      </c>
      <c r="AH1355">
        <v>27.2410309249736</v>
      </c>
      <c r="AI1355">
        <v>92.294582804177793</v>
      </c>
      <c r="AJ1355">
        <v>76.845728003623904</v>
      </c>
      <c r="AK1355">
        <v>27.9975221665776</v>
      </c>
      <c r="AL1355">
        <v>81.608271775343596</v>
      </c>
      <c r="AM1355">
        <v>85.402790347588294</v>
      </c>
      <c r="AN1355">
        <v>0.99999995836630695</v>
      </c>
    </row>
    <row r="1356" spans="1:40" x14ac:dyDescent="0.25">
      <c r="A1356" t="str">
        <f>"20190303170247701"</f>
        <v>20190303170247701</v>
      </c>
      <c r="B1356" t="str">
        <f>"1551603767687094"</f>
        <v>1551603767687094</v>
      </c>
      <c r="C1356" t="s">
        <v>40</v>
      </c>
      <c r="D1356">
        <v>4.5740600000000002</v>
      </c>
      <c r="E1356">
        <v>0.56129869999999904</v>
      </c>
      <c r="F1356" t="s">
        <v>52</v>
      </c>
      <c r="G1356">
        <v>-202.6962</v>
      </c>
      <c r="H1356" s="1">
        <v>-3.631612E-6</v>
      </c>
      <c r="I1356">
        <v>361.33580000000001</v>
      </c>
      <c r="J1356">
        <v>-230.101</v>
      </c>
      <c r="K1356">
        <v>1.1209359999999999</v>
      </c>
      <c r="L1356">
        <v>368.05169999999998</v>
      </c>
      <c r="M1356">
        <v>0.99985020000000002</v>
      </c>
      <c r="N1356">
        <v>-1.4036E-2</v>
      </c>
      <c r="O1356">
        <v>-1.0138589999999999E-2</v>
      </c>
      <c r="P1356">
        <v>0.98719259999999998</v>
      </c>
      <c r="Q1356">
        <v>0.1320848</v>
      </c>
      <c r="R1356">
        <v>-8.9466829999999997E-2</v>
      </c>
      <c r="S1356">
        <v>2.9895939999999999</v>
      </c>
      <c r="T1356">
        <v>-0.1217126</v>
      </c>
      <c r="U1356">
        <v>-0.72940059999999995</v>
      </c>
      <c r="V1356">
        <v>7.9706029999999997E-2</v>
      </c>
      <c r="W1356">
        <v>0.14580190000000001</v>
      </c>
      <c r="X1356">
        <v>0.98609780000000002</v>
      </c>
      <c r="Y1356">
        <v>0.22692619999999999</v>
      </c>
      <c r="Z1356">
        <v>-5.9010219999999997E-3</v>
      </c>
      <c r="AA1356">
        <v>0.97389409999999998</v>
      </c>
      <c r="AB1356">
        <v>27</v>
      </c>
      <c r="AC1356">
        <v>27.404799999999899</v>
      </c>
      <c r="AD1356">
        <v>-1.1209396316119999</v>
      </c>
      <c r="AE1356">
        <v>-6.7158999999999702</v>
      </c>
      <c r="AF1356">
        <v>6.4275369674060698</v>
      </c>
      <c r="AG1356">
        <v>-1.1209396316119999</v>
      </c>
      <c r="AH1356">
        <v>27.428198444363201</v>
      </c>
      <c r="AI1356">
        <v>92.278608444661103</v>
      </c>
      <c r="AJ1356">
        <v>76.811264602057307</v>
      </c>
      <c r="AK1356">
        <v>28.193541938331499</v>
      </c>
      <c r="AL1356">
        <v>81.616282299768699</v>
      </c>
      <c r="AM1356">
        <v>85.378843521229498</v>
      </c>
      <c r="AN1356">
        <v>1.0000000582134001</v>
      </c>
    </row>
    <row r="1357" spans="1:40" x14ac:dyDescent="0.25">
      <c r="A1357" t="str">
        <f>"20190303170247712"</f>
        <v>20190303170247712</v>
      </c>
      <c r="B1357" t="str">
        <f>"1551603767696854"</f>
        <v>1551603767696854</v>
      </c>
      <c r="C1357" t="s">
        <v>40</v>
      </c>
      <c r="D1357">
        <v>4.5412949999999999</v>
      </c>
      <c r="E1357">
        <v>0.56127439999999995</v>
      </c>
      <c r="F1357" t="s">
        <v>52</v>
      </c>
      <c r="G1357">
        <v>-202.5651</v>
      </c>
      <c r="H1357" s="1">
        <v>-3.5721500000000002E-6</v>
      </c>
      <c r="I1357">
        <v>361.30650000000003</v>
      </c>
      <c r="J1357">
        <v>-229.9692</v>
      </c>
      <c r="K1357">
        <v>1.12093</v>
      </c>
      <c r="L1357">
        <v>368.0498</v>
      </c>
      <c r="M1357">
        <v>0.99984530000000005</v>
      </c>
      <c r="N1357">
        <v>-1.4034710000000001E-2</v>
      </c>
      <c r="O1357">
        <v>-1.060823E-2</v>
      </c>
      <c r="P1357">
        <v>0.98716159999999997</v>
      </c>
      <c r="Q1357">
        <v>0.13159390000000001</v>
      </c>
      <c r="R1357">
        <v>-9.0525939999999999E-2</v>
      </c>
      <c r="S1357">
        <v>2.9888460000000001</v>
      </c>
      <c r="T1357">
        <v>-0.1216708</v>
      </c>
      <c r="U1357">
        <v>-0.7321472</v>
      </c>
      <c r="V1357">
        <v>8.0302410000000005E-2</v>
      </c>
      <c r="W1357">
        <v>0.14530799999999999</v>
      </c>
      <c r="X1357">
        <v>0.98612230000000001</v>
      </c>
      <c r="Y1357">
        <v>0.22736909999999999</v>
      </c>
      <c r="Z1357">
        <v>-5.8998790000000002E-3</v>
      </c>
      <c r="AA1357">
        <v>0.97379079999999996</v>
      </c>
      <c r="AB1357">
        <v>27</v>
      </c>
      <c r="AC1357">
        <v>27.4041</v>
      </c>
      <c r="AD1357">
        <v>-1.12093357215</v>
      </c>
      <c r="AE1357">
        <v>-6.7432999999999703</v>
      </c>
      <c r="AF1357">
        <v>6.4420199302427399</v>
      </c>
      <c r="AG1357">
        <v>-1.12093357215</v>
      </c>
      <c r="AH1357">
        <v>27.4308242862339</v>
      </c>
      <c r="AI1357">
        <v>92.278122416747294</v>
      </c>
      <c r="AJ1357">
        <v>76.783809737555003</v>
      </c>
      <c r="AK1357">
        <v>28.199401303521601</v>
      </c>
      <c r="AL1357">
        <v>81.644885158177502</v>
      </c>
      <c r="AM1357">
        <v>85.344533488799797</v>
      </c>
      <c r="AN1357">
        <v>1.00000004123654</v>
      </c>
    </row>
    <row r="1358" spans="1:40" x14ac:dyDescent="0.25">
      <c r="A1358" t="str">
        <f>"20190303170247722"</f>
        <v>20190303170247722</v>
      </c>
      <c r="B1358" t="str">
        <f>"1551603767706614"</f>
        <v>1551603767706614</v>
      </c>
      <c r="C1358" t="s">
        <v>40</v>
      </c>
      <c r="D1358">
        <v>4.572775</v>
      </c>
      <c r="E1358">
        <v>0.56132799999999905</v>
      </c>
      <c r="F1358" t="s">
        <v>52</v>
      </c>
      <c r="G1358">
        <v>-202.98939999999999</v>
      </c>
      <c r="H1358" s="1">
        <v>-3.7622850000000002E-6</v>
      </c>
      <c r="I1358">
        <v>361.41199999999998</v>
      </c>
      <c r="J1358">
        <v>-229.8494</v>
      </c>
      <c r="K1358">
        <v>1.120924</v>
      </c>
      <c r="L1358">
        <v>368.04809999999998</v>
      </c>
      <c r="M1358">
        <v>0.99984070000000003</v>
      </c>
      <c r="N1358">
        <v>-1.4033520000000001E-2</v>
      </c>
      <c r="O1358">
        <v>-1.103911E-2</v>
      </c>
      <c r="P1358">
        <v>0.98712650000000002</v>
      </c>
      <c r="Q1358">
        <v>0.13119069999999999</v>
      </c>
      <c r="R1358">
        <v>-9.1491740000000002E-2</v>
      </c>
      <c r="S1358">
        <v>2.9881289999999998</v>
      </c>
      <c r="T1358">
        <v>-0.1241482</v>
      </c>
      <c r="U1358">
        <v>-0.7351685</v>
      </c>
      <c r="V1358">
        <v>8.0843410000000004E-2</v>
      </c>
      <c r="W1358">
        <v>0.14490129999999901</v>
      </c>
      <c r="X1358">
        <v>0.98613790000000001</v>
      </c>
      <c r="Y1358">
        <v>0.22792309999999999</v>
      </c>
      <c r="Z1358">
        <v>-5.9881369999999897E-3</v>
      </c>
      <c r="AA1358">
        <v>0.97366070000000005</v>
      </c>
      <c r="AB1358">
        <v>27</v>
      </c>
      <c r="AC1358">
        <v>26.86</v>
      </c>
      <c r="AD1358">
        <v>-1.120927762285</v>
      </c>
      <c r="AE1358">
        <v>-6.6360999999999901</v>
      </c>
      <c r="AF1358">
        <v>6.32876793143733</v>
      </c>
      <c r="AG1358">
        <v>-1.120927762285</v>
      </c>
      <c r="AH1358">
        <v>26.887494029441601</v>
      </c>
      <c r="AI1358">
        <v>92.323819689322207</v>
      </c>
      <c r="AJ1358">
        <v>76.754838637749003</v>
      </c>
      <c r="AK1358">
        <v>27.645019764172901</v>
      </c>
      <c r="AL1358">
        <v>81.668436272393805</v>
      </c>
      <c r="AM1358">
        <v>85.313382518396196</v>
      </c>
      <c r="AN1358">
        <v>1.00000000074926</v>
      </c>
    </row>
    <row r="1359" spans="1:40" x14ac:dyDescent="0.25">
      <c r="A1359" t="str">
        <f>"20190303170247734"</f>
        <v>20190303170247734</v>
      </c>
      <c r="B1359" t="str">
        <f>"1551603767727110"</f>
        <v>1551603767727110</v>
      </c>
      <c r="C1359" t="s">
        <v>40</v>
      </c>
      <c r="D1359">
        <v>4.5711149999999998</v>
      </c>
      <c r="E1359">
        <v>0.5614555</v>
      </c>
      <c r="F1359" t="s">
        <v>52</v>
      </c>
      <c r="G1359">
        <v>-203.16839999999999</v>
      </c>
      <c r="H1359" s="1">
        <v>-3.8430030000000002E-6</v>
      </c>
      <c r="I1359">
        <v>361.45400000000001</v>
      </c>
      <c r="J1359">
        <v>-229.6944</v>
      </c>
      <c r="K1359">
        <v>1.1209199999999999</v>
      </c>
      <c r="L1359">
        <v>368.04579999999999</v>
      </c>
      <c r="M1359">
        <v>0.99983429999999995</v>
      </c>
      <c r="N1359">
        <v>-1.403195E-2</v>
      </c>
      <c r="O1359">
        <v>-1.159815E-2</v>
      </c>
      <c r="P1359">
        <v>0.98708340000000006</v>
      </c>
      <c r="Q1359">
        <v>0.13095780000000001</v>
      </c>
      <c r="R1359">
        <v>-9.2286199999999999E-2</v>
      </c>
      <c r="S1359">
        <v>2.9873660000000002</v>
      </c>
      <c r="T1359">
        <v>-0.1255059</v>
      </c>
      <c r="U1359">
        <v>-0.73831179999999996</v>
      </c>
      <c r="V1359">
        <v>8.1087339999999994E-2</v>
      </c>
      <c r="W1359">
        <v>0.14466589999999999</v>
      </c>
      <c r="X1359">
        <v>0.98615240000000004</v>
      </c>
      <c r="Y1359">
        <v>0.22839709999999999</v>
      </c>
      <c r="Z1359">
        <v>-6.0324929999999999E-3</v>
      </c>
      <c r="AA1359">
        <v>0.97354940000000001</v>
      </c>
      <c r="AB1359">
        <v>27</v>
      </c>
      <c r="AC1359">
        <v>26.526</v>
      </c>
      <c r="AD1359">
        <v>-1.120923843003</v>
      </c>
      <c r="AE1359">
        <v>-6.5917999999999699</v>
      </c>
      <c r="AF1359">
        <v>6.2731233370095802</v>
      </c>
      <c r="AG1359">
        <v>-1.120923843003</v>
      </c>
      <c r="AH1359">
        <v>26.556012721726798</v>
      </c>
      <c r="AI1359">
        <v>92.352343426466703</v>
      </c>
      <c r="AJ1359">
        <v>76.709097504729897</v>
      </c>
      <c r="AK1359">
        <v>27.309894879689001</v>
      </c>
      <c r="AL1359">
        <v>81.682067047592597</v>
      </c>
      <c r="AM1359">
        <v>85.299373601855905</v>
      </c>
      <c r="AN1359">
        <v>0.99999996767842203</v>
      </c>
    </row>
    <row r="1360" spans="1:40" x14ac:dyDescent="0.25">
      <c r="A1360" t="str">
        <f>"20190303170247747"</f>
        <v>20190303170247747</v>
      </c>
      <c r="B1360" t="str">
        <f>"1551603767736869"</f>
        <v>1551603767736869</v>
      </c>
      <c r="C1360" t="s">
        <v>40</v>
      </c>
      <c r="D1360">
        <v>4.5749139999999997</v>
      </c>
      <c r="E1360">
        <v>0.5615173</v>
      </c>
      <c r="F1360" t="s">
        <v>52</v>
      </c>
      <c r="G1360">
        <v>-203.13890000000001</v>
      </c>
      <c r="H1360" s="1">
        <v>-3.8287439999999998E-6</v>
      </c>
      <c r="I1360">
        <v>361.4513</v>
      </c>
      <c r="J1360">
        <v>-229.5412</v>
      </c>
      <c r="K1360">
        <v>1.1209180000000001</v>
      </c>
      <c r="L1360">
        <v>368.04340000000002</v>
      </c>
      <c r="M1360">
        <v>0.99982780000000004</v>
      </c>
      <c r="N1360">
        <v>-1.403037E-2</v>
      </c>
      <c r="O1360">
        <v>-1.215669E-2</v>
      </c>
      <c r="P1360">
        <v>0.98703600000000002</v>
      </c>
      <c r="Q1360">
        <v>0.13071559999999999</v>
      </c>
      <c r="R1360">
        <v>-9.3131920000000007E-2</v>
      </c>
      <c r="S1360">
        <v>2.9866329999999999</v>
      </c>
      <c r="T1360">
        <v>-0.1260676</v>
      </c>
      <c r="U1360">
        <v>-0.74166869999999996</v>
      </c>
      <c r="V1360">
        <v>8.1382990000000002E-2</v>
      </c>
      <c r="W1360">
        <v>0.14442099999999999</v>
      </c>
      <c r="X1360">
        <v>0.98616400000000004</v>
      </c>
      <c r="Y1360">
        <v>0.22893749999999999</v>
      </c>
      <c r="Z1360">
        <v>-6.0515350000000002E-3</v>
      </c>
      <c r="AA1360">
        <v>0.97342229999999996</v>
      </c>
      <c r="AB1360">
        <v>27</v>
      </c>
      <c r="AC1360">
        <v>26.4023</v>
      </c>
      <c r="AD1360">
        <v>-1.1209218287439999</v>
      </c>
      <c r="AE1360">
        <v>-6.5921000000000101</v>
      </c>
      <c r="AF1360">
        <v>6.2599953473596104</v>
      </c>
      <c r="AG1360">
        <v>-1.1209218287439999</v>
      </c>
      <c r="AH1360">
        <v>26.435641386925699</v>
      </c>
      <c r="AI1360">
        <v>92.362732078138194</v>
      </c>
      <c r="AJ1360">
        <v>76.677680288309304</v>
      </c>
      <c r="AK1360">
        <v>27.189835288821801</v>
      </c>
      <c r="AL1360">
        <v>81.696248187655996</v>
      </c>
      <c r="AM1360">
        <v>85.282367258275897</v>
      </c>
      <c r="AN1360">
        <v>1.0000000255991699</v>
      </c>
    </row>
    <row r="1361" spans="1:40" x14ac:dyDescent="0.25">
      <c r="A1361" t="str">
        <f>"20190303170247763"</f>
        <v>20190303170247763</v>
      </c>
      <c r="B1361" t="str">
        <f>"1551603767757366"</f>
        <v>1551603767757366</v>
      </c>
      <c r="C1361" t="s">
        <v>40</v>
      </c>
      <c r="D1361">
        <v>4.5750580000000003</v>
      </c>
      <c r="E1361">
        <v>0.56159930000000002</v>
      </c>
      <c r="F1361" t="s">
        <v>52</v>
      </c>
      <c r="G1361">
        <v>-203.1814</v>
      </c>
      <c r="H1361" s="1">
        <v>-3.845727E-6</v>
      </c>
      <c r="I1361">
        <v>361.47129999999999</v>
      </c>
      <c r="J1361">
        <v>-229.36449999999999</v>
      </c>
      <c r="K1361">
        <v>1.1209150000000001</v>
      </c>
      <c r="L1361">
        <v>368.04059999999998</v>
      </c>
      <c r="M1361">
        <v>0.99981969999999998</v>
      </c>
      <c r="N1361">
        <v>-1.4028570000000001E-2</v>
      </c>
      <c r="O1361">
        <v>-1.280297E-2</v>
      </c>
      <c r="P1361">
        <v>0.9868711</v>
      </c>
      <c r="Q1361">
        <v>0.13130339999999999</v>
      </c>
      <c r="R1361">
        <v>-9.4049270000000004E-2</v>
      </c>
      <c r="S1361">
        <v>2.9859619999999998</v>
      </c>
      <c r="T1361">
        <v>-0.1269749</v>
      </c>
      <c r="U1361">
        <v>-0.74447629999999998</v>
      </c>
      <c r="V1361">
        <v>8.1665989999999994E-2</v>
      </c>
      <c r="W1361">
        <v>0.1450042</v>
      </c>
      <c r="X1361">
        <v>0.98605500000000001</v>
      </c>
      <c r="Y1361">
        <v>0.22921810000000001</v>
      </c>
      <c r="Z1361">
        <v>-6.072292E-3</v>
      </c>
      <c r="AA1361">
        <v>0.97335609999999995</v>
      </c>
      <c r="AB1361">
        <v>27</v>
      </c>
      <c r="AC1361">
        <v>26.1831</v>
      </c>
      <c r="AD1361">
        <v>-1.1209188457269901</v>
      </c>
      <c r="AE1361">
        <v>-6.5692999999999904</v>
      </c>
      <c r="AF1361">
        <v>6.2227776012722398</v>
      </c>
      <c r="AG1361">
        <v>-1.1209188457269901</v>
      </c>
      <c r="AH1361">
        <v>26.219859519913001</v>
      </c>
      <c r="AI1361">
        <v>92.381865346431198</v>
      </c>
      <c r="AJ1361">
        <v>76.648964170261706</v>
      </c>
      <c r="AK1361">
        <v>26.971474809093699</v>
      </c>
      <c r="AL1361">
        <v>81.662477661220706</v>
      </c>
      <c r="AM1361">
        <v>85.265515741845704</v>
      </c>
      <c r="AN1361">
        <v>1.00000000748266</v>
      </c>
    </row>
    <row r="1362" spans="1:40" x14ac:dyDescent="0.25">
      <c r="A1362" t="str">
        <f>"20190303170247777"</f>
        <v>20190303170247777</v>
      </c>
      <c r="B1362" t="str">
        <f>"1551603767767126"</f>
        <v>1551603767767126</v>
      </c>
      <c r="C1362" t="s">
        <v>40</v>
      </c>
      <c r="D1362">
        <v>4.559304</v>
      </c>
      <c r="E1362">
        <v>0.5616797</v>
      </c>
      <c r="F1362" t="s">
        <v>52</v>
      </c>
      <c r="G1362">
        <v>-202.62629999999999</v>
      </c>
      <c r="H1362" s="1">
        <v>-3.5955390000000002E-6</v>
      </c>
      <c r="I1362">
        <v>361.3399</v>
      </c>
      <c r="J1362">
        <v>-229.18510000000001</v>
      </c>
      <c r="K1362">
        <v>1.1209129999999901</v>
      </c>
      <c r="L1362">
        <v>368.0376</v>
      </c>
      <c r="M1362">
        <v>0.99981109999999895</v>
      </c>
      <c r="N1362">
        <v>-1.4026759999999999E-2</v>
      </c>
      <c r="O1362">
        <v>-1.3463640000000001E-2</v>
      </c>
      <c r="P1362">
        <v>0.986653</v>
      </c>
      <c r="Q1362">
        <v>0.1323433</v>
      </c>
      <c r="R1362">
        <v>-9.4875500000000001E-2</v>
      </c>
      <c r="S1362">
        <v>2.9852449999999999</v>
      </c>
      <c r="T1362">
        <v>-0.12514729999999999</v>
      </c>
      <c r="U1362">
        <v>-0.74810790000000005</v>
      </c>
      <c r="V1362">
        <v>8.184553E-2</v>
      </c>
      <c r="W1362">
        <v>0.14603920000000001</v>
      </c>
      <c r="X1362">
        <v>0.98588730000000002</v>
      </c>
      <c r="Y1362">
        <v>0.22975019999999999</v>
      </c>
      <c r="Z1362">
        <v>-6.0079869999999898E-3</v>
      </c>
      <c r="AA1362">
        <v>0.97323110000000002</v>
      </c>
      <c r="AB1362">
        <v>27</v>
      </c>
      <c r="AC1362">
        <v>26.558800000000002</v>
      </c>
      <c r="AD1362">
        <v>-1.1209165955389999</v>
      </c>
      <c r="AE1362">
        <v>-6.6976999999999904</v>
      </c>
      <c r="AF1362">
        <v>6.3288801911963297</v>
      </c>
      <c r="AG1362">
        <v>-1.1209165955389999</v>
      </c>
      <c r="AH1362">
        <v>26.602024527072999</v>
      </c>
      <c r="AI1362">
        <v>92.347375913269403</v>
      </c>
      <c r="AJ1362">
        <v>76.617561855080197</v>
      </c>
      <c r="AK1362">
        <v>27.367478645788101</v>
      </c>
      <c r="AL1362">
        <v>81.602538021480299</v>
      </c>
      <c r="AM1362">
        <v>85.254351189859506</v>
      </c>
      <c r="AN1362">
        <v>0.99999995350945403</v>
      </c>
    </row>
    <row r="1363" spans="1:40" x14ac:dyDescent="0.25">
      <c r="A1363" t="str">
        <f>"20190303170247790"</f>
        <v>20190303170247790</v>
      </c>
      <c r="B1363" t="str">
        <f>"1551603767776886"</f>
        <v>1551603767776886</v>
      </c>
      <c r="C1363" t="s">
        <v>40</v>
      </c>
      <c r="D1363">
        <v>4.5762539999999996</v>
      </c>
      <c r="E1363">
        <v>0.56171899999999997</v>
      </c>
      <c r="F1363" t="s">
        <v>52</v>
      </c>
      <c r="G1363">
        <v>-201.74590000000001</v>
      </c>
      <c r="H1363" s="1">
        <v>-3.198316E-6</v>
      </c>
      <c r="I1363">
        <v>361.13310000000001</v>
      </c>
      <c r="J1363">
        <v>-229.0205</v>
      </c>
      <c r="K1363">
        <v>1.1209150000000001</v>
      </c>
      <c r="L1363">
        <v>368.03469999999999</v>
      </c>
      <c r="M1363">
        <v>0.99980270000000004</v>
      </c>
      <c r="N1363">
        <v>-1.4025050000000001E-2</v>
      </c>
      <c r="O1363">
        <v>-1.4072309999999999E-2</v>
      </c>
      <c r="P1363">
        <v>0.98656010000000005</v>
      </c>
      <c r="Q1363">
        <v>0.13262170000000001</v>
      </c>
      <c r="R1363">
        <v>-9.5451380000000002E-2</v>
      </c>
      <c r="S1363">
        <v>2.9847260000000002</v>
      </c>
      <c r="T1363">
        <v>-0.1219288</v>
      </c>
      <c r="U1363">
        <v>-0.75103759999999997</v>
      </c>
      <c r="V1363">
        <v>8.1822179999999994E-2</v>
      </c>
      <c r="W1363">
        <v>0.14631469999999999</v>
      </c>
      <c r="X1363">
        <v>0.98584839999999996</v>
      </c>
      <c r="Y1363">
        <v>0.23010700000000001</v>
      </c>
      <c r="Z1363">
        <v>-5.8942369999999897E-3</v>
      </c>
      <c r="AA1363">
        <v>0.97314750000000005</v>
      </c>
      <c r="AB1363">
        <v>27</v>
      </c>
      <c r="AC1363">
        <v>27.2745999999999</v>
      </c>
      <c r="AD1363">
        <v>-1.1209181983159999</v>
      </c>
      <c r="AE1363">
        <v>-6.90159999999997</v>
      </c>
      <c r="AF1363">
        <v>6.5067335510437303</v>
      </c>
      <c r="AG1363">
        <v>-1.1209181983159999</v>
      </c>
      <c r="AH1363">
        <v>27.325653912373699</v>
      </c>
      <c r="AI1363">
        <v>92.285176342130796</v>
      </c>
      <c r="AJ1363">
        <v>76.606261126699806</v>
      </c>
      <c r="AK1363">
        <v>28.1120152399365</v>
      </c>
      <c r="AL1363">
        <v>81.586581727690401</v>
      </c>
      <c r="AM1363">
        <v>85.255512563759098</v>
      </c>
      <c r="AN1363">
        <v>0.99999996417930004</v>
      </c>
    </row>
    <row r="1364" spans="1:40" x14ac:dyDescent="0.25">
      <c r="A1364" t="str">
        <f>"20190303170247802"</f>
        <v>20190303170247802</v>
      </c>
      <c r="B1364" t="str">
        <f>"1551603767786646"</f>
        <v>1551603767786646</v>
      </c>
      <c r="C1364" t="s">
        <v>40</v>
      </c>
      <c r="D1364">
        <v>4.5790920000000002</v>
      </c>
      <c r="E1364">
        <v>0.56178070000000002</v>
      </c>
      <c r="F1364" t="s">
        <v>52</v>
      </c>
      <c r="G1364">
        <v>-201.4461</v>
      </c>
      <c r="H1364" s="1">
        <v>-3.060064E-6</v>
      </c>
      <c r="I1364">
        <v>361.07639999999998</v>
      </c>
      <c r="J1364">
        <v>-228.8845</v>
      </c>
      <c r="K1364">
        <v>1.1209180000000001</v>
      </c>
      <c r="L1364">
        <v>368.03219999999999</v>
      </c>
      <c r="M1364">
        <v>0.9997954</v>
      </c>
      <c r="N1364">
        <v>-1.402363E-2</v>
      </c>
      <c r="O1364">
        <v>-1.457667E-2</v>
      </c>
      <c r="P1364">
        <v>0.98647980000000002</v>
      </c>
      <c r="Q1364">
        <v>0.13292909999999999</v>
      </c>
      <c r="R1364">
        <v>-9.5849320000000002E-2</v>
      </c>
      <c r="S1364">
        <v>2.9843289999999998</v>
      </c>
      <c r="T1364">
        <v>-0.1213151</v>
      </c>
      <c r="U1364">
        <v>-0.75308229999999998</v>
      </c>
      <c r="V1364">
        <v>8.1724140000000001E-2</v>
      </c>
      <c r="W1364">
        <v>0.14662039999999901</v>
      </c>
      <c r="X1364">
        <v>0.9858112</v>
      </c>
      <c r="Y1364">
        <v>0.2302757</v>
      </c>
      <c r="Z1364">
        <v>-5.8653209999999997E-3</v>
      </c>
      <c r="AA1364">
        <v>0.97310779999999997</v>
      </c>
      <c r="AB1364">
        <v>27</v>
      </c>
      <c r="AC1364">
        <v>27.438400000000001</v>
      </c>
      <c r="AD1364">
        <v>-1.1209210600640001</v>
      </c>
      <c r="AE1364">
        <v>-6.9558000000000098</v>
      </c>
      <c r="AF1364">
        <v>6.5447978875127797</v>
      </c>
      <c r="AG1364">
        <v>-1.1209210600640001</v>
      </c>
      <c r="AH1364">
        <v>27.493772737387498</v>
      </c>
      <c r="AI1364">
        <v>92.271260012611407</v>
      </c>
      <c r="AJ1364">
        <v>76.610141961856201</v>
      </c>
      <c r="AK1364">
        <v>28.284242658172801</v>
      </c>
      <c r="AL1364">
        <v>81.5688761771668</v>
      </c>
      <c r="AM1364">
        <v>85.260993534391105</v>
      </c>
      <c r="AN1364">
        <v>1.00000004940016</v>
      </c>
    </row>
    <row r="1365" spans="1:40" x14ac:dyDescent="0.25">
      <c r="A1365" t="str">
        <f>"20190303170247813"</f>
        <v>20190303170247813</v>
      </c>
      <c r="B1365" t="str">
        <f>"1551603767807142"</f>
        <v>1551603767807142</v>
      </c>
      <c r="C1365" t="s">
        <v>40</v>
      </c>
      <c r="D1365">
        <v>4.582363</v>
      </c>
      <c r="E1365">
        <v>0.56188139999999998</v>
      </c>
      <c r="F1365" t="s">
        <v>52</v>
      </c>
      <c r="G1365">
        <v>-201.09639999999999</v>
      </c>
      <c r="H1365" s="1">
        <v>-2.899946E-6</v>
      </c>
      <c r="I1365">
        <v>361.00479999999999</v>
      </c>
      <c r="J1365">
        <v>-228.7372</v>
      </c>
      <c r="K1365">
        <v>1.1209180000000001</v>
      </c>
      <c r="L1365">
        <v>368.02949999999998</v>
      </c>
      <c r="M1365">
        <v>0.99978739999999999</v>
      </c>
      <c r="N1365">
        <v>-1.4022099999999999E-2</v>
      </c>
      <c r="O1365">
        <v>-1.512346E-2</v>
      </c>
      <c r="P1365">
        <v>0.98642189999999996</v>
      </c>
      <c r="Q1365">
        <v>0.13311120000000001</v>
      </c>
      <c r="R1365">
        <v>-9.6196030000000002E-2</v>
      </c>
      <c r="S1365">
        <v>2.9840239999999998</v>
      </c>
      <c r="T1365">
        <v>-0.1203703</v>
      </c>
      <c r="U1365">
        <v>-0.7546387</v>
      </c>
      <c r="V1365">
        <v>8.1531699999999999E-2</v>
      </c>
      <c r="W1365">
        <v>0.14680099999999999</v>
      </c>
      <c r="X1365">
        <v>0.98580020000000002</v>
      </c>
      <c r="Y1365">
        <v>0.2302476</v>
      </c>
      <c r="Z1365">
        <v>-5.8191469999999898E-3</v>
      </c>
      <c r="AA1365">
        <v>0.9731147</v>
      </c>
      <c r="AB1365">
        <v>27</v>
      </c>
      <c r="AC1365">
        <v>27.640799999999999</v>
      </c>
      <c r="AD1365">
        <v>-1.1209208999460001</v>
      </c>
      <c r="AE1365">
        <v>-7.0246999999999904</v>
      </c>
      <c r="AF1365">
        <v>6.5956420338374997</v>
      </c>
      <c r="AG1365">
        <v>-1.1209208999460001</v>
      </c>
      <c r="AH1365">
        <v>27.701094283040799</v>
      </c>
      <c r="AI1365">
        <v>92.254251319927704</v>
      </c>
      <c r="AJ1365">
        <v>76.607221565945807</v>
      </c>
      <c r="AK1365">
        <v>28.497536419493699</v>
      </c>
      <c r="AL1365">
        <v>81.558414888641806</v>
      </c>
      <c r="AM1365">
        <v>85.2720495512893</v>
      </c>
      <c r="AN1365">
        <v>0.99999999301296405</v>
      </c>
    </row>
    <row r="1366" spans="1:40" x14ac:dyDescent="0.25">
      <c r="A1366" t="str">
        <f>"20190303170247833"</f>
        <v>20190303170247833</v>
      </c>
      <c r="B1366" t="str">
        <f>"1551603767826661"</f>
        <v>1551603767826661</v>
      </c>
      <c r="C1366" t="s">
        <v>40</v>
      </c>
      <c r="D1366">
        <v>4.5626379999999997</v>
      </c>
      <c r="E1366">
        <v>0.56197790000000003</v>
      </c>
      <c r="F1366" t="s">
        <v>52</v>
      </c>
      <c r="G1366">
        <v>-200.804</v>
      </c>
      <c r="H1366" s="1">
        <v>-2.7658810000000002E-6</v>
      </c>
      <c r="I1366">
        <v>360.94569999999999</v>
      </c>
      <c r="J1366">
        <v>-228.5129</v>
      </c>
      <c r="K1366">
        <v>1.1209209999999901</v>
      </c>
      <c r="L1366">
        <v>368.02510000000001</v>
      </c>
      <c r="M1366">
        <v>0.9997743</v>
      </c>
      <c r="N1366">
        <v>-1.401984E-2</v>
      </c>
      <c r="O1366">
        <v>-1.5957989999999998E-2</v>
      </c>
      <c r="P1366">
        <v>0.98634980000000005</v>
      </c>
      <c r="Q1366">
        <v>0.13308879999999901</v>
      </c>
      <c r="R1366">
        <v>-9.6962649999999997E-2</v>
      </c>
      <c r="S1366">
        <v>2.983673</v>
      </c>
      <c r="T1366">
        <v>-0.11973060000000001</v>
      </c>
      <c r="U1366">
        <v>-0.75665280000000001</v>
      </c>
      <c r="V1366">
        <v>8.147488E-2</v>
      </c>
      <c r="W1366">
        <v>0.14677689999999999</v>
      </c>
      <c r="X1366">
        <v>0.98580849999999998</v>
      </c>
      <c r="Y1366">
        <v>0.2300825</v>
      </c>
      <c r="Z1366">
        <v>-5.7721789999999997E-3</v>
      </c>
      <c r="AA1366">
        <v>0.97315399999999996</v>
      </c>
      <c r="AB1366">
        <v>27</v>
      </c>
      <c r="AC1366">
        <v>27.7089</v>
      </c>
      <c r="AD1366">
        <v>-1.1209237658809901</v>
      </c>
      <c r="AE1366">
        <v>-7.0794000000000201</v>
      </c>
      <c r="AF1366">
        <v>6.62609741641411</v>
      </c>
      <c r="AG1366">
        <v>-1.1209237658809901</v>
      </c>
      <c r="AH1366">
        <v>27.7756856836826</v>
      </c>
      <c r="AI1366">
        <v>92.247978020914999</v>
      </c>
      <c r="AJ1366">
        <v>76.582441513728199</v>
      </c>
      <c r="AK1366">
        <v>28.577094888379701</v>
      </c>
      <c r="AL1366">
        <v>81.559810953254399</v>
      </c>
      <c r="AM1366">
        <v>85.275369169995798</v>
      </c>
      <c r="AN1366">
        <v>1.00000000655843</v>
      </c>
    </row>
    <row r="1367" spans="1:40" x14ac:dyDescent="0.25">
      <c r="A1367" t="str">
        <f>"20190303170247845"</f>
        <v>20190303170247845</v>
      </c>
      <c r="B1367" t="str">
        <f>"1551603767837398"</f>
        <v>1551603767837398</v>
      </c>
      <c r="C1367" t="s">
        <v>40</v>
      </c>
      <c r="D1367">
        <v>4.5847670000000003</v>
      </c>
      <c r="E1367">
        <v>0.56206040000000002</v>
      </c>
      <c r="F1367" t="s">
        <v>52</v>
      </c>
      <c r="G1367">
        <v>-200.54040000000001</v>
      </c>
      <c r="H1367" s="1">
        <v>-2.6326750000000002E-6</v>
      </c>
      <c r="I1367">
        <v>360.90370000000001</v>
      </c>
      <c r="J1367">
        <v>-228.36850000000001</v>
      </c>
      <c r="K1367">
        <v>1.120922</v>
      </c>
      <c r="L1367">
        <v>368.0222</v>
      </c>
      <c r="M1367">
        <v>0.99976560000000003</v>
      </c>
      <c r="N1367">
        <v>-1.401838E-2</v>
      </c>
      <c r="O1367">
        <v>-1.6496650000000002E-2</v>
      </c>
      <c r="P1367">
        <v>0.98629049999999996</v>
      </c>
      <c r="Q1367">
        <v>0.133163</v>
      </c>
      <c r="R1367">
        <v>-9.7462740000000006E-2</v>
      </c>
      <c r="S1367">
        <v>2.9830019999999999</v>
      </c>
      <c r="T1367">
        <v>-0.1195359</v>
      </c>
      <c r="U1367">
        <v>-0.75942989999999999</v>
      </c>
      <c r="V1367">
        <v>8.1443600000000005E-2</v>
      </c>
      <c r="W1367">
        <v>0.1468496</v>
      </c>
      <c r="X1367">
        <v>0.98580029999999996</v>
      </c>
      <c r="Y1367">
        <v>0.23046169999999999</v>
      </c>
      <c r="Z1367">
        <v>-5.7626070000000003E-3</v>
      </c>
      <c r="AA1367">
        <v>0.97306429999999999</v>
      </c>
      <c r="AB1367">
        <v>27</v>
      </c>
      <c r="AC1367">
        <v>27.828099999999999</v>
      </c>
      <c r="AD1367">
        <v>-1.120924632675</v>
      </c>
      <c r="AE1367">
        <v>-7.1184999999999796</v>
      </c>
      <c r="AF1367">
        <v>6.6482911822601398</v>
      </c>
      <c r="AG1367">
        <v>-1.120924632675</v>
      </c>
      <c r="AH1367">
        <v>27.899268821875701</v>
      </c>
      <c r="AI1367">
        <v>92.238163973329307</v>
      </c>
      <c r="AJ1367">
        <v>76.5966033921991</v>
      </c>
      <c r="AK1367">
        <v>28.702359632468202</v>
      </c>
      <c r="AL1367">
        <v>81.555600274868993</v>
      </c>
      <c r="AM1367">
        <v>85.277135745745099</v>
      </c>
      <c r="AN1367">
        <v>1.0000000482406</v>
      </c>
    </row>
    <row r="1368" spans="1:40" x14ac:dyDescent="0.25">
      <c r="A1368" t="str">
        <f>"20190303170247856"</f>
        <v>20190303170247856</v>
      </c>
      <c r="B1368" t="str">
        <f>"1551603767847157"</f>
        <v>1551603767847157</v>
      </c>
      <c r="C1368" t="s">
        <v>40</v>
      </c>
      <c r="D1368">
        <v>4.5585180000000003</v>
      </c>
      <c r="E1368">
        <v>0.56213819999999903</v>
      </c>
      <c r="F1368" t="s">
        <v>52</v>
      </c>
      <c r="G1368">
        <v>-200.37459999999999</v>
      </c>
      <c r="H1368" s="1">
        <v>-2.5421530000000002E-6</v>
      </c>
      <c r="I1368">
        <v>360.87520000000001</v>
      </c>
      <c r="J1368">
        <v>-228.2303</v>
      </c>
      <c r="K1368">
        <v>1.1209229999999999</v>
      </c>
      <c r="L1368">
        <v>368.01940000000002</v>
      </c>
      <c r="M1368">
        <v>0.99975709999999995</v>
      </c>
      <c r="N1368">
        <v>-1.401699E-2</v>
      </c>
      <c r="O1368">
        <v>-1.701219E-2</v>
      </c>
      <c r="P1368">
        <v>0.98616289999999995</v>
      </c>
      <c r="Q1368">
        <v>0.1334756</v>
      </c>
      <c r="R1368">
        <v>-9.8322439999999997E-2</v>
      </c>
      <c r="S1368">
        <v>2.9825740000000001</v>
      </c>
      <c r="T1368">
        <v>-0.1194277</v>
      </c>
      <c r="U1368">
        <v>-0.7614746</v>
      </c>
      <c r="V1368">
        <v>8.1796540000000001E-2</v>
      </c>
      <c r="W1368">
        <v>0.14715899999999901</v>
      </c>
      <c r="X1368">
        <v>0.98572490000000001</v>
      </c>
      <c r="Y1368">
        <v>0.23061999999999999</v>
      </c>
      <c r="Z1368">
        <v>-5.7503119999999996E-3</v>
      </c>
      <c r="AA1368">
        <v>0.97302690000000003</v>
      </c>
      <c r="AB1368">
        <v>27</v>
      </c>
      <c r="AC1368">
        <v>27.855699999999999</v>
      </c>
      <c r="AD1368">
        <v>-1.120925542153</v>
      </c>
      <c r="AE1368">
        <v>-7.1442000000000103</v>
      </c>
      <c r="AF1368">
        <v>6.6591153703834598</v>
      </c>
      <c r="AG1368">
        <v>-1.120925542153</v>
      </c>
      <c r="AH1368">
        <v>27.930781692879901</v>
      </c>
      <c r="AI1368">
        <v>92.235583363381295</v>
      </c>
      <c r="AJ1368">
        <v>76.590169153985798</v>
      </c>
      <c r="AK1368">
        <v>28.735498213228201</v>
      </c>
      <c r="AL1368">
        <v>81.537677943880894</v>
      </c>
      <c r="AM1368">
        <v>85.256400991389597</v>
      </c>
      <c r="AN1368">
        <v>1.00000001185849</v>
      </c>
    </row>
    <row r="1369" spans="1:40" x14ac:dyDescent="0.25">
      <c r="A1369" t="str">
        <f>"20190303170247868"</f>
        <v>20190303170247868</v>
      </c>
      <c r="B1369" t="str">
        <f>"1551603767856920"</f>
        <v>1551603767856920</v>
      </c>
      <c r="C1369" t="s">
        <v>40</v>
      </c>
      <c r="D1369">
        <v>4.5739099999999997</v>
      </c>
      <c r="E1369">
        <v>0.56222609999999995</v>
      </c>
      <c r="F1369" t="s">
        <v>52</v>
      </c>
      <c r="G1369">
        <v>-200.04820000000001</v>
      </c>
      <c r="H1369" s="1">
        <v>-2.370153E-6</v>
      </c>
      <c r="I1369">
        <v>360.7953</v>
      </c>
      <c r="J1369">
        <v>-228.08250000000001</v>
      </c>
      <c r="K1369">
        <v>1.120924</v>
      </c>
      <c r="L1369">
        <v>368.0163</v>
      </c>
      <c r="M1369">
        <v>0.99974759999999996</v>
      </c>
      <c r="N1369">
        <v>-1.401547E-2</v>
      </c>
      <c r="O1369">
        <v>-1.7563720000000001E-2</v>
      </c>
      <c r="P1369">
        <v>0.98611110000000002</v>
      </c>
      <c r="Q1369">
        <v>0.13330790000000001</v>
      </c>
      <c r="R1369">
        <v>-9.9066440000000006E-2</v>
      </c>
      <c r="S1369">
        <v>2.9819339999999999</v>
      </c>
      <c r="T1369">
        <v>-0.118604399999999</v>
      </c>
      <c r="U1369">
        <v>-0.76437379999999999</v>
      </c>
      <c r="V1369">
        <v>8.1995979999999996E-2</v>
      </c>
      <c r="W1369">
        <v>0.1469897</v>
      </c>
      <c r="X1369">
        <v>0.98573359999999999</v>
      </c>
      <c r="Y1369">
        <v>0.2310237</v>
      </c>
      <c r="Z1369">
        <v>-5.7207730000000002E-3</v>
      </c>
      <c r="AA1369">
        <v>0.97293130000000005</v>
      </c>
      <c r="AB1369">
        <v>27</v>
      </c>
      <c r="AC1369">
        <v>28.034300000000002</v>
      </c>
      <c r="AD1369">
        <v>-1.1209263701529999</v>
      </c>
      <c r="AE1369">
        <v>-7.2210000000000001</v>
      </c>
      <c r="AF1369">
        <v>6.7173799044357301</v>
      </c>
      <c r="AG1369">
        <v>-1.1209263701529999</v>
      </c>
      <c r="AH1369">
        <v>28.114663663755699</v>
      </c>
      <c r="AI1369">
        <v>92.220720986179501</v>
      </c>
      <c r="AJ1369">
        <v>76.562357612314898</v>
      </c>
      <c r="AK1369">
        <v>28.927737236671799</v>
      </c>
      <c r="AL1369">
        <v>81.547484845392503</v>
      </c>
      <c r="AM1369">
        <v>85.244929682987902</v>
      </c>
      <c r="AN1369">
        <v>1.0000000214056</v>
      </c>
    </row>
    <row r="1370" spans="1:40" x14ac:dyDescent="0.25">
      <c r="A1370" t="str">
        <f>"20190303170247880"</f>
        <v>20190303170247880</v>
      </c>
      <c r="B1370" t="str">
        <f>"1551603767866678"</f>
        <v>1551603767866678</v>
      </c>
      <c r="C1370" t="s">
        <v>40</v>
      </c>
      <c r="D1370">
        <v>4.5743830000000001</v>
      </c>
      <c r="E1370">
        <v>0.56231239999999905</v>
      </c>
      <c r="F1370" t="s">
        <v>52</v>
      </c>
      <c r="G1370">
        <v>-200.07830000000001</v>
      </c>
      <c r="H1370" s="1">
        <v>-2.384862E-6</v>
      </c>
      <c r="I1370">
        <v>360.80709999999999</v>
      </c>
      <c r="J1370">
        <v>-227.94909999999999</v>
      </c>
      <c r="K1370">
        <v>1.120922</v>
      </c>
      <c r="L1370">
        <v>368.01350000000002</v>
      </c>
      <c r="M1370">
        <v>0.99973860000000003</v>
      </c>
      <c r="N1370">
        <v>-1.401409E-2</v>
      </c>
      <c r="O1370">
        <v>-1.806162E-2</v>
      </c>
      <c r="P1370">
        <v>0.98599919999999996</v>
      </c>
      <c r="Q1370">
        <v>0.133489</v>
      </c>
      <c r="R1370">
        <v>-9.9932450000000006E-2</v>
      </c>
      <c r="S1370">
        <v>2.9813079999999998</v>
      </c>
      <c r="T1370">
        <v>-0.11933290000000001</v>
      </c>
      <c r="U1370">
        <v>-0.76748660000000002</v>
      </c>
      <c r="V1370">
        <v>8.237208E-2</v>
      </c>
      <c r="W1370">
        <v>0.14716789999999999</v>
      </c>
      <c r="X1370">
        <v>0.98567559999999999</v>
      </c>
      <c r="Y1370">
        <v>0.23153840000000001</v>
      </c>
      <c r="Z1370">
        <v>-5.7456879999999997E-3</v>
      </c>
      <c r="AA1370">
        <v>0.97280880000000003</v>
      </c>
      <c r="AB1370">
        <v>27</v>
      </c>
      <c r="AC1370">
        <v>27.8707999999999</v>
      </c>
      <c r="AD1370">
        <v>-1.1209243848620001</v>
      </c>
      <c r="AE1370">
        <v>-7.2064000000000297</v>
      </c>
      <c r="AF1370">
        <v>6.6916372980282599</v>
      </c>
      <c r="AG1370">
        <v>-1.1209243848620001</v>
      </c>
      <c r="AH1370">
        <v>27.954041648086001</v>
      </c>
      <c r="AI1370">
        <v>92.233236145784602</v>
      </c>
      <c r="AJ1370">
        <v>76.537862427554103</v>
      </c>
      <c r="AK1370">
        <v>28.765655314417302</v>
      </c>
      <c r="AL1370">
        <v>81.537162036284499</v>
      </c>
      <c r="AM1370">
        <v>85.222939995126794</v>
      </c>
      <c r="AN1370">
        <v>0.99999996939464697</v>
      </c>
    </row>
    <row r="1371" spans="1:40" x14ac:dyDescent="0.25">
      <c r="A1371" t="str">
        <f>"20190303170247891"</f>
        <v>20190303170247891</v>
      </c>
      <c r="B1371" t="str">
        <f>"1551603767877414"</f>
        <v>1551603767877414</v>
      </c>
      <c r="C1371" t="s">
        <v>40</v>
      </c>
      <c r="D1371">
        <v>4.5846830000000001</v>
      </c>
      <c r="E1371">
        <v>0.56240369999999995</v>
      </c>
      <c r="F1371" t="s">
        <v>52</v>
      </c>
      <c r="G1371">
        <v>-199.85820000000001</v>
      </c>
      <c r="H1371" s="1">
        <v>-1.014332E-5</v>
      </c>
      <c r="I1371">
        <v>360.7491</v>
      </c>
      <c r="J1371">
        <v>-227.81559999999999</v>
      </c>
      <c r="K1371">
        <v>1.120924</v>
      </c>
      <c r="L1371">
        <v>368.01049999999998</v>
      </c>
      <c r="M1371">
        <v>0.9997296</v>
      </c>
      <c r="N1371">
        <v>-1.4012699999999999E-2</v>
      </c>
      <c r="O1371">
        <v>-1.8559510000000001E-2</v>
      </c>
      <c r="P1371">
        <v>0.98587999999999998</v>
      </c>
      <c r="Q1371">
        <v>0.13382549999999999</v>
      </c>
      <c r="R1371">
        <v>-0.1006565</v>
      </c>
      <c r="S1371">
        <v>2.9805760000000001</v>
      </c>
      <c r="T1371">
        <v>-0.1189364</v>
      </c>
      <c r="U1371">
        <v>-0.77078250000000004</v>
      </c>
      <c r="V1371">
        <v>8.2606769999999996E-2</v>
      </c>
      <c r="W1371">
        <v>0.14750189999999999</v>
      </c>
      <c r="X1371">
        <v>0.98560610000000004</v>
      </c>
      <c r="Y1371">
        <v>0.2321211</v>
      </c>
      <c r="Z1371">
        <v>-5.73625E-3</v>
      </c>
      <c r="AA1371">
        <v>0.97267000000000003</v>
      </c>
      <c r="AB1371">
        <v>27</v>
      </c>
      <c r="AC1371">
        <v>27.9573999999999</v>
      </c>
      <c r="AD1371">
        <v>-1.12093414332</v>
      </c>
      <c r="AE1371">
        <v>-7.2613999999999796</v>
      </c>
      <c r="AF1371">
        <v>6.7310856782073101</v>
      </c>
      <c r="AG1371">
        <v>-1.12093414332</v>
      </c>
      <c r="AH1371">
        <v>28.045129861251102</v>
      </c>
      <c r="AI1371">
        <v>92.225692357405094</v>
      </c>
      <c r="AJ1371">
        <v>76.503775075747896</v>
      </c>
      <c r="AK1371">
        <v>28.863355949983799</v>
      </c>
      <c r="AL1371">
        <v>81.517814669349306</v>
      </c>
      <c r="AM1371">
        <v>85.209056476983704</v>
      </c>
      <c r="AN1371">
        <v>1.0000000366553199</v>
      </c>
    </row>
    <row r="1372" spans="1:40" x14ac:dyDescent="0.25">
      <c r="A1372" t="str">
        <f>"20190303170247903"</f>
        <v>20190303170247903</v>
      </c>
      <c r="B1372" t="str">
        <f>"1551603767896934"</f>
        <v>1551603767896934</v>
      </c>
      <c r="C1372" t="s">
        <v>40</v>
      </c>
      <c r="D1372">
        <v>4.577083</v>
      </c>
      <c r="E1372">
        <v>0.56616040000000001</v>
      </c>
      <c r="F1372" t="s">
        <v>52</v>
      </c>
      <c r="G1372">
        <v>-199.4906</v>
      </c>
      <c r="H1372" s="1">
        <v>-1.002268E-5</v>
      </c>
      <c r="I1372">
        <v>360.6583</v>
      </c>
      <c r="J1372">
        <v>-227.66669999999999</v>
      </c>
      <c r="K1372">
        <v>1.1209249999999999</v>
      </c>
      <c r="L1372">
        <v>368.00709999999998</v>
      </c>
      <c r="M1372">
        <v>0.99971909999999997</v>
      </c>
      <c r="N1372">
        <v>-1.401116E-2</v>
      </c>
      <c r="O1372">
        <v>-1.9115210000000001E-2</v>
      </c>
      <c r="P1372">
        <v>0.98579859999999997</v>
      </c>
      <c r="Q1372">
        <v>0.13394800000000001</v>
      </c>
      <c r="R1372">
        <v>-0.1012873</v>
      </c>
      <c r="S1372">
        <v>2.9799959999999999</v>
      </c>
      <c r="T1372">
        <v>-0.1179304</v>
      </c>
      <c r="U1372">
        <v>-0.77349849999999998</v>
      </c>
      <c r="V1372">
        <v>8.2690100000000002E-2</v>
      </c>
      <c r="W1372">
        <v>0.14762259999999999</v>
      </c>
      <c r="X1372">
        <v>0.98558100000000004</v>
      </c>
      <c r="Y1372">
        <v>0.23246020000000001</v>
      </c>
      <c r="Z1372">
        <v>-5.6992220000000003E-3</v>
      </c>
      <c r="AA1372">
        <v>0.97258920000000004</v>
      </c>
      <c r="AB1372">
        <v>27</v>
      </c>
      <c r="AC1372">
        <v>28.176099999999899</v>
      </c>
      <c r="AD1372">
        <v>-1.1209350226799999</v>
      </c>
      <c r="AE1372">
        <v>-7.3487999999999802</v>
      </c>
      <c r="AF1372">
        <v>6.7987370560530804</v>
      </c>
      <c r="AG1372">
        <v>-1.1209350226799999</v>
      </c>
      <c r="AH1372">
        <v>28.269546006427898</v>
      </c>
      <c r="AI1372">
        <v>92.207798729097902</v>
      </c>
      <c r="AJ1372">
        <v>76.477352209532299</v>
      </c>
      <c r="AK1372">
        <v>29.097191484608299</v>
      </c>
      <c r="AL1372">
        <v>81.510822177703901</v>
      </c>
      <c r="AM1372">
        <v>85.204124553339398</v>
      </c>
      <c r="AN1372">
        <v>0.99999999611488499</v>
      </c>
    </row>
    <row r="1373" spans="1:40" x14ac:dyDescent="0.25">
      <c r="A1373" t="str">
        <f>"20190303170247915"</f>
        <v>20190303170247915</v>
      </c>
      <c r="B1373" t="str">
        <f>"1551603767906694"</f>
        <v>1551603767906694</v>
      </c>
      <c r="C1373" t="s">
        <v>40</v>
      </c>
      <c r="D1373">
        <v>4.5654729999999999</v>
      </c>
      <c r="E1373">
        <v>0.56683729999999999</v>
      </c>
      <c r="F1373" t="s">
        <v>52</v>
      </c>
      <c r="G1373">
        <v>-201.64420000000001</v>
      </c>
      <c r="H1373" s="1">
        <v>-3.1821559999999998E-6</v>
      </c>
      <c r="I1373">
        <v>360.97519999999997</v>
      </c>
      <c r="J1373">
        <v>-227.52160000000001</v>
      </c>
      <c r="K1373">
        <v>1.1209260000000001</v>
      </c>
      <c r="L1373">
        <v>368.00380000000001</v>
      </c>
      <c r="M1373">
        <v>0.99970870000000001</v>
      </c>
      <c r="N1373">
        <v>-1.400966E-2</v>
      </c>
      <c r="O1373">
        <v>-1.9656730000000001E-2</v>
      </c>
      <c r="P1373">
        <v>0.98572959999999998</v>
      </c>
      <c r="Q1373">
        <v>0.13401669999999999</v>
      </c>
      <c r="R1373">
        <v>-0.1018695</v>
      </c>
      <c r="S1373">
        <v>2.9779659999999999</v>
      </c>
      <c r="T1373">
        <v>-0.1282769</v>
      </c>
      <c r="U1373">
        <v>-0.80471800000000004</v>
      </c>
      <c r="V1373">
        <v>8.2738220000000001E-2</v>
      </c>
      <c r="W1373">
        <v>0.1476896</v>
      </c>
      <c r="X1373">
        <v>0.98556690000000002</v>
      </c>
      <c r="Y1373">
        <v>0.24156620000000001</v>
      </c>
      <c r="Z1373">
        <v>-6.2716880000000001E-3</v>
      </c>
      <c r="AA1373">
        <v>0.97036409999999995</v>
      </c>
      <c r="AB1373">
        <v>27</v>
      </c>
      <c r="AC1373">
        <v>25.877399999999898</v>
      </c>
      <c r="AD1373">
        <v>-1.1209291821559999</v>
      </c>
      <c r="AE1373">
        <v>-7.0286000000000399</v>
      </c>
      <c r="AF1373">
        <v>6.50715589360897</v>
      </c>
      <c r="AG1373">
        <v>-1.1209291821559999</v>
      </c>
      <c r="AH1373">
        <v>25.965199363915499</v>
      </c>
      <c r="AI1373">
        <v>92.397886086268301</v>
      </c>
      <c r="AJ1373">
        <v>75.930830858710294</v>
      </c>
      <c r="AK1373">
        <v>26.791624401350099</v>
      </c>
      <c r="AL1373">
        <v>81.506940615486101</v>
      </c>
      <c r="AM1373">
        <v>85.201278378451804</v>
      </c>
      <c r="AN1373">
        <v>0.99999997268626795</v>
      </c>
    </row>
    <row r="1374" spans="1:40" x14ac:dyDescent="0.25">
      <c r="A1374" t="str">
        <f>"20190303170247926"</f>
        <v>20190303170247926</v>
      </c>
      <c r="B1374" t="str">
        <f>"1551603767917430"</f>
        <v>1551603767917430</v>
      </c>
      <c r="C1374" t="s">
        <v>40</v>
      </c>
      <c r="D1374">
        <v>4.5829019999999998</v>
      </c>
      <c r="E1374">
        <v>0.56679740000000001</v>
      </c>
      <c r="F1374" t="s">
        <v>52</v>
      </c>
      <c r="G1374">
        <v>-200.64619999999999</v>
      </c>
      <c r="H1374" s="1">
        <v>-2.7478429999999999E-6</v>
      </c>
      <c r="I1374">
        <v>360.66910000000001</v>
      </c>
      <c r="J1374">
        <v>-227.3922</v>
      </c>
      <c r="K1374">
        <v>1.1209260000000001</v>
      </c>
      <c r="L1374">
        <v>368.00069999999999</v>
      </c>
      <c r="M1374">
        <v>0.99969909999999995</v>
      </c>
      <c r="N1374">
        <v>-1.4008339999999999E-2</v>
      </c>
      <c r="O1374">
        <v>-2.0141389999999999E-2</v>
      </c>
      <c r="P1374">
        <v>0.98566220000000004</v>
      </c>
      <c r="Q1374">
        <v>0.1341241</v>
      </c>
      <c r="R1374">
        <v>-0.1023781</v>
      </c>
      <c r="S1374">
        <v>2.9763489999999999</v>
      </c>
      <c r="T1374">
        <v>-0.1241386</v>
      </c>
      <c r="U1374">
        <v>-0.81228639999999996</v>
      </c>
      <c r="V1374">
        <v>8.2769529999999994E-2</v>
      </c>
      <c r="W1374">
        <v>0.14779519999999999</v>
      </c>
      <c r="X1374">
        <v>0.98554839999999999</v>
      </c>
      <c r="Y1374">
        <v>0.2435387</v>
      </c>
      <c r="Z1374">
        <v>-6.1761730000000001E-3</v>
      </c>
      <c r="AA1374">
        <v>0.9698715</v>
      </c>
      <c r="AB1374">
        <v>27</v>
      </c>
      <c r="AC1374">
        <v>26.745999999999999</v>
      </c>
      <c r="AD1374">
        <v>-1.1209287478429999</v>
      </c>
      <c r="AE1374">
        <v>-7.3315999999999804</v>
      </c>
      <c r="AF1374">
        <v>6.7802810499674599</v>
      </c>
      <c r="AG1374">
        <v>-1.1209287478429999</v>
      </c>
      <c r="AH1374">
        <v>26.844400639373301</v>
      </c>
      <c r="AI1374">
        <v>92.318359643659505</v>
      </c>
      <c r="AJ1374">
        <v>75.824869400036505</v>
      </c>
      <c r="AK1374">
        <v>27.7101161683143</v>
      </c>
      <c r="AL1374">
        <v>81.500822701876601</v>
      </c>
      <c r="AM1374">
        <v>85.1993812285628</v>
      </c>
      <c r="AN1374">
        <v>0.99999993249100805</v>
      </c>
    </row>
    <row r="1375" spans="1:40" x14ac:dyDescent="0.25">
      <c r="A1375" t="str">
        <f>"20190303170247938"</f>
        <v>20190303170247938</v>
      </c>
      <c r="B1375" t="str">
        <f>"1551603767927190"</f>
        <v>1551603767927190</v>
      </c>
      <c r="C1375" t="s">
        <v>40</v>
      </c>
      <c r="D1375">
        <v>4.6037109999999997</v>
      </c>
      <c r="E1375">
        <v>0.56679740000000001</v>
      </c>
      <c r="F1375" t="s">
        <v>52</v>
      </c>
      <c r="G1375">
        <v>-200.16640000000001</v>
      </c>
      <c r="H1375" s="1">
        <v>-2.5028599999999898E-6</v>
      </c>
      <c r="I1375">
        <v>360.55959999999999</v>
      </c>
      <c r="J1375">
        <v>-227.25450000000001</v>
      </c>
      <c r="K1375">
        <v>1.1209279999999999</v>
      </c>
      <c r="L1375">
        <v>367.9973</v>
      </c>
      <c r="M1375">
        <v>0.99968849999999998</v>
      </c>
      <c r="N1375">
        <v>-1.4006940000000001E-2</v>
      </c>
      <c r="O1375">
        <v>-2.0657169999999999E-2</v>
      </c>
      <c r="P1375">
        <v>0.98562850000000002</v>
      </c>
      <c r="Q1375">
        <v>0.13397529999999999</v>
      </c>
      <c r="R1375">
        <v>-0.102893899999999</v>
      </c>
      <c r="S1375">
        <v>2.9758300000000002</v>
      </c>
      <c r="T1375">
        <v>-0.1225197</v>
      </c>
      <c r="U1375">
        <v>-0.81332399999999905</v>
      </c>
      <c r="V1375">
        <v>8.2776150000000007E-2</v>
      </c>
      <c r="W1375">
        <v>0.14764569999999999</v>
      </c>
      <c r="X1375">
        <v>0.98557030000000001</v>
      </c>
      <c r="Y1375">
        <v>0.24340200000000001</v>
      </c>
      <c r="Z1375">
        <v>-6.1048569999999896E-3</v>
      </c>
      <c r="AA1375">
        <v>0.9699063</v>
      </c>
      <c r="AB1375">
        <v>27</v>
      </c>
      <c r="AC1375">
        <v>27.088100000000001</v>
      </c>
      <c r="AD1375">
        <v>-1.1209305028600001</v>
      </c>
      <c r="AE1375">
        <v>-7.4377000000000004</v>
      </c>
      <c r="AF1375">
        <v>6.8655619734905402</v>
      </c>
      <c r="AG1375">
        <v>-1.1209305028600001</v>
      </c>
      <c r="AH1375">
        <v>27.1926758671028</v>
      </c>
      <c r="AI1375">
        <v>92.288755782085801</v>
      </c>
      <c r="AJ1375">
        <v>75.830188473856296</v>
      </c>
      <c r="AK1375">
        <v>28.068381628041902</v>
      </c>
      <c r="AL1375">
        <v>81.509483843367505</v>
      </c>
      <c r="AM1375">
        <v>85.199105247005406</v>
      </c>
      <c r="AN1375">
        <v>0.99999997998970103</v>
      </c>
    </row>
    <row r="1376" spans="1:40" x14ac:dyDescent="0.25">
      <c r="A1376" t="str">
        <f>"20190303170247952"</f>
        <v>20190303170247952</v>
      </c>
      <c r="B1376" t="str">
        <f>"1551603767946710"</f>
        <v>1551603767946710</v>
      </c>
      <c r="C1376" t="s">
        <v>40</v>
      </c>
      <c r="D1376">
        <v>4.5583200000000001</v>
      </c>
      <c r="E1376">
        <v>0.54234150000000003</v>
      </c>
      <c r="F1376" t="s">
        <v>52</v>
      </c>
      <c r="G1376">
        <v>-200.1618</v>
      </c>
      <c r="H1376" s="1">
        <v>-2.4949360000000002E-6</v>
      </c>
      <c r="I1376">
        <v>360.57920000000001</v>
      </c>
      <c r="J1376">
        <v>-227.08189999999999</v>
      </c>
      <c r="K1376">
        <v>1.1209260000000001</v>
      </c>
      <c r="L1376">
        <v>367.99310000000003</v>
      </c>
      <c r="M1376">
        <v>0.99967499999999998</v>
      </c>
      <c r="N1376">
        <v>-1.4005170000000001E-2</v>
      </c>
      <c r="O1376">
        <v>-2.1306829999999999E-2</v>
      </c>
      <c r="P1376">
        <v>0.98556350000000004</v>
      </c>
      <c r="Q1376">
        <v>0.13391700000000001</v>
      </c>
      <c r="R1376">
        <v>-0.1035923</v>
      </c>
      <c r="S1376">
        <v>2.9754489999999998</v>
      </c>
      <c r="T1376">
        <v>-0.12310599999999999</v>
      </c>
      <c r="U1376">
        <v>-0.81469729999999996</v>
      </c>
      <c r="V1376">
        <v>8.2834060000000001E-2</v>
      </c>
      <c r="W1376">
        <v>0.147585299999999</v>
      </c>
      <c r="X1376">
        <v>0.98557450000000002</v>
      </c>
      <c r="Y1376">
        <v>0.2432182</v>
      </c>
      <c r="Z1376">
        <v>-6.102054E-3</v>
      </c>
      <c r="AA1376">
        <v>0.96995240000000005</v>
      </c>
      <c r="AB1376">
        <v>27</v>
      </c>
      <c r="AC1376">
        <v>26.920099999999898</v>
      </c>
      <c r="AD1376">
        <v>-1.1209284949359899</v>
      </c>
      <c r="AE1376">
        <v>-7.4139000000000097</v>
      </c>
      <c r="AF1376">
        <v>6.8275752223586599</v>
      </c>
      <c r="AG1376">
        <v>-1.1209284949359899</v>
      </c>
      <c r="AH1376">
        <v>27.028411239872</v>
      </c>
      <c r="AI1376">
        <v>92.302576163426295</v>
      </c>
      <c r="AJ1376">
        <v>75.823240755382102</v>
      </c>
      <c r="AK1376">
        <v>27.899951223243502</v>
      </c>
      <c r="AL1376">
        <v>81.512983000286695</v>
      </c>
      <c r="AM1376">
        <v>85.195782644887103</v>
      </c>
      <c r="AN1376">
        <v>0.99999999866121103</v>
      </c>
    </row>
    <row r="1377" spans="1:40" x14ac:dyDescent="0.25">
      <c r="A1377" t="str">
        <f>"20190303170247966"</f>
        <v>20190303170247966</v>
      </c>
      <c r="B1377" t="str">
        <f>"1551603767957446"</f>
        <v>1551603767957446</v>
      </c>
      <c r="C1377" t="s">
        <v>40</v>
      </c>
      <c r="D1377">
        <v>4.6136730000000004</v>
      </c>
      <c r="E1377">
        <v>0.53890139999999997</v>
      </c>
      <c r="F1377" t="s">
        <v>43</v>
      </c>
      <c r="G1377">
        <v>-226.32910000000001</v>
      </c>
      <c r="H1377">
        <v>1.03172</v>
      </c>
      <c r="I1377">
        <v>367.84089999999998</v>
      </c>
      <c r="J1377">
        <v>-226.9254</v>
      </c>
      <c r="K1377">
        <v>1.1209249999999999</v>
      </c>
      <c r="L1377">
        <v>367.98910000000001</v>
      </c>
      <c r="M1377">
        <v>0.99966219999999995</v>
      </c>
      <c r="N1377">
        <v>-1.400361E-2</v>
      </c>
      <c r="O1377">
        <v>-2.1899289999999998E-2</v>
      </c>
      <c r="P1377">
        <v>0.98552819999999997</v>
      </c>
      <c r="Q1377">
        <v>0.13364779999999901</v>
      </c>
      <c r="R1377">
        <v>-0.1042714</v>
      </c>
      <c r="S1377">
        <v>3.028381</v>
      </c>
      <c r="T1377">
        <v>-0.35898269999999999</v>
      </c>
      <c r="U1377">
        <v>-0.61199950000000003</v>
      </c>
      <c r="V1377">
        <v>8.2928810000000006E-2</v>
      </c>
      <c r="W1377">
        <v>0.14731420000000001</v>
      </c>
      <c r="X1377">
        <v>0.98560709999999996</v>
      </c>
      <c r="Y1377">
        <v>0.17535990000000001</v>
      </c>
      <c r="Z1377">
        <v>-9.2426939999999992E-3</v>
      </c>
      <c r="AA1377">
        <v>0.98446100000000003</v>
      </c>
      <c r="AB1377">
        <v>27</v>
      </c>
      <c r="AC1377">
        <v>0.59629999999998495</v>
      </c>
      <c r="AD1377">
        <v>-8.9204999999999895E-2</v>
      </c>
      <c r="AE1377">
        <v>-0.148200000000031</v>
      </c>
      <c r="AF1377">
        <v>0.13231574189880799</v>
      </c>
      <c r="AG1377">
        <v>-8.9204999999999895E-2</v>
      </c>
      <c r="AH1377">
        <v>0.587029647777079</v>
      </c>
      <c r="AI1377">
        <v>98.432171749617396</v>
      </c>
      <c r="AJ1377">
        <v>77.297873198677493</v>
      </c>
      <c r="AK1377">
        <v>0.60833279950082697</v>
      </c>
      <c r="AL1377">
        <v>81.528687626281993</v>
      </c>
      <c r="AM1377">
        <v>85.190471430073003</v>
      </c>
      <c r="AN1377">
        <v>1.00000000831003</v>
      </c>
    </row>
    <row r="1378" spans="1:40" x14ac:dyDescent="0.25">
      <c r="A1378" t="str">
        <f>"20190303170247980"</f>
        <v>20190303170247980</v>
      </c>
      <c r="B1378" t="str">
        <f>"1551603767967207"</f>
        <v>1551603767967207</v>
      </c>
      <c r="C1378" t="s">
        <v>40</v>
      </c>
      <c r="D1378">
        <v>4.5947719999999999</v>
      </c>
      <c r="E1378">
        <v>0.53654190000000002</v>
      </c>
      <c r="F1378" t="s">
        <v>43</v>
      </c>
      <c r="G1378">
        <v>-226.1037</v>
      </c>
      <c r="H1378">
        <v>1.0070319999999999</v>
      </c>
      <c r="I1378">
        <v>367.83100000000002</v>
      </c>
      <c r="J1378">
        <v>-226.74979999999999</v>
      </c>
      <c r="K1378">
        <v>1.1209229999999999</v>
      </c>
      <c r="L1378">
        <v>367.9846</v>
      </c>
      <c r="M1378">
        <v>0.99964730000000002</v>
      </c>
      <c r="N1378">
        <v>-1.400187E-2</v>
      </c>
      <c r="O1378">
        <v>-2.2567460000000001E-2</v>
      </c>
      <c r="P1378">
        <v>0.98544980000000004</v>
      </c>
      <c r="Q1378">
        <v>0.13380139999999999</v>
      </c>
      <c r="R1378">
        <v>-0.10481360000000001</v>
      </c>
      <c r="S1378">
        <v>3.0394589999999999</v>
      </c>
      <c r="T1378">
        <v>-0.42150739999999998</v>
      </c>
      <c r="U1378">
        <v>-0.58358759999999998</v>
      </c>
      <c r="V1378">
        <v>8.2813600000000001E-2</v>
      </c>
      <c r="W1378">
        <v>0.14746600000000001</v>
      </c>
      <c r="X1378">
        <v>0.98559410000000003</v>
      </c>
      <c r="Y1378">
        <v>0.16483529999999999</v>
      </c>
      <c r="Z1378">
        <v>-9.6709250000000004E-3</v>
      </c>
      <c r="AA1378">
        <v>0.98627370000000003</v>
      </c>
      <c r="AB1378">
        <v>27</v>
      </c>
      <c r="AC1378">
        <v>0.64609999999998902</v>
      </c>
      <c r="AD1378">
        <v>-0.11389099999999901</v>
      </c>
      <c r="AE1378">
        <v>-0.15360000000003901</v>
      </c>
      <c r="AF1378">
        <v>0.13500795537935101</v>
      </c>
      <c r="AG1378">
        <v>-0.11389099999999901</v>
      </c>
      <c r="AH1378">
        <v>0.63084854142722901</v>
      </c>
      <c r="AI1378">
        <v>100.011764266486</v>
      </c>
      <c r="AJ1378">
        <v>77.920342375947797</v>
      </c>
      <c r="AK1378">
        <v>0.65510929631442005</v>
      </c>
      <c r="AL1378">
        <v>81.519894202472898</v>
      </c>
      <c r="AM1378">
        <v>85.197058802392903</v>
      </c>
      <c r="AN1378">
        <v>1.0000000217278799</v>
      </c>
    </row>
    <row r="1379" spans="1:40" x14ac:dyDescent="0.25">
      <c r="A1379" t="str">
        <f>"20190303170247994"</f>
        <v>20190303170247994</v>
      </c>
      <c r="B1379" t="str">
        <f>"1551603767986726"</f>
        <v>1551603767986726</v>
      </c>
      <c r="C1379" t="s">
        <v>40</v>
      </c>
      <c r="D1379">
        <v>4.619561</v>
      </c>
      <c r="E1379">
        <v>0.53390660000000001</v>
      </c>
      <c r="F1379" t="s">
        <v>43</v>
      </c>
      <c r="G1379">
        <v>-225.8768</v>
      </c>
      <c r="H1379">
        <v>0.98471830000000005</v>
      </c>
      <c r="I1379">
        <v>367.82299999999998</v>
      </c>
      <c r="J1379">
        <v>-226.5822</v>
      </c>
      <c r="K1379">
        <v>1.120922</v>
      </c>
      <c r="L1379">
        <v>367.98009999999999</v>
      </c>
      <c r="M1379">
        <v>0.99963270000000004</v>
      </c>
      <c r="N1379">
        <v>-1.4000230000000001E-2</v>
      </c>
      <c r="O1379">
        <v>-2.3208940000000001E-2</v>
      </c>
      <c r="P1379">
        <v>0.98537830000000004</v>
      </c>
      <c r="Q1379">
        <v>0.133817299999999</v>
      </c>
      <c r="R1379">
        <v>-0.1054645</v>
      </c>
      <c r="S1379">
        <v>3.0489039999999998</v>
      </c>
      <c r="T1379">
        <v>-0.47572969999999998</v>
      </c>
      <c r="U1379">
        <v>-0.56396480000000004</v>
      </c>
      <c r="V1379">
        <v>8.2833400000000001E-2</v>
      </c>
      <c r="W1379">
        <v>0.14747969999999999</v>
      </c>
      <c r="X1379">
        <v>0.98559030000000003</v>
      </c>
      <c r="Y1379">
        <v>0.157229799999999</v>
      </c>
      <c r="Z1379">
        <v>-9.9619240000000005E-3</v>
      </c>
      <c r="AA1379">
        <v>0.98751180000000005</v>
      </c>
      <c r="AB1379">
        <v>27</v>
      </c>
      <c r="AC1379">
        <v>0.70539999999999703</v>
      </c>
      <c r="AD1379">
        <v>-0.13620369999999901</v>
      </c>
      <c r="AE1379">
        <v>-0.157099999999957</v>
      </c>
      <c r="AF1379">
        <v>0.13585867266705601</v>
      </c>
      <c r="AG1379">
        <v>-0.13620369999999901</v>
      </c>
      <c r="AH1379">
        <v>0.684540972535572</v>
      </c>
      <c r="AI1379">
        <v>101.04327769485501</v>
      </c>
      <c r="AJ1379">
        <v>78.774558259048007</v>
      </c>
      <c r="AK1379">
        <v>0.71105932938995398</v>
      </c>
      <c r="AL1379">
        <v>81.519099846941401</v>
      </c>
      <c r="AM1379">
        <v>85.195897399807194</v>
      </c>
      <c r="AN1379">
        <v>0.99999993676086796</v>
      </c>
    </row>
    <row r="1380" spans="1:40" x14ac:dyDescent="0.25">
      <c r="A1380" t="str">
        <f>"20190303170248007"</f>
        <v>20190303170248007</v>
      </c>
      <c r="B1380" t="str">
        <f>"1551603767997462"</f>
        <v>1551603767997462</v>
      </c>
      <c r="C1380" t="s">
        <v>40</v>
      </c>
      <c r="D1380">
        <v>4.6174520000000001</v>
      </c>
      <c r="E1380">
        <v>0.53305209999999903</v>
      </c>
      <c r="F1380" t="s">
        <v>43</v>
      </c>
      <c r="G1380">
        <v>-225.8724</v>
      </c>
      <c r="H1380">
        <v>0.99363860000000004</v>
      </c>
      <c r="I1380">
        <v>367.85449999999997</v>
      </c>
      <c r="J1380">
        <v>-226.4325</v>
      </c>
      <c r="K1380">
        <v>1.120922</v>
      </c>
      <c r="L1380">
        <v>367.976</v>
      </c>
      <c r="M1380">
        <v>0.99961909999999998</v>
      </c>
      <c r="N1380">
        <v>-1.3998790000000001E-2</v>
      </c>
      <c r="O1380">
        <v>-2.378798E-2</v>
      </c>
      <c r="P1380">
        <v>0.98529650000000002</v>
      </c>
      <c r="Q1380">
        <v>0.13393160000000001</v>
      </c>
      <c r="R1380">
        <v>-0.10608430000000001</v>
      </c>
      <c r="S1380">
        <v>3.0611570000000001</v>
      </c>
      <c r="T1380">
        <v>-0.54905059999999895</v>
      </c>
      <c r="U1380">
        <v>-0.54113769999999894</v>
      </c>
      <c r="V1380">
        <v>8.2884429999999995E-2</v>
      </c>
      <c r="W1380">
        <v>0.14759149999999999</v>
      </c>
      <c r="X1380">
        <v>0.98556940000000004</v>
      </c>
      <c r="Y1380">
        <v>0.14843120000000001</v>
      </c>
      <c r="Z1380">
        <v>-1.029207E-2</v>
      </c>
      <c r="AA1380">
        <v>0.9888692</v>
      </c>
      <c r="AB1380">
        <v>27</v>
      </c>
      <c r="AC1380">
        <v>0.56010000000000504</v>
      </c>
      <c r="AD1380">
        <v>-0.12728339999999899</v>
      </c>
      <c r="AE1380">
        <v>-0.121500000000025</v>
      </c>
      <c r="AF1380">
        <v>0.103057633518037</v>
      </c>
      <c r="AG1380">
        <v>-0.12728339999999899</v>
      </c>
      <c r="AH1380">
        <v>0.53637673235462802</v>
      </c>
      <c r="AI1380">
        <v>103.118066962897</v>
      </c>
      <c r="AJ1380">
        <v>79.123923228874702</v>
      </c>
      <c r="AK1380">
        <v>0.56082255549623405</v>
      </c>
      <c r="AL1380">
        <v>81.512624365415903</v>
      </c>
      <c r="AM1380">
        <v>85.192850208340303</v>
      </c>
      <c r="AN1380">
        <v>1.0000000609125099</v>
      </c>
    </row>
    <row r="1381" spans="1:40" x14ac:dyDescent="0.25">
      <c r="A1381" t="str">
        <f>"20190303170248021"</f>
        <v>20190303170248021</v>
      </c>
      <c r="B1381" t="str">
        <f>"1551603768016983"</f>
        <v>1551603768016983</v>
      </c>
      <c r="C1381" t="s">
        <v>40</v>
      </c>
      <c r="D1381">
        <v>4.586462</v>
      </c>
      <c r="E1381">
        <v>0.53209849999999903</v>
      </c>
      <c r="F1381" t="s">
        <v>43</v>
      </c>
      <c r="G1381">
        <v>-225.6446</v>
      </c>
      <c r="H1381">
        <v>0.97381079999999998</v>
      </c>
      <c r="I1381">
        <v>367.83819999999997</v>
      </c>
      <c r="J1381">
        <v>-226.26849999999999</v>
      </c>
      <c r="K1381">
        <v>1.1209169999999999</v>
      </c>
      <c r="L1381">
        <v>367.97140000000002</v>
      </c>
      <c r="M1381">
        <v>0.99960360000000004</v>
      </c>
      <c r="N1381">
        <v>-1.3997229999999999E-2</v>
      </c>
      <c r="O1381">
        <v>-2.442712E-2</v>
      </c>
      <c r="P1381">
        <v>0.98520090000000005</v>
      </c>
      <c r="Q1381">
        <v>0.13415569999999999</v>
      </c>
      <c r="R1381">
        <v>-0.10668320000000001</v>
      </c>
      <c r="S1381">
        <v>3.064972</v>
      </c>
      <c r="T1381">
        <v>-0.5723357</v>
      </c>
      <c r="U1381">
        <v>-0.53497309999999998</v>
      </c>
      <c r="V1381">
        <v>8.2856449999999998E-2</v>
      </c>
      <c r="W1381">
        <v>0.14781259999999999</v>
      </c>
      <c r="X1381">
        <v>0.98553849999999998</v>
      </c>
      <c r="Y1381">
        <v>0.14554779999999901</v>
      </c>
      <c r="Z1381">
        <v>-1.026027E-2</v>
      </c>
      <c r="AA1381">
        <v>0.98929800000000001</v>
      </c>
      <c r="AB1381">
        <v>27</v>
      </c>
      <c r="AC1381">
        <v>0.62389999999999102</v>
      </c>
      <c r="AD1381">
        <v>-0.14710619999999899</v>
      </c>
      <c r="AE1381">
        <v>-0.13320000000004401</v>
      </c>
      <c r="AF1381">
        <v>0.11196536701288901</v>
      </c>
      <c r="AG1381">
        <v>-0.14710619999999899</v>
      </c>
      <c r="AH1381">
        <v>0.59531437226777195</v>
      </c>
      <c r="AI1381">
        <v>103.649973263593</v>
      </c>
      <c r="AJ1381">
        <v>79.348371598225597</v>
      </c>
      <c r="AK1381">
        <v>0.62335838754070105</v>
      </c>
      <c r="AL1381">
        <v>81.499814795296899</v>
      </c>
      <c r="AM1381">
        <v>85.194315433367606</v>
      </c>
      <c r="AN1381">
        <v>0.999999945503804</v>
      </c>
    </row>
    <row r="1382" spans="1:40" x14ac:dyDescent="0.25">
      <c r="A1382" t="str">
        <f>"20190303170248033"</f>
        <v>20190303170248033</v>
      </c>
      <c r="B1382" t="str">
        <f>"1551603768026742"</f>
        <v>1551603768026742</v>
      </c>
      <c r="C1382" t="s">
        <v>40</v>
      </c>
      <c r="D1382">
        <v>4.5945010000000002</v>
      </c>
      <c r="E1382">
        <v>0.53170699999999904</v>
      </c>
      <c r="F1382" t="s">
        <v>43</v>
      </c>
      <c r="G1382">
        <v>-225.41720000000001</v>
      </c>
      <c r="H1382">
        <v>0.9535633</v>
      </c>
      <c r="I1382">
        <v>367.82479999999998</v>
      </c>
      <c r="J1382">
        <v>-226.11269999999999</v>
      </c>
      <c r="K1382">
        <v>1.1209039999999999</v>
      </c>
      <c r="L1382">
        <v>367.96690000000001</v>
      </c>
      <c r="M1382">
        <v>0.99958860000000005</v>
      </c>
      <c r="N1382">
        <v>-1.3995799999999999E-2</v>
      </c>
      <c r="O1382">
        <v>-2.5040050000000001E-2</v>
      </c>
      <c r="P1382">
        <v>0.98516230000000005</v>
      </c>
      <c r="Q1382">
        <v>0.13382269999999999</v>
      </c>
      <c r="R1382">
        <v>-0.107458</v>
      </c>
      <c r="S1382">
        <v>3.0700989999999999</v>
      </c>
      <c r="T1382">
        <v>-0.60356299999999996</v>
      </c>
      <c r="U1382">
        <v>-0.52783199999999997</v>
      </c>
      <c r="V1382">
        <v>8.3027879999999998E-2</v>
      </c>
      <c r="W1382">
        <v>0.14747689999999999</v>
      </c>
      <c r="X1382">
        <v>0.98557439999999996</v>
      </c>
      <c r="Y1382">
        <v>0.14226910000000001</v>
      </c>
      <c r="Z1382">
        <v>-1.0273259999999999E-2</v>
      </c>
      <c r="AA1382">
        <v>0.98977470000000001</v>
      </c>
      <c r="AB1382">
        <v>27</v>
      </c>
      <c r="AC1382">
        <v>0.69549999999998102</v>
      </c>
      <c r="AD1382">
        <v>-0.16734070000000001</v>
      </c>
      <c r="AE1382">
        <v>-0.14210000000002701</v>
      </c>
      <c r="AF1382">
        <v>0.118076739500229</v>
      </c>
      <c r="AG1382">
        <v>-0.16734070000000001</v>
      </c>
      <c r="AH1382">
        <v>0.66204968557714095</v>
      </c>
      <c r="AI1382">
        <v>103.97340046724401</v>
      </c>
      <c r="AJ1382">
        <v>79.887608746194502</v>
      </c>
      <c r="AK1382">
        <v>0.69300419368160104</v>
      </c>
      <c r="AL1382">
        <v>81.5192624302382</v>
      </c>
      <c r="AM1382">
        <v>85.184593767451105</v>
      </c>
      <c r="AN1382">
        <v>0.99999998141313196</v>
      </c>
    </row>
    <row r="1383" spans="1:40" x14ac:dyDescent="0.25">
      <c r="A1383" t="str">
        <f>"20190303170248049"</f>
        <v>20190303170248049</v>
      </c>
      <c r="B1383" t="str">
        <f>"1551603768037478"</f>
        <v>1551603768037478</v>
      </c>
      <c r="C1383" t="s">
        <v>40</v>
      </c>
      <c r="D1383">
        <v>4.5805959999999999</v>
      </c>
      <c r="E1383">
        <v>0.53141300000000002</v>
      </c>
      <c r="F1383" t="s">
        <v>43</v>
      </c>
      <c r="G1383">
        <v>-225.4049</v>
      </c>
      <c r="H1383">
        <v>0.97892109999999999</v>
      </c>
      <c r="I1383">
        <v>367.84519999999998</v>
      </c>
      <c r="J1383">
        <v>-225.93889999999999</v>
      </c>
      <c r="K1383">
        <v>1.1208979999999999</v>
      </c>
      <c r="L1383">
        <v>367.96179999999998</v>
      </c>
      <c r="M1383">
        <v>0.99957090000000004</v>
      </c>
      <c r="N1383">
        <v>-1.3994110000000001E-2</v>
      </c>
      <c r="O1383">
        <v>-2.5735270000000001E-2</v>
      </c>
      <c r="P1383">
        <v>0.98513539999999999</v>
      </c>
      <c r="Q1383">
        <v>0.13350200000000001</v>
      </c>
      <c r="R1383">
        <v>-0.108099</v>
      </c>
      <c r="S1383">
        <v>3.0713650000000001</v>
      </c>
      <c r="T1383">
        <v>-0.61615920000000002</v>
      </c>
      <c r="U1383">
        <v>-0.52703859999999902</v>
      </c>
      <c r="V1383">
        <v>8.2985069999999994E-2</v>
      </c>
      <c r="W1383">
        <v>0.147153799999999</v>
      </c>
      <c r="X1383">
        <v>0.98562629999999996</v>
      </c>
      <c r="Y1383">
        <v>0.14120350000000001</v>
      </c>
      <c r="Z1383">
        <v>-1.021239E-2</v>
      </c>
      <c r="AA1383">
        <v>0.98992789999999997</v>
      </c>
      <c r="AB1383">
        <v>27</v>
      </c>
      <c r="AC1383">
        <v>0.53399999999999104</v>
      </c>
      <c r="AD1383">
        <v>-0.14197689999999899</v>
      </c>
      <c r="AE1383">
        <v>-0.11660000000000501</v>
      </c>
      <c r="AF1383">
        <v>9.6318564231940101E-2</v>
      </c>
      <c r="AG1383">
        <v>-0.14197689999999899</v>
      </c>
      <c r="AH1383">
        <v>0.50289281686589504</v>
      </c>
      <c r="AI1383">
        <v>105.497652041528</v>
      </c>
      <c r="AJ1383">
        <v>79.157503136712606</v>
      </c>
      <c r="AK1383">
        <v>0.53135288764118604</v>
      </c>
      <c r="AL1383">
        <v>81.537978915003194</v>
      </c>
      <c r="AM1383">
        <v>85.187317216072103</v>
      </c>
      <c r="AN1383">
        <v>0.99999998297451698</v>
      </c>
    </row>
    <row r="1384" spans="1:40" x14ac:dyDescent="0.25">
      <c r="A1384" t="str">
        <f>"20190303170248062"</f>
        <v>20190303170248062</v>
      </c>
      <c r="B1384" t="str">
        <f>"1551603768056999"</f>
        <v>1551603768056999</v>
      </c>
      <c r="C1384" t="s">
        <v>40</v>
      </c>
      <c r="D1384">
        <v>4.5940960000000004</v>
      </c>
      <c r="E1384">
        <v>0.53113909999999998</v>
      </c>
      <c r="F1384" t="s">
        <v>43</v>
      </c>
      <c r="G1384">
        <v>-225.1748</v>
      </c>
      <c r="H1384">
        <v>0.96497710000000003</v>
      </c>
      <c r="I1384">
        <v>367.83080000000001</v>
      </c>
      <c r="J1384">
        <v>-225.77420000000001</v>
      </c>
      <c r="K1384">
        <v>1.120889</v>
      </c>
      <c r="L1384">
        <v>367.95679999999999</v>
      </c>
      <c r="M1384">
        <v>0.99955360000000004</v>
      </c>
      <c r="N1384">
        <v>-1.3992559999999999E-2</v>
      </c>
      <c r="O1384">
        <v>-2.6402370000000001E-2</v>
      </c>
      <c r="P1384">
        <v>0.98504729999999996</v>
      </c>
      <c r="Q1384">
        <v>0.13353619999999999</v>
      </c>
      <c r="R1384">
        <v>-0.10885789999999999</v>
      </c>
      <c r="S1384">
        <v>3.0724640000000001</v>
      </c>
      <c r="T1384">
        <v>-0.62702500000000005</v>
      </c>
      <c r="U1384">
        <v>-0.52645869999999995</v>
      </c>
      <c r="V1384">
        <v>8.3089850000000007E-2</v>
      </c>
      <c r="W1384">
        <v>0.14718399999999901</v>
      </c>
      <c r="X1384">
        <v>0.98561299999999996</v>
      </c>
      <c r="Y1384">
        <v>0.14025260000000001</v>
      </c>
      <c r="Z1384">
        <v>-1.0135959999999999E-2</v>
      </c>
      <c r="AA1384">
        <v>0.99006380000000005</v>
      </c>
      <c r="AB1384">
        <v>27</v>
      </c>
      <c r="AC1384">
        <v>0.59940000000000204</v>
      </c>
      <c r="AD1384">
        <v>-0.15591189999999999</v>
      </c>
      <c r="AE1384">
        <v>-0.12599999999997599</v>
      </c>
      <c r="AF1384">
        <v>0.103427295083505</v>
      </c>
      <c r="AG1384">
        <v>-0.15591189999999999</v>
      </c>
      <c r="AH1384">
        <v>0.565853175167501</v>
      </c>
      <c r="AI1384">
        <v>105.16529957143899</v>
      </c>
      <c r="AJ1384">
        <v>79.641754055217405</v>
      </c>
      <c r="AK1384">
        <v>0.59598283681415098</v>
      </c>
      <c r="AL1384">
        <v>81.536229844632004</v>
      </c>
      <c r="AM1384">
        <v>85.181204423630604</v>
      </c>
      <c r="AN1384">
        <v>1.00000001939901</v>
      </c>
    </row>
    <row r="1385" spans="1:40" x14ac:dyDescent="0.25">
      <c r="A1385" t="str">
        <f>"20190303170248074"</f>
        <v>20190303170248074</v>
      </c>
      <c r="B1385" t="str">
        <f>"1551603768066758"</f>
        <v>1551603768066758</v>
      </c>
      <c r="C1385" t="s">
        <v>40</v>
      </c>
      <c r="D1385">
        <v>4.5945320000000001</v>
      </c>
      <c r="E1385">
        <v>0.53111200000000003</v>
      </c>
      <c r="F1385" t="s">
        <v>43</v>
      </c>
      <c r="G1385">
        <v>-224.94630000000001</v>
      </c>
      <c r="H1385">
        <v>0.94813380000000003</v>
      </c>
      <c r="I1385">
        <v>367.815</v>
      </c>
      <c r="J1385">
        <v>-225.6249</v>
      </c>
      <c r="K1385">
        <v>1.1208819999999999</v>
      </c>
      <c r="L1385">
        <v>367.9522</v>
      </c>
      <c r="M1385">
        <v>0.99953729999999996</v>
      </c>
      <c r="N1385">
        <v>-1.3991170000000001E-2</v>
      </c>
      <c r="O1385">
        <v>-2.7013209999999999E-2</v>
      </c>
      <c r="P1385">
        <v>0.98498520000000001</v>
      </c>
      <c r="Q1385">
        <v>0.13335229999999901</v>
      </c>
      <c r="R1385">
        <v>-0.10964359999999999</v>
      </c>
      <c r="S1385">
        <v>3.0743260000000001</v>
      </c>
      <c r="T1385">
        <v>-0.64149140000000004</v>
      </c>
      <c r="U1385">
        <v>-0.52642819999999901</v>
      </c>
      <c r="V1385">
        <v>8.3276180000000005E-2</v>
      </c>
      <c r="W1385">
        <v>0.14699719999999999</v>
      </c>
      <c r="X1385">
        <v>0.98562510000000003</v>
      </c>
      <c r="Y1385">
        <v>0.13945879999999999</v>
      </c>
      <c r="Z1385">
        <v>-1.0125489999999999E-2</v>
      </c>
      <c r="AA1385">
        <v>0.9901761</v>
      </c>
      <c r="AB1385">
        <v>26</v>
      </c>
      <c r="AC1385">
        <v>0.67859999999998799</v>
      </c>
      <c r="AD1385">
        <v>-0.17274819999999899</v>
      </c>
      <c r="AE1385">
        <v>-0.13720000000000701</v>
      </c>
      <c r="AF1385">
        <v>0.111853138255731</v>
      </c>
      <c r="AG1385">
        <v>-0.17274819999999899</v>
      </c>
      <c r="AH1385">
        <v>0.64208361368015598</v>
      </c>
      <c r="AI1385">
        <v>104.84498284688399</v>
      </c>
      <c r="AJ1385">
        <v>80.118046942606199</v>
      </c>
      <c r="AK1385">
        <v>0.67425843123943496</v>
      </c>
      <c r="AL1385">
        <v>81.547049956261603</v>
      </c>
      <c r="AM1385">
        <v>85.170508281761499</v>
      </c>
      <c r="AN1385">
        <v>0.99999996835661997</v>
      </c>
    </row>
    <row r="1386" spans="1:40" x14ac:dyDescent="0.25">
      <c r="A1386" t="str">
        <f>"20190303170248086"</f>
        <v>20190303170248086</v>
      </c>
      <c r="B1386" t="str">
        <f>"1551603768077495"</f>
        <v>1551603768077495</v>
      </c>
      <c r="C1386" t="s">
        <v>40</v>
      </c>
      <c r="D1386">
        <v>4.59483</v>
      </c>
      <c r="E1386">
        <v>0.53107040000000005</v>
      </c>
      <c r="F1386" t="s">
        <v>43</v>
      </c>
      <c r="G1386">
        <v>-224.71850000000001</v>
      </c>
      <c r="H1386">
        <v>0.92975810000000003</v>
      </c>
      <c r="I1386">
        <v>367.7962</v>
      </c>
      <c r="J1386">
        <v>-225.49019999999999</v>
      </c>
      <c r="K1386">
        <v>1.1208739999999999</v>
      </c>
      <c r="L1386">
        <v>367.94799999999998</v>
      </c>
      <c r="M1386">
        <v>0.99952189999999996</v>
      </c>
      <c r="N1386">
        <v>-1.3989949999999999E-2</v>
      </c>
      <c r="O1386">
        <v>-2.7576610000000001E-2</v>
      </c>
      <c r="P1386">
        <v>0.98487449999999999</v>
      </c>
      <c r="Q1386">
        <v>0.13343929999999901</v>
      </c>
      <c r="R1386">
        <v>-0.1105269</v>
      </c>
      <c r="S1386">
        <v>3.0747070000000001</v>
      </c>
      <c r="T1386">
        <v>-0.64837840000000002</v>
      </c>
      <c r="U1386">
        <v>-0.52813719999999997</v>
      </c>
      <c r="V1386">
        <v>8.3608689999999999E-2</v>
      </c>
      <c r="W1386">
        <v>0.14707979999999901</v>
      </c>
      <c r="X1386">
        <v>0.98558469999999998</v>
      </c>
      <c r="Y1386">
        <v>0.1393752</v>
      </c>
      <c r="Z1386">
        <v>-1.009815E-2</v>
      </c>
      <c r="AA1386">
        <v>0.99018819999999996</v>
      </c>
      <c r="AB1386">
        <v>26</v>
      </c>
      <c r="AC1386">
        <v>0.77169999999998096</v>
      </c>
      <c r="AD1386">
        <v>-0.19111589999999901</v>
      </c>
      <c r="AE1386">
        <v>-0.15180000000003699</v>
      </c>
      <c r="AF1386">
        <v>0.123185394244436</v>
      </c>
      <c r="AG1386">
        <v>-0.19111589999999901</v>
      </c>
      <c r="AH1386">
        <v>0.73234889104126599</v>
      </c>
      <c r="AI1386">
        <v>104.43178174769299</v>
      </c>
      <c r="AJ1386">
        <v>80.451892018700804</v>
      </c>
      <c r="AK1386">
        <v>0.76683428900730499</v>
      </c>
      <c r="AL1386">
        <v>81.542265936108507</v>
      </c>
      <c r="AM1386">
        <v>85.151118752822697</v>
      </c>
      <c r="AN1386">
        <v>1.00000004074282</v>
      </c>
    </row>
    <row r="1387" spans="1:40" x14ac:dyDescent="0.25">
      <c r="A1387" t="str">
        <f>"20190303170248101"</f>
        <v>20190303170248101</v>
      </c>
      <c r="B1387" t="str">
        <f>"1551603768097014"</f>
        <v>1551603768097014</v>
      </c>
      <c r="C1387" t="s">
        <v>40</v>
      </c>
      <c r="D1387">
        <v>4.5822570000000002</v>
      </c>
      <c r="E1387">
        <v>0.53103089999999997</v>
      </c>
      <c r="F1387" t="s">
        <v>43</v>
      </c>
      <c r="G1387">
        <v>-224.70689999999999</v>
      </c>
      <c r="H1387">
        <v>0.95444660000000003</v>
      </c>
      <c r="I1387">
        <v>367.81270000000001</v>
      </c>
      <c r="J1387">
        <v>-225.32220000000001</v>
      </c>
      <c r="K1387">
        <v>1.1208670000000001</v>
      </c>
      <c r="L1387">
        <v>367.94260000000003</v>
      </c>
      <c r="M1387">
        <v>0.999502</v>
      </c>
      <c r="N1387">
        <v>-1.398843E-2</v>
      </c>
      <c r="O1387">
        <v>-2.8285589999999999E-2</v>
      </c>
      <c r="P1387">
        <v>0.98473940000000004</v>
      </c>
      <c r="Q1387">
        <v>0.13368050000000001</v>
      </c>
      <c r="R1387">
        <v>-0.1114356</v>
      </c>
      <c r="S1387">
        <v>3.0751189999999999</v>
      </c>
      <c r="T1387">
        <v>-0.65345180000000003</v>
      </c>
      <c r="U1387">
        <v>-0.53012079999999995</v>
      </c>
      <c r="V1387">
        <v>8.3824739999999995E-2</v>
      </c>
      <c r="W1387">
        <v>0.14731610000000001</v>
      </c>
      <c r="X1387">
        <v>0.98553100000000005</v>
      </c>
      <c r="Y1387">
        <v>0.13924929999999999</v>
      </c>
      <c r="Z1387">
        <v>-1.001138E-2</v>
      </c>
      <c r="AA1387">
        <v>0.9902067</v>
      </c>
      <c r="AB1387">
        <v>26</v>
      </c>
      <c r="AC1387">
        <v>0.61530000000001905</v>
      </c>
      <c r="AD1387">
        <v>-0.1664204</v>
      </c>
      <c r="AE1387">
        <v>-0.12990000000002</v>
      </c>
      <c r="AF1387">
        <v>0.105082933006392</v>
      </c>
      <c r="AG1387">
        <v>-0.1664204</v>
      </c>
      <c r="AH1387">
        <v>0.57823311671799105</v>
      </c>
      <c r="AI1387">
        <v>105.81055470218899</v>
      </c>
      <c r="AJ1387">
        <v>79.699984069565105</v>
      </c>
      <c r="AK1387">
        <v>0.61081233584038597</v>
      </c>
      <c r="AL1387">
        <v>81.5285773744355</v>
      </c>
      <c r="AM1387">
        <v>85.138385298562895</v>
      </c>
      <c r="AN1387">
        <v>0.99999998615813801</v>
      </c>
    </row>
    <row r="1388" spans="1:40" x14ac:dyDescent="0.25">
      <c r="A1388" t="str">
        <f>"20190303170248112"</f>
        <v>20190303170248112</v>
      </c>
      <c r="B1388" t="str">
        <f>"1551603768106775"</f>
        <v>1551603768106775</v>
      </c>
      <c r="C1388" t="s">
        <v>40</v>
      </c>
      <c r="D1388">
        <v>4.614719</v>
      </c>
      <c r="E1388">
        <v>0.53103979999999995</v>
      </c>
      <c r="F1388" t="s">
        <v>43</v>
      </c>
      <c r="G1388">
        <v>-224.47790000000001</v>
      </c>
      <c r="H1388">
        <v>0.93959309999999996</v>
      </c>
      <c r="I1388">
        <v>367.79660000000001</v>
      </c>
      <c r="J1388">
        <v>-225.1739</v>
      </c>
      <c r="K1388">
        <v>1.120859</v>
      </c>
      <c r="L1388">
        <v>367.93770000000001</v>
      </c>
      <c r="M1388">
        <v>0.99948389999999998</v>
      </c>
      <c r="N1388">
        <v>-1.3987090000000001E-2</v>
      </c>
      <c r="O1388">
        <v>-2.891958E-2</v>
      </c>
      <c r="P1388">
        <v>0.98462590000000005</v>
      </c>
      <c r="Q1388">
        <v>0.13390150000000001</v>
      </c>
      <c r="R1388">
        <v>-0.1121717</v>
      </c>
      <c r="S1388">
        <v>3.075958</v>
      </c>
      <c r="T1388">
        <v>-0.66046289999999996</v>
      </c>
      <c r="U1388">
        <v>-0.53210449999999998</v>
      </c>
      <c r="V1388">
        <v>8.3941409999999994E-2</v>
      </c>
      <c r="W1388">
        <v>0.147533</v>
      </c>
      <c r="X1388">
        <v>0.9854887</v>
      </c>
      <c r="Y1388">
        <v>0.13915810000000001</v>
      </c>
      <c r="Z1388">
        <v>-9.9642889999999994E-3</v>
      </c>
      <c r="AA1388">
        <v>0.99022010000000005</v>
      </c>
      <c r="AB1388">
        <v>26</v>
      </c>
      <c r="AC1388">
        <v>0.69599999999999795</v>
      </c>
      <c r="AD1388">
        <v>-0.18126590000000001</v>
      </c>
      <c r="AE1388">
        <v>-0.14109999999999401</v>
      </c>
      <c r="AF1388">
        <v>0.113515330642368</v>
      </c>
      <c r="AG1388">
        <v>-0.18126590000000001</v>
      </c>
      <c r="AH1388">
        <v>0.65698641948380299</v>
      </c>
      <c r="AI1388">
        <v>105.20974827348</v>
      </c>
      <c r="AJ1388">
        <v>80.197114762826303</v>
      </c>
      <c r="AK1388">
        <v>0.69092272518698095</v>
      </c>
      <c r="AL1388">
        <v>81.516013277672599</v>
      </c>
      <c r="AM1388">
        <v>85.131443284789597</v>
      </c>
      <c r="AN1388">
        <v>1.00000006211473</v>
      </c>
    </row>
    <row r="1389" spans="1:40" x14ac:dyDescent="0.25">
      <c r="A1389" t="str">
        <f>"20190303170248125"</f>
        <v>20190303170248125</v>
      </c>
      <c r="B1389" t="str">
        <f>"1551603768116534"</f>
        <v>1551603768116534</v>
      </c>
      <c r="C1389" t="s">
        <v>40</v>
      </c>
      <c r="D1389">
        <v>4.591666</v>
      </c>
      <c r="E1389">
        <v>0.53099549999999995</v>
      </c>
      <c r="F1389" t="s">
        <v>43</v>
      </c>
      <c r="G1389">
        <v>-224.46430000000001</v>
      </c>
      <c r="H1389">
        <v>0.96790120000000002</v>
      </c>
      <c r="I1389">
        <v>367.81450000000001</v>
      </c>
      <c r="J1389">
        <v>-225.0376</v>
      </c>
      <c r="K1389">
        <v>1.120852</v>
      </c>
      <c r="L1389">
        <v>367.93310000000002</v>
      </c>
      <c r="M1389">
        <v>0.99946659999999998</v>
      </c>
      <c r="N1389">
        <v>-1.3985890000000001E-2</v>
      </c>
      <c r="O1389">
        <v>-2.9514459999999999E-2</v>
      </c>
      <c r="P1389">
        <v>0.98450919999999997</v>
      </c>
      <c r="Q1389">
        <v>0.13409570000000001</v>
      </c>
      <c r="R1389">
        <v>-0.11296150000000001</v>
      </c>
      <c r="S1389">
        <v>3.0761259999999999</v>
      </c>
      <c r="T1389">
        <v>-0.66316640000000004</v>
      </c>
      <c r="U1389">
        <v>-0.53466800000000003</v>
      </c>
      <c r="V1389">
        <v>8.4150310000000006E-2</v>
      </c>
      <c r="W1389">
        <v>0.14772299999999999</v>
      </c>
      <c r="X1389">
        <v>0.98544229999999999</v>
      </c>
      <c r="Y1389">
        <v>0.13934779999999999</v>
      </c>
      <c r="Z1389">
        <v>-9.9014979999999999E-3</v>
      </c>
      <c r="AA1389">
        <v>0.99019400000000002</v>
      </c>
      <c r="AB1389">
        <v>26</v>
      </c>
      <c r="AC1389">
        <v>0.57329999999998904</v>
      </c>
      <c r="AD1389">
        <v>-0.1529508</v>
      </c>
      <c r="AE1389">
        <v>-0.118600000000014</v>
      </c>
      <c r="AF1389">
        <v>9.5132663633839806E-2</v>
      </c>
      <c r="AG1389">
        <v>-0.1529508</v>
      </c>
      <c r="AH1389">
        <v>0.53971239877974997</v>
      </c>
      <c r="AI1389">
        <v>105.59392426361499</v>
      </c>
      <c r="AJ1389">
        <v>80.003417657523798</v>
      </c>
      <c r="AK1389">
        <v>0.56897596109792004</v>
      </c>
      <c r="AL1389">
        <v>81.5050054590549</v>
      </c>
      <c r="AM1389">
        <v>85.119156954461403</v>
      </c>
      <c r="AN1389">
        <v>0.99999994301569095</v>
      </c>
    </row>
    <row r="1390" spans="1:40" x14ac:dyDescent="0.25">
      <c r="A1390" t="str">
        <f>"20190303170248137"</f>
        <v>20190303170248137</v>
      </c>
      <c r="B1390" t="str">
        <f>"1551603768127270"</f>
        <v>1551603768127270</v>
      </c>
      <c r="C1390" t="s">
        <v>40</v>
      </c>
      <c r="D1390">
        <v>4.5866749999999996</v>
      </c>
      <c r="E1390">
        <v>0.53095289999999995</v>
      </c>
      <c r="F1390" t="s">
        <v>43</v>
      </c>
      <c r="G1390">
        <v>-224.23830000000001</v>
      </c>
      <c r="H1390">
        <v>0.94793139999999998</v>
      </c>
      <c r="I1390">
        <v>367.79329999999999</v>
      </c>
      <c r="J1390">
        <v>-224.89660000000001</v>
      </c>
      <c r="K1390">
        <v>1.1208419999999999</v>
      </c>
      <c r="L1390">
        <v>367.92829999999998</v>
      </c>
      <c r="M1390">
        <v>0.99944820000000001</v>
      </c>
      <c r="N1390">
        <v>-1.398464E-2</v>
      </c>
      <c r="O1390">
        <v>-3.013474E-2</v>
      </c>
      <c r="P1390">
        <v>0.98439929999999998</v>
      </c>
      <c r="Q1390">
        <v>0.13433290000000001</v>
      </c>
      <c r="R1390">
        <v>-0.1136365</v>
      </c>
      <c r="S1390">
        <v>3.0762480000000001</v>
      </c>
      <c r="T1390">
        <v>-0.66552279999999997</v>
      </c>
      <c r="U1390">
        <v>-0.53698729999999995</v>
      </c>
      <c r="V1390">
        <v>8.4219589999999997E-2</v>
      </c>
      <c r="W1390">
        <v>0.14795649999999999</v>
      </c>
      <c r="X1390">
        <v>0.98540139999999998</v>
      </c>
      <c r="Y1390">
        <v>0.13944379999999901</v>
      </c>
      <c r="Z1390">
        <v>-9.8180779999999992E-3</v>
      </c>
      <c r="AA1390">
        <v>0.99018130000000004</v>
      </c>
      <c r="AB1390">
        <v>26</v>
      </c>
      <c r="AC1390">
        <v>0.658299999999997</v>
      </c>
      <c r="AD1390">
        <v>-0.1729106</v>
      </c>
      <c r="AE1390">
        <v>-0.13499999999998999</v>
      </c>
      <c r="AF1390">
        <v>0.107951858211907</v>
      </c>
      <c r="AG1390">
        <v>-0.1729106</v>
      </c>
      <c r="AH1390">
        <v>0.62095772669957405</v>
      </c>
      <c r="AI1390">
        <v>105.341251994521</v>
      </c>
      <c r="AJ1390">
        <v>80.137846289532007</v>
      </c>
      <c r="AK1390">
        <v>0.65355962056392902</v>
      </c>
      <c r="AL1390">
        <v>81.4914786690385</v>
      </c>
      <c r="AM1390">
        <v>85.114956278531906</v>
      </c>
      <c r="AN1390">
        <v>0.99999999217698898</v>
      </c>
    </row>
    <row r="1391" spans="1:40" x14ac:dyDescent="0.25">
      <c r="A1391" t="str">
        <f>"20190303170248150"</f>
        <v>20190303170248150</v>
      </c>
      <c r="B1391" t="str">
        <f>"1551603768137031"</f>
        <v>1551603768137031</v>
      </c>
      <c r="C1391" t="s">
        <v>40</v>
      </c>
      <c r="D1391">
        <v>4.5575239999999999</v>
      </c>
      <c r="E1391">
        <v>0.530869699999999</v>
      </c>
      <c r="F1391" t="s">
        <v>43</v>
      </c>
      <c r="G1391">
        <v>-224.01169999999999</v>
      </c>
      <c r="H1391">
        <v>0.92888000000000004</v>
      </c>
      <c r="I1391">
        <v>367.77350000000001</v>
      </c>
      <c r="J1391">
        <v>-224.73390000000001</v>
      </c>
      <c r="K1391">
        <v>1.1208290000000001</v>
      </c>
      <c r="L1391">
        <v>367.92259999999999</v>
      </c>
      <c r="M1391">
        <v>0.99942580000000003</v>
      </c>
      <c r="N1391">
        <v>-1.3983219999999999E-2</v>
      </c>
      <c r="O1391">
        <v>-3.0867019999999998E-2</v>
      </c>
      <c r="P1391">
        <v>0.98428890000000002</v>
      </c>
      <c r="Q1391">
        <v>0.1343693</v>
      </c>
      <c r="R1391">
        <v>-0.1145446</v>
      </c>
      <c r="S1391">
        <v>3.0765229999999999</v>
      </c>
      <c r="T1391">
        <v>-0.66743200000000003</v>
      </c>
      <c r="U1391">
        <v>-0.5381165</v>
      </c>
      <c r="V1391">
        <v>8.4412020000000004E-2</v>
      </c>
      <c r="W1391">
        <v>0.14798810000000001</v>
      </c>
      <c r="X1391">
        <v>0.98538020000000004</v>
      </c>
      <c r="Y1391">
        <v>0.13906569999999999</v>
      </c>
      <c r="Z1391">
        <v>-9.6521049999999994E-3</v>
      </c>
      <c r="AA1391">
        <v>0.99023609999999895</v>
      </c>
      <c r="AB1391">
        <v>26</v>
      </c>
      <c r="AC1391">
        <v>0.72220000000001505</v>
      </c>
      <c r="AD1391">
        <v>-0.19194900000000001</v>
      </c>
      <c r="AE1391">
        <v>-0.149099999999975</v>
      </c>
      <c r="AF1391">
        <v>0.118692788861224</v>
      </c>
      <c r="AG1391">
        <v>-0.19194900000000001</v>
      </c>
      <c r="AH1391">
        <v>0.68036185723414799</v>
      </c>
      <c r="AI1391">
        <v>105.532215602916</v>
      </c>
      <c r="AJ1391">
        <v>80.104034273308102</v>
      </c>
      <c r="AK1391">
        <v>0.71681563425176098</v>
      </c>
      <c r="AL1391">
        <v>81.489648059421597</v>
      </c>
      <c r="AM1391">
        <v>85.103744006611606</v>
      </c>
      <c r="AN1391">
        <v>1.0000000027070599</v>
      </c>
    </row>
    <row r="1392" spans="1:40" x14ac:dyDescent="0.25">
      <c r="A1392" t="str">
        <f>"20190303170248164"</f>
        <v>20190303170248164</v>
      </c>
      <c r="B1392" t="str">
        <f>"1551603768156550"</f>
        <v>1551603768156550</v>
      </c>
      <c r="C1392" t="s">
        <v>40</v>
      </c>
      <c r="D1392">
        <v>4.5909909999999998</v>
      </c>
      <c r="E1392">
        <v>0.53065319999999905</v>
      </c>
      <c r="F1392" t="s">
        <v>43</v>
      </c>
      <c r="G1392">
        <v>-223.99680000000001</v>
      </c>
      <c r="H1392">
        <v>0.96040230000000004</v>
      </c>
      <c r="I1392">
        <v>367.79329999999999</v>
      </c>
      <c r="J1392">
        <v>-224.57730000000001</v>
      </c>
      <c r="K1392">
        <v>1.1208180000000001</v>
      </c>
      <c r="L1392">
        <v>367.91699999999997</v>
      </c>
      <c r="M1392">
        <v>0.99940329999999999</v>
      </c>
      <c r="N1392">
        <v>-1.398188E-2</v>
      </c>
      <c r="O1392">
        <v>-3.1583319999999998E-2</v>
      </c>
      <c r="P1392">
        <v>0.98416550000000003</v>
      </c>
      <c r="Q1392">
        <v>0.134235299999999</v>
      </c>
      <c r="R1392">
        <v>-0.1157545</v>
      </c>
      <c r="S1392">
        <v>3.076508</v>
      </c>
      <c r="T1392">
        <v>-0.66962580000000005</v>
      </c>
      <c r="U1392">
        <v>-0.53961179999999997</v>
      </c>
      <c r="V1392">
        <v>8.4921969999999999E-2</v>
      </c>
      <c r="W1392">
        <v>0.14784849999999999</v>
      </c>
      <c r="X1392">
        <v>0.98535729999999999</v>
      </c>
      <c r="Y1392">
        <v>0.13882749999999999</v>
      </c>
      <c r="Z1392">
        <v>-9.5082199999999995E-3</v>
      </c>
      <c r="AA1392">
        <v>0.99027089999999995</v>
      </c>
      <c r="AB1392">
        <v>26</v>
      </c>
      <c r="AC1392">
        <v>0.58050000000000002</v>
      </c>
      <c r="AD1392">
        <v>-0.160415699999999</v>
      </c>
      <c r="AE1392">
        <v>-0.123699999999985</v>
      </c>
      <c r="AF1392">
        <v>9.8133959289303699E-2</v>
      </c>
      <c r="AG1392">
        <v>-0.160415699999999</v>
      </c>
      <c r="AH1392">
        <v>0.54435406291649402</v>
      </c>
      <c r="AI1392">
        <v>106.172952890115</v>
      </c>
      <c r="AJ1392">
        <v>79.780711065184207</v>
      </c>
      <c r="AK1392">
        <v>0.57592084229169804</v>
      </c>
      <c r="AL1392">
        <v>81.497735186664499</v>
      </c>
      <c r="AM1392">
        <v>85.074195920844502</v>
      </c>
      <c r="AN1392">
        <v>0.99999996430210902</v>
      </c>
    </row>
    <row r="1393" spans="1:40" x14ac:dyDescent="0.25">
      <c r="A1393" t="str">
        <f>"20190303170248178"</f>
        <v>20190303170248178</v>
      </c>
      <c r="B1393" t="str">
        <f>"1551603768167288"</f>
        <v>1551603768167288</v>
      </c>
      <c r="C1393" t="s">
        <v>40</v>
      </c>
      <c r="D1393">
        <v>4.5744790000000002</v>
      </c>
      <c r="E1393">
        <v>0.53060810000000003</v>
      </c>
      <c r="F1393" t="s">
        <v>43</v>
      </c>
      <c r="G1393">
        <v>-223.7696</v>
      </c>
      <c r="H1393">
        <v>0.94383700000000004</v>
      </c>
      <c r="I1393">
        <v>367.77480000000003</v>
      </c>
      <c r="J1393">
        <v>-224.41749999999999</v>
      </c>
      <c r="K1393">
        <v>1.1208089999999999</v>
      </c>
      <c r="L1393">
        <v>367.91120000000001</v>
      </c>
      <c r="M1393">
        <v>0.99937969999999998</v>
      </c>
      <c r="N1393">
        <v>-1.398051E-2</v>
      </c>
      <c r="O1393">
        <v>-3.2324550000000001E-2</v>
      </c>
      <c r="P1393">
        <v>0.98403090000000004</v>
      </c>
      <c r="Q1393">
        <v>0.1341782</v>
      </c>
      <c r="R1393">
        <v>-0.1169586</v>
      </c>
      <c r="S1393">
        <v>3.0766140000000002</v>
      </c>
      <c r="T1393">
        <v>-0.67409439999999998</v>
      </c>
      <c r="U1393">
        <v>-0.54077149999999996</v>
      </c>
      <c r="V1393">
        <v>8.5402259999999994E-2</v>
      </c>
      <c r="W1393">
        <v>0.14778579999999999</v>
      </c>
      <c r="X1393">
        <v>0.98532520000000001</v>
      </c>
      <c r="Y1393">
        <v>0.13844020000000001</v>
      </c>
      <c r="Z1393">
        <v>-9.3671599999999994E-3</v>
      </c>
      <c r="AA1393">
        <v>0.9903265</v>
      </c>
      <c r="AB1393">
        <v>26</v>
      </c>
      <c r="AC1393">
        <v>0.64789999999999204</v>
      </c>
      <c r="AD1393">
        <v>-0.17697199999999899</v>
      </c>
      <c r="AE1393">
        <v>-0.13639999999998001</v>
      </c>
      <c r="AF1393">
        <v>0.10768990702317199</v>
      </c>
      <c r="AG1393">
        <v>-0.17697199999999899</v>
      </c>
      <c r="AH1393">
        <v>0.60849800158698997</v>
      </c>
      <c r="AI1393">
        <v>105.980857796143</v>
      </c>
      <c r="AJ1393">
        <v>79.963905941460894</v>
      </c>
      <c r="AK1393">
        <v>0.64279547508832102</v>
      </c>
      <c r="AL1393">
        <v>81.501367576725201</v>
      </c>
      <c r="AM1393">
        <v>85.046314888332304</v>
      </c>
      <c r="AN1393">
        <v>0.99999996922489298</v>
      </c>
    </row>
    <row r="1394" spans="1:40" x14ac:dyDescent="0.25">
      <c r="A1394" t="str">
        <f>"20190303170248190"</f>
        <v>20190303170248190</v>
      </c>
      <c r="B1394" t="str">
        <f>"1551603768177047"</f>
        <v>1551603768177047</v>
      </c>
      <c r="C1394" t="s">
        <v>40</v>
      </c>
      <c r="D1394">
        <v>4.5529539999999997</v>
      </c>
      <c r="E1394">
        <v>0.53057969999999999</v>
      </c>
      <c r="F1394" t="s">
        <v>43</v>
      </c>
      <c r="G1394">
        <v>-223.5419</v>
      </c>
      <c r="H1394">
        <v>0.92847449999999998</v>
      </c>
      <c r="I1394">
        <v>367.75619999999998</v>
      </c>
      <c r="J1394">
        <v>-224.2629</v>
      </c>
      <c r="K1394">
        <v>1.120795</v>
      </c>
      <c r="L1394">
        <v>367.90539999999999</v>
      </c>
      <c r="M1394">
        <v>0.99935580000000002</v>
      </c>
      <c r="N1394">
        <v>-1.3979210000000001E-2</v>
      </c>
      <c r="O1394">
        <v>-3.3056000000000002E-2</v>
      </c>
      <c r="P1394">
        <v>0.98389309999999996</v>
      </c>
      <c r="Q1394">
        <v>0.13349810000000001</v>
      </c>
      <c r="R1394">
        <v>-0.1188815</v>
      </c>
      <c r="S1394">
        <v>3.0761569999999998</v>
      </c>
      <c r="T1394">
        <v>-0.67576250000000004</v>
      </c>
      <c r="U1394">
        <v>-0.54409790000000002</v>
      </c>
      <c r="V1394">
        <v>8.6609580000000005E-2</v>
      </c>
      <c r="W1394">
        <v>0.1470986</v>
      </c>
      <c r="X1394">
        <v>0.9853227</v>
      </c>
      <c r="Y1394">
        <v>0.13877310000000001</v>
      </c>
      <c r="Z1394">
        <v>-9.2777329999999998E-3</v>
      </c>
      <c r="AA1394">
        <v>0.99028070000000001</v>
      </c>
      <c r="AB1394">
        <v>26</v>
      </c>
      <c r="AC1394">
        <v>0.72100000000000297</v>
      </c>
      <c r="AD1394">
        <v>-0.19232049999999901</v>
      </c>
      <c r="AE1394">
        <v>-0.14920000000000699</v>
      </c>
      <c r="AF1394">
        <v>0.117280767096096</v>
      </c>
      <c r="AG1394">
        <v>-0.19232049999999901</v>
      </c>
      <c r="AH1394">
        <v>0.67919723335778504</v>
      </c>
      <c r="AI1394">
        <v>105.590655205594</v>
      </c>
      <c r="AJ1394">
        <v>80.203028073512996</v>
      </c>
      <c r="AK1394">
        <v>0.71557727385081704</v>
      </c>
      <c r="AL1394">
        <v>81.541176756469994</v>
      </c>
      <c r="AM1394">
        <v>84.976628481419397</v>
      </c>
      <c r="AN1394">
        <v>1.0000000203025099</v>
      </c>
    </row>
    <row r="1395" spans="1:40" x14ac:dyDescent="0.25">
      <c r="A1395" t="str">
        <f>"20190303170248204"</f>
        <v>20190303170248204</v>
      </c>
      <c r="B1395" t="str">
        <f>"1551603768196566"</f>
        <v>1551603768196566</v>
      </c>
      <c r="C1395" t="s">
        <v>40</v>
      </c>
      <c r="D1395">
        <v>4.5667239999999998</v>
      </c>
      <c r="E1395">
        <v>0.53115049999999997</v>
      </c>
      <c r="F1395" t="s">
        <v>43</v>
      </c>
      <c r="G1395">
        <v>-223.52770000000001</v>
      </c>
      <c r="H1395">
        <v>0.95842079999999996</v>
      </c>
      <c r="I1395">
        <v>367.77390000000003</v>
      </c>
      <c r="J1395">
        <v>-224.10210000000001</v>
      </c>
      <c r="K1395">
        <v>1.1207780000000001</v>
      </c>
      <c r="L1395">
        <v>367.89920000000001</v>
      </c>
      <c r="M1395">
        <v>0.99932989999999999</v>
      </c>
      <c r="N1395">
        <v>-1.397787E-2</v>
      </c>
      <c r="O1395">
        <v>-3.3829669999999999E-2</v>
      </c>
      <c r="P1395">
        <v>0.98375310000000005</v>
      </c>
      <c r="Q1395">
        <v>0.13336719999999999</v>
      </c>
      <c r="R1395">
        <v>-0.1201784</v>
      </c>
      <c r="S1395">
        <v>3.0748899999999999</v>
      </c>
      <c r="T1395">
        <v>-0.67911669999999902</v>
      </c>
      <c r="U1395">
        <v>-0.54949950000000003</v>
      </c>
      <c r="V1395">
        <v>8.715096E-2</v>
      </c>
      <c r="W1395">
        <v>0.1469618</v>
      </c>
      <c r="X1395">
        <v>0.98529540000000004</v>
      </c>
      <c r="Y1395">
        <v>0.139728399999999</v>
      </c>
      <c r="Z1395">
        <v>-9.2713959999999995E-3</v>
      </c>
      <c r="AA1395">
        <v>0.99014650000000004</v>
      </c>
      <c r="AB1395">
        <v>26</v>
      </c>
      <c r="AC1395">
        <v>0.57439999999999702</v>
      </c>
      <c r="AD1395">
        <v>-0.16235719999999901</v>
      </c>
      <c r="AE1395">
        <v>-0.12529999999998101</v>
      </c>
      <c r="AF1395">
        <v>9.8297922294611595E-2</v>
      </c>
      <c r="AG1395">
        <v>-0.16235719999999901</v>
      </c>
      <c r="AH1395">
        <v>0.53733092736617105</v>
      </c>
      <c r="AI1395">
        <v>106.553130720459</v>
      </c>
      <c r="AJ1395">
        <v>79.633091401112395</v>
      </c>
      <c r="AK1395">
        <v>0.56986565734694605</v>
      </c>
      <c r="AL1395">
        <v>81.549101131089301</v>
      </c>
      <c r="AM1395">
        <v>84.945251181457493</v>
      </c>
      <c r="AN1395">
        <v>1.0000000428746501</v>
      </c>
    </row>
    <row r="1396" spans="1:40" x14ac:dyDescent="0.25">
      <c r="A1396" t="str">
        <f>"20190303170248215"</f>
        <v>20190303170248215</v>
      </c>
      <c r="B1396" t="str">
        <f>"1551603768207304"</f>
        <v>1551603768207304</v>
      </c>
      <c r="C1396" t="s">
        <v>40</v>
      </c>
      <c r="D1396">
        <v>4.5875000000000004</v>
      </c>
      <c r="E1396">
        <v>0.53145830000000005</v>
      </c>
      <c r="F1396" t="s">
        <v>43</v>
      </c>
      <c r="G1396">
        <v>-223.3006</v>
      </c>
      <c r="H1396">
        <v>0.94294670000000003</v>
      </c>
      <c r="I1396">
        <v>367.75349999999997</v>
      </c>
      <c r="J1396">
        <v>-223.97319999999999</v>
      </c>
      <c r="K1396">
        <v>1.1207670000000001</v>
      </c>
      <c r="L1396">
        <v>367.89420000000001</v>
      </c>
      <c r="M1396">
        <v>0.99930859999999999</v>
      </c>
      <c r="N1396">
        <v>-1.3976809999999999E-2</v>
      </c>
      <c r="O1396">
        <v>-3.4455710000000001E-2</v>
      </c>
      <c r="P1396">
        <v>0.98364220000000002</v>
      </c>
      <c r="Q1396">
        <v>0.1331127</v>
      </c>
      <c r="R1396">
        <v>-0.1213654</v>
      </c>
      <c r="S1396">
        <v>3.0738370000000002</v>
      </c>
      <c r="T1396">
        <v>-0.68194429999999995</v>
      </c>
      <c r="U1396">
        <v>-0.55801389999999995</v>
      </c>
      <c r="V1396">
        <v>8.7726029999999997E-2</v>
      </c>
      <c r="W1396">
        <v>0.14670239999999901</v>
      </c>
      <c r="X1396">
        <v>0.98528300000000002</v>
      </c>
      <c r="Y1396">
        <v>0.14176340000000001</v>
      </c>
      <c r="Z1396">
        <v>-9.4125679999999996E-3</v>
      </c>
      <c r="AA1396">
        <v>0.98985579999999995</v>
      </c>
      <c r="AB1396">
        <v>26</v>
      </c>
      <c r="AC1396">
        <v>0.67259999999998799</v>
      </c>
      <c r="AD1396">
        <v>-0.17782029999999999</v>
      </c>
      <c r="AE1396">
        <v>-0.14070000000003799</v>
      </c>
      <c r="AF1396">
        <v>0.11006852001826101</v>
      </c>
      <c r="AG1396">
        <v>-0.17782029999999999</v>
      </c>
      <c r="AH1396">
        <v>0.63455585449912</v>
      </c>
      <c r="AI1396">
        <v>105.435100087731</v>
      </c>
      <c r="AJ1396">
        <v>80.159525265159999</v>
      </c>
      <c r="AK1396">
        <v>0.66812893266959295</v>
      </c>
      <c r="AL1396">
        <v>81.564126317454907</v>
      </c>
      <c r="AM1396">
        <v>84.912007969859303</v>
      </c>
      <c r="AN1396">
        <v>1.00000002029716</v>
      </c>
    </row>
    <row r="1397" spans="1:40" x14ac:dyDescent="0.25">
      <c r="A1397" t="str">
        <f>"20190303170248227"</f>
        <v>20190303170248227</v>
      </c>
      <c r="B1397" t="str">
        <f>"1551603768217063"</f>
        <v>1551603768217063</v>
      </c>
      <c r="C1397" t="s">
        <v>40</v>
      </c>
      <c r="D1397">
        <v>4.5440759999999996</v>
      </c>
      <c r="E1397">
        <v>0.53174940000000004</v>
      </c>
      <c r="F1397" t="s">
        <v>43</v>
      </c>
      <c r="G1397">
        <v>-223.07640000000001</v>
      </c>
      <c r="H1397">
        <v>0.92136629999999997</v>
      </c>
      <c r="I1397">
        <v>367.72949999999997</v>
      </c>
      <c r="J1397">
        <v>-223.8288</v>
      </c>
      <c r="K1397">
        <v>1.1207549999999999</v>
      </c>
      <c r="L1397">
        <v>367.88839999999999</v>
      </c>
      <c r="M1397">
        <v>0.99928360000000005</v>
      </c>
      <c r="N1397">
        <v>-1.3975660000000001E-2</v>
      </c>
      <c r="O1397">
        <v>-3.5174039999999997E-2</v>
      </c>
      <c r="P1397">
        <v>0.98348590000000002</v>
      </c>
      <c r="Q1397">
        <v>0.1330297</v>
      </c>
      <c r="R1397">
        <v>-0.1227149</v>
      </c>
      <c r="S1397">
        <v>3.0727389999999999</v>
      </c>
      <c r="T1397">
        <v>-0.68323619999999996</v>
      </c>
      <c r="U1397">
        <v>-0.56390379999999996</v>
      </c>
      <c r="V1397">
        <v>8.8375280000000001E-2</v>
      </c>
      <c r="W1397">
        <v>0.14661370000000001</v>
      </c>
      <c r="X1397">
        <v>0.98523810000000001</v>
      </c>
      <c r="Y1397">
        <v>0.14292530000000001</v>
      </c>
      <c r="Z1397">
        <v>-9.4172549999999994E-3</v>
      </c>
      <c r="AA1397">
        <v>0.98968869999999998</v>
      </c>
      <c r="AB1397">
        <v>26</v>
      </c>
      <c r="AC1397">
        <v>0.75239999999999396</v>
      </c>
      <c r="AD1397">
        <v>-0.199388699999999</v>
      </c>
      <c r="AE1397">
        <v>-0.158900000000016</v>
      </c>
      <c r="AF1397">
        <v>0.123997940207422</v>
      </c>
      <c r="AG1397">
        <v>-0.199388699999999</v>
      </c>
      <c r="AH1397">
        <v>0.70980496717587005</v>
      </c>
      <c r="AI1397">
        <v>105.467601799194</v>
      </c>
      <c r="AJ1397">
        <v>80.0908239884957</v>
      </c>
      <c r="AK1397">
        <v>0.74763255299037901</v>
      </c>
      <c r="AL1397">
        <v>81.569263327178902</v>
      </c>
      <c r="AM1397">
        <v>84.874319842147401</v>
      </c>
      <c r="AN1397">
        <v>0.99999994041718698</v>
      </c>
    </row>
    <row r="1398" spans="1:40" x14ac:dyDescent="0.25">
      <c r="A1398" t="str">
        <f>"20190303170248239"</f>
        <v>20190303170248239</v>
      </c>
      <c r="B1398" t="str">
        <f>"1551603768226822"</f>
        <v>1551603768226822</v>
      </c>
      <c r="C1398" t="s">
        <v>40</v>
      </c>
      <c r="D1398">
        <v>4.5495769999999904</v>
      </c>
      <c r="E1398">
        <v>0.53202649999999996</v>
      </c>
      <c r="F1398" t="s">
        <v>43</v>
      </c>
      <c r="G1398">
        <v>-223.06280000000001</v>
      </c>
      <c r="H1398">
        <v>0.95016650000000002</v>
      </c>
      <c r="I1398">
        <v>367.74599999999998</v>
      </c>
      <c r="J1398">
        <v>-223.6961</v>
      </c>
      <c r="K1398">
        <v>1.1207370000000001</v>
      </c>
      <c r="L1398">
        <v>367.88299999999998</v>
      </c>
      <c r="M1398">
        <v>0.99926000000000004</v>
      </c>
      <c r="N1398">
        <v>-1.397458E-2</v>
      </c>
      <c r="O1398">
        <v>-3.584002E-2</v>
      </c>
      <c r="P1398">
        <v>0.9832902</v>
      </c>
      <c r="Q1398">
        <v>0.133349</v>
      </c>
      <c r="R1398">
        <v>-0.12393129999999999</v>
      </c>
      <c r="S1398">
        <v>3.071701</v>
      </c>
      <c r="T1398">
        <v>-0.68414129999999995</v>
      </c>
      <c r="U1398">
        <v>-0.57052609999999904</v>
      </c>
      <c r="V1398">
        <v>8.8944759999999998E-2</v>
      </c>
      <c r="W1398">
        <v>0.14692649999999999</v>
      </c>
      <c r="X1398">
        <v>0.98514029999999997</v>
      </c>
      <c r="Y1398">
        <v>0.14435870000000001</v>
      </c>
      <c r="Z1398">
        <v>-9.4594060000000001E-3</v>
      </c>
      <c r="AA1398">
        <v>0.98948020000000003</v>
      </c>
      <c r="AB1398">
        <v>26</v>
      </c>
      <c r="AC1398">
        <v>0.63329999999999098</v>
      </c>
      <c r="AD1398">
        <v>-0.17057049999999899</v>
      </c>
      <c r="AE1398">
        <v>-0.13700000000005699</v>
      </c>
      <c r="AF1398">
        <v>0.106810425608413</v>
      </c>
      <c r="AG1398">
        <v>-0.17057049999999899</v>
      </c>
      <c r="AH1398">
        <v>0.59646898005266202</v>
      </c>
      <c r="AI1398">
        <v>105.721354150748</v>
      </c>
      <c r="AJ1398">
        <v>79.847579943010999</v>
      </c>
      <c r="AK1398">
        <v>0.62950616093407896</v>
      </c>
      <c r="AL1398">
        <v>81.551145407080895</v>
      </c>
      <c r="AM1398">
        <v>84.840958841638198</v>
      </c>
      <c r="AN1398">
        <v>0.99999998870889795</v>
      </c>
    </row>
    <row r="1399" spans="1:40" x14ac:dyDescent="0.25">
      <c r="A1399" t="str">
        <f>"20190303170248251"</f>
        <v>20190303170248251</v>
      </c>
      <c r="B1399" t="str">
        <f>"1551603768236582"</f>
        <v>1551603768236582</v>
      </c>
      <c r="C1399" t="s">
        <v>40</v>
      </c>
      <c r="D1399">
        <v>4.5421209999999999</v>
      </c>
      <c r="E1399">
        <v>0.5322964</v>
      </c>
      <c r="F1399" t="s">
        <v>43</v>
      </c>
      <c r="G1399">
        <v>-222.83850000000001</v>
      </c>
      <c r="H1399">
        <v>0.92981530000000001</v>
      </c>
      <c r="I1399">
        <v>367.72179999999997</v>
      </c>
      <c r="J1399">
        <v>-223.55520000000001</v>
      </c>
      <c r="K1399">
        <v>1.1207260000000001</v>
      </c>
      <c r="L1399">
        <v>367.87720000000002</v>
      </c>
      <c r="M1399">
        <v>0.99923379999999995</v>
      </c>
      <c r="N1399">
        <v>-1.39734E-2</v>
      </c>
      <c r="O1399">
        <v>-3.6559059999999997E-2</v>
      </c>
      <c r="P1399">
        <v>0.98313810000000001</v>
      </c>
      <c r="Q1399">
        <v>0.13340080000000001</v>
      </c>
      <c r="R1399">
        <v>-0.1250754</v>
      </c>
      <c r="S1399">
        <v>3.071091</v>
      </c>
      <c r="T1399">
        <v>-0.68364550000000002</v>
      </c>
      <c r="U1399">
        <v>-0.57611080000000003</v>
      </c>
      <c r="V1399">
        <v>8.9387990000000001E-2</v>
      </c>
      <c r="W1399">
        <v>0.1469722</v>
      </c>
      <c r="X1399">
        <v>0.98509340000000001</v>
      </c>
      <c r="Y1399">
        <v>0.1454135</v>
      </c>
      <c r="Z1399">
        <v>-9.4299789999999998E-3</v>
      </c>
      <c r="AA1399">
        <v>0.98932609999999999</v>
      </c>
      <c r="AB1399">
        <v>26</v>
      </c>
      <c r="AC1399">
        <v>0.716700000000003</v>
      </c>
      <c r="AD1399">
        <v>-0.19091069999999999</v>
      </c>
      <c r="AE1399">
        <v>-0.155400000000042</v>
      </c>
      <c r="AF1399">
        <v>0.120898449431128</v>
      </c>
      <c r="AG1399">
        <v>-0.19091069999999999</v>
      </c>
      <c r="AH1399">
        <v>0.676084801615919</v>
      </c>
      <c r="AI1399">
        <v>105.53420364668401</v>
      </c>
      <c r="AJ1399">
        <v>79.861447695733006</v>
      </c>
      <c r="AK1399">
        <v>0.71284920524987405</v>
      </c>
      <c r="AL1399">
        <v>81.548498548876395</v>
      </c>
      <c r="AM1399">
        <v>84.815144551374203</v>
      </c>
      <c r="AN1399">
        <v>1.00000002352631</v>
      </c>
    </row>
    <row r="1400" spans="1:40" x14ac:dyDescent="0.25">
      <c r="A1400" t="str">
        <f>"20190303170248261"</f>
        <v>20190303170248261</v>
      </c>
      <c r="B1400" t="str">
        <f>"1551603768257078"</f>
        <v>1551603768257078</v>
      </c>
      <c r="C1400" t="s">
        <v>40</v>
      </c>
      <c r="D1400">
        <v>4.523962</v>
      </c>
      <c r="E1400">
        <v>0.5327056</v>
      </c>
      <c r="F1400" t="s">
        <v>43</v>
      </c>
      <c r="G1400">
        <v>-222.82499999999999</v>
      </c>
      <c r="H1400">
        <v>0.95805929999999995</v>
      </c>
      <c r="I1400">
        <v>367.73840000000001</v>
      </c>
      <c r="J1400">
        <v>-223.42750000000001</v>
      </c>
      <c r="K1400">
        <v>1.1207149999999999</v>
      </c>
      <c r="L1400">
        <v>367.87180000000001</v>
      </c>
      <c r="M1400">
        <v>0.99920949999999997</v>
      </c>
      <c r="N1400">
        <v>-1.397238E-2</v>
      </c>
      <c r="O1400">
        <v>-3.7222419999999999E-2</v>
      </c>
      <c r="P1400">
        <v>0.98293569999999997</v>
      </c>
      <c r="Q1400">
        <v>0.13388120000000001</v>
      </c>
      <c r="R1400">
        <v>-0.12614939999999999</v>
      </c>
      <c r="S1400">
        <v>3.0702669999999999</v>
      </c>
      <c r="T1400">
        <v>-0.68399619999999905</v>
      </c>
      <c r="U1400">
        <v>-0.58197019999999899</v>
      </c>
      <c r="V1400">
        <v>8.9818739999999994E-2</v>
      </c>
      <c r="W1400">
        <v>0.1474472</v>
      </c>
      <c r="X1400">
        <v>0.98498319999999995</v>
      </c>
      <c r="Y1400">
        <v>0.14660889999999999</v>
      </c>
      <c r="Z1400">
        <v>-9.4383179999999994E-3</v>
      </c>
      <c r="AA1400">
        <v>0.98914950000000001</v>
      </c>
      <c r="AB1400">
        <v>26</v>
      </c>
      <c r="AC1400">
        <v>0.60250000000002002</v>
      </c>
      <c r="AD1400">
        <v>-0.16265569999999899</v>
      </c>
      <c r="AE1400">
        <v>-0.133399999999994</v>
      </c>
      <c r="AF1400">
        <v>0.103675785206285</v>
      </c>
      <c r="AG1400">
        <v>-0.16265569999999899</v>
      </c>
      <c r="AH1400">
        <v>0.56761246780695296</v>
      </c>
      <c r="AI1400">
        <v>105.74300857468801</v>
      </c>
      <c r="AJ1400">
        <v>79.648892106246507</v>
      </c>
      <c r="AK1400">
        <v>0.59949099975773601</v>
      </c>
      <c r="AL1400">
        <v>81.520983027623998</v>
      </c>
      <c r="AM1400">
        <v>84.789716858589998</v>
      </c>
      <c r="AN1400">
        <v>0.99999999356263303</v>
      </c>
    </row>
    <row r="1401" spans="1:40" x14ac:dyDescent="0.25">
      <c r="A1401" t="str">
        <f>"20190303170248273"</f>
        <v>20190303170248273</v>
      </c>
      <c r="B1401" t="str">
        <f>"1551603768266838"</f>
        <v>1551603768266838</v>
      </c>
      <c r="C1401" t="s">
        <v>40</v>
      </c>
      <c r="D1401">
        <v>4.5059110000000002</v>
      </c>
      <c r="E1401">
        <v>0.53287769999999901</v>
      </c>
      <c r="F1401" t="s">
        <v>43</v>
      </c>
      <c r="G1401">
        <v>-222.60140000000001</v>
      </c>
      <c r="H1401">
        <v>0.93694480000000002</v>
      </c>
      <c r="I1401">
        <v>367.71359999999999</v>
      </c>
      <c r="J1401">
        <v>-223.28739999999999</v>
      </c>
      <c r="K1401">
        <v>1.1207009999999999</v>
      </c>
      <c r="L1401">
        <v>367.86579999999998</v>
      </c>
      <c r="M1401">
        <v>0.99918180000000001</v>
      </c>
      <c r="N1401">
        <v>-1.3971269999999999E-2</v>
      </c>
      <c r="O1401">
        <v>-3.7956620000000003E-2</v>
      </c>
      <c r="P1401">
        <v>0.9828057</v>
      </c>
      <c r="Q1401">
        <v>0.13394919999999999</v>
      </c>
      <c r="R1401">
        <v>-0.12708659999999999</v>
      </c>
      <c r="S1401">
        <v>3.0695800000000002</v>
      </c>
      <c r="T1401">
        <v>-0.68292159999999902</v>
      </c>
      <c r="U1401">
        <v>-0.58831789999999995</v>
      </c>
      <c r="V1401">
        <v>9.0040040000000002E-2</v>
      </c>
      <c r="W1401">
        <v>0.14751029999999901</v>
      </c>
      <c r="X1401">
        <v>0.98495350000000004</v>
      </c>
      <c r="Y1401">
        <v>0.147888299999999</v>
      </c>
      <c r="Z1401">
        <v>-9.4254839999999996E-3</v>
      </c>
      <c r="AA1401">
        <v>0.98895909999999998</v>
      </c>
      <c r="AB1401">
        <v>26</v>
      </c>
      <c r="AC1401">
        <v>0.68599999999997796</v>
      </c>
      <c r="AD1401">
        <v>-0.18375619999999901</v>
      </c>
      <c r="AE1401">
        <v>-0.15219999999999301</v>
      </c>
      <c r="AF1401">
        <v>0.117981251864404</v>
      </c>
      <c r="AG1401">
        <v>-0.18375619999999901</v>
      </c>
      <c r="AH1401">
        <v>0.64703497476911798</v>
      </c>
      <c r="AI1401">
        <v>105.609866698677</v>
      </c>
      <c r="AJ1401">
        <v>79.666138281381905</v>
      </c>
      <c r="AK1401">
        <v>0.68289104211755902</v>
      </c>
      <c r="AL1401">
        <v>81.517327298211001</v>
      </c>
      <c r="AM1401">
        <v>84.776793788342601</v>
      </c>
      <c r="AN1401">
        <v>0.99999994728576902</v>
      </c>
    </row>
    <row r="1402" spans="1:40" x14ac:dyDescent="0.25">
      <c r="A1402" t="str">
        <f>"20190303170248284"</f>
        <v>20190303170248284</v>
      </c>
      <c r="B1402" t="str">
        <f>"1551603768276598"</f>
        <v>1551603768276598</v>
      </c>
      <c r="C1402" t="s">
        <v>40</v>
      </c>
      <c r="D1402">
        <v>4.5080859999999996</v>
      </c>
      <c r="E1402">
        <v>0.53306399999999998</v>
      </c>
      <c r="F1402" t="s">
        <v>43</v>
      </c>
      <c r="G1402">
        <v>-222.58789999999999</v>
      </c>
      <c r="H1402">
        <v>0.96500739999999996</v>
      </c>
      <c r="I1402">
        <v>367.73070000000001</v>
      </c>
      <c r="J1402">
        <v>-223.16829999999999</v>
      </c>
      <c r="K1402">
        <v>1.1206849999999999</v>
      </c>
      <c r="L1402">
        <v>367.86059999999998</v>
      </c>
      <c r="M1402">
        <v>0.99915730000000003</v>
      </c>
      <c r="N1402">
        <v>-1.3970399999999999E-2</v>
      </c>
      <c r="O1402">
        <v>-3.8597340000000001E-2</v>
      </c>
      <c r="P1402">
        <v>0.98268440000000001</v>
      </c>
      <c r="Q1402">
        <v>0.1342787</v>
      </c>
      <c r="R1402">
        <v>-0.12767529999999999</v>
      </c>
      <c r="S1402">
        <v>3.0688629999999999</v>
      </c>
      <c r="T1402">
        <v>-0.68304969999999998</v>
      </c>
      <c r="U1402">
        <v>-0.59320069999999903</v>
      </c>
      <c r="V1402">
        <v>9.0005409999999994E-2</v>
      </c>
      <c r="W1402">
        <v>0.147835299999999</v>
      </c>
      <c r="X1402">
        <v>0.98490800000000001</v>
      </c>
      <c r="Y1402">
        <v>0.14880350000000001</v>
      </c>
      <c r="Z1402">
        <v>-9.4033350000000005E-3</v>
      </c>
      <c r="AA1402">
        <v>0.98882210000000004</v>
      </c>
      <c r="AB1402">
        <v>26</v>
      </c>
      <c r="AC1402">
        <v>0.58039999999999703</v>
      </c>
      <c r="AD1402">
        <v>-0.155677599999999</v>
      </c>
      <c r="AE1402">
        <v>-0.12989999999996299</v>
      </c>
      <c r="AF1402">
        <v>0.100512719694505</v>
      </c>
      <c r="AG1402">
        <v>-0.155677599999999</v>
      </c>
      <c r="AH1402">
        <v>0.54747292746004605</v>
      </c>
      <c r="AI1402">
        <v>105.625359494793</v>
      </c>
      <c r="AJ1402">
        <v>79.596695940644494</v>
      </c>
      <c r="AK1402">
        <v>0.57798350172285895</v>
      </c>
      <c r="AL1402">
        <v>81.498500278100806</v>
      </c>
      <c r="AM1402">
        <v>84.778551691194295</v>
      </c>
      <c r="AN1402">
        <v>1.0000000091096699</v>
      </c>
    </row>
    <row r="1403" spans="1:40" x14ac:dyDescent="0.25">
      <c r="A1403" t="str">
        <f>"20190303170248295"</f>
        <v>20190303170248295</v>
      </c>
      <c r="B1403" t="str">
        <f>"1551603768287334"</f>
        <v>1551603768287334</v>
      </c>
      <c r="C1403" t="s">
        <v>40</v>
      </c>
      <c r="D1403">
        <v>4.4895699999999996</v>
      </c>
      <c r="E1403">
        <v>0.53325909999999999</v>
      </c>
      <c r="F1403" t="s">
        <v>43</v>
      </c>
      <c r="G1403">
        <v>-222.3656</v>
      </c>
      <c r="H1403">
        <v>0.94211199999999995</v>
      </c>
      <c r="I1403">
        <v>367.70429999999999</v>
      </c>
      <c r="J1403">
        <v>-223.03790000000001</v>
      </c>
      <c r="K1403">
        <v>1.120671</v>
      </c>
      <c r="L1403">
        <v>367.85489999999999</v>
      </c>
      <c r="M1403">
        <v>0.99912979999999996</v>
      </c>
      <c r="N1403">
        <v>-1.396944E-2</v>
      </c>
      <c r="O1403">
        <v>-3.9301269999999999E-2</v>
      </c>
      <c r="P1403">
        <v>0.98256779999999999</v>
      </c>
      <c r="Q1403">
        <v>0.13441739999999999</v>
      </c>
      <c r="R1403">
        <v>-0.12842300000000001</v>
      </c>
      <c r="S1403">
        <v>3.0685579999999999</v>
      </c>
      <c r="T1403">
        <v>-0.682616</v>
      </c>
      <c r="U1403">
        <v>-0.59698490000000004</v>
      </c>
      <c r="V1403">
        <v>9.0067289999999994E-2</v>
      </c>
      <c r="W1403">
        <v>0.14796970000000001</v>
      </c>
      <c r="X1403">
        <v>0.98488220000000004</v>
      </c>
      <c r="Y1403">
        <v>0.14930639999999901</v>
      </c>
      <c r="Z1403">
        <v>-9.3134210000000005E-3</v>
      </c>
      <c r="AA1403">
        <v>0.98874709999999999</v>
      </c>
      <c r="AB1403">
        <v>26</v>
      </c>
      <c r="AC1403">
        <v>0.672300000000007</v>
      </c>
      <c r="AD1403">
        <v>-0.178558999999999</v>
      </c>
      <c r="AE1403">
        <v>-0.15059999999999699</v>
      </c>
      <c r="AF1403">
        <v>0.11625029798443599</v>
      </c>
      <c r="AG1403">
        <v>-0.178558999999999</v>
      </c>
      <c r="AH1403">
        <v>0.63504406915821199</v>
      </c>
      <c r="AI1403">
        <v>105.460368546645</v>
      </c>
      <c r="AJ1403">
        <v>79.626370393015804</v>
      </c>
      <c r="AK1403">
        <v>0.66983461991411797</v>
      </c>
      <c r="AL1403">
        <v>81.490714428997094</v>
      </c>
      <c r="AM1403">
        <v>84.774845616950799</v>
      </c>
      <c r="AN1403">
        <v>1.00000004836143</v>
      </c>
    </row>
    <row r="1404" spans="1:40" x14ac:dyDescent="0.25">
      <c r="A1404" t="str">
        <f>"20190303170248306"</f>
        <v>20190303170248306</v>
      </c>
      <c r="B1404" t="str">
        <f>"1551603768297095"</f>
        <v>1551603768297095</v>
      </c>
      <c r="C1404" t="s">
        <v>40</v>
      </c>
      <c r="D1404">
        <v>4.4983219999999999</v>
      </c>
      <c r="E1404">
        <v>0.53346660000000001</v>
      </c>
      <c r="F1404" t="s">
        <v>43</v>
      </c>
      <c r="G1404">
        <v>-222.1422</v>
      </c>
      <c r="H1404">
        <v>0.92142630000000003</v>
      </c>
      <c r="I1404">
        <v>367.67939999999999</v>
      </c>
      <c r="J1404">
        <v>-222.89920000000001</v>
      </c>
      <c r="K1404">
        <v>1.12066</v>
      </c>
      <c r="L1404">
        <v>367.8485</v>
      </c>
      <c r="M1404">
        <v>0.99909930000000002</v>
      </c>
      <c r="N1404">
        <v>-1.3968390000000001E-2</v>
      </c>
      <c r="O1404">
        <v>-4.0071290000000002E-2</v>
      </c>
      <c r="P1404">
        <v>0.98242130000000005</v>
      </c>
      <c r="Q1404">
        <v>0.1346328</v>
      </c>
      <c r="R1404">
        <v>-0.12931570000000001</v>
      </c>
      <c r="S1404">
        <v>3.0680999999999998</v>
      </c>
      <c r="T1404">
        <v>-0.68245319999999898</v>
      </c>
      <c r="U1404">
        <v>-0.60064700000000004</v>
      </c>
      <c r="V1404">
        <v>9.0210739999999998E-2</v>
      </c>
      <c r="W1404">
        <v>0.14817910000000001</v>
      </c>
      <c r="X1404">
        <v>0.98483750000000003</v>
      </c>
      <c r="Y1404">
        <v>0.14971619999999999</v>
      </c>
      <c r="Z1404">
        <v>-9.2027240000000007E-3</v>
      </c>
      <c r="AA1404">
        <v>0.98868619999999996</v>
      </c>
      <c r="AB1404">
        <v>26</v>
      </c>
      <c r="AC1404">
        <v>0.757000000000005</v>
      </c>
      <c r="AD1404">
        <v>-0.19923370000000001</v>
      </c>
      <c r="AE1404">
        <v>-0.16910000000001399</v>
      </c>
      <c r="AF1404">
        <v>0.130047234028206</v>
      </c>
      <c r="AG1404">
        <v>-0.19923370000000001</v>
      </c>
      <c r="AH1404">
        <v>0.71593410554132697</v>
      </c>
      <c r="AI1404">
        <v>105.31254822627599</v>
      </c>
      <c r="AJ1404">
        <v>79.704651709923894</v>
      </c>
      <c r="AK1404">
        <v>0.75443223272295101</v>
      </c>
      <c r="AL1404">
        <v>81.478582220312504</v>
      </c>
      <c r="AM1404">
        <v>84.766333481157702</v>
      </c>
      <c r="AN1404">
        <v>0.99999996234720301</v>
      </c>
    </row>
    <row r="1405" spans="1:40" x14ac:dyDescent="0.25">
      <c r="A1405" t="str">
        <f>"20190303170248318"</f>
        <v>20190303170248318</v>
      </c>
      <c r="B1405" t="str">
        <f>"1551603768306855"</f>
        <v>1551603768306855</v>
      </c>
      <c r="C1405" t="s">
        <v>40</v>
      </c>
      <c r="D1405">
        <v>4.4749280000000002</v>
      </c>
      <c r="E1405">
        <v>0.53362169999999998</v>
      </c>
      <c r="F1405" t="s">
        <v>43</v>
      </c>
      <c r="G1405">
        <v>-222.12899999999999</v>
      </c>
      <c r="H1405">
        <v>0.94937870000000002</v>
      </c>
      <c r="I1405">
        <v>367.69650000000001</v>
      </c>
      <c r="J1405">
        <v>-222.77279999999999</v>
      </c>
      <c r="K1405">
        <v>1.1206480000000001</v>
      </c>
      <c r="L1405">
        <v>367.84269999999998</v>
      </c>
      <c r="M1405">
        <v>0.99907060000000003</v>
      </c>
      <c r="N1405">
        <v>-1.3967449999999999E-2</v>
      </c>
      <c r="O1405">
        <v>-4.0778460000000002E-2</v>
      </c>
      <c r="P1405">
        <v>0.98228570000000004</v>
      </c>
      <c r="Q1405">
        <v>0.13487850000000001</v>
      </c>
      <c r="R1405">
        <v>-0.1300857</v>
      </c>
      <c r="S1405">
        <v>3.0675050000000001</v>
      </c>
      <c r="T1405">
        <v>-0.68213840000000003</v>
      </c>
      <c r="U1405">
        <v>-0.60516359999999902</v>
      </c>
      <c r="V1405">
        <v>9.0293289999999998E-2</v>
      </c>
      <c r="W1405">
        <v>0.14842049999999901</v>
      </c>
      <c r="X1405">
        <v>0.98479360000000005</v>
      </c>
      <c r="Y1405">
        <v>0.15045310000000001</v>
      </c>
      <c r="Z1405">
        <v>-9.1413369999999994E-3</v>
      </c>
      <c r="AA1405">
        <v>0.98857490000000003</v>
      </c>
      <c r="AB1405">
        <v>26</v>
      </c>
      <c r="AC1405">
        <v>0.64379999999996995</v>
      </c>
      <c r="AD1405">
        <v>-0.17126929999999899</v>
      </c>
      <c r="AE1405">
        <v>-0.146199999999964</v>
      </c>
      <c r="AF1405">
        <v>0.11226699615406301</v>
      </c>
      <c r="AG1405">
        <v>-0.17126929999999899</v>
      </c>
      <c r="AH1405">
        <v>0.60828857898613198</v>
      </c>
      <c r="AI1405">
        <v>105.47650668664301</v>
      </c>
      <c r="AJ1405">
        <v>79.543045242315401</v>
      </c>
      <c r="AK1405">
        <v>0.64183490624374295</v>
      </c>
      <c r="AL1405">
        <v>81.464596510974005</v>
      </c>
      <c r="AM1405">
        <v>84.761338673616393</v>
      </c>
      <c r="AN1405">
        <v>0.99999997882011604</v>
      </c>
    </row>
    <row r="1406" spans="1:40" x14ac:dyDescent="0.25">
      <c r="A1406" t="str">
        <f>"20190303170248330"</f>
        <v>20190303170248330</v>
      </c>
      <c r="B1406" t="str">
        <f>"1551603768317590"</f>
        <v>1551603768317590</v>
      </c>
      <c r="C1406" t="s">
        <v>40</v>
      </c>
      <c r="D1406">
        <v>4.4786519999999896</v>
      </c>
      <c r="E1406">
        <v>0.53378340000000002</v>
      </c>
      <c r="F1406" t="s">
        <v>43</v>
      </c>
      <c r="G1406">
        <v>-221.90629999999999</v>
      </c>
      <c r="H1406">
        <v>0.92803429999999998</v>
      </c>
      <c r="I1406">
        <v>367.67059999999998</v>
      </c>
      <c r="J1406">
        <v>-222.6344</v>
      </c>
      <c r="K1406">
        <v>1.120635</v>
      </c>
      <c r="L1406">
        <v>367.83620000000002</v>
      </c>
      <c r="M1406">
        <v>0.99903819999999999</v>
      </c>
      <c r="N1406">
        <v>-1.396651E-2</v>
      </c>
      <c r="O1406">
        <v>-4.1567430000000002E-2</v>
      </c>
      <c r="P1406">
        <v>0.98210739999999996</v>
      </c>
      <c r="Q1406">
        <v>0.13525609999999999</v>
      </c>
      <c r="R1406">
        <v>-0.1310376</v>
      </c>
      <c r="S1406">
        <v>3.067078</v>
      </c>
      <c r="T1406">
        <v>-0.6817088</v>
      </c>
      <c r="U1406">
        <v>-0.60879519999999998</v>
      </c>
      <c r="V1406">
        <v>9.0479359999999995E-2</v>
      </c>
      <c r="W1406">
        <v>0.1487916</v>
      </c>
      <c r="X1406">
        <v>0.9847205</v>
      </c>
      <c r="Y1406">
        <v>0.15083559999999999</v>
      </c>
      <c r="Z1406">
        <v>-9.0208579999999997E-3</v>
      </c>
      <c r="AA1406">
        <v>0.98851770000000005</v>
      </c>
      <c r="AB1406">
        <v>26</v>
      </c>
      <c r="AC1406">
        <v>0.72810000000001196</v>
      </c>
      <c r="AD1406">
        <v>-0.19260070000000001</v>
      </c>
      <c r="AE1406">
        <v>-0.16560000000003999</v>
      </c>
      <c r="AF1406">
        <v>0.12675538003474099</v>
      </c>
      <c r="AG1406">
        <v>-0.19260070000000001</v>
      </c>
      <c r="AH1406">
        <v>0.68854466870321396</v>
      </c>
      <c r="AI1406">
        <v>105.38151148039999</v>
      </c>
      <c r="AJ1406">
        <v>79.569107863003694</v>
      </c>
      <c r="AK1406">
        <v>0.72612376135742795</v>
      </c>
      <c r="AL1406">
        <v>81.443095136348703</v>
      </c>
      <c r="AM1406">
        <v>84.750215953803007</v>
      </c>
      <c r="AN1406">
        <v>0.99999995896840799</v>
      </c>
    </row>
    <row r="1407" spans="1:40" x14ac:dyDescent="0.25">
      <c r="A1407" t="str">
        <f>"20190303170248341"</f>
        <v>20190303170248341</v>
      </c>
      <c r="B1407" t="str">
        <f>"1551603768337110"</f>
        <v>1551603768337110</v>
      </c>
      <c r="C1407" t="s">
        <v>40</v>
      </c>
      <c r="D1407">
        <v>4.4854830000000003</v>
      </c>
      <c r="E1407">
        <v>0.53400439999999905</v>
      </c>
      <c r="F1407" t="s">
        <v>43</v>
      </c>
      <c r="G1407">
        <v>-221.8929</v>
      </c>
      <c r="H1407">
        <v>0.95607209999999998</v>
      </c>
      <c r="I1407">
        <v>367.68779999999998</v>
      </c>
      <c r="J1407">
        <v>-222.49520000000001</v>
      </c>
      <c r="K1407">
        <v>1.1206240000000001</v>
      </c>
      <c r="L1407">
        <v>367.82960000000003</v>
      </c>
      <c r="M1407">
        <v>0.99900440000000001</v>
      </c>
      <c r="N1407">
        <v>-1.396557E-2</v>
      </c>
      <c r="O1407">
        <v>-4.2372489999999999E-2</v>
      </c>
      <c r="P1407">
        <v>0.9819445</v>
      </c>
      <c r="Q1407">
        <v>0.13545079999999901</v>
      </c>
      <c r="R1407">
        <v>-0.132054</v>
      </c>
      <c r="S1407">
        <v>3.066589</v>
      </c>
      <c r="T1407">
        <v>-0.68062519999999904</v>
      </c>
      <c r="U1407">
        <v>-0.61334230000000001</v>
      </c>
      <c r="V1407">
        <v>9.0712829999999994E-2</v>
      </c>
      <c r="W1407">
        <v>0.14898069999999999</v>
      </c>
      <c r="X1407">
        <v>0.9846705</v>
      </c>
      <c r="Y1407">
        <v>0.15148819999999999</v>
      </c>
      <c r="Z1407">
        <v>-8.9217110000000006E-3</v>
      </c>
      <c r="AA1407">
        <v>0.98841880000000004</v>
      </c>
      <c r="AB1407">
        <v>26</v>
      </c>
      <c r="AC1407">
        <v>0.60230000000001305</v>
      </c>
      <c r="AD1407">
        <v>-0.1645519</v>
      </c>
      <c r="AE1407">
        <v>-0.141800000000046</v>
      </c>
      <c r="AF1407">
        <v>0.108477492280578</v>
      </c>
      <c r="AG1407">
        <v>-0.1645519</v>
      </c>
      <c r="AH1407">
        <v>0.56762468183289405</v>
      </c>
      <c r="AI1407">
        <v>105.89390691423399</v>
      </c>
      <c r="AJ1407">
        <v>79.180785783917102</v>
      </c>
      <c r="AK1407">
        <v>0.60086809996120405</v>
      </c>
      <c r="AL1407">
        <v>81.432138997244707</v>
      </c>
      <c r="AM1407">
        <v>84.736479804595902</v>
      </c>
      <c r="AN1407">
        <v>1.0000000300346701</v>
      </c>
    </row>
    <row r="1408" spans="1:40" x14ac:dyDescent="0.25">
      <c r="A1408" t="str">
        <f>"20190303170248354"</f>
        <v>20190303170248354</v>
      </c>
      <c r="B1408" t="str">
        <f>"1551603768346870"</f>
        <v>1551603768346870</v>
      </c>
      <c r="C1408" t="s">
        <v>40</v>
      </c>
      <c r="D1408">
        <v>4.4608080000000001</v>
      </c>
      <c r="E1408">
        <v>0.55273070000000002</v>
      </c>
      <c r="F1408" t="s">
        <v>43</v>
      </c>
      <c r="G1408">
        <v>-221.6694</v>
      </c>
      <c r="H1408">
        <v>0.93745060000000002</v>
      </c>
      <c r="I1408">
        <v>367.66300000000001</v>
      </c>
      <c r="J1408">
        <v>-222.34700000000001</v>
      </c>
      <c r="K1408">
        <v>1.1206119999999999</v>
      </c>
      <c r="L1408">
        <v>367.82240000000002</v>
      </c>
      <c r="M1408">
        <v>0.99896719999999894</v>
      </c>
      <c r="N1408">
        <v>-1.3964549999999999E-2</v>
      </c>
      <c r="O1408">
        <v>-4.3239310000000003E-2</v>
      </c>
      <c r="P1408">
        <v>0.98174139999999999</v>
      </c>
      <c r="Q1408">
        <v>0.1358386</v>
      </c>
      <c r="R1408">
        <v>-0.1331609</v>
      </c>
      <c r="S1408">
        <v>3.0657960000000002</v>
      </c>
      <c r="T1408">
        <v>-0.68004069999999905</v>
      </c>
      <c r="U1408">
        <v>-0.61843870000000001</v>
      </c>
      <c r="V1408">
        <v>9.0978320000000001E-2</v>
      </c>
      <c r="W1408">
        <v>0.1493622</v>
      </c>
      <c r="X1408">
        <v>0.98458820000000002</v>
      </c>
      <c r="Y1408">
        <v>0.15226239999999999</v>
      </c>
      <c r="Z1408">
        <v>-8.8301390000000007E-3</v>
      </c>
      <c r="AA1408">
        <v>0.98830070000000003</v>
      </c>
      <c r="AB1408">
        <v>26</v>
      </c>
      <c r="AC1408">
        <v>0.67760000000001197</v>
      </c>
      <c r="AD1408">
        <v>-0.1831614</v>
      </c>
      <c r="AE1408">
        <v>-0.15940000000000501</v>
      </c>
      <c r="AF1408">
        <v>0.121534565492807</v>
      </c>
      <c r="AG1408">
        <v>-0.1831614</v>
      </c>
      <c r="AH1408">
        <v>0.63957764843189802</v>
      </c>
      <c r="AI1408">
        <v>105.71364031823001</v>
      </c>
      <c r="AJ1408">
        <v>79.240752209678703</v>
      </c>
      <c r="AK1408">
        <v>0.676297506599841</v>
      </c>
      <c r="AL1408">
        <v>81.410033260302797</v>
      </c>
      <c r="AM1408">
        <v>84.720723162283207</v>
      </c>
      <c r="AN1408">
        <v>1.00000002253905</v>
      </c>
    </row>
    <row r="1409" spans="1:40" x14ac:dyDescent="0.25">
      <c r="A1409" t="str">
        <f>"20190303170248369"</f>
        <v>20190303170248369</v>
      </c>
      <c r="B1409" t="str">
        <f>"1551603768356630"</f>
        <v>1551603768356630</v>
      </c>
      <c r="C1409" t="s">
        <v>40</v>
      </c>
      <c r="D1409">
        <v>4.4875179999999997</v>
      </c>
      <c r="E1409">
        <v>0.55755279999999996</v>
      </c>
      <c r="F1409" t="s">
        <v>43</v>
      </c>
      <c r="G1409">
        <v>-221.6378</v>
      </c>
      <c r="H1409">
        <v>1.0038899999999999</v>
      </c>
      <c r="I1409">
        <v>367.63959999999997</v>
      </c>
      <c r="J1409">
        <v>-222.18530000000001</v>
      </c>
      <c r="K1409">
        <v>1.1205989999999999</v>
      </c>
      <c r="L1409">
        <v>367.8143</v>
      </c>
      <c r="M1409">
        <v>0.9989249</v>
      </c>
      <c r="N1409">
        <v>-1.3963430000000001E-2</v>
      </c>
      <c r="O1409">
        <v>-4.4207580000000003E-2</v>
      </c>
      <c r="P1409">
        <v>0.98141409999999996</v>
      </c>
      <c r="Q1409">
        <v>0.13698050000000001</v>
      </c>
      <c r="R1409">
        <v>-0.13439879999999901</v>
      </c>
      <c r="S1409">
        <v>3.0189819999999998</v>
      </c>
      <c r="T1409">
        <v>-0.4969015</v>
      </c>
      <c r="U1409">
        <v>-0.77828980000000003</v>
      </c>
      <c r="V1409">
        <v>9.1282199999999994E-2</v>
      </c>
      <c r="W1409">
        <v>0.1504955</v>
      </c>
      <c r="X1409">
        <v>0.98438749999999997</v>
      </c>
      <c r="Y1409">
        <v>0.2042428</v>
      </c>
      <c r="Z1409">
        <v>-1.1394329999999999E-2</v>
      </c>
      <c r="AA1409">
        <v>0.97885390000000005</v>
      </c>
      <c r="AB1409">
        <v>26</v>
      </c>
      <c r="AC1409">
        <v>0.54750000000001298</v>
      </c>
      <c r="AD1409">
        <v>-0.11670899999999899</v>
      </c>
      <c r="AE1409">
        <v>-0.174700000000029</v>
      </c>
      <c r="AF1409">
        <v>0.144369208639295</v>
      </c>
      <c r="AG1409">
        <v>-0.11670899999999899</v>
      </c>
      <c r="AH1409">
        <v>0.53271851041760099</v>
      </c>
      <c r="AI1409">
        <v>101.93957321112801</v>
      </c>
      <c r="AJ1409">
        <v>74.836785889944807</v>
      </c>
      <c r="AK1409">
        <v>0.56413869786222204</v>
      </c>
      <c r="AL1409">
        <v>81.344357782482206</v>
      </c>
      <c r="AM1409">
        <v>84.702116003316206</v>
      </c>
      <c r="AN1409">
        <v>1.00000004285666</v>
      </c>
    </row>
    <row r="1410" spans="1:40" x14ac:dyDescent="0.25">
      <c r="A1410" t="str">
        <f>"20190303170248382"</f>
        <v>20190303170248382</v>
      </c>
      <c r="B1410" t="str">
        <f>"1551603768377127"</f>
        <v>1551603768377127</v>
      </c>
      <c r="C1410" t="s">
        <v>40</v>
      </c>
      <c r="D1410">
        <v>4.4584669999999997</v>
      </c>
      <c r="E1410">
        <v>0.56936249999999999</v>
      </c>
      <c r="F1410" t="s">
        <v>43</v>
      </c>
      <c r="G1410">
        <v>-221.4023</v>
      </c>
      <c r="H1410">
        <v>1.008958</v>
      </c>
      <c r="I1410">
        <v>367.59969999999998</v>
      </c>
      <c r="J1410">
        <v>-222.01920000000001</v>
      </c>
      <c r="K1410">
        <v>1.1205849999999999</v>
      </c>
      <c r="L1410">
        <v>367.80579999999998</v>
      </c>
      <c r="M1410">
        <v>0.99887969999999904</v>
      </c>
      <c r="N1410">
        <v>-1.3962260000000001E-2</v>
      </c>
      <c r="O1410">
        <v>-4.5215180000000001E-2</v>
      </c>
      <c r="P1410">
        <v>0.98119179999999995</v>
      </c>
      <c r="Q1410">
        <v>0.13723160000000001</v>
      </c>
      <c r="R1410">
        <v>-0.1357582</v>
      </c>
      <c r="S1410">
        <v>3.0039220000000002</v>
      </c>
      <c r="T1410">
        <v>-0.42829509999999998</v>
      </c>
      <c r="U1410">
        <v>-0.82278439999999997</v>
      </c>
      <c r="V1410">
        <v>9.1661960000000001E-2</v>
      </c>
      <c r="W1410">
        <v>0.1507397</v>
      </c>
      <c r="X1410">
        <v>0.98431480000000005</v>
      </c>
      <c r="Y1410">
        <v>0.21837090000000001</v>
      </c>
      <c r="Z1410">
        <v>-1.11027E-2</v>
      </c>
      <c r="AA1410">
        <v>0.97580270000000002</v>
      </c>
      <c r="AB1410">
        <v>26</v>
      </c>
      <c r="AC1410">
        <v>0.61690000000001499</v>
      </c>
      <c r="AD1410">
        <v>-0.111626999999999</v>
      </c>
      <c r="AE1410">
        <v>-0.20609999999999201</v>
      </c>
      <c r="AF1410">
        <v>0.17290048390917101</v>
      </c>
      <c r="AG1410">
        <v>-0.111626999999999</v>
      </c>
      <c r="AH1410">
        <v>0.60768942025108896</v>
      </c>
      <c r="AI1410">
        <v>100.019545962838</v>
      </c>
      <c r="AJ1410">
        <v>74.117827036852802</v>
      </c>
      <c r="AK1410">
        <v>0.64159301426225801</v>
      </c>
      <c r="AL1410">
        <v>81.330204311649595</v>
      </c>
      <c r="AM1410">
        <v>84.679810830196303</v>
      </c>
      <c r="AN1410">
        <v>0.99999999878308599</v>
      </c>
    </row>
    <row r="1411" spans="1:40" x14ac:dyDescent="0.25">
      <c r="A1411" t="str">
        <f>"20190303170248395"</f>
        <v>20190303170248395</v>
      </c>
      <c r="B1411" t="str">
        <f>"1551603768386886"</f>
        <v>1551603768386886</v>
      </c>
      <c r="C1411" t="s">
        <v>40</v>
      </c>
      <c r="D1411">
        <v>4.4277110000000004</v>
      </c>
      <c r="E1411">
        <v>0.57373260000000004</v>
      </c>
      <c r="F1411" t="s">
        <v>42</v>
      </c>
      <c r="G1411">
        <v>-210.88229999999999</v>
      </c>
      <c r="H1411" s="1">
        <v>-4.8303280000000001E-6</v>
      </c>
      <c r="I1411">
        <v>364.33659999999998</v>
      </c>
      <c r="J1411">
        <v>-221.87200000000001</v>
      </c>
      <c r="K1411">
        <v>1.120571</v>
      </c>
      <c r="L1411">
        <v>367.79820000000001</v>
      </c>
      <c r="M1411">
        <v>0.99883840000000002</v>
      </c>
      <c r="N1411">
        <v>-1.39612E-2</v>
      </c>
      <c r="O1411">
        <v>-4.611722E-2</v>
      </c>
      <c r="P1411">
        <v>0.98093379999999997</v>
      </c>
      <c r="Q1411">
        <v>0.13778889999999999</v>
      </c>
      <c r="R1411">
        <v>-0.13705110000000001</v>
      </c>
      <c r="S1411">
        <v>2.9712830000000001</v>
      </c>
      <c r="T1411">
        <v>-0.29896810000000001</v>
      </c>
      <c r="U1411">
        <v>-0.92556760000000005</v>
      </c>
      <c r="V1411">
        <v>9.2081140000000006E-2</v>
      </c>
      <c r="W1411">
        <v>0.1512907</v>
      </c>
      <c r="X1411">
        <v>0.98419109999999999</v>
      </c>
      <c r="Y1411">
        <v>0.25188500000000003</v>
      </c>
      <c r="Z1411">
        <v>-1.0269479999999999E-2</v>
      </c>
      <c r="AA1411">
        <v>0.96770270000000003</v>
      </c>
      <c r="AB1411">
        <v>26</v>
      </c>
      <c r="AC1411">
        <v>10.989699999999999</v>
      </c>
      <c r="AD1411">
        <v>-1.120575830328</v>
      </c>
      <c r="AE1411">
        <v>-3.46160000000003</v>
      </c>
      <c r="AF1411">
        <v>2.9234010739804299</v>
      </c>
      <c r="AG1411">
        <v>-1.120575830328</v>
      </c>
      <c r="AH1411">
        <v>11.033300213634799</v>
      </c>
      <c r="AI1411">
        <v>95.607064112923894</v>
      </c>
      <c r="AJ1411">
        <v>75.159827800190698</v>
      </c>
      <c r="AK1411">
        <v>11.4689004544925</v>
      </c>
      <c r="AL1411">
        <v>81.298267793426007</v>
      </c>
      <c r="AM1411">
        <v>84.654953763923899</v>
      </c>
      <c r="AN1411">
        <v>0.99999996678469905</v>
      </c>
    </row>
    <row r="1412" spans="1:40" x14ac:dyDescent="0.25">
      <c r="A1412" t="str">
        <f>"20190303170248407"</f>
        <v>20190303170248407</v>
      </c>
      <c r="B1412" t="str">
        <f>"1551603768396646"</f>
        <v>1551603768396646</v>
      </c>
      <c r="C1412" t="s">
        <v>40</v>
      </c>
      <c r="D1412">
        <v>4.4603479999999998</v>
      </c>
      <c r="E1412">
        <v>0.57618930000000002</v>
      </c>
      <c r="F1412" t="s">
        <v>52</v>
      </c>
      <c r="G1412">
        <v>-209.04069999999999</v>
      </c>
      <c r="H1412" s="1">
        <v>-5.9019899999999997E-6</v>
      </c>
      <c r="I1412">
        <v>363.61070000000001</v>
      </c>
      <c r="J1412">
        <v>-221.7302</v>
      </c>
      <c r="K1412">
        <v>1.1205579999999999</v>
      </c>
      <c r="L1412">
        <v>367.79070000000002</v>
      </c>
      <c r="M1412">
        <v>0.99879739999999995</v>
      </c>
      <c r="N1412">
        <v>-1.3960119999999999E-2</v>
      </c>
      <c r="O1412">
        <v>-4.6999640000000002E-2</v>
      </c>
      <c r="P1412">
        <v>0.98070369999999996</v>
      </c>
      <c r="Q1412">
        <v>0.13814489999999999</v>
      </c>
      <c r="R1412">
        <v>-0.1383345</v>
      </c>
      <c r="S1412">
        <v>2.9596710000000002</v>
      </c>
      <c r="T1412">
        <v>-0.25847290000000001</v>
      </c>
      <c r="U1412">
        <v>-0.96591190000000005</v>
      </c>
      <c r="V1412">
        <v>9.2507309999999995E-2</v>
      </c>
      <c r="W1412">
        <v>0.15164049999999901</v>
      </c>
      <c r="X1412">
        <v>0.98409740000000001</v>
      </c>
      <c r="Y1412">
        <v>0.2642755</v>
      </c>
      <c r="Z1412">
        <v>-9.778129E-3</v>
      </c>
      <c r="AA1412">
        <v>0.96439770000000002</v>
      </c>
      <c r="AB1412">
        <v>26</v>
      </c>
      <c r="AC1412">
        <v>12.689500000000001</v>
      </c>
      <c r="AD1412">
        <v>-1.12056390199</v>
      </c>
      <c r="AE1412">
        <v>-4.18</v>
      </c>
      <c r="AF1412">
        <v>3.5539190477229901</v>
      </c>
      <c r="AG1412">
        <v>-1.12056390199</v>
      </c>
      <c r="AH1412">
        <v>12.7820341093548</v>
      </c>
      <c r="AI1412">
        <v>94.827920435660502</v>
      </c>
      <c r="AJ1412">
        <v>74.4619324507794</v>
      </c>
      <c r="AK1412">
        <v>13.3141428574625</v>
      </c>
      <c r="AL1412">
        <v>81.277992686361699</v>
      </c>
      <c r="AM1412">
        <v>84.629851805546593</v>
      </c>
      <c r="AN1412">
        <v>1.0000000681652199</v>
      </c>
    </row>
    <row r="1413" spans="1:40" x14ac:dyDescent="0.25">
      <c r="A1413" t="str">
        <f>"20190303170248420"</f>
        <v>20190303170248420</v>
      </c>
      <c r="B1413" t="str">
        <f>"1551603768407383"</f>
        <v>1551603768407383</v>
      </c>
      <c r="C1413" t="s">
        <v>40</v>
      </c>
      <c r="D1413">
        <v>4.4685139999999999</v>
      </c>
      <c r="E1413">
        <v>0.57811190000000001</v>
      </c>
      <c r="F1413" t="s">
        <v>52</v>
      </c>
      <c r="G1413">
        <v>-207.3398</v>
      </c>
      <c r="H1413" s="1">
        <v>-5.4337470000000004E-6</v>
      </c>
      <c r="I1413">
        <v>362.9631</v>
      </c>
      <c r="J1413">
        <v>-221.5942</v>
      </c>
      <c r="K1413">
        <v>1.1205449999999999</v>
      </c>
      <c r="L1413">
        <v>367.78339999999997</v>
      </c>
      <c r="M1413">
        <v>0.99875700000000001</v>
      </c>
      <c r="N1413">
        <v>-1.395908E-2</v>
      </c>
      <c r="O1413">
        <v>-4.7848660000000001E-2</v>
      </c>
      <c r="P1413">
        <v>0.98044810000000004</v>
      </c>
      <c r="Q1413">
        <v>0.13849020000000001</v>
      </c>
      <c r="R1413">
        <v>-0.13979279999999999</v>
      </c>
      <c r="S1413">
        <v>2.9517519999999999</v>
      </c>
      <c r="T1413">
        <v>-0.22984959999999999</v>
      </c>
      <c r="U1413">
        <v>-0.99023439999999996</v>
      </c>
      <c r="V1413">
        <v>9.3142050000000004E-2</v>
      </c>
      <c r="W1413">
        <v>0.151979799999999</v>
      </c>
      <c r="X1413">
        <v>0.98398509999999995</v>
      </c>
      <c r="Y1413">
        <v>0.27152710000000002</v>
      </c>
      <c r="Z1413">
        <v>-9.2619109999999994E-3</v>
      </c>
      <c r="AA1413">
        <v>0.96238630000000003</v>
      </c>
      <c r="AB1413">
        <v>26</v>
      </c>
      <c r="AC1413">
        <v>14.2544</v>
      </c>
      <c r="AD1413">
        <v>-1.120550433747</v>
      </c>
      <c r="AE1413">
        <v>-4.8202999999999703</v>
      </c>
      <c r="AF1413">
        <v>4.1098659778006699</v>
      </c>
      <c r="AG1413">
        <v>-1.120550433747</v>
      </c>
      <c r="AH1413">
        <v>14.388943065810601</v>
      </c>
      <c r="AI1413">
        <v>94.282383354256396</v>
      </c>
      <c r="AJ1413">
        <v>74.059245035123794</v>
      </c>
      <c r="AK1413">
        <v>15.006275826506499</v>
      </c>
      <c r="AL1413">
        <v>81.258323569192498</v>
      </c>
      <c r="AM1413">
        <v>84.592608687287495</v>
      </c>
      <c r="AN1413">
        <v>0.99999998905412602</v>
      </c>
    </row>
    <row r="1414" spans="1:40" x14ac:dyDescent="0.25">
      <c r="A1414" t="str">
        <f>"20190303170248431"</f>
        <v>20190303170248431</v>
      </c>
      <c r="B1414" t="str">
        <f>"1551603768426903"</f>
        <v>1551603768426903</v>
      </c>
      <c r="C1414" t="s">
        <v>40</v>
      </c>
      <c r="D1414">
        <v>4.4575500000000003</v>
      </c>
      <c r="E1414">
        <v>0.5806521</v>
      </c>
      <c r="F1414" t="s">
        <v>52</v>
      </c>
      <c r="G1414">
        <v>-205.60810000000001</v>
      </c>
      <c r="H1414" s="1">
        <v>-4.8611720000000002E-6</v>
      </c>
      <c r="I1414">
        <v>362.29660000000001</v>
      </c>
      <c r="J1414">
        <v>-221.44659999999999</v>
      </c>
      <c r="K1414">
        <v>1.12053799999999</v>
      </c>
      <c r="L1414">
        <v>367.77530000000002</v>
      </c>
      <c r="M1414">
        <v>0.99871220000000005</v>
      </c>
      <c r="N1414">
        <v>-1.395793E-2</v>
      </c>
      <c r="O1414">
        <v>-4.8777380000000002E-2</v>
      </c>
      <c r="P1414">
        <v>0.98026979999999997</v>
      </c>
      <c r="Q1414">
        <v>0.13844219999999999</v>
      </c>
      <c r="R1414">
        <v>-0.14108619999999999</v>
      </c>
      <c r="S1414">
        <v>2.9448699999999999</v>
      </c>
      <c r="T1414">
        <v>-0.2064213</v>
      </c>
      <c r="U1414">
        <v>-1.010742</v>
      </c>
      <c r="V1414">
        <v>9.3527860000000004E-2</v>
      </c>
      <c r="W1414">
        <v>0.15192749999999999</v>
      </c>
      <c r="X1414">
        <v>0.98395659999999896</v>
      </c>
      <c r="Y1414">
        <v>0.27743479999999998</v>
      </c>
      <c r="Z1414">
        <v>-8.7854360000000006E-3</v>
      </c>
      <c r="AA1414">
        <v>0.96070429999999996</v>
      </c>
      <c r="AB1414">
        <v>26</v>
      </c>
      <c r="AC1414">
        <v>15.8384999999999</v>
      </c>
      <c r="AD1414">
        <v>-1.1205428611720001</v>
      </c>
      <c r="AE1414">
        <v>-5.4786999999999999</v>
      </c>
      <c r="AF1414">
        <v>4.6786262740085904</v>
      </c>
      <c r="AG1414">
        <v>-1.1205428611720001</v>
      </c>
      <c r="AH1414">
        <v>16.015311391827399</v>
      </c>
      <c r="AI1414">
        <v>93.842205682031803</v>
      </c>
      <c r="AJ1414">
        <v>73.715090779816705</v>
      </c>
      <c r="AK1414">
        <v>16.7223012499107</v>
      </c>
      <c r="AL1414">
        <v>81.261355513839206</v>
      </c>
      <c r="AM1414">
        <v>84.570187621019599</v>
      </c>
      <c r="AN1414">
        <v>1.0000000082679901</v>
      </c>
    </row>
    <row r="1415" spans="1:40" x14ac:dyDescent="0.25">
      <c r="A1415" t="str">
        <f>"20190303170248446"</f>
        <v>20190303170248446</v>
      </c>
      <c r="B1415" t="str">
        <f>"1551603768436662"</f>
        <v>1551603768436662</v>
      </c>
      <c r="C1415" t="s">
        <v>40</v>
      </c>
      <c r="D1415">
        <v>4.4542609999999998</v>
      </c>
      <c r="E1415">
        <v>0.58185640000000005</v>
      </c>
      <c r="F1415" t="s">
        <v>52</v>
      </c>
      <c r="G1415">
        <v>-202.80179999999999</v>
      </c>
      <c r="H1415" s="1">
        <v>-3.7146360000000001E-6</v>
      </c>
      <c r="I1415">
        <v>361.20100000000002</v>
      </c>
      <c r="J1415">
        <v>-221.2842</v>
      </c>
      <c r="K1415">
        <v>1.120533</v>
      </c>
      <c r="L1415">
        <v>367.76620000000003</v>
      </c>
      <c r="M1415">
        <v>0.99866160000000004</v>
      </c>
      <c r="N1415">
        <v>-1.39566E-2</v>
      </c>
      <c r="O1415">
        <v>-4.9803680000000003E-2</v>
      </c>
      <c r="P1415">
        <v>0.98000810000000005</v>
      </c>
      <c r="Q1415">
        <v>0.138255399999999</v>
      </c>
      <c r="R1415">
        <v>-0.14307220000000001</v>
      </c>
      <c r="S1415">
        <v>2.9362949999999999</v>
      </c>
      <c r="T1415">
        <v>-0.17646909999999999</v>
      </c>
      <c r="U1415">
        <v>-1.0353699999999999</v>
      </c>
      <c r="V1415">
        <v>9.4512289999999999E-2</v>
      </c>
      <c r="W1415">
        <v>0.1517347</v>
      </c>
      <c r="X1415">
        <v>0.98389230000000005</v>
      </c>
      <c r="Y1415">
        <v>0.28463179999999999</v>
      </c>
      <c r="Z1415">
        <v>-8.1222859999999994E-3</v>
      </c>
      <c r="AA1415">
        <v>0.95860250000000002</v>
      </c>
      <c r="AB1415">
        <v>26</v>
      </c>
      <c r="AC1415">
        <v>18.482399999999998</v>
      </c>
      <c r="AD1415">
        <v>-1.1205367146359999</v>
      </c>
      <c r="AE1415">
        <v>-6.5652000000000603</v>
      </c>
      <c r="AF1415">
        <v>5.6181333718102797</v>
      </c>
      <c r="AG1415">
        <v>-1.1205367146359999</v>
      </c>
      <c r="AH1415">
        <v>18.725345768048701</v>
      </c>
      <c r="AI1415">
        <v>93.280404088919298</v>
      </c>
      <c r="AJ1415">
        <v>73.299268992447097</v>
      </c>
      <c r="AK1415">
        <v>19.582073415378499</v>
      </c>
      <c r="AL1415">
        <v>81.272531859630305</v>
      </c>
      <c r="AM1415">
        <v>84.513026552016697</v>
      </c>
      <c r="AN1415">
        <v>1.0000000250722101</v>
      </c>
    </row>
    <row r="1416" spans="1:40" x14ac:dyDescent="0.25">
      <c r="A1416" t="str">
        <f>"20190303170248460"</f>
        <v>20190303170248460</v>
      </c>
      <c r="B1416" t="str">
        <f>"1551603768447399"</f>
        <v>1551603768447399</v>
      </c>
      <c r="C1416" t="s">
        <v>40</v>
      </c>
      <c r="D1416">
        <v>4.421697</v>
      </c>
      <c r="E1416">
        <v>0.58277019999999902</v>
      </c>
      <c r="F1416" t="s">
        <v>52</v>
      </c>
      <c r="G1416">
        <v>-201.59299999999999</v>
      </c>
      <c r="H1416" s="1">
        <v>-3.2152409999999998E-6</v>
      </c>
      <c r="I1416">
        <v>360.71</v>
      </c>
      <c r="J1416">
        <v>-221.12209999999999</v>
      </c>
      <c r="K1416">
        <v>1.1205309999999999</v>
      </c>
      <c r="L1416">
        <v>367.75700000000001</v>
      </c>
      <c r="M1416">
        <v>0.99860979999999999</v>
      </c>
      <c r="N1416">
        <v>-1.3955260000000001E-2</v>
      </c>
      <c r="O1416">
        <v>-5.0831019999999998E-2</v>
      </c>
      <c r="P1416">
        <v>0.97976989999999997</v>
      </c>
      <c r="Q1416">
        <v>0.1385276</v>
      </c>
      <c r="R1416">
        <v>-0.1444348</v>
      </c>
      <c r="S1416">
        <v>2.9313660000000001</v>
      </c>
      <c r="T1416">
        <v>-0.16681079999999901</v>
      </c>
      <c r="U1416">
        <v>-1.050446</v>
      </c>
      <c r="V1416">
        <v>9.4872499999999998E-2</v>
      </c>
      <c r="W1416">
        <v>0.1520029</v>
      </c>
      <c r="X1416">
        <v>0.98381620000000003</v>
      </c>
      <c r="Y1416">
        <v>0.2885664</v>
      </c>
      <c r="Z1416">
        <v>-7.9263210000000001E-3</v>
      </c>
      <c r="AA1416">
        <v>0.95742709999999998</v>
      </c>
      <c r="AB1416">
        <v>26</v>
      </c>
      <c r="AC1416">
        <v>19.5291</v>
      </c>
      <c r="AD1416">
        <v>-1.1205342152410001</v>
      </c>
      <c r="AE1416">
        <v>-7.0469999999999597</v>
      </c>
      <c r="AF1416">
        <v>6.0275499370263601</v>
      </c>
      <c r="AG1416">
        <v>-1.1205342152410001</v>
      </c>
      <c r="AH1416">
        <v>19.804401873412601</v>
      </c>
      <c r="AI1416">
        <v>93.098315064208805</v>
      </c>
      <c r="AJ1416">
        <v>73.072160513223693</v>
      </c>
      <c r="AK1416">
        <v>20.731649445582001</v>
      </c>
      <c r="AL1416">
        <v>81.256984523552902</v>
      </c>
      <c r="AM1416">
        <v>84.491819256594297</v>
      </c>
      <c r="AN1416">
        <v>0.99999999412355001</v>
      </c>
    </row>
    <row r="1417" spans="1:40" x14ac:dyDescent="0.25">
      <c r="A1417" t="str">
        <f>"20190303170248469"</f>
        <v>20190303170248469</v>
      </c>
      <c r="B1417" t="str">
        <f>"1551603768457159"</f>
        <v>1551603768457159</v>
      </c>
      <c r="C1417" t="s">
        <v>40</v>
      </c>
      <c r="D1417">
        <v>4.4752720000000004</v>
      </c>
      <c r="E1417">
        <v>0.58355259999999998</v>
      </c>
      <c r="F1417" t="s">
        <v>52</v>
      </c>
      <c r="G1417">
        <v>-200.39070000000001</v>
      </c>
      <c r="H1417" s="1">
        <v>-2.7151160000000001E-6</v>
      </c>
      <c r="I1417">
        <v>360.23680000000002</v>
      </c>
      <c r="J1417">
        <v>-221.00550000000001</v>
      </c>
      <c r="K1417">
        <v>1.1205339999999999</v>
      </c>
      <c r="L1417">
        <v>367.75029999999998</v>
      </c>
      <c r="M1417">
        <v>0.99857200000000002</v>
      </c>
      <c r="N1417">
        <v>-1.3954319999999999E-2</v>
      </c>
      <c r="O1417">
        <v>-5.1570669999999999E-2</v>
      </c>
      <c r="P1417">
        <v>0.97955289999999995</v>
      </c>
      <c r="Q1417">
        <v>0.1388761</v>
      </c>
      <c r="R1417">
        <v>-0.14556740000000001</v>
      </c>
      <c r="S1417">
        <v>2.927765</v>
      </c>
      <c r="T1417">
        <v>-0.15824630000000001</v>
      </c>
      <c r="U1417">
        <v>-1.0620419999999999</v>
      </c>
      <c r="V1417">
        <v>9.528565E-2</v>
      </c>
      <c r="W1417">
        <v>0.15234829999999999</v>
      </c>
      <c r="X1417">
        <v>0.98372289999999996</v>
      </c>
      <c r="Y1417">
        <v>0.29162189999999999</v>
      </c>
      <c r="Z1417">
        <v>-7.7384109999999997E-3</v>
      </c>
      <c r="AA1417">
        <v>0.95650239999999997</v>
      </c>
      <c r="AB1417">
        <v>26</v>
      </c>
      <c r="AC1417">
        <v>20.614799999999999</v>
      </c>
      <c r="AD1417">
        <v>-1.1205367151159999</v>
      </c>
      <c r="AE1417">
        <v>-7.5134999999999597</v>
      </c>
      <c r="AF1417">
        <v>6.4235245369799499</v>
      </c>
      <c r="AG1417">
        <v>-1.1205367151159999</v>
      </c>
      <c r="AH1417">
        <v>20.9203149819324</v>
      </c>
      <c r="AI1417">
        <v>92.931146785419998</v>
      </c>
      <c r="AJ1417">
        <v>72.931041392024895</v>
      </c>
      <c r="AK1417">
        <v>21.9129379351645</v>
      </c>
      <c r="AL1417">
        <v>81.236961870136895</v>
      </c>
      <c r="AM1417">
        <v>84.467459331398501</v>
      </c>
      <c r="AN1417">
        <v>1.0000000517966099</v>
      </c>
    </row>
    <row r="1418" spans="1:40" x14ac:dyDescent="0.25">
      <c r="A1418" t="str">
        <f>"20190303170248481"</f>
        <v>20190303170248481</v>
      </c>
      <c r="B1418" t="str">
        <f>"1551603768476679"</f>
        <v>1551603768476679</v>
      </c>
      <c r="C1418" t="s">
        <v>40</v>
      </c>
      <c r="D1418">
        <v>4.4755960000000004</v>
      </c>
      <c r="E1418">
        <v>0.58453060000000001</v>
      </c>
      <c r="F1418" t="s">
        <v>52</v>
      </c>
      <c r="G1418">
        <v>-199.2294</v>
      </c>
      <c r="H1418" s="1">
        <v>-1.0062500000000001E-5</v>
      </c>
      <c r="I1418">
        <v>359.7722</v>
      </c>
      <c r="J1418">
        <v>-220.88239999999999</v>
      </c>
      <c r="K1418">
        <v>1.1205369999999999</v>
      </c>
      <c r="L1418">
        <v>367.74310000000003</v>
      </c>
      <c r="M1418">
        <v>0.99853130000000001</v>
      </c>
      <c r="N1418">
        <v>-1.395329E-2</v>
      </c>
      <c r="O1418">
        <v>-5.2352030000000001E-2</v>
      </c>
      <c r="P1418">
        <v>0.97937180000000001</v>
      </c>
      <c r="Q1418">
        <v>0.13894609999999999</v>
      </c>
      <c r="R1418">
        <v>-0.14671380000000001</v>
      </c>
      <c r="S1418">
        <v>2.924728</v>
      </c>
      <c r="T1418">
        <v>-0.1504992</v>
      </c>
      <c r="U1418">
        <v>-1.0715330000000001</v>
      </c>
      <c r="V1418">
        <v>9.5668420000000004E-2</v>
      </c>
      <c r="W1418">
        <v>0.15241579999999999</v>
      </c>
      <c r="X1418">
        <v>0.98367519999999997</v>
      </c>
      <c r="Y1418">
        <v>0.29396349999999999</v>
      </c>
      <c r="Z1418">
        <v>-7.5465389999999997E-3</v>
      </c>
      <c r="AA1418">
        <v>0.95578689999999999</v>
      </c>
      <c r="AB1418">
        <v>26</v>
      </c>
      <c r="AC1418">
        <v>21.652999999999899</v>
      </c>
      <c r="AD1418">
        <v>-1.1205470625</v>
      </c>
      <c r="AE1418">
        <v>-7.9709000000000199</v>
      </c>
      <c r="AF1418">
        <v>6.8102167872117798</v>
      </c>
      <c r="AG1418">
        <v>-1.1205470625</v>
      </c>
      <c r="AH1418">
        <v>21.988774589150001</v>
      </c>
      <c r="AI1418">
        <v>92.786885516800794</v>
      </c>
      <c r="AJ1418">
        <v>72.791549509313597</v>
      </c>
      <c r="AK1418">
        <v>23.046494014069602</v>
      </c>
      <c r="AL1418">
        <v>81.233047902680099</v>
      </c>
      <c r="AM1418">
        <v>84.4451057267012</v>
      </c>
      <c r="AN1418">
        <v>0.99999996088498699</v>
      </c>
    </row>
    <row r="1419" spans="1:40" x14ac:dyDescent="0.25">
      <c r="A1419" t="str">
        <f>"20190303170248492"</f>
        <v>20190303170248492</v>
      </c>
      <c r="B1419" t="str">
        <f>"1551603768487414"</f>
        <v>1551603768487414</v>
      </c>
      <c r="C1419" t="s">
        <v>40</v>
      </c>
      <c r="D1419">
        <v>4.4708610000000002</v>
      </c>
      <c r="E1419">
        <v>0.58490279999999994</v>
      </c>
      <c r="F1419" t="s">
        <v>52</v>
      </c>
      <c r="G1419">
        <v>-197.69450000000001</v>
      </c>
      <c r="H1419" s="1">
        <v>-6.336598E-6</v>
      </c>
      <c r="I1419">
        <v>359.14490000000001</v>
      </c>
      <c r="J1419">
        <v>-220.74590000000001</v>
      </c>
      <c r="K1419">
        <v>1.1205419999999999</v>
      </c>
      <c r="L1419">
        <v>367.73500000000001</v>
      </c>
      <c r="M1419">
        <v>0.99848559999999997</v>
      </c>
      <c r="N1419">
        <v>-1.395212E-2</v>
      </c>
      <c r="O1419">
        <v>-5.3218840000000003E-2</v>
      </c>
      <c r="P1419">
        <v>0.97922659999999995</v>
      </c>
      <c r="Q1419">
        <v>0.13917089999999999</v>
      </c>
      <c r="R1419">
        <v>-0.14746989999999999</v>
      </c>
      <c r="S1419">
        <v>2.9209290000000001</v>
      </c>
      <c r="T1419">
        <v>-0.14115259999999999</v>
      </c>
      <c r="U1419">
        <v>-1.083099</v>
      </c>
      <c r="V1419">
        <v>9.5575530000000006E-2</v>
      </c>
      <c r="W1419">
        <v>0.1526391</v>
      </c>
      <c r="X1419">
        <v>0.98364969999999996</v>
      </c>
      <c r="Y1419">
        <v>0.2969038</v>
      </c>
      <c r="Z1419">
        <v>-7.3182539999999997E-3</v>
      </c>
      <c r="AA1419">
        <v>0.95487929999999999</v>
      </c>
      <c r="AB1419">
        <v>26</v>
      </c>
      <c r="AC1419">
        <v>23.051400000000001</v>
      </c>
      <c r="AD1419">
        <v>-1.120548336598</v>
      </c>
      <c r="AE1419">
        <v>-8.5900999999999996</v>
      </c>
      <c r="AF1419">
        <v>7.33581548570975</v>
      </c>
      <c r="AG1419">
        <v>-1.120548336598</v>
      </c>
      <c r="AH1419">
        <v>23.427317564201299</v>
      </c>
      <c r="AI1419">
        <v>92.613473360080206</v>
      </c>
      <c r="AJ1419">
        <v>72.613052827382703</v>
      </c>
      <c r="AK1419">
        <v>24.574560538674199</v>
      </c>
      <c r="AL1419">
        <v>81.2201031097282</v>
      </c>
      <c r="AM1419">
        <v>84.450322641667398</v>
      </c>
      <c r="AN1419">
        <v>1.0000000545468299</v>
      </c>
    </row>
    <row r="1420" spans="1:40" x14ac:dyDescent="0.25">
      <c r="A1420" t="str">
        <f>"20190303170248504"</f>
        <v>20190303170248504</v>
      </c>
      <c r="B1420" t="str">
        <f>"1551603768497175"</f>
        <v>1551603768497175</v>
      </c>
      <c r="C1420" t="s">
        <v>40</v>
      </c>
      <c r="D1420">
        <v>4.4445819999999996</v>
      </c>
      <c r="E1420">
        <v>0.58533109999999999</v>
      </c>
      <c r="F1420" t="s">
        <v>52</v>
      </c>
      <c r="G1420">
        <v>-196.7878</v>
      </c>
      <c r="H1420" s="1">
        <v>-6.0804250000000003E-6</v>
      </c>
      <c r="I1420">
        <v>358.80270000000002</v>
      </c>
      <c r="J1420">
        <v>-220.6096</v>
      </c>
      <c r="K1420">
        <v>1.1205430000000001</v>
      </c>
      <c r="L1420">
        <v>367.72680000000003</v>
      </c>
      <c r="M1420">
        <v>0.99843899999999997</v>
      </c>
      <c r="N1420">
        <v>-1.3950789999999999E-2</v>
      </c>
      <c r="O1420">
        <v>-5.4082289999999998E-2</v>
      </c>
      <c r="P1420">
        <v>0.97903019999999996</v>
      </c>
      <c r="Q1420">
        <v>0.13956849999999901</v>
      </c>
      <c r="R1420">
        <v>-0.14839189999999999</v>
      </c>
      <c r="S1420">
        <v>2.9191440000000002</v>
      </c>
      <c r="T1420">
        <v>-0.13653189999999901</v>
      </c>
      <c r="U1420">
        <v>-1.0883480000000001</v>
      </c>
      <c r="V1420">
        <v>9.5654909999999996E-2</v>
      </c>
      <c r="W1420">
        <v>0.153035</v>
      </c>
      <c r="X1420">
        <v>0.98358040000000002</v>
      </c>
      <c r="Y1420">
        <v>0.29779609999999901</v>
      </c>
      <c r="Z1420">
        <v>-7.1732740000000003E-3</v>
      </c>
      <c r="AA1420">
        <v>0.95460259999999997</v>
      </c>
      <c r="AB1420">
        <v>26</v>
      </c>
      <c r="AC1420">
        <v>23.8218</v>
      </c>
      <c r="AD1420">
        <v>-1.120549080425</v>
      </c>
      <c r="AE1420">
        <v>-8.9241000000000099</v>
      </c>
      <c r="AF1420">
        <v>7.60781219613368</v>
      </c>
      <c r="AG1420">
        <v>-1.120549080425</v>
      </c>
      <c r="AH1420">
        <v>24.222612149620101</v>
      </c>
      <c r="AI1420">
        <v>92.527097441554801</v>
      </c>
      <c r="AJ1420">
        <v>72.563594810963494</v>
      </c>
      <c r="AK1420">
        <v>25.413960258177099</v>
      </c>
      <c r="AL1420">
        <v>81.197149456287406</v>
      </c>
      <c r="AM1420">
        <v>84.445353294368203</v>
      </c>
      <c r="AN1420">
        <v>0.99999998814813396</v>
      </c>
    </row>
    <row r="1421" spans="1:40" x14ac:dyDescent="0.25">
      <c r="A1421" t="str">
        <f>"20190303170248516"</f>
        <v>20190303170248516</v>
      </c>
      <c r="B1421" t="str">
        <f>"1551603768506934"</f>
        <v>1551603768506934</v>
      </c>
      <c r="C1421" t="s">
        <v>40</v>
      </c>
      <c r="D1421">
        <v>4.4600410000000004</v>
      </c>
      <c r="E1421">
        <v>0.5855823</v>
      </c>
      <c r="F1421" t="s">
        <v>52</v>
      </c>
      <c r="G1421">
        <v>-195.77680000000001</v>
      </c>
      <c r="H1421" s="1">
        <v>-5.7898879999999999E-6</v>
      </c>
      <c r="I1421">
        <v>358.40660000000003</v>
      </c>
      <c r="J1421">
        <v>-220.47559999999999</v>
      </c>
      <c r="K1421">
        <v>1.120547</v>
      </c>
      <c r="L1421">
        <v>367.71870000000001</v>
      </c>
      <c r="M1421">
        <v>0.99839279999999997</v>
      </c>
      <c r="N1421">
        <v>-1.394944E-2</v>
      </c>
      <c r="O1421">
        <v>-5.493108E-2</v>
      </c>
      <c r="P1421">
        <v>0.97893920000000001</v>
      </c>
      <c r="Q1421">
        <v>0.139324799999999</v>
      </c>
      <c r="R1421">
        <v>-0.1492203</v>
      </c>
      <c r="S1421">
        <v>2.9170989999999999</v>
      </c>
      <c r="T1421">
        <v>-0.1316301</v>
      </c>
      <c r="U1421">
        <v>-1.094849</v>
      </c>
      <c r="V1421">
        <v>9.5647389999999999E-2</v>
      </c>
      <c r="W1421">
        <v>0.15279079999999901</v>
      </c>
      <c r="X1421">
        <v>0.98361909999999997</v>
      </c>
      <c r="Y1421">
        <v>0.29908889999999999</v>
      </c>
      <c r="Z1421">
        <v>-7.0328519999999896E-3</v>
      </c>
      <c r="AA1421">
        <v>0.95419940000000003</v>
      </c>
      <c r="AB1421">
        <v>26</v>
      </c>
      <c r="AC1421">
        <v>24.698799999999899</v>
      </c>
      <c r="AD1421">
        <v>-1.1205527898879999</v>
      </c>
      <c r="AE1421">
        <v>-9.3120999999999796</v>
      </c>
      <c r="AF1421">
        <v>7.9268883097448803</v>
      </c>
      <c r="AG1421">
        <v>-1.1205527898879999</v>
      </c>
      <c r="AH1421">
        <v>25.1277906853215</v>
      </c>
      <c r="AI1421">
        <v>92.435219251890004</v>
      </c>
      <c r="AJ1421">
        <v>72.491442403070096</v>
      </c>
      <c r="AK1421">
        <v>26.372278277680699</v>
      </c>
      <c r="AL1421">
        <v>81.211307631669399</v>
      </c>
      <c r="AM1421">
        <v>84.446004408716604</v>
      </c>
      <c r="AN1421">
        <v>0.99999999283163099</v>
      </c>
    </row>
    <row r="1422" spans="1:40" x14ac:dyDescent="0.25">
      <c r="A1422" t="str">
        <f>"20190303170248527"</f>
        <v>20190303170248527</v>
      </c>
      <c r="B1422" t="str">
        <f>"1551603768516695"</f>
        <v>1551603768516695</v>
      </c>
      <c r="C1422" t="s">
        <v>40</v>
      </c>
      <c r="D1422">
        <v>4.4572029999999998</v>
      </c>
      <c r="E1422">
        <v>0.58582049999999997</v>
      </c>
      <c r="F1422" t="s">
        <v>52</v>
      </c>
      <c r="G1422">
        <v>-195.4255</v>
      </c>
      <c r="H1422" s="1">
        <v>-5.6907700000000002E-6</v>
      </c>
      <c r="I1422">
        <v>358.27429999999998</v>
      </c>
      <c r="J1422">
        <v>-220.3426</v>
      </c>
      <c r="K1422">
        <v>1.1205499999999999</v>
      </c>
      <c r="L1422">
        <v>367.71039999999999</v>
      </c>
      <c r="M1422">
        <v>0.99834610000000001</v>
      </c>
      <c r="N1422">
        <v>-1.39481E-2</v>
      </c>
      <c r="O1422">
        <v>-5.5771880000000003E-2</v>
      </c>
      <c r="P1422">
        <v>0.97883500000000001</v>
      </c>
      <c r="Q1422">
        <v>0.13932820000000001</v>
      </c>
      <c r="R1422">
        <v>-0.14989859999999999</v>
      </c>
      <c r="S1422">
        <v>2.915527</v>
      </c>
      <c r="T1422">
        <v>-0.1304188</v>
      </c>
      <c r="U1422">
        <v>-1.099213</v>
      </c>
      <c r="V1422">
        <v>9.5499360000000005E-2</v>
      </c>
      <c r="W1422">
        <v>0.1527946</v>
      </c>
      <c r="X1422">
        <v>0.98363290000000003</v>
      </c>
      <c r="Y1422">
        <v>0.29971019999999998</v>
      </c>
      <c r="Z1422">
        <v>-6.9891769999999897E-3</v>
      </c>
      <c r="AA1422">
        <v>0.95400469999999904</v>
      </c>
      <c r="AB1422">
        <v>26</v>
      </c>
      <c r="AC1422">
        <v>24.917100000000001</v>
      </c>
      <c r="AD1422">
        <v>-1.1205556907699901</v>
      </c>
      <c r="AE1422">
        <v>-9.4361000000000104</v>
      </c>
      <c r="AF1422">
        <v>8.0174206012247193</v>
      </c>
      <c r="AG1422">
        <v>-1.1205556907699901</v>
      </c>
      <c r="AH1422">
        <v>25.359774832035001</v>
      </c>
      <c r="AI1422">
        <v>92.412501780878401</v>
      </c>
      <c r="AJ1422">
        <v>72.455798405516802</v>
      </c>
      <c r="AK1422">
        <v>26.6205345116242</v>
      </c>
      <c r="AL1422">
        <v>81.211087382213293</v>
      </c>
      <c r="AM1422">
        <v>84.454623820612298</v>
      </c>
      <c r="AN1422">
        <v>0.99999999975598897</v>
      </c>
    </row>
    <row r="1423" spans="1:40" x14ac:dyDescent="0.25">
      <c r="A1423" t="str">
        <f>"20190303170248539"</f>
        <v>20190303170248539</v>
      </c>
      <c r="B1423" t="str">
        <f>"1551603768527431"</f>
        <v>1551603768527431</v>
      </c>
      <c r="C1423" t="s">
        <v>40</v>
      </c>
      <c r="D1423">
        <v>4.4534649999999996</v>
      </c>
      <c r="E1423">
        <v>0.58608729999999998</v>
      </c>
      <c r="F1423" t="s">
        <v>52</v>
      </c>
      <c r="G1423">
        <v>-194.7893</v>
      </c>
      <c r="H1423" s="1">
        <v>-5.5106929999999996E-6</v>
      </c>
      <c r="I1423">
        <v>358.03320000000002</v>
      </c>
      <c r="J1423">
        <v>-220.21100000000001</v>
      </c>
      <c r="K1423">
        <v>1.1205510000000001</v>
      </c>
      <c r="L1423">
        <v>367.7022</v>
      </c>
      <c r="M1423">
        <v>0.99829950000000001</v>
      </c>
      <c r="N1423">
        <v>-1.3946770000000001E-2</v>
      </c>
      <c r="O1423">
        <v>-5.6602779999999998E-2</v>
      </c>
      <c r="P1423">
        <v>0.97866109999999995</v>
      </c>
      <c r="Q1423">
        <v>0.13926469999999999</v>
      </c>
      <c r="R1423">
        <v>-0.1510908</v>
      </c>
      <c r="S1423">
        <v>2.9140630000000001</v>
      </c>
      <c r="T1423">
        <v>-0.1277865</v>
      </c>
      <c r="U1423">
        <v>-1.103577</v>
      </c>
      <c r="V1423">
        <v>9.5877690000000002E-2</v>
      </c>
      <c r="W1423">
        <v>0.15272859999999999</v>
      </c>
      <c r="X1423">
        <v>0.98360630000000004</v>
      </c>
      <c r="Y1423">
        <v>0.30033500000000002</v>
      </c>
      <c r="Z1423">
        <v>-6.9020030000000003E-3</v>
      </c>
      <c r="AA1423">
        <v>0.95380880000000001</v>
      </c>
      <c r="AB1423">
        <v>26</v>
      </c>
      <c r="AC1423">
        <v>25.421699999999898</v>
      </c>
      <c r="AD1423">
        <v>-1.120556510693</v>
      </c>
      <c r="AE1423">
        <v>-9.6689999999999792</v>
      </c>
      <c r="AF1423">
        <v>8.2004973433124295</v>
      </c>
      <c r="AG1423">
        <v>-1.120556510693</v>
      </c>
      <c r="AH1423">
        <v>25.884345093997599</v>
      </c>
      <c r="AI1423">
        <v>92.363215752353099</v>
      </c>
      <c r="AJ1423">
        <v>72.4211207461789</v>
      </c>
      <c r="AK1423">
        <v>27.175413971391301</v>
      </c>
      <c r="AL1423">
        <v>81.214913418366805</v>
      </c>
      <c r="AM1423">
        <v>84.432643406955506</v>
      </c>
      <c r="AN1423">
        <v>0.99999995504869199</v>
      </c>
    </row>
    <row r="1424" spans="1:40" x14ac:dyDescent="0.25">
      <c r="A1424" t="str">
        <f>"20190303170248549"</f>
        <v>20190303170248549</v>
      </c>
      <c r="B1424" t="str">
        <f>"1551603768537190"</f>
        <v>1551603768537190</v>
      </c>
      <c r="C1424" t="s">
        <v>40</v>
      </c>
      <c r="D1424">
        <v>4.4624769999999998</v>
      </c>
      <c r="E1424">
        <v>0.58634600000000003</v>
      </c>
      <c r="F1424" t="s">
        <v>52</v>
      </c>
      <c r="G1424">
        <v>-194.27330000000001</v>
      </c>
      <c r="H1424" s="1">
        <v>-5.3590230000000003E-6</v>
      </c>
      <c r="I1424">
        <v>357.82089999999999</v>
      </c>
      <c r="J1424">
        <v>-220.08969999999999</v>
      </c>
      <c r="K1424">
        <v>1.1205540000000001</v>
      </c>
      <c r="L1424">
        <v>367.69450000000001</v>
      </c>
      <c r="M1424">
        <v>0.99825580000000003</v>
      </c>
      <c r="N1424">
        <v>-1.3945539999999999E-2</v>
      </c>
      <c r="O1424">
        <v>-5.7367649999999999E-2</v>
      </c>
      <c r="P1424">
        <v>0.97857899999999998</v>
      </c>
      <c r="Q1424">
        <v>0.13893929999999999</v>
      </c>
      <c r="R1424">
        <v>-0.15191859999999999</v>
      </c>
      <c r="S1424">
        <v>2.9120330000000001</v>
      </c>
      <c r="T1424">
        <v>-0.12580530000000001</v>
      </c>
      <c r="U1424">
        <v>-1.109375</v>
      </c>
      <c r="V1424">
        <v>9.5951999999999996E-2</v>
      </c>
      <c r="W1424">
        <v>0.15240300000000001</v>
      </c>
      <c r="X1424">
        <v>0.98364960000000001</v>
      </c>
      <c r="Y1424">
        <v>0.3014908</v>
      </c>
      <c r="Z1424">
        <v>-6.8530650000000002E-3</v>
      </c>
      <c r="AA1424">
        <v>0.95344450000000003</v>
      </c>
      <c r="AB1424">
        <v>26</v>
      </c>
      <c r="AC1424">
        <v>25.816399999999899</v>
      </c>
      <c r="AD1424">
        <v>-1.1205593590230001</v>
      </c>
      <c r="AE1424">
        <v>-9.8736000000000104</v>
      </c>
      <c r="AF1424">
        <v>8.36242178526647</v>
      </c>
      <c r="AG1424">
        <v>-1.1205593590230001</v>
      </c>
      <c r="AH1424">
        <v>26.297134045582901</v>
      </c>
      <c r="AI1424">
        <v>92.325373607746499</v>
      </c>
      <c r="AJ1424">
        <v>72.359468251134601</v>
      </c>
      <c r="AK1424">
        <v>27.617476539378998</v>
      </c>
      <c r="AL1424">
        <v>81.233790287001597</v>
      </c>
      <c r="AM1424">
        <v>84.428599287322001</v>
      </c>
      <c r="AN1424">
        <v>0.99999999814658003</v>
      </c>
    </row>
    <row r="1425" spans="1:40" x14ac:dyDescent="0.25">
      <c r="A1425" t="str">
        <f>"20190303170248563"</f>
        <v>20190303170248563</v>
      </c>
      <c r="B1425" t="str">
        <f>"1551603768556711"</f>
        <v>1551603768556711</v>
      </c>
      <c r="C1425" t="s">
        <v>40</v>
      </c>
      <c r="D1425">
        <v>4.4858200000000004</v>
      </c>
      <c r="E1425">
        <v>0.58684019999999903</v>
      </c>
      <c r="F1425" t="s">
        <v>52</v>
      </c>
      <c r="G1425">
        <v>-194.08760000000001</v>
      </c>
      <c r="H1425" s="1">
        <v>-5.3037749999999999E-6</v>
      </c>
      <c r="I1425">
        <v>357.74250000000001</v>
      </c>
      <c r="J1425">
        <v>-219.94759999999999</v>
      </c>
      <c r="K1425">
        <v>1.1205540000000001</v>
      </c>
      <c r="L1425">
        <v>367.68529999999998</v>
      </c>
      <c r="M1425">
        <v>0.99820390000000003</v>
      </c>
      <c r="N1425">
        <v>-1.394404E-2</v>
      </c>
      <c r="O1425">
        <v>-5.8261609999999998E-2</v>
      </c>
      <c r="P1425">
        <v>0.97845599999999999</v>
      </c>
      <c r="Q1425">
        <v>0.13883870000000001</v>
      </c>
      <c r="R1425">
        <v>-0.15279960000000001</v>
      </c>
      <c r="S1425">
        <v>2.9105530000000002</v>
      </c>
      <c r="T1425">
        <v>-0.1254305</v>
      </c>
      <c r="U1425">
        <v>-1.1139829999999999</v>
      </c>
      <c r="V1425">
        <v>9.5954399999999995E-2</v>
      </c>
      <c r="W1425">
        <v>0.15230170000000001</v>
      </c>
      <c r="X1425">
        <v>0.98366500000000001</v>
      </c>
      <c r="Y1425">
        <v>0.30211670000000002</v>
      </c>
      <c r="Z1425">
        <v>-6.8350429999999998E-3</v>
      </c>
      <c r="AA1425">
        <v>0.95324640000000005</v>
      </c>
      <c r="AB1425">
        <v>26</v>
      </c>
      <c r="AC1425">
        <v>25.8599999999999</v>
      </c>
      <c r="AD1425">
        <v>-1.1205593037749999</v>
      </c>
      <c r="AE1425">
        <v>-9.9427999999999699</v>
      </c>
      <c r="AF1425">
        <v>8.4053658878919499</v>
      </c>
      <c r="AG1425">
        <v>-1.1205593037749999</v>
      </c>
      <c r="AH1425">
        <v>26.352296645207101</v>
      </c>
      <c r="AI1425">
        <v>92.3198651753804</v>
      </c>
      <c r="AJ1425">
        <v>72.3093235954547</v>
      </c>
      <c r="AK1425">
        <v>27.683015864237198</v>
      </c>
      <c r="AL1425">
        <v>81.239662422189596</v>
      </c>
      <c r="AM1425">
        <v>84.428547487171102</v>
      </c>
      <c r="AN1425">
        <v>0.99999994346362298</v>
      </c>
    </row>
    <row r="1426" spans="1:40" x14ac:dyDescent="0.25">
      <c r="A1426" t="str">
        <f>"20190303170248576"</f>
        <v>20190303170248576</v>
      </c>
      <c r="B1426" t="str">
        <f>"1551603768567448"</f>
        <v>1551603768567448</v>
      </c>
      <c r="C1426" t="s">
        <v>40</v>
      </c>
      <c r="D1426">
        <v>4.4496890000000002</v>
      </c>
      <c r="E1426">
        <v>0.58708159999999998</v>
      </c>
      <c r="F1426" t="s">
        <v>52</v>
      </c>
      <c r="G1426">
        <v>-193.37950000000001</v>
      </c>
      <c r="H1426" s="1">
        <v>-5.032618E-6</v>
      </c>
      <c r="I1426">
        <v>357.44499999999999</v>
      </c>
      <c r="J1426">
        <v>-219.79390000000001</v>
      </c>
      <c r="K1426">
        <v>1.120549</v>
      </c>
      <c r="L1426">
        <v>367.67529999999999</v>
      </c>
      <c r="M1426">
        <v>0.99814709999999995</v>
      </c>
      <c r="N1426">
        <v>-1.3942370000000001E-2</v>
      </c>
      <c r="O1426">
        <v>-5.9228389999999999E-2</v>
      </c>
      <c r="P1426">
        <v>0.97839600000000004</v>
      </c>
      <c r="Q1426">
        <v>0.13826229999999901</v>
      </c>
      <c r="R1426">
        <v>-0.15370439999999999</v>
      </c>
      <c r="S1426">
        <v>2.908401</v>
      </c>
      <c r="T1426">
        <v>-0.12266730000000001</v>
      </c>
      <c r="U1426">
        <v>-1.1210020000000001</v>
      </c>
      <c r="V1426">
        <v>9.5903769999999999E-2</v>
      </c>
      <c r="W1426">
        <v>0.15172579999999999</v>
      </c>
      <c r="X1426">
        <v>0.98375900000000005</v>
      </c>
      <c r="Y1426">
        <v>0.30344320000000002</v>
      </c>
      <c r="Z1426">
        <v>-6.7617650000000003E-3</v>
      </c>
      <c r="AA1426">
        <v>0.95282549999999999</v>
      </c>
      <c r="AB1426">
        <v>26</v>
      </c>
      <c r="AC1426">
        <v>26.414400000000001</v>
      </c>
      <c r="AD1426">
        <v>-1.1205540326179999</v>
      </c>
      <c r="AE1426">
        <v>-10.2303</v>
      </c>
      <c r="AF1426">
        <v>8.63419071789151</v>
      </c>
      <c r="AG1426">
        <v>-1.1205540326179999</v>
      </c>
      <c r="AH1426">
        <v>26.931856898275999</v>
      </c>
      <c r="AI1426">
        <v>92.268911221764796</v>
      </c>
      <c r="AJ1426">
        <v>72.224463290462694</v>
      </c>
      <c r="AK1426">
        <v>28.304236550067198</v>
      </c>
      <c r="AL1426">
        <v>81.273047639570095</v>
      </c>
      <c r="AM1426">
        <v>84.431997502073401</v>
      </c>
      <c r="AN1426">
        <v>1.0000000107834199</v>
      </c>
    </row>
    <row r="1427" spans="1:40" x14ac:dyDescent="0.25">
      <c r="A1427" t="str">
        <f>"20190303170248589"</f>
        <v>20190303170248589</v>
      </c>
      <c r="B1427" t="str">
        <f>"1551603768577206"</f>
        <v>1551603768577206</v>
      </c>
      <c r="C1427" t="s">
        <v>40</v>
      </c>
      <c r="D1427">
        <v>4.4595399999999996</v>
      </c>
      <c r="E1427">
        <v>0.58732090000000003</v>
      </c>
      <c r="F1427" t="s">
        <v>52</v>
      </c>
      <c r="G1427">
        <v>-193.31710000000001</v>
      </c>
      <c r="H1427" s="1">
        <v>-5.0097030000000004E-6</v>
      </c>
      <c r="I1427">
        <v>357.4255</v>
      </c>
      <c r="J1427">
        <v>-219.63560000000001</v>
      </c>
      <c r="K1427">
        <v>1.1205499999999999</v>
      </c>
      <c r="L1427">
        <v>367.66480000000001</v>
      </c>
      <c r="M1427">
        <v>0.99808750000000002</v>
      </c>
      <c r="N1427">
        <v>-1.394068E-2</v>
      </c>
      <c r="O1427">
        <v>-6.0223069999999997E-2</v>
      </c>
      <c r="P1427">
        <v>0.97837989999999997</v>
      </c>
      <c r="Q1427">
        <v>0.13765959999999999</v>
      </c>
      <c r="R1427">
        <v>-0.1543457</v>
      </c>
      <c r="S1427">
        <v>2.9068450000000001</v>
      </c>
      <c r="T1427">
        <v>-0.12302399999999999</v>
      </c>
      <c r="U1427">
        <v>-1.125305</v>
      </c>
      <c r="V1427">
        <v>9.5559829999999998E-2</v>
      </c>
      <c r="W1427">
        <v>0.151124799999999</v>
      </c>
      <c r="X1427">
        <v>0.98388489999999995</v>
      </c>
      <c r="Y1427">
        <v>0.30389050000000001</v>
      </c>
      <c r="Z1427">
        <v>-6.75919E-3</v>
      </c>
      <c r="AA1427">
        <v>0.95268299999999995</v>
      </c>
      <c r="AB1427">
        <v>26</v>
      </c>
      <c r="AC1427">
        <v>26.3185</v>
      </c>
      <c r="AD1427">
        <v>-1.1205550097029999</v>
      </c>
      <c r="AE1427">
        <v>-10.2393</v>
      </c>
      <c r="AF1427">
        <v>8.6220014175682298</v>
      </c>
      <c r="AG1427">
        <v>-1.1205550097029999</v>
      </c>
      <c r="AH1427">
        <v>26.845156540735399</v>
      </c>
      <c r="AI1427">
        <v>92.275848747496994</v>
      </c>
      <c r="AJ1427">
        <v>72.194264159971496</v>
      </c>
      <c r="AK1427">
        <v>28.2180258287306</v>
      </c>
      <c r="AL1427">
        <v>81.307883504882597</v>
      </c>
      <c r="AM1427">
        <v>84.4525467578556</v>
      </c>
      <c r="AN1427">
        <v>0.99999994136633696</v>
      </c>
    </row>
    <row r="1428" spans="1:40" x14ac:dyDescent="0.25">
      <c r="A1428" t="str">
        <f>"20190303170248604"</f>
        <v>20190303170248604</v>
      </c>
      <c r="B1428" t="str">
        <f>"1551603768596726"</f>
        <v>1551603768596726</v>
      </c>
      <c r="C1428" t="s">
        <v>40</v>
      </c>
      <c r="D1428">
        <v>4.4693019999999999</v>
      </c>
      <c r="E1428">
        <v>0.58786759999999905</v>
      </c>
      <c r="F1428" t="s">
        <v>52</v>
      </c>
      <c r="G1428">
        <v>-193.29679999999999</v>
      </c>
      <c r="H1428" s="1">
        <v>-5.0064580000000004E-6</v>
      </c>
      <c r="I1428">
        <v>357.4282</v>
      </c>
      <c r="J1428">
        <v>-219.4708</v>
      </c>
      <c r="K1428">
        <v>1.1205480000000001</v>
      </c>
      <c r="L1428">
        <v>367.65370000000001</v>
      </c>
      <c r="M1428">
        <v>0.99802480000000005</v>
      </c>
      <c r="N1428">
        <v>-1.3938910000000001E-2</v>
      </c>
      <c r="O1428">
        <v>-6.1257689999999997E-2</v>
      </c>
      <c r="P1428">
        <v>0.97834710000000003</v>
      </c>
      <c r="Q1428">
        <v>0.136712</v>
      </c>
      <c r="R1428">
        <v>-0.15539420000000001</v>
      </c>
      <c r="S1428">
        <v>2.905548</v>
      </c>
      <c r="T1428">
        <v>-0.1236136</v>
      </c>
      <c r="U1428">
        <v>-1.1292420000000001</v>
      </c>
      <c r="V1428">
        <v>9.5582420000000001E-2</v>
      </c>
      <c r="W1428">
        <v>0.150177799999999</v>
      </c>
      <c r="X1428">
        <v>0.98402769999999995</v>
      </c>
      <c r="Y1428">
        <v>0.30416579999999999</v>
      </c>
      <c r="Z1428">
        <v>-6.7573249999999998E-3</v>
      </c>
      <c r="AA1428">
        <v>0.95259519999999998</v>
      </c>
      <c r="AB1428">
        <v>26</v>
      </c>
      <c r="AC1428">
        <v>26.173999999999999</v>
      </c>
      <c r="AD1428">
        <v>-1.1205530064579901</v>
      </c>
      <c r="AE1428">
        <v>-10.2255</v>
      </c>
      <c r="AF1428">
        <v>8.5891203698375609</v>
      </c>
      <c r="AG1428">
        <v>-1.1205530064579901</v>
      </c>
      <c r="AH1428">
        <v>26.708815711366402</v>
      </c>
      <c r="AI1428">
        <v>92.287178077916494</v>
      </c>
      <c r="AJ1428">
        <v>72.173054395241095</v>
      </c>
      <c r="AK1428">
        <v>28.0782738869677</v>
      </c>
      <c r="AL1428">
        <v>81.362769033786194</v>
      </c>
      <c r="AM1428">
        <v>84.452043742624397</v>
      </c>
      <c r="AN1428">
        <v>0.99999994249659097</v>
      </c>
    </row>
    <row r="1429" spans="1:40" x14ac:dyDescent="0.25">
      <c r="A1429" t="str">
        <f>"20190303170248617"</f>
        <v>20190303170248617</v>
      </c>
      <c r="B1429" t="str">
        <f>"1551603768607462"</f>
        <v>1551603768607462</v>
      </c>
      <c r="C1429" t="s">
        <v>40</v>
      </c>
      <c r="D1429">
        <v>4.4978499999999997</v>
      </c>
      <c r="E1429">
        <v>0.58813269999999995</v>
      </c>
      <c r="F1429" t="s">
        <v>52</v>
      </c>
      <c r="G1429">
        <v>-193.2877</v>
      </c>
      <c r="H1429" s="1">
        <v>-4.9932809999999998E-6</v>
      </c>
      <c r="I1429">
        <v>357.40429999999998</v>
      </c>
      <c r="J1429">
        <v>-219.3194</v>
      </c>
      <c r="K1429">
        <v>1.1205510000000001</v>
      </c>
      <c r="L1429">
        <v>367.64330000000001</v>
      </c>
      <c r="M1429">
        <v>0.99796609999999997</v>
      </c>
      <c r="N1429">
        <v>-1.393727E-2</v>
      </c>
      <c r="O1429">
        <v>-6.2207560000000002E-2</v>
      </c>
      <c r="P1429">
        <v>0.97823749999999998</v>
      </c>
      <c r="Q1429">
        <v>0.13620929999999901</v>
      </c>
      <c r="R1429">
        <v>-0.15652199999999999</v>
      </c>
      <c r="S1429">
        <v>2.9032290000000001</v>
      </c>
      <c r="T1429">
        <v>-0.1242491</v>
      </c>
      <c r="U1429">
        <v>-1.1364749999999999</v>
      </c>
      <c r="V1429">
        <v>9.5773869999999997E-2</v>
      </c>
      <c r="W1429">
        <v>0.14967469999999999</v>
      </c>
      <c r="X1429">
        <v>0.98408580000000001</v>
      </c>
      <c r="Y1429">
        <v>0.30557139999999999</v>
      </c>
      <c r="Z1429">
        <v>-6.7910890000000002E-3</v>
      </c>
      <c r="AA1429">
        <v>0.95214489999999996</v>
      </c>
      <c r="AB1429">
        <v>26</v>
      </c>
      <c r="AC1429">
        <v>26.031700000000001</v>
      </c>
      <c r="AD1429">
        <v>-1.1205559932809901</v>
      </c>
      <c r="AE1429">
        <v>-10.239000000000001</v>
      </c>
      <c r="AF1429">
        <v>8.5858624400955001</v>
      </c>
      <c r="AG1429">
        <v>-1.1205559932809901</v>
      </c>
      <c r="AH1429">
        <v>26.575632305334398</v>
      </c>
      <c r="AI1429">
        <v>92.2976359791314</v>
      </c>
      <c r="AJ1429">
        <v>72.095769330904602</v>
      </c>
      <c r="AK1429">
        <v>27.950615592552801</v>
      </c>
      <c r="AL1429">
        <v>81.391924626339105</v>
      </c>
      <c r="AM1429">
        <v>84.441326961228995</v>
      </c>
      <c r="AN1429">
        <v>1.0000000058782501</v>
      </c>
    </row>
    <row r="1430" spans="1:40" x14ac:dyDescent="0.25">
      <c r="A1430" t="str">
        <f>"20190303170248628"</f>
        <v>20190303170248628</v>
      </c>
      <c r="B1430" t="str">
        <f>"1551603768617223"</f>
        <v>1551603768617223</v>
      </c>
      <c r="C1430" t="s">
        <v>40</v>
      </c>
      <c r="D1430">
        <v>4.478148</v>
      </c>
      <c r="E1430">
        <v>0.58835729999999997</v>
      </c>
      <c r="F1430" t="s">
        <v>52</v>
      </c>
      <c r="G1430">
        <v>-193.27610000000001</v>
      </c>
      <c r="H1430" s="1">
        <v>-4.9874699999999997E-6</v>
      </c>
      <c r="I1430">
        <v>357.39729999999997</v>
      </c>
      <c r="J1430">
        <v>-219.18260000000001</v>
      </c>
      <c r="K1430">
        <v>1.120552</v>
      </c>
      <c r="L1430">
        <v>367.63389999999998</v>
      </c>
      <c r="M1430">
        <v>0.99791200000000002</v>
      </c>
      <c r="N1430">
        <v>-1.393581E-2</v>
      </c>
      <c r="O1430">
        <v>-6.3066479999999994E-2</v>
      </c>
      <c r="P1430">
        <v>0.97814959999999995</v>
      </c>
      <c r="Q1430">
        <v>0.1358164</v>
      </c>
      <c r="R1430">
        <v>-0.15740870000000001</v>
      </c>
      <c r="S1430">
        <v>2.9014890000000002</v>
      </c>
      <c r="T1430">
        <v>-0.1248413</v>
      </c>
      <c r="U1430">
        <v>-1.14151</v>
      </c>
      <c r="V1430">
        <v>9.5813910000000002E-2</v>
      </c>
      <c r="W1430">
        <v>0.14928150000000001</v>
      </c>
      <c r="X1430">
        <v>0.98414159999999995</v>
      </c>
      <c r="Y1430">
        <v>0.30637439999999999</v>
      </c>
      <c r="Z1430">
        <v>-6.8087570000000004E-3</v>
      </c>
      <c r="AA1430">
        <v>0.95188680000000003</v>
      </c>
      <c r="AB1430">
        <v>26</v>
      </c>
      <c r="AC1430">
        <v>25.906499999999902</v>
      </c>
      <c r="AD1430">
        <v>-1.1205569874700001</v>
      </c>
      <c r="AE1430">
        <v>-10.236599999999999</v>
      </c>
      <c r="AF1430">
        <v>8.5683621852631706</v>
      </c>
      <c r="AG1430">
        <v>-1.1205569874700001</v>
      </c>
      <c r="AH1430">
        <v>26.457752701956299</v>
      </c>
      <c r="AI1430">
        <v>92.307338718865793</v>
      </c>
      <c r="AJ1430">
        <v>72.055416722794803</v>
      </c>
      <c r="AK1430">
        <v>27.833166484212502</v>
      </c>
      <c r="AL1430">
        <v>81.414709090038599</v>
      </c>
      <c r="AM1430">
        <v>84.439330947985496</v>
      </c>
      <c r="AN1430">
        <v>0.999999980221148</v>
      </c>
    </row>
    <row r="1431" spans="1:40" x14ac:dyDescent="0.25">
      <c r="A1431" t="str">
        <f>"20190303170248647"</f>
        <v>20190303170248647</v>
      </c>
      <c r="B1431" t="str">
        <f>"1551603768636743"</f>
        <v>1551603768636743</v>
      </c>
      <c r="C1431" t="s">
        <v>40</v>
      </c>
      <c r="D1431">
        <v>4.5269000000000004</v>
      </c>
      <c r="E1431">
        <v>0.58890659999999995</v>
      </c>
      <c r="F1431" t="s">
        <v>52</v>
      </c>
      <c r="G1431">
        <v>-193.11340000000001</v>
      </c>
      <c r="H1431" s="1">
        <v>-4.9196170000000001E-6</v>
      </c>
      <c r="I1431">
        <v>357.32909999999998</v>
      </c>
      <c r="J1431">
        <v>-218.9752</v>
      </c>
      <c r="K1431">
        <v>1.1205590000000001</v>
      </c>
      <c r="L1431">
        <v>367.61930000000001</v>
      </c>
      <c r="M1431">
        <v>0.99782899999999997</v>
      </c>
      <c r="N1431">
        <v>-1.3933589999999999E-2</v>
      </c>
      <c r="O1431">
        <v>-6.4368449999999994E-2</v>
      </c>
      <c r="P1431">
        <v>0.97790829999999995</v>
      </c>
      <c r="Q1431">
        <v>0.135514</v>
      </c>
      <c r="R1431">
        <v>-0.1591591</v>
      </c>
      <c r="S1431">
        <v>2.8998409999999999</v>
      </c>
      <c r="T1431">
        <v>-0.12464699999999999</v>
      </c>
      <c r="U1431">
        <v>-1.14627099999999</v>
      </c>
      <c r="V1431">
        <v>9.628747E-2</v>
      </c>
      <c r="W1431">
        <v>0.148976</v>
      </c>
      <c r="X1431">
        <v>0.98414170000000001</v>
      </c>
      <c r="Y1431">
        <v>0.30667</v>
      </c>
      <c r="Z1431">
        <v>-6.7761499999999999E-3</v>
      </c>
      <c r="AA1431">
        <v>0.95179179999999997</v>
      </c>
      <c r="AB1431">
        <v>26</v>
      </c>
      <c r="AC1431">
        <v>25.861799999999899</v>
      </c>
      <c r="AD1431">
        <v>-1.1205639196170001</v>
      </c>
      <c r="AE1431">
        <v>-10.2902</v>
      </c>
      <c r="AF1431">
        <v>8.5900878113259793</v>
      </c>
      <c r="AG1431">
        <v>-1.1205639196170001</v>
      </c>
      <c r="AH1431">
        <v>26.4277519291381</v>
      </c>
      <c r="AI1431">
        <v>92.309163741181294</v>
      </c>
      <c r="AJ1431">
        <v>71.993743330330105</v>
      </c>
      <c r="AK1431">
        <v>27.8113527922016</v>
      </c>
      <c r="AL1431">
        <v>81.432411115263605</v>
      </c>
      <c r="AM1431">
        <v>84.412021444815394</v>
      </c>
      <c r="AN1431">
        <v>1.00000000556694</v>
      </c>
    </row>
    <row r="1432" spans="1:40" x14ac:dyDescent="0.25">
      <c r="A1432" t="str">
        <f>"20190303170248660"</f>
        <v>20190303170248660</v>
      </c>
      <c r="B1432" t="str">
        <f>"1551603768647478"</f>
        <v>1551603768647478</v>
      </c>
      <c r="C1432" t="s">
        <v>40</v>
      </c>
      <c r="D1432">
        <v>4.4856920000000002</v>
      </c>
      <c r="E1432">
        <v>0.58920600000000001</v>
      </c>
      <c r="F1432" t="s">
        <v>52</v>
      </c>
      <c r="G1432">
        <v>-192.58869999999999</v>
      </c>
      <c r="H1432" s="1">
        <v>-4.6907130000000004E-6</v>
      </c>
      <c r="I1432">
        <v>357.08749999999998</v>
      </c>
      <c r="J1432">
        <v>-218.82900000000001</v>
      </c>
      <c r="K1432">
        <v>1.1205620000000001</v>
      </c>
      <c r="L1432">
        <v>367.60890000000001</v>
      </c>
      <c r="M1432">
        <v>0.99776940000000003</v>
      </c>
      <c r="N1432">
        <v>-1.393201E-2</v>
      </c>
      <c r="O1432">
        <v>-6.5286730000000001E-2</v>
      </c>
      <c r="P1432">
        <v>0.97761609999999999</v>
      </c>
      <c r="Q1432">
        <v>0.1357217</v>
      </c>
      <c r="R1432">
        <v>-0.16076840000000001</v>
      </c>
      <c r="S1432">
        <v>2.8966370000000001</v>
      </c>
      <c r="T1432">
        <v>-0.1230127</v>
      </c>
      <c r="U1432">
        <v>-1.156158</v>
      </c>
      <c r="V1432">
        <v>9.7004610000000005E-2</v>
      </c>
      <c r="W1432">
        <v>0.1491797</v>
      </c>
      <c r="X1432">
        <v>0.98404040000000004</v>
      </c>
      <c r="Y1432">
        <v>0.30896319999999999</v>
      </c>
      <c r="Z1432">
        <v>-6.768469E-3</v>
      </c>
      <c r="AA1432">
        <v>0.9510499</v>
      </c>
      <c r="AB1432">
        <v>26</v>
      </c>
      <c r="AC1432">
        <v>26.240300000000001</v>
      </c>
      <c r="AD1432">
        <v>-1.1205666907130001</v>
      </c>
      <c r="AE1432">
        <v>-10.5214</v>
      </c>
      <c r="AF1432">
        <v>8.7718581889908105</v>
      </c>
      <c r="AG1432">
        <v>-1.1205666907130001</v>
      </c>
      <c r="AH1432">
        <v>26.8291310397206</v>
      </c>
      <c r="AI1432">
        <v>92.273379400408103</v>
      </c>
      <c r="AJ1432">
        <v>71.894700970486895</v>
      </c>
      <c r="AK1432">
        <v>28.248954638049899</v>
      </c>
      <c r="AL1432">
        <v>81.420607963201405</v>
      </c>
      <c r="AM1432">
        <v>84.370093269658199</v>
      </c>
      <c r="AN1432">
        <v>0.999999993042751</v>
      </c>
    </row>
    <row r="1433" spans="1:40" x14ac:dyDescent="0.25">
      <c r="A1433" t="str">
        <f>"20190303170248670"</f>
        <v>20190303170248670</v>
      </c>
      <c r="B1433" t="str">
        <f>"1551603768657238"</f>
        <v>1551603768657238</v>
      </c>
      <c r="C1433" t="s">
        <v>40</v>
      </c>
      <c r="D1433">
        <v>4.4934770000000004</v>
      </c>
      <c r="E1433">
        <v>0.58944229999999997</v>
      </c>
      <c r="F1433" t="s">
        <v>52</v>
      </c>
      <c r="G1433">
        <v>-192.1045</v>
      </c>
      <c r="H1433" s="1">
        <v>-4.4802489999999998E-6</v>
      </c>
      <c r="I1433">
        <v>356.86610000000002</v>
      </c>
      <c r="J1433">
        <v>-218.70650000000001</v>
      </c>
      <c r="K1433">
        <v>1.1205609999999999</v>
      </c>
      <c r="L1433">
        <v>367.6</v>
      </c>
      <c r="M1433">
        <v>0.99771860000000001</v>
      </c>
      <c r="N1433">
        <v>-1.3930690000000001E-2</v>
      </c>
      <c r="O1433">
        <v>-6.6056039999999996E-2</v>
      </c>
      <c r="P1433">
        <v>0.97740320000000003</v>
      </c>
      <c r="Q1433">
        <v>0.13591300000000001</v>
      </c>
      <c r="R1433">
        <v>-0.1618974</v>
      </c>
      <c r="S1433">
        <v>2.8942260000000002</v>
      </c>
      <c r="T1433">
        <v>-0.1213559</v>
      </c>
      <c r="U1433">
        <v>-1.163422</v>
      </c>
      <c r="V1433">
        <v>9.7384830000000006E-2</v>
      </c>
      <c r="W1433">
        <v>0.1493678</v>
      </c>
      <c r="X1433">
        <v>0.98397429999999997</v>
      </c>
      <c r="Y1433">
        <v>0.3105638</v>
      </c>
      <c r="Z1433">
        <v>-6.7442719999999999E-3</v>
      </c>
      <c r="AA1433">
        <v>0.95052859999999995</v>
      </c>
      <c r="AB1433">
        <v>26</v>
      </c>
      <c r="AC1433">
        <v>26.602</v>
      </c>
      <c r="AD1433">
        <v>-1.1205654802489999</v>
      </c>
      <c r="AE1433">
        <v>-10.7339</v>
      </c>
      <c r="AF1433">
        <v>8.9394172846895792</v>
      </c>
      <c r="AG1433">
        <v>-1.1205654802489999</v>
      </c>
      <c r="AH1433">
        <v>27.211472476870298</v>
      </c>
      <c r="AI1433">
        <v>92.240431108356404</v>
      </c>
      <c r="AJ1433">
        <v>71.813795647576896</v>
      </c>
      <c r="AK1433">
        <v>28.664142804989002</v>
      </c>
      <c r="AL1433">
        <v>81.409708429576895</v>
      </c>
      <c r="AM1433">
        <v>84.347791626434301</v>
      </c>
      <c r="AN1433">
        <v>0.99999998392572897</v>
      </c>
    </row>
    <row r="1434" spans="1:40" x14ac:dyDescent="0.25">
      <c r="A1434" t="str">
        <f>"20190303170248682"</f>
        <v>20190303170248682</v>
      </c>
      <c r="B1434" t="str">
        <f>"1551603768676759"</f>
        <v>1551603768676759</v>
      </c>
      <c r="C1434" t="s">
        <v>40</v>
      </c>
      <c r="D1434">
        <v>4.5045169999999999</v>
      </c>
      <c r="E1434">
        <v>0.5899681</v>
      </c>
      <c r="F1434" t="s">
        <v>52</v>
      </c>
      <c r="G1434">
        <v>-191.67500000000001</v>
      </c>
      <c r="H1434" s="1">
        <v>-4.298753E-6</v>
      </c>
      <c r="I1434">
        <v>356.68099999999998</v>
      </c>
      <c r="J1434">
        <v>-218.57380000000001</v>
      </c>
      <c r="K1434">
        <v>1.1205609999999999</v>
      </c>
      <c r="L1434">
        <v>367.59030000000001</v>
      </c>
      <c r="M1434">
        <v>0.99766310000000002</v>
      </c>
      <c r="N1434">
        <v>-1.392932E-2</v>
      </c>
      <c r="O1434">
        <v>-6.6891729999999996E-2</v>
      </c>
      <c r="P1434">
        <v>0.97713360000000005</v>
      </c>
      <c r="Q1434">
        <v>0.13600719999999999</v>
      </c>
      <c r="R1434">
        <v>-0.16343869999999999</v>
      </c>
      <c r="S1434">
        <v>2.8925169999999998</v>
      </c>
      <c r="T1434">
        <v>-0.119906399999999</v>
      </c>
      <c r="U1434">
        <v>-1.168396</v>
      </c>
      <c r="V1434">
        <v>9.8114510000000002E-2</v>
      </c>
      <c r="W1434">
        <v>0.1494579</v>
      </c>
      <c r="X1434">
        <v>0.98388810000000004</v>
      </c>
      <c r="Y1434">
        <v>0.31137340000000002</v>
      </c>
      <c r="Z1434">
        <v>-6.7024279999999999E-3</v>
      </c>
      <c r="AA1434">
        <v>0.950264</v>
      </c>
      <c r="AB1434">
        <v>26</v>
      </c>
      <c r="AC1434">
        <v>26.898799999999898</v>
      </c>
      <c r="AD1434">
        <v>-1.1205652987529999</v>
      </c>
      <c r="AE1434">
        <v>-10.9093</v>
      </c>
      <c r="AF1434">
        <v>9.0718595526040904</v>
      </c>
      <c r="AG1434">
        <v>-1.1205652987529999</v>
      </c>
      <c r="AH1434">
        <v>27.527330089283701</v>
      </c>
      <c r="AI1434">
        <v>92.214064817229797</v>
      </c>
      <c r="AJ1434">
        <v>71.759936306626102</v>
      </c>
      <c r="AK1434">
        <v>29.005313378333401</v>
      </c>
      <c r="AL1434">
        <v>81.4044872419624</v>
      </c>
      <c r="AM1434">
        <v>84.305222741560996</v>
      </c>
      <c r="AN1434">
        <v>0.99999995713327905</v>
      </c>
    </row>
    <row r="1435" spans="1:40" x14ac:dyDescent="0.25">
      <c r="A1435" t="str">
        <f>"20190303170248694"</f>
        <v>20190303170248694</v>
      </c>
      <c r="B1435" t="str">
        <f>"1551603768687495"</f>
        <v>1551603768687495</v>
      </c>
      <c r="C1435" t="s">
        <v>40</v>
      </c>
      <c r="D1435">
        <v>4.4936850000000002</v>
      </c>
      <c r="E1435">
        <v>0.5902539</v>
      </c>
      <c r="F1435" t="s">
        <v>52</v>
      </c>
      <c r="G1435">
        <v>-191.14400000000001</v>
      </c>
      <c r="H1435" s="1">
        <v>-4.0578229999999999E-6</v>
      </c>
      <c r="I1435">
        <v>356.41649999999998</v>
      </c>
      <c r="J1435">
        <v>-218.43340000000001</v>
      </c>
      <c r="K1435">
        <v>1.120563</v>
      </c>
      <c r="L1435">
        <v>367.58</v>
      </c>
      <c r="M1435">
        <v>0.99760349999999998</v>
      </c>
      <c r="N1435">
        <v>-1.392791E-2</v>
      </c>
      <c r="O1435">
        <v>-6.7776069999999994E-2</v>
      </c>
      <c r="P1435">
        <v>0.97690080000000001</v>
      </c>
      <c r="Q1435">
        <v>0.13606799999999999</v>
      </c>
      <c r="R1435">
        <v>-0.16477520000000001</v>
      </c>
      <c r="S1435">
        <v>2.8897249999999999</v>
      </c>
      <c r="T1435">
        <v>-0.1180512</v>
      </c>
      <c r="U1435">
        <v>-1.177155</v>
      </c>
      <c r="V1435">
        <v>9.8589560000000007E-2</v>
      </c>
      <c r="W1435">
        <v>0.14951539999999999</v>
      </c>
      <c r="X1435">
        <v>0.98383189999999998</v>
      </c>
      <c r="Y1435">
        <v>0.31332769999999999</v>
      </c>
      <c r="Z1435">
        <v>-6.6792529999999996E-3</v>
      </c>
      <c r="AA1435">
        <v>0.94962159999999995</v>
      </c>
      <c r="AB1435">
        <v>25</v>
      </c>
      <c r="AC1435">
        <v>27.289400000000001</v>
      </c>
      <c r="AD1435">
        <v>-1.120567057823</v>
      </c>
      <c r="AE1435">
        <v>-11.163500000000001</v>
      </c>
      <c r="AF1435">
        <v>9.2746814197746996</v>
      </c>
      <c r="AG1435">
        <v>-1.120567057823</v>
      </c>
      <c r="AH1435">
        <v>27.942967965730698</v>
      </c>
      <c r="AI1435">
        <v>92.179636901105894</v>
      </c>
      <c r="AJ1435">
        <v>71.638236573024002</v>
      </c>
      <c r="AK1435">
        <v>29.4632795985654</v>
      </c>
      <c r="AL1435">
        <v>81.401155509763697</v>
      </c>
      <c r="AM1435">
        <v>84.277507658863001</v>
      </c>
      <c r="AN1435">
        <v>0.99999998181788097</v>
      </c>
    </row>
    <row r="1436" spans="1:40" x14ac:dyDescent="0.25">
      <c r="A1436" t="str">
        <f>"20190303170248706"</f>
        <v>20190303170248706</v>
      </c>
      <c r="B1436" t="str">
        <f>"1551603768697256"</f>
        <v>1551603768697256</v>
      </c>
      <c r="C1436" t="s">
        <v>40</v>
      </c>
      <c r="D1436">
        <v>4.4850810000000001</v>
      </c>
      <c r="E1436">
        <v>0.59054079999999998</v>
      </c>
      <c r="F1436" t="s">
        <v>52</v>
      </c>
      <c r="G1436">
        <v>-190.6909</v>
      </c>
      <c r="H1436" s="1">
        <v>-3.8597179999999997E-6</v>
      </c>
      <c r="I1436">
        <v>356.20690000000002</v>
      </c>
      <c r="J1436">
        <v>-218.31360000000001</v>
      </c>
      <c r="K1436">
        <v>1.1205590000000001</v>
      </c>
      <c r="L1436">
        <v>367.57089999999999</v>
      </c>
      <c r="M1436">
        <v>0.99755150000000004</v>
      </c>
      <c r="N1436">
        <v>-1.392672E-2</v>
      </c>
      <c r="O1436">
        <v>-6.8535040000000005E-2</v>
      </c>
      <c r="P1436">
        <v>0.97674249999999996</v>
      </c>
      <c r="Q1436">
        <v>0.1359311</v>
      </c>
      <c r="R1436">
        <v>-0.16582160000000001</v>
      </c>
      <c r="S1436">
        <v>2.887527</v>
      </c>
      <c r="T1436">
        <v>-0.1166321</v>
      </c>
      <c r="U1436">
        <v>-1.183746</v>
      </c>
      <c r="V1436">
        <v>9.8894159999999995E-2</v>
      </c>
      <c r="W1436">
        <v>0.14937629999999999</v>
      </c>
      <c r="X1436">
        <v>0.98382250000000004</v>
      </c>
      <c r="Y1436">
        <v>0.31471919999999998</v>
      </c>
      <c r="Z1436">
        <v>-6.6566580000000002E-3</v>
      </c>
      <c r="AA1436">
        <v>0.94916149999999999</v>
      </c>
      <c r="AB1436">
        <v>25</v>
      </c>
      <c r="AC1436">
        <v>27.622699999999998</v>
      </c>
      <c r="AD1436">
        <v>-1.120562859718</v>
      </c>
      <c r="AE1436">
        <v>-11.3639999999999</v>
      </c>
      <c r="AF1436">
        <v>9.4306950644817498</v>
      </c>
      <c r="AG1436">
        <v>-1.120562859718</v>
      </c>
      <c r="AH1436">
        <v>28.296819813359999</v>
      </c>
      <c r="AI1436">
        <v>92.151520803581604</v>
      </c>
      <c r="AJ1436">
        <v>71.567927241730899</v>
      </c>
      <c r="AK1436">
        <v>29.848009683588401</v>
      </c>
      <c r="AL1436">
        <v>81.409216225245999</v>
      </c>
      <c r="AM1436">
        <v>84.259890984282706</v>
      </c>
      <c r="AN1436">
        <v>1.0000000226950201</v>
      </c>
    </row>
    <row r="1437" spans="1:40" x14ac:dyDescent="0.25">
      <c r="A1437" t="str">
        <f>"20190303170248716"</f>
        <v>20190303170248716</v>
      </c>
      <c r="B1437" t="str">
        <f>"1551603768707015"</f>
        <v>1551603768707015</v>
      </c>
      <c r="C1437" t="s">
        <v>40</v>
      </c>
      <c r="D1437">
        <v>4.5063760000000004</v>
      </c>
      <c r="E1437">
        <v>0.59076660000000003</v>
      </c>
      <c r="F1437" t="s">
        <v>52</v>
      </c>
      <c r="G1437">
        <v>-190.41290000000001</v>
      </c>
      <c r="H1437" s="1">
        <v>-3.7360459999999999E-6</v>
      </c>
      <c r="I1437">
        <v>356.07369999999997</v>
      </c>
      <c r="J1437">
        <v>-218.18559999999999</v>
      </c>
      <c r="K1437">
        <v>1.120555</v>
      </c>
      <c r="L1437">
        <v>367.56130000000002</v>
      </c>
      <c r="M1437">
        <v>0.99749549999999998</v>
      </c>
      <c r="N1437">
        <v>-1.3925450000000001E-2</v>
      </c>
      <c r="O1437">
        <v>-6.9346240000000003E-2</v>
      </c>
      <c r="P1437">
        <v>0.97654739999999995</v>
      </c>
      <c r="Q1437">
        <v>0.13589229999999899</v>
      </c>
      <c r="R1437">
        <v>-0.1669986</v>
      </c>
      <c r="S1437">
        <v>2.8856809999999999</v>
      </c>
      <c r="T1437">
        <v>-0.1158962</v>
      </c>
      <c r="U1437">
        <v>-1.189117</v>
      </c>
      <c r="V1437">
        <v>9.9280599999999997E-2</v>
      </c>
      <c r="W1437">
        <v>0.149334299999999</v>
      </c>
      <c r="X1437">
        <v>0.98378989999999999</v>
      </c>
      <c r="Y1437">
        <v>0.3156737</v>
      </c>
      <c r="Z1437">
        <v>-6.6411909999999899E-3</v>
      </c>
      <c r="AA1437">
        <v>0.94884460000000004</v>
      </c>
      <c r="AB1437">
        <v>25</v>
      </c>
      <c r="AC1437">
        <v>27.772699999999901</v>
      </c>
      <c r="AD1437">
        <v>-1.1205587360460001</v>
      </c>
      <c r="AE1437">
        <v>-11.4876</v>
      </c>
      <c r="AF1437">
        <v>9.5205865068561693</v>
      </c>
      <c r="AG1437">
        <v>-1.1205587360460001</v>
      </c>
      <c r="AH1437">
        <v>28.4629614512356</v>
      </c>
      <c r="AI1437">
        <v>92.138187550012802</v>
      </c>
      <c r="AJ1437">
        <v>71.505407915970295</v>
      </c>
      <c r="AK1437">
        <v>30.0339373690827</v>
      </c>
      <c r="AL1437">
        <v>81.411649481040399</v>
      </c>
      <c r="AM1437">
        <v>84.237421857024998</v>
      </c>
      <c r="AN1437">
        <v>0.99999996901742905</v>
      </c>
    </row>
    <row r="1438" spans="1:40" x14ac:dyDescent="0.25">
      <c r="A1438" t="str">
        <f>"20190303170248728"</f>
        <v>20190303170248728</v>
      </c>
      <c r="B1438" t="str">
        <f>"1551603768716775"</f>
        <v>1551603768716775</v>
      </c>
      <c r="C1438" t="s">
        <v>40</v>
      </c>
      <c r="D1438">
        <v>4.5264810000000004</v>
      </c>
      <c r="E1438">
        <v>0.59103439999999996</v>
      </c>
      <c r="F1438" t="s">
        <v>52</v>
      </c>
      <c r="G1438">
        <v>-190.11539999999999</v>
      </c>
      <c r="H1438" s="1">
        <v>-3.6059609999999998E-6</v>
      </c>
      <c r="I1438">
        <v>355.93610000000001</v>
      </c>
      <c r="J1438">
        <v>-218.04929999999999</v>
      </c>
      <c r="K1438">
        <v>1.1205510000000001</v>
      </c>
      <c r="L1438">
        <v>367.55079999999998</v>
      </c>
      <c r="M1438">
        <v>0.99743459999999995</v>
      </c>
      <c r="N1438">
        <v>-1.392413E-2</v>
      </c>
      <c r="O1438">
        <v>-7.0218039999999995E-2</v>
      </c>
      <c r="P1438">
        <v>0.97638970000000003</v>
      </c>
      <c r="Q1438">
        <v>0.1357565</v>
      </c>
      <c r="R1438">
        <v>-0.16802810000000001</v>
      </c>
      <c r="S1438">
        <v>2.8838499999999998</v>
      </c>
      <c r="T1438">
        <v>-0.115122699999999</v>
      </c>
      <c r="U1438">
        <v>-1.1943360000000001</v>
      </c>
      <c r="V1438">
        <v>9.9457980000000001E-2</v>
      </c>
      <c r="W1438">
        <v>0.14919569999999999</v>
      </c>
      <c r="X1438">
        <v>0.98379300000000003</v>
      </c>
      <c r="Y1438">
        <v>0.31652540000000001</v>
      </c>
      <c r="Z1438">
        <v>-6.6205500000000002E-3</v>
      </c>
      <c r="AA1438">
        <v>0.94856090000000004</v>
      </c>
      <c r="AB1438">
        <v>25</v>
      </c>
      <c r="AC1438">
        <v>27.933899999999898</v>
      </c>
      <c r="AD1438">
        <v>-1.1205546059610001</v>
      </c>
      <c r="AE1438">
        <v>-11.6146999999999</v>
      </c>
      <c r="AF1438">
        <v>9.61118547989898</v>
      </c>
      <c r="AG1438">
        <v>-1.1205546059610001</v>
      </c>
      <c r="AH1438">
        <v>28.641281613031602</v>
      </c>
      <c r="AI1438">
        <v>92.124188683348393</v>
      </c>
      <c r="AJ1438">
        <v>71.4497372324102</v>
      </c>
      <c r="AK1438">
        <v>30.231664548796299</v>
      </c>
      <c r="AL1438">
        <v>81.4196805417522</v>
      </c>
      <c r="AM1438">
        <v>84.227213671195003</v>
      </c>
      <c r="AN1438">
        <v>0.99999995676658404</v>
      </c>
    </row>
    <row r="1439" spans="1:40" x14ac:dyDescent="0.25">
      <c r="A1439" t="str">
        <f>"20190303170248740"</f>
        <v>20190303170248740</v>
      </c>
      <c r="B1439" t="str">
        <f>"1551603768727511"</f>
        <v>1551603768727511</v>
      </c>
      <c r="C1439" t="s">
        <v>40</v>
      </c>
      <c r="D1439">
        <v>4.5303190000000004</v>
      </c>
      <c r="E1439">
        <v>0.59130229999999995</v>
      </c>
      <c r="F1439" t="s">
        <v>52</v>
      </c>
      <c r="G1439">
        <v>-189.99459999999999</v>
      </c>
      <c r="H1439" s="1">
        <v>-3.5534390000000002E-6</v>
      </c>
      <c r="I1439">
        <v>355.87759999999997</v>
      </c>
      <c r="J1439">
        <v>-217.9171</v>
      </c>
      <c r="K1439">
        <v>1.1205499999999999</v>
      </c>
      <c r="L1439">
        <v>367.54059999999998</v>
      </c>
      <c r="M1439">
        <v>0.99737439999999999</v>
      </c>
      <c r="N1439">
        <v>-1.392289E-2</v>
      </c>
      <c r="O1439">
        <v>-7.1067210000000006E-2</v>
      </c>
      <c r="P1439">
        <v>0.97621690000000005</v>
      </c>
      <c r="Q1439">
        <v>0.1356967</v>
      </c>
      <c r="R1439">
        <v>-0.16907739999999999</v>
      </c>
      <c r="S1439">
        <v>2.8821870000000001</v>
      </c>
      <c r="T1439">
        <v>-0.11511979999999999</v>
      </c>
      <c r="U1439">
        <v>-1.199249</v>
      </c>
      <c r="V1439">
        <v>9.9678959999999997E-2</v>
      </c>
      <c r="W1439">
        <v>0.14913299999999999</v>
      </c>
      <c r="X1439">
        <v>0.98378019999999999</v>
      </c>
      <c r="Y1439">
        <v>0.31728990000000001</v>
      </c>
      <c r="Z1439">
        <v>-6.6207799999999997E-3</v>
      </c>
      <c r="AA1439">
        <v>0.94830539999999997</v>
      </c>
      <c r="AB1439">
        <v>25</v>
      </c>
      <c r="AC1439">
        <v>27.922499999999999</v>
      </c>
      <c r="AD1439">
        <v>-1.1205535534390001</v>
      </c>
      <c r="AE1439">
        <v>-11.663</v>
      </c>
      <c r="AF1439">
        <v>9.6357253108846699</v>
      </c>
      <c r="AG1439">
        <v>-1.1205535534390001</v>
      </c>
      <c r="AH1439">
        <v>28.641547590969498</v>
      </c>
      <c r="AI1439">
        <v>92.123620079380501</v>
      </c>
      <c r="AJ1439">
        <v>71.405786996701906</v>
      </c>
      <c r="AK1439">
        <v>30.2397270314849</v>
      </c>
      <c r="AL1439">
        <v>81.4233141302511</v>
      </c>
      <c r="AM1439">
        <v>84.214399595449095</v>
      </c>
      <c r="AN1439">
        <v>1.0000000143338601</v>
      </c>
    </row>
    <row r="1440" spans="1:40" x14ac:dyDescent="0.25">
      <c r="A1440" t="str">
        <f>"20190303170248751"</f>
        <v>20190303170248751</v>
      </c>
      <c r="B1440" t="str">
        <f>"1551603768737271"</f>
        <v>1551603768737271</v>
      </c>
      <c r="C1440" t="s">
        <v>40</v>
      </c>
      <c r="D1440">
        <v>4.5504150000000001</v>
      </c>
      <c r="E1440">
        <v>0.59156200000000003</v>
      </c>
      <c r="F1440" t="s">
        <v>52</v>
      </c>
      <c r="G1440">
        <v>-189.7928</v>
      </c>
      <c r="H1440" s="1">
        <v>-3.5198589999999999E-6</v>
      </c>
      <c r="I1440">
        <v>355.78030000000001</v>
      </c>
      <c r="J1440">
        <v>-217.79179999999999</v>
      </c>
      <c r="K1440">
        <v>1.1205449999999999</v>
      </c>
      <c r="L1440">
        <v>367.5308</v>
      </c>
      <c r="M1440">
        <v>0.99731630000000004</v>
      </c>
      <c r="N1440">
        <v>-1.392175E-2</v>
      </c>
      <c r="O1440">
        <v>-7.187694E-2</v>
      </c>
      <c r="P1440">
        <v>0.97605620000000004</v>
      </c>
      <c r="Q1440">
        <v>0.13534099999999999</v>
      </c>
      <c r="R1440">
        <v>-0.17028579999999999</v>
      </c>
      <c r="S1440">
        <v>2.8804470000000002</v>
      </c>
      <c r="T1440">
        <v>-0.1147652</v>
      </c>
      <c r="U1440">
        <v>-1.2044680000000001</v>
      </c>
      <c r="V1440">
        <v>0.1000965</v>
      </c>
      <c r="W1440">
        <v>0.14877370000000001</v>
      </c>
      <c r="X1440">
        <v>0.98379220000000001</v>
      </c>
      <c r="Y1440">
        <v>0.318187099999999</v>
      </c>
      <c r="Z1440">
        <v>-6.6152930000000004E-3</v>
      </c>
      <c r="AA1440">
        <v>0.94800479999999998</v>
      </c>
      <c r="AB1440">
        <v>25</v>
      </c>
      <c r="AC1440">
        <v>27.998999999999899</v>
      </c>
      <c r="AD1440">
        <v>-1.1205485198589999</v>
      </c>
      <c r="AE1440">
        <v>-11.750499999999899</v>
      </c>
      <c r="AF1440">
        <v>9.6942220866874802</v>
      </c>
      <c r="AG1440">
        <v>-1.1205485198589999</v>
      </c>
      <c r="AH1440">
        <v>28.7321104682784</v>
      </c>
      <c r="AI1440">
        <v>92.116298899489195</v>
      </c>
      <c r="AJ1440">
        <v>71.355590733442298</v>
      </c>
      <c r="AK1440">
        <v>30.3441550024503</v>
      </c>
      <c r="AL1440">
        <v>81.444132696514401</v>
      </c>
      <c r="AM1440">
        <v>84.190400407329903</v>
      </c>
      <c r="AN1440">
        <v>1.0000000079523901</v>
      </c>
    </row>
    <row r="1441" spans="1:40" x14ac:dyDescent="0.25">
      <c r="A1441" t="str">
        <f>"20190303170248764"</f>
        <v>20190303170248764</v>
      </c>
      <c r="B1441" t="str">
        <f>"1551603768756791"</f>
        <v>1551603768756791</v>
      </c>
      <c r="C1441" t="s">
        <v>40</v>
      </c>
      <c r="D1441">
        <v>4.5208240000000002</v>
      </c>
      <c r="E1441">
        <v>0.59205220000000003</v>
      </c>
      <c r="F1441" t="s">
        <v>52</v>
      </c>
      <c r="G1441">
        <v>-189.7381</v>
      </c>
      <c r="H1441" s="1">
        <v>-3.5029119999999999E-6</v>
      </c>
      <c r="I1441">
        <v>355.73719999999997</v>
      </c>
      <c r="J1441">
        <v>-217.63900000000001</v>
      </c>
      <c r="K1441">
        <v>1.1205350000000001</v>
      </c>
      <c r="L1441">
        <v>367.51870000000002</v>
      </c>
      <c r="M1441">
        <v>0.99724389999999996</v>
      </c>
      <c r="N1441">
        <v>-1.392036E-2</v>
      </c>
      <c r="O1441">
        <v>-7.2875570000000001E-2</v>
      </c>
      <c r="P1441">
        <v>0.97585219999999995</v>
      </c>
      <c r="Q1441">
        <v>0.13513599999999901</v>
      </c>
      <c r="R1441">
        <v>-0.1716123</v>
      </c>
      <c r="S1441">
        <v>2.8784329999999998</v>
      </c>
      <c r="T1441">
        <v>-0.1149732</v>
      </c>
      <c r="U1441">
        <v>-1.210083</v>
      </c>
      <c r="V1441">
        <v>0.1004501</v>
      </c>
      <c r="W1441">
        <v>0.14856429999999901</v>
      </c>
      <c r="X1441">
        <v>0.98378779999999999</v>
      </c>
      <c r="Y1441">
        <v>0.31904519999999997</v>
      </c>
      <c r="Z1441">
        <v>-6.6207469999999997E-3</v>
      </c>
      <c r="AA1441">
        <v>0.94771640000000001</v>
      </c>
      <c r="AB1441">
        <v>25</v>
      </c>
      <c r="AC1441">
        <v>27.9009</v>
      </c>
      <c r="AD1441">
        <v>-1.1205385029120001</v>
      </c>
      <c r="AE1441">
        <v>-11.781499999999999</v>
      </c>
      <c r="AF1441">
        <v>9.7033937969219703</v>
      </c>
      <c r="AG1441">
        <v>-1.1205385029120001</v>
      </c>
      <c r="AH1441">
        <v>28.6461523710446</v>
      </c>
      <c r="AI1441">
        <v>92.121767266378896</v>
      </c>
      <c r="AJ1441">
        <v>71.287069356997705</v>
      </c>
      <c r="AK1441">
        <v>30.265714982133701</v>
      </c>
      <c r="AL1441">
        <v>81.456265233059</v>
      </c>
      <c r="AM1441">
        <v>84.169992690427804</v>
      </c>
      <c r="AN1441">
        <v>1.0000000046266699</v>
      </c>
    </row>
    <row r="1442" spans="1:40" x14ac:dyDescent="0.25">
      <c r="A1442" t="str">
        <f>"20190303170248778"</f>
        <v>20190303170248778</v>
      </c>
      <c r="B1442" t="str">
        <f>"1551603768766551"</f>
        <v>1551603768766551</v>
      </c>
      <c r="C1442" t="s">
        <v>40</v>
      </c>
      <c r="D1442">
        <v>4.578805</v>
      </c>
      <c r="E1442">
        <v>0.59228440000000004</v>
      </c>
      <c r="F1442" t="s">
        <v>52</v>
      </c>
      <c r="G1442">
        <v>-189.28110000000001</v>
      </c>
      <c r="H1442" s="1">
        <v>-3.4223240000000001E-6</v>
      </c>
      <c r="I1442">
        <v>355.50720000000001</v>
      </c>
      <c r="J1442">
        <v>-217.49369999999999</v>
      </c>
      <c r="K1442">
        <v>1.1205270000000001</v>
      </c>
      <c r="L1442">
        <v>367.50709999999998</v>
      </c>
      <c r="M1442">
        <v>0.99717339999999999</v>
      </c>
      <c r="N1442">
        <v>-1.3919040000000001E-2</v>
      </c>
      <c r="O1442">
        <v>-7.3833689999999993E-2</v>
      </c>
      <c r="P1442">
        <v>0.97565210000000002</v>
      </c>
      <c r="Q1442">
        <v>0.1350152</v>
      </c>
      <c r="R1442">
        <v>-0.172841299999999</v>
      </c>
      <c r="S1442">
        <v>2.8757630000000001</v>
      </c>
      <c r="T1442">
        <v>-0.113633399999999</v>
      </c>
      <c r="U1442">
        <v>-1.2180789999999999</v>
      </c>
      <c r="V1442">
        <v>0.1007463</v>
      </c>
      <c r="W1442">
        <v>0.14843889999999901</v>
      </c>
      <c r="X1442">
        <v>0.98377650000000005</v>
      </c>
      <c r="Y1442">
        <v>0.32068869999999999</v>
      </c>
      <c r="Z1442">
        <v>-6.6035299999999998E-3</v>
      </c>
      <c r="AA1442">
        <v>0.94716160000000005</v>
      </c>
      <c r="AB1442">
        <v>25</v>
      </c>
      <c r="AC1442">
        <v>28.212599999999899</v>
      </c>
      <c r="AD1442">
        <v>-1.120530422324</v>
      </c>
      <c r="AE1442">
        <v>-11.999899999999901</v>
      </c>
      <c r="AF1442">
        <v>9.8707131444371701</v>
      </c>
      <c r="AG1442">
        <v>-1.120530422324</v>
      </c>
      <c r="AH1442">
        <v>28.982947859995601</v>
      </c>
      <c r="AI1442">
        <v>92.095946737112399</v>
      </c>
      <c r="AJ1442">
        <v>71.192714064588699</v>
      </c>
      <c r="AK1442">
        <v>30.6381760727093</v>
      </c>
      <c r="AL1442">
        <v>81.463531183664799</v>
      </c>
      <c r="AM1442">
        <v>84.152853824434203</v>
      </c>
      <c r="AN1442">
        <v>1.00000006297457</v>
      </c>
    </row>
    <row r="1443" spans="1:40" x14ac:dyDescent="0.25">
      <c r="A1443" t="str">
        <f>"20190303170248791"</f>
        <v>20190303170248791</v>
      </c>
      <c r="B1443" t="str">
        <f>"1551603768787046"</f>
        <v>1551603768787046</v>
      </c>
      <c r="C1443" t="s">
        <v>40</v>
      </c>
      <c r="D1443">
        <v>4.5520849999999999</v>
      </c>
      <c r="E1443">
        <v>0.60340159999999998</v>
      </c>
      <c r="F1443" t="s">
        <v>52</v>
      </c>
      <c r="G1443">
        <v>-189.0008</v>
      </c>
      <c r="H1443" s="1">
        <v>-3.3773880000000001E-6</v>
      </c>
      <c r="I1443">
        <v>355.37580000000003</v>
      </c>
      <c r="J1443">
        <v>-217.328</v>
      </c>
      <c r="K1443">
        <v>1.1205099999999999</v>
      </c>
      <c r="L1443">
        <v>367.49360000000001</v>
      </c>
      <c r="M1443">
        <v>0.99709080000000005</v>
      </c>
      <c r="N1443">
        <v>-1.391766E-2</v>
      </c>
      <c r="O1443">
        <v>-7.4942930000000005E-2</v>
      </c>
      <c r="P1443">
        <v>0.97550760000000003</v>
      </c>
      <c r="Q1443">
        <v>0.134521</v>
      </c>
      <c r="R1443">
        <v>-0.1740391</v>
      </c>
      <c r="S1443">
        <v>2.8737490000000001</v>
      </c>
      <c r="T1443">
        <v>-0.1130149</v>
      </c>
      <c r="U1443">
        <v>-1.223541</v>
      </c>
      <c r="V1443">
        <v>0.1008588</v>
      </c>
      <c r="W1443">
        <v>0.14793999999999999</v>
      </c>
      <c r="X1443">
        <v>0.98384000000000005</v>
      </c>
      <c r="Y1443">
        <v>0.32140059999999998</v>
      </c>
      <c r="Z1443">
        <v>-6.5789259999999997E-3</v>
      </c>
      <c r="AA1443">
        <v>0.94692050000000005</v>
      </c>
      <c r="AB1443">
        <v>25</v>
      </c>
      <c r="AC1443">
        <v>28.327200000000001</v>
      </c>
      <c r="AD1443">
        <v>-1.1205133773880001</v>
      </c>
      <c r="AE1443">
        <v>-12.1177999999999</v>
      </c>
      <c r="AF1443">
        <v>9.9474303001304705</v>
      </c>
      <c r="AG1443">
        <v>-1.1205133773880001</v>
      </c>
      <c r="AH1443">
        <v>29.117242998291498</v>
      </c>
      <c r="AI1443">
        <v>92.085579088405098</v>
      </c>
      <c r="AJ1443">
        <v>71.138105907067896</v>
      </c>
      <c r="AK1443">
        <v>30.7899457554965</v>
      </c>
      <c r="AL1443">
        <v>81.492434150669396</v>
      </c>
      <c r="AM1443">
        <v>84.146745015211494</v>
      </c>
      <c r="AN1443">
        <v>0.999999943368718</v>
      </c>
    </row>
    <row r="1444" spans="1:40" x14ac:dyDescent="0.25">
      <c r="A1444" t="str">
        <f>"20190303170248804"</f>
        <v>20190303170248804</v>
      </c>
      <c r="B1444" t="str">
        <f>"1551603768796808"</f>
        <v>1551603768796808</v>
      </c>
      <c r="C1444" t="s">
        <v>40</v>
      </c>
      <c r="D1444">
        <v>4.5408289999999996</v>
      </c>
      <c r="E1444">
        <v>0.60335329999999998</v>
      </c>
      <c r="F1444" t="s">
        <v>52</v>
      </c>
      <c r="G1444">
        <v>-179.99639999999999</v>
      </c>
      <c r="H1444">
        <v>5.360173E-2</v>
      </c>
      <c r="I1444">
        <v>350.26519999999999</v>
      </c>
      <c r="J1444">
        <v>-217.19</v>
      </c>
      <c r="K1444">
        <v>1.1204860000000001</v>
      </c>
      <c r="L1444">
        <v>367.4821</v>
      </c>
      <c r="M1444">
        <v>0.99701960000000001</v>
      </c>
      <c r="N1444">
        <v>-1.3916629999999999E-2</v>
      </c>
      <c r="O1444">
        <v>-7.588433E-2</v>
      </c>
      <c r="P1444">
        <v>0.97539529999999997</v>
      </c>
      <c r="Q1444">
        <v>0.1335848</v>
      </c>
      <c r="R1444">
        <v>-0.17538409999999999</v>
      </c>
      <c r="S1444">
        <v>2.8517459999999999</v>
      </c>
      <c r="T1444">
        <v>-8.150077E-2</v>
      </c>
      <c r="U1444">
        <v>-1.316071</v>
      </c>
      <c r="V1444">
        <v>0.1012801</v>
      </c>
      <c r="W1444">
        <v>0.14699909999999999</v>
      </c>
      <c r="X1444">
        <v>0.98393779999999997</v>
      </c>
      <c r="Y1444">
        <v>0.34873320000000002</v>
      </c>
      <c r="Z1444">
        <v>-6.2432130000000001E-3</v>
      </c>
      <c r="AA1444">
        <v>0.93720130000000001</v>
      </c>
      <c r="AB1444">
        <v>25</v>
      </c>
      <c r="AC1444">
        <v>37.193600000000004</v>
      </c>
      <c r="AD1444">
        <v>-1.0668842700000001</v>
      </c>
      <c r="AE1444">
        <v>-17.216899999999999</v>
      </c>
      <c r="AF1444">
        <v>14.334849676372</v>
      </c>
      <c r="AG1444">
        <v>-1.0668842700000001</v>
      </c>
      <c r="AH1444">
        <v>38.366957645918703</v>
      </c>
      <c r="AI1444">
        <v>91.492138072761193</v>
      </c>
      <c r="AJ1444">
        <v>69.513061256004903</v>
      </c>
      <c r="AK1444">
        <v>40.971326513715397</v>
      </c>
      <c r="AL1444">
        <v>81.546940118434094</v>
      </c>
      <c r="AM1444">
        <v>84.123046156872107</v>
      </c>
      <c r="AN1444">
        <v>0.99999999416282903</v>
      </c>
    </row>
    <row r="1445" spans="1:40" x14ac:dyDescent="0.25">
      <c r="A1445" t="str">
        <f>"20190303170248820"</f>
        <v>20190303170248820</v>
      </c>
      <c r="B1445" t="str">
        <f>"1551603768807543"</f>
        <v>1551603768807543</v>
      </c>
      <c r="C1445" t="s">
        <v>40</v>
      </c>
      <c r="D1445">
        <v>4.5319289999999999</v>
      </c>
      <c r="E1445">
        <v>0.60349619999999904</v>
      </c>
      <c r="F1445" t="s">
        <v>52</v>
      </c>
      <c r="G1445">
        <v>-180</v>
      </c>
      <c r="H1445">
        <v>4.2308510000000001E-2</v>
      </c>
      <c r="I1445">
        <v>350.25819999999999</v>
      </c>
      <c r="J1445">
        <v>-217.0197</v>
      </c>
      <c r="K1445">
        <v>1.1204639999999999</v>
      </c>
      <c r="L1445">
        <v>367.46789999999999</v>
      </c>
      <c r="M1445">
        <v>0.99692910000000001</v>
      </c>
      <c r="N1445">
        <v>-1.3915439999999999E-2</v>
      </c>
      <c r="O1445">
        <v>-7.7062930000000002E-2</v>
      </c>
      <c r="P1445">
        <v>0.97519449999999996</v>
      </c>
      <c r="Q1445">
        <v>0.13307169999999999</v>
      </c>
      <c r="R1445">
        <v>-0.1768834</v>
      </c>
      <c r="S1445">
        <v>2.849701</v>
      </c>
      <c r="T1445">
        <v>-8.2615850000000005E-2</v>
      </c>
      <c r="U1445">
        <v>-1.3197939999999999</v>
      </c>
      <c r="V1445">
        <v>0.1016304</v>
      </c>
      <c r="W1445">
        <v>0.14647979999999899</v>
      </c>
      <c r="X1445">
        <v>0.9839791</v>
      </c>
      <c r="Y1445">
        <v>0.34888590000000003</v>
      </c>
      <c r="Z1445">
        <v>-6.2680660000000001E-3</v>
      </c>
      <c r="AA1445">
        <v>0.93714430000000004</v>
      </c>
      <c r="AB1445">
        <v>25</v>
      </c>
      <c r="AC1445">
        <v>37.0197</v>
      </c>
      <c r="AD1445">
        <v>-1.0781554900000001</v>
      </c>
      <c r="AE1445">
        <v>-17.209699999999899</v>
      </c>
      <c r="AF1445">
        <v>14.2954189736215</v>
      </c>
      <c r="AG1445">
        <v>-1.0781554900000001</v>
      </c>
      <c r="AH1445">
        <v>38.209299260932397</v>
      </c>
      <c r="AI1445">
        <v>91.513860645448801</v>
      </c>
      <c r="AJ1445">
        <v>69.487440371744896</v>
      </c>
      <c r="AK1445">
        <v>40.810194472747703</v>
      </c>
      <c r="AL1445">
        <v>81.577019212162497</v>
      </c>
      <c r="AM1445">
        <v>84.103108169218103</v>
      </c>
      <c r="AN1445">
        <v>0.99999996962450399</v>
      </c>
    </row>
    <row r="1446" spans="1:40" x14ac:dyDescent="0.25">
      <c r="A1446" t="str">
        <f>"20190303170248832"</f>
        <v>20190303170248832</v>
      </c>
      <c r="B1446" t="str">
        <f>"1551603768827062"</f>
        <v>1551603768827062</v>
      </c>
      <c r="C1446" t="s">
        <v>40</v>
      </c>
      <c r="D1446">
        <v>4.5627079999999998</v>
      </c>
      <c r="E1446">
        <v>0.60403759999999995</v>
      </c>
      <c r="F1446" t="s">
        <v>52</v>
      </c>
      <c r="G1446">
        <v>-180</v>
      </c>
      <c r="H1446">
        <v>2.7844150000000002E-2</v>
      </c>
      <c r="I1446">
        <v>350.23750000000001</v>
      </c>
      <c r="J1446">
        <v>-216.86609999999999</v>
      </c>
      <c r="K1446">
        <v>1.120441</v>
      </c>
      <c r="L1446">
        <v>367.45490000000001</v>
      </c>
      <c r="M1446">
        <v>0.99684479999999998</v>
      </c>
      <c r="N1446">
        <v>-1.391444E-2</v>
      </c>
      <c r="O1446">
        <v>-7.8146439999999998E-2</v>
      </c>
      <c r="P1446">
        <v>0.97500120000000001</v>
      </c>
      <c r="Q1446">
        <v>0.1326811</v>
      </c>
      <c r="R1446">
        <v>-0.1782366</v>
      </c>
      <c r="S1446">
        <v>2.847397</v>
      </c>
      <c r="T1446">
        <v>-8.403969E-2</v>
      </c>
      <c r="U1446">
        <v>-1.3252870000000001</v>
      </c>
      <c r="V1446">
        <v>0.1019292</v>
      </c>
      <c r="W1446">
        <v>0.14608260000000001</v>
      </c>
      <c r="X1446">
        <v>0.98400730000000003</v>
      </c>
      <c r="Y1446">
        <v>0.34963830000000001</v>
      </c>
      <c r="Z1446">
        <v>-6.3163610000000004E-3</v>
      </c>
      <c r="AA1446">
        <v>0.93686349999999996</v>
      </c>
      <c r="AB1446">
        <v>25</v>
      </c>
      <c r="AC1446">
        <v>36.866099999999904</v>
      </c>
      <c r="AD1446">
        <v>-1.0925968500000001</v>
      </c>
      <c r="AE1446">
        <v>-17.217399999999898</v>
      </c>
      <c r="AF1446">
        <v>14.2732117454681</v>
      </c>
      <c r="AG1446">
        <v>-1.0925968500000001</v>
      </c>
      <c r="AH1446">
        <v>38.071494094395703</v>
      </c>
      <c r="AI1446">
        <v>91.539289133625999</v>
      </c>
      <c r="AJ1446">
        <v>69.448702878115299</v>
      </c>
      <c r="AK1446">
        <v>40.673787676920497</v>
      </c>
      <c r="AL1446">
        <v>81.600025050748599</v>
      </c>
      <c r="AM1446">
        <v>84.086061916217702</v>
      </c>
      <c r="AN1446">
        <v>1.0000000271443401</v>
      </c>
    </row>
    <row r="1447" spans="1:40" x14ac:dyDescent="0.25">
      <c r="A1447" t="str">
        <f>"20190303170248844"</f>
        <v>20190303170248844</v>
      </c>
      <c r="B1447" t="str">
        <f>"1551603768837401"</f>
        <v>1551603768837401</v>
      </c>
      <c r="C1447" t="s">
        <v>40</v>
      </c>
      <c r="D1447">
        <v>4.5754830000000002</v>
      </c>
      <c r="E1447">
        <v>0.60430090000000003</v>
      </c>
      <c r="F1447" t="s">
        <v>52</v>
      </c>
      <c r="G1447">
        <v>-180</v>
      </c>
      <c r="H1447">
        <v>8.2498169999999996E-3</v>
      </c>
      <c r="I1447">
        <v>350.17559999999997</v>
      </c>
      <c r="J1447">
        <v>-216.7441</v>
      </c>
      <c r="K1447">
        <v>1.1204229999999999</v>
      </c>
      <c r="L1447">
        <v>367.4443</v>
      </c>
      <c r="M1447">
        <v>0.99677530000000003</v>
      </c>
      <c r="N1447">
        <v>-1.3913740000000001E-2</v>
      </c>
      <c r="O1447">
        <v>-7.9029150000000006E-2</v>
      </c>
      <c r="P1447">
        <v>0.97484400000000004</v>
      </c>
      <c r="Q1447">
        <v>0.132405299999999</v>
      </c>
      <c r="R1447">
        <v>-0.17929870000000001</v>
      </c>
      <c r="S1447">
        <v>2.8448180000000001</v>
      </c>
      <c r="T1447">
        <v>-8.5823540000000004E-2</v>
      </c>
      <c r="U1447">
        <v>-1.3333740000000001</v>
      </c>
      <c r="V1447">
        <v>0.1021328</v>
      </c>
      <c r="W1447">
        <v>0.1458015</v>
      </c>
      <c r="X1447">
        <v>0.98402789999999996</v>
      </c>
      <c r="Y1447">
        <v>0.35131190000000001</v>
      </c>
      <c r="Z1447">
        <v>-6.3986260000000001E-3</v>
      </c>
      <c r="AA1447">
        <v>0.93623659999999997</v>
      </c>
      <c r="AB1447">
        <v>25</v>
      </c>
      <c r="AC1447">
        <v>36.744100000000003</v>
      </c>
      <c r="AD1447">
        <v>-1.1121731829999999</v>
      </c>
      <c r="AE1447">
        <v>-17.268699999999999</v>
      </c>
      <c r="AF1447">
        <v>14.299811763589499</v>
      </c>
      <c r="AG1447">
        <v>-1.1121731829999999</v>
      </c>
      <c r="AH1447">
        <v>37.965526355867901</v>
      </c>
      <c r="AI1447">
        <v>91.570323316374498</v>
      </c>
      <c r="AJ1447">
        <v>69.360989888230804</v>
      </c>
      <c r="AK1447">
        <v>40.584513513669002</v>
      </c>
      <c r="AL1447">
        <v>81.616305371861003</v>
      </c>
      <c r="AM1447">
        <v>84.074456172262899</v>
      </c>
      <c r="AN1447">
        <v>1.00000004710824</v>
      </c>
    </row>
    <row r="1448" spans="1:40" x14ac:dyDescent="0.25">
      <c r="A1448" t="str">
        <f>"20190303170248855"</f>
        <v>20190303170248855</v>
      </c>
      <c r="B1448" t="str">
        <f>"1551603768847162"</f>
        <v>1551603768847162</v>
      </c>
      <c r="C1448" t="s">
        <v>40</v>
      </c>
      <c r="D1448">
        <v>4.5704279999999997</v>
      </c>
      <c r="E1448">
        <v>0.60450479999999995</v>
      </c>
      <c r="F1448" t="s">
        <v>52</v>
      </c>
      <c r="G1448">
        <v>-180</v>
      </c>
      <c r="H1448">
        <v>1.063651E-2</v>
      </c>
      <c r="I1448">
        <v>350.14359999999999</v>
      </c>
      <c r="J1448">
        <v>-216.61269999999999</v>
      </c>
      <c r="K1448">
        <v>1.120404</v>
      </c>
      <c r="L1448">
        <v>367.43290000000002</v>
      </c>
      <c r="M1448">
        <v>0.99669920000000001</v>
      </c>
      <c r="N1448">
        <v>-1.391298E-2</v>
      </c>
      <c r="O1448">
        <v>-7.9984860000000005E-2</v>
      </c>
      <c r="P1448">
        <v>0.97468080000000001</v>
      </c>
      <c r="Q1448">
        <v>0.132001799999999</v>
      </c>
      <c r="R1448">
        <v>-0.18048040000000001</v>
      </c>
      <c r="S1448">
        <v>2.8428960000000001</v>
      </c>
      <c r="T1448">
        <v>-8.5864419999999997E-2</v>
      </c>
      <c r="U1448">
        <v>-1.338562</v>
      </c>
      <c r="V1448">
        <v>0.10238419999999999</v>
      </c>
      <c r="W1448">
        <v>0.14539199999999999</v>
      </c>
      <c r="X1448">
        <v>0.98406229999999995</v>
      </c>
      <c r="Y1448">
        <v>0.35205639999999999</v>
      </c>
      <c r="Z1448">
        <v>-6.4028409999999899E-3</v>
      </c>
      <c r="AA1448">
        <v>0.93595689999999998</v>
      </c>
      <c r="AB1448">
        <v>25</v>
      </c>
      <c r="AC1448">
        <v>36.612699999999897</v>
      </c>
      <c r="AD1448">
        <v>-1.1097674900000001</v>
      </c>
      <c r="AE1448">
        <v>-17.289300000000001</v>
      </c>
      <c r="AF1448">
        <v>14.2944127361634</v>
      </c>
      <c r="AG1448">
        <v>-1.1097674900000001</v>
      </c>
      <c r="AH1448">
        <v>37.849954628744399</v>
      </c>
      <c r="AI1448">
        <v>91.571187935675297</v>
      </c>
      <c r="AJ1448">
        <v>69.310456368922004</v>
      </c>
      <c r="AK1448">
        <v>40.4744473063149</v>
      </c>
      <c r="AL1448">
        <v>81.640020172889095</v>
      </c>
      <c r="AM1448">
        <v>84.060180762780405</v>
      </c>
      <c r="AN1448">
        <v>0.99999998417746405</v>
      </c>
    </row>
    <row r="1449" spans="1:40" x14ac:dyDescent="0.25">
      <c r="A1449" t="str">
        <f>"20190303170248866"</f>
        <v>20190303170248866</v>
      </c>
      <c r="B1449" t="str">
        <f>"1551603768856922"</f>
        <v>1551603768856922</v>
      </c>
      <c r="C1449" t="s">
        <v>40</v>
      </c>
      <c r="D1449">
        <v>4.564743</v>
      </c>
      <c r="E1449">
        <v>0.60468180000000005</v>
      </c>
      <c r="F1449" t="s">
        <v>52</v>
      </c>
      <c r="G1449">
        <v>-180</v>
      </c>
      <c r="H1449">
        <v>1.4886450000000001E-2</v>
      </c>
      <c r="I1449">
        <v>350.11320000000001</v>
      </c>
      <c r="J1449">
        <v>-216.48699999999999</v>
      </c>
      <c r="K1449">
        <v>1.1203860000000001</v>
      </c>
      <c r="L1449">
        <v>367.42180000000002</v>
      </c>
      <c r="M1449">
        <v>0.99662289999999998</v>
      </c>
      <c r="N1449">
        <v>-1.391234E-2</v>
      </c>
      <c r="O1449">
        <v>-8.0927120000000005E-2</v>
      </c>
      <c r="P1449">
        <v>0.97443429999999998</v>
      </c>
      <c r="Q1449">
        <v>0.13156470000000001</v>
      </c>
      <c r="R1449">
        <v>-0.1821228</v>
      </c>
      <c r="S1449">
        <v>2.8407290000000001</v>
      </c>
      <c r="T1449">
        <v>-8.5775489999999996E-2</v>
      </c>
      <c r="U1449">
        <v>-1.3438110000000001</v>
      </c>
      <c r="V1449">
        <v>0.1031149</v>
      </c>
      <c r="W1449">
        <v>0.14494609999999999</v>
      </c>
      <c r="X1449">
        <v>0.98405180000000003</v>
      </c>
      <c r="Y1449">
        <v>0.35286060000000002</v>
      </c>
      <c r="Z1449">
        <v>-6.4046179999999999E-3</v>
      </c>
      <c r="AA1449">
        <v>0.93565399999999999</v>
      </c>
      <c r="AB1449">
        <v>25</v>
      </c>
      <c r="AC1449">
        <v>36.487000000000002</v>
      </c>
      <c r="AD1449">
        <v>-1.10549955</v>
      </c>
      <c r="AE1449">
        <v>-17.308599999999998</v>
      </c>
      <c r="AF1449">
        <v>14.288036520133501</v>
      </c>
      <c r="AG1449">
        <v>-1.10549955</v>
      </c>
      <c r="AH1449">
        <v>37.739890057675602</v>
      </c>
      <c r="AI1449">
        <v>91.569226887760095</v>
      </c>
      <c r="AJ1449">
        <v>69.263713829359602</v>
      </c>
      <c r="AK1449">
        <v>40.369164202657899</v>
      </c>
      <c r="AL1449">
        <v>81.665842025656005</v>
      </c>
      <c r="AM1449">
        <v>84.018032141064097</v>
      </c>
      <c r="AN1449">
        <v>0.99999999979523002</v>
      </c>
    </row>
    <row r="1450" spans="1:40" x14ac:dyDescent="0.25">
      <c r="A1450" t="str">
        <f>"20190303170248878"</f>
        <v>20190303170248878</v>
      </c>
      <c r="B1450" t="str">
        <f>"1551603768866681"</f>
        <v>1551603768866681</v>
      </c>
      <c r="C1450" t="s">
        <v>40</v>
      </c>
      <c r="D1450">
        <v>4.6003759999999998</v>
      </c>
      <c r="E1450">
        <v>0.60495330000000003</v>
      </c>
      <c r="F1450" t="s">
        <v>52</v>
      </c>
      <c r="G1450">
        <v>-180</v>
      </c>
      <c r="H1450">
        <v>5.1049650000000004E-3</v>
      </c>
      <c r="I1450">
        <v>350.06549999999999</v>
      </c>
      <c r="J1450">
        <v>-216.3646</v>
      </c>
      <c r="K1450">
        <v>1.120366</v>
      </c>
      <c r="L1450">
        <v>367.41090000000003</v>
      </c>
      <c r="M1450">
        <v>0.99654750000000003</v>
      </c>
      <c r="N1450">
        <v>-1.3911710000000001E-2</v>
      </c>
      <c r="O1450">
        <v>-8.1851489999999999E-2</v>
      </c>
      <c r="P1450">
        <v>0.97412529999999997</v>
      </c>
      <c r="Q1450">
        <v>0.1313356</v>
      </c>
      <c r="R1450">
        <v>-0.1839335</v>
      </c>
      <c r="S1450">
        <v>2.8380890000000001</v>
      </c>
      <c r="T1450">
        <v>-8.6750750000000001E-2</v>
      </c>
      <c r="U1450">
        <v>-1.3500369999999999</v>
      </c>
      <c r="V1450">
        <v>0.1040363</v>
      </c>
      <c r="W1450">
        <v>0.14470740000000001</v>
      </c>
      <c r="X1450">
        <v>0.98399000000000003</v>
      </c>
      <c r="Y1450">
        <v>0.35399999999999998</v>
      </c>
      <c r="Z1450">
        <v>-6.4482879999999999E-3</v>
      </c>
      <c r="AA1450">
        <v>0.93522320000000003</v>
      </c>
      <c r="AB1450">
        <v>25</v>
      </c>
      <c r="AC1450">
        <v>36.364600000000003</v>
      </c>
      <c r="AD1450">
        <v>-1.1152610350000001</v>
      </c>
      <c r="AE1450">
        <v>-17.345400000000001</v>
      </c>
      <c r="AF1450">
        <v>14.2994453966379</v>
      </c>
      <c r="AG1450">
        <v>-1.1152610350000001</v>
      </c>
      <c r="AH1450">
        <v>37.633603834686497</v>
      </c>
      <c r="AI1450">
        <v>91.586822840204903</v>
      </c>
      <c r="AJ1450">
        <v>69.194970484223504</v>
      </c>
      <c r="AK1450">
        <v>40.274136656342499</v>
      </c>
      <c r="AL1450">
        <v>81.679664690694594</v>
      </c>
      <c r="AM1450">
        <v>83.964595813841299</v>
      </c>
      <c r="AN1450">
        <v>1.00000005171622</v>
      </c>
    </row>
    <row r="1451" spans="1:40" x14ac:dyDescent="0.25">
      <c r="A1451" t="str">
        <f>"20190303170248889"</f>
        <v>20190303170248889</v>
      </c>
      <c r="B1451" t="str">
        <f>"1551603768877418"</f>
        <v>1551603768877418</v>
      </c>
      <c r="C1451" t="s">
        <v>40</v>
      </c>
      <c r="D1451">
        <v>4.5638420000000002</v>
      </c>
      <c r="E1451">
        <v>0.60508569999999995</v>
      </c>
      <c r="F1451" t="s">
        <v>52</v>
      </c>
      <c r="G1451">
        <v>-180</v>
      </c>
      <c r="H1451">
        <v>3.6905779999999999E-3</v>
      </c>
      <c r="I1451">
        <v>350</v>
      </c>
      <c r="J1451">
        <v>-216.2355</v>
      </c>
      <c r="K1451">
        <v>1.1203449999999999</v>
      </c>
      <c r="L1451">
        <v>367.39920000000001</v>
      </c>
      <c r="M1451">
        <v>0.99646509999999999</v>
      </c>
      <c r="N1451">
        <v>-1.3911160000000001E-2</v>
      </c>
      <c r="O1451">
        <v>-8.2848599999999994E-2</v>
      </c>
      <c r="P1451">
        <v>0.9738578</v>
      </c>
      <c r="Q1451">
        <v>0.1308947</v>
      </c>
      <c r="R1451">
        <v>-0.1856544</v>
      </c>
      <c r="S1451">
        <v>2.8351289999999998</v>
      </c>
      <c r="T1451">
        <v>-8.7060449999999998E-2</v>
      </c>
      <c r="U1451">
        <v>-1.3574219999999999</v>
      </c>
      <c r="V1451">
        <v>0.10479330000000001</v>
      </c>
      <c r="W1451">
        <v>0.1442582</v>
      </c>
      <c r="X1451">
        <v>0.98397559999999995</v>
      </c>
      <c r="Y1451">
        <v>0.35542449999999998</v>
      </c>
      <c r="Z1451">
        <v>-6.4758709999999898E-3</v>
      </c>
      <c r="AA1451">
        <v>0.93468249999999997</v>
      </c>
      <c r="AB1451">
        <v>25</v>
      </c>
      <c r="AC1451">
        <v>36.235500000000002</v>
      </c>
      <c r="AD1451">
        <v>-1.1166544220000001</v>
      </c>
      <c r="AE1451">
        <v>-17.3992</v>
      </c>
      <c r="AF1451">
        <v>14.325965908506999</v>
      </c>
      <c r="AG1451">
        <v>-1.1166544220000001</v>
      </c>
      <c r="AH1451">
        <v>37.523584201974103</v>
      </c>
      <c r="AI1451">
        <v>91.592496079389406</v>
      </c>
      <c r="AJ1451">
        <v>69.103861396700395</v>
      </c>
      <c r="AK1451">
        <v>40.180836074831902</v>
      </c>
      <c r="AL1451">
        <v>81.705674628010698</v>
      </c>
      <c r="AM1451">
        <v>83.920919718974901</v>
      </c>
      <c r="AN1451">
        <v>1.00000002269374</v>
      </c>
    </row>
    <row r="1452" spans="1:40" x14ac:dyDescent="0.25">
      <c r="A1452" t="str">
        <f>"20190303170248900"</f>
        <v>20190303170248900</v>
      </c>
      <c r="B1452" t="str">
        <f>"1551603768887177"</f>
        <v>1551603768887177</v>
      </c>
      <c r="C1452" t="s">
        <v>40</v>
      </c>
      <c r="D1452">
        <v>4.5810180000000003</v>
      </c>
      <c r="E1452">
        <v>0.60525319999999905</v>
      </c>
      <c r="F1452" t="s">
        <v>52</v>
      </c>
      <c r="G1452">
        <v>-180.16380000000001</v>
      </c>
      <c r="H1452" s="1">
        <v>-2.7614470000000002E-6</v>
      </c>
      <c r="I1452">
        <v>350.03129999999999</v>
      </c>
      <c r="J1452">
        <v>-216.11410000000001</v>
      </c>
      <c r="K1452">
        <v>1.120322</v>
      </c>
      <c r="L1452">
        <v>367.38799999999998</v>
      </c>
      <c r="M1452">
        <v>0.99638550000000004</v>
      </c>
      <c r="N1452">
        <v>-1.391063E-2</v>
      </c>
      <c r="O1452">
        <v>-8.3800029999999998E-2</v>
      </c>
      <c r="P1452">
        <v>0.97355369999999997</v>
      </c>
      <c r="Q1452">
        <v>0.13058810000000001</v>
      </c>
      <c r="R1452">
        <v>-0.18745709999999999</v>
      </c>
      <c r="S1452">
        <v>2.8323670000000001</v>
      </c>
      <c r="T1452">
        <v>-8.7970380000000001E-2</v>
      </c>
      <c r="U1452">
        <v>-1.363739</v>
      </c>
      <c r="V1452">
        <v>0.1056798</v>
      </c>
      <c r="W1452">
        <v>0.14394209999999999</v>
      </c>
      <c r="X1452">
        <v>0.98392710000000005</v>
      </c>
      <c r="Y1452">
        <v>0.35657660000000002</v>
      </c>
      <c r="Z1452">
        <v>-6.5171309999999998E-3</v>
      </c>
      <c r="AA1452">
        <v>0.93424339999999995</v>
      </c>
      <c r="AB1452">
        <v>25</v>
      </c>
      <c r="AC1452">
        <v>35.950299999999999</v>
      </c>
      <c r="AD1452">
        <v>-1.120324761447</v>
      </c>
      <c r="AE1452">
        <v>-17.3567</v>
      </c>
      <c r="AF1452">
        <v>14.271470114069</v>
      </c>
      <c r="AG1452">
        <v>-1.120324761447</v>
      </c>
      <c r="AH1452">
        <v>37.249120164074597</v>
      </c>
      <c r="AI1452">
        <v>91.608769694141699</v>
      </c>
      <c r="AJ1452">
        <v>69.036376833376295</v>
      </c>
      <c r="AK1452">
        <v>39.905224467299398</v>
      </c>
      <c r="AL1452">
        <v>81.7239770126655</v>
      </c>
      <c r="AM1452">
        <v>83.869583739996301</v>
      </c>
      <c r="AN1452">
        <v>1.0000000431974201</v>
      </c>
    </row>
    <row r="1453" spans="1:40" x14ac:dyDescent="0.25">
      <c r="A1453" t="str">
        <f>"20190303170248912"</f>
        <v>20190303170248912</v>
      </c>
      <c r="B1453" t="str">
        <f>"1551603768896938"</f>
        <v>1551603768896938</v>
      </c>
      <c r="C1453" t="s">
        <v>40</v>
      </c>
      <c r="D1453">
        <v>4.5961759999999998</v>
      </c>
      <c r="E1453">
        <v>0.60547079999999998</v>
      </c>
      <c r="F1453" t="s">
        <v>52</v>
      </c>
      <c r="G1453">
        <v>-180.31710000000001</v>
      </c>
      <c r="H1453" s="1">
        <v>-2.7276419999999998E-6</v>
      </c>
      <c r="I1453">
        <v>350.05189999999999</v>
      </c>
      <c r="J1453">
        <v>-215.98150000000001</v>
      </c>
      <c r="K1453">
        <v>1.1203000000000001</v>
      </c>
      <c r="L1453">
        <v>367.37580000000003</v>
      </c>
      <c r="M1453">
        <v>0.99629630000000002</v>
      </c>
      <c r="N1453">
        <v>-1.391003E-2</v>
      </c>
      <c r="O1453">
        <v>-8.4855330000000007E-2</v>
      </c>
      <c r="P1453">
        <v>0.97313070000000002</v>
      </c>
      <c r="Q1453">
        <v>0.13051179999999901</v>
      </c>
      <c r="R1453">
        <v>-0.18969369999999999</v>
      </c>
      <c r="S1453">
        <v>2.8294980000000001</v>
      </c>
      <c r="T1453">
        <v>-8.8553789999999993E-2</v>
      </c>
      <c r="U1453">
        <v>-1.3703000000000001</v>
      </c>
      <c r="V1453">
        <v>0.10690769999999999</v>
      </c>
      <c r="W1453">
        <v>0.14385429999999999</v>
      </c>
      <c r="X1453">
        <v>0.98380730000000005</v>
      </c>
      <c r="Y1453">
        <v>0.35771069999999999</v>
      </c>
      <c r="Z1453">
        <v>-6.5458579999999999E-3</v>
      </c>
      <c r="AA1453">
        <v>0.93380949999999996</v>
      </c>
      <c r="AB1453">
        <v>25</v>
      </c>
      <c r="AC1453">
        <v>35.664400000000001</v>
      </c>
      <c r="AD1453">
        <v>-1.1203027276419999</v>
      </c>
      <c r="AE1453">
        <v>-17.323899999999998</v>
      </c>
      <c r="AF1453">
        <v>14.223443130128301</v>
      </c>
      <c r="AG1453">
        <v>-1.1203027276419999</v>
      </c>
      <c r="AH1453">
        <v>36.976390447334303</v>
      </c>
      <c r="AI1453">
        <v>91.619770089864105</v>
      </c>
      <c r="AJ1453">
        <v>68.960120718262502</v>
      </c>
      <c r="AK1453">
        <v>39.633506824292901</v>
      </c>
      <c r="AL1453">
        <v>81.729060625963996</v>
      </c>
      <c r="AM1453">
        <v>83.798156616775998</v>
      </c>
      <c r="AN1453">
        <v>1.0000000597405301</v>
      </c>
    </row>
    <row r="1454" spans="1:40" x14ac:dyDescent="0.25">
      <c r="A1454" t="str">
        <f>"20190303170248924"</f>
        <v>20190303170248924</v>
      </c>
      <c r="B1454" t="str">
        <f>"1551603768906697"</f>
        <v>1551603768906697</v>
      </c>
      <c r="C1454" t="s">
        <v>40</v>
      </c>
      <c r="D1454">
        <v>4.6201549999999996</v>
      </c>
      <c r="E1454">
        <v>0.60561009999999904</v>
      </c>
      <c r="F1454" t="s">
        <v>52</v>
      </c>
      <c r="G1454">
        <v>-180.4503</v>
      </c>
      <c r="H1454" s="1">
        <v>-2.688487E-6</v>
      </c>
      <c r="I1454">
        <v>350.04090000000002</v>
      </c>
      <c r="J1454">
        <v>-215.85249999999999</v>
      </c>
      <c r="K1454">
        <v>1.1202780000000001</v>
      </c>
      <c r="L1454">
        <v>367.36360000000002</v>
      </c>
      <c r="M1454">
        <v>0.99620620000000004</v>
      </c>
      <c r="N1454">
        <v>-1.390952E-2</v>
      </c>
      <c r="O1454">
        <v>-8.5907299999999895E-2</v>
      </c>
      <c r="P1454">
        <v>0.97275339999999999</v>
      </c>
      <c r="Q1454">
        <v>0.13038959999999999</v>
      </c>
      <c r="R1454">
        <v>-0.1917016</v>
      </c>
      <c r="S1454">
        <v>2.8260190000000001</v>
      </c>
      <c r="T1454">
        <v>-8.9104530000000001E-2</v>
      </c>
      <c r="U1454">
        <v>-1.378754</v>
      </c>
      <c r="V1454">
        <v>0.107907</v>
      </c>
      <c r="W1454">
        <v>0.14372079999999901</v>
      </c>
      <c r="X1454">
        <v>0.98371770000000003</v>
      </c>
      <c r="Y1454">
        <v>0.35943079999999999</v>
      </c>
      <c r="Z1454">
        <v>-6.5868690000000004E-3</v>
      </c>
      <c r="AA1454">
        <v>0.93314850000000005</v>
      </c>
      <c r="AB1454">
        <v>25</v>
      </c>
      <c r="AC1454">
        <v>35.402199999999901</v>
      </c>
      <c r="AD1454">
        <v>-1.120280688487</v>
      </c>
      <c r="AE1454">
        <v>-17.322699999999902</v>
      </c>
      <c r="AF1454">
        <v>14.2055696726541</v>
      </c>
      <c r="AG1454">
        <v>-1.120280688487</v>
      </c>
      <c r="AH1454">
        <v>36.729912488447297</v>
      </c>
      <c r="AI1454">
        <v>91.629455938346894</v>
      </c>
      <c r="AJ1454">
        <v>68.855647131384202</v>
      </c>
      <c r="AK1454">
        <v>39.397204341864501</v>
      </c>
      <c r="AL1454">
        <v>81.736789859020305</v>
      </c>
      <c r="AM1454">
        <v>83.740078474986106</v>
      </c>
      <c r="AN1454">
        <v>1.00000005114746</v>
      </c>
    </row>
    <row r="1455" spans="1:40" x14ac:dyDescent="0.25">
      <c r="A1455" t="str">
        <f>"20190303170248935"</f>
        <v>20190303170248935</v>
      </c>
      <c r="B1455" t="str">
        <f>"1551603768927193"</f>
        <v>1551603768927193</v>
      </c>
      <c r="C1455" t="s">
        <v>40</v>
      </c>
      <c r="D1455">
        <v>4.6432219999999997</v>
      </c>
      <c r="E1455">
        <v>0.60574949999999905</v>
      </c>
      <c r="F1455" t="s">
        <v>52</v>
      </c>
      <c r="G1455">
        <v>-180.61060000000001</v>
      </c>
      <c r="H1455" s="1">
        <v>-2.6529200000000002E-6</v>
      </c>
      <c r="I1455">
        <v>350.06189999999998</v>
      </c>
      <c r="J1455">
        <v>-215.7217</v>
      </c>
      <c r="K1455">
        <v>1.1202529999999999</v>
      </c>
      <c r="L1455">
        <v>367.35120000000001</v>
      </c>
      <c r="M1455">
        <v>0.99611280000000002</v>
      </c>
      <c r="N1455">
        <v>-1.390899E-2</v>
      </c>
      <c r="O1455">
        <v>-8.6982889999999993E-2</v>
      </c>
      <c r="P1455">
        <v>0.97226789999999996</v>
      </c>
      <c r="Q1455">
        <v>0.1306303</v>
      </c>
      <c r="R1455">
        <v>-0.1939882</v>
      </c>
      <c r="S1455">
        <v>2.8229220000000002</v>
      </c>
      <c r="T1455">
        <v>-8.9735980000000007E-2</v>
      </c>
      <c r="U1455">
        <v>-1.3858950000000001</v>
      </c>
      <c r="V1455">
        <v>0.109171699999999</v>
      </c>
      <c r="W1455">
        <v>0.1439482</v>
      </c>
      <c r="X1455">
        <v>0.9835448</v>
      </c>
      <c r="Y1455">
        <v>0.36072729999999997</v>
      </c>
      <c r="Z1455">
        <v>-6.6202880000000002E-3</v>
      </c>
      <c r="AA1455">
        <v>0.93264780000000003</v>
      </c>
      <c r="AB1455">
        <v>25</v>
      </c>
      <c r="AC1455">
        <v>35.111099999999901</v>
      </c>
      <c r="AD1455">
        <v>-1.1202556529200001</v>
      </c>
      <c r="AE1455">
        <v>-17.289300000000001</v>
      </c>
      <c r="AF1455">
        <v>14.1577975010324</v>
      </c>
      <c r="AG1455">
        <v>-1.1202556529200001</v>
      </c>
      <c r="AH1455">
        <v>36.452148681546603</v>
      </c>
      <c r="AI1455">
        <v>91.640924247963795</v>
      </c>
      <c r="AJ1455">
        <v>68.774126453376496</v>
      </c>
      <c r="AK1455">
        <v>39.121060137855601</v>
      </c>
      <c r="AL1455">
        <v>81.723623128409699</v>
      </c>
      <c r="AM1455">
        <v>83.666198908339098</v>
      </c>
      <c r="AN1455">
        <v>0.99999995898558403</v>
      </c>
    </row>
    <row r="1456" spans="1:40" x14ac:dyDescent="0.25">
      <c r="A1456" t="str">
        <f>"20190303170248949"</f>
        <v>20190303170248949</v>
      </c>
      <c r="B1456" t="str">
        <f>"1551603768936922"</f>
        <v>1551603768936922</v>
      </c>
      <c r="C1456" t="s">
        <v>40</v>
      </c>
      <c r="D1456">
        <v>4.6256490000000001</v>
      </c>
      <c r="E1456">
        <v>0.6058344</v>
      </c>
      <c r="F1456" t="s">
        <v>52</v>
      </c>
      <c r="G1456">
        <v>-180.99119999999999</v>
      </c>
      <c r="H1456" s="1">
        <v>-2.592738E-6</v>
      </c>
      <c r="I1456">
        <v>350.18329999999997</v>
      </c>
      <c r="J1456">
        <v>-215.5651</v>
      </c>
      <c r="K1456">
        <v>1.1202289999999999</v>
      </c>
      <c r="L1456">
        <v>367.33609999999999</v>
      </c>
      <c r="M1456">
        <v>0.99599550000000003</v>
      </c>
      <c r="N1456">
        <v>-1.3908520000000001E-2</v>
      </c>
      <c r="O1456">
        <v>-8.8315519999999995E-2</v>
      </c>
      <c r="P1456">
        <v>0.97151259999999995</v>
      </c>
      <c r="Q1456">
        <v>0.13061</v>
      </c>
      <c r="R1456">
        <v>-0.1977486</v>
      </c>
      <c r="S1456">
        <v>2.8197019999999999</v>
      </c>
      <c r="T1456">
        <v>-9.0951199999999996E-2</v>
      </c>
      <c r="U1456">
        <v>-1.393829</v>
      </c>
      <c r="V1456">
        <v>0.1116764</v>
      </c>
      <c r="W1456">
        <v>0.14390720000000001</v>
      </c>
      <c r="X1456">
        <v>0.98326959999999997</v>
      </c>
      <c r="Y1456">
        <v>0.36200670000000001</v>
      </c>
      <c r="Z1456">
        <v>-6.6671889999999996E-3</v>
      </c>
      <c r="AA1456">
        <v>0.93215170000000003</v>
      </c>
      <c r="AB1456">
        <v>25</v>
      </c>
      <c r="AC1456">
        <v>34.573900000000002</v>
      </c>
      <c r="AD1456">
        <v>-1.120231592738</v>
      </c>
      <c r="AE1456">
        <v>-17.152799999999999</v>
      </c>
      <c r="AF1456">
        <v>14.0202445320097</v>
      </c>
      <c r="AG1456">
        <v>-1.120231592738</v>
      </c>
      <c r="AH1456">
        <v>35.923518519218902</v>
      </c>
      <c r="AI1456">
        <v>91.663960995410093</v>
      </c>
      <c r="AJ1456">
        <v>68.680273857392805</v>
      </c>
      <c r="AK1456">
        <v>38.578768232790701</v>
      </c>
      <c r="AL1456">
        <v>81.725997341548194</v>
      </c>
      <c r="AM1456">
        <v>83.520307918564896</v>
      </c>
      <c r="AN1456">
        <v>1.00000000340648</v>
      </c>
    </row>
    <row r="1457" spans="1:40" x14ac:dyDescent="0.25">
      <c r="A1457" t="str">
        <f>"20190303170248962"</f>
        <v>20190303170248962</v>
      </c>
      <c r="B1457" t="str">
        <f>"1551603768946665"</f>
        <v>1551603768946665</v>
      </c>
      <c r="C1457" t="s">
        <v>40</v>
      </c>
      <c r="D1457">
        <v>4.648739</v>
      </c>
      <c r="E1457">
        <v>0.6059099</v>
      </c>
      <c r="F1457" t="s">
        <v>52</v>
      </c>
      <c r="G1457">
        <v>-181.24770000000001</v>
      </c>
      <c r="H1457" s="1">
        <v>-2.5329100000000002E-6</v>
      </c>
      <c r="I1457">
        <v>350.20819999999998</v>
      </c>
      <c r="J1457">
        <v>-215.422</v>
      </c>
      <c r="K1457">
        <v>1.120204</v>
      </c>
      <c r="L1457">
        <v>367.32209999999998</v>
      </c>
      <c r="M1457">
        <v>0.99588509999999997</v>
      </c>
      <c r="N1457">
        <v>-1.3908190000000001E-2</v>
      </c>
      <c r="O1457">
        <v>-8.9552510000000002E-2</v>
      </c>
      <c r="P1457">
        <v>0.97103119999999998</v>
      </c>
      <c r="Q1457">
        <v>0.13061539999999999</v>
      </c>
      <c r="R1457">
        <v>-0.2000951</v>
      </c>
      <c r="S1457">
        <v>2.814438</v>
      </c>
      <c r="T1457">
        <v>-9.1872449999999994E-2</v>
      </c>
      <c r="U1457">
        <v>-1.4046940000000001</v>
      </c>
      <c r="V1457">
        <v>0.1128425</v>
      </c>
      <c r="W1457">
        <v>0.1438982</v>
      </c>
      <c r="X1457">
        <v>0.98313779999999995</v>
      </c>
      <c r="Y1457">
        <v>0.36442029999999997</v>
      </c>
      <c r="Z1457">
        <v>-6.7335609999999999E-3</v>
      </c>
      <c r="AA1457">
        <v>0.93121019999999999</v>
      </c>
      <c r="AB1457">
        <v>25</v>
      </c>
      <c r="AC1457">
        <v>34.174299999999903</v>
      </c>
      <c r="AD1457">
        <v>-1.1202065329099999</v>
      </c>
      <c r="AE1457">
        <v>-17.113900000000001</v>
      </c>
      <c r="AF1457">
        <v>13.972431822500299</v>
      </c>
      <c r="AG1457">
        <v>-1.1202065329099999</v>
      </c>
      <c r="AH1457">
        <v>35.539175673547497</v>
      </c>
      <c r="AI1457">
        <v>91.680267582428499</v>
      </c>
      <c r="AJ1457">
        <v>68.537442965826301</v>
      </c>
      <c r="AK1457">
        <v>38.203621834402902</v>
      </c>
      <c r="AL1457">
        <v>81.726518630163298</v>
      </c>
      <c r="AM1457">
        <v>83.452362757049698</v>
      </c>
      <c r="AN1457">
        <v>1.0000000277791601</v>
      </c>
    </row>
    <row r="1458" spans="1:40" x14ac:dyDescent="0.25">
      <c r="A1458" t="str">
        <f>"20190303170248975"</f>
        <v>20190303170248975</v>
      </c>
      <c r="B1458" t="str">
        <f>"1551603768967161"</f>
        <v>1551603768967161</v>
      </c>
      <c r="C1458" t="s">
        <v>40</v>
      </c>
      <c r="D1458">
        <v>4.6205470000000002</v>
      </c>
      <c r="E1458">
        <v>0.60600940000000003</v>
      </c>
      <c r="F1458" t="s">
        <v>52</v>
      </c>
      <c r="G1458">
        <v>-181.32810000000001</v>
      </c>
      <c r="H1458" s="1">
        <v>-2.5064479999999999E-6</v>
      </c>
      <c r="I1458">
        <v>350.19319999999999</v>
      </c>
      <c r="J1458">
        <v>-215.27</v>
      </c>
      <c r="K1458">
        <v>1.120177</v>
      </c>
      <c r="L1458">
        <v>367.30689999999998</v>
      </c>
      <c r="M1458">
        <v>0.99576419999999999</v>
      </c>
      <c r="N1458">
        <v>-1.3907920000000001E-2</v>
      </c>
      <c r="O1458">
        <v>-9.0886090000000003E-2</v>
      </c>
      <c r="P1458">
        <v>0.97045519999999996</v>
      </c>
      <c r="Q1458">
        <v>0.1303744</v>
      </c>
      <c r="R1458">
        <v>-0.20302509999999999</v>
      </c>
      <c r="S1458">
        <v>2.8108979999999999</v>
      </c>
      <c r="T1458">
        <v>-9.2356320000000006E-2</v>
      </c>
      <c r="U1458">
        <v>-1.412201</v>
      </c>
      <c r="V1458">
        <v>0.1145031</v>
      </c>
      <c r="W1458">
        <v>0.14364009999999999</v>
      </c>
      <c r="X1458">
        <v>0.98298350000000001</v>
      </c>
      <c r="Y1458">
        <v>0.36562689999999998</v>
      </c>
      <c r="Z1458">
        <v>-6.7557729999999996E-3</v>
      </c>
      <c r="AA1458">
        <v>0.93073700000000004</v>
      </c>
      <c r="AB1458">
        <v>25</v>
      </c>
      <c r="AC1458">
        <v>33.941899999999997</v>
      </c>
      <c r="AD1458">
        <v>-1.120179506448</v>
      </c>
      <c r="AE1458">
        <v>-17.113699999999898</v>
      </c>
      <c r="AF1458">
        <v>13.9456022339242</v>
      </c>
      <c r="AG1458">
        <v>-1.120179506448</v>
      </c>
      <c r="AH1458">
        <v>35.326267035609298</v>
      </c>
      <c r="AI1458">
        <v>91.689420474478695</v>
      </c>
      <c r="AJ1458">
        <v>68.457588370883201</v>
      </c>
      <c r="AK1458">
        <v>37.995786167214298</v>
      </c>
      <c r="AL1458">
        <v>81.741461679408602</v>
      </c>
      <c r="AM1458">
        <v>83.355828775315203</v>
      </c>
      <c r="AN1458">
        <v>0.99999999975493403</v>
      </c>
    </row>
    <row r="1459" spans="1:40" x14ac:dyDescent="0.25">
      <c r="A1459" t="str">
        <f>"20190303170248990"</f>
        <v>20190303170248990</v>
      </c>
      <c r="B1459" t="str">
        <f>"1551603768976922"</f>
        <v>1551603768976922</v>
      </c>
      <c r="C1459" t="s">
        <v>40</v>
      </c>
      <c r="D1459">
        <v>4.633553</v>
      </c>
      <c r="E1459">
        <v>0.60613519999999999</v>
      </c>
      <c r="F1459" t="s">
        <v>52</v>
      </c>
      <c r="G1459">
        <v>-181.5197</v>
      </c>
      <c r="H1459" s="1">
        <v>-2.461928E-6</v>
      </c>
      <c r="I1459">
        <v>350.21230000000003</v>
      </c>
      <c r="J1459">
        <v>-215.10169999999999</v>
      </c>
      <c r="K1459">
        <v>1.120142</v>
      </c>
      <c r="L1459">
        <v>367.28989999999999</v>
      </c>
      <c r="M1459">
        <v>0.99562410000000001</v>
      </c>
      <c r="N1459">
        <v>-1.390771E-2</v>
      </c>
      <c r="O1459">
        <v>-9.240835E-2</v>
      </c>
      <c r="P1459">
        <v>0.96979059999999995</v>
      </c>
      <c r="Q1459">
        <v>0.13078100000000001</v>
      </c>
      <c r="R1459">
        <v>-0.20591899999999999</v>
      </c>
      <c r="S1459">
        <v>2.8064580000000001</v>
      </c>
      <c r="T1459">
        <v>-9.3146679999999996E-2</v>
      </c>
      <c r="U1459">
        <v>-1.421478</v>
      </c>
      <c r="V1459">
        <v>0.11595370000000001</v>
      </c>
      <c r="W1459">
        <v>0.14402889999999999</v>
      </c>
      <c r="X1459">
        <v>0.98275659999999998</v>
      </c>
      <c r="Y1459">
        <v>0.36724180000000001</v>
      </c>
      <c r="Z1459">
        <v>-6.7939709999999898E-3</v>
      </c>
      <c r="AA1459">
        <v>0.9301007</v>
      </c>
      <c r="AB1459">
        <v>25</v>
      </c>
      <c r="AC1459">
        <v>33.581999999999901</v>
      </c>
      <c r="AD1459">
        <v>-1.1201444619280001</v>
      </c>
      <c r="AE1459">
        <v>-17.077599999999901</v>
      </c>
      <c r="AF1459">
        <v>13.8886794685728</v>
      </c>
      <c r="AG1459">
        <v>-1.1201444619280001</v>
      </c>
      <c r="AH1459">
        <v>34.985619970210301</v>
      </c>
      <c r="AI1459">
        <v>91.704514121681299</v>
      </c>
      <c r="AJ1459">
        <v>68.347787703063503</v>
      </c>
      <c r="AK1459">
        <v>37.658249371104901</v>
      </c>
      <c r="AL1459">
        <v>81.718951508730001</v>
      </c>
      <c r="AM1459">
        <v>83.270883826038897</v>
      </c>
      <c r="AN1459">
        <v>1.00000005971122</v>
      </c>
    </row>
    <row r="1460" spans="1:40" x14ac:dyDescent="0.25">
      <c r="A1460" t="str">
        <f>"20190303170249006"</f>
        <v>20190303170249006</v>
      </c>
      <c r="B1460" t="str">
        <f>"1551603768998393"</f>
        <v>1551603768998393</v>
      </c>
      <c r="C1460" t="s">
        <v>40</v>
      </c>
      <c r="D1460">
        <v>4.6507639999999997</v>
      </c>
      <c r="E1460">
        <v>0.6062168</v>
      </c>
      <c r="F1460" t="s">
        <v>52</v>
      </c>
      <c r="G1460">
        <v>-180.96539999999999</v>
      </c>
      <c r="H1460" s="1">
        <v>-2.488709E-6</v>
      </c>
      <c r="I1460">
        <v>349.85550000000001</v>
      </c>
      <c r="J1460">
        <v>-214.93870000000001</v>
      </c>
      <c r="K1460">
        <v>1.1201110000000001</v>
      </c>
      <c r="L1460">
        <v>367.2731</v>
      </c>
      <c r="M1460">
        <v>0.99548329999999996</v>
      </c>
      <c r="N1460">
        <v>-1.390751E-2</v>
      </c>
      <c r="O1460">
        <v>-9.3912460000000003E-2</v>
      </c>
      <c r="P1460">
        <v>0.9690394</v>
      </c>
      <c r="Q1460">
        <v>0.1310296</v>
      </c>
      <c r="R1460">
        <v>-0.20926929999999999</v>
      </c>
      <c r="S1460">
        <v>2.801987</v>
      </c>
      <c r="T1460">
        <v>-9.1944100000000001E-2</v>
      </c>
      <c r="U1460">
        <v>-1.4310609999999999</v>
      </c>
      <c r="V1460">
        <v>0.1178845</v>
      </c>
      <c r="W1460">
        <v>0.14425679999999999</v>
      </c>
      <c r="X1460">
        <v>0.98249339999999996</v>
      </c>
      <c r="Y1460">
        <v>0.36896370000000001</v>
      </c>
      <c r="Z1460">
        <v>-6.7735269999999997E-3</v>
      </c>
      <c r="AA1460">
        <v>0.92941910000000005</v>
      </c>
      <c r="AB1460">
        <v>25</v>
      </c>
      <c r="AC1460">
        <v>33.973300000000002</v>
      </c>
      <c r="AD1460">
        <v>-1.1201134887090001</v>
      </c>
      <c r="AE1460">
        <v>-17.417599999999901</v>
      </c>
      <c r="AF1460">
        <v>14.1376129030299</v>
      </c>
      <c r="AG1460">
        <v>-1.1201134887090001</v>
      </c>
      <c r="AH1460">
        <v>35.4285158011647</v>
      </c>
      <c r="AI1460">
        <v>91.681979302612604</v>
      </c>
      <c r="AJ1460">
        <v>68.245719333847006</v>
      </c>
      <c r="AK1460">
        <v>38.161583886113597</v>
      </c>
      <c r="AL1460">
        <v>81.705755754069301</v>
      </c>
      <c r="AM1460">
        <v>83.158072135123405</v>
      </c>
      <c r="AN1460">
        <v>1.0000000303650201</v>
      </c>
    </row>
    <row r="1461" spans="1:40" x14ac:dyDescent="0.25">
      <c r="A1461" t="str">
        <f>"20190303170249020"</f>
        <v>20190303170249020</v>
      </c>
      <c r="B1461" t="str">
        <f>"1551603769007179"</f>
        <v>1551603769007179</v>
      </c>
      <c r="C1461" t="s">
        <v>40</v>
      </c>
      <c r="D1461">
        <v>4.6482970000000003</v>
      </c>
      <c r="E1461">
        <v>0.60628599999999999</v>
      </c>
      <c r="F1461" t="s">
        <v>52</v>
      </c>
      <c r="G1461">
        <v>-180.77680000000001</v>
      </c>
      <c r="H1461" s="1">
        <v>-2.4739390000000002E-6</v>
      </c>
      <c r="I1461">
        <v>349.6635</v>
      </c>
      <c r="J1461">
        <v>-214.77109999999999</v>
      </c>
      <c r="K1461">
        <v>1.1200749999999999</v>
      </c>
      <c r="L1461">
        <v>367.25560000000002</v>
      </c>
      <c r="M1461">
        <v>0.99533340000000003</v>
      </c>
      <c r="N1461">
        <v>-1.3907320000000001E-2</v>
      </c>
      <c r="O1461">
        <v>-9.5489069999999995E-2</v>
      </c>
      <c r="P1461">
        <v>0.96775469999999997</v>
      </c>
      <c r="Q1461">
        <v>0.13157449999999901</v>
      </c>
      <c r="R1461">
        <v>-0.2148003</v>
      </c>
      <c r="S1461">
        <v>2.7969059999999999</v>
      </c>
      <c r="T1461">
        <v>-9.1706159999999995E-2</v>
      </c>
      <c r="U1461">
        <v>-1.4417420000000001</v>
      </c>
      <c r="V1461">
        <v>0.1219673</v>
      </c>
      <c r="W1461">
        <v>0.14476829999999999</v>
      </c>
      <c r="X1461">
        <v>0.9819196</v>
      </c>
      <c r="Y1461">
        <v>0.3709828</v>
      </c>
      <c r="Z1461">
        <v>-6.7888940000000002E-3</v>
      </c>
      <c r="AA1461">
        <v>0.92861490000000002</v>
      </c>
      <c r="AB1461">
        <v>25</v>
      </c>
      <c r="AC1461">
        <v>33.994299999999903</v>
      </c>
      <c r="AD1461">
        <v>-1.120077473939</v>
      </c>
      <c r="AE1461">
        <v>-17.592099999999999</v>
      </c>
      <c r="AF1461">
        <v>14.2530940859507</v>
      </c>
      <c r="AG1461">
        <v>-1.120077473939</v>
      </c>
      <c r="AH1461">
        <v>35.488558663516798</v>
      </c>
      <c r="AI1461">
        <v>91.6775886942347</v>
      </c>
      <c r="AJ1461">
        <v>68.118369650791394</v>
      </c>
      <c r="AK1461">
        <v>38.260202045787203</v>
      </c>
      <c r="AL1461">
        <v>81.676137743202005</v>
      </c>
      <c r="AM1461">
        <v>82.919379064523696</v>
      </c>
      <c r="AN1461">
        <v>0.99999999190916999</v>
      </c>
    </row>
    <row r="1462" spans="1:40" x14ac:dyDescent="0.25">
      <c r="A1462" t="str">
        <f>"20190303170249036"</f>
        <v>20190303170249036</v>
      </c>
      <c r="B1462" t="str">
        <f>"1551603769026698"</f>
        <v>1551603769026698</v>
      </c>
      <c r="C1462" t="s">
        <v>40</v>
      </c>
      <c r="D1462">
        <v>4.6250339999999897</v>
      </c>
      <c r="E1462">
        <v>0.60643480000000005</v>
      </c>
      <c r="F1462" t="s">
        <v>42</v>
      </c>
      <c r="G1462">
        <v>-180.14510000000001</v>
      </c>
      <c r="H1462" s="1">
        <v>-5.85640599999999E-6</v>
      </c>
      <c r="I1462">
        <v>349.15210000000002</v>
      </c>
      <c r="J1462">
        <v>-214.60489999999999</v>
      </c>
      <c r="K1462">
        <v>1.120044</v>
      </c>
      <c r="L1462">
        <v>367.23790000000002</v>
      </c>
      <c r="M1462">
        <v>0.99517920000000004</v>
      </c>
      <c r="N1462">
        <v>-1.390715E-2</v>
      </c>
      <c r="O1462">
        <v>-9.7084630000000005E-2</v>
      </c>
      <c r="P1462">
        <v>0.96691870000000002</v>
      </c>
      <c r="Q1462">
        <v>0.13163749999999999</v>
      </c>
      <c r="R1462">
        <v>-0.2184952</v>
      </c>
      <c r="S1462">
        <v>2.7886350000000002</v>
      </c>
      <c r="T1462">
        <v>-9.0206620000000001E-2</v>
      </c>
      <c r="U1462">
        <v>-1.4579770000000001</v>
      </c>
      <c r="V1462">
        <v>0.1241603</v>
      </c>
      <c r="W1462">
        <v>0.144808399999999</v>
      </c>
      <c r="X1462">
        <v>0.98163880000000003</v>
      </c>
      <c r="Y1462">
        <v>0.3748707</v>
      </c>
      <c r="Z1462">
        <v>-6.8102809999999996E-3</v>
      </c>
      <c r="AA1462">
        <v>0.92705210000000005</v>
      </c>
      <c r="AB1462">
        <v>25</v>
      </c>
      <c r="AC1462">
        <v>34.459799999999902</v>
      </c>
      <c r="AD1462">
        <v>-1.120049856406</v>
      </c>
      <c r="AE1462">
        <v>-18.085799999999999</v>
      </c>
      <c r="AF1462">
        <v>14.642380603170199</v>
      </c>
      <c r="AG1462">
        <v>-1.120049856406</v>
      </c>
      <c r="AH1462">
        <v>36.023169744796498</v>
      </c>
      <c r="AI1462">
        <v>91.649887198147496</v>
      </c>
      <c r="AJ1462">
        <v>67.879674627228496</v>
      </c>
      <c r="AK1462">
        <v>38.901447015134998</v>
      </c>
      <c r="AL1462">
        <v>81.673815725517898</v>
      </c>
      <c r="AM1462">
        <v>82.791354965339295</v>
      </c>
      <c r="AN1462">
        <v>0.99999999323604505</v>
      </c>
    </row>
    <row r="1463" spans="1:40" x14ac:dyDescent="0.25">
      <c r="A1463" t="str">
        <f>"20190303170249049"</f>
        <v>20190303170249049</v>
      </c>
      <c r="B1463" t="str">
        <f>"1551603769036986"</f>
        <v>1551603769036986</v>
      </c>
      <c r="C1463" t="s">
        <v>40</v>
      </c>
      <c r="D1463">
        <v>4.6338330000000001</v>
      </c>
      <c r="E1463">
        <v>0.60649529999999996</v>
      </c>
      <c r="F1463" t="s">
        <v>42</v>
      </c>
      <c r="G1463">
        <v>-179.95779999999999</v>
      </c>
      <c r="H1463">
        <v>7.5255459999999999E-4</v>
      </c>
      <c r="I1463">
        <v>348.93860000000001</v>
      </c>
      <c r="J1463">
        <v>-214.44970000000001</v>
      </c>
      <c r="K1463">
        <v>1.120012</v>
      </c>
      <c r="L1463">
        <v>367.221</v>
      </c>
      <c r="M1463">
        <v>0.99502809999999997</v>
      </c>
      <c r="N1463">
        <v>-1.39072E-2</v>
      </c>
      <c r="O1463">
        <v>-9.8619009999999993E-2</v>
      </c>
      <c r="P1463">
        <v>0.96603090000000003</v>
      </c>
      <c r="Q1463">
        <v>0.13195519999999999</v>
      </c>
      <c r="R1463">
        <v>-0.22219839999999999</v>
      </c>
      <c r="S1463">
        <v>2.7827760000000001</v>
      </c>
      <c r="T1463">
        <v>-8.9898710000000007E-2</v>
      </c>
      <c r="U1463">
        <v>-1.469757</v>
      </c>
      <c r="V1463">
        <v>0.12642880000000001</v>
      </c>
      <c r="W1463">
        <v>0.145102799999999</v>
      </c>
      <c r="X1463">
        <v>0.98130569999999895</v>
      </c>
      <c r="Y1463">
        <v>0.3773145</v>
      </c>
      <c r="Z1463">
        <v>-6.8347269999999996E-3</v>
      </c>
      <c r="AA1463">
        <v>0.92605999999999999</v>
      </c>
      <c r="AB1463">
        <v>25</v>
      </c>
      <c r="AC1463">
        <v>34.491900000000001</v>
      </c>
      <c r="AD1463">
        <v>-1.1192594454</v>
      </c>
      <c r="AE1463">
        <v>-18.282399999999999</v>
      </c>
      <c r="AF1463">
        <v>14.779225729427701</v>
      </c>
      <c r="AG1463">
        <v>-1.1192594454</v>
      </c>
      <c r="AH1463">
        <v>36.097221566702302</v>
      </c>
      <c r="AI1463">
        <v>91.643643227777503</v>
      </c>
      <c r="AJ1463">
        <v>67.734416315171103</v>
      </c>
      <c r="AK1463">
        <v>39.021630664326302</v>
      </c>
      <c r="AL1463">
        <v>81.656767598788406</v>
      </c>
      <c r="AM1463">
        <v>82.658606925436402</v>
      </c>
      <c r="AN1463">
        <v>0.99999997044488398</v>
      </c>
    </row>
    <row r="1464" spans="1:40" x14ac:dyDescent="0.25">
      <c r="A1464" t="str">
        <f>"20190303170249062"</f>
        <v>20190303170249062</v>
      </c>
      <c r="B1464" t="str">
        <f>"1551603769046725"</f>
        <v>1551603769046725</v>
      </c>
      <c r="C1464" t="s">
        <v>40</v>
      </c>
      <c r="D1464">
        <v>4.6215089999999996</v>
      </c>
      <c r="E1464">
        <v>0.60652019999999995</v>
      </c>
      <c r="F1464" t="s">
        <v>42</v>
      </c>
      <c r="G1464">
        <v>-179.95779999999999</v>
      </c>
      <c r="H1464">
        <v>1.5358520000000001E-2</v>
      </c>
      <c r="I1464">
        <v>348.82810000000001</v>
      </c>
      <c r="J1464">
        <v>-214.30770000000001</v>
      </c>
      <c r="K1464">
        <v>1.119985</v>
      </c>
      <c r="L1464">
        <v>367.2054</v>
      </c>
      <c r="M1464">
        <v>0.99488589999999999</v>
      </c>
      <c r="N1464">
        <v>-1.3907279999999999E-2</v>
      </c>
      <c r="O1464">
        <v>-0.1000442</v>
      </c>
      <c r="P1464">
        <v>0.96482809999999997</v>
      </c>
      <c r="Q1464">
        <v>0.13152049999999901</v>
      </c>
      <c r="R1464">
        <v>-0.22761670000000001</v>
      </c>
      <c r="S1464">
        <v>2.7770389999999998</v>
      </c>
      <c r="T1464">
        <v>-8.8938589999999998E-2</v>
      </c>
      <c r="U1464">
        <v>-1.4808650000000001</v>
      </c>
      <c r="V1464">
        <v>0.13053969999999901</v>
      </c>
      <c r="W1464">
        <v>0.14463570000000001</v>
      </c>
      <c r="X1464">
        <v>0.98083629999999999</v>
      </c>
      <c r="Y1464">
        <v>0.37966759999999999</v>
      </c>
      <c r="Z1464">
        <v>-6.8390169999999898E-3</v>
      </c>
      <c r="AA1464">
        <v>0.92509770000000002</v>
      </c>
      <c r="AB1464">
        <v>25</v>
      </c>
      <c r="AC1464">
        <v>34.349899999999998</v>
      </c>
      <c r="AD1464">
        <v>-1.1046264800000001</v>
      </c>
      <c r="AE1464">
        <v>-18.377299999999899</v>
      </c>
      <c r="AF1464">
        <v>14.836314266267101</v>
      </c>
      <c r="AG1464">
        <v>-1.1046264800000001</v>
      </c>
      <c r="AH1464">
        <v>35.9873186689601</v>
      </c>
      <c r="AI1464">
        <v>91.625496675988401</v>
      </c>
      <c r="AJ1464">
        <v>67.595356885985296</v>
      </c>
      <c r="AK1464">
        <v>38.941283050883698</v>
      </c>
      <c r="AL1464">
        <v>81.683815818127002</v>
      </c>
      <c r="AM1464">
        <v>82.419044215013301</v>
      </c>
      <c r="AN1464">
        <v>0.99999997319413403</v>
      </c>
    </row>
    <row r="1465" spans="1:40" x14ac:dyDescent="0.25">
      <c r="A1465" t="str">
        <f>"20190303170249077"</f>
        <v>20190303170249077</v>
      </c>
      <c r="B1465" t="str">
        <f>"1551603769067223"</f>
        <v>1551603769067223</v>
      </c>
      <c r="C1465" t="s">
        <v>40</v>
      </c>
      <c r="D1465">
        <v>4.6113269999999904</v>
      </c>
      <c r="E1465">
        <v>0.6066028</v>
      </c>
      <c r="F1465" t="s">
        <v>42</v>
      </c>
      <c r="G1465">
        <v>-179.95779999999999</v>
      </c>
      <c r="H1465">
        <v>5.1918509999999995E-4</v>
      </c>
      <c r="I1465">
        <v>348.63369999999998</v>
      </c>
      <c r="J1465">
        <v>-214.14279999999999</v>
      </c>
      <c r="K1465">
        <v>1.1199509999999999</v>
      </c>
      <c r="L1465">
        <v>367.18700000000001</v>
      </c>
      <c r="M1465">
        <v>0.99471529999999997</v>
      </c>
      <c r="N1465">
        <v>-1.390743E-2</v>
      </c>
      <c r="O1465">
        <v>-0.1017256</v>
      </c>
      <c r="P1465">
        <v>0.96391020000000005</v>
      </c>
      <c r="Q1465">
        <v>0.1313685</v>
      </c>
      <c r="R1465">
        <v>-0.2315593</v>
      </c>
      <c r="S1465">
        <v>2.7685089999999999</v>
      </c>
      <c r="T1465">
        <v>-9.0225929999999996E-2</v>
      </c>
      <c r="U1465">
        <v>-1.496826</v>
      </c>
      <c r="V1465">
        <v>0.13290479999999999</v>
      </c>
      <c r="W1465">
        <v>0.1444597</v>
      </c>
      <c r="X1465">
        <v>0.98054459999999999</v>
      </c>
      <c r="Y1465">
        <v>0.383413</v>
      </c>
      <c r="Z1465">
        <v>-6.9413169999999998E-3</v>
      </c>
      <c r="AA1465">
        <v>0.92355089999999995</v>
      </c>
      <c r="AB1465">
        <v>25</v>
      </c>
      <c r="AC1465">
        <v>34.185000000000002</v>
      </c>
      <c r="AD1465">
        <v>-1.1194318149</v>
      </c>
      <c r="AE1465">
        <v>-18.553299999999901</v>
      </c>
      <c r="AF1465">
        <v>14.966812670853001</v>
      </c>
      <c r="AG1465">
        <v>-1.1194318149</v>
      </c>
      <c r="AH1465">
        <v>35.865450502633699</v>
      </c>
      <c r="AI1465">
        <v>91.649922022938796</v>
      </c>
      <c r="AJ1465">
        <v>67.349004693060706</v>
      </c>
      <c r="AK1465">
        <v>38.879160856035597</v>
      </c>
      <c r="AL1465">
        <v>81.694007142436604</v>
      </c>
      <c r="AM1465">
        <v>82.281066055260794</v>
      </c>
      <c r="AN1465">
        <v>1.0000000016881401</v>
      </c>
    </row>
    <row r="1466" spans="1:40" x14ac:dyDescent="0.25">
      <c r="A1466" t="str">
        <f>"20190303170249089"</f>
        <v>20190303170249089</v>
      </c>
      <c r="B1466" t="str">
        <f>"1551603769076982"</f>
        <v>1551603769076982</v>
      </c>
      <c r="C1466" t="s">
        <v>40</v>
      </c>
      <c r="D1466">
        <v>4.6377730000000001</v>
      </c>
      <c r="E1466">
        <v>0.60662050000000001</v>
      </c>
      <c r="F1466" t="s">
        <v>42</v>
      </c>
      <c r="G1466">
        <v>-179.95779999999999</v>
      </c>
      <c r="H1466">
        <v>3.2878339999999999E-3</v>
      </c>
      <c r="I1466">
        <v>348.51299999999998</v>
      </c>
      <c r="J1466">
        <v>-214.0052</v>
      </c>
      <c r="K1466">
        <v>1.119926</v>
      </c>
      <c r="L1466">
        <v>367.17129999999997</v>
      </c>
      <c r="M1466">
        <v>0.99456710000000004</v>
      </c>
      <c r="N1466">
        <v>-1.3907589999999999E-2</v>
      </c>
      <c r="O1466">
        <v>-0.1031649</v>
      </c>
      <c r="P1466">
        <v>0.96302969999999999</v>
      </c>
      <c r="Q1466">
        <v>0.13133739999999999</v>
      </c>
      <c r="R1466">
        <v>-0.2352119</v>
      </c>
      <c r="S1466">
        <v>2.7621310000000001</v>
      </c>
      <c r="T1466">
        <v>-9.0225819999999998E-2</v>
      </c>
      <c r="U1466">
        <v>-1.50885</v>
      </c>
      <c r="V1466">
        <v>0.13521649999999999</v>
      </c>
      <c r="W1466">
        <v>0.14440539999999999</v>
      </c>
      <c r="X1466">
        <v>0.98023649999999996</v>
      </c>
      <c r="Y1466">
        <v>0.3860671</v>
      </c>
      <c r="Z1466">
        <v>-6.9820689999999996E-3</v>
      </c>
      <c r="AA1466">
        <v>0.92244429999999999</v>
      </c>
      <c r="AB1466">
        <v>25</v>
      </c>
      <c r="AC1466">
        <v>34.047400000000003</v>
      </c>
      <c r="AD1466">
        <v>-1.116638166</v>
      </c>
      <c r="AE1466">
        <v>-18.658299999999901</v>
      </c>
      <c r="AF1466">
        <v>15.033453244851</v>
      </c>
      <c r="AG1466">
        <v>-1.116638166</v>
      </c>
      <c r="AH1466">
        <v>35.7611831240811</v>
      </c>
      <c r="AI1466">
        <v>91.648793042017502</v>
      </c>
      <c r="AJ1466">
        <v>67.198861639559993</v>
      </c>
      <c r="AK1466">
        <v>38.8086822205155</v>
      </c>
      <c r="AL1466">
        <v>81.697151328985001</v>
      </c>
      <c r="AM1466">
        <v>82.146029040334895</v>
      </c>
      <c r="AN1466">
        <v>1.0000000086768299</v>
      </c>
    </row>
    <row r="1467" spans="1:40" x14ac:dyDescent="0.25">
      <c r="A1467" t="str">
        <f>"20190303170249102"</f>
        <v>20190303170249102</v>
      </c>
      <c r="B1467" t="str">
        <f>"1551603769097477"</f>
        <v>1551603769097477</v>
      </c>
      <c r="C1467" t="s">
        <v>40</v>
      </c>
      <c r="D1467">
        <v>4.643872</v>
      </c>
      <c r="E1467">
        <v>0.60660000000000003</v>
      </c>
      <c r="F1467" t="s">
        <v>42</v>
      </c>
      <c r="G1467">
        <v>-179.95779999999999</v>
      </c>
      <c r="H1467">
        <v>7.3606749999999997E-3</v>
      </c>
      <c r="I1467">
        <v>348.4042</v>
      </c>
      <c r="J1467">
        <v>-213.87049999999999</v>
      </c>
      <c r="K1467">
        <v>1.119904</v>
      </c>
      <c r="L1467">
        <v>367.1558</v>
      </c>
      <c r="M1467">
        <v>0.99441729999999995</v>
      </c>
      <c r="N1467">
        <v>-1.39078E-2</v>
      </c>
      <c r="O1467">
        <v>-0.10459830000000001</v>
      </c>
      <c r="P1467">
        <v>0.96203830000000001</v>
      </c>
      <c r="Q1467">
        <v>0.13172600000000001</v>
      </c>
      <c r="R1467">
        <v>-0.23902019999999999</v>
      </c>
      <c r="S1467">
        <v>2.7563629999999999</v>
      </c>
      <c r="T1467">
        <v>-9.0069410000000003E-2</v>
      </c>
      <c r="U1467">
        <v>-1.5193179999999999</v>
      </c>
      <c r="V1467">
        <v>0.13770379999999999</v>
      </c>
      <c r="W1467">
        <v>0.1447687</v>
      </c>
      <c r="X1467">
        <v>0.97983659999999995</v>
      </c>
      <c r="Y1467">
        <v>0.38823849999999999</v>
      </c>
      <c r="Z1467">
        <v>-7.0068209999999999E-3</v>
      </c>
      <c r="AA1467">
        <v>0.92153229999999997</v>
      </c>
      <c r="AB1467">
        <v>25</v>
      </c>
      <c r="AC1467">
        <v>33.912700000000001</v>
      </c>
      <c r="AD1467">
        <v>-1.1125433250000001</v>
      </c>
      <c r="AE1467">
        <v>-18.7516</v>
      </c>
      <c r="AF1467">
        <v>15.0887285476807</v>
      </c>
      <c r="AG1467">
        <v>-1.1125433250000001</v>
      </c>
      <c r="AH1467">
        <v>35.658821441708703</v>
      </c>
      <c r="AI1467">
        <v>91.645838517032701</v>
      </c>
      <c r="AJ1467">
        <v>67.064759533207393</v>
      </c>
      <c r="AK1467">
        <v>38.735759040546299</v>
      </c>
      <c r="AL1467">
        <v>81.676114966148504</v>
      </c>
      <c r="AM1467">
        <v>82.000186570803805</v>
      </c>
      <c r="AN1467">
        <v>1.0000000378668401</v>
      </c>
    </row>
    <row r="1468" spans="1:40" x14ac:dyDescent="0.25">
      <c r="A1468" t="str">
        <f>"20190303170249113"</f>
        <v>20190303170249113</v>
      </c>
      <c r="B1468" t="str">
        <f>"1551603769107238"</f>
        <v>1551603769107238</v>
      </c>
      <c r="C1468" t="s">
        <v>40</v>
      </c>
      <c r="D1468">
        <v>4.6669669999999996</v>
      </c>
      <c r="E1468">
        <v>0.60659819999999998</v>
      </c>
      <c r="F1468" t="s">
        <v>42</v>
      </c>
      <c r="G1468">
        <v>-179.95779999999999</v>
      </c>
      <c r="H1468">
        <v>2.2612770000000001E-2</v>
      </c>
      <c r="I1468">
        <v>348.28210000000001</v>
      </c>
      <c r="J1468">
        <v>-213.7354</v>
      </c>
      <c r="K1468">
        <v>1.1198760000000001</v>
      </c>
      <c r="L1468">
        <v>367.14</v>
      </c>
      <c r="M1468">
        <v>0.99426320000000001</v>
      </c>
      <c r="N1468">
        <v>-1.390803E-2</v>
      </c>
      <c r="O1468">
        <v>-0.1060538</v>
      </c>
      <c r="P1468">
        <v>0.96109160000000005</v>
      </c>
      <c r="Q1468">
        <v>0.1319246</v>
      </c>
      <c r="R1468">
        <v>-0.24269170000000001</v>
      </c>
      <c r="S1468">
        <v>2.7502900000000001</v>
      </c>
      <c r="T1468">
        <v>-8.8989380000000007E-2</v>
      </c>
      <c r="U1468">
        <v>-1.53064</v>
      </c>
      <c r="V1468">
        <v>0.14002870000000001</v>
      </c>
      <c r="W1468">
        <v>0.14494279999999901</v>
      </c>
      <c r="X1468">
        <v>0.9794813</v>
      </c>
      <c r="Y1468">
        <v>0.39065230000000001</v>
      </c>
      <c r="Z1468">
        <v>-7.0086920000000004E-3</v>
      </c>
      <c r="AA1468">
        <v>0.92051170000000004</v>
      </c>
      <c r="AB1468">
        <v>25</v>
      </c>
      <c r="AC1468">
        <v>33.7776</v>
      </c>
      <c r="AD1468">
        <v>-1.09726323</v>
      </c>
      <c r="AE1468">
        <v>-18.857899999999901</v>
      </c>
      <c r="AF1468">
        <v>15.1567454146044</v>
      </c>
      <c r="AG1468">
        <v>-1.09726323</v>
      </c>
      <c r="AH1468">
        <v>35.558608692671299</v>
      </c>
      <c r="AI1468">
        <v>91.626001606891407</v>
      </c>
      <c r="AJ1468">
        <v>66.914024839952205</v>
      </c>
      <c r="AK1468">
        <v>38.669698347899804</v>
      </c>
      <c r="AL1468">
        <v>81.666033411616098</v>
      </c>
      <c r="AM1468">
        <v>81.864004607173101</v>
      </c>
      <c r="AN1468">
        <v>1.0000000345725999</v>
      </c>
    </row>
    <row r="1469" spans="1:40" x14ac:dyDescent="0.25">
      <c r="A1469" t="str">
        <f>"20190303170249124"</f>
        <v>20190303170249124</v>
      </c>
      <c r="B1469" t="str">
        <f>"1551603769116998"</f>
        <v>1551603769116998</v>
      </c>
      <c r="C1469" t="s">
        <v>40</v>
      </c>
      <c r="D1469">
        <v>4.6730999999999998</v>
      </c>
      <c r="E1469">
        <v>0.60657099999999997</v>
      </c>
      <c r="F1469" t="s">
        <v>42</v>
      </c>
      <c r="G1469">
        <v>-179.95779999999999</v>
      </c>
      <c r="H1469">
        <v>3.091584E-2</v>
      </c>
      <c r="I1469">
        <v>348.17410000000001</v>
      </c>
      <c r="J1469">
        <v>-213.6164</v>
      </c>
      <c r="K1469">
        <v>1.11985</v>
      </c>
      <c r="L1469">
        <v>367.1259</v>
      </c>
      <c r="M1469">
        <v>0.9941217</v>
      </c>
      <c r="N1469">
        <v>-1.3908419999999999E-2</v>
      </c>
      <c r="O1469">
        <v>-0.1073717</v>
      </c>
      <c r="P1469">
        <v>0.96011599999999997</v>
      </c>
      <c r="Q1469">
        <v>0.13210079999999999</v>
      </c>
      <c r="R1469">
        <v>-0.2464286</v>
      </c>
      <c r="S1469">
        <v>2.7444920000000002</v>
      </c>
      <c r="T1469">
        <v>-8.8479999999999906E-2</v>
      </c>
      <c r="U1469">
        <v>-1.5410159999999999</v>
      </c>
      <c r="V1469">
        <v>0.1425582</v>
      </c>
      <c r="W1469">
        <v>0.14509279999999999</v>
      </c>
      <c r="X1469">
        <v>0.97909409999999997</v>
      </c>
      <c r="Y1469">
        <v>0.39290760000000002</v>
      </c>
      <c r="Z1469">
        <v>-7.0266620000000004E-3</v>
      </c>
      <c r="AA1469">
        <v>0.91955109999999995</v>
      </c>
      <c r="AB1469">
        <v>25</v>
      </c>
      <c r="AC1469">
        <v>33.6586</v>
      </c>
      <c r="AD1469">
        <v>-1.08893416</v>
      </c>
      <c r="AE1469">
        <v>-18.951799999999899</v>
      </c>
      <c r="AF1469">
        <v>15.2157945866131</v>
      </c>
      <c r="AG1469">
        <v>-1.08893416</v>
      </c>
      <c r="AH1469">
        <v>35.470874547643398</v>
      </c>
      <c r="AI1469">
        <v>91.616066274620906</v>
      </c>
      <c r="AJ1469">
        <v>66.782319218024099</v>
      </c>
      <c r="AK1469">
        <v>38.6120334051637</v>
      </c>
      <c r="AL1469">
        <v>81.657347007375506</v>
      </c>
      <c r="AM1469">
        <v>81.715825794449401</v>
      </c>
      <c r="AN1469">
        <v>1.0000000088269401</v>
      </c>
    </row>
    <row r="1470" spans="1:40" x14ac:dyDescent="0.25">
      <c r="A1470" t="str">
        <f>"20190303170249136"</f>
        <v>20190303170249136</v>
      </c>
      <c r="B1470" t="str">
        <f>"1551603769126757"</f>
        <v>1551603769126757</v>
      </c>
      <c r="C1470" t="s">
        <v>40</v>
      </c>
      <c r="D1470">
        <v>4.8281519999999896</v>
      </c>
      <c r="E1470">
        <v>0.60657099999999997</v>
      </c>
      <c r="F1470" t="s">
        <v>42</v>
      </c>
      <c r="G1470">
        <v>-179.95779999999999</v>
      </c>
      <c r="H1470">
        <v>3.5315199999999998E-2</v>
      </c>
      <c r="I1470">
        <v>348.06139999999999</v>
      </c>
      <c r="J1470">
        <v>-213.48249999999999</v>
      </c>
      <c r="K1470">
        <v>1.119815</v>
      </c>
      <c r="L1470">
        <v>367.10980000000001</v>
      </c>
      <c r="M1470">
        <v>0.99395900000000004</v>
      </c>
      <c r="N1470">
        <v>-1.390885E-2</v>
      </c>
      <c r="O1470">
        <v>-0.1088678</v>
      </c>
      <c r="P1470">
        <v>0.9590938</v>
      </c>
      <c r="Q1470">
        <v>0.13249</v>
      </c>
      <c r="R1470">
        <v>-0.2501718</v>
      </c>
      <c r="S1470">
        <v>2.738632</v>
      </c>
      <c r="T1470">
        <v>-8.8243009999999997E-2</v>
      </c>
      <c r="U1470">
        <v>-1.5511779999999999</v>
      </c>
      <c r="V1470">
        <v>0.144927</v>
      </c>
      <c r="W1470">
        <v>0.14545469999999999</v>
      </c>
      <c r="X1470">
        <v>0.97869249999999997</v>
      </c>
      <c r="Y1470">
        <v>0.3949493</v>
      </c>
      <c r="Z1470">
        <v>-7.045389E-3</v>
      </c>
      <c r="AA1470">
        <v>0.91867589999999999</v>
      </c>
      <c r="AB1470">
        <v>25</v>
      </c>
      <c r="AC1470">
        <v>33.524700000000003</v>
      </c>
      <c r="AD1470">
        <v>-1.0844997999999999</v>
      </c>
      <c r="AE1470">
        <v>-19.048400000000001</v>
      </c>
      <c r="AF1470">
        <v>15.272963539877001</v>
      </c>
      <c r="AG1470">
        <v>-1.0844997999999999</v>
      </c>
      <c r="AH1470">
        <v>35.371374670167597</v>
      </c>
      <c r="AI1470">
        <v>91.612361166661898</v>
      </c>
      <c r="AJ1470">
        <v>66.645853876531902</v>
      </c>
      <c r="AK1470">
        <v>38.543140779702703</v>
      </c>
      <c r="AL1470">
        <v>81.636388901459895</v>
      </c>
      <c r="AM1470">
        <v>81.576724892536205</v>
      </c>
      <c r="AN1470">
        <v>0.99999995731866897</v>
      </c>
    </row>
    <row r="1471" spans="1:40" x14ac:dyDescent="0.25">
      <c r="A1471" t="str">
        <f>"20190303170249150"</f>
        <v>20190303170249150</v>
      </c>
      <c r="B1471" t="str">
        <f>"1551603769137493"</f>
        <v>1551603769137493</v>
      </c>
      <c r="C1471" t="s">
        <v>40</v>
      </c>
      <c r="D1471">
        <v>4.6413320000000002</v>
      </c>
      <c r="E1471">
        <v>0.60800669999999901</v>
      </c>
      <c r="F1471" t="s">
        <v>42</v>
      </c>
      <c r="G1471">
        <v>-179.95779999999999</v>
      </c>
      <c r="H1471">
        <v>4.9690209999999999E-2</v>
      </c>
      <c r="I1471">
        <v>347.94670000000002</v>
      </c>
      <c r="J1471">
        <v>-213.3314</v>
      </c>
      <c r="K1471">
        <v>1.1197779999999999</v>
      </c>
      <c r="L1471">
        <v>367.09129999999999</v>
      </c>
      <c r="M1471">
        <v>0.99376730000000002</v>
      </c>
      <c r="N1471">
        <v>-1.390952E-2</v>
      </c>
      <c r="O1471">
        <v>-0.1106052</v>
      </c>
      <c r="P1471">
        <v>0.95750999999999997</v>
      </c>
      <c r="Q1471">
        <v>0.1325231</v>
      </c>
      <c r="R1471">
        <v>-0.25614949999999997</v>
      </c>
      <c r="S1471">
        <v>2.732605</v>
      </c>
      <c r="T1471">
        <v>-8.7226029999999996E-2</v>
      </c>
      <c r="U1471">
        <v>-1.5619809999999901</v>
      </c>
      <c r="V1471">
        <v>0.14934320000000001</v>
      </c>
      <c r="W1471">
        <v>0.14544480000000001</v>
      </c>
      <c r="X1471">
        <v>0.97802979999999995</v>
      </c>
      <c r="Y1471">
        <v>0.39695570000000002</v>
      </c>
      <c r="Z1471">
        <v>-7.0360809999999996E-3</v>
      </c>
      <c r="AA1471">
        <v>0.91781080000000004</v>
      </c>
      <c r="AB1471">
        <v>25</v>
      </c>
      <c r="AC1471">
        <v>33.373600000000003</v>
      </c>
      <c r="AD1471">
        <v>-1.0700877900000001</v>
      </c>
      <c r="AE1471">
        <v>-19.144599999999901</v>
      </c>
      <c r="AF1471">
        <v>15.323610529191599</v>
      </c>
      <c r="AG1471">
        <v>-1.0700877900000001</v>
      </c>
      <c r="AH1471">
        <v>35.259216175408497</v>
      </c>
      <c r="AI1471">
        <v>91.594369507183998</v>
      </c>
      <c r="AJ1471">
        <v>66.510295493617704</v>
      </c>
      <c r="AK1471">
        <v>38.459985086227597</v>
      </c>
      <c r="AL1471">
        <v>81.636962042539395</v>
      </c>
      <c r="AM1471">
        <v>81.318111824515697</v>
      </c>
      <c r="AN1471">
        <v>0.99999993546065702</v>
      </c>
    </row>
    <row r="1472" spans="1:40" x14ac:dyDescent="0.25">
      <c r="A1472" t="str">
        <f>"20190303170249161"</f>
        <v>20190303170249161</v>
      </c>
      <c r="B1472" t="str">
        <f>"1551603769157013"</f>
        <v>1551603769157013</v>
      </c>
      <c r="C1472" t="s">
        <v>40</v>
      </c>
      <c r="D1472">
        <v>4.6726449999999904</v>
      </c>
      <c r="E1472">
        <v>0.6069966</v>
      </c>
      <c r="F1472" t="s">
        <v>52</v>
      </c>
      <c r="G1472">
        <v>-186.1765</v>
      </c>
      <c r="H1472" s="1">
        <v>-1.5717370000000001E-6</v>
      </c>
      <c r="I1472">
        <v>351.24369999999999</v>
      </c>
      <c r="J1472">
        <v>-213.2029</v>
      </c>
      <c r="K1472">
        <v>1.119748</v>
      </c>
      <c r="L1472">
        <v>367.07530000000003</v>
      </c>
      <c r="M1472">
        <v>0.99359830000000005</v>
      </c>
      <c r="N1472">
        <v>-1.3910260000000001E-2</v>
      </c>
      <c r="O1472">
        <v>-0.11211119999999999</v>
      </c>
      <c r="P1472">
        <v>0.95655829999999997</v>
      </c>
      <c r="Q1472">
        <v>0.13261719999999999</v>
      </c>
      <c r="R1472">
        <v>-0.25963239999999999</v>
      </c>
      <c r="S1472">
        <v>2.7234799999999999</v>
      </c>
      <c r="T1472">
        <v>-0.1123073</v>
      </c>
      <c r="U1472">
        <v>-1.5894170000000001</v>
      </c>
      <c r="V1472">
        <v>0.15143799999999999</v>
      </c>
      <c r="W1472">
        <v>0.14551229999999901</v>
      </c>
      <c r="X1472">
        <v>0.9776977</v>
      </c>
      <c r="Y1472">
        <v>0.40369369999999999</v>
      </c>
      <c r="Z1472">
        <v>-7.9422130000000001E-3</v>
      </c>
      <c r="AA1472">
        <v>0.91485970000000005</v>
      </c>
      <c r="AB1472">
        <v>25</v>
      </c>
      <c r="AC1472">
        <v>27.026399999999899</v>
      </c>
      <c r="AD1472">
        <v>-1.1197495717370001</v>
      </c>
      <c r="AE1472">
        <v>-15.8316</v>
      </c>
      <c r="AF1472">
        <v>12.685305325438099</v>
      </c>
      <c r="AG1472">
        <v>-1.1197495717370001</v>
      </c>
      <c r="AH1472">
        <v>28.594510055173799</v>
      </c>
      <c r="AI1472">
        <v>92.050046736059699</v>
      </c>
      <c r="AJ1472">
        <v>66.076619039490794</v>
      </c>
      <c r="AK1472">
        <v>31.3020257427284</v>
      </c>
      <c r="AL1472">
        <v>81.633053912924396</v>
      </c>
      <c r="AM1472">
        <v>81.195284249070994</v>
      </c>
      <c r="AN1472">
        <v>1.0000000449402799</v>
      </c>
    </row>
    <row r="1473" spans="1:40" x14ac:dyDescent="0.25">
      <c r="A1473" t="str">
        <f>"20190303170249174"</f>
        <v>20190303170249174</v>
      </c>
      <c r="B1473" t="str">
        <f>"1551603769166774"</f>
        <v>1551603769166774</v>
      </c>
      <c r="C1473" t="s">
        <v>40</v>
      </c>
      <c r="D1473">
        <v>4.6784420000000004</v>
      </c>
      <c r="E1473">
        <v>0.60651429999999995</v>
      </c>
      <c r="F1473" t="s">
        <v>52</v>
      </c>
      <c r="G1473">
        <v>-184.18119999999999</v>
      </c>
      <c r="H1473" s="1">
        <v>-1.7112499999999999E-6</v>
      </c>
      <c r="I1473">
        <v>350.08659999999998</v>
      </c>
      <c r="J1473">
        <v>-213.0668</v>
      </c>
      <c r="K1473">
        <v>1.1197109999999999</v>
      </c>
      <c r="L1473">
        <v>367.05829999999997</v>
      </c>
      <c r="M1473">
        <v>0.99341469999999998</v>
      </c>
      <c r="N1473">
        <v>-1.3911120000000001E-2</v>
      </c>
      <c r="O1473">
        <v>-0.1137268</v>
      </c>
      <c r="P1473">
        <v>0.95557729999999996</v>
      </c>
      <c r="Q1473">
        <v>0.1325279</v>
      </c>
      <c r="R1473">
        <v>-0.26326460000000002</v>
      </c>
      <c r="S1473">
        <v>2.718842</v>
      </c>
      <c r="T1473">
        <v>-0.1049016</v>
      </c>
      <c r="U1473">
        <v>-1.591553</v>
      </c>
      <c r="V1473">
        <v>0.15357799999999999</v>
      </c>
      <c r="W1473">
        <v>0.14539530000000001</v>
      </c>
      <c r="X1473">
        <v>0.97738119999999995</v>
      </c>
      <c r="Y1473">
        <v>0.40345429999999999</v>
      </c>
      <c r="Z1473">
        <v>-7.67731199999999E-3</v>
      </c>
      <c r="AA1473">
        <v>0.91496759999999999</v>
      </c>
      <c r="AB1473">
        <v>25</v>
      </c>
      <c r="AC1473">
        <v>28.8856</v>
      </c>
      <c r="AD1473">
        <v>-1.11971271125</v>
      </c>
      <c r="AE1473">
        <v>-16.971699999999998</v>
      </c>
      <c r="AF1473">
        <v>13.5610347361616</v>
      </c>
      <c r="AG1473">
        <v>-1.11971271125</v>
      </c>
      <c r="AH1473">
        <v>30.594305142801101</v>
      </c>
      <c r="AI1473">
        <v>91.9163510871482</v>
      </c>
      <c r="AJ1473">
        <v>66.0945138795595</v>
      </c>
      <c r="AK1473">
        <v>33.483830826862402</v>
      </c>
      <c r="AL1473">
        <v>81.6398292223016</v>
      </c>
      <c r="AM1473">
        <v>81.070009124188999</v>
      </c>
      <c r="AN1473">
        <v>1.00000000272976</v>
      </c>
    </row>
    <row r="1474" spans="1:40" x14ac:dyDescent="0.25">
      <c r="A1474" t="str">
        <f>"20190303170249188"</f>
        <v>20190303170249188</v>
      </c>
      <c r="B1474" t="str">
        <f>"1551603769177509"</f>
        <v>1551603769177509</v>
      </c>
      <c r="C1474" t="s">
        <v>40</v>
      </c>
      <c r="D1474">
        <v>4.6729459999999996</v>
      </c>
      <c r="E1474">
        <v>0.60643669999999905</v>
      </c>
      <c r="F1474" t="s">
        <v>52</v>
      </c>
      <c r="G1474">
        <v>-185.05269999999999</v>
      </c>
      <c r="H1474" s="1">
        <v>-1.6416389999999999E-6</v>
      </c>
      <c r="I1474">
        <v>350.56639999999999</v>
      </c>
      <c r="J1474">
        <v>-212.91640000000001</v>
      </c>
      <c r="K1474">
        <v>1.1196649999999999</v>
      </c>
      <c r="L1474">
        <v>367.03899999999999</v>
      </c>
      <c r="M1474">
        <v>0.99320209999999998</v>
      </c>
      <c r="N1474">
        <v>-1.3912320000000001E-2</v>
      </c>
      <c r="O1474">
        <v>-0.11556959999999999</v>
      </c>
      <c r="P1474">
        <v>0.95455350000000005</v>
      </c>
      <c r="Q1474">
        <v>0.13242789999999999</v>
      </c>
      <c r="R1474">
        <v>-0.26700309999999999</v>
      </c>
      <c r="S1474">
        <v>2.7142789999999999</v>
      </c>
      <c r="T1474">
        <v>-0.1084889</v>
      </c>
      <c r="U1474">
        <v>-1.5979000000000001</v>
      </c>
      <c r="V1474">
        <v>0.15560769999999999</v>
      </c>
      <c r="W1474">
        <v>0.14526600000000001</v>
      </c>
      <c r="X1474">
        <v>0.97707929999999998</v>
      </c>
      <c r="Y1474">
        <v>0.40400150000000001</v>
      </c>
      <c r="Z1474">
        <v>-7.762283E-3</v>
      </c>
      <c r="AA1474">
        <v>0.91472540000000002</v>
      </c>
      <c r="AB1474">
        <v>25</v>
      </c>
      <c r="AC1474">
        <v>27.863700000000001</v>
      </c>
      <c r="AD1474">
        <v>-1.119666641639</v>
      </c>
      <c r="AE1474">
        <v>-16.4726</v>
      </c>
      <c r="AF1474">
        <v>13.125988399649801</v>
      </c>
      <c r="AG1474">
        <v>-1.119666641639</v>
      </c>
      <c r="AH1474">
        <v>29.5455232340721</v>
      </c>
      <c r="AI1474">
        <v>91.983499055714205</v>
      </c>
      <c r="AJ1474">
        <v>66.046183718952307</v>
      </c>
      <c r="AK1474">
        <v>32.349392081324098</v>
      </c>
      <c r="AL1474">
        <v>81.647316727786801</v>
      </c>
      <c r="AM1474">
        <v>80.951179883825304</v>
      </c>
      <c r="AN1474">
        <v>0.99999996277188896</v>
      </c>
    </row>
    <row r="1475" spans="1:40" x14ac:dyDescent="0.25">
      <c r="A1475" t="str">
        <f>"20190303170249201"</f>
        <v>20190303170249201</v>
      </c>
      <c r="B1475" t="str">
        <f>"1551603769187269"</f>
        <v>1551603769187269</v>
      </c>
      <c r="C1475" t="s">
        <v>40</v>
      </c>
      <c r="D1475">
        <v>4.69191</v>
      </c>
      <c r="E1475">
        <v>0.60643669999999905</v>
      </c>
      <c r="F1475" t="s">
        <v>52</v>
      </c>
      <c r="G1475">
        <v>-185.6962</v>
      </c>
      <c r="H1475" s="1">
        <v>-1.5770619999999999E-6</v>
      </c>
      <c r="I1475">
        <v>350.88170000000002</v>
      </c>
      <c r="J1475">
        <v>-212.77709999999999</v>
      </c>
      <c r="K1475">
        <v>1.119623</v>
      </c>
      <c r="L1475">
        <v>367.02089999999998</v>
      </c>
      <c r="M1475">
        <v>0.99299789999999999</v>
      </c>
      <c r="N1475">
        <v>-1.3913490000000001E-2</v>
      </c>
      <c r="O1475">
        <v>-0.11730989999999999</v>
      </c>
      <c r="P1475">
        <v>0.95355570000000001</v>
      </c>
      <c r="Q1475">
        <v>0.13244790000000001</v>
      </c>
      <c r="R1475">
        <v>-0.27053509999999997</v>
      </c>
      <c r="S1475">
        <v>2.7085880000000002</v>
      </c>
      <c r="T1475">
        <v>-0.1114141</v>
      </c>
      <c r="U1475">
        <v>-1.607758</v>
      </c>
      <c r="V1475">
        <v>0.15753149999999999</v>
      </c>
      <c r="W1475">
        <v>0.145257</v>
      </c>
      <c r="X1475">
        <v>0.97677239999999999</v>
      </c>
      <c r="Y1475">
        <v>0.40568870000000001</v>
      </c>
      <c r="Z1475">
        <v>-7.8575539999999992E-3</v>
      </c>
      <c r="AA1475">
        <v>0.9139775</v>
      </c>
      <c r="AB1475">
        <v>25</v>
      </c>
      <c r="AC1475">
        <v>27.0808999999999</v>
      </c>
      <c r="AD1475">
        <v>-1.1196245770619999</v>
      </c>
      <c r="AE1475">
        <v>-16.139199999999899</v>
      </c>
      <c r="AF1475">
        <v>12.834389520622601</v>
      </c>
      <c r="AG1475">
        <v>-1.1196245770619999</v>
      </c>
      <c r="AH1475">
        <v>28.751086660161899</v>
      </c>
      <c r="AI1475">
        <v>92.036570052398602</v>
      </c>
      <c r="AJ1475">
        <v>65.944174346557006</v>
      </c>
      <c r="AK1475">
        <v>31.5055566162664</v>
      </c>
      <c r="AL1475">
        <v>81.647838613586003</v>
      </c>
      <c r="AM1475">
        <v>80.838363904646201</v>
      </c>
      <c r="AN1475">
        <v>1.0000000454714999</v>
      </c>
    </row>
    <row r="1476" spans="1:40" x14ac:dyDescent="0.25">
      <c r="A1476" t="str">
        <f>"20190303170249213"</f>
        <v>20190303170249213</v>
      </c>
      <c r="B1476" t="str">
        <f>"1551603769207765"</f>
        <v>1551603769207765</v>
      </c>
      <c r="C1476" t="s">
        <v>40</v>
      </c>
      <c r="D1476">
        <v>4.6878469999999997</v>
      </c>
      <c r="E1476">
        <v>0.60028440000000005</v>
      </c>
      <c r="F1476" t="s">
        <v>52</v>
      </c>
      <c r="G1476">
        <v>-185.51499999999999</v>
      </c>
      <c r="H1476" s="1">
        <v>-1.5632579999999901E-6</v>
      </c>
      <c r="I1476">
        <v>350.69830000000002</v>
      </c>
      <c r="J1476">
        <v>-212.63509999999999</v>
      </c>
      <c r="K1476">
        <v>1.119578</v>
      </c>
      <c r="L1476">
        <v>367.00220000000002</v>
      </c>
      <c r="M1476">
        <v>0.99278239999999995</v>
      </c>
      <c r="N1476">
        <v>-1.391477E-2</v>
      </c>
      <c r="O1476">
        <v>-0.1191197</v>
      </c>
      <c r="P1476">
        <v>0.95265270000000002</v>
      </c>
      <c r="Q1476">
        <v>0.13236609999999999</v>
      </c>
      <c r="R1476">
        <v>-0.27373760000000003</v>
      </c>
      <c r="S1476">
        <v>2.7024689999999998</v>
      </c>
      <c r="T1476">
        <v>-0.1109874</v>
      </c>
      <c r="U1476">
        <v>-1.618042</v>
      </c>
      <c r="V1476">
        <v>0.1590501</v>
      </c>
      <c r="W1476">
        <v>0.1451481</v>
      </c>
      <c r="X1476">
        <v>0.97654240000000003</v>
      </c>
      <c r="Y1476">
        <v>0.407495</v>
      </c>
      <c r="Z1476">
        <v>-7.8549440000000009E-3</v>
      </c>
      <c r="AA1476">
        <v>0.91317369999999998</v>
      </c>
      <c r="AB1476">
        <v>25</v>
      </c>
      <c r="AC1476">
        <v>27.120100000000001</v>
      </c>
      <c r="AD1476">
        <v>-1.1195795632579999</v>
      </c>
      <c r="AE1476">
        <v>-16.303899999999999</v>
      </c>
      <c r="AF1476">
        <v>12.940741762284</v>
      </c>
      <c r="AG1476">
        <v>-1.1195795632579999</v>
      </c>
      <c r="AH1476">
        <v>28.833174721055101</v>
      </c>
      <c r="AI1476">
        <v>92.028866845516006</v>
      </c>
      <c r="AJ1476">
        <v>65.828774001705099</v>
      </c>
      <c r="AK1476">
        <v>31.623855240173999</v>
      </c>
      <c r="AL1476">
        <v>81.654144426158098</v>
      </c>
      <c r="AM1476">
        <v>80.7494243838958</v>
      </c>
      <c r="AN1476">
        <v>0.99999998212068997</v>
      </c>
    </row>
    <row r="1477" spans="1:40" x14ac:dyDescent="0.25">
      <c r="A1477" t="str">
        <f>"20190303170249227"</f>
        <v>20190303170249227</v>
      </c>
      <c r="B1477" t="str">
        <f>"1551603769216549"</f>
        <v>1551603769216549</v>
      </c>
      <c r="C1477" t="s">
        <v>40</v>
      </c>
      <c r="D1477">
        <v>4.6856330000000002</v>
      </c>
      <c r="E1477">
        <v>0.60026069999999998</v>
      </c>
      <c r="F1477" t="s">
        <v>52</v>
      </c>
      <c r="G1477">
        <v>-184.2167</v>
      </c>
      <c r="H1477" s="1">
        <v>-1.8168319999999999E-6</v>
      </c>
      <c r="I1477">
        <v>350.42669999999998</v>
      </c>
      <c r="J1477">
        <v>-212.489</v>
      </c>
      <c r="K1477">
        <v>1.1195310000000001</v>
      </c>
      <c r="L1477">
        <v>366.98250000000002</v>
      </c>
      <c r="M1477">
        <v>0.99254969999999998</v>
      </c>
      <c r="N1477">
        <v>-1.391645E-2</v>
      </c>
      <c r="O1477">
        <v>-0.1210431</v>
      </c>
      <c r="P1477">
        <v>0.95171329999999998</v>
      </c>
      <c r="Q1477">
        <v>0.13239400000000001</v>
      </c>
      <c r="R1477">
        <v>-0.27697290000000002</v>
      </c>
      <c r="S1477">
        <v>2.7097929999999999</v>
      </c>
      <c r="T1477">
        <v>-0.1067559</v>
      </c>
      <c r="U1477">
        <v>-1.5805359999999999</v>
      </c>
      <c r="V1477">
        <v>0.16049639999999901</v>
      </c>
      <c r="W1477">
        <v>0.1451481</v>
      </c>
      <c r="X1477">
        <v>0.9763058</v>
      </c>
      <c r="Y1477">
        <v>0.3952563</v>
      </c>
      <c r="Z1477">
        <v>-7.3711779999999999E-3</v>
      </c>
      <c r="AA1477">
        <v>0.9185413</v>
      </c>
      <c r="AB1477">
        <v>25</v>
      </c>
      <c r="AC1477">
        <v>28.272300000000001</v>
      </c>
      <c r="AD1477">
        <v>-1.119532816832</v>
      </c>
      <c r="AE1477">
        <v>-16.555800000000001</v>
      </c>
      <c r="AF1477">
        <v>12.996372516658401</v>
      </c>
      <c r="AG1477">
        <v>-1.119532816832</v>
      </c>
      <c r="AH1477">
        <v>30.033471967373</v>
      </c>
      <c r="AI1477">
        <v>91.959352573263999</v>
      </c>
      <c r="AJ1477">
        <v>66.600436038346601</v>
      </c>
      <c r="AK1477">
        <v>32.743984038823001</v>
      </c>
      <c r="AL1477">
        <v>81.654144914590205</v>
      </c>
      <c r="AM1477">
        <v>80.664557237173796</v>
      </c>
      <c r="AN1477">
        <v>1.0000000402300999</v>
      </c>
    </row>
    <row r="1478" spans="1:40" x14ac:dyDescent="0.25">
      <c r="A1478" t="str">
        <f>"20190303170249239"</f>
        <v>20190303170249239</v>
      </c>
      <c r="B1478" t="str">
        <f>"1551603769227286"</f>
        <v>1551603769227286</v>
      </c>
      <c r="C1478" t="s">
        <v>40</v>
      </c>
      <c r="D1478">
        <v>4.668247</v>
      </c>
      <c r="E1478">
        <v>0.60038669999999905</v>
      </c>
      <c r="F1478" t="s">
        <v>52</v>
      </c>
      <c r="G1478">
        <v>-184.1377</v>
      </c>
      <c r="H1478" s="1">
        <v>-1.801277E-6</v>
      </c>
      <c r="I1478">
        <v>350.31849999999997</v>
      </c>
      <c r="J1478">
        <v>-212.3509</v>
      </c>
      <c r="K1478">
        <v>1.119491</v>
      </c>
      <c r="L1478">
        <v>366.96370000000002</v>
      </c>
      <c r="M1478">
        <v>0.9923225</v>
      </c>
      <c r="N1478">
        <v>-1.3918130000000001E-2</v>
      </c>
      <c r="O1478">
        <v>-0.1228933</v>
      </c>
      <c r="P1478">
        <v>0.95016319999999999</v>
      </c>
      <c r="Q1478">
        <v>0.1333569</v>
      </c>
      <c r="R1478">
        <v>-0.28179159999999998</v>
      </c>
      <c r="S1478">
        <v>2.7044679999999999</v>
      </c>
      <c r="T1478">
        <v>-0.1067935</v>
      </c>
      <c r="U1478">
        <v>-1.5895999999999999</v>
      </c>
      <c r="V1478">
        <v>0.16366649999999999</v>
      </c>
      <c r="W1478">
        <v>0.14606849999999999</v>
      </c>
      <c r="X1478">
        <v>0.97564200000000001</v>
      </c>
      <c r="Y1478">
        <v>0.39662049999999999</v>
      </c>
      <c r="Z1478">
        <v>-7.3701340000000004E-3</v>
      </c>
      <c r="AA1478">
        <v>0.91795309999999997</v>
      </c>
      <c r="AB1478">
        <v>25</v>
      </c>
      <c r="AC1478">
        <v>28.213200000000001</v>
      </c>
      <c r="AD1478">
        <v>-1.119492801277</v>
      </c>
      <c r="AE1478">
        <v>-16.645199999999999</v>
      </c>
      <c r="AF1478">
        <v>13.0362290171743</v>
      </c>
      <c r="AG1478">
        <v>-1.119492801277</v>
      </c>
      <c r="AH1478">
        <v>30.010030430565202</v>
      </c>
      <c r="AI1478">
        <v>91.959620831728301</v>
      </c>
      <c r="AJ1478">
        <v>66.520079483827502</v>
      </c>
      <c r="AK1478">
        <v>32.738333151884497</v>
      </c>
      <c r="AL1478">
        <v>81.600841629203202</v>
      </c>
      <c r="AM1478">
        <v>80.477149663166799</v>
      </c>
      <c r="AN1478">
        <v>1.0000000210392399</v>
      </c>
    </row>
    <row r="1479" spans="1:40" x14ac:dyDescent="0.25">
      <c r="A1479" t="str">
        <f>"20190303170249252"</f>
        <v>20190303170249252</v>
      </c>
      <c r="B1479" t="str">
        <f>"1551603769237045"</f>
        <v>1551603769237045</v>
      </c>
      <c r="C1479" t="s">
        <v>40</v>
      </c>
      <c r="D1479">
        <v>4.7169840000000001</v>
      </c>
      <c r="E1479">
        <v>0.60031789999999996</v>
      </c>
      <c r="F1479" t="s">
        <v>52</v>
      </c>
      <c r="G1479">
        <v>-183.53890000000001</v>
      </c>
      <c r="H1479" s="1">
        <v>-1.7915379999999999E-6</v>
      </c>
      <c r="I1479">
        <v>349.81869999999998</v>
      </c>
      <c r="J1479">
        <v>-212.20910000000001</v>
      </c>
      <c r="K1479">
        <v>1.119448</v>
      </c>
      <c r="L1479">
        <v>366.94400000000002</v>
      </c>
      <c r="M1479">
        <v>0.99207939999999994</v>
      </c>
      <c r="N1479">
        <v>-1.392004E-2</v>
      </c>
      <c r="O1479">
        <v>-0.1248392</v>
      </c>
      <c r="P1479">
        <v>0.94908459999999994</v>
      </c>
      <c r="Q1479">
        <v>0.13392599999999999</v>
      </c>
      <c r="R1479">
        <v>-0.2851359</v>
      </c>
      <c r="S1479">
        <v>2.6962429999999999</v>
      </c>
      <c r="T1479">
        <v>-0.1047628</v>
      </c>
      <c r="U1479">
        <v>-1.6044309999999999</v>
      </c>
      <c r="V1479">
        <v>0.16522300000000001</v>
      </c>
      <c r="W1479">
        <v>0.14660570000000001</v>
      </c>
      <c r="X1479">
        <v>0.97529900000000003</v>
      </c>
      <c r="Y1479">
        <v>0.39978449999999999</v>
      </c>
      <c r="Z1479">
        <v>-7.3612640000000002E-3</v>
      </c>
      <c r="AA1479">
        <v>0.91657960000000005</v>
      </c>
      <c r="AB1479">
        <v>25</v>
      </c>
      <c r="AC1479">
        <v>28.670199999999902</v>
      </c>
      <c r="AD1479">
        <v>-1.1194497915379999</v>
      </c>
      <c r="AE1479">
        <v>-17.125299999999999</v>
      </c>
      <c r="AF1479">
        <v>13.396737731614399</v>
      </c>
      <c r="AG1479">
        <v>-1.1194497915379999</v>
      </c>
      <c r="AH1479">
        <v>30.549657423429199</v>
      </c>
      <c r="AI1479">
        <v>91.922050031143499</v>
      </c>
      <c r="AJ1479">
        <v>66.321427565050897</v>
      </c>
      <c r="AK1479">
        <v>33.376748169561402</v>
      </c>
      <c r="AL1479">
        <v>81.569727250583995</v>
      </c>
      <c r="AM1479">
        <v>80.3849501478512</v>
      </c>
      <c r="AN1479">
        <v>1.0000000052012401</v>
      </c>
    </row>
    <row r="1480" spans="1:40" x14ac:dyDescent="0.25">
      <c r="A1480" t="str">
        <f>"20190303170249264"</f>
        <v>20190303170249264</v>
      </c>
      <c r="B1480" t="str">
        <f>"1551603769256566"</f>
        <v>1551603769256566</v>
      </c>
      <c r="C1480" t="s">
        <v>40</v>
      </c>
      <c r="D1480">
        <v>4.6799540000000004</v>
      </c>
      <c r="E1480">
        <v>0.5999544</v>
      </c>
      <c r="F1480" t="s">
        <v>52</v>
      </c>
      <c r="G1480">
        <v>-183.38939999999999</v>
      </c>
      <c r="H1480" s="1">
        <v>-1.7805520000000001E-6</v>
      </c>
      <c r="I1480">
        <v>349.66860000000003</v>
      </c>
      <c r="J1480">
        <v>-212.0847</v>
      </c>
      <c r="K1480">
        <v>1.119408</v>
      </c>
      <c r="L1480">
        <v>366.9264</v>
      </c>
      <c r="M1480">
        <v>0.99185690000000004</v>
      </c>
      <c r="N1480">
        <v>-1.3921950000000001E-2</v>
      </c>
      <c r="O1480">
        <v>-0.12659380000000001</v>
      </c>
      <c r="P1480">
        <v>0.94803910000000002</v>
      </c>
      <c r="Q1480">
        <v>0.13477320000000001</v>
      </c>
      <c r="R1480">
        <v>-0.28819860000000003</v>
      </c>
      <c r="S1480">
        <v>2.691055</v>
      </c>
      <c r="T1480">
        <v>-0.1045291</v>
      </c>
      <c r="U1480">
        <v>-1.6130979999999999</v>
      </c>
      <c r="V1480">
        <v>0.16668520000000001</v>
      </c>
      <c r="W1480">
        <v>0.1474241</v>
      </c>
      <c r="X1480">
        <v>0.97492679999999998</v>
      </c>
      <c r="Y1480">
        <v>0.40111390000000002</v>
      </c>
      <c r="Z1480">
        <v>-7.3550589999999997E-3</v>
      </c>
      <c r="AA1480">
        <v>0.91599870000000005</v>
      </c>
      <c r="AB1480">
        <v>25</v>
      </c>
      <c r="AC1480">
        <v>28.6953</v>
      </c>
      <c r="AD1480">
        <v>-1.119409780552</v>
      </c>
      <c r="AE1480">
        <v>-17.2577999999999</v>
      </c>
      <c r="AF1480">
        <v>13.470873808303599</v>
      </c>
      <c r="AG1480">
        <v>-1.119409780552</v>
      </c>
      <c r="AH1480">
        <v>30.615118817608298</v>
      </c>
      <c r="AI1480">
        <v>91.916828017459594</v>
      </c>
      <c r="AJ1480">
        <v>66.250158165828594</v>
      </c>
      <c r="AK1480">
        <v>33.466446175719199</v>
      </c>
      <c r="AL1480">
        <v>81.522321608392303</v>
      </c>
      <c r="AM1480">
        <v>80.297835305270894</v>
      </c>
      <c r="AN1480">
        <v>1.0000000432590399</v>
      </c>
    </row>
    <row r="1481" spans="1:40" x14ac:dyDescent="0.25">
      <c r="A1481" t="str">
        <f>"20190303170249275"</f>
        <v>20190303170249275</v>
      </c>
      <c r="B1481" t="str">
        <f>"1551603769267302"</f>
        <v>1551603769267302</v>
      </c>
      <c r="C1481" t="s">
        <v>40</v>
      </c>
      <c r="D1481">
        <v>4.7066660000000002</v>
      </c>
      <c r="E1481">
        <v>0.59983799999999998</v>
      </c>
      <c r="F1481" t="s">
        <v>42</v>
      </c>
      <c r="G1481">
        <v>-183.1739</v>
      </c>
      <c r="H1481" s="1">
        <v>-5.447939E-6</v>
      </c>
      <c r="I1481">
        <v>349.50959999999998</v>
      </c>
      <c r="J1481">
        <v>-211.96260000000001</v>
      </c>
      <c r="K1481">
        <v>1.119367</v>
      </c>
      <c r="L1481">
        <v>366.90899999999999</v>
      </c>
      <c r="M1481">
        <v>0.99163389999999996</v>
      </c>
      <c r="N1481">
        <v>-1.392375E-2</v>
      </c>
      <c r="O1481">
        <v>-0.12832939999999901</v>
      </c>
      <c r="P1481">
        <v>0.94701310000000005</v>
      </c>
      <c r="Q1481">
        <v>0.1357824</v>
      </c>
      <c r="R1481">
        <v>-0.29108260000000002</v>
      </c>
      <c r="S1481">
        <v>2.687119</v>
      </c>
      <c r="T1481">
        <v>-0.104044</v>
      </c>
      <c r="U1481">
        <v>-1.6188049999999901</v>
      </c>
      <c r="V1481">
        <v>0.16798879999999999</v>
      </c>
      <c r="W1481">
        <v>0.14840400000000001</v>
      </c>
      <c r="X1481">
        <v>0.97455420000000004</v>
      </c>
      <c r="Y1481">
        <v>0.40153299999999997</v>
      </c>
      <c r="Z1481">
        <v>-7.3190679999999998E-3</v>
      </c>
      <c r="AA1481">
        <v>0.9158153</v>
      </c>
      <c r="AB1481">
        <v>25</v>
      </c>
      <c r="AC1481">
        <v>28.788699999999999</v>
      </c>
      <c r="AD1481">
        <v>-1.1193724479389999</v>
      </c>
      <c r="AE1481">
        <v>-17.3994</v>
      </c>
      <c r="AF1481">
        <v>13.545712393060001</v>
      </c>
      <c r="AG1481">
        <v>-1.1193724479389999</v>
      </c>
      <c r="AH1481">
        <v>30.749637572220902</v>
      </c>
      <c r="AI1481">
        <v>91.908027316234595</v>
      </c>
      <c r="AJ1481">
        <v>66.225733053426495</v>
      </c>
      <c r="AK1481">
        <v>33.619630124908298</v>
      </c>
      <c r="AL1481">
        <v>81.465552113743897</v>
      </c>
      <c r="AM1481">
        <v>80.219750369095493</v>
      </c>
      <c r="AN1481">
        <v>0.999999936439538</v>
      </c>
    </row>
    <row r="1482" spans="1:40" x14ac:dyDescent="0.25">
      <c r="A1482" t="str">
        <f>"20190303170249286"</f>
        <v>20190303170249286</v>
      </c>
      <c r="B1482" t="str">
        <f>"1551603769277063"</f>
        <v>1551603769277063</v>
      </c>
      <c r="C1482" t="s">
        <v>40</v>
      </c>
      <c r="D1482">
        <v>4.699414</v>
      </c>
      <c r="E1482">
        <v>0.59979700000000002</v>
      </c>
      <c r="F1482" t="s">
        <v>42</v>
      </c>
      <c r="G1482">
        <v>-182.61539999999999</v>
      </c>
      <c r="H1482" s="1">
        <v>-5.3800890000000003E-6</v>
      </c>
      <c r="I1482">
        <v>349.12049999999999</v>
      </c>
      <c r="J1482">
        <v>-211.83449999999999</v>
      </c>
      <c r="K1482">
        <v>1.119324</v>
      </c>
      <c r="L1482">
        <v>366.89030000000002</v>
      </c>
      <c r="M1482">
        <v>0.99138749999999998</v>
      </c>
      <c r="N1482">
        <v>-1.3926040000000001E-2</v>
      </c>
      <c r="O1482">
        <v>-0.1302179</v>
      </c>
      <c r="P1482">
        <v>0.94598610000000005</v>
      </c>
      <c r="Q1482">
        <v>0.1364233</v>
      </c>
      <c r="R1482">
        <v>-0.29410720000000001</v>
      </c>
      <c r="S1482">
        <v>2.682709</v>
      </c>
      <c r="T1482">
        <v>-0.102325</v>
      </c>
      <c r="U1482">
        <v>-1.626099</v>
      </c>
      <c r="V1482">
        <v>0.16928199999999999</v>
      </c>
      <c r="W1482">
        <v>0.14901610000000001</v>
      </c>
      <c r="X1482">
        <v>0.97423700000000002</v>
      </c>
      <c r="Y1482">
        <v>0.40228370000000002</v>
      </c>
      <c r="Z1482">
        <v>-7.2583279999999997E-3</v>
      </c>
      <c r="AA1482">
        <v>0.91548629999999998</v>
      </c>
      <c r="AB1482">
        <v>25</v>
      </c>
      <c r="AC1482">
        <v>29.219100000000001</v>
      </c>
      <c r="AD1482">
        <v>-1.1193293800890001</v>
      </c>
      <c r="AE1482">
        <v>-17.7698</v>
      </c>
      <c r="AF1482">
        <v>13.7984663814286</v>
      </c>
      <c r="AG1482">
        <v>-1.1193293800890001</v>
      </c>
      <c r="AH1482">
        <v>31.250954333607801</v>
      </c>
      <c r="AI1482">
        <v>91.876662059571899</v>
      </c>
      <c r="AJ1482">
        <v>66.176746381738795</v>
      </c>
      <c r="AK1482">
        <v>34.180004673811702</v>
      </c>
      <c r="AL1482">
        <v>81.430087250559495</v>
      </c>
      <c r="AM1482">
        <v>80.142785719020793</v>
      </c>
      <c r="AN1482">
        <v>0.99999996287610404</v>
      </c>
    </row>
    <row r="1483" spans="1:40" x14ac:dyDescent="0.25">
      <c r="A1483" t="str">
        <f>"20190303170249299"</f>
        <v>20190303170249299</v>
      </c>
      <c r="B1483" t="str">
        <f>"1551603769286822"</f>
        <v>1551603769286822</v>
      </c>
      <c r="C1483" t="s">
        <v>40</v>
      </c>
      <c r="D1483">
        <v>4.6996650000000004</v>
      </c>
      <c r="E1483">
        <v>0.59979700000000002</v>
      </c>
      <c r="F1483" t="s">
        <v>42</v>
      </c>
      <c r="G1483">
        <v>-182.32660000000001</v>
      </c>
      <c r="H1483" s="1">
        <v>-5.3297909999999997E-6</v>
      </c>
      <c r="I1483">
        <v>348.88389999999998</v>
      </c>
      <c r="J1483">
        <v>-211.7073</v>
      </c>
      <c r="K1483">
        <v>1.119281</v>
      </c>
      <c r="L1483">
        <v>366.8716</v>
      </c>
      <c r="M1483">
        <v>0.99113669999999998</v>
      </c>
      <c r="N1483">
        <v>-1.392824E-2</v>
      </c>
      <c r="O1483">
        <v>-0.1321136</v>
      </c>
      <c r="P1483">
        <v>0.94503700000000002</v>
      </c>
      <c r="Q1483">
        <v>0.1366957</v>
      </c>
      <c r="R1483">
        <v>-0.29701729999999998</v>
      </c>
      <c r="S1483">
        <v>2.677902</v>
      </c>
      <c r="T1483">
        <v>-0.10158150000000001</v>
      </c>
      <c r="U1483">
        <v>-1.634125</v>
      </c>
      <c r="V1483">
        <v>0.17044309999999999</v>
      </c>
      <c r="W1483">
        <v>0.14926120000000001</v>
      </c>
      <c r="X1483">
        <v>0.97399709999999995</v>
      </c>
      <c r="Y1483">
        <v>0.4032654</v>
      </c>
      <c r="Z1483">
        <v>-7.2288309999999998E-3</v>
      </c>
      <c r="AA1483">
        <v>0.91505449999999999</v>
      </c>
      <c r="AB1483">
        <v>25</v>
      </c>
      <c r="AC1483">
        <v>29.380699999999901</v>
      </c>
      <c r="AD1483">
        <v>-1.1192863297910001</v>
      </c>
      <c r="AE1483">
        <v>-17.9877</v>
      </c>
      <c r="AF1483">
        <v>13.933324450155601</v>
      </c>
      <c r="AG1483">
        <v>-1.1192863297910001</v>
      </c>
      <c r="AH1483">
        <v>31.466549090645302</v>
      </c>
      <c r="AI1483">
        <v>91.8628733777402</v>
      </c>
      <c r="AJ1483">
        <v>66.116334001641803</v>
      </c>
      <c r="AK1483">
        <v>34.431584973616197</v>
      </c>
      <c r="AL1483">
        <v>81.415886006804101</v>
      </c>
      <c r="AM1483">
        <v>80.074119361130002</v>
      </c>
      <c r="AN1483">
        <v>1.0000000534857201</v>
      </c>
    </row>
    <row r="1484" spans="1:40" x14ac:dyDescent="0.25">
      <c r="A1484" t="str">
        <f>"20190303170249318"</f>
        <v>20190303170249318</v>
      </c>
      <c r="B1484" t="str">
        <f>"1551603769307317"</f>
        <v>1551603769307317</v>
      </c>
      <c r="C1484" t="s">
        <v>40</v>
      </c>
      <c r="D1484">
        <v>4.7091000000000003</v>
      </c>
      <c r="E1484">
        <v>0.59925930000000005</v>
      </c>
      <c r="F1484" t="s">
        <v>42</v>
      </c>
      <c r="G1484">
        <v>-182.06379999999999</v>
      </c>
      <c r="H1484" s="1">
        <v>-5.2798069999999998E-6</v>
      </c>
      <c r="I1484">
        <v>348.65870000000001</v>
      </c>
      <c r="J1484">
        <v>-211.49770000000001</v>
      </c>
      <c r="K1484">
        <v>1.119208</v>
      </c>
      <c r="L1484">
        <v>366.84</v>
      </c>
      <c r="M1484">
        <v>0.99070329999999995</v>
      </c>
      <c r="N1484">
        <v>-1.393206E-2</v>
      </c>
      <c r="O1484">
        <v>-0.135326</v>
      </c>
      <c r="P1484">
        <v>0.94345349999999994</v>
      </c>
      <c r="Q1484">
        <v>0.1365574</v>
      </c>
      <c r="R1484">
        <v>-0.30207270000000003</v>
      </c>
      <c r="S1484">
        <v>2.6729280000000002</v>
      </c>
      <c r="T1484">
        <v>-0.10092520000000001</v>
      </c>
      <c r="U1484">
        <v>-1.64224199999999</v>
      </c>
      <c r="V1484">
        <v>0.1725285</v>
      </c>
      <c r="W1484">
        <v>0.14907779999999901</v>
      </c>
      <c r="X1484">
        <v>0.97365789999999997</v>
      </c>
      <c r="Y1484">
        <v>0.40307959999999998</v>
      </c>
      <c r="Z1484">
        <v>-7.1464839999999998E-3</v>
      </c>
      <c r="AA1484">
        <v>0.91513710000000004</v>
      </c>
      <c r="AB1484">
        <v>25</v>
      </c>
      <c r="AC1484">
        <v>29.433900000000001</v>
      </c>
      <c r="AD1484">
        <v>-1.119213279807</v>
      </c>
      <c r="AE1484">
        <v>-18.181299999999901</v>
      </c>
      <c r="AF1484">
        <v>14.015793569932701</v>
      </c>
      <c r="AG1484">
        <v>-1.119213279807</v>
      </c>
      <c r="AH1484">
        <v>31.590668244967699</v>
      </c>
      <c r="AI1484">
        <v>91.854840249976903</v>
      </c>
      <c r="AJ1484">
        <v>66.074632816777395</v>
      </c>
      <c r="AK1484">
        <v>34.5783953925609</v>
      </c>
      <c r="AL1484">
        <v>81.426512401868607</v>
      </c>
      <c r="AM1484">
        <v>79.951705183003696</v>
      </c>
      <c r="AN1484">
        <v>0.99999998999874895</v>
      </c>
    </row>
    <row r="1485" spans="1:40" x14ac:dyDescent="0.25">
      <c r="A1485" t="str">
        <f>"20190303170249329"</f>
        <v>20190303170249329</v>
      </c>
      <c r="B1485" t="str">
        <f>"1551603769317078"</f>
        <v>1551603769317078</v>
      </c>
      <c r="C1485" t="s">
        <v>40</v>
      </c>
      <c r="D1485">
        <v>4.678731</v>
      </c>
      <c r="E1485">
        <v>0.59916359999999902</v>
      </c>
      <c r="F1485" t="s">
        <v>42</v>
      </c>
      <c r="G1485">
        <v>-182.4016</v>
      </c>
      <c r="H1485" s="1">
        <v>-5.2796649999999997E-6</v>
      </c>
      <c r="I1485">
        <v>348.798</v>
      </c>
      <c r="J1485">
        <v>-211.3663</v>
      </c>
      <c r="K1485">
        <v>1.1191580000000001</v>
      </c>
      <c r="L1485">
        <v>366.81979999999999</v>
      </c>
      <c r="M1485">
        <v>0.99041820000000003</v>
      </c>
      <c r="N1485">
        <v>-1.39347E-2</v>
      </c>
      <c r="O1485">
        <v>-0.1373964</v>
      </c>
      <c r="P1485">
        <v>0.94252089999999999</v>
      </c>
      <c r="Q1485">
        <v>0.13646369999999999</v>
      </c>
      <c r="R1485">
        <v>-0.3050117</v>
      </c>
      <c r="S1485">
        <v>2.665451</v>
      </c>
      <c r="T1485">
        <v>-0.1025295</v>
      </c>
      <c r="U1485">
        <v>-1.6528020000000001</v>
      </c>
      <c r="V1485">
        <v>0.1735447</v>
      </c>
      <c r="W1485">
        <v>0.14895810000000001</v>
      </c>
      <c r="X1485">
        <v>0.97349560000000002</v>
      </c>
      <c r="Y1485">
        <v>0.40492519999999999</v>
      </c>
      <c r="Z1485">
        <v>-7.1924980000000003E-3</v>
      </c>
      <c r="AA1485">
        <v>0.91432150000000001</v>
      </c>
      <c r="AB1485">
        <v>24</v>
      </c>
      <c r="AC1485">
        <v>28.964700000000001</v>
      </c>
      <c r="AD1485">
        <v>-1.119163279665</v>
      </c>
      <c r="AE1485">
        <v>-18.021799999999899</v>
      </c>
      <c r="AF1485">
        <v>13.8559058314596</v>
      </c>
      <c r="AG1485">
        <v>-1.119163279665</v>
      </c>
      <c r="AH1485">
        <v>31.132811959314299</v>
      </c>
      <c r="AI1485">
        <v>91.881045812638106</v>
      </c>
      <c r="AJ1485">
        <v>66.008164022265206</v>
      </c>
      <c r="AK1485">
        <v>34.095316882980399</v>
      </c>
      <c r="AL1485">
        <v>81.433448068806797</v>
      </c>
      <c r="AM1485">
        <v>79.892086670899801</v>
      </c>
      <c r="AN1485">
        <v>0.99999998083652897</v>
      </c>
    </row>
    <row r="1486" spans="1:40" x14ac:dyDescent="0.25">
      <c r="A1486" t="str">
        <f>"20190303170249340"</f>
        <v>20190303170249340</v>
      </c>
      <c r="B1486" t="str">
        <f>"1551603769326838"</f>
        <v>1551603769326838</v>
      </c>
      <c r="C1486" t="s">
        <v>40</v>
      </c>
      <c r="D1486">
        <v>4.6801589999999997</v>
      </c>
      <c r="E1486">
        <v>0.59904089999999999</v>
      </c>
      <c r="F1486" t="s">
        <v>42</v>
      </c>
      <c r="G1486">
        <v>-182.59180000000001</v>
      </c>
      <c r="H1486" s="1">
        <v>-5.2710449999999998E-6</v>
      </c>
      <c r="I1486">
        <v>348.85649999999998</v>
      </c>
      <c r="J1486">
        <v>-211.25299999999999</v>
      </c>
      <c r="K1486">
        <v>1.1191199999999999</v>
      </c>
      <c r="L1486">
        <v>366.8021</v>
      </c>
      <c r="M1486">
        <v>0.99016499999999996</v>
      </c>
      <c r="N1486">
        <v>-1.393696E-2</v>
      </c>
      <c r="O1486">
        <v>-0.139209</v>
      </c>
      <c r="P1486">
        <v>0.94162279999999998</v>
      </c>
      <c r="Q1486">
        <v>0.1362622</v>
      </c>
      <c r="R1486">
        <v>-0.30786249999999998</v>
      </c>
      <c r="S1486">
        <v>2.6604610000000002</v>
      </c>
      <c r="T1486">
        <v>-0.1034764</v>
      </c>
      <c r="U1486">
        <v>-1.6608579999999999</v>
      </c>
      <c r="V1486">
        <v>0.17471979999999901</v>
      </c>
      <c r="W1486">
        <v>0.14873220000000001</v>
      </c>
      <c r="X1486">
        <v>0.97331990000000002</v>
      </c>
      <c r="Y1486">
        <v>0.40600930000000002</v>
      </c>
      <c r="Z1486">
        <v>-7.2067880000000004E-3</v>
      </c>
      <c r="AA1486">
        <v>0.91384049999999994</v>
      </c>
      <c r="AB1486">
        <v>24</v>
      </c>
      <c r="AC1486">
        <v>28.661199999999901</v>
      </c>
      <c r="AD1486">
        <v>-1.1191252710449999</v>
      </c>
      <c r="AE1486">
        <v>-17.945599999999999</v>
      </c>
      <c r="AF1486">
        <v>13.765468898048599</v>
      </c>
      <c r="AG1486">
        <v>-1.1191252710449999</v>
      </c>
      <c r="AH1486">
        <v>30.846718420658501</v>
      </c>
      <c r="AI1486">
        <v>91.897571419075007</v>
      </c>
      <c r="AJ1486">
        <v>65.950995141927706</v>
      </c>
      <c r="AK1486">
        <v>33.797346237224403</v>
      </c>
      <c r="AL1486">
        <v>81.4465367391212</v>
      </c>
      <c r="AM1486">
        <v>79.823271224541898</v>
      </c>
      <c r="AN1486">
        <v>0.99999995178244305</v>
      </c>
    </row>
    <row r="1487" spans="1:40" x14ac:dyDescent="0.25">
      <c r="A1487" t="str">
        <f>"20190303170249351"</f>
        <v>20190303170249351</v>
      </c>
      <c r="B1487" t="str">
        <f>"1551603769336598"</f>
        <v>1551603769336598</v>
      </c>
      <c r="C1487" t="s">
        <v>40</v>
      </c>
      <c r="D1487">
        <v>4.6980899999999997</v>
      </c>
      <c r="E1487">
        <v>0.59896930000000004</v>
      </c>
      <c r="F1487" t="s">
        <v>42</v>
      </c>
      <c r="G1487">
        <v>-182.96600000000001</v>
      </c>
      <c r="H1487" s="1">
        <v>-5.2834799999999998E-6</v>
      </c>
      <c r="I1487">
        <v>349.0403</v>
      </c>
      <c r="J1487">
        <v>-211.13030000000001</v>
      </c>
      <c r="K1487">
        <v>1.1190770000000001</v>
      </c>
      <c r="L1487">
        <v>366.78269999999998</v>
      </c>
      <c r="M1487">
        <v>0.98988290000000001</v>
      </c>
      <c r="N1487">
        <v>-1.393936E-2</v>
      </c>
      <c r="O1487">
        <v>-0.14120050000000001</v>
      </c>
      <c r="P1487">
        <v>0.94051470000000004</v>
      </c>
      <c r="Q1487">
        <v>0.13664570000000001</v>
      </c>
      <c r="R1487">
        <v>-0.31106240000000002</v>
      </c>
      <c r="S1487">
        <v>2.6559750000000002</v>
      </c>
      <c r="T1487">
        <v>-0.1050788</v>
      </c>
      <c r="U1487">
        <v>-1.6677249999999999</v>
      </c>
      <c r="V1487">
        <v>0.17609949999999999</v>
      </c>
      <c r="W1487">
        <v>0.14908729999999901</v>
      </c>
      <c r="X1487">
        <v>0.97301689999999996</v>
      </c>
      <c r="Y1487">
        <v>0.40655370000000002</v>
      </c>
      <c r="Z1487">
        <v>-7.2167799999999999E-3</v>
      </c>
      <c r="AA1487">
        <v>0.91359840000000003</v>
      </c>
      <c r="AB1487">
        <v>24</v>
      </c>
      <c r="AC1487">
        <v>28.164300000000001</v>
      </c>
      <c r="AD1487">
        <v>-1.1190822834799901</v>
      </c>
      <c r="AE1487">
        <v>-17.7423999999999</v>
      </c>
      <c r="AF1487">
        <v>13.572065065625701</v>
      </c>
      <c r="AG1487">
        <v>-1.1190822834799901</v>
      </c>
      <c r="AH1487">
        <v>30.3532395603129</v>
      </c>
      <c r="AI1487">
        <v>91.927691001618996</v>
      </c>
      <c r="AJ1487">
        <v>65.908801207538602</v>
      </c>
      <c r="AK1487">
        <v>33.268189717935101</v>
      </c>
      <c r="AL1487">
        <v>81.425961787553405</v>
      </c>
      <c r="AM1487">
        <v>79.741482451919097</v>
      </c>
      <c r="AN1487">
        <v>0.99999997230357396</v>
      </c>
    </row>
    <row r="1488" spans="1:40" x14ac:dyDescent="0.25">
      <c r="A1488" t="str">
        <f>"20190303170249362"</f>
        <v>20190303170249362</v>
      </c>
      <c r="B1488" t="str">
        <f>"1551603769357093"</f>
        <v>1551603769357093</v>
      </c>
      <c r="C1488" t="s">
        <v>40</v>
      </c>
      <c r="D1488">
        <v>4.7165679999999996</v>
      </c>
      <c r="E1488">
        <v>0.59884659999999901</v>
      </c>
      <c r="F1488" t="s">
        <v>42</v>
      </c>
      <c r="G1488">
        <v>-182.89609999999999</v>
      </c>
      <c r="H1488" s="1">
        <v>-5.2482860000000003E-6</v>
      </c>
      <c r="I1488">
        <v>348.92930000000001</v>
      </c>
      <c r="J1488">
        <v>-211.01009999999999</v>
      </c>
      <c r="K1488">
        <v>1.119032</v>
      </c>
      <c r="L1488">
        <v>366.76330000000002</v>
      </c>
      <c r="M1488">
        <v>0.98959620000000004</v>
      </c>
      <c r="N1488">
        <v>-1.394184E-2</v>
      </c>
      <c r="O1488">
        <v>-0.14319609999999999</v>
      </c>
      <c r="P1488">
        <v>0.93923089999999998</v>
      </c>
      <c r="Q1488">
        <v>0.13715260000000001</v>
      </c>
      <c r="R1488">
        <v>-0.31469750000000002</v>
      </c>
      <c r="S1488">
        <v>2.6506500000000002</v>
      </c>
      <c r="T1488">
        <v>-0.10506020000000001</v>
      </c>
      <c r="U1488">
        <v>-1.676086</v>
      </c>
      <c r="V1488">
        <v>0.1779327</v>
      </c>
      <c r="W1488">
        <v>0.1495621</v>
      </c>
      <c r="X1488">
        <v>0.97261050000000004</v>
      </c>
      <c r="Y1488">
        <v>0.40759869999999998</v>
      </c>
      <c r="Z1488">
        <v>-7.2034459999999996E-3</v>
      </c>
      <c r="AA1488">
        <v>0.91313270000000002</v>
      </c>
      <c r="AB1488">
        <v>24</v>
      </c>
      <c r="AC1488">
        <v>28.114000000000001</v>
      </c>
      <c r="AD1488">
        <v>-1.119037248286</v>
      </c>
      <c r="AE1488">
        <v>-17.834</v>
      </c>
      <c r="AF1488">
        <v>13.6085926890399</v>
      </c>
      <c r="AG1488">
        <v>-1.119037248286</v>
      </c>
      <c r="AH1488">
        <v>30.343936890209299</v>
      </c>
      <c r="AI1488">
        <v>91.927240564554793</v>
      </c>
      <c r="AJ1488">
        <v>65.844807867572399</v>
      </c>
      <c r="AK1488">
        <v>33.274623143414402</v>
      </c>
      <c r="AL1488">
        <v>81.398449752360904</v>
      </c>
      <c r="AM1488">
        <v>79.632757097178001</v>
      </c>
      <c r="AN1488">
        <v>1.00000002609797</v>
      </c>
    </row>
    <row r="1489" spans="1:40" x14ac:dyDescent="0.25">
      <c r="A1489" t="str">
        <f>"20190303170249374"</f>
        <v>20190303170249374</v>
      </c>
      <c r="B1489" t="str">
        <f>"1551603769366854"</f>
        <v>1551603769366854</v>
      </c>
      <c r="C1489" t="s">
        <v>40</v>
      </c>
      <c r="D1489">
        <v>4.7082269999999999</v>
      </c>
      <c r="E1489">
        <v>0.59872360000000002</v>
      </c>
      <c r="F1489" t="s">
        <v>42</v>
      </c>
      <c r="G1489">
        <v>-183.25960000000001</v>
      </c>
      <c r="H1489" s="1">
        <v>-5.2520270000000004E-6</v>
      </c>
      <c r="I1489">
        <v>349.0883</v>
      </c>
      <c r="J1489">
        <v>-210.88</v>
      </c>
      <c r="K1489">
        <v>1.1189880000000001</v>
      </c>
      <c r="L1489">
        <v>366.74220000000003</v>
      </c>
      <c r="M1489">
        <v>0.9892784</v>
      </c>
      <c r="N1489">
        <v>-1.3944450000000001E-2</v>
      </c>
      <c r="O1489">
        <v>-0.14537559999999999</v>
      </c>
      <c r="P1489">
        <v>0.93795209999999996</v>
      </c>
      <c r="Q1489">
        <v>0.13763929999999999</v>
      </c>
      <c r="R1489">
        <v>-0.31827919999999998</v>
      </c>
      <c r="S1489">
        <v>2.645187</v>
      </c>
      <c r="T1489">
        <v>-0.1066667</v>
      </c>
      <c r="U1489">
        <v>-1.6847840000000001</v>
      </c>
      <c r="V1489">
        <v>0.17953459999999999</v>
      </c>
      <c r="W1489">
        <v>0.1500156</v>
      </c>
      <c r="X1489">
        <v>0.97224619999999995</v>
      </c>
      <c r="Y1489">
        <v>0.40857009999999999</v>
      </c>
      <c r="Z1489">
        <v>-7.2184060000000001E-3</v>
      </c>
      <c r="AA1489">
        <v>0.91269840000000002</v>
      </c>
      <c r="AB1489">
        <v>24</v>
      </c>
      <c r="AC1489">
        <v>27.620399999999901</v>
      </c>
      <c r="AD1489">
        <v>-1.1189932520269901</v>
      </c>
      <c r="AE1489">
        <v>-17.6539</v>
      </c>
      <c r="AF1489">
        <v>13.434940276214199</v>
      </c>
      <c r="AG1489">
        <v>-1.1189932520269901</v>
      </c>
      <c r="AH1489">
        <v>29.8588201349698</v>
      </c>
      <c r="AI1489">
        <v>91.957375898585894</v>
      </c>
      <c r="AJ1489">
        <v>65.7746942869788</v>
      </c>
      <c r="AK1489">
        <v>32.7612409101976</v>
      </c>
      <c r="AL1489">
        <v>81.372169511864499</v>
      </c>
      <c r="AM1489">
        <v>79.537640750059794</v>
      </c>
      <c r="AN1489">
        <v>1.00000001312748</v>
      </c>
    </row>
    <row r="1490" spans="1:40" x14ac:dyDescent="0.25">
      <c r="A1490" t="str">
        <f>"20190303170249387"</f>
        <v>20190303170249387</v>
      </c>
      <c r="B1490" t="str">
        <f>"1551603769376613"</f>
        <v>1551603769376613</v>
      </c>
      <c r="C1490" t="s">
        <v>40</v>
      </c>
      <c r="D1490">
        <v>4.6988180000000002</v>
      </c>
      <c r="E1490">
        <v>0.59870679999999998</v>
      </c>
      <c r="F1490" t="s">
        <v>42</v>
      </c>
      <c r="G1490">
        <v>-183.2252</v>
      </c>
      <c r="H1490" s="1">
        <v>-5.2196900000000003E-6</v>
      </c>
      <c r="I1490">
        <v>348.99869999999999</v>
      </c>
      <c r="J1490">
        <v>-210.75059999999999</v>
      </c>
      <c r="K1490">
        <v>1.1189420000000001</v>
      </c>
      <c r="L1490">
        <v>366.72059999999999</v>
      </c>
      <c r="M1490">
        <v>0.9889464</v>
      </c>
      <c r="N1490">
        <v>-1.3947559999999999E-2</v>
      </c>
      <c r="O1490">
        <v>-0.147616</v>
      </c>
      <c r="P1490">
        <v>0.93660620000000006</v>
      </c>
      <c r="Q1490">
        <v>0.13797379999999901</v>
      </c>
      <c r="R1490">
        <v>-0.32207540000000001</v>
      </c>
      <c r="S1490">
        <v>2.6394500000000001</v>
      </c>
      <c r="T1490">
        <v>-0.1067997</v>
      </c>
      <c r="U1490">
        <v>-1.693481</v>
      </c>
      <c r="V1490">
        <v>0.1813004</v>
      </c>
      <c r="W1490">
        <v>0.150315</v>
      </c>
      <c r="X1490">
        <v>0.97187219999999996</v>
      </c>
      <c r="Y1490">
        <v>0.4095336</v>
      </c>
      <c r="Z1490">
        <v>-7.2001929999999997E-3</v>
      </c>
      <c r="AA1490">
        <v>0.91226660000000004</v>
      </c>
      <c r="AB1490">
        <v>24</v>
      </c>
      <c r="AC1490">
        <v>27.525399999999902</v>
      </c>
      <c r="AD1490">
        <v>-1.1189472196899899</v>
      </c>
      <c r="AE1490">
        <v>-17.721900000000002</v>
      </c>
      <c r="AF1490">
        <v>13.448418155447699</v>
      </c>
      <c r="AG1490">
        <v>-1.1189472196899899</v>
      </c>
      <c r="AH1490">
        <v>29.805263452036598</v>
      </c>
      <c r="AI1490">
        <v>91.959884813480201</v>
      </c>
      <c r="AJ1490">
        <v>65.714651246733098</v>
      </c>
      <c r="AK1490">
        <v>32.717972480114597</v>
      </c>
      <c r="AL1490">
        <v>81.354818327687994</v>
      </c>
      <c r="AM1490">
        <v>79.433070540027202</v>
      </c>
      <c r="AN1490">
        <v>1.00000000369899</v>
      </c>
    </row>
    <row r="1491" spans="1:40" x14ac:dyDescent="0.25">
      <c r="A1491" t="str">
        <f>"20190303170249400"</f>
        <v>20190303170249400</v>
      </c>
      <c r="B1491" t="str">
        <f>"1551603769387350"</f>
        <v>1551603769387350</v>
      </c>
      <c r="C1491" t="s">
        <v>40</v>
      </c>
      <c r="D1491">
        <v>4.6948569999999998</v>
      </c>
      <c r="E1491">
        <v>0.59861149999999996</v>
      </c>
      <c r="F1491" t="s">
        <v>42</v>
      </c>
      <c r="G1491">
        <v>-183.3759</v>
      </c>
      <c r="H1491" s="1">
        <v>-5.1974490000000003E-6</v>
      </c>
      <c r="I1491">
        <v>349.00920000000002</v>
      </c>
      <c r="J1491">
        <v>-210.6097</v>
      </c>
      <c r="K1491">
        <v>1.1188940000000001</v>
      </c>
      <c r="L1491">
        <v>366.69690000000003</v>
      </c>
      <c r="M1491">
        <v>0.98857439999999996</v>
      </c>
      <c r="N1491">
        <v>-1.3951099999999999E-2</v>
      </c>
      <c r="O1491">
        <v>-0.15008740000000001</v>
      </c>
      <c r="P1491">
        <v>0.93524759999999996</v>
      </c>
      <c r="Q1491">
        <v>0.13836809999999999</v>
      </c>
      <c r="R1491">
        <v>-0.32583250000000002</v>
      </c>
      <c r="S1491">
        <v>2.633057</v>
      </c>
      <c r="T1491">
        <v>-0.10762670000000001</v>
      </c>
      <c r="U1491">
        <v>-1.7035830000000001</v>
      </c>
      <c r="V1491">
        <v>0.18280679999999999</v>
      </c>
      <c r="W1491">
        <v>0.15067369999999999</v>
      </c>
      <c r="X1491">
        <v>0.97153440000000002</v>
      </c>
      <c r="Y1491">
        <v>0.41072639999999999</v>
      </c>
      <c r="Z1491">
        <v>-7.1968029999999999E-3</v>
      </c>
      <c r="AA1491">
        <v>0.91173020000000005</v>
      </c>
      <c r="AB1491">
        <v>24</v>
      </c>
      <c r="AC1491">
        <v>27.233799999999999</v>
      </c>
      <c r="AD1491">
        <v>-1.1188991974489999</v>
      </c>
      <c r="AE1491">
        <v>-17.6877</v>
      </c>
      <c r="AF1491">
        <v>13.3835709861093</v>
      </c>
      <c r="AG1491">
        <v>-1.1188991974489999</v>
      </c>
      <c r="AH1491">
        <v>29.545138388211399</v>
      </c>
      <c r="AI1491">
        <v>91.975724026074005</v>
      </c>
      <c r="AJ1491">
        <v>65.630079763647203</v>
      </c>
      <c r="AK1491">
        <v>32.454385067858603</v>
      </c>
      <c r="AL1491">
        <v>81.3340294476385</v>
      </c>
      <c r="AM1491">
        <v>79.343653716822303</v>
      </c>
      <c r="AN1491">
        <v>0.99999999019064501</v>
      </c>
    </row>
    <row r="1492" spans="1:40" x14ac:dyDescent="0.25">
      <c r="A1492" t="str">
        <f>"20190303170249412"</f>
        <v>20190303170249412</v>
      </c>
      <c r="B1492" t="str">
        <f>"1551603769398085"</f>
        <v>1551603769398085</v>
      </c>
      <c r="C1492" t="s">
        <v>40</v>
      </c>
      <c r="D1492">
        <v>4.6989589999999897</v>
      </c>
      <c r="E1492">
        <v>0.59852609999999995</v>
      </c>
      <c r="F1492" t="s">
        <v>42</v>
      </c>
      <c r="G1492">
        <v>-183.27760000000001</v>
      </c>
      <c r="H1492" s="1">
        <v>-5.1564180000000004E-6</v>
      </c>
      <c r="I1492">
        <v>348.87290000000002</v>
      </c>
      <c r="J1492">
        <v>-210.47059999999999</v>
      </c>
      <c r="K1492">
        <v>1.1188400000000001</v>
      </c>
      <c r="L1492">
        <v>366.67309999999998</v>
      </c>
      <c r="M1492">
        <v>0.98819299999999999</v>
      </c>
      <c r="N1492">
        <v>-1.395501E-2</v>
      </c>
      <c r="O1492">
        <v>-0.15257809999999999</v>
      </c>
      <c r="P1492">
        <v>0.93401120000000004</v>
      </c>
      <c r="Q1492">
        <v>0.13835810000000001</v>
      </c>
      <c r="R1492">
        <v>-0.32936369999999998</v>
      </c>
      <c r="S1492">
        <v>2.6268159999999998</v>
      </c>
      <c r="T1492">
        <v>-0.10753450000000001</v>
      </c>
      <c r="U1492">
        <v>-1.7130129999999999</v>
      </c>
      <c r="V1492">
        <v>0.1840522</v>
      </c>
      <c r="W1492">
        <v>0.15063080000000001</v>
      </c>
      <c r="X1492">
        <v>0.97130590000000006</v>
      </c>
      <c r="Y1492">
        <v>0.41171609999999997</v>
      </c>
      <c r="Z1492">
        <v>-7.1689529999999996E-3</v>
      </c>
      <c r="AA1492">
        <v>0.91128399999999998</v>
      </c>
      <c r="AB1492">
        <v>24</v>
      </c>
      <c r="AC1492">
        <v>27.192999999999898</v>
      </c>
      <c r="AD1492">
        <v>-1.118845156418</v>
      </c>
      <c r="AE1492">
        <v>-17.800199999999901</v>
      </c>
      <c r="AF1492">
        <v>13.426372799031499</v>
      </c>
      <c r="AG1492">
        <v>-1.118845156418</v>
      </c>
      <c r="AH1492">
        <v>29.555704982912701</v>
      </c>
      <c r="AI1492">
        <v>91.973968253846095</v>
      </c>
      <c r="AJ1492">
        <v>65.568961468406997</v>
      </c>
      <c r="AK1492">
        <v>32.481671725137303</v>
      </c>
      <c r="AL1492">
        <v>81.336515906609307</v>
      </c>
      <c r="AM1492">
        <v>79.270269879509996</v>
      </c>
      <c r="AN1492">
        <v>1.0000000008041401</v>
      </c>
    </row>
    <row r="1493" spans="1:40" x14ac:dyDescent="0.25">
      <c r="A1493" t="str">
        <f>"20190303170249426"</f>
        <v>20190303170249426</v>
      </c>
      <c r="B1493" t="str">
        <f>"1551603769416817"</f>
        <v>1551603769416817</v>
      </c>
      <c r="C1493" t="s">
        <v>40</v>
      </c>
      <c r="D1493">
        <v>4.6848939999999999</v>
      </c>
      <c r="E1493">
        <v>0.59833369999999997</v>
      </c>
      <c r="F1493" t="s">
        <v>42</v>
      </c>
      <c r="G1493">
        <v>-183.28739999999999</v>
      </c>
      <c r="H1493" s="1">
        <v>-5.1247439999999998E-6</v>
      </c>
      <c r="I1493">
        <v>348.8032</v>
      </c>
      <c r="J1493">
        <v>-210.33150000000001</v>
      </c>
      <c r="K1493">
        <v>1.1187849999999999</v>
      </c>
      <c r="L1493">
        <v>366.64870000000002</v>
      </c>
      <c r="M1493">
        <v>0.98779570000000005</v>
      </c>
      <c r="N1493">
        <v>-1.3959330000000001E-2</v>
      </c>
      <c r="O1493">
        <v>-0.1551284</v>
      </c>
      <c r="P1493">
        <v>0.93288649999999995</v>
      </c>
      <c r="Q1493">
        <v>0.13798460000000001</v>
      </c>
      <c r="R1493">
        <v>-0.33269080000000001</v>
      </c>
      <c r="S1493">
        <v>2.6204529999999999</v>
      </c>
      <c r="T1493">
        <v>-0.10785640000000001</v>
      </c>
      <c r="U1493">
        <v>-1.722656</v>
      </c>
      <c r="V1493">
        <v>0.1850184</v>
      </c>
      <c r="W1493">
        <v>0.15022729999999901</v>
      </c>
      <c r="X1493">
        <v>0.97118479999999996</v>
      </c>
      <c r="Y1493">
        <v>0.412719</v>
      </c>
      <c r="Z1493">
        <v>-7.1480279999999998E-3</v>
      </c>
      <c r="AA1493">
        <v>0.91083029999999998</v>
      </c>
      <c r="AB1493">
        <v>24</v>
      </c>
      <c r="AC1493">
        <v>27.0441</v>
      </c>
      <c r="AD1493">
        <v>-1.118790124744</v>
      </c>
      <c r="AE1493">
        <v>-17.845500000000001</v>
      </c>
      <c r="AF1493">
        <v>13.417711503529301</v>
      </c>
      <c r="AG1493">
        <v>-1.118790124744</v>
      </c>
      <c r="AH1493">
        <v>29.4501497502138</v>
      </c>
      <c r="AI1493">
        <v>91.979945266718602</v>
      </c>
      <c r="AJ1493">
        <v>65.505630454722294</v>
      </c>
      <c r="AK1493">
        <v>32.3820628380155</v>
      </c>
      <c r="AL1493">
        <v>81.359900699559901</v>
      </c>
      <c r="AM1493">
        <v>79.2139476063671</v>
      </c>
      <c r="AN1493">
        <v>0.99999998287744396</v>
      </c>
    </row>
    <row r="1494" spans="1:40" x14ac:dyDescent="0.25">
      <c r="A1494" t="str">
        <f>"20190303170249439"</f>
        <v>20190303170249439</v>
      </c>
      <c r="B1494" t="str">
        <f>"1551603769426577"</f>
        <v>1551603769426577</v>
      </c>
      <c r="C1494" t="s">
        <v>40</v>
      </c>
      <c r="D1494">
        <v>4.6958440000000001</v>
      </c>
      <c r="E1494">
        <v>0.59824929999999998</v>
      </c>
      <c r="F1494" t="s">
        <v>42</v>
      </c>
      <c r="G1494">
        <v>-183.66079999999999</v>
      </c>
      <c r="H1494" s="1">
        <v>-5.1402399999999998E-6</v>
      </c>
      <c r="I1494">
        <v>348.99360000000001</v>
      </c>
      <c r="J1494">
        <v>-210.18340000000001</v>
      </c>
      <c r="K1494">
        <v>1.1187199999999999</v>
      </c>
      <c r="L1494">
        <v>366.6225</v>
      </c>
      <c r="M1494">
        <v>0.98735859999999998</v>
      </c>
      <c r="N1494">
        <v>-1.3963929999999999E-2</v>
      </c>
      <c r="O1494">
        <v>-0.15788640000000001</v>
      </c>
      <c r="P1494">
        <v>0.931477</v>
      </c>
      <c r="Q1494">
        <v>0.13789599999999999</v>
      </c>
      <c r="R1494">
        <v>-0.33665260000000002</v>
      </c>
      <c r="S1494">
        <v>2.614792</v>
      </c>
      <c r="T1494">
        <v>-0.1096857</v>
      </c>
      <c r="U1494">
        <v>-1.730896</v>
      </c>
      <c r="V1494">
        <v>0.18645639999999999</v>
      </c>
      <c r="W1494">
        <v>0.1501014</v>
      </c>
      <c r="X1494">
        <v>0.97092920000000005</v>
      </c>
      <c r="Y1494">
        <v>0.41307090000000002</v>
      </c>
      <c r="Z1494">
        <v>-7.1310289999999997E-3</v>
      </c>
      <c r="AA1494">
        <v>0.91067100000000001</v>
      </c>
      <c r="AB1494">
        <v>24</v>
      </c>
      <c r="AC1494">
        <v>26.522600000000001</v>
      </c>
      <c r="AD1494">
        <v>-1.11872514024</v>
      </c>
      <c r="AE1494">
        <v>-17.628899999999899</v>
      </c>
      <c r="AF1494">
        <v>13.203483411455601</v>
      </c>
      <c r="AG1494">
        <v>-1.11872514024</v>
      </c>
      <c r="AH1494">
        <v>28.9377951038304</v>
      </c>
      <c r="AI1494">
        <v>92.0143511017788</v>
      </c>
      <c r="AJ1494">
        <v>65.474150238661693</v>
      </c>
      <c r="AK1494">
        <v>31.827338965223898</v>
      </c>
      <c r="AL1494">
        <v>81.367196818345505</v>
      </c>
      <c r="AM1494">
        <v>79.129312336805199</v>
      </c>
      <c r="AN1494">
        <v>0.99999996539777902</v>
      </c>
    </row>
    <row r="1495" spans="1:40" x14ac:dyDescent="0.25">
      <c r="A1495" t="str">
        <f>"20190303170249452"</f>
        <v>20190303170249452</v>
      </c>
      <c r="B1495" t="str">
        <f>"1551603769447074"</f>
        <v>1551603769447074</v>
      </c>
      <c r="C1495" t="s">
        <v>40</v>
      </c>
      <c r="D1495">
        <v>4.6803030000000003</v>
      </c>
      <c r="E1495">
        <v>0.59816879999999994</v>
      </c>
      <c r="F1495" t="s">
        <v>42</v>
      </c>
      <c r="G1495">
        <v>-183.738</v>
      </c>
      <c r="H1495" s="1">
        <v>-5.1110090000000003E-6</v>
      </c>
      <c r="I1495">
        <v>348.95749999999998</v>
      </c>
      <c r="J1495">
        <v>-210.03720000000001</v>
      </c>
      <c r="K1495">
        <v>1.1186510000000001</v>
      </c>
      <c r="L1495">
        <v>366.596</v>
      </c>
      <c r="M1495">
        <v>0.98691010000000001</v>
      </c>
      <c r="N1495">
        <v>-1.396852E-2</v>
      </c>
      <c r="O1495">
        <v>-0.16066610000000001</v>
      </c>
      <c r="P1495">
        <v>0.92964020000000003</v>
      </c>
      <c r="Q1495">
        <v>0.1376465</v>
      </c>
      <c r="R1495">
        <v>-0.34179340000000002</v>
      </c>
      <c r="S1495">
        <v>2.6074980000000001</v>
      </c>
      <c r="T1495">
        <v>-0.11030570000000001</v>
      </c>
      <c r="U1495">
        <v>-1.74175999999999</v>
      </c>
      <c r="V1495">
        <v>0.189105</v>
      </c>
      <c r="W1495">
        <v>0.14980299999999999</v>
      </c>
      <c r="X1495">
        <v>0.97046299999999996</v>
      </c>
      <c r="Y1495">
        <v>0.41430299999999998</v>
      </c>
      <c r="Z1495">
        <v>-7.1144240000000003E-3</v>
      </c>
      <c r="AA1495">
        <v>0.91011120000000001</v>
      </c>
      <c r="AB1495">
        <v>24</v>
      </c>
      <c r="AC1495">
        <v>26.299199999999999</v>
      </c>
      <c r="AD1495">
        <v>-1.1186561110089901</v>
      </c>
      <c r="AE1495">
        <v>-17.638500000000001</v>
      </c>
      <c r="AF1495">
        <v>13.1670766852772</v>
      </c>
      <c r="AG1495">
        <v>-1.1186561110089901</v>
      </c>
      <c r="AH1495">
        <v>28.7557748751655</v>
      </c>
      <c r="AI1495">
        <v>92.025724400544107</v>
      </c>
      <c r="AJ1495">
        <v>65.397273842234299</v>
      </c>
      <c r="AK1495">
        <v>31.646767427367202</v>
      </c>
      <c r="AL1495">
        <v>81.384490025059193</v>
      </c>
      <c r="AM1495">
        <v>78.973485788199895</v>
      </c>
      <c r="AN1495">
        <v>1.0000000371014901</v>
      </c>
    </row>
    <row r="1496" spans="1:40" x14ac:dyDescent="0.25">
      <c r="A1496" t="str">
        <f>"20190303170249468"</f>
        <v>20190303170249468</v>
      </c>
      <c r="B1496" t="str">
        <f>"1551603769456833"</f>
        <v>1551603769456833</v>
      </c>
      <c r="C1496" t="s">
        <v>40</v>
      </c>
      <c r="D1496">
        <v>4.6931050000000001</v>
      </c>
      <c r="E1496">
        <v>0.5980858</v>
      </c>
      <c r="F1496" t="s">
        <v>42</v>
      </c>
      <c r="G1496">
        <v>-184.2141</v>
      </c>
      <c r="H1496" s="1">
        <v>-5.1084099999999999E-6</v>
      </c>
      <c r="I1496">
        <v>349.14830000000001</v>
      </c>
      <c r="J1496">
        <v>-209.87520000000001</v>
      </c>
      <c r="K1496">
        <v>1.1185799999999999</v>
      </c>
      <c r="L1496">
        <v>366.56599999999997</v>
      </c>
      <c r="M1496">
        <v>0.98639010000000005</v>
      </c>
      <c r="N1496">
        <v>-1.397377E-2</v>
      </c>
      <c r="O1496">
        <v>-0.16382759999999999</v>
      </c>
      <c r="P1496">
        <v>0.92801449999999996</v>
      </c>
      <c r="Q1496">
        <v>0.13770539999999901</v>
      </c>
      <c r="R1496">
        <v>-0.34616000000000002</v>
      </c>
      <c r="S1496">
        <v>2.5982669999999999</v>
      </c>
      <c r="T1496">
        <v>-0.1125568</v>
      </c>
      <c r="U1496">
        <v>-1.7555540000000001</v>
      </c>
      <c r="V1496">
        <v>0.19058639999999999</v>
      </c>
      <c r="W1496">
        <v>0.14982089999999901</v>
      </c>
      <c r="X1496">
        <v>0.97017039999999999</v>
      </c>
      <c r="Y1496">
        <v>0.41619230000000002</v>
      </c>
      <c r="Z1496">
        <v>-7.1333109999999998E-3</v>
      </c>
      <c r="AA1496">
        <v>0.90924870000000002</v>
      </c>
      <c r="AB1496">
        <v>24</v>
      </c>
      <c r="AC1496">
        <v>25.661100000000001</v>
      </c>
      <c r="AD1496">
        <v>-1.11858510840999</v>
      </c>
      <c r="AE1496">
        <v>-17.4176999999999</v>
      </c>
      <c r="AF1496">
        <v>12.961056194253599</v>
      </c>
      <c r="AG1496">
        <v>-1.11858510840999</v>
      </c>
      <c r="AH1496">
        <v>28.131508278594801</v>
      </c>
      <c r="AI1496">
        <v>92.068281909989494</v>
      </c>
      <c r="AJ1496">
        <v>65.263013785171907</v>
      </c>
      <c r="AK1496">
        <v>30.9939021154808</v>
      </c>
      <c r="AL1496">
        <v>81.383452762287305</v>
      </c>
      <c r="AM1496">
        <v>78.8859806043329</v>
      </c>
      <c r="AN1496">
        <v>1.00000004148896</v>
      </c>
    </row>
    <row r="1497" spans="1:40" x14ac:dyDescent="0.25">
      <c r="A1497" t="str">
        <f>"20190303170249479"</f>
        <v>20190303170249479</v>
      </c>
      <c r="B1497" t="str">
        <f>"1551603769466593"</f>
        <v>1551603769466593</v>
      </c>
      <c r="C1497" t="s">
        <v>40</v>
      </c>
      <c r="D1497">
        <v>4.6881919999999999</v>
      </c>
      <c r="E1497">
        <v>0.59799449999999998</v>
      </c>
      <c r="F1497" t="s">
        <v>42</v>
      </c>
      <c r="G1497">
        <v>-184.5129</v>
      </c>
      <c r="H1497" s="1">
        <v>-5.1079370000000002E-6</v>
      </c>
      <c r="I1497">
        <v>349.27069999999998</v>
      </c>
      <c r="J1497">
        <v>-209.75630000000001</v>
      </c>
      <c r="K1497">
        <v>1.1185290000000001</v>
      </c>
      <c r="L1497">
        <v>366.5437</v>
      </c>
      <c r="M1497">
        <v>0.98599539999999997</v>
      </c>
      <c r="N1497">
        <v>-1.3977649999999999E-2</v>
      </c>
      <c r="O1497">
        <v>-0.16618559999999999</v>
      </c>
      <c r="P1497">
        <v>0.92661199999999999</v>
      </c>
      <c r="Q1497">
        <v>0.13788120000000001</v>
      </c>
      <c r="R1497">
        <v>-0.3498272</v>
      </c>
      <c r="S1497">
        <v>2.5906829999999998</v>
      </c>
      <c r="T1497">
        <v>-0.11426020000000001</v>
      </c>
      <c r="U1497">
        <v>-1.7666630000000001</v>
      </c>
      <c r="V1497">
        <v>0.19212969999999999</v>
      </c>
      <c r="W1497">
        <v>0.14996189999999901</v>
      </c>
      <c r="X1497">
        <v>0.96984409999999999</v>
      </c>
      <c r="Y1497">
        <v>0.41790880000000002</v>
      </c>
      <c r="Z1497">
        <v>-7.1545280000000003E-3</v>
      </c>
      <c r="AA1497">
        <v>0.90846079999999996</v>
      </c>
      <c r="AB1497">
        <v>24</v>
      </c>
      <c r="AC1497">
        <v>25.243400000000001</v>
      </c>
      <c r="AD1497">
        <v>-1.1185341079369999</v>
      </c>
      <c r="AE1497">
        <v>-17.273</v>
      </c>
      <c r="AF1497">
        <v>12.820119549990499</v>
      </c>
      <c r="AG1497">
        <v>-1.1185341079369999</v>
      </c>
      <c r="AH1497">
        <v>27.726036147440801</v>
      </c>
      <c r="AI1497">
        <v>92.097086970328704</v>
      </c>
      <c r="AJ1497">
        <v>65.184859050943004</v>
      </c>
      <c r="AK1497">
        <v>30.5669701520426</v>
      </c>
      <c r="AL1497">
        <v>81.375281260453093</v>
      </c>
      <c r="AM1497">
        <v>78.794576926214503</v>
      </c>
      <c r="AN1497">
        <v>0.99999998568925397</v>
      </c>
    </row>
    <row r="1498" spans="1:40" x14ac:dyDescent="0.25">
      <c r="A1498" t="str">
        <f>"20190303170249490"</f>
        <v>20190303170249490</v>
      </c>
      <c r="B1498" t="str">
        <f>"1551603769487089"</f>
        <v>1551603769487089</v>
      </c>
      <c r="C1498" t="s">
        <v>40</v>
      </c>
      <c r="D1498">
        <v>4.6921010000000001</v>
      </c>
      <c r="E1498">
        <v>0.59783920000000002</v>
      </c>
      <c r="F1498" t="s">
        <v>42</v>
      </c>
      <c r="G1498">
        <v>-184.74590000000001</v>
      </c>
      <c r="H1498" s="1">
        <v>-5.1070240000000002E-6</v>
      </c>
      <c r="I1498">
        <v>349.36489999999998</v>
      </c>
      <c r="J1498">
        <v>-209.62960000000001</v>
      </c>
      <c r="K1498">
        <v>1.1184780000000001</v>
      </c>
      <c r="L1498">
        <v>366.51949999999999</v>
      </c>
      <c r="M1498">
        <v>0.9855602</v>
      </c>
      <c r="N1498">
        <v>-1.398198E-2</v>
      </c>
      <c r="O1498">
        <v>-0.168747799999999</v>
      </c>
      <c r="P1498">
        <v>0.92528359999999998</v>
      </c>
      <c r="Q1498">
        <v>0.13789189999999901</v>
      </c>
      <c r="R1498">
        <v>-0.35332219999999998</v>
      </c>
      <c r="S1498">
        <v>2.5845950000000002</v>
      </c>
      <c r="T1498">
        <v>-0.1155901</v>
      </c>
      <c r="U1498">
        <v>-1.77526899999999</v>
      </c>
      <c r="V1498">
        <v>0.19329109999999999</v>
      </c>
      <c r="W1498">
        <v>0.1499402</v>
      </c>
      <c r="X1498">
        <v>0.9696167</v>
      </c>
      <c r="Y1498">
        <v>0.4185952</v>
      </c>
      <c r="Z1498">
        <v>-7.1337609999999997E-3</v>
      </c>
      <c r="AA1498">
        <v>0.90814490000000003</v>
      </c>
      <c r="AB1498">
        <v>24</v>
      </c>
      <c r="AC1498">
        <v>24.883700000000001</v>
      </c>
      <c r="AD1498">
        <v>-1.118483107024</v>
      </c>
      <c r="AE1498">
        <v>-17.154599999999999</v>
      </c>
      <c r="AF1498">
        <v>12.691681109046</v>
      </c>
      <c r="AG1498">
        <v>-1.118483107024</v>
      </c>
      <c r="AH1498">
        <v>27.384360115181501</v>
      </c>
      <c r="AI1498">
        <v>92.122259547628204</v>
      </c>
      <c r="AJ1498">
        <v>65.133947439011095</v>
      </c>
      <c r="AK1498">
        <v>30.2031944130478</v>
      </c>
      <c r="AL1498">
        <v>81.376539172939502</v>
      </c>
      <c r="AM1498">
        <v>78.725994908653902</v>
      </c>
      <c r="AN1498">
        <v>1.0000000289170601</v>
      </c>
    </row>
    <row r="1499" spans="1:40" x14ac:dyDescent="0.25">
      <c r="A1499" t="str">
        <f>"20190303170249502"</f>
        <v>20190303170249502</v>
      </c>
      <c r="B1499" t="str">
        <f>"1551603769497825"</f>
        <v>1551603769497825</v>
      </c>
      <c r="C1499" t="s">
        <v>40</v>
      </c>
      <c r="D1499">
        <v>4.7107859999999997</v>
      </c>
      <c r="E1499">
        <v>0.59777269999999905</v>
      </c>
      <c r="F1499" t="s">
        <v>52</v>
      </c>
      <c r="G1499">
        <v>-185.23910000000001</v>
      </c>
      <c r="H1499" s="1">
        <v>-1.283273E-6</v>
      </c>
      <c r="I1499">
        <v>349.65350000000001</v>
      </c>
      <c r="J1499">
        <v>-209.5061</v>
      </c>
      <c r="K1499">
        <v>1.1184240000000001</v>
      </c>
      <c r="L1499">
        <v>366.49549999999999</v>
      </c>
      <c r="M1499">
        <v>0.98512049999999995</v>
      </c>
      <c r="N1499">
        <v>-1.3986510000000001E-2</v>
      </c>
      <c r="O1499">
        <v>-0.1712957</v>
      </c>
      <c r="P1499">
        <v>0.92390439999999996</v>
      </c>
      <c r="Q1499">
        <v>0.13785320000000001</v>
      </c>
      <c r="R1499">
        <v>-0.35692849999999998</v>
      </c>
      <c r="S1499">
        <v>2.5789339999999998</v>
      </c>
      <c r="T1499">
        <v>-0.11826250000000001</v>
      </c>
      <c r="U1499">
        <v>-1.783325</v>
      </c>
      <c r="V1499">
        <v>0.1945857</v>
      </c>
      <c r="W1499">
        <v>0.149868</v>
      </c>
      <c r="X1499">
        <v>0.96936889999999998</v>
      </c>
      <c r="Y1499">
        <v>0.41908679999999898</v>
      </c>
      <c r="Z1499">
        <v>-7.1250410000000004E-3</v>
      </c>
      <c r="AA1499">
        <v>0.90791820000000001</v>
      </c>
      <c r="AB1499">
        <v>24</v>
      </c>
      <c r="AC1499">
        <v>24.266999999999999</v>
      </c>
      <c r="AD1499">
        <v>-1.1184252832729999</v>
      </c>
      <c r="AE1499">
        <v>-16.841999999999899</v>
      </c>
      <c r="AF1499">
        <v>12.4179792075726</v>
      </c>
      <c r="AG1499">
        <v>-1.1184252832729999</v>
      </c>
      <c r="AH1499">
        <v>26.755142770627099</v>
      </c>
      <c r="AI1499">
        <v>92.171455987993198</v>
      </c>
      <c r="AJ1499">
        <v>65.102369001471004</v>
      </c>
      <c r="AK1499">
        <v>29.517702271528702</v>
      </c>
      <c r="AL1499">
        <v>81.380723285828793</v>
      </c>
      <c r="AM1499">
        <v>78.649612731452805</v>
      </c>
      <c r="AN1499">
        <v>1.00000003817784</v>
      </c>
    </row>
    <row r="1500" spans="1:40" x14ac:dyDescent="0.25">
      <c r="A1500" t="str">
        <f>"20190303170249514"</f>
        <v>20190303170249514</v>
      </c>
      <c r="B1500" t="str">
        <f>"1551603769506609"</f>
        <v>1551603769506609</v>
      </c>
      <c r="C1500" t="s">
        <v>40</v>
      </c>
      <c r="D1500">
        <v>4.7131280000000002</v>
      </c>
      <c r="E1500">
        <v>0.59770769999999995</v>
      </c>
      <c r="F1500" t="s">
        <v>52</v>
      </c>
      <c r="G1500">
        <v>-185.50810000000001</v>
      </c>
      <c r="H1500" s="1">
        <v>-1.2513800000000001E-6</v>
      </c>
      <c r="I1500">
        <v>349.77080000000001</v>
      </c>
      <c r="J1500">
        <v>-209.37780000000001</v>
      </c>
      <c r="K1500">
        <v>1.1183730000000001</v>
      </c>
      <c r="L1500">
        <v>366.47030000000001</v>
      </c>
      <c r="M1500">
        <v>0.9846511</v>
      </c>
      <c r="N1500">
        <v>-1.399126E-2</v>
      </c>
      <c r="O1500">
        <v>-0.1739723</v>
      </c>
      <c r="P1500">
        <v>0.92262219999999995</v>
      </c>
      <c r="Q1500">
        <v>0.13785229999999901</v>
      </c>
      <c r="R1500">
        <v>-0.36022890000000002</v>
      </c>
      <c r="S1500">
        <v>2.572403</v>
      </c>
      <c r="T1500">
        <v>-0.1198863</v>
      </c>
      <c r="U1500">
        <v>-1.7927550000000001</v>
      </c>
      <c r="V1500">
        <v>0.19543840000000001</v>
      </c>
      <c r="W1500">
        <v>0.1498369</v>
      </c>
      <c r="X1500">
        <v>0.96920209999999996</v>
      </c>
      <c r="Y1500">
        <v>0.4199331</v>
      </c>
      <c r="Z1500">
        <v>-7.1051169999999898E-3</v>
      </c>
      <c r="AA1500">
        <v>0.90752719999999998</v>
      </c>
      <c r="AB1500">
        <v>24</v>
      </c>
      <c r="AC1500">
        <v>23.869699999999899</v>
      </c>
      <c r="AD1500">
        <v>-1.1183742513799999</v>
      </c>
      <c r="AE1500">
        <v>-16.6995</v>
      </c>
      <c r="AF1500">
        <v>12.273628688360199</v>
      </c>
      <c r="AG1500">
        <v>-1.1183742513799999</v>
      </c>
      <c r="AH1500">
        <v>26.372294452280901</v>
      </c>
      <c r="AI1500">
        <v>92.201784737519901</v>
      </c>
      <c r="AJ1500">
        <v>65.042797758716404</v>
      </c>
      <c r="AK1500">
        <v>29.109974868139201</v>
      </c>
      <c r="AL1500">
        <v>81.382525096703603</v>
      </c>
      <c r="AM1500">
        <v>78.5992628437279</v>
      </c>
      <c r="AN1500">
        <v>0.99999998772028897</v>
      </c>
    </row>
    <row r="1501" spans="1:40" x14ac:dyDescent="0.25">
      <c r="A1501" t="str">
        <f>"20190303170249526"</f>
        <v>20190303170249526</v>
      </c>
      <c r="B1501" t="str">
        <f>"1551603769517344"</f>
        <v>1551603769517344</v>
      </c>
      <c r="C1501" t="s">
        <v>40</v>
      </c>
      <c r="D1501">
        <v>4.7034200000000004</v>
      </c>
      <c r="E1501">
        <v>0.59762199999999999</v>
      </c>
      <c r="F1501" t="s">
        <v>52</v>
      </c>
      <c r="G1501">
        <v>-185.566</v>
      </c>
      <c r="H1501" s="1">
        <v>-1.230634E-6</v>
      </c>
      <c r="I1501">
        <v>349.75510000000003</v>
      </c>
      <c r="J1501">
        <v>-209.25899999999999</v>
      </c>
      <c r="K1501">
        <v>1.1183209999999999</v>
      </c>
      <c r="L1501">
        <v>366.44639999999998</v>
      </c>
      <c r="M1501">
        <v>0.98419610000000002</v>
      </c>
      <c r="N1501">
        <v>-1.3996349999999999E-2</v>
      </c>
      <c r="O1501">
        <v>-0.17652760000000001</v>
      </c>
      <c r="P1501">
        <v>0.92120349999999995</v>
      </c>
      <c r="Q1501">
        <v>0.1382467</v>
      </c>
      <c r="R1501">
        <v>-0.36369200000000002</v>
      </c>
      <c r="S1501">
        <v>2.5662690000000001</v>
      </c>
      <c r="T1501">
        <v>-0.1205305</v>
      </c>
      <c r="U1501">
        <v>-1.801453</v>
      </c>
      <c r="V1501">
        <v>0.19659860000000001</v>
      </c>
      <c r="W1501">
        <v>0.1501971</v>
      </c>
      <c r="X1501">
        <v>0.96891159999999998</v>
      </c>
      <c r="Y1501">
        <v>0.4206548</v>
      </c>
      <c r="Z1501">
        <v>-7.0697529999999998E-3</v>
      </c>
      <c r="AA1501">
        <v>0.90719320000000003</v>
      </c>
      <c r="AB1501">
        <v>24</v>
      </c>
      <c r="AC1501">
        <v>23.693000000000001</v>
      </c>
      <c r="AD1501">
        <v>-1.1183222306339999</v>
      </c>
      <c r="AE1501">
        <v>-16.691299999999899</v>
      </c>
      <c r="AF1501">
        <v>12.2280376081935</v>
      </c>
      <c r="AG1501">
        <v>-1.1183222306339999</v>
      </c>
      <c r="AH1501">
        <v>26.228555565353901</v>
      </c>
      <c r="AI1501">
        <v>92.213048741643107</v>
      </c>
      <c r="AJ1501">
        <v>65.004555432400593</v>
      </c>
      <c r="AK1501">
        <v>28.9605365178856</v>
      </c>
      <c r="AL1501">
        <v>81.361650460314195</v>
      </c>
      <c r="AM1501">
        <v>78.530024354281295</v>
      </c>
      <c r="AN1501">
        <v>0.99999993349246197</v>
      </c>
    </row>
    <row r="1502" spans="1:40" x14ac:dyDescent="0.25">
      <c r="A1502" t="str">
        <f>"20190303170249538"</f>
        <v>20190303170249538</v>
      </c>
      <c r="B1502" t="str">
        <f>"1551603769527105"</f>
        <v>1551603769527105</v>
      </c>
      <c r="C1502" t="s">
        <v>40</v>
      </c>
      <c r="D1502">
        <v>4.7074680000000004</v>
      </c>
      <c r="E1502">
        <v>0.59756279999999995</v>
      </c>
      <c r="F1502" t="s">
        <v>42</v>
      </c>
      <c r="G1502">
        <v>-185.4151</v>
      </c>
      <c r="H1502" s="1">
        <v>-5.0812149999999999E-6</v>
      </c>
      <c r="I1502">
        <v>349.58150000000001</v>
      </c>
      <c r="J1502">
        <v>-209.12100000000001</v>
      </c>
      <c r="K1502">
        <v>1.118263</v>
      </c>
      <c r="L1502">
        <v>366.41840000000002</v>
      </c>
      <c r="M1502">
        <v>0.98365340000000001</v>
      </c>
      <c r="N1502">
        <v>-1.4002280000000001E-2</v>
      </c>
      <c r="O1502">
        <v>-0.17952660000000001</v>
      </c>
      <c r="P1502">
        <v>0.91961110000000001</v>
      </c>
      <c r="Q1502">
        <v>0.13871339999999999</v>
      </c>
      <c r="R1502">
        <v>-0.36752430000000003</v>
      </c>
      <c r="S1502">
        <v>2.5598139999999998</v>
      </c>
      <c r="T1502">
        <v>-0.1200606</v>
      </c>
      <c r="U1502">
        <v>-1.8105770000000001</v>
      </c>
      <c r="V1502">
        <v>0.19772139999999999</v>
      </c>
      <c r="W1502">
        <v>0.1506256</v>
      </c>
      <c r="X1502">
        <v>0.96861660000000005</v>
      </c>
      <c r="Y1502">
        <v>0.42112620000000001</v>
      </c>
      <c r="Z1502">
        <v>-7.0009540000000002E-3</v>
      </c>
      <c r="AA1502">
        <v>0.90697510000000003</v>
      </c>
      <c r="AB1502">
        <v>24</v>
      </c>
      <c r="AC1502">
        <v>23.7058999999999</v>
      </c>
      <c r="AD1502">
        <v>-1.1182680812150001</v>
      </c>
      <c r="AE1502">
        <v>-16.8369</v>
      </c>
      <c r="AF1502">
        <v>12.2888649047778</v>
      </c>
      <c r="AG1502">
        <v>-1.1182680812150001</v>
      </c>
      <c r="AH1502">
        <v>26.304736966362999</v>
      </c>
      <c r="AI1502">
        <v>92.205726421753496</v>
      </c>
      <c r="AJ1502">
        <v>64.959284822706607</v>
      </c>
      <c r="AK1502">
        <v>29.055221751328801</v>
      </c>
      <c r="AL1502">
        <v>81.336817019498795</v>
      </c>
      <c r="AM1502">
        <v>78.462849912361804</v>
      </c>
      <c r="AN1502">
        <v>0.99999997059443901</v>
      </c>
    </row>
    <row r="1503" spans="1:40" x14ac:dyDescent="0.25">
      <c r="A1503" t="str">
        <f>"20190303170249553"</f>
        <v>20190303170249553</v>
      </c>
      <c r="B1503" t="str">
        <f>"1551603769546626"</f>
        <v>1551603769546626</v>
      </c>
      <c r="C1503" t="s">
        <v>40</v>
      </c>
      <c r="D1503">
        <v>4.6928679999999998</v>
      </c>
      <c r="E1503">
        <v>0.59743029999999997</v>
      </c>
      <c r="F1503" t="s">
        <v>42</v>
      </c>
      <c r="G1503">
        <v>-185.26750000000001</v>
      </c>
      <c r="H1503" s="1">
        <v>-5.0286990000000004E-6</v>
      </c>
      <c r="I1503">
        <v>349.39800000000002</v>
      </c>
      <c r="J1503">
        <v>-208.96090000000001</v>
      </c>
      <c r="K1503">
        <v>1.1181859999999999</v>
      </c>
      <c r="L1503">
        <v>366.3852</v>
      </c>
      <c r="M1503">
        <v>0.98299650000000005</v>
      </c>
      <c r="N1503">
        <v>-1.400973E-2</v>
      </c>
      <c r="O1503">
        <v>-0.183089</v>
      </c>
      <c r="P1503">
        <v>0.91706650000000001</v>
      </c>
      <c r="Q1503">
        <v>0.13943079999999999</v>
      </c>
      <c r="R1503">
        <v>-0.3735618</v>
      </c>
      <c r="S1503">
        <v>2.5524290000000001</v>
      </c>
      <c r="T1503">
        <v>-0.11965969999999999</v>
      </c>
      <c r="U1503">
        <v>-1.821259</v>
      </c>
      <c r="V1503">
        <v>0.2006396</v>
      </c>
      <c r="W1503">
        <v>0.15127750000000001</v>
      </c>
      <c r="X1503">
        <v>0.96791470000000002</v>
      </c>
      <c r="Y1503">
        <v>0.4215988</v>
      </c>
      <c r="Z1503">
        <v>-6.9194479999999999E-3</v>
      </c>
      <c r="AA1503">
        <v>0.90675609999999995</v>
      </c>
      <c r="AB1503">
        <v>24</v>
      </c>
      <c r="AC1503">
        <v>23.6934</v>
      </c>
      <c r="AD1503">
        <v>-1.118191028699</v>
      </c>
      <c r="AE1503">
        <v>-16.987199999999898</v>
      </c>
      <c r="AF1503">
        <v>12.3434121622847</v>
      </c>
      <c r="AG1503">
        <v>-1.118191028699</v>
      </c>
      <c r="AH1503">
        <v>26.3645054688144</v>
      </c>
      <c r="AI1503">
        <v>92.199727657971295</v>
      </c>
      <c r="AJ1503">
        <v>64.911807298438305</v>
      </c>
      <c r="AK1503">
        <v>29.132410192084102</v>
      </c>
      <c r="AL1503">
        <v>81.299033184511003</v>
      </c>
      <c r="AM1503">
        <v>78.288983064754902</v>
      </c>
      <c r="AN1503">
        <v>0.99999999878525003</v>
      </c>
    </row>
    <row r="1504" spans="1:40" x14ac:dyDescent="0.25">
      <c r="A1504" t="str">
        <f>"20190303170249565"</f>
        <v>20190303170249565</v>
      </c>
      <c r="B1504" t="str">
        <f>"1551603769557360"</f>
        <v>1551603769557360</v>
      </c>
      <c r="C1504" t="s">
        <v>40</v>
      </c>
      <c r="D1504">
        <v>4.6764549999999998</v>
      </c>
      <c r="E1504">
        <v>0.59732919999999901</v>
      </c>
      <c r="F1504" t="s">
        <v>42</v>
      </c>
      <c r="G1504">
        <v>-185.30240000000001</v>
      </c>
      <c r="H1504" s="1">
        <v>-4.976526E-6</v>
      </c>
      <c r="I1504">
        <v>349.29079999999999</v>
      </c>
      <c r="J1504">
        <v>-208.84360000000001</v>
      </c>
      <c r="K1504">
        <v>1.118134</v>
      </c>
      <c r="L1504">
        <v>366.3603</v>
      </c>
      <c r="M1504">
        <v>0.98249319999999896</v>
      </c>
      <c r="N1504">
        <v>-1.401579E-2</v>
      </c>
      <c r="O1504">
        <v>-0.18576999999999999</v>
      </c>
      <c r="P1504">
        <v>0.91528600000000004</v>
      </c>
      <c r="Q1504">
        <v>0.13973099999999999</v>
      </c>
      <c r="R1504">
        <v>-0.37779160000000001</v>
      </c>
      <c r="S1504">
        <v>2.5415190000000001</v>
      </c>
      <c r="T1504">
        <v>-0.120121699999999</v>
      </c>
      <c r="U1504">
        <v>-1.836365</v>
      </c>
      <c r="V1504">
        <v>0.2025044</v>
      </c>
      <c r="W1504">
        <v>0.15153249999999999</v>
      </c>
      <c r="X1504">
        <v>0.96748639999999997</v>
      </c>
      <c r="Y1504">
        <v>0.42450680000000002</v>
      </c>
      <c r="Z1504">
        <v>-6.9425909999999997E-3</v>
      </c>
      <c r="AA1504">
        <v>0.90539809999999998</v>
      </c>
      <c r="AB1504">
        <v>24</v>
      </c>
      <c r="AC1504">
        <v>23.5412</v>
      </c>
      <c r="AD1504">
        <v>-1.1181389765259999</v>
      </c>
      <c r="AE1504">
        <v>-17.069500000000001</v>
      </c>
      <c r="AF1504">
        <v>12.3803324198766</v>
      </c>
      <c r="AG1504">
        <v>-1.1181389765259999</v>
      </c>
      <c r="AH1504">
        <v>26.263822307144402</v>
      </c>
      <c r="AI1504">
        <v>92.205334019420604</v>
      </c>
      <c r="AJ1504">
        <v>64.761583719439997</v>
      </c>
      <c r="AK1504">
        <v>29.057034049929001</v>
      </c>
      <c r="AL1504">
        <v>81.284252659710006</v>
      </c>
      <c r="AM1504">
        <v>78.178100523202801</v>
      </c>
      <c r="AN1504">
        <v>1.00000003238028</v>
      </c>
    </row>
    <row r="1505" spans="1:40" x14ac:dyDescent="0.25">
      <c r="A1505" t="str">
        <f>"20190303170249575"</f>
        <v>20190303170249575</v>
      </c>
      <c r="B1505" t="str">
        <f>"1551603769567122"</f>
        <v>1551603769567122</v>
      </c>
      <c r="C1505" t="s">
        <v>40</v>
      </c>
      <c r="D1505">
        <v>4.7010459999999998</v>
      </c>
      <c r="E1505">
        <v>0.59725119999999998</v>
      </c>
      <c r="F1505" t="s">
        <v>42</v>
      </c>
      <c r="G1505">
        <v>-185.4624</v>
      </c>
      <c r="H1505" s="1">
        <v>-4.9594049999999998E-6</v>
      </c>
      <c r="I1505">
        <v>349.31699999999898</v>
      </c>
      <c r="J1505">
        <v>-208.72749999999999</v>
      </c>
      <c r="K1505">
        <v>1.118079</v>
      </c>
      <c r="L1505">
        <v>366.33550000000002</v>
      </c>
      <c r="M1505">
        <v>0.98198479999999999</v>
      </c>
      <c r="N1505">
        <v>-1.402163E-2</v>
      </c>
      <c r="O1505">
        <v>-0.18843979999999999</v>
      </c>
      <c r="P1505">
        <v>0.91366060000000004</v>
      </c>
      <c r="Q1505">
        <v>0.14000299999999999</v>
      </c>
      <c r="R1505">
        <v>-0.38160739999999999</v>
      </c>
      <c r="S1505">
        <v>2.533798</v>
      </c>
      <c r="T1505">
        <v>-0.1211715</v>
      </c>
      <c r="U1505">
        <v>-1.846954</v>
      </c>
      <c r="V1505">
        <v>0.20394609999999999</v>
      </c>
      <c r="W1505">
        <v>0.1517635</v>
      </c>
      <c r="X1505">
        <v>0.96714730000000004</v>
      </c>
      <c r="Y1505">
        <v>0.42582439999999999</v>
      </c>
      <c r="Z1505">
        <v>-6.9238989999999999E-3</v>
      </c>
      <c r="AA1505">
        <v>0.90477940000000001</v>
      </c>
      <c r="AB1505">
        <v>24</v>
      </c>
      <c r="AC1505">
        <v>23.265099999999901</v>
      </c>
      <c r="AD1505">
        <v>-1.118083959405</v>
      </c>
      <c r="AE1505">
        <v>-17.0185</v>
      </c>
      <c r="AF1505">
        <v>12.3105259969979</v>
      </c>
      <c r="AG1505">
        <v>-1.118083959405</v>
      </c>
      <c r="AH1505">
        <v>26.016352120920999</v>
      </c>
      <c r="AI1505">
        <v>92.224635096066706</v>
      </c>
      <c r="AJ1505">
        <v>64.6772283959953</v>
      </c>
      <c r="AK1505">
        <v>28.8036410848141</v>
      </c>
      <c r="AL1505">
        <v>81.270862501461593</v>
      </c>
      <c r="AM1505">
        <v>78.092274698458198</v>
      </c>
      <c r="AN1505">
        <v>1.00000003576737</v>
      </c>
    </row>
    <row r="1506" spans="1:40" x14ac:dyDescent="0.25">
      <c r="A1506" t="str">
        <f>"20190303170249587"</f>
        <v>20190303170249587</v>
      </c>
      <c r="B1506" t="str">
        <f>"1551603769576881"</f>
        <v>1551603769576881</v>
      </c>
      <c r="C1506" t="s">
        <v>40</v>
      </c>
      <c r="D1506">
        <v>4.6807980000000002</v>
      </c>
      <c r="E1506">
        <v>0.59715750000000001</v>
      </c>
      <c r="F1506" t="s">
        <v>42</v>
      </c>
      <c r="G1506">
        <v>-185.52369999999999</v>
      </c>
      <c r="H1506" s="1">
        <v>-4.9346909999999999E-6</v>
      </c>
      <c r="I1506">
        <v>349.28480000000002</v>
      </c>
      <c r="J1506">
        <v>-208.59559999999999</v>
      </c>
      <c r="K1506">
        <v>1.1180110000000001</v>
      </c>
      <c r="L1506">
        <v>366.3066</v>
      </c>
      <c r="M1506">
        <v>0.98137859999999999</v>
      </c>
      <c r="N1506">
        <v>-1.4029160000000001E-2</v>
      </c>
      <c r="O1506">
        <v>-0.1915704</v>
      </c>
      <c r="P1506">
        <v>0.91188009999999997</v>
      </c>
      <c r="Q1506">
        <v>0.14054729999999999</v>
      </c>
      <c r="R1506">
        <v>-0.38564359999999998</v>
      </c>
      <c r="S1506">
        <v>2.526672</v>
      </c>
      <c r="T1506">
        <v>-0.1217487</v>
      </c>
      <c r="U1506">
        <v>-1.8566590000000001</v>
      </c>
      <c r="V1506">
        <v>0.2051885</v>
      </c>
      <c r="W1506">
        <v>0.1522635</v>
      </c>
      <c r="X1506">
        <v>0.96680580000000005</v>
      </c>
      <c r="Y1506">
        <v>0.42641079999999998</v>
      </c>
      <c r="Z1506">
        <v>-6.8655890000000001E-3</v>
      </c>
      <c r="AA1506">
        <v>0.90450359999999996</v>
      </c>
      <c r="AB1506">
        <v>24</v>
      </c>
      <c r="AC1506">
        <v>23.071899999999999</v>
      </c>
      <c r="AD1506">
        <v>-1.1180159346909999</v>
      </c>
      <c r="AE1506">
        <v>-17.021799999999899</v>
      </c>
      <c r="AF1506">
        <v>12.267493199815</v>
      </c>
      <c r="AG1506">
        <v>-1.1180159346909999</v>
      </c>
      <c r="AH1506">
        <v>25.866360904742798</v>
      </c>
      <c r="AI1506">
        <v>92.236452100822802</v>
      </c>
      <c r="AJ1506">
        <v>64.626681369872003</v>
      </c>
      <c r="AK1506">
        <v>28.6497814213675</v>
      </c>
      <c r="AL1506">
        <v>81.241877222558998</v>
      </c>
      <c r="AM1506">
        <v>78.017715559502705</v>
      </c>
      <c r="AN1506">
        <v>0.99999997443906896</v>
      </c>
    </row>
    <row r="1507" spans="1:40" x14ac:dyDescent="0.25">
      <c r="A1507" t="str">
        <f>"20190303170249601"</f>
        <v>20190303170249601</v>
      </c>
      <c r="B1507" t="str">
        <f>"1551603769588593"</f>
        <v>1551603769588593</v>
      </c>
      <c r="C1507" t="s">
        <v>40</v>
      </c>
      <c r="D1507">
        <v>4.7021430000000004</v>
      </c>
      <c r="E1507">
        <v>0.59705819999999998</v>
      </c>
      <c r="F1507" t="s">
        <v>42</v>
      </c>
      <c r="G1507">
        <v>-185.29130000000001</v>
      </c>
      <c r="H1507" s="1">
        <v>-4.867799E-6</v>
      </c>
      <c r="I1507">
        <v>349.03269999999998</v>
      </c>
      <c r="J1507">
        <v>-208.45939999999999</v>
      </c>
      <c r="K1507">
        <v>1.117944</v>
      </c>
      <c r="L1507">
        <v>366.27629999999999</v>
      </c>
      <c r="M1507">
        <v>0.98073239999999995</v>
      </c>
      <c r="N1507">
        <v>-1.4037060000000001E-2</v>
      </c>
      <c r="O1507">
        <v>-0.19485069999999999</v>
      </c>
      <c r="P1507">
        <v>0.91014759999999995</v>
      </c>
      <c r="Q1507">
        <v>0.1408267</v>
      </c>
      <c r="R1507">
        <v>-0.3896136</v>
      </c>
      <c r="S1507">
        <v>2.5189210000000002</v>
      </c>
      <c r="T1507">
        <v>-0.1208442</v>
      </c>
      <c r="U1507">
        <v>-1.8670960000000001</v>
      </c>
      <c r="V1507">
        <v>0.2062098</v>
      </c>
      <c r="W1507">
        <v>0.15250059999999999</v>
      </c>
      <c r="X1507">
        <v>0.9665511</v>
      </c>
      <c r="Y1507">
        <v>0.42714099999999999</v>
      </c>
      <c r="Z1507">
        <v>-6.7946289999999999E-3</v>
      </c>
      <c r="AA1507">
        <v>0.9041595</v>
      </c>
      <c r="AB1507">
        <v>24</v>
      </c>
      <c r="AC1507">
        <v>23.1680999999999</v>
      </c>
      <c r="AD1507">
        <v>-1.1179488677989999</v>
      </c>
      <c r="AE1507">
        <v>-17.243600000000001</v>
      </c>
      <c r="AF1507">
        <v>12.379709404092401</v>
      </c>
      <c r="AG1507">
        <v>-1.1179488677989999</v>
      </c>
      <c r="AH1507">
        <v>26.045179615354002</v>
      </c>
      <c r="AI1507">
        <v>92.220075108951093</v>
      </c>
      <c r="AJ1507">
        <v>64.5774775110945</v>
      </c>
      <c r="AK1507">
        <v>28.859286127637301</v>
      </c>
      <c r="AL1507">
        <v>81.228131846343402</v>
      </c>
      <c r="AM1507">
        <v>77.956731326701004</v>
      </c>
      <c r="AN1507">
        <v>0.99999997176380395</v>
      </c>
    </row>
    <row r="1508" spans="1:40" x14ac:dyDescent="0.25">
      <c r="A1508" t="str">
        <f>"20190303170249612"</f>
        <v>20190303170249612</v>
      </c>
      <c r="B1508" t="str">
        <f>"1551603769607137"</f>
        <v>1551603769607137</v>
      </c>
      <c r="C1508" t="s">
        <v>40</v>
      </c>
      <c r="D1508">
        <v>4.7010230000000002</v>
      </c>
      <c r="E1508">
        <v>0.59683160000000002</v>
      </c>
      <c r="F1508" t="s">
        <v>42</v>
      </c>
      <c r="G1508">
        <v>-185.1962</v>
      </c>
      <c r="H1508" s="1">
        <v>-4.8215100000000002E-6</v>
      </c>
      <c r="I1508">
        <v>348.88560000000001</v>
      </c>
      <c r="J1508">
        <v>-208.33430000000001</v>
      </c>
      <c r="K1508">
        <v>1.1178790000000001</v>
      </c>
      <c r="L1508">
        <v>366.24810000000002</v>
      </c>
      <c r="M1508">
        <v>0.98011809999999999</v>
      </c>
      <c r="N1508">
        <v>-1.4044559999999999E-2</v>
      </c>
      <c r="O1508">
        <v>-0.19791790000000001</v>
      </c>
      <c r="P1508">
        <v>0.90857010000000005</v>
      </c>
      <c r="Q1508">
        <v>0.1411211</v>
      </c>
      <c r="R1508">
        <v>-0.39317410000000003</v>
      </c>
      <c r="S1508">
        <v>2.5112000000000001</v>
      </c>
      <c r="T1508">
        <v>-0.1206796</v>
      </c>
      <c r="U1508">
        <v>-1.877289</v>
      </c>
      <c r="V1508">
        <v>0.2070089</v>
      </c>
      <c r="W1508">
        <v>0.15275739999999999</v>
      </c>
      <c r="X1508">
        <v>0.96633970000000002</v>
      </c>
      <c r="Y1508">
        <v>0.4280002</v>
      </c>
      <c r="Z1508">
        <v>-6.739966E-3</v>
      </c>
      <c r="AA1508">
        <v>0.90375349999999999</v>
      </c>
      <c r="AB1508">
        <v>24</v>
      </c>
      <c r="AC1508">
        <v>23.138100000000001</v>
      </c>
      <c r="AD1508">
        <v>-1.11788382151</v>
      </c>
      <c r="AE1508">
        <v>-17.362500000000001</v>
      </c>
      <c r="AF1508">
        <v>12.4205337403864</v>
      </c>
      <c r="AG1508">
        <v>-1.11788382151</v>
      </c>
      <c r="AH1508">
        <v>26.078049742279699</v>
      </c>
      <c r="AI1508">
        <v>92.2163204660541</v>
      </c>
      <c r="AJ1508">
        <v>64.532330226145305</v>
      </c>
      <c r="AK1508">
        <v>28.906469881244401</v>
      </c>
      <c r="AL1508">
        <v>81.2132437677258</v>
      </c>
      <c r="AM1508">
        <v>77.908864962740495</v>
      </c>
      <c r="AN1508">
        <v>0.99999996186502904</v>
      </c>
    </row>
    <row r="1509" spans="1:40" x14ac:dyDescent="0.25">
      <c r="A1509" t="str">
        <f>"20190303170249627"</f>
        <v>20190303170249627</v>
      </c>
      <c r="B1509" t="str">
        <f>"1551603769616897"</f>
        <v>1551603769616897</v>
      </c>
      <c r="C1509" t="s">
        <v>40</v>
      </c>
      <c r="D1509">
        <v>4.7140690000000003</v>
      </c>
      <c r="E1509">
        <v>0.59673290000000001</v>
      </c>
      <c r="F1509" t="s">
        <v>42</v>
      </c>
      <c r="G1509">
        <v>-185.21850000000001</v>
      </c>
      <c r="H1509" s="1">
        <v>-4.799042E-6</v>
      </c>
      <c r="I1509">
        <v>348.8424</v>
      </c>
      <c r="J1509">
        <v>-208.1831</v>
      </c>
      <c r="K1509">
        <v>1.117799</v>
      </c>
      <c r="L1509">
        <v>366.21319999999997</v>
      </c>
      <c r="M1509">
        <v>0.9793404</v>
      </c>
      <c r="N1509">
        <v>-1.4054479999999999E-2</v>
      </c>
      <c r="O1509">
        <v>-0.2017304</v>
      </c>
      <c r="P1509">
        <v>0.9066187</v>
      </c>
      <c r="Q1509">
        <v>0.1413585</v>
      </c>
      <c r="R1509">
        <v>-0.39756849999999999</v>
      </c>
      <c r="S1509">
        <v>2.504578</v>
      </c>
      <c r="T1509">
        <v>-0.1211218</v>
      </c>
      <c r="U1509">
        <v>-1.8858950000000001</v>
      </c>
      <c r="V1509">
        <v>0.20797109999999999</v>
      </c>
      <c r="W1509">
        <v>0.15294829999999901</v>
      </c>
      <c r="X1509">
        <v>0.96610289999999999</v>
      </c>
      <c r="Y1509">
        <v>0.42761300000000002</v>
      </c>
      <c r="Z1509">
        <v>-6.6328209999999997E-3</v>
      </c>
      <c r="AA1509">
        <v>0.90393760000000001</v>
      </c>
      <c r="AB1509">
        <v>24</v>
      </c>
      <c r="AC1509">
        <v>22.964599999999901</v>
      </c>
      <c r="AD1509">
        <v>-1.117803799042</v>
      </c>
      <c r="AE1509">
        <v>-17.3707999999999</v>
      </c>
      <c r="AF1509">
        <v>12.3618598177005</v>
      </c>
      <c r="AG1509">
        <v>-1.117803799042</v>
      </c>
      <c r="AH1509">
        <v>25.957824149927401</v>
      </c>
      <c r="AI1509">
        <v>92.226462969349399</v>
      </c>
      <c r="AJ1509">
        <v>64.534871576082494</v>
      </c>
      <c r="AK1509">
        <v>28.772794408680301</v>
      </c>
      <c r="AL1509">
        <v>81.202176168736699</v>
      </c>
      <c r="AM1509">
        <v>77.851440352547002</v>
      </c>
      <c r="AN1509">
        <v>0.999999987148255</v>
      </c>
    </row>
    <row r="1510" spans="1:40" x14ac:dyDescent="0.25">
      <c r="A1510" t="str">
        <f>"20190303170249640"</f>
        <v>20190303170249640</v>
      </c>
      <c r="B1510" t="str">
        <f>"1551603769626657"</f>
        <v>1551603769626657</v>
      </c>
      <c r="C1510" t="s">
        <v>40</v>
      </c>
      <c r="D1510">
        <v>4.7165879999999998</v>
      </c>
      <c r="E1510">
        <v>0.59662590000000004</v>
      </c>
      <c r="F1510" t="s">
        <v>42</v>
      </c>
      <c r="G1510">
        <v>-185.15790000000001</v>
      </c>
      <c r="H1510" s="1">
        <v>-4.7523220000000004E-6</v>
      </c>
      <c r="I1510">
        <v>348.70839999999998</v>
      </c>
      <c r="J1510">
        <v>-208.05090000000001</v>
      </c>
      <c r="K1510">
        <v>1.117715</v>
      </c>
      <c r="L1510">
        <v>366.18220000000002</v>
      </c>
      <c r="M1510">
        <v>0.97863429999999996</v>
      </c>
      <c r="N1510">
        <v>-1.406347E-2</v>
      </c>
      <c r="O1510">
        <v>-0.20512739999999999</v>
      </c>
      <c r="P1510">
        <v>0.90477339999999995</v>
      </c>
      <c r="Q1510">
        <v>0.14153379999999999</v>
      </c>
      <c r="R1510">
        <v>-0.40168870000000001</v>
      </c>
      <c r="S1510">
        <v>2.495819</v>
      </c>
      <c r="T1510">
        <v>-0.1211641</v>
      </c>
      <c r="U1510">
        <v>-1.8974299999999999</v>
      </c>
      <c r="V1510">
        <v>0.2090524</v>
      </c>
      <c r="W1510">
        <v>0.1530783</v>
      </c>
      <c r="X1510">
        <v>0.96584890000000001</v>
      </c>
      <c r="Y1510">
        <v>0.42865180000000003</v>
      </c>
      <c r="Z1510">
        <v>-6.57618E-3</v>
      </c>
      <c r="AA1510">
        <v>0.90344579999999997</v>
      </c>
      <c r="AB1510">
        <v>24</v>
      </c>
      <c r="AC1510">
        <v>22.893000000000001</v>
      </c>
      <c r="AD1510">
        <v>-1.1177197523219999</v>
      </c>
      <c r="AE1510">
        <v>-17.473800000000001</v>
      </c>
      <c r="AF1510">
        <v>12.387046885164199</v>
      </c>
      <c r="AG1510">
        <v>-1.1177197523219999</v>
      </c>
      <c r="AH1510">
        <v>25.9517098447606</v>
      </c>
      <c r="AI1510">
        <v>92.225884246862506</v>
      </c>
      <c r="AJ1510">
        <v>64.484325037153695</v>
      </c>
      <c r="AK1510">
        <v>28.778107509817801</v>
      </c>
      <c r="AL1510">
        <v>81.194638938852606</v>
      </c>
      <c r="AM1510">
        <v>77.787052317663907</v>
      </c>
      <c r="AN1510">
        <v>0.99999998475392904</v>
      </c>
    </row>
    <row r="1511" spans="1:40" x14ac:dyDescent="0.25">
      <c r="A1511" t="str">
        <f>"20190303170249653"</f>
        <v>20190303170249653</v>
      </c>
      <c r="B1511" t="str">
        <f>"1551603769647154"</f>
        <v>1551603769647154</v>
      </c>
      <c r="C1511" t="s">
        <v>40</v>
      </c>
      <c r="D1511">
        <v>4.7145429999999999</v>
      </c>
      <c r="E1511">
        <v>0.59638239999999998</v>
      </c>
      <c r="F1511" t="s">
        <v>42</v>
      </c>
      <c r="G1511">
        <v>-185.1617</v>
      </c>
      <c r="H1511" s="1">
        <v>-4.7181840000000004E-6</v>
      </c>
      <c r="I1511">
        <v>348.63040000000001</v>
      </c>
      <c r="J1511">
        <v>-207.8999</v>
      </c>
      <c r="K1511">
        <v>1.117624</v>
      </c>
      <c r="L1511">
        <v>366.14609999999999</v>
      </c>
      <c r="M1511">
        <v>0.97779289999999996</v>
      </c>
      <c r="N1511">
        <v>-1.4074390000000001E-2</v>
      </c>
      <c r="O1511">
        <v>-0.20910029999999999</v>
      </c>
      <c r="P1511">
        <v>0.90211620000000003</v>
      </c>
      <c r="Q1511">
        <v>0.1414618</v>
      </c>
      <c r="R1511">
        <v>-0.4076458</v>
      </c>
      <c r="S1511">
        <v>2.4878079999999998</v>
      </c>
      <c r="T1511">
        <v>-0.12148390000000001</v>
      </c>
      <c r="U1511">
        <v>-1.9076839999999999</v>
      </c>
      <c r="V1511">
        <v>0.21153520000000001</v>
      </c>
      <c r="W1511">
        <v>0.15293699999999999</v>
      </c>
      <c r="X1511">
        <v>0.96533060000000004</v>
      </c>
      <c r="Y1511">
        <v>0.4287319</v>
      </c>
      <c r="Z1511">
        <v>-6.4768100000000004E-3</v>
      </c>
      <c r="AA1511">
        <v>0.90340860000000001</v>
      </c>
      <c r="AB1511">
        <v>24</v>
      </c>
      <c r="AC1511">
        <v>22.738199999999999</v>
      </c>
      <c r="AD1511">
        <v>-1.1176287181839999</v>
      </c>
      <c r="AE1511">
        <v>-17.515699999999899</v>
      </c>
      <c r="AF1511">
        <v>12.3546560833445</v>
      </c>
      <c r="AG1511">
        <v>-1.1176287181839999</v>
      </c>
      <c r="AH1511">
        <v>25.8591461788189</v>
      </c>
      <c r="AI1511">
        <v>92.233266452019905</v>
      </c>
      <c r="AJ1511">
        <v>64.463051427185604</v>
      </c>
      <c r="AK1511">
        <v>28.6806914488991</v>
      </c>
      <c r="AL1511">
        <v>81.202831584008507</v>
      </c>
      <c r="AM1511">
        <v>77.640005663832198</v>
      </c>
      <c r="AN1511">
        <v>1.0000000170521901</v>
      </c>
    </row>
    <row r="1512" spans="1:40" x14ac:dyDescent="0.25">
      <c r="A1512" t="str">
        <f>"20190303170249664"</f>
        <v>20190303170249664</v>
      </c>
      <c r="B1512" t="str">
        <f>"1551603769656913"</f>
        <v>1551603769656913</v>
      </c>
      <c r="C1512" t="s">
        <v>40</v>
      </c>
      <c r="D1512">
        <v>4.6988029999999998</v>
      </c>
      <c r="E1512">
        <v>0.59625799999999995</v>
      </c>
      <c r="F1512" t="s">
        <v>42</v>
      </c>
      <c r="G1512">
        <v>-185.52780000000001</v>
      </c>
      <c r="H1512" s="1">
        <v>-4.7182199999999997E-6</v>
      </c>
      <c r="I1512">
        <v>348.78190000000001</v>
      </c>
      <c r="J1512">
        <v>-207.78479999999999</v>
      </c>
      <c r="K1512">
        <v>1.117551</v>
      </c>
      <c r="L1512">
        <v>366.11790000000002</v>
      </c>
      <c r="M1512">
        <v>0.97711910000000002</v>
      </c>
      <c r="N1512">
        <v>-1.408396E-2</v>
      </c>
      <c r="O1512">
        <v>-0.21222569999999999</v>
      </c>
      <c r="P1512">
        <v>0.9002888</v>
      </c>
      <c r="Q1512">
        <v>0.1411934</v>
      </c>
      <c r="R1512">
        <v>-0.4117576</v>
      </c>
      <c r="S1512">
        <v>2.4763790000000001</v>
      </c>
      <c r="T1512">
        <v>-0.1237111</v>
      </c>
      <c r="U1512">
        <v>-1.922058</v>
      </c>
      <c r="V1512">
        <v>0.21287210000000001</v>
      </c>
      <c r="W1512">
        <v>0.15262210000000001</v>
      </c>
      <c r="X1512">
        <v>0.96508649999999996</v>
      </c>
      <c r="Y1512">
        <v>0.43112129999999999</v>
      </c>
      <c r="Z1512">
        <v>-6.4742609999999898E-3</v>
      </c>
      <c r="AA1512">
        <v>0.90227069999999998</v>
      </c>
      <c r="AB1512">
        <v>24</v>
      </c>
      <c r="AC1512">
        <v>22.256999999999898</v>
      </c>
      <c r="AD1512">
        <v>-1.11755571822</v>
      </c>
      <c r="AE1512">
        <v>-17.335999999999999</v>
      </c>
      <c r="AF1512">
        <v>12.1979012637041</v>
      </c>
      <c r="AG1512">
        <v>-1.11755571822</v>
      </c>
      <c r="AH1512">
        <v>25.389567844374501</v>
      </c>
      <c r="AI1512">
        <v>92.272023463020105</v>
      </c>
      <c r="AJ1512">
        <v>64.338989978351705</v>
      </c>
      <c r="AK1512">
        <v>28.189854227123899</v>
      </c>
      <c r="AL1512">
        <v>81.221088153635193</v>
      </c>
      <c r="AM1512">
        <v>77.561266126608999</v>
      </c>
      <c r="AN1512">
        <v>0.99999999442453402</v>
      </c>
    </row>
    <row r="1513" spans="1:40" x14ac:dyDescent="0.25">
      <c r="A1513" t="str">
        <f>"20190303170249676"</f>
        <v>20190303170249676</v>
      </c>
      <c r="B1513" t="str">
        <f>"1551603769666674"</f>
        <v>1551603769666674</v>
      </c>
      <c r="C1513" t="s">
        <v>40</v>
      </c>
      <c r="D1513">
        <v>4.7011399999999997</v>
      </c>
      <c r="E1513">
        <v>0.59614290000000003</v>
      </c>
      <c r="F1513" t="s">
        <v>42</v>
      </c>
      <c r="G1513">
        <v>-185.78630000000001</v>
      </c>
      <c r="H1513" s="1">
        <v>-4.7193879999999997E-6</v>
      </c>
      <c r="I1513">
        <v>348.89150000000001</v>
      </c>
      <c r="J1513">
        <v>-207.66249999999999</v>
      </c>
      <c r="K1513">
        <v>1.1174710000000001</v>
      </c>
      <c r="L1513">
        <v>366.08769999999998</v>
      </c>
      <c r="M1513">
        <v>0.97638619999999998</v>
      </c>
      <c r="N1513">
        <v>-1.4094020000000001E-2</v>
      </c>
      <c r="O1513">
        <v>-0.21557200000000001</v>
      </c>
      <c r="P1513">
        <v>0.89839429999999998</v>
      </c>
      <c r="Q1513">
        <v>0.1412004</v>
      </c>
      <c r="R1513">
        <v>-0.41587279999999999</v>
      </c>
      <c r="S1513">
        <v>2.4680330000000001</v>
      </c>
      <c r="T1513">
        <v>-0.1253802</v>
      </c>
      <c r="U1513">
        <v>-1.9326479999999999</v>
      </c>
      <c r="V1513">
        <v>0.2140145</v>
      </c>
      <c r="W1513">
        <v>0.15258160000000001</v>
      </c>
      <c r="X1513">
        <v>0.96484020000000004</v>
      </c>
      <c r="Y1513">
        <v>0.4319037</v>
      </c>
      <c r="Z1513">
        <v>-6.4120150000000001E-3</v>
      </c>
      <c r="AA1513">
        <v>0.90189699999999995</v>
      </c>
      <c r="AB1513">
        <v>24</v>
      </c>
      <c r="AC1513">
        <v>21.876199999999901</v>
      </c>
      <c r="AD1513">
        <v>-1.1174757193879901</v>
      </c>
      <c r="AE1513">
        <v>-17.196199999999902</v>
      </c>
      <c r="AF1513">
        <v>12.055992084931001</v>
      </c>
      <c r="AG1513">
        <v>-1.1174757193879901</v>
      </c>
      <c r="AH1513">
        <v>25.0287634681303</v>
      </c>
      <c r="AI1513">
        <v>92.303447027073503</v>
      </c>
      <c r="AJ1513">
        <v>64.280558144144095</v>
      </c>
      <c r="AK1513">
        <v>27.803501539895201</v>
      </c>
      <c r="AL1513">
        <v>81.223436015879102</v>
      </c>
      <c r="AM1513">
        <v>77.493514877745397</v>
      </c>
      <c r="AN1513">
        <v>0.99999998120242395</v>
      </c>
    </row>
    <row r="1514" spans="1:40" x14ac:dyDescent="0.25">
      <c r="A1514" t="str">
        <f>"20190303170249692"</f>
        <v>20190303170249692</v>
      </c>
      <c r="B1514" t="str">
        <f>"1551603769677410"</f>
        <v>1551603769677410</v>
      </c>
      <c r="C1514" t="s">
        <v>40</v>
      </c>
      <c r="D1514">
        <v>4.709168</v>
      </c>
      <c r="E1514">
        <v>0.59614290000000003</v>
      </c>
      <c r="F1514" t="s">
        <v>42</v>
      </c>
      <c r="G1514">
        <v>-185.86250000000001</v>
      </c>
      <c r="H1514" s="1">
        <v>-4.6947150000000003E-6</v>
      </c>
      <c r="I1514">
        <v>348.8655</v>
      </c>
      <c r="J1514">
        <v>-207.4992</v>
      </c>
      <c r="K1514">
        <v>1.117356</v>
      </c>
      <c r="L1514">
        <v>366.04640000000001</v>
      </c>
      <c r="M1514">
        <v>0.97535490000000002</v>
      </c>
      <c r="N1514">
        <v>-1.410908E-2</v>
      </c>
      <c r="O1514">
        <v>-0.22019069999999999</v>
      </c>
      <c r="P1514">
        <v>0.89579759999999997</v>
      </c>
      <c r="Q1514">
        <v>0.14100670000000001</v>
      </c>
      <c r="R1514">
        <v>-0.42150199999999999</v>
      </c>
      <c r="S1514">
        <v>2.4596100000000001</v>
      </c>
      <c r="T1514">
        <v>-0.12608030000000001</v>
      </c>
      <c r="U1514">
        <v>-1.9431149999999999</v>
      </c>
      <c r="V1514">
        <v>0.2155398</v>
      </c>
      <c r="W1514">
        <v>0.1523215</v>
      </c>
      <c r="X1514">
        <v>0.96454169999999995</v>
      </c>
      <c r="Y1514">
        <v>0.43149949999999998</v>
      </c>
      <c r="Z1514">
        <v>-6.2742199999999996E-3</v>
      </c>
      <c r="AA1514">
        <v>0.90209139999999999</v>
      </c>
      <c r="AB1514">
        <v>24</v>
      </c>
      <c r="AC1514">
        <v>21.636699999999902</v>
      </c>
      <c r="AD1514">
        <v>-1.1173606947149901</v>
      </c>
      <c r="AE1514">
        <v>-17.180900000000001</v>
      </c>
      <c r="AF1514">
        <v>11.9748816460576</v>
      </c>
      <c r="AG1514">
        <v>-1.1173606947149901</v>
      </c>
      <c r="AH1514">
        <v>24.848369044323299</v>
      </c>
      <c r="AI1514">
        <v>92.319701964451298</v>
      </c>
      <c r="AJ1514">
        <v>64.269735943315993</v>
      </c>
      <c r="AK1514">
        <v>27.605936490582401</v>
      </c>
      <c r="AL1514">
        <v>81.238514788906102</v>
      </c>
      <c r="AM1514">
        <v>77.403440608127298</v>
      </c>
      <c r="AN1514">
        <v>0.99999996789258905</v>
      </c>
    </row>
    <row r="1515" spans="1:40" x14ac:dyDescent="0.25">
      <c r="A1515" t="str">
        <f>"20190303170249702"</f>
        <v>20190303170249702</v>
      </c>
      <c r="B1515" t="str">
        <f>"1551603769696930"</f>
        <v>1551603769696930</v>
      </c>
      <c r="C1515" t="s">
        <v>40</v>
      </c>
      <c r="D1515">
        <v>4.9841620000000004</v>
      </c>
      <c r="E1515">
        <v>0.62005749999999904</v>
      </c>
      <c r="F1515" t="s">
        <v>42</v>
      </c>
      <c r="G1515">
        <v>-185.8192</v>
      </c>
      <c r="H1515" s="1">
        <v>-4.629191E-6</v>
      </c>
      <c r="I1515">
        <v>348.69479999999999</v>
      </c>
      <c r="J1515">
        <v>-207.3886</v>
      </c>
      <c r="K1515">
        <v>1.1172799999999901</v>
      </c>
      <c r="L1515">
        <v>366.01769999999999</v>
      </c>
      <c r="M1515">
        <v>0.97462510000000002</v>
      </c>
      <c r="N1515">
        <v>-1.412005E-2</v>
      </c>
      <c r="O1515">
        <v>-0.22339800000000001</v>
      </c>
      <c r="P1515">
        <v>0.893763999999999</v>
      </c>
      <c r="Q1515">
        <v>0.1410729</v>
      </c>
      <c r="R1515">
        <v>-0.42577530000000002</v>
      </c>
      <c r="S1515">
        <v>2.4472499999999999</v>
      </c>
      <c r="T1515">
        <v>-0.1261282</v>
      </c>
      <c r="U1515">
        <v>-1.9586490000000001</v>
      </c>
      <c r="V1515">
        <v>0.2170087</v>
      </c>
      <c r="W1515">
        <v>0.1523361</v>
      </c>
      <c r="X1515">
        <v>0.96421000000000001</v>
      </c>
      <c r="Y1515">
        <v>0.43424030000000002</v>
      </c>
      <c r="Z1515">
        <v>-6.2710609999999996E-3</v>
      </c>
      <c r="AA1515">
        <v>0.90077529999999995</v>
      </c>
      <c r="AB1515">
        <v>24</v>
      </c>
      <c r="AC1515">
        <v>21.569400000000002</v>
      </c>
      <c r="AD1515">
        <v>-1.1172846291909999</v>
      </c>
      <c r="AE1515">
        <v>-17.322900000000001</v>
      </c>
      <c r="AF1515">
        <v>12.046325550205299</v>
      </c>
      <c r="AG1515">
        <v>-1.1172846291909999</v>
      </c>
      <c r="AH1515">
        <v>24.853920552603299</v>
      </c>
      <c r="AI1515">
        <v>92.316516864419597</v>
      </c>
      <c r="AJ1515">
        <v>64.141222096404903</v>
      </c>
      <c r="AK1515">
        <v>27.641990721351299</v>
      </c>
      <c r="AL1515">
        <v>81.237668620591805</v>
      </c>
      <c r="AM1515">
        <v>77.316140992681198</v>
      </c>
      <c r="AN1515">
        <v>0.99999999366945003</v>
      </c>
    </row>
    <row r="1516" spans="1:40" x14ac:dyDescent="0.25">
      <c r="A1516" t="str">
        <f>"20190303170249713"</f>
        <v>20190303170249713</v>
      </c>
      <c r="B1516" t="str">
        <f>"1551603769706689"</f>
        <v>1551603769706689</v>
      </c>
      <c r="C1516" t="s">
        <v>40</v>
      </c>
      <c r="D1516">
        <v>4.9349369999999997</v>
      </c>
      <c r="E1516">
        <v>0.62770630000000005</v>
      </c>
      <c r="F1516" t="s">
        <v>42</v>
      </c>
      <c r="G1516">
        <v>-182.108</v>
      </c>
      <c r="H1516" s="1">
        <v>-3.2344240000000001E-6</v>
      </c>
      <c r="I1516">
        <v>342.9821</v>
      </c>
      <c r="J1516">
        <v>-207.2696</v>
      </c>
      <c r="K1516">
        <v>1.117192</v>
      </c>
      <c r="L1516">
        <v>365.98669999999998</v>
      </c>
      <c r="M1516">
        <v>0.97381969999999995</v>
      </c>
      <c r="N1516">
        <v>-1.413175E-2</v>
      </c>
      <c r="O1516">
        <v>-0.22688240000000001</v>
      </c>
      <c r="P1516">
        <v>0.891393199999999</v>
      </c>
      <c r="Q1516">
        <v>0.1408769</v>
      </c>
      <c r="R1516">
        <v>-0.43078109999999997</v>
      </c>
      <c r="S1516">
        <v>2.35202</v>
      </c>
      <c r="T1516">
        <v>-0.1039482</v>
      </c>
      <c r="U1516">
        <v>-2.1431580000000001</v>
      </c>
      <c r="V1516">
        <v>0.2189942</v>
      </c>
      <c r="W1516">
        <v>0.15207780000000001</v>
      </c>
      <c r="X1516">
        <v>0.96380180000000004</v>
      </c>
      <c r="Y1516">
        <v>0.48790470000000002</v>
      </c>
      <c r="Z1516">
        <v>-7.6695849999999996E-3</v>
      </c>
      <c r="AA1516">
        <v>0.87286319999999995</v>
      </c>
      <c r="AB1516">
        <v>24</v>
      </c>
      <c r="AC1516">
        <v>25.1616</v>
      </c>
      <c r="AD1516">
        <v>-1.1171952344239999</v>
      </c>
      <c r="AE1516">
        <v>-23.0045999999999</v>
      </c>
      <c r="AF1516">
        <v>16.6773659199097</v>
      </c>
      <c r="AG1516">
        <v>-1.1171952344239999</v>
      </c>
      <c r="AH1516">
        <v>29.6932815020951</v>
      </c>
      <c r="AI1516">
        <v>91.878882696833699</v>
      </c>
      <c r="AJ1516">
        <v>60.679058532071899</v>
      </c>
      <c r="AK1516">
        <v>34.074530452833102</v>
      </c>
      <c r="AL1516">
        <v>81.2526427605126</v>
      </c>
      <c r="AM1516">
        <v>77.198654402903202</v>
      </c>
      <c r="AN1516">
        <v>1.0000000132848501</v>
      </c>
    </row>
    <row r="1517" spans="1:40" x14ac:dyDescent="0.25">
      <c r="A1517" t="str">
        <f>"20190303170249724"</f>
        <v>20190303170249724</v>
      </c>
      <c r="B1517" t="str">
        <f>"1551603769717426"</f>
        <v>1551603769717426</v>
      </c>
      <c r="C1517" t="s">
        <v>40</v>
      </c>
      <c r="D1517">
        <v>4.9341569999999999</v>
      </c>
      <c r="E1517">
        <v>0.63477099999999997</v>
      </c>
      <c r="F1517" t="s">
        <v>42</v>
      </c>
      <c r="G1517">
        <v>-179.95779999999999</v>
      </c>
      <c r="H1517">
        <v>2.314192E-2</v>
      </c>
      <c r="I1517">
        <v>339.85559999999998</v>
      </c>
      <c r="J1517">
        <v>-207.1617</v>
      </c>
      <c r="K1517">
        <v>1.11711</v>
      </c>
      <c r="L1517">
        <v>365.95769999999999</v>
      </c>
      <c r="M1517">
        <v>0.97305180000000002</v>
      </c>
      <c r="N1517">
        <v>-1.4143589999999999E-2</v>
      </c>
      <c r="O1517">
        <v>-0.23015260000000001</v>
      </c>
      <c r="P1517">
        <v>0.88928639999999903</v>
      </c>
      <c r="Q1517">
        <v>0.14061979999999999</v>
      </c>
      <c r="R1517">
        <v>-0.43519679999999999</v>
      </c>
      <c r="S1517">
        <v>2.3114170000000001</v>
      </c>
      <c r="T1517">
        <v>-9.259009E-2</v>
      </c>
      <c r="U1517">
        <v>-2.211487</v>
      </c>
      <c r="V1517">
        <v>0.2205579</v>
      </c>
      <c r="W1517">
        <v>0.15176629999999899</v>
      </c>
      <c r="X1517">
        <v>0.96349430000000003</v>
      </c>
      <c r="Y1517">
        <v>0.50614599999999998</v>
      </c>
      <c r="Z1517">
        <v>-7.9902949999999997E-3</v>
      </c>
      <c r="AA1517">
        <v>0.86241080000000003</v>
      </c>
      <c r="AB1517">
        <v>24</v>
      </c>
      <c r="AC1517">
        <v>27.203900000000001</v>
      </c>
      <c r="AD1517">
        <v>-1.09396808</v>
      </c>
      <c r="AE1517">
        <v>-26.1021</v>
      </c>
      <c r="AF1517">
        <v>19.1234593243808</v>
      </c>
      <c r="AG1517">
        <v>-1.09396808</v>
      </c>
      <c r="AH1517">
        <v>32.454192184321002</v>
      </c>
      <c r="AI1517">
        <v>91.663477376603097</v>
      </c>
      <c r="AJ1517">
        <v>59.491508720390598</v>
      </c>
      <c r="AK1517">
        <v>37.685249807161298</v>
      </c>
      <c r="AL1517">
        <v>81.270700156546894</v>
      </c>
      <c r="AM1517">
        <v>77.106314503125503</v>
      </c>
      <c r="AN1517">
        <v>1.0000000316002899</v>
      </c>
    </row>
    <row r="1518" spans="1:40" x14ac:dyDescent="0.25">
      <c r="A1518" t="str">
        <f>"20190303170249735"</f>
        <v>20190303170249735</v>
      </c>
      <c r="B1518" t="str">
        <f>"1551603769727185"</f>
        <v>1551603769727185</v>
      </c>
      <c r="C1518" t="s">
        <v>40</v>
      </c>
      <c r="D1518">
        <v>4.913767</v>
      </c>
      <c r="E1518">
        <v>0.64053329999999997</v>
      </c>
      <c r="F1518" t="s">
        <v>42</v>
      </c>
      <c r="G1518">
        <v>-177.53469999999999</v>
      </c>
      <c r="H1518">
        <v>7.9985970000000003E-2</v>
      </c>
      <c r="I1518">
        <v>336.32920000000001</v>
      </c>
      <c r="J1518">
        <v>-207.04499999999999</v>
      </c>
      <c r="K1518">
        <v>1.11702099999999</v>
      </c>
      <c r="L1518">
        <v>365.92630000000003</v>
      </c>
      <c r="M1518">
        <v>0.97220430000000002</v>
      </c>
      <c r="N1518">
        <v>-1.415598E-2</v>
      </c>
      <c r="O1518">
        <v>-0.23370560000000001</v>
      </c>
      <c r="P1518">
        <v>0.88697950000000003</v>
      </c>
      <c r="Q1518">
        <v>0.1403732</v>
      </c>
      <c r="R1518">
        <v>-0.43995790000000001</v>
      </c>
      <c r="S1518">
        <v>2.2734380000000001</v>
      </c>
      <c r="T1518">
        <v>-7.9584119999999994E-2</v>
      </c>
      <c r="U1518">
        <v>-2.2735599999999998</v>
      </c>
      <c r="V1518">
        <v>0.2222278</v>
      </c>
      <c r="W1518">
        <v>0.1514595</v>
      </c>
      <c r="X1518">
        <v>0.96315879999999998</v>
      </c>
      <c r="Y1518">
        <v>0.52202850000000001</v>
      </c>
      <c r="Z1518">
        <v>-8.1830319999999998E-3</v>
      </c>
      <c r="AA1518">
        <v>0.8528888</v>
      </c>
      <c r="AB1518">
        <v>24</v>
      </c>
      <c r="AC1518">
        <v>29.510300000000001</v>
      </c>
      <c r="AD1518">
        <v>-1.03703502999999</v>
      </c>
      <c r="AE1518">
        <v>-29.597100000000001</v>
      </c>
      <c r="AF1518">
        <v>21.866436977934001</v>
      </c>
      <c r="AG1518">
        <v>-1.03703502999999</v>
      </c>
      <c r="AH1518">
        <v>35.588708458346602</v>
      </c>
      <c r="AI1518">
        <v>91.422220101137</v>
      </c>
      <c r="AJ1518">
        <v>58.432575826141303</v>
      </c>
      <c r="AK1518">
        <v>41.7824446089096</v>
      </c>
      <c r="AL1518">
        <v>81.288484023123303</v>
      </c>
      <c r="AM1518">
        <v>77.0076206884237</v>
      </c>
      <c r="AN1518">
        <v>1.0000000246252601</v>
      </c>
    </row>
    <row r="1519" spans="1:40" x14ac:dyDescent="0.25">
      <c r="A1519" t="str">
        <f>"20190303170249746"</f>
        <v>20190303170249746</v>
      </c>
      <c r="B1519" t="str">
        <f>"1551603769736945"</f>
        <v>1551603769736945</v>
      </c>
      <c r="C1519" t="s">
        <v>40</v>
      </c>
      <c r="D1519">
        <v>4.8908430000000003</v>
      </c>
      <c r="E1519">
        <v>0.6443738</v>
      </c>
      <c r="F1519" t="s">
        <v>44</v>
      </c>
      <c r="G1519">
        <v>-169.18279999999999</v>
      </c>
      <c r="H1519">
        <v>-0.05</v>
      </c>
      <c r="I1519">
        <v>326.5616</v>
      </c>
      <c r="J1519">
        <v>-206.93270000000001</v>
      </c>
      <c r="K1519">
        <v>1.1169309999999999</v>
      </c>
      <c r="L1519">
        <v>365.89510000000001</v>
      </c>
      <c r="M1519">
        <v>0.9713446</v>
      </c>
      <c r="N1519">
        <v>-1.416954E-2</v>
      </c>
      <c r="O1519">
        <v>-0.23725389999999999</v>
      </c>
      <c r="P1519">
        <v>0.8847315</v>
      </c>
      <c r="Q1519">
        <v>0.1398953</v>
      </c>
      <c r="R1519">
        <v>-0.44461260000000002</v>
      </c>
      <c r="S1519">
        <v>2.2387079999999999</v>
      </c>
      <c r="T1519">
        <v>-6.9003339999999996E-2</v>
      </c>
      <c r="U1519">
        <v>-2.3275450000000002</v>
      </c>
      <c r="V1519">
        <v>0.22378490000000001</v>
      </c>
      <c r="W1519">
        <v>0.15092349999999999</v>
      </c>
      <c r="X1519">
        <v>0.96288229999999997</v>
      </c>
      <c r="Y1519">
        <v>0.53545290000000001</v>
      </c>
      <c r="Z1519">
        <v>-8.3148839999999998E-3</v>
      </c>
      <c r="AA1519">
        <v>0.84452419999999995</v>
      </c>
      <c r="AB1519">
        <v>24</v>
      </c>
      <c r="AC1519">
        <v>37.749899999999997</v>
      </c>
      <c r="AD1519">
        <v>-1.1669309999999999</v>
      </c>
      <c r="AE1519">
        <v>-39.333500000000001</v>
      </c>
      <c r="AF1519">
        <v>29.239604639120198</v>
      </c>
      <c r="AG1519">
        <v>-1.1669309999999999</v>
      </c>
      <c r="AH1519">
        <v>45.983726549811003</v>
      </c>
      <c r="AI1519">
        <v>91.226769227567203</v>
      </c>
      <c r="AJ1519">
        <v>57.5490031959879</v>
      </c>
      <c r="AK1519">
        <v>54.505222821474803</v>
      </c>
      <c r="AL1519">
        <v>81.319551081388198</v>
      </c>
      <c r="AM1519">
        <v>76.916079046247901</v>
      </c>
      <c r="AN1519">
        <v>0.99999995398677299</v>
      </c>
    </row>
    <row r="1520" spans="1:40" x14ac:dyDescent="0.25">
      <c r="A1520" t="str">
        <f>"20190303170249756"</f>
        <v>20190303170249756</v>
      </c>
      <c r="B1520" t="str">
        <f>"1551603769746705"</f>
        <v>1551603769746705</v>
      </c>
      <c r="C1520" t="s">
        <v>40</v>
      </c>
      <c r="D1520">
        <v>4.8832139999999997</v>
      </c>
      <c r="E1520">
        <v>0.64743269999999997</v>
      </c>
      <c r="F1520" t="s">
        <v>53</v>
      </c>
      <c r="G1520">
        <v>-168.4</v>
      </c>
      <c r="H1520">
        <v>3.6469550000000003E-2</v>
      </c>
      <c r="I1520">
        <v>324.66149999999999</v>
      </c>
      <c r="J1520">
        <v>-206.82769999999999</v>
      </c>
      <c r="K1520">
        <v>1.1168480000000001</v>
      </c>
      <c r="L1520">
        <v>365.86590000000001</v>
      </c>
      <c r="M1520">
        <v>0.97052430000000001</v>
      </c>
      <c r="N1520">
        <v>-1.4181910000000001E-2</v>
      </c>
      <c r="O1520">
        <v>-0.2405863</v>
      </c>
      <c r="P1520">
        <v>0.88256939999999995</v>
      </c>
      <c r="Q1520">
        <v>0.13997470000000001</v>
      </c>
      <c r="R1520">
        <v>-0.44886379999999998</v>
      </c>
      <c r="S1520">
        <v>2.2114410000000002</v>
      </c>
      <c r="T1520">
        <v>-6.200874E-2</v>
      </c>
      <c r="U1520">
        <v>-2.3664550000000002</v>
      </c>
      <c r="V1520">
        <v>0.22515060000000001</v>
      </c>
      <c r="W1520">
        <v>0.15094850000000001</v>
      </c>
      <c r="X1520">
        <v>0.96255999999999997</v>
      </c>
      <c r="Y1520">
        <v>0.54470260000000004</v>
      </c>
      <c r="Z1520">
        <v>-8.3904189999999997E-3</v>
      </c>
      <c r="AA1520">
        <v>0.83858729999999904</v>
      </c>
      <c r="AB1520">
        <v>24</v>
      </c>
      <c r="AC1520">
        <v>38.427699999999902</v>
      </c>
      <c r="AD1520">
        <v>-1.08037845</v>
      </c>
      <c r="AE1520">
        <v>-41.2044</v>
      </c>
      <c r="AF1520">
        <v>30.736479384143301</v>
      </c>
      <c r="AG1520">
        <v>-1.08037845</v>
      </c>
      <c r="AH1520">
        <v>47.195618370855897</v>
      </c>
      <c r="AI1520">
        <v>91.098924640519797</v>
      </c>
      <c r="AJ1520">
        <v>56.925529613987301</v>
      </c>
      <c r="AK1520">
        <v>56.332271176782498</v>
      </c>
      <c r="AL1520">
        <v>81.318102471251095</v>
      </c>
      <c r="AM1520">
        <v>76.834749249532607</v>
      </c>
      <c r="AN1520">
        <v>0.99999999796630401</v>
      </c>
    </row>
    <row r="1521" spans="1:40" x14ac:dyDescent="0.25">
      <c r="A1521" t="str">
        <f>"20190303170249768"</f>
        <v>20190303170249768</v>
      </c>
      <c r="B1521" t="str">
        <f>"1551603769757441"</f>
        <v>1551603769757441</v>
      </c>
      <c r="C1521" t="s">
        <v>40</v>
      </c>
      <c r="D1521">
        <v>4.8759759999999996</v>
      </c>
      <c r="E1521">
        <v>0.64969639999999995</v>
      </c>
      <c r="F1521" t="s">
        <v>53</v>
      </c>
      <c r="G1521">
        <v>-168.4</v>
      </c>
      <c r="H1521">
        <v>0.1541825</v>
      </c>
      <c r="I1521">
        <v>323.72829999999999</v>
      </c>
      <c r="J1521">
        <v>-206.71019999999999</v>
      </c>
      <c r="K1521">
        <v>1.116751</v>
      </c>
      <c r="L1521">
        <v>365.83229999999998</v>
      </c>
      <c r="M1521">
        <v>0.96956330000000002</v>
      </c>
      <c r="N1521">
        <v>-1.4197359999999999E-2</v>
      </c>
      <c r="O1521">
        <v>-0.2444288</v>
      </c>
      <c r="P1521">
        <v>0.88021830000000001</v>
      </c>
      <c r="Q1521">
        <v>0.1400151</v>
      </c>
      <c r="R1521">
        <v>-0.45344430000000002</v>
      </c>
      <c r="S1521">
        <v>2.1877749999999998</v>
      </c>
      <c r="T1521">
        <v>-5.4806349999999997E-2</v>
      </c>
      <c r="U1521">
        <v>-2.398987</v>
      </c>
      <c r="V1521">
        <v>0.22637930000000001</v>
      </c>
      <c r="W1521">
        <v>0.1509325</v>
      </c>
      <c r="X1521">
        <v>0.96227430000000003</v>
      </c>
      <c r="Y1521">
        <v>0.55158960000000001</v>
      </c>
      <c r="Z1521">
        <v>-8.4081350000000006E-3</v>
      </c>
      <c r="AA1521">
        <v>0.83407330000000002</v>
      </c>
      <c r="AB1521">
        <v>24</v>
      </c>
      <c r="AC1521">
        <v>38.310199999999902</v>
      </c>
      <c r="AD1521">
        <v>-0.96256849999999905</v>
      </c>
      <c r="AE1521">
        <v>-42.1039999999999</v>
      </c>
      <c r="AF1521">
        <v>31.4525546853009</v>
      </c>
      <c r="AG1521">
        <v>-0.96256849999999905</v>
      </c>
      <c r="AH1521">
        <v>47.426814799758297</v>
      </c>
      <c r="AI1521">
        <v>90.969028372445806</v>
      </c>
      <c r="AJ1521">
        <v>56.448425055823002</v>
      </c>
      <c r="AK1521">
        <v>56.916539743730098</v>
      </c>
      <c r="AL1521">
        <v>81.319030001513696</v>
      </c>
      <c r="AM1521">
        <v>76.761634296007202</v>
      </c>
      <c r="AN1521">
        <v>1.00000001773261</v>
      </c>
    </row>
    <row r="1522" spans="1:40" x14ac:dyDescent="0.25">
      <c r="A1522" t="str">
        <f>"20190303170249778"</f>
        <v>20190303170249778</v>
      </c>
      <c r="B1522" t="str">
        <f>"1551603769767202"</f>
        <v>1551603769767202</v>
      </c>
      <c r="C1522" t="s">
        <v>40</v>
      </c>
      <c r="D1522">
        <v>4.8674799999999996</v>
      </c>
      <c r="E1522">
        <v>0.65139259999999999</v>
      </c>
      <c r="F1522" t="s">
        <v>53</v>
      </c>
      <c r="G1522">
        <v>-168.40010000000001</v>
      </c>
      <c r="H1522">
        <v>0.245144</v>
      </c>
      <c r="I1522">
        <v>322.90719999999999</v>
      </c>
      <c r="J1522">
        <v>-206.6003</v>
      </c>
      <c r="K1522">
        <v>1.116665</v>
      </c>
      <c r="L1522">
        <v>365.8005</v>
      </c>
      <c r="M1522">
        <v>0.9686399</v>
      </c>
      <c r="N1522">
        <v>-1.4211700000000001E-2</v>
      </c>
      <c r="O1522">
        <v>-0.24806230000000001</v>
      </c>
      <c r="P1522">
        <v>0.87785709999999995</v>
      </c>
      <c r="Q1522">
        <v>0.14009849999999999</v>
      </c>
      <c r="R1522">
        <v>-0.45797349999999998</v>
      </c>
      <c r="S1522">
        <v>2.1659090000000001</v>
      </c>
      <c r="T1522">
        <v>-4.927695E-2</v>
      </c>
      <c r="U1522">
        <v>-2.4268190000000001</v>
      </c>
      <c r="V1522">
        <v>0.22776850000000001</v>
      </c>
      <c r="W1522">
        <v>0.15095980000000001</v>
      </c>
      <c r="X1522">
        <v>0.96194210000000002</v>
      </c>
      <c r="Y1522">
        <v>0.55741830000000003</v>
      </c>
      <c r="Z1522">
        <v>-8.4312659999999998E-3</v>
      </c>
      <c r="AA1522">
        <v>0.83018899999999995</v>
      </c>
      <c r="AB1522">
        <v>24</v>
      </c>
      <c r="AC1522">
        <v>38.200200000000002</v>
      </c>
      <c r="AD1522">
        <v>-0.87152099999999899</v>
      </c>
      <c r="AE1522">
        <v>-42.893300000000004</v>
      </c>
      <c r="AF1522">
        <v>32.067986545680697</v>
      </c>
      <c r="AG1522">
        <v>-0.87152099999999899</v>
      </c>
      <c r="AH1522">
        <v>47.636290058950202</v>
      </c>
      <c r="AI1522">
        <v>90.8695008505902</v>
      </c>
      <c r="AJ1522">
        <v>56.052192388466104</v>
      </c>
      <c r="AK1522">
        <v>57.431101683041398</v>
      </c>
      <c r="AL1522">
        <v>81.317447342749503</v>
      </c>
      <c r="AM1522">
        <v>76.6788466373619</v>
      </c>
      <c r="AN1522">
        <v>0.99999997728034895</v>
      </c>
    </row>
    <row r="1523" spans="1:40" x14ac:dyDescent="0.25">
      <c r="A1523" t="str">
        <f>"20190303170249789"</f>
        <v>20190303170249789</v>
      </c>
      <c r="B1523" t="str">
        <f>"1551603769776961"</f>
        <v>1551603769776961</v>
      </c>
      <c r="C1523" t="s">
        <v>40</v>
      </c>
      <c r="D1523">
        <v>4.8969950000000004</v>
      </c>
      <c r="E1523">
        <v>0.65262790000000004</v>
      </c>
      <c r="F1523" t="s">
        <v>53</v>
      </c>
      <c r="G1523">
        <v>-168.40010000000001</v>
      </c>
      <c r="H1523">
        <v>0.3059579</v>
      </c>
      <c r="I1523">
        <v>322.20249999999999</v>
      </c>
      <c r="J1523">
        <v>-206.48670000000001</v>
      </c>
      <c r="K1523">
        <v>1.1165769999999999</v>
      </c>
      <c r="L1523">
        <v>365.76710000000003</v>
      </c>
      <c r="M1523">
        <v>0.96764720000000004</v>
      </c>
      <c r="N1523">
        <v>-1.4227129999999999E-2</v>
      </c>
      <c r="O1523">
        <v>-0.25190590000000002</v>
      </c>
      <c r="P1523">
        <v>0.87535260000000004</v>
      </c>
      <c r="Q1523">
        <v>0.1403829</v>
      </c>
      <c r="R1523">
        <v>-0.46265600000000001</v>
      </c>
      <c r="S1523">
        <v>2.146576</v>
      </c>
      <c r="T1523">
        <v>-4.5555470000000001E-2</v>
      </c>
      <c r="U1523">
        <v>-2.4498899999999999</v>
      </c>
      <c r="V1523">
        <v>0.22913849999999999</v>
      </c>
      <c r="W1523">
        <v>0.15118799999999999</v>
      </c>
      <c r="X1523">
        <v>0.96158089999999996</v>
      </c>
      <c r="Y1523">
        <v>0.56171800000000005</v>
      </c>
      <c r="Z1523">
        <v>-8.4548179999999994E-3</v>
      </c>
      <c r="AA1523">
        <v>0.82728559999999995</v>
      </c>
      <c r="AB1523">
        <v>24</v>
      </c>
      <c r="AC1523">
        <v>38.086599999999997</v>
      </c>
      <c r="AD1523">
        <v>-0.81061910000000004</v>
      </c>
      <c r="AE1523">
        <v>-43.564599999999999</v>
      </c>
      <c r="AF1523">
        <v>32.557829064759403</v>
      </c>
      <c r="AG1523">
        <v>-0.81061910000000004</v>
      </c>
      <c r="AH1523">
        <v>47.824025545833202</v>
      </c>
      <c r="AI1523">
        <v>90.802737371946606</v>
      </c>
      <c r="AJ1523">
        <v>55.753594426043001</v>
      </c>
      <c r="AK1523">
        <v>57.860234670660397</v>
      </c>
      <c r="AL1523">
        <v>81.304221232439104</v>
      </c>
      <c r="AM1523">
        <v>76.596751345736905</v>
      </c>
      <c r="AN1523">
        <v>1.00000004538552</v>
      </c>
    </row>
    <row r="1524" spans="1:40" x14ac:dyDescent="0.25">
      <c r="A1524" t="str">
        <f>"20190303170249802"</f>
        <v>20190303170249802</v>
      </c>
      <c r="B1524" t="str">
        <f>"1551603769797457"</f>
        <v>1551603769797457</v>
      </c>
      <c r="C1524" t="s">
        <v>40</v>
      </c>
      <c r="D1524">
        <v>4.9116720000000003</v>
      </c>
      <c r="E1524">
        <v>0.65433850000000005</v>
      </c>
      <c r="F1524" t="s">
        <v>53</v>
      </c>
      <c r="G1524">
        <v>-168.40010000000001</v>
      </c>
      <c r="H1524">
        <v>0.36653910000000001</v>
      </c>
      <c r="I1524">
        <v>321.55739999999997</v>
      </c>
      <c r="J1524">
        <v>-206.3631</v>
      </c>
      <c r="K1524">
        <v>1.1164799999999999</v>
      </c>
      <c r="L1524">
        <v>365.73</v>
      </c>
      <c r="M1524">
        <v>0.96652930000000004</v>
      </c>
      <c r="N1524">
        <v>-1.424402E-2</v>
      </c>
      <c r="O1524">
        <v>-0.25616100000000003</v>
      </c>
      <c r="P1524">
        <v>0.87248809999999999</v>
      </c>
      <c r="Q1524">
        <v>0.14073450000000001</v>
      </c>
      <c r="R1524">
        <v>-0.46793030000000002</v>
      </c>
      <c r="S1524">
        <v>2.1282199999999998</v>
      </c>
      <c r="T1524">
        <v>-4.1910650000000001E-2</v>
      </c>
      <c r="U1524">
        <v>-2.470367</v>
      </c>
      <c r="V1524">
        <v>0.2307681</v>
      </c>
      <c r="W1524">
        <v>0.15147550000000001</v>
      </c>
      <c r="X1524">
        <v>0.96114580000000005</v>
      </c>
      <c r="Y1524">
        <v>0.56501140000000005</v>
      </c>
      <c r="Z1524">
        <v>-8.4662299999999999E-3</v>
      </c>
      <c r="AA1524">
        <v>0.82503969999999904</v>
      </c>
      <c r="AB1524">
        <v>24</v>
      </c>
      <c r="AC1524">
        <v>37.963000000000001</v>
      </c>
      <c r="AD1524">
        <v>-0.74994089999999902</v>
      </c>
      <c r="AE1524">
        <v>-44.172600000000003</v>
      </c>
      <c r="AF1524">
        <v>32.967347823530297</v>
      </c>
      <c r="AG1524">
        <v>-0.74994089999999902</v>
      </c>
      <c r="AH1524">
        <v>48.004555973283999</v>
      </c>
      <c r="AI1524">
        <v>90.737808446620605</v>
      </c>
      <c r="AJ1524">
        <v>55.520489418809902</v>
      </c>
      <c r="AK1524">
        <v>58.239555527693398</v>
      </c>
      <c r="AL1524">
        <v>81.287556338554396</v>
      </c>
      <c r="AM1524">
        <v>76.499018773085197</v>
      </c>
      <c r="AN1524">
        <v>0.99999999596775002</v>
      </c>
    </row>
    <row r="1525" spans="1:40" x14ac:dyDescent="0.25">
      <c r="A1525" t="str">
        <f>"20190303170249816"</f>
        <v>20190303170249816</v>
      </c>
      <c r="B1525" t="str">
        <f>"1551603769807217"</f>
        <v>1551603769807217</v>
      </c>
      <c r="C1525" t="s">
        <v>40</v>
      </c>
      <c r="D1525">
        <v>4.8971220000000004</v>
      </c>
      <c r="E1525">
        <v>0.65485249999999995</v>
      </c>
      <c r="F1525" t="s">
        <v>53</v>
      </c>
      <c r="G1525">
        <v>-168.40010000000001</v>
      </c>
      <c r="H1525">
        <v>0.44146170000000001</v>
      </c>
      <c r="I1525">
        <v>320.75580000000002</v>
      </c>
      <c r="J1525">
        <v>-206.21780000000001</v>
      </c>
      <c r="K1525">
        <v>1.1163670000000001</v>
      </c>
      <c r="L1525">
        <v>365.6857</v>
      </c>
      <c r="M1525">
        <v>0.96516659999999999</v>
      </c>
      <c r="N1525">
        <v>-1.426376E-2</v>
      </c>
      <c r="O1525">
        <v>-0.26124710000000001</v>
      </c>
      <c r="P1525">
        <v>0.8692223</v>
      </c>
      <c r="Q1525">
        <v>0.14034720000000001</v>
      </c>
      <c r="R1525">
        <v>-0.4740838</v>
      </c>
      <c r="S1525">
        <v>2.1062470000000002</v>
      </c>
      <c r="T1525">
        <v>-3.7450789999999998E-2</v>
      </c>
      <c r="U1525">
        <v>-2.4952390000000002</v>
      </c>
      <c r="V1525">
        <v>0.23252200000000001</v>
      </c>
      <c r="W1525">
        <v>0.1510164</v>
      </c>
      <c r="X1525">
        <v>0.96079530000000002</v>
      </c>
      <c r="Y1525">
        <v>0.56898149999999903</v>
      </c>
      <c r="Z1525">
        <v>-8.4865159999999995E-3</v>
      </c>
      <c r="AA1525">
        <v>0.822306599999999</v>
      </c>
      <c r="AB1525">
        <v>24</v>
      </c>
      <c r="AC1525">
        <v>37.817700000000002</v>
      </c>
      <c r="AD1525">
        <v>-0.67490530000000004</v>
      </c>
      <c r="AE1525">
        <v>-44.929899999999897</v>
      </c>
      <c r="AF1525">
        <v>33.484057819822098</v>
      </c>
      <c r="AG1525">
        <v>-0.67490530000000004</v>
      </c>
      <c r="AH1525">
        <v>48.236722580761402</v>
      </c>
      <c r="AI1525">
        <v>90.658514005090694</v>
      </c>
      <c r="AJ1525">
        <v>55.2331214983096</v>
      </c>
      <c r="AK1525">
        <v>58.723240974749501</v>
      </c>
      <c r="AL1525">
        <v>81.3141671748606</v>
      </c>
      <c r="AM1525">
        <v>76.395428151540401</v>
      </c>
      <c r="AN1525">
        <v>1.0000000210275199</v>
      </c>
    </row>
    <row r="1526" spans="1:40" x14ac:dyDescent="0.25">
      <c r="A1526" t="str">
        <f>"20190303170249829"</f>
        <v>20190303170249829</v>
      </c>
      <c r="B1526" t="str">
        <f>"1551603769816977"</f>
        <v>1551603769816977</v>
      </c>
      <c r="C1526" t="s">
        <v>40</v>
      </c>
      <c r="D1526">
        <v>4.8980779999999999</v>
      </c>
      <c r="E1526">
        <v>0.65531070000000002</v>
      </c>
      <c r="F1526" t="s">
        <v>53</v>
      </c>
      <c r="G1526">
        <v>-168.40010000000001</v>
      </c>
      <c r="H1526">
        <v>0.44168390000000002</v>
      </c>
      <c r="I1526">
        <v>320.12079999999997</v>
      </c>
      <c r="J1526">
        <v>-206.0763</v>
      </c>
      <c r="K1526">
        <v>1.1162570000000001</v>
      </c>
      <c r="L1526">
        <v>365.64139999999998</v>
      </c>
      <c r="M1526">
        <v>0.96376879999999998</v>
      </c>
      <c r="N1526">
        <v>-1.428419E-2</v>
      </c>
      <c r="O1526">
        <v>-0.26635629999999999</v>
      </c>
      <c r="P1526">
        <v>0.86586489999999905</v>
      </c>
      <c r="Q1526">
        <v>0.14023260000000001</v>
      </c>
      <c r="R1526">
        <v>-0.48022140000000002</v>
      </c>
      <c r="S1526">
        <v>2.0863339999999999</v>
      </c>
      <c r="T1526">
        <v>-3.7220719999999999E-2</v>
      </c>
      <c r="U1526">
        <v>-2.5137330000000002</v>
      </c>
      <c r="V1526">
        <v>0.2342668</v>
      </c>
      <c r="W1526">
        <v>0.1508311</v>
      </c>
      <c r="X1526">
        <v>0.96040049999999999</v>
      </c>
      <c r="Y1526">
        <v>0.57145570000000001</v>
      </c>
      <c r="Z1526">
        <v>-8.5394849999999994E-3</v>
      </c>
      <c r="AA1526">
        <v>0.82058850000000005</v>
      </c>
      <c r="AB1526">
        <v>24</v>
      </c>
      <c r="AC1526">
        <v>37.676200000000001</v>
      </c>
      <c r="AD1526">
        <v>-0.67457309999999904</v>
      </c>
      <c r="AE1526">
        <v>-45.520600000000002</v>
      </c>
      <c r="AF1526">
        <v>33.835083387288698</v>
      </c>
      <c r="AG1526">
        <v>-0.67457309999999904</v>
      </c>
      <c r="AH1526">
        <v>48.434474118378297</v>
      </c>
      <c r="AI1526">
        <v>90.654147708038494</v>
      </c>
      <c r="AJ1526">
        <v>55.062836141478599</v>
      </c>
      <c r="AK1526">
        <v>59.086091424428098</v>
      </c>
      <c r="AL1526">
        <v>81.324907246844504</v>
      </c>
      <c r="AM1526">
        <v>76.291756542232307</v>
      </c>
      <c r="AN1526">
        <v>1.0000000373548401</v>
      </c>
    </row>
    <row r="1527" spans="1:40" x14ac:dyDescent="0.25">
      <c r="A1527" t="str">
        <f>"20190303170249845"</f>
        <v>20190303170249845</v>
      </c>
      <c r="B1527" t="str">
        <f>"1551603769837474"</f>
        <v>1551603769837474</v>
      </c>
      <c r="C1527" t="s">
        <v>40</v>
      </c>
      <c r="D1527">
        <v>4.8912139999999997</v>
      </c>
      <c r="E1527">
        <v>0.65604859999999998</v>
      </c>
      <c r="F1527" t="s">
        <v>53</v>
      </c>
      <c r="G1527">
        <v>-168.40010000000001</v>
      </c>
      <c r="H1527">
        <v>0.430647</v>
      </c>
      <c r="I1527">
        <v>319.49400000000003</v>
      </c>
      <c r="J1527">
        <v>-205.9237</v>
      </c>
      <c r="K1527">
        <v>1.116139</v>
      </c>
      <c r="L1527">
        <v>365.5926</v>
      </c>
      <c r="M1527">
        <v>0.96219880000000002</v>
      </c>
      <c r="N1527">
        <v>-1.430674E-2</v>
      </c>
      <c r="O1527">
        <v>-0.2719722</v>
      </c>
      <c r="P1527">
        <v>0.86189559999999998</v>
      </c>
      <c r="Q1527">
        <v>0.1396297</v>
      </c>
      <c r="R1527">
        <v>-0.487483</v>
      </c>
      <c r="S1527">
        <v>2.066818</v>
      </c>
      <c r="T1527">
        <v>-3.7610530000000003E-2</v>
      </c>
      <c r="U1527">
        <v>-2.5315249999999998</v>
      </c>
      <c r="V1527">
        <v>0.23675080000000001</v>
      </c>
      <c r="W1527">
        <v>0.15014340000000001</v>
      </c>
      <c r="X1527">
        <v>0.9598989</v>
      </c>
      <c r="Y1527">
        <v>0.57329049999999904</v>
      </c>
      <c r="Z1527">
        <v>-8.5900190000000008E-3</v>
      </c>
      <c r="AA1527">
        <v>0.81930709999999995</v>
      </c>
      <c r="AB1527">
        <v>24</v>
      </c>
      <c r="AC1527">
        <v>37.523599999999902</v>
      </c>
      <c r="AD1527">
        <v>-0.68549199999999999</v>
      </c>
      <c r="AE1527">
        <v>-46.098599999999898</v>
      </c>
      <c r="AF1527">
        <v>34.149593698015899</v>
      </c>
      <c r="AG1527">
        <v>-0.68549199999999999</v>
      </c>
      <c r="AH1527">
        <v>48.641208024385897</v>
      </c>
      <c r="AI1527">
        <v>90.660823481536397</v>
      </c>
      <c r="AJ1527">
        <v>54.928410394453302</v>
      </c>
      <c r="AK1527">
        <v>59.435946758617497</v>
      </c>
      <c r="AL1527">
        <v>81.364762591325402</v>
      </c>
      <c r="AM1527">
        <v>76.145013630099299</v>
      </c>
      <c r="AN1527">
        <v>0.99999994004270298</v>
      </c>
    </row>
    <row r="1528" spans="1:40" x14ac:dyDescent="0.25">
      <c r="A1528" t="str">
        <f>"20190303170249856"</f>
        <v>20190303170249856</v>
      </c>
      <c r="B1528" t="str">
        <f>"1551603769847333"</f>
        <v>1551603769847333</v>
      </c>
      <c r="C1528" t="s">
        <v>40</v>
      </c>
      <c r="D1528">
        <v>4.9007959999999997</v>
      </c>
      <c r="E1528">
        <v>0.65625649999999902</v>
      </c>
      <c r="F1528" t="s">
        <v>53</v>
      </c>
      <c r="G1528">
        <v>-168.40010000000001</v>
      </c>
      <c r="H1528">
        <v>0.39942749999999999</v>
      </c>
      <c r="I1528">
        <v>318.68369999999999</v>
      </c>
      <c r="J1528">
        <v>-205.80369999999999</v>
      </c>
      <c r="K1528">
        <v>1.11605</v>
      </c>
      <c r="L1528">
        <v>365.55360000000002</v>
      </c>
      <c r="M1528">
        <v>0.96092250000000001</v>
      </c>
      <c r="N1528">
        <v>-1.432452E-2</v>
      </c>
      <c r="O1528">
        <v>-0.2764469</v>
      </c>
      <c r="P1528">
        <v>0.85920969999999997</v>
      </c>
      <c r="Q1528">
        <v>0.13964979999999999</v>
      </c>
      <c r="R1528">
        <v>-0.49219629999999998</v>
      </c>
      <c r="S1528">
        <v>2.0427089999999999</v>
      </c>
      <c r="T1528">
        <v>-3.9016009999999997E-2</v>
      </c>
      <c r="U1528">
        <v>-2.5536189999999999</v>
      </c>
      <c r="V1528">
        <v>0.23757639999999999</v>
      </c>
      <c r="W1528">
        <v>0.150116</v>
      </c>
      <c r="X1528">
        <v>0.95969930000000003</v>
      </c>
      <c r="Y1528">
        <v>0.57764369999999998</v>
      </c>
      <c r="Z1528">
        <v>-8.6875330000000008E-3</v>
      </c>
      <c r="AA1528">
        <v>0.81624280000000005</v>
      </c>
      <c r="AB1528">
        <v>24</v>
      </c>
      <c r="AC1528">
        <v>37.403599999999898</v>
      </c>
      <c r="AD1528">
        <v>-0.71662249999999905</v>
      </c>
      <c r="AE1528">
        <v>-46.869900000000001</v>
      </c>
      <c r="AF1528">
        <v>34.696835042280497</v>
      </c>
      <c r="AG1528">
        <v>-0.71662249999999905</v>
      </c>
      <c r="AH1528">
        <v>48.897030394428498</v>
      </c>
      <c r="AI1528">
        <v>90.684787199192002</v>
      </c>
      <c r="AJ1528">
        <v>54.640876159224497</v>
      </c>
      <c r="AK1528">
        <v>59.960849653356298</v>
      </c>
      <c r="AL1528">
        <v>81.366351473996403</v>
      </c>
      <c r="AM1528">
        <v>76.095790163951307</v>
      </c>
      <c r="AN1528">
        <v>1.0000000528567199</v>
      </c>
    </row>
    <row r="1529" spans="1:40" x14ac:dyDescent="0.25">
      <c r="A1529" t="str">
        <f>"20190303170249867"</f>
        <v>20190303170249867</v>
      </c>
      <c r="B1529" t="str">
        <f>"1551603769857093"</f>
        <v>1551603769857093</v>
      </c>
      <c r="C1529" t="s">
        <v>40</v>
      </c>
      <c r="D1529">
        <v>4.964404</v>
      </c>
      <c r="E1529">
        <v>0.656219199999999</v>
      </c>
      <c r="F1529" t="s">
        <v>53</v>
      </c>
      <c r="G1529">
        <v>-168.40010000000001</v>
      </c>
      <c r="H1529">
        <v>0.41146480000000002</v>
      </c>
      <c r="I1529">
        <v>318.22230000000002</v>
      </c>
      <c r="J1529">
        <v>-205.69040000000001</v>
      </c>
      <c r="K1529">
        <v>1.1159709999999901</v>
      </c>
      <c r="L1529">
        <v>365.51589999999999</v>
      </c>
      <c r="M1529">
        <v>0.9596633</v>
      </c>
      <c r="N1529">
        <v>-1.4342300000000001E-2</v>
      </c>
      <c r="O1529">
        <v>-0.28078609999999998</v>
      </c>
      <c r="P1529">
        <v>0.85669200000000001</v>
      </c>
      <c r="Q1529">
        <v>0.1396577</v>
      </c>
      <c r="R1529">
        <v>-0.49656270000000002</v>
      </c>
      <c r="S1529">
        <v>2.0278170000000002</v>
      </c>
      <c r="T1529">
        <v>-3.8198349999999999E-2</v>
      </c>
      <c r="U1529">
        <v>-2.5660400000000001</v>
      </c>
      <c r="V1529">
        <v>0.23815620000000001</v>
      </c>
      <c r="W1529">
        <v>0.15008299999999999</v>
      </c>
      <c r="X1529">
        <v>0.95956070000000004</v>
      </c>
      <c r="Y1529">
        <v>0.57879539999999996</v>
      </c>
      <c r="Z1529">
        <v>-8.7110909999999903E-3</v>
      </c>
      <c r="AA1529">
        <v>0.81542619999999999</v>
      </c>
      <c r="AB1529">
        <v>24</v>
      </c>
      <c r="AC1529">
        <v>37.290300000000002</v>
      </c>
      <c r="AD1529">
        <v>-0.70450619999999897</v>
      </c>
      <c r="AE1529">
        <v>-47.293599999999898</v>
      </c>
      <c r="AF1529">
        <v>34.9141453148221</v>
      </c>
      <c r="AG1529">
        <v>-0.70450619999999897</v>
      </c>
      <c r="AH1529">
        <v>49.063846951902697</v>
      </c>
      <c r="AI1529">
        <v>90.670283072634504</v>
      </c>
      <c r="AJ1529">
        <v>54.5641035395793</v>
      </c>
      <c r="AK1529">
        <v>60.222545195052099</v>
      </c>
      <c r="AL1529">
        <v>81.368263525650903</v>
      </c>
      <c r="AM1529">
        <v>76.061243901105101</v>
      </c>
      <c r="AN1529">
        <v>1.00000000973596</v>
      </c>
    </row>
    <row r="1530" spans="1:40" x14ac:dyDescent="0.25">
      <c r="A1530" t="str">
        <f>"20190303170249878"</f>
        <v>20190303170249878</v>
      </c>
      <c r="B1530" t="str">
        <f>"1551603769866852"</f>
        <v>1551603769866852</v>
      </c>
      <c r="C1530" t="s">
        <v>40</v>
      </c>
      <c r="D1530">
        <v>4.896814</v>
      </c>
      <c r="E1530">
        <v>0.65633699999999995</v>
      </c>
      <c r="F1530" t="s">
        <v>53</v>
      </c>
      <c r="G1530">
        <v>-168.40010000000001</v>
      </c>
      <c r="H1530">
        <v>0.43819819999999998</v>
      </c>
      <c r="I1530">
        <v>317.83780000000002</v>
      </c>
      <c r="J1530">
        <v>-205.57980000000001</v>
      </c>
      <c r="K1530">
        <v>1.1158939999999999</v>
      </c>
      <c r="L1530">
        <v>365.4787</v>
      </c>
      <c r="M1530">
        <v>0.95840409999999998</v>
      </c>
      <c r="N1530">
        <v>-1.435937E-2</v>
      </c>
      <c r="O1530">
        <v>-0.28505390000000003</v>
      </c>
      <c r="P1530">
        <v>0.85404249999999904</v>
      </c>
      <c r="Q1530">
        <v>0.1396879</v>
      </c>
      <c r="R1530">
        <v>-0.50109820000000005</v>
      </c>
      <c r="S1530">
        <v>2.0147249999999999</v>
      </c>
      <c r="T1530">
        <v>-3.661847E-2</v>
      </c>
      <c r="U1530">
        <v>-2.575958</v>
      </c>
      <c r="V1530">
        <v>0.23900650000000001</v>
      </c>
      <c r="W1530">
        <v>0.15006839999999999</v>
      </c>
      <c r="X1530">
        <v>0.95935150000000002</v>
      </c>
      <c r="Y1530">
        <v>0.57926610000000001</v>
      </c>
      <c r="Z1530">
        <v>-8.7199649999999997E-3</v>
      </c>
      <c r="AA1530">
        <v>0.81509200000000004</v>
      </c>
      <c r="AB1530">
        <v>24</v>
      </c>
      <c r="AC1530">
        <v>37.179699999999997</v>
      </c>
      <c r="AD1530">
        <v>-0.67769579999999996</v>
      </c>
      <c r="AE1530">
        <v>-47.640899999999903</v>
      </c>
      <c r="AF1530">
        <v>35.060215552626403</v>
      </c>
      <c r="AG1530">
        <v>-0.67769579999999996</v>
      </c>
      <c r="AH1530">
        <v>49.212278552743697</v>
      </c>
      <c r="AI1530">
        <v>90.642583118095104</v>
      </c>
      <c r="AJ1530">
        <v>54.532856150027698</v>
      </c>
      <c r="AK1530">
        <v>60.427860681533303</v>
      </c>
      <c r="AL1530">
        <v>81.369109247357301</v>
      </c>
      <c r="AM1530">
        <v>76.010497894117293</v>
      </c>
      <c r="AN1530">
        <v>0.99999996613652897</v>
      </c>
    </row>
    <row r="1531" spans="1:40" x14ac:dyDescent="0.25">
      <c r="A1531" t="str">
        <f>"20190303170249890"</f>
        <v>20190303170249890</v>
      </c>
      <c r="B1531" t="str">
        <f>"1551603769877589"</f>
        <v>1551603769877589</v>
      </c>
      <c r="C1531" t="s">
        <v>40</v>
      </c>
      <c r="D1531">
        <v>4.8802969999999997</v>
      </c>
      <c r="E1531">
        <v>0.65636870000000003</v>
      </c>
      <c r="F1531" t="s">
        <v>53</v>
      </c>
      <c r="G1531">
        <v>-168.40010000000001</v>
      </c>
      <c r="H1531">
        <v>0.43022450000000001</v>
      </c>
      <c r="I1531">
        <v>317.39319999999998</v>
      </c>
      <c r="J1531">
        <v>-205.46129999999999</v>
      </c>
      <c r="K1531">
        <v>1.1158110000000001</v>
      </c>
      <c r="L1531">
        <v>365.43790000000001</v>
      </c>
      <c r="M1531">
        <v>0.95700560000000001</v>
      </c>
      <c r="N1531">
        <v>-1.437805E-2</v>
      </c>
      <c r="O1531">
        <v>-0.28971330000000001</v>
      </c>
      <c r="P1531">
        <v>0.85092829999999997</v>
      </c>
      <c r="Q1531">
        <v>0.14041319999999999</v>
      </c>
      <c r="R1531">
        <v>-0.50616759999999905</v>
      </c>
      <c r="S1531">
        <v>2.0005799999999998</v>
      </c>
      <c r="T1531">
        <v>-3.6894440000000001E-2</v>
      </c>
      <c r="U1531">
        <v>-2.587402</v>
      </c>
      <c r="V1531">
        <v>0.240121</v>
      </c>
      <c r="W1531">
        <v>0.1507425</v>
      </c>
      <c r="X1531">
        <v>0.95896740000000003</v>
      </c>
      <c r="Y1531">
        <v>0.57983280000000004</v>
      </c>
      <c r="Z1531">
        <v>-8.745147E-3</v>
      </c>
      <c r="AA1531">
        <v>0.81468859999999999</v>
      </c>
      <c r="AB1531">
        <v>24</v>
      </c>
      <c r="AC1531">
        <v>37.0611999999999</v>
      </c>
      <c r="AD1531">
        <v>-0.68558649999999999</v>
      </c>
      <c r="AE1531">
        <v>-48.044699999999999</v>
      </c>
      <c r="AF1531">
        <v>35.2410644898046</v>
      </c>
      <c r="AG1531">
        <v>-0.68558649999999999</v>
      </c>
      <c r="AH1531">
        <v>49.3857594802504</v>
      </c>
      <c r="AI1531">
        <v>90.6474261387078</v>
      </c>
      <c r="AJ1531">
        <v>54.488817619493901</v>
      </c>
      <c r="AK1531">
        <v>60.674178154011301</v>
      </c>
      <c r="AL1531">
        <v>81.330041472769693</v>
      </c>
      <c r="AM1531">
        <v>75.942437843262098</v>
      </c>
      <c r="AN1531">
        <v>0.99999993510500296</v>
      </c>
    </row>
    <row r="1532" spans="1:40" x14ac:dyDescent="0.25">
      <c r="A1532" t="str">
        <f>"20190303170249901"</f>
        <v>20190303170249901</v>
      </c>
      <c r="B1532" t="str">
        <f>"1551603769887349"</f>
        <v>1551603769887349</v>
      </c>
      <c r="C1532" t="s">
        <v>40</v>
      </c>
      <c r="D1532">
        <v>4.8736259999999998</v>
      </c>
      <c r="E1532">
        <v>0.65640449999999995</v>
      </c>
      <c r="F1532" t="s">
        <v>53</v>
      </c>
      <c r="G1532">
        <v>-168.63120000000001</v>
      </c>
      <c r="H1532">
        <v>0.45388519999999999</v>
      </c>
      <c r="I1532">
        <v>317.19709999999998</v>
      </c>
      <c r="J1532">
        <v>-205.36019999999999</v>
      </c>
      <c r="K1532">
        <v>1.1157429999999999</v>
      </c>
      <c r="L1532">
        <v>365.40269999999998</v>
      </c>
      <c r="M1532">
        <v>0.9557774</v>
      </c>
      <c r="N1532">
        <v>-1.4394000000000001E-2</v>
      </c>
      <c r="O1532">
        <v>-0.29373880000000002</v>
      </c>
      <c r="P1532">
        <v>0.848058599999999</v>
      </c>
      <c r="Q1532">
        <v>0.14053570000000001</v>
      </c>
      <c r="R1532">
        <v>-0.51092700000000002</v>
      </c>
      <c r="S1532">
        <v>1.9849399999999999</v>
      </c>
      <c r="T1532">
        <v>-3.5673860000000002E-2</v>
      </c>
      <c r="U1532">
        <v>-2.5999150000000002</v>
      </c>
      <c r="V1532">
        <v>0.2414936</v>
      </c>
      <c r="W1532">
        <v>0.1508147</v>
      </c>
      <c r="X1532">
        <v>0.9586114</v>
      </c>
      <c r="Y1532">
        <v>0.58139370000000001</v>
      </c>
      <c r="Z1532">
        <v>-8.7782840000000008E-3</v>
      </c>
      <c r="AA1532">
        <v>0.81357500000000005</v>
      </c>
      <c r="AB1532">
        <v>24</v>
      </c>
      <c r="AC1532">
        <v>36.7289999999999</v>
      </c>
      <c r="AD1532">
        <v>-0.66185779999999905</v>
      </c>
      <c r="AE1532">
        <v>-48.205599999999997</v>
      </c>
      <c r="AF1532">
        <v>35.284536220821202</v>
      </c>
      <c r="AG1532">
        <v>-0.66185779999999905</v>
      </c>
      <c r="AH1532">
        <v>49.263829137236797</v>
      </c>
      <c r="AI1532">
        <v>90.625782264552598</v>
      </c>
      <c r="AJ1532">
        <v>54.388391983186203</v>
      </c>
      <c r="AK1532">
        <v>60.600011661126999</v>
      </c>
      <c r="AL1532">
        <v>81.325857657532296</v>
      </c>
      <c r="AM1532">
        <v>75.860254407786698</v>
      </c>
      <c r="AN1532">
        <v>1.0000000243935001</v>
      </c>
    </row>
    <row r="1533" spans="1:40" x14ac:dyDescent="0.25">
      <c r="A1533" t="str">
        <f>"20190303170249910"</f>
        <v>20190303170249910</v>
      </c>
      <c r="B1533" t="str">
        <f>"1551603769897108"</f>
        <v>1551603769897108</v>
      </c>
      <c r="C1533" t="s">
        <v>40</v>
      </c>
      <c r="D1533">
        <v>4.8782560000000004</v>
      </c>
      <c r="E1533">
        <v>0.65633999999999904</v>
      </c>
      <c r="F1533" t="s">
        <v>53</v>
      </c>
      <c r="G1533">
        <v>-168.9777</v>
      </c>
      <c r="H1533">
        <v>0.44738869999999997</v>
      </c>
      <c r="I1533">
        <v>317.19709999999998</v>
      </c>
      <c r="J1533">
        <v>-205.25389999999999</v>
      </c>
      <c r="K1533">
        <v>1.115672</v>
      </c>
      <c r="L1533">
        <v>365.36500000000001</v>
      </c>
      <c r="M1533">
        <v>0.95444929999999994</v>
      </c>
      <c r="N1533">
        <v>-1.441079E-2</v>
      </c>
      <c r="O1533">
        <v>-0.29802489999999998</v>
      </c>
      <c r="P1533">
        <v>0.84501709999999997</v>
      </c>
      <c r="Q1533">
        <v>0.14080179999999901</v>
      </c>
      <c r="R1533">
        <v>-0.51586929999999998</v>
      </c>
      <c r="S1533">
        <v>1.97052</v>
      </c>
      <c r="T1533">
        <v>-3.6198500000000002E-2</v>
      </c>
      <c r="U1533">
        <v>-2.6108699999999998</v>
      </c>
      <c r="V1533">
        <v>0.2428342</v>
      </c>
      <c r="W1533">
        <v>0.1510301</v>
      </c>
      <c r="X1533">
        <v>0.9582387</v>
      </c>
      <c r="Y1533">
        <v>0.5822444</v>
      </c>
      <c r="Z1533">
        <v>-8.8079290000000008E-3</v>
      </c>
      <c r="AA1533">
        <v>0.81296610000000002</v>
      </c>
      <c r="AB1533">
        <v>24</v>
      </c>
      <c r="AC1533">
        <v>36.276199999999903</v>
      </c>
      <c r="AD1533">
        <v>-0.66828330000000002</v>
      </c>
      <c r="AE1533">
        <v>-48.167900000000003</v>
      </c>
      <c r="AF1533">
        <v>35.161940896897001</v>
      </c>
      <c r="AG1533">
        <v>-0.66828330000000002</v>
      </c>
      <c r="AH1533">
        <v>48.978098662657302</v>
      </c>
      <c r="AI1533">
        <v>90.635038904167004</v>
      </c>
      <c r="AJ1533">
        <v>54.324998452402397</v>
      </c>
      <c r="AK1533">
        <v>60.296457929259297</v>
      </c>
      <c r="AL1533">
        <v>81.313372694459005</v>
      </c>
      <c r="AM1533">
        <v>75.779629417988502</v>
      </c>
      <c r="AN1533">
        <v>0.99999997298666898</v>
      </c>
    </row>
    <row r="1534" spans="1:40" x14ac:dyDescent="0.25">
      <c r="A1534" t="str">
        <f>"20190303170249922"</f>
        <v>20190303170249922</v>
      </c>
      <c r="B1534" t="str">
        <f>"1551603769906868"</f>
        <v>1551603769906868</v>
      </c>
      <c r="C1534" t="s">
        <v>40</v>
      </c>
      <c r="D1534">
        <v>4.8410789999999997</v>
      </c>
      <c r="E1534">
        <v>0.65632190000000001</v>
      </c>
      <c r="F1534" t="s">
        <v>53</v>
      </c>
      <c r="G1534">
        <v>-168.982</v>
      </c>
      <c r="H1534">
        <v>0.44887549999999998</v>
      </c>
      <c r="I1534">
        <v>316.73489999999998</v>
      </c>
      <c r="J1534">
        <v>-205.14109999999999</v>
      </c>
      <c r="K1534">
        <v>1.115599</v>
      </c>
      <c r="L1534">
        <v>365.32429999999999</v>
      </c>
      <c r="M1534">
        <v>0.95299480000000003</v>
      </c>
      <c r="N1534">
        <v>-1.442877E-2</v>
      </c>
      <c r="O1534">
        <v>-0.30264289999999999</v>
      </c>
      <c r="P1534">
        <v>0.84163239999999995</v>
      </c>
      <c r="Q1534">
        <v>0.1409164</v>
      </c>
      <c r="R1534">
        <v>-0.52134250000000004</v>
      </c>
      <c r="S1534">
        <v>1.955597</v>
      </c>
      <c r="T1534">
        <v>-3.5949950000000001E-2</v>
      </c>
      <c r="U1534">
        <v>-2.6218870000000001</v>
      </c>
      <c r="V1534">
        <v>0.244451</v>
      </c>
      <c r="W1534">
        <v>0.151088</v>
      </c>
      <c r="X1534">
        <v>0.95781839999999996</v>
      </c>
      <c r="Y1534">
        <v>0.58291819999999905</v>
      </c>
      <c r="Z1534">
        <v>-8.8332489999999996E-3</v>
      </c>
      <c r="AA1534">
        <v>0.81248279999999995</v>
      </c>
      <c r="AB1534">
        <v>24</v>
      </c>
      <c r="AC1534">
        <v>36.159100000000002</v>
      </c>
      <c r="AD1534">
        <v>-0.66672349999999903</v>
      </c>
      <c r="AE1534">
        <v>-48.589399999999998</v>
      </c>
      <c r="AF1534">
        <v>35.361547240050797</v>
      </c>
      <c r="AG1534">
        <v>-0.66672349999999903</v>
      </c>
      <c r="AH1534">
        <v>49.163832265976602</v>
      </c>
      <c r="AI1534">
        <v>90.630760545766407</v>
      </c>
      <c r="AJ1534">
        <v>54.274069558101097</v>
      </c>
      <c r="AK1534">
        <v>60.563734581949902</v>
      </c>
      <c r="AL1534">
        <v>81.310016830965495</v>
      </c>
      <c r="AM1534">
        <v>75.682804930665</v>
      </c>
      <c r="AN1534">
        <v>0.99999998126177903</v>
      </c>
    </row>
    <row r="1535" spans="1:40" x14ac:dyDescent="0.25">
      <c r="A1535" t="str">
        <f>"20190303170249933"</f>
        <v>20190303170249933</v>
      </c>
      <c r="B1535" t="str">
        <f>"1551603769917605"</f>
        <v>1551603769917605</v>
      </c>
      <c r="C1535" t="s">
        <v>40</v>
      </c>
      <c r="D1535">
        <v>4.8760450000000004</v>
      </c>
      <c r="E1535">
        <v>0.65630390000000005</v>
      </c>
      <c r="F1535" t="s">
        <v>53</v>
      </c>
      <c r="G1535">
        <v>-168.982</v>
      </c>
      <c r="H1535">
        <v>0.44534220000000002</v>
      </c>
      <c r="I1535">
        <v>316.19650000000001</v>
      </c>
      <c r="J1535">
        <v>-205.02889999999999</v>
      </c>
      <c r="K1535">
        <v>1.1155250000000001</v>
      </c>
      <c r="L1535">
        <v>365.28339999999997</v>
      </c>
      <c r="M1535">
        <v>0.95151079999999999</v>
      </c>
      <c r="N1535">
        <v>-1.444642E-2</v>
      </c>
      <c r="O1535">
        <v>-0.3072762</v>
      </c>
      <c r="P1535">
        <v>0.83828959999999997</v>
      </c>
      <c r="Q1535">
        <v>0.14099110000000001</v>
      </c>
      <c r="R1535">
        <v>-0.52668139999999997</v>
      </c>
      <c r="S1535">
        <v>1.9387970000000001</v>
      </c>
      <c r="T1535">
        <v>-3.5937789999999997E-2</v>
      </c>
      <c r="U1535">
        <v>-2.6341549999999998</v>
      </c>
      <c r="V1535">
        <v>0.2459131</v>
      </c>
      <c r="W1535">
        <v>0.15110879999999999</v>
      </c>
      <c r="X1535">
        <v>0.95744079999999998</v>
      </c>
      <c r="Y1535">
        <v>0.58413079999999995</v>
      </c>
      <c r="Z1535">
        <v>-8.8678330000000003E-3</v>
      </c>
      <c r="AA1535">
        <v>0.81161110000000003</v>
      </c>
      <c r="AB1535">
        <v>23</v>
      </c>
      <c r="AC1535">
        <v>36.046900000000001</v>
      </c>
      <c r="AD1535">
        <v>-0.67018279999999997</v>
      </c>
      <c r="AE1535">
        <v>-49.086899999999901</v>
      </c>
      <c r="AF1535">
        <v>35.629761959776999</v>
      </c>
      <c r="AG1535">
        <v>-0.67018279999999997</v>
      </c>
      <c r="AH1535">
        <v>49.381420464438598</v>
      </c>
      <c r="AI1535">
        <v>90.630562649386405</v>
      </c>
      <c r="AJ1535">
        <v>54.188737284637803</v>
      </c>
      <c r="AK1535">
        <v>60.897075212045003</v>
      </c>
      <c r="AL1535">
        <v>81.308811434785497</v>
      </c>
      <c r="AM1535">
        <v>75.595279440443903</v>
      </c>
      <c r="AN1535">
        <v>1.00000000384684</v>
      </c>
    </row>
    <row r="1536" spans="1:40" x14ac:dyDescent="0.25">
      <c r="A1536" t="str">
        <f>"20190303170249944"</f>
        <v>20190303170249944</v>
      </c>
      <c r="B1536" t="str">
        <f>"1551603769937125"</f>
        <v>1551603769937125</v>
      </c>
      <c r="C1536" t="s">
        <v>40</v>
      </c>
      <c r="D1536">
        <v>4.8460739999999998</v>
      </c>
      <c r="E1536">
        <v>0.6561266</v>
      </c>
      <c r="F1536" t="s">
        <v>53</v>
      </c>
      <c r="G1536">
        <v>-168.982</v>
      </c>
      <c r="H1536">
        <v>0.45409880000000002</v>
      </c>
      <c r="I1536">
        <v>315.64530000000002</v>
      </c>
      <c r="J1536">
        <v>-204.91560000000001</v>
      </c>
      <c r="K1536">
        <v>1.115456</v>
      </c>
      <c r="L1536">
        <v>365.24090000000001</v>
      </c>
      <c r="M1536">
        <v>0.94995529999999995</v>
      </c>
      <c r="N1536">
        <v>-1.446483E-2</v>
      </c>
      <c r="O1536">
        <v>-0.31205080000000002</v>
      </c>
      <c r="P1536">
        <v>0.8351035</v>
      </c>
      <c r="Q1536">
        <v>0.140994799999999</v>
      </c>
      <c r="R1536">
        <v>-0.53171689999999905</v>
      </c>
      <c r="S1536">
        <v>1.9218900000000001</v>
      </c>
      <c r="T1536">
        <v>-3.5264490000000003E-2</v>
      </c>
      <c r="U1536">
        <v>-2.646515</v>
      </c>
      <c r="V1536">
        <v>0.24689559999999999</v>
      </c>
      <c r="W1536">
        <v>0.1510697</v>
      </c>
      <c r="X1536">
        <v>0.95719410000000005</v>
      </c>
      <c r="Y1536">
        <v>0.58525269999999996</v>
      </c>
      <c r="Z1536">
        <v>-8.9024710000000003E-3</v>
      </c>
      <c r="AA1536">
        <v>0.81080209999999997</v>
      </c>
      <c r="AB1536">
        <v>23</v>
      </c>
      <c r="AC1536">
        <v>35.933599999999998</v>
      </c>
      <c r="AD1536">
        <v>-0.66135719999999898</v>
      </c>
      <c r="AE1536">
        <v>-49.595599999999898</v>
      </c>
      <c r="AF1536">
        <v>35.900064439159102</v>
      </c>
      <c r="AG1536">
        <v>-0.66135719999999898</v>
      </c>
      <c r="AH1536">
        <v>49.611066183666601</v>
      </c>
      <c r="AI1536">
        <v>90.6187596734257</v>
      </c>
      <c r="AJ1536">
        <v>54.109366289782798</v>
      </c>
      <c r="AK1536">
        <v>61.241406809134602</v>
      </c>
      <c r="AL1536">
        <v>81.311077843079303</v>
      </c>
      <c r="AM1536">
        <v>75.536565856925606</v>
      </c>
      <c r="AN1536">
        <v>1.0000000183161299</v>
      </c>
    </row>
    <row r="1537" spans="1:40" x14ac:dyDescent="0.25">
      <c r="A1537" t="str">
        <f>"20190303170249956"</f>
        <v>20190303170249956</v>
      </c>
      <c r="B1537" t="str">
        <f>"1551603769946884"</f>
        <v>1551603769946884</v>
      </c>
      <c r="C1537" t="s">
        <v>40</v>
      </c>
      <c r="D1537">
        <v>4.8741560000000002</v>
      </c>
      <c r="E1537">
        <v>0.65601149999999997</v>
      </c>
      <c r="F1537" t="s">
        <v>53</v>
      </c>
      <c r="G1537">
        <v>-168.982</v>
      </c>
      <c r="H1537">
        <v>0.44437700000000002</v>
      </c>
      <c r="I1537">
        <v>315.17070000000001</v>
      </c>
      <c r="J1537">
        <v>-204.80009999999999</v>
      </c>
      <c r="K1537">
        <v>1.115383</v>
      </c>
      <c r="L1537">
        <v>365.19740000000002</v>
      </c>
      <c r="M1537">
        <v>0.94833529999999999</v>
      </c>
      <c r="N1537">
        <v>-1.448313E-2</v>
      </c>
      <c r="O1537">
        <v>-0.31693939999999998</v>
      </c>
      <c r="P1537">
        <v>0.83179530000000002</v>
      </c>
      <c r="Q1537">
        <v>0.14106529999999901</v>
      </c>
      <c r="R1537">
        <v>-0.53685909999999903</v>
      </c>
      <c r="S1537">
        <v>1.906738</v>
      </c>
      <c r="T1537">
        <v>-3.5609010000000003E-2</v>
      </c>
      <c r="U1537">
        <v>-2.65686</v>
      </c>
      <c r="V1537">
        <v>0.24790409999999999</v>
      </c>
      <c r="W1537">
        <v>0.15109610000000001</v>
      </c>
      <c r="X1537">
        <v>0.95692920000000004</v>
      </c>
      <c r="Y1537">
        <v>0.58562199999999998</v>
      </c>
      <c r="Z1537">
        <v>-8.9236190000000007E-3</v>
      </c>
      <c r="AA1537">
        <v>0.81053520000000001</v>
      </c>
      <c r="AB1537">
        <v>23</v>
      </c>
      <c r="AC1537">
        <v>35.818099999999902</v>
      </c>
      <c r="AD1537">
        <v>-0.67100599999999999</v>
      </c>
      <c r="AE1537">
        <v>-50.026699999999998</v>
      </c>
      <c r="AF1537">
        <v>36.089408436330501</v>
      </c>
      <c r="AG1537">
        <v>-0.67100599999999999</v>
      </c>
      <c r="AH1537">
        <v>49.822296833246099</v>
      </c>
      <c r="AI1537">
        <v>90.624907450308797</v>
      </c>
      <c r="AJ1537">
        <v>54.081833353907498</v>
      </c>
      <c r="AK1537">
        <v>61.523628892291498</v>
      </c>
      <c r="AL1537">
        <v>81.309547369481194</v>
      </c>
      <c r="AM1537">
        <v>75.4761296827661</v>
      </c>
      <c r="AN1537">
        <v>0.99999998402232904</v>
      </c>
    </row>
    <row r="1538" spans="1:40" x14ac:dyDescent="0.25">
      <c r="A1538" t="str">
        <f>"20190303170249967"</f>
        <v>20190303170249967</v>
      </c>
      <c r="B1538" t="str">
        <f>"1551603769957621"</f>
        <v>1551603769957621</v>
      </c>
      <c r="C1538" t="s">
        <v>40</v>
      </c>
      <c r="D1538">
        <v>4.8387070000000003</v>
      </c>
      <c r="E1538">
        <v>0.65587819999999997</v>
      </c>
      <c r="F1538" t="s">
        <v>53</v>
      </c>
      <c r="G1538">
        <v>-168.982</v>
      </c>
      <c r="H1538">
        <v>0.44203959999999998</v>
      </c>
      <c r="I1538">
        <v>314.65550000000002</v>
      </c>
      <c r="J1538">
        <v>-204.6885</v>
      </c>
      <c r="K1538">
        <v>1.1153200000000001</v>
      </c>
      <c r="L1538">
        <v>365.15410000000003</v>
      </c>
      <c r="M1538">
        <v>0.94671090000000002</v>
      </c>
      <c r="N1538">
        <v>-1.450124E-2</v>
      </c>
      <c r="O1538">
        <v>-0.32175799999999999</v>
      </c>
      <c r="P1538">
        <v>0.82877500000000004</v>
      </c>
      <c r="Q1538">
        <v>0.14098840000000001</v>
      </c>
      <c r="R1538">
        <v>-0.54152939999999905</v>
      </c>
      <c r="S1538">
        <v>1.890747</v>
      </c>
      <c r="T1538">
        <v>-3.5543680000000001E-2</v>
      </c>
      <c r="U1538">
        <v>-2.6679689999999998</v>
      </c>
      <c r="V1538">
        <v>0.2484401</v>
      </c>
      <c r="W1538">
        <v>0.1509876</v>
      </c>
      <c r="X1538">
        <v>0.95680730000000003</v>
      </c>
      <c r="Y1538">
        <v>0.58632499999999999</v>
      </c>
      <c r="Z1538">
        <v>-8.9508049999999992E-3</v>
      </c>
      <c r="AA1538">
        <v>0.81002649999999998</v>
      </c>
      <c r="AB1538">
        <v>23</v>
      </c>
      <c r="AC1538">
        <v>35.706499999999998</v>
      </c>
      <c r="AD1538">
        <v>-0.6732804</v>
      </c>
      <c r="AE1538">
        <v>-50.498600000000003</v>
      </c>
      <c r="AF1538">
        <v>36.318237781818603</v>
      </c>
      <c r="AG1538">
        <v>-0.6732804</v>
      </c>
      <c r="AH1538">
        <v>50.0513925558243</v>
      </c>
      <c r="AI1538">
        <v>90.623783134384297</v>
      </c>
      <c r="AJ1538">
        <v>54.034650767243399</v>
      </c>
      <c r="AK1538">
        <v>61.843428097502603</v>
      </c>
      <c r="AL1538">
        <v>81.315836022245307</v>
      </c>
      <c r="AM1538">
        <v>75.444283900751103</v>
      </c>
      <c r="AN1538">
        <v>0.99999997398752904</v>
      </c>
    </row>
    <row r="1539" spans="1:40" x14ac:dyDescent="0.25">
      <c r="A1539" t="str">
        <f>"20190303170249979"</f>
        <v>20190303170249979</v>
      </c>
      <c r="B1539" t="str">
        <f>"1551603769967381"</f>
        <v>1551603769967381</v>
      </c>
      <c r="C1539" t="s">
        <v>40</v>
      </c>
      <c r="D1539">
        <v>4.868811</v>
      </c>
      <c r="E1539">
        <v>0.65564609999999901</v>
      </c>
      <c r="F1539" t="s">
        <v>54</v>
      </c>
      <c r="G1539">
        <v>-157.25</v>
      </c>
      <c r="H1539">
        <v>0.19558139999999999</v>
      </c>
      <c r="I1539">
        <v>297.45890000000003</v>
      </c>
      <c r="J1539">
        <v>-204.57470000000001</v>
      </c>
      <c r="K1539">
        <v>1.1152569999999999</v>
      </c>
      <c r="L1539">
        <v>365.1096</v>
      </c>
      <c r="M1539">
        <v>0.94501670000000004</v>
      </c>
      <c r="N1539">
        <v>-1.451916E-2</v>
      </c>
      <c r="O1539">
        <v>-0.3267002</v>
      </c>
      <c r="P1539">
        <v>0.82541909999999896</v>
      </c>
      <c r="Q1539">
        <v>0.1409608</v>
      </c>
      <c r="R1539">
        <v>-0.54663879999999998</v>
      </c>
      <c r="S1539">
        <v>1.876404</v>
      </c>
      <c r="T1539">
        <v>-3.6376600000000002E-2</v>
      </c>
      <c r="U1539">
        <v>-2.6776430000000002</v>
      </c>
      <c r="V1539">
        <v>0.2493746</v>
      </c>
      <c r="W1539">
        <v>0.15092120000000001</v>
      </c>
      <c r="X1539">
        <v>0.9565747</v>
      </c>
      <c r="Y1539">
        <v>0.58637459999999997</v>
      </c>
      <c r="Z1539">
        <v>-8.9617480000000003E-3</v>
      </c>
      <c r="AA1539">
        <v>0.80999049999999995</v>
      </c>
      <c r="AB1539">
        <v>23</v>
      </c>
      <c r="AC1539">
        <v>47.3247</v>
      </c>
      <c r="AD1539">
        <v>-0.91967560000000004</v>
      </c>
      <c r="AE1539">
        <v>-67.650699999999901</v>
      </c>
      <c r="AF1539">
        <v>48.469138194210302</v>
      </c>
      <c r="AG1539">
        <v>-0.91967560000000004</v>
      </c>
      <c r="AH1539">
        <v>66.822868777672198</v>
      </c>
      <c r="AI1539">
        <v>90.638293818194697</v>
      </c>
      <c r="AJ1539">
        <v>54.045211989429603</v>
      </c>
      <c r="AK1539">
        <v>82.555429574175704</v>
      </c>
      <c r="AL1539">
        <v>81.319685037871807</v>
      </c>
      <c r="AM1539">
        <v>75.388470863543503</v>
      </c>
      <c r="AN1539">
        <v>1.00000002820734</v>
      </c>
    </row>
    <row r="1540" spans="1:40" x14ac:dyDescent="0.25">
      <c r="A1540" t="str">
        <f>"20190303170250001"</f>
        <v>20190303170250001</v>
      </c>
      <c r="B1540" t="str">
        <f>"1551603769986899"</f>
        <v>1551603769986899</v>
      </c>
      <c r="C1540" t="s">
        <v>40</v>
      </c>
      <c r="D1540">
        <v>4.8544559999999999</v>
      </c>
      <c r="E1540">
        <v>0.65524910000000003</v>
      </c>
      <c r="F1540" t="s">
        <v>54</v>
      </c>
      <c r="G1540">
        <v>-157.25</v>
      </c>
      <c r="H1540">
        <v>0.16707130000000001</v>
      </c>
      <c r="I1540">
        <v>296.76190000000003</v>
      </c>
      <c r="J1540">
        <v>-204.3621</v>
      </c>
      <c r="K1540">
        <v>1.115157</v>
      </c>
      <c r="L1540">
        <v>365.02420000000001</v>
      </c>
      <c r="M1540">
        <v>0.94171850000000001</v>
      </c>
      <c r="N1540">
        <v>-1.4551680000000001E-2</v>
      </c>
      <c r="O1540">
        <v>-0.33608729999999998</v>
      </c>
      <c r="P1540">
        <v>0.81874219999999998</v>
      </c>
      <c r="Q1540">
        <v>0.14129539999999999</v>
      </c>
      <c r="R1540">
        <v>-0.55650440000000001</v>
      </c>
      <c r="S1540">
        <v>1.860962</v>
      </c>
      <c r="T1540">
        <v>-3.7282709999999997E-2</v>
      </c>
      <c r="U1540">
        <v>-2.6876530000000001</v>
      </c>
      <c r="V1540">
        <v>0.25140210000000002</v>
      </c>
      <c r="W1540">
        <v>0.15118329999999999</v>
      </c>
      <c r="X1540">
        <v>0.95600240000000003</v>
      </c>
      <c r="Y1540">
        <v>0.58286329999999997</v>
      </c>
      <c r="Z1540">
        <v>-8.9200169999999902E-3</v>
      </c>
      <c r="AA1540">
        <v>0.8125213</v>
      </c>
      <c r="AB1540">
        <v>23</v>
      </c>
      <c r="AC1540">
        <v>47.112099999999998</v>
      </c>
      <c r="AD1540">
        <v>-0.94808570000000003</v>
      </c>
      <c r="AE1540">
        <v>-68.262299999999897</v>
      </c>
      <c r="AF1540">
        <v>48.448888492637799</v>
      </c>
      <c r="AG1540">
        <v>-0.94808570000000003</v>
      </c>
      <c r="AH1540">
        <v>67.306755907726796</v>
      </c>
      <c r="AI1540">
        <v>90.654992298225295</v>
      </c>
      <c r="AJ1540">
        <v>54.252827305229701</v>
      </c>
      <c r="AK1540">
        <v>82.936078117360495</v>
      </c>
      <c r="AL1540">
        <v>81.304493233868897</v>
      </c>
      <c r="AM1540">
        <v>75.266385494616898</v>
      </c>
      <c r="AN1540">
        <v>0.99999999744452905</v>
      </c>
    </row>
    <row r="1541" spans="1:40" x14ac:dyDescent="0.25">
      <c r="A1541" t="str">
        <f>"20190303170250016"</f>
        <v>20190303170250016</v>
      </c>
      <c r="B1541" t="str">
        <f>"1551603770007396"</f>
        <v>1551603770007396</v>
      </c>
      <c r="C1541" t="s">
        <v>40</v>
      </c>
      <c r="D1541">
        <v>4.8528769999999897</v>
      </c>
      <c r="E1541">
        <v>0.65476449999999997</v>
      </c>
      <c r="F1541" t="s">
        <v>54</v>
      </c>
      <c r="G1541">
        <v>-157.25</v>
      </c>
      <c r="H1541">
        <v>0.13570209999999999</v>
      </c>
      <c r="I1541">
        <v>295.3587</v>
      </c>
      <c r="J1541">
        <v>-204.21850000000001</v>
      </c>
      <c r="K1541">
        <v>1.1150979999999999</v>
      </c>
      <c r="L1541">
        <v>364.96519999999998</v>
      </c>
      <c r="M1541">
        <v>0.9394053</v>
      </c>
      <c r="N1541">
        <v>-1.457253E-2</v>
      </c>
      <c r="O1541">
        <v>-0.342499</v>
      </c>
      <c r="P1541">
        <v>0.81429980000000002</v>
      </c>
      <c r="Q1541">
        <v>0.14165820000000001</v>
      </c>
      <c r="R1541">
        <v>-0.56289369999999905</v>
      </c>
      <c r="S1541">
        <v>1.8307040000000001</v>
      </c>
      <c r="T1541">
        <v>-3.8057090000000002E-2</v>
      </c>
      <c r="U1541">
        <v>-2.7070919999999998</v>
      </c>
      <c r="V1541">
        <v>0.25241819999999998</v>
      </c>
      <c r="W1541">
        <v>0.15150710000000001</v>
      </c>
      <c r="X1541">
        <v>0.95568339999999996</v>
      </c>
      <c r="Y1541">
        <v>0.5862522</v>
      </c>
      <c r="Z1541">
        <v>-8.9814379999999996E-3</v>
      </c>
      <c r="AA1541">
        <v>0.81007890000000005</v>
      </c>
      <c r="AB1541">
        <v>23</v>
      </c>
      <c r="AC1541">
        <v>46.968499999999999</v>
      </c>
      <c r="AD1541">
        <v>-0.97939589999999999</v>
      </c>
      <c r="AE1541">
        <v>-69.606499999999897</v>
      </c>
      <c r="AF1541">
        <v>49.300573736287397</v>
      </c>
      <c r="AG1541">
        <v>-0.97939589999999999</v>
      </c>
      <c r="AH1541">
        <v>67.960578444513402</v>
      </c>
      <c r="AI1541">
        <v>90.668331155290204</v>
      </c>
      <c r="AJ1541">
        <v>54.041780455698202</v>
      </c>
      <c r="AK1541">
        <v>83.965147588561393</v>
      </c>
      <c r="AL1541">
        <v>81.285725170432499</v>
      </c>
      <c r="AM1541">
        <v>75.204721299602099</v>
      </c>
      <c r="AN1541">
        <v>1.0000000550385999</v>
      </c>
    </row>
    <row r="1542" spans="1:40" x14ac:dyDescent="0.25">
      <c r="A1542" t="str">
        <f>"20190303170250028"</f>
        <v>20190303170250028</v>
      </c>
      <c r="B1542" t="str">
        <f>"1551603770017156"</f>
        <v>1551603770017156</v>
      </c>
      <c r="C1542" t="s">
        <v>40</v>
      </c>
      <c r="D1542">
        <v>4.8596000000000004</v>
      </c>
      <c r="E1542">
        <v>0.65446380000000004</v>
      </c>
      <c r="F1542" t="s">
        <v>54</v>
      </c>
      <c r="G1542">
        <v>-157.25</v>
      </c>
      <c r="H1542">
        <v>0.1639881</v>
      </c>
      <c r="I1542">
        <v>294.4837</v>
      </c>
      <c r="J1542">
        <v>-204.0822</v>
      </c>
      <c r="K1542">
        <v>1.115049</v>
      </c>
      <c r="L1542">
        <v>364.9076</v>
      </c>
      <c r="M1542">
        <v>0.9371275</v>
      </c>
      <c r="N1542">
        <v>-1.4591109999999999E-2</v>
      </c>
      <c r="O1542">
        <v>-0.34868169999999998</v>
      </c>
      <c r="P1542">
        <v>0.81009240000000005</v>
      </c>
      <c r="Q1542">
        <v>0.14239930000000001</v>
      </c>
      <c r="R1542">
        <v>-0.56874659999999999</v>
      </c>
      <c r="S1542">
        <v>1.8114779999999999</v>
      </c>
      <c r="T1542">
        <v>-3.667927E-2</v>
      </c>
      <c r="U1542">
        <v>-2.7183229999999998</v>
      </c>
      <c r="V1542">
        <v>0.25308389999999997</v>
      </c>
      <c r="W1542">
        <v>0.15222060000000001</v>
      </c>
      <c r="X1542">
        <v>0.95539390000000002</v>
      </c>
      <c r="Y1542">
        <v>0.58642759999999905</v>
      </c>
      <c r="Z1542">
        <v>-9.0140199999999993E-3</v>
      </c>
      <c r="AA1542">
        <v>0.80995150000000005</v>
      </c>
      <c r="AB1542">
        <v>23</v>
      </c>
      <c r="AC1542">
        <v>46.8322</v>
      </c>
      <c r="AD1542">
        <v>-0.95106089999999999</v>
      </c>
      <c r="AE1542">
        <v>-70.423900000000003</v>
      </c>
      <c r="AF1542">
        <v>49.6656550271545</v>
      </c>
      <c r="AG1542">
        <v>-0.95106089999999999</v>
      </c>
      <c r="AH1542">
        <v>68.441907251269399</v>
      </c>
      <c r="AI1542">
        <v>90.644362283878706</v>
      </c>
      <c r="AJ1542">
        <v>54.033054025446503</v>
      </c>
      <c r="AK1542">
        <v>84.568767723688595</v>
      </c>
      <c r="AL1542">
        <v>81.244364761078202</v>
      </c>
      <c r="AM1542">
        <v>75.1631235626337</v>
      </c>
      <c r="AN1542">
        <v>1.0000000378303799</v>
      </c>
    </row>
    <row r="1543" spans="1:40" x14ac:dyDescent="0.25">
      <c r="A1543" t="str">
        <f>"20190303170250046"</f>
        <v>20190303170250046</v>
      </c>
      <c r="B1543" t="str">
        <f>"1551603770037256"</f>
        <v>1551603770037256</v>
      </c>
      <c r="C1543" t="s">
        <v>40</v>
      </c>
      <c r="D1543">
        <v>4.8635229999999998</v>
      </c>
      <c r="E1543">
        <v>0.65391659999999996</v>
      </c>
      <c r="F1543" t="s">
        <v>54</v>
      </c>
      <c r="G1543">
        <v>-157.25</v>
      </c>
      <c r="H1543">
        <v>0.22972200000000001</v>
      </c>
      <c r="I1543">
        <v>293.60120000000001</v>
      </c>
      <c r="J1543">
        <v>-203.922</v>
      </c>
      <c r="K1543">
        <v>1.114995</v>
      </c>
      <c r="L1543">
        <v>364.83870000000002</v>
      </c>
      <c r="M1543">
        <v>0.93436989999999998</v>
      </c>
      <c r="N1543">
        <v>-1.461171E-2</v>
      </c>
      <c r="O1543">
        <v>-0.35600510000000002</v>
      </c>
      <c r="P1543">
        <v>0.80532630000000005</v>
      </c>
      <c r="Q1543">
        <v>0.14362249999999999</v>
      </c>
      <c r="R1543">
        <v>-0.5751714</v>
      </c>
      <c r="S1543">
        <v>1.7928010000000001</v>
      </c>
      <c r="T1543">
        <v>-3.3888580000000001E-2</v>
      </c>
      <c r="U1543">
        <v>-2.7297060000000002</v>
      </c>
      <c r="V1543">
        <v>0.25332260000000001</v>
      </c>
      <c r="W1543">
        <v>0.15342510000000001</v>
      </c>
      <c r="X1543">
        <v>0.95513789999999998</v>
      </c>
      <c r="Y1543">
        <v>0.58551709999999901</v>
      </c>
      <c r="Z1543">
        <v>-9.0599730000000007E-3</v>
      </c>
      <c r="AA1543">
        <v>0.81060949999999998</v>
      </c>
      <c r="AB1543">
        <v>23</v>
      </c>
      <c r="AC1543">
        <v>46.671999999999997</v>
      </c>
      <c r="AD1543">
        <v>-0.88527299999999998</v>
      </c>
      <c r="AE1543">
        <v>-71.237499999999997</v>
      </c>
      <c r="AF1543">
        <v>49.946635521448101</v>
      </c>
      <c r="AG1543">
        <v>-0.88527299999999998</v>
      </c>
      <c r="AH1543">
        <v>68.969728343498701</v>
      </c>
      <c r="AI1543">
        <v>90.595621800946702</v>
      </c>
      <c r="AJ1543">
        <v>54.088620720148697</v>
      </c>
      <c r="AK1543">
        <v>85.160281446064602</v>
      </c>
      <c r="AL1543">
        <v>81.174531409181299</v>
      </c>
      <c r="AM1543">
        <v>75.145943713437106</v>
      </c>
      <c r="AN1543">
        <v>1.0000000044985899</v>
      </c>
    </row>
    <row r="1544" spans="1:40" x14ac:dyDescent="0.25">
      <c r="A1544" t="str">
        <f>"20190303170250059"</f>
        <v>20190303170250059</v>
      </c>
      <c r="B1544" t="str">
        <f>"1551603770047017"</f>
        <v>1551603770047017</v>
      </c>
      <c r="C1544" t="s">
        <v>40</v>
      </c>
      <c r="D1544">
        <v>4.8581500000000002</v>
      </c>
      <c r="E1544">
        <v>0.65374299999999996</v>
      </c>
      <c r="F1544" t="s">
        <v>54</v>
      </c>
      <c r="G1544">
        <v>-157.25</v>
      </c>
      <c r="H1544">
        <v>0.2709298</v>
      </c>
      <c r="I1544">
        <v>292.7242</v>
      </c>
      <c r="J1544">
        <v>-203.7903</v>
      </c>
      <c r="K1544">
        <v>1.114957</v>
      </c>
      <c r="L1544">
        <v>364.78100000000001</v>
      </c>
      <c r="M1544">
        <v>0.93203499999999995</v>
      </c>
      <c r="N1544">
        <v>-1.4627920000000001E-2</v>
      </c>
      <c r="O1544">
        <v>-0.36207329999999999</v>
      </c>
      <c r="P1544">
        <v>0.80128959999999905</v>
      </c>
      <c r="Q1544">
        <v>0.144098</v>
      </c>
      <c r="R1544">
        <v>-0.58066439999999997</v>
      </c>
      <c r="S1544">
        <v>1.7736209999999999</v>
      </c>
      <c r="T1544">
        <v>-3.2073020000000001E-2</v>
      </c>
      <c r="U1544">
        <v>-2.7404790000000001</v>
      </c>
      <c r="V1544">
        <v>0.25369649999999999</v>
      </c>
      <c r="W1544">
        <v>0.15388399999999999</v>
      </c>
      <c r="X1544">
        <v>0.95496479999999995</v>
      </c>
      <c r="Y1544">
        <v>0.58570059999999902</v>
      </c>
      <c r="Z1544">
        <v>-9.1138509999999992E-3</v>
      </c>
      <c r="AA1544">
        <v>0.81047619999999998</v>
      </c>
      <c r="AB1544">
        <v>23</v>
      </c>
      <c r="AC1544">
        <v>46.540300000000002</v>
      </c>
      <c r="AD1544">
        <v>-0.84402719999999898</v>
      </c>
      <c r="AE1544">
        <v>-72.056799999999996</v>
      </c>
      <c r="AF1544">
        <v>50.308964847900299</v>
      </c>
      <c r="AG1544">
        <v>-0.84402719999999898</v>
      </c>
      <c r="AH1544">
        <v>69.467729553476602</v>
      </c>
      <c r="AI1544">
        <v>90.563795805253307</v>
      </c>
      <c r="AJ1544">
        <v>54.087708636734497</v>
      </c>
      <c r="AK1544">
        <v>85.775694548610801</v>
      </c>
      <c r="AL1544">
        <v>81.147922204427701</v>
      </c>
      <c r="AM1544">
        <v>75.122413935639003</v>
      </c>
      <c r="AN1544">
        <v>0.99999998440364402</v>
      </c>
    </row>
    <row r="1545" spans="1:40" x14ac:dyDescent="0.25">
      <c r="A1545" t="str">
        <f>"20190303170250071"</f>
        <v>20190303170250071</v>
      </c>
      <c r="B1545" t="str">
        <f>"1551603770056777"</f>
        <v>1551603770056777</v>
      </c>
      <c r="C1545" t="s">
        <v>40</v>
      </c>
      <c r="D1545">
        <v>4.8638070000000004</v>
      </c>
      <c r="E1545">
        <v>0.65374299999999996</v>
      </c>
      <c r="F1545" t="s">
        <v>54</v>
      </c>
      <c r="G1545">
        <v>-157.25</v>
      </c>
      <c r="H1545">
        <v>0.26172830000000002</v>
      </c>
      <c r="I1545">
        <v>291.8775</v>
      </c>
      <c r="J1545">
        <v>-203.66679999999999</v>
      </c>
      <c r="K1545">
        <v>1.1149180000000001</v>
      </c>
      <c r="L1545">
        <v>364.72590000000002</v>
      </c>
      <c r="M1545">
        <v>0.92978159999999999</v>
      </c>
      <c r="N1545">
        <v>-1.4642830000000001E-2</v>
      </c>
      <c r="O1545">
        <v>-0.36782029999999999</v>
      </c>
      <c r="P1545">
        <v>0.79753809999999903</v>
      </c>
      <c r="Q1545">
        <v>0.1436962</v>
      </c>
      <c r="R1545">
        <v>-0.58590469999999994</v>
      </c>
      <c r="S1545">
        <v>1.756195</v>
      </c>
      <c r="T1545">
        <v>-3.219354E-2</v>
      </c>
      <c r="U1545">
        <v>-2.751007</v>
      </c>
      <c r="V1545">
        <v>0.25404169999999998</v>
      </c>
      <c r="W1545">
        <v>0.15346940000000001</v>
      </c>
      <c r="X1545">
        <v>0.95493980000000001</v>
      </c>
      <c r="Y1545">
        <v>0.58574969999999904</v>
      </c>
      <c r="Z1545">
        <v>-9.1317780000000001E-3</v>
      </c>
      <c r="AA1545">
        <v>0.81044050000000001</v>
      </c>
      <c r="AB1545">
        <v>23</v>
      </c>
      <c r="AC1545">
        <v>46.416800000000002</v>
      </c>
      <c r="AD1545">
        <v>-0.85318970000000005</v>
      </c>
      <c r="AE1545">
        <v>-72.848399999999998</v>
      </c>
      <c r="AF1545">
        <v>50.6605498944757</v>
      </c>
      <c r="AG1545">
        <v>-0.85318970000000005</v>
      </c>
      <c r="AH1545">
        <v>69.9532825311571</v>
      </c>
      <c r="AI1545">
        <v>90.565960424583693</v>
      </c>
      <c r="AJ1545">
        <v>54.087738434438599</v>
      </c>
      <c r="AK1545">
        <v>86.375233633019704</v>
      </c>
      <c r="AL1545">
        <v>81.1719630289261</v>
      </c>
      <c r="AM1545">
        <v>75.102697124349007</v>
      </c>
      <c r="AN1545">
        <v>1.00000003184964</v>
      </c>
    </row>
    <row r="1546" spans="1:40" x14ac:dyDescent="0.25">
      <c r="A1546" t="str">
        <f>"20190303170250084"</f>
        <v>20190303170250084</v>
      </c>
      <c r="B1546" t="str">
        <f>"1551603770077273"</f>
        <v>1551603770077273</v>
      </c>
      <c r="C1546" t="s">
        <v>40</v>
      </c>
      <c r="D1546">
        <v>4.8552530000000003</v>
      </c>
      <c r="E1546">
        <v>0.64016139999999999</v>
      </c>
      <c r="F1546" t="s">
        <v>54</v>
      </c>
      <c r="G1546">
        <v>-157.25</v>
      </c>
      <c r="H1546">
        <v>0.19010589999999999</v>
      </c>
      <c r="I1546">
        <v>290.97410000000002</v>
      </c>
      <c r="J1546">
        <v>-203.55350000000001</v>
      </c>
      <c r="K1546">
        <v>1.114881</v>
      </c>
      <c r="L1546">
        <v>364.67430000000002</v>
      </c>
      <c r="M1546">
        <v>0.92765960000000003</v>
      </c>
      <c r="N1546">
        <v>-1.465644E-2</v>
      </c>
      <c r="O1546">
        <v>-0.37313950000000001</v>
      </c>
      <c r="P1546">
        <v>0.79385419999999995</v>
      </c>
      <c r="Q1546">
        <v>0.14348369999999999</v>
      </c>
      <c r="R1546">
        <v>-0.59093819999999997</v>
      </c>
      <c r="S1546">
        <v>1.7384949999999999</v>
      </c>
      <c r="T1546">
        <v>-3.4634829999999998E-2</v>
      </c>
      <c r="U1546">
        <v>-2.7622990000000001</v>
      </c>
      <c r="V1546">
        <v>0.25460840000000001</v>
      </c>
      <c r="W1546">
        <v>0.1532394</v>
      </c>
      <c r="X1546">
        <v>0.95482579999999995</v>
      </c>
      <c r="Y1546">
        <v>0.58631319999999998</v>
      </c>
      <c r="Z1546">
        <v>-9.1040059999999996E-3</v>
      </c>
      <c r="AA1546">
        <v>0.81003329999999996</v>
      </c>
      <c r="AB1546">
        <v>23</v>
      </c>
      <c r="AC1546">
        <v>46.3035</v>
      </c>
      <c r="AD1546">
        <v>-0.92477509999999996</v>
      </c>
      <c r="AE1546">
        <v>-73.700199999999995</v>
      </c>
      <c r="AF1546">
        <v>51.0907481251961</v>
      </c>
      <c r="AG1546">
        <v>-0.92477509999999996</v>
      </c>
      <c r="AH1546">
        <v>70.453948930569993</v>
      </c>
      <c r="AI1546">
        <v>90.608806235442898</v>
      </c>
      <c r="AJ1546">
        <v>54.0516864762509</v>
      </c>
      <c r="AK1546">
        <v>87.033778918815102</v>
      </c>
      <c r="AL1546">
        <v>81.185298784237403</v>
      </c>
      <c r="AM1546">
        <v>75.069244638618798</v>
      </c>
      <c r="AN1546">
        <v>1.0000000297042699</v>
      </c>
    </row>
    <row r="1547" spans="1:40" x14ac:dyDescent="0.25">
      <c r="A1547" t="str">
        <f>"20190303170250094"</f>
        <v>20190303170250094</v>
      </c>
      <c r="B1547" t="str">
        <f>"1551603770087033"</f>
        <v>1551603770087033</v>
      </c>
      <c r="C1547" t="s">
        <v>40</v>
      </c>
      <c r="D1547">
        <v>4.8664310000000004</v>
      </c>
      <c r="E1547">
        <v>0.63998949999999999</v>
      </c>
      <c r="F1547" t="s">
        <v>44</v>
      </c>
      <c r="G1547">
        <v>-169.5598</v>
      </c>
      <c r="H1547">
        <v>-0.05</v>
      </c>
      <c r="I1547">
        <v>313.65600000000001</v>
      </c>
      <c r="J1547">
        <v>-203.44200000000001</v>
      </c>
      <c r="K1547">
        <v>1.1148480000000001</v>
      </c>
      <c r="L1547">
        <v>364.62310000000002</v>
      </c>
      <c r="M1547">
        <v>0.92553189999999996</v>
      </c>
      <c r="N1547">
        <v>-1.466956E-2</v>
      </c>
      <c r="O1547">
        <v>-0.37838549999999999</v>
      </c>
      <c r="P1547">
        <v>0.790336699999999</v>
      </c>
      <c r="Q1547">
        <v>0.14265320000000001</v>
      </c>
      <c r="R1547">
        <v>-0.59583399999999997</v>
      </c>
      <c r="S1547">
        <v>1.7901609999999999</v>
      </c>
      <c r="T1547">
        <v>-6.1344500000000003E-2</v>
      </c>
      <c r="U1547">
        <v>-2.6867070000000002</v>
      </c>
      <c r="V1547">
        <v>0.25504640000000001</v>
      </c>
      <c r="W1547">
        <v>0.152395</v>
      </c>
      <c r="X1547">
        <v>0.95484400000000003</v>
      </c>
      <c r="Y1547">
        <v>0.56027990000000005</v>
      </c>
      <c r="Z1547">
        <v>-7.9135059999999903E-3</v>
      </c>
      <c r="AA1547">
        <v>0.82826549999999999</v>
      </c>
      <c r="AB1547">
        <v>23</v>
      </c>
      <c r="AC1547">
        <v>33.882199999999997</v>
      </c>
      <c r="AD1547">
        <v>-1.1648479999999899</v>
      </c>
      <c r="AE1547">
        <v>-50.967100000000002</v>
      </c>
      <c r="AF1547">
        <v>34.342398417995199</v>
      </c>
      <c r="AG1547">
        <v>-1.1648479999999899</v>
      </c>
      <c r="AH1547">
        <v>50.631375275627299</v>
      </c>
      <c r="AI1547">
        <v>91.090770014152596</v>
      </c>
      <c r="AJ1547">
        <v>55.851624503018201</v>
      </c>
      <c r="AK1547">
        <v>61.1906313275556</v>
      </c>
      <c r="AL1547">
        <v>81.234253939126006</v>
      </c>
      <c r="AM1547">
        <v>75.044981638908297</v>
      </c>
      <c r="AN1547">
        <v>0.99999998325697903</v>
      </c>
    </row>
    <row r="1548" spans="1:40" x14ac:dyDescent="0.25">
      <c r="A1548" t="str">
        <f>"20190303170250105"</f>
        <v>20190303170250105</v>
      </c>
      <c r="B1548" t="str">
        <f>"1551603770096793"</f>
        <v>1551603770096793</v>
      </c>
      <c r="C1548" t="s">
        <v>40</v>
      </c>
      <c r="D1548">
        <v>4.850168</v>
      </c>
      <c r="E1548">
        <v>0.63945039999999997</v>
      </c>
      <c r="F1548" t="s">
        <v>44</v>
      </c>
      <c r="G1548">
        <v>-170.9194</v>
      </c>
      <c r="H1548">
        <v>-0.05</v>
      </c>
      <c r="I1548">
        <v>315.20940000000002</v>
      </c>
      <c r="J1548">
        <v>-203.33420000000001</v>
      </c>
      <c r="K1548">
        <v>1.1148209999999901</v>
      </c>
      <c r="L1548">
        <v>364.57229999999998</v>
      </c>
      <c r="M1548">
        <v>0.92341269999999998</v>
      </c>
      <c r="N1548">
        <v>-1.468261E-2</v>
      </c>
      <c r="O1548">
        <v>-0.38352740000000002</v>
      </c>
      <c r="P1548">
        <v>0.78701730000000003</v>
      </c>
      <c r="Q1548">
        <v>0.1418277</v>
      </c>
      <c r="R1548">
        <v>-0.60040689999999997</v>
      </c>
      <c r="S1548">
        <v>1.774597</v>
      </c>
      <c r="T1548">
        <v>-6.3559889999999994E-2</v>
      </c>
      <c r="U1548">
        <v>-2.696259</v>
      </c>
      <c r="V1548">
        <v>0.25521379999999999</v>
      </c>
      <c r="W1548">
        <v>0.15156129999999901</v>
      </c>
      <c r="X1548">
        <v>0.954932</v>
      </c>
      <c r="Y1548">
        <v>0.56034790000000001</v>
      </c>
      <c r="Z1548">
        <v>-7.8101669999999998E-3</v>
      </c>
      <c r="AA1548">
        <v>0.82822059999999997</v>
      </c>
      <c r="AB1548">
        <v>23</v>
      </c>
      <c r="AC1548">
        <v>32.4148</v>
      </c>
      <c r="AD1548">
        <v>-1.1648210000000001</v>
      </c>
      <c r="AE1548">
        <v>-49.362899999999897</v>
      </c>
      <c r="AF1548">
        <v>33.141047161585597</v>
      </c>
      <c r="AG1548">
        <v>-1.1648210000000001</v>
      </c>
      <c r="AH1548">
        <v>48.8505283018591</v>
      </c>
      <c r="AI1548">
        <v>91.130427139534504</v>
      </c>
      <c r="AJ1548">
        <v>55.846349629006603</v>
      </c>
      <c r="AK1548">
        <v>59.042865193850702</v>
      </c>
      <c r="AL1548">
        <v>81.282583133490206</v>
      </c>
      <c r="AM1548">
        <v>75.036923253107403</v>
      </c>
      <c r="AN1548">
        <v>1.00000001799606</v>
      </c>
    </row>
    <row r="1549" spans="1:40" x14ac:dyDescent="0.25">
      <c r="A1549" t="str">
        <f>"20190303170250117"</f>
        <v>20190303170250117</v>
      </c>
      <c r="B1549" t="str">
        <f>"1551603770107528"</f>
        <v>1551603770107528</v>
      </c>
      <c r="C1549" t="s">
        <v>40</v>
      </c>
      <c r="D1549">
        <v>4.8644350000000003</v>
      </c>
      <c r="E1549">
        <v>0.6389629</v>
      </c>
      <c r="F1549" t="s">
        <v>42</v>
      </c>
      <c r="G1549">
        <v>-176.26320000000001</v>
      </c>
      <c r="H1549">
        <v>7.9986520000000005E-2</v>
      </c>
      <c r="I1549">
        <v>323.03070000000002</v>
      </c>
      <c r="J1549">
        <v>-203.23009999999999</v>
      </c>
      <c r="K1549">
        <v>1.1147879999999999</v>
      </c>
      <c r="L1549">
        <v>364.52289999999999</v>
      </c>
      <c r="M1549">
        <v>0.92133299999999996</v>
      </c>
      <c r="N1549">
        <v>-1.469494E-2</v>
      </c>
      <c r="O1549">
        <v>-0.38849650000000002</v>
      </c>
      <c r="P1549">
        <v>0.78373280000000001</v>
      </c>
      <c r="Q1549">
        <v>0.1410662</v>
      </c>
      <c r="R1549">
        <v>-0.60486689999999999</v>
      </c>
      <c r="S1549">
        <v>1.7616579999999999</v>
      </c>
      <c r="T1549">
        <v>-6.7342280000000004E-2</v>
      </c>
      <c r="U1549">
        <v>-2.7033390000000002</v>
      </c>
      <c r="V1549">
        <v>0.25543749999999998</v>
      </c>
      <c r="W1549">
        <v>0.1507897</v>
      </c>
      <c r="X1549">
        <v>0.95499429999999996</v>
      </c>
      <c r="Y1549">
        <v>0.55964639999999999</v>
      </c>
      <c r="Z1549">
        <v>-7.6314089999999996E-3</v>
      </c>
      <c r="AA1549">
        <v>0.8286964</v>
      </c>
      <c r="AB1549">
        <v>23</v>
      </c>
      <c r="AC1549">
        <v>26.9668999999999</v>
      </c>
      <c r="AD1549">
        <v>-1.0348014799999901</v>
      </c>
      <c r="AE1549">
        <v>-41.492199999999897</v>
      </c>
      <c r="AF1549">
        <v>27.742452942463</v>
      </c>
      <c r="AG1549">
        <v>-1.0348014799999901</v>
      </c>
      <c r="AH1549">
        <v>40.951586500302398</v>
      </c>
      <c r="AI1549">
        <v>91.198472532635407</v>
      </c>
      <c r="AJ1549">
        <v>55.884514691832401</v>
      </c>
      <c r="AK1549">
        <v>49.474710168524801</v>
      </c>
      <c r="AL1549">
        <v>81.327306247823202</v>
      </c>
      <c r="AM1549">
        <v>75.025329861696505</v>
      </c>
      <c r="AN1549">
        <v>0.99999998153241398</v>
      </c>
    </row>
    <row r="1550" spans="1:40" x14ac:dyDescent="0.25">
      <c r="A1550" t="str">
        <f>"20190303170250128"</f>
        <v>20190303170250128</v>
      </c>
      <c r="B1550" t="str">
        <f>"1551603770117289"</f>
        <v>1551603770117289</v>
      </c>
      <c r="C1550" t="s">
        <v>40</v>
      </c>
      <c r="D1550">
        <v>4.8773309999999999</v>
      </c>
      <c r="E1550">
        <v>0.63838839999999997</v>
      </c>
      <c r="F1550" t="s">
        <v>42</v>
      </c>
      <c r="G1550">
        <v>-177.1651</v>
      </c>
      <c r="H1550">
        <v>7.9986810000000005E-2</v>
      </c>
      <c r="I1550">
        <v>324.1191</v>
      </c>
      <c r="J1550">
        <v>-203.12960000000001</v>
      </c>
      <c r="K1550">
        <v>1.1147549999999999</v>
      </c>
      <c r="L1550">
        <v>364.4742</v>
      </c>
      <c r="M1550">
        <v>0.91927519999999996</v>
      </c>
      <c r="N1550">
        <v>-1.470691E-2</v>
      </c>
      <c r="O1550">
        <v>-0.39334079999999999</v>
      </c>
      <c r="P1550">
        <v>0.78042690000000003</v>
      </c>
      <c r="Q1550">
        <v>0.14063290000000001</v>
      </c>
      <c r="R1550">
        <v>-0.60922619999999905</v>
      </c>
      <c r="S1550">
        <v>1.748505</v>
      </c>
      <c r="T1550">
        <v>-6.9416999999999895E-2</v>
      </c>
      <c r="U1550">
        <v>-2.710388</v>
      </c>
      <c r="V1550">
        <v>0.25570759999999998</v>
      </c>
      <c r="W1550">
        <v>0.1503456</v>
      </c>
      <c r="X1550">
        <v>0.95499210000000001</v>
      </c>
      <c r="Y1550">
        <v>0.55909730000000002</v>
      </c>
      <c r="Z1550">
        <v>-7.5022049999999996E-3</v>
      </c>
      <c r="AA1550">
        <v>0.82906809999999997</v>
      </c>
      <c r="AB1550">
        <v>23</v>
      </c>
      <c r="AC1550">
        <v>25.964500000000001</v>
      </c>
      <c r="AD1550">
        <v>-1.0347681900000001</v>
      </c>
      <c r="AE1550">
        <v>-40.355099999999901</v>
      </c>
      <c r="AF1550">
        <v>26.874954268641499</v>
      </c>
      <c r="AG1550">
        <v>-1.0347681900000001</v>
      </c>
      <c r="AH1550">
        <v>39.727650215698901</v>
      </c>
      <c r="AI1550">
        <v>91.235897801874899</v>
      </c>
      <c r="AJ1550">
        <v>55.922441244198403</v>
      </c>
      <c r="AK1550">
        <v>47.975203009570798</v>
      </c>
      <c r="AL1550">
        <v>81.353045271236098</v>
      </c>
      <c r="AM1550">
        <v>75.010174992521499</v>
      </c>
      <c r="AN1550">
        <v>1.00000004359976</v>
      </c>
    </row>
    <row r="1551" spans="1:40" x14ac:dyDescent="0.25">
      <c r="A1551" t="str">
        <f>"20190303170250137"</f>
        <v>20190303170250137</v>
      </c>
      <c r="B1551" t="str">
        <f>"1551603770127048"</f>
        <v>1551603770127048</v>
      </c>
      <c r="C1551" t="s">
        <v>40</v>
      </c>
      <c r="D1551">
        <v>4.8318240000000001</v>
      </c>
      <c r="E1551">
        <v>0.63789879999999999</v>
      </c>
      <c r="F1551" t="s">
        <v>42</v>
      </c>
      <c r="G1551">
        <v>-177.7176</v>
      </c>
      <c r="H1551">
        <v>7.9985479999999998E-2</v>
      </c>
      <c r="I1551">
        <v>324.71199999999999</v>
      </c>
      <c r="J1551">
        <v>-203.03440000000001</v>
      </c>
      <c r="K1551">
        <v>1.1147180000000001</v>
      </c>
      <c r="L1551">
        <v>364.42779999999999</v>
      </c>
      <c r="M1551">
        <v>0.91729369999999999</v>
      </c>
      <c r="N1551">
        <v>-1.4718E-2</v>
      </c>
      <c r="O1551">
        <v>-0.39793970000000001</v>
      </c>
      <c r="P1551">
        <v>0.7772443</v>
      </c>
      <c r="Q1551">
        <v>0.14025770000000001</v>
      </c>
      <c r="R1551">
        <v>-0.61336689999999905</v>
      </c>
      <c r="S1551">
        <v>1.736145</v>
      </c>
      <c r="T1551">
        <v>-7.0695399999999894E-2</v>
      </c>
      <c r="U1551">
        <v>-2.7165530000000002</v>
      </c>
      <c r="V1551">
        <v>0.25598019999999999</v>
      </c>
      <c r="W1551">
        <v>0.14995899999999901</v>
      </c>
      <c r="X1551">
        <v>0.95497980000000005</v>
      </c>
      <c r="Y1551">
        <v>0.55847119999999995</v>
      </c>
      <c r="Z1551">
        <v>-7.3948140000000004E-3</v>
      </c>
      <c r="AA1551">
        <v>0.82949099999999998</v>
      </c>
      <c r="AB1551">
        <v>23</v>
      </c>
      <c r="AC1551">
        <v>25.316800000000001</v>
      </c>
      <c r="AD1551">
        <v>-1.0347325199999999</v>
      </c>
      <c r="AE1551">
        <v>-39.715800000000002</v>
      </c>
      <c r="AF1551">
        <v>26.3466273738185</v>
      </c>
      <c r="AG1551">
        <v>-1.0347325199999999</v>
      </c>
      <c r="AH1551">
        <v>39.012825640218402</v>
      </c>
      <c r="AI1551">
        <v>91.2591622266917</v>
      </c>
      <c r="AJ1551">
        <v>55.967565997009302</v>
      </c>
      <c r="AK1551">
        <v>47.087323238817397</v>
      </c>
      <c r="AL1551">
        <v>81.375449368598794</v>
      </c>
      <c r="AM1551">
        <v>74.9947307245762</v>
      </c>
      <c r="AN1551">
        <v>0.99999999144053997</v>
      </c>
    </row>
    <row r="1552" spans="1:40" x14ac:dyDescent="0.25">
      <c r="A1552" t="str">
        <f>"20190303170250148"</f>
        <v>20190303170250148</v>
      </c>
      <c r="B1552" t="str">
        <f>"1551603770136810"</f>
        <v>1551603770136810</v>
      </c>
      <c r="C1552" t="s">
        <v>40</v>
      </c>
      <c r="D1552">
        <v>4.8760459999999997</v>
      </c>
      <c r="E1552">
        <v>0.6374204</v>
      </c>
      <c r="F1552" t="s">
        <v>42</v>
      </c>
      <c r="G1552">
        <v>-178.29660000000001</v>
      </c>
      <c r="H1552">
        <v>7.998566E-2</v>
      </c>
      <c r="I1552">
        <v>325.37259999999998</v>
      </c>
      <c r="J1552">
        <v>-202.93279999999999</v>
      </c>
      <c r="K1552">
        <v>1.1146860000000001</v>
      </c>
      <c r="L1552">
        <v>364.37720000000002</v>
      </c>
      <c r="M1552">
        <v>0.91512819999999995</v>
      </c>
      <c r="N1552">
        <v>-1.472971E-2</v>
      </c>
      <c r="O1552">
        <v>-0.40289370000000002</v>
      </c>
      <c r="P1552">
        <v>0.77354889999999998</v>
      </c>
      <c r="Q1552">
        <v>0.1403045</v>
      </c>
      <c r="R1552">
        <v>-0.61801019999999995</v>
      </c>
      <c r="S1552">
        <v>1.7244109999999999</v>
      </c>
      <c r="T1552">
        <v>-7.2128650000000002E-2</v>
      </c>
      <c r="U1552">
        <v>-2.7224430000000002</v>
      </c>
      <c r="V1552">
        <v>0.25655139999999999</v>
      </c>
      <c r="W1552">
        <v>0.14998639999999999</v>
      </c>
      <c r="X1552">
        <v>0.95482219999999995</v>
      </c>
      <c r="Y1552">
        <v>0.55734249999999996</v>
      </c>
      <c r="Z1552">
        <v>-7.2615850000000001E-3</v>
      </c>
      <c r="AA1552">
        <v>0.83025090000000001</v>
      </c>
      <c r="AB1552">
        <v>23</v>
      </c>
      <c r="AC1552">
        <v>24.636199999999899</v>
      </c>
      <c r="AD1552">
        <v>-1.0347003400000001</v>
      </c>
      <c r="AE1552">
        <v>-39.004600000000003</v>
      </c>
      <c r="AF1552">
        <v>25.758279263277299</v>
      </c>
      <c r="AG1552">
        <v>-1.0347003400000001</v>
      </c>
      <c r="AH1552">
        <v>38.244903267913898</v>
      </c>
      <c r="AI1552">
        <v>91.285482630126893</v>
      </c>
      <c r="AJ1552">
        <v>56.039386307367401</v>
      </c>
      <c r="AK1552">
        <v>46.121927337988303</v>
      </c>
      <c r="AL1552">
        <v>81.373861469900106</v>
      </c>
      <c r="AM1552">
        <v>74.960392992806106</v>
      </c>
      <c r="AN1552">
        <v>0.99999998731987905</v>
      </c>
    </row>
    <row r="1553" spans="1:40" x14ac:dyDescent="0.25">
      <c r="A1553" t="str">
        <f>"20190303170250160"</f>
        <v>20190303170250160</v>
      </c>
      <c r="B1553" t="str">
        <f>"1551603770147546"</f>
        <v>1551603770147546</v>
      </c>
      <c r="C1553" t="s">
        <v>40</v>
      </c>
      <c r="D1553">
        <v>4.8617939999999997</v>
      </c>
      <c r="E1553">
        <v>0.6374204</v>
      </c>
      <c r="F1553" t="s">
        <v>42</v>
      </c>
      <c r="G1553">
        <v>-178.9212</v>
      </c>
      <c r="H1553">
        <v>7.9985829999999994E-2</v>
      </c>
      <c r="I1553">
        <v>326.06729999999999</v>
      </c>
      <c r="J1553">
        <v>-202.8271</v>
      </c>
      <c r="K1553">
        <v>1.1146560000000001</v>
      </c>
      <c r="L1553">
        <v>364.32400000000001</v>
      </c>
      <c r="M1553">
        <v>0.91283150000000002</v>
      </c>
      <c r="N1553">
        <v>-1.474166E-2</v>
      </c>
      <c r="O1553">
        <v>-0.40807009999999999</v>
      </c>
      <c r="P1553">
        <v>0.76960569999999995</v>
      </c>
      <c r="Q1553">
        <v>0.1406617</v>
      </c>
      <c r="R1553">
        <v>-0.62283339999999998</v>
      </c>
      <c r="S1553">
        <v>1.7108460000000001</v>
      </c>
      <c r="T1553">
        <v>-7.3723319999999995E-2</v>
      </c>
      <c r="U1553">
        <v>-2.7296140000000002</v>
      </c>
      <c r="V1553">
        <v>0.25715729999999998</v>
      </c>
      <c r="W1553">
        <v>0.1503216</v>
      </c>
      <c r="X1553">
        <v>0.95460650000000002</v>
      </c>
      <c r="Y1553">
        <v>0.55657760000000001</v>
      </c>
      <c r="Z1553">
        <v>-7.1215269999999999E-3</v>
      </c>
      <c r="AA1553">
        <v>0.83076510000000003</v>
      </c>
      <c r="AB1553">
        <v>23</v>
      </c>
      <c r="AC1553">
        <v>23.905899999999999</v>
      </c>
      <c r="AD1553">
        <v>-1.0346701699999901</v>
      </c>
      <c r="AE1553">
        <v>-38.256700000000002</v>
      </c>
      <c r="AF1553">
        <v>25.156141152528299</v>
      </c>
      <c r="AG1553">
        <v>-1.0346701699999901</v>
      </c>
      <c r="AH1553">
        <v>37.417860916646099</v>
      </c>
      <c r="AI1553">
        <v>91.314581064745497</v>
      </c>
      <c r="AJ1553">
        <v>56.086940090501201</v>
      </c>
      <c r="AK1553">
        <v>45.099870239548203</v>
      </c>
      <c r="AL1553">
        <v>81.354435928842804</v>
      </c>
      <c r="AM1553">
        <v>74.923237488949198</v>
      </c>
      <c r="AN1553">
        <v>1.00000001510604</v>
      </c>
    </row>
    <row r="1554" spans="1:40" x14ac:dyDescent="0.25">
      <c r="A1554" t="str">
        <f>"20190303170250172"</f>
        <v>20190303170250172</v>
      </c>
      <c r="B1554" t="str">
        <f>"1551603770157306"</f>
        <v>1551603770157306</v>
      </c>
      <c r="C1554" t="s">
        <v>40</v>
      </c>
      <c r="D1554">
        <v>4.8639849999999996</v>
      </c>
      <c r="E1554">
        <v>0.63275990000000004</v>
      </c>
      <c r="F1554" t="s">
        <v>42</v>
      </c>
      <c r="G1554">
        <v>-179.0247</v>
      </c>
      <c r="H1554">
        <v>7.9985749999999994E-2</v>
      </c>
      <c r="I1554">
        <v>325.82679999999999</v>
      </c>
      <c r="J1554">
        <v>-202.70930000000001</v>
      </c>
      <c r="K1554">
        <v>1.1146259999999999</v>
      </c>
      <c r="L1554">
        <v>364.26389999999998</v>
      </c>
      <c r="M1554">
        <v>0.91021609999999997</v>
      </c>
      <c r="N1554">
        <v>-1.4754740000000001E-2</v>
      </c>
      <c r="O1554">
        <v>-0.41387069999999998</v>
      </c>
      <c r="P1554">
        <v>0.76534969999999902</v>
      </c>
      <c r="Q1554">
        <v>0.14094039999999999</v>
      </c>
      <c r="R1554">
        <v>-0.62799329999999998</v>
      </c>
      <c r="S1554">
        <v>1.694107</v>
      </c>
      <c r="T1554">
        <v>-7.3641419999999999E-2</v>
      </c>
      <c r="U1554">
        <v>-2.7399900000000001</v>
      </c>
      <c r="V1554">
        <v>0.25754009999999999</v>
      </c>
      <c r="W1554">
        <v>0.15058270000000001</v>
      </c>
      <c r="X1554">
        <v>0.95446209999999998</v>
      </c>
      <c r="Y1554">
        <v>0.55637040000000004</v>
      </c>
      <c r="Z1554">
        <v>-7.0521899999999998E-3</v>
      </c>
      <c r="AA1554">
        <v>0.83090450000000005</v>
      </c>
      <c r="AB1554">
        <v>23</v>
      </c>
      <c r="AC1554">
        <v>23.6846</v>
      </c>
      <c r="AD1554">
        <v>-1.03464025</v>
      </c>
      <c r="AE1554">
        <v>-38.437100000000001</v>
      </c>
      <c r="AF1554">
        <v>25.1732268169146</v>
      </c>
      <c r="AG1554">
        <v>-1.03464025</v>
      </c>
      <c r="AH1554">
        <v>37.4505047984104</v>
      </c>
      <c r="AI1554">
        <v>91.313476543294001</v>
      </c>
      <c r="AJ1554">
        <v>56.0920621562897</v>
      </c>
      <c r="AK1554">
        <v>45.136483452729401</v>
      </c>
      <c r="AL1554">
        <v>81.339303418898197</v>
      </c>
      <c r="AM1554">
        <v>74.899638494010603</v>
      </c>
      <c r="AN1554">
        <v>0.99999997649185401</v>
      </c>
    </row>
    <row r="1555" spans="1:40" x14ac:dyDescent="0.25">
      <c r="A1555" t="str">
        <f>"20190303170250184"</f>
        <v>20190303170250184</v>
      </c>
      <c r="B1555" t="str">
        <f>"1551603770176825"</f>
        <v>1551603770176825</v>
      </c>
      <c r="C1555" t="s">
        <v>40</v>
      </c>
      <c r="D1555">
        <v>4.8378110000000003</v>
      </c>
      <c r="E1555">
        <v>0.63187669999999996</v>
      </c>
      <c r="F1555" t="s">
        <v>42</v>
      </c>
      <c r="G1555">
        <v>-176.21250000000001</v>
      </c>
      <c r="H1555">
        <v>7.9986160000000001E-2</v>
      </c>
      <c r="I1555">
        <v>321.80590000000001</v>
      </c>
      <c r="J1555">
        <v>-202.6001</v>
      </c>
      <c r="K1555">
        <v>1.1145969999999901</v>
      </c>
      <c r="L1555">
        <v>364.20679999999999</v>
      </c>
      <c r="M1555">
        <v>0.90772160000000002</v>
      </c>
      <c r="N1555">
        <v>-1.4767239999999999E-2</v>
      </c>
      <c r="O1555">
        <v>-0.41931299999999999</v>
      </c>
      <c r="P1555">
        <v>0.76127749999999905</v>
      </c>
      <c r="Q1555">
        <v>0.14131389999999999</v>
      </c>
      <c r="R1555">
        <v>-0.63284050000000003</v>
      </c>
      <c r="S1555">
        <v>1.6986239999999999</v>
      </c>
      <c r="T1555">
        <v>-6.6327209999999998E-2</v>
      </c>
      <c r="U1555">
        <v>-2.721832</v>
      </c>
      <c r="V1555">
        <v>0.25793440000000001</v>
      </c>
      <c r="W1555">
        <v>0.15093909999999999</v>
      </c>
      <c r="X1555">
        <v>0.95429929999999996</v>
      </c>
      <c r="Y1555">
        <v>0.54792850000000004</v>
      </c>
      <c r="Z1555">
        <v>-7.124175E-3</v>
      </c>
      <c r="AA1555">
        <v>0.83649490000000004</v>
      </c>
      <c r="AB1555">
        <v>23</v>
      </c>
      <c r="AC1555">
        <v>26.3875999999999</v>
      </c>
      <c r="AD1555">
        <v>-1.03461083999999</v>
      </c>
      <c r="AE1555">
        <v>-42.400899999999901</v>
      </c>
      <c r="AF1555">
        <v>27.414774470283099</v>
      </c>
      <c r="AG1555">
        <v>-1.03461083999999</v>
      </c>
      <c r="AH1555">
        <v>41.718490307440703</v>
      </c>
      <c r="AI1555">
        <v>91.187307652605995</v>
      </c>
      <c r="AJ1555">
        <v>56.689593093005598</v>
      </c>
      <c r="AK1555">
        <v>49.930679069874003</v>
      </c>
      <c r="AL1555">
        <v>81.318646964417795</v>
      </c>
      <c r="AM1555">
        <v>74.875115904147805</v>
      </c>
      <c r="AN1555">
        <v>0.99999996029632898</v>
      </c>
    </row>
    <row r="1556" spans="1:40" x14ac:dyDescent="0.25">
      <c r="A1556" t="str">
        <f>"20190303170250195"</f>
        <v>20190303170250195</v>
      </c>
      <c r="B1556" t="str">
        <f>"1551603770187561"</f>
        <v>1551603770187561</v>
      </c>
      <c r="C1556" t="s">
        <v>40</v>
      </c>
      <c r="D1556">
        <v>4.8535959999999996</v>
      </c>
      <c r="E1556">
        <v>0.63219139999999996</v>
      </c>
      <c r="F1556" t="s">
        <v>42</v>
      </c>
      <c r="G1556">
        <v>-176.17920000000001</v>
      </c>
      <c r="H1556">
        <v>7.9986059999999998E-2</v>
      </c>
      <c r="I1556">
        <v>321.47120000000001</v>
      </c>
      <c r="J1556">
        <v>-202.5001</v>
      </c>
      <c r="K1556">
        <v>1.114568</v>
      </c>
      <c r="L1556">
        <v>364.15440000000001</v>
      </c>
      <c r="M1556">
        <v>0.90540220000000005</v>
      </c>
      <c r="N1556">
        <v>-1.477845E-2</v>
      </c>
      <c r="O1556">
        <v>-0.42429790000000001</v>
      </c>
      <c r="P1556">
        <v>0.75736840000000005</v>
      </c>
      <c r="Q1556">
        <v>0.1415698</v>
      </c>
      <c r="R1556">
        <v>-0.63745739999999995</v>
      </c>
      <c r="S1556">
        <v>1.685989</v>
      </c>
      <c r="T1556">
        <v>-6.6021440000000001E-2</v>
      </c>
      <c r="U1556">
        <v>-2.7270810000000001</v>
      </c>
      <c r="V1556">
        <v>0.25852609999999998</v>
      </c>
      <c r="W1556">
        <v>0.151173799999999</v>
      </c>
      <c r="X1556">
        <v>0.95410200000000001</v>
      </c>
      <c r="Y1556">
        <v>0.54685150000000005</v>
      </c>
      <c r="Z1556">
        <v>-7.0680600000000001E-3</v>
      </c>
      <c r="AA1556">
        <v>0.83719979999999905</v>
      </c>
      <c r="AB1556">
        <v>23</v>
      </c>
      <c r="AC1556">
        <v>26.320899999999899</v>
      </c>
      <c r="AD1556">
        <v>-1.03458194</v>
      </c>
      <c r="AE1556">
        <v>-42.683199999999999</v>
      </c>
      <c r="AF1556">
        <v>27.4688660350416</v>
      </c>
      <c r="AG1556">
        <v>-1.03458194</v>
      </c>
      <c r="AH1556">
        <v>41.928121639774197</v>
      </c>
      <c r="AI1556">
        <v>91.182421485405996</v>
      </c>
      <c r="AJ1556">
        <v>56.769515282807099</v>
      </c>
      <c r="AK1556">
        <v>50.135579634440703</v>
      </c>
      <c r="AL1556">
        <v>81.305043406850402</v>
      </c>
      <c r="AM1556">
        <v>74.839023970255397</v>
      </c>
      <c r="AN1556">
        <v>0.99999994429582295</v>
      </c>
    </row>
    <row r="1557" spans="1:40" x14ac:dyDescent="0.25">
      <c r="A1557" t="str">
        <f>"20190303170250208"</f>
        <v>20190303170250208</v>
      </c>
      <c r="B1557" t="str">
        <f>"1551603770197320"</f>
        <v>1551603770197320</v>
      </c>
      <c r="C1557" t="s">
        <v>40</v>
      </c>
      <c r="D1557">
        <v>4.8382399999999999</v>
      </c>
      <c r="E1557">
        <v>0.63219139999999996</v>
      </c>
      <c r="F1557" t="s">
        <v>42</v>
      </c>
      <c r="G1557">
        <v>-176.05439999999999</v>
      </c>
      <c r="H1557">
        <v>7.9985840000000002E-2</v>
      </c>
      <c r="I1557">
        <v>320.71409999999997</v>
      </c>
      <c r="J1557">
        <v>-202.38460000000001</v>
      </c>
      <c r="K1557">
        <v>1.1145320000000001</v>
      </c>
      <c r="L1557">
        <v>364.09230000000002</v>
      </c>
      <c r="M1557">
        <v>0.90264480000000002</v>
      </c>
      <c r="N1557">
        <v>-1.4792059999999999E-2</v>
      </c>
      <c r="O1557">
        <v>-0.43013240000000003</v>
      </c>
      <c r="P1557">
        <v>0.75291189999999997</v>
      </c>
      <c r="Q1557">
        <v>0.14168449999999999</v>
      </c>
      <c r="R1557">
        <v>-0.64268950000000002</v>
      </c>
      <c r="S1557">
        <v>1.667648</v>
      </c>
      <c r="T1557">
        <v>-6.5240030000000004E-2</v>
      </c>
      <c r="U1557">
        <v>-2.7393190000000001</v>
      </c>
      <c r="V1557">
        <v>0.25900450000000003</v>
      </c>
      <c r="W1557">
        <v>0.1512686</v>
      </c>
      <c r="X1557">
        <v>0.95395730000000001</v>
      </c>
      <c r="Y1557">
        <v>0.547203199999999</v>
      </c>
      <c r="Z1557">
        <v>-7.0620780000000003E-3</v>
      </c>
      <c r="AA1557">
        <v>0.83696999999999999</v>
      </c>
      <c r="AB1557">
        <v>23</v>
      </c>
      <c r="AC1557">
        <v>26.330200000000001</v>
      </c>
      <c r="AD1557">
        <v>-1.0345461600000001</v>
      </c>
      <c r="AE1557">
        <v>-43.3782</v>
      </c>
      <c r="AF1557">
        <v>27.821111261627401</v>
      </c>
      <c r="AG1557">
        <v>-1.0345461600000001</v>
      </c>
      <c r="AH1557">
        <v>42.412193975297903</v>
      </c>
      <c r="AI1557">
        <v>91.1684457931228</v>
      </c>
      <c r="AJ1557">
        <v>56.7363417556817</v>
      </c>
      <c r="AK1557">
        <v>50.733408276867401</v>
      </c>
      <c r="AL1557">
        <v>81.299549285996406</v>
      </c>
      <c r="AM1557">
        <v>74.810066180590596</v>
      </c>
      <c r="AN1557">
        <v>1.0000000252947401</v>
      </c>
    </row>
    <row r="1558" spans="1:40" x14ac:dyDescent="0.25">
      <c r="A1558" t="str">
        <f>"20190303170250224"</f>
        <v>20190303170250224</v>
      </c>
      <c r="B1558" t="str">
        <f>"1551603770207081"</f>
        <v>1551603770207081</v>
      </c>
      <c r="C1558" t="s">
        <v>40</v>
      </c>
      <c r="D1558">
        <v>4.8471019999999996</v>
      </c>
      <c r="E1558">
        <v>0.62748939999999997</v>
      </c>
      <c r="F1558" t="s">
        <v>42</v>
      </c>
      <c r="G1558">
        <v>-176.0943</v>
      </c>
      <c r="H1558">
        <v>7.9985699999999896E-2</v>
      </c>
      <c r="I1558">
        <v>320.22539999999998</v>
      </c>
      <c r="J1558">
        <v>-202.23500000000001</v>
      </c>
      <c r="K1558">
        <v>1.1144879999999999</v>
      </c>
      <c r="L1558">
        <v>364.01060000000001</v>
      </c>
      <c r="M1558">
        <v>0.89898180000000005</v>
      </c>
      <c r="N1558">
        <v>-1.480971E-2</v>
      </c>
      <c r="O1558">
        <v>-0.43773570000000001</v>
      </c>
      <c r="P1558">
        <v>0.74707440000000003</v>
      </c>
      <c r="Q1558">
        <v>0.14155200000000001</v>
      </c>
      <c r="R1558">
        <v>-0.64949480000000004</v>
      </c>
      <c r="S1558">
        <v>1.6486209999999999</v>
      </c>
      <c r="T1558">
        <v>-6.4874769999999998E-2</v>
      </c>
      <c r="U1558">
        <v>-2.7508240000000002</v>
      </c>
      <c r="V1558">
        <v>0.2596136</v>
      </c>
      <c r="W1558">
        <v>0.1511111</v>
      </c>
      <c r="X1558">
        <v>0.95381669999999996</v>
      </c>
      <c r="Y1558">
        <v>0.54594330000000002</v>
      </c>
      <c r="Z1558">
        <v>-6.9875479999999997E-3</v>
      </c>
      <c r="AA1558">
        <v>0.83779309999999996</v>
      </c>
      <c r="AB1558">
        <v>23</v>
      </c>
      <c r="AC1558">
        <v>26.140699999999999</v>
      </c>
      <c r="AD1558">
        <v>-1.0345023</v>
      </c>
      <c r="AE1558">
        <v>-43.785200000000003</v>
      </c>
      <c r="AF1558">
        <v>27.910954083070699</v>
      </c>
      <c r="AG1558">
        <v>-1.0345023</v>
      </c>
      <c r="AH1558">
        <v>42.653481783282402</v>
      </c>
      <c r="AI1558">
        <v>91.162643094557197</v>
      </c>
      <c r="AJ1558">
        <v>56.8006605279352</v>
      </c>
      <c r="AK1558">
        <v>50.984419787546798</v>
      </c>
      <c r="AL1558">
        <v>81.308678453671703</v>
      </c>
      <c r="AM1558">
        <v>74.773860060941601</v>
      </c>
      <c r="AN1558">
        <v>1.00000004152352</v>
      </c>
    </row>
    <row r="1559" spans="1:40" x14ac:dyDescent="0.25">
      <c r="A1559" t="str">
        <f>"20190303170250238"</f>
        <v>20190303170250238</v>
      </c>
      <c r="B1559" t="str">
        <f>"1551603770227578"</f>
        <v>1551603770227578</v>
      </c>
      <c r="C1559" t="s">
        <v>40</v>
      </c>
      <c r="D1559">
        <v>4.9723110000000004</v>
      </c>
      <c r="E1559">
        <v>0.64293230000000001</v>
      </c>
      <c r="F1559" t="s">
        <v>42</v>
      </c>
      <c r="G1559">
        <v>-176.87039999999999</v>
      </c>
      <c r="H1559">
        <v>7.9986150000000006E-2</v>
      </c>
      <c r="I1559">
        <v>321.88749999999999</v>
      </c>
      <c r="J1559">
        <v>-202.1087</v>
      </c>
      <c r="K1559">
        <v>1.1144590000000001</v>
      </c>
      <c r="L1559">
        <v>363.94040000000001</v>
      </c>
      <c r="M1559">
        <v>0.89580839999999995</v>
      </c>
      <c r="N1559">
        <v>-1.482457E-2</v>
      </c>
      <c r="O1559">
        <v>-0.44419310000000001</v>
      </c>
      <c r="P1559">
        <v>0.74091890000000005</v>
      </c>
      <c r="Q1559">
        <v>0.14190359999999999</v>
      </c>
      <c r="R1559">
        <v>-0.6564316</v>
      </c>
      <c r="S1559">
        <v>1.6484220000000001</v>
      </c>
      <c r="T1559">
        <v>-6.7231540000000006E-2</v>
      </c>
      <c r="U1559">
        <v>-2.737549</v>
      </c>
      <c r="V1559">
        <v>0.26169680000000001</v>
      </c>
      <c r="W1559">
        <v>0.1514076</v>
      </c>
      <c r="X1559">
        <v>0.95320020000000005</v>
      </c>
      <c r="Y1559">
        <v>0.53814269999999997</v>
      </c>
      <c r="Z1559">
        <v>-6.6237730000000003E-3</v>
      </c>
      <c r="AA1559">
        <v>0.84282769999999996</v>
      </c>
      <c r="AB1559">
        <v>23</v>
      </c>
      <c r="AC1559">
        <v>25.238299999999999</v>
      </c>
      <c r="AD1559">
        <v>-1.03447285</v>
      </c>
      <c r="AE1559">
        <v>-42.052900000000001</v>
      </c>
      <c r="AF1559">
        <v>26.451802854213899</v>
      </c>
      <c r="AG1559">
        <v>-1.03447285</v>
      </c>
      <c r="AH1559">
        <v>41.2744651124585</v>
      </c>
      <c r="AI1559">
        <v>91.208857624206502</v>
      </c>
      <c r="AJ1559">
        <v>57.345175530886699</v>
      </c>
      <c r="AK1559">
        <v>49.034166441728601</v>
      </c>
      <c r="AL1559">
        <v>81.291492580734101</v>
      </c>
      <c r="AM1559">
        <v>74.647963036098702</v>
      </c>
      <c r="AN1559">
        <v>1.00000004887401</v>
      </c>
    </row>
    <row r="1560" spans="1:40" x14ac:dyDescent="0.25">
      <c r="A1560" t="str">
        <f>"20190303170250251"</f>
        <v>20190303170250251</v>
      </c>
      <c r="B1560" t="str">
        <f>"1551603770237338"</f>
        <v>1551603770237338</v>
      </c>
      <c r="C1560" t="s">
        <v>40</v>
      </c>
      <c r="D1560">
        <v>4.9782400000000004</v>
      </c>
      <c r="E1560">
        <v>0.65114209999999995</v>
      </c>
      <c r="F1560" t="s">
        <v>42</v>
      </c>
      <c r="G1560">
        <v>-178.58580000000001</v>
      </c>
      <c r="H1560">
        <v>7.998566E-2</v>
      </c>
      <c r="I1560">
        <v>320.51010000000002</v>
      </c>
      <c r="J1560">
        <v>-201.9829</v>
      </c>
      <c r="K1560">
        <v>1.11443</v>
      </c>
      <c r="L1560">
        <v>363.8691</v>
      </c>
      <c r="M1560">
        <v>0.89255629999999997</v>
      </c>
      <c r="N1560">
        <v>-1.483926E-2</v>
      </c>
      <c r="O1560">
        <v>-0.45069179999999998</v>
      </c>
      <c r="P1560">
        <v>0.73524049999999996</v>
      </c>
      <c r="Q1560">
        <v>0.14218059999999999</v>
      </c>
      <c r="R1560">
        <v>-0.66272629999999999</v>
      </c>
      <c r="S1560">
        <v>1.541107</v>
      </c>
      <c r="T1560">
        <v>-6.777358E-2</v>
      </c>
      <c r="U1560">
        <v>-2.8453369999999998</v>
      </c>
      <c r="V1560">
        <v>0.2629435</v>
      </c>
      <c r="W1560">
        <v>0.15164710000000001</v>
      </c>
      <c r="X1560">
        <v>0.95281890000000002</v>
      </c>
      <c r="Y1560">
        <v>0.57003870000000001</v>
      </c>
      <c r="Z1560">
        <v>-7.2459389999999999E-3</v>
      </c>
      <c r="AA1560">
        <v>0.82158600000000004</v>
      </c>
      <c r="AB1560">
        <v>23</v>
      </c>
      <c r="AC1560">
        <v>23.397099999999899</v>
      </c>
      <c r="AD1560">
        <v>-1.0344443400000001</v>
      </c>
      <c r="AE1560">
        <v>-43.358999999999902</v>
      </c>
      <c r="AF1560">
        <v>28.146159678305601</v>
      </c>
      <c r="AG1560">
        <v>-1.0344443400000001</v>
      </c>
      <c r="AH1560">
        <v>40.411410875028899</v>
      </c>
      <c r="AI1560">
        <v>91.203328497881799</v>
      </c>
      <c r="AJ1560">
        <v>55.143159035259302</v>
      </c>
      <c r="AK1560">
        <v>49.2580806430745</v>
      </c>
      <c r="AL1560">
        <v>81.277609437347706</v>
      </c>
      <c r="AM1560">
        <v>74.572423624079903</v>
      </c>
      <c r="AN1560">
        <v>0.99999999166393405</v>
      </c>
    </row>
    <row r="1561" spans="1:40" x14ac:dyDescent="0.25">
      <c r="A1561" t="str">
        <f>"20190303170250263"</f>
        <v>20190303170250263</v>
      </c>
      <c r="B1561" t="str">
        <f>"1551603770256971"</f>
        <v>1551603770256971</v>
      </c>
      <c r="C1561" t="s">
        <v>40</v>
      </c>
      <c r="D1561">
        <v>4.8844510000000003</v>
      </c>
      <c r="E1561">
        <v>0.66627250000000005</v>
      </c>
      <c r="F1561" t="s">
        <v>44</v>
      </c>
      <c r="G1561">
        <v>-169.92140000000001</v>
      </c>
      <c r="H1561">
        <v>-0.05</v>
      </c>
      <c r="I1561">
        <v>300.4742</v>
      </c>
      <c r="J1561">
        <v>-201.86799999999999</v>
      </c>
      <c r="K1561">
        <v>1.114404</v>
      </c>
      <c r="L1561">
        <v>363.80279999999999</v>
      </c>
      <c r="M1561">
        <v>0.88950819999999997</v>
      </c>
      <c r="N1561">
        <v>-1.485236E-2</v>
      </c>
      <c r="O1561">
        <v>-0.45667780000000002</v>
      </c>
      <c r="P1561">
        <v>0.72988180000000003</v>
      </c>
      <c r="Q1561">
        <v>0.14317569999999999</v>
      </c>
      <c r="R1561">
        <v>-0.66841119999999898</v>
      </c>
      <c r="S1561">
        <v>1.470261</v>
      </c>
      <c r="T1561">
        <v>-5.3397890000000003E-2</v>
      </c>
      <c r="U1561">
        <v>-2.9071349999999998</v>
      </c>
      <c r="V1561">
        <v>0.26405580000000001</v>
      </c>
      <c r="W1561">
        <v>0.15260850000000001</v>
      </c>
      <c r="X1561">
        <v>0.95235769999999997</v>
      </c>
      <c r="Y1561">
        <v>0.58756229999999998</v>
      </c>
      <c r="Z1561">
        <v>-8.325654E-3</v>
      </c>
      <c r="AA1561">
        <v>0.80913610000000002</v>
      </c>
      <c r="AB1561">
        <v>23</v>
      </c>
      <c r="AC1561">
        <v>31.946599999999901</v>
      </c>
      <c r="AD1561">
        <v>-1.164404</v>
      </c>
      <c r="AE1561">
        <v>-63.328600000000002</v>
      </c>
      <c r="AF1561">
        <v>41.735362516068598</v>
      </c>
      <c r="AG1561">
        <v>-1.164404</v>
      </c>
      <c r="AH1561">
        <v>57.3284027998914</v>
      </c>
      <c r="AI1561">
        <v>90.940747291447906</v>
      </c>
      <c r="AJ1561">
        <v>53.945195482091798</v>
      </c>
      <c r="AK1561">
        <v>70.920674620377696</v>
      </c>
      <c r="AL1561">
        <v>81.221876699592499</v>
      </c>
      <c r="AM1561">
        <v>74.503148902343398</v>
      </c>
      <c r="AN1561">
        <v>1.0000000042675801</v>
      </c>
    </row>
    <row r="1562" spans="1:40" x14ac:dyDescent="0.25">
      <c r="A1562" t="str">
        <f>"20190303170250276"</f>
        <v>20190303170250276</v>
      </c>
      <c r="B1562" t="str">
        <f>"1551603770266730"</f>
        <v>1551603770266730</v>
      </c>
      <c r="C1562" t="s">
        <v>40</v>
      </c>
      <c r="D1562">
        <v>4.8468879999999999</v>
      </c>
      <c r="E1562">
        <v>0.6715913</v>
      </c>
      <c r="F1562" t="s">
        <v>55</v>
      </c>
      <c r="G1562">
        <v>-152.3974</v>
      </c>
      <c r="H1562">
        <v>0.5770168</v>
      </c>
      <c r="I1562">
        <v>254.45500000000001</v>
      </c>
      <c r="J1562">
        <v>-201.75649999999999</v>
      </c>
      <c r="K1562">
        <v>1.114379</v>
      </c>
      <c r="L1562">
        <v>363.73770000000002</v>
      </c>
      <c r="M1562">
        <v>0.88649270000000002</v>
      </c>
      <c r="N1562">
        <v>-1.486473E-2</v>
      </c>
      <c r="O1562">
        <v>-0.46250409999999997</v>
      </c>
      <c r="P1562">
        <v>0.72485109999999997</v>
      </c>
      <c r="Q1562">
        <v>0.14414549999999901</v>
      </c>
      <c r="R1562">
        <v>-0.67365679999999994</v>
      </c>
      <c r="S1562">
        <v>1.3600920000000001</v>
      </c>
      <c r="T1562">
        <v>-1.4772769999999999E-2</v>
      </c>
      <c r="U1562">
        <v>-3.0062869999999999</v>
      </c>
      <c r="V1562">
        <v>0.26479350000000001</v>
      </c>
      <c r="W1562">
        <v>0.15355179999999999</v>
      </c>
      <c r="X1562">
        <v>0.95200119999999999</v>
      </c>
      <c r="Y1562">
        <v>0.61704579999999998</v>
      </c>
      <c r="Z1562">
        <v>-1.072713E-2</v>
      </c>
      <c r="AA1562">
        <v>0.7868541</v>
      </c>
      <c r="AB1562">
        <v>23</v>
      </c>
      <c r="AC1562">
        <v>49.359099999999899</v>
      </c>
      <c r="AD1562">
        <v>-0.53736219999999901</v>
      </c>
      <c r="AE1562">
        <v>-109.28270000000001</v>
      </c>
      <c r="AF1562">
        <v>74.056213353772705</v>
      </c>
      <c r="AG1562">
        <v>-0.53736219999999901</v>
      </c>
      <c r="AH1562">
        <v>94.308690145333202</v>
      </c>
      <c r="AI1562">
        <v>90.256762015410601</v>
      </c>
      <c r="AJ1562">
        <v>51.859106647526801</v>
      </c>
      <c r="AK1562">
        <v>119.91138616229</v>
      </c>
      <c r="AL1562">
        <v>81.167185109926393</v>
      </c>
      <c r="AM1562">
        <v>74.456406565190406</v>
      </c>
      <c r="AN1562">
        <v>1.0000000188634599</v>
      </c>
    </row>
    <row r="1563" spans="1:40" x14ac:dyDescent="0.25">
      <c r="A1563" t="str">
        <f>"20190303170250292"</f>
        <v>20190303170250292</v>
      </c>
      <c r="B1563" t="str">
        <f>"1551603770287226"</f>
        <v>1551603770287226</v>
      </c>
      <c r="C1563" t="s">
        <v>40</v>
      </c>
      <c r="D1563">
        <v>4.8916890000000004</v>
      </c>
      <c r="E1563">
        <v>0.677091199999999</v>
      </c>
      <c r="F1563" t="s">
        <v>55</v>
      </c>
      <c r="G1563">
        <v>-155.10159999999999</v>
      </c>
      <c r="H1563">
        <v>1.145775</v>
      </c>
      <c r="I1563">
        <v>254.97470000000001</v>
      </c>
      <c r="J1563">
        <v>-201.61529999999999</v>
      </c>
      <c r="K1563">
        <v>1.1143449999999999</v>
      </c>
      <c r="L1563">
        <v>363.65350000000001</v>
      </c>
      <c r="M1563">
        <v>0.88256480000000004</v>
      </c>
      <c r="N1563">
        <v>-1.4880279999999999E-2</v>
      </c>
      <c r="O1563">
        <v>-0.46995520000000002</v>
      </c>
      <c r="P1563">
        <v>0.71862429999999999</v>
      </c>
      <c r="Q1563">
        <v>0.14579339999999999</v>
      </c>
      <c r="R1563">
        <v>-0.67994350000000003</v>
      </c>
      <c r="S1563">
        <v>1.306961</v>
      </c>
      <c r="T1563">
        <v>8.8107589999999905E-4</v>
      </c>
      <c r="U1563">
        <v>-3.0468139999999999</v>
      </c>
      <c r="V1563">
        <v>0.2652659</v>
      </c>
      <c r="W1563">
        <v>0.1551767</v>
      </c>
      <c r="X1563">
        <v>0.95160610000000001</v>
      </c>
      <c r="Y1563">
        <v>0.62587199999999998</v>
      </c>
      <c r="Z1563">
        <v>-1.1654970000000001E-2</v>
      </c>
      <c r="AA1563">
        <v>0.7798387</v>
      </c>
      <c r="AB1563">
        <v>23</v>
      </c>
      <c r="AC1563">
        <v>46.5137</v>
      </c>
      <c r="AD1563">
        <v>3.1429999999999798E-2</v>
      </c>
      <c r="AE1563">
        <v>-108.6788</v>
      </c>
      <c r="AF1563">
        <v>74.064925509593095</v>
      </c>
      <c r="AG1563">
        <v>3.1429999999999798E-2</v>
      </c>
      <c r="AH1563">
        <v>92.135718864612002</v>
      </c>
      <c r="AI1563">
        <v>89.984766585828595</v>
      </c>
      <c r="AJ1563">
        <v>51.2053238355251</v>
      </c>
      <c r="AK1563">
        <v>118.21423293869999</v>
      </c>
      <c r="AL1563">
        <v>81.072955475873499</v>
      </c>
      <c r="AM1563">
        <v>74.423869594914194</v>
      </c>
      <c r="AN1563">
        <v>0.99999998774145404</v>
      </c>
    </row>
    <row r="1564" spans="1:40" x14ac:dyDescent="0.25">
      <c r="A1564" t="str">
        <f>"20190303170250302"</f>
        <v>20190303170250302</v>
      </c>
      <c r="B1564" t="str">
        <f>"1551603770296986"</f>
        <v>1551603770296986</v>
      </c>
      <c r="C1564" t="s">
        <v>40</v>
      </c>
      <c r="D1564">
        <v>4.8872099999999996</v>
      </c>
      <c r="E1564">
        <v>0.67893369999999997</v>
      </c>
      <c r="F1564" t="s">
        <v>55</v>
      </c>
      <c r="G1564">
        <v>-157.71369999999999</v>
      </c>
      <c r="H1564">
        <v>1.7361279999999999</v>
      </c>
      <c r="I1564">
        <v>254.97470000000001</v>
      </c>
      <c r="J1564">
        <v>-201.52340000000001</v>
      </c>
      <c r="K1564">
        <v>1.114323</v>
      </c>
      <c r="L1564">
        <v>363.5976</v>
      </c>
      <c r="M1564">
        <v>0.87994209999999995</v>
      </c>
      <c r="N1564">
        <v>-1.489043E-2</v>
      </c>
      <c r="O1564">
        <v>-0.47484779999999999</v>
      </c>
      <c r="P1564">
        <v>0.71461419999999998</v>
      </c>
      <c r="Q1564">
        <v>0.14602279999999901</v>
      </c>
      <c r="R1564">
        <v>-0.68410839999999995</v>
      </c>
      <c r="S1564">
        <v>1.2479709999999999</v>
      </c>
      <c r="T1564">
        <v>1.7676710000000002E-2</v>
      </c>
      <c r="U1564">
        <v>-3.0893549999999999</v>
      </c>
      <c r="V1564">
        <v>0.26554860000000002</v>
      </c>
      <c r="W1564">
        <v>0.155393899999999</v>
      </c>
      <c r="X1564">
        <v>0.9514918</v>
      </c>
      <c r="Y1564">
        <v>0.63811739999999995</v>
      </c>
      <c r="Z1564">
        <v>-1.263188E-2</v>
      </c>
      <c r="AA1564">
        <v>0.76983550000000001</v>
      </c>
      <c r="AB1564">
        <v>23</v>
      </c>
      <c r="AC1564">
        <v>43.809699999999999</v>
      </c>
      <c r="AD1564">
        <v>0.62180499999999905</v>
      </c>
      <c r="AE1564">
        <v>-108.6229</v>
      </c>
      <c r="AF1564">
        <v>74.785097214529998</v>
      </c>
      <c r="AG1564">
        <v>0.62180499999999905</v>
      </c>
      <c r="AH1564">
        <v>90.136786069217607</v>
      </c>
      <c r="AI1564">
        <v>89.695816219067694</v>
      </c>
      <c r="AJ1564">
        <v>50.318030713668101</v>
      </c>
      <c r="AK1564">
        <v>117.12317281278099</v>
      </c>
      <c r="AL1564">
        <v>81.060357989957595</v>
      </c>
      <c r="AM1564">
        <v>74.406294949572199</v>
      </c>
      <c r="AN1564">
        <v>0.99999998429320403</v>
      </c>
    </row>
    <row r="1565" spans="1:40" x14ac:dyDescent="0.25">
      <c r="A1565" t="str">
        <f>"20190303170250314"</f>
        <v>20190303170250314</v>
      </c>
      <c r="B1565" t="str">
        <f>"1551603770306745"</f>
        <v>1551603770306745</v>
      </c>
      <c r="C1565" t="s">
        <v>40</v>
      </c>
      <c r="D1565">
        <v>4.9531900000000002</v>
      </c>
      <c r="E1565">
        <v>0.6800716</v>
      </c>
      <c r="F1565" t="s">
        <v>54</v>
      </c>
      <c r="G1565">
        <v>-165.8098</v>
      </c>
      <c r="H1565">
        <v>1.744966</v>
      </c>
      <c r="I1565">
        <v>272.61509999999998</v>
      </c>
      <c r="J1565">
        <v>-201.4177</v>
      </c>
      <c r="K1565">
        <v>1.114298</v>
      </c>
      <c r="L1565">
        <v>363.53289999999998</v>
      </c>
      <c r="M1565">
        <v>0.87688259999999996</v>
      </c>
      <c r="N1565">
        <v>-1.4901879999999999E-2</v>
      </c>
      <c r="O1565">
        <v>-0.48047380000000001</v>
      </c>
      <c r="P1565">
        <v>0.71001840000000005</v>
      </c>
      <c r="Q1565">
        <v>0.14605750000000001</v>
      </c>
      <c r="R1565">
        <v>-0.68886969999999903</v>
      </c>
      <c r="S1565">
        <v>1.2195129999999901</v>
      </c>
      <c r="T1565">
        <v>2.153718E-2</v>
      </c>
      <c r="U1565">
        <v>-3.1067809999999998</v>
      </c>
      <c r="V1565">
        <v>0.26582929999999999</v>
      </c>
      <c r="W1565">
        <v>0.15541650000000001</v>
      </c>
      <c r="X1565">
        <v>0.95140979999999997</v>
      </c>
      <c r="Y1565">
        <v>0.64078250000000003</v>
      </c>
      <c r="Z1565">
        <v>-1.294704E-2</v>
      </c>
      <c r="AA1565">
        <v>0.7676134</v>
      </c>
      <c r="AB1565">
        <v>23</v>
      </c>
      <c r="AC1565">
        <v>35.607900000000001</v>
      </c>
      <c r="AD1565">
        <v>0.63066800000000001</v>
      </c>
      <c r="AE1565">
        <v>-90.9178</v>
      </c>
      <c r="AF1565">
        <v>62.619907689959298</v>
      </c>
      <c r="AG1565">
        <v>0.63066800000000001</v>
      </c>
      <c r="AH1565">
        <v>74.912753424735797</v>
      </c>
      <c r="AI1565">
        <v>89.629917422261698</v>
      </c>
      <c r="AJ1565">
        <v>50.107597596131299</v>
      </c>
      <c r="AK1565">
        <v>97.6400082286995</v>
      </c>
      <c r="AL1565">
        <v>81.059047829789804</v>
      </c>
      <c r="AM1565">
        <v>74.389334966971205</v>
      </c>
      <c r="AN1565">
        <v>1.00000005637338</v>
      </c>
    </row>
    <row r="1566" spans="1:40" x14ac:dyDescent="0.25">
      <c r="A1566" t="str">
        <f>"20190303170250325"</f>
        <v>20190303170250325</v>
      </c>
      <c r="B1566" t="str">
        <f>"1551603770317482"</f>
        <v>1551603770317482</v>
      </c>
      <c r="C1566" t="s">
        <v>40</v>
      </c>
      <c r="D1566">
        <v>4.9294799999999999</v>
      </c>
      <c r="E1566">
        <v>0.68089409999999995</v>
      </c>
      <c r="F1566" t="s">
        <v>54</v>
      </c>
      <c r="G1566">
        <v>-166.69409999999999</v>
      </c>
      <c r="H1566">
        <v>1.8276589999999999</v>
      </c>
      <c r="I1566">
        <v>272.61509999999998</v>
      </c>
      <c r="J1566">
        <v>-201.3228</v>
      </c>
      <c r="K1566">
        <v>1.1142780000000001</v>
      </c>
      <c r="L1566">
        <v>363.47340000000003</v>
      </c>
      <c r="M1566">
        <v>0.87406049999999902</v>
      </c>
      <c r="N1566">
        <v>-1.491206E-2</v>
      </c>
      <c r="O1566">
        <v>-0.48558820000000003</v>
      </c>
      <c r="P1566">
        <v>0.70569769999999998</v>
      </c>
      <c r="Q1566">
        <v>0.1459898</v>
      </c>
      <c r="R1566">
        <v>-0.69330939999999996</v>
      </c>
      <c r="S1566">
        <v>1.192032</v>
      </c>
      <c r="T1566">
        <v>2.449167E-2</v>
      </c>
      <c r="U1566">
        <v>-3.121124</v>
      </c>
      <c r="V1566">
        <v>0.26623999999999998</v>
      </c>
      <c r="W1566">
        <v>0.155335</v>
      </c>
      <c r="X1566">
        <v>0.95130820000000005</v>
      </c>
      <c r="Y1566">
        <v>0.64338169999999995</v>
      </c>
      <c r="Z1566">
        <v>-1.3216500000000001E-2</v>
      </c>
      <c r="AA1566">
        <v>0.76543149999999904</v>
      </c>
      <c r="AB1566">
        <v>23</v>
      </c>
      <c r="AC1566">
        <v>34.628700000000002</v>
      </c>
      <c r="AD1566">
        <v>0.71338099999999904</v>
      </c>
      <c r="AE1566">
        <v>-90.8583</v>
      </c>
      <c r="AF1566">
        <v>62.603953682488999</v>
      </c>
      <c r="AG1566">
        <v>0.71338099999999904</v>
      </c>
      <c r="AH1566">
        <v>74.391563924776605</v>
      </c>
      <c r="AI1566">
        <v>89.579618801764795</v>
      </c>
      <c r="AJ1566">
        <v>49.917832067467899</v>
      </c>
      <c r="AK1566">
        <v>97.231006948938401</v>
      </c>
      <c r="AL1566">
        <v>81.063774295557096</v>
      </c>
      <c r="AM1566">
        <v>74.364807390470801</v>
      </c>
      <c r="AN1566">
        <v>0.99999999560611996</v>
      </c>
    </row>
    <row r="1567" spans="1:40" x14ac:dyDescent="0.25">
      <c r="A1567" t="str">
        <f>"20190303170250337"</f>
        <v>20190303170250337</v>
      </c>
      <c r="B1567" t="str">
        <f>"1551603770327242"</f>
        <v>1551603770327242</v>
      </c>
      <c r="C1567" t="s">
        <v>40</v>
      </c>
      <c r="D1567">
        <v>4.9548509999999997</v>
      </c>
      <c r="E1567">
        <v>0.6815272</v>
      </c>
      <c r="F1567" t="s">
        <v>54</v>
      </c>
      <c r="G1567">
        <v>-167.4734</v>
      </c>
      <c r="H1567">
        <v>1.8793420000000001</v>
      </c>
      <c r="I1567">
        <v>272.61509999999998</v>
      </c>
      <c r="J1567">
        <v>-201.2133</v>
      </c>
      <c r="K1567">
        <v>1.1142510000000001</v>
      </c>
      <c r="L1567">
        <v>363.40429999999998</v>
      </c>
      <c r="M1567">
        <v>0.87075759999999902</v>
      </c>
      <c r="N1567">
        <v>-1.4923469999999999E-2</v>
      </c>
      <c r="O1567">
        <v>-0.49148629999999999</v>
      </c>
      <c r="P1567">
        <v>0.70095469999999904</v>
      </c>
      <c r="Q1567">
        <v>0.1458421</v>
      </c>
      <c r="R1567">
        <v>-0.69813510000000001</v>
      </c>
      <c r="S1567">
        <v>1.1673279999999999</v>
      </c>
      <c r="T1567">
        <v>2.638662E-2</v>
      </c>
      <c r="U1567">
        <v>-3.1333310000000001</v>
      </c>
      <c r="V1567">
        <v>0.2663277</v>
      </c>
      <c r="W1567">
        <v>0.1551805</v>
      </c>
      <c r="X1567">
        <v>0.95130879999999995</v>
      </c>
      <c r="Y1567">
        <v>0.64448950000000005</v>
      </c>
      <c r="Z1567">
        <v>-1.3450429999999999E-2</v>
      </c>
      <c r="AA1567">
        <v>0.76449489999999998</v>
      </c>
      <c r="AB1567">
        <v>23</v>
      </c>
      <c r="AC1567">
        <v>33.739899999999999</v>
      </c>
      <c r="AD1567">
        <v>0.76509099999999897</v>
      </c>
      <c r="AE1567">
        <v>-90.789199999999994</v>
      </c>
      <c r="AF1567">
        <v>62.475737605065603</v>
      </c>
      <c r="AG1567">
        <v>0.76509099999999897</v>
      </c>
      <c r="AH1567">
        <v>74.004535539687595</v>
      </c>
      <c r="AI1567">
        <v>89.547386148660493</v>
      </c>
      <c r="AJ1567">
        <v>49.828441547693799</v>
      </c>
      <c r="AK1567">
        <v>96.852849384931304</v>
      </c>
      <c r="AL1567">
        <v>81.072734581931599</v>
      </c>
      <c r="AM1567">
        <v>74.359918525432704</v>
      </c>
      <c r="AN1567">
        <v>0.99999993216248695</v>
      </c>
    </row>
    <row r="1568" spans="1:40" x14ac:dyDescent="0.25">
      <c r="A1568" t="str">
        <f>"20190303170250349"</f>
        <v>20190303170250349</v>
      </c>
      <c r="B1568" t="str">
        <f>"1551603770337002"</f>
        <v>1551603770337002</v>
      </c>
      <c r="C1568" t="s">
        <v>40</v>
      </c>
      <c r="D1568">
        <v>4.9351880000000001</v>
      </c>
      <c r="E1568">
        <v>0.68203570000000002</v>
      </c>
      <c r="F1568" t="s">
        <v>54</v>
      </c>
      <c r="G1568">
        <v>-168.25479999999999</v>
      </c>
      <c r="H1568">
        <v>1.928412</v>
      </c>
      <c r="I1568">
        <v>272.61509999999998</v>
      </c>
      <c r="J1568">
        <v>-201.11490000000001</v>
      </c>
      <c r="K1568">
        <v>1.1142339999999999</v>
      </c>
      <c r="L1568">
        <v>363.34089999999998</v>
      </c>
      <c r="M1568">
        <v>0.867718199999999</v>
      </c>
      <c r="N1568">
        <v>-1.493354E-2</v>
      </c>
      <c r="O1568">
        <v>-0.496832</v>
      </c>
      <c r="P1568">
        <v>0.69651940000000001</v>
      </c>
      <c r="Q1568">
        <v>0.14636579999999999</v>
      </c>
      <c r="R1568">
        <v>-0.70245109999999999</v>
      </c>
      <c r="S1568">
        <v>1.1416930000000001</v>
      </c>
      <c r="T1568">
        <v>2.820539E-2</v>
      </c>
      <c r="U1568">
        <v>-3.1449579999999999</v>
      </c>
      <c r="V1568">
        <v>0.26642510000000003</v>
      </c>
      <c r="W1568">
        <v>0.15569820000000001</v>
      </c>
      <c r="X1568">
        <v>0.95119699999999996</v>
      </c>
      <c r="Y1568">
        <v>0.64620569999999999</v>
      </c>
      <c r="Z1568">
        <v>-1.3676839999999999E-2</v>
      </c>
      <c r="AA1568">
        <v>0.76304069999999902</v>
      </c>
      <c r="AB1568">
        <v>23</v>
      </c>
      <c r="AC1568">
        <v>32.860100000000003</v>
      </c>
      <c r="AD1568">
        <v>0.81417799999999896</v>
      </c>
      <c r="AE1568">
        <v>-90.725800000000007</v>
      </c>
      <c r="AF1568">
        <v>62.400997456407097</v>
      </c>
      <c r="AG1568">
        <v>0.81417799999999896</v>
      </c>
      <c r="AH1568">
        <v>73.591757989814795</v>
      </c>
      <c r="AI1568">
        <v>89.516534546537102</v>
      </c>
      <c r="AJ1568">
        <v>49.704235390504998</v>
      </c>
      <c r="AK1568">
        <v>96.489865858553699</v>
      </c>
      <c r="AL1568">
        <v>81.042708184986907</v>
      </c>
      <c r="AM1568">
        <v>74.352729949157094</v>
      </c>
      <c r="AN1568">
        <v>0.99999999810112405</v>
      </c>
    </row>
    <row r="1569" spans="1:40" x14ac:dyDescent="0.25">
      <c r="A1569" t="str">
        <f>"20190303170250360"</f>
        <v>20190303170250360</v>
      </c>
      <c r="B1569" t="str">
        <f>"1551603770356750"</f>
        <v>1551603770356750</v>
      </c>
      <c r="C1569" t="s">
        <v>40</v>
      </c>
      <c r="D1569">
        <v>4.9762409999999999</v>
      </c>
      <c r="E1569">
        <v>0.68247329999999995</v>
      </c>
      <c r="F1569" t="s">
        <v>54</v>
      </c>
      <c r="G1569">
        <v>-168.35050000000001</v>
      </c>
      <c r="H1569">
        <v>2.0648719999999998</v>
      </c>
      <c r="I1569">
        <v>270.91919999999999</v>
      </c>
      <c r="J1569">
        <v>-201.01740000000001</v>
      </c>
      <c r="K1569">
        <v>1.11422</v>
      </c>
      <c r="L1569">
        <v>363.27749999999997</v>
      </c>
      <c r="M1569">
        <v>0.86465409999999998</v>
      </c>
      <c r="N1569">
        <v>-1.494316E-2</v>
      </c>
      <c r="O1569">
        <v>-0.50214539999999996</v>
      </c>
      <c r="P1569">
        <v>0.69197069999999905</v>
      </c>
      <c r="Q1569">
        <v>0.14702000000000001</v>
      </c>
      <c r="R1569">
        <v>-0.70679709999999996</v>
      </c>
      <c r="S1569">
        <v>1.1184689999999999</v>
      </c>
      <c r="T1569">
        <v>3.2454249999999997E-2</v>
      </c>
      <c r="U1569">
        <v>-3.1549680000000002</v>
      </c>
      <c r="V1569">
        <v>0.266632599999999</v>
      </c>
      <c r="W1569">
        <v>0.15634300000000001</v>
      </c>
      <c r="X1569">
        <v>0.95103309999999996</v>
      </c>
      <c r="Y1569">
        <v>0.64728739999999996</v>
      </c>
      <c r="Z1569">
        <v>-1.403942E-2</v>
      </c>
      <c r="AA1569">
        <v>0.76211669999999998</v>
      </c>
      <c r="AB1569">
        <v>23</v>
      </c>
      <c r="AC1569">
        <v>32.666899999999998</v>
      </c>
      <c r="AD1569">
        <v>0.95065200000000005</v>
      </c>
      <c r="AE1569">
        <v>-92.3583</v>
      </c>
      <c r="AF1569">
        <v>63.455559155515601</v>
      </c>
      <c r="AG1569">
        <v>0.95065200000000005</v>
      </c>
      <c r="AH1569">
        <v>74.624169835156096</v>
      </c>
      <c r="AI1569">
        <v>89.443968244896894</v>
      </c>
      <c r="AJ1569">
        <v>49.624315117600602</v>
      </c>
      <c r="AK1569">
        <v>97.960596417898898</v>
      </c>
      <c r="AL1569">
        <v>81.005306001787304</v>
      </c>
      <c r="AM1569">
        <v>74.338574775849594</v>
      </c>
      <c r="AN1569">
        <v>1.00000001716368</v>
      </c>
    </row>
    <row r="1570" spans="1:40" x14ac:dyDescent="0.25">
      <c r="A1570" t="str">
        <f>"20190303170250371"</f>
        <v>20190303170250371</v>
      </c>
      <c r="B1570" t="str">
        <f>"1551603770367486"</f>
        <v>1551603770367486</v>
      </c>
      <c r="C1570" t="s">
        <v>40</v>
      </c>
      <c r="D1570">
        <v>4.9413850000000004</v>
      </c>
      <c r="E1570">
        <v>0.68256640000000002</v>
      </c>
      <c r="F1570" t="s">
        <v>55</v>
      </c>
      <c r="G1570">
        <v>-157.77760000000001</v>
      </c>
      <c r="H1570">
        <v>2.5497920000000001</v>
      </c>
      <c r="I1570">
        <v>238.32650000000001</v>
      </c>
      <c r="J1570">
        <v>-200.9205</v>
      </c>
      <c r="K1570">
        <v>1.114204</v>
      </c>
      <c r="L1570">
        <v>363.21359999999999</v>
      </c>
      <c r="M1570">
        <v>0.86155669999999995</v>
      </c>
      <c r="N1570">
        <v>-1.4952379999999999E-2</v>
      </c>
      <c r="O1570">
        <v>-0.50744120000000004</v>
      </c>
      <c r="P1570">
        <v>0.68761070000000002</v>
      </c>
      <c r="Q1570">
        <v>0.14787359999999999</v>
      </c>
      <c r="R1570">
        <v>-0.710862199999999</v>
      </c>
      <c r="S1570">
        <v>1.0951690000000001</v>
      </c>
      <c r="T1570">
        <v>3.6361339999999999E-2</v>
      </c>
      <c r="U1570">
        <v>-3.1647340000000002</v>
      </c>
      <c r="V1570">
        <v>0.26651580000000002</v>
      </c>
      <c r="W1570">
        <v>0.15719639999999999</v>
      </c>
      <c r="X1570">
        <v>0.95092520000000003</v>
      </c>
      <c r="Y1570">
        <v>0.6483582</v>
      </c>
      <c r="Z1570">
        <v>-1.439615E-2</v>
      </c>
      <c r="AA1570">
        <v>0.76119939999999997</v>
      </c>
      <c r="AB1570">
        <v>23</v>
      </c>
      <c r="AC1570">
        <v>43.142899999999997</v>
      </c>
      <c r="AD1570">
        <v>1.4355879999999901</v>
      </c>
      <c r="AE1570">
        <v>-124.88709999999899</v>
      </c>
      <c r="AF1570">
        <v>85.704293801443498</v>
      </c>
      <c r="AG1570">
        <v>1.4355879999999901</v>
      </c>
      <c r="AH1570">
        <v>100.54228212427</v>
      </c>
      <c r="AI1570">
        <v>89.377430033131603</v>
      </c>
      <c r="AJ1570">
        <v>49.555048911659703</v>
      </c>
      <c r="AK1570">
        <v>132.12129799417701</v>
      </c>
      <c r="AL1570">
        <v>80.955797992465705</v>
      </c>
      <c r="AM1570">
        <v>74.343409675889305</v>
      </c>
      <c r="AN1570">
        <v>1.00000005790881</v>
      </c>
    </row>
    <row r="1571" spans="1:40" x14ac:dyDescent="0.25">
      <c r="A1571" t="str">
        <f>"20190303170250382"</f>
        <v>20190303170250382</v>
      </c>
      <c r="B1571" t="str">
        <f>"1551603770377246"</f>
        <v>1551603770377246</v>
      </c>
      <c r="C1571" t="s">
        <v>40</v>
      </c>
      <c r="D1571">
        <v>4.9900370000000001</v>
      </c>
      <c r="E1571">
        <v>0.68246390000000001</v>
      </c>
      <c r="F1571" t="s">
        <v>55</v>
      </c>
      <c r="G1571">
        <v>-157.8382</v>
      </c>
      <c r="H1571">
        <v>2.6711610000000001</v>
      </c>
      <c r="I1571">
        <v>236.1687</v>
      </c>
      <c r="J1571">
        <v>-200.8279</v>
      </c>
      <c r="K1571">
        <v>1.1141939999999999</v>
      </c>
      <c r="L1571">
        <v>363.15140000000002</v>
      </c>
      <c r="M1571">
        <v>0.85853670000000004</v>
      </c>
      <c r="N1571">
        <v>-1.4960640000000001E-2</v>
      </c>
      <c r="O1571">
        <v>-0.51253400000000005</v>
      </c>
      <c r="P1571">
        <v>0.68336560000000002</v>
      </c>
      <c r="Q1571">
        <v>0.14836269999999999</v>
      </c>
      <c r="R1571">
        <v>-0.7148428</v>
      </c>
      <c r="S1571">
        <v>1.075577</v>
      </c>
      <c r="T1571">
        <v>3.887177E-2</v>
      </c>
      <c r="U1571">
        <v>-3.1717529999999998</v>
      </c>
      <c r="V1571">
        <v>0.2664745</v>
      </c>
      <c r="W1571">
        <v>0.15768470000000001</v>
      </c>
      <c r="X1571">
        <v>0.95085589999999998</v>
      </c>
      <c r="Y1571">
        <v>0.64858490000000002</v>
      </c>
      <c r="Z1571">
        <v>-1.467735E-2</v>
      </c>
      <c r="AA1571">
        <v>0.76100080000000003</v>
      </c>
      <c r="AB1571">
        <v>23</v>
      </c>
      <c r="AC1571">
        <v>42.989699999999999</v>
      </c>
      <c r="AD1571">
        <v>1.556967</v>
      </c>
      <c r="AE1571">
        <v>-126.98269999999999</v>
      </c>
      <c r="AF1571">
        <v>86.983621119448202</v>
      </c>
      <c r="AG1571">
        <v>1.556967</v>
      </c>
      <c r="AH1571">
        <v>101.988836401708</v>
      </c>
      <c r="AI1571">
        <v>89.334521277056794</v>
      </c>
      <c r="AJ1571">
        <v>49.540002470427602</v>
      </c>
      <c r="AK1571">
        <v>134.05333729476899</v>
      </c>
      <c r="AL1571">
        <v>80.927466909079001</v>
      </c>
      <c r="AM1571">
        <v>74.344631934882003</v>
      </c>
      <c r="AN1571">
        <v>1.00000003316457</v>
      </c>
    </row>
    <row r="1572" spans="1:40" x14ac:dyDescent="0.25">
      <c r="A1572" t="str">
        <f>"20190303170250392"</f>
        <v>20190303170250392</v>
      </c>
      <c r="B1572" t="str">
        <f>"1551603770387006"</f>
        <v>1551603770387006</v>
      </c>
      <c r="C1572" t="s">
        <v>40</v>
      </c>
      <c r="D1572">
        <v>5.0010690000000002</v>
      </c>
      <c r="E1572">
        <v>0.68228599999999995</v>
      </c>
      <c r="F1572" t="s">
        <v>55</v>
      </c>
      <c r="G1572">
        <v>-157.25</v>
      </c>
      <c r="H1572">
        <v>2.7380559999999998</v>
      </c>
      <c r="I1572">
        <v>232.23929999999999</v>
      </c>
      <c r="J1572">
        <v>-200.73820000000001</v>
      </c>
      <c r="K1572">
        <v>1.114185</v>
      </c>
      <c r="L1572">
        <v>363.0908</v>
      </c>
      <c r="M1572">
        <v>0.85557059999999996</v>
      </c>
      <c r="N1572">
        <v>-1.496832E-2</v>
      </c>
      <c r="O1572">
        <v>-0.51747010000000004</v>
      </c>
      <c r="P1572">
        <v>0.67922419999999994</v>
      </c>
      <c r="Q1572">
        <v>0.14896609999999999</v>
      </c>
      <c r="R1572">
        <v>-0.71865440000000003</v>
      </c>
      <c r="S1572">
        <v>1.057709</v>
      </c>
      <c r="T1572">
        <v>3.9415119999999998E-2</v>
      </c>
      <c r="U1572">
        <v>-3.17746</v>
      </c>
      <c r="V1572">
        <v>0.26640079999999999</v>
      </c>
      <c r="W1572">
        <v>0.1582887</v>
      </c>
      <c r="X1572">
        <v>0.95077619999999896</v>
      </c>
      <c r="Y1572">
        <v>0.64846419999999905</v>
      </c>
      <c r="Z1572">
        <v>-1.484398E-2</v>
      </c>
      <c r="AA1572">
        <v>0.76110040000000001</v>
      </c>
      <c r="AB1572">
        <v>23</v>
      </c>
      <c r="AC1572">
        <v>43.488199999999999</v>
      </c>
      <c r="AD1572">
        <v>1.6238710000000001</v>
      </c>
      <c r="AE1572">
        <v>-130.85149999999999</v>
      </c>
      <c r="AF1572">
        <v>89.446451876996605</v>
      </c>
      <c r="AG1572">
        <v>1.6238710000000001</v>
      </c>
      <c r="AH1572">
        <v>104.91614757038801</v>
      </c>
      <c r="AI1572">
        <v>89.325184400340106</v>
      </c>
      <c r="AJ1572">
        <v>49.550688879624701</v>
      </c>
      <c r="AK1572">
        <v>137.87930494247399</v>
      </c>
      <c r="AL1572">
        <v>80.892420183209595</v>
      </c>
      <c r="AM1572">
        <v>74.347501898080495</v>
      </c>
      <c r="AN1572">
        <v>1.0000000406373799</v>
      </c>
    </row>
    <row r="1573" spans="1:40" x14ac:dyDescent="0.25">
      <c r="A1573" t="str">
        <f>"20190303170250406"</f>
        <v>20190303170250406</v>
      </c>
      <c r="B1573" t="str">
        <f>"1551603770396767"</f>
        <v>1551603770396767</v>
      </c>
      <c r="C1573" t="s">
        <v>40</v>
      </c>
      <c r="D1573">
        <v>4.9924359999999997</v>
      </c>
      <c r="E1573">
        <v>0.68205280000000001</v>
      </c>
      <c r="F1573" t="s">
        <v>55</v>
      </c>
      <c r="G1573">
        <v>-157.25</v>
      </c>
      <c r="H1573">
        <v>2.756929</v>
      </c>
      <c r="I1573">
        <v>230.16929999999999</v>
      </c>
      <c r="J1573">
        <v>-200.6199</v>
      </c>
      <c r="K1573">
        <v>1.1141829999999999</v>
      </c>
      <c r="L1573">
        <v>363.00920000000002</v>
      </c>
      <c r="M1573">
        <v>0.85157079999999996</v>
      </c>
      <c r="N1573">
        <v>-1.497763E-2</v>
      </c>
      <c r="O1573">
        <v>-0.52402570000000004</v>
      </c>
      <c r="P1573">
        <v>0.67354919999999996</v>
      </c>
      <c r="Q1573">
        <v>0.1496159</v>
      </c>
      <c r="R1573">
        <v>-0.72384150000000003</v>
      </c>
      <c r="S1573">
        <v>1.041153</v>
      </c>
      <c r="T1573">
        <v>3.9330360000000002E-2</v>
      </c>
      <c r="U1573">
        <v>-3.1822810000000001</v>
      </c>
      <c r="V1573">
        <v>0.26648139999999998</v>
      </c>
      <c r="W1573">
        <v>0.1589371</v>
      </c>
      <c r="X1573">
        <v>0.95064539999999997</v>
      </c>
      <c r="Y1573">
        <v>0.64653240000000001</v>
      </c>
      <c r="Z1573">
        <v>-1.5013520000000001E-2</v>
      </c>
      <c r="AA1573">
        <v>0.76273880000000005</v>
      </c>
      <c r="AB1573">
        <v>23</v>
      </c>
      <c r="AC1573">
        <v>43.369900000000001</v>
      </c>
      <c r="AD1573">
        <v>1.64274599999999</v>
      </c>
      <c r="AE1573">
        <v>-132.8399</v>
      </c>
      <c r="AF1573">
        <v>90.393282471296004</v>
      </c>
      <c r="AG1573">
        <v>1.64274599999999</v>
      </c>
      <c r="AH1573">
        <v>106.541286043738</v>
      </c>
      <c r="AI1573">
        <v>89.3263861860963</v>
      </c>
      <c r="AJ1573">
        <v>49.687583478533597</v>
      </c>
      <c r="AK1573">
        <v>139.73077600231599</v>
      </c>
      <c r="AL1573">
        <v>80.854792969451495</v>
      </c>
      <c r="AM1573">
        <v>74.340949854331797</v>
      </c>
      <c r="AN1573">
        <v>1.0000000074217601</v>
      </c>
    </row>
    <row r="1574" spans="1:40" x14ac:dyDescent="0.25">
      <c r="A1574" t="str">
        <f>"20190303170250420"</f>
        <v>20190303170250420</v>
      </c>
      <c r="B1574" t="str">
        <f>"1551603770407501"</f>
        <v>1551603770407501</v>
      </c>
      <c r="C1574" t="s">
        <v>40</v>
      </c>
      <c r="D1574">
        <v>5.0356459999999998</v>
      </c>
      <c r="E1574">
        <v>0.68174809999999997</v>
      </c>
      <c r="F1574" t="s">
        <v>55</v>
      </c>
      <c r="G1574">
        <v>-157.25</v>
      </c>
      <c r="H1574">
        <v>2.8141639999999999</v>
      </c>
      <c r="I1574">
        <v>227.11349999999999</v>
      </c>
      <c r="J1574">
        <v>-200.51009999999999</v>
      </c>
      <c r="K1574">
        <v>1.1141779999999999</v>
      </c>
      <c r="L1574">
        <v>362.9325</v>
      </c>
      <c r="M1574">
        <v>0.84779110000000002</v>
      </c>
      <c r="N1574">
        <v>-1.4985800000000001E-2</v>
      </c>
      <c r="O1574">
        <v>-0.5301188</v>
      </c>
      <c r="P1574">
        <v>0.66846470000000002</v>
      </c>
      <c r="Q1574">
        <v>0.1494992</v>
      </c>
      <c r="R1574">
        <v>-0.72856369999999904</v>
      </c>
      <c r="S1574">
        <v>1.0178069999999999</v>
      </c>
      <c r="T1574">
        <v>3.9896609999999999E-2</v>
      </c>
      <c r="U1574">
        <v>-3.189209</v>
      </c>
      <c r="V1574">
        <v>0.26634140000000001</v>
      </c>
      <c r="W1574">
        <v>0.15882589999999999</v>
      </c>
      <c r="X1574">
        <v>0.95070319999999997</v>
      </c>
      <c r="Y1574">
        <v>0.64660949999999995</v>
      </c>
      <c r="Z1574">
        <v>-1.521639E-2</v>
      </c>
      <c r="AA1574">
        <v>0.76266940000000005</v>
      </c>
      <c r="AB1574">
        <v>23</v>
      </c>
      <c r="AC1574">
        <v>43.260100000000001</v>
      </c>
      <c r="AD1574">
        <v>1.69998599999999</v>
      </c>
      <c r="AE1574">
        <v>-135.81899999999999</v>
      </c>
      <c r="AF1574">
        <v>92.210375466253694</v>
      </c>
      <c r="AG1574">
        <v>1.69998599999999</v>
      </c>
      <c r="AH1574">
        <v>108.672466602632</v>
      </c>
      <c r="AI1574">
        <v>89.316613904344607</v>
      </c>
      <c r="AJ1574">
        <v>49.684847150242099</v>
      </c>
      <c r="AK1574">
        <v>142.53192026184101</v>
      </c>
      <c r="AL1574">
        <v>80.861246081895999</v>
      </c>
      <c r="AM1574">
        <v>74.349678208226095</v>
      </c>
      <c r="AN1574">
        <v>0.99999999117750404</v>
      </c>
    </row>
    <row r="1575" spans="1:40" x14ac:dyDescent="0.25">
      <c r="A1575" t="str">
        <f>"20190303170250438"</f>
        <v>20190303170250438</v>
      </c>
      <c r="B1575" t="str">
        <f>"1551603770427021"</f>
        <v>1551603770427021</v>
      </c>
      <c r="C1575" t="s">
        <v>40</v>
      </c>
      <c r="D1575">
        <v>5.0061869999999997</v>
      </c>
      <c r="E1575">
        <v>0.68112539999999999</v>
      </c>
      <c r="F1575" t="s">
        <v>55</v>
      </c>
      <c r="G1575">
        <v>-165.97540000000001</v>
      </c>
      <c r="H1575">
        <v>2.4673319999999999</v>
      </c>
      <c r="I1575">
        <v>252.31030000000001</v>
      </c>
      <c r="J1575">
        <v>-200.35310000000001</v>
      </c>
      <c r="K1575">
        <v>1.114168</v>
      </c>
      <c r="L1575">
        <v>362.82060000000001</v>
      </c>
      <c r="M1575">
        <v>0.84225269999999997</v>
      </c>
      <c r="N1575">
        <v>-1.499665E-2</v>
      </c>
      <c r="O1575">
        <v>-0.53887459999999998</v>
      </c>
      <c r="P1575">
        <v>0.66093749999999996</v>
      </c>
      <c r="Q1575">
        <v>0.1495881</v>
      </c>
      <c r="R1575">
        <v>-0.73538119999999996</v>
      </c>
      <c r="S1575">
        <v>0.99731449999999999</v>
      </c>
      <c r="T1575">
        <v>3.9078710000000003E-2</v>
      </c>
      <c r="U1575">
        <v>-3.1946110000000001</v>
      </c>
      <c r="V1575">
        <v>0.26625700000000002</v>
      </c>
      <c r="W1575">
        <v>0.15892149999999999</v>
      </c>
      <c r="X1575">
        <v>0.95071079999999997</v>
      </c>
      <c r="Y1575">
        <v>0.64352200000000004</v>
      </c>
      <c r="Z1575">
        <v>-1.5393189999999999E-2</v>
      </c>
      <c r="AA1575">
        <v>0.76527270000000003</v>
      </c>
      <c r="AB1575">
        <v>23</v>
      </c>
      <c r="AC1575">
        <v>34.377699999999997</v>
      </c>
      <c r="AD1575">
        <v>1.35316399999999</v>
      </c>
      <c r="AE1575">
        <v>-110.5103</v>
      </c>
      <c r="AF1575">
        <v>74.550509864673401</v>
      </c>
      <c r="AG1575">
        <v>1.35316399999999</v>
      </c>
      <c r="AH1575">
        <v>88.503744482771495</v>
      </c>
      <c r="AI1575">
        <v>89.330035525790805</v>
      </c>
      <c r="AJ1575">
        <v>49.891123616673802</v>
      </c>
      <c r="AK1575">
        <v>115.72606604117</v>
      </c>
      <c r="AL1575">
        <v>80.855697569064702</v>
      </c>
      <c r="AM1575">
        <v>74.354513612268903</v>
      </c>
      <c r="AN1575">
        <v>0.99999992922394199</v>
      </c>
    </row>
    <row r="1576" spans="1:40" x14ac:dyDescent="0.25">
      <c r="A1576" t="str">
        <f>"20190303170250453"</f>
        <v>20190303170250453</v>
      </c>
      <c r="B1576" t="str">
        <f>"1551603770447518"</f>
        <v>1551603770447518</v>
      </c>
      <c r="C1576" t="s">
        <v>40</v>
      </c>
      <c r="D1576">
        <v>5.0422359999999999</v>
      </c>
      <c r="E1576">
        <v>0.68031589999999997</v>
      </c>
      <c r="F1576" t="s">
        <v>55</v>
      </c>
      <c r="G1576">
        <v>-166.96860000000001</v>
      </c>
      <c r="H1576">
        <v>2.511298</v>
      </c>
      <c r="I1576">
        <v>252.31030000000001</v>
      </c>
      <c r="J1576">
        <v>-200.22880000000001</v>
      </c>
      <c r="K1576">
        <v>1.1141650000000001</v>
      </c>
      <c r="L1576">
        <v>362.73020000000002</v>
      </c>
      <c r="M1576">
        <v>0.83775200000000005</v>
      </c>
      <c r="N1576">
        <v>-1.500454E-2</v>
      </c>
      <c r="O1576">
        <v>-0.54584489999999997</v>
      </c>
      <c r="P1576">
        <v>0.65507539999999997</v>
      </c>
      <c r="Q1576">
        <v>0.14946779999999901</v>
      </c>
      <c r="R1576">
        <v>-0.74063179999999995</v>
      </c>
      <c r="S1576">
        <v>0.96726990000000002</v>
      </c>
      <c r="T1576">
        <v>4.0481330000000003E-2</v>
      </c>
      <c r="U1576">
        <v>-3.2018740000000001</v>
      </c>
      <c r="V1576">
        <v>0.26593899999999998</v>
      </c>
      <c r="W1576">
        <v>0.1588128</v>
      </c>
      <c r="X1576">
        <v>0.9508181</v>
      </c>
      <c r="Y1576">
        <v>0.64423050000000004</v>
      </c>
      <c r="Z1576">
        <v>-1.5683989999999998E-2</v>
      </c>
      <c r="AA1576">
        <v>0.76467059999999998</v>
      </c>
      <c r="AB1576">
        <v>23</v>
      </c>
      <c r="AC1576">
        <v>33.260199999999998</v>
      </c>
      <c r="AD1576">
        <v>1.397133</v>
      </c>
      <c r="AE1576">
        <v>-110.4199</v>
      </c>
      <c r="AF1576">
        <v>74.3470321544619</v>
      </c>
      <c r="AG1576">
        <v>1.397133</v>
      </c>
      <c r="AH1576">
        <v>88.132916257171999</v>
      </c>
      <c r="AI1576">
        <v>89.305780639702803</v>
      </c>
      <c r="AJ1576">
        <v>49.849741200406797</v>
      </c>
      <c r="AK1576">
        <v>115.311942567931</v>
      </c>
      <c r="AL1576">
        <v>80.862006923572196</v>
      </c>
      <c r="AM1576">
        <v>74.373963412479796</v>
      </c>
      <c r="AN1576">
        <v>1.0000000582262201</v>
      </c>
    </row>
    <row r="1577" spans="1:40" x14ac:dyDescent="0.25">
      <c r="A1577" t="str">
        <f>"20190303170250465"</f>
        <v>20190303170250465</v>
      </c>
      <c r="B1577" t="str">
        <f>"1551603770457277"</f>
        <v>1551603770457277</v>
      </c>
      <c r="C1577" t="s">
        <v>40</v>
      </c>
      <c r="D1577">
        <v>5.044359</v>
      </c>
      <c r="E1577">
        <v>0.67981259999999999</v>
      </c>
      <c r="F1577" t="s">
        <v>55</v>
      </c>
      <c r="G1577">
        <v>-167.64619999999999</v>
      </c>
      <c r="H1577">
        <v>2.4866519999999999</v>
      </c>
      <c r="I1577">
        <v>252.31030000000001</v>
      </c>
      <c r="J1577">
        <v>-200.1317</v>
      </c>
      <c r="K1577">
        <v>1.114163</v>
      </c>
      <c r="L1577">
        <v>362.65820000000002</v>
      </c>
      <c r="M1577">
        <v>0.83416429999999997</v>
      </c>
      <c r="N1577">
        <v>-1.5010269999999999E-2</v>
      </c>
      <c r="O1577">
        <v>-0.55131169999999996</v>
      </c>
      <c r="P1577">
        <v>0.65026949999999994</v>
      </c>
      <c r="Q1577">
        <v>0.149973</v>
      </c>
      <c r="R1577">
        <v>-0.74475340000000001</v>
      </c>
      <c r="S1577">
        <v>0.94596860000000005</v>
      </c>
      <c r="T1577">
        <v>3.9848920000000003E-2</v>
      </c>
      <c r="U1577">
        <v>-3.2058110000000002</v>
      </c>
      <c r="V1577">
        <v>0.2657987</v>
      </c>
      <c r="W1577">
        <v>0.15932349999999901</v>
      </c>
      <c r="X1577">
        <v>0.95077179999999994</v>
      </c>
      <c r="Y1577">
        <v>0.64415319999999898</v>
      </c>
      <c r="Z1577">
        <v>-1.578856E-2</v>
      </c>
      <c r="AA1577">
        <v>0.76473359999999901</v>
      </c>
      <c r="AB1577">
        <v>23</v>
      </c>
      <c r="AC1577">
        <v>32.485500000000002</v>
      </c>
      <c r="AD1577">
        <v>1.3724889999999901</v>
      </c>
      <c r="AE1577">
        <v>-110.3479</v>
      </c>
      <c r="AF1577">
        <v>74.136442579116206</v>
      </c>
      <c r="AG1577">
        <v>1.3724889999999901</v>
      </c>
      <c r="AH1577">
        <v>87.931723391630001</v>
      </c>
      <c r="AI1577">
        <v>89.316307975984401</v>
      </c>
      <c r="AJ1577">
        <v>49.865302546065699</v>
      </c>
      <c r="AK1577">
        <v>115.022101454302</v>
      </c>
      <c r="AL1577">
        <v>80.832367798169699</v>
      </c>
      <c r="AM1577">
        <v>74.381081276597499</v>
      </c>
      <c r="AN1577">
        <v>0.99999997112458905</v>
      </c>
    </row>
    <row r="1578" spans="1:40" x14ac:dyDescent="0.25">
      <c r="A1578" t="str">
        <f>"20190303170250475"</f>
        <v>20190303170250475</v>
      </c>
      <c r="B1578" t="str">
        <f>"1551603770467038"</f>
        <v>1551603770467038</v>
      </c>
      <c r="C1578" t="s">
        <v>40</v>
      </c>
      <c r="D1578">
        <v>5.0129029999999997</v>
      </c>
      <c r="E1578">
        <v>0.67935319999999899</v>
      </c>
      <c r="F1578" t="s">
        <v>55</v>
      </c>
      <c r="G1578">
        <v>-168.20660000000001</v>
      </c>
      <c r="H1578">
        <v>2.5551460000000001</v>
      </c>
      <c r="I1578">
        <v>252.31030000000001</v>
      </c>
      <c r="J1578">
        <v>-200.0393</v>
      </c>
      <c r="K1578">
        <v>1.114166</v>
      </c>
      <c r="L1578">
        <v>362.58929999999998</v>
      </c>
      <c r="M1578">
        <v>0.83070679999999997</v>
      </c>
      <c r="N1578">
        <v>-1.501561E-2</v>
      </c>
      <c r="O1578">
        <v>-0.5565078</v>
      </c>
      <c r="P1578">
        <v>0.64594259999999903</v>
      </c>
      <c r="Q1578">
        <v>0.1507751</v>
      </c>
      <c r="R1578">
        <v>-0.74834880000000004</v>
      </c>
      <c r="S1578">
        <v>0.92842100000000005</v>
      </c>
      <c r="T1578">
        <v>4.1907069999999998E-2</v>
      </c>
      <c r="U1578">
        <v>-3.2090450000000001</v>
      </c>
      <c r="V1578">
        <v>0.26525539999999997</v>
      </c>
      <c r="W1578">
        <v>0.16014020000000001</v>
      </c>
      <c r="X1578">
        <v>0.95078640000000003</v>
      </c>
      <c r="Y1578">
        <v>0.64344499999999905</v>
      </c>
      <c r="Z1578">
        <v>-1.6085700000000001E-2</v>
      </c>
      <c r="AA1578">
        <v>0.76532330000000004</v>
      </c>
      <c r="AB1578">
        <v>23</v>
      </c>
      <c r="AC1578">
        <v>31.8326999999999</v>
      </c>
      <c r="AD1578">
        <v>1.4409799999999899</v>
      </c>
      <c r="AE1578">
        <v>-110.278999999999</v>
      </c>
      <c r="AF1578">
        <v>73.891048588344006</v>
      </c>
      <c r="AG1578">
        <v>1.4409799999999899</v>
      </c>
      <c r="AH1578">
        <v>87.810817691488694</v>
      </c>
      <c r="AI1578">
        <v>89.280626322247997</v>
      </c>
      <c r="AJ1578">
        <v>49.920059039634097</v>
      </c>
      <c r="AK1578">
        <v>114.772397328335</v>
      </c>
      <c r="AL1578">
        <v>80.784966393796793</v>
      </c>
      <c r="AM1578">
        <v>74.411680733379796</v>
      </c>
      <c r="AN1578">
        <v>1.0000000446550701</v>
      </c>
    </row>
    <row r="1579" spans="1:40" x14ac:dyDescent="0.25">
      <c r="A1579" t="str">
        <f>"20190303170250493"</f>
        <v>20190303170250493</v>
      </c>
      <c r="B1579" t="str">
        <f>"1551603770487534"</f>
        <v>1551603770487534</v>
      </c>
      <c r="C1579" t="s">
        <v>40</v>
      </c>
      <c r="D1579">
        <v>5.0560799999999997</v>
      </c>
      <c r="E1579">
        <v>0.67827499999999996</v>
      </c>
      <c r="F1579" t="s">
        <v>55</v>
      </c>
      <c r="G1579">
        <v>-168.35059999999999</v>
      </c>
      <c r="H1579">
        <v>2.618922</v>
      </c>
      <c r="I1579">
        <v>251.06649999999999</v>
      </c>
      <c r="J1579">
        <v>-199.89840000000001</v>
      </c>
      <c r="K1579">
        <v>1.1141719999999999</v>
      </c>
      <c r="L1579">
        <v>362.4819</v>
      </c>
      <c r="M1579">
        <v>0.82530780000000004</v>
      </c>
      <c r="N1579">
        <v>-1.502353E-2</v>
      </c>
      <c r="O1579">
        <v>-0.56448330000000002</v>
      </c>
      <c r="P1579">
        <v>0.63934460000000004</v>
      </c>
      <c r="Q1579">
        <v>0.15335879999999999</v>
      </c>
      <c r="R1579">
        <v>-0.75347189999999997</v>
      </c>
      <c r="S1579">
        <v>0.91275019999999996</v>
      </c>
      <c r="T1579">
        <v>4.3343899999999998E-2</v>
      </c>
      <c r="U1579">
        <v>-3.21225</v>
      </c>
      <c r="V1579">
        <v>0.26406659999999998</v>
      </c>
      <c r="W1579">
        <v>0.16274959999999999</v>
      </c>
      <c r="X1579">
        <v>0.95067420000000002</v>
      </c>
      <c r="Y1579">
        <v>0.63972130000000005</v>
      </c>
      <c r="Z1579">
        <v>-1.641745E-2</v>
      </c>
      <c r="AA1579">
        <v>0.76843159999999999</v>
      </c>
      <c r="AB1579">
        <v>23</v>
      </c>
      <c r="AC1579">
        <v>31.547799999999999</v>
      </c>
      <c r="AD1579">
        <v>1.50475</v>
      </c>
      <c r="AE1579">
        <v>-111.41540000000001</v>
      </c>
      <c r="AF1579">
        <v>74.139638999323594</v>
      </c>
      <c r="AG1579">
        <v>1.50475</v>
      </c>
      <c r="AH1579">
        <v>88.923796436870902</v>
      </c>
      <c r="AI1579">
        <v>89.255365327266901</v>
      </c>
      <c r="AJ1579">
        <v>50.180561713852001</v>
      </c>
      <c r="AK1579">
        <v>115.785974609443</v>
      </c>
      <c r="AL1579">
        <v>80.633471142336106</v>
      </c>
      <c r="AM1579">
        <v>74.476424272473395</v>
      </c>
      <c r="AN1579">
        <v>1.0000000180406701</v>
      </c>
    </row>
    <row r="1580" spans="1:40" x14ac:dyDescent="0.25">
      <c r="A1580" t="str">
        <f>"20190303170250506"</f>
        <v>20190303170250506</v>
      </c>
      <c r="B1580" t="str">
        <f>"1551603770497294"</f>
        <v>1551603770497294</v>
      </c>
      <c r="C1580" t="s">
        <v>40</v>
      </c>
      <c r="D1580">
        <v>5.0900550000000004</v>
      </c>
      <c r="E1580">
        <v>0.67775169999999996</v>
      </c>
      <c r="F1580" t="s">
        <v>56</v>
      </c>
      <c r="G1580">
        <v>-157.35980000000001</v>
      </c>
      <c r="H1580">
        <v>3.303131</v>
      </c>
      <c r="I1580">
        <v>209.34039999999999</v>
      </c>
      <c r="J1580">
        <v>-199.8005</v>
      </c>
      <c r="K1580">
        <v>1.1141700000000001</v>
      </c>
      <c r="L1580">
        <v>362.40559999999999</v>
      </c>
      <c r="M1580">
        <v>0.82146669999999999</v>
      </c>
      <c r="N1580">
        <v>-1.5028909999999999E-2</v>
      </c>
      <c r="O1580">
        <v>-0.57005839999999997</v>
      </c>
      <c r="P1580">
        <v>0.63457220000000003</v>
      </c>
      <c r="Q1580">
        <v>0.1540474</v>
      </c>
      <c r="R1580">
        <v>-0.75735540000000001</v>
      </c>
      <c r="S1580">
        <v>0.89291379999999998</v>
      </c>
      <c r="T1580">
        <v>4.5948389999999999E-2</v>
      </c>
      <c r="U1580">
        <v>-3.2145389999999998</v>
      </c>
      <c r="V1580">
        <v>0.26353399999999999</v>
      </c>
      <c r="W1580">
        <v>0.16345100000000001</v>
      </c>
      <c r="X1580">
        <v>0.95070169999999998</v>
      </c>
      <c r="Y1580">
        <v>0.63906149999999995</v>
      </c>
      <c r="Z1580">
        <v>-1.679114E-2</v>
      </c>
      <c r="AA1580">
        <v>0.76897249999999995</v>
      </c>
      <c r="AB1580">
        <v>23</v>
      </c>
      <c r="AC1580">
        <v>42.4406999999999</v>
      </c>
      <c r="AD1580">
        <v>2.1889609999999902</v>
      </c>
      <c r="AE1580">
        <v>-153.0652</v>
      </c>
      <c r="AF1580">
        <v>101.536474467201</v>
      </c>
      <c r="AG1580">
        <v>2.1889609999999902</v>
      </c>
      <c r="AH1580">
        <v>122.110329002225</v>
      </c>
      <c r="AI1580">
        <v>89.210311977875406</v>
      </c>
      <c r="AJ1580">
        <v>50.255995426009001</v>
      </c>
      <c r="AK1580">
        <v>158.82499691962801</v>
      </c>
      <c r="AL1580">
        <v>80.592738853805201</v>
      </c>
      <c r="AM1580">
        <v>74.506655057460407</v>
      </c>
      <c r="AN1580">
        <v>1.0000000604699399</v>
      </c>
    </row>
    <row r="1581" spans="1:40" x14ac:dyDescent="0.25">
      <c r="A1581" t="str">
        <f>"20190303170250517"</f>
        <v>20190303170250517</v>
      </c>
      <c r="B1581" t="str">
        <f>"1551603770507054"</f>
        <v>1551603770507054</v>
      </c>
      <c r="C1581" t="s">
        <v>40</v>
      </c>
      <c r="D1581">
        <v>5.111783</v>
      </c>
      <c r="E1581">
        <v>0.67775169999999996</v>
      </c>
      <c r="F1581" t="s">
        <v>56</v>
      </c>
      <c r="G1581">
        <v>-158.10169999999999</v>
      </c>
      <c r="H1581">
        <v>3.32118</v>
      </c>
      <c r="I1581">
        <v>209.3407</v>
      </c>
      <c r="J1581">
        <v>-199.70099999999999</v>
      </c>
      <c r="K1581">
        <v>1.114168</v>
      </c>
      <c r="L1581">
        <v>362.32749999999999</v>
      </c>
      <c r="M1581">
        <v>0.8175055</v>
      </c>
      <c r="N1581">
        <v>-1.503436E-2</v>
      </c>
      <c r="O1581">
        <v>-0.57572469999999998</v>
      </c>
      <c r="P1581">
        <v>0.62979059999999998</v>
      </c>
      <c r="Q1581">
        <v>0.1543882</v>
      </c>
      <c r="R1581">
        <v>-0.76126780000000005</v>
      </c>
      <c r="S1581">
        <v>0.87648009999999998</v>
      </c>
      <c r="T1581">
        <v>4.639041E-2</v>
      </c>
      <c r="U1581">
        <v>-3.2173159999999998</v>
      </c>
      <c r="V1581">
        <v>0.26289800000000002</v>
      </c>
      <c r="W1581">
        <v>0.16380719999999999</v>
      </c>
      <c r="X1581">
        <v>0.95081649999999995</v>
      </c>
      <c r="Y1581">
        <v>0.63756590000000002</v>
      </c>
      <c r="Z1581">
        <v>-1.6995349999999999E-2</v>
      </c>
      <c r="AA1581">
        <v>0.77020840000000002</v>
      </c>
      <c r="AB1581">
        <v>22</v>
      </c>
      <c r="AC1581">
        <v>41.599299999999999</v>
      </c>
      <c r="AD1581">
        <v>2.2070120000000002</v>
      </c>
      <c r="AE1581">
        <v>-152.98679999999999</v>
      </c>
      <c r="AF1581">
        <v>101.109631792492</v>
      </c>
      <c r="AG1581">
        <v>2.2070120000000002</v>
      </c>
      <c r="AH1581">
        <v>122.07606694429199</v>
      </c>
      <c r="AI1581">
        <v>89.202299297258904</v>
      </c>
      <c r="AJ1581">
        <v>50.3667105150233</v>
      </c>
      <c r="AK1581">
        <v>158.526321674884</v>
      </c>
      <c r="AL1581">
        <v>80.572051521258103</v>
      </c>
      <c r="AM1581">
        <v>74.544032918173798</v>
      </c>
      <c r="AN1581">
        <v>1.00000008692404</v>
      </c>
    </row>
    <row r="1582" spans="1:40" x14ac:dyDescent="0.25">
      <c r="A1582" t="str">
        <f>"20190303170250529"</f>
        <v>20190303170250529</v>
      </c>
      <c r="B1582" t="str">
        <f>"1551603770516814"</f>
        <v>1551603770516814</v>
      </c>
      <c r="C1582" t="s">
        <v>40</v>
      </c>
      <c r="D1582">
        <v>5.0400609999999997</v>
      </c>
      <c r="E1582">
        <v>0.659856</v>
      </c>
      <c r="F1582" t="s">
        <v>56</v>
      </c>
      <c r="G1582">
        <v>-159.04499999999999</v>
      </c>
      <c r="H1582">
        <v>3.389624</v>
      </c>
      <c r="I1582">
        <v>209.34100000000001</v>
      </c>
      <c r="J1582">
        <v>-199.60579999999999</v>
      </c>
      <c r="K1582">
        <v>1.114163</v>
      </c>
      <c r="L1582">
        <v>362.25139999999999</v>
      </c>
      <c r="M1582">
        <v>0.81364099999999995</v>
      </c>
      <c r="N1582">
        <v>-1.50397E-2</v>
      </c>
      <c r="O1582">
        <v>-0.58117339999999995</v>
      </c>
      <c r="P1582">
        <v>0.62517699999999998</v>
      </c>
      <c r="Q1582">
        <v>0.15412770000000001</v>
      </c>
      <c r="R1582">
        <v>-0.7651135</v>
      </c>
      <c r="S1582">
        <v>0.85638429999999999</v>
      </c>
      <c r="T1582">
        <v>4.7931309999999998E-2</v>
      </c>
      <c r="U1582">
        <v>-3.222534</v>
      </c>
      <c r="V1582">
        <v>0.26233289999999998</v>
      </c>
      <c r="W1582">
        <v>0.1635607</v>
      </c>
      <c r="X1582">
        <v>0.9510149</v>
      </c>
      <c r="Y1582">
        <v>0.63721779999999995</v>
      </c>
      <c r="Z1582">
        <v>-1.7289300000000001E-2</v>
      </c>
      <c r="AA1582">
        <v>0.7704898</v>
      </c>
      <c r="AB1582">
        <v>22</v>
      </c>
      <c r="AC1582">
        <v>40.5608</v>
      </c>
      <c r="AD1582">
        <v>2.275461</v>
      </c>
      <c r="AE1582">
        <v>-152.91040000000001</v>
      </c>
      <c r="AF1582">
        <v>100.83183891443799</v>
      </c>
      <c r="AG1582">
        <v>2.275461</v>
      </c>
      <c r="AH1582">
        <v>121.857937587742</v>
      </c>
      <c r="AI1582">
        <v>89.175767912005199</v>
      </c>
      <c r="AJ1582">
        <v>50.393807523270198</v>
      </c>
      <c r="AK1582">
        <v>158.182155803895</v>
      </c>
      <c r="AL1582">
        <v>80.586367159891694</v>
      </c>
      <c r="AM1582">
        <v>74.578736591547596</v>
      </c>
      <c r="AN1582">
        <v>0.99999999651445404</v>
      </c>
    </row>
    <row r="1583" spans="1:40" x14ac:dyDescent="0.25">
      <c r="A1583" t="str">
        <f>"20190303170250541"</f>
        <v>20190303170250541</v>
      </c>
      <c r="B1583" t="str">
        <f>"1551603770527549"</f>
        <v>1551603770527549</v>
      </c>
      <c r="C1583" t="s">
        <v>40</v>
      </c>
      <c r="D1583">
        <v>5.0572210000000002</v>
      </c>
      <c r="E1583">
        <v>0.65971919999999995</v>
      </c>
      <c r="F1583" t="s">
        <v>55</v>
      </c>
      <c r="G1583">
        <v>-166.15700000000001</v>
      </c>
      <c r="H1583">
        <v>0.71580219999999894</v>
      </c>
      <c r="I1583">
        <v>252.31030000000001</v>
      </c>
      <c r="J1583">
        <v>-199.517</v>
      </c>
      <c r="K1583">
        <v>1.114158</v>
      </c>
      <c r="L1583">
        <v>362.17950000000002</v>
      </c>
      <c r="M1583">
        <v>0.80997419999999998</v>
      </c>
      <c r="N1583">
        <v>-1.5044729999999999E-2</v>
      </c>
      <c r="O1583">
        <v>-0.58627280000000004</v>
      </c>
      <c r="P1583">
        <v>0.62081319999999995</v>
      </c>
      <c r="Q1583">
        <v>0.15331839999999999</v>
      </c>
      <c r="R1583">
        <v>-0.76882030000000001</v>
      </c>
      <c r="S1583">
        <v>0.95597840000000001</v>
      </c>
      <c r="T1583">
        <v>-1.138365E-2</v>
      </c>
      <c r="U1583">
        <v>-3.1421510000000001</v>
      </c>
      <c r="V1583">
        <v>0.26188800000000001</v>
      </c>
      <c r="W1583">
        <v>0.1627642</v>
      </c>
      <c r="X1583">
        <v>0.95127419999999996</v>
      </c>
      <c r="Y1583">
        <v>0.60426440000000003</v>
      </c>
      <c r="Z1583">
        <v>-1.183264E-2</v>
      </c>
      <c r="AA1583">
        <v>0.79669599999999996</v>
      </c>
      <c r="AB1583">
        <v>22</v>
      </c>
      <c r="AC1583">
        <v>33.3599999999999</v>
      </c>
      <c r="AD1583">
        <v>-0.39835579999999998</v>
      </c>
      <c r="AE1583">
        <v>-109.86920000000001</v>
      </c>
      <c r="AF1583">
        <v>69.440168221251994</v>
      </c>
      <c r="AG1583">
        <v>-0.39835579999999998</v>
      </c>
      <c r="AH1583">
        <v>91.443295965791407</v>
      </c>
      <c r="AI1583">
        <v>90.198779462529203</v>
      </c>
      <c r="AJ1583">
        <v>52.787706741411597</v>
      </c>
      <c r="AK1583">
        <v>114.821478944605</v>
      </c>
      <c r="AL1583">
        <v>80.632623682450699</v>
      </c>
      <c r="AM1583">
        <v>74.607645862915902</v>
      </c>
      <c r="AN1583">
        <v>1.0000000564656299</v>
      </c>
    </row>
    <row r="1584" spans="1:40" x14ac:dyDescent="0.25">
      <c r="A1584" t="str">
        <f>"20190303170250552"</f>
        <v>20190303170250552</v>
      </c>
      <c r="B1584" t="str">
        <f>"1551603770537310"</f>
        <v>1551603770537310</v>
      </c>
      <c r="C1584" t="s">
        <v>40</v>
      </c>
      <c r="D1584">
        <v>5.2384649999999997</v>
      </c>
      <c r="E1584">
        <v>0.66075930000000005</v>
      </c>
      <c r="F1584" t="s">
        <v>55</v>
      </c>
      <c r="G1584">
        <v>-166.76320000000001</v>
      </c>
      <c r="H1584">
        <v>0.57100960000000001</v>
      </c>
      <c r="I1584">
        <v>252.31030000000001</v>
      </c>
      <c r="J1584">
        <v>-199.4186</v>
      </c>
      <c r="K1584">
        <v>1.1141449999999999</v>
      </c>
      <c r="L1584">
        <v>362.09899999999999</v>
      </c>
      <c r="M1584">
        <v>0.80584730000000004</v>
      </c>
      <c r="N1584">
        <v>-1.5050330000000001E-2</v>
      </c>
      <c r="O1584">
        <v>-0.59193219999999902</v>
      </c>
      <c r="P1584">
        <v>0.61567819999999995</v>
      </c>
      <c r="Q1584">
        <v>0.1527501</v>
      </c>
      <c r="R1584">
        <v>-0.77305089999999999</v>
      </c>
      <c r="S1584">
        <v>0.9383087</v>
      </c>
      <c r="T1584">
        <v>-1.555812E-2</v>
      </c>
      <c r="U1584">
        <v>-3.1474609999999998</v>
      </c>
      <c r="V1584">
        <v>0.26164330000000002</v>
      </c>
      <c r="W1584">
        <v>0.16220290000000001</v>
      </c>
      <c r="X1584">
        <v>0.95143739999999999</v>
      </c>
      <c r="Y1584">
        <v>0.60314760000000001</v>
      </c>
      <c r="Z1584">
        <v>-1.145705E-2</v>
      </c>
      <c r="AA1584">
        <v>0.79754729999999996</v>
      </c>
      <c r="AB1584">
        <v>22</v>
      </c>
      <c r="AC1584">
        <v>32.655399999999901</v>
      </c>
      <c r="AD1584">
        <v>-0.54313540000000005</v>
      </c>
      <c r="AE1584">
        <v>-109.788699999999</v>
      </c>
      <c r="AF1584">
        <v>69.149418229125502</v>
      </c>
      <c r="AG1584">
        <v>-0.54313540000000005</v>
      </c>
      <c r="AH1584">
        <v>91.311016767945304</v>
      </c>
      <c r="AI1584">
        <v>90.2716886088986</v>
      </c>
      <c r="AJ1584">
        <v>52.863518497155603</v>
      </c>
      <c r="AK1584">
        <v>114.54099187926199</v>
      </c>
      <c r="AL1584">
        <v>80.665216974400593</v>
      </c>
      <c r="AM1584">
        <v>74.623859883976806</v>
      </c>
      <c r="AN1584">
        <v>1.0000000616610201</v>
      </c>
    </row>
    <row r="1585" spans="1:40" x14ac:dyDescent="0.25">
      <c r="A1585" t="str">
        <f>"20190303170250564"</f>
        <v>20190303170250564</v>
      </c>
      <c r="B1585" t="str">
        <f>"1551603770556830"</f>
        <v>1551603770556830</v>
      </c>
      <c r="C1585" t="s">
        <v>40</v>
      </c>
      <c r="D1585">
        <v>5.1019439999999996</v>
      </c>
      <c r="E1585">
        <v>0.66106669999999901</v>
      </c>
      <c r="F1585" t="s">
        <v>55</v>
      </c>
      <c r="G1585">
        <v>-167.7756</v>
      </c>
      <c r="H1585">
        <v>0.47027210000000003</v>
      </c>
      <c r="I1585">
        <v>252.31030000000001</v>
      </c>
      <c r="J1585">
        <v>-199.33019999999999</v>
      </c>
      <c r="K1585">
        <v>1.114134</v>
      </c>
      <c r="L1585">
        <v>362.02519999999998</v>
      </c>
      <c r="M1585">
        <v>0.80206189999999999</v>
      </c>
      <c r="N1585">
        <v>-1.505538E-2</v>
      </c>
      <c r="O1585">
        <v>-0.59705109999999995</v>
      </c>
      <c r="P1585">
        <v>0.61112239999999995</v>
      </c>
      <c r="Q1585">
        <v>0.15203929999999999</v>
      </c>
      <c r="R1585">
        <v>-0.77679690000000001</v>
      </c>
      <c r="S1585">
        <v>0.91053770000000001</v>
      </c>
      <c r="T1585">
        <v>-1.852608E-2</v>
      </c>
      <c r="U1585">
        <v>-3.1592099999999999</v>
      </c>
      <c r="V1585">
        <v>0.26128010000000002</v>
      </c>
      <c r="W1585">
        <v>0.161501799999999</v>
      </c>
      <c r="X1585">
        <v>0.95165639999999996</v>
      </c>
      <c r="Y1585">
        <v>0.60532889999999995</v>
      </c>
      <c r="Z1585">
        <v>-1.1220030000000001E-2</v>
      </c>
      <c r="AA1585">
        <v>0.79589639999999995</v>
      </c>
      <c r="AB1585">
        <v>22</v>
      </c>
      <c r="AC1585">
        <v>31.554599999999901</v>
      </c>
      <c r="AD1585">
        <v>-0.64386189999999999</v>
      </c>
      <c r="AE1585">
        <v>-109.71489999999901</v>
      </c>
      <c r="AF1585">
        <v>69.164072710393896</v>
      </c>
      <c r="AG1585">
        <v>-0.64386189999999999</v>
      </c>
      <c r="AH1585">
        <v>90.821550485257504</v>
      </c>
      <c r="AI1585">
        <v>90.3231480228999</v>
      </c>
      <c r="AJ1585">
        <v>52.7093455063427</v>
      </c>
      <c r="AK1585">
        <v>114.160577891762</v>
      </c>
      <c r="AL1585">
        <v>80.705923305784907</v>
      </c>
      <c r="AM1585">
        <v>74.647563109223199</v>
      </c>
      <c r="AN1585">
        <v>1.0000000128601001</v>
      </c>
    </row>
    <row r="1586" spans="1:40" x14ac:dyDescent="0.25">
      <c r="A1586" t="str">
        <f>"20190303170250576"</f>
        <v>20190303170250576</v>
      </c>
      <c r="B1586" t="str">
        <f>"1551603770567565"</f>
        <v>1551603770567565</v>
      </c>
      <c r="C1586" t="s">
        <v>40</v>
      </c>
      <c r="D1586">
        <v>5.1139859999999997</v>
      </c>
      <c r="E1586">
        <v>0.66067600000000004</v>
      </c>
      <c r="F1586" t="s">
        <v>55</v>
      </c>
      <c r="G1586">
        <v>-168.35059999999999</v>
      </c>
      <c r="H1586">
        <v>0.22325990000000001</v>
      </c>
      <c r="I1586">
        <v>251.86869999999999</v>
      </c>
      <c r="J1586">
        <v>-199.24029999999999</v>
      </c>
      <c r="K1586">
        <v>1.114117</v>
      </c>
      <c r="L1586">
        <v>361.94979999999998</v>
      </c>
      <c r="M1586">
        <v>0.79816679999999995</v>
      </c>
      <c r="N1586">
        <v>-1.506043E-2</v>
      </c>
      <c r="O1586">
        <v>-0.60224840000000002</v>
      </c>
      <c r="P1586">
        <v>0.60604729999999996</v>
      </c>
      <c r="Q1586">
        <v>0.15172430000000001</v>
      </c>
      <c r="R1586">
        <v>-0.78082439999999997</v>
      </c>
      <c r="S1586">
        <v>0.89051819999999904</v>
      </c>
      <c r="T1586">
        <v>-2.5606750000000001E-2</v>
      </c>
      <c r="U1586">
        <v>-3.1664729999999999</v>
      </c>
      <c r="V1586">
        <v>0.26134679999999999</v>
      </c>
      <c r="W1586">
        <v>0.16118460000000001</v>
      </c>
      <c r="X1586">
        <v>0.95169190000000004</v>
      </c>
      <c r="Y1586">
        <v>0.60528199999999999</v>
      </c>
      <c r="Z1586">
        <v>-1.052928E-2</v>
      </c>
      <c r="AA1586">
        <v>0.79594149999999997</v>
      </c>
      <c r="AB1586">
        <v>22</v>
      </c>
      <c r="AC1586">
        <v>30.889700000000001</v>
      </c>
      <c r="AD1586">
        <v>-0.89085709999999996</v>
      </c>
      <c r="AE1586">
        <v>-110.08110000000001</v>
      </c>
      <c r="AF1586">
        <v>69.263451119204703</v>
      </c>
      <c r="AG1586">
        <v>-0.89085709999999996</v>
      </c>
      <c r="AH1586">
        <v>90.956084865984195</v>
      </c>
      <c r="AI1586">
        <v>90.446454152608496</v>
      </c>
      <c r="AJ1586">
        <v>52.710571400613503</v>
      </c>
      <c r="AK1586">
        <v>114.32947415895499</v>
      </c>
      <c r="AL1586">
        <v>80.724339136729498</v>
      </c>
      <c r="AM1586">
        <v>74.644374675774003</v>
      </c>
      <c r="AN1586">
        <v>1.0000000488365</v>
      </c>
    </row>
    <row r="1587" spans="1:40" x14ac:dyDescent="0.25">
      <c r="A1587" t="str">
        <f>"20190303170250587"</f>
        <v>20190303170250587</v>
      </c>
      <c r="B1587" t="str">
        <f>"1551603770577327"</f>
        <v>1551603770577327</v>
      </c>
      <c r="C1587" t="s">
        <v>40</v>
      </c>
      <c r="D1587">
        <v>5.1185269999999896</v>
      </c>
      <c r="E1587">
        <v>0.66027000000000002</v>
      </c>
      <c r="F1587" t="s">
        <v>55</v>
      </c>
      <c r="G1587">
        <v>-168.35059999999999</v>
      </c>
      <c r="H1587">
        <v>6.3753130000000005E-2</v>
      </c>
      <c r="I1587">
        <v>249.7979</v>
      </c>
      <c r="J1587">
        <v>-199.14920000000001</v>
      </c>
      <c r="K1587">
        <v>1.114107</v>
      </c>
      <c r="L1587">
        <v>361.87150000000003</v>
      </c>
      <c r="M1587">
        <v>0.79412419999999995</v>
      </c>
      <c r="N1587">
        <v>-1.5065739999999999E-2</v>
      </c>
      <c r="O1587">
        <v>-0.60756869999999996</v>
      </c>
      <c r="P1587">
        <v>0.60081799999999996</v>
      </c>
      <c r="Q1587">
        <v>0.15167720000000001</v>
      </c>
      <c r="R1587">
        <v>-0.78486420000000001</v>
      </c>
      <c r="S1587">
        <v>0.87315370000000003</v>
      </c>
      <c r="T1587">
        <v>-2.9688719999999998E-2</v>
      </c>
      <c r="U1587">
        <v>-3.170166</v>
      </c>
      <c r="V1587">
        <v>0.2613547</v>
      </c>
      <c r="W1587">
        <v>0.16113659999999999</v>
      </c>
      <c r="X1587">
        <v>0.95169780000000004</v>
      </c>
      <c r="Y1587">
        <v>0.60424049999999996</v>
      </c>
      <c r="Z1587">
        <v>-1.0104749999999999E-2</v>
      </c>
      <c r="AA1587">
        <v>0.79673799999999995</v>
      </c>
      <c r="AB1587">
        <v>22</v>
      </c>
      <c r="AC1587">
        <v>30.7986</v>
      </c>
      <c r="AD1587">
        <v>-1.0503538699999999</v>
      </c>
      <c r="AE1587">
        <v>-112.0736</v>
      </c>
      <c r="AF1587">
        <v>70.290332279616905</v>
      </c>
      <c r="AG1587">
        <v>-1.0503538699999999</v>
      </c>
      <c r="AH1587">
        <v>92.553274122004296</v>
      </c>
      <c r="AI1587">
        <v>90.517808983664295</v>
      </c>
      <c r="AJ1587">
        <v>52.784852616660999</v>
      </c>
      <c r="AK1587">
        <v>116.22367489429099</v>
      </c>
      <c r="AL1587">
        <v>80.727125235988098</v>
      </c>
      <c r="AM1587">
        <v>74.644023121320004</v>
      </c>
      <c r="AN1587">
        <v>0.99999999279824403</v>
      </c>
    </row>
    <row r="1588" spans="1:40" x14ac:dyDescent="0.25">
      <c r="A1588" t="str">
        <f>"20190303170250605"</f>
        <v>20190303170250605</v>
      </c>
      <c r="B1588" t="str">
        <f>"1551603770596846"</f>
        <v>1551603770596846</v>
      </c>
      <c r="C1588" t="s">
        <v>40</v>
      </c>
      <c r="D1588">
        <v>5.0991519999999904</v>
      </c>
      <c r="E1588">
        <v>0.65915400000000002</v>
      </c>
      <c r="F1588" t="s">
        <v>44</v>
      </c>
      <c r="G1588">
        <v>-166.94399999999999</v>
      </c>
      <c r="H1588">
        <v>-0.05</v>
      </c>
      <c r="I1588">
        <v>242.26740000000001</v>
      </c>
      <c r="J1588">
        <v>-199.01509999999999</v>
      </c>
      <c r="K1588">
        <v>1.114106</v>
      </c>
      <c r="L1588">
        <v>361.75479999999999</v>
      </c>
      <c r="M1588">
        <v>0.78805939999999997</v>
      </c>
      <c r="N1588">
        <v>-1.5073670000000001E-2</v>
      </c>
      <c r="O1588">
        <v>-0.61541459999999903</v>
      </c>
      <c r="P1588">
        <v>0.59297519999999904</v>
      </c>
      <c r="Q1588">
        <v>0.15309779999999901</v>
      </c>
      <c r="R1588">
        <v>-0.79053240000000002</v>
      </c>
      <c r="S1588">
        <v>0.85467530000000003</v>
      </c>
      <c r="T1588">
        <v>-3.089356E-2</v>
      </c>
      <c r="U1588">
        <v>-3.1741030000000001</v>
      </c>
      <c r="V1588">
        <v>0.26120700000000002</v>
      </c>
      <c r="W1588">
        <v>0.16255530000000001</v>
      </c>
      <c r="X1588">
        <v>0.95149709999999998</v>
      </c>
      <c r="Y1588">
        <v>0.60090200000000005</v>
      </c>
      <c r="Z1588">
        <v>-9.9356300000000008E-3</v>
      </c>
      <c r="AA1588">
        <v>0.799261</v>
      </c>
      <c r="AB1588">
        <v>22</v>
      </c>
      <c r="AC1588">
        <v>32.071099999999902</v>
      </c>
      <c r="AD1588">
        <v>-1.1641059999999901</v>
      </c>
      <c r="AE1588">
        <v>-119.487399999999</v>
      </c>
      <c r="AF1588">
        <v>74.428014067404504</v>
      </c>
      <c r="AG1588">
        <v>-1.1641059999999901</v>
      </c>
      <c r="AH1588">
        <v>98.810702913680998</v>
      </c>
      <c r="AI1588">
        <v>90.539154030246095</v>
      </c>
      <c r="AJ1588">
        <v>53.011537596216598</v>
      </c>
      <c r="AK1588">
        <v>123.71111280354999</v>
      </c>
      <c r="AL1588">
        <v>80.644754043834993</v>
      </c>
      <c r="AM1588">
        <v>74.649207359141499</v>
      </c>
      <c r="AN1588">
        <v>1.00000002685774</v>
      </c>
    </row>
    <row r="1589" spans="1:40" x14ac:dyDescent="0.25">
      <c r="A1589" t="str">
        <f>"20190303170250618"</f>
        <v>20190303170250618</v>
      </c>
      <c r="B1589" t="str">
        <f>"1551603770607582"</f>
        <v>1551603770607582</v>
      </c>
      <c r="C1589" t="s">
        <v>40</v>
      </c>
      <c r="D1589">
        <v>5.12019</v>
      </c>
      <c r="E1589">
        <v>0.65915400000000002</v>
      </c>
      <c r="F1589" t="s">
        <v>44</v>
      </c>
      <c r="G1589">
        <v>-166.66</v>
      </c>
      <c r="H1589">
        <v>-0.05</v>
      </c>
      <c r="I1589">
        <v>238.02170000000001</v>
      </c>
      <c r="J1589">
        <v>-198.91569999999999</v>
      </c>
      <c r="K1589">
        <v>1.1140969999999999</v>
      </c>
      <c r="L1589">
        <v>361.66699999999997</v>
      </c>
      <c r="M1589">
        <v>0.78346740000000004</v>
      </c>
      <c r="N1589">
        <v>-1.507964E-2</v>
      </c>
      <c r="O1589">
        <v>-0.62124999999999997</v>
      </c>
      <c r="P1589">
        <v>0.58745449999999999</v>
      </c>
      <c r="Q1589">
        <v>0.15392739999999999</v>
      </c>
      <c r="R1589">
        <v>-0.7944833</v>
      </c>
      <c r="S1589">
        <v>0.83088680000000004</v>
      </c>
      <c r="T1589">
        <v>-2.9894469999999999E-2</v>
      </c>
      <c r="U1589">
        <v>-3.1774900000000001</v>
      </c>
      <c r="V1589">
        <v>0.2606619</v>
      </c>
      <c r="W1589">
        <v>0.16339409999999999</v>
      </c>
      <c r="X1589">
        <v>0.95150290000000004</v>
      </c>
      <c r="Y1589">
        <v>0.60077290000000005</v>
      </c>
      <c r="Z1589">
        <v>-1.004126E-2</v>
      </c>
      <c r="AA1589">
        <v>0.79935669999999903</v>
      </c>
      <c r="AB1589">
        <v>22</v>
      </c>
      <c r="AC1589">
        <v>32.255699999999898</v>
      </c>
      <c r="AD1589">
        <v>-1.1640969999999999</v>
      </c>
      <c r="AE1589">
        <v>-123.645299999999</v>
      </c>
      <c r="AF1589">
        <v>76.835563902376606</v>
      </c>
      <c r="AG1589">
        <v>-1.1640969999999999</v>
      </c>
      <c r="AH1589">
        <v>102.08906213734799</v>
      </c>
      <c r="AI1589">
        <v>90.521989155200799</v>
      </c>
      <c r="AJ1589">
        <v>53.033685946699698</v>
      </c>
      <c r="AK1589">
        <v>127.7780717107</v>
      </c>
      <c r="AL1589">
        <v>80.596042962380295</v>
      </c>
      <c r="AM1589">
        <v>74.679824471978307</v>
      </c>
      <c r="AN1589">
        <v>1.0000000133674101</v>
      </c>
    </row>
    <row r="1590" spans="1:40" x14ac:dyDescent="0.25">
      <c r="A1590" t="str">
        <f>"20190303170250631"</f>
        <v>20190303170250631</v>
      </c>
      <c r="B1590" t="str">
        <f>"1551603770617342"</f>
        <v>1551603770617342</v>
      </c>
      <c r="C1590" t="s">
        <v>40</v>
      </c>
      <c r="D1590">
        <v>5.0984099999999897</v>
      </c>
      <c r="E1590">
        <v>0.65169759999999999</v>
      </c>
      <c r="F1590" t="s">
        <v>44</v>
      </c>
      <c r="G1590">
        <v>-162.98009999999999</v>
      </c>
      <c r="H1590">
        <v>-0.05</v>
      </c>
      <c r="I1590">
        <v>220.172</v>
      </c>
      <c r="J1590">
        <v>-198.81209999999999</v>
      </c>
      <c r="K1590">
        <v>1.1140859999999999</v>
      </c>
      <c r="L1590">
        <v>361.57369999999997</v>
      </c>
      <c r="M1590">
        <v>0.77857200000000004</v>
      </c>
      <c r="N1590">
        <v>-1.508601E-2</v>
      </c>
      <c r="O1590">
        <v>-0.62737379999999998</v>
      </c>
      <c r="P1590">
        <v>0.58142399999999905</v>
      </c>
      <c r="Q1590">
        <v>0.1545783</v>
      </c>
      <c r="R1590">
        <v>-0.79878149999999903</v>
      </c>
      <c r="S1590">
        <v>0.80847170000000002</v>
      </c>
      <c r="T1590">
        <v>-2.6189569999999999E-2</v>
      </c>
      <c r="U1590">
        <v>-3.183319</v>
      </c>
      <c r="V1590">
        <v>0.26032250000000001</v>
      </c>
      <c r="W1590">
        <v>0.16404939999999901</v>
      </c>
      <c r="X1590">
        <v>0.95148310000000003</v>
      </c>
      <c r="Y1590">
        <v>0.60015090000000004</v>
      </c>
      <c r="Z1590">
        <v>-1.045073E-2</v>
      </c>
      <c r="AA1590">
        <v>0.79981859999999905</v>
      </c>
      <c r="AB1590">
        <v>22</v>
      </c>
      <c r="AC1590">
        <v>35.831999999999901</v>
      </c>
      <c r="AD1590">
        <v>-1.164086</v>
      </c>
      <c r="AE1590">
        <v>-141.40169999999901</v>
      </c>
      <c r="AF1590">
        <v>87.615745336554696</v>
      </c>
      <c r="AG1590">
        <v>-1.164086</v>
      </c>
      <c r="AH1590">
        <v>116.61536872321599</v>
      </c>
      <c r="AI1590">
        <v>90.457253382248695</v>
      </c>
      <c r="AJ1590">
        <v>53.081639563095699</v>
      </c>
      <c r="AK1590">
        <v>145.86643942164099</v>
      </c>
      <c r="AL1590">
        <v>80.5579838298613</v>
      </c>
      <c r="AM1590">
        <v>74.698533355634893</v>
      </c>
      <c r="AN1590">
        <v>1.0000000496160999</v>
      </c>
    </row>
    <row r="1591" spans="1:40" x14ac:dyDescent="0.25">
      <c r="A1591" t="str">
        <f>"20190303170250646"</f>
        <v>20190303170250646</v>
      </c>
      <c r="B1591" t="str">
        <f>"1551603770636862"</f>
        <v>1551603770636862</v>
      </c>
      <c r="C1591" t="s">
        <v>40</v>
      </c>
      <c r="D1591">
        <v>5.140898</v>
      </c>
      <c r="E1591">
        <v>0.65003310000000003</v>
      </c>
      <c r="F1591" t="s">
        <v>57</v>
      </c>
      <c r="G1591">
        <v>-179.6728</v>
      </c>
      <c r="H1591">
        <v>7.9980860000000001E-2</v>
      </c>
      <c r="I1591">
        <v>289.27999999999997</v>
      </c>
      <c r="J1591">
        <v>-198.7038</v>
      </c>
      <c r="K1591">
        <v>1.1140749999999999</v>
      </c>
      <c r="L1591">
        <v>361.47449999999998</v>
      </c>
      <c r="M1591">
        <v>0.77334459999999905</v>
      </c>
      <c r="N1591">
        <v>-1.509284E-2</v>
      </c>
      <c r="O1591">
        <v>-0.63380619999999999</v>
      </c>
      <c r="P1591">
        <v>0.57492010000000004</v>
      </c>
      <c r="Q1591">
        <v>0.1547395</v>
      </c>
      <c r="R1591">
        <v>-0.80344450000000001</v>
      </c>
      <c r="S1591">
        <v>0.83560179999999995</v>
      </c>
      <c r="T1591">
        <v>-4.5148130000000002E-2</v>
      </c>
      <c r="U1591">
        <v>-3.1562809999999999</v>
      </c>
      <c r="V1591">
        <v>0.26014389999999998</v>
      </c>
      <c r="W1591">
        <v>0.1642122</v>
      </c>
      <c r="X1591">
        <v>0.95150380000000001</v>
      </c>
      <c r="Y1591">
        <v>0.58530439999999995</v>
      </c>
      <c r="Z1591">
        <v>-8.0333990000000001E-3</v>
      </c>
      <c r="AA1591">
        <v>0.81077379999999999</v>
      </c>
      <c r="AB1591">
        <v>22</v>
      </c>
      <c r="AC1591">
        <v>19.030999999999999</v>
      </c>
      <c r="AD1591">
        <v>-1.0340941400000001</v>
      </c>
      <c r="AE1591">
        <v>-72.194500000000005</v>
      </c>
      <c r="AF1591">
        <v>43.765851797229999</v>
      </c>
      <c r="AG1591">
        <v>-1.0340941400000001</v>
      </c>
      <c r="AH1591">
        <v>60.470132475483403</v>
      </c>
      <c r="AI1591">
        <v>90.793681023782995</v>
      </c>
      <c r="AJ1591">
        <v>54.1044915499197</v>
      </c>
      <c r="AK1591">
        <v>74.653573630670905</v>
      </c>
      <c r="AL1591">
        <v>80.548527256697696</v>
      </c>
      <c r="AM1591">
        <v>74.708856756523701</v>
      </c>
      <c r="AN1591">
        <v>0.99999998837524495</v>
      </c>
    </row>
    <row r="1592" spans="1:40" x14ac:dyDescent="0.25">
      <c r="A1592" t="str">
        <f>"20190303170250662"</f>
        <v>20190303170250662</v>
      </c>
      <c r="B1592" t="str">
        <f>"1551603770647598"</f>
        <v>1551603770647598</v>
      </c>
      <c r="C1592" t="s">
        <v>40</v>
      </c>
      <c r="D1592">
        <v>5.1481490000000001</v>
      </c>
      <c r="E1592">
        <v>0.65003310000000003</v>
      </c>
      <c r="F1592" t="s">
        <v>57</v>
      </c>
      <c r="G1592">
        <v>-178.52709999999999</v>
      </c>
      <c r="H1592">
        <v>7.9981919999999998E-2</v>
      </c>
      <c r="I1592">
        <v>283.84879999999998</v>
      </c>
      <c r="J1592">
        <v>-198.59209999999999</v>
      </c>
      <c r="K1592">
        <v>1.114058</v>
      </c>
      <c r="L1592">
        <v>361.37060000000002</v>
      </c>
      <c r="M1592">
        <v>0.76783219999999996</v>
      </c>
      <c r="N1592">
        <v>-1.510008E-2</v>
      </c>
      <c r="O1592">
        <v>-0.64047330000000002</v>
      </c>
      <c r="P1592">
        <v>0.56827519999999998</v>
      </c>
      <c r="Q1592">
        <v>0.1545483</v>
      </c>
      <c r="R1592">
        <v>-0.80819449999999904</v>
      </c>
      <c r="S1592">
        <v>0.82011409999999996</v>
      </c>
      <c r="T1592">
        <v>-4.2032239999999998E-2</v>
      </c>
      <c r="U1592">
        <v>-3.1552120000000001</v>
      </c>
      <c r="V1592">
        <v>0.25978770000000001</v>
      </c>
      <c r="W1592">
        <v>0.16402729999999999</v>
      </c>
      <c r="X1592">
        <v>0.95163299999999995</v>
      </c>
      <c r="Y1592">
        <v>0.58194889999999999</v>
      </c>
      <c r="Z1592">
        <v>-8.3143519999999901E-3</v>
      </c>
      <c r="AA1592">
        <v>0.81318290000000004</v>
      </c>
      <c r="AB1592">
        <v>22</v>
      </c>
      <c r="AC1592">
        <v>20.065000000000001</v>
      </c>
      <c r="AD1592">
        <v>-1.03407608</v>
      </c>
      <c r="AE1592">
        <v>-77.521799999999999</v>
      </c>
      <c r="AF1592">
        <v>46.6701684545747</v>
      </c>
      <c r="AG1592">
        <v>-1.03407608</v>
      </c>
      <c r="AH1592">
        <v>65.053754579001307</v>
      </c>
      <c r="AI1592">
        <v>90.7399778559911</v>
      </c>
      <c r="AJ1592">
        <v>54.343991219962497</v>
      </c>
      <c r="AK1592">
        <v>80.069750353941799</v>
      </c>
      <c r="AL1592">
        <v>80.559266843261597</v>
      </c>
      <c r="AM1592">
        <v>74.730792354130699</v>
      </c>
      <c r="AN1592">
        <v>0.99999998545278901</v>
      </c>
    </row>
    <row r="1593" spans="1:40" x14ac:dyDescent="0.25">
      <c r="A1593" t="str">
        <f>"20190303170250673"</f>
        <v>20190303170250673</v>
      </c>
      <c r="B1593" t="str">
        <f>"1551603770667118"</f>
        <v>1551603770667118</v>
      </c>
      <c r="C1593" t="s">
        <v>40</v>
      </c>
      <c r="D1593">
        <v>5.034497</v>
      </c>
      <c r="E1593">
        <v>0.67361009999999999</v>
      </c>
      <c r="F1593" t="s">
        <v>57</v>
      </c>
      <c r="G1593">
        <v>-179.51150000000001</v>
      </c>
      <c r="H1593">
        <v>7.9980549999999997E-2</v>
      </c>
      <c r="I1593">
        <v>285.41059999999999</v>
      </c>
      <c r="J1593">
        <v>-198.49629999999999</v>
      </c>
      <c r="K1593">
        <v>1.114045</v>
      </c>
      <c r="L1593">
        <v>361.28019999999998</v>
      </c>
      <c r="M1593">
        <v>0.76301399999999997</v>
      </c>
      <c r="N1593">
        <v>-1.510647E-2</v>
      </c>
      <c r="O1593">
        <v>-0.64620549999999999</v>
      </c>
      <c r="P1593">
        <v>0.56250880000000003</v>
      </c>
      <c r="Q1593">
        <v>0.15440519999999999</v>
      </c>
      <c r="R1593">
        <v>-0.81224569999999996</v>
      </c>
      <c r="S1593">
        <v>0.79420469999999999</v>
      </c>
      <c r="T1593">
        <v>-4.3042179999999999E-2</v>
      </c>
      <c r="U1593">
        <v>-3.161743</v>
      </c>
      <c r="V1593">
        <v>0.25945629999999997</v>
      </c>
      <c r="W1593">
        <v>0.16388989999999901</v>
      </c>
      <c r="X1593">
        <v>0.95174709999999996</v>
      </c>
      <c r="Y1593">
        <v>0.58252099999999996</v>
      </c>
      <c r="Z1593">
        <v>-8.1733340000000008E-3</v>
      </c>
      <c r="AA1593">
        <v>0.81277460000000001</v>
      </c>
      <c r="AB1593">
        <v>22</v>
      </c>
      <c r="AC1593">
        <v>18.9847999999999</v>
      </c>
      <c r="AD1593">
        <v>-1.03406445</v>
      </c>
      <c r="AE1593">
        <v>-75.869599999999906</v>
      </c>
      <c r="AF1593">
        <v>45.618713605955598</v>
      </c>
      <c r="AG1593">
        <v>-1.03406445</v>
      </c>
      <c r="AH1593">
        <v>63.509163009943798</v>
      </c>
      <c r="AI1593">
        <v>90.757643902715898</v>
      </c>
      <c r="AJ1593">
        <v>54.310264111982796</v>
      </c>
      <c r="AK1593">
        <v>78.201982753460697</v>
      </c>
      <c r="AL1593">
        <v>80.5672474827211</v>
      </c>
      <c r="AM1593">
        <v>74.7511062269907</v>
      </c>
      <c r="AN1593">
        <v>1.0000000066450501</v>
      </c>
    </row>
    <row r="1594" spans="1:40" x14ac:dyDescent="0.25">
      <c r="A1594" t="str">
        <f>"20190303170250685"</f>
        <v>20190303170250685</v>
      </c>
      <c r="B1594" t="str">
        <f>"1551603770676878"</f>
        <v>1551603770676878</v>
      </c>
      <c r="C1594" t="s">
        <v>40</v>
      </c>
      <c r="D1594">
        <v>5.0757370000000002</v>
      </c>
      <c r="E1594">
        <v>0.67588870000000001</v>
      </c>
      <c r="F1594" t="s">
        <v>56</v>
      </c>
      <c r="G1594">
        <v>-168.41399999999999</v>
      </c>
      <c r="H1594">
        <v>2.9955050000000001</v>
      </c>
      <c r="I1594">
        <v>199.01</v>
      </c>
      <c r="J1594">
        <v>-198.41399999999999</v>
      </c>
      <c r="K1594">
        <v>1.1140330000000001</v>
      </c>
      <c r="L1594">
        <v>361.20069999999998</v>
      </c>
      <c r="M1594">
        <v>0.75877209999999995</v>
      </c>
      <c r="N1594">
        <v>-1.511235E-2</v>
      </c>
      <c r="O1594">
        <v>-0.65118100000000001</v>
      </c>
      <c r="P1594">
        <v>0.55770419999999998</v>
      </c>
      <c r="Q1594">
        <v>0.15449779999999999</v>
      </c>
      <c r="R1594">
        <v>-0.81553469999999995</v>
      </c>
      <c r="S1594">
        <v>0.60562130000000003</v>
      </c>
      <c r="T1594">
        <v>3.7878509999999997E-2</v>
      </c>
      <c r="U1594">
        <v>-3.2668460000000001</v>
      </c>
      <c r="V1594">
        <v>0.2588434</v>
      </c>
      <c r="W1594">
        <v>0.16399439999999901</v>
      </c>
      <c r="X1594">
        <v>0.95189599999999996</v>
      </c>
      <c r="Y1594">
        <v>0.62746619999999997</v>
      </c>
      <c r="Z1594">
        <v>-1.8258630000000001E-2</v>
      </c>
      <c r="AA1594">
        <v>0.7784297</v>
      </c>
      <c r="AB1594">
        <v>22</v>
      </c>
      <c r="AC1594">
        <v>30</v>
      </c>
      <c r="AD1594">
        <v>1.881472</v>
      </c>
      <c r="AE1594">
        <v>-162.19069999999999</v>
      </c>
      <c r="AF1594">
        <v>103.528692328506</v>
      </c>
      <c r="AG1594">
        <v>1.881472</v>
      </c>
      <c r="AH1594">
        <v>128.376612118574</v>
      </c>
      <c r="AI1594">
        <v>89.346377307417995</v>
      </c>
      <c r="AJ1594">
        <v>51.1157289913696</v>
      </c>
      <c r="AK1594">
        <v>164.93115112428001</v>
      </c>
      <c r="AL1594">
        <v>80.561178193203205</v>
      </c>
      <c r="AM1594">
        <v>74.787726077478993</v>
      </c>
      <c r="AN1594">
        <v>1.0000000318854501</v>
      </c>
    </row>
    <row r="1595" spans="1:40" x14ac:dyDescent="0.25">
      <c r="A1595" t="str">
        <f>"20190303170250698"</f>
        <v>20190303170250698</v>
      </c>
      <c r="B1595" t="str">
        <f>"1551603770687614"</f>
        <v>1551603770687614</v>
      </c>
      <c r="C1595" t="s">
        <v>40</v>
      </c>
      <c r="D1595">
        <v>5.0569030000000001</v>
      </c>
      <c r="E1595">
        <v>0.67765129999999996</v>
      </c>
      <c r="F1595" t="s">
        <v>56</v>
      </c>
      <c r="G1595">
        <v>-168.4177</v>
      </c>
      <c r="H1595">
        <v>3.7375820000000002</v>
      </c>
      <c r="I1595">
        <v>188.42099999999999</v>
      </c>
      <c r="J1595">
        <v>-198.32329999999999</v>
      </c>
      <c r="K1595">
        <v>1.1140219999999901</v>
      </c>
      <c r="L1595">
        <v>361.11259999999999</v>
      </c>
      <c r="M1595">
        <v>0.75403889999999996</v>
      </c>
      <c r="N1595">
        <v>-1.511883E-2</v>
      </c>
      <c r="O1595">
        <v>-0.65665609999999996</v>
      </c>
      <c r="P1595">
        <v>0.55288890000000002</v>
      </c>
      <c r="Q1595">
        <v>0.15458129999999901</v>
      </c>
      <c r="R1595">
        <v>-0.81879109999999999</v>
      </c>
      <c r="S1595">
        <v>0.56939700000000004</v>
      </c>
      <c r="T1595">
        <v>4.980159E-2</v>
      </c>
      <c r="U1595">
        <v>-3.2797550000000002</v>
      </c>
      <c r="V1595">
        <v>0.25755479999999997</v>
      </c>
      <c r="W1595">
        <v>0.16410539999999901</v>
      </c>
      <c r="X1595">
        <v>0.95222629999999997</v>
      </c>
      <c r="Y1595">
        <v>0.63072669999999997</v>
      </c>
      <c r="Z1595">
        <v>-1.9793649999999999E-2</v>
      </c>
      <c r="AA1595">
        <v>0.77575249999999996</v>
      </c>
      <c r="AB1595">
        <v>22</v>
      </c>
      <c r="AC1595">
        <v>29.9056</v>
      </c>
      <c r="AD1595">
        <v>2.6235599999999999</v>
      </c>
      <c r="AE1595">
        <v>-172.69159999999999</v>
      </c>
      <c r="AF1595">
        <v>110.566327350253</v>
      </c>
      <c r="AG1595">
        <v>2.6235599999999999</v>
      </c>
      <c r="AH1595">
        <v>135.93402579847901</v>
      </c>
      <c r="AI1595">
        <v>89.142190259100204</v>
      </c>
      <c r="AJ1595">
        <v>50.875704886042001</v>
      </c>
      <c r="AK1595">
        <v>175.242275665943</v>
      </c>
      <c r="AL1595">
        <v>80.554730634295396</v>
      </c>
      <c r="AM1595">
        <v>74.864983598816295</v>
      </c>
      <c r="AN1595">
        <v>0.99999999186194499</v>
      </c>
    </row>
    <row r="1596" spans="1:40" x14ac:dyDescent="0.25">
      <c r="A1596" t="str">
        <f>"20190303170250710"</f>
        <v>20190303170250710</v>
      </c>
      <c r="B1596" t="str">
        <f>"1551603770697374"</f>
        <v>1551603770697374</v>
      </c>
      <c r="C1596" t="s">
        <v>40</v>
      </c>
      <c r="D1596">
        <v>5.0600699999999996</v>
      </c>
      <c r="E1596">
        <v>0.67820659999999999</v>
      </c>
      <c r="F1596" t="s">
        <v>56</v>
      </c>
      <c r="G1596">
        <v>-168.4213</v>
      </c>
      <c r="H1596">
        <v>4.2531619999999997</v>
      </c>
      <c r="I1596">
        <v>178.02090000000001</v>
      </c>
      <c r="J1596">
        <v>-198.2347</v>
      </c>
      <c r="K1596">
        <v>1.114012</v>
      </c>
      <c r="L1596">
        <v>361.0249</v>
      </c>
      <c r="M1596">
        <v>0.74930949999999996</v>
      </c>
      <c r="N1596">
        <v>-1.512544E-2</v>
      </c>
      <c r="O1596">
        <v>-0.66204739999999995</v>
      </c>
      <c r="P1596">
        <v>0.54810360000000002</v>
      </c>
      <c r="Q1596">
        <v>0.15466350000000001</v>
      </c>
      <c r="R1596">
        <v>-0.82198660000000001</v>
      </c>
      <c r="S1596">
        <v>0.53738399999999997</v>
      </c>
      <c r="T1596">
        <v>5.6416029999999999E-2</v>
      </c>
      <c r="U1596">
        <v>-3.2904360000000001</v>
      </c>
      <c r="V1596">
        <v>0.25627179999999999</v>
      </c>
      <c r="W1596">
        <v>0.164214</v>
      </c>
      <c r="X1596">
        <v>0.95255369999999995</v>
      </c>
      <c r="Y1596">
        <v>0.63293429999999995</v>
      </c>
      <c r="Z1596">
        <v>-2.0735099999999999E-2</v>
      </c>
      <c r="AA1596">
        <v>0.77392780000000005</v>
      </c>
      <c r="AB1596">
        <v>22</v>
      </c>
      <c r="AC1596">
        <v>29.813400000000001</v>
      </c>
      <c r="AD1596">
        <v>3.1391499999999999</v>
      </c>
      <c r="AE1596">
        <v>-183.00399999999999</v>
      </c>
      <c r="AF1596">
        <v>117.368524770511</v>
      </c>
      <c r="AG1596">
        <v>3.1391499999999999</v>
      </c>
      <c r="AH1596">
        <v>143.47206060330799</v>
      </c>
      <c r="AI1596">
        <v>89.029782462832301</v>
      </c>
      <c r="AJ1596">
        <v>50.714829094395398</v>
      </c>
      <c r="AK1596">
        <v>185.39001333213099</v>
      </c>
      <c r="AL1596">
        <v>80.548422933454503</v>
      </c>
      <c r="AM1596">
        <v>74.941886013340707</v>
      </c>
      <c r="AN1596">
        <v>1.0000000123274599</v>
      </c>
    </row>
    <row r="1597" spans="1:40" x14ac:dyDescent="0.25">
      <c r="A1597" t="str">
        <f>"20190303170250727"</f>
        <v>20190303170250727</v>
      </c>
      <c r="B1597" t="str">
        <f>"1551603770716893"</f>
        <v>1551603770716893</v>
      </c>
      <c r="C1597" t="s">
        <v>40</v>
      </c>
      <c r="D1597">
        <v>5.0575539999999997</v>
      </c>
      <c r="E1597">
        <v>0.6784751</v>
      </c>
      <c r="F1597" t="s">
        <v>56</v>
      </c>
      <c r="G1597">
        <v>-169.1918</v>
      </c>
      <c r="H1597">
        <v>4.5459040000000002</v>
      </c>
      <c r="I1597">
        <v>174.71180000000001</v>
      </c>
      <c r="J1597">
        <v>-198.1104</v>
      </c>
      <c r="K1597">
        <v>1.1139939999999999</v>
      </c>
      <c r="L1597">
        <v>360.8997</v>
      </c>
      <c r="M1597">
        <v>0.74252130000000005</v>
      </c>
      <c r="N1597">
        <v>-1.5134740000000001E-2</v>
      </c>
      <c r="O1597">
        <v>-0.66965160000000001</v>
      </c>
      <c r="P1597">
        <v>0.54105530000000002</v>
      </c>
      <c r="Q1597">
        <v>0.15518560000000001</v>
      </c>
      <c r="R1597">
        <v>-0.82654519999999998</v>
      </c>
      <c r="S1597">
        <v>0.51374819999999999</v>
      </c>
      <c r="T1597">
        <v>6.0708280000000003E-2</v>
      </c>
      <c r="U1597">
        <v>-3.2957459999999998</v>
      </c>
      <c r="V1597">
        <v>0.25464759999999997</v>
      </c>
      <c r="W1597">
        <v>0.16476859999999999</v>
      </c>
      <c r="X1597">
        <v>0.9528934</v>
      </c>
      <c r="Y1597">
        <v>0.63065769999999899</v>
      </c>
      <c r="Z1597">
        <v>-2.151281E-2</v>
      </c>
      <c r="AA1597">
        <v>0.77576290000000003</v>
      </c>
      <c r="AB1597">
        <v>22</v>
      </c>
      <c r="AC1597">
        <v>28.918600000000001</v>
      </c>
      <c r="AD1597">
        <v>3.4319099999999998</v>
      </c>
      <c r="AE1597">
        <v>-186.18790000000001</v>
      </c>
      <c r="AF1597">
        <v>118.857269159536</v>
      </c>
      <c r="AG1597">
        <v>3.4319099999999998</v>
      </c>
      <c r="AH1597">
        <v>146.12195182392301</v>
      </c>
      <c r="AI1597">
        <v>88.956177212089202</v>
      </c>
      <c r="AJ1597">
        <v>50.874698817588197</v>
      </c>
      <c r="AK1597">
        <v>188.38910064848099</v>
      </c>
      <c r="AL1597">
        <v>80.516207393680602</v>
      </c>
      <c r="AM1597">
        <v>75.038122347622107</v>
      </c>
      <c r="AN1597">
        <v>0.99999996174763905</v>
      </c>
    </row>
    <row r="1598" spans="1:40" x14ac:dyDescent="0.25">
      <c r="A1598" t="str">
        <f>"20190303170250740"</f>
        <v>20190303170250740</v>
      </c>
      <c r="B1598" t="str">
        <f>"1551603770727630"</f>
        <v>1551603770727630</v>
      </c>
      <c r="C1598" t="s">
        <v>40</v>
      </c>
      <c r="D1598">
        <v>5.0489769999999998</v>
      </c>
      <c r="E1598">
        <v>0.67828719999999998</v>
      </c>
      <c r="F1598" t="s">
        <v>58</v>
      </c>
      <c r="G1598">
        <v>-163.22020000000001</v>
      </c>
      <c r="H1598">
        <v>5.7361180000000003</v>
      </c>
      <c r="I1598">
        <v>122.69750000000001</v>
      </c>
      <c r="J1598">
        <v>-198.0224</v>
      </c>
      <c r="K1598">
        <v>1.1139730000000001</v>
      </c>
      <c r="L1598">
        <v>360.80959999999999</v>
      </c>
      <c r="M1598">
        <v>0.73761069999999995</v>
      </c>
      <c r="N1598">
        <v>-1.5141299999999899E-2</v>
      </c>
      <c r="O1598">
        <v>-0.67505680000000001</v>
      </c>
      <c r="P1598">
        <v>0.53524090000000002</v>
      </c>
      <c r="Q1598">
        <v>0.1552644</v>
      </c>
      <c r="R1598">
        <v>-0.83030740000000003</v>
      </c>
      <c r="S1598">
        <v>0.48352050000000002</v>
      </c>
      <c r="T1598">
        <v>6.4055319999999999E-2</v>
      </c>
      <c r="U1598">
        <v>-3.3010860000000002</v>
      </c>
      <c r="V1598">
        <v>0.25437179999999998</v>
      </c>
      <c r="W1598">
        <v>0.16485139999999901</v>
      </c>
      <c r="X1598">
        <v>0.95295280000000004</v>
      </c>
      <c r="Y1598">
        <v>0.63213059999999999</v>
      </c>
      <c r="Z1598">
        <v>-2.2113580000000001E-2</v>
      </c>
      <c r="AA1598">
        <v>0.77454630000000002</v>
      </c>
      <c r="AB1598">
        <v>22</v>
      </c>
      <c r="AC1598">
        <v>34.802199999999999</v>
      </c>
      <c r="AD1598">
        <v>4.6221449999999997</v>
      </c>
      <c r="AE1598">
        <v>-238.1121</v>
      </c>
      <c r="AF1598">
        <v>152.101861748267</v>
      </c>
      <c r="AG1598">
        <v>4.6221449999999997</v>
      </c>
      <c r="AH1598">
        <v>186.36223901118399</v>
      </c>
      <c r="AI1598">
        <v>88.899217412566699</v>
      </c>
      <c r="AJ1598">
        <v>50.779967940716602</v>
      </c>
      <c r="AK1598">
        <v>240.59764068035199</v>
      </c>
      <c r="AL1598">
        <v>80.511398067132703</v>
      </c>
      <c r="AM1598">
        <v>75.054491419464199</v>
      </c>
      <c r="AN1598">
        <v>1.0000000178725199</v>
      </c>
    </row>
    <row r="1599" spans="1:40" x14ac:dyDescent="0.25">
      <c r="A1599" t="str">
        <f>"20190303170250753"</f>
        <v>20190303170250753</v>
      </c>
      <c r="B1599" t="str">
        <f>"1551603770748126"</f>
        <v>1551603770748126</v>
      </c>
      <c r="C1599" t="s">
        <v>40</v>
      </c>
      <c r="D1599">
        <v>5.0431319999999999</v>
      </c>
      <c r="E1599">
        <v>0.67774540000000005</v>
      </c>
      <c r="F1599" t="s">
        <v>58</v>
      </c>
      <c r="G1599">
        <v>-164.5104</v>
      </c>
      <c r="H1599">
        <v>5.7113820000000004</v>
      </c>
      <c r="I1599">
        <v>121.16800000000001</v>
      </c>
      <c r="J1599">
        <v>-197.93350000000001</v>
      </c>
      <c r="K1599">
        <v>1.1139570000000001</v>
      </c>
      <c r="L1599">
        <v>360.71719999999999</v>
      </c>
      <c r="M1599">
        <v>0.73255689999999996</v>
      </c>
      <c r="N1599">
        <v>-1.5147890000000001E-2</v>
      </c>
      <c r="O1599">
        <v>-0.68053750000000002</v>
      </c>
      <c r="P1599">
        <v>0.5293736</v>
      </c>
      <c r="Q1599">
        <v>0.1549152</v>
      </c>
      <c r="R1599">
        <v>-0.83412559999999902</v>
      </c>
      <c r="S1599">
        <v>0.46195979999999998</v>
      </c>
      <c r="T1599">
        <v>6.3374639999999996E-2</v>
      </c>
      <c r="U1599">
        <v>-3.303436</v>
      </c>
      <c r="V1599">
        <v>0.25403150000000002</v>
      </c>
      <c r="W1599">
        <v>0.16450799999999999</v>
      </c>
      <c r="X1599">
        <v>0.95310289999999998</v>
      </c>
      <c r="Y1599">
        <v>0.63138459999999996</v>
      </c>
      <c r="Z1599">
        <v>-2.2233010000000001E-2</v>
      </c>
      <c r="AA1599">
        <v>0.77515109999999998</v>
      </c>
      <c r="AB1599">
        <v>22</v>
      </c>
      <c r="AC1599">
        <v>33.423099999999998</v>
      </c>
      <c r="AD1599">
        <v>4.5974250000000003</v>
      </c>
      <c r="AE1599">
        <v>-239.54920000000001</v>
      </c>
      <c r="AF1599">
        <v>152.70007513692599</v>
      </c>
      <c r="AG1599">
        <v>4.5974250000000003</v>
      </c>
      <c r="AH1599">
        <v>187.46028953545201</v>
      </c>
      <c r="AI1599">
        <v>88.910667462607705</v>
      </c>
      <c r="AJ1599">
        <v>50.834672512495402</v>
      </c>
      <c r="AK1599">
        <v>241.825989951802</v>
      </c>
      <c r="AL1599">
        <v>80.531345721088996</v>
      </c>
      <c r="AM1599">
        <v>75.075838398393998</v>
      </c>
      <c r="AN1599">
        <v>1.00000001152233</v>
      </c>
    </row>
    <row r="1600" spans="1:40" x14ac:dyDescent="0.25">
      <c r="A1600" t="str">
        <f>"20190303170250765"</f>
        <v>20190303170250765</v>
      </c>
      <c r="B1600" t="str">
        <f>"1551603770756909"</f>
        <v>1551603770756909</v>
      </c>
      <c r="C1600" t="s">
        <v>40</v>
      </c>
      <c r="D1600">
        <v>5.0636510000000001</v>
      </c>
      <c r="E1600">
        <v>0.67728789999999905</v>
      </c>
      <c r="F1600" t="s">
        <v>58</v>
      </c>
      <c r="G1600">
        <v>-165.6797</v>
      </c>
      <c r="H1600">
        <v>5.5963699999999896</v>
      </c>
      <c r="I1600">
        <v>119.7818</v>
      </c>
      <c r="J1600">
        <v>-197.84559999999999</v>
      </c>
      <c r="K1600">
        <v>1.1139429999999999</v>
      </c>
      <c r="L1600">
        <v>360.62400000000002</v>
      </c>
      <c r="M1600">
        <v>0.72743760000000002</v>
      </c>
      <c r="N1600">
        <v>-1.5154610000000001E-2</v>
      </c>
      <c r="O1600">
        <v>-0.68600660000000002</v>
      </c>
      <c r="P1600">
        <v>0.52314709999999998</v>
      </c>
      <c r="Q1600">
        <v>0.154889</v>
      </c>
      <c r="R1600">
        <v>-0.83804940000000006</v>
      </c>
      <c r="S1600">
        <v>0.44236760000000003</v>
      </c>
      <c r="T1600">
        <v>6.1477179999999999E-2</v>
      </c>
      <c r="U1600">
        <v>-3.3044739999999999</v>
      </c>
      <c r="V1600">
        <v>0.25399709999999998</v>
      </c>
      <c r="W1600">
        <v>0.1644803</v>
      </c>
      <c r="X1600">
        <v>0.95311679999999999</v>
      </c>
      <c r="Y1600">
        <v>0.6301156</v>
      </c>
      <c r="Z1600">
        <v>-2.219631E-2</v>
      </c>
      <c r="AA1600">
        <v>0.77618409999999904</v>
      </c>
      <c r="AB1600">
        <v>22</v>
      </c>
      <c r="AC1600">
        <v>32.165899999999901</v>
      </c>
      <c r="AD1600">
        <v>4.4824270000000004</v>
      </c>
      <c r="AE1600">
        <v>-240.84219999999999</v>
      </c>
      <c r="AF1600">
        <v>153.097124348498</v>
      </c>
      <c r="AG1600">
        <v>4.4824270000000004</v>
      </c>
      <c r="AH1600">
        <v>188.57549453737701</v>
      </c>
      <c r="AI1600">
        <v>88.942786752132307</v>
      </c>
      <c r="AJ1600">
        <v>50.928194990545201</v>
      </c>
      <c r="AK1600">
        <v>242.939372633598</v>
      </c>
      <c r="AL1600">
        <v>80.532954289152002</v>
      </c>
      <c r="AM1600">
        <v>75.077977124160796</v>
      </c>
      <c r="AN1600">
        <v>0.99999996516936895</v>
      </c>
    </row>
    <row r="1601" spans="1:40" x14ac:dyDescent="0.25">
      <c r="A1601" t="str">
        <f>"20190303170250777"</f>
        <v>20190303170250777</v>
      </c>
      <c r="B1601" t="str">
        <f>"1551603770766670"</f>
        <v>1551603770766670</v>
      </c>
      <c r="C1601" t="s">
        <v>40</v>
      </c>
      <c r="D1601">
        <v>5.065067</v>
      </c>
      <c r="E1601">
        <v>0.67684609999999901</v>
      </c>
      <c r="F1601" t="s">
        <v>58</v>
      </c>
      <c r="G1601">
        <v>-166.9879</v>
      </c>
      <c r="H1601">
        <v>5.6069839999999997</v>
      </c>
      <c r="I1601">
        <v>118.23090000000001</v>
      </c>
      <c r="J1601">
        <v>-197.767</v>
      </c>
      <c r="K1601">
        <v>1.113931</v>
      </c>
      <c r="L1601">
        <v>360.54</v>
      </c>
      <c r="M1601">
        <v>0.72279979999999999</v>
      </c>
      <c r="N1601">
        <v>-1.516055E-2</v>
      </c>
      <c r="O1601">
        <v>-0.69089140000000004</v>
      </c>
      <c r="P1601">
        <v>0.51769009999999904</v>
      </c>
      <c r="Q1601">
        <v>0.15450139999999901</v>
      </c>
      <c r="R1601">
        <v>-0.84150290000000005</v>
      </c>
      <c r="S1601">
        <v>0.42083739999999997</v>
      </c>
      <c r="T1601">
        <v>6.1276320000000002E-2</v>
      </c>
      <c r="U1601">
        <v>-3.3057560000000001</v>
      </c>
      <c r="V1601">
        <v>0.25381880000000001</v>
      </c>
      <c r="W1601">
        <v>0.1640964</v>
      </c>
      <c r="X1601">
        <v>0.95323049999999998</v>
      </c>
      <c r="Y1601">
        <v>0.62989459999999997</v>
      </c>
      <c r="Z1601">
        <v>-2.2349259999999999E-2</v>
      </c>
      <c r="AA1601">
        <v>0.77635900000000002</v>
      </c>
      <c r="AB1601">
        <v>22</v>
      </c>
      <c r="AC1601">
        <v>30.7791</v>
      </c>
      <c r="AD1601">
        <v>4.4930529999999997</v>
      </c>
      <c r="AE1601">
        <v>-242.3091</v>
      </c>
      <c r="AF1601">
        <v>153.84156016083</v>
      </c>
      <c r="AG1601">
        <v>4.4930529999999997</v>
      </c>
      <c r="AH1601">
        <v>189.614009871929</v>
      </c>
      <c r="AI1601">
        <v>88.945815480355705</v>
      </c>
      <c r="AJ1601">
        <v>50.946174516923399</v>
      </c>
      <c r="AK1601">
        <v>244.214835539717</v>
      </c>
      <c r="AL1601">
        <v>80.555253450277704</v>
      </c>
      <c r="AM1601">
        <v>75.089684677835294</v>
      </c>
      <c r="AN1601">
        <v>0.99999999892832503</v>
      </c>
    </row>
    <row r="1602" spans="1:40" x14ac:dyDescent="0.25">
      <c r="A1602" t="str">
        <f>"20190303170250789"</f>
        <v>20190303170250789</v>
      </c>
      <c r="B1602" t="str">
        <f>"1551603770777407"</f>
        <v>1551603770777407</v>
      </c>
      <c r="C1602" t="s">
        <v>40</v>
      </c>
      <c r="D1602">
        <v>5.0477100000000004</v>
      </c>
      <c r="E1602">
        <v>0.67630409999999996</v>
      </c>
      <c r="F1602" t="s">
        <v>58</v>
      </c>
      <c r="G1602">
        <v>-168.13849999999999</v>
      </c>
      <c r="H1602">
        <v>5.572012</v>
      </c>
      <c r="I1602">
        <v>116.8668</v>
      </c>
      <c r="J1602">
        <v>-197.6831</v>
      </c>
      <c r="K1602">
        <v>1.1139220000000001</v>
      </c>
      <c r="L1602">
        <v>360.44850000000002</v>
      </c>
      <c r="M1602">
        <v>0.71773669999999901</v>
      </c>
      <c r="N1602">
        <v>-1.5166999999999899E-2</v>
      </c>
      <c r="O1602">
        <v>-0.69614929999999997</v>
      </c>
      <c r="P1602">
        <v>0.51171429999999996</v>
      </c>
      <c r="Q1602">
        <v>0.15420590000000001</v>
      </c>
      <c r="R1602">
        <v>-0.84520390000000001</v>
      </c>
      <c r="S1602">
        <v>0.40205380000000002</v>
      </c>
      <c r="T1602">
        <v>6.0495849999999997E-2</v>
      </c>
      <c r="U1602">
        <v>-3.30661</v>
      </c>
      <c r="V1602">
        <v>0.2536524</v>
      </c>
      <c r="W1602">
        <v>0.16380339999999999</v>
      </c>
      <c r="X1602">
        <v>0.95332519999999998</v>
      </c>
      <c r="Y1602">
        <v>0.62859080000000001</v>
      </c>
      <c r="Z1602">
        <v>-2.2439790000000001E-2</v>
      </c>
      <c r="AA1602">
        <v>0.77741249999999995</v>
      </c>
      <c r="AB1602">
        <v>22</v>
      </c>
      <c r="AC1602">
        <v>29.544599999999999</v>
      </c>
      <c r="AD1602">
        <v>4.4580900000000003</v>
      </c>
      <c r="AE1602">
        <v>-243.58170000000001</v>
      </c>
      <c r="AF1602">
        <v>154.226917247579</v>
      </c>
      <c r="AG1602">
        <v>4.4580900000000003</v>
      </c>
      <c r="AH1602">
        <v>190.733469798817</v>
      </c>
      <c r="AI1602">
        <v>88.958759688483397</v>
      </c>
      <c r="AJ1602">
        <v>51.0410263910833</v>
      </c>
      <c r="AK1602">
        <v>245.32646223274801</v>
      </c>
      <c r="AL1602">
        <v>80.572271546025604</v>
      </c>
      <c r="AM1602">
        <v>75.100439065823593</v>
      </c>
      <c r="AN1602">
        <v>1.0000000154161699</v>
      </c>
    </row>
    <row r="1603" spans="1:40" x14ac:dyDescent="0.25">
      <c r="A1603" t="str">
        <f>"20190303170250806"</f>
        <v>20190303170250806</v>
      </c>
      <c r="B1603" t="str">
        <f>"1551603770796927"</f>
        <v>1551603770796927</v>
      </c>
      <c r="C1603" t="s">
        <v>40</v>
      </c>
      <c r="D1603">
        <v>5.0499320000000001</v>
      </c>
      <c r="E1603">
        <v>0.67579730000000005</v>
      </c>
      <c r="F1603" t="s">
        <v>58</v>
      </c>
      <c r="G1603">
        <v>-169.40520000000001</v>
      </c>
      <c r="H1603">
        <v>5.5977829999999997</v>
      </c>
      <c r="I1603">
        <v>115.3652</v>
      </c>
      <c r="J1603">
        <v>-197.56819999999999</v>
      </c>
      <c r="K1603">
        <v>1.1139129999999999</v>
      </c>
      <c r="L1603">
        <v>360.3211</v>
      </c>
      <c r="M1603">
        <v>0.71064850000000002</v>
      </c>
      <c r="N1603">
        <v>-1.517583E-2</v>
      </c>
      <c r="O1603">
        <v>-0.70338369999999995</v>
      </c>
      <c r="P1603">
        <v>0.50427650000000002</v>
      </c>
      <c r="Q1603">
        <v>0.1545077</v>
      </c>
      <c r="R1603">
        <v>-0.84960759999999902</v>
      </c>
      <c r="S1603">
        <v>0.38160709999999998</v>
      </c>
      <c r="T1603">
        <v>6.0509319999999998E-2</v>
      </c>
      <c r="U1603">
        <v>-3.3073730000000001</v>
      </c>
      <c r="V1603">
        <v>0.25233319999999998</v>
      </c>
      <c r="W1603">
        <v>0.1641341</v>
      </c>
      <c r="X1603">
        <v>0.95361830000000003</v>
      </c>
      <c r="Y1603">
        <v>0.62546880000000005</v>
      </c>
      <c r="Z1603">
        <v>-2.2707479999999999E-2</v>
      </c>
      <c r="AA1603">
        <v>0.77991869999999996</v>
      </c>
      <c r="AB1603">
        <v>22</v>
      </c>
      <c r="AC1603">
        <v>28.162999999999901</v>
      </c>
      <c r="AD1603">
        <v>4.4838699999999996</v>
      </c>
      <c r="AE1603">
        <v>-244.95590000000001</v>
      </c>
      <c r="AF1603">
        <v>154.23489318362701</v>
      </c>
      <c r="AG1603">
        <v>4.4838699999999996</v>
      </c>
      <c r="AH1603">
        <v>192.27052554989899</v>
      </c>
      <c r="AI1603">
        <v>88.9578460385341</v>
      </c>
      <c r="AJ1603">
        <v>51.264233985991098</v>
      </c>
      <c r="AK1603">
        <v>246.52882663245799</v>
      </c>
      <c r="AL1603">
        <v>80.553063284074796</v>
      </c>
      <c r="AM1603">
        <v>75.178863988258598</v>
      </c>
      <c r="AN1603">
        <v>0.99999995434996902</v>
      </c>
    </row>
    <row r="1604" spans="1:40" x14ac:dyDescent="0.25">
      <c r="A1604" t="str">
        <f>"20190303170250822"</f>
        <v>20190303170250822</v>
      </c>
      <c r="B1604" t="str">
        <f>"1551603770817422"</f>
        <v>1551603770817422</v>
      </c>
      <c r="C1604" t="s">
        <v>40</v>
      </c>
      <c r="D1604">
        <v>5.0375920000000001</v>
      </c>
      <c r="E1604">
        <v>0.66442449999999997</v>
      </c>
      <c r="F1604" t="s">
        <v>58</v>
      </c>
      <c r="G1604">
        <v>-171.0675</v>
      </c>
      <c r="H1604">
        <v>5.8646430000000001</v>
      </c>
      <c r="I1604">
        <v>113.3946</v>
      </c>
      <c r="J1604">
        <v>-197.46639999999999</v>
      </c>
      <c r="K1604">
        <v>1.113901</v>
      </c>
      <c r="L1604">
        <v>360.20600000000002</v>
      </c>
      <c r="M1604">
        <v>0.70421140000000004</v>
      </c>
      <c r="N1604">
        <v>-1.518359E-2</v>
      </c>
      <c r="O1604">
        <v>-0.70982800000000001</v>
      </c>
      <c r="P1604">
        <v>0.49680849999999999</v>
      </c>
      <c r="Q1604">
        <v>0.1549595</v>
      </c>
      <c r="R1604">
        <v>-0.8539139</v>
      </c>
      <c r="S1604">
        <v>0.35510249999999999</v>
      </c>
      <c r="T1604">
        <v>6.365788E-2</v>
      </c>
      <c r="U1604">
        <v>-3.3087460000000002</v>
      </c>
      <c r="V1604">
        <v>0.25196210000000002</v>
      </c>
      <c r="W1604">
        <v>0.16459309999999999</v>
      </c>
      <c r="X1604">
        <v>0.95363739999999997</v>
      </c>
      <c r="Y1604">
        <v>0.62457369999999901</v>
      </c>
      <c r="Z1604">
        <v>-2.3379400000000002E-2</v>
      </c>
      <c r="AA1604">
        <v>0.78061579999999997</v>
      </c>
      <c r="AB1604">
        <v>22</v>
      </c>
      <c r="AC1604">
        <v>26.398900000000001</v>
      </c>
      <c r="AD1604">
        <v>4.7507419999999998</v>
      </c>
      <c r="AE1604">
        <v>-246.81139999999999</v>
      </c>
      <c r="AF1604">
        <v>155.02980961524199</v>
      </c>
      <c r="AG1604">
        <v>4.7507419999999998</v>
      </c>
      <c r="AH1604">
        <v>193.73541987249101</v>
      </c>
      <c r="AI1604">
        <v>88.903131125008898</v>
      </c>
      <c r="AJ1604">
        <v>51.3327135409031</v>
      </c>
      <c r="AK1604">
        <v>248.173778494142</v>
      </c>
      <c r="AL1604">
        <v>80.526402734977097</v>
      </c>
      <c r="AM1604">
        <v>75.199987053171796</v>
      </c>
      <c r="AN1604">
        <v>1.0000000395413799</v>
      </c>
    </row>
    <row r="1605" spans="1:40" x14ac:dyDescent="0.25">
      <c r="A1605" t="str">
        <f>"20190303170250840"</f>
        <v>20190303170250840</v>
      </c>
      <c r="B1605" t="str">
        <f>"1551603770827182"</f>
        <v>1551603770827182</v>
      </c>
      <c r="C1605" t="s">
        <v>40</v>
      </c>
      <c r="D1605">
        <v>5.0738209999999997</v>
      </c>
      <c r="E1605">
        <v>0.66365810000000003</v>
      </c>
      <c r="F1605" t="s">
        <v>59</v>
      </c>
      <c r="G1605">
        <v>-166.07929999999999</v>
      </c>
      <c r="H1605">
        <v>4.1548559999999997</v>
      </c>
      <c r="I1605">
        <v>108.5365</v>
      </c>
      <c r="J1605">
        <v>-197.339</v>
      </c>
      <c r="K1605">
        <v>1.113891</v>
      </c>
      <c r="L1605">
        <v>360.05889999999999</v>
      </c>
      <c r="M1605">
        <v>0.69594679999999998</v>
      </c>
      <c r="N1605">
        <v>-1.519306E-2</v>
      </c>
      <c r="O1605">
        <v>-0.71793280000000004</v>
      </c>
      <c r="P1605">
        <v>0.4872804</v>
      </c>
      <c r="Q1605">
        <v>0.15632070000000001</v>
      </c>
      <c r="R1605">
        <v>-0.85914020000000002</v>
      </c>
      <c r="S1605">
        <v>0.4076843</v>
      </c>
      <c r="T1605">
        <v>3.9498930000000002E-2</v>
      </c>
      <c r="U1605">
        <v>-3.2689210000000002</v>
      </c>
      <c r="V1605">
        <v>0.25138840000000001</v>
      </c>
      <c r="W1605">
        <v>0.16596540000000001</v>
      </c>
      <c r="X1605">
        <v>0.95355089999999998</v>
      </c>
      <c r="Y1605">
        <v>0.60183929999999997</v>
      </c>
      <c r="Z1605">
        <v>-2.026184E-2</v>
      </c>
      <c r="AA1605">
        <v>0.79836019999999996</v>
      </c>
      <c r="AB1605">
        <v>22</v>
      </c>
      <c r="AC1605">
        <v>31.259699999999999</v>
      </c>
      <c r="AD1605">
        <v>3.0409649999999999</v>
      </c>
      <c r="AE1605">
        <v>-251.5224</v>
      </c>
      <c r="AF1605">
        <v>152.599472880147</v>
      </c>
      <c r="AG1605">
        <v>3.0409649999999999</v>
      </c>
      <c r="AH1605">
        <v>202.32547165162001</v>
      </c>
      <c r="AI1605">
        <v>89.312503271417199</v>
      </c>
      <c r="AJ1605">
        <v>52.975390300456297</v>
      </c>
      <c r="AK1605">
        <v>253.43922954128601</v>
      </c>
      <c r="AL1605">
        <v>80.446678709701899</v>
      </c>
      <c r="AM1605">
        <v>75.230930228443796</v>
      </c>
      <c r="AN1605">
        <v>0.99999998027126402</v>
      </c>
    </row>
    <row r="1606" spans="1:40" x14ac:dyDescent="0.25">
      <c r="A1606" t="str">
        <f>"20190303170250864"</f>
        <v>20190303170250864</v>
      </c>
      <c r="B1606" t="str">
        <f>"1551603770857438"</f>
        <v>1551603770857438</v>
      </c>
      <c r="C1606" t="s">
        <v>40</v>
      </c>
      <c r="D1606">
        <v>5.0615899999999998</v>
      </c>
      <c r="E1606">
        <v>0.66103889999999998</v>
      </c>
      <c r="F1606" t="s">
        <v>59</v>
      </c>
      <c r="G1606">
        <v>-168.0437</v>
      </c>
      <c r="H1606">
        <v>4.1684340000000004</v>
      </c>
      <c r="I1606">
        <v>106.5688</v>
      </c>
      <c r="J1606">
        <v>-197.18889999999999</v>
      </c>
      <c r="K1606">
        <v>1.1138859999999999</v>
      </c>
      <c r="L1606">
        <v>359.88069999999999</v>
      </c>
      <c r="M1606">
        <v>0.68588229999999994</v>
      </c>
      <c r="N1606">
        <v>-1.520346E-2</v>
      </c>
      <c r="O1606">
        <v>-0.72755369999999997</v>
      </c>
      <c r="P1606">
        <v>0.47579630000000001</v>
      </c>
      <c r="Q1606">
        <v>0.157436299999999</v>
      </c>
      <c r="R1606">
        <v>-0.86535059999999997</v>
      </c>
      <c r="S1606">
        <v>0.37794489999999997</v>
      </c>
      <c r="T1606">
        <v>3.9407369999999997E-2</v>
      </c>
      <c r="U1606">
        <v>-3.2703250000000001</v>
      </c>
      <c r="V1606">
        <v>0.25069520000000001</v>
      </c>
      <c r="W1606">
        <v>0.16709760000000001</v>
      </c>
      <c r="X1606">
        <v>0.95353569999999999</v>
      </c>
      <c r="Y1606">
        <v>0.59791019999999995</v>
      </c>
      <c r="Z1606">
        <v>-2.050654E-2</v>
      </c>
      <c r="AA1606">
        <v>0.80130080000000004</v>
      </c>
      <c r="AB1606">
        <v>22</v>
      </c>
      <c r="AC1606">
        <v>29.1451999999999</v>
      </c>
      <c r="AD1606">
        <v>3.054548</v>
      </c>
      <c r="AE1606">
        <v>-253.31190000000001</v>
      </c>
      <c r="AF1606">
        <v>152.53318855415901</v>
      </c>
      <c r="AG1606">
        <v>3.054548</v>
      </c>
      <c r="AH1606">
        <v>204.282479041329</v>
      </c>
      <c r="AI1606">
        <v>89.313564403760694</v>
      </c>
      <c r="AJ1606">
        <v>53.252120115875201</v>
      </c>
      <c r="AK1606">
        <v>254.96477230639999</v>
      </c>
      <c r="AL1606">
        <v>80.380890055217705</v>
      </c>
      <c r="AM1606">
        <v>75.269657932284801</v>
      </c>
      <c r="AN1606">
        <v>1.0000000112016401</v>
      </c>
    </row>
    <row r="1607" spans="1:40" x14ac:dyDescent="0.25">
      <c r="A1607" t="str">
        <f>"20190303170250876"</f>
        <v>20190303170250876</v>
      </c>
      <c r="B1607" t="str">
        <f>"1551603770867198"</f>
        <v>1551603770867198</v>
      </c>
      <c r="C1607" t="s">
        <v>40</v>
      </c>
      <c r="D1607">
        <v>5.0730430000000002</v>
      </c>
      <c r="E1607">
        <v>0.6602036</v>
      </c>
      <c r="F1607" t="s">
        <v>59</v>
      </c>
      <c r="G1607">
        <v>-169.6422</v>
      </c>
      <c r="H1607">
        <v>3.8402569999999998</v>
      </c>
      <c r="I1607">
        <v>106.30249999999999</v>
      </c>
      <c r="J1607">
        <v>-197.10900000000001</v>
      </c>
      <c r="K1607">
        <v>1.113883</v>
      </c>
      <c r="L1607">
        <v>359.7842</v>
      </c>
      <c r="M1607">
        <v>0.68039890000000003</v>
      </c>
      <c r="N1607">
        <v>-1.520851E-2</v>
      </c>
      <c r="O1607">
        <v>-0.73268420000000001</v>
      </c>
      <c r="P1607">
        <v>0.46963129999999997</v>
      </c>
      <c r="Q1607">
        <v>0.1574287</v>
      </c>
      <c r="R1607">
        <v>-0.86871350000000003</v>
      </c>
      <c r="S1607">
        <v>0.35472110000000001</v>
      </c>
      <c r="T1607">
        <v>3.5107850000000003E-2</v>
      </c>
      <c r="U1607">
        <v>-3.2653500000000002</v>
      </c>
      <c r="V1607">
        <v>0.25031569999999997</v>
      </c>
      <c r="W1607">
        <v>0.16710139999999901</v>
      </c>
      <c r="X1607">
        <v>0.95363469999999995</v>
      </c>
      <c r="Y1607">
        <v>0.597371599999999</v>
      </c>
      <c r="Z1607">
        <v>-1.999453E-2</v>
      </c>
      <c r="AA1607">
        <v>0.80171530000000002</v>
      </c>
      <c r="AB1607">
        <v>22</v>
      </c>
      <c r="AC1607">
        <v>27.466799999999999</v>
      </c>
      <c r="AD1607">
        <v>2.7263739999999999</v>
      </c>
      <c r="AE1607">
        <v>-253.48169999999999</v>
      </c>
      <c r="AF1607">
        <v>152.34437405051301</v>
      </c>
      <c r="AG1607">
        <v>2.7263739999999999</v>
      </c>
      <c r="AH1607">
        <v>204.41067817334701</v>
      </c>
      <c r="AI1607">
        <v>89.387283219902997</v>
      </c>
      <c r="AJ1607">
        <v>53.303360604134198</v>
      </c>
      <c r="AK1607">
        <v>254.950910512825</v>
      </c>
      <c r="AL1607">
        <v>80.380668965142206</v>
      </c>
      <c r="AM1607">
        <v>75.292449786865006</v>
      </c>
      <c r="AN1607">
        <v>0.99999998429626902</v>
      </c>
    </row>
    <row r="1608" spans="1:40" x14ac:dyDescent="0.25">
      <c r="A1608" t="str">
        <f>"20190303170250888"</f>
        <v>20190303170250888</v>
      </c>
      <c r="B1608" t="str">
        <f>"1551603770876958"</f>
        <v>1551603770876958</v>
      </c>
      <c r="C1608" t="s">
        <v>40</v>
      </c>
      <c r="D1608">
        <v>5.0205409999999997</v>
      </c>
      <c r="E1608">
        <v>0.6602036</v>
      </c>
      <c r="F1608" t="s">
        <v>59</v>
      </c>
      <c r="G1608">
        <v>-169.63310000000001</v>
      </c>
      <c r="H1608">
        <v>3.7137099999999998</v>
      </c>
      <c r="I1608">
        <v>93.990920000000003</v>
      </c>
      <c r="J1608">
        <v>-197.0333</v>
      </c>
      <c r="K1608">
        <v>1.113885</v>
      </c>
      <c r="L1608">
        <v>359.69060000000002</v>
      </c>
      <c r="M1608">
        <v>0.67508389999999996</v>
      </c>
      <c r="N1608">
        <v>-1.521257E-2</v>
      </c>
      <c r="O1608">
        <v>-0.73758409999999996</v>
      </c>
      <c r="P1608">
        <v>0.46375300000000003</v>
      </c>
      <c r="Q1608">
        <v>0.1570946</v>
      </c>
      <c r="R1608">
        <v>-0.87192559999999997</v>
      </c>
      <c r="S1608">
        <v>0.3375244</v>
      </c>
      <c r="T1608">
        <v>3.1937359999999998E-2</v>
      </c>
      <c r="U1608">
        <v>-3.2651059999999998</v>
      </c>
      <c r="V1608">
        <v>0.24989510000000001</v>
      </c>
      <c r="W1608">
        <v>0.16678209999999999</v>
      </c>
      <c r="X1608">
        <v>0.95380089999999995</v>
      </c>
      <c r="Y1608">
        <v>0.59573569999999998</v>
      </c>
      <c r="Z1608">
        <v>-1.9620599999999998E-2</v>
      </c>
      <c r="AA1608">
        <v>0.80294080000000001</v>
      </c>
      <c r="AB1608">
        <v>22</v>
      </c>
      <c r="AC1608">
        <v>27.400199999999899</v>
      </c>
      <c r="AD1608">
        <v>2.5998250000000001</v>
      </c>
      <c r="AE1608">
        <v>-265.69968</v>
      </c>
      <c r="AF1608">
        <v>159.16296581751701</v>
      </c>
      <c r="AG1608">
        <v>2.5998250000000001</v>
      </c>
      <c r="AH1608">
        <v>214.47779597194599</v>
      </c>
      <c r="AI1608">
        <v>89.442293074209005</v>
      </c>
      <c r="AJ1608">
        <v>53.421063397395798</v>
      </c>
      <c r="AK1608">
        <v>267.09611330538399</v>
      </c>
      <c r="AL1608">
        <v>80.399223981553703</v>
      </c>
      <c r="AM1608">
        <v>75.318541875470402</v>
      </c>
      <c r="AN1608">
        <v>0.99999999336261503</v>
      </c>
    </row>
    <row r="1609" spans="1:40" x14ac:dyDescent="0.25">
      <c r="A1609" t="str">
        <f>"20190303170250907"</f>
        <v>20190303170250907</v>
      </c>
      <c r="B1609" t="str">
        <f>"1551603770897454"</f>
        <v>1551603770897454</v>
      </c>
      <c r="C1609" t="s">
        <v>40</v>
      </c>
      <c r="D1609">
        <v>5.0318269999999998</v>
      </c>
      <c r="E1609">
        <v>0.6501403</v>
      </c>
      <c r="F1609" t="s">
        <v>59</v>
      </c>
      <c r="G1609">
        <v>-169.17400000000001</v>
      </c>
      <c r="H1609">
        <v>3.9157009999999999</v>
      </c>
      <c r="I1609">
        <v>70.744640000000004</v>
      </c>
      <c r="J1609">
        <v>-196.9205</v>
      </c>
      <c r="K1609">
        <v>1.1138889999999999</v>
      </c>
      <c r="L1609">
        <v>359.54899999999998</v>
      </c>
      <c r="M1609">
        <v>0.66700939999999997</v>
      </c>
      <c r="N1609">
        <v>-1.521747E-2</v>
      </c>
      <c r="O1609">
        <v>-0.7448939</v>
      </c>
      <c r="P1609">
        <v>0.45466099999999998</v>
      </c>
      <c r="Q1609">
        <v>0.15701670000000001</v>
      </c>
      <c r="R1609">
        <v>-0.87671509999999997</v>
      </c>
      <c r="S1609">
        <v>0.31503300000000001</v>
      </c>
      <c r="T1609">
        <v>3.1682969999999998E-2</v>
      </c>
      <c r="U1609">
        <v>-3.267395</v>
      </c>
      <c r="V1609">
        <v>0.24942839999999999</v>
      </c>
      <c r="W1609">
        <v>0.16672339999999999</v>
      </c>
      <c r="X1609">
        <v>0.95393340000000004</v>
      </c>
      <c r="Y1609">
        <v>0.59251169999999997</v>
      </c>
      <c r="Z1609">
        <v>-1.9744089999999999E-2</v>
      </c>
      <c r="AA1609">
        <v>0.80531989999999998</v>
      </c>
      <c r="AB1609">
        <v>22</v>
      </c>
      <c r="AC1609">
        <v>27.746500000000001</v>
      </c>
      <c r="AD1609">
        <v>2.801812</v>
      </c>
      <c r="AE1609">
        <v>-288.80435999999997</v>
      </c>
      <c r="AF1609">
        <v>171.97089875057699</v>
      </c>
      <c r="AG1609">
        <v>2.801812</v>
      </c>
      <c r="AH1609">
        <v>233.64104625509799</v>
      </c>
      <c r="AI1609">
        <v>89.446662930274698</v>
      </c>
      <c r="AJ1609">
        <v>53.645167922299798</v>
      </c>
      <c r="AK1609">
        <v>290.120627778759</v>
      </c>
      <c r="AL1609">
        <v>80.402635795605704</v>
      </c>
      <c r="AM1609">
        <v>75.346727318053894</v>
      </c>
      <c r="AN1609">
        <v>1.0000000752348299</v>
      </c>
    </row>
    <row r="1610" spans="1:40" x14ac:dyDescent="0.25">
      <c r="A1610" t="str">
        <f>"20190303170250919"</f>
        <v>20190303170250919</v>
      </c>
      <c r="B1610" t="str">
        <f>"1551603770907215"</f>
        <v>1551603770907215</v>
      </c>
      <c r="C1610" t="s">
        <v>40</v>
      </c>
      <c r="D1610">
        <v>5.0502469999999997</v>
      </c>
      <c r="E1610">
        <v>0.64909229999999996</v>
      </c>
      <c r="F1610" t="s">
        <v>59</v>
      </c>
      <c r="G1610">
        <v>-169.17250000000001</v>
      </c>
      <c r="H1610">
        <v>1.9231659999999999</v>
      </c>
      <c r="I1610">
        <v>106.3018</v>
      </c>
      <c r="J1610">
        <v>-196.84100000000001</v>
      </c>
      <c r="K1610">
        <v>1.1138980000000001</v>
      </c>
      <c r="L1610">
        <v>359.44749999999999</v>
      </c>
      <c r="M1610">
        <v>0.66120519999999905</v>
      </c>
      <c r="N1610">
        <v>-1.5220060000000001E-2</v>
      </c>
      <c r="O1610">
        <v>-0.75005080000000002</v>
      </c>
      <c r="P1610">
        <v>0.44796039999999998</v>
      </c>
      <c r="Q1610">
        <v>0.15692590000000001</v>
      </c>
      <c r="R1610">
        <v>-0.88017389999999995</v>
      </c>
      <c r="S1610">
        <v>0.3545837</v>
      </c>
      <c r="T1610">
        <v>1.0341639999999999E-2</v>
      </c>
      <c r="U1610">
        <v>-3.2361759999999999</v>
      </c>
      <c r="V1610">
        <v>0.249303</v>
      </c>
      <c r="W1610">
        <v>0.1666425</v>
      </c>
      <c r="X1610">
        <v>0.9539803</v>
      </c>
      <c r="Y1610">
        <v>0.57561169999999995</v>
      </c>
      <c r="Z1610">
        <v>-1.632196E-2</v>
      </c>
      <c r="AA1610">
        <v>0.81756030000000002</v>
      </c>
      <c r="AB1610">
        <v>22</v>
      </c>
      <c r="AC1610">
        <v>27.668499999999899</v>
      </c>
      <c r="AD1610">
        <v>0.80926799999999899</v>
      </c>
      <c r="AE1610">
        <v>-253.14570000000001</v>
      </c>
      <c r="AF1610">
        <v>146.64396544694199</v>
      </c>
      <c r="AG1610">
        <v>0.80926799999999899</v>
      </c>
      <c r="AH1610">
        <v>208.18868583375499</v>
      </c>
      <c r="AI1610">
        <v>89.817917312196599</v>
      </c>
      <c r="AJ1610">
        <v>54.839896146426803</v>
      </c>
      <c r="AK1610">
        <v>254.651990814692</v>
      </c>
      <c r="AL1610">
        <v>80.407336647407007</v>
      </c>
      <c r="AM1610">
        <v>75.354466500630494</v>
      </c>
      <c r="AN1610">
        <v>1.0000000607016599</v>
      </c>
    </row>
    <row r="1611" spans="1:40" x14ac:dyDescent="0.25">
      <c r="A1611" t="str">
        <f>"20190303170250932"</f>
        <v>20190303170250932</v>
      </c>
      <c r="B1611" t="str">
        <f>"1551603770916975"</f>
        <v>1551603770916975</v>
      </c>
      <c r="C1611" t="s">
        <v>40</v>
      </c>
      <c r="D1611">
        <v>5.0248710000000001</v>
      </c>
      <c r="E1611">
        <v>0.64824720000000002</v>
      </c>
      <c r="F1611" t="s">
        <v>59</v>
      </c>
      <c r="G1611">
        <v>-169.13239999999999</v>
      </c>
      <c r="H1611">
        <v>1.7501139999999999</v>
      </c>
      <c r="I1611">
        <v>93.990269999999995</v>
      </c>
      <c r="J1611">
        <v>-196.7628</v>
      </c>
      <c r="K1611">
        <v>1.11391</v>
      </c>
      <c r="L1611">
        <v>359.3458</v>
      </c>
      <c r="M1611">
        <v>0.6553795</v>
      </c>
      <c r="N1611">
        <v>-1.522187E-2</v>
      </c>
      <c r="O1611">
        <v>-0.7551464</v>
      </c>
      <c r="P1611">
        <v>0.44093310000000002</v>
      </c>
      <c r="Q1611">
        <v>0.15722800000000001</v>
      </c>
      <c r="R1611">
        <v>-0.88366149999999999</v>
      </c>
      <c r="S1611">
        <v>0.3376923</v>
      </c>
      <c r="T1611">
        <v>7.7538490000000002E-3</v>
      </c>
      <c r="U1611">
        <v>-3.2351990000000002</v>
      </c>
      <c r="V1611">
        <v>0.24948670000000001</v>
      </c>
      <c r="W1611">
        <v>0.16694809999999999</v>
      </c>
      <c r="X1611">
        <v>0.95387880000000003</v>
      </c>
      <c r="Y1611">
        <v>0.57346900000000001</v>
      </c>
      <c r="Z1611">
        <v>-1.594901E-2</v>
      </c>
      <c r="AA1611">
        <v>0.81907189999999996</v>
      </c>
      <c r="AB1611">
        <v>22</v>
      </c>
      <c r="AC1611">
        <v>27.630400000000002</v>
      </c>
      <c r="AD1611">
        <v>0.63620399999999999</v>
      </c>
      <c r="AE1611">
        <v>-265.35552999999999</v>
      </c>
      <c r="AF1611">
        <v>153.06043456952</v>
      </c>
      <c r="AG1611">
        <v>0.63620399999999999</v>
      </c>
      <c r="AH1611">
        <v>218.51473673639501</v>
      </c>
      <c r="AI1611">
        <v>89.863368496986197</v>
      </c>
      <c r="AJ1611">
        <v>54.990364989278198</v>
      </c>
      <c r="AK1611">
        <v>266.78941425235797</v>
      </c>
      <c r="AL1611">
        <v>80.389577928514896</v>
      </c>
      <c r="AM1611">
        <v>75.342646980722705</v>
      </c>
      <c r="AN1611">
        <v>1.00000002332996</v>
      </c>
    </row>
    <row r="1612" spans="1:40" x14ac:dyDescent="0.25">
      <c r="A1612" t="str">
        <f>"20190303170250944"</f>
        <v>20190303170250944</v>
      </c>
      <c r="B1612" t="str">
        <f>"1551603770937470"</f>
        <v>1551603770937470</v>
      </c>
      <c r="C1612" t="s">
        <v>40</v>
      </c>
      <c r="D1612">
        <v>5.0228900000000003</v>
      </c>
      <c r="E1612">
        <v>0.64654789999999995</v>
      </c>
      <c r="F1612" t="s">
        <v>59</v>
      </c>
      <c r="G1612">
        <v>-168.85890000000001</v>
      </c>
      <c r="H1612">
        <v>1.895912</v>
      </c>
      <c r="I1612">
        <v>75.567909999999998</v>
      </c>
      <c r="J1612">
        <v>-196.69130000000001</v>
      </c>
      <c r="K1612">
        <v>1.1139239999999999</v>
      </c>
      <c r="L1612">
        <v>359.25110000000001</v>
      </c>
      <c r="M1612">
        <v>0.64996089999999995</v>
      </c>
      <c r="N1612">
        <v>-1.5222670000000001E-2</v>
      </c>
      <c r="O1612">
        <v>-0.75981540000000003</v>
      </c>
      <c r="P1612">
        <v>0.43444729999999998</v>
      </c>
      <c r="Q1612">
        <v>0.15764139999999999</v>
      </c>
      <c r="R1612">
        <v>-0.88679479999999999</v>
      </c>
      <c r="S1612">
        <v>0.31806950000000001</v>
      </c>
      <c r="T1612">
        <v>8.9139939999999997E-3</v>
      </c>
      <c r="U1612">
        <v>-3.2347109999999999</v>
      </c>
      <c r="V1612">
        <v>0.24960689999999999</v>
      </c>
      <c r="W1612">
        <v>0.16736599999999999</v>
      </c>
      <c r="X1612">
        <v>0.95377409999999996</v>
      </c>
      <c r="Y1612">
        <v>0.57251600000000002</v>
      </c>
      <c r="Z1612">
        <v>-1.6203909999999998E-2</v>
      </c>
      <c r="AA1612">
        <v>0.81973339999999995</v>
      </c>
      <c r="AB1612">
        <v>22</v>
      </c>
      <c r="AC1612">
        <v>27.8324</v>
      </c>
      <c r="AD1612">
        <v>0.78198799999999902</v>
      </c>
      <c r="AE1612">
        <v>-283.683189999999</v>
      </c>
      <c r="AF1612">
        <v>163.25315519575</v>
      </c>
      <c r="AG1612">
        <v>0.78198799999999902</v>
      </c>
      <c r="AH1612">
        <v>233.662104544812</v>
      </c>
      <c r="AI1612">
        <v>89.842815002992594</v>
      </c>
      <c r="AJ1612">
        <v>55.059080397134402</v>
      </c>
      <c r="AK1612">
        <v>285.04417778111201</v>
      </c>
      <c r="AL1612">
        <v>80.365292183546799</v>
      </c>
      <c r="AM1612">
        <v>75.334349171523598</v>
      </c>
      <c r="AN1612">
        <v>1.0000000081572</v>
      </c>
    </row>
    <row r="1613" spans="1:40" x14ac:dyDescent="0.25">
      <c r="A1613" t="str">
        <f>"20190303170250963"</f>
        <v>20190303170250963</v>
      </c>
      <c r="B1613" t="str">
        <f>"1551603770956990"</f>
        <v>1551603770956990</v>
      </c>
      <c r="C1613" t="s">
        <v>40</v>
      </c>
      <c r="D1613">
        <v>5.0171900000000003</v>
      </c>
      <c r="E1613">
        <v>0.64575479999999996</v>
      </c>
      <c r="F1613" t="s">
        <v>59</v>
      </c>
      <c r="G1613">
        <v>-169.26169999999999</v>
      </c>
      <c r="H1613">
        <v>1.4875910000000001</v>
      </c>
      <c r="I1613">
        <v>70.743840000000006</v>
      </c>
      <c r="J1613">
        <v>-196.57830000000001</v>
      </c>
      <c r="K1613">
        <v>1.113944</v>
      </c>
      <c r="L1613">
        <v>359.09879999999998</v>
      </c>
      <c r="M1613">
        <v>0.64122319999999999</v>
      </c>
      <c r="N1613">
        <v>-1.522299E-2</v>
      </c>
      <c r="O1613">
        <v>-0.76720350000000004</v>
      </c>
      <c r="P1613">
        <v>0.42404310000000001</v>
      </c>
      <c r="Q1613">
        <v>0.157301</v>
      </c>
      <c r="R1613">
        <v>-0.89187649999999996</v>
      </c>
      <c r="S1613">
        <v>0.307251</v>
      </c>
      <c r="T1613">
        <v>4.1856769999999996E-3</v>
      </c>
      <c r="U1613">
        <v>-3.2316889999999998</v>
      </c>
      <c r="V1613">
        <v>0.24987309999999999</v>
      </c>
      <c r="W1613">
        <v>0.16703509999999999</v>
      </c>
      <c r="X1613">
        <v>0.95376240000000001</v>
      </c>
      <c r="Y1613">
        <v>0.56575030000000004</v>
      </c>
      <c r="Z1613">
        <v>-1.54407E-2</v>
      </c>
      <c r="AA1613">
        <v>0.82443199999999905</v>
      </c>
      <c r="AB1613">
        <v>22</v>
      </c>
      <c r="AC1613">
        <v>27.316600000000001</v>
      </c>
      <c r="AD1613">
        <v>0.37364699999999901</v>
      </c>
      <c r="AE1613">
        <v>-288.35496000000001</v>
      </c>
      <c r="AF1613">
        <v>163.961213829629</v>
      </c>
      <c r="AG1613">
        <v>0.37364699999999901</v>
      </c>
      <c r="AH1613">
        <v>238.770225799222</v>
      </c>
      <c r="AI1613">
        <v>89.926087627100799</v>
      </c>
      <c r="AJ1613">
        <v>55.522988864567203</v>
      </c>
      <c r="AK1613">
        <v>289.645714590735</v>
      </c>
      <c r="AL1613">
        <v>80.384522009505702</v>
      </c>
      <c r="AM1613">
        <v>75.319211564372694</v>
      </c>
      <c r="AN1613">
        <v>1.0000000031946901</v>
      </c>
    </row>
    <row r="1614" spans="1:40" x14ac:dyDescent="0.25">
      <c r="A1614" t="str">
        <f>"20190303170250978"</f>
        <v>20190303170250978</v>
      </c>
      <c r="B1614" t="str">
        <f>"1551603770967727"</f>
        <v>1551603770967727</v>
      </c>
      <c r="C1614" t="s">
        <v>40</v>
      </c>
      <c r="D1614">
        <v>5.0042519999999904</v>
      </c>
      <c r="E1614">
        <v>0.63829829999999999</v>
      </c>
      <c r="F1614" t="s">
        <v>60</v>
      </c>
      <c r="G1614">
        <v>-168.50040000000001</v>
      </c>
      <c r="H1614">
        <v>1.301841</v>
      </c>
      <c r="I1614">
        <v>29.1694</v>
      </c>
      <c r="J1614">
        <v>-196.4924</v>
      </c>
      <c r="K1614">
        <v>1.1139619999999999</v>
      </c>
      <c r="L1614">
        <v>358.98079999999999</v>
      </c>
      <c r="M1614">
        <v>0.63444160000000005</v>
      </c>
      <c r="N1614">
        <v>-1.522247E-2</v>
      </c>
      <c r="O1614">
        <v>-0.77282099999999998</v>
      </c>
      <c r="P1614">
        <v>0.41661229999999999</v>
      </c>
      <c r="Q1614">
        <v>0.1570867</v>
      </c>
      <c r="R1614">
        <v>-0.89540940000000002</v>
      </c>
      <c r="S1614">
        <v>0.27510069999999998</v>
      </c>
      <c r="T1614">
        <v>1.8409489999999999E-3</v>
      </c>
      <c r="U1614">
        <v>-3.2325740000000001</v>
      </c>
      <c r="V1614">
        <v>0.24941450000000001</v>
      </c>
      <c r="W1614">
        <v>0.1668433</v>
      </c>
      <c r="X1614">
        <v>0.95391599999999999</v>
      </c>
      <c r="Y1614">
        <v>0.56663839999999999</v>
      </c>
      <c r="Z1614">
        <v>-1.509331E-2</v>
      </c>
      <c r="AA1614">
        <v>0.82382829999999996</v>
      </c>
      <c r="AB1614">
        <v>22</v>
      </c>
      <c r="AC1614">
        <v>27.991999999999901</v>
      </c>
      <c r="AD1614">
        <v>0.18787899999999899</v>
      </c>
      <c r="AE1614">
        <v>-329.81139999999999</v>
      </c>
      <c r="AF1614">
        <v>187.63493189216399</v>
      </c>
      <c r="AG1614">
        <v>0.18787899999999899</v>
      </c>
      <c r="AH1614">
        <v>272.67594938090798</v>
      </c>
      <c r="AI1614">
        <v>89.967478039754894</v>
      </c>
      <c r="AJ1614">
        <v>55.4671969392273</v>
      </c>
      <c r="AK1614">
        <v>330.99709414959398</v>
      </c>
      <c r="AL1614">
        <v>80.395667785884797</v>
      </c>
      <c r="AM1614">
        <v>75.347252997252198</v>
      </c>
      <c r="AN1614">
        <v>1.0000000073105699</v>
      </c>
    </row>
    <row r="1615" spans="1:40" x14ac:dyDescent="0.25">
      <c r="A1615" t="str">
        <f>"20190303170250997"</f>
        <v>20190303170250997</v>
      </c>
      <c r="B1615" t="str">
        <f>"1551603770987246"</f>
        <v>1551603770987246</v>
      </c>
      <c r="C1615" t="s">
        <v>40</v>
      </c>
      <c r="D1615">
        <v>4.9791629999999998</v>
      </c>
      <c r="E1615">
        <v>0.63873489999999999</v>
      </c>
      <c r="F1615" t="s">
        <v>59</v>
      </c>
      <c r="G1615">
        <v>-169.33189999999999</v>
      </c>
      <c r="H1615">
        <v>0.53729819999999995</v>
      </c>
      <c r="I1615">
        <v>70.743519999999904</v>
      </c>
      <c r="J1615">
        <v>-196.38290000000001</v>
      </c>
      <c r="K1615">
        <v>1.1139790000000001</v>
      </c>
      <c r="L1615">
        <v>358.827</v>
      </c>
      <c r="M1615">
        <v>0.62559619999999905</v>
      </c>
      <c r="N1615">
        <v>-1.5220920000000001E-2</v>
      </c>
      <c r="O1615">
        <v>-0.77999879999999999</v>
      </c>
      <c r="P1615">
        <v>0.40732410000000002</v>
      </c>
      <c r="Q1615">
        <v>0.15645590000000001</v>
      </c>
      <c r="R1615">
        <v>-0.89978279999999999</v>
      </c>
      <c r="S1615">
        <v>0.30255130000000002</v>
      </c>
      <c r="T1615">
        <v>-6.423593E-3</v>
      </c>
      <c r="U1615">
        <v>-3.210785</v>
      </c>
      <c r="V1615">
        <v>0.24846109999999999</v>
      </c>
      <c r="W1615">
        <v>0.1662517</v>
      </c>
      <c r="X1615">
        <v>0.95426800000000001</v>
      </c>
      <c r="Y1615">
        <v>0.54966250000000005</v>
      </c>
      <c r="Z1615">
        <v>-1.3545679999999999E-2</v>
      </c>
      <c r="AA1615">
        <v>0.83527700000000005</v>
      </c>
      <c r="AB1615">
        <v>22</v>
      </c>
      <c r="AC1615">
        <v>27.050999999999998</v>
      </c>
      <c r="AD1615">
        <v>-0.57668079999999999</v>
      </c>
      <c r="AE1615">
        <v>-288.08348000000001</v>
      </c>
      <c r="AF1615">
        <v>159.141953943874</v>
      </c>
      <c r="AG1615">
        <v>-0.57668079999999999</v>
      </c>
      <c r="AH1615">
        <v>241.654756682563</v>
      </c>
      <c r="AI1615">
        <v>90.114191738346406</v>
      </c>
      <c r="AJ1615">
        <v>56.633062515453503</v>
      </c>
      <c r="AK1615">
        <v>289.35016069310899</v>
      </c>
      <c r="AL1615">
        <v>80.430043833112904</v>
      </c>
      <c r="AM1615">
        <v>75.406021787361794</v>
      </c>
      <c r="AN1615">
        <v>0.99999998089504905</v>
      </c>
    </row>
    <row r="1616" spans="1:40" x14ac:dyDescent="0.25">
      <c r="A1616" t="str">
        <f>"20190303170251019"</f>
        <v>20190303170251019</v>
      </c>
      <c r="B1616" t="str">
        <f>"1551603771006767"</f>
        <v>1551603771006767</v>
      </c>
      <c r="C1616" t="s">
        <v>40</v>
      </c>
      <c r="D1616">
        <v>4.9127619999999999</v>
      </c>
      <c r="E1616">
        <v>0.63809340000000003</v>
      </c>
      <c r="F1616" t="s">
        <v>60</v>
      </c>
      <c r="G1616">
        <v>-169.01900000000001</v>
      </c>
      <c r="H1616">
        <v>0.90103540000000004</v>
      </c>
      <c r="I1616">
        <v>27.192039999999999</v>
      </c>
      <c r="J1616">
        <v>-196.25720000000001</v>
      </c>
      <c r="K1616">
        <v>1.114009</v>
      </c>
      <c r="L1616">
        <v>358.64530000000002</v>
      </c>
      <c r="M1616">
        <v>0.61514440000000004</v>
      </c>
      <c r="N1616">
        <v>-1.5218020000000001E-2</v>
      </c>
      <c r="O1616">
        <v>-0.78826770000000002</v>
      </c>
      <c r="P1616">
        <v>0.39594550000000001</v>
      </c>
      <c r="Q1616">
        <v>0.15595049999999999</v>
      </c>
      <c r="R1616">
        <v>-0.90493489999999999</v>
      </c>
      <c r="S1616">
        <v>0.26522829999999997</v>
      </c>
      <c r="T1616">
        <v>-2.0639899999999999E-3</v>
      </c>
      <c r="U1616">
        <v>-3.2144170000000001</v>
      </c>
      <c r="V1616">
        <v>0.2478042</v>
      </c>
      <c r="W1616">
        <v>0.16577919999999999</v>
      </c>
      <c r="X1616">
        <v>0.95452099999999995</v>
      </c>
      <c r="Y1616">
        <v>0.54824649999999997</v>
      </c>
      <c r="Z1616">
        <v>-1.4405940000000001E-2</v>
      </c>
      <c r="AA1616">
        <v>0.83619270000000001</v>
      </c>
      <c r="AB1616">
        <v>22</v>
      </c>
      <c r="AC1616">
        <v>27.238199999999999</v>
      </c>
      <c r="AD1616">
        <v>-0.21297360000000001</v>
      </c>
      <c r="AE1616">
        <v>-331.45326</v>
      </c>
      <c r="AF1616">
        <v>182.44165842212499</v>
      </c>
      <c r="AG1616">
        <v>-0.21297360000000001</v>
      </c>
      <c r="AH1616">
        <v>278.061384698773</v>
      </c>
      <c r="AI1616">
        <v>90.036691436091004</v>
      </c>
      <c r="AJ1616">
        <v>56.730315346283902</v>
      </c>
      <c r="AK1616">
        <v>332.57050041482699</v>
      </c>
      <c r="AL1616">
        <v>80.457497257834902</v>
      </c>
      <c r="AM1616">
        <v>75.446659829479898</v>
      </c>
      <c r="AN1616">
        <v>1.0000000020656401</v>
      </c>
    </row>
    <row r="1617" spans="1:40" x14ac:dyDescent="0.25">
      <c r="A1617" t="str">
        <f>"20190303170251034"</f>
        <v>20190303170251034</v>
      </c>
      <c r="B1617" t="str">
        <f>"1551603771017502"</f>
        <v>1551603771017502</v>
      </c>
      <c r="C1617" t="s">
        <v>40</v>
      </c>
      <c r="D1617">
        <v>4.9556040000000001</v>
      </c>
      <c r="E1617">
        <v>0.63809340000000003</v>
      </c>
      <c r="F1617" t="s">
        <v>55</v>
      </c>
      <c r="G1617">
        <v>-167.9015</v>
      </c>
      <c r="H1617">
        <v>0.50722029999999996</v>
      </c>
      <c r="I1617">
        <v>-37.694769999999998</v>
      </c>
      <c r="J1617">
        <v>-196.1797</v>
      </c>
      <c r="K1617">
        <v>1.1140219999999901</v>
      </c>
      <c r="L1617">
        <v>358.53109999999998</v>
      </c>
      <c r="M1617">
        <v>0.60856690000000002</v>
      </c>
      <c r="N1617">
        <v>-1.52157E-2</v>
      </c>
      <c r="O1617">
        <v>-0.79335679999999997</v>
      </c>
      <c r="P1617">
        <v>0.3883162</v>
      </c>
      <c r="Q1617">
        <v>0.15619140000000001</v>
      </c>
      <c r="R1617">
        <v>-0.90819349999999999</v>
      </c>
      <c r="S1617">
        <v>0.23004150000000001</v>
      </c>
      <c r="T1617">
        <v>-4.922867E-3</v>
      </c>
      <c r="U1617">
        <v>-3.2153930000000002</v>
      </c>
      <c r="V1617">
        <v>0.24786910000000001</v>
      </c>
      <c r="W1617">
        <v>0.16602790000000001</v>
      </c>
      <c r="X1617">
        <v>0.95446089999999995</v>
      </c>
      <c r="Y1617">
        <v>0.55040100000000003</v>
      </c>
      <c r="Z1617">
        <v>-1.3918399999999999E-2</v>
      </c>
      <c r="AA1617">
        <v>0.83478439999999998</v>
      </c>
      <c r="AB1617">
        <v>22</v>
      </c>
      <c r="AC1617">
        <v>28.278199999999998</v>
      </c>
      <c r="AD1617">
        <v>-0.606801699999999</v>
      </c>
      <c r="AE1617">
        <v>-396.22586999999999</v>
      </c>
      <c r="AF1617">
        <v>218.72003502502901</v>
      </c>
      <c r="AG1617">
        <v>-0.606801699999999</v>
      </c>
      <c r="AH1617">
        <v>331.59524501584502</v>
      </c>
      <c r="AI1617">
        <v>90.087523370331198</v>
      </c>
      <c r="AJ1617">
        <v>56.591178733981501</v>
      </c>
      <c r="AK1617">
        <v>397.23321669615098</v>
      </c>
      <c r="AL1617">
        <v>80.443047359373296</v>
      </c>
      <c r="AM1617">
        <v>75.442132529469802</v>
      </c>
      <c r="AN1617">
        <v>0.99999998197101403</v>
      </c>
    </row>
    <row r="1618" spans="1:40" x14ac:dyDescent="0.25">
      <c r="A1618" t="str">
        <f>"20190303170251054"</f>
        <v>20190303170251054</v>
      </c>
      <c r="B1618" t="str">
        <f>"1551603771046782"</f>
        <v>1551603771046782</v>
      </c>
      <c r="C1618" t="s">
        <v>40</v>
      </c>
      <c r="D1618">
        <v>4.9688970000000001</v>
      </c>
      <c r="E1618">
        <v>0.62335499999999999</v>
      </c>
      <c r="F1618" t="s">
        <v>48</v>
      </c>
      <c r="G1618">
        <v>0</v>
      </c>
      <c r="H1618">
        <v>0</v>
      </c>
      <c r="I1618">
        <v>0</v>
      </c>
      <c r="J1618">
        <v>-196.06460000000001</v>
      </c>
      <c r="K1618">
        <v>1.114053</v>
      </c>
      <c r="L1618">
        <v>358.35719999999998</v>
      </c>
      <c r="M1618">
        <v>0.5985473</v>
      </c>
      <c r="N1618">
        <v>-1.5211509999999999E-2</v>
      </c>
      <c r="O1618">
        <v>-0.80094309999999902</v>
      </c>
      <c r="P1618">
        <v>0.37678709999999999</v>
      </c>
      <c r="Q1618">
        <v>0.1559712</v>
      </c>
      <c r="R1618">
        <v>-0.91307450000000001</v>
      </c>
      <c r="S1618">
        <v>0.20330809999999999</v>
      </c>
      <c r="T1618">
        <v>-4.9065350000000001E-3</v>
      </c>
      <c r="U1618">
        <v>-3.2171630000000002</v>
      </c>
      <c r="V1618">
        <v>0.24796280000000001</v>
      </c>
      <c r="W1618">
        <v>0.16581960000000001</v>
      </c>
      <c r="X1618">
        <v>0.95447280000000001</v>
      </c>
      <c r="Y1618">
        <v>0.54684080000000002</v>
      </c>
      <c r="Z1618">
        <v>-1.394772E-2</v>
      </c>
      <c r="AA1618">
        <v>0.83712039999999999</v>
      </c>
      <c r="AB1618">
        <v>22</v>
      </c>
      <c r="AC1618">
        <v>0.20330809999999999</v>
      </c>
      <c r="AD1618">
        <v>-4.9065350000000001E-3</v>
      </c>
      <c r="AE1618">
        <v>-3.2171630000000002</v>
      </c>
      <c r="AF1618">
        <v>1.76298580724274</v>
      </c>
      <c r="AG1618">
        <v>-4.9065350000000001E-3</v>
      </c>
      <c r="AH1618">
        <v>2.6987598721544601</v>
      </c>
      <c r="AI1618">
        <v>90.087208671254999</v>
      </c>
      <c r="AJ1618">
        <v>56.845111233770801</v>
      </c>
      <c r="AK1618">
        <v>3.2235768764179</v>
      </c>
      <c r="AL1618">
        <v>80.455150077957001</v>
      </c>
      <c r="AM1618">
        <v>75.437037118559402</v>
      </c>
      <c r="AN1618">
        <v>1.00000000793392</v>
      </c>
    </row>
    <row r="1619" spans="1:40" x14ac:dyDescent="0.25">
      <c r="A1619" t="str">
        <f>"20190303170251078"</f>
        <v>20190303170251078</v>
      </c>
      <c r="B1619" t="str">
        <f>"1551603771067278"</f>
        <v>1551603771067278</v>
      </c>
      <c r="C1619" t="s">
        <v>40</v>
      </c>
      <c r="D1619">
        <v>4.9201899999999998</v>
      </c>
      <c r="E1619">
        <v>0.62330959999999902</v>
      </c>
      <c r="F1619" t="s">
        <v>60</v>
      </c>
      <c r="G1619">
        <v>-168.50030000000001</v>
      </c>
      <c r="H1619">
        <v>0.85037719999999895</v>
      </c>
      <c r="I1619">
        <v>35.172840000000001</v>
      </c>
      <c r="J1619">
        <v>-195.93969999999999</v>
      </c>
      <c r="K1619">
        <v>1.1140840000000001</v>
      </c>
      <c r="L1619">
        <v>358.1626</v>
      </c>
      <c r="M1619">
        <v>0.58733019999999903</v>
      </c>
      <c r="N1619">
        <v>-1.520586E-2</v>
      </c>
      <c r="O1619">
        <v>-0.80920459999999905</v>
      </c>
      <c r="P1619">
        <v>0.36411060000000001</v>
      </c>
      <c r="Q1619">
        <v>0.15556739999999999</v>
      </c>
      <c r="R1619">
        <v>-0.91827110000000001</v>
      </c>
      <c r="S1619">
        <v>0.2707367</v>
      </c>
      <c r="T1619">
        <v>-2.5898219999999999E-3</v>
      </c>
      <c r="U1619">
        <v>-3.1743160000000001</v>
      </c>
      <c r="V1619">
        <v>0.2478977</v>
      </c>
      <c r="W1619">
        <v>0.16543169999999999</v>
      </c>
      <c r="X1619">
        <v>0.95455699999999999</v>
      </c>
      <c r="Y1619">
        <v>0.51644449999999997</v>
      </c>
      <c r="Z1619">
        <v>-1.4266350000000001E-2</v>
      </c>
      <c r="AA1619">
        <v>0.85620180000000001</v>
      </c>
      <c r="AB1619">
        <v>22</v>
      </c>
      <c r="AC1619">
        <v>27.4393999999999</v>
      </c>
      <c r="AD1619">
        <v>-0.26370680000000002</v>
      </c>
      <c r="AE1619">
        <v>-322.98975999999999</v>
      </c>
      <c r="AF1619">
        <v>167.51680278346001</v>
      </c>
      <c r="AG1619">
        <v>-0.26370680000000002</v>
      </c>
      <c r="AH1619">
        <v>277.51267978240202</v>
      </c>
      <c r="AI1619">
        <v>90.046611579685802</v>
      </c>
      <c r="AJ1619">
        <v>58.883283176096</v>
      </c>
      <c r="AK1619">
        <v>324.153106102778</v>
      </c>
      <c r="AL1619">
        <v>80.477686209730393</v>
      </c>
      <c r="AM1619">
        <v>75.441927664424398</v>
      </c>
      <c r="AN1619">
        <v>0.99999999163958997</v>
      </c>
    </row>
    <row r="1620" spans="1:40" x14ac:dyDescent="0.25">
      <c r="A1620" t="str">
        <f>"20190303170251097"</f>
        <v>20190303170251097</v>
      </c>
      <c r="B1620" t="str">
        <f>"1551603771086798"</f>
        <v>1551603771086798</v>
      </c>
      <c r="C1620" t="s">
        <v>40</v>
      </c>
      <c r="D1620">
        <v>4.7229210000000004</v>
      </c>
      <c r="E1620">
        <v>0.62300259999999996</v>
      </c>
      <c r="F1620" t="s">
        <v>55</v>
      </c>
      <c r="G1620">
        <v>-167.69159999999999</v>
      </c>
      <c r="H1620">
        <v>0.44915870000000002</v>
      </c>
      <c r="I1620">
        <v>-37.694769999999998</v>
      </c>
      <c r="J1620">
        <v>-195.8389</v>
      </c>
      <c r="K1620">
        <v>1.114112</v>
      </c>
      <c r="L1620">
        <v>358.00130000000001</v>
      </c>
      <c r="M1620">
        <v>0.57802419999999899</v>
      </c>
      <c r="N1620">
        <v>-1.520111E-2</v>
      </c>
      <c r="O1620">
        <v>-0.81587829999999995</v>
      </c>
      <c r="P1620">
        <v>0.35334460000000001</v>
      </c>
      <c r="Q1620">
        <v>0.15511730000000001</v>
      </c>
      <c r="R1620">
        <v>-0.92254360000000002</v>
      </c>
      <c r="S1620">
        <v>0.22677610000000001</v>
      </c>
      <c r="T1620">
        <v>-5.3381919999999899E-3</v>
      </c>
      <c r="U1620">
        <v>-3.1779480000000002</v>
      </c>
      <c r="V1620">
        <v>0.24815690000000001</v>
      </c>
      <c r="W1620">
        <v>0.164987299999999</v>
      </c>
      <c r="X1620">
        <v>0.95456660000000004</v>
      </c>
      <c r="Y1620">
        <v>0.51848539999999999</v>
      </c>
      <c r="Z1620">
        <v>-1.37638E-2</v>
      </c>
      <c r="AA1620">
        <v>0.85497570000000001</v>
      </c>
      <c r="AB1620">
        <v>21</v>
      </c>
      <c r="AC1620">
        <v>28.147300000000001</v>
      </c>
      <c r="AD1620">
        <v>-0.66495329999999997</v>
      </c>
      <c r="AE1620">
        <v>-395.69607000000002</v>
      </c>
      <c r="AF1620">
        <v>205.78028519224901</v>
      </c>
      <c r="AG1620">
        <v>-0.66495329999999997</v>
      </c>
      <c r="AH1620">
        <v>339.14781469865801</v>
      </c>
      <c r="AI1620">
        <v>90.096041041580506</v>
      </c>
      <c r="AJ1620">
        <v>58.7524276668318</v>
      </c>
      <c r="AK1620">
        <v>396.69535937740699</v>
      </c>
      <c r="AL1620">
        <v>80.503503538943704</v>
      </c>
      <c r="AM1620">
        <v>75.427493869654498</v>
      </c>
      <c r="AN1620">
        <v>1.0000000250072201</v>
      </c>
    </row>
    <row r="1621" spans="1:40" x14ac:dyDescent="0.25">
      <c r="A1621" t="str">
        <f>"20190303170251111"</f>
        <v>20190303170251111</v>
      </c>
      <c r="B1621" t="str">
        <f>"1551603771097534"</f>
        <v>1551603771097534</v>
      </c>
      <c r="C1621" t="s">
        <v>40</v>
      </c>
      <c r="D1621">
        <v>4.7389619999999999</v>
      </c>
      <c r="E1621">
        <v>0.62256210000000001</v>
      </c>
      <c r="F1621" t="s">
        <v>48</v>
      </c>
      <c r="G1621">
        <v>0</v>
      </c>
      <c r="H1621">
        <v>0</v>
      </c>
      <c r="I1621">
        <v>0</v>
      </c>
      <c r="J1621">
        <v>-195.76429999999999</v>
      </c>
      <c r="K1621">
        <v>1.114133</v>
      </c>
      <c r="L1621">
        <v>357.8793</v>
      </c>
      <c r="M1621">
        <v>0.57097410000000004</v>
      </c>
      <c r="N1621">
        <v>-1.51973E-2</v>
      </c>
      <c r="O1621">
        <v>-0.82082770000000005</v>
      </c>
      <c r="P1621">
        <v>0.34541309999999997</v>
      </c>
      <c r="Q1621">
        <v>0.15465770000000001</v>
      </c>
      <c r="R1621">
        <v>-0.92561950000000004</v>
      </c>
      <c r="S1621">
        <v>0.19062809999999999</v>
      </c>
      <c r="T1621">
        <v>1.1803630000000001E-2</v>
      </c>
      <c r="U1621">
        <v>-3.1769099999999999</v>
      </c>
      <c r="V1621">
        <v>0.2481546</v>
      </c>
      <c r="W1621">
        <v>0.16453579999999901</v>
      </c>
      <c r="X1621">
        <v>0.95464510000000002</v>
      </c>
      <c r="Y1621">
        <v>0.52081040000000001</v>
      </c>
      <c r="Z1621">
        <v>-1.7363400000000001E-2</v>
      </c>
      <c r="AA1621">
        <v>0.85349580000000003</v>
      </c>
      <c r="AB1621">
        <v>21</v>
      </c>
      <c r="AC1621">
        <v>0.19062809999999999</v>
      </c>
      <c r="AD1621">
        <v>1.1803630000000001E-2</v>
      </c>
      <c r="AE1621">
        <v>-3.1769099999999999</v>
      </c>
      <c r="AF1621">
        <v>1.65762872801803</v>
      </c>
      <c r="AG1621">
        <v>1.1803630000000001E-2</v>
      </c>
      <c r="AH1621">
        <v>2.7168151529034401</v>
      </c>
      <c r="AI1621">
        <v>89.787501017941594</v>
      </c>
      <c r="AJ1621">
        <v>58.611099531913901</v>
      </c>
      <c r="AK1621">
        <v>3.1826022215598302</v>
      </c>
      <c r="AL1621">
        <v>80.5297307930134</v>
      </c>
      <c r="AM1621">
        <v>75.428770457405193</v>
      </c>
      <c r="AN1621">
        <v>1.0000000009684</v>
      </c>
    </row>
    <row r="1622" spans="1:40" x14ac:dyDescent="0.25">
      <c r="A1622" t="str">
        <f>"20190303170251124"</f>
        <v>20190303170251124</v>
      </c>
      <c r="B1622" t="str">
        <f>"1551603771117056"</f>
        <v>1551603771117056</v>
      </c>
      <c r="C1622" t="s">
        <v>40</v>
      </c>
      <c r="D1622">
        <v>4.7172340000000004</v>
      </c>
      <c r="E1622">
        <v>0.62114749999999996</v>
      </c>
      <c r="F1622" t="s">
        <v>48</v>
      </c>
      <c r="G1622">
        <v>0</v>
      </c>
      <c r="H1622">
        <v>0</v>
      </c>
      <c r="I1622">
        <v>0</v>
      </c>
      <c r="J1622">
        <v>-195.6996</v>
      </c>
      <c r="K1622">
        <v>1.1141509999999999</v>
      </c>
      <c r="L1622">
        <v>357.77109999999999</v>
      </c>
      <c r="M1622">
        <v>0.56472339999999999</v>
      </c>
      <c r="N1622">
        <v>-1.519378E-2</v>
      </c>
      <c r="O1622">
        <v>-0.82514050000000005</v>
      </c>
      <c r="P1622">
        <v>0.33873379999999997</v>
      </c>
      <c r="Q1622">
        <v>0.15477439999999901</v>
      </c>
      <c r="R1622">
        <v>-0.92806520000000003</v>
      </c>
      <c r="S1622">
        <v>0.16679379999999999</v>
      </c>
      <c r="T1622">
        <v>1.4166949999999999E-2</v>
      </c>
      <c r="U1622">
        <v>-3.1764220000000001</v>
      </c>
      <c r="V1622">
        <v>0.2477673</v>
      </c>
      <c r="W1622">
        <v>0.16466739999999999</v>
      </c>
      <c r="X1622">
        <v>0.95472299999999999</v>
      </c>
      <c r="Y1622">
        <v>0.52070649999999996</v>
      </c>
      <c r="Z1622">
        <v>-1.791744E-2</v>
      </c>
      <c r="AA1622">
        <v>0.85354769999999902</v>
      </c>
      <c r="AB1622">
        <v>21</v>
      </c>
      <c r="AC1622">
        <v>0.16679379999999999</v>
      </c>
      <c r="AD1622">
        <v>1.4166949999999999E-2</v>
      </c>
      <c r="AE1622">
        <v>-3.1764220000000001</v>
      </c>
      <c r="AF1622">
        <v>1.6563296752452299</v>
      </c>
      <c r="AG1622">
        <v>1.4166949999999999E-2</v>
      </c>
      <c r="AH1622">
        <v>2.7154460973666299</v>
      </c>
      <c r="AI1622">
        <v>89.744807077096993</v>
      </c>
      <c r="AJ1622">
        <v>58.6182305576055</v>
      </c>
      <c r="AK1622">
        <v>3.18076660622466</v>
      </c>
      <c r="AL1622">
        <v>80.522086363411802</v>
      </c>
      <c r="AM1622">
        <v>75.4516830436866</v>
      </c>
      <c r="AN1622">
        <v>0.99999999715052401</v>
      </c>
    </row>
    <row r="1623" spans="1:40" x14ac:dyDescent="0.25">
      <c r="A1623" t="str">
        <f>"20190303170251142"</f>
        <v>20190303170251142</v>
      </c>
      <c r="B1623" t="str">
        <f>"1551603771126814"</f>
        <v>1551603771126814</v>
      </c>
      <c r="C1623" t="s">
        <v>40</v>
      </c>
      <c r="D1623">
        <v>4.7289649999999996</v>
      </c>
      <c r="E1623">
        <v>0.62049869999999996</v>
      </c>
      <c r="F1623" t="s">
        <v>61</v>
      </c>
      <c r="G1623">
        <v>-174.4</v>
      </c>
      <c r="H1623">
        <v>3.750632</v>
      </c>
      <c r="I1623">
        <v>-80.949869999999905</v>
      </c>
      <c r="J1623">
        <v>-195.6104</v>
      </c>
      <c r="K1623">
        <v>1.1141719999999999</v>
      </c>
      <c r="L1623">
        <v>357.61939999999998</v>
      </c>
      <c r="M1623">
        <v>0.55594460000000001</v>
      </c>
      <c r="N1623">
        <v>-1.518882E-2</v>
      </c>
      <c r="O1623">
        <v>-0.83108079999999995</v>
      </c>
      <c r="P1623">
        <v>0.33005000000000001</v>
      </c>
      <c r="Q1623">
        <v>0.15424370000000001</v>
      </c>
      <c r="R1623">
        <v>-0.93127669999999996</v>
      </c>
      <c r="S1623">
        <v>0.15405269999999999</v>
      </c>
      <c r="T1623">
        <v>1.906884E-2</v>
      </c>
      <c r="U1623">
        <v>-3.1731259999999999</v>
      </c>
      <c r="V1623">
        <v>0.24659149999999999</v>
      </c>
      <c r="W1623">
        <v>0.16417309999999999</v>
      </c>
      <c r="X1623">
        <v>0.95511250000000003</v>
      </c>
      <c r="Y1623">
        <v>0.51502460000000005</v>
      </c>
      <c r="Z1623">
        <v>-1.9029399999999998E-2</v>
      </c>
      <c r="AA1623">
        <v>0.85696419999999995</v>
      </c>
      <c r="AB1623">
        <v>21</v>
      </c>
      <c r="AC1623">
        <v>21.2104</v>
      </c>
      <c r="AD1623">
        <v>2.63646</v>
      </c>
      <c r="AE1623">
        <v>-438.56927000000002</v>
      </c>
      <c r="AF1623">
        <v>226.21055664427999</v>
      </c>
      <c r="AG1623">
        <v>2.63646</v>
      </c>
      <c r="AH1623">
        <v>376.30807675134997</v>
      </c>
      <c r="AI1623">
        <v>89.655960145541997</v>
      </c>
      <c r="AJ1623">
        <v>58.988607187691798</v>
      </c>
      <c r="AK1623">
        <v>439.07395218453399</v>
      </c>
      <c r="AL1623">
        <v>80.550798752096796</v>
      </c>
      <c r="AM1623">
        <v>75.523471278578796</v>
      </c>
      <c r="AN1623">
        <v>1.00000003114605</v>
      </c>
    </row>
    <row r="1624" spans="1:40" x14ac:dyDescent="0.25">
      <c r="A1624" t="str">
        <f>"20190303170251164"</f>
        <v>20190303170251164</v>
      </c>
      <c r="B1624" t="str">
        <f>"1551603771157070"</f>
        <v>1551603771157070</v>
      </c>
      <c r="C1624" t="s">
        <v>40</v>
      </c>
      <c r="D1624">
        <v>4.7676449999999999</v>
      </c>
      <c r="E1624">
        <v>0.60808890000000004</v>
      </c>
      <c r="F1624" t="s">
        <v>61</v>
      </c>
      <c r="G1624">
        <v>-177.75700000000001</v>
      </c>
      <c r="H1624">
        <v>3.6541070000000002</v>
      </c>
      <c r="I1624">
        <v>-80.949839999999995</v>
      </c>
      <c r="J1624">
        <v>-195.5</v>
      </c>
      <c r="K1624">
        <v>1.114198</v>
      </c>
      <c r="L1624">
        <v>357.42619999999999</v>
      </c>
      <c r="M1624">
        <v>0.54475519999999999</v>
      </c>
      <c r="N1624">
        <v>-1.518245E-2</v>
      </c>
      <c r="O1624">
        <v>-0.83845780000000003</v>
      </c>
      <c r="P1624">
        <v>0.31891730000000001</v>
      </c>
      <c r="Q1624">
        <v>0.1534499</v>
      </c>
      <c r="R1624">
        <v>-0.9352779</v>
      </c>
      <c r="S1624">
        <v>0.1291504</v>
      </c>
      <c r="T1624">
        <v>1.8373730000000001E-2</v>
      </c>
      <c r="U1624">
        <v>-3.172577</v>
      </c>
      <c r="V1624">
        <v>0.24522479999999999</v>
      </c>
      <c r="W1624">
        <v>0.16342139999999999</v>
      </c>
      <c r="X1624">
        <v>0.95559309999999997</v>
      </c>
      <c r="Y1624">
        <v>0.51023240000000003</v>
      </c>
      <c r="Z1624">
        <v>-1.8987259999999999E-2</v>
      </c>
      <c r="AA1624">
        <v>0.85982689999999995</v>
      </c>
      <c r="AB1624">
        <v>21</v>
      </c>
      <c r="AC1624">
        <v>17.742999999999899</v>
      </c>
      <c r="AD1624">
        <v>2.5399090000000002</v>
      </c>
      <c r="AE1624">
        <v>-438.37603999999999</v>
      </c>
      <c r="AF1624">
        <v>223.94915401184801</v>
      </c>
      <c r="AG1624">
        <v>2.5399090000000002</v>
      </c>
      <c r="AH1624">
        <v>377.25620112278</v>
      </c>
      <c r="AI1624">
        <v>89.668297878789701</v>
      </c>
      <c r="AJ1624">
        <v>59.305523350936099</v>
      </c>
      <c r="AK1624">
        <v>438.72761026170099</v>
      </c>
      <c r="AL1624">
        <v>80.594457014033395</v>
      </c>
      <c r="AM1624">
        <v>75.607301861611205</v>
      </c>
      <c r="AN1624">
        <v>0.99999996464030405</v>
      </c>
    </row>
    <row r="1625" spans="1:40" x14ac:dyDescent="0.25">
      <c r="A1625" t="str">
        <f>"20190303170251178"</f>
        <v>20190303170251178</v>
      </c>
      <c r="B1625" t="str">
        <f>"1551603771166831"</f>
        <v>1551603771166831</v>
      </c>
      <c r="C1625" t="s">
        <v>40</v>
      </c>
      <c r="D1625">
        <v>4.7822800000000001</v>
      </c>
      <c r="E1625">
        <v>0.60809659999999999</v>
      </c>
      <c r="F1625" t="s">
        <v>48</v>
      </c>
      <c r="G1625">
        <v>0</v>
      </c>
      <c r="H1625">
        <v>0</v>
      </c>
      <c r="I1625">
        <v>0</v>
      </c>
      <c r="J1625">
        <v>-195.43610000000001</v>
      </c>
      <c r="K1625">
        <v>1.1142110000000001</v>
      </c>
      <c r="L1625">
        <v>357.31180000000001</v>
      </c>
      <c r="M1625">
        <v>0.53811999999999904</v>
      </c>
      <c r="N1625">
        <v>-1.517872E-2</v>
      </c>
      <c r="O1625">
        <v>-0.84273149999999997</v>
      </c>
      <c r="P1625">
        <v>0.31175439999999999</v>
      </c>
      <c r="Q1625">
        <v>0.15312519999999999</v>
      </c>
      <c r="R1625">
        <v>-0.93774310000000005</v>
      </c>
      <c r="S1625">
        <v>0.18318180000000001</v>
      </c>
      <c r="T1625">
        <v>3.016162E-2</v>
      </c>
      <c r="U1625">
        <v>-3.1401979999999998</v>
      </c>
      <c r="V1625">
        <v>0.2450068</v>
      </c>
      <c r="W1625">
        <v>0.16310759999999999</v>
      </c>
      <c r="X1625">
        <v>0.95570270000000002</v>
      </c>
      <c r="Y1625">
        <v>0.48818250000000002</v>
      </c>
      <c r="Z1625">
        <v>-2.1657180000000002E-2</v>
      </c>
      <c r="AA1625">
        <v>0.872472899999999</v>
      </c>
      <c r="AB1625">
        <v>21</v>
      </c>
      <c r="AC1625">
        <v>0.18318180000000001</v>
      </c>
      <c r="AD1625">
        <v>3.016162E-2</v>
      </c>
      <c r="AE1625">
        <v>-3.1401979999999998</v>
      </c>
      <c r="AF1625">
        <v>1.5354660759530401</v>
      </c>
      <c r="AG1625">
        <v>3.016162E-2</v>
      </c>
      <c r="AH1625">
        <v>2.7449815636736998</v>
      </c>
      <c r="AI1625">
        <v>89.450574006634</v>
      </c>
      <c r="AJ1625">
        <v>60.778568751943801</v>
      </c>
      <c r="AK1625">
        <v>3.1453918004967498</v>
      </c>
      <c r="AL1625">
        <v>80.612681629084193</v>
      </c>
      <c r="AM1625">
        <v>75.621146632954407</v>
      </c>
      <c r="AN1625">
        <v>1.00000003600564</v>
      </c>
    </row>
    <row r="1626" spans="1:40" x14ac:dyDescent="0.25">
      <c r="A1626" t="str">
        <f>"20190303170251191"</f>
        <v>20190303170251191</v>
      </c>
      <c r="B1626" t="str">
        <f>"1551603771177567"</f>
        <v>1551603771177567</v>
      </c>
      <c r="C1626" t="s">
        <v>40</v>
      </c>
      <c r="D1626">
        <v>4.7955550000000002</v>
      </c>
      <c r="E1626">
        <v>0.60706910000000003</v>
      </c>
      <c r="F1626" t="s">
        <v>48</v>
      </c>
      <c r="G1626">
        <v>0</v>
      </c>
      <c r="H1626">
        <v>0</v>
      </c>
      <c r="I1626">
        <v>0</v>
      </c>
      <c r="J1626">
        <v>-195.37479999999999</v>
      </c>
      <c r="K1626">
        <v>1.1142219999999901</v>
      </c>
      <c r="L1626">
        <v>357.19970000000001</v>
      </c>
      <c r="M1626">
        <v>0.53161610000000004</v>
      </c>
      <c r="N1626">
        <v>-1.5175050000000001E-2</v>
      </c>
      <c r="O1626">
        <v>-0.84684969999999904</v>
      </c>
      <c r="P1626">
        <v>0.30475140000000001</v>
      </c>
      <c r="Q1626">
        <v>0.15326589999999901</v>
      </c>
      <c r="R1626">
        <v>-0.94001950000000001</v>
      </c>
      <c r="S1626">
        <v>0.1593475</v>
      </c>
      <c r="T1626">
        <v>2.3612020000000001E-2</v>
      </c>
      <c r="U1626">
        <v>-3.1423030000000001</v>
      </c>
      <c r="V1626">
        <v>0.24476120000000001</v>
      </c>
      <c r="W1626">
        <v>0.16325909999999999</v>
      </c>
      <c r="X1626">
        <v>0.95573969999999997</v>
      </c>
      <c r="Y1626">
        <v>0.48808570000000001</v>
      </c>
      <c r="Z1626">
        <v>-2.027019E-2</v>
      </c>
      <c r="AA1626">
        <v>0.87256029999999996</v>
      </c>
      <c r="AB1626">
        <v>21</v>
      </c>
      <c r="AC1626">
        <v>0.1593475</v>
      </c>
      <c r="AD1626">
        <v>2.3612020000000001E-2</v>
      </c>
      <c r="AE1626">
        <v>-3.1423030000000001</v>
      </c>
      <c r="AF1626">
        <v>1.5356455458729901</v>
      </c>
      <c r="AG1626">
        <v>2.3612020000000001E-2</v>
      </c>
      <c r="AH1626">
        <v>2.7459310927661198</v>
      </c>
      <c r="AI1626">
        <v>89.570002102676298</v>
      </c>
      <c r="AJ1626">
        <v>60.784158104504499</v>
      </c>
      <c r="AK1626">
        <v>3.1462521094578202</v>
      </c>
      <c r="AL1626">
        <v>80.603882820432901</v>
      </c>
      <c r="AM1626">
        <v>75.635496656430206</v>
      </c>
      <c r="AN1626">
        <v>0.99999997645716898</v>
      </c>
    </row>
    <row r="1627" spans="1:40" x14ac:dyDescent="0.25">
      <c r="A1627" t="str">
        <f>"20190303170251208"</f>
        <v>20190303170251208</v>
      </c>
      <c r="B1627" t="str">
        <f>"1551603771197086"</f>
        <v>1551603771197086</v>
      </c>
      <c r="C1627" t="s">
        <v>40</v>
      </c>
      <c r="D1627">
        <v>4.753476</v>
      </c>
      <c r="E1627">
        <v>0.60683100000000001</v>
      </c>
      <c r="F1627" t="s">
        <v>61</v>
      </c>
      <c r="G1627">
        <v>-175.2689</v>
      </c>
      <c r="H1627">
        <v>4.2627709999999999</v>
      </c>
      <c r="I1627">
        <v>-80.950040000000001</v>
      </c>
      <c r="J1627">
        <v>-195.29660000000001</v>
      </c>
      <c r="K1627">
        <v>1.1142399999999999</v>
      </c>
      <c r="L1627">
        <v>357.05349999999999</v>
      </c>
      <c r="M1627">
        <v>0.52312769999999997</v>
      </c>
      <c r="N1627">
        <v>-1.5170100000000001E-2</v>
      </c>
      <c r="O1627">
        <v>-0.85211939999999997</v>
      </c>
      <c r="P1627">
        <v>0.29586289999999998</v>
      </c>
      <c r="Q1627">
        <v>0.15431489999999901</v>
      </c>
      <c r="R1627">
        <v>-0.94268359999999995</v>
      </c>
      <c r="S1627">
        <v>0.1441345</v>
      </c>
      <c r="T1627">
        <v>2.2571210000000001E-2</v>
      </c>
      <c r="U1627">
        <v>-3.1409910000000001</v>
      </c>
      <c r="V1627">
        <v>0.2441557</v>
      </c>
      <c r="W1627">
        <v>0.164326</v>
      </c>
      <c r="X1627">
        <v>0.9557118</v>
      </c>
      <c r="Y1627">
        <v>0.4835547</v>
      </c>
      <c r="Z1627">
        <v>-2.0122899999999999E-2</v>
      </c>
      <c r="AA1627">
        <v>0.8750829</v>
      </c>
      <c r="AB1627">
        <v>21</v>
      </c>
      <c r="AC1627">
        <v>20.027699999999999</v>
      </c>
      <c r="AD1627">
        <v>3.1485310000000002</v>
      </c>
      <c r="AE1627">
        <v>-438.00353999999999</v>
      </c>
      <c r="AF1627">
        <v>212.079242092237</v>
      </c>
      <c r="AG1627">
        <v>3.1485310000000002</v>
      </c>
      <c r="AH1627">
        <v>383.73269333209902</v>
      </c>
      <c r="AI1627">
        <v>89.588552543217901</v>
      </c>
      <c r="AJ1627">
        <v>61.071694035685603</v>
      </c>
      <c r="AK1627">
        <v>438.44988095081402</v>
      </c>
      <c r="AL1627">
        <v>80.5419177186062</v>
      </c>
      <c r="AM1627">
        <v>75.669165769012295</v>
      </c>
      <c r="AN1627">
        <v>1.00000004238886</v>
      </c>
    </row>
    <row r="1628" spans="1:40" x14ac:dyDescent="0.25">
      <c r="A1628" t="str">
        <f>"20190303170251222"</f>
        <v>20190303170251222</v>
      </c>
      <c r="B1628" t="str">
        <f>"1551603771217584"</f>
        <v>1551603771217584</v>
      </c>
      <c r="C1628" t="s">
        <v>40</v>
      </c>
      <c r="D1628">
        <v>4.7390410000000003</v>
      </c>
      <c r="E1628">
        <v>0.60572139999999997</v>
      </c>
      <c r="F1628" t="s">
        <v>61</v>
      </c>
      <c r="G1628">
        <v>-178.94200000000001</v>
      </c>
      <c r="H1628">
        <v>4.7557330000000002</v>
      </c>
      <c r="I1628">
        <v>-81.816739999999996</v>
      </c>
      <c r="J1628">
        <v>-195.23339999999999</v>
      </c>
      <c r="K1628">
        <v>1.1142540000000001</v>
      </c>
      <c r="L1628">
        <v>356.93299999999999</v>
      </c>
      <c r="M1628">
        <v>0.51612259999999999</v>
      </c>
      <c r="N1628">
        <v>-1.5166020000000001E-2</v>
      </c>
      <c r="O1628">
        <v>-0.856380699999999</v>
      </c>
      <c r="P1628">
        <v>0.28892579999999901</v>
      </c>
      <c r="Q1628">
        <v>0.154675799999999</v>
      </c>
      <c r="R1628">
        <v>-0.94477390000000006</v>
      </c>
      <c r="S1628">
        <v>0.1170654</v>
      </c>
      <c r="T1628">
        <v>2.6065709999999999E-2</v>
      </c>
      <c r="U1628">
        <v>-3.1414179999999998</v>
      </c>
      <c r="V1628">
        <v>0.24331140000000001</v>
      </c>
      <c r="W1628">
        <v>0.16470969999999999</v>
      </c>
      <c r="X1628">
        <v>0.95586099999999996</v>
      </c>
      <c r="Y1628">
        <v>0.48391440000000002</v>
      </c>
      <c r="Z1628">
        <v>-2.1005409999999999E-2</v>
      </c>
      <c r="AA1628">
        <v>0.87486319999999995</v>
      </c>
      <c r="AB1628">
        <v>21</v>
      </c>
      <c r="AC1628">
        <v>16.2913999999999</v>
      </c>
      <c r="AD1628">
        <v>3.6414789999999999</v>
      </c>
      <c r="AE1628">
        <v>-438.74973999999997</v>
      </c>
      <c r="AF1628">
        <v>212.50679218200901</v>
      </c>
      <c r="AG1628">
        <v>3.6414789999999999</v>
      </c>
      <c r="AH1628">
        <v>384.16284221434603</v>
      </c>
      <c r="AI1628">
        <v>89.524769505314396</v>
      </c>
      <c r="AJ1628">
        <v>61.050012329387997</v>
      </c>
      <c r="AK1628">
        <v>439.03699893175298</v>
      </c>
      <c r="AL1628">
        <v>80.519629103613795</v>
      </c>
      <c r="AM1628">
        <v>75.718829546488095</v>
      </c>
      <c r="AN1628">
        <v>0.99999998698252401</v>
      </c>
    </row>
    <row r="1629" spans="1:40" x14ac:dyDescent="0.25">
      <c r="A1629" t="str">
        <f>"20190303170251237"</f>
        <v>20190303170251237</v>
      </c>
      <c r="B1629" t="str">
        <f>"1551603771227342"</f>
        <v>1551603771227342</v>
      </c>
      <c r="C1629" t="s">
        <v>40</v>
      </c>
      <c r="D1629">
        <v>4.7711489999999896</v>
      </c>
      <c r="E1629">
        <v>0.60499999999999998</v>
      </c>
      <c r="F1629" t="s">
        <v>61</v>
      </c>
      <c r="G1629">
        <v>-180.82509999999999</v>
      </c>
      <c r="H1629">
        <v>4.7279179999999998</v>
      </c>
      <c r="I1629">
        <v>-81.816730000000007</v>
      </c>
      <c r="J1629">
        <v>-195.16990000000001</v>
      </c>
      <c r="K1629">
        <v>1.1142669999999999</v>
      </c>
      <c r="L1629">
        <v>356.80959999999999</v>
      </c>
      <c r="M1629">
        <v>0.50894300000000003</v>
      </c>
      <c r="N1629">
        <v>-1.5161880000000001E-2</v>
      </c>
      <c r="O1629">
        <v>-0.86066690000000001</v>
      </c>
      <c r="P1629">
        <v>0.28221839999999998</v>
      </c>
      <c r="Q1629">
        <v>0.15467420000000001</v>
      </c>
      <c r="R1629">
        <v>-0.94679939999999996</v>
      </c>
      <c r="S1629">
        <v>0.1031036</v>
      </c>
      <c r="T1629">
        <v>2.5858760000000001E-2</v>
      </c>
      <c r="U1629">
        <v>-3.139618</v>
      </c>
      <c r="V1629">
        <v>0.2420872</v>
      </c>
      <c r="W1629">
        <v>0.16474079999999999</v>
      </c>
      <c r="X1629">
        <v>0.95616639999999997</v>
      </c>
      <c r="Y1629">
        <v>0.48045929999999998</v>
      </c>
      <c r="Z1629">
        <v>-2.1038060000000001E-2</v>
      </c>
      <c r="AA1629">
        <v>0.87676469999999995</v>
      </c>
      <c r="AB1629">
        <v>21</v>
      </c>
      <c r="AC1629">
        <v>14.344799999999999</v>
      </c>
      <c r="AD1629">
        <v>3.6136509999999999</v>
      </c>
      <c r="AE1629">
        <v>-438.62633</v>
      </c>
      <c r="AF1629">
        <v>210.89961124388</v>
      </c>
      <c r="AG1629">
        <v>3.6136509999999999</v>
      </c>
      <c r="AH1629">
        <v>384.82992391743397</v>
      </c>
      <c r="AI1629">
        <v>89.528195971556897</v>
      </c>
      <c r="AJ1629">
        <v>61.275791642763302</v>
      </c>
      <c r="AK1629">
        <v>438.84595798374102</v>
      </c>
      <c r="AL1629">
        <v>80.517822306513395</v>
      </c>
      <c r="AM1629">
        <v>75.792121310853005</v>
      </c>
      <c r="AN1629">
        <v>0.99999996403871905</v>
      </c>
    </row>
    <row r="1630" spans="1:40" x14ac:dyDescent="0.25">
      <c r="A1630" t="str">
        <f>"20190303170251256"</f>
        <v>20190303170251256</v>
      </c>
      <c r="B1630" t="str">
        <f>"1551603771246862"</f>
        <v>1551603771246862</v>
      </c>
      <c r="C1630" t="s">
        <v>40</v>
      </c>
      <c r="D1630">
        <v>4.7766089999999997</v>
      </c>
      <c r="E1630">
        <v>0.60428169999999903</v>
      </c>
      <c r="F1630" t="s">
        <v>61</v>
      </c>
      <c r="G1630">
        <v>-183.12569999999999</v>
      </c>
      <c r="H1630">
        <v>4.8056919999999996</v>
      </c>
      <c r="I1630">
        <v>-81.816760000000002</v>
      </c>
      <c r="J1630">
        <v>-195.08629999999999</v>
      </c>
      <c r="K1630">
        <v>1.1142860000000001</v>
      </c>
      <c r="L1630">
        <v>356.6429</v>
      </c>
      <c r="M1630">
        <v>0.4992394</v>
      </c>
      <c r="N1630">
        <v>-1.515584E-2</v>
      </c>
      <c r="O1630">
        <v>-0.86633169999999904</v>
      </c>
      <c r="P1630">
        <v>0.27443909999999899</v>
      </c>
      <c r="Q1630">
        <v>0.15332190000000001</v>
      </c>
      <c r="R1630">
        <v>-0.9493026</v>
      </c>
      <c r="S1630">
        <v>8.6181640000000004E-2</v>
      </c>
      <c r="T1630">
        <v>2.641392E-2</v>
      </c>
      <c r="U1630">
        <v>-3.1385800000000001</v>
      </c>
      <c r="V1630">
        <v>0.23925630000000001</v>
      </c>
      <c r="W1630">
        <v>0.16346240000000001</v>
      </c>
      <c r="X1630">
        <v>0.95709789999999995</v>
      </c>
      <c r="Y1630">
        <v>0.47531000000000001</v>
      </c>
      <c r="Z1630">
        <v>-2.1270399999999998E-2</v>
      </c>
      <c r="AA1630">
        <v>0.87956119999999904</v>
      </c>
      <c r="AB1630">
        <v>21</v>
      </c>
      <c r="AC1630">
        <v>11.960599999999999</v>
      </c>
      <c r="AD1630">
        <v>3.6914060000000002</v>
      </c>
      <c r="AE1630">
        <v>-438.45965999999999</v>
      </c>
      <c r="AF1630">
        <v>208.54364380653399</v>
      </c>
      <c r="AG1630">
        <v>3.6914060000000002</v>
      </c>
      <c r="AH1630">
        <v>385.83964022138201</v>
      </c>
      <c r="AI1630">
        <v>89.517781594180704</v>
      </c>
      <c r="AJ1630">
        <v>61.609086380389599</v>
      </c>
      <c r="AK1630">
        <v>438.60723411331099</v>
      </c>
      <c r="AL1630">
        <v>80.5920758401233</v>
      </c>
      <c r="AM1630">
        <v>75.964780564456007</v>
      </c>
      <c r="AN1630">
        <v>0.99999996174392902</v>
      </c>
    </row>
    <row r="1631" spans="1:40" x14ac:dyDescent="0.25">
      <c r="A1631" t="str">
        <f>"20190303170251278"</f>
        <v>20190303170251278</v>
      </c>
      <c r="B1631" t="str">
        <f>"1551603771267358"</f>
        <v>1551603771267358</v>
      </c>
      <c r="C1631" t="s">
        <v>40</v>
      </c>
      <c r="D1631">
        <v>4.7981309999999997</v>
      </c>
      <c r="E1631">
        <v>0.5942636</v>
      </c>
      <c r="F1631" t="s">
        <v>61</v>
      </c>
      <c r="G1631">
        <v>-185.9813</v>
      </c>
      <c r="H1631">
        <v>4.3133400000000002</v>
      </c>
      <c r="I1631">
        <v>-81.816599999999994</v>
      </c>
      <c r="J1631">
        <v>-194.9924</v>
      </c>
      <c r="K1631">
        <v>1.114309</v>
      </c>
      <c r="L1631">
        <v>356.44979999999998</v>
      </c>
      <c r="M1631">
        <v>0.48799870000000001</v>
      </c>
      <c r="N1631">
        <v>-1.514804E-2</v>
      </c>
      <c r="O1631">
        <v>-0.87271309999999902</v>
      </c>
      <c r="P1631">
        <v>0.26481300000000002</v>
      </c>
      <c r="Q1631">
        <v>0.15246460000000001</v>
      </c>
      <c r="R1631">
        <v>-0.95217070000000004</v>
      </c>
      <c r="S1631">
        <v>6.5155030000000003E-2</v>
      </c>
      <c r="T1631">
        <v>2.289236E-2</v>
      </c>
      <c r="U1631">
        <v>-3.1376040000000001</v>
      </c>
      <c r="V1631">
        <v>0.23660690000000001</v>
      </c>
      <c r="W1631">
        <v>0.16267570000000001</v>
      </c>
      <c r="X1631">
        <v>0.95789029999999997</v>
      </c>
      <c r="Y1631">
        <v>0.46980650000000002</v>
      </c>
      <c r="Z1631">
        <v>-2.0543510000000001E-2</v>
      </c>
      <c r="AA1631">
        <v>0.88253029999999999</v>
      </c>
      <c r="AB1631">
        <v>21</v>
      </c>
      <c r="AC1631">
        <v>9.0111000000000008</v>
      </c>
      <c r="AD1631">
        <v>3.1990310000000002</v>
      </c>
      <c r="AE1631">
        <v>-438.26639999999998</v>
      </c>
      <c r="AF1631">
        <v>206.02196017447699</v>
      </c>
      <c r="AG1631">
        <v>3.1990310000000002</v>
      </c>
      <c r="AH1631">
        <v>386.901955609308</v>
      </c>
      <c r="AI1631">
        <v>89.581855350381403</v>
      </c>
      <c r="AJ1631">
        <v>61.965083126074198</v>
      </c>
      <c r="AK1631">
        <v>438.34735670216998</v>
      </c>
      <c r="AL1631">
        <v>80.637762485462005</v>
      </c>
      <c r="AM1631">
        <v>76.125195926324295</v>
      </c>
      <c r="AN1631">
        <v>1.0000000176660899</v>
      </c>
    </row>
    <row r="1632" spans="1:40" x14ac:dyDescent="0.25">
      <c r="A1632" t="str">
        <f>"20190303170251298"</f>
        <v>20190303170251298</v>
      </c>
      <c r="B1632" t="str">
        <f>"1551603771286879"</f>
        <v>1551603771286879</v>
      </c>
      <c r="C1632" t="s">
        <v>40</v>
      </c>
      <c r="D1632">
        <v>4.7985790000000001</v>
      </c>
      <c r="E1632">
        <v>0.59282000000000001</v>
      </c>
      <c r="F1632" t="s">
        <v>61</v>
      </c>
      <c r="G1632">
        <v>-179.38570000000001</v>
      </c>
      <c r="H1632">
        <v>2.6063510000000001</v>
      </c>
      <c r="I1632">
        <v>-81.816019999999995</v>
      </c>
      <c r="J1632">
        <v>-194.90729999999999</v>
      </c>
      <c r="K1632">
        <v>1.1143379999999901</v>
      </c>
      <c r="L1632">
        <v>356.26900000000001</v>
      </c>
      <c r="M1632">
        <v>0.4774776</v>
      </c>
      <c r="N1632">
        <v>-1.5139669999999999E-2</v>
      </c>
      <c r="O1632">
        <v>-0.87851360000000001</v>
      </c>
      <c r="P1632">
        <v>0.25408170000000002</v>
      </c>
      <c r="Q1632">
        <v>0.1523186</v>
      </c>
      <c r="R1632">
        <v>-0.95511360000000001</v>
      </c>
      <c r="S1632">
        <v>0.1110382</v>
      </c>
      <c r="T1632">
        <v>1.0615589999999999E-2</v>
      </c>
      <c r="U1632">
        <v>-3.1181640000000002</v>
      </c>
      <c r="V1632">
        <v>0.23586960000000001</v>
      </c>
      <c r="W1632">
        <v>0.16255720000000001</v>
      </c>
      <c r="X1632">
        <v>0.95809219999999895</v>
      </c>
      <c r="Y1632">
        <v>0.44592900000000002</v>
      </c>
      <c r="Z1632">
        <v>-1.7609860000000001E-2</v>
      </c>
      <c r="AA1632">
        <v>0.89489509999999906</v>
      </c>
      <c r="AB1632">
        <v>21</v>
      </c>
      <c r="AC1632">
        <v>15.5215999999999</v>
      </c>
      <c r="AD1632">
        <v>1.49201299999999</v>
      </c>
      <c r="AE1632">
        <v>-438.08501999999999</v>
      </c>
      <c r="AF1632">
        <v>195.55997453300401</v>
      </c>
      <c r="AG1632">
        <v>1.49201299999999</v>
      </c>
      <c r="AH1632">
        <v>392.31524192591701</v>
      </c>
      <c r="AI1632">
        <v>89.804985110532201</v>
      </c>
      <c r="AJ1632">
        <v>63.504818103551997</v>
      </c>
      <c r="AK1632">
        <v>438.35736424694898</v>
      </c>
      <c r="AL1632">
        <v>80.644643343716993</v>
      </c>
      <c r="AM1632">
        <v>76.169571771716406</v>
      </c>
      <c r="AN1632">
        <v>0.99999998758841901</v>
      </c>
    </row>
    <row r="1633" spans="1:40" x14ac:dyDescent="0.25">
      <c r="A1633" t="str">
        <f>"20190303170251312"</f>
        <v>20190303170251312</v>
      </c>
      <c r="B1633" t="str">
        <f>"1551603771307374"</f>
        <v>1551603771307374</v>
      </c>
      <c r="C1633" t="s">
        <v>40</v>
      </c>
      <c r="D1633">
        <v>4.8118410000000003</v>
      </c>
      <c r="E1633">
        <v>0.59230969999999905</v>
      </c>
      <c r="F1633" t="s">
        <v>61</v>
      </c>
      <c r="G1633">
        <v>-182.54300000000001</v>
      </c>
      <c r="H1633">
        <v>2.2493789999999998</v>
      </c>
      <c r="I1633">
        <v>-81.815910000000002</v>
      </c>
      <c r="J1633">
        <v>-194.84960000000001</v>
      </c>
      <c r="K1633">
        <v>1.1143639999999999</v>
      </c>
      <c r="L1633">
        <v>356.14330000000001</v>
      </c>
      <c r="M1633">
        <v>0.47016639999999998</v>
      </c>
      <c r="N1633">
        <v>-1.513312E-2</v>
      </c>
      <c r="O1633">
        <v>-0.88244840000000002</v>
      </c>
      <c r="P1633">
        <v>0.2462587</v>
      </c>
      <c r="Q1633">
        <v>0.15223310000000001</v>
      </c>
      <c r="R1633">
        <v>-0.95717390000000002</v>
      </c>
      <c r="S1633">
        <v>8.7951660000000001E-2</v>
      </c>
      <c r="T1633">
        <v>8.0739260000000004E-3</v>
      </c>
      <c r="U1633">
        <v>-3.116241</v>
      </c>
      <c r="V1633">
        <v>0.23574629999999999</v>
      </c>
      <c r="W1633">
        <v>0.1624842</v>
      </c>
      <c r="X1633">
        <v>0.95813490000000001</v>
      </c>
      <c r="Y1633">
        <v>0.44509680000000001</v>
      </c>
      <c r="Z1633">
        <v>-1.7026260000000001E-2</v>
      </c>
      <c r="AA1633">
        <v>0.89532060000000002</v>
      </c>
      <c r="AB1633">
        <v>21</v>
      </c>
      <c r="AC1633">
        <v>12.3066</v>
      </c>
      <c r="AD1633">
        <v>1.1350150000000001</v>
      </c>
      <c r="AE1633">
        <v>-437.95920999999998</v>
      </c>
      <c r="AF1633">
        <v>195.07473324480401</v>
      </c>
      <c r="AG1633">
        <v>1.1350150000000001</v>
      </c>
      <c r="AH1633">
        <v>392.30472082896</v>
      </c>
      <c r="AI1633">
        <v>89.851570193826007</v>
      </c>
      <c r="AJ1633">
        <v>63.5609963608632</v>
      </c>
      <c r="AK1633">
        <v>438.13061271071899</v>
      </c>
      <c r="AL1633">
        <v>80.648882030735095</v>
      </c>
      <c r="AM1633">
        <v>76.177116625239293</v>
      </c>
      <c r="AN1633">
        <v>0.99999995990566903</v>
      </c>
    </row>
    <row r="1634" spans="1:40" x14ac:dyDescent="0.25">
      <c r="A1634" t="str">
        <f>"20190303170251332"</f>
        <v>20190303170251332</v>
      </c>
      <c r="B1634" t="str">
        <f>"1551603771326894"</f>
        <v>1551603771326894</v>
      </c>
      <c r="C1634" t="s">
        <v>40</v>
      </c>
      <c r="D1634">
        <v>4.8415780000000002</v>
      </c>
      <c r="E1634">
        <v>0.58604780000000001</v>
      </c>
      <c r="F1634" t="s">
        <v>61</v>
      </c>
      <c r="G1634">
        <v>-185.40870000000001</v>
      </c>
      <c r="H1634">
        <v>2.038106</v>
      </c>
      <c r="I1634">
        <v>-81.815839999999994</v>
      </c>
      <c r="J1634">
        <v>-194.76990000000001</v>
      </c>
      <c r="K1634">
        <v>1.1144069999999999</v>
      </c>
      <c r="L1634">
        <v>355.9649</v>
      </c>
      <c r="M1634">
        <v>0.45982889999999998</v>
      </c>
      <c r="N1634">
        <v>-1.512144E-2</v>
      </c>
      <c r="O1634">
        <v>-0.88787879999999997</v>
      </c>
      <c r="P1634">
        <v>0.23643819999999999</v>
      </c>
      <c r="Q1634">
        <v>0.151696</v>
      </c>
      <c r="R1634">
        <v>-0.95973189999999997</v>
      </c>
      <c r="S1634">
        <v>6.7169190000000004E-2</v>
      </c>
      <c r="T1634">
        <v>6.5721269999999997E-3</v>
      </c>
      <c r="U1634">
        <v>-3.115936</v>
      </c>
      <c r="V1634">
        <v>0.23437930000000001</v>
      </c>
      <c r="W1634">
        <v>0.16199630000000001</v>
      </c>
      <c r="X1634">
        <v>0.95855279999999998</v>
      </c>
      <c r="Y1634">
        <v>0.44059759999999998</v>
      </c>
      <c r="Z1634">
        <v>-1.6689369999999999E-2</v>
      </c>
      <c r="AA1634">
        <v>0.89754959999999995</v>
      </c>
      <c r="AB1634">
        <v>21</v>
      </c>
      <c r="AC1634">
        <v>9.3611999999999895</v>
      </c>
      <c r="AD1634">
        <v>0.92369899999999905</v>
      </c>
      <c r="AE1634">
        <v>-437.78073999999998</v>
      </c>
      <c r="AF1634">
        <v>193.013830899406</v>
      </c>
      <c r="AG1634">
        <v>0.92369899999999905</v>
      </c>
      <c r="AH1634">
        <v>393.04397086538199</v>
      </c>
      <c r="AI1634">
        <v>89.879135578910294</v>
      </c>
      <c r="AJ1634">
        <v>63.845527199350201</v>
      </c>
      <c r="AK1634">
        <v>437.87984102026701</v>
      </c>
      <c r="AL1634">
        <v>80.677212016279896</v>
      </c>
      <c r="AM1634">
        <v>76.259986973634099</v>
      </c>
      <c r="AN1634">
        <v>0.99999996393500901</v>
      </c>
    </row>
    <row r="1635" spans="1:40" x14ac:dyDescent="0.25">
      <c r="A1635" t="str">
        <f>"20190303170251346"</f>
        <v>20190303170251346</v>
      </c>
      <c r="B1635" t="str">
        <f>"1551603771337631"</f>
        <v>1551603771337631</v>
      </c>
      <c r="C1635" t="s">
        <v>40</v>
      </c>
      <c r="D1635">
        <v>4.8325680000000002</v>
      </c>
      <c r="E1635">
        <v>0.58536069999999996</v>
      </c>
      <c r="F1635" t="s">
        <v>61</v>
      </c>
      <c r="G1635">
        <v>-182.9442</v>
      </c>
      <c r="H1635">
        <v>1.7227619999999999</v>
      </c>
      <c r="I1635">
        <v>-81.815730000000002</v>
      </c>
      <c r="J1635">
        <v>-194.7183</v>
      </c>
      <c r="K1635">
        <v>1.114455</v>
      </c>
      <c r="L1635">
        <v>355.846</v>
      </c>
      <c r="M1635">
        <v>0.45298470000000002</v>
      </c>
      <c r="N1635">
        <v>-1.511036E-2</v>
      </c>
      <c r="O1635">
        <v>-0.89139029999999997</v>
      </c>
      <c r="P1635">
        <v>0.23012830000000001</v>
      </c>
      <c r="Q1635">
        <v>0.1512599</v>
      </c>
      <c r="R1635">
        <v>-0.96133349999999995</v>
      </c>
      <c r="S1635">
        <v>8.3862300000000001E-2</v>
      </c>
      <c r="T1635">
        <v>4.3141840000000004E-3</v>
      </c>
      <c r="U1635">
        <v>-3.1045229999999999</v>
      </c>
      <c r="V1635">
        <v>0.23330139999999999</v>
      </c>
      <c r="W1635">
        <v>0.16160429999999901</v>
      </c>
      <c r="X1635">
        <v>0.95888189999999995</v>
      </c>
      <c r="Y1635">
        <v>0.42875770000000002</v>
      </c>
      <c r="Z1635">
        <v>-1.6109430000000001E-2</v>
      </c>
      <c r="AA1635">
        <v>0.90327590000000002</v>
      </c>
      <c r="AB1635">
        <v>21</v>
      </c>
      <c r="AC1635">
        <v>11.774100000000001</v>
      </c>
      <c r="AD1635">
        <v>0.60830699999999904</v>
      </c>
      <c r="AE1635">
        <v>-437.66172999999998</v>
      </c>
      <c r="AF1635">
        <v>187.77981287473901</v>
      </c>
      <c r="AG1635">
        <v>0.60830699999999904</v>
      </c>
      <c r="AH1635">
        <v>395.50527321574498</v>
      </c>
      <c r="AI1635">
        <v>89.9203931695275</v>
      </c>
      <c r="AJ1635">
        <v>64.602352304779401</v>
      </c>
      <c r="AK1635">
        <v>437.81965385548801</v>
      </c>
      <c r="AL1635">
        <v>80.699972154342902</v>
      </c>
      <c r="AM1635">
        <v>76.325316109997701</v>
      </c>
      <c r="AN1635">
        <v>0.99999999558402997</v>
      </c>
    </row>
    <row r="1636" spans="1:40" x14ac:dyDescent="0.25">
      <c r="A1636" t="str">
        <f>"20190303170251360"</f>
        <v>20190303170251360</v>
      </c>
      <c r="B1636" t="str">
        <f>"1551603771347390"</f>
        <v>1551603771347390</v>
      </c>
      <c r="C1636" t="s">
        <v>40</v>
      </c>
      <c r="D1636">
        <v>4.8482710000000004</v>
      </c>
      <c r="E1636">
        <v>0.58536069999999996</v>
      </c>
      <c r="F1636" t="s">
        <v>61</v>
      </c>
      <c r="G1636">
        <v>-184.9913</v>
      </c>
      <c r="H1636">
        <v>1.306422</v>
      </c>
      <c r="I1636">
        <v>-81.815600000000003</v>
      </c>
      <c r="J1636">
        <v>-194.66759999999999</v>
      </c>
      <c r="K1636">
        <v>1.1145130000000001</v>
      </c>
      <c r="L1636">
        <v>355.72750000000002</v>
      </c>
      <c r="M1636">
        <v>0.44619520000000001</v>
      </c>
      <c r="N1636">
        <v>-1.5097279999999999E-2</v>
      </c>
      <c r="O1636">
        <v>-0.89480839999999995</v>
      </c>
      <c r="P1636">
        <v>0.22378329999999999</v>
      </c>
      <c r="Q1636">
        <v>0.15054229999999999</v>
      </c>
      <c r="R1636">
        <v>-0.96294270000000004</v>
      </c>
      <c r="S1636">
        <v>6.8984989999999996E-2</v>
      </c>
      <c r="T1636">
        <v>1.361489E-3</v>
      </c>
      <c r="U1636">
        <v>-3.1039430000000001</v>
      </c>
      <c r="V1636">
        <v>0.2323453</v>
      </c>
      <c r="W1636">
        <v>0.16093189999999999</v>
      </c>
      <c r="X1636">
        <v>0.9592271</v>
      </c>
      <c r="Y1636">
        <v>0.42620720000000001</v>
      </c>
      <c r="Z1636">
        <v>-1.536709E-2</v>
      </c>
      <c r="AA1636">
        <v>0.9044951</v>
      </c>
      <c r="AB1636">
        <v>21</v>
      </c>
      <c r="AC1636">
        <v>9.6762999999999906</v>
      </c>
      <c r="AD1636">
        <v>0.191909</v>
      </c>
      <c r="AE1636">
        <v>-437.54309999999998</v>
      </c>
      <c r="AF1636">
        <v>186.592411978472</v>
      </c>
      <c r="AG1636">
        <v>0.191909</v>
      </c>
      <c r="AH1636">
        <v>395.87977123521802</v>
      </c>
      <c r="AI1636">
        <v>89.9748758709583</v>
      </c>
      <c r="AJ1636">
        <v>64.763807550109703</v>
      </c>
      <c r="AK1636">
        <v>437.65004091197801</v>
      </c>
      <c r="AL1636">
        <v>80.739009050364203</v>
      </c>
      <c r="AM1636">
        <v>76.383984310686998</v>
      </c>
      <c r="AN1636">
        <v>1.00000002212205</v>
      </c>
    </row>
    <row r="1637" spans="1:40" x14ac:dyDescent="0.25">
      <c r="A1637" t="str">
        <f>"20190303170251377"</f>
        <v>20190303170251377</v>
      </c>
      <c r="B1637" t="str">
        <f>"1551603771366911"</f>
        <v>1551603771366911</v>
      </c>
      <c r="C1637" t="s">
        <v>40</v>
      </c>
      <c r="D1637">
        <v>4.8679579999999998</v>
      </c>
      <c r="E1637">
        <v>0.58012410000000003</v>
      </c>
      <c r="F1637" t="s">
        <v>61</v>
      </c>
      <c r="G1637">
        <v>-187.8587</v>
      </c>
      <c r="H1637">
        <v>1.026114</v>
      </c>
      <c r="I1637">
        <v>-81.815510000000003</v>
      </c>
      <c r="J1637">
        <v>-194.60120000000001</v>
      </c>
      <c r="K1637">
        <v>1.114611</v>
      </c>
      <c r="L1637">
        <v>355.56830000000002</v>
      </c>
      <c r="M1637">
        <v>0.43715949999999998</v>
      </c>
      <c r="N1637">
        <v>-1.5074509999999999E-2</v>
      </c>
      <c r="O1637">
        <v>-0.89925769999999905</v>
      </c>
      <c r="P1637">
        <v>0.21538450000000001</v>
      </c>
      <c r="Q1637">
        <v>0.149858399999999</v>
      </c>
      <c r="R1637">
        <v>-0.9649624</v>
      </c>
      <c r="S1637">
        <v>4.8309329999999998E-2</v>
      </c>
      <c r="T1637">
        <v>-6.2716010000000001E-4</v>
      </c>
      <c r="U1637">
        <v>-3.1043699999999999</v>
      </c>
      <c r="V1637">
        <v>0.23102880000000001</v>
      </c>
      <c r="W1637">
        <v>0.16031719999999999</v>
      </c>
      <c r="X1637">
        <v>0.9596479</v>
      </c>
      <c r="Y1637">
        <v>0.42311530000000003</v>
      </c>
      <c r="Z1637">
        <v>-1.485857E-2</v>
      </c>
      <c r="AA1637">
        <v>0.90595400000000004</v>
      </c>
      <c r="AB1637">
        <v>21</v>
      </c>
      <c r="AC1637">
        <v>6.7424999999999997</v>
      </c>
      <c r="AD1637">
        <v>-8.8497000000000006E-2</v>
      </c>
      <c r="AE1637">
        <v>-437.38380999999998</v>
      </c>
      <c r="AF1637">
        <v>185.16426727069199</v>
      </c>
      <c r="AG1637">
        <v>-8.8497000000000006E-2</v>
      </c>
      <c r="AH1637">
        <v>396.31330663887201</v>
      </c>
      <c r="AI1637">
        <v>90.011591426697095</v>
      </c>
      <c r="AJ1637">
        <v>64.957224667886393</v>
      </c>
      <c r="AK1637">
        <v>437.43576754153003</v>
      </c>
      <c r="AL1637">
        <v>80.774691897619405</v>
      </c>
      <c r="AM1637">
        <v>76.464005157919601</v>
      </c>
      <c r="AN1637">
        <v>1.00000000150984</v>
      </c>
    </row>
    <row r="1638" spans="1:40" x14ac:dyDescent="0.25">
      <c r="A1638" t="str">
        <f>"20190303170251391"</f>
        <v>20190303170251391</v>
      </c>
      <c r="B1638" t="str">
        <f>"1551603771377647"</f>
        <v>1551603771377647</v>
      </c>
      <c r="C1638" t="s">
        <v>40</v>
      </c>
      <c r="D1638">
        <v>4.8426070000000001</v>
      </c>
      <c r="E1638">
        <v>0.57912929999999996</v>
      </c>
      <c r="F1638" t="s">
        <v>61</v>
      </c>
      <c r="G1638">
        <v>-185.8348</v>
      </c>
      <c r="H1638">
        <v>0.72962280000000002</v>
      </c>
      <c r="I1638">
        <v>-81.81541</v>
      </c>
      <c r="J1638">
        <v>-194.5497</v>
      </c>
      <c r="K1638">
        <v>1.114711</v>
      </c>
      <c r="L1638">
        <v>355.44170000000003</v>
      </c>
      <c r="M1638">
        <v>0.43005339999999997</v>
      </c>
      <c r="N1638">
        <v>-1.505195E-2</v>
      </c>
      <c r="O1638">
        <v>-0.90267810000000004</v>
      </c>
      <c r="P1638">
        <v>0.2079657</v>
      </c>
      <c r="Q1638">
        <v>0.1495137</v>
      </c>
      <c r="R1638">
        <v>-0.96664159999999999</v>
      </c>
      <c r="S1638">
        <v>6.2042239999999999E-2</v>
      </c>
      <c r="T1638">
        <v>-2.7246480000000001E-3</v>
      </c>
      <c r="U1638">
        <v>-3.0954899999999999</v>
      </c>
      <c r="V1638">
        <v>0.23080639999999999</v>
      </c>
      <c r="W1638">
        <v>0.16001460000000001</v>
      </c>
      <c r="X1638">
        <v>0.95975189999999999</v>
      </c>
      <c r="Y1638">
        <v>0.41187770000000001</v>
      </c>
      <c r="Z1638">
        <v>-1.427111E-2</v>
      </c>
      <c r="AA1638">
        <v>0.91112740000000003</v>
      </c>
      <c r="AB1638">
        <v>21</v>
      </c>
      <c r="AC1638">
        <v>8.7149000000000001</v>
      </c>
      <c r="AD1638">
        <v>-0.38508819999999999</v>
      </c>
      <c r="AE1638">
        <v>-437.25710999999899</v>
      </c>
      <c r="AF1638">
        <v>180.19741013981701</v>
      </c>
      <c r="AG1638">
        <v>-0.38508819999999999</v>
      </c>
      <c r="AH1638">
        <v>398.495077160265</v>
      </c>
      <c r="AI1638">
        <v>90.050449857726093</v>
      </c>
      <c r="AJ1638">
        <v>65.667763500613006</v>
      </c>
      <c r="AK1638">
        <v>437.34377946300401</v>
      </c>
      <c r="AL1638">
        <v>80.792256230520593</v>
      </c>
      <c r="AM1638">
        <v>76.477968395961</v>
      </c>
      <c r="AN1638">
        <v>0.99999998802386403</v>
      </c>
    </row>
    <row r="1639" spans="1:40" x14ac:dyDescent="0.25">
      <c r="A1639" t="str">
        <f>"20190303170251411"</f>
        <v>20190303170251411</v>
      </c>
      <c r="B1639" t="str">
        <f>"1551603771397167"</f>
        <v>1551603771397167</v>
      </c>
      <c r="C1639" t="s">
        <v>40</v>
      </c>
      <c r="D1639">
        <v>4.8540260000000002</v>
      </c>
      <c r="E1639">
        <v>0.57731779999999999</v>
      </c>
      <c r="F1639" t="s">
        <v>61</v>
      </c>
      <c r="G1639">
        <v>-187.98230000000001</v>
      </c>
      <c r="H1639">
        <v>0.16927619999999999</v>
      </c>
      <c r="I1639">
        <v>-81.815219999999997</v>
      </c>
      <c r="J1639">
        <v>-194.47929999999999</v>
      </c>
      <c r="K1639">
        <v>1.114868</v>
      </c>
      <c r="L1639">
        <v>355.2645</v>
      </c>
      <c r="M1639">
        <v>0.4202321</v>
      </c>
      <c r="N1639">
        <v>-1.501718E-2</v>
      </c>
      <c r="O1639">
        <v>-0.90729249999999995</v>
      </c>
      <c r="P1639">
        <v>0.19871639999999999</v>
      </c>
      <c r="Q1639">
        <v>0.14868410000000001</v>
      </c>
      <c r="R1639">
        <v>-0.96871320000000005</v>
      </c>
      <c r="S1639">
        <v>4.6478270000000002E-2</v>
      </c>
      <c r="T1639">
        <v>-6.6909789999999997E-3</v>
      </c>
      <c r="U1639">
        <v>-3.0945429999999998</v>
      </c>
      <c r="V1639">
        <v>0.22953860000000001</v>
      </c>
      <c r="W1639">
        <v>0.15926799999999999</v>
      </c>
      <c r="X1639">
        <v>0.96018000000000003</v>
      </c>
      <c r="Y1639">
        <v>0.40655360000000001</v>
      </c>
      <c r="Z1639">
        <v>-1.319905E-2</v>
      </c>
      <c r="AA1639">
        <v>0.9135316</v>
      </c>
      <c r="AB1639">
        <v>21</v>
      </c>
      <c r="AC1639">
        <v>6.4969999999999803</v>
      </c>
      <c r="AD1639">
        <v>-0.94559179999999998</v>
      </c>
      <c r="AE1639">
        <v>-437.07972000000001</v>
      </c>
      <c r="AF1639">
        <v>177.79944770551299</v>
      </c>
      <c r="AG1639">
        <v>-0.94559179999999998</v>
      </c>
      <c r="AH1639">
        <v>399.33251904238898</v>
      </c>
      <c r="AI1639">
        <v>90.123942158114403</v>
      </c>
      <c r="AJ1639">
        <v>65.999382700338202</v>
      </c>
      <c r="AK1639">
        <v>437.126982137889</v>
      </c>
      <c r="AL1639">
        <v>80.835588635258006</v>
      </c>
      <c r="AM1639">
        <v>76.555316967911494</v>
      </c>
      <c r="AN1639">
        <v>0.99999994855697805</v>
      </c>
    </row>
    <row r="1640" spans="1:40" x14ac:dyDescent="0.25">
      <c r="A1640" t="str">
        <f>"20190303170251433"</f>
        <v>20190303170251433</v>
      </c>
      <c r="B1640" t="str">
        <f>"1551603771427423"</f>
        <v>1551603771427423</v>
      </c>
      <c r="C1640" t="s">
        <v>40</v>
      </c>
      <c r="D1640">
        <v>4.9038740000000001</v>
      </c>
      <c r="E1640">
        <v>0.56955659999999997</v>
      </c>
      <c r="F1640" t="s">
        <v>42</v>
      </c>
      <c r="G1640">
        <v>-191.57300000000001</v>
      </c>
      <c r="H1640" s="1">
        <v>-3.5847869999999998E-6</v>
      </c>
      <c r="I1640">
        <v>66.96969</v>
      </c>
      <c r="J1640">
        <v>-194.40209999999999</v>
      </c>
      <c r="K1640">
        <v>1.1150690000000001</v>
      </c>
      <c r="L1640">
        <v>355.06459999999998</v>
      </c>
      <c r="M1640">
        <v>0.40935070000000001</v>
      </c>
      <c r="N1640">
        <v>-1.497399E-2</v>
      </c>
      <c r="O1640">
        <v>-0.91225440000000002</v>
      </c>
      <c r="P1640">
        <v>0.18952869999999999</v>
      </c>
      <c r="Q1640">
        <v>0.14787719999999999</v>
      </c>
      <c r="R1640">
        <v>-0.97067590000000004</v>
      </c>
      <c r="S1640">
        <v>3.117371E-2</v>
      </c>
      <c r="T1640">
        <v>-1.19586E-2</v>
      </c>
      <c r="U1640">
        <v>-3.0923769999999999</v>
      </c>
      <c r="V1640">
        <v>0.22710369999999999</v>
      </c>
      <c r="W1640">
        <v>0.1585821</v>
      </c>
      <c r="X1640">
        <v>0.96087230000000001</v>
      </c>
      <c r="Y1640">
        <v>0.40012249999999999</v>
      </c>
      <c r="Z1640">
        <v>-1.174451E-2</v>
      </c>
      <c r="AA1640">
        <v>0.91638640000000005</v>
      </c>
      <c r="AB1640">
        <v>21</v>
      </c>
      <c r="AC1640">
        <v>2.8291000000000102</v>
      </c>
      <c r="AD1640">
        <v>-1.115072584787</v>
      </c>
      <c r="AE1640">
        <v>-288.09491000000003</v>
      </c>
      <c r="AF1640">
        <v>115.36218262599</v>
      </c>
      <c r="AG1640">
        <v>-1.115072584787</v>
      </c>
      <c r="AH1640">
        <v>263.99954749321302</v>
      </c>
      <c r="AI1640">
        <v>90.221755082899705</v>
      </c>
      <c r="AJ1640">
        <v>66.395696196363303</v>
      </c>
      <c r="AK1640">
        <v>288.106642831648</v>
      </c>
      <c r="AL1640">
        <v>80.875393952848896</v>
      </c>
      <c r="AM1640">
        <v>76.702083125096493</v>
      </c>
      <c r="AN1640">
        <v>0.99999997495069404</v>
      </c>
    </row>
    <row r="1641" spans="1:40" x14ac:dyDescent="0.25">
      <c r="A1641" t="str">
        <f>"20190303170251449"</f>
        <v>20190303170251449</v>
      </c>
      <c r="B1641" t="str">
        <f>"1551603771437183"</f>
        <v>1551603771437183</v>
      </c>
      <c r="C1641" t="s">
        <v>40</v>
      </c>
      <c r="D1641">
        <v>4.8940149999999996</v>
      </c>
      <c r="E1641">
        <v>0.56905099999999997</v>
      </c>
      <c r="F1641" t="s">
        <v>57</v>
      </c>
      <c r="G1641">
        <v>-191.36789999999999</v>
      </c>
      <c r="H1641" s="1">
        <v>5.337726E-6</v>
      </c>
      <c r="I1641">
        <v>206.10509999999999</v>
      </c>
      <c r="J1641">
        <v>-194.34899999999999</v>
      </c>
      <c r="K1641">
        <v>1.115227</v>
      </c>
      <c r="L1641">
        <v>354.92270000000002</v>
      </c>
      <c r="M1641">
        <v>0.40182800000000002</v>
      </c>
      <c r="N1641">
        <v>-1.4938730000000001E-2</v>
      </c>
      <c r="O1641">
        <v>-0.9155934</v>
      </c>
      <c r="P1641">
        <v>0.1830562</v>
      </c>
      <c r="Q1641">
        <v>0.14718139999999999</v>
      </c>
      <c r="R1641">
        <v>-0.97202270000000002</v>
      </c>
      <c r="S1641">
        <v>6.2774659999999996E-2</v>
      </c>
      <c r="T1641">
        <v>-2.306998E-2</v>
      </c>
      <c r="U1641">
        <v>-3.0818789999999998</v>
      </c>
      <c r="V1641">
        <v>0.2255625</v>
      </c>
      <c r="W1641">
        <v>0.15797139999999901</v>
      </c>
      <c r="X1641">
        <v>0.96133579999999996</v>
      </c>
      <c r="Y1641">
        <v>0.38307669999999999</v>
      </c>
      <c r="Z1641">
        <v>-8.6212790000000008E-3</v>
      </c>
      <c r="AA1641">
        <v>0.92367630000000001</v>
      </c>
      <c r="AB1641">
        <v>21</v>
      </c>
      <c r="AC1641">
        <v>2.9811000000000201</v>
      </c>
      <c r="AD1641">
        <v>-1.1152216622740001</v>
      </c>
      <c r="AE1641">
        <v>-148.8176</v>
      </c>
      <c r="AF1641">
        <v>57.072763142283101</v>
      </c>
      <c r="AG1641">
        <v>-1.1152216622740001</v>
      </c>
      <c r="AH1641">
        <v>137.46191292499299</v>
      </c>
      <c r="AI1641">
        <v>90.429297802621605</v>
      </c>
      <c r="AJ1641">
        <v>67.452281039497805</v>
      </c>
      <c r="AK1641">
        <v>148.84327837376301</v>
      </c>
      <c r="AL1641">
        <v>80.910831066420997</v>
      </c>
      <c r="AM1641">
        <v>76.795298583659701</v>
      </c>
      <c r="AN1641">
        <v>0.999999962492924</v>
      </c>
    </row>
    <row r="1642" spans="1:40" x14ac:dyDescent="0.25">
      <c r="A1642" t="str">
        <f>"20190303170251469"</f>
        <v>20190303170251469</v>
      </c>
      <c r="B1642" t="str">
        <f>"1551603771457295"</f>
        <v>1551603771457295</v>
      </c>
      <c r="C1642" t="s">
        <v>40</v>
      </c>
      <c r="D1642">
        <v>4.9031849999999997</v>
      </c>
      <c r="E1642">
        <v>0.56746169999999996</v>
      </c>
      <c r="F1642" t="s">
        <v>57</v>
      </c>
      <c r="G1642">
        <v>-192.23920000000001</v>
      </c>
      <c r="H1642" s="1">
        <v>3.8384560000000002E-6</v>
      </c>
      <c r="I1642">
        <v>211.51580000000001</v>
      </c>
      <c r="J1642">
        <v>-194.2869</v>
      </c>
      <c r="K1642">
        <v>1.115418</v>
      </c>
      <c r="L1642">
        <v>354.7534</v>
      </c>
      <c r="M1642">
        <v>0.39303280000000002</v>
      </c>
      <c r="N1642">
        <v>-1.489274E-2</v>
      </c>
      <c r="O1642">
        <v>-0.91940390000000005</v>
      </c>
      <c r="P1642">
        <v>0.17668710000000001</v>
      </c>
      <c r="Q1642">
        <v>0.1471691</v>
      </c>
      <c r="R1642">
        <v>-0.97320269999999998</v>
      </c>
      <c r="S1642">
        <v>4.5333859999999997E-2</v>
      </c>
      <c r="T1642">
        <v>-2.3963330000000001E-2</v>
      </c>
      <c r="U1642">
        <v>-3.0814509999999999</v>
      </c>
      <c r="V1642">
        <v>0.22255620000000001</v>
      </c>
      <c r="W1642">
        <v>0.158082</v>
      </c>
      <c r="X1642">
        <v>0.96201809999999999</v>
      </c>
      <c r="Y1642">
        <v>0.37944270000000002</v>
      </c>
      <c r="Z1642">
        <v>-8.3009690000000001E-3</v>
      </c>
      <c r="AA1642">
        <v>0.92517799999999994</v>
      </c>
      <c r="AB1642">
        <v>21</v>
      </c>
      <c r="AC1642">
        <v>2.0476999999999901</v>
      </c>
      <c r="AD1642">
        <v>-1.1154141615440001</v>
      </c>
      <c r="AE1642">
        <v>-143.23759999999999</v>
      </c>
      <c r="AF1642">
        <v>54.417144934200003</v>
      </c>
      <c r="AG1642">
        <v>-1.1154141615440001</v>
      </c>
      <c r="AH1642">
        <v>132.50467687982601</v>
      </c>
      <c r="AI1642">
        <v>90.446143868476895</v>
      </c>
      <c r="AJ1642">
        <v>67.6729785603724</v>
      </c>
      <c r="AK1642">
        <v>143.24789424828799</v>
      </c>
      <c r="AL1642">
        <v>80.904413885174094</v>
      </c>
      <c r="AM1642">
        <v>76.974172136181707</v>
      </c>
      <c r="AN1642">
        <v>1.00000000280502</v>
      </c>
    </row>
    <row r="1643" spans="1:40" x14ac:dyDescent="0.25">
      <c r="A1643" t="str">
        <f>"20190303170251491"</f>
        <v>20190303170251491</v>
      </c>
      <c r="B1643" t="str">
        <f>"1551603771476815"</f>
        <v>1551603771476815</v>
      </c>
      <c r="C1643" t="s">
        <v>40</v>
      </c>
      <c r="D1643">
        <v>4.8989859999999998</v>
      </c>
      <c r="E1643">
        <v>0.56120930000000002</v>
      </c>
      <c r="F1643" t="s">
        <v>57</v>
      </c>
      <c r="G1643">
        <v>-192.63069999999999</v>
      </c>
      <c r="H1643" s="1">
        <v>3.3576930000000001E-6</v>
      </c>
      <c r="I1643">
        <v>216.2208</v>
      </c>
      <c r="J1643">
        <v>-194.214</v>
      </c>
      <c r="K1643">
        <v>1.115666</v>
      </c>
      <c r="L1643">
        <v>354.54910000000001</v>
      </c>
      <c r="M1643">
        <v>0.38271339999999998</v>
      </c>
      <c r="N1643">
        <v>-1.483057E-2</v>
      </c>
      <c r="O1643">
        <v>-0.92374809999999996</v>
      </c>
      <c r="P1643">
        <v>0.16849339999999999</v>
      </c>
      <c r="Q1643">
        <v>0.146844899999999</v>
      </c>
      <c r="R1643">
        <v>-0.9747034</v>
      </c>
      <c r="S1643">
        <v>3.6819459999999998E-2</v>
      </c>
      <c r="T1643">
        <v>-2.4796490000000001E-2</v>
      </c>
      <c r="U1643">
        <v>-3.0796809999999999</v>
      </c>
      <c r="V1643">
        <v>0.21978519999999999</v>
      </c>
      <c r="W1643">
        <v>0.15788569999999999</v>
      </c>
      <c r="X1643">
        <v>0.96268710000000002</v>
      </c>
      <c r="Y1643">
        <v>0.3716197</v>
      </c>
      <c r="Z1643">
        <v>-7.9517459999999904E-3</v>
      </c>
      <c r="AA1643">
        <v>0.92835100000000004</v>
      </c>
      <c r="AB1643">
        <v>21</v>
      </c>
      <c r="AC1643">
        <v>1.5833000000000299</v>
      </c>
      <c r="AD1643">
        <v>-1.115662642307</v>
      </c>
      <c r="AE1643">
        <v>-138.32830000000001</v>
      </c>
      <c r="AF1643">
        <v>51.479836263981198</v>
      </c>
      <c r="AG1643">
        <v>-1.115662642307</v>
      </c>
      <c r="AH1643">
        <v>128.39222217330601</v>
      </c>
      <c r="AI1643">
        <v>90.462098827569093</v>
      </c>
      <c r="AJ1643">
        <v>68.151307867130697</v>
      </c>
      <c r="AK1643">
        <v>138.332862905014</v>
      </c>
      <c r="AL1643">
        <v>80.915803517118505</v>
      </c>
      <c r="AM1643">
        <v>77.139567580993102</v>
      </c>
      <c r="AN1643">
        <v>0.99999994045496798</v>
      </c>
    </row>
    <row r="1644" spans="1:40" x14ac:dyDescent="0.25">
      <c r="A1644" t="str">
        <f>"20190303170251512"</f>
        <v>20190303170251512</v>
      </c>
      <c r="B1644" t="str">
        <f>"1551603771507071"</f>
        <v>1551603771507071</v>
      </c>
      <c r="C1644" t="s">
        <v>40</v>
      </c>
      <c r="D1644">
        <v>4.9278959999999996</v>
      </c>
      <c r="E1644">
        <v>0.55923440000000002</v>
      </c>
      <c r="F1644" t="s">
        <v>42</v>
      </c>
      <c r="G1644">
        <v>-191.89359999999999</v>
      </c>
      <c r="H1644" s="1">
        <v>-4.4294959999999996E-6</v>
      </c>
      <c r="I1644">
        <v>237.9461</v>
      </c>
      <c r="J1644">
        <v>-194.14779999999999</v>
      </c>
      <c r="K1644">
        <v>1.1158950000000001</v>
      </c>
      <c r="L1644">
        <v>354.358</v>
      </c>
      <c r="M1644">
        <v>0.37336370000000002</v>
      </c>
      <c r="N1644">
        <v>-1.475974E-2</v>
      </c>
      <c r="O1644">
        <v>-0.92756780000000005</v>
      </c>
      <c r="P1644">
        <v>0.1615132</v>
      </c>
      <c r="Q1644">
        <v>0.14690889999999901</v>
      </c>
      <c r="R1644">
        <v>-0.9758751</v>
      </c>
      <c r="S1644">
        <v>6.1126710000000001E-2</v>
      </c>
      <c r="T1644">
        <v>-2.9390220000000002E-2</v>
      </c>
      <c r="U1644">
        <v>-3.0716860000000001</v>
      </c>
      <c r="V1644">
        <v>0.21684890000000001</v>
      </c>
      <c r="W1644">
        <v>0.15805849999999999</v>
      </c>
      <c r="X1644">
        <v>0.96332450000000003</v>
      </c>
      <c r="Y1644">
        <v>0.35480850000000003</v>
      </c>
      <c r="Z1644">
        <v>-6.4843239999999996E-3</v>
      </c>
      <c r="AA1644">
        <v>0.93491650000000004</v>
      </c>
      <c r="AB1644">
        <v>21</v>
      </c>
      <c r="AC1644">
        <v>2.2541999999999902</v>
      </c>
      <c r="AD1644">
        <v>-1.1158994294960001</v>
      </c>
      <c r="AE1644">
        <v>-116.4119</v>
      </c>
      <c r="AF1644">
        <v>41.373754625664397</v>
      </c>
      <c r="AG1644">
        <v>-1.1158994294960001</v>
      </c>
      <c r="AH1644">
        <v>108.823408269746</v>
      </c>
      <c r="AI1644">
        <v>90.5491556971824</v>
      </c>
      <c r="AJ1644">
        <v>69.183612807898498</v>
      </c>
      <c r="AK1644">
        <v>116.42837708568</v>
      </c>
      <c r="AL1644">
        <v>80.905777578065198</v>
      </c>
      <c r="AM1644">
        <v>77.313905274707096</v>
      </c>
      <c r="AN1644">
        <v>1.0000000135768501</v>
      </c>
    </row>
    <row r="1645" spans="1:40" x14ac:dyDescent="0.25">
      <c r="A1645" t="str">
        <f>"20190303170251535"</f>
        <v>20190303170251535</v>
      </c>
      <c r="B1645" t="str">
        <f>"1551603771527567"</f>
        <v>1551603771527567</v>
      </c>
      <c r="C1645" t="s">
        <v>40</v>
      </c>
      <c r="D1645">
        <v>4.9496729999999998</v>
      </c>
      <c r="E1645">
        <v>0.55868479999999998</v>
      </c>
      <c r="F1645" t="s">
        <v>42</v>
      </c>
      <c r="G1645">
        <v>-192.1104</v>
      </c>
      <c r="H1645" s="1">
        <v>-8.3138919999999999E-7</v>
      </c>
      <c r="I1645">
        <v>240.16249999999999</v>
      </c>
      <c r="J1645">
        <v>-194.07839999999999</v>
      </c>
      <c r="K1645">
        <v>1.116125</v>
      </c>
      <c r="L1645">
        <v>354.15269999999998</v>
      </c>
      <c r="M1645">
        <v>0.36363519999999999</v>
      </c>
      <c r="N1645">
        <v>-1.465755E-2</v>
      </c>
      <c r="O1645">
        <v>-0.93142630000000004</v>
      </c>
      <c r="P1645">
        <v>0.1539971</v>
      </c>
      <c r="Q1645">
        <v>0.14655799999999999</v>
      </c>
      <c r="R1645">
        <v>-0.97714179999999995</v>
      </c>
      <c r="S1645">
        <v>5.476379E-2</v>
      </c>
      <c r="T1645">
        <v>-2.9995919999999999E-2</v>
      </c>
      <c r="U1645">
        <v>-3.0696409999999998</v>
      </c>
      <c r="V1645">
        <v>0.21409120000000001</v>
      </c>
      <c r="W1645">
        <v>0.15778589999999901</v>
      </c>
      <c r="X1645">
        <v>0.96398569999999995</v>
      </c>
      <c r="Y1645">
        <v>0.34693689999999999</v>
      </c>
      <c r="Z1645">
        <v>-6.1439340000000002E-3</v>
      </c>
      <c r="AA1645">
        <v>0.93786840000000005</v>
      </c>
      <c r="AB1645">
        <v>21</v>
      </c>
      <c r="AC1645">
        <v>1.96799999999998</v>
      </c>
      <c r="AD1645">
        <v>-1.1161258313892</v>
      </c>
      <c r="AE1645">
        <v>-113.9902</v>
      </c>
      <c r="AF1645">
        <v>39.618254546305899</v>
      </c>
      <c r="AG1645">
        <v>-1.1161258313892</v>
      </c>
      <c r="AH1645">
        <v>106.89032468442601</v>
      </c>
      <c r="AI1645">
        <v>90.560959240841697</v>
      </c>
      <c r="AJ1645">
        <v>69.663079142194107</v>
      </c>
      <c r="AK1645">
        <v>114.001725168128</v>
      </c>
      <c r="AL1645">
        <v>80.921594133840003</v>
      </c>
      <c r="AM1645">
        <v>77.478433518298203</v>
      </c>
      <c r="AN1645">
        <v>0.99999993098036699</v>
      </c>
    </row>
    <row r="1646" spans="1:40" x14ac:dyDescent="0.25">
      <c r="A1646" t="str">
        <f>"20190303170251557"</f>
        <v>20190303170251557</v>
      </c>
      <c r="B1646" t="str">
        <f>"1551603771547088"</f>
        <v>1551603771547088</v>
      </c>
      <c r="C1646" t="s">
        <v>40</v>
      </c>
      <c r="D1646">
        <v>4.941859</v>
      </c>
      <c r="E1646">
        <v>0.5547995</v>
      </c>
      <c r="F1646" t="s">
        <v>42</v>
      </c>
      <c r="G1646">
        <v>-192.92609999999999</v>
      </c>
      <c r="H1646" s="1">
        <v>-2.4117180000000002E-6</v>
      </c>
      <c r="I1646">
        <v>253.39609999999999</v>
      </c>
      <c r="J1646">
        <v>-194.01349999999999</v>
      </c>
      <c r="K1646">
        <v>1.116347</v>
      </c>
      <c r="L1646">
        <v>353.95440000000002</v>
      </c>
      <c r="M1646">
        <v>0.35463050000000002</v>
      </c>
      <c r="N1646">
        <v>-1.452031E-2</v>
      </c>
      <c r="O1646">
        <v>-0.93489370000000005</v>
      </c>
      <c r="P1646">
        <v>0.14695329999999901</v>
      </c>
      <c r="Q1646">
        <v>0.1474029</v>
      </c>
      <c r="R1646">
        <v>-0.97809889999999999</v>
      </c>
      <c r="S1646">
        <v>3.5110469999999998E-2</v>
      </c>
      <c r="T1646">
        <v>-3.4005519999999997E-2</v>
      </c>
      <c r="U1646">
        <v>-3.0697939999999999</v>
      </c>
      <c r="V1646">
        <v>0.21159919999999999</v>
      </c>
      <c r="W1646">
        <v>0.15866160000000001</v>
      </c>
      <c r="X1646">
        <v>0.96439219999999903</v>
      </c>
      <c r="Y1646">
        <v>0.34388609999999997</v>
      </c>
      <c r="Z1646">
        <v>-4.8307250000000001E-3</v>
      </c>
      <c r="AA1646">
        <v>0.93899889999999997</v>
      </c>
      <c r="AB1646">
        <v>21</v>
      </c>
      <c r="AC1646">
        <v>1.0873999999999999</v>
      </c>
      <c r="AD1646">
        <v>-1.116349411718</v>
      </c>
      <c r="AE1646">
        <v>-100.5583</v>
      </c>
      <c r="AF1646">
        <v>34.643822856123002</v>
      </c>
      <c r="AG1646">
        <v>-1.116349411718</v>
      </c>
      <c r="AH1646">
        <v>94.395273526738805</v>
      </c>
      <c r="AI1646">
        <v>90.636084977312095</v>
      </c>
      <c r="AJ1646">
        <v>69.846457999036602</v>
      </c>
      <c r="AK1646">
        <v>100.557985074698</v>
      </c>
      <c r="AL1646">
        <v>80.870780945186098</v>
      </c>
      <c r="AM1646">
        <v>77.624721250519798</v>
      </c>
      <c r="AN1646">
        <v>1.0000000200880099</v>
      </c>
    </row>
    <row r="1647" spans="1:40" x14ac:dyDescent="0.25">
      <c r="A1647" t="str">
        <f>"20190303170251579"</f>
        <v>20190303170251579</v>
      </c>
      <c r="B1647" t="str">
        <f>"1551603771567583"</f>
        <v>1551603771567583</v>
      </c>
      <c r="C1647" t="s">
        <v>40</v>
      </c>
      <c r="D1647">
        <v>4.9173410000000004</v>
      </c>
      <c r="E1647">
        <v>0.55400859999999996</v>
      </c>
      <c r="F1647" t="s">
        <v>57</v>
      </c>
      <c r="G1647">
        <v>-193.1662</v>
      </c>
      <c r="H1647" s="1">
        <v>8.2838769999999898E-7</v>
      </c>
      <c r="I1647">
        <v>296.46800000000002</v>
      </c>
      <c r="J1647">
        <v>-193.9503</v>
      </c>
      <c r="K1647">
        <v>1.1165750000000001</v>
      </c>
      <c r="L1647">
        <v>353.75650000000002</v>
      </c>
      <c r="M1647">
        <v>0.34600959999999997</v>
      </c>
      <c r="N1647">
        <v>-1.4358360000000001E-2</v>
      </c>
      <c r="O1647">
        <v>-0.93812110000000004</v>
      </c>
      <c r="P1647">
        <v>0.13971020000000001</v>
      </c>
      <c r="Q1647">
        <v>0.1482734</v>
      </c>
      <c r="R1647">
        <v>-0.97902820000000002</v>
      </c>
      <c r="S1647">
        <v>4.5242310000000001E-2</v>
      </c>
      <c r="T1647">
        <v>-5.9605480000000002E-2</v>
      </c>
      <c r="U1647">
        <v>-3.0693969999999999</v>
      </c>
      <c r="V1647">
        <v>0.20972070000000001</v>
      </c>
      <c r="W1647">
        <v>0.15953110000000001</v>
      </c>
      <c r="X1647">
        <v>0.96465900000000004</v>
      </c>
      <c r="Y1647">
        <v>0.33209620000000001</v>
      </c>
      <c r="Z1647">
        <v>2.746348E-3</v>
      </c>
      <c r="AA1647">
        <v>0.94324149999999995</v>
      </c>
      <c r="AB1647">
        <v>21</v>
      </c>
      <c r="AC1647">
        <v>0.78409999999999502</v>
      </c>
      <c r="AD1647">
        <v>-1.1165741716122899</v>
      </c>
      <c r="AE1647">
        <v>-57.288499999999999</v>
      </c>
      <c r="AF1647">
        <v>19.081510747229899</v>
      </c>
      <c r="AG1647">
        <v>-1.1165741716122899</v>
      </c>
      <c r="AH1647">
        <v>53.999916080758197</v>
      </c>
      <c r="AI1647">
        <v>91.116894069077205</v>
      </c>
      <c r="AJ1647">
        <v>70.538534562318205</v>
      </c>
      <c r="AK1647">
        <v>57.282996840304101</v>
      </c>
      <c r="AL1647">
        <v>80.820319031013597</v>
      </c>
      <c r="AM1647">
        <v>77.734533123130603</v>
      </c>
      <c r="AN1647">
        <v>0.99999996507834898</v>
      </c>
    </row>
    <row r="1648" spans="1:40" x14ac:dyDescent="0.25">
      <c r="A1648" t="str">
        <f>"20190303170251601"</f>
        <v>20190303170251601</v>
      </c>
      <c r="B1648" t="str">
        <f>"1551603771587103"</f>
        <v>1551603771587103</v>
      </c>
      <c r="C1648" t="s">
        <v>40</v>
      </c>
      <c r="D1648">
        <v>4.944782</v>
      </c>
      <c r="E1648">
        <v>0.55333409999999905</v>
      </c>
      <c r="F1648" t="s">
        <v>57</v>
      </c>
      <c r="G1648">
        <v>-193.3417</v>
      </c>
      <c r="H1648" s="1">
        <v>2.265126E-6</v>
      </c>
      <c r="I1648">
        <v>291.51049999999998</v>
      </c>
      <c r="J1648">
        <v>-193.88740000000001</v>
      </c>
      <c r="K1648">
        <v>1.1167819999999999</v>
      </c>
      <c r="L1648">
        <v>353.55450000000002</v>
      </c>
      <c r="M1648">
        <v>0.33752209999999899</v>
      </c>
      <c r="N1648">
        <v>-1.4190319999999999E-2</v>
      </c>
      <c r="O1648">
        <v>-0.94121069999999996</v>
      </c>
      <c r="P1648">
        <v>0.13317870000000001</v>
      </c>
      <c r="Q1648">
        <v>0.14817959999999999</v>
      </c>
      <c r="R1648">
        <v>-0.97995239999999995</v>
      </c>
      <c r="S1648">
        <v>2.9998779999999999E-2</v>
      </c>
      <c r="T1648">
        <v>-5.5039879999999999E-2</v>
      </c>
      <c r="U1648">
        <v>-3.0683289999999999</v>
      </c>
      <c r="V1648">
        <v>0.20734259999999999</v>
      </c>
      <c r="W1648">
        <v>0.1594313</v>
      </c>
      <c r="X1648">
        <v>0.96518950000000003</v>
      </c>
      <c r="Y1648">
        <v>0.32825959999999899</v>
      </c>
      <c r="Z1648">
        <v>1.6942189999999901E-3</v>
      </c>
      <c r="AA1648">
        <v>0.94458600000000004</v>
      </c>
      <c r="AB1648">
        <v>21</v>
      </c>
      <c r="AC1648">
        <v>0.54570000000000995</v>
      </c>
      <c r="AD1648">
        <v>-1.1167797348739901</v>
      </c>
      <c r="AE1648">
        <v>-62.043999999999997</v>
      </c>
      <c r="AF1648">
        <v>20.4230419250318</v>
      </c>
      <c r="AG1648">
        <v>-1.1167797348739901</v>
      </c>
      <c r="AH1648">
        <v>58.567584043544201</v>
      </c>
      <c r="AI1648">
        <v>91.031495462854394</v>
      </c>
      <c r="AJ1648">
        <v>70.775878332119603</v>
      </c>
      <c r="AK1648">
        <v>62.036358203439498</v>
      </c>
      <c r="AL1648">
        <v>80.826111904993894</v>
      </c>
      <c r="AM1648">
        <v>77.875944197780996</v>
      </c>
      <c r="AN1648">
        <v>1.0000000320523399</v>
      </c>
    </row>
    <row r="1649" spans="1:40" x14ac:dyDescent="0.25">
      <c r="A1649" t="str">
        <f>"20190303170251624"</f>
        <v>20190303170251624</v>
      </c>
      <c r="B1649" t="str">
        <f>"1551603771607600"</f>
        <v>1551603771607600</v>
      </c>
      <c r="C1649" t="s">
        <v>40</v>
      </c>
      <c r="D1649">
        <v>4.9893619999999999</v>
      </c>
      <c r="E1649">
        <v>0.54756009999999999</v>
      </c>
      <c r="F1649" t="s">
        <v>57</v>
      </c>
      <c r="G1649">
        <v>-193.56659999999999</v>
      </c>
      <c r="H1649" s="1">
        <v>1.603831E-6</v>
      </c>
      <c r="I1649">
        <v>293.72820000000002</v>
      </c>
      <c r="J1649">
        <v>-193.82490000000001</v>
      </c>
      <c r="K1649">
        <v>1.1169880000000001</v>
      </c>
      <c r="L1649">
        <v>353.34899999999999</v>
      </c>
      <c r="M1649">
        <v>0.32920719999999998</v>
      </c>
      <c r="N1649">
        <v>-1.401845E-2</v>
      </c>
      <c r="O1649">
        <v>-0.94415389999999999</v>
      </c>
      <c r="P1649">
        <v>0.12703439999999999</v>
      </c>
      <c r="Q1649">
        <v>0.14623320000000001</v>
      </c>
      <c r="R1649">
        <v>-0.98105980000000004</v>
      </c>
      <c r="S1649">
        <v>1.644897E-2</v>
      </c>
      <c r="T1649">
        <v>-5.7268020000000003E-2</v>
      </c>
      <c r="U1649">
        <v>-3.0678709999999998</v>
      </c>
      <c r="V1649">
        <v>0.20485400000000001</v>
      </c>
      <c r="W1649">
        <v>0.15747459999999999</v>
      </c>
      <c r="X1649">
        <v>0.9660417</v>
      </c>
      <c r="Y1649">
        <v>0.32409500000000002</v>
      </c>
      <c r="Z1649">
        <v>2.5946879999999999E-3</v>
      </c>
      <c r="AA1649">
        <v>0.946021</v>
      </c>
      <c r="AB1649">
        <v>21</v>
      </c>
      <c r="AC1649">
        <v>0.25830000000001901</v>
      </c>
      <c r="AD1649">
        <v>-1.1169863961690001</v>
      </c>
      <c r="AE1649">
        <v>-59.620799999999903</v>
      </c>
      <c r="AF1649">
        <v>19.378820147882301</v>
      </c>
      <c r="AG1649">
        <v>-1.1169863961690001</v>
      </c>
      <c r="AH1649">
        <v>56.361989293422504</v>
      </c>
      <c r="AI1649">
        <v>91.0736684911287</v>
      </c>
      <c r="AJ1649">
        <v>71.025604500230799</v>
      </c>
      <c r="AK1649">
        <v>59.610906435358501</v>
      </c>
      <c r="AL1649">
        <v>80.939656644572807</v>
      </c>
      <c r="AM1649">
        <v>78.027496381782399</v>
      </c>
      <c r="AN1649">
        <v>0.99999998855002403</v>
      </c>
    </row>
    <row r="1650" spans="1:40" x14ac:dyDescent="0.25">
      <c r="A1650" t="str">
        <f>"20190303170251646"</f>
        <v>20190303170251646</v>
      </c>
      <c r="B1650" t="str">
        <f>"1551603771636880"</f>
        <v>1551603771636880</v>
      </c>
      <c r="C1650" t="s">
        <v>40</v>
      </c>
      <c r="D1650">
        <v>4.966507</v>
      </c>
      <c r="E1650">
        <v>0.54692229999999997</v>
      </c>
      <c r="F1650" t="s">
        <v>42</v>
      </c>
      <c r="G1650">
        <v>-193.43520000000001</v>
      </c>
      <c r="H1650" s="1">
        <v>-4.6532419999999997E-6</v>
      </c>
      <c r="I1650">
        <v>328.87</v>
      </c>
      <c r="J1650">
        <v>-193.76300000000001</v>
      </c>
      <c r="K1650">
        <v>1.1171990000000001</v>
      </c>
      <c r="L1650">
        <v>353.14019999999999</v>
      </c>
      <c r="M1650">
        <v>0.32113350000000002</v>
      </c>
      <c r="N1650">
        <v>-1.3834269999999999E-2</v>
      </c>
      <c r="O1650">
        <v>-0.94693289999999997</v>
      </c>
      <c r="P1650">
        <v>0.1215835</v>
      </c>
      <c r="Q1650">
        <v>0.14488670000000001</v>
      </c>
      <c r="R1650">
        <v>-0.98194990000000004</v>
      </c>
      <c r="S1650">
        <v>4.891968E-2</v>
      </c>
      <c r="T1650">
        <v>-0.14019779999999901</v>
      </c>
      <c r="U1650">
        <v>-3.0724490000000002</v>
      </c>
      <c r="V1650">
        <v>0.20192019999999999</v>
      </c>
      <c r="W1650">
        <v>0.15610940000000001</v>
      </c>
      <c r="X1650">
        <v>0.96688059999999998</v>
      </c>
      <c r="Y1650">
        <v>0.30591639999999998</v>
      </c>
      <c r="Z1650">
        <v>2.7082390000000001E-2</v>
      </c>
      <c r="AA1650">
        <v>0.95167310000000005</v>
      </c>
      <c r="AB1650">
        <v>21</v>
      </c>
      <c r="AC1650">
        <v>0.32779999999999598</v>
      </c>
      <c r="AD1650">
        <v>-1.117203653242</v>
      </c>
      <c r="AE1650">
        <v>-24.2701999999999</v>
      </c>
      <c r="AF1650">
        <v>7.4684634755149597</v>
      </c>
      <c r="AG1650">
        <v>-1.117203653242</v>
      </c>
      <c r="AH1650">
        <v>23.040914404767602</v>
      </c>
      <c r="AI1650">
        <v>92.640908830418098</v>
      </c>
      <c r="AJ1650">
        <v>72.040458311407704</v>
      </c>
      <c r="AK1650">
        <v>24.246851904850399</v>
      </c>
      <c r="AL1650">
        <v>81.018856554767396</v>
      </c>
      <c r="AM1650">
        <v>78.204070138845196</v>
      </c>
      <c r="AN1650">
        <v>1.0000000032963701</v>
      </c>
    </row>
    <row r="1651" spans="1:40" x14ac:dyDescent="0.25">
      <c r="A1651" t="str">
        <f>"20190303170251671"</f>
        <v>20190303170251671</v>
      </c>
      <c r="B1651" t="str">
        <f>"1551603771657375"</f>
        <v>1551603771657375</v>
      </c>
      <c r="C1651" t="s">
        <v>40</v>
      </c>
      <c r="D1651">
        <v>5.1154199999999896</v>
      </c>
      <c r="E1651">
        <v>0.54619039999999996</v>
      </c>
      <c r="F1651" t="s">
        <v>42</v>
      </c>
      <c r="G1651">
        <v>-193.46979999999999</v>
      </c>
      <c r="H1651" s="1">
        <v>-3.8631689999999999E-6</v>
      </c>
      <c r="I1651">
        <v>326.53030000000001</v>
      </c>
      <c r="J1651">
        <v>-193.7</v>
      </c>
      <c r="K1651">
        <v>1.117424</v>
      </c>
      <c r="L1651">
        <v>352.92290000000003</v>
      </c>
      <c r="M1651">
        <v>0.31316569999999999</v>
      </c>
      <c r="N1651">
        <v>-1.3624290000000001E-2</v>
      </c>
      <c r="O1651">
        <v>-0.94960100000000003</v>
      </c>
      <c r="P1651">
        <v>0.11555700000000001</v>
      </c>
      <c r="Q1651">
        <v>0.14548849999999999</v>
      </c>
      <c r="R1651">
        <v>-0.98258860000000003</v>
      </c>
      <c r="S1651">
        <v>3.3828740000000003E-2</v>
      </c>
      <c r="T1651">
        <v>-0.12889129999999999</v>
      </c>
      <c r="U1651">
        <v>-3.0699770000000002</v>
      </c>
      <c r="V1651">
        <v>0.19959850000000001</v>
      </c>
      <c r="W1651">
        <v>0.15666369999999999</v>
      </c>
      <c r="X1651">
        <v>0.96727289999999999</v>
      </c>
      <c r="Y1651">
        <v>0.30259140000000001</v>
      </c>
      <c r="Z1651">
        <v>2.420843E-2</v>
      </c>
      <c r="AA1651">
        <v>0.95281289999999996</v>
      </c>
      <c r="AB1651">
        <v>21</v>
      </c>
      <c r="AC1651">
        <v>0.23019999999999599</v>
      </c>
      <c r="AD1651">
        <v>-1.117427863169</v>
      </c>
      <c r="AE1651">
        <v>-26.392600000000002</v>
      </c>
      <c r="AF1651">
        <v>8.0330054878522805</v>
      </c>
      <c r="AG1651">
        <v>-1.117427863169</v>
      </c>
      <c r="AH1651">
        <v>25.0918823104168</v>
      </c>
      <c r="AI1651">
        <v>92.428627843806495</v>
      </c>
      <c r="AJ1651">
        <v>72.247865361138906</v>
      </c>
      <c r="AK1651">
        <v>26.370065985451301</v>
      </c>
      <c r="AL1651">
        <v>80.986701563940102</v>
      </c>
      <c r="AM1651">
        <v>78.3405650381046</v>
      </c>
      <c r="AN1651">
        <v>0.99999996958717396</v>
      </c>
    </row>
    <row r="1652" spans="1:40" x14ac:dyDescent="0.25">
      <c r="A1652" t="str">
        <f>"20190303170251692"</f>
        <v>20190303170251692</v>
      </c>
      <c r="B1652" t="str">
        <f>"1551603771687632"</f>
        <v>1551603771687632</v>
      </c>
      <c r="C1652" t="s">
        <v>40</v>
      </c>
      <c r="D1652">
        <v>4.9721849999999996</v>
      </c>
      <c r="E1652">
        <v>0.54542619999999997</v>
      </c>
      <c r="F1652" t="s">
        <v>42</v>
      </c>
      <c r="G1652">
        <v>-193.50149999999999</v>
      </c>
      <c r="H1652" s="1">
        <v>-2.5983499999999999E-6</v>
      </c>
      <c r="I1652">
        <v>323.4742</v>
      </c>
      <c r="J1652">
        <v>-193.64410000000001</v>
      </c>
      <c r="K1652">
        <v>1.1176440000000001</v>
      </c>
      <c r="L1652">
        <v>352.72640000000001</v>
      </c>
      <c r="M1652">
        <v>0.30638009999999999</v>
      </c>
      <c r="N1652">
        <v>-1.3423320000000001E-2</v>
      </c>
      <c r="O1652">
        <v>-0.95181490000000002</v>
      </c>
      <c r="P1652">
        <v>0.11151750000000001</v>
      </c>
      <c r="Q1652">
        <v>0.1447987</v>
      </c>
      <c r="R1652">
        <v>-0.98315730000000001</v>
      </c>
      <c r="S1652">
        <v>2.0675659999999998E-2</v>
      </c>
      <c r="T1652">
        <v>-0.11641360000000001</v>
      </c>
      <c r="U1652">
        <v>-3.0679630000000002</v>
      </c>
      <c r="V1652">
        <v>0.19658690000000001</v>
      </c>
      <c r="W1652">
        <v>0.1559422</v>
      </c>
      <c r="X1652">
        <v>0.96800600000000003</v>
      </c>
      <c r="Y1652">
        <v>0.2998768</v>
      </c>
      <c r="Z1652">
        <v>2.090792E-2</v>
      </c>
      <c r="AA1652">
        <v>0.95374879999999995</v>
      </c>
      <c r="AB1652">
        <v>21</v>
      </c>
      <c r="AC1652">
        <v>0.14260000000001499</v>
      </c>
      <c r="AD1652">
        <v>-1.1176465983499999</v>
      </c>
      <c r="AE1652">
        <v>-29.252199999999998</v>
      </c>
      <c r="AF1652">
        <v>8.8144889801235191</v>
      </c>
      <c r="AG1652">
        <v>-1.1176465983499999</v>
      </c>
      <c r="AH1652">
        <v>27.848222842096501</v>
      </c>
      <c r="AI1652">
        <v>92.191215732165205</v>
      </c>
      <c r="AJ1652">
        <v>72.436436115918198</v>
      </c>
      <c r="AK1652">
        <v>29.2312823078733</v>
      </c>
      <c r="AL1652">
        <v>81.028555136138905</v>
      </c>
      <c r="AM1652">
        <v>78.520243702436602</v>
      </c>
      <c r="AN1652">
        <v>0.99999999751422497</v>
      </c>
    </row>
    <row r="1653" spans="1:40" x14ac:dyDescent="0.25">
      <c r="A1653" t="str">
        <f>"20190303170251725"</f>
        <v>20190303170251725</v>
      </c>
      <c r="B1653" t="str">
        <f>"1551603771716912"</f>
        <v>1551603771716912</v>
      </c>
      <c r="C1653" t="s">
        <v>40</v>
      </c>
      <c r="D1653">
        <v>5.0526419999999996</v>
      </c>
      <c r="E1653">
        <v>0.54390909999999904</v>
      </c>
      <c r="F1653" t="s">
        <v>42</v>
      </c>
      <c r="G1653">
        <v>-193.47069999999999</v>
      </c>
      <c r="H1653" s="1">
        <v>-1.5471730000000001E-6</v>
      </c>
      <c r="I1653">
        <v>321.04300000000001</v>
      </c>
      <c r="J1653">
        <v>-193.55930000000001</v>
      </c>
      <c r="K1653">
        <v>1.1180139999999901</v>
      </c>
      <c r="L1653">
        <v>352.42090000000002</v>
      </c>
      <c r="M1653">
        <v>0.2966646</v>
      </c>
      <c r="N1653">
        <v>-1.308076E-2</v>
      </c>
      <c r="O1653">
        <v>-0.95489219999999997</v>
      </c>
      <c r="P1653">
        <v>0.1070306</v>
      </c>
      <c r="Q1653">
        <v>0.14058880000000001</v>
      </c>
      <c r="R1653">
        <v>-0.98426599999999997</v>
      </c>
      <c r="S1653">
        <v>1.6784670000000002E-2</v>
      </c>
      <c r="T1653">
        <v>-0.1081343</v>
      </c>
      <c r="U1653">
        <v>-3.0654300000000001</v>
      </c>
      <c r="V1653">
        <v>0.19110070000000001</v>
      </c>
      <c r="W1653">
        <v>0.151675799999999</v>
      </c>
      <c r="X1653">
        <v>0.96978089999999995</v>
      </c>
      <c r="Y1653">
        <v>0.2913599</v>
      </c>
      <c r="Z1653">
        <v>1.9044040000000002E-2</v>
      </c>
      <c r="AA1653">
        <v>0.95642389999999999</v>
      </c>
      <c r="AB1653">
        <v>21</v>
      </c>
      <c r="AC1653">
        <v>8.8600000000013696E-2</v>
      </c>
      <c r="AD1653">
        <v>-1.11801554717299</v>
      </c>
      <c r="AE1653">
        <v>-31.3779</v>
      </c>
      <c r="AF1653">
        <v>9.2132009971086095</v>
      </c>
      <c r="AG1653">
        <v>-1.11801554717299</v>
      </c>
      <c r="AH1653">
        <v>29.953334051167602</v>
      </c>
      <c r="AI1653">
        <v>92.043203962646103</v>
      </c>
      <c r="AJ1653">
        <v>72.902879446883205</v>
      </c>
      <c r="AK1653">
        <v>31.358176799005399</v>
      </c>
      <c r="AL1653">
        <v>81.275945964942494</v>
      </c>
      <c r="AM1653">
        <v>78.852375408962004</v>
      </c>
      <c r="AN1653">
        <v>1.00000000992547</v>
      </c>
    </row>
    <row r="1654" spans="1:40" x14ac:dyDescent="0.25">
      <c r="A1654" t="str">
        <f>"20190303170251747"</f>
        <v>20190303170251747</v>
      </c>
      <c r="B1654" t="str">
        <f>"1551603771737408"</f>
        <v>1551603771737408</v>
      </c>
      <c r="C1654" t="s">
        <v>40</v>
      </c>
      <c r="D1654">
        <v>5.1189640000000001</v>
      </c>
      <c r="E1654">
        <v>0.54305109999999901</v>
      </c>
      <c r="F1654" t="s">
        <v>42</v>
      </c>
      <c r="G1654">
        <v>-193.4128</v>
      </c>
      <c r="H1654" s="1">
        <v>-2.8413869999999999E-6</v>
      </c>
      <c r="I1654">
        <v>324.0958</v>
      </c>
      <c r="J1654">
        <v>-193.506</v>
      </c>
      <c r="K1654">
        <v>1.118231</v>
      </c>
      <c r="L1654">
        <v>352.2253</v>
      </c>
      <c r="M1654">
        <v>0.29091889999999998</v>
      </c>
      <c r="N1654">
        <v>-1.2846349999999999E-2</v>
      </c>
      <c r="O1654">
        <v>-0.95666150000000005</v>
      </c>
      <c r="P1654">
        <v>0.10716970000000001</v>
      </c>
      <c r="Q1654">
        <v>0.13663810000000001</v>
      </c>
      <c r="R1654">
        <v>-0.98480719999999999</v>
      </c>
      <c r="S1654">
        <v>1.5853880000000001E-2</v>
      </c>
      <c r="T1654">
        <v>-0.1209205</v>
      </c>
      <c r="U1654">
        <v>-3.0635379999999999</v>
      </c>
      <c r="V1654">
        <v>0.1851505</v>
      </c>
      <c r="W1654">
        <v>0.1476867</v>
      </c>
      <c r="X1654">
        <v>0.97154929999999995</v>
      </c>
      <c r="Y1654">
        <v>0.2858869</v>
      </c>
      <c r="Z1654">
        <v>2.3229400000000001E-2</v>
      </c>
      <c r="AA1654">
        <v>0.95798179999999999</v>
      </c>
      <c r="AB1654">
        <v>21</v>
      </c>
      <c r="AC1654">
        <v>9.3199999999967503E-2</v>
      </c>
      <c r="AD1654">
        <v>-1.1182338413870001</v>
      </c>
      <c r="AE1654">
        <v>-28.1295</v>
      </c>
      <c r="AF1654">
        <v>8.0821379616922595</v>
      </c>
      <c r="AG1654">
        <v>-1.1182338413870001</v>
      </c>
      <c r="AH1654">
        <v>26.897240087890701</v>
      </c>
      <c r="AI1654">
        <v>92.280065377422801</v>
      </c>
      <c r="AJ1654">
        <v>73.275419966059701</v>
      </c>
      <c r="AK1654">
        <v>28.107524353835998</v>
      </c>
      <c r="AL1654">
        <v>81.507109325512701</v>
      </c>
      <c r="AM1654">
        <v>79.210381786549306</v>
      </c>
      <c r="AN1654">
        <v>1.00000005566881</v>
      </c>
    </row>
    <row r="1655" spans="1:40" x14ac:dyDescent="0.25">
      <c r="A1655" t="str">
        <f>"20190303170251769"</f>
        <v>20190303170251769</v>
      </c>
      <c r="B1655" t="str">
        <f>"1551603771756928"</f>
        <v>1551603771756928</v>
      </c>
      <c r="C1655" t="s">
        <v>40</v>
      </c>
      <c r="D1655">
        <v>5.1214740000000001</v>
      </c>
      <c r="E1655">
        <v>0.54214839999999997</v>
      </c>
      <c r="F1655" t="s">
        <v>42</v>
      </c>
      <c r="G1655">
        <v>-193.33099999999999</v>
      </c>
      <c r="H1655" s="1">
        <v>-3.4905669999999998E-6</v>
      </c>
      <c r="I1655">
        <v>325.65969999999999</v>
      </c>
      <c r="J1655">
        <v>-193.45189999999999</v>
      </c>
      <c r="K1655">
        <v>1.1184259999999999</v>
      </c>
      <c r="L1655">
        <v>352.02350000000001</v>
      </c>
      <c r="M1655">
        <v>0.2853579</v>
      </c>
      <c r="N1655">
        <v>-1.259884E-2</v>
      </c>
      <c r="O1655">
        <v>-0.95833840000000003</v>
      </c>
      <c r="P1655">
        <v>0.1059166</v>
      </c>
      <c r="Q1655">
        <v>0.1361319</v>
      </c>
      <c r="R1655">
        <v>-0.98501309999999997</v>
      </c>
      <c r="S1655">
        <v>2.0172120000000002E-2</v>
      </c>
      <c r="T1655">
        <v>-0.12888930000000001</v>
      </c>
      <c r="U1655">
        <v>-3.0619809999999998</v>
      </c>
      <c r="V1655">
        <v>0.1806644</v>
      </c>
      <c r="W1655">
        <v>0.14708779999999999</v>
      </c>
      <c r="X1655">
        <v>0.97248420000000002</v>
      </c>
      <c r="Y1655">
        <v>0.27895999999999999</v>
      </c>
      <c r="Z1655">
        <v>2.6020450000000001E-2</v>
      </c>
      <c r="AA1655">
        <v>0.95995010000000003</v>
      </c>
      <c r="AB1655">
        <v>21</v>
      </c>
      <c r="AC1655">
        <v>0.120900000000006</v>
      </c>
      <c r="AD1655">
        <v>-1.118429490567</v>
      </c>
      <c r="AE1655">
        <v>-26.363800000000001</v>
      </c>
      <c r="AF1655">
        <v>7.3945344446069301</v>
      </c>
      <c r="AG1655">
        <v>-1.118429490567</v>
      </c>
      <c r="AH1655">
        <v>25.2564921535674</v>
      </c>
      <c r="AI1655">
        <v>92.433538871575706</v>
      </c>
      <c r="AJ1655">
        <v>73.681152822288993</v>
      </c>
      <c r="AK1655">
        <v>26.3404711438702</v>
      </c>
      <c r="AL1655">
        <v>81.541802036157904</v>
      </c>
      <c r="AM1655">
        <v>79.475787663403395</v>
      </c>
      <c r="AN1655">
        <v>0.99999998279291902</v>
      </c>
    </row>
    <row r="1656" spans="1:40" x14ac:dyDescent="0.25">
      <c r="A1656" t="str">
        <f>"20190303170251791"</f>
        <v>20190303170251791</v>
      </c>
      <c r="B1656" t="str">
        <f>"1551603771777424"</f>
        <v>1551603771777424</v>
      </c>
      <c r="C1656" t="s">
        <v>40</v>
      </c>
      <c r="D1656">
        <v>5.135561</v>
      </c>
      <c r="E1656">
        <v>0.54174080000000002</v>
      </c>
      <c r="F1656" t="s">
        <v>42</v>
      </c>
      <c r="G1656">
        <v>-193.2604</v>
      </c>
      <c r="H1656" s="1">
        <v>-3.227737E-6</v>
      </c>
      <c r="I1656">
        <v>325.09089999999998</v>
      </c>
      <c r="J1656">
        <v>-193.3989</v>
      </c>
      <c r="K1656">
        <v>1.1185959999999999</v>
      </c>
      <c r="L1656">
        <v>351.82350000000002</v>
      </c>
      <c r="M1656">
        <v>0.28022649999999999</v>
      </c>
      <c r="N1656">
        <v>-1.234153E-2</v>
      </c>
      <c r="O1656">
        <v>-0.95985480000000001</v>
      </c>
      <c r="P1656">
        <v>0.103059999999999</v>
      </c>
      <c r="Q1656">
        <v>0.13863120000000001</v>
      </c>
      <c r="R1656">
        <v>-0.98496719999999904</v>
      </c>
      <c r="S1656">
        <v>2.1759029999999999E-2</v>
      </c>
      <c r="T1656">
        <v>-0.1271091</v>
      </c>
      <c r="U1656">
        <v>-3.060883</v>
      </c>
      <c r="V1656">
        <v>0.17812069999999999</v>
      </c>
      <c r="W1656">
        <v>0.1494432</v>
      </c>
      <c r="X1656">
        <v>0.97259430000000002</v>
      </c>
      <c r="Y1656">
        <v>0.27332250000000002</v>
      </c>
      <c r="Z1656">
        <v>2.588698E-2</v>
      </c>
      <c r="AA1656">
        <v>0.96157409999999999</v>
      </c>
      <c r="AB1656">
        <v>21</v>
      </c>
      <c r="AC1656">
        <v>0.13849999999999299</v>
      </c>
      <c r="AD1656">
        <v>-1.1185992277369901</v>
      </c>
      <c r="AE1656">
        <v>-26.732600000000001</v>
      </c>
      <c r="AF1656">
        <v>7.3459400441011997</v>
      </c>
      <c r="AG1656">
        <v>-1.1185992277369901</v>
      </c>
      <c r="AH1656">
        <v>25.655258301629299</v>
      </c>
      <c r="AI1656">
        <v>92.400245637932002</v>
      </c>
      <c r="AJ1656">
        <v>74.021849704114402</v>
      </c>
      <c r="AK1656">
        <v>26.7096682474183</v>
      </c>
      <c r="AL1656">
        <v>81.405339108130903</v>
      </c>
      <c r="AM1656">
        <v>79.621872072024402</v>
      </c>
      <c r="AN1656">
        <v>0.99999996309360895</v>
      </c>
    </row>
    <row r="1657" spans="1:40" x14ac:dyDescent="0.25">
      <c r="A1657" t="str">
        <f>"20190303170251814"</f>
        <v>20190303170251814</v>
      </c>
      <c r="B1657" t="str">
        <f>"1551603771806704"</f>
        <v>1551603771806704</v>
      </c>
      <c r="C1657" t="s">
        <v>40</v>
      </c>
      <c r="D1657">
        <v>5.1791710000000002</v>
      </c>
      <c r="E1657">
        <v>0.54063479999999997</v>
      </c>
      <c r="F1657" t="s">
        <v>42</v>
      </c>
      <c r="G1657">
        <v>-193.22929999999999</v>
      </c>
      <c r="H1657" s="1">
        <v>-2.3525010000000002E-6</v>
      </c>
      <c r="I1657">
        <v>323.06990000000002</v>
      </c>
      <c r="J1657">
        <v>-193.34139999999999</v>
      </c>
      <c r="K1657">
        <v>1.118765</v>
      </c>
      <c r="L1657">
        <v>351.60309999999998</v>
      </c>
      <c r="M1657">
        <v>0.27499259999999998</v>
      </c>
      <c r="N1657">
        <v>-1.204247E-2</v>
      </c>
      <c r="O1657">
        <v>-0.96137110000000003</v>
      </c>
      <c r="P1657">
        <v>9.9062639999999993E-2</v>
      </c>
      <c r="Q1657">
        <v>0.1408567</v>
      </c>
      <c r="R1657">
        <v>-0.98506130000000003</v>
      </c>
      <c r="S1657">
        <v>1.8051149999999998E-2</v>
      </c>
      <c r="T1657">
        <v>-0.1190678</v>
      </c>
      <c r="U1657">
        <v>-3.060638</v>
      </c>
      <c r="V1657">
        <v>0.17661389999999999</v>
      </c>
      <c r="W1657">
        <v>0.15147639999999901</v>
      </c>
      <c r="X1657">
        <v>0.97255460000000005</v>
      </c>
      <c r="Y1657">
        <v>0.26925149999999998</v>
      </c>
      <c r="Z1657">
        <v>2.38821E-2</v>
      </c>
      <c r="AA1657">
        <v>0.96277369999999995</v>
      </c>
      <c r="AB1657">
        <v>21</v>
      </c>
      <c r="AC1657">
        <v>0.11209999999999801</v>
      </c>
      <c r="AD1657">
        <v>-1.118767352501</v>
      </c>
      <c r="AE1657">
        <v>-28.533199999999901</v>
      </c>
      <c r="AF1657">
        <v>7.7273294343007297</v>
      </c>
      <c r="AG1657">
        <v>-1.118767352501</v>
      </c>
      <c r="AH1657">
        <v>27.421650725157601</v>
      </c>
      <c r="AI1657">
        <v>92.248809378139796</v>
      </c>
      <c r="AJ1657">
        <v>74.262341242529402</v>
      </c>
      <c r="AK1657">
        <v>28.511579911814302</v>
      </c>
      <c r="AL1657">
        <v>81.287504291003799</v>
      </c>
      <c r="AM1657">
        <v>79.707369804095805</v>
      </c>
      <c r="AN1657">
        <v>1.0000000097056601</v>
      </c>
    </row>
    <row r="1658" spans="1:40" x14ac:dyDescent="0.25">
      <c r="A1658" t="str">
        <f>"20190303170251836"</f>
        <v>20190303170251836</v>
      </c>
      <c r="B1658" t="str">
        <f>"1551603771827200"</f>
        <v>1551603771827200</v>
      </c>
      <c r="C1658" t="s">
        <v>40</v>
      </c>
      <c r="D1658">
        <v>4.9500199999999897</v>
      </c>
      <c r="E1658">
        <v>0.53992779999999996</v>
      </c>
      <c r="F1658" t="s">
        <v>42</v>
      </c>
      <c r="G1658">
        <v>-193.18020000000001</v>
      </c>
      <c r="H1658" s="1">
        <v>-1.3089009999999999E-6</v>
      </c>
      <c r="I1658">
        <v>320.6678</v>
      </c>
      <c r="J1658">
        <v>-193.2886</v>
      </c>
      <c r="K1658">
        <v>1.118927</v>
      </c>
      <c r="L1658">
        <v>351.39830000000001</v>
      </c>
      <c r="M1658">
        <v>0.27055030000000002</v>
      </c>
      <c r="N1658">
        <v>-1.1749610000000001E-2</v>
      </c>
      <c r="O1658">
        <v>-0.96263430000000005</v>
      </c>
      <c r="P1658">
        <v>9.8084180000000007E-2</v>
      </c>
      <c r="Q1658">
        <v>0.14015610000000001</v>
      </c>
      <c r="R1658">
        <v>-0.98525940000000001</v>
      </c>
      <c r="S1658">
        <v>1.594543E-2</v>
      </c>
      <c r="T1658">
        <v>-0.1106528</v>
      </c>
      <c r="U1658">
        <v>-3.0596920000000001</v>
      </c>
      <c r="V1658">
        <v>0.17302819999999999</v>
      </c>
      <c r="W1658">
        <v>0.150605399999999</v>
      </c>
      <c r="X1658">
        <v>0.97333409999999998</v>
      </c>
      <c r="Y1658">
        <v>0.265470599999999</v>
      </c>
      <c r="Z1658">
        <v>2.1735440000000002E-2</v>
      </c>
      <c r="AA1658">
        <v>0.96387389999999995</v>
      </c>
      <c r="AB1658">
        <v>21</v>
      </c>
      <c r="AC1658">
        <v>0.10839999999998801</v>
      </c>
      <c r="AD1658">
        <v>-1.118928308901</v>
      </c>
      <c r="AE1658">
        <v>-30.730499999999999</v>
      </c>
      <c r="AF1658">
        <v>8.1994914700913792</v>
      </c>
      <c r="AG1658">
        <v>-1.118928308901</v>
      </c>
      <c r="AH1658">
        <v>29.5743924710623</v>
      </c>
      <c r="AI1658">
        <v>92.0880246829539</v>
      </c>
      <c r="AJ1658">
        <v>74.503982020796698</v>
      </c>
      <c r="AK1658">
        <v>30.710394835641299</v>
      </c>
      <c r="AL1658">
        <v>81.337988070420494</v>
      </c>
      <c r="AM1658">
        <v>79.919914049961704</v>
      </c>
      <c r="AN1658">
        <v>1.0000000073636</v>
      </c>
    </row>
    <row r="1659" spans="1:40" x14ac:dyDescent="0.25">
      <c r="A1659" t="str">
        <f>"20190303170251860"</f>
        <v>20190303170251860</v>
      </c>
      <c r="B1659" t="str">
        <f>"1551603771846720"</f>
        <v>1551603771846720</v>
      </c>
      <c r="C1659" t="s">
        <v>40</v>
      </c>
      <c r="D1659">
        <v>5.1219130000000002</v>
      </c>
      <c r="E1659">
        <v>0.53159449999999997</v>
      </c>
      <c r="F1659" t="s">
        <v>42</v>
      </c>
      <c r="G1659">
        <v>-193.1123</v>
      </c>
      <c r="H1659" s="1">
        <v>-1.199318E-6</v>
      </c>
      <c r="I1659">
        <v>320.45440000000002</v>
      </c>
      <c r="J1659">
        <v>-193.23599999999999</v>
      </c>
      <c r="K1659">
        <v>1.1190960000000001</v>
      </c>
      <c r="L1659">
        <v>351.19170000000003</v>
      </c>
      <c r="M1659">
        <v>0.26643709999999998</v>
      </c>
      <c r="N1659">
        <v>-1.143139E-2</v>
      </c>
      <c r="O1659">
        <v>-0.96378459999999999</v>
      </c>
      <c r="P1659">
        <v>9.959055E-2</v>
      </c>
      <c r="Q1659">
        <v>0.13921639999999999</v>
      </c>
      <c r="R1659">
        <v>-0.98524160000000005</v>
      </c>
      <c r="S1659">
        <v>1.742554E-2</v>
      </c>
      <c r="T1659">
        <v>-0.11060970000000001</v>
      </c>
      <c r="U1659">
        <v>-3.0588989999999998</v>
      </c>
      <c r="V1659">
        <v>0.1673211</v>
      </c>
      <c r="W1659">
        <v>0.1494876</v>
      </c>
      <c r="X1659">
        <v>0.97450349999999997</v>
      </c>
      <c r="Y1659">
        <v>0.26088600000000001</v>
      </c>
      <c r="Z1659">
        <v>2.2134319999999999E-2</v>
      </c>
      <c r="AA1659">
        <v>0.96511579999999997</v>
      </c>
      <c r="AB1659">
        <v>21</v>
      </c>
      <c r="AC1659">
        <v>0.123699999999985</v>
      </c>
      <c r="AD1659">
        <v>-1.1190971993179999</v>
      </c>
      <c r="AE1659">
        <v>-30.737300000000001</v>
      </c>
      <c r="AF1659">
        <v>8.0601794302383691</v>
      </c>
      <c r="AG1659">
        <v>-1.1190971993179999</v>
      </c>
      <c r="AH1659">
        <v>29.619767638263799</v>
      </c>
      <c r="AI1659">
        <v>92.087873662292395</v>
      </c>
      <c r="AJ1659">
        <v>74.777184706351704</v>
      </c>
      <c r="AK1659">
        <v>30.717250950140301</v>
      </c>
      <c r="AL1659">
        <v>81.402766440921695</v>
      </c>
      <c r="AM1659">
        <v>80.257380134584395</v>
      </c>
      <c r="AN1659">
        <v>0.99999998228560905</v>
      </c>
    </row>
    <row r="1660" spans="1:40" x14ac:dyDescent="0.25">
      <c r="A1660" t="str">
        <f>"20190303170251881"</f>
        <v>20190303170251881</v>
      </c>
      <c r="B1660" t="str">
        <f>"1551603771866932"</f>
        <v>1551603771866932</v>
      </c>
      <c r="C1660" t="s">
        <v>40</v>
      </c>
      <c r="D1660">
        <v>5.117496</v>
      </c>
      <c r="E1660">
        <v>0.53171599999999997</v>
      </c>
      <c r="F1660" t="s">
        <v>42</v>
      </c>
      <c r="G1660">
        <v>-192.21180000000001</v>
      </c>
      <c r="H1660" s="1">
        <v>-2.9167820000000001E-6</v>
      </c>
      <c r="I1660">
        <v>314.51710000000003</v>
      </c>
      <c r="J1660">
        <v>-193.18360000000001</v>
      </c>
      <c r="K1660">
        <v>1.119237</v>
      </c>
      <c r="L1660">
        <v>350.98450000000003</v>
      </c>
      <c r="M1660">
        <v>0.26259890000000002</v>
      </c>
      <c r="N1660">
        <v>-1.110741E-2</v>
      </c>
      <c r="O1660">
        <v>-0.96484139999999996</v>
      </c>
      <c r="P1660">
        <v>0.100816</v>
      </c>
      <c r="Q1660">
        <v>0.13906949999999901</v>
      </c>
      <c r="R1660">
        <v>-0.98513759999999995</v>
      </c>
      <c r="S1660">
        <v>8.5159299999999993E-2</v>
      </c>
      <c r="T1660">
        <v>-9.3051309999999998E-2</v>
      </c>
      <c r="U1660">
        <v>-3.0494379999999999</v>
      </c>
      <c r="V1660">
        <v>0.16215260000000001</v>
      </c>
      <c r="W1660">
        <v>0.149136299999999</v>
      </c>
      <c r="X1660">
        <v>0.97543060000000004</v>
      </c>
      <c r="Y1660">
        <v>0.2355246</v>
      </c>
      <c r="Z1660">
        <v>1.7399270000000001E-2</v>
      </c>
      <c r="AA1660">
        <v>0.97171260000000004</v>
      </c>
      <c r="AB1660">
        <v>21</v>
      </c>
      <c r="AC1660">
        <v>0.971800000000001</v>
      </c>
      <c r="AD1660">
        <v>-1.119239916782</v>
      </c>
      <c r="AE1660">
        <v>-36.467399999999998</v>
      </c>
      <c r="AF1660">
        <v>8.6310726709872903</v>
      </c>
      <c r="AG1660">
        <v>-1.119239916782</v>
      </c>
      <c r="AH1660">
        <v>35.409297926225499</v>
      </c>
      <c r="AI1660">
        <v>91.758972352473705</v>
      </c>
      <c r="AJ1660">
        <v>76.301197000696305</v>
      </c>
      <c r="AK1660">
        <v>36.463221101150403</v>
      </c>
      <c r="AL1660">
        <v>81.423122606500797</v>
      </c>
      <c r="AM1660">
        <v>80.561635430727804</v>
      </c>
      <c r="AN1660">
        <v>0.99999997854040401</v>
      </c>
    </row>
    <row r="1661" spans="1:40" x14ac:dyDescent="0.25">
      <c r="A1661" t="str">
        <f>"20190303170251903"</f>
        <v>20190303170251903</v>
      </c>
      <c r="B1661" t="str">
        <f>"1551603771897190"</f>
        <v>1551603771897190</v>
      </c>
      <c r="C1661" t="s">
        <v>40</v>
      </c>
      <c r="D1661">
        <v>5.1779640000000002</v>
      </c>
      <c r="E1661">
        <v>0.53119510000000003</v>
      </c>
      <c r="F1661" t="s">
        <v>42</v>
      </c>
      <c r="G1661">
        <v>-192.1711</v>
      </c>
      <c r="H1661" s="1">
        <v>-3.6436219999999999E-6</v>
      </c>
      <c r="I1661">
        <v>316.07760000000002</v>
      </c>
      <c r="J1661">
        <v>-193.13290000000001</v>
      </c>
      <c r="K1661">
        <v>1.1193360000000001</v>
      </c>
      <c r="L1661">
        <v>350.78199999999998</v>
      </c>
      <c r="M1661">
        <v>0.25911990000000001</v>
      </c>
      <c r="N1661">
        <v>-1.078694E-2</v>
      </c>
      <c r="O1661">
        <v>-0.96578509999999995</v>
      </c>
      <c r="P1661">
        <v>0.1013386</v>
      </c>
      <c r="Q1661">
        <v>0.13741049999999999</v>
      </c>
      <c r="R1661">
        <v>-0.98531709999999995</v>
      </c>
      <c r="S1661">
        <v>8.8470460000000001E-2</v>
      </c>
      <c r="T1661">
        <v>-9.7793580000000005E-2</v>
      </c>
      <c r="U1661">
        <v>-3.0499879999999999</v>
      </c>
      <c r="V1661">
        <v>0.15810389999999999</v>
      </c>
      <c r="W1661">
        <v>0.14725569999999999</v>
      </c>
      <c r="X1661">
        <v>0.97638049999999998</v>
      </c>
      <c r="Y1661">
        <v>0.23097139999999999</v>
      </c>
      <c r="Z1661">
        <v>1.9225849999999999E-2</v>
      </c>
      <c r="AA1661">
        <v>0.97277060000000004</v>
      </c>
      <c r="AB1661">
        <v>21</v>
      </c>
      <c r="AC1661">
        <v>0.96180000000000998</v>
      </c>
      <c r="AD1661">
        <v>-1.119339643622</v>
      </c>
      <c r="AE1661">
        <v>-34.7043999999999</v>
      </c>
      <c r="AF1661">
        <v>8.0558024128617802</v>
      </c>
      <c r="AG1661">
        <v>-1.119339643622</v>
      </c>
      <c r="AH1661">
        <v>33.733107556327099</v>
      </c>
      <c r="AI1661">
        <v>91.848560810394503</v>
      </c>
      <c r="AJ1661">
        <v>76.568754304276098</v>
      </c>
      <c r="AK1661">
        <v>34.699732263514498</v>
      </c>
      <c r="AL1661">
        <v>81.532076167341799</v>
      </c>
      <c r="AM1661">
        <v>80.802014747756104</v>
      </c>
      <c r="AN1661">
        <v>0.99999998257897404</v>
      </c>
    </row>
    <row r="1662" spans="1:40" x14ac:dyDescent="0.25">
      <c r="A1662" t="str">
        <f>"20190303170251926"</f>
        <v>20190303170251926</v>
      </c>
      <c r="B1662" t="str">
        <f>"1551603771917685"</f>
        <v>1551603771917685</v>
      </c>
      <c r="C1662" t="s">
        <v>40</v>
      </c>
      <c r="D1662">
        <v>5.0626530000000001</v>
      </c>
      <c r="E1662">
        <v>0.53137829999999997</v>
      </c>
      <c r="F1662" t="s">
        <v>42</v>
      </c>
      <c r="G1662">
        <v>-192.10679999999999</v>
      </c>
      <c r="H1662" s="1">
        <v>-4.5552220000000002E-6</v>
      </c>
      <c r="I1662">
        <v>318.17500000000001</v>
      </c>
      <c r="J1662">
        <v>-193.0779</v>
      </c>
      <c r="K1662">
        <v>1.1194249999999999</v>
      </c>
      <c r="L1662">
        <v>350.56049999999999</v>
      </c>
      <c r="M1662">
        <v>0.25563900000000001</v>
      </c>
      <c r="N1662">
        <v>-1.041452E-2</v>
      </c>
      <c r="O1662">
        <v>-0.96671620000000003</v>
      </c>
      <c r="P1662">
        <v>0.102099</v>
      </c>
      <c r="Q1662">
        <v>0.1345181</v>
      </c>
      <c r="R1662">
        <v>-0.98563750000000006</v>
      </c>
      <c r="S1662">
        <v>9.5962519999999996E-2</v>
      </c>
      <c r="T1662">
        <v>-0.104683</v>
      </c>
      <c r="U1662">
        <v>-3.0494690000000002</v>
      </c>
      <c r="V1662">
        <v>0.153856299999999</v>
      </c>
      <c r="W1662">
        <v>0.14408840000000001</v>
      </c>
      <c r="X1662">
        <v>0.97753100000000004</v>
      </c>
      <c r="Y1662">
        <v>0.2250712</v>
      </c>
      <c r="Z1662">
        <v>2.1784810000000002E-2</v>
      </c>
      <c r="AA1662">
        <v>0.97409869999999998</v>
      </c>
      <c r="AB1662">
        <v>21</v>
      </c>
      <c r="AC1662">
        <v>0.97110000000000696</v>
      </c>
      <c r="AD1662">
        <v>-1.1194295552219999</v>
      </c>
      <c r="AE1662">
        <v>-32.385499999999901</v>
      </c>
      <c r="AF1662">
        <v>7.3318647521770197</v>
      </c>
      <c r="AG1662">
        <v>-1.1194295552219999</v>
      </c>
      <c r="AH1662">
        <v>31.519924494724101</v>
      </c>
      <c r="AI1662">
        <v>91.981155761756895</v>
      </c>
      <c r="AJ1662">
        <v>76.905261973104103</v>
      </c>
      <c r="AK1662">
        <v>32.380781389991597</v>
      </c>
      <c r="AL1662">
        <v>81.7155063277811</v>
      </c>
      <c r="AM1662">
        <v>81.055437230601697</v>
      </c>
      <c r="AN1662">
        <v>1.00000004201262</v>
      </c>
    </row>
    <row r="1663" spans="1:40" x14ac:dyDescent="0.25">
      <c r="A1663" t="str">
        <f>"20190303170251947"</f>
        <v>20190303170251947</v>
      </c>
      <c r="B1663" t="str">
        <f>"1551603771937205"</f>
        <v>1551603771937205</v>
      </c>
      <c r="C1663" t="s">
        <v>40</v>
      </c>
      <c r="D1663">
        <v>5.1199009999999996</v>
      </c>
      <c r="E1663">
        <v>0.5312983</v>
      </c>
      <c r="F1663" t="s">
        <v>42</v>
      </c>
      <c r="G1663">
        <v>-192.12190000000001</v>
      </c>
      <c r="H1663" s="1">
        <v>-1.10991E-6</v>
      </c>
      <c r="I1663">
        <v>320.8603</v>
      </c>
      <c r="J1663">
        <v>-193.0292</v>
      </c>
      <c r="K1663">
        <v>1.119486</v>
      </c>
      <c r="L1663">
        <v>350.36320000000001</v>
      </c>
      <c r="M1663">
        <v>0.25281389999999998</v>
      </c>
      <c r="N1663">
        <v>-1.006102E-2</v>
      </c>
      <c r="O1663">
        <v>-0.96746270000000001</v>
      </c>
      <c r="P1663">
        <v>0.1046425</v>
      </c>
      <c r="Q1663">
        <v>0.13315399999999999</v>
      </c>
      <c r="R1663">
        <v>-0.98555570000000003</v>
      </c>
      <c r="S1663">
        <v>9.8144529999999994E-2</v>
      </c>
      <c r="T1663">
        <v>-0.11492670000000001</v>
      </c>
      <c r="U1663">
        <v>-3.049194</v>
      </c>
      <c r="V1663">
        <v>0.14846210000000001</v>
      </c>
      <c r="W1663">
        <v>0.1424569</v>
      </c>
      <c r="X1663">
        <v>0.97860360000000002</v>
      </c>
      <c r="Y1663">
        <v>0.2215251</v>
      </c>
      <c r="Z1663">
        <v>2.5340350000000001E-2</v>
      </c>
      <c r="AA1663">
        <v>0.97482539999999995</v>
      </c>
      <c r="AB1663">
        <v>21</v>
      </c>
      <c r="AC1663">
        <v>0.907299999999992</v>
      </c>
      <c r="AD1663">
        <v>-1.1194871099100001</v>
      </c>
      <c r="AE1663">
        <v>-29.5029</v>
      </c>
      <c r="AF1663">
        <v>6.5718435071170296</v>
      </c>
      <c r="AG1663">
        <v>-1.1194871099100001</v>
      </c>
      <c r="AH1663">
        <v>28.732456730097802</v>
      </c>
      <c r="AI1663">
        <v>92.175140494620095</v>
      </c>
      <c r="AJ1663">
        <v>77.116613215706806</v>
      </c>
      <c r="AK1663">
        <v>29.495702199103999</v>
      </c>
      <c r="AL1663">
        <v>81.809958369172094</v>
      </c>
      <c r="AM1663">
        <v>81.373544674881501</v>
      </c>
      <c r="AN1663">
        <v>0.99999998471348905</v>
      </c>
    </row>
    <row r="1664" spans="1:40" x14ac:dyDescent="0.25">
      <c r="A1664" t="str">
        <f>"20190303170251969"</f>
        <v>20190303170251969</v>
      </c>
      <c r="B1664" t="str">
        <f>"1551603771957292"</f>
        <v>1551603771957292</v>
      </c>
      <c r="C1664" t="s">
        <v>40</v>
      </c>
      <c r="D1664">
        <v>5.124873</v>
      </c>
      <c r="E1664">
        <v>0.53114899999999998</v>
      </c>
      <c r="F1664" t="s">
        <v>42</v>
      </c>
      <c r="G1664">
        <v>-192.0317</v>
      </c>
      <c r="H1664" s="1">
        <v>-1.3941450000000001E-6</v>
      </c>
      <c r="I1664">
        <v>321.5788</v>
      </c>
      <c r="J1664">
        <v>-192.9787</v>
      </c>
      <c r="K1664">
        <v>1.1195550000000001</v>
      </c>
      <c r="L1664">
        <v>350.15679999999998</v>
      </c>
      <c r="M1664">
        <v>0.2501022</v>
      </c>
      <c r="N1664">
        <v>-9.6868130000000007E-3</v>
      </c>
      <c r="O1664">
        <v>-0.96817120000000001</v>
      </c>
      <c r="P1664">
        <v>0.1068843</v>
      </c>
      <c r="Q1664">
        <v>0.13386670000000001</v>
      </c>
      <c r="R1664">
        <v>-0.98521860000000006</v>
      </c>
      <c r="S1664">
        <v>0.10565190000000001</v>
      </c>
      <c r="T1664">
        <v>-0.118572</v>
      </c>
      <c r="U1664">
        <v>-3.048737</v>
      </c>
      <c r="V1664">
        <v>0.14341799999999999</v>
      </c>
      <c r="W1664">
        <v>0.14287130000000001</v>
      </c>
      <c r="X1664">
        <v>0.97929520000000003</v>
      </c>
      <c r="Y1664">
        <v>0.2163902</v>
      </c>
      <c r="Z1664">
        <v>2.6903130000000001E-2</v>
      </c>
      <c r="AA1664">
        <v>0.97593620000000003</v>
      </c>
      <c r="AB1664">
        <v>21</v>
      </c>
      <c r="AC1664">
        <v>0.94700000000000195</v>
      </c>
      <c r="AD1664">
        <v>-1.119556394145</v>
      </c>
      <c r="AE1664">
        <v>-28.5779999999999</v>
      </c>
      <c r="AF1664">
        <v>6.2213160997628103</v>
      </c>
      <c r="AG1664">
        <v>-1.119556394145</v>
      </c>
      <c r="AH1664">
        <v>27.863830654267801</v>
      </c>
      <c r="AI1664">
        <v>92.245645896322003</v>
      </c>
      <c r="AJ1664">
        <v>77.413686151857306</v>
      </c>
      <c r="AK1664">
        <v>28.571860969537099</v>
      </c>
      <c r="AL1664">
        <v>81.785969829020402</v>
      </c>
      <c r="AM1664">
        <v>81.668248977556601</v>
      </c>
      <c r="AN1664">
        <v>1.0000000099153601</v>
      </c>
    </row>
    <row r="1665" spans="1:40" x14ac:dyDescent="0.25">
      <c r="A1665" t="str">
        <f>"20190303170251993"</f>
        <v>20190303170251993</v>
      </c>
      <c r="B1665" t="str">
        <f>"1551603771987548"</f>
        <v>1551603771987548</v>
      </c>
      <c r="C1665" t="s">
        <v>40</v>
      </c>
      <c r="D1665">
        <v>5.1874180000000001</v>
      </c>
      <c r="E1665">
        <v>0.53135650000000001</v>
      </c>
      <c r="F1665" t="s">
        <v>42</v>
      </c>
      <c r="G1665">
        <v>-191.875</v>
      </c>
      <c r="H1665" s="1">
        <v>-7.8026750000000002E-7</v>
      </c>
      <c r="I1665">
        <v>320.245</v>
      </c>
      <c r="J1665">
        <v>-192.9239</v>
      </c>
      <c r="K1665">
        <v>1.1196219999999999</v>
      </c>
      <c r="L1665">
        <v>349.9316</v>
      </c>
      <c r="M1665">
        <v>0.2473706</v>
      </c>
      <c r="N1665">
        <v>-9.2905939999999992E-3</v>
      </c>
      <c r="O1665">
        <v>-0.96887639999999997</v>
      </c>
      <c r="P1665">
        <v>0.1076416</v>
      </c>
      <c r="Q1665">
        <v>0.13473859999999999</v>
      </c>
      <c r="R1665">
        <v>-0.98501729999999998</v>
      </c>
      <c r="S1665">
        <v>0.1124725</v>
      </c>
      <c r="T1665">
        <v>-0.1140926</v>
      </c>
      <c r="U1665">
        <v>-3.048279</v>
      </c>
      <c r="V1665">
        <v>0.13982820000000001</v>
      </c>
      <c r="W1665">
        <v>0.14341019999999999</v>
      </c>
      <c r="X1665">
        <v>0.97973549999999998</v>
      </c>
      <c r="Y1665">
        <v>0.21145149999999999</v>
      </c>
      <c r="Z1665">
        <v>2.59841E-2</v>
      </c>
      <c r="AA1665">
        <v>0.97704299999999999</v>
      </c>
      <c r="AB1665">
        <v>22</v>
      </c>
      <c r="AC1665">
        <v>1.0488999999999999</v>
      </c>
      <c r="AD1665">
        <v>-1.1196227802674901</v>
      </c>
      <c r="AE1665">
        <v>-29.686599999999999</v>
      </c>
      <c r="AF1665">
        <v>6.3186342292979596</v>
      </c>
      <c r="AG1665">
        <v>-1.1196227802674901</v>
      </c>
      <c r="AH1665">
        <v>28.982192710616001</v>
      </c>
      <c r="AI1665">
        <v>92.161590401633006</v>
      </c>
      <c r="AJ1665">
        <v>77.700954379081907</v>
      </c>
      <c r="AK1665">
        <v>29.684106656745399</v>
      </c>
      <c r="AL1665">
        <v>81.754772038063194</v>
      </c>
      <c r="AM1665">
        <v>81.877578318807494</v>
      </c>
      <c r="AN1665">
        <v>1.00000003046976</v>
      </c>
    </row>
    <row r="1666" spans="1:40" x14ac:dyDescent="0.25">
      <c r="A1666" t="str">
        <f>"20190303170252016"</f>
        <v>20190303170252016</v>
      </c>
      <c r="B1666" t="str">
        <f>"1551603772007068"</f>
        <v>1551603772007068</v>
      </c>
      <c r="C1666" t="s">
        <v>40</v>
      </c>
      <c r="D1666">
        <v>5.0563849999999997</v>
      </c>
      <c r="E1666">
        <v>0.53165410000000002</v>
      </c>
      <c r="F1666" t="s">
        <v>42</v>
      </c>
      <c r="G1666">
        <v>-191.7929</v>
      </c>
      <c r="H1666" s="1">
        <v>-4.9336240000000003E-6</v>
      </c>
      <c r="I1666">
        <v>319.30540000000002</v>
      </c>
      <c r="J1666">
        <v>-192.87180000000001</v>
      </c>
      <c r="K1666">
        <v>1.1196710000000001</v>
      </c>
      <c r="L1666">
        <v>349.71600000000001</v>
      </c>
      <c r="M1666">
        <v>0.2449431</v>
      </c>
      <c r="N1666">
        <v>-8.9273410000000001E-3</v>
      </c>
      <c r="O1666">
        <v>-0.96949669999999999</v>
      </c>
      <c r="P1666">
        <v>0.10764940000000001</v>
      </c>
      <c r="Q1666">
        <v>0.13551289999999999</v>
      </c>
      <c r="R1666">
        <v>-0.98491070000000003</v>
      </c>
      <c r="S1666">
        <v>0.11257929999999999</v>
      </c>
      <c r="T1666">
        <v>-0.11144950000000001</v>
      </c>
      <c r="U1666">
        <v>-3.048584</v>
      </c>
      <c r="V1666">
        <v>0.1373086</v>
      </c>
      <c r="W1666">
        <v>0.14386660000000001</v>
      </c>
      <c r="X1666">
        <v>0.98002489999999998</v>
      </c>
      <c r="Y1666">
        <v>0.20897460000000001</v>
      </c>
      <c r="Z1666">
        <v>2.556988E-2</v>
      </c>
      <c r="AA1666">
        <v>0.97758670000000003</v>
      </c>
      <c r="AB1666">
        <v>22</v>
      </c>
      <c r="AC1666">
        <v>1.0789</v>
      </c>
      <c r="AD1666">
        <v>-1.1196759336240001</v>
      </c>
      <c r="AE1666">
        <v>-30.410599999999899</v>
      </c>
      <c r="AF1666">
        <v>6.3944721481983704</v>
      </c>
      <c r="AG1666">
        <v>-1.1196759336240001</v>
      </c>
      <c r="AH1666">
        <v>29.708198834942401</v>
      </c>
      <c r="AI1666">
        <v>92.110124230662294</v>
      </c>
      <c r="AJ1666">
        <v>77.852830636797904</v>
      </c>
      <c r="AK1666">
        <v>30.409209563336201</v>
      </c>
      <c r="AL1666">
        <v>81.728348210989907</v>
      </c>
      <c r="AM1666">
        <v>82.024362485365401</v>
      </c>
      <c r="AN1666">
        <v>1.00000002742476</v>
      </c>
    </row>
    <row r="1667" spans="1:40" x14ac:dyDescent="0.25">
      <c r="A1667" t="str">
        <f>"20190303170252040"</f>
        <v>20190303170252040</v>
      </c>
      <c r="B1667" t="str">
        <f>"1551603772027563"</f>
        <v>1551603772027563</v>
      </c>
      <c r="C1667" t="s">
        <v>40</v>
      </c>
      <c r="D1667">
        <v>5.1800620000000004</v>
      </c>
      <c r="E1667">
        <v>0.53193849999999998</v>
      </c>
      <c r="F1667" t="s">
        <v>42</v>
      </c>
      <c r="G1667">
        <v>-191.74289999999999</v>
      </c>
      <c r="H1667" s="1">
        <v>-4.5526969999999998E-6</v>
      </c>
      <c r="I1667">
        <v>318.3365</v>
      </c>
      <c r="J1667">
        <v>-192.81829999999999</v>
      </c>
      <c r="K1667">
        <v>1.11968</v>
      </c>
      <c r="L1667">
        <v>349.49259999999998</v>
      </c>
      <c r="M1667">
        <v>0.24257490000000001</v>
      </c>
      <c r="N1667">
        <v>-8.5606999999999992E-3</v>
      </c>
      <c r="O1667">
        <v>-0.97009500000000004</v>
      </c>
      <c r="P1667">
        <v>0.108644</v>
      </c>
      <c r="Q1667">
        <v>0.13720479999999999</v>
      </c>
      <c r="R1667">
        <v>-0.98456690000000002</v>
      </c>
      <c r="S1667">
        <v>0.1096954</v>
      </c>
      <c r="T1667">
        <v>-0.1087921</v>
      </c>
      <c r="U1667">
        <v>-3.04895</v>
      </c>
      <c r="V1667">
        <v>0.133851</v>
      </c>
      <c r="W1667">
        <v>0.14522550000000001</v>
      </c>
      <c r="X1667">
        <v>0.98030280000000003</v>
      </c>
      <c r="Y1667">
        <v>0.20751629999999999</v>
      </c>
      <c r="Z1667">
        <v>2.5146430000000001E-2</v>
      </c>
      <c r="AA1667">
        <v>0.97790829999999995</v>
      </c>
      <c r="AB1667">
        <v>22</v>
      </c>
      <c r="AC1667">
        <v>1.0753999999999999</v>
      </c>
      <c r="AD1667">
        <v>-1.1196845526970001</v>
      </c>
      <c r="AE1667">
        <v>-31.156099999999899</v>
      </c>
      <c r="AF1667">
        <v>6.5062927375855804</v>
      </c>
      <c r="AG1667">
        <v>-1.1196845526970001</v>
      </c>
      <c r="AH1667">
        <v>30.447079722559199</v>
      </c>
      <c r="AI1667">
        <v>92.059631050423107</v>
      </c>
      <c r="AJ1667">
        <v>77.937779074311294</v>
      </c>
      <c r="AK1667">
        <v>31.154617672450801</v>
      </c>
      <c r="AL1667">
        <v>81.649662877722605</v>
      </c>
      <c r="AM1667">
        <v>82.224887648359399</v>
      </c>
      <c r="AN1667">
        <v>1.00000005786954</v>
      </c>
    </row>
    <row r="1668" spans="1:40" x14ac:dyDescent="0.25">
      <c r="A1668" t="str">
        <f>"20190303170252059"</f>
        <v>20190303170252059</v>
      </c>
      <c r="B1668" t="str">
        <f>"1551603772047084"</f>
        <v>1551603772047084</v>
      </c>
      <c r="C1668" t="s">
        <v>40</v>
      </c>
      <c r="D1668">
        <v>5.1219340000000004</v>
      </c>
      <c r="E1668">
        <v>0.53207360000000004</v>
      </c>
      <c r="F1668" t="s">
        <v>42</v>
      </c>
      <c r="G1668">
        <v>-191.6345</v>
      </c>
      <c r="H1668" s="1">
        <v>-3.715078E-6</v>
      </c>
      <c r="I1668">
        <v>316.5308</v>
      </c>
      <c r="J1668">
        <v>-192.77260000000001</v>
      </c>
      <c r="K1668">
        <v>1.119667</v>
      </c>
      <c r="L1668">
        <v>349.30090000000001</v>
      </c>
      <c r="M1668">
        <v>0.2406122</v>
      </c>
      <c r="N1668">
        <v>-8.2596890000000006E-3</v>
      </c>
      <c r="O1668">
        <v>-0.97058630000000001</v>
      </c>
      <c r="P1668">
        <v>0.1110418</v>
      </c>
      <c r="Q1668">
        <v>0.13893510000000001</v>
      </c>
      <c r="R1668">
        <v>-0.9840565</v>
      </c>
      <c r="S1668">
        <v>0.10951230000000001</v>
      </c>
      <c r="T1668">
        <v>-0.1035837</v>
      </c>
      <c r="U1668">
        <v>-3.049347</v>
      </c>
      <c r="V1668">
        <v>0.12941549999999999</v>
      </c>
      <c r="W1668">
        <v>0.146678799999999</v>
      </c>
      <c r="X1668">
        <v>0.9806819</v>
      </c>
      <c r="Y1668">
        <v>0.20560239999999999</v>
      </c>
      <c r="Z1668">
        <v>2.3862930000000001E-2</v>
      </c>
      <c r="AA1668">
        <v>0.97834460000000001</v>
      </c>
      <c r="AB1668">
        <v>22</v>
      </c>
      <c r="AC1668">
        <v>1.1380999999999999</v>
      </c>
      <c r="AD1668">
        <v>-1.1196707150780001</v>
      </c>
      <c r="AE1668">
        <v>-32.770099999999999</v>
      </c>
      <c r="AF1668">
        <v>6.7725952382300196</v>
      </c>
      <c r="AG1668">
        <v>-1.1196707150780001</v>
      </c>
      <c r="AH1668">
        <v>32.043778380100498</v>
      </c>
      <c r="AI1668">
        <v>91.957989773344195</v>
      </c>
      <c r="AJ1668">
        <v>78.065914550398006</v>
      </c>
      <c r="AK1668">
        <v>32.770801663128402</v>
      </c>
      <c r="AL1668">
        <v>81.565493244331904</v>
      </c>
      <c r="AM1668">
        <v>82.482411427718404</v>
      </c>
      <c r="AN1668">
        <v>1.0000000154986399</v>
      </c>
    </row>
    <row r="1669" spans="1:40" x14ac:dyDescent="0.25">
      <c r="A1669" t="str">
        <f>"20190303170252083"</f>
        <v>20190303170252083</v>
      </c>
      <c r="B1669" t="str">
        <f>"1551603772067531"</f>
        <v>1551603772067531</v>
      </c>
      <c r="C1669" t="s">
        <v>40</v>
      </c>
      <c r="D1669">
        <v>5.1784280000000003</v>
      </c>
      <c r="E1669">
        <v>0.53220400000000001</v>
      </c>
      <c r="F1669" t="s">
        <v>42</v>
      </c>
      <c r="G1669">
        <v>-191.46709999999999</v>
      </c>
      <c r="H1669" s="1">
        <v>-2.795264E-6</v>
      </c>
      <c r="I1669">
        <v>314.67910000000001</v>
      </c>
      <c r="J1669">
        <v>-192.7184</v>
      </c>
      <c r="K1669">
        <v>1.119618</v>
      </c>
      <c r="L1669">
        <v>349.07119999999998</v>
      </c>
      <c r="M1669">
        <v>0.23830779999999999</v>
      </c>
      <c r="N1669">
        <v>-7.9200759999999999E-3</v>
      </c>
      <c r="O1669">
        <v>-0.97115739999999995</v>
      </c>
      <c r="P1669">
        <v>0.1128469</v>
      </c>
      <c r="Q1669">
        <v>0.14002699999999901</v>
      </c>
      <c r="R1669">
        <v>-0.98369620000000002</v>
      </c>
      <c r="S1669">
        <v>0.1149902</v>
      </c>
      <c r="T1669">
        <v>-9.8622920000000003E-2</v>
      </c>
      <c r="U1669">
        <v>-3.0495610000000002</v>
      </c>
      <c r="V1669">
        <v>0.12525449999999999</v>
      </c>
      <c r="W1669">
        <v>0.14744579999999999</v>
      </c>
      <c r="X1669">
        <v>0.98110710000000001</v>
      </c>
      <c r="Y1669">
        <v>0.2015275</v>
      </c>
      <c r="Z1669">
        <v>2.2705199999999998E-2</v>
      </c>
      <c r="AA1669">
        <v>0.97921970000000003</v>
      </c>
      <c r="AB1669">
        <v>22</v>
      </c>
      <c r="AC1669">
        <v>1.2513000000000101</v>
      </c>
      <c r="AD1669">
        <v>-1.119620795264</v>
      </c>
      <c r="AE1669">
        <v>-34.3920999999999</v>
      </c>
      <c r="AF1669">
        <v>6.9735344861351596</v>
      </c>
      <c r="AG1669">
        <v>-1.119620795264</v>
      </c>
      <c r="AH1669">
        <v>33.663763664905701</v>
      </c>
      <c r="AI1669">
        <v>91.865320987770005</v>
      </c>
      <c r="AJ1669">
        <v>78.296566009480799</v>
      </c>
      <c r="AK1669">
        <v>34.396696324518203</v>
      </c>
      <c r="AL1669">
        <v>81.521064590456902</v>
      </c>
      <c r="AM1669">
        <v>82.724605152315405</v>
      </c>
      <c r="AN1669">
        <v>1.00000004768914</v>
      </c>
    </row>
    <row r="1670" spans="1:40" x14ac:dyDescent="0.25">
      <c r="A1670" t="str">
        <f>"20190303170252106"</f>
        <v>20190303170252106</v>
      </c>
      <c r="B1670" t="str">
        <f>"1551603772096811"</f>
        <v>1551603772096811</v>
      </c>
      <c r="C1670" t="s">
        <v>40</v>
      </c>
      <c r="D1670">
        <v>5.0222989999999896</v>
      </c>
      <c r="E1670">
        <v>0.53561890000000001</v>
      </c>
      <c r="F1670" t="s">
        <v>42</v>
      </c>
      <c r="G1670">
        <v>-191.3202</v>
      </c>
      <c r="H1670" s="1">
        <v>-2.1149380000000001E-6</v>
      </c>
      <c r="I1670">
        <v>313.32260000000002</v>
      </c>
      <c r="J1670">
        <v>-192.66499999999999</v>
      </c>
      <c r="K1670">
        <v>1.11954</v>
      </c>
      <c r="L1670">
        <v>348.84249999999997</v>
      </c>
      <c r="M1670">
        <v>0.2360246</v>
      </c>
      <c r="N1670">
        <v>-7.598395E-3</v>
      </c>
      <c r="O1670">
        <v>-0.97171739999999995</v>
      </c>
      <c r="P1670">
        <v>0.11231389999999999</v>
      </c>
      <c r="Q1670">
        <v>0.13954359999999999</v>
      </c>
      <c r="R1670">
        <v>-0.98382590000000003</v>
      </c>
      <c r="S1670">
        <v>0.119278</v>
      </c>
      <c r="T1670">
        <v>-9.5511079999999998E-2</v>
      </c>
      <c r="U1670">
        <v>-3.0495909999999999</v>
      </c>
      <c r="V1670">
        <v>0.1235057</v>
      </c>
      <c r="W1670">
        <v>0.14664199999999999</v>
      </c>
      <c r="X1670">
        <v>0.98144920000000002</v>
      </c>
      <c r="Y1670">
        <v>0.19785150000000001</v>
      </c>
      <c r="Z1670">
        <v>2.2098710000000001E-2</v>
      </c>
      <c r="AA1670">
        <v>0.97998289999999999</v>
      </c>
      <c r="AB1670">
        <v>22</v>
      </c>
      <c r="AC1670">
        <v>1.34479999999999</v>
      </c>
      <c r="AD1670">
        <v>-1.119542114938</v>
      </c>
      <c r="AE1670">
        <v>-35.5198999999999</v>
      </c>
      <c r="AF1670">
        <v>7.0699952493065803</v>
      </c>
      <c r="AG1670">
        <v>-1.119542114938</v>
      </c>
      <c r="AH1670">
        <v>34.799194333733801</v>
      </c>
      <c r="AI1670">
        <v>91.805789292061405</v>
      </c>
      <c r="AJ1670">
        <v>78.515780871017796</v>
      </c>
      <c r="AK1670">
        <v>35.527765672067098</v>
      </c>
      <c r="AL1670">
        <v>81.567624927291007</v>
      </c>
      <c r="AM1670">
        <v>82.827592919074107</v>
      </c>
      <c r="AN1670">
        <v>1.0000000331385599</v>
      </c>
    </row>
    <row r="1671" spans="1:40" x14ac:dyDescent="0.25">
      <c r="A1671" t="str">
        <f>"20190303170252128"</f>
        <v>20190303170252128</v>
      </c>
      <c r="B1671" t="str">
        <f>"1551603772117307"</f>
        <v>1551603772117307</v>
      </c>
      <c r="C1671" t="s">
        <v>40</v>
      </c>
      <c r="D1671">
        <v>4.9923979999999997</v>
      </c>
      <c r="E1671">
        <v>0.53636640000000002</v>
      </c>
      <c r="F1671" t="s">
        <v>42</v>
      </c>
      <c r="G1671">
        <v>-191.76</v>
      </c>
      <c r="H1671" s="1">
        <v>-4.717634E-6</v>
      </c>
      <c r="I1671">
        <v>318.75810000000001</v>
      </c>
      <c r="J1671">
        <v>-192.61680000000001</v>
      </c>
      <c r="K1671">
        <v>1.1194599999999999</v>
      </c>
      <c r="L1671">
        <v>348.63420000000002</v>
      </c>
      <c r="M1671">
        <v>0.23393149999999999</v>
      </c>
      <c r="N1671">
        <v>-7.31788199999999E-3</v>
      </c>
      <c r="O1671">
        <v>-0.97222569999999997</v>
      </c>
      <c r="P1671">
        <v>0.1104011</v>
      </c>
      <c r="Q1671">
        <v>0.13806959999999999</v>
      </c>
      <c r="R1671">
        <v>-0.98425050000000003</v>
      </c>
      <c r="S1671">
        <v>9.1903689999999996E-2</v>
      </c>
      <c r="T1671">
        <v>-0.1136872</v>
      </c>
      <c r="U1671">
        <v>-3.0549930000000001</v>
      </c>
      <c r="V1671">
        <v>0.1233592</v>
      </c>
      <c r="W1671">
        <v>0.1448815</v>
      </c>
      <c r="X1671">
        <v>0.98172899999999996</v>
      </c>
      <c r="Y1671">
        <v>0.20457349999999999</v>
      </c>
      <c r="Z1671">
        <v>2.7953240000000001E-2</v>
      </c>
      <c r="AA1671">
        <v>0.97845199999999999</v>
      </c>
      <c r="AB1671">
        <v>22</v>
      </c>
      <c r="AC1671">
        <v>0.85680000000002099</v>
      </c>
      <c r="AD1671">
        <v>-1.119464717634</v>
      </c>
      <c r="AE1671">
        <v>-29.876100000000001</v>
      </c>
      <c r="AF1671">
        <v>6.1474976792034504</v>
      </c>
      <c r="AG1671">
        <v>-1.119464717634</v>
      </c>
      <c r="AH1671">
        <v>29.206550491211601</v>
      </c>
      <c r="AI1671">
        <v>92.148008108134206</v>
      </c>
      <c r="AJ1671">
        <v>78.113689699960005</v>
      </c>
      <c r="AK1671">
        <v>29.8674994026204</v>
      </c>
      <c r="AL1671">
        <v>81.669582698618598</v>
      </c>
      <c r="AM1671">
        <v>82.838032822288</v>
      </c>
      <c r="AN1671">
        <v>0.99999998535394397</v>
      </c>
    </row>
    <row r="1672" spans="1:40" x14ac:dyDescent="0.25">
      <c r="A1672" t="str">
        <f>"20190303170252148"</f>
        <v>20190303170252148</v>
      </c>
      <c r="B1672" t="str">
        <f>"1551603772136827"</f>
        <v>1551603772136827</v>
      </c>
      <c r="C1672" t="s">
        <v>40</v>
      </c>
      <c r="D1672">
        <v>5.1098460000000001</v>
      </c>
      <c r="E1672">
        <v>0.5363578</v>
      </c>
      <c r="F1672" t="s">
        <v>42</v>
      </c>
      <c r="G1672">
        <v>-191.8656</v>
      </c>
      <c r="H1672" s="1">
        <v>-7.4382009999999899E-7</v>
      </c>
      <c r="I1672">
        <v>320.16590000000002</v>
      </c>
      <c r="J1672">
        <v>-192.5702</v>
      </c>
      <c r="K1672">
        <v>1.119386</v>
      </c>
      <c r="L1672">
        <v>348.43049999999999</v>
      </c>
      <c r="M1672">
        <v>0.2318598</v>
      </c>
      <c r="N1672">
        <v>-7.0555890000000001E-3</v>
      </c>
      <c r="O1672">
        <v>-0.97272369999999997</v>
      </c>
      <c r="P1672">
        <v>0.1091905</v>
      </c>
      <c r="Q1672">
        <v>0.1381259</v>
      </c>
      <c r="R1672">
        <v>-0.98437739999999996</v>
      </c>
      <c r="S1672">
        <v>8.0642699999999998E-2</v>
      </c>
      <c r="T1672">
        <v>-0.1201651</v>
      </c>
      <c r="U1672">
        <v>-3.055847</v>
      </c>
      <c r="V1672">
        <v>0.1224877</v>
      </c>
      <c r="W1672">
        <v>0.14466960000000001</v>
      </c>
      <c r="X1672">
        <v>0.9818694</v>
      </c>
      <c r="Y1672">
        <v>0.2060997</v>
      </c>
      <c r="Z1672">
        <v>3.0231000000000001E-2</v>
      </c>
      <c r="AA1672">
        <v>0.97806389999999999</v>
      </c>
      <c r="AB1672">
        <v>22</v>
      </c>
      <c r="AC1672">
        <v>0.704599999999999</v>
      </c>
      <c r="AD1672">
        <v>-1.1193867438200999</v>
      </c>
      <c r="AE1672">
        <v>-28.264599999999898</v>
      </c>
      <c r="AF1672">
        <v>5.8590050914357601</v>
      </c>
      <c r="AG1672">
        <v>-1.1193867438200999</v>
      </c>
      <c r="AH1672">
        <v>27.6144158063193</v>
      </c>
      <c r="AI1672">
        <v>92.270794276688903</v>
      </c>
      <c r="AJ1672">
        <v>78.021084416512096</v>
      </c>
      <c r="AK1672">
        <v>28.2513172731468</v>
      </c>
      <c r="AL1672">
        <v>81.681853273158794</v>
      </c>
      <c r="AM1672">
        <v>82.889116830621006</v>
      </c>
      <c r="AN1672">
        <v>1.0000000242359</v>
      </c>
    </row>
    <row r="1673" spans="1:40" x14ac:dyDescent="0.25">
      <c r="A1673" t="str">
        <f>"20190303170252171"</f>
        <v>20190303170252171</v>
      </c>
      <c r="B1673" t="str">
        <f>"1551603772156874"</f>
        <v>1551603772156874</v>
      </c>
      <c r="C1673" t="s">
        <v>40</v>
      </c>
      <c r="D1673">
        <v>5.0251510000000001</v>
      </c>
      <c r="E1673">
        <v>0.53673499999999996</v>
      </c>
      <c r="F1673" t="s">
        <v>42</v>
      </c>
      <c r="G1673">
        <v>-191.8537</v>
      </c>
      <c r="H1673" s="1">
        <v>-5.0469629999999997E-6</v>
      </c>
      <c r="I1673">
        <v>319.57240000000002</v>
      </c>
      <c r="J1673">
        <v>-192.51929999999999</v>
      </c>
      <c r="K1673">
        <v>1.1193040000000001</v>
      </c>
      <c r="L1673">
        <v>348.20580000000001</v>
      </c>
      <c r="M1673">
        <v>0.22954459999999999</v>
      </c>
      <c r="N1673">
        <v>-6.783641E-3</v>
      </c>
      <c r="O1673">
        <v>-0.97327459999999999</v>
      </c>
      <c r="P1673">
        <v>0.10813680000000001</v>
      </c>
      <c r="Q1673">
        <v>0.1397987</v>
      </c>
      <c r="R1673">
        <v>-0.98425759999999995</v>
      </c>
      <c r="S1673">
        <v>7.5866699999999995E-2</v>
      </c>
      <c r="T1673">
        <v>-0.1185327</v>
      </c>
      <c r="U1673">
        <v>-3.0557859999999999</v>
      </c>
      <c r="V1673">
        <v>0.12116830000000001</v>
      </c>
      <c r="W1673">
        <v>0.14606469999999999</v>
      </c>
      <c r="X1673">
        <v>0.98182650000000005</v>
      </c>
      <c r="Y1673">
        <v>0.20529990000000001</v>
      </c>
      <c r="Z1673">
        <v>3.0031459999999999E-2</v>
      </c>
      <c r="AA1673">
        <v>0.97823819999999995</v>
      </c>
      <c r="AB1673">
        <v>23</v>
      </c>
      <c r="AC1673">
        <v>0.66559999999998298</v>
      </c>
      <c r="AD1673">
        <v>-1.119309046963</v>
      </c>
      <c r="AE1673">
        <v>-28.633399999999899</v>
      </c>
      <c r="AF1673">
        <v>5.91593124442758</v>
      </c>
      <c r="AG1673">
        <v>-1.119309046963</v>
      </c>
      <c r="AH1673">
        <v>27.978856296523801</v>
      </c>
      <c r="AI1673">
        <v>92.241421739358003</v>
      </c>
      <c r="AJ1673">
        <v>78.061062237936</v>
      </c>
      <c r="AK1673">
        <v>28.619355249427599</v>
      </c>
      <c r="AL1673">
        <v>81.601061237912404</v>
      </c>
      <c r="AM1673">
        <v>82.964637132941206</v>
      </c>
      <c r="AN1673">
        <v>0.99999996480661402</v>
      </c>
    </row>
    <row r="1674" spans="1:40" x14ac:dyDescent="0.25">
      <c r="A1674" t="str">
        <f>"20190303170252193"</f>
        <v>20190303170252193</v>
      </c>
      <c r="B1674" t="str">
        <f>"1551603772187113"</f>
        <v>1551603772187113</v>
      </c>
      <c r="C1674" t="s">
        <v>40</v>
      </c>
      <c r="D1674">
        <v>5.0087789999999996</v>
      </c>
      <c r="E1674">
        <v>0.53690459999999995</v>
      </c>
      <c r="F1674" t="s">
        <v>42</v>
      </c>
      <c r="G1674">
        <v>-191.83709999999999</v>
      </c>
      <c r="H1674" s="1">
        <v>-4.4116040000000004E-6</v>
      </c>
      <c r="I1674">
        <v>317.92559999999997</v>
      </c>
      <c r="J1674">
        <v>-192.46709999999999</v>
      </c>
      <c r="K1674">
        <v>1.1192219999999999</v>
      </c>
      <c r="L1674">
        <v>347.97309999999999</v>
      </c>
      <c r="M1674">
        <v>0.22710739999999999</v>
      </c>
      <c r="N1674">
        <v>-6.5243749999999998E-3</v>
      </c>
      <c r="O1674">
        <v>-0.97384789999999999</v>
      </c>
      <c r="P1674">
        <v>0.10646360000000001</v>
      </c>
      <c r="Q1674">
        <v>0.139401</v>
      </c>
      <c r="R1674">
        <v>-0.98449629999999999</v>
      </c>
      <c r="S1674">
        <v>6.8862919999999994E-2</v>
      </c>
      <c r="T1674">
        <v>-0.11298080000000001</v>
      </c>
      <c r="U1674">
        <v>-3.0564269999999998</v>
      </c>
      <c r="V1674">
        <v>0.12040670000000001</v>
      </c>
      <c r="W1674">
        <v>0.1454009</v>
      </c>
      <c r="X1674">
        <v>0.98201870000000002</v>
      </c>
      <c r="Y1674">
        <v>0.2050968</v>
      </c>
      <c r="Z1674">
        <v>2.8592550000000001E-2</v>
      </c>
      <c r="AA1674">
        <v>0.97832390000000002</v>
      </c>
      <c r="AB1674">
        <v>23</v>
      </c>
      <c r="AC1674">
        <v>0.62999999999999501</v>
      </c>
      <c r="AD1674">
        <v>-1.119226411604</v>
      </c>
      <c r="AE1674">
        <v>-30.047499999999999</v>
      </c>
      <c r="AF1674">
        <v>6.2020161475325999</v>
      </c>
      <c r="AG1674">
        <v>-1.119226411604</v>
      </c>
      <c r="AH1674">
        <v>29.364672969187101</v>
      </c>
      <c r="AI1674">
        <v>92.135686390210196</v>
      </c>
      <c r="AJ1674">
        <v>78.074017514514495</v>
      </c>
      <c r="AK1674">
        <v>30.0333429814597</v>
      </c>
      <c r="AL1674">
        <v>81.639504569428695</v>
      </c>
      <c r="AM1674">
        <v>83.009773528866404</v>
      </c>
      <c r="AN1674">
        <v>0.99999996113769396</v>
      </c>
    </row>
    <row r="1675" spans="1:40" x14ac:dyDescent="0.25">
      <c r="A1675" t="str">
        <f>"20190303170252217"</f>
        <v>20190303170252217</v>
      </c>
      <c r="B1675" t="str">
        <f>"1551603772207608"</f>
        <v>1551603772207608</v>
      </c>
      <c r="C1675" t="s">
        <v>40</v>
      </c>
      <c r="D1675">
        <v>5.0369320000000002</v>
      </c>
      <c r="E1675">
        <v>0.53690079999999996</v>
      </c>
      <c r="F1675" t="s">
        <v>42</v>
      </c>
      <c r="G1675">
        <v>-191.85599999999999</v>
      </c>
      <c r="H1675" s="1">
        <v>-4.4692390000000004E-6</v>
      </c>
      <c r="I1675">
        <v>318.06700000000001</v>
      </c>
      <c r="J1675">
        <v>-192.4162</v>
      </c>
      <c r="K1675">
        <v>1.1191329999999999</v>
      </c>
      <c r="L1675">
        <v>347.74259999999998</v>
      </c>
      <c r="M1675">
        <v>0.22464249999999999</v>
      </c>
      <c r="N1675">
        <v>-6.2938430000000004E-3</v>
      </c>
      <c r="O1675">
        <v>-0.97442110000000004</v>
      </c>
      <c r="P1675">
        <v>0.1035653</v>
      </c>
      <c r="Q1675">
        <v>0.1376472</v>
      </c>
      <c r="R1675">
        <v>-0.98505209999999999</v>
      </c>
      <c r="S1675">
        <v>6.2469480000000001E-2</v>
      </c>
      <c r="T1675">
        <v>-0.1143948</v>
      </c>
      <c r="U1675">
        <v>-3.0566710000000001</v>
      </c>
      <c r="V1675">
        <v>0.1208805</v>
      </c>
      <c r="W1675">
        <v>0.14340410000000001</v>
      </c>
      <c r="X1675">
        <v>0.98225410000000002</v>
      </c>
      <c r="Y1675">
        <v>0.20466819999999999</v>
      </c>
      <c r="Z1675">
        <v>2.929097E-2</v>
      </c>
      <c r="AA1675">
        <v>0.97839299999999996</v>
      </c>
      <c r="AB1675">
        <v>23</v>
      </c>
      <c r="AC1675">
        <v>0.56020000000000802</v>
      </c>
      <c r="AD1675">
        <v>-1.1191374692389999</v>
      </c>
      <c r="AE1675">
        <v>-29.6755999999999</v>
      </c>
      <c r="AF1675">
        <v>6.1119609659084899</v>
      </c>
      <c r="AG1675">
        <v>-1.1191374692389999</v>
      </c>
      <c r="AH1675">
        <v>29.001713519381301</v>
      </c>
      <c r="AI1675">
        <v>92.162419376307597</v>
      </c>
      <c r="AJ1675">
        <v>78.099354312020694</v>
      </c>
      <c r="AK1675">
        <v>29.659870575983799</v>
      </c>
      <c r="AL1675">
        <v>81.755124724362304</v>
      </c>
      <c r="AM1675">
        <v>82.984205727787199</v>
      </c>
      <c r="AN1675">
        <v>0.99999997407193397</v>
      </c>
    </row>
    <row r="1676" spans="1:40" x14ac:dyDescent="0.25">
      <c r="A1676" t="str">
        <f>"20190303170252239"</f>
        <v>20190303170252239</v>
      </c>
      <c r="B1676" t="str">
        <f>"1551603772227129"</f>
        <v>1551603772227129</v>
      </c>
      <c r="C1676" t="s">
        <v>40</v>
      </c>
      <c r="D1676">
        <v>5.0881589999999903</v>
      </c>
      <c r="E1676">
        <v>0.5369583</v>
      </c>
      <c r="F1676" t="s">
        <v>42</v>
      </c>
      <c r="G1676">
        <v>-191.91919999999999</v>
      </c>
      <c r="H1676" s="1">
        <v>-4.9506100000000004E-6</v>
      </c>
      <c r="I1676">
        <v>319.29129999999998</v>
      </c>
      <c r="J1676">
        <v>-192.36670000000001</v>
      </c>
      <c r="K1676">
        <v>1.1190329999999999</v>
      </c>
      <c r="L1676">
        <v>347.51589999999999</v>
      </c>
      <c r="M1676">
        <v>0.2221535</v>
      </c>
      <c r="N1676">
        <v>-6.0935959999999997E-3</v>
      </c>
      <c r="O1676">
        <v>-0.97499279999999999</v>
      </c>
      <c r="P1676">
        <v>0.1014056</v>
      </c>
      <c r="Q1676">
        <v>0.1356734</v>
      </c>
      <c r="R1676">
        <v>-0.98555060000000005</v>
      </c>
      <c r="S1676">
        <v>5.33905E-2</v>
      </c>
      <c r="T1676">
        <v>-0.1202358</v>
      </c>
      <c r="U1676">
        <v>-3.056702</v>
      </c>
      <c r="V1676">
        <v>0.1206011</v>
      </c>
      <c r="W1676">
        <v>0.14121689999999901</v>
      </c>
      <c r="X1676">
        <v>0.98260530000000001</v>
      </c>
      <c r="Y1676">
        <v>0.20507439999999999</v>
      </c>
      <c r="Z1676">
        <v>3.1334630000000002E-2</v>
      </c>
      <c r="AA1676">
        <v>0.97824469999999997</v>
      </c>
      <c r="AB1676">
        <v>23</v>
      </c>
      <c r="AC1676">
        <v>0.44750000000001899</v>
      </c>
      <c r="AD1676">
        <v>-1.1190379506100001</v>
      </c>
      <c r="AE1676">
        <v>-28.224599999999999</v>
      </c>
      <c r="AF1676">
        <v>5.8248379724521904</v>
      </c>
      <c r="AG1676">
        <v>-1.1190379506100001</v>
      </c>
      <c r="AH1676">
        <v>27.5753687852837</v>
      </c>
      <c r="AI1676">
        <v>92.2737304793242</v>
      </c>
      <c r="AJ1676">
        <v>78.072555790731101</v>
      </c>
      <c r="AK1676">
        <v>28.206062238189599</v>
      </c>
      <c r="AL1676">
        <v>81.881730938841002</v>
      </c>
      <c r="AM1676">
        <v>83.002737816153996</v>
      </c>
      <c r="AN1676">
        <v>1.0000000068774499</v>
      </c>
    </row>
    <row r="1677" spans="1:40" x14ac:dyDescent="0.25">
      <c r="A1677" t="str">
        <f>"20190303170252259"</f>
        <v>20190303170252259</v>
      </c>
      <c r="B1677" t="str">
        <f>"1551603772247624"</f>
        <v>1551603772247624</v>
      </c>
      <c r="C1677" t="s">
        <v>40</v>
      </c>
      <c r="D1677">
        <v>5.3025979999999997</v>
      </c>
      <c r="E1677">
        <v>0.518300599999999</v>
      </c>
      <c r="F1677" t="s">
        <v>42</v>
      </c>
      <c r="G1677">
        <v>-191.96289999999999</v>
      </c>
      <c r="H1677" s="1">
        <v>-7.4284019999999898E-7</v>
      </c>
      <c r="I1677">
        <v>320.10320000000002</v>
      </c>
      <c r="J1677">
        <v>-192.3227</v>
      </c>
      <c r="K1677">
        <v>1.1189530000000001</v>
      </c>
      <c r="L1677">
        <v>347.31150000000002</v>
      </c>
      <c r="M1677">
        <v>0.2198611</v>
      </c>
      <c r="N1677">
        <v>-5.9334640000000003E-3</v>
      </c>
      <c r="O1677">
        <v>-0.97551319999999997</v>
      </c>
      <c r="P1677">
        <v>9.9454169999999995E-2</v>
      </c>
      <c r="Q1677">
        <v>0.13576389999999999</v>
      </c>
      <c r="R1677">
        <v>-0.98573679999999997</v>
      </c>
      <c r="S1677">
        <v>4.5028690000000003E-2</v>
      </c>
      <c r="T1677">
        <v>-0.1247737</v>
      </c>
      <c r="U1677">
        <v>-3.056549</v>
      </c>
      <c r="V1677">
        <v>0.1202555</v>
      </c>
      <c r="W1677">
        <v>0.14113239999999999</v>
      </c>
      <c r="X1677">
        <v>0.98265979999999997</v>
      </c>
      <c r="Y1677">
        <v>0.20544870000000001</v>
      </c>
      <c r="Z1677">
        <v>3.2935300000000001E-2</v>
      </c>
      <c r="AA1677">
        <v>0.97811349999999997</v>
      </c>
      <c r="AB1677">
        <v>23</v>
      </c>
      <c r="AC1677">
        <v>0.359800000000007</v>
      </c>
      <c r="AD1677">
        <v>-1.1189537428401899</v>
      </c>
      <c r="AE1677">
        <v>-27.208300000000001</v>
      </c>
      <c r="AF1677">
        <v>5.6216496753543499</v>
      </c>
      <c r="AG1677">
        <v>-1.1189537428401899</v>
      </c>
      <c r="AH1677">
        <v>26.576687572474999</v>
      </c>
      <c r="AI1677">
        <v>92.358759796976202</v>
      </c>
      <c r="AJ1677">
        <v>78.056528387762</v>
      </c>
      <c r="AK1677">
        <v>27.187778961805201</v>
      </c>
      <c r="AL1677">
        <v>81.886621445970306</v>
      </c>
      <c r="AM1677">
        <v>83.022974716384894</v>
      </c>
      <c r="AN1677">
        <v>1.0000000110730201</v>
      </c>
    </row>
    <row r="1678" spans="1:40" x14ac:dyDescent="0.25">
      <c r="A1678" t="str">
        <f>"20190303170252283"</f>
        <v>20190303170252283</v>
      </c>
      <c r="B1678" t="str">
        <f>"1551603772267144"</f>
        <v>1551603772267144</v>
      </c>
      <c r="C1678" t="s">
        <v>40</v>
      </c>
      <c r="D1678">
        <v>5.3069179999999996</v>
      </c>
      <c r="E1678">
        <v>0.51275509999999902</v>
      </c>
      <c r="F1678" t="s">
        <v>42</v>
      </c>
      <c r="G1678">
        <v>-190.78370000000001</v>
      </c>
      <c r="H1678" s="1">
        <v>-1.380992E-6</v>
      </c>
      <c r="I1678">
        <v>322.32220000000001</v>
      </c>
      <c r="J1678">
        <v>-192.26910000000001</v>
      </c>
      <c r="K1678">
        <v>1.1188530000000001</v>
      </c>
      <c r="L1678">
        <v>347.05919999999998</v>
      </c>
      <c r="M1678">
        <v>0.21695149999999999</v>
      </c>
      <c r="N1678">
        <v>-5.7621139999999996E-3</v>
      </c>
      <c r="O1678">
        <v>-0.97616559999999997</v>
      </c>
      <c r="P1678">
        <v>9.7332020000000005E-2</v>
      </c>
      <c r="Q1678">
        <v>0.13861770000000001</v>
      </c>
      <c r="R1678">
        <v>-0.98555150000000002</v>
      </c>
      <c r="S1678">
        <v>0.1874237</v>
      </c>
      <c r="T1678">
        <v>-0.13626959999999999</v>
      </c>
      <c r="U1678">
        <v>-3.0432739999999998</v>
      </c>
      <c r="V1678">
        <v>0.1193951</v>
      </c>
      <c r="W1678">
        <v>0.14379439999999999</v>
      </c>
      <c r="X1678">
        <v>0.98237870000000005</v>
      </c>
      <c r="Y1678">
        <v>0.15655810000000001</v>
      </c>
      <c r="Z1678">
        <v>3.7103879999999999E-2</v>
      </c>
      <c r="AA1678">
        <v>0.98697159999999995</v>
      </c>
      <c r="AB1678">
        <v>23</v>
      </c>
      <c r="AC1678">
        <v>1.4853999999999901</v>
      </c>
      <c r="AD1678">
        <v>-1.118854380992</v>
      </c>
      <c r="AE1678">
        <v>-24.736999999999899</v>
      </c>
      <c r="AF1678">
        <v>3.9088292792367398</v>
      </c>
      <c r="AG1678">
        <v>-1.118854380992</v>
      </c>
      <c r="AH1678">
        <v>24.420290744636599</v>
      </c>
      <c r="AI1678">
        <v>92.590335036977805</v>
      </c>
      <c r="AJ1678">
        <v>80.906102279564095</v>
      </c>
      <c r="AK1678">
        <v>24.7564412125949</v>
      </c>
      <c r="AL1678">
        <v>81.732527909249896</v>
      </c>
      <c r="AM1678">
        <v>83.070443883691695</v>
      </c>
      <c r="AN1678">
        <v>0.99999996479452902</v>
      </c>
    </row>
    <row r="1679" spans="1:40" x14ac:dyDescent="0.25">
      <c r="A1679" t="str">
        <f>"20190303170252307"</f>
        <v>20190303170252307</v>
      </c>
      <c r="B1679" t="str">
        <f>"1551603772297400"</f>
        <v>1551603772297400</v>
      </c>
      <c r="C1679" t="s">
        <v>40</v>
      </c>
      <c r="D1679">
        <v>5.1933870000000004</v>
      </c>
      <c r="E1679">
        <v>0.5092911</v>
      </c>
      <c r="F1679" t="s">
        <v>42</v>
      </c>
      <c r="G1679">
        <v>-190.25739999999999</v>
      </c>
      <c r="H1679" s="1">
        <v>-1.78507299999999E-7</v>
      </c>
      <c r="I1679">
        <v>319.84559999999999</v>
      </c>
      <c r="J1679">
        <v>-192.21960000000001</v>
      </c>
      <c r="K1679">
        <v>1.118762</v>
      </c>
      <c r="L1679">
        <v>346.82190000000003</v>
      </c>
      <c r="M1679">
        <v>0.21411820000000001</v>
      </c>
      <c r="N1679">
        <v>-5.6235510000000001E-3</v>
      </c>
      <c r="O1679">
        <v>-0.97679179999999999</v>
      </c>
      <c r="P1679">
        <v>9.5818360000000005E-2</v>
      </c>
      <c r="Q1679">
        <v>0.14070460000000001</v>
      </c>
      <c r="R1679">
        <v>-0.98540410000000001</v>
      </c>
      <c r="S1679">
        <v>0.22468569999999999</v>
      </c>
      <c r="T1679">
        <v>-0.1249598</v>
      </c>
      <c r="U1679">
        <v>-3.0393680000000001</v>
      </c>
      <c r="V1679">
        <v>0.1180292</v>
      </c>
      <c r="W1679">
        <v>0.14572360000000001</v>
      </c>
      <c r="X1679">
        <v>0.98225949999999995</v>
      </c>
      <c r="Y1679">
        <v>0.14154829999999999</v>
      </c>
      <c r="Z1679">
        <v>3.3819050000000003E-2</v>
      </c>
      <c r="AA1679">
        <v>0.9893535</v>
      </c>
      <c r="AB1679">
        <v>23</v>
      </c>
      <c r="AC1679">
        <v>1.9622000000000199</v>
      </c>
      <c r="AD1679">
        <v>-1.1187621785073001</v>
      </c>
      <c r="AE1679">
        <v>-26.976299999999998</v>
      </c>
      <c r="AF1679">
        <v>3.8529242072941599</v>
      </c>
      <c r="AG1679">
        <v>-1.1187621785073001</v>
      </c>
      <c r="AH1679">
        <v>26.7250653411459</v>
      </c>
      <c r="AI1679">
        <v>92.372609265174503</v>
      </c>
      <c r="AJ1679">
        <v>81.796254262326201</v>
      </c>
      <c r="AK1679">
        <v>27.024540167183801</v>
      </c>
      <c r="AL1679">
        <v>81.6208164368486</v>
      </c>
      <c r="AM1679">
        <v>83.148137906359494</v>
      </c>
      <c r="AN1679">
        <v>0.99999999249492399</v>
      </c>
    </row>
    <row r="1680" spans="1:40" x14ac:dyDescent="0.25">
      <c r="A1680" t="str">
        <f>"20190303170252327"</f>
        <v>20190303170252327</v>
      </c>
      <c r="B1680" t="str">
        <f>"1551603772316921"</f>
        <v>1551603772316921</v>
      </c>
      <c r="C1680" t="s">
        <v>40</v>
      </c>
      <c r="D1680">
        <v>5.2437959999999997</v>
      </c>
      <c r="E1680">
        <v>0.507909099999999</v>
      </c>
      <c r="F1680" t="s">
        <v>42</v>
      </c>
      <c r="G1680">
        <v>-189.8698</v>
      </c>
      <c r="H1680" s="1">
        <v>-3.9827570000000001E-6</v>
      </c>
      <c r="I1680">
        <v>318.00779999999997</v>
      </c>
      <c r="J1680">
        <v>-192.17420000000001</v>
      </c>
      <c r="K1680">
        <v>1.118657</v>
      </c>
      <c r="L1680">
        <v>346.60129999999998</v>
      </c>
      <c r="M1680">
        <v>0.21138570000000001</v>
      </c>
      <c r="N1680">
        <v>-5.5129970000000004E-3</v>
      </c>
      <c r="O1680">
        <v>-0.97738729999999996</v>
      </c>
      <c r="P1680">
        <v>9.4484819999999997E-2</v>
      </c>
      <c r="Q1680">
        <v>0.1395296</v>
      </c>
      <c r="R1680">
        <v>-0.98569989999999996</v>
      </c>
      <c r="S1680">
        <v>0.2476807</v>
      </c>
      <c r="T1680">
        <v>-0.117927</v>
      </c>
      <c r="U1680">
        <v>-3.0372309999999998</v>
      </c>
      <c r="V1680">
        <v>0.1166722</v>
      </c>
      <c r="W1680">
        <v>0.14442149999999901</v>
      </c>
      <c r="X1680">
        <v>0.98261390000000004</v>
      </c>
      <c r="Y1680">
        <v>0.1312731</v>
      </c>
      <c r="Z1680">
        <v>3.1795650000000002E-2</v>
      </c>
      <c r="AA1680">
        <v>0.99083619999999994</v>
      </c>
      <c r="AB1680">
        <v>23</v>
      </c>
      <c r="AC1680">
        <v>2.30440000000001</v>
      </c>
      <c r="AD1680">
        <v>-1.118660982757</v>
      </c>
      <c r="AE1680">
        <v>-28.593499999999999</v>
      </c>
      <c r="AF1680">
        <v>3.7862650189092601</v>
      </c>
      <c r="AG1680">
        <v>-1.118660982757</v>
      </c>
      <c r="AH1680">
        <v>28.3912942922809</v>
      </c>
      <c r="AI1680">
        <v>92.236594520250407</v>
      </c>
      <c r="AJ1680">
        <v>82.403851447593397</v>
      </c>
      <c r="AK1680">
        <v>28.6644866826298</v>
      </c>
      <c r="AL1680">
        <v>81.6962192244997</v>
      </c>
      <c r="AM1680">
        <v>83.228599054296495</v>
      </c>
      <c r="AN1680">
        <v>1.00000002419414</v>
      </c>
    </row>
    <row r="1681" spans="1:40" x14ac:dyDescent="0.25">
      <c r="A1681" t="str">
        <f>"20190303170252351"</f>
        <v>20190303170252351</v>
      </c>
      <c r="B1681" t="str">
        <f>"1551603772337416"</f>
        <v>1551603772337416</v>
      </c>
      <c r="C1681" t="s">
        <v>40</v>
      </c>
      <c r="D1681">
        <v>5.3035430000000003</v>
      </c>
      <c r="E1681">
        <v>0.50706569999999995</v>
      </c>
      <c r="F1681" t="s">
        <v>42</v>
      </c>
      <c r="G1681">
        <v>-189.82490000000001</v>
      </c>
      <c r="H1681" s="1">
        <v>-4.2436299999999999E-6</v>
      </c>
      <c r="I1681">
        <v>318.5428</v>
      </c>
      <c r="J1681">
        <v>-192.12629999999999</v>
      </c>
      <c r="K1681">
        <v>1.118536</v>
      </c>
      <c r="L1681">
        <v>346.36399999999998</v>
      </c>
      <c r="M1681">
        <v>0.2083333</v>
      </c>
      <c r="N1681">
        <v>-5.4117760000000001E-3</v>
      </c>
      <c r="O1681">
        <v>-0.97804310000000005</v>
      </c>
      <c r="P1681">
        <v>9.1311420000000004E-2</v>
      </c>
      <c r="Q1681">
        <v>0.1385826</v>
      </c>
      <c r="R1681">
        <v>-0.98613249999999997</v>
      </c>
      <c r="S1681">
        <v>0.25422670000000003</v>
      </c>
      <c r="T1681">
        <v>-0.1210537</v>
      </c>
      <c r="U1681">
        <v>-3.0362849999999999</v>
      </c>
      <c r="V1681">
        <v>0.1168273</v>
      </c>
      <c r="W1681">
        <v>0.1433451</v>
      </c>
      <c r="X1681">
        <v>0.98275299999999999</v>
      </c>
      <c r="Y1681">
        <v>0.12603329999999999</v>
      </c>
      <c r="Z1681">
        <v>3.2944000000000001E-2</v>
      </c>
      <c r="AA1681">
        <v>0.99147890000000005</v>
      </c>
      <c r="AB1681">
        <v>24</v>
      </c>
      <c r="AC1681">
        <v>2.3013999999999699</v>
      </c>
      <c r="AD1681">
        <v>-1.11854024362999</v>
      </c>
      <c r="AE1681">
        <v>-27.821200000000001</v>
      </c>
      <c r="AF1681">
        <v>3.5395827669684001</v>
      </c>
      <c r="AG1681">
        <v>-1.11854024362999</v>
      </c>
      <c r="AH1681">
        <v>27.645808246541002</v>
      </c>
      <c r="AI1681">
        <v>92.298165141527406</v>
      </c>
      <c r="AJ1681">
        <v>82.703929144374996</v>
      </c>
      <c r="AK1681">
        <v>27.893914964474899</v>
      </c>
      <c r="AL1681">
        <v>81.758540243555501</v>
      </c>
      <c r="AM1681">
        <v>83.220631898965493</v>
      </c>
      <c r="AN1681">
        <v>0.99999994736414799</v>
      </c>
    </row>
    <row r="1682" spans="1:40" x14ac:dyDescent="0.25">
      <c r="A1682" t="str">
        <f>"20190303170252372"</f>
        <v>20190303170252372</v>
      </c>
      <c r="B1682" t="str">
        <f>"1551603772367672"</f>
        <v>1551603772367672</v>
      </c>
      <c r="C1682" t="s">
        <v>40</v>
      </c>
      <c r="D1682">
        <v>5.2987129999999896</v>
      </c>
      <c r="E1682">
        <v>0.50619479999999994</v>
      </c>
      <c r="F1682" t="s">
        <v>42</v>
      </c>
      <c r="G1682">
        <v>-189.87569999999999</v>
      </c>
      <c r="H1682" s="1">
        <v>-4.49832299999999E-6</v>
      </c>
      <c r="I1682">
        <v>319.10070000000002</v>
      </c>
      <c r="J1682">
        <v>-192.0814</v>
      </c>
      <c r="K1682">
        <v>1.1184210000000001</v>
      </c>
      <c r="L1682">
        <v>346.13780000000003</v>
      </c>
      <c r="M1682">
        <v>0.2053092</v>
      </c>
      <c r="N1682">
        <v>-5.3272019999999996E-3</v>
      </c>
      <c r="O1682">
        <v>-0.97868270000000002</v>
      </c>
      <c r="P1682">
        <v>8.7419150000000001E-2</v>
      </c>
      <c r="Q1682">
        <v>0.13949149999999999</v>
      </c>
      <c r="R1682">
        <v>-0.98635709999999999</v>
      </c>
      <c r="S1682">
        <v>0.25065609999999999</v>
      </c>
      <c r="T1682">
        <v>-0.12457840000000001</v>
      </c>
      <c r="U1682">
        <v>-3.0364689999999999</v>
      </c>
      <c r="V1682">
        <v>0.11768199999999999</v>
      </c>
      <c r="W1682">
        <v>0.14413689999999901</v>
      </c>
      <c r="X1682">
        <v>0.98253520000000005</v>
      </c>
      <c r="Y1682">
        <v>0.12413299999999999</v>
      </c>
      <c r="Z1682">
        <v>3.418363E-2</v>
      </c>
      <c r="AA1682">
        <v>0.99167660000000002</v>
      </c>
      <c r="AB1682">
        <v>24</v>
      </c>
      <c r="AC1682">
        <v>2.2057000000000002</v>
      </c>
      <c r="AD1682">
        <v>-1.118425498323</v>
      </c>
      <c r="AE1682">
        <v>-27.037099999999999</v>
      </c>
      <c r="AF1682">
        <v>3.38657624585443</v>
      </c>
      <c r="AG1682">
        <v>-1.118425498323</v>
      </c>
      <c r="AH1682">
        <v>26.868301091667799</v>
      </c>
      <c r="AI1682">
        <v>92.364939603165197</v>
      </c>
      <c r="AJ1682">
        <v>82.816119676266496</v>
      </c>
      <c r="AK1682">
        <v>27.103973469157602</v>
      </c>
      <c r="AL1682">
        <v>81.712697477517807</v>
      </c>
      <c r="AM1682">
        <v>83.170001791460805</v>
      </c>
      <c r="AN1682">
        <v>0.99999995915232398</v>
      </c>
    </row>
    <row r="1683" spans="1:40" x14ac:dyDescent="0.25">
      <c r="A1683" t="str">
        <f>"20190303170252395"</f>
        <v>20190303170252395</v>
      </c>
      <c r="B1683" t="str">
        <f>"1551603772387192"</f>
        <v>1551603772387192</v>
      </c>
      <c r="C1683" t="s">
        <v>40</v>
      </c>
      <c r="D1683">
        <v>5.3102970000000003</v>
      </c>
      <c r="E1683">
        <v>0.50575499999999995</v>
      </c>
      <c r="F1683" t="s">
        <v>42</v>
      </c>
      <c r="G1683">
        <v>-189.84469999999999</v>
      </c>
      <c r="H1683" s="1">
        <v>-4.2318720000000002E-6</v>
      </c>
      <c r="I1683">
        <v>318.52539999999999</v>
      </c>
      <c r="J1683">
        <v>-192.03309999999999</v>
      </c>
      <c r="K1683">
        <v>1.1182989999999999</v>
      </c>
      <c r="L1683">
        <v>345.88940000000002</v>
      </c>
      <c r="M1683">
        <v>0.2018663</v>
      </c>
      <c r="N1683">
        <v>-5.2359169999999997E-3</v>
      </c>
      <c r="O1683">
        <v>-0.97939909999999997</v>
      </c>
      <c r="P1683">
        <v>8.3080319999999999E-2</v>
      </c>
      <c r="Q1683">
        <v>0.1400827</v>
      </c>
      <c r="R1683">
        <v>-0.98664839999999998</v>
      </c>
      <c r="S1683">
        <v>0.2460175</v>
      </c>
      <c r="T1683">
        <v>-0.12301670000000001</v>
      </c>
      <c r="U1683">
        <v>-3.0371090000000001</v>
      </c>
      <c r="V1683">
        <v>0.118573</v>
      </c>
      <c r="W1683">
        <v>0.14460129999999999</v>
      </c>
      <c r="X1683">
        <v>0.98235989999999995</v>
      </c>
      <c r="Y1683">
        <v>0.1221647</v>
      </c>
      <c r="Z1683">
        <v>3.3820830000000003E-2</v>
      </c>
      <c r="AA1683">
        <v>0.99193350000000002</v>
      </c>
      <c r="AB1683">
        <v>24</v>
      </c>
      <c r="AC1683">
        <v>2.1884000000000001</v>
      </c>
      <c r="AD1683">
        <v>-1.1183032318720001</v>
      </c>
      <c r="AE1683">
        <v>-27.364000000000001</v>
      </c>
      <c r="AF1683">
        <v>3.3749977685946901</v>
      </c>
      <c r="AG1683">
        <v>-1.1183032318720001</v>
      </c>
      <c r="AH1683">
        <v>27.197279072708401</v>
      </c>
      <c r="AI1683">
        <v>92.3366705929201</v>
      </c>
      <c r="AJ1683">
        <v>82.926145057658999</v>
      </c>
      <c r="AK1683">
        <v>27.4286930241894</v>
      </c>
      <c r="AL1683">
        <v>81.685808231348602</v>
      </c>
      <c r="AM1683">
        <v>83.117567988458703</v>
      </c>
      <c r="AN1683">
        <v>1.0000000327093399</v>
      </c>
    </row>
    <row r="1684" spans="1:40" x14ac:dyDescent="0.25">
      <c r="A1684" t="str">
        <f>"20190303170252417"</f>
        <v>20190303170252417</v>
      </c>
      <c r="B1684" t="str">
        <f>"1551603772407688"</f>
        <v>1551603772407688</v>
      </c>
      <c r="C1684" t="s">
        <v>40</v>
      </c>
      <c r="D1684">
        <v>5.302206</v>
      </c>
      <c r="E1684">
        <v>0.5053607</v>
      </c>
      <c r="F1684" t="s">
        <v>42</v>
      </c>
      <c r="G1684">
        <v>-189.8621</v>
      </c>
      <c r="H1684" s="1">
        <v>-3.9985349999999998E-6</v>
      </c>
      <c r="I1684">
        <v>318.03829999999999</v>
      </c>
      <c r="J1684">
        <v>-191.9888</v>
      </c>
      <c r="K1684">
        <v>1.1181810000000001</v>
      </c>
      <c r="L1684">
        <v>345.65609999999998</v>
      </c>
      <c r="M1684">
        <v>0.19851150000000001</v>
      </c>
      <c r="N1684">
        <v>-5.1435839999999997E-3</v>
      </c>
      <c r="O1684">
        <v>-0.98008530000000005</v>
      </c>
      <c r="P1684">
        <v>8.0448119999999998E-2</v>
      </c>
      <c r="Q1684">
        <v>0.13903509999999999</v>
      </c>
      <c r="R1684">
        <v>-0.98701470000000002</v>
      </c>
      <c r="S1684">
        <v>0.23681640000000001</v>
      </c>
      <c r="T1684">
        <v>-0.1219832</v>
      </c>
      <c r="U1684">
        <v>-3.0379640000000001</v>
      </c>
      <c r="V1684">
        <v>0.1178862</v>
      </c>
      <c r="W1684">
        <v>0.14344000000000001</v>
      </c>
      <c r="X1684">
        <v>0.98261270000000001</v>
      </c>
      <c r="Y1684">
        <v>0.1217737</v>
      </c>
      <c r="Z1684">
        <v>3.3618450000000001E-2</v>
      </c>
      <c r="AA1684">
        <v>0.99198839999999999</v>
      </c>
      <c r="AB1684">
        <v>24</v>
      </c>
      <c r="AC1684">
        <v>2.1267</v>
      </c>
      <c r="AD1684">
        <v>-1.1181849985350001</v>
      </c>
      <c r="AE1684">
        <v>-27.6177999999999</v>
      </c>
      <c r="AF1684">
        <v>3.3926190364346902</v>
      </c>
      <c r="AG1684">
        <v>-1.1181849985350001</v>
      </c>
      <c r="AH1684">
        <v>27.4456060203661</v>
      </c>
      <c r="AI1684">
        <v>92.315442676572104</v>
      </c>
      <c r="AJ1684">
        <v>82.953273749356995</v>
      </c>
      <c r="AK1684">
        <v>27.677093262163201</v>
      </c>
      <c r="AL1684">
        <v>81.753046151580904</v>
      </c>
      <c r="AM1684">
        <v>83.158797227624007</v>
      </c>
      <c r="AN1684">
        <v>0.99999995397586305</v>
      </c>
    </row>
    <row r="1685" spans="1:40" x14ac:dyDescent="0.25">
      <c r="A1685" t="str">
        <f>"20190303170252439"</f>
        <v>20190303170252439</v>
      </c>
      <c r="B1685" t="str">
        <f>"1551603772427209"</f>
        <v>1551603772427209</v>
      </c>
      <c r="C1685" t="s">
        <v>40</v>
      </c>
      <c r="D1685">
        <v>5.2995369999999999</v>
      </c>
      <c r="E1685">
        <v>0.50492700000000001</v>
      </c>
      <c r="F1685" t="s">
        <v>42</v>
      </c>
      <c r="G1685">
        <v>-189.9237</v>
      </c>
      <c r="H1685" s="1">
        <v>-4.2482199999999898E-6</v>
      </c>
      <c r="I1685">
        <v>318.58960000000002</v>
      </c>
      <c r="J1685">
        <v>-191.9435</v>
      </c>
      <c r="K1685">
        <v>1.1180680000000001</v>
      </c>
      <c r="L1685">
        <v>345.41289999999998</v>
      </c>
      <c r="M1685">
        <v>0.19492419999999999</v>
      </c>
      <c r="N1685">
        <v>-5.0450119999999998E-3</v>
      </c>
      <c r="O1685">
        <v>-0.98080560000000006</v>
      </c>
      <c r="P1685">
        <v>7.7875319999999998E-2</v>
      </c>
      <c r="Q1685">
        <v>0.137324799999999</v>
      </c>
      <c r="R1685">
        <v>-0.98746049999999996</v>
      </c>
      <c r="S1685">
        <v>0.2318115</v>
      </c>
      <c r="T1685">
        <v>-0.12551860000000001</v>
      </c>
      <c r="U1685">
        <v>-3.0382690000000001</v>
      </c>
      <c r="V1685">
        <v>0.1169177</v>
      </c>
      <c r="W1685">
        <v>0.1416154</v>
      </c>
      <c r="X1685">
        <v>0.98299309999999995</v>
      </c>
      <c r="Y1685">
        <v>0.1197775</v>
      </c>
      <c r="Z1685">
        <v>3.4882980000000001E-2</v>
      </c>
      <c r="AA1685">
        <v>0.99218770000000001</v>
      </c>
      <c r="AB1685">
        <v>24</v>
      </c>
      <c r="AC1685">
        <v>2.0198</v>
      </c>
      <c r="AD1685">
        <v>-1.1180722482200001</v>
      </c>
      <c r="AE1685">
        <v>-26.8232999999999</v>
      </c>
      <c r="AF1685">
        <v>3.2419186730991001</v>
      </c>
      <c r="AG1685">
        <v>-1.1180722482200001</v>
      </c>
      <c r="AH1685">
        <v>26.656430208118</v>
      </c>
      <c r="AI1685">
        <v>92.384247886766602</v>
      </c>
      <c r="AJ1685">
        <v>83.065819688848805</v>
      </c>
      <c r="AK1685">
        <v>26.876111952354599</v>
      </c>
      <c r="AL1685">
        <v>81.858667154269597</v>
      </c>
      <c r="AM1685">
        <v>83.217076676054006</v>
      </c>
      <c r="AN1685">
        <v>1.00000005236902</v>
      </c>
    </row>
    <row r="1686" spans="1:40" x14ac:dyDescent="0.25">
      <c r="A1686" t="str">
        <f>"20190303170252461"</f>
        <v>20190303170252461</v>
      </c>
      <c r="B1686" t="str">
        <f>"1551603772447704"</f>
        <v>1551603772447704</v>
      </c>
      <c r="C1686" t="s">
        <v>40</v>
      </c>
      <c r="D1686">
        <v>5.2434839999999996</v>
      </c>
      <c r="E1686">
        <v>0.50464709999999902</v>
      </c>
      <c r="F1686" t="s">
        <v>42</v>
      </c>
      <c r="G1686">
        <v>-190.00139999999999</v>
      </c>
      <c r="H1686" s="1">
        <v>-4.6276609999999997E-6</v>
      </c>
      <c r="I1686">
        <v>319.38049999999998</v>
      </c>
      <c r="J1686">
        <v>-191.90020000000001</v>
      </c>
      <c r="K1686">
        <v>1.1179699999999999</v>
      </c>
      <c r="L1686">
        <v>345.17520000000002</v>
      </c>
      <c r="M1686">
        <v>0.19134109999999999</v>
      </c>
      <c r="N1686">
        <v>-4.944553E-3</v>
      </c>
      <c r="O1686">
        <v>-0.98151140000000003</v>
      </c>
      <c r="P1686">
        <v>7.4367569999999994E-2</v>
      </c>
      <c r="Q1686">
        <v>0.13753389999999999</v>
      </c>
      <c r="R1686">
        <v>-0.98770150000000001</v>
      </c>
      <c r="S1686">
        <v>0.22666929999999999</v>
      </c>
      <c r="T1686">
        <v>-0.1304941</v>
      </c>
      <c r="U1686">
        <v>-3.0383300000000002</v>
      </c>
      <c r="V1686">
        <v>0.11683979999999999</v>
      </c>
      <c r="W1686">
        <v>0.141705</v>
      </c>
      <c r="X1686">
        <v>0.98298940000000001</v>
      </c>
      <c r="Y1686">
        <v>0.117827399999999</v>
      </c>
      <c r="Z1686">
        <v>3.6611629999999999E-2</v>
      </c>
      <c r="AA1686">
        <v>0.99235890000000004</v>
      </c>
      <c r="AB1686">
        <v>24</v>
      </c>
      <c r="AC1686">
        <v>1.89880000000002</v>
      </c>
      <c r="AD1686">
        <v>-1.1179746276610001</v>
      </c>
      <c r="AE1686">
        <v>-25.794699999999999</v>
      </c>
      <c r="AF1686">
        <v>3.0662005145717002</v>
      </c>
      <c r="AG1686">
        <v>-1.1179746276610001</v>
      </c>
      <c r="AH1686">
        <v>25.633526045379</v>
      </c>
      <c r="AI1686">
        <v>92.479647827713706</v>
      </c>
      <c r="AJ1686">
        <v>83.178871291217504</v>
      </c>
      <c r="AK1686">
        <v>25.8404549182629</v>
      </c>
      <c r="AL1686">
        <v>81.853480750392194</v>
      </c>
      <c r="AM1686">
        <v>83.221528664325106</v>
      </c>
      <c r="AN1686">
        <v>1.0000000032006999</v>
      </c>
    </row>
    <row r="1687" spans="1:40" x14ac:dyDescent="0.25">
      <c r="A1687" t="str">
        <f>"20190303170252486"</f>
        <v>20190303170252486</v>
      </c>
      <c r="B1687" t="str">
        <f>"1551603772477960"</f>
        <v>1551603772477960</v>
      </c>
      <c r="C1687" t="s">
        <v>40</v>
      </c>
      <c r="D1687">
        <v>5.2449649999999997</v>
      </c>
      <c r="E1687">
        <v>0.50413980000000003</v>
      </c>
      <c r="F1687" t="s">
        <v>42</v>
      </c>
      <c r="G1687">
        <v>-190.01949999999999</v>
      </c>
      <c r="H1687" s="1">
        <v>-4.4632809999999998E-6</v>
      </c>
      <c r="I1687">
        <v>319.02260000000001</v>
      </c>
      <c r="J1687">
        <v>-191.85210000000001</v>
      </c>
      <c r="K1687">
        <v>1.117872</v>
      </c>
      <c r="L1687">
        <v>344.90460000000002</v>
      </c>
      <c r="M1687">
        <v>0.18717339999999999</v>
      </c>
      <c r="N1687">
        <v>-4.8159910000000004E-3</v>
      </c>
      <c r="O1687">
        <v>-0.9823151</v>
      </c>
      <c r="P1687">
        <v>6.93299E-2</v>
      </c>
      <c r="Q1687">
        <v>0.13956260000000001</v>
      </c>
      <c r="R1687">
        <v>-0.98778339999999998</v>
      </c>
      <c r="S1687">
        <v>0.21855160000000001</v>
      </c>
      <c r="T1687">
        <v>-0.12991050000000001</v>
      </c>
      <c r="U1687">
        <v>-3.0389710000000001</v>
      </c>
      <c r="V1687">
        <v>0.1176659</v>
      </c>
      <c r="W1687">
        <v>0.1435787</v>
      </c>
      <c r="X1687">
        <v>0.98261889999999996</v>
      </c>
      <c r="Y1687">
        <v>0.11626499999999999</v>
      </c>
      <c r="Z1687">
        <v>3.6602179999999998E-2</v>
      </c>
      <c r="AA1687">
        <v>0.99254359999999997</v>
      </c>
      <c r="AB1687">
        <v>24</v>
      </c>
      <c r="AC1687">
        <v>1.83260000000001</v>
      </c>
      <c r="AD1687">
        <v>-1.1178764632810001</v>
      </c>
      <c r="AE1687">
        <v>-25.882000000000001</v>
      </c>
      <c r="AF1687">
        <v>3.0386263062468699</v>
      </c>
      <c r="AG1687">
        <v>-1.1178764632810001</v>
      </c>
      <c r="AH1687">
        <v>25.7198511443545</v>
      </c>
      <c r="AI1687">
        <v>92.471545205238996</v>
      </c>
      <c r="AJ1687">
        <v>83.262124359901406</v>
      </c>
      <c r="AK1687">
        <v>25.922840131897701</v>
      </c>
      <c r="AL1687">
        <v>81.745016530400903</v>
      </c>
      <c r="AM1687">
        <v>83.171503585271907</v>
      </c>
      <c r="AN1687">
        <v>1.00000000487685</v>
      </c>
    </row>
    <row r="1688" spans="1:40" x14ac:dyDescent="0.25">
      <c r="A1688" t="str">
        <f>"20190303170252508"</f>
        <v>20190303170252508</v>
      </c>
      <c r="B1688" t="str">
        <f>"1551603772497480"</f>
        <v>1551603772497480</v>
      </c>
      <c r="C1688" t="s">
        <v>40</v>
      </c>
      <c r="D1688">
        <v>5.3071449999999896</v>
      </c>
      <c r="E1688">
        <v>0.50378020000000001</v>
      </c>
      <c r="F1688" t="s">
        <v>42</v>
      </c>
      <c r="G1688">
        <v>-189.96870000000001</v>
      </c>
      <c r="H1688" s="1">
        <v>-3.6615290000000002E-6</v>
      </c>
      <c r="I1688">
        <v>317.35509999999999</v>
      </c>
      <c r="J1688">
        <v>-191.81020000000001</v>
      </c>
      <c r="K1688">
        <v>1.1177859999999999</v>
      </c>
      <c r="L1688">
        <v>344.66300000000001</v>
      </c>
      <c r="M1688">
        <v>0.18338090000000001</v>
      </c>
      <c r="N1688">
        <v>-4.690151E-3</v>
      </c>
      <c r="O1688">
        <v>-0.98303090000000004</v>
      </c>
      <c r="P1688">
        <v>6.4737599999999895E-2</v>
      </c>
      <c r="Q1688">
        <v>0.141152</v>
      </c>
      <c r="R1688">
        <v>-0.98786929999999995</v>
      </c>
      <c r="S1688">
        <v>0.2078247</v>
      </c>
      <c r="T1688">
        <v>-0.12335210000000001</v>
      </c>
      <c r="U1688">
        <v>-3.0399479999999999</v>
      </c>
      <c r="V1688">
        <v>0.11843389999999999</v>
      </c>
      <c r="W1688">
        <v>0.145017799999999</v>
      </c>
      <c r="X1688">
        <v>0.98231520000000005</v>
      </c>
      <c r="Y1688">
        <v>0.1159361</v>
      </c>
      <c r="Z1688">
        <v>3.4675089999999999E-2</v>
      </c>
      <c r="AA1688">
        <v>0.99265119999999896</v>
      </c>
      <c r="AB1688">
        <v>25</v>
      </c>
      <c r="AC1688">
        <v>1.8414999999999899</v>
      </c>
      <c r="AD1688">
        <v>-1.1177896615289999</v>
      </c>
      <c r="AE1688">
        <v>-27.3079</v>
      </c>
      <c r="AF1688">
        <v>3.1922062434954799</v>
      </c>
      <c r="AG1688">
        <v>-1.1177896615289999</v>
      </c>
      <c r="AH1688">
        <v>27.1372377843783</v>
      </c>
      <c r="AI1688">
        <v>92.342560779012601</v>
      </c>
      <c r="AJ1688">
        <v>83.291016953167002</v>
      </c>
      <c r="AK1688">
        <v>27.3471992897686</v>
      </c>
      <c r="AL1688">
        <v>81.661689644739099</v>
      </c>
      <c r="AM1688">
        <v>83.125254753175696</v>
      </c>
      <c r="AN1688">
        <v>0.99999995156854304</v>
      </c>
    </row>
    <row r="1689" spans="1:40" x14ac:dyDescent="0.25">
      <c r="A1689" t="str">
        <f>"20190303170252528"</f>
        <v>20190303170252528</v>
      </c>
      <c r="B1689" t="str">
        <f>"1551603772517001"</f>
        <v>1551603772517001</v>
      </c>
      <c r="C1689" t="s">
        <v>40</v>
      </c>
      <c r="D1689">
        <v>5.2475180000000003</v>
      </c>
      <c r="E1689">
        <v>0.5033765</v>
      </c>
      <c r="F1689" t="s">
        <v>42</v>
      </c>
      <c r="G1689">
        <v>-189.9485</v>
      </c>
      <c r="H1689" s="1">
        <v>-3.0148080000000001E-6</v>
      </c>
      <c r="I1689">
        <v>315.98970000000003</v>
      </c>
      <c r="J1689">
        <v>-191.77189999999999</v>
      </c>
      <c r="K1689">
        <v>1.117696</v>
      </c>
      <c r="L1689">
        <v>344.4366</v>
      </c>
      <c r="M1689">
        <v>0.17977029999999999</v>
      </c>
      <c r="N1689">
        <v>-4.5695220000000003E-3</v>
      </c>
      <c r="O1689">
        <v>-0.98369810000000002</v>
      </c>
      <c r="P1689">
        <v>6.122698E-2</v>
      </c>
      <c r="Q1689">
        <v>0.14112529999999901</v>
      </c>
      <c r="R1689">
        <v>-0.98809669999999905</v>
      </c>
      <c r="S1689">
        <v>0.19743350000000001</v>
      </c>
      <c r="T1689">
        <v>-0.1185427</v>
      </c>
      <c r="U1689">
        <v>-3.0408330000000001</v>
      </c>
      <c r="V1689">
        <v>0.118341</v>
      </c>
      <c r="W1689">
        <v>0.14485410000000001</v>
      </c>
      <c r="X1689">
        <v>0.98235059999999996</v>
      </c>
      <c r="Y1689">
        <v>0.11568349999999999</v>
      </c>
      <c r="Z1689">
        <v>3.3294020000000001E-2</v>
      </c>
      <c r="AA1689">
        <v>0.99272800000000005</v>
      </c>
      <c r="AB1689">
        <v>25</v>
      </c>
      <c r="AC1689">
        <v>1.8233999999999899</v>
      </c>
      <c r="AD1689">
        <v>-1.1176990148079999</v>
      </c>
      <c r="AE1689">
        <v>-28.4468999999999</v>
      </c>
      <c r="AF1689">
        <v>3.3151700887668998</v>
      </c>
      <c r="AG1689">
        <v>-1.1176990148079999</v>
      </c>
      <c r="AH1689">
        <v>28.2677873638352</v>
      </c>
      <c r="AI1689">
        <v>92.248880080333606</v>
      </c>
      <c r="AJ1689">
        <v>83.311059865167906</v>
      </c>
      <c r="AK1689">
        <v>28.4834584671903</v>
      </c>
      <c r="AL1689">
        <v>81.671169479612203</v>
      </c>
      <c r="AM1689">
        <v>83.130840961424099</v>
      </c>
      <c r="AN1689">
        <v>1.00000000194408</v>
      </c>
    </row>
    <row r="1690" spans="1:40" x14ac:dyDescent="0.25">
      <c r="A1690" t="str">
        <f>"20190303170252550"</f>
        <v>20190303170252550</v>
      </c>
      <c r="B1690" t="str">
        <f>"1551603772537496"</f>
        <v>1551603772537496</v>
      </c>
      <c r="C1690" t="s">
        <v>40</v>
      </c>
      <c r="D1690">
        <v>5.2430719999999997</v>
      </c>
      <c r="E1690">
        <v>0.50300849999999997</v>
      </c>
      <c r="F1690" t="s">
        <v>42</v>
      </c>
      <c r="G1690">
        <v>-189.98079999999999</v>
      </c>
      <c r="H1690" s="1">
        <v>-2.8571300000000001E-6</v>
      </c>
      <c r="I1690">
        <v>315.64670000000001</v>
      </c>
      <c r="J1690">
        <v>-191.73169999999999</v>
      </c>
      <c r="K1690">
        <v>1.11759599999999</v>
      </c>
      <c r="L1690">
        <v>344.1936</v>
      </c>
      <c r="M1690">
        <v>0.1758402</v>
      </c>
      <c r="N1690">
        <v>-4.4435380000000003E-3</v>
      </c>
      <c r="O1690">
        <v>-0.98440870000000003</v>
      </c>
      <c r="P1690">
        <v>5.7710230000000001E-2</v>
      </c>
      <c r="Q1690">
        <v>0.14092539999999901</v>
      </c>
      <c r="R1690">
        <v>-0.98833680000000002</v>
      </c>
      <c r="S1690">
        <v>0.18920899999999999</v>
      </c>
      <c r="T1690">
        <v>-0.11807040000000001</v>
      </c>
      <c r="U1690">
        <v>-3.04129</v>
      </c>
      <c r="V1690">
        <v>0.1179423</v>
      </c>
      <c r="W1690">
        <v>0.14451249999999999</v>
      </c>
      <c r="X1690">
        <v>0.98244880000000001</v>
      </c>
      <c r="Y1690">
        <v>0.1144003</v>
      </c>
      <c r="Z1690">
        <v>3.3308539999999998E-2</v>
      </c>
      <c r="AA1690">
        <v>0.99287619999999999</v>
      </c>
      <c r="AB1690">
        <v>25</v>
      </c>
      <c r="AC1690">
        <v>1.7508999999999999</v>
      </c>
      <c r="AD1690">
        <v>-1.11759885712999</v>
      </c>
      <c r="AE1690">
        <v>-28.546899999999901</v>
      </c>
      <c r="AF1690">
        <v>3.2910986125220498</v>
      </c>
      <c r="AG1690">
        <v>-1.11759885712999</v>
      </c>
      <c r="AH1690">
        <v>28.366661345519699</v>
      </c>
      <c r="AI1690">
        <v>92.241172785617294</v>
      </c>
      <c r="AJ1690">
        <v>83.382134267312694</v>
      </c>
      <c r="AK1690">
        <v>28.578800415241499</v>
      </c>
      <c r="AL1690">
        <v>81.690949384436706</v>
      </c>
      <c r="AM1690">
        <v>83.154441486510393</v>
      </c>
      <c r="AN1690">
        <v>0.99999994670348802</v>
      </c>
    </row>
    <row r="1691" spans="1:40" x14ac:dyDescent="0.25">
      <c r="A1691" t="str">
        <f>"20190303170252573"</f>
        <v>20190303170252573</v>
      </c>
      <c r="B1691" t="str">
        <f>"1551603772567754"</f>
        <v>1551603772567754</v>
      </c>
      <c r="C1691" t="s">
        <v>40</v>
      </c>
      <c r="D1691">
        <v>5.1310419999999999</v>
      </c>
      <c r="E1691">
        <v>0.49621789999999999</v>
      </c>
      <c r="F1691" t="s">
        <v>42</v>
      </c>
      <c r="G1691">
        <v>-190.02099999999999</v>
      </c>
      <c r="H1691" s="1">
        <v>-2.7954500000000001E-6</v>
      </c>
      <c r="I1691">
        <v>315.49349999999998</v>
      </c>
      <c r="J1691">
        <v>-191.68979999999999</v>
      </c>
      <c r="K1691">
        <v>1.1174959999999901</v>
      </c>
      <c r="L1691">
        <v>343.93329999999997</v>
      </c>
      <c r="M1691">
        <v>0.1715759</v>
      </c>
      <c r="N1691">
        <v>-4.3181269999999997E-3</v>
      </c>
      <c r="O1691">
        <v>-0.98516170000000003</v>
      </c>
      <c r="P1691">
        <v>5.3909119999999998E-2</v>
      </c>
      <c r="Q1691">
        <v>0.14194189999999901</v>
      </c>
      <c r="R1691">
        <v>-0.98840640000000002</v>
      </c>
      <c r="S1691">
        <v>0.18130489999999999</v>
      </c>
      <c r="T1691">
        <v>-0.1184475</v>
      </c>
      <c r="U1691">
        <v>-3.0417480000000001</v>
      </c>
      <c r="V1691">
        <v>0.1174743</v>
      </c>
      <c r="W1691">
        <v>0.1453863</v>
      </c>
      <c r="X1691">
        <v>0.98237600000000003</v>
      </c>
      <c r="Y1691">
        <v>0.112679</v>
      </c>
      <c r="Z1691">
        <v>3.3596790000000001E-2</v>
      </c>
      <c r="AA1691">
        <v>0.99306329999999998</v>
      </c>
      <c r="AB1691">
        <v>25</v>
      </c>
      <c r="AC1691">
        <v>1.6688000000000001</v>
      </c>
      <c r="AD1691">
        <v>-1.11749879544999</v>
      </c>
      <c r="AE1691">
        <v>-28.439799999999899</v>
      </c>
      <c r="AF1691">
        <v>3.23060490837576</v>
      </c>
      <c r="AG1691">
        <v>-1.11749879544999</v>
      </c>
      <c r="AH1691">
        <v>28.260899755907701</v>
      </c>
      <c r="AI1691">
        <v>92.249786030373002</v>
      </c>
      <c r="AJ1691">
        <v>83.478621683145093</v>
      </c>
      <c r="AK1691">
        <v>28.466894221978599</v>
      </c>
      <c r="AL1691">
        <v>81.640350368985295</v>
      </c>
      <c r="AM1691">
        <v>83.180848153422701</v>
      </c>
      <c r="AN1691">
        <v>0.99999999638208903</v>
      </c>
    </row>
    <row r="1692" spans="1:40" x14ac:dyDescent="0.25">
      <c r="A1692" t="str">
        <f>"20190303170252596"</f>
        <v>20190303170252596</v>
      </c>
      <c r="B1692" t="str">
        <f>"1551603772587272"</f>
        <v>1551603772587272</v>
      </c>
      <c r="C1692" t="s">
        <v>40</v>
      </c>
      <c r="D1692">
        <v>5.1963660000000003</v>
      </c>
      <c r="E1692">
        <v>0.49626140000000002</v>
      </c>
      <c r="F1692" t="s">
        <v>42</v>
      </c>
      <c r="G1692">
        <v>-189.52019999999999</v>
      </c>
      <c r="H1692" s="1">
        <v>-2.4335859999999999E-6</v>
      </c>
      <c r="I1692">
        <v>314.5994</v>
      </c>
      <c r="J1692">
        <v>-191.65039999999999</v>
      </c>
      <c r="K1692">
        <v>1.1174230000000001</v>
      </c>
      <c r="L1692">
        <v>343.68119999999999</v>
      </c>
      <c r="M1692">
        <v>0.1673983</v>
      </c>
      <c r="N1692">
        <v>-4.2054579999999996E-3</v>
      </c>
      <c r="O1692">
        <v>-0.98588070000000005</v>
      </c>
      <c r="P1692">
        <v>4.9937240000000001E-2</v>
      </c>
      <c r="Q1692">
        <v>0.14383779999999999</v>
      </c>
      <c r="R1692">
        <v>-0.98834089999999997</v>
      </c>
      <c r="S1692">
        <v>0.2248077</v>
      </c>
      <c r="T1692">
        <v>-0.1157942</v>
      </c>
      <c r="U1692">
        <v>-3.0395509999999999</v>
      </c>
      <c r="V1692">
        <v>0.11724850000000001</v>
      </c>
      <c r="W1692">
        <v>0.14715239999999999</v>
      </c>
      <c r="X1692">
        <v>0.98214000000000001</v>
      </c>
      <c r="Y1692">
        <v>9.4257179999999996E-2</v>
      </c>
      <c r="Z1692">
        <v>3.295232E-2</v>
      </c>
      <c r="AA1692">
        <v>0.99500239999999995</v>
      </c>
      <c r="AB1692">
        <v>25</v>
      </c>
      <c r="AC1692">
        <v>2.1301999999999999</v>
      </c>
      <c r="AD1692">
        <v>-1.1174254335860001</v>
      </c>
      <c r="AE1692">
        <v>-29.081799999999902</v>
      </c>
      <c r="AF1692">
        <v>2.7640853902977098</v>
      </c>
      <c r="AG1692">
        <v>-1.1174254335860001</v>
      </c>
      <c r="AH1692">
        <v>28.985459908800401</v>
      </c>
      <c r="AI1692">
        <v>92.197769583029398</v>
      </c>
      <c r="AJ1692">
        <v>84.552683649344104</v>
      </c>
      <c r="AK1692">
        <v>29.138388661165799</v>
      </c>
      <c r="AL1692">
        <v>81.538060238801293</v>
      </c>
      <c r="AM1692">
        <v>83.192212207512895</v>
      </c>
      <c r="AN1692">
        <v>1.000000009589</v>
      </c>
    </row>
    <row r="1693" spans="1:40" x14ac:dyDescent="0.25">
      <c r="A1693" t="str">
        <f>"20190303170252617"</f>
        <v>20190303170252617</v>
      </c>
      <c r="B1693" t="str">
        <f>"1551603772606793"</f>
        <v>1551603772606793</v>
      </c>
      <c r="C1693" t="s">
        <v>40</v>
      </c>
      <c r="D1693">
        <v>5.1879939999999998</v>
      </c>
      <c r="E1693">
        <v>0.49585489999999999</v>
      </c>
      <c r="F1693" t="s">
        <v>42</v>
      </c>
      <c r="G1693">
        <v>-189.4014</v>
      </c>
      <c r="H1693" s="1">
        <v>-1.0222299999999999E-6</v>
      </c>
      <c r="I1693">
        <v>311.56920000000002</v>
      </c>
      <c r="J1693">
        <v>-191.61240000000001</v>
      </c>
      <c r="K1693">
        <v>1.117356</v>
      </c>
      <c r="L1693">
        <v>343.43079999999998</v>
      </c>
      <c r="M1693">
        <v>0.16321099999999999</v>
      </c>
      <c r="N1693">
        <v>-4.1023159999999999E-3</v>
      </c>
      <c r="O1693">
        <v>-0.98658290000000004</v>
      </c>
      <c r="P1693">
        <v>4.5900580000000003E-2</v>
      </c>
      <c r="Q1693">
        <v>0.14498539999999999</v>
      </c>
      <c r="R1693">
        <v>-0.98836900000000005</v>
      </c>
      <c r="S1693">
        <v>0.21290590000000001</v>
      </c>
      <c r="T1693">
        <v>-0.1057853</v>
      </c>
      <c r="U1693">
        <v>-3.040009</v>
      </c>
      <c r="V1693">
        <v>0.1170911</v>
      </c>
      <c r="W1693">
        <v>0.14818190000000001</v>
      </c>
      <c r="X1693">
        <v>0.98200399999999999</v>
      </c>
      <c r="Y1693">
        <v>9.3910679999999996E-2</v>
      </c>
      <c r="Z1693">
        <v>2.9883650000000001E-2</v>
      </c>
      <c r="AA1693">
        <v>0.99513200000000002</v>
      </c>
      <c r="AB1693">
        <v>25</v>
      </c>
      <c r="AC1693">
        <v>2.2110000000000101</v>
      </c>
      <c r="AD1693">
        <v>-1.11735702223</v>
      </c>
      <c r="AE1693">
        <v>-31.8615999999999</v>
      </c>
      <c r="AF1693">
        <v>3.01516308800189</v>
      </c>
      <c r="AG1693">
        <v>-1.11735702223</v>
      </c>
      <c r="AH1693">
        <v>31.756361102235601</v>
      </c>
      <c r="AI1693">
        <v>92.006122981641496</v>
      </c>
      <c r="AJ1693">
        <v>84.5762115684512</v>
      </c>
      <c r="AK1693">
        <v>31.918743171026598</v>
      </c>
      <c r="AL1693">
        <v>81.478420570070199</v>
      </c>
      <c r="AM1693">
        <v>83.200332948043595</v>
      </c>
      <c r="AN1693">
        <v>1.0000000286013999</v>
      </c>
    </row>
    <row r="1694" spans="1:40" x14ac:dyDescent="0.25">
      <c r="A1694" t="str">
        <f>"20190303170252639"</f>
        <v>20190303170252639</v>
      </c>
      <c r="B1694" t="str">
        <f>"1551603772627289"</f>
        <v>1551603772627289</v>
      </c>
      <c r="C1694" t="s">
        <v>40</v>
      </c>
      <c r="D1694">
        <v>5.1852419999999997</v>
      </c>
      <c r="E1694">
        <v>0.4956352</v>
      </c>
      <c r="F1694" t="s">
        <v>42</v>
      </c>
      <c r="G1694">
        <v>-189.3176</v>
      </c>
      <c r="H1694" s="1">
        <v>-4.2428110000000004E-6</v>
      </c>
      <c r="I1694">
        <v>309.2407</v>
      </c>
      <c r="J1694">
        <v>-191.57509999999999</v>
      </c>
      <c r="K1694">
        <v>1.117289</v>
      </c>
      <c r="L1694">
        <v>343.1771</v>
      </c>
      <c r="M1694">
        <v>0.15894459999999999</v>
      </c>
      <c r="N1694">
        <v>-4.0079290000000004E-3</v>
      </c>
      <c r="O1694">
        <v>-0.98727960000000003</v>
      </c>
      <c r="P1694">
        <v>4.1463229999999997E-2</v>
      </c>
      <c r="Q1694">
        <v>0.1450359</v>
      </c>
      <c r="R1694">
        <v>-0.98855740000000003</v>
      </c>
      <c r="S1694">
        <v>0.204071</v>
      </c>
      <c r="T1694">
        <v>-9.9364040000000001E-2</v>
      </c>
      <c r="U1694">
        <v>-3.0404360000000001</v>
      </c>
      <c r="V1694">
        <v>0.1172716</v>
      </c>
      <c r="W1694">
        <v>0.1481239</v>
      </c>
      <c r="X1694">
        <v>0.98199119999999995</v>
      </c>
      <c r="Y1694">
        <v>9.2491539999999997E-2</v>
      </c>
      <c r="Z1694">
        <v>2.795129E-2</v>
      </c>
      <c r="AA1694">
        <v>0.99532109999999996</v>
      </c>
      <c r="AB1694">
        <v>26</v>
      </c>
      <c r="AC1694">
        <v>2.2574999999999901</v>
      </c>
      <c r="AD1694">
        <v>-1.1172932428110001</v>
      </c>
      <c r="AE1694">
        <v>-33.9363999999999</v>
      </c>
      <c r="AF1694">
        <v>3.1618364015779901</v>
      </c>
      <c r="AG1694">
        <v>-1.1172932428110001</v>
      </c>
      <c r="AH1694">
        <v>33.827292074229398</v>
      </c>
      <c r="AI1694">
        <v>91.883550140674998</v>
      </c>
      <c r="AJ1694">
        <v>84.660079404289704</v>
      </c>
      <c r="AK1694">
        <v>33.9931058112671</v>
      </c>
      <c r="AL1694">
        <v>81.481780711045005</v>
      </c>
      <c r="AM1694">
        <v>83.189861458225494</v>
      </c>
      <c r="AN1694">
        <v>1.0000000173976</v>
      </c>
    </row>
    <row r="1695" spans="1:40" x14ac:dyDescent="0.25">
      <c r="A1695" t="str">
        <f>"20190303170252662"</f>
        <v>20190303170252662</v>
      </c>
      <c r="B1695" t="str">
        <f>"1551603772657544"</f>
        <v>1551603772657544</v>
      </c>
      <c r="C1695" t="s">
        <v>40</v>
      </c>
      <c r="D1695">
        <v>5.0697599999999996</v>
      </c>
      <c r="E1695">
        <v>0.49532730000000003</v>
      </c>
      <c r="F1695" t="s">
        <v>42</v>
      </c>
      <c r="G1695">
        <v>-189.40299999999999</v>
      </c>
      <c r="H1695" s="1">
        <v>-4.1024739999999998E-6</v>
      </c>
      <c r="I1695">
        <v>308.94889999999998</v>
      </c>
      <c r="J1695">
        <v>-191.53739999999999</v>
      </c>
      <c r="K1695">
        <v>1.1172260000000001</v>
      </c>
      <c r="L1695">
        <v>342.91329999999999</v>
      </c>
      <c r="M1695">
        <v>0.15449460000000001</v>
      </c>
      <c r="N1695">
        <v>-3.921707E-3</v>
      </c>
      <c r="O1695">
        <v>-0.98798600000000003</v>
      </c>
      <c r="P1695">
        <v>3.6069749999999998E-2</v>
      </c>
      <c r="Q1695">
        <v>0.14368239999999999</v>
      </c>
      <c r="R1695">
        <v>-0.98896660000000003</v>
      </c>
      <c r="S1695">
        <v>0.1929932</v>
      </c>
      <c r="T1695">
        <v>-9.9272250000000006E-2</v>
      </c>
      <c r="U1695">
        <v>-3.0411990000000002</v>
      </c>
      <c r="V1695">
        <v>0.1182406</v>
      </c>
      <c r="W1695">
        <v>0.14666609999999999</v>
      </c>
      <c r="X1695">
        <v>0.98209380000000002</v>
      </c>
      <c r="Y1695">
        <v>9.1632309999999995E-2</v>
      </c>
      <c r="Z1695">
        <v>2.8037300000000001E-2</v>
      </c>
      <c r="AA1695">
        <v>0.99539809999999995</v>
      </c>
      <c r="AB1695">
        <v>26</v>
      </c>
      <c r="AC1695">
        <v>2.1343999999999901</v>
      </c>
      <c r="AD1695">
        <v>-1.1172301024739999</v>
      </c>
      <c r="AE1695">
        <v>-33.964399999999998</v>
      </c>
      <c r="AF1695">
        <v>3.13520371751286</v>
      </c>
      <c r="AG1695">
        <v>-1.1172301024739999</v>
      </c>
      <c r="AH1695">
        <v>33.849878171089699</v>
      </c>
      <c r="AI1695">
        <v>91.882335298751897</v>
      </c>
      <c r="AJ1695">
        <v>84.708314825270307</v>
      </c>
      <c r="AK1695">
        <v>34.013114494997197</v>
      </c>
      <c r="AL1695">
        <v>81.566228794173</v>
      </c>
      <c r="AM1695">
        <v>83.134835585828895</v>
      </c>
      <c r="AN1695">
        <v>1.0000000081880001</v>
      </c>
    </row>
    <row r="1696" spans="1:40" x14ac:dyDescent="0.25">
      <c r="A1696" t="str">
        <f>"20190303170252686"</f>
        <v>20190303170252686</v>
      </c>
      <c r="B1696" t="str">
        <f>"1551603772677066"</f>
        <v>1551603772677066</v>
      </c>
      <c r="C1696" t="s">
        <v>40</v>
      </c>
      <c r="D1696">
        <v>5.008394</v>
      </c>
      <c r="E1696">
        <v>0.49507230000000002</v>
      </c>
      <c r="F1696" t="s">
        <v>42</v>
      </c>
      <c r="G1696">
        <v>-189.56829999999999</v>
      </c>
      <c r="H1696" s="1">
        <v>-4.3430849999999998E-6</v>
      </c>
      <c r="I1696">
        <v>309.57810000000001</v>
      </c>
      <c r="J1696">
        <v>-191.4982</v>
      </c>
      <c r="K1696">
        <v>1.1171719999999901</v>
      </c>
      <c r="L1696">
        <v>342.6293</v>
      </c>
      <c r="M1696">
        <v>0.14969579999999999</v>
      </c>
      <c r="N1696">
        <v>-3.841737E-3</v>
      </c>
      <c r="O1696">
        <v>-0.98872470000000001</v>
      </c>
      <c r="P1696">
        <v>3.1074359999999999E-2</v>
      </c>
      <c r="Q1696">
        <v>0.1424164</v>
      </c>
      <c r="R1696">
        <v>-0.98931910000000001</v>
      </c>
      <c r="S1696">
        <v>0.1796722</v>
      </c>
      <c r="T1696">
        <v>-0.1019443</v>
      </c>
      <c r="U1696">
        <v>-3.0417480000000001</v>
      </c>
      <c r="V1696">
        <v>0.1184644</v>
      </c>
      <c r="W1696">
        <v>0.14530899999999999</v>
      </c>
      <c r="X1696">
        <v>0.98226860000000005</v>
      </c>
      <c r="Y1696">
        <v>9.1153319999999996E-2</v>
      </c>
      <c r="Z1696">
        <v>2.9009940000000001E-2</v>
      </c>
      <c r="AA1696">
        <v>0.99541429999999997</v>
      </c>
      <c r="AB1696">
        <v>26</v>
      </c>
      <c r="AC1696">
        <v>1.9298999999999999</v>
      </c>
      <c r="AD1696">
        <v>-1.1171763430849999</v>
      </c>
      <c r="AE1696">
        <v>-33.051199999999902</v>
      </c>
      <c r="AF1696">
        <v>3.0360512642886501</v>
      </c>
      <c r="AG1696">
        <v>-1.1171763430849999</v>
      </c>
      <c r="AH1696">
        <v>32.930180976396301</v>
      </c>
      <c r="AI1696">
        <v>91.934849177348099</v>
      </c>
      <c r="AJ1696">
        <v>84.732414516883907</v>
      </c>
      <c r="AK1696">
        <v>33.088706674621598</v>
      </c>
      <c r="AL1696">
        <v>81.644827414466505</v>
      </c>
      <c r="AM1696">
        <v>83.123178161101293</v>
      </c>
      <c r="AN1696">
        <v>1.00000006104715</v>
      </c>
    </row>
    <row r="1697" spans="1:40" x14ac:dyDescent="0.25">
      <c r="A1697" t="str">
        <f>"20190303170252711"</f>
        <v>20190303170252711</v>
      </c>
      <c r="B1697" t="str">
        <f>"1551603772697560"</f>
        <v>1551603772697560</v>
      </c>
      <c r="C1697" t="s">
        <v>40</v>
      </c>
      <c r="D1697">
        <v>5.0080999999999998</v>
      </c>
      <c r="E1697">
        <v>0.49478040000000001</v>
      </c>
      <c r="F1697" t="s">
        <v>42</v>
      </c>
      <c r="G1697">
        <v>-189.69810000000001</v>
      </c>
      <c r="H1697" s="1">
        <v>-1.105586E-7</v>
      </c>
      <c r="I1697">
        <v>309.72320000000002</v>
      </c>
      <c r="J1697">
        <v>-191.46129999999999</v>
      </c>
      <c r="K1697">
        <v>1.117127</v>
      </c>
      <c r="L1697">
        <v>342.35270000000003</v>
      </c>
      <c r="M1697">
        <v>0.1450244</v>
      </c>
      <c r="N1697">
        <v>-3.775629E-3</v>
      </c>
      <c r="O1697">
        <v>-0.98942099999999999</v>
      </c>
      <c r="P1697">
        <v>2.627032E-2</v>
      </c>
      <c r="Q1697">
        <v>0.14248440000000001</v>
      </c>
      <c r="R1697">
        <v>-0.98944849999999995</v>
      </c>
      <c r="S1697">
        <v>0.16641239999999999</v>
      </c>
      <c r="T1697">
        <v>-0.1032786</v>
      </c>
      <c r="U1697">
        <v>-3.0420530000000001</v>
      </c>
      <c r="V1697">
        <v>0.11860569999999999</v>
      </c>
      <c r="W1697">
        <v>0.1453004</v>
      </c>
      <c r="X1697">
        <v>0.98225280000000004</v>
      </c>
      <c r="Y1697">
        <v>9.0781580000000001E-2</v>
      </c>
      <c r="Z1697">
        <v>2.9539920000000001E-2</v>
      </c>
      <c r="AA1697">
        <v>0.9954326</v>
      </c>
      <c r="AB1697">
        <v>26</v>
      </c>
      <c r="AC1697">
        <v>1.7631999999999799</v>
      </c>
      <c r="AD1697">
        <v>-1.1171271105586</v>
      </c>
      <c r="AE1697">
        <v>-32.6295</v>
      </c>
      <c r="AF1697">
        <v>2.9840598863708698</v>
      </c>
      <c r="AG1697">
        <v>-1.1171271105586</v>
      </c>
      <c r="AH1697">
        <v>32.502260751874097</v>
      </c>
      <c r="AI1697">
        <v>91.9602860017513</v>
      </c>
      <c r="AJ1697">
        <v>84.754332306610806</v>
      </c>
      <c r="AK1697">
        <v>32.658070064984102</v>
      </c>
      <c r="AL1697">
        <v>81.645325272624603</v>
      </c>
      <c r="AM1697">
        <v>83.114944741186605</v>
      </c>
      <c r="AN1697">
        <v>1.0000000407102401</v>
      </c>
    </row>
    <row r="1698" spans="1:40" x14ac:dyDescent="0.25">
      <c r="A1698" t="str">
        <f>"20190303170252729"</f>
        <v>20190303170252729</v>
      </c>
      <c r="B1698" t="str">
        <f>"1551603772717080"</f>
        <v>1551603772717080</v>
      </c>
      <c r="C1698" t="s">
        <v>40</v>
      </c>
      <c r="D1698">
        <v>4.956944</v>
      </c>
      <c r="E1698">
        <v>0.49462450000000002</v>
      </c>
      <c r="F1698" t="s">
        <v>42</v>
      </c>
      <c r="G1698">
        <v>-189.7747</v>
      </c>
      <c r="H1698" s="1">
        <v>-4.0975659999999999E-6</v>
      </c>
      <c r="I1698">
        <v>309.09120000000001</v>
      </c>
      <c r="J1698">
        <v>-191.43199999999999</v>
      </c>
      <c r="K1698">
        <v>1.1171009999999999</v>
      </c>
      <c r="L1698">
        <v>342.12520000000001</v>
      </c>
      <c r="M1698">
        <v>0.14119019999999999</v>
      </c>
      <c r="N1698">
        <v>-3.7294260000000001E-3</v>
      </c>
      <c r="O1698">
        <v>-0.98997550000000001</v>
      </c>
      <c r="P1698">
        <v>2.1644500000000001E-2</v>
      </c>
      <c r="Q1698">
        <v>0.1433468</v>
      </c>
      <c r="R1698">
        <v>-0.98943599999999998</v>
      </c>
      <c r="S1698">
        <v>0.15428159999999999</v>
      </c>
      <c r="T1698">
        <v>-0.1021898</v>
      </c>
      <c r="U1698">
        <v>-3.0426030000000002</v>
      </c>
      <c r="V1698">
        <v>0.11939080000000001</v>
      </c>
      <c r="W1698">
        <v>0.14610290000000001</v>
      </c>
      <c r="X1698">
        <v>0.98203859999999998</v>
      </c>
      <c r="Y1698">
        <v>9.0890700000000005E-2</v>
      </c>
      <c r="Z1698">
        <v>2.9258889999999999E-2</v>
      </c>
      <c r="AA1698">
        <v>0.99543090000000001</v>
      </c>
      <c r="AB1698">
        <v>26</v>
      </c>
      <c r="AC1698">
        <v>1.65730000000002</v>
      </c>
      <c r="AD1698">
        <v>-1.117105097566</v>
      </c>
      <c r="AE1698">
        <v>-33.033999999999899</v>
      </c>
      <c r="AF1698">
        <v>3.0199666916242598</v>
      </c>
      <c r="AG1698">
        <v>-1.117105097566</v>
      </c>
      <c r="AH1698">
        <v>32.899544327127899</v>
      </c>
      <c r="AI1698">
        <v>91.9365973080358</v>
      </c>
      <c r="AJ1698">
        <v>84.755313463920501</v>
      </c>
      <c r="AK1698">
        <v>33.056741211894703</v>
      </c>
      <c r="AL1698">
        <v>81.598849239453102</v>
      </c>
      <c r="AM1698">
        <v>83.068314606711894</v>
      </c>
      <c r="AN1698">
        <v>1.0000000162014999</v>
      </c>
    </row>
    <row r="1699" spans="1:40" x14ac:dyDescent="0.25">
      <c r="A1699" t="str">
        <f>"20190303170252763"</f>
        <v>20190303170252763</v>
      </c>
      <c r="B1699" t="str">
        <f>"1551603772757097"</f>
        <v>1551603772757097</v>
      </c>
      <c r="C1699" t="s">
        <v>40</v>
      </c>
      <c r="D1699">
        <v>4.9542679999999999</v>
      </c>
      <c r="E1699">
        <v>0.49093979999999998</v>
      </c>
      <c r="F1699" t="s">
        <v>42</v>
      </c>
      <c r="G1699">
        <v>-189.81649999999999</v>
      </c>
      <c r="H1699" s="1">
        <v>-3.4728999999999998E-6</v>
      </c>
      <c r="I1699">
        <v>307.65230000000003</v>
      </c>
      <c r="J1699">
        <v>-191.38249999999999</v>
      </c>
      <c r="K1699">
        <v>1.1170580000000001</v>
      </c>
      <c r="L1699">
        <v>341.7253</v>
      </c>
      <c r="M1699">
        <v>0.1344805</v>
      </c>
      <c r="N1699">
        <v>-3.6622339999999999E-3</v>
      </c>
      <c r="O1699">
        <v>-0.99090959999999995</v>
      </c>
      <c r="P1699">
        <v>1.403799E-2</v>
      </c>
      <c r="Q1699">
        <v>0.14446809999999999</v>
      </c>
      <c r="R1699">
        <v>-0.98941009999999996</v>
      </c>
      <c r="S1699">
        <v>0.1426086</v>
      </c>
      <c r="T1699">
        <v>-9.8615170000000002E-2</v>
      </c>
      <c r="U1699">
        <v>-3.0431819999999998</v>
      </c>
      <c r="V1699">
        <v>0.12028759999999999</v>
      </c>
      <c r="W1699">
        <v>0.1471392</v>
      </c>
      <c r="X1699">
        <v>0.98177440000000005</v>
      </c>
      <c r="Y1699">
        <v>8.796176E-2</v>
      </c>
      <c r="Z1699">
        <v>2.8218320000000002E-2</v>
      </c>
      <c r="AA1699">
        <v>0.9957241</v>
      </c>
      <c r="AB1699">
        <v>26</v>
      </c>
      <c r="AC1699">
        <v>1.5660000000000001</v>
      </c>
      <c r="AD1699">
        <v>-1.1170614728999999</v>
      </c>
      <c r="AE1699">
        <v>-34.072999999999901</v>
      </c>
      <c r="AF1699">
        <v>3.0271628033609801</v>
      </c>
      <c r="AG1699">
        <v>-1.1170614728999999</v>
      </c>
      <c r="AH1699">
        <v>33.937682994315203</v>
      </c>
      <c r="AI1699">
        <v>91.877764623488304</v>
      </c>
      <c r="AJ1699">
        <v>84.902838526019707</v>
      </c>
      <c r="AK1699">
        <v>34.090729942242703</v>
      </c>
      <c r="AL1699">
        <v>81.538824884127294</v>
      </c>
      <c r="AM1699">
        <v>83.014899041481698</v>
      </c>
      <c r="AN1699">
        <v>1.00000001169288</v>
      </c>
    </row>
    <row r="1700" spans="1:40" x14ac:dyDescent="0.25">
      <c r="A1700" t="str">
        <f>"20190303170252786"</f>
        <v>20190303170252786</v>
      </c>
      <c r="B1700" t="str">
        <f>"1551603772777593"</f>
        <v>1551603772777593</v>
      </c>
      <c r="C1700" t="s">
        <v>40</v>
      </c>
      <c r="D1700">
        <v>5.0152349999999997</v>
      </c>
      <c r="E1700">
        <v>0.49096800000000002</v>
      </c>
      <c r="F1700" t="s">
        <v>57</v>
      </c>
      <c r="G1700">
        <v>-189.23589999999999</v>
      </c>
      <c r="H1700" s="1">
        <v>5.9719280000000001E-7</v>
      </c>
      <c r="I1700">
        <v>297.92689999999999</v>
      </c>
      <c r="J1700">
        <v>-191.34989999999999</v>
      </c>
      <c r="K1700">
        <v>1.117035</v>
      </c>
      <c r="L1700">
        <v>341.44900000000001</v>
      </c>
      <c r="M1700">
        <v>0.12988050000000001</v>
      </c>
      <c r="N1700">
        <v>-3.6208410000000001E-3</v>
      </c>
      <c r="O1700">
        <v>-0.9915233</v>
      </c>
      <c r="P1700">
        <v>1.037196E-2</v>
      </c>
      <c r="Q1700">
        <v>0.14458550000000001</v>
      </c>
      <c r="R1700">
        <v>-0.9894385</v>
      </c>
      <c r="S1700">
        <v>0.1490631</v>
      </c>
      <c r="T1700">
        <v>-7.7568289999999998E-2</v>
      </c>
      <c r="U1700">
        <v>-3.0413510000000001</v>
      </c>
      <c r="V1700">
        <v>0.1193738</v>
      </c>
      <c r="W1700">
        <v>0.14721799999999999</v>
      </c>
      <c r="X1700">
        <v>0.98187409999999997</v>
      </c>
      <c r="Y1700">
        <v>8.1193959999999996E-2</v>
      </c>
      <c r="Z1700">
        <v>2.1507269999999998E-2</v>
      </c>
      <c r="AA1700">
        <v>0.99646619999999997</v>
      </c>
      <c r="AB1700">
        <v>27</v>
      </c>
      <c r="AC1700">
        <v>2.1139999999999999</v>
      </c>
      <c r="AD1700">
        <v>-1.1170344028071999</v>
      </c>
      <c r="AE1700">
        <v>-43.522100000000002</v>
      </c>
      <c r="AF1700">
        <v>3.5542784308609598</v>
      </c>
      <c r="AG1700">
        <v>-1.1170344028071999</v>
      </c>
      <c r="AH1700">
        <v>43.399495566540402</v>
      </c>
      <c r="AI1700">
        <v>91.469459775115993</v>
      </c>
      <c r="AJ1700">
        <v>85.318109439867897</v>
      </c>
      <c r="AK1700">
        <v>43.5591193259379</v>
      </c>
      <c r="AL1700">
        <v>81.534260133528605</v>
      </c>
      <c r="AM1700">
        <v>83.068142153776193</v>
      </c>
      <c r="AN1700">
        <v>0.99999999595062405</v>
      </c>
    </row>
    <row r="1701" spans="1:40" x14ac:dyDescent="0.25">
      <c r="A1701" t="str">
        <f>"20190303170252808"</f>
        <v>20190303170252808</v>
      </c>
      <c r="B1701" t="str">
        <f>"1551603772797114"</f>
        <v>1551603772797114</v>
      </c>
      <c r="C1701" t="s">
        <v>40</v>
      </c>
      <c r="D1701">
        <v>4.9006179999999997</v>
      </c>
      <c r="E1701">
        <v>0.49069889999999999</v>
      </c>
      <c r="F1701" t="s">
        <v>57</v>
      </c>
      <c r="G1701">
        <v>-189.31479999999999</v>
      </c>
      <c r="H1701" s="1">
        <v>1.2002599999999999E-6</v>
      </c>
      <c r="I1701">
        <v>296.22089999999997</v>
      </c>
      <c r="J1701">
        <v>-191.31960000000001</v>
      </c>
      <c r="K1701">
        <v>1.1170180000000001</v>
      </c>
      <c r="L1701">
        <v>341.18270000000001</v>
      </c>
      <c r="M1701">
        <v>0.1254864</v>
      </c>
      <c r="N1701">
        <v>-3.584229E-3</v>
      </c>
      <c r="O1701">
        <v>-0.99208890000000005</v>
      </c>
      <c r="P1701">
        <v>7.4980469999999999E-3</v>
      </c>
      <c r="Q1701">
        <v>0.14560619999999999</v>
      </c>
      <c r="R1701">
        <v>-0.98931460000000004</v>
      </c>
      <c r="S1701">
        <v>0.13685610000000001</v>
      </c>
      <c r="T1701">
        <v>-7.5119259999999993E-2</v>
      </c>
      <c r="U1701">
        <v>-3.041534</v>
      </c>
      <c r="V1701">
        <v>0.1178671</v>
      </c>
      <c r="W1701">
        <v>0.14821210000000001</v>
      </c>
      <c r="X1701">
        <v>0.98190659999999996</v>
      </c>
      <c r="Y1701">
        <v>8.0770999999999996E-2</v>
      </c>
      <c r="Z1701">
        <v>2.0772039999999999E-2</v>
      </c>
      <c r="AA1701">
        <v>0.99651619999999996</v>
      </c>
      <c r="AB1701">
        <v>27</v>
      </c>
      <c r="AC1701">
        <v>2.0048000000000101</v>
      </c>
      <c r="AD1701">
        <v>-1.11701679974</v>
      </c>
      <c r="AE1701">
        <v>-44.961799999999997</v>
      </c>
      <c r="AF1701">
        <v>3.6509290189921599</v>
      </c>
      <c r="AG1701">
        <v>-1.11701679974</v>
      </c>
      <c r="AH1701">
        <v>44.830349656933898</v>
      </c>
      <c r="AI1701">
        <v>91.422608917961597</v>
      </c>
      <c r="AJ1701">
        <v>85.344176331229903</v>
      </c>
      <c r="AK1701">
        <v>44.992635615126801</v>
      </c>
      <c r="AL1701">
        <v>81.476670890923401</v>
      </c>
      <c r="AM1701">
        <v>83.155022997906897</v>
      </c>
      <c r="AN1701">
        <v>1.0000000254861801</v>
      </c>
    </row>
    <row r="1702" spans="1:40" x14ac:dyDescent="0.25">
      <c r="A1702" t="str">
        <f>"20190303170252830"</f>
        <v>20190303170252830</v>
      </c>
      <c r="B1702" t="str">
        <f>"1551603772817609"</f>
        <v>1551603772817609</v>
      </c>
      <c r="C1702" t="s">
        <v>40</v>
      </c>
      <c r="D1702">
        <v>4.8349989999999998</v>
      </c>
      <c r="E1702">
        <v>0.49029790000000001</v>
      </c>
      <c r="F1702" t="s">
        <v>57</v>
      </c>
      <c r="G1702">
        <v>-189.2868</v>
      </c>
      <c r="H1702" s="1">
        <v>2.002357E-6</v>
      </c>
      <c r="I1702">
        <v>293.78359999999998</v>
      </c>
      <c r="J1702">
        <v>-191.29079999999999</v>
      </c>
      <c r="K1702">
        <v>1.1170020000000001</v>
      </c>
      <c r="L1702">
        <v>340.92</v>
      </c>
      <c r="M1702">
        <v>0.1212116</v>
      </c>
      <c r="N1702">
        <v>-3.5522140000000002E-3</v>
      </c>
      <c r="O1702">
        <v>-0.99262050000000002</v>
      </c>
      <c r="P1702">
        <v>3.0330169999999998E-3</v>
      </c>
      <c r="Q1702">
        <v>0.14638329999999999</v>
      </c>
      <c r="R1702">
        <v>-0.98922339999999997</v>
      </c>
      <c r="S1702">
        <v>0.13046259999999901</v>
      </c>
      <c r="T1702">
        <v>-7.1688180000000004E-2</v>
      </c>
      <c r="U1702">
        <v>-3.041992</v>
      </c>
      <c r="V1702">
        <v>0.11805939999999999</v>
      </c>
      <c r="W1702">
        <v>0.14895659999999999</v>
      </c>
      <c r="X1702">
        <v>0.98177080000000005</v>
      </c>
      <c r="Y1702">
        <v>7.8573699999999996E-2</v>
      </c>
      <c r="Z1702">
        <v>1.9710109999999999E-2</v>
      </c>
      <c r="AA1702">
        <v>0.99671350000000003</v>
      </c>
      <c r="AB1702">
        <v>27</v>
      </c>
      <c r="AC1702">
        <v>2.0039999999999898</v>
      </c>
      <c r="AD1702">
        <v>-1.1169999976430001</v>
      </c>
      <c r="AE1702">
        <v>-47.136400000000002</v>
      </c>
      <c r="AF1702">
        <v>3.7222034114198901</v>
      </c>
      <c r="AG1702">
        <v>-1.1169999976430001</v>
      </c>
      <c r="AH1702">
        <v>47.0054054478734</v>
      </c>
      <c r="AI1702">
        <v>91.357029864046396</v>
      </c>
      <c r="AJ1702">
        <v>85.4723834747289</v>
      </c>
      <c r="AK1702">
        <v>47.165778150579499</v>
      </c>
      <c r="AL1702">
        <v>81.433535123107305</v>
      </c>
      <c r="AM1702">
        <v>83.143022331805099</v>
      </c>
      <c r="AN1702">
        <v>0.99999999717228005</v>
      </c>
    </row>
    <row r="1703" spans="1:40" x14ac:dyDescent="0.25">
      <c r="A1703" t="str">
        <f>"20190303170252852"</f>
        <v>20190303170252852</v>
      </c>
      <c r="B1703" t="str">
        <f>"1551603772837129"</f>
        <v>1551603772837129</v>
      </c>
      <c r="C1703" t="s">
        <v>40</v>
      </c>
      <c r="D1703">
        <v>4.8418089999999996</v>
      </c>
      <c r="E1703">
        <v>0.49016729999999997</v>
      </c>
      <c r="F1703" t="s">
        <v>57</v>
      </c>
      <c r="G1703">
        <v>-189.3415</v>
      </c>
      <c r="H1703" s="1">
        <v>2.645488E-6</v>
      </c>
      <c r="I1703">
        <v>291.97800000000001</v>
      </c>
      <c r="J1703">
        <v>-191.26179999999999</v>
      </c>
      <c r="K1703">
        <v>1.1170009999999999</v>
      </c>
      <c r="L1703">
        <v>340.64519999999999</v>
      </c>
      <c r="M1703">
        <v>0.1168299</v>
      </c>
      <c r="N1703">
        <v>-3.5227140000000001E-3</v>
      </c>
      <c r="O1703">
        <v>-0.99314590000000003</v>
      </c>
      <c r="P1703">
        <v>-1.9102559999999999E-3</v>
      </c>
      <c r="Q1703">
        <v>0.14505760000000001</v>
      </c>
      <c r="R1703">
        <v>-0.98942180000000002</v>
      </c>
      <c r="S1703">
        <v>0.1211853</v>
      </c>
      <c r="T1703">
        <v>-6.9440360000000007E-2</v>
      </c>
      <c r="U1703">
        <v>-3.0425719999999998</v>
      </c>
      <c r="V1703">
        <v>0.1186372</v>
      </c>
      <c r="W1703">
        <v>0.14760470000000001</v>
      </c>
      <c r="X1703">
        <v>0.98190529999999998</v>
      </c>
      <c r="Y1703">
        <v>7.7215919999999993E-2</v>
      </c>
      <c r="Z1703">
        <v>1.9026080000000001E-2</v>
      </c>
      <c r="AA1703">
        <v>0.99683279999999996</v>
      </c>
      <c r="AB1703">
        <v>27</v>
      </c>
      <c r="AC1703">
        <v>1.9202999999999899</v>
      </c>
      <c r="AD1703">
        <v>-1.1169983545119999</v>
      </c>
      <c r="AE1703">
        <v>-48.667199999999902</v>
      </c>
      <c r="AF1703">
        <v>3.7766822995231499</v>
      </c>
      <c r="AG1703">
        <v>-1.1169983545119999</v>
      </c>
      <c r="AH1703">
        <v>48.532743332997299</v>
      </c>
      <c r="AI1703">
        <v>91.314477472731099</v>
      </c>
      <c r="AJ1703">
        <v>85.550369888294895</v>
      </c>
      <c r="AK1703">
        <v>48.692280599106397</v>
      </c>
      <c r="AL1703">
        <v>81.511858954992803</v>
      </c>
      <c r="AM1703">
        <v>83.110719858943199</v>
      </c>
      <c r="AN1703">
        <v>0.99999997542700902</v>
      </c>
    </row>
    <row r="1704" spans="1:40" x14ac:dyDescent="0.25">
      <c r="A1704" t="str">
        <f>"20190303170252876"</f>
        <v>20190303170252876</v>
      </c>
      <c r="B1704" t="str">
        <f>"1551603772867385"</f>
        <v>1551603772867385</v>
      </c>
      <c r="C1704" t="s">
        <v>40</v>
      </c>
      <c r="D1704">
        <v>4.8345269999999996</v>
      </c>
      <c r="E1704">
        <v>0.48976900000000001</v>
      </c>
      <c r="F1704" t="s">
        <v>57</v>
      </c>
      <c r="G1704">
        <v>-189.58019999999999</v>
      </c>
      <c r="H1704" s="1">
        <v>2.0588539999999999E-6</v>
      </c>
      <c r="I1704">
        <v>293.69740000000002</v>
      </c>
      <c r="J1704">
        <v>-191.233</v>
      </c>
      <c r="K1704">
        <v>1.1170279999999999</v>
      </c>
      <c r="L1704">
        <v>340.36130000000003</v>
      </c>
      <c r="M1704">
        <v>0.1124227</v>
      </c>
      <c r="N1704">
        <v>-3.4962790000000001E-3</v>
      </c>
      <c r="O1704">
        <v>-0.99365460000000005</v>
      </c>
      <c r="P1704">
        <v>-6.0452129999999998E-3</v>
      </c>
      <c r="Q1704">
        <v>0.14326810000000001</v>
      </c>
      <c r="R1704">
        <v>-0.98966600000000005</v>
      </c>
      <c r="S1704">
        <v>0.10899349999999999</v>
      </c>
      <c r="T1704">
        <v>-7.2397230000000007E-2</v>
      </c>
      <c r="U1704">
        <v>-3.0428769999999998</v>
      </c>
      <c r="V1704">
        <v>0.118384</v>
      </c>
      <c r="W1704">
        <v>0.1458043</v>
      </c>
      <c r="X1704">
        <v>0.98220490000000005</v>
      </c>
      <c r="Y1704">
        <v>7.6785480000000003E-2</v>
      </c>
      <c r="Z1704">
        <v>2.0028589999999999E-2</v>
      </c>
      <c r="AA1704">
        <v>0.99684640000000002</v>
      </c>
      <c r="AB1704">
        <v>27</v>
      </c>
      <c r="AC1704">
        <v>1.65280000000001</v>
      </c>
      <c r="AD1704">
        <v>-1.117025941146</v>
      </c>
      <c r="AE1704">
        <v>-46.663899999999998</v>
      </c>
      <c r="AF1704">
        <v>3.6017290885980899</v>
      </c>
      <c r="AG1704">
        <v>-1.117025941146</v>
      </c>
      <c r="AH1704">
        <v>46.527255510297898</v>
      </c>
      <c r="AI1704">
        <v>91.371191663847199</v>
      </c>
      <c r="AJ1704">
        <v>85.573494757032407</v>
      </c>
      <c r="AK1704">
        <v>46.679821172551598</v>
      </c>
      <c r="AL1704">
        <v>81.6161433658215</v>
      </c>
      <c r="AM1704">
        <v>83.127359280273694</v>
      </c>
      <c r="AN1704">
        <v>1.00000006546924</v>
      </c>
    </row>
    <row r="1705" spans="1:40" x14ac:dyDescent="0.25">
      <c r="A1705" t="str">
        <f>"20190303170252898"</f>
        <v>20190303170252898</v>
      </c>
      <c r="B1705" t="str">
        <f>"1551603772886905"</f>
        <v>1551603772886905</v>
      </c>
      <c r="C1705" t="s">
        <v>40</v>
      </c>
      <c r="D1705">
        <v>4.7749389999999998</v>
      </c>
      <c r="E1705">
        <v>0.48968460000000003</v>
      </c>
      <c r="F1705" t="s">
        <v>57</v>
      </c>
      <c r="G1705">
        <v>-189.78980000000001</v>
      </c>
      <c r="H1705" s="1">
        <v>1.1986160000000001E-6</v>
      </c>
      <c r="I1705">
        <v>296.22559999999999</v>
      </c>
      <c r="J1705">
        <v>-191.20519999999999</v>
      </c>
      <c r="K1705">
        <v>1.117081</v>
      </c>
      <c r="L1705">
        <v>340.07569999999998</v>
      </c>
      <c r="M1705">
        <v>0.1081454</v>
      </c>
      <c r="N1705">
        <v>-3.4737230000000002E-3</v>
      </c>
      <c r="O1705">
        <v>-0.99412920000000005</v>
      </c>
      <c r="P1705">
        <v>-8.707467E-3</v>
      </c>
      <c r="Q1705">
        <v>0.14110039999999999</v>
      </c>
      <c r="R1705">
        <v>-0.98995730000000004</v>
      </c>
      <c r="S1705">
        <v>9.9502560000000004E-2</v>
      </c>
      <c r="T1705">
        <v>-7.7016470000000004E-2</v>
      </c>
      <c r="U1705">
        <v>-3.0430600000000001</v>
      </c>
      <c r="V1705">
        <v>0.1167928</v>
      </c>
      <c r="W1705">
        <v>0.14364669999999999</v>
      </c>
      <c r="X1705">
        <v>0.98271310000000001</v>
      </c>
      <c r="Y1705">
        <v>7.5603000000000004E-2</v>
      </c>
      <c r="Z1705">
        <v>2.1568859999999999E-2</v>
      </c>
      <c r="AA1705">
        <v>0.99690469999999998</v>
      </c>
      <c r="AB1705">
        <v>28</v>
      </c>
      <c r="AC1705">
        <v>1.41539999999997</v>
      </c>
      <c r="AD1705">
        <v>-1.117079801384</v>
      </c>
      <c r="AE1705">
        <v>-43.850099999999998</v>
      </c>
      <c r="AF1705">
        <v>3.3329549061658401</v>
      </c>
      <c r="AG1705">
        <v>-1.117079801384</v>
      </c>
      <c r="AH1705">
        <v>43.717647798951901</v>
      </c>
      <c r="AI1705">
        <v>91.459478276658999</v>
      </c>
      <c r="AJ1705">
        <v>85.640306243455697</v>
      </c>
      <c r="AK1705">
        <v>43.858741258298799</v>
      </c>
      <c r="AL1705">
        <v>81.741079439608399</v>
      </c>
      <c r="AM1705">
        <v>83.222342658594101</v>
      </c>
      <c r="AN1705">
        <v>0.999999984732169</v>
      </c>
    </row>
    <row r="1706" spans="1:40" x14ac:dyDescent="0.25">
      <c r="A1706" t="str">
        <f>"20190303170252921"</f>
        <v>20190303170252921</v>
      </c>
      <c r="B1706" t="str">
        <f>"1551603772907400"</f>
        <v>1551603772907400</v>
      </c>
      <c r="C1706" t="s">
        <v>40</v>
      </c>
      <c r="D1706">
        <v>4.7187510000000001</v>
      </c>
      <c r="E1706">
        <v>0.489458</v>
      </c>
      <c r="F1706" t="s">
        <v>57</v>
      </c>
      <c r="G1706">
        <v>-189.97460000000001</v>
      </c>
      <c r="H1706" s="1">
        <v>1.7035699999999999E-7</v>
      </c>
      <c r="I1706">
        <v>299.1302</v>
      </c>
      <c r="J1706">
        <v>-191.17920000000001</v>
      </c>
      <c r="K1706">
        <v>1.117137</v>
      </c>
      <c r="L1706">
        <v>339.7971</v>
      </c>
      <c r="M1706">
        <v>0.1041005</v>
      </c>
      <c r="N1706">
        <v>-3.4562809999999998E-3</v>
      </c>
      <c r="O1706">
        <v>-0.99456069999999996</v>
      </c>
      <c r="P1706">
        <v>-1.02024E-2</v>
      </c>
      <c r="Q1706">
        <v>0.14067539999999901</v>
      </c>
      <c r="R1706">
        <v>-0.99000299999999997</v>
      </c>
      <c r="S1706">
        <v>9.1461180000000003E-2</v>
      </c>
      <c r="T1706">
        <v>-8.3020449999999996E-2</v>
      </c>
      <c r="U1706">
        <v>-3.0430299999999999</v>
      </c>
      <c r="V1706">
        <v>0.1142587</v>
      </c>
      <c r="W1706">
        <v>0.1432418</v>
      </c>
      <c r="X1706">
        <v>0.98307009999999995</v>
      </c>
      <c r="Y1706">
        <v>7.4179389999999998E-2</v>
      </c>
      <c r="Z1706">
        <v>2.3556500000000001E-2</v>
      </c>
      <c r="AA1706">
        <v>0.99696669999999998</v>
      </c>
      <c r="AB1706">
        <v>28</v>
      </c>
      <c r="AC1706">
        <v>1.2045999999999899</v>
      </c>
      <c r="AD1706">
        <v>-1.117136829643</v>
      </c>
      <c r="AE1706">
        <v>-40.666899999999998</v>
      </c>
      <c r="AF1706">
        <v>3.03312830357754</v>
      </c>
      <c r="AG1706">
        <v>-1.117136829643</v>
      </c>
      <c r="AH1706">
        <v>40.540779223641998</v>
      </c>
      <c r="AI1706">
        <v>91.574039159099897</v>
      </c>
      <c r="AJ1706">
        <v>85.7212889984946</v>
      </c>
      <c r="AK1706">
        <v>40.669431297501497</v>
      </c>
      <c r="AL1706">
        <v>81.764521404059494</v>
      </c>
      <c r="AM1706">
        <v>83.370462823578194</v>
      </c>
      <c r="AN1706">
        <v>1.0000000426534601</v>
      </c>
    </row>
    <row r="1707" spans="1:40" x14ac:dyDescent="0.25">
      <c r="A1707" t="str">
        <f>"20190303170252942"</f>
        <v>20190303170252942</v>
      </c>
      <c r="B1707" t="str">
        <f>"1551603772926921"</f>
        <v>1551603772926921</v>
      </c>
      <c r="C1707" t="s">
        <v>40</v>
      </c>
      <c r="D1707">
        <v>4.7719909999999999</v>
      </c>
      <c r="E1707">
        <v>0.48936829999999998</v>
      </c>
      <c r="F1707" t="s">
        <v>57</v>
      </c>
      <c r="G1707">
        <v>-189.9984</v>
      </c>
      <c r="H1707" s="1">
        <v>2.289844E-7</v>
      </c>
      <c r="I1707">
        <v>298.95839999999998</v>
      </c>
      <c r="J1707">
        <v>-191.15479999999999</v>
      </c>
      <c r="K1707">
        <v>1.117189</v>
      </c>
      <c r="L1707">
        <v>339.52730000000003</v>
      </c>
      <c r="M1707">
        <v>0.100314899999999</v>
      </c>
      <c r="N1707">
        <v>-3.4421999999999999E-3</v>
      </c>
      <c r="O1707">
        <v>-0.9949498</v>
      </c>
      <c r="P1707">
        <v>-1.1609029999999999E-2</v>
      </c>
      <c r="Q1707">
        <v>0.14124790000000001</v>
      </c>
      <c r="R1707">
        <v>-0.98990670000000003</v>
      </c>
      <c r="S1707">
        <v>8.7982179999999993E-2</v>
      </c>
      <c r="T1707">
        <v>-8.3242419999999998E-2</v>
      </c>
      <c r="U1707">
        <v>-3.0430600000000001</v>
      </c>
      <c r="V1707">
        <v>0.11188670000000001</v>
      </c>
      <c r="W1707">
        <v>0.1438354</v>
      </c>
      <c r="X1707">
        <v>0.98325620000000002</v>
      </c>
      <c r="Y1707">
        <v>7.1523379999999998E-2</v>
      </c>
      <c r="Z1707">
        <v>2.3661089999999999E-2</v>
      </c>
      <c r="AA1707">
        <v>0.99715819999999999</v>
      </c>
      <c r="AB1707">
        <v>28</v>
      </c>
      <c r="AC1707">
        <v>1.1563999999999901</v>
      </c>
      <c r="AD1707">
        <v>-1.1171887710156001</v>
      </c>
      <c r="AE1707">
        <v>-40.568899999999999</v>
      </c>
      <c r="AF1707">
        <v>2.91691221548114</v>
      </c>
      <c r="AG1707">
        <v>-1.1171887710156001</v>
      </c>
      <c r="AH1707">
        <v>40.449612410041503</v>
      </c>
      <c r="AI1707">
        <v>91.577969952729603</v>
      </c>
      <c r="AJ1707">
        <v>85.875412553950497</v>
      </c>
      <c r="AK1707">
        <v>40.570033667049003</v>
      </c>
      <c r="AL1707">
        <v>81.7301544436</v>
      </c>
      <c r="AM1707">
        <v>83.508122233835195</v>
      </c>
      <c r="AN1707">
        <v>1.0000000053842399</v>
      </c>
    </row>
    <row r="1708" spans="1:40" x14ac:dyDescent="0.25">
      <c r="A1708" t="str">
        <f>"20190303170252964"</f>
        <v>20190303170252964</v>
      </c>
      <c r="B1708" t="str">
        <f>"1551603772957177"</f>
        <v>1551603772957177</v>
      </c>
      <c r="C1708" t="s">
        <v>40</v>
      </c>
      <c r="D1708">
        <v>4.7732109999999999</v>
      </c>
      <c r="E1708">
        <v>0.48925020000000002</v>
      </c>
      <c r="F1708" t="s">
        <v>57</v>
      </c>
      <c r="G1708">
        <v>-189.97630000000001</v>
      </c>
      <c r="H1708" s="1">
        <v>9.2427439999999998E-7</v>
      </c>
      <c r="I1708">
        <v>296.99700000000001</v>
      </c>
      <c r="J1708">
        <v>-191.12989999999999</v>
      </c>
      <c r="K1708">
        <v>1.1172519999999999</v>
      </c>
      <c r="L1708">
        <v>339.2405</v>
      </c>
      <c r="M1708">
        <v>9.6448000000000006E-2</v>
      </c>
      <c r="N1708">
        <v>-3.4246810000000002E-3</v>
      </c>
      <c r="O1708">
        <v>-0.99533210000000005</v>
      </c>
      <c r="P1708">
        <v>-1.45776E-2</v>
      </c>
      <c r="Q1708">
        <v>0.14201949999999999</v>
      </c>
      <c r="R1708">
        <v>-0.98975659999999999</v>
      </c>
      <c r="S1708">
        <v>8.4320069999999997E-2</v>
      </c>
      <c r="T1708">
        <v>-7.9934480000000002E-2</v>
      </c>
      <c r="U1708">
        <v>-3.0430299999999999</v>
      </c>
      <c r="V1708">
        <v>0.110983</v>
      </c>
      <c r="W1708">
        <v>0.144616299999999</v>
      </c>
      <c r="X1708">
        <v>0.98324409999999896</v>
      </c>
      <c r="Y1708">
        <v>6.8845669999999998E-2</v>
      </c>
      <c r="Z1708">
        <v>2.262026E-2</v>
      </c>
      <c r="AA1708">
        <v>0.9973708</v>
      </c>
      <c r="AB1708">
        <v>28</v>
      </c>
      <c r="AC1708">
        <v>1.15359999999998</v>
      </c>
      <c r="AD1708">
        <v>-1.1172510757256</v>
      </c>
      <c r="AE1708">
        <v>-42.243499999999898</v>
      </c>
      <c r="AF1708">
        <v>2.92405940534079</v>
      </c>
      <c r="AG1708">
        <v>-1.1172510757256</v>
      </c>
      <c r="AH1708">
        <v>42.128376148376702</v>
      </c>
      <c r="AI1708">
        <v>91.515492528203296</v>
      </c>
      <c r="AJ1708">
        <v>86.029564460412502</v>
      </c>
      <c r="AK1708">
        <v>42.244507930277599</v>
      </c>
      <c r="AL1708">
        <v>81.684939645344002</v>
      </c>
      <c r="AM1708">
        <v>83.560035769103393</v>
      </c>
      <c r="AN1708">
        <v>1.0000000303497401</v>
      </c>
    </row>
    <row r="1709" spans="1:40" x14ac:dyDescent="0.25">
      <c r="A1709" t="str">
        <f>"20190303170252988"</f>
        <v>20190303170252988</v>
      </c>
      <c r="B1709" t="str">
        <f>"1551603772977673"</f>
        <v>1551603772977673</v>
      </c>
      <c r="C1709" t="s">
        <v>40</v>
      </c>
      <c r="D1709">
        <v>4.7744900000000001</v>
      </c>
      <c r="E1709">
        <v>0.48911739999999998</v>
      </c>
      <c r="F1709" t="s">
        <v>57</v>
      </c>
      <c r="G1709">
        <v>-190.00229999999999</v>
      </c>
      <c r="H1709" s="1">
        <v>1.9286399999999999E-6</v>
      </c>
      <c r="I1709">
        <v>294.13810000000001</v>
      </c>
      <c r="J1709">
        <v>-191.1052</v>
      </c>
      <c r="K1709">
        <v>1.1173360000000001</v>
      </c>
      <c r="L1709">
        <v>338.94439999999997</v>
      </c>
      <c r="M1709">
        <v>9.2639410000000005E-2</v>
      </c>
      <c r="N1709">
        <v>-3.3974040000000001E-3</v>
      </c>
      <c r="O1709">
        <v>-0.99569399999999997</v>
      </c>
      <c r="P1709">
        <v>-1.766241E-2</v>
      </c>
      <c r="Q1709">
        <v>0.14281849999999999</v>
      </c>
      <c r="R1709">
        <v>-0.98959140000000001</v>
      </c>
      <c r="S1709">
        <v>7.6080320000000007E-2</v>
      </c>
      <c r="T1709">
        <v>-7.5379370000000001E-2</v>
      </c>
      <c r="U1709">
        <v>-3.042999</v>
      </c>
      <c r="V1709">
        <v>0.1102485</v>
      </c>
      <c r="W1709">
        <v>0.14541750000000001</v>
      </c>
      <c r="X1709">
        <v>0.98320850000000004</v>
      </c>
      <c r="Y1709">
        <v>6.7726889999999998E-2</v>
      </c>
      <c r="Z1709">
        <v>2.1179320000000001E-2</v>
      </c>
      <c r="AA1709">
        <v>0.99747909999999995</v>
      </c>
      <c r="AB1709">
        <v>28</v>
      </c>
      <c r="AC1709">
        <v>1.1029</v>
      </c>
      <c r="AD1709">
        <v>-1.11733407136</v>
      </c>
      <c r="AE1709">
        <v>-44.806299999999901</v>
      </c>
      <c r="AF1709">
        <v>3.0507996801900399</v>
      </c>
      <c r="AG1709">
        <v>-1.11733407136</v>
      </c>
      <c r="AH1709">
        <v>44.688018352246402</v>
      </c>
      <c r="AI1709">
        <v>91.428942749207906</v>
      </c>
      <c r="AJ1709">
        <v>86.094542730458798</v>
      </c>
      <c r="AK1709">
        <v>44.805968334211698</v>
      </c>
      <c r="AL1709">
        <v>81.638543297894103</v>
      </c>
      <c r="AM1709">
        <v>83.602072021772599</v>
      </c>
      <c r="AN1709">
        <v>0.99999996776537403</v>
      </c>
    </row>
    <row r="1710" spans="1:40" x14ac:dyDescent="0.25">
      <c r="A1710" t="str">
        <f>"20190303170253010"</f>
        <v>20190303170253010</v>
      </c>
      <c r="B1710" t="str">
        <f>"1551603772997193"</f>
        <v>1551603772997193</v>
      </c>
      <c r="C1710" t="s">
        <v>40</v>
      </c>
      <c r="D1710">
        <v>4.7180819999999999</v>
      </c>
      <c r="E1710">
        <v>0.48897160000000001</v>
      </c>
      <c r="F1710" t="s">
        <v>57</v>
      </c>
      <c r="G1710">
        <v>-190.06360000000001</v>
      </c>
      <c r="H1710" s="1">
        <v>2.5965890000000002E-6</v>
      </c>
      <c r="I1710">
        <v>292.21780000000001</v>
      </c>
      <c r="J1710">
        <v>-191.08279999999999</v>
      </c>
      <c r="K1710">
        <v>1.1174409999999999</v>
      </c>
      <c r="L1710">
        <v>338.66609999999997</v>
      </c>
      <c r="M1710">
        <v>8.9249190000000006E-2</v>
      </c>
      <c r="N1710">
        <v>-3.3602250000000001E-3</v>
      </c>
      <c r="O1710">
        <v>-0.99600370000000005</v>
      </c>
      <c r="P1710">
        <v>-2.0292540000000001E-2</v>
      </c>
      <c r="Q1710">
        <v>0.1434532</v>
      </c>
      <c r="R1710">
        <v>-0.98944900000000002</v>
      </c>
      <c r="S1710">
        <v>6.7840579999999998E-2</v>
      </c>
      <c r="T1710">
        <v>-7.2771189999999999E-2</v>
      </c>
      <c r="U1710">
        <v>-3.0432739999999998</v>
      </c>
      <c r="V1710">
        <v>0.1094736</v>
      </c>
      <c r="W1710">
        <v>0.1460477</v>
      </c>
      <c r="X1710">
        <v>0.98320169999999996</v>
      </c>
      <c r="Y1710">
        <v>6.7031560000000004E-2</v>
      </c>
      <c r="Z1710">
        <v>2.0376390000000001E-2</v>
      </c>
      <c r="AA1710">
        <v>0.9975427</v>
      </c>
      <c r="AB1710">
        <v>28</v>
      </c>
      <c r="AC1710">
        <v>1.0191999999999799</v>
      </c>
      <c r="AD1710">
        <v>-1.1174384034110001</v>
      </c>
      <c r="AE1710">
        <v>-46.448299999999897</v>
      </c>
      <c r="AF1710">
        <v>3.1285538811015599</v>
      </c>
      <c r="AG1710">
        <v>-1.1174384034110001</v>
      </c>
      <c r="AH1710">
        <v>46.327101359160203</v>
      </c>
      <c r="AI1710">
        <v>91.378602993259705</v>
      </c>
      <c r="AJ1710">
        <v>86.136577205566297</v>
      </c>
      <c r="AK1710">
        <v>46.446063754792803</v>
      </c>
      <c r="AL1710">
        <v>81.602046048947699</v>
      </c>
      <c r="AM1710">
        <v>83.646628347516597</v>
      </c>
      <c r="AN1710">
        <v>0.999999991327569</v>
      </c>
    </row>
    <row r="1711" spans="1:40" x14ac:dyDescent="0.25">
      <c r="A1711" t="str">
        <f>"20190303170253032"</f>
        <v>20190303170253032</v>
      </c>
      <c r="B1711" t="str">
        <f>"1551603773017688"</f>
        <v>1551603773017688</v>
      </c>
      <c r="C1711" t="s">
        <v>40</v>
      </c>
      <c r="D1711">
        <v>4.7702119999999999</v>
      </c>
      <c r="E1711">
        <v>0.48890719999999999</v>
      </c>
      <c r="F1711" t="s">
        <v>57</v>
      </c>
      <c r="G1711">
        <v>-190.12450000000001</v>
      </c>
      <c r="H1711" s="1">
        <v>3.2148550000000002E-6</v>
      </c>
      <c r="I1711">
        <v>290.43819999999999</v>
      </c>
      <c r="J1711">
        <v>-191.06120000000001</v>
      </c>
      <c r="K1711">
        <v>1.1175550000000001</v>
      </c>
      <c r="L1711">
        <v>338.3895</v>
      </c>
      <c r="M1711">
        <v>8.6082399999999906E-2</v>
      </c>
      <c r="N1711">
        <v>-3.3139659999999998E-3</v>
      </c>
      <c r="O1711">
        <v>-0.99628260000000002</v>
      </c>
      <c r="P1711">
        <v>-2.2849729999999999E-2</v>
      </c>
      <c r="Q1711">
        <v>0.1439037</v>
      </c>
      <c r="R1711">
        <v>-0.98932799999999999</v>
      </c>
      <c r="S1711">
        <v>6.0470580000000003E-2</v>
      </c>
      <c r="T1711">
        <v>-7.0516819999999994E-2</v>
      </c>
      <c r="U1711">
        <v>-3.0434570000000001</v>
      </c>
      <c r="V1711">
        <v>0.1088426</v>
      </c>
      <c r="W1711">
        <v>0.1464887</v>
      </c>
      <c r="X1711">
        <v>0.98320620000000003</v>
      </c>
      <c r="Y1711">
        <v>6.6275429999999996E-2</v>
      </c>
      <c r="Z1711">
        <v>1.9696729999999999E-2</v>
      </c>
      <c r="AA1711">
        <v>0.99760689999999996</v>
      </c>
      <c r="AB1711">
        <v>28</v>
      </c>
      <c r="AC1711">
        <v>0.93670000000000198</v>
      </c>
      <c r="AD1711">
        <v>-1.1175517851450001</v>
      </c>
      <c r="AE1711">
        <v>-47.951300000000003</v>
      </c>
      <c r="AF1711">
        <v>3.19282874619392</v>
      </c>
      <c r="AG1711">
        <v>-1.1175517851450001</v>
      </c>
      <c r="AH1711">
        <v>47.827968931050698</v>
      </c>
      <c r="AI1711">
        <v>91.3355622336029</v>
      </c>
      <c r="AJ1711">
        <v>86.180799781073404</v>
      </c>
      <c r="AK1711">
        <v>47.947447163165599</v>
      </c>
      <c r="AL1711">
        <v>81.576504326896995</v>
      </c>
      <c r="AM1711">
        <v>83.682980628223902</v>
      </c>
      <c r="AN1711">
        <v>1.00000004126044</v>
      </c>
    </row>
    <row r="1712" spans="1:40" x14ac:dyDescent="0.25">
      <c r="A1712" t="str">
        <f>"20190303170253053"</f>
        <v>20190303170253053</v>
      </c>
      <c r="B1712" t="str">
        <f>"1551603773046968"</f>
        <v>1551603773046968</v>
      </c>
      <c r="C1712" t="s">
        <v>40</v>
      </c>
      <c r="D1712">
        <v>4.6047840000000004</v>
      </c>
      <c r="E1712">
        <v>0.51121660000000002</v>
      </c>
      <c r="F1712" t="s">
        <v>57</v>
      </c>
      <c r="G1712">
        <v>-190.2089</v>
      </c>
      <c r="H1712" s="1">
        <v>3.5483360000000001E-6</v>
      </c>
      <c r="I1712">
        <v>288.95400000000001</v>
      </c>
      <c r="J1712">
        <v>-191.0393</v>
      </c>
      <c r="K1712">
        <v>1.117688</v>
      </c>
      <c r="L1712">
        <v>338.09879999999998</v>
      </c>
      <c r="M1712">
        <v>8.298751E-2</v>
      </c>
      <c r="N1712">
        <v>-3.2577740000000002E-3</v>
      </c>
      <c r="O1712">
        <v>-0.99654529999999997</v>
      </c>
      <c r="P1712">
        <v>-2.5726820000000001E-2</v>
      </c>
      <c r="Q1712">
        <v>0.14397660000000001</v>
      </c>
      <c r="R1712">
        <v>-0.98924670000000003</v>
      </c>
      <c r="S1712">
        <v>5.2474979999999997E-2</v>
      </c>
      <c r="T1712">
        <v>-6.8804030000000002E-2</v>
      </c>
      <c r="U1712">
        <v>-3.0435789999999998</v>
      </c>
      <c r="V1712">
        <v>0.1085952</v>
      </c>
      <c r="W1712">
        <v>0.14654629999999999</v>
      </c>
      <c r="X1712">
        <v>0.98322489999999996</v>
      </c>
      <c r="Y1712">
        <v>6.5796820000000006E-2</v>
      </c>
      <c r="Z1712">
        <v>1.9202730000000001E-2</v>
      </c>
      <c r="AA1712">
        <v>0.99764819999999999</v>
      </c>
      <c r="AB1712">
        <v>29</v>
      </c>
      <c r="AC1712">
        <v>0.83039999999999703</v>
      </c>
      <c r="AD1712">
        <v>-1.1176844516640001</v>
      </c>
      <c r="AE1712">
        <v>-49.144799999999897</v>
      </c>
      <c r="AF1712">
        <v>3.24921038596047</v>
      </c>
      <c r="AG1712">
        <v>-1.1176844516640001</v>
      </c>
      <c r="AH1712">
        <v>49.018843953221896</v>
      </c>
      <c r="AI1712">
        <v>91.303322440828893</v>
      </c>
      <c r="AJ1712">
        <v>86.207701133723504</v>
      </c>
      <c r="AK1712">
        <v>49.139125441709297</v>
      </c>
      <c r="AL1712">
        <v>81.573167478635995</v>
      </c>
      <c r="AM1712">
        <v>83.697342481031896</v>
      </c>
      <c r="AN1712">
        <v>0.99999996974336902</v>
      </c>
    </row>
    <row r="1713" spans="1:40" x14ac:dyDescent="0.25">
      <c r="A1713" t="str">
        <f>"20190303170253076"</f>
        <v>20190303170253076</v>
      </c>
      <c r="B1713" t="str">
        <f>"1551603773067464"</f>
        <v>1551603773067464</v>
      </c>
      <c r="C1713" t="s">
        <v>40</v>
      </c>
      <c r="D1713">
        <v>4.6107559999999896</v>
      </c>
      <c r="E1713">
        <v>0.51645490000000005</v>
      </c>
      <c r="F1713" t="s">
        <v>42</v>
      </c>
      <c r="G1713">
        <v>-191.63460000000001</v>
      </c>
      <c r="H1713" s="1">
        <v>-2.0955169999999999E-6</v>
      </c>
      <c r="I1713">
        <v>323.45999999999998</v>
      </c>
      <c r="J1713">
        <v>-191.01820000000001</v>
      </c>
      <c r="K1713">
        <v>1.117829</v>
      </c>
      <c r="L1713">
        <v>337.81099999999998</v>
      </c>
      <c r="M1713">
        <v>8.0184270000000002E-2</v>
      </c>
      <c r="N1713">
        <v>-3.195659E-3</v>
      </c>
      <c r="O1713">
        <v>-0.99677499999999997</v>
      </c>
      <c r="P1713">
        <v>-2.8926839999999999E-2</v>
      </c>
      <c r="Q1713">
        <v>0.1452938</v>
      </c>
      <c r="R1713">
        <v>-0.98896569999999995</v>
      </c>
      <c r="S1713">
        <v>-0.124588</v>
      </c>
      <c r="T1713">
        <v>-0.23389699999999999</v>
      </c>
      <c r="U1713">
        <v>-3.0634459999999999</v>
      </c>
      <c r="V1713">
        <v>0.10894529999999999</v>
      </c>
      <c r="W1713">
        <v>0.147841</v>
      </c>
      <c r="X1713">
        <v>0.98299239999999999</v>
      </c>
      <c r="Y1713">
        <v>0.1205005</v>
      </c>
      <c r="Z1713">
        <v>7.2261300000000001E-2</v>
      </c>
      <c r="AA1713">
        <v>0.99007979999999995</v>
      </c>
      <c r="AB1713">
        <v>29</v>
      </c>
      <c r="AC1713">
        <v>-0.61639999999999795</v>
      </c>
      <c r="AD1713">
        <v>-1.1178310955169899</v>
      </c>
      <c r="AE1713">
        <v>-14.351000000000001</v>
      </c>
      <c r="AF1713">
        <v>1.7545200518650701</v>
      </c>
      <c r="AG1713">
        <v>-1.1178310955169899</v>
      </c>
      <c r="AH1713">
        <v>14.1695531526574</v>
      </c>
      <c r="AI1713">
        <v>94.476654560369099</v>
      </c>
      <c r="AJ1713">
        <v>82.941379052949799</v>
      </c>
      <c r="AK1713">
        <v>14.321456752596299</v>
      </c>
      <c r="AL1713">
        <v>81.498170405833406</v>
      </c>
      <c r="AM1713">
        <v>83.675704276477703</v>
      </c>
      <c r="AN1713">
        <v>1.0000000490654199</v>
      </c>
    </row>
    <row r="1714" spans="1:40" x14ac:dyDescent="0.25">
      <c r="A1714" t="str">
        <f>"20190303170253099"</f>
        <v>20190303170253099</v>
      </c>
      <c r="B1714" t="str">
        <f>"1551603773086985"</f>
        <v>1551603773086985</v>
      </c>
      <c r="C1714" t="s">
        <v>40</v>
      </c>
      <c r="D1714">
        <v>4.619415</v>
      </c>
      <c r="E1714">
        <v>0.51862280000000005</v>
      </c>
      <c r="F1714" t="s">
        <v>43</v>
      </c>
      <c r="G1714">
        <v>-191.07069999999999</v>
      </c>
      <c r="H1714">
        <v>1.0061230000000001</v>
      </c>
      <c r="I1714">
        <v>336.84679999999997</v>
      </c>
      <c r="J1714">
        <v>-190.99639999999999</v>
      </c>
      <c r="K1714">
        <v>1.117988</v>
      </c>
      <c r="L1714">
        <v>337.50580000000002</v>
      </c>
      <c r="M1714">
        <v>7.7500100000000002E-2</v>
      </c>
      <c r="N1714">
        <v>-3.1250359999999999E-3</v>
      </c>
      <c r="O1714">
        <v>-0.99698759999999997</v>
      </c>
      <c r="P1714">
        <v>-3.122248E-2</v>
      </c>
      <c r="Q1714">
        <v>0.14638319999999999</v>
      </c>
      <c r="R1714">
        <v>-0.98873529999999998</v>
      </c>
      <c r="S1714">
        <v>-0.16712949999999999</v>
      </c>
      <c r="T1714">
        <v>-0.35704409999999998</v>
      </c>
      <c r="U1714">
        <v>-3.080994</v>
      </c>
      <c r="V1714">
        <v>0.10851040000000001</v>
      </c>
      <c r="W1714">
        <v>0.1489086</v>
      </c>
      <c r="X1714">
        <v>0.98287930000000001</v>
      </c>
      <c r="Y1714">
        <v>0.1310278</v>
      </c>
      <c r="Z1714">
        <v>0.11090609999999999</v>
      </c>
      <c r="AA1714">
        <v>0.98515560000000002</v>
      </c>
      <c r="AB1714">
        <v>29</v>
      </c>
      <c r="AC1714">
        <v>-7.4299999999993802E-2</v>
      </c>
      <c r="AD1714">
        <v>-0.11186500000000001</v>
      </c>
      <c r="AE1714">
        <v>-0.65900000000004799</v>
      </c>
      <c r="AF1714">
        <v>0.12168694834541501</v>
      </c>
      <c r="AG1714">
        <v>-0.11186500000000001</v>
      </c>
      <c r="AH1714">
        <v>0.63324186732522203</v>
      </c>
      <c r="AI1714">
        <v>99.841744625830401</v>
      </c>
      <c r="AJ1714">
        <v>79.122355075681696</v>
      </c>
      <c r="AK1714">
        <v>0.65445913100525499</v>
      </c>
      <c r="AL1714">
        <v>81.436316347454095</v>
      </c>
      <c r="AM1714">
        <v>83.700027928533601</v>
      </c>
      <c r="AN1714">
        <v>0.99999999821530405</v>
      </c>
    </row>
    <row r="1715" spans="1:40" x14ac:dyDescent="0.25">
      <c r="A1715" t="str">
        <f>"20190303170253122"</f>
        <v>20190303170253122</v>
      </c>
      <c r="B1715" t="str">
        <f>"1551603773107481"</f>
        <v>1551603773107481</v>
      </c>
      <c r="C1715" t="s">
        <v>40</v>
      </c>
      <c r="D1715">
        <v>4.6400040000000002</v>
      </c>
      <c r="E1715">
        <v>0.51989560000000001</v>
      </c>
      <c r="F1715" t="s">
        <v>43</v>
      </c>
      <c r="G1715">
        <v>-191.05189999999999</v>
      </c>
      <c r="H1715">
        <v>0.99142790000000003</v>
      </c>
      <c r="I1715">
        <v>336.5915</v>
      </c>
      <c r="J1715">
        <v>-190.97630000000001</v>
      </c>
      <c r="K1715">
        <v>1.118125</v>
      </c>
      <c r="L1715">
        <v>337.21589999999998</v>
      </c>
      <c r="M1715">
        <v>7.5168209999999999E-2</v>
      </c>
      <c r="N1715">
        <v>-3.0588690000000001E-3</v>
      </c>
      <c r="O1715">
        <v>-0.99716629999999995</v>
      </c>
      <c r="P1715">
        <v>-3.1318440000000003E-2</v>
      </c>
      <c r="Q1715">
        <v>0.14566809999999999</v>
      </c>
      <c r="R1715">
        <v>-0.98883779999999999</v>
      </c>
      <c r="S1715">
        <v>-0.18746950000000001</v>
      </c>
      <c r="T1715">
        <v>-0.42803780000000002</v>
      </c>
      <c r="U1715">
        <v>-3.091675</v>
      </c>
      <c r="V1715">
        <v>0.10625610000000001</v>
      </c>
      <c r="W1715">
        <v>0.14817910000000001</v>
      </c>
      <c r="X1715">
        <v>0.98323579999999999</v>
      </c>
      <c r="Y1715">
        <v>0.1348154</v>
      </c>
      <c r="Z1715">
        <v>0.13277249999999999</v>
      </c>
      <c r="AA1715">
        <v>0.981935</v>
      </c>
      <c r="AB1715">
        <v>29</v>
      </c>
      <c r="AC1715">
        <v>-7.55999999999801E-2</v>
      </c>
      <c r="AD1715">
        <v>-0.12669710000000001</v>
      </c>
      <c r="AE1715">
        <v>-0.62439999999997997</v>
      </c>
      <c r="AF1715">
        <v>0.11755139640734701</v>
      </c>
      <c r="AG1715">
        <v>-0.12669710000000001</v>
      </c>
      <c r="AH1715">
        <v>0.592892525927319</v>
      </c>
      <c r="AI1715">
        <v>101.838538454413</v>
      </c>
      <c r="AJ1715">
        <v>78.785539096070295</v>
      </c>
      <c r="AK1715">
        <v>0.61756945621217696</v>
      </c>
      <c r="AL1715">
        <v>81.478582727551299</v>
      </c>
      <c r="AM1715">
        <v>83.832109435056196</v>
      </c>
      <c r="AN1715">
        <v>1.00000002143282</v>
      </c>
    </row>
    <row r="1716" spans="1:40" x14ac:dyDescent="0.25">
      <c r="A1716" t="str">
        <f>"20190303170253144"</f>
        <v>20190303170253144</v>
      </c>
      <c r="B1716" t="str">
        <f>"1551603773137737"</f>
        <v>1551603773137737</v>
      </c>
      <c r="C1716" t="s">
        <v>40</v>
      </c>
      <c r="D1716">
        <v>4.6217969999999999</v>
      </c>
      <c r="E1716">
        <v>0.52015500000000003</v>
      </c>
      <c r="F1716" t="s">
        <v>43</v>
      </c>
      <c r="G1716">
        <v>-191.03309999999999</v>
      </c>
      <c r="H1716">
        <v>0.98330209999999996</v>
      </c>
      <c r="I1716">
        <v>336.33170000000001</v>
      </c>
      <c r="J1716">
        <v>-190.9554</v>
      </c>
      <c r="K1716">
        <v>1.1182589999999999</v>
      </c>
      <c r="L1716">
        <v>336.9092</v>
      </c>
      <c r="M1716">
        <v>7.2937970000000005E-2</v>
      </c>
      <c r="N1716">
        <v>-2.9940629999999999E-3</v>
      </c>
      <c r="O1716">
        <v>-0.9973322</v>
      </c>
      <c r="P1716">
        <v>-3.0918560000000001E-2</v>
      </c>
      <c r="Q1716">
        <v>0.1442341</v>
      </c>
      <c r="R1716">
        <v>-0.98906070000000001</v>
      </c>
      <c r="S1716">
        <v>-0.1982574</v>
      </c>
      <c r="T1716">
        <v>-0.47229640000000001</v>
      </c>
      <c r="U1716">
        <v>-3.097137</v>
      </c>
      <c r="V1716">
        <v>0.1036131</v>
      </c>
      <c r="W1716">
        <v>0.14673259999999999</v>
      </c>
      <c r="X1716">
        <v>0.98373469999999996</v>
      </c>
      <c r="Y1716">
        <v>0.13577649999999999</v>
      </c>
      <c r="Z1716">
        <v>0.14633460000000001</v>
      </c>
      <c r="AA1716">
        <v>0.97987290000000005</v>
      </c>
      <c r="AB1716">
        <v>29</v>
      </c>
      <c r="AC1716">
        <v>-7.7699999999992997E-2</v>
      </c>
      <c r="AD1716">
        <v>-0.13495689999999999</v>
      </c>
      <c r="AE1716">
        <v>-0.57749999999998602</v>
      </c>
      <c r="AF1716">
        <v>0.11352531862720699</v>
      </c>
      <c r="AG1716">
        <v>-0.13495689999999999</v>
      </c>
      <c r="AH1716">
        <v>0.541260868565277</v>
      </c>
      <c r="AI1716">
        <v>103.71375856778999</v>
      </c>
      <c r="AJ1716">
        <v>78.154361152590795</v>
      </c>
      <c r="AK1716">
        <v>0.56926680095281901</v>
      </c>
      <c r="AL1716">
        <v>81.562377266754694</v>
      </c>
      <c r="AM1716">
        <v>83.987418018138001</v>
      </c>
      <c r="AN1716">
        <v>1.0000000451892199</v>
      </c>
    </row>
    <row r="1717" spans="1:40" x14ac:dyDescent="0.25">
      <c r="A1717" t="str">
        <f>"20190303170253166"</f>
        <v>20190303170253166</v>
      </c>
      <c r="B1717" t="str">
        <f>"1551603773157257"</f>
        <v>1551603773157257</v>
      </c>
      <c r="C1717" t="s">
        <v>40</v>
      </c>
      <c r="D1717">
        <v>4.643732</v>
      </c>
      <c r="E1717">
        <v>0.52056289999999905</v>
      </c>
      <c r="F1717" t="s">
        <v>43</v>
      </c>
      <c r="G1717">
        <v>-191.00960000000001</v>
      </c>
      <c r="H1717">
        <v>0.97903390000000001</v>
      </c>
      <c r="I1717">
        <v>336.06900000000002</v>
      </c>
      <c r="J1717">
        <v>-190.93690000000001</v>
      </c>
      <c r="K1717">
        <v>1.118376</v>
      </c>
      <c r="L1717">
        <v>336.63119999999998</v>
      </c>
      <c r="M1717">
        <v>7.1136889999999994E-2</v>
      </c>
      <c r="N1717">
        <v>-2.941365E-3</v>
      </c>
      <c r="O1717">
        <v>-0.99746219999999997</v>
      </c>
      <c r="P1717">
        <v>-3.0499120000000001E-2</v>
      </c>
      <c r="Q1717">
        <v>0.14357249999999999</v>
      </c>
      <c r="R1717">
        <v>-0.98916959999999998</v>
      </c>
      <c r="S1717">
        <v>-0.19960020000000001</v>
      </c>
      <c r="T1717">
        <v>-0.51401450000000004</v>
      </c>
      <c r="U1717">
        <v>-3.1018979999999998</v>
      </c>
      <c r="V1717">
        <v>0.1013727</v>
      </c>
      <c r="W1717">
        <v>0.14606420000000001</v>
      </c>
      <c r="X1717">
        <v>0.98406749999999998</v>
      </c>
      <c r="Y1717">
        <v>0.13418550000000001</v>
      </c>
      <c r="Z1717">
        <v>0.15904760000000001</v>
      </c>
      <c r="AA1717">
        <v>0.97810949999999997</v>
      </c>
      <c r="AB1717">
        <v>30</v>
      </c>
      <c r="AC1717">
        <v>-7.2699999999997503E-2</v>
      </c>
      <c r="AD1717">
        <v>-0.1393421</v>
      </c>
      <c r="AE1717">
        <v>-0.56219999999996095</v>
      </c>
      <c r="AF1717">
        <v>0.10609866810589</v>
      </c>
      <c r="AG1717">
        <v>-0.1393421</v>
      </c>
      <c r="AH1717">
        <v>0.52394712236060104</v>
      </c>
      <c r="AI1717">
        <v>104.609435918485</v>
      </c>
      <c r="AJ1717">
        <v>78.552469303465003</v>
      </c>
      <c r="AK1717">
        <v>0.55244342265630197</v>
      </c>
      <c r="AL1717">
        <v>81.601090576089007</v>
      </c>
      <c r="AM1717">
        <v>84.118480391164695</v>
      </c>
      <c r="AN1717">
        <v>1.00000000969159</v>
      </c>
    </row>
    <row r="1718" spans="1:40" x14ac:dyDescent="0.25">
      <c r="A1718" t="str">
        <f>"20190303170253188"</f>
        <v>20190303170253188</v>
      </c>
      <c r="B1718" t="str">
        <f>"1551603773177753"</f>
        <v>1551603773177753</v>
      </c>
      <c r="C1718" t="s">
        <v>40</v>
      </c>
      <c r="D1718">
        <v>4.6245260000000004</v>
      </c>
      <c r="E1718">
        <v>0.52096309999999901</v>
      </c>
      <c r="F1718" t="s">
        <v>43</v>
      </c>
      <c r="G1718">
        <v>-190.9906</v>
      </c>
      <c r="H1718">
        <v>0.97634849999999995</v>
      </c>
      <c r="I1718">
        <v>335.8039</v>
      </c>
      <c r="J1718">
        <v>-190.91749999999999</v>
      </c>
      <c r="K1718">
        <v>1.1185210000000001</v>
      </c>
      <c r="L1718">
        <v>336.33429999999998</v>
      </c>
      <c r="M1718">
        <v>6.9447320000000007E-2</v>
      </c>
      <c r="N1718">
        <v>-2.891429E-3</v>
      </c>
      <c r="O1718">
        <v>-0.99758139999999995</v>
      </c>
      <c r="P1718">
        <v>-3.085125E-2</v>
      </c>
      <c r="Q1718">
        <v>0.1447098</v>
      </c>
      <c r="R1718">
        <v>-0.98899300000000001</v>
      </c>
      <c r="S1718">
        <v>-0.2007294</v>
      </c>
      <c r="T1718">
        <v>-0.53294730000000001</v>
      </c>
      <c r="U1718">
        <v>-3.1039430000000001</v>
      </c>
      <c r="V1718">
        <v>9.9991949999999996E-2</v>
      </c>
      <c r="W1718">
        <v>0.14719579999999999</v>
      </c>
      <c r="X1718">
        <v>0.98404009999999997</v>
      </c>
      <c r="Y1718">
        <v>0.1327585</v>
      </c>
      <c r="Z1718">
        <v>0.16483490000000001</v>
      </c>
      <c r="AA1718">
        <v>0.97734569999999998</v>
      </c>
      <c r="AB1718">
        <v>30</v>
      </c>
      <c r="AC1718">
        <v>-7.3100000000010795E-2</v>
      </c>
      <c r="AD1718">
        <v>-0.14217249999999901</v>
      </c>
      <c r="AE1718">
        <v>-0.53039999999998599</v>
      </c>
      <c r="AF1718">
        <v>0.102529162763076</v>
      </c>
      <c r="AG1718">
        <v>-0.14217249999999901</v>
      </c>
      <c r="AH1718">
        <v>0.48952616337016103</v>
      </c>
      <c r="AI1718">
        <v>105.868373904837</v>
      </c>
      <c r="AJ1718">
        <v>78.170640464635895</v>
      </c>
      <c r="AK1718">
        <v>0.51996260788354398</v>
      </c>
      <c r="AL1718">
        <v>81.535545769023102</v>
      </c>
      <c r="AM1718">
        <v>84.197879109839405</v>
      </c>
      <c r="AN1718">
        <v>0.99999995600522495</v>
      </c>
    </row>
    <row r="1719" spans="1:40" x14ac:dyDescent="0.25">
      <c r="A1719" t="str">
        <f>"20190303170253208"</f>
        <v>20190303170253208</v>
      </c>
      <c r="B1719" t="str">
        <f>"1551603773197272"</f>
        <v>1551603773197272</v>
      </c>
      <c r="C1719" t="s">
        <v>40</v>
      </c>
      <c r="D1719">
        <v>4.6039099999999999</v>
      </c>
      <c r="E1719">
        <v>0.52128599999999903</v>
      </c>
      <c r="F1719" t="s">
        <v>43</v>
      </c>
      <c r="G1719">
        <v>-190.97</v>
      </c>
      <c r="H1719">
        <v>0.97944240000000005</v>
      </c>
      <c r="I1719">
        <v>335.53469999999999</v>
      </c>
      <c r="J1719">
        <v>-190.89930000000001</v>
      </c>
      <c r="K1719">
        <v>1.1186750000000001</v>
      </c>
      <c r="L1719">
        <v>336.05270000000002</v>
      </c>
      <c r="M1719">
        <v>6.8063269999999995E-2</v>
      </c>
      <c r="N1719">
        <v>-2.850493E-3</v>
      </c>
      <c r="O1719">
        <v>-0.99767709999999998</v>
      </c>
      <c r="P1719">
        <v>-3.0559880000000001E-2</v>
      </c>
      <c r="Q1719">
        <v>0.1453023</v>
      </c>
      <c r="R1719">
        <v>-0.98891560000000001</v>
      </c>
      <c r="S1719">
        <v>-0.20347599999999999</v>
      </c>
      <c r="T1719">
        <v>-0.54027959999999997</v>
      </c>
      <c r="U1719">
        <v>-3.1061100000000001</v>
      </c>
      <c r="V1719">
        <v>9.8275509999999996E-2</v>
      </c>
      <c r="W1719">
        <v>0.147791899999999</v>
      </c>
      <c r="X1719">
        <v>0.98412370000000005</v>
      </c>
      <c r="Y1719">
        <v>0.1321764</v>
      </c>
      <c r="Z1719">
        <v>0.167027799999999</v>
      </c>
      <c r="AA1719">
        <v>0.97705229999999998</v>
      </c>
      <c r="AB1719">
        <v>30</v>
      </c>
      <c r="AC1719">
        <v>-7.0699999999987995E-2</v>
      </c>
      <c r="AD1719">
        <v>-0.13923260000000001</v>
      </c>
      <c r="AE1719">
        <v>-0.51800000000002899</v>
      </c>
      <c r="AF1719">
        <v>9.8786415273585407E-2</v>
      </c>
      <c r="AG1719">
        <v>-0.13923260000000001</v>
      </c>
      <c r="AH1719">
        <v>0.47807839175483102</v>
      </c>
      <c r="AI1719">
        <v>105.918611022517</v>
      </c>
      <c r="AJ1719">
        <v>78.3251531648704</v>
      </c>
      <c r="AK1719">
        <v>0.50764497575397205</v>
      </c>
      <c r="AL1719">
        <v>81.501014363255095</v>
      </c>
      <c r="AM1719">
        <v>84.297296082748005</v>
      </c>
      <c r="AN1719">
        <v>0.999999989236529</v>
      </c>
    </row>
    <row r="1720" spans="1:40" x14ac:dyDescent="0.25">
      <c r="A1720" t="str">
        <f>"20190303170253233"</f>
        <v>20190303170253233</v>
      </c>
      <c r="B1720" t="str">
        <f>"1551603773227529"</f>
        <v>1551603773227529</v>
      </c>
      <c r="C1720" t="s">
        <v>40</v>
      </c>
      <c r="D1720">
        <v>4.5993959999999996</v>
      </c>
      <c r="E1720">
        <v>0.52206719999999995</v>
      </c>
      <c r="F1720" t="s">
        <v>43</v>
      </c>
      <c r="G1720">
        <v>-190.9512</v>
      </c>
      <c r="H1720">
        <v>0.98004029999999998</v>
      </c>
      <c r="I1720">
        <v>335.26519999999999</v>
      </c>
      <c r="J1720">
        <v>-190.87819999999999</v>
      </c>
      <c r="K1720">
        <v>1.11886</v>
      </c>
      <c r="L1720">
        <v>335.72210000000001</v>
      </c>
      <c r="M1720">
        <v>6.6687529999999995E-2</v>
      </c>
      <c r="N1720">
        <v>-2.810576E-3</v>
      </c>
      <c r="O1720">
        <v>-0.99777000000000005</v>
      </c>
      <c r="P1720">
        <v>-2.9788559999999999E-2</v>
      </c>
      <c r="Q1720">
        <v>0.14449779999999901</v>
      </c>
      <c r="R1720">
        <v>-0.98905679999999996</v>
      </c>
      <c r="S1720">
        <v>-0.2042542</v>
      </c>
      <c r="T1720">
        <v>-0.54719259999999903</v>
      </c>
      <c r="U1720">
        <v>-3.1077270000000001</v>
      </c>
      <c r="V1720">
        <v>9.6087859999999997E-2</v>
      </c>
      <c r="W1720">
        <v>0.14699960000000001</v>
      </c>
      <c r="X1720">
        <v>0.98445830000000001</v>
      </c>
      <c r="Y1720">
        <v>0.13099720000000001</v>
      </c>
      <c r="Z1720">
        <v>0.16912629999999901</v>
      </c>
      <c r="AA1720">
        <v>0.97685</v>
      </c>
      <c r="AB1720">
        <v>30</v>
      </c>
      <c r="AC1720">
        <v>-7.3000000000007503E-2</v>
      </c>
      <c r="AD1720">
        <v>-0.13881969999999999</v>
      </c>
      <c r="AE1720">
        <v>-0.45690000000001801</v>
      </c>
      <c r="AF1720">
        <v>9.4775932772150906E-2</v>
      </c>
      <c r="AG1720">
        <v>-0.13881969999999999</v>
      </c>
      <c r="AH1720">
        <v>0.413769416035841</v>
      </c>
      <c r="AI1720">
        <v>108.109338416047</v>
      </c>
      <c r="AJ1720">
        <v>77.098673002389404</v>
      </c>
      <c r="AK1720">
        <v>0.44660778787159799</v>
      </c>
      <c r="AL1720">
        <v>81.546910795528504</v>
      </c>
      <c r="AM1720">
        <v>84.425314667652202</v>
      </c>
      <c r="AN1720">
        <v>0.99999995183921297</v>
      </c>
    </row>
    <row r="1721" spans="1:40" x14ac:dyDescent="0.25">
      <c r="A1721" t="str">
        <f>"20190303170253254"</f>
        <v>20190303170253254</v>
      </c>
      <c r="B1721" t="str">
        <f>"1551603773247049"</f>
        <v>1551603773247049</v>
      </c>
      <c r="C1721" t="s">
        <v>40</v>
      </c>
      <c r="D1721">
        <v>4.6319589999999904</v>
      </c>
      <c r="E1721">
        <v>0.52281629999999901</v>
      </c>
      <c r="F1721" t="s">
        <v>43</v>
      </c>
      <c r="G1721">
        <v>-190.9273</v>
      </c>
      <c r="H1721">
        <v>0.98721210000000004</v>
      </c>
      <c r="I1721">
        <v>334.99169999999998</v>
      </c>
      <c r="J1721">
        <v>-190.8596</v>
      </c>
      <c r="K1721">
        <v>1.119016</v>
      </c>
      <c r="L1721">
        <v>335.42759999999998</v>
      </c>
      <c r="M1721">
        <v>6.5684309999999996E-2</v>
      </c>
      <c r="N1721">
        <v>-2.7821299999999998E-3</v>
      </c>
      <c r="O1721">
        <v>-0.99783659999999996</v>
      </c>
      <c r="P1721">
        <v>-2.9380880000000002E-2</v>
      </c>
      <c r="Q1721">
        <v>0.14404929999999999</v>
      </c>
      <c r="R1721">
        <v>-0.98913430000000002</v>
      </c>
      <c r="S1721">
        <v>-0.20912169999999999</v>
      </c>
      <c r="T1721">
        <v>-0.56030679999999999</v>
      </c>
      <c r="U1721">
        <v>-3.108765</v>
      </c>
      <c r="V1721">
        <v>9.4637509999999994E-2</v>
      </c>
      <c r="W1721">
        <v>0.14656469999999999</v>
      </c>
      <c r="X1721">
        <v>0.98466370000000003</v>
      </c>
      <c r="Y1721">
        <v>0.13145490000000001</v>
      </c>
      <c r="Z1721">
        <v>0.1730949</v>
      </c>
      <c r="AA1721">
        <v>0.97609310000000005</v>
      </c>
      <c r="AB1721">
        <v>30</v>
      </c>
      <c r="AC1721">
        <v>-6.7700000000001995E-2</v>
      </c>
      <c r="AD1721">
        <v>-0.1318039</v>
      </c>
      <c r="AE1721">
        <v>-0.43590000000000301</v>
      </c>
      <c r="AF1721">
        <v>8.8302469045477894E-2</v>
      </c>
      <c r="AG1721">
        <v>-0.1318039</v>
      </c>
      <c r="AH1721">
        <v>0.39522772784492399</v>
      </c>
      <c r="AI1721">
        <v>108.028217611282</v>
      </c>
      <c r="AJ1721">
        <v>77.405715540866794</v>
      </c>
      <c r="AK1721">
        <v>0.42588091170208497</v>
      </c>
      <c r="AL1721">
        <v>81.5721022898922</v>
      </c>
      <c r="AM1721">
        <v>84.510079205262102</v>
      </c>
      <c r="AN1721">
        <v>1.0000000358413801</v>
      </c>
    </row>
    <row r="1722" spans="1:40" x14ac:dyDescent="0.25">
      <c r="A1722" t="str">
        <f>"20190303170253278"</f>
        <v>20190303170253278</v>
      </c>
      <c r="B1722" t="str">
        <f>"1551603773267545"</f>
        <v>1551603773267545</v>
      </c>
      <c r="C1722" t="s">
        <v>40</v>
      </c>
      <c r="D1722">
        <v>4.6179129999999997</v>
      </c>
      <c r="E1722">
        <v>0.52343149999999905</v>
      </c>
      <c r="F1722" t="s">
        <v>43</v>
      </c>
      <c r="G1722">
        <v>-190.90880000000001</v>
      </c>
      <c r="H1722">
        <v>0.98938519999999996</v>
      </c>
      <c r="I1722">
        <v>334.71859999999998</v>
      </c>
      <c r="J1722">
        <v>-190.84049999999999</v>
      </c>
      <c r="K1722">
        <v>1.1191709999999999</v>
      </c>
      <c r="L1722">
        <v>335.12439999999998</v>
      </c>
      <c r="M1722">
        <v>6.4857709999999999E-2</v>
      </c>
      <c r="N1722">
        <v>-2.7594329999999999E-3</v>
      </c>
      <c r="O1722">
        <v>-0.99789090000000003</v>
      </c>
      <c r="P1722">
        <v>-2.8670419999999999E-2</v>
      </c>
      <c r="Q1722">
        <v>0.145002399999999</v>
      </c>
      <c r="R1722">
        <v>-0.98901600000000001</v>
      </c>
      <c r="S1722">
        <v>-0.21488950000000001</v>
      </c>
      <c r="T1722">
        <v>-0.56869840000000005</v>
      </c>
      <c r="U1722">
        <v>-3.1094059999999999</v>
      </c>
      <c r="V1722">
        <v>9.3053010000000005E-2</v>
      </c>
      <c r="W1722">
        <v>0.147533</v>
      </c>
      <c r="X1722">
        <v>0.98467000000000005</v>
      </c>
      <c r="Y1722">
        <v>0.13239110000000001</v>
      </c>
      <c r="Z1722">
        <v>0.17562429999999901</v>
      </c>
      <c r="AA1722">
        <v>0.97551460000000001</v>
      </c>
      <c r="AB1722">
        <v>30</v>
      </c>
      <c r="AC1722">
        <v>-6.8300000000021996E-2</v>
      </c>
      <c r="AD1722">
        <v>-0.12978580000000001</v>
      </c>
      <c r="AE1722">
        <v>-0.40579999999999899</v>
      </c>
      <c r="AF1722">
        <v>8.59281487130895E-2</v>
      </c>
      <c r="AG1722">
        <v>-0.12978580000000001</v>
      </c>
      <c r="AH1722">
        <v>0.364280294027508</v>
      </c>
      <c r="AI1722">
        <v>109.12467401188</v>
      </c>
      <c r="AJ1722">
        <v>76.727421409532496</v>
      </c>
      <c r="AK1722">
        <v>0.39614155707229998</v>
      </c>
      <c r="AL1722">
        <v>81.516012138544895</v>
      </c>
      <c r="AM1722">
        <v>84.6014827354537</v>
      </c>
      <c r="AN1722">
        <v>0.99999992882952704</v>
      </c>
    </row>
    <row r="1723" spans="1:40" x14ac:dyDescent="0.25">
      <c r="A1723" t="str">
        <f>"20190303170253301"</f>
        <v>20190303170253301</v>
      </c>
      <c r="B1723" t="str">
        <f>"1551603773287066"</f>
        <v>1551603773287066</v>
      </c>
      <c r="C1723" t="s">
        <v>40</v>
      </c>
      <c r="D1723">
        <v>4.6263160000000001</v>
      </c>
      <c r="E1723">
        <v>0.52403310000000003</v>
      </c>
      <c r="F1723" t="s">
        <v>43</v>
      </c>
      <c r="G1723">
        <v>-190.90639999999999</v>
      </c>
      <c r="H1723">
        <v>0.94695119999999999</v>
      </c>
      <c r="I1723">
        <v>334.1875</v>
      </c>
      <c r="J1723">
        <v>-190.81970000000001</v>
      </c>
      <c r="K1723">
        <v>1.119318</v>
      </c>
      <c r="L1723">
        <v>334.79270000000002</v>
      </c>
      <c r="M1723">
        <v>6.4141989999999996E-2</v>
      </c>
      <c r="N1723">
        <v>-2.7411390000000001E-3</v>
      </c>
      <c r="O1723">
        <v>-0.99793730000000003</v>
      </c>
      <c r="P1723">
        <v>-2.8647079999999998E-2</v>
      </c>
      <c r="Q1723">
        <v>0.14658160000000001</v>
      </c>
      <c r="R1723">
        <v>-0.98878440000000001</v>
      </c>
      <c r="S1723">
        <v>-0.21813959999999999</v>
      </c>
      <c r="T1723">
        <v>-0.57193919999999998</v>
      </c>
      <c r="U1723">
        <v>-3.11084</v>
      </c>
      <c r="V1723">
        <v>9.2260129999999996E-2</v>
      </c>
      <c r="W1723">
        <v>0.14912690000000001</v>
      </c>
      <c r="X1723">
        <v>0.98450459999999995</v>
      </c>
      <c r="Y1723">
        <v>0.13265199999999999</v>
      </c>
      <c r="Z1723">
        <v>0.17654929999999999</v>
      </c>
      <c r="AA1723">
        <v>0.97531219999999996</v>
      </c>
      <c r="AB1723">
        <v>31</v>
      </c>
      <c r="AC1723">
        <v>-8.6699999999979099E-2</v>
      </c>
      <c r="AD1723">
        <v>-0.17236679999999999</v>
      </c>
      <c r="AE1723">
        <v>-0.60520000000002405</v>
      </c>
      <c r="AF1723">
        <v>0.116111202450863</v>
      </c>
      <c r="AG1723">
        <v>-0.17236679999999999</v>
      </c>
      <c r="AH1723">
        <v>0.55433144279560198</v>
      </c>
      <c r="AI1723">
        <v>106.927138954548</v>
      </c>
      <c r="AJ1723">
        <v>78.169764084017203</v>
      </c>
      <c r="AK1723">
        <v>0.59200969041788398</v>
      </c>
      <c r="AL1723">
        <v>81.423667771239096</v>
      </c>
      <c r="AM1723">
        <v>84.646319682181996</v>
      </c>
      <c r="AN1723">
        <v>1.00000003565619</v>
      </c>
    </row>
    <row r="1724" spans="1:40" x14ac:dyDescent="0.25">
      <c r="A1724" t="str">
        <f>"20190303170253322"</f>
        <v>20190303170253322</v>
      </c>
      <c r="B1724" t="str">
        <f>"1551603773307561"</f>
        <v>1551603773307561</v>
      </c>
      <c r="C1724" t="s">
        <v>40</v>
      </c>
      <c r="D1724">
        <v>4.5835210000000002</v>
      </c>
      <c r="E1724">
        <v>0.52449100000000004</v>
      </c>
      <c r="F1724" t="s">
        <v>43</v>
      </c>
      <c r="G1724">
        <v>-190.88319999999999</v>
      </c>
      <c r="H1724">
        <v>0.95660460000000003</v>
      </c>
      <c r="I1724">
        <v>333.90750000000003</v>
      </c>
      <c r="J1724">
        <v>-190.8014</v>
      </c>
      <c r="K1724">
        <v>1.119424</v>
      </c>
      <c r="L1724">
        <v>334.49970000000002</v>
      </c>
      <c r="M1724">
        <v>6.3624780000000006E-2</v>
      </c>
      <c r="N1724">
        <v>-2.7297039999999999E-3</v>
      </c>
      <c r="O1724">
        <v>-0.99797029999999998</v>
      </c>
      <c r="P1724">
        <v>-2.839566E-2</v>
      </c>
      <c r="Q1724">
        <v>0.14794660000000001</v>
      </c>
      <c r="R1724">
        <v>-0.98858789999999996</v>
      </c>
      <c r="S1724">
        <v>-0.22317500000000001</v>
      </c>
      <c r="T1724">
        <v>-0.5721349</v>
      </c>
      <c r="U1724">
        <v>-3.1123959999999999</v>
      </c>
      <c r="V1724">
        <v>9.1452149999999996E-2</v>
      </c>
      <c r="W1724">
        <v>0.150504</v>
      </c>
      <c r="X1724">
        <v>0.98437039999999998</v>
      </c>
      <c r="Y1724">
        <v>0.1336746</v>
      </c>
      <c r="Z1724">
        <v>0.17651979999999901</v>
      </c>
      <c r="AA1724">
        <v>0.97517790000000004</v>
      </c>
      <c r="AB1724">
        <v>31</v>
      </c>
      <c r="AC1724">
        <v>-8.1799999999986994E-2</v>
      </c>
      <c r="AD1724">
        <v>-0.162819399999999</v>
      </c>
      <c r="AE1724">
        <v>-0.59219999999999096</v>
      </c>
      <c r="AF1724">
        <v>0.111073900009541</v>
      </c>
      <c r="AG1724">
        <v>-0.162819399999999</v>
      </c>
      <c r="AH1724">
        <v>0.54534381205196403</v>
      </c>
      <c r="AI1724">
        <v>106.307167768406</v>
      </c>
      <c r="AJ1724">
        <v>78.487647114407807</v>
      </c>
      <c r="AK1724">
        <v>0.57986846924372204</v>
      </c>
      <c r="AL1724">
        <v>81.343864932525904</v>
      </c>
      <c r="AM1724">
        <v>84.6922169621037</v>
      </c>
      <c r="AN1724">
        <v>1.00000001707589</v>
      </c>
    </row>
    <row r="1725" spans="1:40" x14ac:dyDescent="0.25">
      <c r="A1725" t="str">
        <f>"20190303170253343"</f>
        <v>20190303170253343</v>
      </c>
      <c r="B1725" t="str">
        <f>"1551603773337818"</f>
        <v>1551603773337818</v>
      </c>
      <c r="C1725" t="s">
        <v>40</v>
      </c>
      <c r="D1725">
        <v>4.6046839999999998</v>
      </c>
      <c r="E1725">
        <v>0.52475090000000002</v>
      </c>
      <c r="F1725" t="s">
        <v>43</v>
      </c>
      <c r="G1725">
        <v>-190.86519999999999</v>
      </c>
      <c r="H1725">
        <v>0.95934260000000005</v>
      </c>
      <c r="I1725">
        <v>333.62860000000001</v>
      </c>
      <c r="J1725">
        <v>-190.7825</v>
      </c>
      <c r="K1725">
        <v>1.119507</v>
      </c>
      <c r="L1725">
        <v>334.19529999999997</v>
      </c>
      <c r="M1725">
        <v>6.3178319999999996E-2</v>
      </c>
      <c r="N1725">
        <v>-2.7208409999999999E-3</v>
      </c>
      <c r="O1725">
        <v>-0.99799870000000002</v>
      </c>
      <c r="P1725">
        <v>-2.7476520000000001E-2</v>
      </c>
      <c r="Q1725">
        <v>0.14887020000000001</v>
      </c>
      <c r="R1725">
        <v>-0.98847510000000005</v>
      </c>
      <c r="S1725">
        <v>-0.22746279999999999</v>
      </c>
      <c r="T1725">
        <v>-0.5723454</v>
      </c>
      <c r="U1725">
        <v>-3.1137999999999999</v>
      </c>
      <c r="V1725">
        <v>9.0058680000000002E-2</v>
      </c>
      <c r="W1725">
        <v>0.15143779999999901</v>
      </c>
      <c r="X1725">
        <v>0.9843556</v>
      </c>
      <c r="Y1725">
        <v>0.13453579999999901</v>
      </c>
      <c r="Z1725">
        <v>0.17650270000000001</v>
      </c>
      <c r="AA1725">
        <v>0.97506250000000005</v>
      </c>
      <c r="AB1725">
        <v>31</v>
      </c>
      <c r="AC1725">
        <v>-8.2699999999988394E-2</v>
      </c>
      <c r="AD1725">
        <v>-0.16016440000000001</v>
      </c>
      <c r="AE1725">
        <v>-0.56669999999996801</v>
      </c>
      <c r="AF1725">
        <v>0.109753980069433</v>
      </c>
      <c r="AG1725">
        <v>-0.16016440000000001</v>
      </c>
      <c r="AH1725">
        <v>0.51969646667984104</v>
      </c>
      <c r="AI1725">
        <v>106.780019638062</v>
      </c>
      <c r="AJ1725">
        <v>78.075010025097896</v>
      </c>
      <c r="AK1725">
        <v>0.55478192891257005</v>
      </c>
      <c r="AL1725">
        <v>81.289741284701606</v>
      </c>
      <c r="AM1725">
        <v>84.772562801481101</v>
      </c>
      <c r="AN1725">
        <v>0.99999996018176995</v>
      </c>
    </row>
    <row r="1726" spans="1:40" x14ac:dyDescent="0.25">
      <c r="A1726" t="str">
        <f>"20190303170253367"</f>
        <v>20190303170253367</v>
      </c>
      <c r="B1726" t="str">
        <f>"1551603773357337"</f>
        <v>1551603773357337</v>
      </c>
      <c r="C1726" t="s">
        <v>40</v>
      </c>
      <c r="D1726">
        <v>4.7434260000000004</v>
      </c>
      <c r="E1726">
        <v>0.5037199</v>
      </c>
      <c r="F1726" t="s">
        <v>43</v>
      </c>
      <c r="G1726">
        <v>-190.8449</v>
      </c>
      <c r="H1726">
        <v>0.96340800000000004</v>
      </c>
      <c r="I1726">
        <v>333.34800000000001</v>
      </c>
      <c r="J1726">
        <v>-190.76320000000001</v>
      </c>
      <c r="K1726">
        <v>1.119572</v>
      </c>
      <c r="L1726">
        <v>333.88440000000003</v>
      </c>
      <c r="M1726">
        <v>6.2791269999999996E-2</v>
      </c>
      <c r="N1726">
        <v>-2.7123429999999999E-3</v>
      </c>
      <c r="O1726">
        <v>-0.99802299999999999</v>
      </c>
      <c r="P1726">
        <v>-2.5995910000000001E-2</v>
      </c>
      <c r="Q1726">
        <v>0.15058879999999999</v>
      </c>
      <c r="R1726">
        <v>-0.98825459999999998</v>
      </c>
      <c r="S1726">
        <v>-0.229126</v>
      </c>
      <c r="T1726">
        <v>-0.57394709999999904</v>
      </c>
      <c r="U1726">
        <v>-3.1150509999999998</v>
      </c>
      <c r="V1726">
        <v>8.8163519999999995E-2</v>
      </c>
      <c r="W1726">
        <v>0.15316399999999999</v>
      </c>
      <c r="X1726">
        <v>0.98426009999999997</v>
      </c>
      <c r="Y1726">
        <v>0.13463539999999999</v>
      </c>
      <c r="Z1726">
        <v>0.17692869999999999</v>
      </c>
      <c r="AA1726">
        <v>0.97497160000000005</v>
      </c>
      <c r="AB1726">
        <v>31</v>
      </c>
      <c r="AC1726">
        <v>-8.1699999999983605E-2</v>
      </c>
      <c r="AD1726">
        <v>-0.156163999999999</v>
      </c>
      <c r="AE1726">
        <v>-0.53640000000001398</v>
      </c>
      <c r="AF1726">
        <v>0.106405804032273</v>
      </c>
      <c r="AG1726">
        <v>-0.156163999999999</v>
      </c>
      <c r="AH1726">
        <v>0.48965028672107402</v>
      </c>
      <c r="AI1726">
        <v>107.309948187649</v>
      </c>
      <c r="AJ1726">
        <v>77.739685675307499</v>
      </c>
      <c r="AK1726">
        <v>0.524849305338003</v>
      </c>
      <c r="AL1726">
        <v>81.189670059920303</v>
      </c>
      <c r="AM1726">
        <v>84.881482561452003</v>
      </c>
      <c r="AN1726">
        <v>0.99999998080339902</v>
      </c>
    </row>
    <row r="1727" spans="1:40" x14ac:dyDescent="0.25">
      <c r="A1727" t="str">
        <f>"20190303170253388"</f>
        <v>20190303170253388</v>
      </c>
      <c r="B1727" t="str">
        <f>"1551603773376858"</f>
        <v>1551603773376858</v>
      </c>
      <c r="C1727" t="s">
        <v>40</v>
      </c>
      <c r="D1727">
        <v>4.8580579999999998</v>
      </c>
      <c r="E1727">
        <v>0.49887550000000003</v>
      </c>
      <c r="F1727" t="s">
        <v>43</v>
      </c>
      <c r="G1727">
        <v>-190.7824</v>
      </c>
      <c r="H1727">
        <v>1.0268790000000001</v>
      </c>
      <c r="I1727">
        <v>333.04070000000002</v>
      </c>
      <c r="J1727">
        <v>-190.74430000000001</v>
      </c>
      <c r="K1727">
        <v>1.1196269999999999</v>
      </c>
      <c r="L1727">
        <v>333.57819999999998</v>
      </c>
      <c r="M1727">
        <v>6.2454809999999999E-2</v>
      </c>
      <c r="N1727">
        <v>-2.7051200000000001E-3</v>
      </c>
      <c r="O1727">
        <v>-0.99804409999999999</v>
      </c>
      <c r="P1727">
        <v>-2.4367570000000002E-2</v>
      </c>
      <c r="Q1727">
        <v>0.15177109999999999</v>
      </c>
      <c r="R1727">
        <v>-0.98811510000000002</v>
      </c>
      <c r="S1727">
        <v>-6.922913E-2</v>
      </c>
      <c r="T1727">
        <v>-0.33923379999999997</v>
      </c>
      <c r="U1727">
        <v>-3.0856020000000002</v>
      </c>
      <c r="V1727">
        <v>8.6181099999999997E-2</v>
      </c>
      <c r="W1727">
        <v>0.1543514</v>
      </c>
      <c r="X1727">
        <v>0.98425019999999996</v>
      </c>
      <c r="Y1727">
        <v>8.4685759999999999E-2</v>
      </c>
      <c r="Z1727">
        <v>0.10606169999999999</v>
      </c>
      <c r="AA1727">
        <v>0.99074680000000004</v>
      </c>
      <c r="AB1727">
        <v>31</v>
      </c>
      <c r="AC1727">
        <v>-3.8099999999985798E-2</v>
      </c>
      <c r="AD1727">
        <v>-9.2747999999999997E-2</v>
      </c>
      <c r="AE1727">
        <v>-0.53749999999996501</v>
      </c>
      <c r="AF1727">
        <v>6.9535144402608398E-2</v>
      </c>
      <c r="AG1727">
        <v>-9.2747999999999997E-2</v>
      </c>
      <c r="AH1727">
        <v>0.51870393264068604</v>
      </c>
      <c r="AI1727">
        <v>100.04972008121101</v>
      </c>
      <c r="AJ1727">
        <v>82.364702940195798</v>
      </c>
      <c r="AK1727">
        <v>0.53149891584838105</v>
      </c>
      <c r="AL1727">
        <v>81.120818440501594</v>
      </c>
      <c r="AM1727">
        <v>84.995934984527594</v>
      </c>
      <c r="AN1727">
        <v>0.99999999643960402</v>
      </c>
    </row>
    <row r="1728" spans="1:40" x14ac:dyDescent="0.25">
      <c r="A1728" t="str">
        <f>"20190303170253411"</f>
        <v>20190303170253411</v>
      </c>
      <c r="B1728" t="str">
        <f>"1551603773397353"</f>
        <v>1551603773397353</v>
      </c>
      <c r="C1728" t="s">
        <v>40</v>
      </c>
      <c r="D1728">
        <v>4.6785670000000001</v>
      </c>
      <c r="E1728">
        <v>0.49708639999999998</v>
      </c>
      <c r="F1728" t="s">
        <v>42</v>
      </c>
      <c r="G1728">
        <v>-190.91300000000001</v>
      </c>
      <c r="H1728" s="1">
        <v>-3.6389220000000002E-6</v>
      </c>
      <c r="I1728">
        <v>316.7758</v>
      </c>
      <c r="J1728">
        <v>-190.72470000000001</v>
      </c>
      <c r="K1728">
        <v>1.119658</v>
      </c>
      <c r="L1728">
        <v>333.25889999999998</v>
      </c>
      <c r="M1728">
        <v>6.2131310000000002E-2</v>
      </c>
      <c r="N1728">
        <v>-2.7000209999999999E-3</v>
      </c>
      <c r="O1728">
        <v>-0.99806450000000002</v>
      </c>
      <c r="P1728">
        <v>-2.3033169999999999E-2</v>
      </c>
      <c r="Q1728">
        <v>0.1518621</v>
      </c>
      <c r="R1728">
        <v>-0.9881335</v>
      </c>
      <c r="S1728">
        <v>-3.0792239999999999E-2</v>
      </c>
      <c r="T1728">
        <v>-0.20434859999999999</v>
      </c>
      <c r="U1728">
        <v>-3.066681</v>
      </c>
      <c r="V1728">
        <v>8.4517850000000005E-2</v>
      </c>
      <c r="W1728">
        <v>0.15444659999999999</v>
      </c>
      <c r="X1728">
        <v>0.98437949999999996</v>
      </c>
      <c r="Y1728">
        <v>7.2122160000000005E-2</v>
      </c>
      <c r="Z1728">
        <v>6.3511699999999893E-2</v>
      </c>
      <c r="AA1728">
        <v>0.99537160000000002</v>
      </c>
      <c r="AB1728">
        <v>31</v>
      </c>
      <c r="AC1728">
        <v>-0.18829999999996899</v>
      </c>
      <c r="AD1728">
        <v>-1.119661638922</v>
      </c>
      <c r="AE1728">
        <v>-16.483099999999901</v>
      </c>
      <c r="AF1728">
        <v>1.2064901031556301</v>
      </c>
      <c r="AG1728">
        <v>-1.119661638922</v>
      </c>
      <c r="AH1728">
        <v>16.364057718498099</v>
      </c>
      <c r="AI1728">
        <v>93.903629076742405</v>
      </c>
      <c r="AJ1728">
        <v>85.783323101865804</v>
      </c>
      <c r="AK1728">
        <v>16.446630219258399</v>
      </c>
      <c r="AL1728">
        <v>81.115297798556497</v>
      </c>
      <c r="AM1728">
        <v>85.092675995568399</v>
      </c>
      <c r="AN1728">
        <v>1.00000000962021</v>
      </c>
    </row>
    <row r="1729" spans="1:40" x14ac:dyDescent="0.25">
      <c r="A1729" t="str">
        <f>"20190303170253433"</f>
        <v>20190303170253433</v>
      </c>
      <c r="B1729" t="str">
        <f>"1551603773427609"</f>
        <v>1551603773427609</v>
      </c>
      <c r="C1729" t="s">
        <v>40</v>
      </c>
      <c r="D1729">
        <v>4.7333030000000003</v>
      </c>
      <c r="E1729">
        <v>0.49618220000000002</v>
      </c>
      <c r="F1729" t="s">
        <v>42</v>
      </c>
      <c r="G1729">
        <v>-190.84950000000001</v>
      </c>
      <c r="H1729" s="1">
        <v>-4.2254729999999999E-6</v>
      </c>
      <c r="I1729">
        <v>308.96080000000001</v>
      </c>
      <c r="J1729">
        <v>-190.70490000000001</v>
      </c>
      <c r="K1729">
        <v>1.119672</v>
      </c>
      <c r="L1729">
        <v>332.93639999999999</v>
      </c>
      <c r="M1729">
        <v>6.1819190000000003E-2</v>
      </c>
      <c r="N1729">
        <v>-2.698036E-3</v>
      </c>
      <c r="O1729">
        <v>-0.99808379999999997</v>
      </c>
      <c r="P1729">
        <v>-2.1359280000000001E-2</v>
      </c>
      <c r="Q1729">
        <v>0.15033489999999999</v>
      </c>
      <c r="R1729">
        <v>-0.98840450000000002</v>
      </c>
      <c r="S1729">
        <v>-1.570129E-2</v>
      </c>
      <c r="T1729">
        <v>-0.1408828</v>
      </c>
      <c r="U1729">
        <v>-3.0573429999999999</v>
      </c>
      <c r="V1729">
        <v>8.2545209999999994E-2</v>
      </c>
      <c r="W1729">
        <v>0.15292559999999999</v>
      </c>
      <c r="X1729">
        <v>0.9847842</v>
      </c>
      <c r="Y1729">
        <v>6.6935030000000006E-2</v>
      </c>
      <c r="Z1729">
        <v>4.3151599999999998E-2</v>
      </c>
      <c r="AA1729">
        <v>0.99682380000000004</v>
      </c>
      <c r="AB1729">
        <v>32</v>
      </c>
      <c r="AC1729">
        <v>-0.14459999999999601</v>
      </c>
      <c r="AD1729">
        <v>-1.1196762254729999</v>
      </c>
      <c r="AE1729">
        <v>-23.975599999999901</v>
      </c>
      <c r="AF1729">
        <v>1.62294144888453</v>
      </c>
      <c r="AG1729">
        <v>-1.1196762254729999</v>
      </c>
      <c r="AH1729">
        <v>23.868749326268102</v>
      </c>
      <c r="AI1729">
        <v>92.679581829124402</v>
      </c>
      <c r="AJ1729">
        <v>86.110194594038504</v>
      </c>
      <c r="AK1729">
        <v>23.950048187772399</v>
      </c>
      <c r="AL1729">
        <v>81.203491809420896</v>
      </c>
      <c r="AM1729">
        <v>85.208633213639203</v>
      </c>
      <c r="AN1729">
        <v>0.99999993569946999</v>
      </c>
    </row>
    <row r="1730" spans="1:40" x14ac:dyDescent="0.25">
      <c r="A1730" t="str">
        <f>"20190303170253456"</f>
        <v>20190303170253456</v>
      </c>
      <c r="B1730" t="str">
        <f>"1551603773447129"</f>
        <v>1551603773447129</v>
      </c>
      <c r="C1730" t="s">
        <v>40</v>
      </c>
      <c r="D1730">
        <v>4.6716439999999997</v>
      </c>
      <c r="E1730">
        <v>0.49594569999999999</v>
      </c>
      <c r="F1730" t="s">
        <v>57</v>
      </c>
      <c r="G1730">
        <v>-190.7749</v>
      </c>
      <c r="H1730" s="1">
        <v>2.656832E-7</v>
      </c>
      <c r="I1730">
        <v>298.65969999999999</v>
      </c>
      <c r="J1730">
        <v>-190.6849</v>
      </c>
      <c r="K1730">
        <v>1.1196740000000001</v>
      </c>
      <c r="L1730">
        <v>332.60930000000002</v>
      </c>
      <c r="M1730">
        <v>6.1509639999999997E-2</v>
      </c>
      <c r="N1730">
        <v>-2.6988979999999999E-3</v>
      </c>
      <c r="O1730">
        <v>-0.99810299999999996</v>
      </c>
      <c r="P1730">
        <v>-2.078847E-2</v>
      </c>
      <c r="Q1730">
        <v>0.14896499999999999</v>
      </c>
      <c r="R1730">
        <v>-0.98862419999999995</v>
      </c>
      <c r="S1730">
        <v>-6.225586E-3</v>
      </c>
      <c r="T1730">
        <v>-9.9638099999999993E-2</v>
      </c>
      <c r="U1730">
        <v>-3.0502319999999998</v>
      </c>
      <c r="V1730">
        <v>8.1676070000000003E-2</v>
      </c>
      <c r="W1730">
        <v>0.15156129999999901</v>
      </c>
      <c r="X1730">
        <v>0.98506760000000004</v>
      </c>
      <c r="Y1730">
        <v>6.3542909999999994E-2</v>
      </c>
      <c r="Z1730">
        <v>2.982485E-2</v>
      </c>
      <c r="AA1730">
        <v>0.99753329999999996</v>
      </c>
      <c r="AB1730">
        <v>32</v>
      </c>
      <c r="AC1730">
        <v>-9.0000000000003397E-2</v>
      </c>
      <c r="AD1730">
        <v>-1.1196737343168</v>
      </c>
      <c r="AE1730">
        <v>-33.949599999999997</v>
      </c>
      <c r="AF1730">
        <v>2.1756980151174301</v>
      </c>
      <c r="AG1730">
        <v>-1.1196737343168</v>
      </c>
      <c r="AH1730">
        <v>33.842968615381302</v>
      </c>
      <c r="AI1730">
        <v>91.891003499989495</v>
      </c>
      <c r="AJ1730">
        <v>86.3216287497807</v>
      </c>
      <c r="AK1730">
        <v>33.931310847445701</v>
      </c>
      <c r="AL1730">
        <v>81.2825829079096</v>
      </c>
      <c r="AM1730">
        <v>85.2602093593663</v>
      </c>
      <c r="AN1730">
        <v>0.99999999231904702</v>
      </c>
    </row>
    <row r="1731" spans="1:40" x14ac:dyDescent="0.25">
      <c r="A1731" t="str">
        <f>"20190303170253477"</f>
        <v>20190303170253477</v>
      </c>
      <c r="B1731" t="str">
        <f>"1551603773467624"</f>
        <v>1551603773467624</v>
      </c>
      <c r="C1731" t="s">
        <v>40</v>
      </c>
      <c r="D1731">
        <v>4.7856480000000001</v>
      </c>
      <c r="E1731">
        <v>0.49583460000000001</v>
      </c>
      <c r="F1731" t="s">
        <v>57</v>
      </c>
      <c r="G1731">
        <v>-190.72790000000001</v>
      </c>
      <c r="H1731" s="1">
        <v>1.7553919999999999E-6</v>
      </c>
      <c r="I1731">
        <v>294.29719999999998</v>
      </c>
      <c r="J1731">
        <v>-190.66669999999999</v>
      </c>
      <c r="K1731">
        <v>1.1196809999999999</v>
      </c>
      <c r="L1731">
        <v>332.30840000000001</v>
      </c>
      <c r="M1731">
        <v>6.1227749999999997E-2</v>
      </c>
      <c r="N1731">
        <v>-2.702491E-3</v>
      </c>
      <c r="O1731">
        <v>-0.99812020000000001</v>
      </c>
      <c r="P1731">
        <v>-2.1623719999999999E-2</v>
      </c>
      <c r="Q1731">
        <v>0.1483527</v>
      </c>
      <c r="R1731">
        <v>-0.98869810000000002</v>
      </c>
      <c r="S1731">
        <v>-3.4179689999999999E-3</v>
      </c>
      <c r="T1731">
        <v>-8.9074490000000006E-2</v>
      </c>
      <c r="U1731">
        <v>-3.047882</v>
      </c>
      <c r="V1731">
        <v>8.2231819999999997E-2</v>
      </c>
      <c r="W1731">
        <v>0.15095420000000001</v>
      </c>
      <c r="X1731">
        <v>0.98511459999999995</v>
      </c>
      <c r="Y1731">
        <v>6.2344150000000001E-2</v>
      </c>
      <c r="Z1731">
        <v>2.6400409999999999E-2</v>
      </c>
      <c r="AA1731">
        <v>0.99770550000000002</v>
      </c>
      <c r="AB1731">
        <v>32</v>
      </c>
      <c r="AC1731">
        <v>-6.1200000000013598E-2</v>
      </c>
      <c r="AD1731">
        <v>-1.1196792446079999</v>
      </c>
      <c r="AE1731">
        <v>-38.011200000000002</v>
      </c>
      <c r="AF1731">
        <v>2.38636322426099</v>
      </c>
      <c r="AG1731">
        <v>-1.1196792446079999</v>
      </c>
      <c r="AH1731">
        <v>37.903248381341598</v>
      </c>
      <c r="AI1731">
        <v>91.688709723064093</v>
      </c>
      <c r="AJ1731">
        <v>86.397450956859899</v>
      </c>
      <c r="AK1731">
        <v>37.994797655818502</v>
      </c>
      <c r="AL1731">
        <v>81.317772195529201</v>
      </c>
      <c r="AM1731">
        <v>85.228333362327007</v>
      </c>
      <c r="AN1731">
        <v>1.00000000892565</v>
      </c>
    </row>
    <row r="1732" spans="1:40" x14ac:dyDescent="0.25">
      <c r="A1732" t="str">
        <f>"20190303170253499"</f>
        <v>20190303170253499</v>
      </c>
      <c r="B1732" t="str">
        <f>"1551603773487146"</f>
        <v>1551603773487146</v>
      </c>
      <c r="C1732" t="s">
        <v>40</v>
      </c>
      <c r="D1732">
        <v>4.6674889999999998</v>
      </c>
      <c r="E1732">
        <v>0.49572280000000002</v>
      </c>
      <c r="F1732" t="s">
        <v>57</v>
      </c>
      <c r="G1732">
        <v>-190.739</v>
      </c>
      <c r="H1732" s="1">
        <v>3.302312E-6</v>
      </c>
      <c r="I1732">
        <v>289.88249999999999</v>
      </c>
      <c r="J1732">
        <v>-190.6473</v>
      </c>
      <c r="K1732">
        <v>1.119691</v>
      </c>
      <c r="L1732">
        <v>331.98840000000001</v>
      </c>
      <c r="M1732">
        <v>6.0928070000000001E-2</v>
      </c>
      <c r="N1732">
        <v>-2.7088820000000001E-3</v>
      </c>
      <c r="O1732">
        <v>-0.99813879999999999</v>
      </c>
      <c r="P1732">
        <v>-2.2890460000000001E-2</v>
      </c>
      <c r="Q1732">
        <v>0.14896389999999901</v>
      </c>
      <c r="R1732">
        <v>-0.98857810000000002</v>
      </c>
      <c r="S1732">
        <v>-5.1879880000000001E-3</v>
      </c>
      <c r="T1732">
        <v>-8.0393430000000002E-2</v>
      </c>
      <c r="U1732">
        <v>-3.0462039999999999</v>
      </c>
      <c r="V1732">
        <v>8.3190810000000004E-2</v>
      </c>
      <c r="W1732">
        <v>0.1515716</v>
      </c>
      <c r="X1732">
        <v>0.98493929999999996</v>
      </c>
      <c r="Y1732">
        <v>6.2625150000000004E-2</v>
      </c>
      <c r="Z1732">
        <v>2.357457E-2</v>
      </c>
      <c r="AA1732">
        <v>0.99775860000000005</v>
      </c>
      <c r="AB1732">
        <v>32</v>
      </c>
      <c r="AC1732">
        <v>-9.1700000000003001E-2</v>
      </c>
      <c r="AD1732">
        <v>-1.1196876976879999</v>
      </c>
      <c r="AE1732">
        <v>-42.105899999999998</v>
      </c>
      <c r="AF1732">
        <v>2.6550919360874201</v>
      </c>
      <c r="AG1732">
        <v>-1.1196876976879999</v>
      </c>
      <c r="AH1732">
        <v>41.992391769853697</v>
      </c>
      <c r="AI1732">
        <v>91.524333768353301</v>
      </c>
      <c r="AJ1732">
        <v>86.382122580313407</v>
      </c>
      <c r="AK1732">
        <v>42.091141351623001</v>
      </c>
      <c r="AL1732">
        <v>81.281986306759507</v>
      </c>
      <c r="AM1732">
        <v>85.172092414235095</v>
      </c>
      <c r="AN1732">
        <v>1.00000004273975</v>
      </c>
    </row>
    <row r="1733" spans="1:40" x14ac:dyDescent="0.25">
      <c r="A1733" t="str">
        <f>"20190303170253526"</f>
        <v>20190303170253526</v>
      </c>
      <c r="B1733" t="str">
        <f>"1551603773517401"</f>
        <v>1551603773517401</v>
      </c>
      <c r="C1733" t="s">
        <v>40</v>
      </c>
      <c r="D1733">
        <v>4.7314689999999997</v>
      </c>
      <c r="E1733">
        <v>0.49544660000000001</v>
      </c>
      <c r="F1733" t="s">
        <v>57</v>
      </c>
      <c r="G1733">
        <v>-190.78909999999999</v>
      </c>
      <c r="H1733" s="1">
        <v>3.8410250000000002E-6</v>
      </c>
      <c r="I1733">
        <v>284.42869999999999</v>
      </c>
      <c r="J1733">
        <v>-190.625</v>
      </c>
      <c r="K1733">
        <v>1.1196919999999999</v>
      </c>
      <c r="L1733">
        <v>331.61660000000001</v>
      </c>
      <c r="M1733">
        <v>6.05797E-2</v>
      </c>
      <c r="N1733">
        <v>-2.7192620000000001E-3</v>
      </c>
      <c r="O1733">
        <v>-0.99815989999999999</v>
      </c>
      <c r="P1733">
        <v>-2.4941999999999999E-2</v>
      </c>
      <c r="Q1733">
        <v>0.14896589999999901</v>
      </c>
      <c r="R1733">
        <v>-0.98852810000000002</v>
      </c>
      <c r="S1733">
        <v>-9.0789789999999992E-3</v>
      </c>
      <c r="T1733">
        <v>-7.1693060000000003E-2</v>
      </c>
      <c r="U1733">
        <v>-3.0452270000000001</v>
      </c>
      <c r="V1733">
        <v>8.4889809999999996E-2</v>
      </c>
      <c r="W1733">
        <v>0.15158389999999999</v>
      </c>
      <c r="X1733">
        <v>0.98479240000000001</v>
      </c>
      <c r="Y1733">
        <v>6.3552609999999995E-2</v>
      </c>
      <c r="Z1733">
        <v>2.0728730000000001E-2</v>
      </c>
      <c r="AA1733">
        <v>0.99776319999999996</v>
      </c>
      <c r="AB1733">
        <v>32</v>
      </c>
      <c r="AC1733">
        <v>-0.16409999999999</v>
      </c>
      <c r="AD1733">
        <v>-1.1196881589749901</v>
      </c>
      <c r="AE1733">
        <v>-47.187899999999999</v>
      </c>
      <c r="AF1733">
        <v>3.0207365638097401</v>
      </c>
      <c r="AG1733">
        <v>-1.1196881589749901</v>
      </c>
      <c r="AH1733">
        <v>47.064792559752</v>
      </c>
      <c r="AI1733">
        <v>91.360032582965502</v>
      </c>
      <c r="AJ1733">
        <v>86.327650096200202</v>
      </c>
      <c r="AK1733">
        <v>47.174921829863898</v>
      </c>
      <c r="AL1733">
        <v>81.281273085351799</v>
      </c>
      <c r="AM1733">
        <v>85.073241559295099</v>
      </c>
      <c r="AN1733">
        <v>1.0000000148393999</v>
      </c>
    </row>
    <row r="1734" spans="1:40" x14ac:dyDescent="0.25">
      <c r="A1734" t="str">
        <f>"20190303170253547"</f>
        <v>20190303170253547</v>
      </c>
      <c r="B1734" t="str">
        <f>"1551603773536921"</f>
        <v>1551603773536921</v>
      </c>
      <c r="C1734" t="s">
        <v>40</v>
      </c>
      <c r="D1734">
        <v>4.8419800000000004</v>
      </c>
      <c r="E1734">
        <v>0.49522690000000003</v>
      </c>
      <c r="F1734" t="s">
        <v>57</v>
      </c>
      <c r="G1734">
        <v>-190.86250000000001</v>
      </c>
      <c r="H1734" s="1">
        <v>4.4559489999999998E-6</v>
      </c>
      <c r="I1734">
        <v>278.91660000000002</v>
      </c>
      <c r="J1734">
        <v>-190.60570000000001</v>
      </c>
      <c r="K1734">
        <v>1.119686</v>
      </c>
      <c r="L1734">
        <v>331.2944</v>
      </c>
      <c r="M1734">
        <v>6.0277400000000002E-2</v>
      </c>
      <c r="N1734">
        <v>-2.7306629999999999E-3</v>
      </c>
      <c r="O1734">
        <v>-0.99817820000000002</v>
      </c>
      <c r="P1734">
        <v>-2.6562229999999999E-2</v>
      </c>
      <c r="Q1734">
        <v>0.14910039999999999</v>
      </c>
      <c r="R1734">
        <v>-0.9884657</v>
      </c>
      <c r="S1734">
        <v>-1.371765E-2</v>
      </c>
      <c r="T1734">
        <v>-6.4679500000000001E-2</v>
      </c>
      <c r="U1734">
        <v>-3.0442499999999999</v>
      </c>
      <c r="V1734">
        <v>8.620411E-2</v>
      </c>
      <c r="W1734">
        <v>0.15172859999999999</v>
      </c>
      <c r="X1734">
        <v>0.98465590000000003</v>
      </c>
      <c r="Y1734">
        <v>6.4771949999999995E-2</v>
      </c>
      <c r="Z1734">
        <v>1.8430820000000001E-2</v>
      </c>
      <c r="AA1734">
        <v>0.99772989999999995</v>
      </c>
      <c r="AB1734">
        <v>33</v>
      </c>
      <c r="AC1734">
        <v>-0.25679999999999797</v>
      </c>
      <c r="AD1734">
        <v>-1.119681544051</v>
      </c>
      <c r="AE1734">
        <v>-52.377799999999901</v>
      </c>
      <c r="AF1734">
        <v>3.4119824069958198</v>
      </c>
      <c r="AG1734">
        <v>-1.119681544051</v>
      </c>
      <c r="AH1734">
        <v>52.243206249665398</v>
      </c>
      <c r="AI1734">
        <v>91.225171517852004</v>
      </c>
      <c r="AJ1734">
        <v>86.263342780572202</v>
      </c>
      <c r="AK1734">
        <v>52.366476967147797</v>
      </c>
      <c r="AL1734">
        <v>81.272885052910695</v>
      </c>
      <c r="AM1734">
        <v>84.996657568795598</v>
      </c>
      <c r="AN1734">
        <v>0.99999997902183002</v>
      </c>
    </row>
    <row r="1735" spans="1:40" x14ac:dyDescent="0.25">
      <c r="A1735" t="str">
        <f>"20190303170253568"</f>
        <v>20190303170253568</v>
      </c>
      <c r="B1735" t="str">
        <f>"1551603773557417"</f>
        <v>1551603773557417</v>
      </c>
      <c r="C1735" t="s">
        <v>40</v>
      </c>
      <c r="D1735">
        <v>4.7282489999999999</v>
      </c>
      <c r="E1735">
        <v>0.49495859999999903</v>
      </c>
      <c r="F1735" t="s">
        <v>57</v>
      </c>
      <c r="G1735">
        <v>-190.9213</v>
      </c>
      <c r="H1735" s="1">
        <v>5.9704849999999996E-6</v>
      </c>
      <c r="I1735">
        <v>274.5883</v>
      </c>
      <c r="J1735">
        <v>-190.58750000000001</v>
      </c>
      <c r="K1735">
        <v>1.119688</v>
      </c>
      <c r="L1735">
        <v>330.98759999999999</v>
      </c>
      <c r="M1735">
        <v>5.9986690000000002E-2</v>
      </c>
      <c r="N1735">
        <v>-2.7433639999999999E-3</v>
      </c>
      <c r="O1735">
        <v>-0.99819559999999996</v>
      </c>
      <c r="P1735">
        <v>-2.778713E-2</v>
      </c>
      <c r="Q1735">
        <v>0.1502773</v>
      </c>
      <c r="R1735">
        <v>-0.98825379999999996</v>
      </c>
      <c r="S1735">
        <v>-1.6937259999999999E-2</v>
      </c>
      <c r="T1735">
        <v>-6.0096980000000001E-2</v>
      </c>
      <c r="U1735">
        <v>-3.0436100000000001</v>
      </c>
      <c r="V1735">
        <v>8.7128059999999993E-2</v>
      </c>
      <c r="W1735">
        <v>0.15291669999999999</v>
      </c>
      <c r="X1735">
        <v>0.98439080000000001</v>
      </c>
      <c r="Y1735">
        <v>6.5537890000000001E-2</v>
      </c>
      <c r="Z1735">
        <v>1.692339E-2</v>
      </c>
      <c r="AA1735">
        <v>0.99770650000000005</v>
      </c>
      <c r="AB1735">
        <v>33</v>
      </c>
      <c r="AC1735">
        <v>-0.33379999999999599</v>
      </c>
      <c r="AD1735">
        <v>-1.1196820295150001</v>
      </c>
      <c r="AE1735">
        <v>-56.399299999999897</v>
      </c>
      <c r="AF1735">
        <v>3.7149541543898001</v>
      </c>
      <c r="AG1735">
        <v>-1.1196820295150001</v>
      </c>
      <c r="AH1735">
        <v>56.255539144090903</v>
      </c>
      <c r="AI1735">
        <v>91.1377584257786</v>
      </c>
      <c r="AJ1735">
        <v>86.221837054774298</v>
      </c>
      <c r="AK1735">
        <v>56.389185635268603</v>
      </c>
      <c r="AL1735">
        <v>81.204008660698406</v>
      </c>
      <c r="AM1735">
        <v>84.941952763113093</v>
      </c>
      <c r="AN1735">
        <v>1.0000000315514399</v>
      </c>
    </row>
    <row r="1736" spans="1:40" x14ac:dyDescent="0.25">
      <c r="A1736" t="str">
        <f>"20190303170253589"</f>
        <v>20190303170253589</v>
      </c>
      <c r="B1736" t="str">
        <f>"1551603773576938"</f>
        <v>1551603773576938</v>
      </c>
      <c r="C1736" t="s">
        <v>40</v>
      </c>
      <c r="D1736">
        <v>4.7885489999999997</v>
      </c>
      <c r="E1736">
        <v>0.49474129999999999</v>
      </c>
      <c r="F1736" t="s">
        <v>42</v>
      </c>
      <c r="G1736">
        <v>-190.9864</v>
      </c>
      <c r="H1736" s="1">
        <v>-3.6519429999999998E-6</v>
      </c>
      <c r="I1736">
        <v>267.49009999999998</v>
      </c>
      <c r="J1736">
        <v>-190.5686</v>
      </c>
      <c r="K1736">
        <v>1.119688</v>
      </c>
      <c r="L1736">
        <v>330.66849999999999</v>
      </c>
      <c r="M1736">
        <v>5.9675579999999999E-2</v>
      </c>
      <c r="N1736">
        <v>-2.7580780000000002E-3</v>
      </c>
      <c r="O1736">
        <v>-0.99821420000000005</v>
      </c>
      <c r="P1736">
        <v>-2.8187779999999999E-2</v>
      </c>
      <c r="Q1736">
        <v>0.15064330000000001</v>
      </c>
      <c r="R1736">
        <v>-0.98818649999999997</v>
      </c>
      <c r="S1736">
        <v>-1.9119259999999999E-2</v>
      </c>
      <c r="T1736">
        <v>-5.3663969999999998E-2</v>
      </c>
      <c r="U1736">
        <v>-3.0432739999999998</v>
      </c>
      <c r="V1736">
        <v>8.7219030000000003E-2</v>
      </c>
      <c r="W1736">
        <v>0.1532955</v>
      </c>
      <c r="X1736">
        <v>0.98432379999999997</v>
      </c>
      <c r="Y1736">
        <v>6.5943210000000002E-2</v>
      </c>
      <c r="Z1736">
        <v>1.4806160000000001E-2</v>
      </c>
      <c r="AA1736">
        <v>0.99771350000000003</v>
      </c>
      <c r="AB1736">
        <v>33</v>
      </c>
      <c r="AC1736">
        <v>-0.41779999999999901</v>
      </c>
      <c r="AD1736">
        <v>-1.119691651943</v>
      </c>
      <c r="AE1736">
        <v>-63.178400000000003</v>
      </c>
      <c r="AF1736">
        <v>4.1859619779458797</v>
      </c>
      <c r="AG1736">
        <v>-1.119691651943</v>
      </c>
      <c r="AH1736">
        <v>63.021077963883997</v>
      </c>
      <c r="AI1736">
        <v>91.015626081680495</v>
      </c>
      <c r="AJ1736">
        <v>86.199903511744594</v>
      </c>
      <c r="AK1736">
        <v>63.169868250663498</v>
      </c>
      <c r="AL1736">
        <v>81.182045852019201</v>
      </c>
      <c r="AM1736">
        <v>84.936356265395304</v>
      </c>
      <c r="AN1736">
        <v>1.00000000638041</v>
      </c>
    </row>
    <row r="1737" spans="1:40" x14ac:dyDescent="0.25">
      <c r="A1737" t="str">
        <f>"20190303170253612"</f>
        <v>20190303170253612</v>
      </c>
      <c r="B1737" t="str">
        <f>"1551603773597433"</f>
        <v>1551603773597433</v>
      </c>
      <c r="C1737" t="s">
        <v>40</v>
      </c>
      <c r="D1737">
        <v>4.784618</v>
      </c>
      <c r="E1737">
        <v>0.4945406</v>
      </c>
      <c r="F1737" t="s">
        <v>42</v>
      </c>
      <c r="G1737">
        <v>-190.97839999999999</v>
      </c>
      <c r="H1737" s="1">
        <v>-1.4898779999999999E-6</v>
      </c>
      <c r="I1737">
        <v>262.45530000000002</v>
      </c>
      <c r="J1737">
        <v>-190.54920000000001</v>
      </c>
      <c r="K1737">
        <v>1.1196759999999999</v>
      </c>
      <c r="L1737">
        <v>330.33909999999997</v>
      </c>
      <c r="M1737">
        <v>5.9336069999999998E-2</v>
      </c>
      <c r="N1737">
        <v>-2.775151E-3</v>
      </c>
      <c r="O1737">
        <v>-0.99823450000000002</v>
      </c>
      <c r="P1737">
        <v>-2.7579289999999999E-2</v>
      </c>
      <c r="Q1737">
        <v>0.15014240000000001</v>
      </c>
      <c r="R1737">
        <v>-0.98827989999999999</v>
      </c>
      <c r="S1737">
        <v>-1.8280029999999999E-2</v>
      </c>
      <c r="T1737">
        <v>-4.9948930000000002E-2</v>
      </c>
      <c r="U1737">
        <v>-3.0429689999999998</v>
      </c>
      <c r="V1737">
        <v>8.6286169999999995E-2</v>
      </c>
      <c r="W1737">
        <v>0.1528101</v>
      </c>
      <c r="X1737">
        <v>0.98448150000000001</v>
      </c>
      <c r="Y1737">
        <v>6.5329520000000002E-2</v>
      </c>
      <c r="Z1737">
        <v>1.357594E-2</v>
      </c>
      <c r="AA1737">
        <v>0.99777139999999997</v>
      </c>
      <c r="AB1737">
        <v>33</v>
      </c>
      <c r="AC1737">
        <v>-0.42919999999997999</v>
      </c>
      <c r="AD1737">
        <v>-1.119677489878</v>
      </c>
      <c r="AE1737">
        <v>-67.883799999999894</v>
      </c>
      <c r="AF1737">
        <v>4.45520400373423</v>
      </c>
      <c r="AG1737">
        <v>-1.119677489878</v>
      </c>
      <c r="AH1737">
        <v>67.720302271852304</v>
      </c>
      <c r="AI1737">
        <v>90.945190799385699</v>
      </c>
      <c r="AJ1737">
        <v>86.236031720276401</v>
      </c>
      <c r="AK1737">
        <v>67.875929902928604</v>
      </c>
      <c r="AL1737">
        <v>81.210188984483693</v>
      </c>
      <c r="AM1737">
        <v>84.991036299598903</v>
      </c>
      <c r="AN1737">
        <v>1.0000000268187601</v>
      </c>
    </row>
    <row r="1738" spans="1:40" x14ac:dyDescent="0.25">
      <c r="A1738" t="str">
        <f>"20190303170253634"</f>
        <v>20190303170253634</v>
      </c>
      <c r="B1738" t="str">
        <f>"1551603773627689"</f>
        <v>1551603773627689</v>
      </c>
      <c r="C1738" t="s">
        <v>40</v>
      </c>
      <c r="D1738">
        <v>4.8369799999999996</v>
      </c>
      <c r="E1738">
        <v>0.4943765</v>
      </c>
      <c r="F1738" t="s">
        <v>42</v>
      </c>
      <c r="G1738">
        <v>-190.86859999999999</v>
      </c>
      <c r="H1738" s="1">
        <v>-1.4567200000000001E-6</v>
      </c>
      <c r="I1738">
        <v>262.4461</v>
      </c>
      <c r="J1738">
        <v>-190.52889999999999</v>
      </c>
      <c r="K1738">
        <v>1.1196459999999999</v>
      </c>
      <c r="L1738">
        <v>329.99090000000001</v>
      </c>
      <c r="M1738">
        <v>5.894696E-2</v>
      </c>
      <c r="N1738">
        <v>-2.7946910000000002E-3</v>
      </c>
      <c r="O1738">
        <v>-0.99825750000000002</v>
      </c>
      <c r="P1738">
        <v>-2.7362609999999999E-2</v>
      </c>
      <c r="Q1738">
        <v>0.14941160000000001</v>
      </c>
      <c r="R1738">
        <v>-0.98839650000000001</v>
      </c>
      <c r="S1738">
        <v>-1.4312739999999999E-2</v>
      </c>
      <c r="T1738">
        <v>-5.0181509999999999E-2</v>
      </c>
      <c r="U1738">
        <v>-3.0428160000000002</v>
      </c>
      <c r="V1738">
        <v>8.5700390000000001E-2</v>
      </c>
      <c r="W1738">
        <v>0.152094799999999</v>
      </c>
      <c r="X1738">
        <v>0.98464339999999995</v>
      </c>
      <c r="Y1738">
        <v>6.3639909999999994E-2</v>
      </c>
      <c r="Z1738">
        <v>1.363498E-2</v>
      </c>
      <c r="AA1738">
        <v>0.99787979999999998</v>
      </c>
      <c r="AB1738">
        <v>33</v>
      </c>
      <c r="AC1738">
        <v>-0.33969999999999301</v>
      </c>
      <c r="AD1738">
        <v>-1.1196474567200001</v>
      </c>
      <c r="AE1738">
        <v>-67.544799999999995</v>
      </c>
      <c r="AF1738">
        <v>4.3194974293006396</v>
      </c>
      <c r="AG1738">
        <v>-1.1196474567200001</v>
      </c>
      <c r="AH1738">
        <v>67.388805874678297</v>
      </c>
      <c r="AI1738">
        <v>90.949917827236504</v>
      </c>
      <c r="AJ1738">
        <v>86.332464122114601</v>
      </c>
      <c r="AK1738">
        <v>67.536381496820994</v>
      </c>
      <c r="AL1738">
        <v>81.251657196077403</v>
      </c>
      <c r="AM1738">
        <v>85.025683860376006</v>
      </c>
      <c r="AN1738">
        <v>1.0000000050983699</v>
      </c>
    </row>
    <row r="1739" spans="1:40" x14ac:dyDescent="0.25">
      <c r="A1739" t="str">
        <f>"20190303170253657"</f>
        <v>20190303170253657</v>
      </c>
      <c r="B1739" t="str">
        <f>"1551603773647210"</f>
        <v>1551603773647210</v>
      </c>
      <c r="C1739" t="s">
        <v>40</v>
      </c>
      <c r="D1739">
        <v>4.834625</v>
      </c>
      <c r="E1739">
        <v>0.49430059999999898</v>
      </c>
      <c r="F1739" t="s">
        <v>42</v>
      </c>
      <c r="G1739">
        <v>-190.8013</v>
      </c>
      <c r="H1739" s="1">
        <v>-1.5747989999999999E-6</v>
      </c>
      <c r="I1739">
        <v>262.76299999999998</v>
      </c>
      <c r="J1739">
        <v>-190.50899999999999</v>
      </c>
      <c r="K1739">
        <v>1.1196109999999999</v>
      </c>
      <c r="L1739">
        <v>329.64940000000001</v>
      </c>
      <c r="M1739">
        <v>5.8519050000000003E-2</v>
      </c>
      <c r="N1739">
        <v>-2.8156840000000002E-3</v>
      </c>
      <c r="O1739">
        <v>-0.99828229999999996</v>
      </c>
      <c r="P1739">
        <v>-2.776093E-2</v>
      </c>
      <c r="Q1739">
        <v>0.1492918</v>
      </c>
      <c r="R1739">
        <v>-0.98840360000000005</v>
      </c>
      <c r="S1739">
        <v>-1.2329100000000001E-2</v>
      </c>
      <c r="T1739">
        <v>-5.067253E-2</v>
      </c>
      <c r="U1739">
        <v>-3.0425719999999998</v>
      </c>
      <c r="V1739">
        <v>8.5687760000000002E-2</v>
      </c>
      <c r="W1739">
        <v>0.15198970000000001</v>
      </c>
      <c r="X1739">
        <v>0.98466070000000006</v>
      </c>
      <c r="Y1739">
        <v>6.2561909999999998E-2</v>
      </c>
      <c r="Z1739">
        <v>1.3777319999999999E-2</v>
      </c>
      <c r="AA1739">
        <v>0.997946</v>
      </c>
      <c r="AB1739">
        <v>33</v>
      </c>
      <c r="AC1739">
        <v>-0.29229999999998302</v>
      </c>
      <c r="AD1739">
        <v>-1.119612574799</v>
      </c>
      <c r="AE1739">
        <v>-66.886399999999995</v>
      </c>
      <c r="AF1739">
        <v>4.2047651332062097</v>
      </c>
      <c r="AG1739">
        <v>-1.119612574799</v>
      </c>
      <c r="AH1739">
        <v>66.735971432765794</v>
      </c>
      <c r="AI1739">
        <v>90.959244945623496</v>
      </c>
      <c r="AJ1739">
        <v>86.394788948848301</v>
      </c>
      <c r="AK1739">
        <v>66.877675387366807</v>
      </c>
      <c r="AL1739">
        <v>81.257749573211498</v>
      </c>
      <c r="AM1739">
        <v>85.026500212519096</v>
      </c>
      <c r="AN1739">
        <v>0.99999997762219806</v>
      </c>
    </row>
    <row r="1740" spans="1:40" x14ac:dyDescent="0.25">
      <c r="A1740" t="str">
        <f>"20190303170253678"</f>
        <v>20190303170253678</v>
      </c>
      <c r="B1740" t="str">
        <f>"1551603773667707"</f>
        <v>1551603773667707</v>
      </c>
      <c r="C1740" t="s">
        <v>40</v>
      </c>
      <c r="D1740">
        <v>4.8364159999999998</v>
      </c>
      <c r="E1740">
        <v>0.49417850000000002</v>
      </c>
      <c r="F1740" t="s">
        <v>42</v>
      </c>
      <c r="G1740">
        <v>-190.78970000000001</v>
      </c>
      <c r="H1740" s="1">
        <v>-1.274485E-6</v>
      </c>
      <c r="I1740">
        <v>262.0702</v>
      </c>
      <c r="J1740">
        <v>-190.4913</v>
      </c>
      <c r="K1740">
        <v>1.1195870000000001</v>
      </c>
      <c r="L1740">
        <v>329.34039999999999</v>
      </c>
      <c r="M1740">
        <v>5.809284E-2</v>
      </c>
      <c r="N1740">
        <v>-2.8356950000000001E-3</v>
      </c>
      <c r="O1740">
        <v>-0.99830739999999996</v>
      </c>
      <c r="P1740">
        <v>-2.863715E-2</v>
      </c>
      <c r="Q1740">
        <v>0.1505658</v>
      </c>
      <c r="R1740">
        <v>-0.98818550000000005</v>
      </c>
      <c r="S1740">
        <v>-1.2634279999999999E-2</v>
      </c>
      <c r="T1740">
        <v>-5.0405030000000003E-2</v>
      </c>
      <c r="U1740">
        <v>-3.0424190000000002</v>
      </c>
      <c r="V1740">
        <v>8.6143029999999995E-2</v>
      </c>
      <c r="W1740">
        <v>0.1532753</v>
      </c>
      <c r="X1740">
        <v>0.98442169999999896</v>
      </c>
      <c r="Y1740">
        <v>6.2236109999999997E-2</v>
      </c>
      <c r="Z1740">
        <v>1.3671340000000001E-2</v>
      </c>
      <c r="AA1740">
        <v>0.99796779999999996</v>
      </c>
      <c r="AB1740">
        <v>34</v>
      </c>
      <c r="AC1740">
        <v>-0.29840000000001499</v>
      </c>
      <c r="AD1740">
        <v>-1.1195882744850001</v>
      </c>
      <c r="AE1740">
        <v>-67.270199999999903</v>
      </c>
      <c r="AF1740">
        <v>4.2046631394611298</v>
      </c>
      <c r="AG1740">
        <v>-1.1195882744850001</v>
      </c>
      <c r="AH1740">
        <v>67.120665550108896</v>
      </c>
      <c r="AI1740">
        <v>90.953749107949704</v>
      </c>
      <c r="AJ1740">
        <v>86.415484480801496</v>
      </c>
      <c r="AK1740">
        <v>67.2615522710432</v>
      </c>
      <c r="AL1740">
        <v>81.183217112129796</v>
      </c>
      <c r="AM1740">
        <v>84.9990012601111</v>
      </c>
      <c r="AN1740">
        <v>1.00000001131928</v>
      </c>
    </row>
    <row r="1741" spans="1:40" x14ac:dyDescent="0.25">
      <c r="A1741" t="str">
        <f>"20190303170253700"</f>
        <v>20190303170253700</v>
      </c>
      <c r="B1741" t="str">
        <f>"1551603773687226"</f>
        <v>1551603773687226</v>
      </c>
      <c r="C1741" t="s">
        <v>40</v>
      </c>
      <c r="D1741">
        <v>4.8371890000000004</v>
      </c>
      <c r="E1741">
        <v>0.49409530000000002</v>
      </c>
      <c r="F1741" t="s">
        <v>42</v>
      </c>
      <c r="G1741">
        <v>-190.83269999999999</v>
      </c>
      <c r="H1741" s="1">
        <v>-2.696072E-6</v>
      </c>
      <c r="I1741">
        <v>255.35730000000001</v>
      </c>
      <c r="J1741">
        <v>-190.47190000000001</v>
      </c>
      <c r="K1741">
        <v>1.1195440000000001</v>
      </c>
      <c r="L1741">
        <v>328.99939999999998</v>
      </c>
      <c r="M1741">
        <v>5.7581010000000002E-2</v>
      </c>
      <c r="N1741">
        <v>-2.8587679999999998E-3</v>
      </c>
      <c r="O1741">
        <v>-0.99833689999999997</v>
      </c>
      <c r="P1741">
        <v>-2.8931439999999999E-2</v>
      </c>
      <c r="Q1741">
        <v>0.15094260000000001</v>
      </c>
      <c r="R1741">
        <v>-0.98811899999999997</v>
      </c>
      <c r="S1741">
        <v>-1.403809E-2</v>
      </c>
      <c r="T1741">
        <v>-4.6041970000000002E-2</v>
      </c>
      <c r="U1741">
        <v>-3.0424799999999999</v>
      </c>
      <c r="V1741">
        <v>8.5942640000000001E-2</v>
      </c>
      <c r="W1741">
        <v>0.15366679999999999</v>
      </c>
      <c r="X1741">
        <v>0.98437819999999998</v>
      </c>
      <c r="Y1741">
        <v>6.2185009999999999E-2</v>
      </c>
      <c r="Z1741">
        <v>1.222004E-2</v>
      </c>
      <c r="AA1741">
        <v>0.99798980000000004</v>
      </c>
      <c r="AB1741">
        <v>34</v>
      </c>
      <c r="AC1741">
        <v>-0.36079999999998302</v>
      </c>
      <c r="AD1741">
        <v>-1.119546696072</v>
      </c>
      <c r="AE1741">
        <v>-73.6420999999999</v>
      </c>
      <c r="AF1741">
        <v>4.5995415264161199</v>
      </c>
      <c r="AG1741">
        <v>-1.119546696072</v>
      </c>
      <c r="AH1741">
        <v>73.482156922172905</v>
      </c>
      <c r="AI1741">
        <v>90.871164878340693</v>
      </c>
      <c r="AJ1741">
        <v>86.418301278664799</v>
      </c>
      <c r="AK1741">
        <v>73.634479376123494</v>
      </c>
      <c r="AL1741">
        <v>81.160517070000594</v>
      </c>
      <c r="AM1741">
        <v>85.010356656927797</v>
      </c>
      <c r="AN1741">
        <v>1.00000003171382</v>
      </c>
    </row>
    <row r="1742" spans="1:40" x14ac:dyDescent="0.25">
      <c r="A1742" t="str">
        <f>"20190303170253724"</f>
        <v>20190303170253724</v>
      </c>
      <c r="B1742" t="str">
        <f>"1551603773717481"</f>
        <v>1551603773717481</v>
      </c>
      <c r="C1742" t="s">
        <v>40</v>
      </c>
      <c r="D1742">
        <v>4.7840099999999897</v>
      </c>
      <c r="E1742">
        <v>0.49395109999999998</v>
      </c>
      <c r="F1742" t="s">
        <v>42</v>
      </c>
      <c r="G1742">
        <v>-190.83539999999999</v>
      </c>
      <c r="H1742" s="1">
        <v>-1.182389E-6</v>
      </c>
      <c r="I1742">
        <v>251.8272</v>
      </c>
      <c r="J1742">
        <v>-190.45189999999999</v>
      </c>
      <c r="K1742">
        <v>1.1194980000000001</v>
      </c>
      <c r="L1742">
        <v>328.64299999999997</v>
      </c>
      <c r="M1742">
        <v>5.6997190000000003E-2</v>
      </c>
      <c r="N1742">
        <v>-2.8838119999999999E-3</v>
      </c>
      <c r="O1742">
        <v>-0.99837010000000004</v>
      </c>
      <c r="P1742">
        <v>-2.885302E-2</v>
      </c>
      <c r="Q1742">
        <v>0.15021010000000001</v>
      </c>
      <c r="R1742">
        <v>-0.98823300000000003</v>
      </c>
      <c r="S1742">
        <v>-1.4328E-2</v>
      </c>
      <c r="T1742">
        <v>-4.4135809999999998E-2</v>
      </c>
      <c r="U1742">
        <v>-3.0423580000000001</v>
      </c>
      <c r="V1742">
        <v>8.5309300000000005E-2</v>
      </c>
      <c r="W1742">
        <v>0.15295149999999999</v>
      </c>
      <c r="X1742">
        <v>0.98454459999999999</v>
      </c>
      <c r="Y1742">
        <v>6.1696729999999998E-2</v>
      </c>
      <c r="Z1742">
        <v>1.157235E-2</v>
      </c>
      <c r="AA1742">
        <v>0.99802789999999997</v>
      </c>
      <c r="AB1742">
        <v>34</v>
      </c>
      <c r="AC1742">
        <v>-0.38349999999999801</v>
      </c>
      <c r="AD1742">
        <v>-1.1194991823889999</v>
      </c>
      <c r="AE1742">
        <v>-76.815799999999996</v>
      </c>
      <c r="AF1742">
        <v>4.7601688138545102</v>
      </c>
      <c r="AG1742">
        <v>-1.1194991823889999</v>
      </c>
      <c r="AH1742">
        <v>76.652783617054993</v>
      </c>
      <c r="AI1742">
        <v>90.8351258300182</v>
      </c>
      <c r="AJ1742">
        <v>86.4464722815177</v>
      </c>
      <c r="AK1742">
        <v>76.808604477615802</v>
      </c>
      <c r="AL1742">
        <v>81.201990342711994</v>
      </c>
      <c r="AM1742">
        <v>85.047776375063705</v>
      </c>
      <c r="AN1742">
        <v>0.99999995370394801</v>
      </c>
    </row>
    <row r="1743" spans="1:40" x14ac:dyDescent="0.25">
      <c r="A1743" t="str">
        <f>"20190303170253748"</f>
        <v>20190303170253748</v>
      </c>
      <c r="B1743" t="str">
        <f>"1551603773737001"</f>
        <v>1551603773737001</v>
      </c>
      <c r="C1743" t="s">
        <v>40</v>
      </c>
      <c r="D1743">
        <v>4.8402580000000004</v>
      </c>
      <c r="E1743">
        <v>0.4938573</v>
      </c>
      <c r="F1743" t="s">
        <v>42</v>
      </c>
      <c r="G1743">
        <v>-190.7714</v>
      </c>
      <c r="H1743" s="1">
        <v>-2.4579109999999999E-6</v>
      </c>
      <c r="I1743">
        <v>254.84010000000001</v>
      </c>
      <c r="J1743">
        <v>-190.43219999999999</v>
      </c>
      <c r="K1743">
        <v>1.1194539999999999</v>
      </c>
      <c r="L1743">
        <v>328.28859999999997</v>
      </c>
      <c r="M1743">
        <v>5.6359680000000002E-2</v>
      </c>
      <c r="N1743">
        <v>-2.9095229999999998E-3</v>
      </c>
      <c r="O1743">
        <v>-0.99840620000000002</v>
      </c>
      <c r="P1743">
        <v>-2.9289630000000001E-2</v>
      </c>
      <c r="Q1743">
        <v>0.1496566</v>
      </c>
      <c r="R1743">
        <v>-0.98830410000000002</v>
      </c>
      <c r="S1743">
        <v>-1.3168330000000001E-2</v>
      </c>
      <c r="T1743">
        <v>-4.6148420000000002E-2</v>
      </c>
      <c r="U1743">
        <v>-3.0423279999999999</v>
      </c>
      <c r="V1743">
        <v>8.5136000000000003E-2</v>
      </c>
      <c r="W1743">
        <v>0.152415299999999</v>
      </c>
      <c r="X1743">
        <v>0.98464280000000004</v>
      </c>
      <c r="Y1743">
        <v>6.0678919999999997E-2</v>
      </c>
      <c r="Z1743">
        <v>1.220722E-2</v>
      </c>
      <c r="AA1743">
        <v>0.99808269999999999</v>
      </c>
      <c r="AB1743">
        <v>34</v>
      </c>
      <c r="AC1743">
        <v>-0.339200000000005</v>
      </c>
      <c r="AD1743">
        <v>-1.119456457911</v>
      </c>
      <c r="AE1743">
        <v>-73.448499999999896</v>
      </c>
      <c r="AF1743">
        <v>4.4771726760320103</v>
      </c>
      <c r="AG1743">
        <v>-1.119456457911</v>
      </c>
      <c r="AH1743">
        <v>73.2956113368963</v>
      </c>
      <c r="AI1743">
        <v>90.873392601356699</v>
      </c>
      <c r="AJ1743">
        <v>86.504500644845706</v>
      </c>
      <c r="AK1743">
        <v>73.440757751956298</v>
      </c>
      <c r="AL1743">
        <v>81.233077260311404</v>
      </c>
      <c r="AM1743">
        <v>85.058277055048507</v>
      </c>
      <c r="AN1743">
        <v>1.0000000028809599</v>
      </c>
    </row>
    <row r="1744" spans="1:40" x14ac:dyDescent="0.25">
      <c r="A1744" t="str">
        <f>"20190303170253770"</f>
        <v>20190303170253770</v>
      </c>
      <c r="B1744" t="str">
        <f>"1551603773757498"</f>
        <v>1551603773757498</v>
      </c>
      <c r="C1744" t="s">
        <v>40</v>
      </c>
      <c r="D1744">
        <v>4.8444370000000001</v>
      </c>
      <c r="E1744">
        <v>0.49374059999999997</v>
      </c>
      <c r="F1744" t="s">
        <v>42</v>
      </c>
      <c r="G1744">
        <v>-190.7525</v>
      </c>
      <c r="H1744" s="1">
        <v>-3.2563979999999998E-6</v>
      </c>
      <c r="I1744">
        <v>256.71319999999997</v>
      </c>
      <c r="J1744">
        <v>-190.41319999999999</v>
      </c>
      <c r="K1744">
        <v>1.119407</v>
      </c>
      <c r="L1744">
        <v>327.94069999999999</v>
      </c>
      <c r="M1744">
        <v>5.5672399999999997E-2</v>
      </c>
      <c r="N1744">
        <v>-2.935446E-3</v>
      </c>
      <c r="O1744">
        <v>-0.99844480000000002</v>
      </c>
      <c r="P1744">
        <v>-3.0749309999999998E-2</v>
      </c>
      <c r="Q1744">
        <v>0.14977460000000001</v>
      </c>
      <c r="R1744">
        <v>-0.98824179999999995</v>
      </c>
      <c r="S1744">
        <v>-1.3610840000000001E-2</v>
      </c>
      <c r="T1744">
        <v>-4.758275E-2</v>
      </c>
      <c r="U1744">
        <v>-3.0423279999999999</v>
      </c>
      <c r="V1744">
        <v>8.5930300000000001E-2</v>
      </c>
      <c r="W1744">
        <v>0.15254719999999999</v>
      </c>
      <c r="X1744">
        <v>0.98455340000000002</v>
      </c>
      <c r="Y1744">
        <v>6.0136920000000003E-2</v>
      </c>
      <c r="Z1744">
        <v>1.2652200000000001E-2</v>
      </c>
      <c r="AA1744">
        <v>0.99810989999999999</v>
      </c>
      <c r="AB1744">
        <v>34</v>
      </c>
      <c r="AC1744">
        <v>-0.33930000000000798</v>
      </c>
      <c r="AD1744">
        <v>-1.119410256398</v>
      </c>
      <c r="AE1744">
        <v>-71.227500000000006</v>
      </c>
      <c r="AF1744">
        <v>4.3031338087205802</v>
      </c>
      <c r="AG1744">
        <v>-1.119410256398</v>
      </c>
      <c r="AH1744">
        <v>71.080585884582703</v>
      </c>
      <c r="AI1744">
        <v>90.900597564495399</v>
      </c>
      <c r="AJ1744">
        <v>86.535610052006604</v>
      </c>
      <c r="AK1744">
        <v>71.219517897788506</v>
      </c>
      <c r="AL1744">
        <v>81.225430778201201</v>
      </c>
      <c r="AM1744">
        <v>85.011952769034394</v>
      </c>
      <c r="AN1744">
        <v>1.00000003106874</v>
      </c>
    </row>
    <row r="1745" spans="1:40" x14ac:dyDescent="0.25">
      <c r="A1745" t="str">
        <f>"20190303170253803"</f>
        <v>20190303170253803</v>
      </c>
      <c r="B1745" t="str">
        <f>"1551603773797652"</f>
        <v>1551603773797652</v>
      </c>
      <c r="C1745" t="s">
        <v>40</v>
      </c>
      <c r="D1745">
        <v>4.778956</v>
      </c>
      <c r="E1745">
        <v>0.49360310000000002</v>
      </c>
      <c r="F1745" t="s">
        <v>42</v>
      </c>
      <c r="G1745">
        <v>-190.80889999999999</v>
      </c>
      <c r="H1745" s="1">
        <v>-2.6020069999999998E-6</v>
      </c>
      <c r="I1745">
        <v>255.15270000000001</v>
      </c>
      <c r="J1745">
        <v>-190.38630000000001</v>
      </c>
      <c r="K1745">
        <v>1.119332</v>
      </c>
      <c r="L1745">
        <v>327.43939999999998</v>
      </c>
      <c r="M1745">
        <v>5.4553539999999998E-2</v>
      </c>
      <c r="N1745">
        <v>-2.9684120000000001E-3</v>
      </c>
      <c r="O1745">
        <v>-0.99850649999999996</v>
      </c>
      <c r="P1745">
        <v>-3.3488459999999998E-2</v>
      </c>
      <c r="Q1745">
        <v>0.15140239999999999</v>
      </c>
      <c r="R1745">
        <v>-0.98790480000000003</v>
      </c>
      <c r="S1745">
        <v>-1.6540530000000001E-2</v>
      </c>
      <c r="T1745">
        <v>-4.6787139999999998E-2</v>
      </c>
      <c r="U1745">
        <v>-3.0422669999999998</v>
      </c>
      <c r="V1745">
        <v>8.7577660000000002E-2</v>
      </c>
      <c r="W1745">
        <v>0.1541855</v>
      </c>
      <c r="X1745">
        <v>0.9841529</v>
      </c>
      <c r="Y1745">
        <v>5.9979650000000002E-2</v>
      </c>
      <c r="Z1745">
        <v>1.2360350000000001E-2</v>
      </c>
      <c r="AA1745">
        <v>0.99812299999999998</v>
      </c>
      <c r="AB1745">
        <v>34</v>
      </c>
      <c r="AC1745">
        <v>-0.42259999999998799</v>
      </c>
      <c r="AD1745">
        <v>-1.1193346020070001</v>
      </c>
      <c r="AE1745">
        <v>-72.286699999999897</v>
      </c>
      <c r="AF1745">
        <v>4.3644367296219704</v>
      </c>
      <c r="AG1745">
        <v>-1.1193346020070001</v>
      </c>
      <c r="AH1745">
        <v>72.138702238877997</v>
      </c>
      <c r="AI1745">
        <v>90.887331982436393</v>
      </c>
      <c r="AJ1745">
        <v>86.5377895619811</v>
      </c>
      <c r="AK1745">
        <v>72.2792748900238</v>
      </c>
      <c r="AL1745">
        <v>81.130438766392103</v>
      </c>
      <c r="AM1745">
        <v>84.914766043809493</v>
      </c>
      <c r="AN1745">
        <v>0.99999997275986696</v>
      </c>
    </row>
    <row r="1746" spans="1:40" x14ac:dyDescent="0.25">
      <c r="A1746" t="str">
        <f>"20190303170253824"</f>
        <v>20190303170253824</v>
      </c>
      <c r="B1746" t="str">
        <f>"1551603773817173"</f>
        <v>1551603773817173</v>
      </c>
      <c r="C1746" t="s">
        <v>40</v>
      </c>
      <c r="D1746">
        <v>4.8435249999999996</v>
      </c>
      <c r="E1746">
        <v>0.49351830000000002</v>
      </c>
      <c r="F1746" t="s">
        <v>42</v>
      </c>
      <c r="G1746">
        <v>-191.0085</v>
      </c>
      <c r="H1746" s="1">
        <v>-2.7537430000000001E-6</v>
      </c>
      <c r="I1746">
        <v>244.8494</v>
      </c>
      <c r="J1746">
        <v>-190.36789999999999</v>
      </c>
      <c r="K1746">
        <v>1.119264</v>
      </c>
      <c r="L1746">
        <v>327.089</v>
      </c>
      <c r="M1746">
        <v>5.3680989999999998E-2</v>
      </c>
      <c r="N1746">
        <v>-2.9849159999999998E-3</v>
      </c>
      <c r="O1746">
        <v>-0.99855380000000005</v>
      </c>
      <c r="P1746">
        <v>-3.5144099999999998E-2</v>
      </c>
      <c r="Q1746">
        <v>0.1521844</v>
      </c>
      <c r="R1746">
        <v>-0.98772700000000002</v>
      </c>
      <c r="S1746">
        <v>-2.29187E-2</v>
      </c>
      <c r="T1746">
        <v>-4.1231160000000003E-2</v>
      </c>
      <c r="U1746">
        <v>-3.0422359999999999</v>
      </c>
      <c r="V1746">
        <v>8.8387370000000007E-2</v>
      </c>
      <c r="W1746">
        <v>0.15496760000000001</v>
      </c>
      <c r="X1746">
        <v>0.98395770000000005</v>
      </c>
      <c r="Y1746">
        <v>6.1200200000000003E-2</v>
      </c>
      <c r="Z1746">
        <v>1.0524159999999999E-2</v>
      </c>
      <c r="AA1746">
        <v>0.99807000000000001</v>
      </c>
      <c r="AB1746">
        <v>35</v>
      </c>
      <c r="AC1746">
        <v>-0.64060000000000605</v>
      </c>
      <c r="AD1746">
        <v>-1.1192667537430001</v>
      </c>
      <c r="AE1746">
        <v>-82.239599999999996</v>
      </c>
      <c r="AF1746">
        <v>5.0534626116717796</v>
      </c>
      <c r="AG1746">
        <v>-1.1192667537430001</v>
      </c>
      <c r="AH1746">
        <v>82.0714315212158</v>
      </c>
      <c r="AI1746">
        <v>90.779858270386498</v>
      </c>
      <c r="AJ1746">
        <v>86.476520687822003</v>
      </c>
      <c r="AK1746">
        <v>82.234482514181494</v>
      </c>
      <c r="AL1746">
        <v>81.085083013286194</v>
      </c>
      <c r="AM1746">
        <v>84.866987153757705</v>
      </c>
      <c r="AN1746">
        <v>1.00000001980728</v>
      </c>
    </row>
    <row r="1747" spans="1:40" x14ac:dyDescent="0.25">
      <c r="A1747" t="str">
        <f>"20190303170253847"</f>
        <v>20190303170253847</v>
      </c>
      <c r="B1747" t="str">
        <f>"1551603773837669"</f>
        <v>1551603773837669</v>
      </c>
      <c r="C1747" t="s">
        <v>40</v>
      </c>
      <c r="D1747">
        <v>4.8373049999999997</v>
      </c>
      <c r="E1747">
        <v>0.493394</v>
      </c>
      <c r="F1747" t="s">
        <v>42</v>
      </c>
      <c r="G1747">
        <v>-191.17060000000001</v>
      </c>
      <c r="H1747" s="1">
        <v>-4.8594499999999997E-6</v>
      </c>
      <c r="I1747">
        <v>239.3997</v>
      </c>
      <c r="J1747">
        <v>-190.35</v>
      </c>
      <c r="K1747">
        <v>1.119186</v>
      </c>
      <c r="L1747">
        <v>326.7423</v>
      </c>
      <c r="M1747">
        <v>5.2747750000000003E-2</v>
      </c>
      <c r="N1747">
        <v>-2.997932E-3</v>
      </c>
      <c r="O1747">
        <v>-0.99860360000000004</v>
      </c>
      <c r="P1747">
        <v>-3.6440599999999997E-2</v>
      </c>
      <c r="Q1747">
        <v>0.15209919999999999</v>
      </c>
      <c r="R1747">
        <v>-0.98769370000000001</v>
      </c>
      <c r="S1747">
        <v>-2.784729E-2</v>
      </c>
      <c r="T1747">
        <v>-3.8831589999999999E-2</v>
      </c>
      <c r="U1747">
        <v>-3.0422669999999998</v>
      </c>
      <c r="V1747">
        <v>8.8785509999999998E-2</v>
      </c>
      <c r="W1747">
        <v>0.15487999999999999</v>
      </c>
      <c r="X1747">
        <v>0.98393569999999997</v>
      </c>
      <c r="Y1747">
        <v>6.1884210000000002E-2</v>
      </c>
      <c r="Z1747">
        <v>9.7253740000000002E-3</v>
      </c>
      <c r="AA1747">
        <v>0.99803600000000003</v>
      </c>
      <c r="AB1747">
        <v>35</v>
      </c>
      <c r="AC1747">
        <v>-0.82060000000001299</v>
      </c>
      <c r="AD1747">
        <v>-1.11919085945</v>
      </c>
      <c r="AE1747">
        <v>-87.342600000000004</v>
      </c>
      <c r="AF1747">
        <v>5.4257120858150403</v>
      </c>
      <c r="AG1747">
        <v>-1.11919085945</v>
      </c>
      <c r="AH1747">
        <v>87.163411176555499</v>
      </c>
      <c r="AI1747">
        <v>90.734224762235797</v>
      </c>
      <c r="AJ1747">
        <v>86.438071734713006</v>
      </c>
      <c r="AK1747">
        <v>87.339287767598194</v>
      </c>
      <c r="AL1747">
        <v>81.090163926636194</v>
      </c>
      <c r="AM1747">
        <v>84.843875235422303</v>
      </c>
      <c r="AN1747">
        <v>1.00000007146022</v>
      </c>
    </row>
    <row r="1748" spans="1:40" x14ac:dyDescent="0.25">
      <c r="A1748" t="str">
        <f>"20190303170253868"</f>
        <v>20190303170253868</v>
      </c>
      <c r="B1748" t="str">
        <f>"1551603773857189"</f>
        <v>1551603773857189</v>
      </c>
      <c r="C1748" t="s">
        <v>40</v>
      </c>
      <c r="D1748">
        <v>4.8357700000000001</v>
      </c>
      <c r="E1748">
        <v>0.49327130000000002</v>
      </c>
      <c r="F1748" t="s">
        <v>42</v>
      </c>
      <c r="G1748">
        <v>-191.2467</v>
      </c>
      <c r="H1748" s="1">
        <v>-4.8116029999999997E-6</v>
      </c>
      <c r="I1748">
        <v>239.23990000000001</v>
      </c>
      <c r="J1748">
        <v>-190.3331</v>
      </c>
      <c r="K1748">
        <v>1.119103</v>
      </c>
      <c r="L1748">
        <v>326.40699999999998</v>
      </c>
      <c r="M1748">
        <v>5.1769620000000002E-2</v>
      </c>
      <c r="N1748">
        <v>-3.009875E-3</v>
      </c>
      <c r="O1748">
        <v>-0.9986545</v>
      </c>
      <c r="P1748">
        <v>-3.7848729999999997E-2</v>
      </c>
      <c r="Q1748">
        <v>0.15144160000000001</v>
      </c>
      <c r="R1748">
        <v>-0.9877416</v>
      </c>
      <c r="S1748">
        <v>-3.117371E-2</v>
      </c>
      <c r="T1748">
        <v>-3.8911460000000002E-2</v>
      </c>
      <c r="U1748">
        <v>-3.0422359999999999</v>
      </c>
      <c r="V1748">
        <v>8.9254929999999996E-2</v>
      </c>
      <c r="W1748">
        <v>0.1542181</v>
      </c>
      <c r="X1748">
        <v>0.98399709999999996</v>
      </c>
      <c r="Y1748">
        <v>6.1997869999999997E-2</v>
      </c>
      <c r="Z1748">
        <v>9.7405200000000008E-3</v>
      </c>
      <c r="AA1748">
        <v>0.99802880000000005</v>
      </c>
      <c r="AB1748">
        <v>35</v>
      </c>
      <c r="AC1748">
        <v>-0.91360000000000197</v>
      </c>
      <c r="AD1748">
        <v>-1.119107811603</v>
      </c>
      <c r="AE1748">
        <v>-87.167099999999905</v>
      </c>
      <c r="AF1748">
        <v>5.4241091052320902</v>
      </c>
      <c r="AG1748">
        <v>-1.119107811603</v>
      </c>
      <c r="AH1748">
        <v>86.988578803750499</v>
      </c>
      <c r="AI1748">
        <v>90.735640812809606</v>
      </c>
      <c r="AJ1748">
        <v>86.4319830724328</v>
      </c>
      <c r="AK1748">
        <v>87.164707331440994</v>
      </c>
      <c r="AL1748">
        <v>81.128548367409195</v>
      </c>
      <c r="AM1748">
        <v>84.817083932604305</v>
      </c>
      <c r="AN1748">
        <v>0.99999997885266201</v>
      </c>
    </row>
    <row r="1749" spans="1:40" x14ac:dyDescent="0.25">
      <c r="A1749" t="str">
        <f>"20190303170253890"</f>
        <v>20190303170253890</v>
      </c>
      <c r="B1749" t="str">
        <f>"1551603773877310"</f>
        <v>1551603773877310</v>
      </c>
      <c r="C1749" t="s">
        <v>40</v>
      </c>
      <c r="D1749">
        <v>4.7203220000000004</v>
      </c>
      <c r="E1749">
        <v>0.49315409999999998</v>
      </c>
      <c r="F1749" t="s">
        <v>42</v>
      </c>
      <c r="G1749">
        <v>-191.2842</v>
      </c>
      <c r="H1749" s="1">
        <v>-1.685361E-6</v>
      </c>
      <c r="I1749">
        <v>242.4341</v>
      </c>
      <c r="J1749">
        <v>-190.3159</v>
      </c>
      <c r="K1749">
        <v>1.119016</v>
      </c>
      <c r="L1749">
        <v>326.05700000000002</v>
      </c>
      <c r="M1749">
        <v>5.0666210000000003E-2</v>
      </c>
      <c r="N1749">
        <v>-3.0231250000000002E-3</v>
      </c>
      <c r="O1749">
        <v>-0.99871120000000002</v>
      </c>
      <c r="P1749">
        <v>-3.942379E-2</v>
      </c>
      <c r="Q1749">
        <v>0.15064069999999999</v>
      </c>
      <c r="R1749">
        <v>-0.98780239999999997</v>
      </c>
      <c r="S1749">
        <v>-3.4454350000000002E-2</v>
      </c>
      <c r="T1749">
        <v>-4.054141E-2</v>
      </c>
      <c r="U1749">
        <v>-3.0420530000000001</v>
      </c>
      <c r="V1749">
        <v>8.9770550000000005E-2</v>
      </c>
      <c r="W1749">
        <v>0.1534124</v>
      </c>
      <c r="X1749">
        <v>0.98407610000000001</v>
      </c>
      <c r="Y1749">
        <v>6.19718E-2</v>
      </c>
      <c r="Z1749">
        <v>1.0263110000000001E-2</v>
      </c>
      <c r="AA1749">
        <v>0.9980251</v>
      </c>
      <c r="AB1749">
        <v>35</v>
      </c>
      <c r="AC1749">
        <v>-0.96829999999999905</v>
      </c>
      <c r="AD1749">
        <v>-1.1190176853610001</v>
      </c>
      <c r="AE1749">
        <v>-83.622900000000001</v>
      </c>
      <c r="AF1749">
        <v>5.2029989800278598</v>
      </c>
      <c r="AG1749">
        <v>-1.1190176853610001</v>
      </c>
      <c r="AH1749">
        <v>83.451495386232807</v>
      </c>
      <c r="AI1749">
        <v>90.766755799624406</v>
      </c>
      <c r="AJ1749">
        <v>86.432364615984199</v>
      </c>
      <c r="AK1749">
        <v>83.621022961721494</v>
      </c>
      <c r="AL1749">
        <v>81.175267239442107</v>
      </c>
      <c r="AM1749">
        <v>84.787723196536703</v>
      </c>
      <c r="AN1749">
        <v>0.99999994335613396</v>
      </c>
    </row>
    <row r="1750" spans="1:40" x14ac:dyDescent="0.25">
      <c r="A1750" t="str">
        <f>"20190303170253914"</f>
        <v>20190303170253914</v>
      </c>
      <c r="B1750" t="str">
        <f>"1551603773907566"</f>
        <v>1551603773907566</v>
      </c>
      <c r="C1750" t="s">
        <v>40</v>
      </c>
      <c r="D1750">
        <v>4.664898</v>
      </c>
      <c r="E1750">
        <v>0.4929578</v>
      </c>
      <c r="F1750" t="s">
        <v>42</v>
      </c>
      <c r="G1750">
        <v>-191.30609999999999</v>
      </c>
      <c r="H1750" s="1">
        <v>-3.6075729999999999E-6</v>
      </c>
      <c r="I1750">
        <v>246.48820000000001</v>
      </c>
      <c r="J1750">
        <v>-190.2978</v>
      </c>
      <c r="K1750">
        <v>1.118922</v>
      </c>
      <c r="L1750">
        <v>325.67910000000001</v>
      </c>
      <c r="M1750">
        <v>4.938588E-2</v>
      </c>
      <c r="N1750">
        <v>-3.038551E-3</v>
      </c>
      <c r="O1750">
        <v>-0.99877519999999997</v>
      </c>
      <c r="P1750">
        <v>-3.985959E-2</v>
      </c>
      <c r="Q1750">
        <v>0.1497387</v>
      </c>
      <c r="R1750">
        <v>-0.98792170000000001</v>
      </c>
      <c r="S1750">
        <v>-3.7857059999999998E-2</v>
      </c>
      <c r="T1750">
        <v>-4.2782069999999998E-2</v>
      </c>
      <c r="U1750">
        <v>-3.0420530000000001</v>
      </c>
      <c r="V1750">
        <v>8.8979499999999906E-2</v>
      </c>
      <c r="W1750">
        <v>0.15250999999999901</v>
      </c>
      <c r="X1750">
        <v>0.98428819999999995</v>
      </c>
      <c r="Y1750">
        <v>6.1808349999999998E-2</v>
      </c>
      <c r="Z1750">
        <v>1.098318E-2</v>
      </c>
      <c r="AA1750">
        <v>0.99802760000000001</v>
      </c>
      <c r="AB1750">
        <v>35</v>
      </c>
      <c r="AC1750">
        <v>-1.00829999999999</v>
      </c>
      <c r="AD1750">
        <v>-1.1189256075730001</v>
      </c>
      <c r="AE1750">
        <v>-79.190899999999999</v>
      </c>
      <c r="AF1750">
        <v>4.91701829682862</v>
      </c>
      <c r="AG1750">
        <v>-1.1189256075730001</v>
      </c>
      <c r="AH1750">
        <v>79.028697340074103</v>
      </c>
      <c r="AI1750">
        <v>90.8096011970419</v>
      </c>
      <c r="AJ1750">
        <v>86.439752643733996</v>
      </c>
      <c r="AK1750">
        <v>79.189418906288694</v>
      </c>
      <c r="AL1750">
        <v>81.227586752890105</v>
      </c>
      <c r="AM1750">
        <v>84.834510940225996</v>
      </c>
      <c r="AN1750">
        <v>0.99999995608974301</v>
      </c>
    </row>
    <row r="1751" spans="1:40" x14ac:dyDescent="0.25">
      <c r="A1751" t="str">
        <f>"20190303170253938"</f>
        <v>20190303170253938</v>
      </c>
      <c r="B1751" t="str">
        <f>"1551603773927087"</f>
        <v>1551603773927087</v>
      </c>
      <c r="C1751" t="s">
        <v>40</v>
      </c>
      <c r="D1751">
        <v>4.6674059999999997</v>
      </c>
      <c r="E1751">
        <v>0.49285580000000001</v>
      </c>
      <c r="F1751" t="s">
        <v>42</v>
      </c>
      <c r="G1751">
        <v>-191.2218</v>
      </c>
      <c r="H1751" s="1">
        <v>-9.709587E-7</v>
      </c>
      <c r="I1751">
        <v>251.09460000000001</v>
      </c>
      <c r="J1751">
        <v>-190.2801</v>
      </c>
      <c r="K1751">
        <v>1.1188309999999999</v>
      </c>
      <c r="L1751">
        <v>325.2989</v>
      </c>
      <c r="M1751">
        <v>4.8008910000000002E-2</v>
      </c>
      <c r="N1751">
        <v>-3.05689E-3</v>
      </c>
      <c r="O1751">
        <v>-0.99884240000000002</v>
      </c>
      <c r="P1751">
        <v>-4.0907659999999998E-2</v>
      </c>
      <c r="Q1751">
        <v>0.14978129999999901</v>
      </c>
      <c r="R1751">
        <v>-0.98787290000000005</v>
      </c>
      <c r="S1751">
        <v>-3.7689210000000001E-2</v>
      </c>
      <c r="T1751">
        <v>-4.5638079999999998E-2</v>
      </c>
      <c r="U1751">
        <v>-3.0421140000000002</v>
      </c>
      <c r="V1751">
        <v>8.8697090000000006E-2</v>
      </c>
      <c r="W1751">
        <v>0.1525533</v>
      </c>
      <c r="X1751">
        <v>0.98430700000000004</v>
      </c>
      <c r="Y1751">
        <v>6.0376810000000003E-2</v>
      </c>
      <c r="Z1751">
        <v>1.1902680000000001E-2</v>
      </c>
      <c r="AA1751">
        <v>0.99810469999999896</v>
      </c>
      <c r="AB1751">
        <v>35</v>
      </c>
      <c r="AC1751">
        <v>-0.94169999999999698</v>
      </c>
      <c r="AD1751">
        <v>-1.11883197095869</v>
      </c>
      <c r="AE1751">
        <v>-74.204299999999904</v>
      </c>
      <c r="AF1751">
        <v>4.5020743958286902</v>
      </c>
      <c r="AG1751">
        <v>-1.11883197095869</v>
      </c>
      <c r="AH1751">
        <v>74.056691439017499</v>
      </c>
      <c r="AI1751">
        <v>90.863951267381793</v>
      </c>
      <c r="AJ1751">
        <v>86.521140882001404</v>
      </c>
      <c r="AK1751">
        <v>74.201846376883793</v>
      </c>
      <c r="AL1751">
        <v>81.225076653809893</v>
      </c>
      <c r="AM1751">
        <v>84.850915114736296</v>
      </c>
      <c r="AN1751">
        <v>0.99999997668217799</v>
      </c>
    </row>
    <row r="1752" spans="1:40" x14ac:dyDescent="0.25">
      <c r="A1752" t="str">
        <f>"20190303170253960"</f>
        <v>20190303170253960</v>
      </c>
      <c r="B1752" t="str">
        <f>"1551603773947582"</f>
        <v>1551603773947582</v>
      </c>
      <c r="C1752" t="s">
        <v>40</v>
      </c>
      <c r="D1752">
        <v>4.6065809999999896</v>
      </c>
      <c r="E1752">
        <v>0.49277019999999999</v>
      </c>
      <c r="F1752" t="s">
        <v>42</v>
      </c>
      <c r="G1752">
        <v>-191.26349999999999</v>
      </c>
      <c r="H1752" s="1">
        <v>-6.5435779999999995E-7</v>
      </c>
      <c r="I1752">
        <v>250.33080000000001</v>
      </c>
      <c r="J1752">
        <v>-190.2646</v>
      </c>
      <c r="K1752">
        <v>1.1187689999999999</v>
      </c>
      <c r="L1752">
        <v>324.95319999999998</v>
      </c>
      <c r="M1752">
        <v>4.670477E-2</v>
      </c>
      <c r="N1752">
        <v>-3.084252E-3</v>
      </c>
      <c r="O1752">
        <v>-0.99890400000000001</v>
      </c>
      <c r="P1752">
        <v>-4.261508E-2</v>
      </c>
      <c r="Q1752">
        <v>0.14996029999999999</v>
      </c>
      <c r="R1752">
        <v>-0.98777349999999997</v>
      </c>
      <c r="S1752">
        <v>-3.9901730000000003E-2</v>
      </c>
      <c r="T1752">
        <v>-4.53999E-2</v>
      </c>
      <c r="U1752">
        <v>-3.0420530000000001</v>
      </c>
      <c r="V1752">
        <v>8.913749E-2</v>
      </c>
      <c r="W1752">
        <v>0.15274370000000001</v>
      </c>
      <c r="X1752">
        <v>0.98423769999999999</v>
      </c>
      <c r="Y1752">
        <v>5.9799669999999999E-2</v>
      </c>
      <c r="Z1752">
        <v>1.179909E-2</v>
      </c>
      <c r="AA1752">
        <v>0.99814060000000004</v>
      </c>
      <c r="AB1752">
        <v>36</v>
      </c>
      <c r="AC1752">
        <v>-0.99889999999999202</v>
      </c>
      <c r="AD1752">
        <v>-1.1187696543578001</v>
      </c>
      <c r="AE1752">
        <v>-74.622399999999899</v>
      </c>
      <c r="AF1752">
        <v>4.4820411880405597</v>
      </c>
      <c r="AG1752">
        <v>-1.1187696543578001</v>
      </c>
      <c r="AH1752">
        <v>74.477575432352097</v>
      </c>
      <c r="AI1752">
        <v>90.859053547339499</v>
      </c>
      <c r="AJ1752">
        <v>86.556108297508402</v>
      </c>
      <c r="AK1752">
        <v>74.6207047744291</v>
      </c>
      <c r="AL1752">
        <v>81.214038290564304</v>
      </c>
      <c r="AM1752">
        <v>84.825124901143894</v>
      </c>
      <c r="AN1752">
        <v>0.99999999005724005</v>
      </c>
    </row>
    <row r="1753" spans="1:40" x14ac:dyDescent="0.25">
      <c r="A1753" t="str">
        <f>"20190303170253981"</f>
        <v>20190303170253981</v>
      </c>
      <c r="B1753" t="str">
        <f>"1551603773967102"</f>
        <v>1551603773967102</v>
      </c>
      <c r="C1753" t="s">
        <v>40</v>
      </c>
      <c r="D1753">
        <v>4.6672729999999998</v>
      </c>
      <c r="E1753">
        <v>0.492724</v>
      </c>
      <c r="F1753" t="s">
        <v>42</v>
      </c>
      <c r="G1753">
        <v>-191.35409999999999</v>
      </c>
      <c r="H1753" s="1">
        <v>-4.6076849999999997E-6</v>
      </c>
      <c r="I1753">
        <v>248.6593</v>
      </c>
      <c r="J1753">
        <v>-190.24959999999999</v>
      </c>
      <c r="K1753">
        <v>1.1187199999999999</v>
      </c>
      <c r="L1753">
        <v>324.60899999999998</v>
      </c>
      <c r="M1753">
        <v>4.536987E-2</v>
      </c>
      <c r="N1753">
        <v>-3.1248869999999998E-3</v>
      </c>
      <c r="O1753">
        <v>-0.99896569999999996</v>
      </c>
      <c r="P1753">
        <v>-4.5058090000000002E-2</v>
      </c>
      <c r="Q1753">
        <v>0.14978839999999999</v>
      </c>
      <c r="R1753">
        <v>-0.98769110000000004</v>
      </c>
      <c r="S1753">
        <v>-4.3441769999999998E-2</v>
      </c>
      <c r="T1753">
        <v>-4.4609070000000001E-2</v>
      </c>
      <c r="U1753">
        <v>-3.042084</v>
      </c>
      <c r="V1753">
        <v>9.027876E-2</v>
      </c>
      <c r="W1753">
        <v>0.15259619999999999</v>
      </c>
      <c r="X1753">
        <v>0.98415649999999999</v>
      </c>
      <c r="Y1753">
        <v>5.9626949999999998E-2</v>
      </c>
      <c r="Z1753">
        <v>1.150034E-2</v>
      </c>
      <c r="AA1753">
        <v>0.99815449999999994</v>
      </c>
      <c r="AB1753">
        <v>36</v>
      </c>
      <c r="AC1753">
        <v>-1.1045</v>
      </c>
      <c r="AD1753">
        <v>-1.1187246076849999</v>
      </c>
      <c r="AE1753">
        <v>-75.949700000000007</v>
      </c>
      <c r="AF1753">
        <v>4.5482197355303899</v>
      </c>
      <c r="AG1753">
        <v>-1.1187246076849999</v>
      </c>
      <c r="AH1753">
        <v>75.804935672466002</v>
      </c>
      <c r="AI1753">
        <v>90.843988689284004</v>
      </c>
      <c r="AJ1753">
        <v>86.566427179590903</v>
      </c>
      <c r="AK1753">
        <v>75.949497166322402</v>
      </c>
      <c r="AL1753">
        <v>81.222589182376495</v>
      </c>
      <c r="AM1753">
        <v>84.758805129593298</v>
      </c>
      <c r="AN1753">
        <v>0.99999993562691103</v>
      </c>
    </row>
    <row r="1754" spans="1:40" x14ac:dyDescent="0.25">
      <c r="A1754" t="str">
        <f>"20190303170254005"</f>
        <v>20190303170254005</v>
      </c>
      <c r="B1754" t="str">
        <f>"1551603773997359"</f>
        <v>1551603773997359</v>
      </c>
      <c r="C1754" t="s">
        <v>40</v>
      </c>
      <c r="D1754">
        <v>4.6058659999999998</v>
      </c>
      <c r="E1754">
        <v>0.4926103</v>
      </c>
      <c r="F1754" t="s">
        <v>42</v>
      </c>
      <c r="G1754">
        <v>-191.5086</v>
      </c>
      <c r="H1754" s="1">
        <v>-4.6480299999999998E-6</v>
      </c>
      <c r="I1754">
        <v>248.69300000000001</v>
      </c>
      <c r="J1754">
        <v>-190.2336</v>
      </c>
      <c r="K1754">
        <v>1.118673</v>
      </c>
      <c r="L1754">
        <v>324.2278</v>
      </c>
      <c r="M1754">
        <v>4.3862779999999997E-2</v>
      </c>
      <c r="N1754">
        <v>-3.199187E-3</v>
      </c>
      <c r="O1754">
        <v>-0.9990327</v>
      </c>
      <c r="P1754">
        <v>-4.7389920000000002E-2</v>
      </c>
      <c r="Q1754">
        <v>0.14908460000000001</v>
      </c>
      <c r="R1754">
        <v>-0.98768849999999997</v>
      </c>
      <c r="S1754">
        <v>-5.044556E-2</v>
      </c>
      <c r="T1754">
        <v>-4.482651E-2</v>
      </c>
      <c r="U1754">
        <v>-3.0419010000000002</v>
      </c>
      <c r="V1754">
        <v>9.1140079999999998E-2</v>
      </c>
      <c r="W1754">
        <v>0.15195149999999999</v>
      </c>
      <c r="X1754">
        <v>0.98417690000000002</v>
      </c>
      <c r="Y1754">
        <v>6.041945E-2</v>
      </c>
      <c r="Z1754">
        <v>1.1498929999999999E-2</v>
      </c>
      <c r="AA1754">
        <v>0.99810679999999996</v>
      </c>
      <c r="AB1754">
        <v>36</v>
      </c>
      <c r="AC1754">
        <v>-1.2749999999999999</v>
      </c>
      <c r="AD1754">
        <v>-1.11867764802999</v>
      </c>
      <c r="AE1754">
        <v>-75.534800000000004</v>
      </c>
      <c r="AF1754">
        <v>4.5859497110112999</v>
      </c>
      <c r="AG1754">
        <v>-1.11867764802999</v>
      </c>
      <c r="AH1754">
        <v>75.3896454754953</v>
      </c>
      <c r="AI1754">
        <v>90.848559136475302</v>
      </c>
      <c r="AJ1754">
        <v>86.518988923102199</v>
      </c>
      <c r="AK1754">
        <v>75.537282313788594</v>
      </c>
      <c r="AL1754">
        <v>81.259963938684393</v>
      </c>
      <c r="AM1754">
        <v>84.709192117272394</v>
      </c>
      <c r="AN1754">
        <v>0.999999971514132</v>
      </c>
    </row>
    <row r="1755" spans="1:40" x14ac:dyDescent="0.25">
      <c r="A1755" t="str">
        <f>"20190303170254026"</f>
        <v>20190303170254026</v>
      </c>
      <c r="B1755" t="str">
        <f>"1551603774016879"</f>
        <v>1551603774016879</v>
      </c>
      <c r="C1755" t="s">
        <v>40</v>
      </c>
      <c r="D1755">
        <v>4.5477949999999998</v>
      </c>
      <c r="E1755">
        <v>0.49254809999999999</v>
      </c>
      <c r="F1755" t="s">
        <v>42</v>
      </c>
      <c r="G1755">
        <v>-191.58860000000001</v>
      </c>
      <c r="H1755" s="1">
        <v>-1.1152520000000001E-6</v>
      </c>
      <c r="I1755">
        <v>251.20349999999999</v>
      </c>
      <c r="J1755">
        <v>-190.21899999999999</v>
      </c>
      <c r="K1755">
        <v>1.1186510000000001</v>
      </c>
      <c r="L1755">
        <v>323.86900000000003</v>
      </c>
      <c r="M1755">
        <v>4.2427050000000001E-2</v>
      </c>
      <c r="N1755">
        <v>-3.3053790000000002E-3</v>
      </c>
      <c r="O1755">
        <v>-0.99909420000000004</v>
      </c>
      <c r="P1755">
        <v>-4.9789170000000001E-2</v>
      </c>
      <c r="Q1755">
        <v>0.14861079999999999</v>
      </c>
      <c r="R1755">
        <v>-0.98764180000000001</v>
      </c>
      <c r="S1755">
        <v>-5.6442260000000001E-2</v>
      </c>
      <c r="T1755">
        <v>-4.6596650000000003E-2</v>
      </c>
      <c r="U1755">
        <v>-3.0417179999999999</v>
      </c>
      <c r="V1755">
        <v>9.2134240000000006E-2</v>
      </c>
      <c r="W1755">
        <v>0.1515697</v>
      </c>
      <c r="X1755">
        <v>0.98414330000000005</v>
      </c>
      <c r="Y1755">
        <v>6.0952909999999999E-2</v>
      </c>
      <c r="Z1755">
        <v>1.1974769999999999E-2</v>
      </c>
      <c r="AA1755">
        <v>0.99806879999999998</v>
      </c>
      <c r="AB1755">
        <v>36</v>
      </c>
      <c r="AC1755">
        <v>-1.3695999999999899</v>
      </c>
      <c r="AD1755">
        <v>-1.1186521152519999</v>
      </c>
      <c r="AE1755">
        <v>-72.665499999999994</v>
      </c>
      <c r="AF1755">
        <v>4.4503117750592196</v>
      </c>
      <c r="AG1755">
        <v>-1.1186521152519999</v>
      </c>
      <c r="AH1755">
        <v>72.524778824280205</v>
      </c>
      <c r="AI1755">
        <v>90.882024916915199</v>
      </c>
      <c r="AJ1755">
        <v>86.488582651427095</v>
      </c>
      <c r="AK1755">
        <v>72.669802538337393</v>
      </c>
      <c r="AL1755">
        <v>81.282096623899804</v>
      </c>
      <c r="AM1755">
        <v>84.651631076107606</v>
      </c>
      <c r="AN1755">
        <v>1.0000000635366699</v>
      </c>
    </row>
    <row r="1756" spans="1:40" x14ac:dyDescent="0.25">
      <c r="A1756" t="str">
        <f>"20190303170254048"</f>
        <v>20190303170254048</v>
      </c>
      <c r="B1756" t="str">
        <f>"1551603774037374"</f>
        <v>1551603774037374</v>
      </c>
      <c r="C1756" t="s">
        <v>40</v>
      </c>
      <c r="D1756">
        <v>4.5521919999999998</v>
      </c>
      <c r="E1756">
        <v>0.49248419999999998</v>
      </c>
      <c r="F1756" t="s">
        <v>42</v>
      </c>
      <c r="G1756">
        <v>-191.69900000000001</v>
      </c>
      <c r="H1756" s="1">
        <v>-1.7646E-6</v>
      </c>
      <c r="I1756">
        <v>252.64869999999999</v>
      </c>
      <c r="J1756">
        <v>-190.2054</v>
      </c>
      <c r="K1756">
        <v>1.118654</v>
      </c>
      <c r="L1756">
        <v>323.52109999999999</v>
      </c>
      <c r="M1756">
        <v>4.1025109999999997E-2</v>
      </c>
      <c r="N1756">
        <v>-3.4465310000000001E-3</v>
      </c>
      <c r="O1756">
        <v>-0.99915220000000005</v>
      </c>
      <c r="P1756">
        <v>-5.1351649999999999E-2</v>
      </c>
      <c r="Q1756">
        <v>0.149781</v>
      </c>
      <c r="R1756">
        <v>-0.98738510000000002</v>
      </c>
      <c r="S1756">
        <v>-6.3201900000000005E-2</v>
      </c>
      <c r="T1756">
        <v>-4.777265E-2</v>
      </c>
      <c r="U1756">
        <v>-3.0415040000000002</v>
      </c>
      <c r="V1756">
        <v>9.2320529999999998E-2</v>
      </c>
      <c r="W1756">
        <v>0.15287000000000001</v>
      </c>
      <c r="X1756">
        <v>0.98392460000000004</v>
      </c>
      <c r="Y1756">
        <v>6.1770749999999999E-2</v>
      </c>
      <c r="Z1756">
        <v>1.222079E-2</v>
      </c>
      <c r="AA1756">
        <v>0.99801550000000006</v>
      </c>
      <c r="AB1756">
        <v>36</v>
      </c>
      <c r="AC1756">
        <v>-1.49360000000001</v>
      </c>
      <c r="AD1756">
        <v>-1.1186557645999999</v>
      </c>
      <c r="AE1756">
        <v>-70.872399999999999</v>
      </c>
      <c r="AF1756">
        <v>4.3988123174525402</v>
      </c>
      <c r="AG1756">
        <v>-1.1186557645999999</v>
      </c>
      <c r="AH1756">
        <v>70.733842862204398</v>
      </c>
      <c r="AI1756">
        <v>90.904310574964299</v>
      </c>
      <c r="AJ1756">
        <v>86.441459706918707</v>
      </c>
      <c r="AK1756">
        <v>70.879316211281804</v>
      </c>
      <c r="AL1756">
        <v>81.206715642133801</v>
      </c>
      <c r="AM1756">
        <v>84.639695638167396</v>
      </c>
      <c r="AN1756">
        <v>0.99999996782231904</v>
      </c>
    </row>
    <row r="1757" spans="1:40" x14ac:dyDescent="0.25">
      <c r="A1757" t="str">
        <f>"20190303170254069"</f>
        <v>20190303170254069</v>
      </c>
      <c r="B1757" t="str">
        <f>"1551603774056895"</f>
        <v>1551603774056895</v>
      </c>
      <c r="C1757" t="s">
        <v>40</v>
      </c>
      <c r="D1757">
        <v>4.5494000000000003</v>
      </c>
      <c r="E1757">
        <v>0.49242580000000002</v>
      </c>
      <c r="F1757" t="s">
        <v>42</v>
      </c>
      <c r="G1757">
        <v>-191.9316</v>
      </c>
      <c r="H1757" s="1">
        <v>-3.647644E-6</v>
      </c>
      <c r="I1757">
        <v>246.2209</v>
      </c>
      <c r="J1757">
        <v>-190.19210000000001</v>
      </c>
      <c r="K1757">
        <v>1.1186689999999999</v>
      </c>
      <c r="L1757">
        <v>323.16930000000002</v>
      </c>
      <c r="M1757">
        <v>3.9603109999999997E-2</v>
      </c>
      <c r="N1757">
        <v>-3.6346410000000001E-3</v>
      </c>
      <c r="O1757">
        <v>-0.99920900000000001</v>
      </c>
      <c r="P1757">
        <v>-5.2977160000000002E-2</v>
      </c>
      <c r="Q1757">
        <v>0.1507704</v>
      </c>
      <c r="R1757">
        <v>-0.98714829999999998</v>
      </c>
      <c r="S1757">
        <v>-6.7916870000000004E-2</v>
      </c>
      <c r="T1757">
        <v>-4.4014570000000003E-2</v>
      </c>
      <c r="U1757">
        <v>-3.0414430000000001</v>
      </c>
      <c r="V1757">
        <v>9.2550250000000001E-2</v>
      </c>
      <c r="W1757">
        <v>0.1540357</v>
      </c>
      <c r="X1757">
        <v>0.98372119999999996</v>
      </c>
      <c r="Y1757">
        <v>6.1897569999999999E-2</v>
      </c>
      <c r="Z1757">
        <v>1.0801430000000001E-2</v>
      </c>
      <c r="AA1757">
        <v>0.99802400000000002</v>
      </c>
      <c r="AB1757">
        <v>36</v>
      </c>
      <c r="AC1757">
        <v>-1.7394999999999901</v>
      </c>
      <c r="AD1757">
        <v>-1.1186726476440001</v>
      </c>
      <c r="AE1757">
        <v>-76.948400000000007</v>
      </c>
      <c r="AF1757">
        <v>4.78454032783028</v>
      </c>
      <c r="AG1757">
        <v>-1.1186726476440001</v>
      </c>
      <c r="AH1757">
        <v>76.802918125057104</v>
      </c>
      <c r="AI1757">
        <v>90.832868157533198</v>
      </c>
      <c r="AJ1757">
        <v>86.435289503507207</v>
      </c>
      <c r="AK1757">
        <v>76.959934298084207</v>
      </c>
      <c r="AL1757">
        <v>81.139125446552598</v>
      </c>
      <c r="AM1757">
        <v>84.6253310763678</v>
      </c>
      <c r="AN1757">
        <v>0.99999997248949501</v>
      </c>
    </row>
    <row r="1758" spans="1:40" x14ac:dyDescent="0.25">
      <c r="A1758" t="str">
        <f>"20190303170254092"</f>
        <v>20190303170254092</v>
      </c>
      <c r="B1758" t="str">
        <f>"1551603774077390"</f>
        <v>1551603774077390</v>
      </c>
      <c r="C1758" t="s">
        <v>40</v>
      </c>
      <c r="D1758">
        <v>4.5497870000000002</v>
      </c>
      <c r="E1758">
        <v>0.4923671</v>
      </c>
      <c r="F1758" t="s">
        <v>42</v>
      </c>
      <c r="G1758">
        <v>-192.1902</v>
      </c>
      <c r="H1758" s="1">
        <v>-6.2330990000000005E-7</v>
      </c>
      <c r="I1758">
        <v>239.67740000000001</v>
      </c>
      <c r="J1758">
        <v>-190.17859999999999</v>
      </c>
      <c r="K1758">
        <v>1.1186879999999999</v>
      </c>
      <c r="L1758">
        <v>322.79520000000002</v>
      </c>
      <c r="M1758">
        <v>3.8088249999999997E-2</v>
      </c>
      <c r="N1758">
        <v>-3.9015310000000002E-3</v>
      </c>
      <c r="O1758">
        <v>-0.99926669999999995</v>
      </c>
      <c r="P1758">
        <v>-5.4365330000000003E-2</v>
      </c>
      <c r="Q1758">
        <v>0.15068970000000001</v>
      </c>
      <c r="R1758">
        <v>-0.98708499999999999</v>
      </c>
      <c r="S1758">
        <v>-7.2784420000000002E-2</v>
      </c>
      <c r="T1758">
        <v>-4.0750500000000002E-2</v>
      </c>
      <c r="U1758">
        <v>-3.0414119999999998</v>
      </c>
      <c r="V1758">
        <v>9.2455190000000007E-2</v>
      </c>
      <c r="W1758">
        <v>0.15421099999999999</v>
      </c>
      <c r="X1758">
        <v>0.98370270000000004</v>
      </c>
      <c r="Y1758">
        <v>6.1981389999999997E-2</v>
      </c>
      <c r="Z1758">
        <v>9.4649049999999992E-3</v>
      </c>
      <c r="AA1758">
        <v>0.99803249999999999</v>
      </c>
      <c r="AB1758">
        <v>36</v>
      </c>
      <c r="AC1758">
        <v>-2.0116000000000098</v>
      </c>
      <c r="AD1758">
        <v>-1.1186886233098901</v>
      </c>
      <c r="AE1758">
        <v>-83.117800000000003</v>
      </c>
      <c r="AF1758">
        <v>5.17503926643922</v>
      </c>
      <c r="AG1758">
        <v>-1.1186886233098901</v>
      </c>
      <c r="AH1758">
        <v>82.965847980072894</v>
      </c>
      <c r="AI1758">
        <v>90.771015421363899</v>
      </c>
      <c r="AJ1758">
        <v>86.430769173869294</v>
      </c>
      <c r="AK1758">
        <v>83.134616296087401</v>
      </c>
      <c r="AL1758">
        <v>81.128960266970907</v>
      </c>
      <c r="AM1758">
        <v>84.630718830373596</v>
      </c>
      <c r="AN1758">
        <v>0.99999999833311204</v>
      </c>
    </row>
    <row r="1759" spans="1:40" x14ac:dyDescent="0.25">
      <c r="A1759" t="str">
        <f>"20190303170254114"</f>
        <v>20190303170254114</v>
      </c>
      <c r="B1759" t="str">
        <f>"1551603774107647"</f>
        <v>1551603774107647</v>
      </c>
      <c r="C1759" t="s">
        <v>40</v>
      </c>
      <c r="D1759">
        <v>4.5495939999999999</v>
      </c>
      <c r="E1759">
        <v>0.4922743</v>
      </c>
      <c r="F1759" t="s">
        <v>42</v>
      </c>
      <c r="G1759">
        <v>-192.26349999999999</v>
      </c>
      <c r="H1759" s="1">
        <v>-5.0478229999999998E-6</v>
      </c>
      <c r="I1759">
        <v>239.3854</v>
      </c>
      <c r="J1759">
        <v>-190.16560000000001</v>
      </c>
      <c r="K1759">
        <v>1.118714</v>
      </c>
      <c r="L1759">
        <v>322.42290000000003</v>
      </c>
      <c r="M1759">
        <v>3.6579769999999998E-2</v>
      </c>
      <c r="N1759">
        <v>-4.2606850000000002E-3</v>
      </c>
      <c r="O1759">
        <v>-0.99932180000000004</v>
      </c>
      <c r="P1759">
        <v>-5.5913110000000002E-2</v>
      </c>
      <c r="Q1759">
        <v>0.14908929999999901</v>
      </c>
      <c r="R1759">
        <v>-0.98724199999999995</v>
      </c>
      <c r="S1759">
        <v>-7.6019290000000003E-2</v>
      </c>
      <c r="T1759">
        <v>-4.0789840000000001E-2</v>
      </c>
      <c r="U1759">
        <v>-3.04129</v>
      </c>
      <c r="V1759">
        <v>9.2528250000000006E-2</v>
      </c>
      <c r="W1759">
        <v>0.1529577</v>
      </c>
      <c r="X1759">
        <v>0.98389150000000003</v>
      </c>
      <c r="Y1759">
        <v>6.1536529999999999E-2</v>
      </c>
      <c r="Z1759">
        <v>9.1201779999999996E-3</v>
      </c>
      <c r="AA1759">
        <v>0.99806309999999998</v>
      </c>
      <c r="AB1759">
        <v>37</v>
      </c>
      <c r="AC1759">
        <v>-2.0978999999999801</v>
      </c>
      <c r="AD1759">
        <v>-1.118719047823</v>
      </c>
      <c r="AE1759">
        <v>-83.037499999999994</v>
      </c>
      <c r="AF1759">
        <v>5.1330846069624299</v>
      </c>
      <c r="AG1759">
        <v>-1.118719047823</v>
      </c>
      <c r="AH1759">
        <v>82.890148083764004</v>
      </c>
      <c r="AI1759">
        <v>90.771761915623202</v>
      </c>
      <c r="AJ1759">
        <v>86.456406428312405</v>
      </c>
      <c r="AK1759">
        <v>83.0564671728729</v>
      </c>
      <c r="AL1759">
        <v>81.201631373097598</v>
      </c>
      <c r="AM1759">
        <v>84.627525832248907</v>
      </c>
      <c r="AN1759">
        <v>1.0000000094048</v>
      </c>
    </row>
    <row r="1760" spans="1:40" x14ac:dyDescent="0.25">
      <c r="A1760" t="str">
        <f>"20190303170254138"</f>
        <v>20190303170254138</v>
      </c>
      <c r="B1760" t="str">
        <f>"1551603774127167"</f>
        <v>1551603774127167</v>
      </c>
      <c r="C1760" t="s">
        <v>40</v>
      </c>
      <c r="D1760">
        <v>4.4921490000000004</v>
      </c>
      <c r="E1760">
        <v>0.49220469999999999</v>
      </c>
      <c r="F1760" t="s">
        <v>42</v>
      </c>
      <c r="G1760">
        <v>-192.10650000000001</v>
      </c>
      <c r="H1760" s="1">
        <v>-4.4729169999999998E-6</v>
      </c>
      <c r="I1760">
        <v>247.96080000000001</v>
      </c>
      <c r="J1760">
        <v>-190.15299999999999</v>
      </c>
      <c r="K1760">
        <v>1.1187830000000001</v>
      </c>
      <c r="L1760">
        <v>322.03820000000002</v>
      </c>
      <c r="M1760">
        <v>3.5020839999999998E-2</v>
      </c>
      <c r="N1760">
        <v>-4.7756200000000004E-3</v>
      </c>
      <c r="O1760">
        <v>-0.99937520000000002</v>
      </c>
      <c r="P1760">
        <v>-5.683204E-2</v>
      </c>
      <c r="Q1760">
        <v>0.14779890000000001</v>
      </c>
      <c r="R1760">
        <v>-0.98738329999999996</v>
      </c>
      <c r="S1760">
        <v>-7.9269409999999998E-2</v>
      </c>
      <c r="T1760">
        <v>-4.5690540000000002E-2</v>
      </c>
      <c r="U1760">
        <v>-3.0411679999999999</v>
      </c>
      <c r="V1760">
        <v>9.1923299999999999E-2</v>
      </c>
      <c r="W1760">
        <v>0.1521711</v>
      </c>
      <c r="X1760">
        <v>0.98407009999999995</v>
      </c>
      <c r="Y1760">
        <v>6.1045710000000003E-2</v>
      </c>
      <c r="Z1760">
        <v>1.02145E-2</v>
      </c>
      <c r="AA1760">
        <v>0.99808269999999999</v>
      </c>
      <c r="AB1760">
        <v>37</v>
      </c>
      <c r="AC1760">
        <v>-1.95350000000002</v>
      </c>
      <c r="AD1760">
        <v>-1.118787472917</v>
      </c>
      <c r="AE1760">
        <v>-74.077399999999997</v>
      </c>
      <c r="AF1760">
        <v>4.5455478295971901</v>
      </c>
      <c r="AG1760">
        <v>-1.118787472917</v>
      </c>
      <c r="AH1760">
        <v>73.946689126624705</v>
      </c>
      <c r="AI1760">
        <v>90.865166131918997</v>
      </c>
      <c r="AJ1760">
        <v>86.482419778750398</v>
      </c>
      <c r="AK1760">
        <v>74.0947131937927</v>
      </c>
      <c r="AL1760">
        <v>81.247233549998597</v>
      </c>
      <c r="AM1760">
        <v>84.663410681656103</v>
      </c>
      <c r="AN1760">
        <v>0.99999994923605295</v>
      </c>
    </row>
    <row r="1761" spans="1:40" x14ac:dyDescent="0.25">
      <c r="A1761" t="str">
        <f>"20190303170254160"</f>
        <v>20190303170254160</v>
      </c>
      <c r="B1761" t="str">
        <f>"1551603774147662"</f>
        <v>1551603774147662</v>
      </c>
      <c r="C1761" t="s">
        <v>40</v>
      </c>
      <c r="D1761">
        <v>4.556489</v>
      </c>
      <c r="E1761">
        <v>0.49213259999999998</v>
      </c>
      <c r="F1761" t="s">
        <v>42</v>
      </c>
      <c r="G1761">
        <v>-191.99870000000001</v>
      </c>
      <c r="H1761" s="1">
        <v>-2.164361E-6</v>
      </c>
      <c r="I1761">
        <v>253.3946</v>
      </c>
      <c r="J1761">
        <v>-190.14189999999999</v>
      </c>
      <c r="K1761">
        <v>1.118868</v>
      </c>
      <c r="L1761">
        <v>321.68369999999999</v>
      </c>
      <c r="M1761">
        <v>3.3581189999999997E-2</v>
      </c>
      <c r="N1761">
        <v>-5.3650460000000001E-3</v>
      </c>
      <c r="O1761">
        <v>-0.99942169999999997</v>
      </c>
      <c r="P1761">
        <v>-5.7467499999999998E-2</v>
      </c>
      <c r="Q1761">
        <v>0.14836189999999999</v>
      </c>
      <c r="R1761">
        <v>-0.98726219999999998</v>
      </c>
      <c r="S1761">
        <v>-8.1771849999999993E-2</v>
      </c>
      <c r="T1761">
        <v>-4.9564839999999999E-2</v>
      </c>
      <c r="U1761">
        <v>-3.041077</v>
      </c>
      <c r="V1761">
        <v>9.1149110000000005E-2</v>
      </c>
      <c r="W1761">
        <v>0.15331159999999999</v>
      </c>
      <c r="X1761">
        <v>0.98396519999999998</v>
      </c>
      <c r="Y1761">
        <v>6.0428669999999997E-2</v>
      </c>
      <c r="Z1761">
        <v>1.089768E-2</v>
      </c>
      <c r="AA1761">
        <v>0.99811300000000003</v>
      </c>
      <c r="AB1761">
        <v>37</v>
      </c>
      <c r="AC1761">
        <v>-1.85680000000002</v>
      </c>
      <c r="AD1761">
        <v>-1.118870164361</v>
      </c>
      <c r="AE1761">
        <v>-68.289099999999905</v>
      </c>
      <c r="AF1761">
        <v>4.1479020578591701</v>
      </c>
      <c r="AG1761">
        <v>-1.118870164361</v>
      </c>
      <c r="AH1761">
        <v>68.169942494856699</v>
      </c>
      <c r="AI1761">
        <v>90.938573072055902</v>
      </c>
      <c r="AJ1761">
        <v>86.518045485625905</v>
      </c>
      <c r="AK1761">
        <v>68.305182978148594</v>
      </c>
      <c r="AL1761">
        <v>81.181112839699296</v>
      </c>
      <c r="AM1761">
        <v>84.707538923655605</v>
      </c>
      <c r="AN1761">
        <v>1.00000006087969</v>
      </c>
    </row>
    <row r="1762" spans="1:40" x14ac:dyDescent="0.25">
      <c r="A1762" t="str">
        <f>"20190303170254181"</f>
        <v>20190303170254181</v>
      </c>
      <c r="B1762" t="str">
        <f>"1551603774167183"</f>
        <v>1551603774167183</v>
      </c>
      <c r="C1762" t="s">
        <v>40</v>
      </c>
      <c r="D1762">
        <v>4.4358690000000003</v>
      </c>
      <c r="E1762">
        <v>0.4921102</v>
      </c>
      <c r="F1762" t="s">
        <v>42</v>
      </c>
      <c r="G1762">
        <v>-192.08629999999999</v>
      </c>
      <c r="H1762" s="1">
        <v>-8.9518719999999997E-7</v>
      </c>
      <c r="I1762">
        <v>250.3818</v>
      </c>
      <c r="J1762">
        <v>-190.13130000000001</v>
      </c>
      <c r="K1762">
        <v>1.1189659999999999</v>
      </c>
      <c r="L1762">
        <v>321.33199999999999</v>
      </c>
      <c r="M1762">
        <v>3.2151930000000002E-2</v>
      </c>
      <c r="N1762">
        <v>-6.0101379999999999E-3</v>
      </c>
      <c r="O1762">
        <v>-0.99946500000000005</v>
      </c>
      <c r="P1762">
        <v>-5.8671969999999997E-2</v>
      </c>
      <c r="Q1762">
        <v>0.1480223</v>
      </c>
      <c r="R1762">
        <v>-0.98724250000000002</v>
      </c>
      <c r="S1762">
        <v>-8.2931519999999995E-2</v>
      </c>
      <c r="T1762">
        <v>-4.7720070000000003E-2</v>
      </c>
      <c r="U1762">
        <v>-3.0410460000000001</v>
      </c>
      <c r="V1762">
        <v>9.0953359999999997E-2</v>
      </c>
      <c r="W1762">
        <v>0.1536032</v>
      </c>
      <c r="X1762">
        <v>0.98393779999999997</v>
      </c>
      <c r="Y1762">
        <v>5.9381910000000003E-2</v>
      </c>
      <c r="Z1762">
        <v>9.6488230000000008E-3</v>
      </c>
      <c r="AA1762">
        <v>0.99818870000000004</v>
      </c>
      <c r="AB1762">
        <v>37</v>
      </c>
      <c r="AC1762">
        <v>-1.9549999999999801</v>
      </c>
      <c r="AD1762">
        <v>-1.1189668951871901</v>
      </c>
      <c r="AE1762">
        <v>-70.950199999999995</v>
      </c>
      <c r="AF1762">
        <v>4.2341637416896196</v>
      </c>
      <c r="AG1762">
        <v>-1.1189668951871901</v>
      </c>
      <c r="AH1762">
        <v>70.833053879513798</v>
      </c>
      <c r="AI1762">
        <v>90.903427636671907</v>
      </c>
      <c r="AJ1762">
        <v>86.579120052333593</v>
      </c>
      <c r="AK1762">
        <v>70.968315123032696</v>
      </c>
      <c r="AL1762">
        <v>81.164204808900095</v>
      </c>
      <c r="AM1762">
        <v>84.718694336532593</v>
      </c>
      <c r="AN1762">
        <v>1.0000000255071799</v>
      </c>
    </row>
    <row r="1763" spans="1:40" x14ac:dyDescent="0.25">
      <c r="A1763" t="str">
        <f>"20190303170254204"</f>
        <v>20190303170254204</v>
      </c>
      <c r="B1763" t="str">
        <f>"1551603774197438"</f>
        <v>1551603774197438</v>
      </c>
      <c r="C1763" t="s">
        <v>40</v>
      </c>
      <c r="D1763">
        <v>4.4744979999999996</v>
      </c>
      <c r="E1763">
        <v>0.51472819999999997</v>
      </c>
      <c r="F1763" t="s">
        <v>42</v>
      </c>
      <c r="G1763">
        <v>-192.11269999999999</v>
      </c>
      <c r="H1763" s="1">
        <v>-1.315633E-6</v>
      </c>
      <c r="I1763">
        <v>251.34549999999999</v>
      </c>
      <c r="J1763">
        <v>-190.1207</v>
      </c>
      <c r="K1763">
        <v>1.1190659999999999</v>
      </c>
      <c r="L1763">
        <v>320.95409999999998</v>
      </c>
      <c r="M1763">
        <v>3.0625039999999999E-2</v>
      </c>
      <c r="N1763">
        <v>-6.7744440000000001E-3</v>
      </c>
      <c r="O1763">
        <v>-0.99950810000000001</v>
      </c>
      <c r="P1763">
        <v>-6.0677330000000002E-2</v>
      </c>
      <c r="Q1763">
        <v>0.14675759999999999</v>
      </c>
      <c r="R1763">
        <v>-0.98730980000000002</v>
      </c>
      <c r="S1763">
        <v>-8.6090089999999994E-2</v>
      </c>
      <c r="T1763">
        <v>-4.861832E-2</v>
      </c>
      <c r="U1763">
        <v>-3.0408629999999999</v>
      </c>
      <c r="V1763">
        <v>9.1458819999999996E-2</v>
      </c>
      <c r="W1763">
        <v>0.15308629999999901</v>
      </c>
      <c r="X1763">
        <v>0.9839715</v>
      </c>
      <c r="Y1763">
        <v>5.8894210000000002E-2</v>
      </c>
      <c r="Z1763">
        <v>9.1810850000000003E-3</v>
      </c>
      <c r="AA1763">
        <v>0.99822200000000005</v>
      </c>
      <c r="AB1763">
        <v>37</v>
      </c>
      <c r="AC1763">
        <v>-1.99199999999999</v>
      </c>
      <c r="AD1763">
        <v>-1.119067315633</v>
      </c>
      <c r="AE1763">
        <v>-69.608599999999996</v>
      </c>
      <c r="AF1763">
        <v>4.1218159948234501</v>
      </c>
      <c r="AG1763">
        <v>-1.119067315633</v>
      </c>
      <c r="AH1763">
        <v>69.496994448859894</v>
      </c>
      <c r="AI1763">
        <v>90.920900961905403</v>
      </c>
      <c r="AJ1763">
        <v>86.605805222166296</v>
      </c>
      <c r="AK1763">
        <v>69.628111536770604</v>
      </c>
      <c r="AL1763">
        <v>81.194175435384196</v>
      </c>
      <c r="AM1763">
        <v>84.689692433307201</v>
      </c>
      <c r="AN1763">
        <v>1.00000002190786</v>
      </c>
    </row>
    <row r="1764" spans="1:40" x14ac:dyDescent="0.25">
      <c r="A1764" t="str">
        <f>"20190303170254226"</f>
        <v>20190303170254226</v>
      </c>
      <c r="B1764" t="str">
        <f>"1551603774216959"</f>
        <v>1551603774216959</v>
      </c>
      <c r="C1764" t="s">
        <v>40</v>
      </c>
      <c r="D1764">
        <v>4.3929919999999996</v>
      </c>
      <c r="E1764">
        <v>0.51709470000000002</v>
      </c>
      <c r="F1764" t="s">
        <v>42</v>
      </c>
      <c r="G1764">
        <v>-195.9648</v>
      </c>
      <c r="H1764" s="1">
        <v>-4.0958459999999998E-6</v>
      </c>
      <c r="I1764">
        <v>255.9135</v>
      </c>
      <c r="J1764">
        <v>-190.11089999999999</v>
      </c>
      <c r="K1764">
        <v>1.1191799999999901</v>
      </c>
      <c r="L1764">
        <v>320.58859999999999</v>
      </c>
      <c r="M1764">
        <v>2.9156709999999999E-2</v>
      </c>
      <c r="N1764">
        <v>-7.5701730000000004E-3</v>
      </c>
      <c r="O1764">
        <v>-0.9995463</v>
      </c>
      <c r="P1764">
        <v>-6.1706200000000003E-2</v>
      </c>
      <c r="Q1764">
        <v>0.144895</v>
      </c>
      <c r="R1764">
        <v>-0.98752119999999999</v>
      </c>
      <c r="S1764">
        <v>-0.27221679999999998</v>
      </c>
      <c r="T1764">
        <v>-5.2125930000000001E-2</v>
      </c>
      <c r="U1764">
        <v>-3.0295719999999999</v>
      </c>
      <c r="V1764">
        <v>9.1042620000000005E-2</v>
      </c>
      <c r="W1764">
        <v>0.15201039999999999</v>
      </c>
      <c r="X1764">
        <v>0.98417690000000002</v>
      </c>
      <c r="Y1764">
        <v>0.1184801</v>
      </c>
      <c r="Z1764">
        <v>9.5177230000000005E-3</v>
      </c>
      <c r="AA1764">
        <v>0.99291079999999998</v>
      </c>
      <c r="AB1764">
        <v>37</v>
      </c>
      <c r="AC1764">
        <v>-5.8539000000000003</v>
      </c>
      <c r="AD1764">
        <v>-1.11918409584599</v>
      </c>
      <c r="AE1764">
        <v>-64.675099999999901</v>
      </c>
      <c r="AF1764">
        <v>7.7348806317342396</v>
      </c>
      <c r="AG1764">
        <v>-1.11918409584599</v>
      </c>
      <c r="AH1764">
        <v>64.457771419954597</v>
      </c>
      <c r="AI1764">
        <v>90.987645932487496</v>
      </c>
      <c r="AJ1764">
        <v>83.157272099680199</v>
      </c>
      <c r="AK1764">
        <v>64.929848666500703</v>
      </c>
      <c r="AL1764">
        <v>81.256550205041904</v>
      </c>
      <c r="AM1764">
        <v>84.714817748950594</v>
      </c>
      <c r="AN1764">
        <v>1.00000004542911</v>
      </c>
    </row>
    <row r="1765" spans="1:40" x14ac:dyDescent="0.25">
      <c r="A1765" t="str">
        <f>"20190303170254249"</f>
        <v>20190303170254249</v>
      </c>
      <c r="B1765" t="str">
        <f>"1551603774237455"</f>
        <v>1551603774237455</v>
      </c>
      <c r="C1765" t="s">
        <v>40</v>
      </c>
      <c r="D1765">
        <v>4.5577500000000004</v>
      </c>
      <c r="E1765">
        <v>0.51795500000000005</v>
      </c>
      <c r="F1765" t="s">
        <v>42</v>
      </c>
      <c r="G1765">
        <v>-195.94159999999999</v>
      </c>
      <c r="H1765" s="1">
        <v>-1.99856E-6</v>
      </c>
      <c r="I1765">
        <v>260.56270000000001</v>
      </c>
      <c r="J1765">
        <v>-190.10169999999999</v>
      </c>
      <c r="K1765">
        <v>1.119294</v>
      </c>
      <c r="L1765">
        <v>320.22449999999998</v>
      </c>
      <c r="M1765">
        <v>2.7693840000000001E-2</v>
      </c>
      <c r="N1765">
        <v>-8.3648969999999996E-3</v>
      </c>
      <c r="O1765">
        <v>-0.99958150000000001</v>
      </c>
      <c r="P1765">
        <v>-6.249292E-2</v>
      </c>
      <c r="Q1765">
        <v>0.143810299999999</v>
      </c>
      <c r="R1765">
        <v>-0.98763029999999996</v>
      </c>
      <c r="S1765">
        <v>-0.29411320000000002</v>
      </c>
      <c r="T1765">
        <v>-5.6453820000000002E-2</v>
      </c>
      <c r="U1765">
        <v>-3.0278320000000001</v>
      </c>
      <c r="V1765">
        <v>9.0385560000000004E-2</v>
      </c>
      <c r="W1765">
        <v>0.1517145</v>
      </c>
      <c r="X1765">
        <v>0.98428309999999997</v>
      </c>
      <c r="Y1765">
        <v>0.1241906</v>
      </c>
      <c r="Z1765">
        <v>1.013995E-2</v>
      </c>
      <c r="AA1765">
        <v>0.99220660000000005</v>
      </c>
      <c r="AB1765">
        <v>37</v>
      </c>
      <c r="AC1765">
        <v>-5.8399000000000001</v>
      </c>
      <c r="AD1765">
        <v>-1.1192959985599999</v>
      </c>
      <c r="AE1765">
        <v>-59.6617999999999</v>
      </c>
      <c r="AF1765">
        <v>7.48737176548362</v>
      </c>
      <c r="AG1765">
        <v>-1.1192959985599999</v>
      </c>
      <c r="AH1765">
        <v>59.456452449762899</v>
      </c>
      <c r="AI1765">
        <v>91.070043653514603</v>
      </c>
      <c r="AJ1765">
        <v>82.822504721364993</v>
      </c>
      <c r="AK1765">
        <v>59.936493869744098</v>
      </c>
      <c r="AL1765">
        <v>81.273702833390104</v>
      </c>
      <c r="AM1765">
        <v>84.753310531726498</v>
      </c>
      <c r="AN1765">
        <v>1.00000002995618</v>
      </c>
    </row>
    <row r="1766" spans="1:40" x14ac:dyDescent="0.25">
      <c r="A1766" t="str">
        <f>"20190303170254270"</f>
        <v>20190303170254270</v>
      </c>
      <c r="B1766" t="str">
        <f>"1551603774256975"</f>
        <v>1551603774256975</v>
      </c>
      <c r="C1766" t="s">
        <v>40</v>
      </c>
      <c r="D1766">
        <v>4.4575940000000003</v>
      </c>
      <c r="E1766">
        <v>0.51865890000000003</v>
      </c>
      <c r="F1766" t="s">
        <v>42</v>
      </c>
      <c r="G1766">
        <v>-195.70320000000001</v>
      </c>
      <c r="H1766" s="1">
        <v>-3.5258740000000001E-6</v>
      </c>
      <c r="I1766">
        <v>264.37490000000003</v>
      </c>
      <c r="J1766">
        <v>-190.09309999999999</v>
      </c>
      <c r="K1766">
        <v>1.1193979999999999</v>
      </c>
      <c r="L1766">
        <v>319.86489999999998</v>
      </c>
      <c r="M1766">
        <v>2.6254420000000001E-2</v>
      </c>
      <c r="N1766">
        <v>-9.1063979999999999E-3</v>
      </c>
      <c r="O1766">
        <v>-0.9996138</v>
      </c>
      <c r="P1766">
        <v>-6.3899629999999999E-2</v>
      </c>
      <c r="Q1766">
        <v>0.14407990000000001</v>
      </c>
      <c r="R1766">
        <v>-0.98750090000000001</v>
      </c>
      <c r="S1766">
        <v>-0.30361939999999998</v>
      </c>
      <c r="T1766">
        <v>-6.066883E-2</v>
      </c>
      <c r="U1766">
        <v>-3.0271910000000002</v>
      </c>
      <c r="V1766">
        <v>9.0368210000000004E-2</v>
      </c>
      <c r="W1766">
        <v>0.1527164</v>
      </c>
      <c r="X1766">
        <v>0.9841297</v>
      </c>
      <c r="Y1766">
        <v>0.12586430000000001</v>
      </c>
      <c r="Z1766">
        <v>1.077996E-2</v>
      </c>
      <c r="AA1766">
        <v>0.99198889999999995</v>
      </c>
      <c r="AB1766">
        <v>37</v>
      </c>
      <c r="AC1766">
        <v>-5.6101000000000099</v>
      </c>
      <c r="AD1766">
        <v>-1.119401525874</v>
      </c>
      <c r="AE1766">
        <v>-55.489999999999903</v>
      </c>
      <c r="AF1766">
        <v>7.0622392900475299</v>
      </c>
      <c r="AG1766">
        <v>-1.119401525874</v>
      </c>
      <c r="AH1766">
        <v>55.301297382420302</v>
      </c>
      <c r="AI1766">
        <v>91.150276039446595</v>
      </c>
      <c r="AJ1766">
        <v>82.722447244071105</v>
      </c>
      <c r="AK1766">
        <v>55.761651479712398</v>
      </c>
      <c r="AL1766">
        <v>81.215621027622504</v>
      </c>
      <c r="AM1766">
        <v>84.753498940728306</v>
      </c>
      <c r="AN1766">
        <v>0.99999998931482703</v>
      </c>
    </row>
    <row r="1767" spans="1:40" x14ac:dyDescent="0.25">
      <c r="A1767" t="str">
        <f>"20190303170254294"</f>
        <v>20190303170254294</v>
      </c>
      <c r="B1767" t="str">
        <f>"1551603774287231"</f>
        <v>1551603774287231</v>
      </c>
      <c r="C1767" t="s">
        <v>40</v>
      </c>
      <c r="D1767">
        <v>4.5525089999999997</v>
      </c>
      <c r="E1767">
        <v>0.51911969999999996</v>
      </c>
      <c r="F1767" t="s">
        <v>42</v>
      </c>
      <c r="G1767">
        <v>-196.21510000000001</v>
      </c>
      <c r="H1767" s="1">
        <v>-2.1531179999999998E-6</v>
      </c>
      <c r="I1767">
        <v>260.75330000000002</v>
      </c>
      <c r="J1767">
        <v>-190.0848</v>
      </c>
      <c r="K1767">
        <v>1.1194809999999999</v>
      </c>
      <c r="L1767">
        <v>319.49110000000002</v>
      </c>
      <c r="M1767">
        <v>2.4777629999999998E-2</v>
      </c>
      <c r="N1767">
        <v>-9.81309E-3</v>
      </c>
      <c r="O1767">
        <v>-0.99964489999999995</v>
      </c>
      <c r="P1767">
        <v>-6.5929929999999998E-2</v>
      </c>
      <c r="Q1767">
        <v>0.14297270000000001</v>
      </c>
      <c r="R1767">
        <v>-0.98752859999999998</v>
      </c>
      <c r="S1767">
        <v>-0.31340030000000002</v>
      </c>
      <c r="T1767">
        <v>-5.730474E-2</v>
      </c>
      <c r="U1767">
        <v>-3.026062</v>
      </c>
      <c r="V1767">
        <v>9.0935249999999995E-2</v>
      </c>
      <c r="W1767">
        <v>0.15230729999999901</v>
      </c>
      <c r="X1767">
        <v>0.98414089999999999</v>
      </c>
      <c r="Y1767">
        <v>0.12760940000000001</v>
      </c>
      <c r="Z1767">
        <v>8.9724929999999998E-3</v>
      </c>
      <c r="AA1767">
        <v>0.99178390000000005</v>
      </c>
      <c r="AB1767">
        <v>37</v>
      </c>
      <c r="AC1767">
        <v>-6.1303000000000001</v>
      </c>
      <c r="AD1767">
        <v>-1.1194831531179901</v>
      </c>
      <c r="AE1767">
        <v>-58.737799999999901</v>
      </c>
      <c r="AF1767">
        <v>7.5811470407292401</v>
      </c>
      <c r="AG1767">
        <v>-1.1194831531179901</v>
      </c>
      <c r="AH1767">
        <v>58.546825718877599</v>
      </c>
      <c r="AI1767">
        <v>91.086360604743405</v>
      </c>
      <c r="AJ1767">
        <v>82.621903332732799</v>
      </c>
      <c r="AK1767">
        <v>59.046234721105698</v>
      </c>
      <c r="AL1767">
        <v>81.239338473501803</v>
      </c>
      <c r="AM1767">
        <v>84.720823513714194</v>
      </c>
      <c r="AN1767">
        <v>1.0000000221893299</v>
      </c>
    </row>
    <row r="1768" spans="1:40" x14ac:dyDescent="0.25">
      <c r="A1768" t="str">
        <f>"20190303170254316"</f>
        <v>20190303170254316</v>
      </c>
      <c r="B1768" t="str">
        <f>"1551603774307727"</f>
        <v>1551603774307727</v>
      </c>
      <c r="C1768" t="s">
        <v>40</v>
      </c>
      <c r="D1768">
        <v>4.5534879999999998</v>
      </c>
      <c r="E1768">
        <v>0.51919879999999996</v>
      </c>
      <c r="F1768" t="s">
        <v>42</v>
      </c>
      <c r="G1768">
        <v>-196.19800000000001</v>
      </c>
      <c r="H1768" s="1">
        <v>-2.7892069999999999E-6</v>
      </c>
      <c r="I1768">
        <v>262.24669999999998</v>
      </c>
      <c r="J1768">
        <v>-190.0771</v>
      </c>
      <c r="K1768">
        <v>1.119556</v>
      </c>
      <c r="L1768">
        <v>319.12380000000002</v>
      </c>
      <c r="M1768">
        <v>2.335957E-2</v>
      </c>
      <c r="N1768">
        <v>-1.0437989999999999E-2</v>
      </c>
      <c r="O1768">
        <v>-0.99967289999999998</v>
      </c>
      <c r="P1768">
        <v>-6.7588570000000001E-2</v>
      </c>
      <c r="Q1768">
        <v>0.1417909</v>
      </c>
      <c r="R1768">
        <v>-0.98758679999999999</v>
      </c>
      <c r="S1768">
        <v>-0.323028599999999</v>
      </c>
      <c r="T1768">
        <v>-5.9155109999999997E-2</v>
      </c>
      <c r="U1768">
        <v>-3.0248719999999998</v>
      </c>
      <c r="V1768">
        <v>9.1186820000000002E-2</v>
      </c>
      <c r="W1768">
        <v>0.15174550000000001</v>
      </c>
      <c r="X1768">
        <v>0.98420439999999998</v>
      </c>
      <c r="Y1768">
        <v>0.12936239999999999</v>
      </c>
      <c r="Z1768">
        <v>8.9571419999999995E-3</v>
      </c>
      <c r="AA1768">
        <v>0.99155689999999996</v>
      </c>
      <c r="AB1768">
        <v>37</v>
      </c>
      <c r="AC1768">
        <v>-6.1208999999999696</v>
      </c>
      <c r="AD1768">
        <v>-1.119558789207</v>
      </c>
      <c r="AE1768">
        <v>-56.877099999999999</v>
      </c>
      <c r="AF1768">
        <v>7.4450746377297703</v>
      </c>
      <c r="AG1768">
        <v>-1.119558789207</v>
      </c>
      <c r="AH1768">
        <v>56.6968729348716</v>
      </c>
      <c r="AI1768">
        <v>91.121611708255202</v>
      </c>
      <c r="AJ1768">
        <v>82.519083305195593</v>
      </c>
      <c r="AK1768">
        <v>57.194562231359299</v>
      </c>
      <c r="AL1768">
        <v>81.271905744425794</v>
      </c>
      <c r="AM1768">
        <v>84.706641272934604</v>
      </c>
      <c r="AN1768">
        <v>1.00000001694566</v>
      </c>
    </row>
    <row r="1769" spans="1:40" x14ac:dyDescent="0.25">
      <c r="A1769" t="str">
        <f>"20190303170254339"</f>
        <v>20190303170254339</v>
      </c>
      <c r="B1769" t="str">
        <f>"1551603774327246"</f>
        <v>1551603774327246</v>
      </c>
      <c r="C1769" t="s">
        <v>40</v>
      </c>
      <c r="D1769">
        <v>4.5520269999999998</v>
      </c>
      <c r="E1769">
        <v>0.51921830000000002</v>
      </c>
      <c r="F1769" t="s">
        <v>42</v>
      </c>
      <c r="G1769">
        <v>-195.90530000000001</v>
      </c>
      <c r="H1769" s="1">
        <v>-3.9319070000000004E-6</v>
      </c>
      <c r="I1769">
        <v>265.46269999999998</v>
      </c>
      <c r="J1769">
        <v>-190.06979999999999</v>
      </c>
      <c r="K1769">
        <v>1.119629</v>
      </c>
      <c r="L1769">
        <v>318.7475</v>
      </c>
      <c r="M1769">
        <v>2.1947930000000001E-2</v>
      </c>
      <c r="N1769">
        <v>-1.100721E-2</v>
      </c>
      <c r="O1769">
        <v>-0.99969859999999999</v>
      </c>
      <c r="P1769">
        <v>-6.9231909999999994E-2</v>
      </c>
      <c r="Q1769">
        <v>0.14139179999999901</v>
      </c>
      <c r="R1769">
        <v>-0.98752989999999996</v>
      </c>
      <c r="S1769">
        <v>-0.32847599999999999</v>
      </c>
      <c r="T1769">
        <v>-6.3098070000000006E-2</v>
      </c>
      <c r="U1769">
        <v>-3.0243229999999999</v>
      </c>
      <c r="V1769">
        <v>9.1425350000000002E-2</v>
      </c>
      <c r="W1769">
        <v>0.151913299999999</v>
      </c>
      <c r="X1769">
        <v>0.98415640000000004</v>
      </c>
      <c r="Y1769">
        <v>0.12974369999999999</v>
      </c>
      <c r="Z1769">
        <v>9.6832849999999998E-3</v>
      </c>
      <c r="AA1769">
        <v>0.9915003</v>
      </c>
      <c r="AB1769">
        <v>36</v>
      </c>
      <c r="AC1769">
        <v>-5.8355000000000201</v>
      </c>
      <c r="AD1769">
        <v>-1.119632931907</v>
      </c>
      <c r="AE1769">
        <v>-53.284799999999997</v>
      </c>
      <c r="AF1769">
        <v>7.00060173248204</v>
      </c>
      <c r="AG1769">
        <v>-1.119632931907</v>
      </c>
      <c r="AH1769">
        <v>53.120702467622699</v>
      </c>
      <c r="AI1769">
        <v>91.197105168482594</v>
      </c>
      <c r="AJ1769">
        <v>82.492442269889807</v>
      </c>
      <c r="AK1769">
        <v>53.591706757414798</v>
      </c>
      <c r="AL1769">
        <v>81.262178881872103</v>
      </c>
      <c r="AM1769">
        <v>84.692616297993894</v>
      </c>
      <c r="AN1769">
        <v>1.0000000325002301</v>
      </c>
    </row>
    <row r="1770" spans="1:40" x14ac:dyDescent="0.25">
      <c r="A1770" t="str">
        <f>"20190303170254361"</f>
        <v>20190303170254361</v>
      </c>
      <c r="B1770" t="str">
        <f>"1551603774347744"</f>
        <v>1551603774347744</v>
      </c>
      <c r="C1770" t="s">
        <v>40</v>
      </c>
      <c r="D1770">
        <v>4.3882820000000002</v>
      </c>
      <c r="E1770">
        <v>0.51927409999999996</v>
      </c>
      <c r="F1770" t="s">
        <v>42</v>
      </c>
      <c r="G1770">
        <v>-195.79259999999999</v>
      </c>
      <c r="H1770" s="1">
        <v>-4.3677079999999999E-6</v>
      </c>
      <c r="I1770">
        <v>266.8021</v>
      </c>
      <c r="J1770">
        <v>-190.0634</v>
      </c>
      <c r="K1770">
        <v>1.119699</v>
      </c>
      <c r="L1770">
        <v>318.39280000000002</v>
      </c>
      <c r="M1770">
        <v>2.0648219999999998E-2</v>
      </c>
      <c r="N1770">
        <v>-1.14848E-2</v>
      </c>
      <c r="O1770">
        <v>-0.99972090000000002</v>
      </c>
      <c r="P1770">
        <v>-7.0887329999999998E-2</v>
      </c>
      <c r="Q1770">
        <v>0.14191589999999901</v>
      </c>
      <c r="R1770">
        <v>-0.98733740000000003</v>
      </c>
      <c r="S1770">
        <v>-0.33314510000000003</v>
      </c>
      <c r="T1770">
        <v>-6.5177199999999894E-2</v>
      </c>
      <c r="U1770">
        <v>-3.023895</v>
      </c>
      <c r="V1770">
        <v>9.1784959999999999E-2</v>
      </c>
      <c r="W1770">
        <v>0.15291289999999999</v>
      </c>
      <c r="X1770">
        <v>0.98396810000000001</v>
      </c>
      <c r="Y1770">
        <v>0.1299805</v>
      </c>
      <c r="Z1770">
        <v>9.8894959999999994E-3</v>
      </c>
      <c r="AA1770">
        <v>0.99146719999999999</v>
      </c>
      <c r="AB1770">
        <v>36</v>
      </c>
      <c r="AC1770">
        <v>-5.7291999999999899</v>
      </c>
      <c r="AD1770">
        <v>-1.1197033677079999</v>
      </c>
      <c r="AE1770">
        <v>-51.590699999999998</v>
      </c>
      <c r="AF1770">
        <v>6.7901452007796701</v>
      </c>
      <c r="AG1770">
        <v>-1.1197033677079999</v>
      </c>
      <c r="AH1770">
        <v>51.437459745320901</v>
      </c>
      <c r="AI1770">
        <v>91.236309672877596</v>
      </c>
      <c r="AJ1770">
        <v>82.479991185676894</v>
      </c>
      <c r="AK1770">
        <v>51.895780874082902</v>
      </c>
      <c r="AL1770">
        <v>81.2042289428191</v>
      </c>
      <c r="AM1770">
        <v>84.670846525686599</v>
      </c>
      <c r="AN1770">
        <v>1.00000002784311</v>
      </c>
    </row>
    <row r="1771" spans="1:40" x14ac:dyDescent="0.25">
      <c r="A1771" t="str">
        <f>"20190303170254382"</f>
        <v>20190303170254382</v>
      </c>
      <c r="B1771" t="str">
        <f>"1551603774377023"</f>
        <v>1551603774377023</v>
      </c>
      <c r="C1771" t="s">
        <v>40</v>
      </c>
      <c r="D1771">
        <v>4.6119370000000002</v>
      </c>
      <c r="E1771">
        <v>0.51928350000000001</v>
      </c>
      <c r="F1771" t="s">
        <v>42</v>
      </c>
      <c r="G1771">
        <v>-195.9725</v>
      </c>
      <c r="H1771" s="1">
        <v>-3.9861569999999999E-6</v>
      </c>
      <c r="I1771">
        <v>265.5872</v>
      </c>
      <c r="J1771">
        <v>-190.0573</v>
      </c>
      <c r="K1771">
        <v>1.119769</v>
      </c>
      <c r="L1771">
        <v>318.03469999999999</v>
      </c>
      <c r="M1771">
        <v>1.937608E-2</v>
      </c>
      <c r="N1771">
        <v>-1.1911390000000001E-2</v>
      </c>
      <c r="O1771">
        <v>-0.99974130000000005</v>
      </c>
      <c r="P1771">
        <v>-7.2628680000000001E-2</v>
      </c>
      <c r="Q1771">
        <v>0.1423664</v>
      </c>
      <c r="R1771">
        <v>-0.98714579999999996</v>
      </c>
      <c r="S1771">
        <v>-0.338333099999999</v>
      </c>
      <c r="T1771">
        <v>-6.4109680000000002E-2</v>
      </c>
      <c r="U1771">
        <v>-3.0234380000000001</v>
      </c>
      <c r="V1771">
        <v>9.2254710000000004E-2</v>
      </c>
      <c r="W1771">
        <v>0.1537898</v>
      </c>
      <c r="X1771">
        <v>0.98378750000000004</v>
      </c>
      <c r="Y1771">
        <v>0.13041549999999999</v>
      </c>
      <c r="Z1771">
        <v>9.114245E-3</v>
      </c>
      <c r="AA1771">
        <v>0.99141749999999995</v>
      </c>
      <c r="AB1771">
        <v>36</v>
      </c>
      <c r="AC1771">
        <v>-5.9151999999999898</v>
      </c>
      <c r="AD1771">
        <v>-1.119772986157</v>
      </c>
      <c r="AE1771">
        <v>-52.447499999999899</v>
      </c>
      <c r="AF1771">
        <v>6.9272703738596597</v>
      </c>
      <c r="AG1771">
        <v>-1.119772986157</v>
      </c>
      <c r="AH1771">
        <v>52.299490260777702</v>
      </c>
      <c r="AI1771">
        <v>91.215943375064697</v>
      </c>
      <c r="AJ1771">
        <v>82.454871167204303</v>
      </c>
      <c r="AK1771">
        <v>52.768149938293902</v>
      </c>
      <c r="AL1771">
        <v>81.153384981061507</v>
      </c>
      <c r="AM1771">
        <v>84.642752898755404</v>
      </c>
      <c r="AN1771">
        <v>1.0000000396287301</v>
      </c>
    </row>
    <row r="1772" spans="1:40" x14ac:dyDescent="0.25">
      <c r="A1772" t="str">
        <f>"20190303170254406"</f>
        <v>20190303170254406</v>
      </c>
      <c r="B1772" t="str">
        <f>"1551603774397518"</f>
        <v>1551603774397518</v>
      </c>
      <c r="C1772" t="s">
        <v>40</v>
      </c>
      <c r="D1772">
        <v>4.5219680000000002</v>
      </c>
      <c r="E1772">
        <v>0.5192369</v>
      </c>
      <c r="F1772" t="s">
        <v>42</v>
      </c>
      <c r="G1772">
        <v>-196.14340000000001</v>
      </c>
      <c r="H1772" s="1">
        <v>-3.608113E-6</v>
      </c>
      <c r="I1772">
        <v>264.38709999999998</v>
      </c>
      <c r="J1772">
        <v>-190.0513</v>
      </c>
      <c r="K1772">
        <v>1.1198399999999999</v>
      </c>
      <c r="L1772">
        <v>317.65660000000003</v>
      </c>
      <c r="M1772">
        <v>1.8091240000000001E-2</v>
      </c>
      <c r="N1772">
        <v>-1.2306640000000001E-2</v>
      </c>
      <c r="O1772">
        <v>-0.99976080000000001</v>
      </c>
      <c r="P1772">
        <v>-7.4445960000000005E-2</v>
      </c>
      <c r="Q1772">
        <v>0.1414859</v>
      </c>
      <c r="R1772">
        <v>-0.98713740000000005</v>
      </c>
      <c r="S1772">
        <v>-0.3429413</v>
      </c>
      <c r="T1772">
        <v>-6.3096639999999996E-2</v>
      </c>
      <c r="U1772">
        <v>-3.0229189999999999</v>
      </c>
      <c r="V1772">
        <v>9.2782530000000002E-2</v>
      </c>
      <c r="W1772">
        <v>0.15331059999999999</v>
      </c>
      <c r="X1772">
        <v>0.98381260000000004</v>
      </c>
      <c r="Y1772">
        <v>0.1306524</v>
      </c>
      <c r="Z1772">
        <v>8.3891250000000007E-3</v>
      </c>
      <c r="AA1772">
        <v>0.99139270000000002</v>
      </c>
      <c r="AB1772">
        <v>36</v>
      </c>
      <c r="AC1772">
        <v>-6.0921000000000101</v>
      </c>
      <c r="AD1772">
        <v>-1.1198436081130001</v>
      </c>
      <c r="AE1772">
        <v>-53.269500000000001</v>
      </c>
      <c r="AF1772">
        <v>7.05181071693048</v>
      </c>
      <c r="AG1772">
        <v>-1.1198436081130001</v>
      </c>
      <c r="AH1772">
        <v>53.1273829494965</v>
      </c>
      <c r="AI1772">
        <v>91.197032475510696</v>
      </c>
      <c r="AJ1772">
        <v>82.439098026233395</v>
      </c>
      <c r="AK1772">
        <v>53.605045500927403</v>
      </c>
      <c r="AL1772">
        <v>81.181170145822904</v>
      </c>
      <c r="AM1772">
        <v>84.612418800624795</v>
      </c>
      <c r="AN1772">
        <v>0.99999998493216002</v>
      </c>
    </row>
    <row r="1773" spans="1:40" x14ac:dyDescent="0.25">
      <c r="A1773" t="str">
        <f>"20190303170254427"</f>
        <v>20190303170254427</v>
      </c>
      <c r="B1773" t="str">
        <f>"1551603774417039"</f>
        <v>1551603774417039</v>
      </c>
      <c r="C1773" t="s">
        <v>40</v>
      </c>
      <c r="D1773">
        <v>4.4500289999999998</v>
      </c>
      <c r="E1773">
        <v>0.51929309999999995</v>
      </c>
      <c r="F1773" t="s">
        <v>42</v>
      </c>
      <c r="G1773">
        <v>-195.90029999999999</v>
      </c>
      <c r="H1773" s="1">
        <v>-4.3663400000000003E-6</v>
      </c>
      <c r="I1773">
        <v>266.74200000000002</v>
      </c>
      <c r="J1773">
        <v>-190.0462</v>
      </c>
      <c r="K1773">
        <v>1.119915</v>
      </c>
      <c r="L1773">
        <v>317.30869999999999</v>
      </c>
      <c r="M1773">
        <v>1.6973740000000001E-2</v>
      </c>
      <c r="N1773">
        <v>-1.2624669999999999E-2</v>
      </c>
      <c r="O1773">
        <v>-0.99977629999999995</v>
      </c>
      <c r="P1773">
        <v>-7.5853180000000006E-2</v>
      </c>
      <c r="Q1773">
        <v>0.1406752</v>
      </c>
      <c r="R1773">
        <v>-0.98714599999999997</v>
      </c>
      <c r="S1773">
        <v>-0.34721370000000001</v>
      </c>
      <c r="T1773">
        <v>-6.6477659999999994E-2</v>
      </c>
      <c r="U1773">
        <v>-3.0224609999999998</v>
      </c>
      <c r="V1773">
        <v>9.3064030000000006E-2</v>
      </c>
      <c r="W1773">
        <v>0.1528262</v>
      </c>
      <c r="X1773">
        <v>0.9838614</v>
      </c>
      <c r="Y1773">
        <v>0.13094169999999999</v>
      </c>
      <c r="Z1773">
        <v>9.1824469999999998E-3</v>
      </c>
      <c r="AA1773">
        <v>0.9913476</v>
      </c>
      <c r="AB1773">
        <v>36</v>
      </c>
      <c r="AC1773">
        <v>-5.8540999999999803</v>
      </c>
      <c r="AD1773">
        <v>-1.11991936634</v>
      </c>
      <c r="AE1773">
        <v>-50.566699999999898</v>
      </c>
      <c r="AF1773">
        <v>6.70838388067118</v>
      </c>
      <c r="AG1773">
        <v>-1.11991936634</v>
      </c>
      <c r="AH1773">
        <v>50.435628306367597</v>
      </c>
      <c r="AI1773">
        <v>91.260938161015702</v>
      </c>
      <c r="AJ1773">
        <v>82.423625350274094</v>
      </c>
      <c r="AK1773">
        <v>50.892133344315802</v>
      </c>
      <c r="AL1773">
        <v>81.2092553897714</v>
      </c>
      <c r="AM1773">
        <v>84.596436068855297</v>
      </c>
      <c r="AN1773">
        <v>1.0000000077481199</v>
      </c>
    </row>
    <row r="1774" spans="1:40" x14ac:dyDescent="0.25">
      <c r="A1774" t="str">
        <f>"20190303170254450"</f>
        <v>20190303170254450</v>
      </c>
      <c r="B1774" t="str">
        <f>"1551603774437535"</f>
        <v>1551603774437535</v>
      </c>
      <c r="C1774" t="s">
        <v>40</v>
      </c>
      <c r="D1774">
        <v>4.4100539999999997</v>
      </c>
      <c r="E1774">
        <v>0.51933229999999997</v>
      </c>
      <c r="F1774" t="s">
        <v>42</v>
      </c>
      <c r="G1774">
        <v>-195.73390000000001</v>
      </c>
      <c r="H1774" s="1">
        <v>-4.915363E-6</v>
      </c>
      <c r="I1774">
        <v>268.44200000000001</v>
      </c>
      <c r="J1774">
        <v>-190.04130000000001</v>
      </c>
      <c r="K1774">
        <v>1.1199950000000001</v>
      </c>
      <c r="L1774">
        <v>316.96019999999999</v>
      </c>
      <c r="M1774">
        <v>1.592259E-2</v>
      </c>
      <c r="N1774">
        <v>-1.290375E-2</v>
      </c>
      <c r="O1774">
        <v>-0.99979010000000001</v>
      </c>
      <c r="P1774">
        <v>-7.6280329999999993E-2</v>
      </c>
      <c r="Q1774">
        <v>0.1403761</v>
      </c>
      <c r="R1774">
        <v>-0.98715560000000002</v>
      </c>
      <c r="S1774">
        <v>-0.3517303</v>
      </c>
      <c r="T1774">
        <v>-6.9255709999999998E-2</v>
      </c>
      <c r="U1774">
        <v>-3.0219119999999999</v>
      </c>
      <c r="V1774">
        <v>9.2430129999999999E-2</v>
      </c>
      <c r="W1774">
        <v>0.15282009999999999</v>
      </c>
      <c r="X1774">
        <v>0.98392210000000002</v>
      </c>
      <c r="Y1774">
        <v>0.13137960000000001</v>
      </c>
      <c r="Z1774">
        <v>9.8172950000000002E-3</v>
      </c>
      <c r="AA1774">
        <v>0.99128349999999998</v>
      </c>
      <c r="AB1774">
        <v>36</v>
      </c>
      <c r="AC1774">
        <v>-5.6925999999999899</v>
      </c>
      <c r="AD1774">
        <v>-1.119999915363</v>
      </c>
      <c r="AE1774">
        <v>-48.518199999999901</v>
      </c>
      <c r="AF1774">
        <v>6.4610816309933004</v>
      </c>
      <c r="AG1774">
        <v>-1.119999915363</v>
      </c>
      <c r="AH1774">
        <v>48.395960856681903</v>
      </c>
      <c r="AI1774">
        <v>91.314071869352304</v>
      </c>
      <c r="AJ1774">
        <v>82.395717447009204</v>
      </c>
      <c r="AK1774">
        <v>48.838192051858996</v>
      </c>
      <c r="AL1774">
        <v>81.209609027291506</v>
      </c>
      <c r="AM1774">
        <v>84.633355631200601</v>
      </c>
      <c r="AN1774">
        <v>1.0000000053821101</v>
      </c>
    </row>
    <row r="1775" spans="1:40" x14ac:dyDescent="0.25">
      <c r="A1775" t="str">
        <f>"20190303170254472"</f>
        <v>20190303170254472</v>
      </c>
      <c r="B1775" t="str">
        <f>"1551603774457056"</f>
        <v>1551603774457056</v>
      </c>
      <c r="C1775" t="s">
        <v>40</v>
      </c>
      <c r="D1775">
        <v>4.4190490000000002</v>
      </c>
      <c r="E1775">
        <v>0.51930959999999904</v>
      </c>
      <c r="F1775" t="s">
        <v>42</v>
      </c>
      <c r="G1775">
        <v>-195.64709999999999</v>
      </c>
      <c r="H1775" s="1">
        <v>-5.0911770000000001E-6</v>
      </c>
      <c r="I1775">
        <v>269.00389999999999</v>
      </c>
      <c r="J1775">
        <v>-190.03649999999999</v>
      </c>
      <c r="K1775">
        <v>1.1200859999999999</v>
      </c>
      <c r="L1775">
        <v>316.58980000000003</v>
      </c>
      <c r="M1775">
        <v>1.488245E-2</v>
      </c>
      <c r="N1775">
        <v>-1.316227E-2</v>
      </c>
      <c r="O1775">
        <v>-0.99980290000000005</v>
      </c>
      <c r="P1775">
        <v>-7.6466690000000004E-2</v>
      </c>
      <c r="Q1775">
        <v>0.14100260000000001</v>
      </c>
      <c r="R1775">
        <v>-0.98705220000000005</v>
      </c>
      <c r="S1775">
        <v>-0.35322569999999998</v>
      </c>
      <c r="T1775">
        <v>-7.057273E-2</v>
      </c>
      <c r="U1775">
        <v>-3.0217900000000002</v>
      </c>
      <c r="V1775">
        <v>9.1563950000000005E-2</v>
      </c>
      <c r="W1775">
        <v>0.15371960000000001</v>
      </c>
      <c r="X1775">
        <v>0.98386289999999998</v>
      </c>
      <c r="Y1775">
        <v>0.1308356</v>
      </c>
      <c r="Z1775">
        <v>9.9930780000000007E-3</v>
      </c>
      <c r="AA1775">
        <v>0.9913537</v>
      </c>
      <c r="AB1775">
        <v>36</v>
      </c>
      <c r="AC1775">
        <v>-5.6105999999999998</v>
      </c>
      <c r="AD1775">
        <v>-1.1200910911769999</v>
      </c>
      <c r="AE1775">
        <v>-47.585900000000002</v>
      </c>
      <c r="AF1775">
        <v>6.3147837040063903</v>
      </c>
      <c r="AG1775">
        <v>-1.1200910911769999</v>
      </c>
      <c r="AH1775">
        <v>47.471181416651902</v>
      </c>
      <c r="AI1775">
        <v>91.339855257794895</v>
      </c>
      <c r="AJ1775">
        <v>82.422798210799101</v>
      </c>
      <c r="AK1775">
        <v>47.902444221287801</v>
      </c>
      <c r="AL1775">
        <v>81.1574546521869</v>
      </c>
      <c r="AM1775">
        <v>84.683039836592897</v>
      </c>
      <c r="AN1775">
        <v>0.99999993918008401</v>
      </c>
    </row>
    <row r="1776" spans="1:40" x14ac:dyDescent="0.25">
      <c r="A1776" t="str">
        <f>"20190303170254495"</f>
        <v>20190303170254495</v>
      </c>
      <c r="B1776" t="str">
        <f>"1551603774487311"</f>
        <v>1551603774487311</v>
      </c>
      <c r="C1776" t="s">
        <v>40</v>
      </c>
      <c r="D1776">
        <v>4.5276439999999996</v>
      </c>
      <c r="E1776">
        <v>0.51946629999999905</v>
      </c>
      <c r="F1776" t="s">
        <v>42</v>
      </c>
      <c r="G1776">
        <v>-195.78469999999999</v>
      </c>
      <c r="H1776" s="1">
        <v>-4.6153959999999998E-6</v>
      </c>
      <c r="I1776">
        <v>267.53410000000002</v>
      </c>
      <c r="J1776">
        <v>-190.03200000000001</v>
      </c>
      <c r="K1776">
        <v>1.1201730000000001</v>
      </c>
      <c r="L1776">
        <v>316.21780000000001</v>
      </c>
      <c r="M1776">
        <v>1.3917179999999999E-2</v>
      </c>
      <c r="N1776">
        <v>-1.3386769999999999E-2</v>
      </c>
      <c r="O1776">
        <v>-0.99981359999999997</v>
      </c>
      <c r="P1776">
        <v>-7.704569E-2</v>
      </c>
      <c r="Q1776">
        <v>0.14123229999999901</v>
      </c>
      <c r="R1776">
        <v>-0.98697389999999996</v>
      </c>
      <c r="S1776">
        <v>-0.35408020000000001</v>
      </c>
      <c r="T1776">
        <v>-6.8996669999999996E-2</v>
      </c>
      <c r="U1776">
        <v>-3.0217900000000002</v>
      </c>
      <c r="V1776">
        <v>9.1163309999999997E-2</v>
      </c>
      <c r="W1776">
        <v>0.15418789999999999</v>
      </c>
      <c r="X1776">
        <v>0.98382689999999995</v>
      </c>
      <c r="Y1776">
        <v>0.13015570000000001</v>
      </c>
      <c r="Z1776">
        <v>9.2530449999999997E-3</v>
      </c>
      <c r="AA1776">
        <v>0.99145039999999995</v>
      </c>
      <c r="AB1776">
        <v>36</v>
      </c>
      <c r="AC1776">
        <v>-5.7526999999999697</v>
      </c>
      <c r="AD1776">
        <v>-1.1201776153959999</v>
      </c>
      <c r="AE1776">
        <v>-48.683699999999902</v>
      </c>
      <c r="AF1776">
        <v>6.4263877937027996</v>
      </c>
      <c r="AG1776">
        <v>-1.1201776153959999</v>
      </c>
      <c r="AH1776">
        <v>48.573553620123199</v>
      </c>
      <c r="AI1776">
        <v>91.309682308150897</v>
      </c>
      <c r="AJ1776">
        <v>82.463412329923003</v>
      </c>
      <c r="AK1776">
        <v>49.009625271491998</v>
      </c>
      <c r="AL1776">
        <v>81.130299955430502</v>
      </c>
      <c r="AM1776">
        <v>84.705979233691494</v>
      </c>
      <c r="AN1776">
        <v>1.0000000133800799</v>
      </c>
    </row>
    <row r="1777" spans="1:40" x14ac:dyDescent="0.25">
      <c r="A1777" t="str">
        <f>"20190303170254518"</f>
        <v>20190303170254518</v>
      </c>
      <c r="B1777" t="str">
        <f>"1551603774507807"</f>
        <v>1551603774507807</v>
      </c>
      <c r="C1777" t="s">
        <v>40</v>
      </c>
      <c r="D1777">
        <v>4.6840070000000003</v>
      </c>
      <c r="E1777">
        <v>0.51951729999999996</v>
      </c>
      <c r="F1777" t="s">
        <v>42</v>
      </c>
      <c r="G1777">
        <v>-195.85669999999999</v>
      </c>
      <c r="H1777" s="1">
        <v>-4.4084309999999998E-6</v>
      </c>
      <c r="I1777">
        <v>266.88839999999999</v>
      </c>
      <c r="J1777">
        <v>-190.02780000000001</v>
      </c>
      <c r="K1777">
        <v>1.1202460000000001</v>
      </c>
      <c r="L1777">
        <v>315.85500000000002</v>
      </c>
      <c r="M1777">
        <v>1.305838E-2</v>
      </c>
      <c r="N1777">
        <v>-1.357301E-2</v>
      </c>
      <c r="O1777">
        <v>-0.99982269999999895</v>
      </c>
      <c r="P1777">
        <v>-7.8049869999999993E-2</v>
      </c>
      <c r="Q1777">
        <v>0.1390026</v>
      </c>
      <c r="R1777">
        <v>-0.98721150000000002</v>
      </c>
      <c r="S1777">
        <v>-0.35678100000000001</v>
      </c>
      <c r="T1777">
        <v>-6.8614240000000007E-2</v>
      </c>
      <c r="U1777">
        <v>-3.021576</v>
      </c>
      <c r="V1777">
        <v>9.1292570000000003E-2</v>
      </c>
      <c r="W1777">
        <v>0.15216079999999901</v>
      </c>
      <c r="X1777">
        <v>0.98413039999999996</v>
      </c>
      <c r="Y1777">
        <v>0.1301861</v>
      </c>
      <c r="Z1777">
        <v>8.9425059999999994E-3</v>
      </c>
      <c r="AA1777">
        <v>0.99144920000000003</v>
      </c>
      <c r="AB1777">
        <v>36</v>
      </c>
      <c r="AC1777">
        <v>-5.8288999999999698</v>
      </c>
      <c r="AD1777">
        <v>-1.1202504084310001</v>
      </c>
      <c r="AE1777">
        <v>-48.9666</v>
      </c>
      <c r="AF1777">
        <v>6.4645499878986703</v>
      </c>
      <c r="AG1777">
        <v>-1.1202504084310001</v>
      </c>
      <c r="AH1777">
        <v>48.861084760006598</v>
      </c>
      <c r="AI1777">
        <v>91.302062084692196</v>
      </c>
      <c r="AJ1777">
        <v>82.463272660568407</v>
      </c>
      <c r="AK1777">
        <v>49.299604171313398</v>
      </c>
      <c r="AL1777">
        <v>81.247830597440398</v>
      </c>
      <c r="AM1777">
        <v>84.700141243689998</v>
      </c>
      <c r="AN1777">
        <v>0.99999994329899999</v>
      </c>
    </row>
    <row r="1778" spans="1:40" x14ac:dyDescent="0.25">
      <c r="A1778" t="str">
        <f>"20190303170254540"</f>
        <v>20190303170254540</v>
      </c>
      <c r="B1778" t="str">
        <f>"1551603774527327"</f>
        <v>1551603774527327</v>
      </c>
      <c r="C1778" t="s">
        <v>40</v>
      </c>
      <c r="D1778">
        <v>4.537401</v>
      </c>
      <c r="E1778">
        <v>0.55049680000000001</v>
      </c>
      <c r="F1778" t="s">
        <v>57</v>
      </c>
      <c r="G1778">
        <v>-195.3972</v>
      </c>
      <c r="H1778" s="1">
        <v>6.06189899999999E-6</v>
      </c>
      <c r="I1778">
        <v>270.84690000000001</v>
      </c>
      <c r="J1778">
        <v>-190.02379999999999</v>
      </c>
      <c r="K1778">
        <v>1.1203259999999999</v>
      </c>
      <c r="L1778">
        <v>315.48110000000003</v>
      </c>
      <c r="M1778">
        <v>1.224185E-2</v>
      </c>
      <c r="N1778">
        <v>-1.3738520000000001E-2</v>
      </c>
      <c r="O1778">
        <v>-0.99983089999999997</v>
      </c>
      <c r="P1778">
        <v>-7.8573850000000001E-2</v>
      </c>
      <c r="Q1778">
        <v>0.13798669999999999</v>
      </c>
      <c r="R1778">
        <v>-0.98731270000000004</v>
      </c>
      <c r="S1778">
        <v>-0.36039729999999998</v>
      </c>
      <c r="T1778">
        <v>-7.5191740000000007E-2</v>
      </c>
      <c r="U1778">
        <v>-3.0209959999999998</v>
      </c>
      <c r="V1778">
        <v>9.0985629999999998E-2</v>
      </c>
      <c r="W1778">
        <v>0.15132609999999999</v>
      </c>
      <c r="X1778">
        <v>0.98428760000000004</v>
      </c>
      <c r="Y1778">
        <v>0.13056400000000001</v>
      </c>
      <c r="Z1778">
        <v>1.093863E-2</v>
      </c>
      <c r="AA1778">
        <v>0.99137960000000003</v>
      </c>
      <c r="AB1778">
        <v>36</v>
      </c>
      <c r="AC1778">
        <v>-5.3734000000000002</v>
      </c>
      <c r="AD1778">
        <v>-1.1203199381009901</v>
      </c>
      <c r="AE1778">
        <v>-44.6342</v>
      </c>
      <c r="AF1778">
        <v>5.91578014105849</v>
      </c>
      <c r="AG1778">
        <v>-1.1203199381009901</v>
      </c>
      <c r="AH1778">
        <v>44.537409953719198</v>
      </c>
      <c r="AI1778">
        <v>91.428407140767007</v>
      </c>
      <c r="AJ1778">
        <v>82.433850422508897</v>
      </c>
      <c r="AK1778">
        <v>44.942546176498396</v>
      </c>
      <c r="AL1778">
        <v>81.296216421924996</v>
      </c>
      <c r="AM1778">
        <v>84.718698079738203</v>
      </c>
      <c r="AN1778">
        <v>1.0000000264607301</v>
      </c>
    </row>
    <row r="1779" spans="1:40" x14ac:dyDescent="0.25">
      <c r="A1779" t="str">
        <f>"20190303170254564"</f>
        <v>20190303170254564</v>
      </c>
      <c r="B1779" t="str">
        <f>"1551603774557582"</f>
        <v>1551603774557582</v>
      </c>
      <c r="C1779" t="s">
        <v>40</v>
      </c>
      <c r="D1779">
        <v>4.5315899999999996</v>
      </c>
      <c r="E1779">
        <v>0.55773189999999995</v>
      </c>
      <c r="F1779" t="s">
        <v>57</v>
      </c>
      <c r="G1779">
        <v>-196.4485</v>
      </c>
      <c r="H1779" s="1">
        <v>2.8961039999999998E-6</v>
      </c>
      <c r="I1779">
        <v>283.7543</v>
      </c>
      <c r="J1779">
        <v>-190.02010000000001</v>
      </c>
      <c r="K1779">
        <v>1.1204069999999999</v>
      </c>
      <c r="L1779">
        <v>315.11360000000002</v>
      </c>
      <c r="M1779">
        <v>1.149001E-2</v>
      </c>
      <c r="N1779">
        <v>-1.387859E-2</v>
      </c>
      <c r="O1779">
        <v>-0.9998378</v>
      </c>
      <c r="P1779">
        <v>-7.8608860000000003E-2</v>
      </c>
      <c r="Q1779">
        <v>0.13921059999999999</v>
      </c>
      <c r="R1779">
        <v>-0.98713779999999995</v>
      </c>
      <c r="S1779">
        <v>-0.60850519999999997</v>
      </c>
      <c r="T1779">
        <v>-0.1061103</v>
      </c>
      <c r="U1779">
        <v>-3.0049739999999998</v>
      </c>
      <c r="V1779">
        <v>9.0258779999999997E-2</v>
      </c>
      <c r="W1779">
        <v>0.1526999</v>
      </c>
      <c r="X1779">
        <v>0.98414230000000003</v>
      </c>
      <c r="Y1779">
        <v>0.20960809999999999</v>
      </c>
      <c r="Z1779">
        <v>2.0654559999999999E-2</v>
      </c>
      <c r="AA1779">
        <v>0.97756730000000003</v>
      </c>
      <c r="AB1779">
        <v>36</v>
      </c>
      <c r="AC1779">
        <v>-6.4283999999999804</v>
      </c>
      <c r="AD1779">
        <v>-1.120404103896</v>
      </c>
      <c r="AE1779">
        <v>-31.359300000000001</v>
      </c>
      <c r="AF1779">
        <v>6.7800232926237403</v>
      </c>
      <c r="AG1779">
        <v>-1.120404103896</v>
      </c>
      <c r="AH1779">
        <v>31.2450844494576</v>
      </c>
      <c r="AI1779">
        <v>92.006996449452004</v>
      </c>
      <c r="AJ1779">
        <v>77.756916624881995</v>
      </c>
      <c r="AK1779">
        <v>31.991863394592698</v>
      </c>
      <c r="AL1779">
        <v>81.216577604830505</v>
      </c>
      <c r="AM1779">
        <v>84.7598834375043</v>
      </c>
      <c r="AN1779">
        <v>0.99999998673819401</v>
      </c>
    </row>
    <row r="1780" spans="1:40" x14ac:dyDescent="0.25">
      <c r="A1780" t="str">
        <f>"20190303170254584"</f>
        <v>20190303170254584</v>
      </c>
      <c r="B1780" t="str">
        <f>"1551603774578079"</f>
        <v>1551603774578079</v>
      </c>
      <c r="C1780" t="s">
        <v>40</v>
      </c>
      <c r="D1780">
        <v>4.5098839999999996</v>
      </c>
      <c r="E1780">
        <v>0.56006319999999998</v>
      </c>
      <c r="F1780" t="s">
        <v>57</v>
      </c>
      <c r="G1780">
        <v>-197.82130000000001</v>
      </c>
      <c r="H1780" s="1">
        <v>2.9761000000000002E-6</v>
      </c>
      <c r="I1780">
        <v>280.05380000000002</v>
      </c>
      <c r="J1780">
        <v>-190.017</v>
      </c>
      <c r="K1780">
        <v>1.1204750000000001</v>
      </c>
      <c r="L1780">
        <v>314.7835</v>
      </c>
      <c r="M1780">
        <v>1.0849019999999999E-2</v>
      </c>
      <c r="N1780">
        <v>-1.398746E-2</v>
      </c>
      <c r="O1780">
        <v>-0.9998435</v>
      </c>
      <c r="P1780">
        <v>-7.9142119999999996E-2</v>
      </c>
      <c r="Q1780">
        <v>0.14113210000000001</v>
      </c>
      <c r="R1780">
        <v>-0.9868228</v>
      </c>
      <c r="S1780">
        <v>-0.667404199999999</v>
      </c>
      <c r="T1780">
        <v>-9.5852380000000001E-2</v>
      </c>
      <c r="U1780">
        <v>-2.9994200000000002</v>
      </c>
      <c r="V1780">
        <v>9.0144189999999999E-2</v>
      </c>
      <c r="W1780">
        <v>0.15473439999999999</v>
      </c>
      <c r="X1780">
        <v>0.98383500000000002</v>
      </c>
      <c r="Y1780">
        <v>0.2276744</v>
      </c>
      <c r="Z1780">
        <v>1.7137840000000001E-2</v>
      </c>
      <c r="AA1780">
        <v>0.97358650000000002</v>
      </c>
      <c r="AB1780">
        <v>36</v>
      </c>
      <c r="AC1780">
        <v>-7.8043000000000102</v>
      </c>
      <c r="AD1780">
        <v>-1.1204720238999999</v>
      </c>
      <c r="AE1780">
        <v>-34.729699999999902</v>
      </c>
      <c r="AF1780">
        <v>8.1725628799708705</v>
      </c>
      <c r="AG1780">
        <v>-1.1204720238999999</v>
      </c>
      <c r="AH1780">
        <v>34.608686603258803</v>
      </c>
      <c r="AI1780">
        <v>91.804727542629394</v>
      </c>
      <c r="AJ1780">
        <v>76.713459673822697</v>
      </c>
      <c r="AK1780">
        <v>35.578187559036799</v>
      </c>
      <c r="AL1780">
        <v>81.098607421144294</v>
      </c>
      <c r="AM1780">
        <v>84.764873578360906</v>
      </c>
      <c r="AN1780">
        <v>1.0000000083795499</v>
      </c>
    </row>
    <row r="1781" spans="1:40" x14ac:dyDescent="0.25">
      <c r="A1781" t="str">
        <f>"20190303170254607"</f>
        <v>20190303170254607</v>
      </c>
      <c r="B1781" t="str">
        <f>"1551603774597600"</f>
        <v>1551603774597600</v>
      </c>
      <c r="C1781" t="s">
        <v>40</v>
      </c>
      <c r="D1781">
        <v>4.5117339999999997</v>
      </c>
      <c r="E1781">
        <v>0.56128389999999995</v>
      </c>
      <c r="F1781" t="s">
        <v>57</v>
      </c>
      <c r="G1781">
        <v>-198.827</v>
      </c>
      <c r="H1781" s="1">
        <v>3.6790560000000001E-6</v>
      </c>
      <c r="I1781">
        <v>276.4325</v>
      </c>
      <c r="J1781">
        <v>-190.0137</v>
      </c>
      <c r="K1781">
        <v>1.1205229999999999</v>
      </c>
      <c r="L1781">
        <v>314.41559999999998</v>
      </c>
      <c r="M1781">
        <v>1.016307E-2</v>
      </c>
      <c r="N1781">
        <v>-1.4092250000000001E-2</v>
      </c>
      <c r="O1781">
        <v>-0.99984930000000005</v>
      </c>
      <c r="P1781">
        <v>-8.0338370000000006E-2</v>
      </c>
      <c r="Q1781">
        <v>0.14076159999999999</v>
      </c>
      <c r="R1781">
        <v>-0.98677870000000001</v>
      </c>
      <c r="S1781">
        <v>-0.68856809999999902</v>
      </c>
      <c r="T1781">
        <v>-8.7572810000000001E-2</v>
      </c>
      <c r="U1781">
        <v>-2.9974059999999998</v>
      </c>
      <c r="V1781">
        <v>9.0648129999999993E-2</v>
      </c>
      <c r="W1781">
        <v>0.15447529999999901</v>
      </c>
      <c r="X1781">
        <v>0.98382939999999997</v>
      </c>
      <c r="Y1781">
        <v>0.23369200000000001</v>
      </c>
      <c r="Z1781">
        <v>1.4321820000000001E-2</v>
      </c>
      <c r="AA1781">
        <v>0.97220519999999999</v>
      </c>
      <c r="AB1781">
        <v>36</v>
      </c>
      <c r="AC1781">
        <v>-8.8132999999999893</v>
      </c>
      <c r="AD1781">
        <v>-1.1205193209440001</v>
      </c>
      <c r="AE1781">
        <v>-37.983099999999901</v>
      </c>
      <c r="AF1781">
        <v>9.1913175441403592</v>
      </c>
      <c r="AG1781">
        <v>-1.1205193209440001</v>
      </c>
      <c r="AH1781">
        <v>37.860293242129401</v>
      </c>
      <c r="AI1781">
        <v>91.647415906669707</v>
      </c>
      <c r="AJ1781">
        <v>76.3543327355044</v>
      </c>
      <c r="AK1781">
        <v>38.976116868229198</v>
      </c>
      <c r="AL1781">
        <v>81.113633304920498</v>
      </c>
      <c r="AM1781">
        <v>84.735741424613707</v>
      </c>
      <c r="AN1781">
        <v>0.99999999504347303</v>
      </c>
    </row>
    <row r="1782" spans="1:40" x14ac:dyDescent="0.25">
      <c r="A1782" t="str">
        <f>"20190303170254627"</f>
        <v>20190303170254627</v>
      </c>
      <c r="B1782" t="str">
        <f>"1551603774617119"</f>
        <v>1551603774617119</v>
      </c>
      <c r="C1782" t="s">
        <v>40</v>
      </c>
      <c r="D1782">
        <v>4.5302389999999999</v>
      </c>
      <c r="E1782">
        <v>0.56220870000000001</v>
      </c>
      <c r="F1782" t="s">
        <v>57</v>
      </c>
      <c r="G1782">
        <v>-199.04560000000001</v>
      </c>
      <c r="H1782" s="1">
        <v>3.7860709999999999E-6</v>
      </c>
      <c r="I1782">
        <v>275.88189999999997</v>
      </c>
      <c r="J1782">
        <v>-190.01089999999999</v>
      </c>
      <c r="K1782">
        <v>1.12056</v>
      </c>
      <c r="L1782">
        <v>314.07850000000002</v>
      </c>
      <c r="M1782">
        <v>9.5510679999999994E-3</v>
      </c>
      <c r="N1782">
        <v>-1.4174869999999999E-2</v>
      </c>
      <c r="O1782">
        <v>-0.99985409999999997</v>
      </c>
      <c r="P1782">
        <v>-8.1479910000000003E-2</v>
      </c>
      <c r="Q1782">
        <v>0.1394166</v>
      </c>
      <c r="R1782">
        <v>-0.98687639999999999</v>
      </c>
      <c r="S1782">
        <v>-0.70210269999999997</v>
      </c>
      <c r="T1782">
        <v>-8.7104559999999998E-2</v>
      </c>
      <c r="U1782">
        <v>-2.9954529999999999</v>
      </c>
      <c r="V1782">
        <v>9.1173939999999995E-2</v>
      </c>
      <c r="W1782">
        <v>0.15321870000000001</v>
      </c>
      <c r="X1782">
        <v>0.98397730000000005</v>
      </c>
      <c r="Y1782">
        <v>0.2374011</v>
      </c>
      <c r="Z1782">
        <v>1.407894E-2</v>
      </c>
      <c r="AA1782">
        <v>0.97130970000000005</v>
      </c>
      <c r="AB1782">
        <v>36</v>
      </c>
      <c r="AC1782">
        <v>-9.0347000000000097</v>
      </c>
      <c r="AD1782">
        <v>-1.120556213929</v>
      </c>
      <c r="AE1782">
        <v>-38.196599999999997</v>
      </c>
      <c r="AF1782">
        <v>9.39148835307269</v>
      </c>
      <c r="AG1782">
        <v>-1.120556213929</v>
      </c>
      <c r="AH1782">
        <v>38.077523246094003</v>
      </c>
      <c r="AI1782">
        <v>91.636613623796705</v>
      </c>
      <c r="AJ1782">
        <v>76.145020650660499</v>
      </c>
      <c r="AK1782">
        <v>39.234595400887102</v>
      </c>
      <c r="AL1782">
        <v>81.186498646605003</v>
      </c>
      <c r="AM1782">
        <v>84.706170119767407</v>
      </c>
      <c r="AN1782">
        <v>0.99999999214005098</v>
      </c>
    </row>
    <row r="1783" spans="1:40" x14ac:dyDescent="0.25">
      <c r="A1783" t="str">
        <f>"20190303170254650"</f>
        <v>20190303170254650</v>
      </c>
      <c r="B1783" t="str">
        <f>"1551603774637615"</f>
        <v>1551603774637615</v>
      </c>
      <c r="C1783" t="s">
        <v>40</v>
      </c>
      <c r="D1783">
        <v>4.5370850000000003</v>
      </c>
      <c r="E1783">
        <v>0.56294759999999999</v>
      </c>
      <c r="F1783" t="s">
        <v>57</v>
      </c>
      <c r="G1783">
        <v>-198.74440000000001</v>
      </c>
      <c r="H1783" s="1">
        <v>3.4409450000000001E-6</v>
      </c>
      <c r="I1783">
        <v>277.387</v>
      </c>
      <c r="J1783">
        <v>-190.00819999999999</v>
      </c>
      <c r="K1783">
        <v>1.1205909999999999</v>
      </c>
      <c r="L1783">
        <v>313.72649999999999</v>
      </c>
      <c r="M1783">
        <v>8.9212409999999999E-3</v>
      </c>
      <c r="N1783">
        <v>-1.424929E-2</v>
      </c>
      <c r="O1783">
        <v>-0.99985869999999999</v>
      </c>
      <c r="P1783">
        <v>-8.3038780000000006E-2</v>
      </c>
      <c r="Q1783">
        <v>0.13869110000000001</v>
      </c>
      <c r="R1783">
        <v>-0.98684839999999996</v>
      </c>
      <c r="S1783">
        <v>-0.71264649999999996</v>
      </c>
      <c r="T1783">
        <v>-9.143722E-2</v>
      </c>
      <c r="U1783">
        <v>-2.9940190000000002</v>
      </c>
      <c r="V1783">
        <v>9.2101349999999998E-2</v>
      </c>
      <c r="W1783">
        <v>0.15257029999999999</v>
      </c>
      <c r="X1783">
        <v>0.98399170000000002</v>
      </c>
      <c r="Y1783">
        <v>0.24012320000000001</v>
      </c>
      <c r="Z1783">
        <v>1.540264E-2</v>
      </c>
      <c r="AA1783">
        <v>0.97062020000000004</v>
      </c>
      <c r="AB1783">
        <v>36</v>
      </c>
      <c r="AC1783">
        <v>-8.7362000000000197</v>
      </c>
      <c r="AD1783">
        <v>-1.1205875590549901</v>
      </c>
      <c r="AE1783">
        <v>-36.339500000000001</v>
      </c>
      <c r="AF1783">
        <v>9.0519414352615399</v>
      </c>
      <c r="AG1783">
        <v>-1.1205875590549901</v>
      </c>
      <c r="AH1783">
        <v>36.227541406881599</v>
      </c>
      <c r="AI1783">
        <v>91.718892518875293</v>
      </c>
      <c r="AJ1783">
        <v>75.971115889546695</v>
      </c>
      <c r="AK1783">
        <v>37.358106437722903</v>
      </c>
      <c r="AL1783">
        <v>81.224091386604698</v>
      </c>
      <c r="AM1783">
        <v>84.652710329543893</v>
      </c>
      <c r="AN1783">
        <v>1.0000000103914</v>
      </c>
    </row>
    <row r="1784" spans="1:40" x14ac:dyDescent="0.25">
      <c r="A1784" t="str">
        <f>"20190303170254673"</f>
        <v>20190303170254673</v>
      </c>
      <c r="B1784" t="str">
        <f>"1551603774667871"</f>
        <v>1551603774667871</v>
      </c>
      <c r="C1784" t="s">
        <v>40</v>
      </c>
      <c r="D1784">
        <v>4.5401759999999998</v>
      </c>
      <c r="E1784">
        <v>0.56380569999999997</v>
      </c>
      <c r="F1784" t="s">
        <v>57</v>
      </c>
      <c r="G1784">
        <v>-198.74760000000001</v>
      </c>
      <c r="H1784" s="1">
        <v>3.3893770000000001E-6</v>
      </c>
      <c r="I1784">
        <v>277.57960000000003</v>
      </c>
      <c r="J1784">
        <v>-190.00550000000001</v>
      </c>
      <c r="K1784">
        <v>1.120619</v>
      </c>
      <c r="L1784">
        <v>313.34449999999998</v>
      </c>
      <c r="M1784">
        <v>8.2425490000000001E-3</v>
      </c>
      <c r="N1784">
        <v>-1.4318320000000001E-2</v>
      </c>
      <c r="O1784">
        <v>-0.99986370000000002</v>
      </c>
      <c r="P1784">
        <v>-8.4849220000000003E-2</v>
      </c>
      <c r="Q1784">
        <v>0.14006729999999901</v>
      </c>
      <c r="R1784">
        <v>-0.98650009999999999</v>
      </c>
      <c r="S1784">
        <v>-0.72341919999999904</v>
      </c>
      <c r="T1784">
        <v>-9.275854E-2</v>
      </c>
      <c r="U1784">
        <v>-2.9921259999999998</v>
      </c>
      <c r="V1784">
        <v>9.3234600000000001E-2</v>
      </c>
      <c r="W1784">
        <v>0.1540126</v>
      </c>
      <c r="X1784">
        <v>0.98366019999999998</v>
      </c>
      <c r="Y1784">
        <v>0.24290239999999999</v>
      </c>
      <c r="Z1784">
        <v>1.5758620000000001E-2</v>
      </c>
      <c r="AA1784">
        <v>0.96992270000000003</v>
      </c>
      <c r="AB1784">
        <v>36</v>
      </c>
      <c r="AC1784">
        <v>-8.74209999999999</v>
      </c>
      <c r="AD1784">
        <v>-1.1206156106229901</v>
      </c>
      <c r="AE1784">
        <v>-35.764899999999898</v>
      </c>
      <c r="AF1784">
        <v>9.0282633217073691</v>
      </c>
      <c r="AG1784">
        <v>-1.1206156106229901</v>
      </c>
      <c r="AH1784">
        <v>35.658586243207097</v>
      </c>
      <c r="AI1784">
        <v>91.744974104345701</v>
      </c>
      <c r="AJ1784">
        <v>75.792066450502404</v>
      </c>
      <c r="AK1784">
        <v>36.800816442262501</v>
      </c>
      <c r="AL1784">
        <v>81.140465033461993</v>
      </c>
      <c r="AM1784">
        <v>84.585490376899202</v>
      </c>
      <c r="AN1784">
        <v>0.99999998032997905</v>
      </c>
    </row>
    <row r="1785" spans="1:40" x14ac:dyDescent="0.25">
      <c r="A1785" t="str">
        <f>"20190303170254696"</f>
        <v>20190303170254696</v>
      </c>
      <c r="B1785" t="str">
        <f>"1551603774687391"</f>
        <v>1551603774687391</v>
      </c>
      <c r="C1785" t="s">
        <v>40</v>
      </c>
      <c r="D1785">
        <v>4.4978629999999997</v>
      </c>
      <c r="E1785">
        <v>0.56416949999999999</v>
      </c>
      <c r="F1785" t="s">
        <v>57</v>
      </c>
      <c r="G1785">
        <v>-199.41130000000001</v>
      </c>
      <c r="H1785" s="1">
        <v>3.9137100000000002E-6</v>
      </c>
      <c r="I1785">
        <v>275.1549</v>
      </c>
      <c r="J1785">
        <v>-190.0033</v>
      </c>
      <c r="K1785">
        <v>1.1206309999999999</v>
      </c>
      <c r="L1785">
        <v>312.99259999999998</v>
      </c>
      <c r="M1785">
        <v>7.6181240000000004E-3</v>
      </c>
      <c r="N1785">
        <v>-1.43721E-2</v>
      </c>
      <c r="O1785">
        <v>-0.99986770000000003</v>
      </c>
      <c r="P1785">
        <v>-8.6736949999999993E-2</v>
      </c>
      <c r="Q1785">
        <v>0.137874</v>
      </c>
      <c r="R1785">
        <v>-0.98664479999999999</v>
      </c>
      <c r="S1785">
        <v>-0.7364655</v>
      </c>
      <c r="T1785">
        <v>-8.7742920000000002E-2</v>
      </c>
      <c r="U1785">
        <v>-2.9902039999999999</v>
      </c>
      <c r="V1785">
        <v>9.4499109999999997E-2</v>
      </c>
      <c r="W1785">
        <v>0.1518766</v>
      </c>
      <c r="X1785">
        <v>0.98387159999999996</v>
      </c>
      <c r="Y1785">
        <v>0.24643860000000001</v>
      </c>
      <c r="Z1785">
        <v>1.407018E-2</v>
      </c>
      <c r="AA1785">
        <v>0.96905620000000003</v>
      </c>
      <c r="AB1785">
        <v>36</v>
      </c>
      <c r="AC1785">
        <v>-9.4080000000000101</v>
      </c>
      <c r="AD1785">
        <v>-1.1206270862900001</v>
      </c>
      <c r="AE1785">
        <v>-37.837699999999899</v>
      </c>
      <c r="AF1785">
        <v>9.6880059567821597</v>
      </c>
      <c r="AG1785">
        <v>-1.1206270862900001</v>
      </c>
      <c r="AH1785">
        <v>37.733752059553701</v>
      </c>
      <c r="AI1785">
        <v>91.647676579189607</v>
      </c>
      <c r="AJ1785">
        <v>75.600534029966298</v>
      </c>
      <c r="AK1785">
        <v>38.973700221778302</v>
      </c>
      <c r="AL1785">
        <v>81.264305634346996</v>
      </c>
      <c r="AM1785">
        <v>84.513672334864495</v>
      </c>
      <c r="AN1785">
        <v>0.99999995435245503</v>
      </c>
    </row>
    <row r="1786" spans="1:40" x14ac:dyDescent="0.25">
      <c r="A1786" t="str">
        <f>"20190303170254717"</f>
        <v>20190303170254717</v>
      </c>
      <c r="B1786" t="str">
        <f>"1551603774706911"</f>
        <v>1551603774706911</v>
      </c>
      <c r="C1786" t="s">
        <v>40</v>
      </c>
      <c r="D1786">
        <v>4.5229210000000002</v>
      </c>
      <c r="E1786">
        <v>0.5645618</v>
      </c>
      <c r="F1786" t="s">
        <v>57</v>
      </c>
      <c r="G1786">
        <v>-198.91139999999999</v>
      </c>
      <c r="H1786" s="1">
        <v>3.441438E-6</v>
      </c>
      <c r="I1786">
        <v>277.27330000000001</v>
      </c>
      <c r="J1786">
        <v>-190.00120000000001</v>
      </c>
      <c r="K1786">
        <v>1.120652</v>
      </c>
      <c r="L1786">
        <v>312.64400000000001</v>
      </c>
      <c r="M1786">
        <v>6.9992880000000002E-3</v>
      </c>
      <c r="N1786">
        <v>-1.441738E-2</v>
      </c>
      <c r="O1786">
        <v>-0.99987170000000003</v>
      </c>
      <c r="P1786">
        <v>-8.9915770000000006E-2</v>
      </c>
      <c r="Q1786">
        <v>0.13454369999999999</v>
      </c>
      <c r="R1786">
        <v>-0.98681969999999997</v>
      </c>
      <c r="S1786">
        <v>-0.74523930000000005</v>
      </c>
      <c r="T1786">
        <v>-9.375E-2</v>
      </c>
      <c r="U1786">
        <v>-2.9882200000000001</v>
      </c>
      <c r="V1786">
        <v>9.705975E-2</v>
      </c>
      <c r="W1786">
        <v>0.14859220000000001</v>
      </c>
      <c r="X1786">
        <v>0.98412390000000005</v>
      </c>
      <c r="Y1786">
        <v>0.24865660000000001</v>
      </c>
      <c r="Z1786">
        <v>1.5973040000000001E-2</v>
      </c>
      <c r="AA1786">
        <v>0.96845999999999999</v>
      </c>
      <c r="AB1786">
        <v>36</v>
      </c>
      <c r="AC1786">
        <v>-8.9101999999999695</v>
      </c>
      <c r="AD1786">
        <v>-1.1206485585619901</v>
      </c>
      <c r="AE1786">
        <v>-35.370699999999999</v>
      </c>
      <c r="AF1786">
        <v>9.14894132513008</v>
      </c>
      <c r="AG1786">
        <v>-1.1206485585619901</v>
      </c>
      <c r="AH1786">
        <v>35.274166192088003</v>
      </c>
      <c r="AI1786">
        <v>91.761412612921703</v>
      </c>
      <c r="AJ1786">
        <v>75.459781073460604</v>
      </c>
      <c r="AK1786">
        <v>36.458548806960501</v>
      </c>
      <c r="AL1786">
        <v>81.454649075707906</v>
      </c>
      <c r="AM1786">
        <v>84.367388534510297</v>
      </c>
      <c r="AN1786">
        <v>1.0000000437610499</v>
      </c>
    </row>
    <row r="1787" spans="1:40" x14ac:dyDescent="0.25">
      <c r="A1787" t="str">
        <f>"20190303170254733"</f>
        <v>20190303170254733</v>
      </c>
      <c r="B1787" t="str">
        <f>"1551603774727407"</f>
        <v>1551603774727407</v>
      </c>
      <c r="C1787" t="s">
        <v>40</v>
      </c>
      <c r="D1787">
        <v>4.5004200000000001</v>
      </c>
      <c r="E1787">
        <v>0.56501369999999995</v>
      </c>
      <c r="F1787" t="s">
        <v>57</v>
      </c>
      <c r="G1787">
        <v>-198.18559999999999</v>
      </c>
      <c r="H1787" s="1">
        <v>2.8784120000000002E-6</v>
      </c>
      <c r="I1787">
        <v>280.43200000000002</v>
      </c>
      <c r="J1787">
        <v>-190</v>
      </c>
      <c r="K1787">
        <v>1.120671</v>
      </c>
      <c r="L1787">
        <v>312.39960000000002</v>
      </c>
      <c r="M1787">
        <v>6.5646259999999996E-3</v>
      </c>
      <c r="N1787">
        <v>-1.444523E-2</v>
      </c>
      <c r="O1787">
        <v>-0.99987420000000005</v>
      </c>
      <c r="P1787">
        <v>-9.1835920000000001E-2</v>
      </c>
      <c r="Q1787">
        <v>0.13477600000000001</v>
      </c>
      <c r="R1787">
        <v>-0.98661109999999996</v>
      </c>
      <c r="S1787">
        <v>-0.75845340000000006</v>
      </c>
      <c r="T1787">
        <v>-0.1038512</v>
      </c>
      <c r="U1787">
        <v>-2.9851070000000002</v>
      </c>
      <c r="V1787">
        <v>9.8547960000000004E-2</v>
      </c>
      <c r="W1787">
        <v>0.14884820000000001</v>
      </c>
      <c r="X1787">
        <v>0.98393730000000001</v>
      </c>
      <c r="Y1787">
        <v>0.2524806</v>
      </c>
      <c r="Z1787">
        <v>1.9218039999999999E-2</v>
      </c>
      <c r="AA1787">
        <v>0.96741109999999997</v>
      </c>
      <c r="AB1787">
        <v>36</v>
      </c>
      <c r="AC1787">
        <v>-8.1855999999999902</v>
      </c>
      <c r="AD1787">
        <v>-1.1206681215880001</v>
      </c>
      <c r="AE1787">
        <v>-31.967600000000001</v>
      </c>
      <c r="AF1787">
        <v>8.3856294073391595</v>
      </c>
      <c r="AG1787">
        <v>-1.1206681215880001</v>
      </c>
      <c r="AH1787">
        <v>31.876406027071901</v>
      </c>
      <c r="AI1787">
        <v>91.947299281649705</v>
      </c>
      <c r="AJ1787">
        <v>75.261309703176593</v>
      </c>
      <c r="AK1787">
        <v>32.979993007863499</v>
      </c>
      <c r="AL1787">
        <v>81.439816449924095</v>
      </c>
      <c r="AM1787">
        <v>84.280514934260097</v>
      </c>
      <c r="AN1787">
        <v>1.0000000486973399</v>
      </c>
    </row>
    <row r="1788" spans="1:40" x14ac:dyDescent="0.25">
      <c r="A1788" t="str">
        <f>"20190303170254754"</f>
        <v>20190303170254754</v>
      </c>
      <c r="B1788" t="str">
        <f>"1551603774746927"</f>
        <v>1551603774746927</v>
      </c>
      <c r="C1788" t="s">
        <v>40</v>
      </c>
      <c r="D1788">
        <v>4.4943530000000003</v>
      </c>
      <c r="E1788">
        <v>0.56538569999999999</v>
      </c>
      <c r="F1788" t="s">
        <v>57</v>
      </c>
      <c r="G1788">
        <v>-198.36340000000001</v>
      </c>
      <c r="H1788" s="1">
        <v>2.8927479999999999E-6</v>
      </c>
      <c r="I1788">
        <v>279.90719999999999</v>
      </c>
      <c r="J1788">
        <v>-189.9983</v>
      </c>
      <c r="K1788">
        <v>1.1207009999999999</v>
      </c>
      <c r="L1788">
        <v>312.05529999999999</v>
      </c>
      <c r="M1788">
        <v>5.951446E-3</v>
      </c>
      <c r="N1788">
        <v>-1.447994E-2</v>
      </c>
      <c r="O1788">
        <v>-0.99987760000000003</v>
      </c>
      <c r="P1788">
        <v>-9.6155229999999994E-2</v>
      </c>
      <c r="Q1788">
        <v>0.13646839999999999</v>
      </c>
      <c r="R1788">
        <v>-0.98596689999999998</v>
      </c>
      <c r="S1788">
        <v>-0.76789859999999999</v>
      </c>
      <c r="T1788">
        <v>-0.10289470000000001</v>
      </c>
      <c r="U1788">
        <v>-2.9833069999999999</v>
      </c>
      <c r="V1788">
        <v>0.1022589</v>
      </c>
      <c r="W1788">
        <v>0.150562</v>
      </c>
      <c r="X1788">
        <v>0.98329759999999999</v>
      </c>
      <c r="Y1788">
        <v>0.25490160000000001</v>
      </c>
      <c r="Z1788">
        <v>1.8870439999999999E-2</v>
      </c>
      <c r="AA1788">
        <v>0.9667829</v>
      </c>
      <c r="AB1788">
        <v>36</v>
      </c>
      <c r="AC1788">
        <v>-8.3651000000000106</v>
      </c>
      <c r="AD1788">
        <v>-1.1206981072519999</v>
      </c>
      <c r="AE1788">
        <v>-32.148099999999999</v>
      </c>
      <c r="AF1788">
        <v>8.5465719150111106</v>
      </c>
      <c r="AG1788">
        <v>-1.1206981072519999</v>
      </c>
      <c r="AH1788">
        <v>32.061249097693803</v>
      </c>
      <c r="AI1788">
        <v>91.934456378747797</v>
      </c>
      <c r="AJ1788">
        <v>75.073745917158405</v>
      </c>
      <c r="AK1788">
        <v>33.1997522498351</v>
      </c>
      <c r="AL1788">
        <v>81.340503187661099</v>
      </c>
      <c r="AM1788">
        <v>84.062817388023205</v>
      </c>
      <c r="AN1788">
        <v>0.999999984319484</v>
      </c>
    </row>
    <row r="1789" spans="1:40" x14ac:dyDescent="0.25">
      <c r="A1789" t="str">
        <f>"20190303170254775"</f>
        <v>20190303170254775</v>
      </c>
      <c r="B1789" t="str">
        <f>"1551603774757663"</f>
        <v>1551603774757663</v>
      </c>
      <c r="C1789" t="s">
        <v>40</v>
      </c>
      <c r="D1789">
        <v>4.4855049999999999</v>
      </c>
      <c r="E1789">
        <v>0.56552199999999997</v>
      </c>
      <c r="F1789" t="s">
        <v>57</v>
      </c>
      <c r="G1789">
        <v>-198.82919999999999</v>
      </c>
      <c r="H1789" s="1">
        <v>3.1485739999999999E-6</v>
      </c>
      <c r="I1789">
        <v>278.43430000000001</v>
      </c>
      <c r="J1789">
        <v>-189.99700000000001</v>
      </c>
      <c r="K1789">
        <v>1.1207129999999901</v>
      </c>
      <c r="L1789">
        <v>311.73930000000001</v>
      </c>
      <c r="M1789">
        <v>5.3844770000000004E-3</v>
      </c>
      <c r="N1789">
        <v>-1.450721E-2</v>
      </c>
      <c r="O1789">
        <v>-0.9998804</v>
      </c>
      <c r="P1789">
        <v>-0.1004183</v>
      </c>
      <c r="Q1789">
        <v>0.137365299999999</v>
      </c>
      <c r="R1789">
        <v>-0.98541719999999999</v>
      </c>
      <c r="S1789">
        <v>-0.78276060000000003</v>
      </c>
      <c r="T1789">
        <v>-9.9337579999999995E-2</v>
      </c>
      <c r="U1789">
        <v>-2.9801329999999999</v>
      </c>
      <c r="V1789">
        <v>0.10596029999999999</v>
      </c>
      <c r="W1789">
        <v>0.1514731</v>
      </c>
      <c r="X1789">
        <v>0.98276560000000002</v>
      </c>
      <c r="Y1789">
        <v>0.25912109999999999</v>
      </c>
      <c r="Z1789">
        <v>1.7686750000000001E-2</v>
      </c>
      <c r="AA1789">
        <v>0.96568290000000001</v>
      </c>
      <c r="AB1789">
        <v>36</v>
      </c>
      <c r="AC1789">
        <v>-8.8321999999999701</v>
      </c>
      <c r="AD1789">
        <v>-1.1207098514260001</v>
      </c>
      <c r="AE1789">
        <v>-33.305</v>
      </c>
      <c r="AF1789">
        <v>9.0018975419525002</v>
      </c>
      <c r="AG1789">
        <v>-1.1207098514260001</v>
      </c>
      <c r="AH1789">
        <v>33.221809431827701</v>
      </c>
      <c r="AI1789">
        <v>91.864893560484603</v>
      </c>
      <c r="AJ1789">
        <v>74.838984192823204</v>
      </c>
      <c r="AK1789">
        <v>34.438042508998201</v>
      </c>
      <c r="AL1789">
        <v>81.287695092819504</v>
      </c>
      <c r="AM1789">
        <v>83.846227782805897</v>
      </c>
      <c r="AN1789">
        <v>0.99999995487152904</v>
      </c>
    </row>
    <row r="1790" spans="1:40" x14ac:dyDescent="0.25">
      <c r="A1790" t="str">
        <f>"20190303170254796"</f>
        <v>20190303170254796</v>
      </c>
      <c r="B1790" t="str">
        <f>"1551603774787919"</f>
        <v>1551603774787919</v>
      </c>
      <c r="C1790" t="s">
        <v>40</v>
      </c>
      <c r="D1790">
        <v>4.5022339999999996</v>
      </c>
      <c r="E1790">
        <v>0.56599630000000001</v>
      </c>
      <c r="F1790" t="s">
        <v>57</v>
      </c>
      <c r="G1790">
        <v>-199.14060000000001</v>
      </c>
      <c r="H1790" s="1">
        <v>3.3306159999999999E-6</v>
      </c>
      <c r="I1790">
        <v>277.53820000000002</v>
      </c>
      <c r="J1790">
        <v>-189.9958</v>
      </c>
      <c r="K1790">
        <v>1.120727</v>
      </c>
      <c r="L1790">
        <v>311.392</v>
      </c>
      <c r="M1790">
        <v>4.740027E-3</v>
      </c>
      <c r="N1790">
        <v>-1.4532730000000001E-2</v>
      </c>
      <c r="O1790">
        <v>-0.99988330000000003</v>
      </c>
      <c r="P1790">
        <v>-0.1076749</v>
      </c>
      <c r="Q1790">
        <v>0.1379813</v>
      </c>
      <c r="R1790">
        <v>-0.98456469999999896</v>
      </c>
      <c r="S1790">
        <v>-0.79586789999999996</v>
      </c>
      <c r="T1790">
        <v>-9.7547770000000006E-2</v>
      </c>
      <c r="U1790">
        <v>-2.9768979999999998</v>
      </c>
      <c r="V1790">
        <v>0.112581</v>
      </c>
      <c r="W1790">
        <v>0.15209010000000001</v>
      </c>
      <c r="X1790">
        <v>0.98193390000000003</v>
      </c>
      <c r="Y1790">
        <v>0.2627295</v>
      </c>
      <c r="Z1790">
        <v>1.7082630000000001E-2</v>
      </c>
      <c r="AA1790">
        <v>0.96471830000000003</v>
      </c>
      <c r="AB1790">
        <v>36</v>
      </c>
      <c r="AC1790">
        <v>-9.1448</v>
      </c>
      <c r="AD1790">
        <v>-1.1207236693839999</v>
      </c>
      <c r="AE1790">
        <v>-33.8537999999999</v>
      </c>
      <c r="AF1790">
        <v>9.2956874921430295</v>
      </c>
      <c r="AG1790">
        <v>-1.1207236693839999</v>
      </c>
      <c r="AH1790">
        <v>33.775570104804899</v>
      </c>
      <c r="AI1790">
        <v>91.832380204517307</v>
      </c>
      <c r="AJ1790">
        <v>74.612069860263205</v>
      </c>
      <c r="AK1790">
        <v>35.049321867894797</v>
      </c>
      <c r="AL1790">
        <v>81.2519298933599</v>
      </c>
      <c r="AM1790">
        <v>83.459464943868596</v>
      </c>
      <c r="AN1790">
        <v>1.0000000320241</v>
      </c>
    </row>
    <row r="1791" spans="1:40" x14ac:dyDescent="0.25">
      <c r="A1791" t="str">
        <f>"20190303170254820"</f>
        <v>20190303170254820</v>
      </c>
      <c r="B1791" t="str">
        <f>"1551603774807439"</f>
        <v>1551603774807439</v>
      </c>
      <c r="C1791" t="s">
        <v>40</v>
      </c>
      <c r="D1791">
        <v>4.5167630000000001</v>
      </c>
      <c r="E1791">
        <v>0.56609279999999995</v>
      </c>
      <c r="F1791" t="s">
        <v>57</v>
      </c>
      <c r="G1791">
        <v>-199.73609999999999</v>
      </c>
      <c r="H1791" s="1">
        <v>3.5757380000000001E-6</v>
      </c>
      <c r="I1791">
        <v>276.21370000000002</v>
      </c>
      <c r="J1791">
        <v>-189.9948</v>
      </c>
      <c r="K1791">
        <v>1.120717</v>
      </c>
      <c r="L1791">
        <v>311.0181</v>
      </c>
      <c r="M1791">
        <v>3.9939009999999898E-3</v>
      </c>
      <c r="N1791">
        <v>-1.455565E-2</v>
      </c>
      <c r="O1791">
        <v>-0.99988619999999995</v>
      </c>
      <c r="P1791">
        <v>-0.11959019999999999</v>
      </c>
      <c r="Q1791">
        <v>0.1400315</v>
      </c>
      <c r="R1791">
        <v>-0.98289879999999996</v>
      </c>
      <c r="S1791">
        <v>-0.82243349999999904</v>
      </c>
      <c r="T1791">
        <v>-9.4630000000000006E-2</v>
      </c>
      <c r="U1791">
        <v>-2.9703369999999998</v>
      </c>
      <c r="V1791">
        <v>0.1237679</v>
      </c>
      <c r="W1791">
        <v>0.15411349999999999</v>
      </c>
      <c r="X1791">
        <v>0.98027059999999999</v>
      </c>
      <c r="Y1791">
        <v>0.27056770000000002</v>
      </c>
      <c r="Z1791">
        <v>1.6111899999999998E-2</v>
      </c>
      <c r="AA1791">
        <v>0.96256609999999998</v>
      </c>
      <c r="AB1791">
        <v>35</v>
      </c>
      <c r="AC1791">
        <v>-9.7412999999999901</v>
      </c>
      <c r="AD1791">
        <v>-1.120713424262</v>
      </c>
      <c r="AE1791">
        <v>-34.804399999999902</v>
      </c>
      <c r="AF1791">
        <v>9.8707512277276699</v>
      </c>
      <c r="AG1791">
        <v>-1.120713424262</v>
      </c>
      <c r="AH1791">
        <v>34.731816487527297</v>
      </c>
      <c r="AI1791">
        <v>91.777803824381607</v>
      </c>
      <c r="AJ1791">
        <v>74.134897581637105</v>
      </c>
      <c r="AK1791">
        <v>36.124601103711598</v>
      </c>
      <c r="AL1791">
        <v>81.134613822046006</v>
      </c>
      <c r="AM1791">
        <v>82.803974009853604</v>
      </c>
      <c r="AN1791">
        <v>0.99999995658850904</v>
      </c>
    </row>
    <row r="1792" spans="1:40" x14ac:dyDescent="0.25">
      <c r="A1792" t="str">
        <f>"20190303170254853"</f>
        <v>20190303170254853</v>
      </c>
      <c r="B1792" t="str">
        <f>"1551603774837695"</f>
        <v>1551603774837695</v>
      </c>
      <c r="C1792" t="s">
        <v>40</v>
      </c>
      <c r="D1792">
        <v>4.6240769999999998</v>
      </c>
      <c r="E1792">
        <v>0.5661969</v>
      </c>
      <c r="F1792" t="s">
        <v>57</v>
      </c>
      <c r="G1792">
        <v>-200.34610000000001</v>
      </c>
      <c r="H1792">
        <v>8.0001710000000004E-2</v>
      </c>
      <c r="I1792">
        <v>275.4187</v>
      </c>
      <c r="J1792">
        <v>-189.994</v>
      </c>
      <c r="K1792">
        <v>1.1206370000000001</v>
      </c>
      <c r="L1792">
        <v>310.50220000000002</v>
      </c>
      <c r="M1792">
        <v>2.8587360000000002E-3</v>
      </c>
      <c r="N1792">
        <v>-1.458139E-2</v>
      </c>
      <c r="O1792">
        <v>-0.99988960000000005</v>
      </c>
      <c r="P1792">
        <v>-0.1338327</v>
      </c>
      <c r="Q1792">
        <v>0.13959649999999901</v>
      </c>
      <c r="R1792">
        <v>-0.98112290000000002</v>
      </c>
      <c r="S1792">
        <v>-0.86062619999999901</v>
      </c>
      <c r="T1792">
        <v>-8.6527229999999997E-2</v>
      </c>
      <c r="U1792">
        <v>-2.9598080000000002</v>
      </c>
      <c r="V1792">
        <v>0.13691339999999999</v>
      </c>
      <c r="W1792">
        <v>0.1536362</v>
      </c>
      <c r="X1792">
        <v>0.97859629999999997</v>
      </c>
      <c r="Y1792">
        <v>0.28184009999999998</v>
      </c>
      <c r="Z1792">
        <v>1.3464439999999999E-2</v>
      </c>
      <c r="AA1792">
        <v>0.95936690000000002</v>
      </c>
      <c r="AB1792">
        <v>35</v>
      </c>
      <c r="AC1792">
        <v>-10.352099999999901</v>
      </c>
      <c r="AD1792">
        <v>-1.04063529</v>
      </c>
      <c r="AE1792">
        <v>-35.083500000000001</v>
      </c>
      <c r="AF1792">
        <v>10.4439100634963</v>
      </c>
      <c r="AG1792">
        <v>-1.04063529</v>
      </c>
      <c r="AH1792">
        <v>35.025411805978798</v>
      </c>
      <c r="AI1792">
        <v>91.630888431715505</v>
      </c>
      <c r="AJ1792">
        <v>73.396422574113799</v>
      </c>
      <c r="AK1792">
        <v>36.564158015734399</v>
      </c>
      <c r="AL1792">
        <v>81.162291461924596</v>
      </c>
      <c r="AM1792">
        <v>82.035562489732996</v>
      </c>
      <c r="AN1792">
        <v>1.00000003971184</v>
      </c>
    </row>
    <row r="1793" spans="1:40" x14ac:dyDescent="0.25">
      <c r="A1793" t="str">
        <f>"20190303170254874"</f>
        <v>20190303170254874</v>
      </c>
      <c r="B1793" t="str">
        <f>"1551603774866975"</f>
        <v>1551603774866975</v>
      </c>
      <c r="C1793" t="s">
        <v>40</v>
      </c>
      <c r="D1793">
        <v>4.5218059999999998</v>
      </c>
      <c r="E1793">
        <v>0.61104209999999903</v>
      </c>
      <c r="F1793" t="s">
        <v>57</v>
      </c>
      <c r="G1793">
        <v>-200.16149999999999</v>
      </c>
      <c r="H1793">
        <v>7.7522209999999994E-2</v>
      </c>
      <c r="I1793">
        <v>277.20150000000001</v>
      </c>
      <c r="J1793">
        <v>-189.9939</v>
      </c>
      <c r="K1793">
        <v>1.1205400000000001</v>
      </c>
      <c r="L1793">
        <v>310.15320000000003</v>
      </c>
      <c r="M1793">
        <v>1.9366749999999999E-3</v>
      </c>
      <c r="N1793">
        <v>-1.4595840000000001E-2</v>
      </c>
      <c r="O1793">
        <v>-0.99989159999999999</v>
      </c>
      <c r="P1793">
        <v>-0.1418635</v>
      </c>
      <c r="Q1793">
        <v>0.13645929999999901</v>
      </c>
      <c r="R1793">
        <v>-0.98043550000000002</v>
      </c>
      <c r="S1793">
        <v>-0.90010069999999998</v>
      </c>
      <c r="T1793">
        <v>-9.2344399999999993E-2</v>
      </c>
      <c r="U1793">
        <v>-2.948029</v>
      </c>
      <c r="V1793">
        <v>0.14406459999999999</v>
      </c>
      <c r="W1793">
        <v>0.1504625</v>
      </c>
      <c r="X1793">
        <v>0.9780626</v>
      </c>
      <c r="Y1793">
        <v>0.29373919999999998</v>
      </c>
      <c r="Z1793">
        <v>1.534024E-2</v>
      </c>
      <c r="AA1793">
        <v>0.95576249999999996</v>
      </c>
      <c r="AB1793">
        <v>35</v>
      </c>
      <c r="AC1793">
        <v>-10.167599999999901</v>
      </c>
      <c r="AD1793">
        <v>-1.0430177899999999</v>
      </c>
      <c r="AE1793">
        <v>-32.951700000000002</v>
      </c>
      <c r="AF1793">
        <v>10.2220532326943</v>
      </c>
      <c r="AG1793">
        <v>-1.0430177899999999</v>
      </c>
      <c r="AH1793">
        <v>32.901845846766399</v>
      </c>
      <c r="AI1793">
        <v>91.734013095458195</v>
      </c>
      <c r="AJ1793">
        <v>72.740854270657195</v>
      </c>
      <c r="AK1793">
        <v>34.468967471142399</v>
      </c>
      <c r="AL1793">
        <v>81.346270044745197</v>
      </c>
      <c r="AM1793">
        <v>81.620819016992598</v>
      </c>
      <c r="AN1793">
        <v>1.0000000111990801</v>
      </c>
    </row>
    <row r="1794" spans="1:40" x14ac:dyDescent="0.25">
      <c r="A1794" t="str">
        <f>"20190303170254897"</f>
        <v>20190303170254897</v>
      </c>
      <c r="B1794" t="str">
        <f>"1551603774887471"</f>
        <v>1551603774887471</v>
      </c>
      <c r="C1794" t="s">
        <v>40</v>
      </c>
      <c r="D1794">
        <v>4.5084220000000004</v>
      </c>
      <c r="E1794">
        <v>0.6152704</v>
      </c>
      <c r="F1794" t="s">
        <v>44</v>
      </c>
      <c r="G1794">
        <v>-208.48490000000001</v>
      </c>
      <c r="H1794">
        <v>-0.05</v>
      </c>
      <c r="I1794">
        <v>268.37779999999998</v>
      </c>
      <c r="J1794">
        <v>-189.99440000000001</v>
      </c>
      <c r="K1794">
        <v>1.120379</v>
      </c>
      <c r="L1794">
        <v>309.80369999999999</v>
      </c>
      <c r="M1794">
        <v>7.2265890000000003E-4</v>
      </c>
      <c r="N1794">
        <v>-1.460912E-2</v>
      </c>
      <c r="O1794">
        <v>-0.99989309999999998</v>
      </c>
      <c r="P1794">
        <v>-0.14886820000000001</v>
      </c>
      <c r="Q1794">
        <v>0.1343531</v>
      </c>
      <c r="R1794">
        <v>-0.97968739999999999</v>
      </c>
      <c r="S1794">
        <v>-1.2775270000000001</v>
      </c>
      <c r="T1794">
        <v>-8.0871819999999997E-2</v>
      </c>
      <c r="U1794">
        <v>-2.8862299999999999</v>
      </c>
      <c r="V1794">
        <v>0.14993679999999901</v>
      </c>
      <c r="W1794">
        <v>0.1482861</v>
      </c>
      <c r="X1794">
        <v>0.97751220000000005</v>
      </c>
      <c r="Y1794">
        <v>0.40527360000000001</v>
      </c>
      <c r="Z1794">
        <v>1.100103E-2</v>
      </c>
      <c r="AA1794">
        <v>0.91412930000000003</v>
      </c>
      <c r="AB1794">
        <v>35</v>
      </c>
      <c r="AC1794">
        <v>-18.490500000000001</v>
      </c>
      <c r="AD1794">
        <v>-1.1703790000000001</v>
      </c>
      <c r="AE1794">
        <v>-41.425899999999999</v>
      </c>
      <c r="AF1794">
        <v>18.508116339304099</v>
      </c>
      <c r="AG1794">
        <v>-1.1703790000000001</v>
      </c>
      <c r="AH1794">
        <v>41.384979996954499</v>
      </c>
      <c r="AI1794">
        <v>91.478831117475096</v>
      </c>
      <c r="AJ1794">
        <v>65.904937509559602</v>
      </c>
      <c r="AK1794">
        <v>45.350156855089097</v>
      </c>
      <c r="AL1794">
        <v>81.472383034924306</v>
      </c>
      <c r="AM1794">
        <v>81.279588287151697</v>
      </c>
      <c r="AN1794">
        <v>0.99999995629814398</v>
      </c>
    </row>
    <row r="1795" spans="1:40" x14ac:dyDescent="0.25">
      <c r="A1795" t="str">
        <f>"20190303170254918"</f>
        <v>20190303170254918</v>
      </c>
      <c r="B1795" t="str">
        <f>"1551603774906992"</f>
        <v>1551603774906992</v>
      </c>
      <c r="C1795" t="s">
        <v>40</v>
      </c>
      <c r="D1795">
        <v>4.5312130000000002</v>
      </c>
      <c r="E1795">
        <v>0.61728479999999997</v>
      </c>
      <c r="F1795" t="s">
        <v>44</v>
      </c>
      <c r="G1795">
        <v>-208.7713</v>
      </c>
      <c r="H1795">
        <v>-0.05</v>
      </c>
      <c r="I1795">
        <v>269.34089999999998</v>
      </c>
      <c r="J1795">
        <v>-189.9956</v>
      </c>
      <c r="K1795">
        <v>1.1201270000000001</v>
      </c>
      <c r="L1795">
        <v>309.46199999999999</v>
      </c>
      <c r="M1795">
        <v>-8.2242070000000005E-4</v>
      </c>
      <c r="N1795">
        <v>-1.462318E-2</v>
      </c>
      <c r="O1795">
        <v>-0.99989280000000003</v>
      </c>
      <c r="P1795">
        <v>-0.1552888</v>
      </c>
      <c r="Q1795">
        <v>0.132881</v>
      </c>
      <c r="R1795">
        <v>-0.97889159999999997</v>
      </c>
      <c r="S1795">
        <v>-1.332336</v>
      </c>
      <c r="T1795">
        <v>-8.3045720000000003E-2</v>
      </c>
      <c r="U1795">
        <v>-2.8710939999999998</v>
      </c>
      <c r="V1795">
        <v>0.15493309999999999</v>
      </c>
      <c r="W1795">
        <v>0.14670999999999901</v>
      </c>
      <c r="X1795">
        <v>0.97697080000000003</v>
      </c>
      <c r="Y1795">
        <v>0.4200429</v>
      </c>
      <c r="Z1795">
        <v>1.161537E-2</v>
      </c>
      <c r="AA1795">
        <v>0.90742990000000001</v>
      </c>
      <c r="AB1795">
        <v>35</v>
      </c>
      <c r="AC1795">
        <v>-18.775700000000001</v>
      </c>
      <c r="AD1795">
        <v>-1.1701269999999999</v>
      </c>
      <c r="AE1795">
        <v>-40.121099999999998</v>
      </c>
      <c r="AF1795">
        <v>18.7296246121102</v>
      </c>
      <c r="AG1795">
        <v>-1.1701269999999999</v>
      </c>
      <c r="AH1795">
        <v>40.108542814626801</v>
      </c>
      <c r="AI1795">
        <v>91.514197535994001</v>
      </c>
      <c r="AJ1795">
        <v>64.968674231181396</v>
      </c>
      <c r="AK1795">
        <v>44.281635493954496</v>
      </c>
      <c r="AL1795">
        <v>81.563686076907601</v>
      </c>
      <c r="AM1795">
        <v>80.988779712379696</v>
      </c>
      <c r="AN1795">
        <v>1.0000000168141201</v>
      </c>
    </row>
    <row r="1796" spans="1:40" x14ac:dyDescent="0.25">
      <c r="A1796" t="str">
        <f>"20190303170254942"</f>
        <v>20190303170254942</v>
      </c>
      <c r="B1796" t="str">
        <f>"1551603774937247"</f>
        <v>1551603774937247</v>
      </c>
      <c r="C1796" t="s">
        <v>40</v>
      </c>
      <c r="D1796">
        <v>4.5486019999999998</v>
      </c>
      <c r="E1796">
        <v>0.61848059999999905</v>
      </c>
      <c r="F1796" t="s">
        <v>44</v>
      </c>
      <c r="G1796">
        <v>-209.48</v>
      </c>
      <c r="H1796">
        <v>-0.05</v>
      </c>
      <c r="I1796">
        <v>268.7559</v>
      </c>
      <c r="J1796">
        <v>-189.99799999999999</v>
      </c>
      <c r="K1796">
        <v>1.1198109999999999</v>
      </c>
      <c r="L1796">
        <v>309.09190000000001</v>
      </c>
      <c r="M1796">
        <v>-2.8810229999999999E-3</v>
      </c>
      <c r="N1796">
        <v>-1.4641009999999999E-2</v>
      </c>
      <c r="O1796">
        <v>-0.99988860000000002</v>
      </c>
      <c r="P1796">
        <v>-0.16093299999999999</v>
      </c>
      <c r="Q1796">
        <v>0.13067780000000001</v>
      </c>
      <c r="R1796">
        <v>-0.97827589999999998</v>
      </c>
      <c r="S1796">
        <v>-1.3683620000000001</v>
      </c>
      <c r="T1796">
        <v>-8.2176449999999998E-2</v>
      </c>
      <c r="U1796">
        <v>-2.8587340000000001</v>
      </c>
      <c r="V1796">
        <v>0.15867100000000001</v>
      </c>
      <c r="W1796">
        <v>0.14438329999999999</v>
      </c>
      <c r="X1796">
        <v>0.97671750000000002</v>
      </c>
      <c r="Y1796">
        <v>0.42899949999999998</v>
      </c>
      <c r="Z1796">
        <v>1.130782E-2</v>
      </c>
      <c r="AA1796">
        <v>0.90323390000000003</v>
      </c>
      <c r="AB1796">
        <v>35</v>
      </c>
      <c r="AC1796">
        <v>-19.481999999999999</v>
      </c>
      <c r="AD1796">
        <v>-1.1698109999999999</v>
      </c>
      <c r="AE1796">
        <v>-40.335999999999999</v>
      </c>
      <c r="AF1796">
        <v>19.352499348544999</v>
      </c>
      <c r="AG1796">
        <v>-1.1698109999999999</v>
      </c>
      <c r="AH1796">
        <v>40.364438194121703</v>
      </c>
      <c r="AI1796">
        <v>91.496964642464803</v>
      </c>
      <c r="AJ1796">
        <v>64.384877488926605</v>
      </c>
      <c r="AK1796">
        <v>44.7791866779448</v>
      </c>
      <c r="AL1796">
        <v>81.698431314755993</v>
      </c>
      <c r="AM1796">
        <v>80.772719567183898</v>
      </c>
      <c r="AN1796">
        <v>1.0000000491830601</v>
      </c>
    </row>
    <row r="1797" spans="1:40" x14ac:dyDescent="0.25">
      <c r="A1797" t="str">
        <f>"20190303170254965"</f>
        <v>20190303170254965</v>
      </c>
      <c r="B1797" t="str">
        <f>"1551603774957743"</f>
        <v>1551603774957743</v>
      </c>
      <c r="C1797" t="s">
        <v>40</v>
      </c>
      <c r="D1797">
        <v>4.5578779999999997</v>
      </c>
      <c r="E1797">
        <v>0.618838</v>
      </c>
      <c r="F1797" t="s">
        <v>44</v>
      </c>
      <c r="G1797">
        <v>-209.1063</v>
      </c>
      <c r="H1797">
        <v>-0.05</v>
      </c>
      <c r="I1797">
        <v>270.07389999999998</v>
      </c>
      <c r="J1797">
        <v>-190.00139999999999</v>
      </c>
      <c r="K1797">
        <v>1.119475</v>
      </c>
      <c r="L1797">
        <v>308.72949999999997</v>
      </c>
      <c r="M1797">
        <v>-5.3611379999999997E-3</v>
      </c>
      <c r="N1797">
        <v>-1.465902E-2</v>
      </c>
      <c r="O1797">
        <v>-0.99987820000000005</v>
      </c>
      <c r="P1797">
        <v>-0.1661454</v>
      </c>
      <c r="Q1797">
        <v>0.13133739999999999</v>
      </c>
      <c r="R1797">
        <v>-0.97731610000000002</v>
      </c>
      <c r="S1797">
        <v>-1.395035</v>
      </c>
      <c r="T1797">
        <v>-8.5404160000000007E-2</v>
      </c>
      <c r="U1797">
        <v>-2.8485719999999999</v>
      </c>
      <c r="V1797">
        <v>0.1615888</v>
      </c>
      <c r="W1797">
        <v>0.14490129999999901</v>
      </c>
      <c r="X1797">
        <v>0.97616219999999998</v>
      </c>
      <c r="Y1797">
        <v>0.43484040000000002</v>
      </c>
      <c r="Z1797">
        <v>1.2311000000000001E-2</v>
      </c>
      <c r="AA1797">
        <v>0.90042339999999998</v>
      </c>
      <c r="AB1797">
        <v>35</v>
      </c>
      <c r="AC1797">
        <v>-19.104900000000001</v>
      </c>
      <c r="AD1797">
        <v>-1.169475</v>
      </c>
      <c r="AE1797">
        <v>-38.6555999999999</v>
      </c>
      <c r="AF1797">
        <v>18.883474372763001</v>
      </c>
      <c r="AG1797">
        <v>-1.169475</v>
      </c>
      <c r="AH1797">
        <v>38.728990209721999</v>
      </c>
      <c r="AI1797">
        <v>91.554737639963193</v>
      </c>
      <c r="AJ1797">
        <v>64.007071007637094</v>
      </c>
      <c r="AK1797">
        <v>43.1032244597451</v>
      </c>
      <c r="AL1797">
        <v>81.6684361307465</v>
      </c>
      <c r="AM1797">
        <v>80.600788629261999</v>
      </c>
      <c r="AN1797">
        <v>0.99999998386798405</v>
      </c>
    </row>
    <row r="1798" spans="1:40" x14ac:dyDescent="0.25">
      <c r="A1798" t="str">
        <f>"20190303170254987"</f>
        <v>20190303170254987</v>
      </c>
      <c r="B1798" t="str">
        <f>"1551603774977263"</f>
        <v>1551603774977263</v>
      </c>
      <c r="C1798" t="s">
        <v>40</v>
      </c>
      <c r="D1798">
        <v>4.6080870000000003</v>
      </c>
      <c r="E1798">
        <v>0.61871309999999902</v>
      </c>
      <c r="F1798" t="s">
        <v>44</v>
      </c>
      <c r="G1798">
        <v>-210.01920000000001</v>
      </c>
      <c r="H1798">
        <v>-0.05</v>
      </c>
      <c r="I1798">
        <v>268.49189999999999</v>
      </c>
      <c r="J1798">
        <v>-190.0061</v>
      </c>
      <c r="K1798">
        <v>1.1191169999999999</v>
      </c>
      <c r="L1798">
        <v>308.3809</v>
      </c>
      <c r="M1798">
        <v>-8.2689800000000004E-3</v>
      </c>
      <c r="N1798">
        <v>-1.467765E-2</v>
      </c>
      <c r="O1798">
        <v>-0.99985829999999998</v>
      </c>
      <c r="P1798">
        <v>-0.1701887</v>
      </c>
      <c r="Q1798">
        <v>0.13459170000000001</v>
      </c>
      <c r="R1798">
        <v>-0.97617690000000001</v>
      </c>
      <c r="S1798">
        <v>-1.4131320000000001</v>
      </c>
      <c r="T1798">
        <v>-8.2557560000000002E-2</v>
      </c>
      <c r="U1798">
        <v>-2.8405149999999999</v>
      </c>
      <c r="V1798">
        <v>0.1629496</v>
      </c>
      <c r="W1798">
        <v>0.14800650000000001</v>
      </c>
      <c r="X1798">
        <v>0.9754699</v>
      </c>
      <c r="Y1798">
        <v>0.43784390000000001</v>
      </c>
      <c r="Z1798">
        <v>1.141552E-2</v>
      </c>
      <c r="AA1798">
        <v>0.89897850000000001</v>
      </c>
      <c r="AB1798">
        <v>35</v>
      </c>
      <c r="AC1798">
        <v>-20.013100000000001</v>
      </c>
      <c r="AD1798">
        <v>-1.169117</v>
      </c>
      <c r="AE1798">
        <v>-39.889000000000003</v>
      </c>
      <c r="AF1798">
        <v>19.6690403511051</v>
      </c>
      <c r="AG1798">
        <v>-1.169117</v>
      </c>
      <c r="AH1798">
        <v>40.025672844802898</v>
      </c>
      <c r="AI1798">
        <v>91.501660922297205</v>
      </c>
      <c r="AJ1798">
        <v>63.830008499600403</v>
      </c>
      <c r="AK1798">
        <v>44.612694040735597</v>
      </c>
      <c r="AL1798">
        <v>81.488582149305003</v>
      </c>
      <c r="AM1798">
        <v>80.516460587293295</v>
      </c>
      <c r="AN1798">
        <v>1.00000001099421</v>
      </c>
    </row>
    <row r="1799" spans="1:40" x14ac:dyDescent="0.25">
      <c r="A1799" t="str">
        <f>"20190303170255010"</f>
        <v>20190303170255010</v>
      </c>
      <c r="B1799" t="str">
        <f>"1551603774997759"</f>
        <v>1551603774997759</v>
      </c>
      <c r="C1799" t="s">
        <v>40</v>
      </c>
      <c r="D1799">
        <v>4.6143239999999999</v>
      </c>
      <c r="E1799">
        <v>0.61855039999999994</v>
      </c>
      <c r="F1799" t="s">
        <v>44</v>
      </c>
      <c r="G1799">
        <v>-213.8047</v>
      </c>
      <c r="H1799">
        <v>-0.05</v>
      </c>
      <c r="I1799">
        <v>261.05189999999999</v>
      </c>
      <c r="J1799">
        <v>-190.01240000000001</v>
      </c>
      <c r="K1799">
        <v>1.118711</v>
      </c>
      <c r="L1799">
        <v>308.02640000000002</v>
      </c>
      <c r="M1799">
        <v>-1.179179E-2</v>
      </c>
      <c r="N1799">
        <v>-1.470014E-2</v>
      </c>
      <c r="O1799">
        <v>-0.99982260000000001</v>
      </c>
      <c r="P1799">
        <v>-0.1761219</v>
      </c>
      <c r="Q1799">
        <v>0.13920260000000001</v>
      </c>
      <c r="R1799">
        <v>-0.97447629999999996</v>
      </c>
      <c r="S1799">
        <v>-1.425217</v>
      </c>
      <c r="T1799">
        <v>-7.0014599999999996E-2</v>
      </c>
      <c r="U1799">
        <v>-2.834381</v>
      </c>
      <c r="V1799">
        <v>0.16564329999999999</v>
      </c>
      <c r="W1799">
        <v>0.15243499999999999</v>
      </c>
      <c r="X1799">
        <v>0.97433349999999996</v>
      </c>
      <c r="Y1799">
        <v>0.43854470000000001</v>
      </c>
      <c r="Z1799">
        <v>7.4648400000000004E-3</v>
      </c>
      <c r="AA1799">
        <v>0.89867839999999999</v>
      </c>
      <c r="AB1799">
        <v>35</v>
      </c>
      <c r="AC1799">
        <v>-23.792299999999901</v>
      </c>
      <c r="AD1799">
        <v>-1.1687110000000001</v>
      </c>
      <c r="AE1799">
        <v>-46.974499999999999</v>
      </c>
      <c r="AF1799">
        <v>23.225230984993399</v>
      </c>
      <c r="AG1799">
        <v>-1.1687110000000001</v>
      </c>
      <c r="AH1799">
        <v>47.228551552070002</v>
      </c>
      <c r="AI1799">
        <v>91.272104036434399</v>
      </c>
      <c r="AJ1799">
        <v>63.813770333102099</v>
      </c>
      <c r="AK1799">
        <v>52.643264729824203</v>
      </c>
      <c r="AL1799">
        <v>81.231934726715394</v>
      </c>
      <c r="AM1799">
        <v>80.351577186327106</v>
      </c>
      <c r="AN1799">
        <v>0.99999995064106795</v>
      </c>
    </row>
    <row r="1800" spans="1:40" x14ac:dyDescent="0.25">
      <c r="A1800" t="str">
        <f>"20190303170255031"</f>
        <v>20190303170255031</v>
      </c>
      <c r="B1800" t="str">
        <f>"1551603775017280"</f>
        <v>1551603775017280</v>
      </c>
      <c r="C1800" t="s">
        <v>40</v>
      </c>
      <c r="D1800">
        <v>4.6791900000000002</v>
      </c>
      <c r="E1800">
        <v>0.61829419999999902</v>
      </c>
      <c r="F1800" t="s">
        <v>44</v>
      </c>
      <c r="G1800">
        <v>-220.3759</v>
      </c>
      <c r="H1800">
        <v>-0.05</v>
      </c>
      <c r="I1800">
        <v>248.4957</v>
      </c>
      <c r="J1800">
        <v>-190.02010000000001</v>
      </c>
      <c r="K1800">
        <v>1.1182829999999999</v>
      </c>
      <c r="L1800">
        <v>307.68810000000002</v>
      </c>
      <c r="M1800">
        <v>-1.5685669999999999E-2</v>
      </c>
      <c r="N1800">
        <v>-1.4725810000000001E-2</v>
      </c>
      <c r="O1800">
        <v>-0.99976869999999995</v>
      </c>
      <c r="P1800">
        <v>-0.18520439999999999</v>
      </c>
      <c r="Q1800">
        <v>0.13885890000000001</v>
      </c>
      <c r="R1800">
        <v>-0.97284040000000005</v>
      </c>
      <c r="S1800">
        <v>-1.4413910000000001</v>
      </c>
      <c r="T1800">
        <v>-5.5480000000000002E-2</v>
      </c>
      <c r="U1800">
        <v>-2.8259889999999999</v>
      </c>
      <c r="V1800">
        <v>0.17110529999999999</v>
      </c>
      <c r="W1800">
        <v>0.15188599999999999</v>
      </c>
      <c r="X1800">
        <v>0.97347499999999998</v>
      </c>
      <c r="Y1800">
        <v>0.4402295</v>
      </c>
      <c r="Z1800">
        <v>2.8777630000000002E-3</v>
      </c>
      <c r="AA1800">
        <v>0.89788069999999898</v>
      </c>
      <c r="AB1800">
        <v>35</v>
      </c>
      <c r="AC1800">
        <v>-30.355799999999899</v>
      </c>
      <c r="AD1800">
        <v>-1.168283</v>
      </c>
      <c r="AE1800">
        <v>-59.192399999999999</v>
      </c>
      <c r="AF1800">
        <v>29.4144192112329</v>
      </c>
      <c r="AG1800">
        <v>-1.168283</v>
      </c>
      <c r="AH1800">
        <v>59.642922848734102</v>
      </c>
      <c r="AI1800">
        <v>91.006451309846796</v>
      </c>
      <c r="AJ1800">
        <v>63.748620999828802</v>
      </c>
      <c r="AK1800">
        <v>66.512037922787201</v>
      </c>
      <c r="AL1800">
        <v>81.263760942013505</v>
      </c>
      <c r="AM1800">
        <v>80.031090371410599</v>
      </c>
      <c r="AN1800">
        <v>0.999999978154544</v>
      </c>
    </row>
    <row r="1801" spans="1:40" x14ac:dyDescent="0.25">
      <c r="A1801" t="str">
        <f>"20190303170255053"</f>
        <v>20190303170255053</v>
      </c>
      <c r="B1801" t="str">
        <f>"1551603775047535"</f>
        <v>1551603775047535</v>
      </c>
      <c r="C1801" t="s">
        <v>40</v>
      </c>
      <c r="D1801">
        <v>4.6841759999999999</v>
      </c>
      <c r="E1801">
        <v>0.61810559999999903</v>
      </c>
      <c r="F1801" t="s">
        <v>44</v>
      </c>
      <c r="G1801">
        <v>-218.5154</v>
      </c>
      <c r="H1801">
        <v>-0.05</v>
      </c>
      <c r="I1801">
        <v>252.92259999999999</v>
      </c>
      <c r="J1801">
        <v>-190.02979999999999</v>
      </c>
      <c r="K1801">
        <v>1.117831</v>
      </c>
      <c r="L1801">
        <v>307.33879999999999</v>
      </c>
      <c r="M1801">
        <v>-2.0218509999999999E-2</v>
      </c>
      <c r="N1801">
        <v>-1.4754929999999999E-2</v>
      </c>
      <c r="O1801">
        <v>-0.99968690000000004</v>
      </c>
      <c r="P1801">
        <v>-0.19741619999999999</v>
      </c>
      <c r="Q1801">
        <v>0.13642299999999999</v>
      </c>
      <c r="R1801">
        <v>-0.97078109999999995</v>
      </c>
      <c r="S1801">
        <v>-1.463959</v>
      </c>
      <c r="T1801">
        <v>-6.0021039999999998E-2</v>
      </c>
      <c r="U1801">
        <v>-2.813599</v>
      </c>
      <c r="V1801">
        <v>0.17907719999999999</v>
      </c>
      <c r="W1801">
        <v>0.1492047</v>
      </c>
      <c r="X1801">
        <v>0.97245530000000002</v>
      </c>
      <c r="Y1801">
        <v>0.44343290000000002</v>
      </c>
      <c r="Z1801">
        <v>4.3252079999999997E-3</v>
      </c>
      <c r="AA1801">
        <v>0.89629720000000002</v>
      </c>
      <c r="AB1801">
        <v>35</v>
      </c>
      <c r="AC1801">
        <v>-28.485600000000002</v>
      </c>
      <c r="AD1801">
        <v>-1.1678309999999901</v>
      </c>
      <c r="AE1801">
        <v>-54.416200000000003</v>
      </c>
      <c r="AF1801">
        <v>27.369547336175199</v>
      </c>
      <c r="AG1801">
        <v>-1.1678309999999901</v>
      </c>
      <c r="AH1801">
        <v>54.961203847258297</v>
      </c>
      <c r="AI1801">
        <v>91.089656495720803</v>
      </c>
      <c r="AJ1801">
        <v>63.527641123853101</v>
      </c>
      <c r="AK1801">
        <v>61.4100144843785</v>
      </c>
      <c r="AL1801">
        <v>81.419159401485501</v>
      </c>
      <c r="AM1801">
        <v>79.565904044636596</v>
      </c>
      <c r="AN1801">
        <v>0.99999999828000896</v>
      </c>
    </row>
    <row r="1802" spans="1:40" x14ac:dyDescent="0.25">
      <c r="A1802" t="str">
        <f>"20190303170255076"</f>
        <v>20190303170255076</v>
      </c>
      <c r="B1802" t="str">
        <f>"1551603775067056"</f>
        <v>1551603775067056</v>
      </c>
      <c r="C1802" t="s">
        <v>40</v>
      </c>
      <c r="D1802">
        <v>4.7040179999999996</v>
      </c>
      <c r="E1802">
        <v>0.61800749999999904</v>
      </c>
      <c r="F1802" t="s">
        <v>44</v>
      </c>
      <c r="G1802">
        <v>-215.62809999999999</v>
      </c>
      <c r="H1802">
        <v>-0.05</v>
      </c>
      <c r="I1802">
        <v>259.55930000000001</v>
      </c>
      <c r="J1802">
        <v>-190.04169999999999</v>
      </c>
      <c r="K1802">
        <v>1.1174010000000001</v>
      </c>
      <c r="L1802">
        <v>306.98930000000001</v>
      </c>
      <c r="M1802">
        <v>-2.5256339999999999E-2</v>
      </c>
      <c r="N1802">
        <v>-1.478459E-2</v>
      </c>
      <c r="O1802">
        <v>-0.99957169999999895</v>
      </c>
      <c r="P1802">
        <v>-0.2100496</v>
      </c>
      <c r="Q1802">
        <v>0.13678580000000001</v>
      </c>
      <c r="R1802">
        <v>-0.96807520000000002</v>
      </c>
      <c r="S1802">
        <v>-1.497635</v>
      </c>
      <c r="T1802">
        <v>-6.8324330000000003E-2</v>
      </c>
      <c r="U1802">
        <v>-2.7953489999999999</v>
      </c>
      <c r="V1802">
        <v>0.18702379999999999</v>
      </c>
      <c r="W1802">
        <v>0.14930460000000001</v>
      </c>
      <c r="X1802">
        <v>0.970943</v>
      </c>
      <c r="Y1802">
        <v>0.44971220000000001</v>
      </c>
      <c r="Z1802">
        <v>6.97271E-3</v>
      </c>
      <c r="AA1802">
        <v>0.89314629999999995</v>
      </c>
      <c r="AB1802">
        <v>35</v>
      </c>
      <c r="AC1802">
        <v>-25.586400000000001</v>
      </c>
      <c r="AD1802">
        <v>-1.1674009999999999</v>
      </c>
      <c r="AE1802">
        <v>-47.43</v>
      </c>
      <c r="AF1802">
        <v>24.368762217101899</v>
      </c>
      <c r="AG1802">
        <v>-1.1674009999999999</v>
      </c>
      <c r="AH1802">
        <v>48.038614260716002</v>
      </c>
      <c r="AI1802">
        <v>91.241538110014901</v>
      </c>
      <c r="AJ1802">
        <v>63.102483179908099</v>
      </c>
      <c r="AK1802">
        <v>53.878640082859597</v>
      </c>
      <c r="AL1802">
        <v>81.413371050355096</v>
      </c>
      <c r="AM1802">
        <v>79.097174983251193</v>
      </c>
      <c r="AN1802">
        <v>1.00000003729829</v>
      </c>
    </row>
    <row r="1803" spans="1:40" x14ac:dyDescent="0.25">
      <c r="A1803" t="str">
        <f>"20190303170255098"</f>
        <v>20190303170255098</v>
      </c>
      <c r="B1803" t="str">
        <f>"1551603775087551"</f>
        <v>1551603775087551</v>
      </c>
      <c r="C1803" t="s">
        <v>40</v>
      </c>
      <c r="D1803">
        <v>4.734</v>
      </c>
      <c r="E1803">
        <v>0.61790400000000001</v>
      </c>
      <c r="F1803" t="s">
        <v>44</v>
      </c>
      <c r="G1803">
        <v>-218.15530000000001</v>
      </c>
      <c r="H1803">
        <v>-0.05</v>
      </c>
      <c r="I1803">
        <v>256.17009999999999</v>
      </c>
      <c r="J1803">
        <v>-190.0557</v>
      </c>
      <c r="K1803">
        <v>1.1169960000000001</v>
      </c>
      <c r="L1803">
        <v>306.6429</v>
      </c>
      <c r="M1803">
        <v>-3.0720730000000002E-2</v>
      </c>
      <c r="N1803">
        <v>-1.481353E-2</v>
      </c>
      <c r="O1803">
        <v>-0.99941829999999998</v>
      </c>
      <c r="P1803">
        <v>-0.22163820000000001</v>
      </c>
      <c r="Q1803">
        <v>0.13917639999999901</v>
      </c>
      <c r="R1803">
        <v>-0.96514580000000005</v>
      </c>
      <c r="S1803">
        <v>-1.5350649999999999</v>
      </c>
      <c r="T1803">
        <v>-6.3742640000000003E-2</v>
      </c>
      <c r="U1803">
        <v>-2.7748409999999999</v>
      </c>
      <c r="V1803">
        <v>0.193547</v>
      </c>
      <c r="W1803">
        <v>0.15144630000000001</v>
      </c>
      <c r="X1803">
        <v>0.96933150000000001</v>
      </c>
      <c r="Y1803">
        <v>0.45684180000000002</v>
      </c>
      <c r="Z1803">
        <v>5.5413969999999896E-3</v>
      </c>
      <c r="AA1803">
        <v>0.88953069999999901</v>
      </c>
      <c r="AB1803">
        <v>35</v>
      </c>
      <c r="AC1803">
        <v>-28.099599999999999</v>
      </c>
      <c r="AD1803">
        <v>-1.1669959999999999</v>
      </c>
      <c r="AE1803">
        <v>-50.472799999999999</v>
      </c>
      <c r="AF1803">
        <v>26.524778104650999</v>
      </c>
      <c r="AG1803">
        <v>-1.1669959999999999</v>
      </c>
      <c r="AH1803">
        <v>51.291374651388701</v>
      </c>
      <c r="AI1803">
        <v>91.157780032650294</v>
      </c>
      <c r="AJ1803">
        <v>62.654745232546603</v>
      </c>
      <c r="AK1803">
        <v>57.755786262452702</v>
      </c>
      <c r="AL1803">
        <v>81.289248849112397</v>
      </c>
      <c r="AM1803">
        <v>78.708216136603298</v>
      </c>
      <c r="AN1803">
        <v>0.99999998994246997</v>
      </c>
    </row>
    <row r="1804" spans="1:40" x14ac:dyDescent="0.25">
      <c r="A1804" t="str">
        <f>"20190303170255119"</f>
        <v>20190303170255119</v>
      </c>
      <c r="B1804" t="str">
        <f>"1551603775107072"</f>
        <v>1551603775107072</v>
      </c>
      <c r="C1804" t="s">
        <v>40</v>
      </c>
      <c r="D1804">
        <v>4.7314669999999897</v>
      </c>
      <c r="E1804">
        <v>0.61788019999999999</v>
      </c>
      <c r="F1804" t="s">
        <v>44</v>
      </c>
      <c r="G1804">
        <v>-221.84989999999999</v>
      </c>
      <c r="H1804">
        <v>-0.05</v>
      </c>
      <c r="I1804">
        <v>250.72669999999999</v>
      </c>
      <c r="J1804">
        <v>-190.07169999999999</v>
      </c>
      <c r="K1804">
        <v>1.1166309999999999</v>
      </c>
      <c r="L1804">
        <v>306.30200000000002</v>
      </c>
      <c r="M1804">
        <v>-3.6447889999999997E-2</v>
      </c>
      <c r="N1804">
        <v>-1.4839939999999999E-2</v>
      </c>
      <c r="O1804">
        <v>-0.99922540000000004</v>
      </c>
      <c r="P1804">
        <v>-0.23249839999999999</v>
      </c>
      <c r="Q1804">
        <v>0.13860459999999999</v>
      </c>
      <c r="R1804">
        <v>-0.96267000000000003</v>
      </c>
      <c r="S1804">
        <v>-1.5674440000000001</v>
      </c>
      <c r="T1804">
        <v>-5.7532550000000002E-2</v>
      </c>
      <c r="U1804">
        <v>-2.756653</v>
      </c>
      <c r="V1804">
        <v>0.19904179999999999</v>
      </c>
      <c r="W1804">
        <v>0.1506567</v>
      </c>
      <c r="X1804">
        <v>0.96834140000000002</v>
      </c>
      <c r="Y1804">
        <v>0.46216230000000003</v>
      </c>
      <c r="Z1804">
        <v>3.5929540000000002E-3</v>
      </c>
      <c r="AA1804">
        <v>0.88678809999999997</v>
      </c>
      <c r="AB1804">
        <v>35</v>
      </c>
      <c r="AC1804">
        <v>-31.778199999999998</v>
      </c>
      <c r="AD1804">
        <v>-1.166631</v>
      </c>
      <c r="AE1804">
        <v>-55.575299999999999</v>
      </c>
      <c r="AF1804">
        <v>29.721385112385502</v>
      </c>
      <c r="AG1804">
        <v>-1.166631</v>
      </c>
      <c r="AH1804">
        <v>56.6779192620006</v>
      </c>
      <c r="AI1804">
        <v>91.044338938387696</v>
      </c>
      <c r="AJ1804">
        <v>62.3278922770604</v>
      </c>
      <c r="AK1804">
        <v>64.008657951551797</v>
      </c>
      <c r="AL1804">
        <v>81.335015447586997</v>
      </c>
      <c r="AM1804">
        <v>78.384679265430805</v>
      </c>
      <c r="AN1804">
        <v>1.0000000731780401</v>
      </c>
    </row>
    <row r="1805" spans="1:40" x14ac:dyDescent="0.25">
      <c r="A1805" t="str">
        <f>"20190303170255142"</f>
        <v>20190303170255142</v>
      </c>
      <c r="B1805" t="str">
        <f>"1551603775137327"</f>
        <v>1551603775137327</v>
      </c>
      <c r="C1805" t="s">
        <v>40</v>
      </c>
      <c r="D1805">
        <v>4.7712770000000004</v>
      </c>
      <c r="E1805">
        <v>0.61783399999999999</v>
      </c>
      <c r="F1805" t="s">
        <v>44</v>
      </c>
      <c r="G1805">
        <v>-218.16540000000001</v>
      </c>
      <c r="H1805">
        <v>-0.05</v>
      </c>
      <c r="I1805">
        <v>258.03890000000001</v>
      </c>
      <c r="J1805">
        <v>-190.09059999999999</v>
      </c>
      <c r="K1805">
        <v>1.116263</v>
      </c>
      <c r="L1805">
        <v>305.94970000000001</v>
      </c>
      <c r="M1805">
        <v>-4.2701650000000001E-2</v>
      </c>
      <c r="N1805">
        <v>-1.486354E-2</v>
      </c>
      <c r="O1805">
        <v>-0.99897749999999996</v>
      </c>
      <c r="P1805">
        <v>-0.2455156</v>
      </c>
      <c r="Q1805">
        <v>0.1325308</v>
      </c>
      <c r="R1805">
        <v>-0.9602908</v>
      </c>
      <c r="S1805">
        <v>-1.5953219999999999</v>
      </c>
      <c r="T1805">
        <v>-6.6248180000000004E-2</v>
      </c>
      <c r="U1805">
        <v>-2.7406619999999999</v>
      </c>
      <c r="V1805">
        <v>0.20611189999999999</v>
      </c>
      <c r="W1805">
        <v>0.14435309999999901</v>
      </c>
      <c r="X1805">
        <v>0.96782230000000002</v>
      </c>
      <c r="Y1805">
        <v>0.46557870000000001</v>
      </c>
      <c r="Z1805">
        <v>6.3958579999999999E-3</v>
      </c>
      <c r="AA1805">
        <v>0.88498339999999998</v>
      </c>
      <c r="AB1805">
        <v>35</v>
      </c>
      <c r="AC1805">
        <v>-28.0748</v>
      </c>
      <c r="AD1805">
        <v>-1.1662629999999901</v>
      </c>
      <c r="AE1805">
        <v>-47.910800000000002</v>
      </c>
      <c r="AF1805">
        <v>25.9916259043925</v>
      </c>
      <c r="AG1805">
        <v>-1.1662629999999901</v>
      </c>
      <c r="AH1805">
        <v>49.044428782262301</v>
      </c>
      <c r="AI1805">
        <v>91.203690900827894</v>
      </c>
      <c r="AJ1805">
        <v>62.078162677004102</v>
      </c>
      <c r="AK1805">
        <v>55.518292310890203</v>
      </c>
      <c r="AL1805">
        <v>81.700179292380994</v>
      </c>
      <c r="AM1805">
        <v>77.977632964406396</v>
      </c>
      <c r="AN1805">
        <v>0.999999968589254</v>
      </c>
    </row>
    <row r="1806" spans="1:40" x14ac:dyDescent="0.25">
      <c r="A1806" t="str">
        <f>"20190303170255166"</f>
        <v>20190303170255166</v>
      </c>
      <c r="B1806" t="str">
        <f>"1551603775157824"</f>
        <v>1551603775157824</v>
      </c>
      <c r="C1806" t="s">
        <v>40</v>
      </c>
      <c r="D1806">
        <v>4.7855970000000001</v>
      </c>
      <c r="E1806">
        <v>0.61766679999999996</v>
      </c>
      <c r="F1806" t="s">
        <v>57</v>
      </c>
      <c r="G1806">
        <v>-208.4854</v>
      </c>
      <c r="H1806">
        <v>8.000082E-2</v>
      </c>
      <c r="I1806">
        <v>275.2362</v>
      </c>
      <c r="J1806">
        <v>-190.1131</v>
      </c>
      <c r="K1806">
        <v>1.1159030000000001</v>
      </c>
      <c r="L1806">
        <v>305.5797</v>
      </c>
      <c r="M1806">
        <v>-4.9623470000000003E-2</v>
      </c>
      <c r="N1806">
        <v>-1.488656E-2</v>
      </c>
      <c r="O1806">
        <v>-0.99865700000000002</v>
      </c>
      <c r="P1806">
        <v>-0.25881949999999998</v>
      </c>
      <c r="Q1806">
        <v>0.1229674</v>
      </c>
      <c r="R1806">
        <v>-0.95806659999999999</v>
      </c>
      <c r="S1806">
        <v>-1.6291659999999999</v>
      </c>
      <c r="T1806">
        <v>-9.1778159999999998E-2</v>
      </c>
      <c r="U1806">
        <v>-2.7201840000000002</v>
      </c>
      <c r="V1806">
        <v>0.21276800000000001</v>
      </c>
      <c r="W1806">
        <v>0.13456109999999999</v>
      </c>
      <c r="X1806">
        <v>0.96779289999999996</v>
      </c>
      <c r="Y1806">
        <v>0.47040670000000001</v>
      </c>
      <c r="Z1806">
        <v>1.4576769999999999E-2</v>
      </c>
      <c r="AA1806">
        <v>0.88232929999999998</v>
      </c>
      <c r="AB1806">
        <v>35</v>
      </c>
      <c r="AC1806">
        <v>-18.372299999999999</v>
      </c>
      <c r="AD1806">
        <v>-1.0359021799999999</v>
      </c>
      <c r="AE1806">
        <v>-30.343499999999999</v>
      </c>
      <c r="AF1806">
        <v>16.829390880074399</v>
      </c>
      <c r="AG1806">
        <v>-1.0359021799999999</v>
      </c>
      <c r="AH1806">
        <v>31.1913058059665</v>
      </c>
      <c r="AI1806">
        <v>91.674176183990099</v>
      </c>
      <c r="AJ1806">
        <v>61.650746267668097</v>
      </c>
      <c r="AK1806">
        <v>35.4570028147076</v>
      </c>
      <c r="AL1806">
        <v>82.266758831793396</v>
      </c>
      <c r="AM1806">
        <v>77.600851001399505</v>
      </c>
      <c r="AN1806">
        <v>1.0000000043738</v>
      </c>
    </row>
    <row r="1807" spans="1:40" x14ac:dyDescent="0.25">
      <c r="A1807" t="str">
        <f>"20190303170255190"</f>
        <v>20190303170255190</v>
      </c>
      <c r="B1807" t="str">
        <f>"1551603775177343"</f>
        <v>1551603775177343</v>
      </c>
      <c r="C1807" t="s">
        <v>40</v>
      </c>
      <c r="D1807">
        <v>5.1104019999999997</v>
      </c>
      <c r="E1807">
        <v>0.5738375</v>
      </c>
      <c r="F1807" t="s">
        <v>57</v>
      </c>
      <c r="G1807">
        <v>-205.32149999999999</v>
      </c>
      <c r="H1807" s="1">
        <v>4.8985419999999997E-6</v>
      </c>
      <c r="I1807">
        <v>280.93650000000002</v>
      </c>
      <c r="J1807">
        <v>-190.1378</v>
      </c>
      <c r="K1807">
        <v>1.115567</v>
      </c>
      <c r="L1807">
        <v>305.21789999999999</v>
      </c>
      <c r="M1807">
        <v>-5.674241E-2</v>
      </c>
      <c r="N1807">
        <v>-1.491075E-2</v>
      </c>
      <c r="O1807">
        <v>-0.99827750000000004</v>
      </c>
      <c r="P1807">
        <v>-0.27131100000000002</v>
      </c>
      <c r="Q1807">
        <v>0.1190905</v>
      </c>
      <c r="R1807">
        <v>-0.9550959</v>
      </c>
      <c r="S1807">
        <v>-1.6645970000000001</v>
      </c>
      <c r="T1807">
        <v>-0.122138</v>
      </c>
      <c r="U1807">
        <v>-2.6972659999999999</v>
      </c>
      <c r="V1807">
        <v>0.21853719999999999</v>
      </c>
      <c r="W1807">
        <v>0.1304525</v>
      </c>
      <c r="X1807">
        <v>0.96706959999999997</v>
      </c>
      <c r="Y1807">
        <v>0.47571439999999998</v>
      </c>
      <c r="Z1807">
        <v>2.4332759999999998E-2</v>
      </c>
      <c r="AA1807">
        <v>0.87926319999999902</v>
      </c>
      <c r="AB1807">
        <v>35</v>
      </c>
      <c r="AC1807">
        <v>-15.1836999999999</v>
      </c>
      <c r="AD1807">
        <v>-1.1155621014579999</v>
      </c>
      <c r="AE1807">
        <v>-24.281399999999898</v>
      </c>
      <c r="AF1807">
        <v>13.760412769570401</v>
      </c>
      <c r="AG1807">
        <v>-1.1155621014579999</v>
      </c>
      <c r="AH1807">
        <v>25.065890532487899</v>
      </c>
      <c r="AI1807">
        <v>92.234153714969395</v>
      </c>
      <c r="AJ1807">
        <v>61.234550799311002</v>
      </c>
      <c r="AK1807">
        <v>28.616294424293098</v>
      </c>
      <c r="AL1807">
        <v>82.504258567198093</v>
      </c>
      <c r="AM1807">
        <v>77.266250466324493</v>
      </c>
      <c r="AN1807">
        <v>0.99999998689212399</v>
      </c>
    </row>
    <row r="1808" spans="1:40" x14ac:dyDescent="0.25">
      <c r="A1808" t="str">
        <f>"20190303170255209"</f>
        <v>20190303170255209</v>
      </c>
      <c r="B1808" t="str">
        <f>"1551603775197839"</f>
        <v>1551603775197839</v>
      </c>
      <c r="C1808" t="s">
        <v>40</v>
      </c>
      <c r="D1808">
        <v>5.0410170000000001</v>
      </c>
      <c r="E1808">
        <v>0.51230559999999903</v>
      </c>
      <c r="F1808" t="s">
        <v>57</v>
      </c>
      <c r="G1808">
        <v>-198.45410000000001</v>
      </c>
      <c r="H1808" s="1">
        <v>2.1497209999999999E-6</v>
      </c>
      <c r="I1808">
        <v>288.22239999999999</v>
      </c>
      <c r="J1808">
        <v>-190.16200000000001</v>
      </c>
      <c r="K1808">
        <v>1.1152690000000001</v>
      </c>
      <c r="L1808">
        <v>304.90010000000001</v>
      </c>
      <c r="M1808">
        <v>-6.3314609999999993E-2</v>
      </c>
      <c r="N1808">
        <v>-1.493533E-2</v>
      </c>
      <c r="O1808">
        <v>-0.99788189999999999</v>
      </c>
      <c r="P1808">
        <v>-0.28186650000000002</v>
      </c>
      <c r="Q1808">
        <v>0.11908339999999901</v>
      </c>
      <c r="R1808">
        <v>-0.95203490000000002</v>
      </c>
      <c r="S1808">
        <v>-1.3591770000000001</v>
      </c>
      <c r="T1808">
        <v>-0.18232200000000001</v>
      </c>
      <c r="U1808">
        <v>-2.7776489999999998</v>
      </c>
      <c r="V1808">
        <v>0.22297349999999999</v>
      </c>
      <c r="W1808">
        <v>0.1302326</v>
      </c>
      <c r="X1808">
        <v>0.966086</v>
      </c>
      <c r="Y1808">
        <v>0.38113019999999997</v>
      </c>
      <c r="Z1808">
        <v>4.4779890000000003E-2</v>
      </c>
      <c r="AA1808">
        <v>0.92343629999999999</v>
      </c>
      <c r="AB1808">
        <v>35</v>
      </c>
      <c r="AC1808">
        <v>-8.2920999999999996</v>
      </c>
      <c r="AD1808">
        <v>-1.115266850279</v>
      </c>
      <c r="AE1808">
        <v>-16.677700000000002</v>
      </c>
      <c r="AF1808">
        <v>7.1936067985220102</v>
      </c>
      <c r="AG1808">
        <v>-1.115266850279</v>
      </c>
      <c r="AH1808">
        <v>17.1079600198889</v>
      </c>
      <c r="AI1808">
        <v>93.438973290278895</v>
      </c>
      <c r="AJ1808">
        <v>67.194072865164401</v>
      </c>
      <c r="AK1808">
        <v>18.592312792151201</v>
      </c>
      <c r="AL1808">
        <v>82.516965932856195</v>
      </c>
      <c r="AM1808">
        <v>77.003661480984604</v>
      </c>
      <c r="AN1808">
        <v>0.99999993560050204</v>
      </c>
    </row>
    <row r="1809" spans="1:40" x14ac:dyDescent="0.25">
      <c r="A1809" t="str">
        <f>"20190303170255232"</f>
        <v>20190303170255232</v>
      </c>
      <c r="B1809" t="str">
        <f>"1551603775217360"</f>
        <v>1551603775217360</v>
      </c>
      <c r="C1809" t="s">
        <v>40</v>
      </c>
      <c r="D1809">
        <v>5.0390860000000002</v>
      </c>
      <c r="E1809">
        <v>0.50241570000000002</v>
      </c>
      <c r="F1809" t="s">
        <v>57</v>
      </c>
      <c r="G1809">
        <v>-196.91309999999999</v>
      </c>
      <c r="H1809" s="1">
        <v>2.8338899999999998E-6</v>
      </c>
      <c r="I1809">
        <v>283.52330000000001</v>
      </c>
      <c r="J1809">
        <v>-190.1909</v>
      </c>
      <c r="K1809">
        <v>1.1149150000000001</v>
      </c>
      <c r="L1809">
        <v>304.55489999999998</v>
      </c>
      <c r="M1809">
        <v>-7.0805530000000005E-2</v>
      </c>
      <c r="N1809">
        <v>-1.4966200000000001E-2</v>
      </c>
      <c r="O1809">
        <v>-0.99737810000000005</v>
      </c>
      <c r="P1809">
        <v>-0.2936937</v>
      </c>
      <c r="Q1809">
        <v>0.11788949999999999</v>
      </c>
      <c r="R1809">
        <v>-0.94860239999999996</v>
      </c>
      <c r="S1809">
        <v>-0.91554259999999998</v>
      </c>
      <c r="T1809">
        <v>-0.1512454</v>
      </c>
      <c r="U1809">
        <v>-2.898987</v>
      </c>
      <c r="V1809">
        <v>0.22783010000000001</v>
      </c>
      <c r="W1809">
        <v>0.1287924</v>
      </c>
      <c r="X1809">
        <v>0.96514560000000005</v>
      </c>
      <c r="Y1809">
        <v>0.23257520000000001</v>
      </c>
      <c r="Z1809">
        <v>3.5188280000000002E-2</v>
      </c>
      <c r="AA1809">
        <v>0.97194159999999996</v>
      </c>
      <c r="AB1809">
        <v>35</v>
      </c>
      <c r="AC1809">
        <v>-6.7221999999999804</v>
      </c>
      <c r="AD1809">
        <v>-1.1149121661100001</v>
      </c>
      <c r="AE1809">
        <v>-21.031599999999901</v>
      </c>
      <c r="AF1809">
        <v>5.2027388857705201</v>
      </c>
      <c r="AG1809">
        <v>-1.1149121661100001</v>
      </c>
      <c r="AH1809">
        <v>21.4002592767722</v>
      </c>
      <c r="AI1809">
        <v>92.898038231449206</v>
      </c>
      <c r="AJ1809">
        <v>76.335592861551504</v>
      </c>
      <c r="AK1809">
        <v>22.051816663593101</v>
      </c>
      <c r="AL1809">
        <v>82.600184934029798</v>
      </c>
      <c r="AM1809">
        <v>76.718029403045193</v>
      </c>
      <c r="AN1809">
        <v>1.0000000329815599</v>
      </c>
    </row>
    <row r="1810" spans="1:40" x14ac:dyDescent="0.25">
      <c r="A1810" t="str">
        <f>"20190303170255256"</f>
        <v>20190303170255256</v>
      </c>
      <c r="B1810" t="str">
        <f>"1551603775247616"</f>
        <v>1551603775247616</v>
      </c>
      <c r="C1810" t="s">
        <v>40</v>
      </c>
      <c r="D1810">
        <v>5.028797</v>
      </c>
      <c r="E1810">
        <v>0.49721460000000001</v>
      </c>
      <c r="F1810" t="s">
        <v>57</v>
      </c>
      <c r="G1810">
        <v>-196.8535</v>
      </c>
      <c r="H1810" s="1">
        <v>2.9450000000000002E-6</v>
      </c>
      <c r="I1810">
        <v>282.3732</v>
      </c>
      <c r="J1810">
        <v>-190.22470000000001</v>
      </c>
      <c r="K1810">
        <v>1.1145149999999999</v>
      </c>
      <c r="L1810">
        <v>304.18959999999998</v>
      </c>
      <c r="M1810">
        <v>-7.9185729999999996E-2</v>
      </c>
      <c r="N1810">
        <v>-1.500482E-2</v>
      </c>
      <c r="O1810">
        <v>-0.99674700000000005</v>
      </c>
      <c r="P1810">
        <v>-0.30602089999999998</v>
      </c>
      <c r="Q1810">
        <v>0.116606</v>
      </c>
      <c r="R1810">
        <v>-0.94485680000000005</v>
      </c>
      <c r="S1810">
        <v>-0.87408449999999904</v>
      </c>
      <c r="T1810">
        <v>-0.14626739999999999</v>
      </c>
      <c r="U1810">
        <v>-2.9100649999999999</v>
      </c>
      <c r="V1810">
        <v>0.2323827</v>
      </c>
      <c r="W1810">
        <v>0.1272384</v>
      </c>
      <c r="X1810">
        <v>0.96426590000000001</v>
      </c>
      <c r="Y1810">
        <v>0.21065970000000001</v>
      </c>
      <c r="Z1810">
        <v>3.3518249999999999E-2</v>
      </c>
      <c r="AA1810">
        <v>0.97698459999999998</v>
      </c>
      <c r="AB1810">
        <v>35</v>
      </c>
      <c r="AC1810">
        <v>-6.6287999999999796</v>
      </c>
      <c r="AD1810">
        <v>-1.1145120549999901</v>
      </c>
      <c r="AE1810">
        <v>-21.816399999999899</v>
      </c>
      <c r="AF1810">
        <v>4.8686060226218997</v>
      </c>
      <c r="AG1810">
        <v>-1.1145120549999901</v>
      </c>
      <c r="AH1810">
        <v>22.219756398888499</v>
      </c>
      <c r="AI1810">
        <v>92.805034799804005</v>
      </c>
      <c r="AJ1810">
        <v>77.641143053507406</v>
      </c>
      <c r="AK1810">
        <v>22.774174763318999</v>
      </c>
      <c r="AL1810">
        <v>82.689961207188503</v>
      </c>
      <c r="AM1810">
        <v>76.450405977121704</v>
      </c>
      <c r="AN1810">
        <v>1.0000000277983201</v>
      </c>
    </row>
    <row r="1811" spans="1:40" x14ac:dyDescent="0.25">
      <c r="A1811" t="str">
        <f>"20190303170255277"</f>
        <v>20190303170255277</v>
      </c>
      <c r="B1811" t="str">
        <f>"1551603775268112"</f>
        <v>1551603775268112</v>
      </c>
      <c r="C1811" t="s">
        <v>40</v>
      </c>
      <c r="D1811">
        <v>4.9208259999999999</v>
      </c>
      <c r="E1811">
        <v>0.4951468</v>
      </c>
      <c r="F1811" t="s">
        <v>57</v>
      </c>
      <c r="G1811">
        <v>-197.05889999999999</v>
      </c>
      <c r="H1811" s="1">
        <v>2.9963579999999999E-6</v>
      </c>
      <c r="I1811">
        <v>281.3691</v>
      </c>
      <c r="J1811">
        <v>-190.25960000000001</v>
      </c>
      <c r="K1811">
        <v>1.1141099999999999</v>
      </c>
      <c r="L1811">
        <v>303.84949999999998</v>
      </c>
      <c r="M1811">
        <v>-8.7503670000000006E-2</v>
      </c>
      <c r="N1811">
        <v>-1.504899E-2</v>
      </c>
      <c r="O1811">
        <v>-0.99605049999999995</v>
      </c>
      <c r="P1811">
        <v>-0.31768069999999998</v>
      </c>
      <c r="Q1811">
        <v>0.11763949999999999</v>
      </c>
      <c r="R1811">
        <v>-0.94087180000000004</v>
      </c>
      <c r="S1811">
        <v>-0.87156679999999997</v>
      </c>
      <c r="T1811">
        <v>-0.1421338</v>
      </c>
      <c r="U1811">
        <v>-2.9103089999999998</v>
      </c>
      <c r="V1811">
        <v>0.23641570000000001</v>
      </c>
      <c r="W1811">
        <v>0.12800219999999901</v>
      </c>
      <c r="X1811">
        <v>0.96318380000000003</v>
      </c>
      <c r="Y1811">
        <v>0.20171159999999999</v>
      </c>
      <c r="Z1811">
        <v>3.212603E-2</v>
      </c>
      <c r="AA1811">
        <v>0.97891799999999995</v>
      </c>
      <c r="AB1811">
        <v>34</v>
      </c>
      <c r="AC1811">
        <v>-6.7992999999999801</v>
      </c>
      <c r="AD1811">
        <v>-1.114107003642</v>
      </c>
      <c r="AE1811">
        <v>-22.4803999999999</v>
      </c>
      <c r="AF1811">
        <v>4.7950828524883597</v>
      </c>
      <c r="AG1811">
        <v>-1.114107003642</v>
      </c>
      <c r="AH1811">
        <v>22.937565922381001</v>
      </c>
      <c r="AI1811">
        <v>92.721993745955203</v>
      </c>
      <c r="AJ1811">
        <v>78.192399424457804</v>
      </c>
      <c r="AK1811">
        <v>23.459880315580602</v>
      </c>
      <c r="AL1811">
        <v>82.645837615727501</v>
      </c>
      <c r="AM1811">
        <v>76.209253270644396</v>
      </c>
      <c r="AN1811">
        <v>0.99999998949688496</v>
      </c>
    </row>
    <row r="1812" spans="1:40" x14ac:dyDescent="0.25">
      <c r="A1812" t="str">
        <f>"20190303170255300"</f>
        <v>20190303170255300</v>
      </c>
      <c r="B1812" t="str">
        <f>"1551603775287632"</f>
        <v>1551603775287632</v>
      </c>
      <c r="C1812" t="s">
        <v>40</v>
      </c>
      <c r="D1812">
        <v>5.0293549999999998</v>
      </c>
      <c r="E1812">
        <v>0.49369039999999997</v>
      </c>
      <c r="F1812" t="s">
        <v>57</v>
      </c>
      <c r="G1812">
        <v>-197.58699999999999</v>
      </c>
      <c r="H1812" s="1">
        <v>3.0245929999999998E-6</v>
      </c>
      <c r="I1812">
        <v>279.97449999999998</v>
      </c>
      <c r="J1812">
        <v>-190.29859999999999</v>
      </c>
      <c r="K1812">
        <v>1.1137330000000001</v>
      </c>
      <c r="L1812">
        <v>303.5034</v>
      </c>
      <c r="M1812">
        <v>-9.6407469999999995E-2</v>
      </c>
      <c r="N1812">
        <v>-1.510039E-2</v>
      </c>
      <c r="O1812">
        <v>-0.99522739999999998</v>
      </c>
      <c r="P1812">
        <v>-0.32968120000000001</v>
      </c>
      <c r="Q1812">
        <v>0.1229741</v>
      </c>
      <c r="R1812">
        <v>-0.93604889999999996</v>
      </c>
      <c r="S1812">
        <v>-0.89140319999999995</v>
      </c>
      <c r="T1812">
        <v>-0.13553509999999999</v>
      </c>
      <c r="U1812">
        <v>-2.90448</v>
      </c>
      <c r="V1812">
        <v>0.2404096</v>
      </c>
      <c r="W1812">
        <v>0.13306029999999999</v>
      </c>
      <c r="X1812">
        <v>0.96150829999999998</v>
      </c>
      <c r="Y1812">
        <v>0.19963790000000001</v>
      </c>
      <c r="Z1812">
        <v>2.991891E-2</v>
      </c>
      <c r="AA1812">
        <v>0.97941290000000003</v>
      </c>
      <c r="AB1812">
        <v>34</v>
      </c>
      <c r="AC1812">
        <v>-7.2884000000000198</v>
      </c>
      <c r="AD1812">
        <v>-1.113729975407</v>
      </c>
      <c r="AE1812">
        <v>-23.5289</v>
      </c>
      <c r="AF1812">
        <v>4.9756499477346798</v>
      </c>
      <c r="AG1812">
        <v>-1.113729975407</v>
      </c>
      <c r="AH1812">
        <v>24.0727982446748</v>
      </c>
      <c r="AI1812">
        <v>92.594148882873199</v>
      </c>
      <c r="AJ1812">
        <v>78.321881247910696</v>
      </c>
      <c r="AK1812">
        <v>24.606850716606001</v>
      </c>
      <c r="AL1812">
        <v>82.353528757359797</v>
      </c>
      <c r="AM1812">
        <v>75.961932407455294</v>
      </c>
      <c r="AN1812">
        <v>1.0000000150885699</v>
      </c>
    </row>
    <row r="1813" spans="1:40" x14ac:dyDescent="0.25">
      <c r="A1813" t="str">
        <f>"20190303170255321"</f>
        <v>20190303170255321</v>
      </c>
      <c r="B1813" t="str">
        <f>"1551603775307152"</f>
        <v>1551603775307152</v>
      </c>
      <c r="C1813" t="s">
        <v>40</v>
      </c>
      <c r="D1813">
        <v>5.0341909999999999</v>
      </c>
      <c r="E1813">
        <v>0.4923399</v>
      </c>
      <c r="F1813" t="s">
        <v>57</v>
      </c>
      <c r="G1813">
        <v>-199.05459999999999</v>
      </c>
      <c r="H1813" s="1">
        <v>3.7950679999999998E-6</v>
      </c>
      <c r="I1813">
        <v>275.84190000000001</v>
      </c>
      <c r="J1813">
        <v>-190.33789999999999</v>
      </c>
      <c r="K1813">
        <v>1.1133980000000001</v>
      </c>
      <c r="L1813">
        <v>303.18189999999998</v>
      </c>
      <c r="M1813">
        <v>-0.105105</v>
      </c>
      <c r="N1813">
        <v>-1.5149279999999999E-2</v>
      </c>
      <c r="O1813">
        <v>-0.99434579999999995</v>
      </c>
      <c r="P1813">
        <v>-0.34223490000000001</v>
      </c>
      <c r="Q1813">
        <v>0.12761230000000001</v>
      </c>
      <c r="R1813">
        <v>-0.93090830000000002</v>
      </c>
      <c r="S1813">
        <v>-0.91711430000000005</v>
      </c>
      <c r="T1813">
        <v>-0.1166527</v>
      </c>
      <c r="U1813">
        <v>-2.897278</v>
      </c>
      <c r="V1813">
        <v>0.24521229999999999</v>
      </c>
      <c r="W1813">
        <v>0.1374088</v>
      </c>
      <c r="X1813">
        <v>0.95968209999999998</v>
      </c>
      <c r="Y1813">
        <v>0.1997333</v>
      </c>
      <c r="Z1813">
        <v>2.365403E-2</v>
      </c>
      <c r="AA1813">
        <v>0.97956469999999995</v>
      </c>
      <c r="AB1813">
        <v>34</v>
      </c>
      <c r="AC1813">
        <v>-8.7166999999999994</v>
      </c>
      <c r="AD1813">
        <v>-1.11339420493199</v>
      </c>
      <c r="AE1813">
        <v>-27.3399999999999</v>
      </c>
      <c r="AF1813">
        <v>5.7857978655808999</v>
      </c>
      <c r="AG1813">
        <v>-1.11339420493199</v>
      </c>
      <c r="AH1813">
        <v>28.062560396057201</v>
      </c>
      <c r="AI1813">
        <v>92.225287491368306</v>
      </c>
      <c r="AJ1813">
        <v>78.350282345783199</v>
      </c>
      <c r="AK1813">
        <v>28.674420649409701</v>
      </c>
      <c r="AL1813">
        <v>82.102067649890699</v>
      </c>
      <c r="AM1813">
        <v>75.666794670020295</v>
      </c>
      <c r="AN1813">
        <v>0.99999999172456899</v>
      </c>
    </row>
    <row r="1814" spans="1:40" x14ac:dyDescent="0.25">
      <c r="A1814" t="str">
        <f>"20190303170255344"</f>
        <v>20190303170255344</v>
      </c>
      <c r="B1814" t="str">
        <f>"1551603775337408"</f>
        <v>1551603775337408</v>
      </c>
      <c r="C1814" t="s">
        <v>40</v>
      </c>
      <c r="D1814">
        <v>4.9711970000000001</v>
      </c>
      <c r="E1814">
        <v>0.4904384</v>
      </c>
      <c r="F1814" t="s">
        <v>57</v>
      </c>
      <c r="G1814">
        <v>-199.98169999999999</v>
      </c>
      <c r="H1814">
        <v>7.3994190000000001E-2</v>
      </c>
      <c r="I1814">
        <v>273.73930000000001</v>
      </c>
      <c r="J1814">
        <v>-190.38509999999999</v>
      </c>
      <c r="K1814">
        <v>1.1129899999999999</v>
      </c>
      <c r="L1814">
        <v>302.827</v>
      </c>
      <c r="M1814">
        <v>-0.11524520000000001</v>
      </c>
      <c r="N1814">
        <v>-1.520699E-2</v>
      </c>
      <c r="O1814">
        <v>-0.99322069999999996</v>
      </c>
      <c r="P1814">
        <v>-0.35451500000000002</v>
      </c>
      <c r="Q1814">
        <v>0.12978629999999999</v>
      </c>
      <c r="R1814">
        <v>-0.92599920000000002</v>
      </c>
      <c r="S1814">
        <v>-0.94622799999999996</v>
      </c>
      <c r="T1814">
        <v>-0.1019833</v>
      </c>
      <c r="U1814">
        <v>-2.8888240000000001</v>
      </c>
      <c r="V1814">
        <v>0.2483387</v>
      </c>
      <c r="W1814">
        <v>0.13930529999999999</v>
      </c>
      <c r="X1814">
        <v>0.95860420000000002</v>
      </c>
      <c r="Y1814">
        <v>0.1995411</v>
      </c>
      <c r="Z1814">
        <v>1.8771949999999999E-2</v>
      </c>
      <c r="AA1814">
        <v>0.97970959999999996</v>
      </c>
      <c r="AB1814">
        <v>34</v>
      </c>
      <c r="AC1814">
        <v>-9.5965999999999898</v>
      </c>
      <c r="AD1814">
        <v>-1.0389958100000001</v>
      </c>
      <c r="AE1814">
        <v>-29.087699999999899</v>
      </c>
      <c r="AF1814">
        <v>6.1729355826080798</v>
      </c>
      <c r="AG1814">
        <v>-1.0389958100000001</v>
      </c>
      <c r="AH1814">
        <v>29.965456532795699</v>
      </c>
      <c r="AI1814">
        <v>91.945018830273995</v>
      </c>
      <c r="AJ1814">
        <v>78.359805043648905</v>
      </c>
      <c r="AK1814">
        <v>30.612305225498702</v>
      </c>
      <c r="AL1814">
        <v>81.992351400556203</v>
      </c>
      <c r="AM1814">
        <v>75.476092101581699</v>
      </c>
      <c r="AN1814">
        <v>1.0000000443917001</v>
      </c>
    </row>
    <row r="1815" spans="1:40" x14ac:dyDescent="0.25">
      <c r="A1815" t="str">
        <f>"20190303170255368"</f>
        <v>20190303170255368</v>
      </c>
      <c r="B1815" t="str">
        <f>"1551603775356928"</f>
        <v>1551603775356928</v>
      </c>
      <c r="C1815" t="s">
        <v>40</v>
      </c>
      <c r="D1815">
        <v>5.0273519999999996</v>
      </c>
      <c r="E1815">
        <v>0.48981089999999999</v>
      </c>
      <c r="F1815" t="s">
        <v>57</v>
      </c>
      <c r="G1815">
        <v>-200.83670000000001</v>
      </c>
      <c r="H1815">
        <v>8.0002100000000007E-2</v>
      </c>
      <c r="I1815">
        <v>271.84440000000001</v>
      </c>
      <c r="J1815">
        <v>-190.4383</v>
      </c>
      <c r="K1815">
        <v>1.112538</v>
      </c>
      <c r="L1815">
        <v>302.459</v>
      </c>
      <c r="M1815">
        <v>-0.1263773</v>
      </c>
      <c r="N1815">
        <v>-1.5275469999999999E-2</v>
      </c>
      <c r="O1815">
        <v>-0.99186479999999999</v>
      </c>
      <c r="P1815">
        <v>-0.36773020000000001</v>
      </c>
      <c r="Q1815">
        <v>0.131514299999999</v>
      </c>
      <c r="R1815">
        <v>-0.92058620000000002</v>
      </c>
      <c r="S1815">
        <v>-0.97190860000000001</v>
      </c>
      <c r="T1815">
        <v>-9.6058370000000004E-2</v>
      </c>
      <c r="U1815">
        <v>-2.8811040000000001</v>
      </c>
      <c r="V1815">
        <v>0.25153819999999999</v>
      </c>
      <c r="W1815">
        <v>0.14073540000000001</v>
      </c>
      <c r="X1815">
        <v>0.95756050000000004</v>
      </c>
      <c r="Y1815">
        <v>0.19720309999999999</v>
      </c>
      <c r="Z1815">
        <v>1.67636E-2</v>
      </c>
      <c r="AA1815">
        <v>0.98021930000000002</v>
      </c>
      <c r="AB1815">
        <v>34</v>
      </c>
      <c r="AC1815">
        <v>-10.398400000000001</v>
      </c>
      <c r="AD1815">
        <v>-1.0325359000000001</v>
      </c>
      <c r="AE1815">
        <v>-30.614599999999999</v>
      </c>
      <c r="AF1815">
        <v>6.4390005796528804</v>
      </c>
      <c r="AG1815">
        <v>-1.0325359000000001</v>
      </c>
      <c r="AH1815">
        <v>31.651077768890399</v>
      </c>
      <c r="AI1815">
        <v>91.830987670141994</v>
      </c>
      <c r="AJ1815">
        <v>78.500841280411805</v>
      </c>
      <c r="AK1815">
        <v>32.315902939294602</v>
      </c>
      <c r="AL1815">
        <v>81.909597223190701</v>
      </c>
      <c r="AM1815">
        <v>75.281700650141005</v>
      </c>
      <c r="AN1815">
        <v>1.00000001501632</v>
      </c>
    </row>
    <row r="1816" spans="1:40" x14ac:dyDescent="0.25">
      <c r="A1816" t="str">
        <f>"20190303170255389"</f>
        <v>20190303170255389</v>
      </c>
      <c r="B1816" t="str">
        <f>"1551603775377008"</f>
        <v>1551603775377008</v>
      </c>
      <c r="C1816" t="s">
        <v>40</v>
      </c>
      <c r="D1816">
        <v>5.027482</v>
      </c>
      <c r="E1816">
        <v>0.47832419999999998</v>
      </c>
      <c r="F1816" t="s">
        <v>57</v>
      </c>
      <c r="G1816">
        <v>-201.93190000000001</v>
      </c>
      <c r="H1816">
        <v>8.0002589999999998E-2</v>
      </c>
      <c r="I1816">
        <v>269.77190000000002</v>
      </c>
      <c r="J1816">
        <v>-190.49100000000001</v>
      </c>
      <c r="K1816">
        <v>1.1120890000000001</v>
      </c>
      <c r="L1816">
        <v>302.12369999999999</v>
      </c>
      <c r="M1816">
        <v>-0.13709969999999999</v>
      </c>
      <c r="N1816">
        <v>-1.534718E-2</v>
      </c>
      <c r="O1816">
        <v>-0.99043840000000005</v>
      </c>
      <c r="P1816">
        <v>-0.37936829999999999</v>
      </c>
      <c r="Q1816">
        <v>0.1319342</v>
      </c>
      <c r="R1816">
        <v>-0.91579100000000002</v>
      </c>
      <c r="S1816">
        <v>-1.0087280000000001</v>
      </c>
      <c r="T1816">
        <v>-9.0619920000000007E-2</v>
      </c>
      <c r="U1816">
        <v>-2.8687740000000002</v>
      </c>
      <c r="V1816">
        <v>0.25349149999999998</v>
      </c>
      <c r="W1816">
        <v>0.14090059999999999</v>
      </c>
      <c r="X1816">
        <v>0.95702089999999995</v>
      </c>
      <c r="Y1816">
        <v>0.19912479999999999</v>
      </c>
      <c r="Z1816">
        <v>1.492895E-2</v>
      </c>
      <c r="AA1816">
        <v>0.97986039999999996</v>
      </c>
      <c r="AB1816">
        <v>34</v>
      </c>
      <c r="AC1816">
        <v>-11.440899999999999</v>
      </c>
      <c r="AD1816">
        <v>-1.03208640999999</v>
      </c>
      <c r="AE1816">
        <v>-32.351799999999898</v>
      </c>
      <c r="AF1816">
        <v>6.8906632660678797</v>
      </c>
      <c r="AG1816">
        <v>-1.03208640999999</v>
      </c>
      <c r="AH1816">
        <v>33.584585725710497</v>
      </c>
      <c r="AI1816">
        <v>91.724303328413299</v>
      </c>
      <c r="AJ1816">
        <v>78.405340309362302</v>
      </c>
      <c r="AK1816">
        <v>34.299720712735201</v>
      </c>
      <c r="AL1816">
        <v>81.900036257002498</v>
      </c>
      <c r="AM1816">
        <v>75.164432216911806</v>
      </c>
      <c r="AN1816">
        <v>0.99999996134470903</v>
      </c>
    </row>
    <row r="1817" spans="1:40" x14ac:dyDescent="0.25">
      <c r="A1817" t="str">
        <f>"20190303170255411"</f>
        <v>20190303170255411</v>
      </c>
      <c r="B1817" t="str">
        <f>"1551603775407265"</f>
        <v>1551603775407265</v>
      </c>
      <c r="C1817" t="s">
        <v>40</v>
      </c>
      <c r="D1817">
        <v>5.0053080000000003</v>
      </c>
      <c r="E1817">
        <v>0.56190169999999995</v>
      </c>
      <c r="F1817" t="s">
        <v>57</v>
      </c>
      <c r="G1817">
        <v>-199.96969999999999</v>
      </c>
      <c r="H1817">
        <v>6.1957070000000003E-2</v>
      </c>
      <c r="I1817">
        <v>273.49079999999998</v>
      </c>
      <c r="J1817">
        <v>-190.5455</v>
      </c>
      <c r="K1817">
        <v>1.111645</v>
      </c>
      <c r="L1817">
        <v>301.80189999999999</v>
      </c>
      <c r="M1817">
        <v>-0.14793100000000001</v>
      </c>
      <c r="N1817">
        <v>-1.542427E-2</v>
      </c>
      <c r="O1817">
        <v>-0.98887740000000002</v>
      </c>
      <c r="P1817">
        <v>-0.39233299999999999</v>
      </c>
      <c r="Q1817">
        <v>0.1330616</v>
      </c>
      <c r="R1817">
        <v>-0.91014810000000002</v>
      </c>
      <c r="S1817">
        <v>-0.95812989999999998</v>
      </c>
      <c r="T1817">
        <v>-0.10614999999999999</v>
      </c>
      <c r="U1817">
        <v>-2.8942869999999998</v>
      </c>
      <c r="V1817">
        <v>0.25681730000000003</v>
      </c>
      <c r="W1817">
        <v>0.14173379999999999</v>
      </c>
      <c r="X1817">
        <v>0.95601060000000004</v>
      </c>
      <c r="Y1817">
        <v>0.17023160000000001</v>
      </c>
      <c r="Z1817">
        <v>1.9801450000000002E-2</v>
      </c>
      <c r="AA1817">
        <v>0.98520509999999994</v>
      </c>
      <c r="AB1817">
        <v>34</v>
      </c>
      <c r="AC1817">
        <v>-9.4241999999999795</v>
      </c>
      <c r="AD1817">
        <v>-1.0496879299999999</v>
      </c>
      <c r="AE1817">
        <v>-28.3111</v>
      </c>
      <c r="AF1817">
        <v>5.1255563514003004</v>
      </c>
      <c r="AG1817">
        <v>-1.0496879299999999</v>
      </c>
      <c r="AH1817">
        <v>29.357503223308001</v>
      </c>
      <c r="AI1817">
        <v>92.017269887671205</v>
      </c>
      <c r="AJ1817">
        <v>80.096492746545493</v>
      </c>
      <c r="AK1817">
        <v>29.8200631818296</v>
      </c>
      <c r="AL1817">
        <v>81.851813218884601</v>
      </c>
      <c r="AM1817">
        <v>74.9633785611273</v>
      </c>
      <c r="AN1817">
        <v>0.99999993147704203</v>
      </c>
    </row>
    <row r="1818" spans="1:40" x14ac:dyDescent="0.25">
      <c r="A1818" t="str">
        <f>"20190303170255433"</f>
        <v>20190303170255433</v>
      </c>
      <c r="B1818" t="str">
        <f>"1551603775427760"</f>
        <v>1551603775427760</v>
      </c>
      <c r="C1818" t="s">
        <v>40</v>
      </c>
      <c r="D1818">
        <v>4.8752009999999997</v>
      </c>
      <c r="E1818">
        <v>0.57773129999999995</v>
      </c>
      <c r="F1818" t="s">
        <v>57</v>
      </c>
      <c r="G1818">
        <v>-203.2938</v>
      </c>
      <c r="H1818" s="1">
        <v>3.9877869999999996E-6</v>
      </c>
      <c r="I1818">
        <v>281.0686</v>
      </c>
      <c r="J1818">
        <v>-190.60749999999999</v>
      </c>
      <c r="K1818">
        <v>1.1111690000000001</v>
      </c>
      <c r="L1818">
        <v>301.46210000000002</v>
      </c>
      <c r="M1818">
        <v>-0.1599489</v>
      </c>
      <c r="N1818">
        <v>-1.5513880000000001E-2</v>
      </c>
      <c r="O1818">
        <v>-0.98700350000000003</v>
      </c>
      <c r="P1818">
        <v>-0.40651229999999999</v>
      </c>
      <c r="Q1818">
        <v>0.13560120000000001</v>
      </c>
      <c r="R1818">
        <v>-0.90352659999999996</v>
      </c>
      <c r="S1818">
        <v>-1.6120909999999999</v>
      </c>
      <c r="T1818">
        <v>-0.1405737</v>
      </c>
      <c r="U1818">
        <v>-2.6218569999999999</v>
      </c>
      <c r="V1818">
        <v>0.26043060000000001</v>
      </c>
      <c r="W1818">
        <v>0.1439501</v>
      </c>
      <c r="X1818">
        <v>0.95470109999999997</v>
      </c>
      <c r="Y1818">
        <v>0.38033359999999999</v>
      </c>
      <c r="Z1818">
        <v>3.1668830000000002E-2</v>
      </c>
      <c r="AA1818">
        <v>0.92430699999999999</v>
      </c>
      <c r="AB1818">
        <v>34</v>
      </c>
      <c r="AC1818">
        <v>-12.686299999999999</v>
      </c>
      <c r="AD1818">
        <v>-1.1111650122129999</v>
      </c>
      <c r="AE1818">
        <v>-20.3935</v>
      </c>
      <c r="AF1818">
        <v>9.2408384882554202</v>
      </c>
      <c r="AG1818">
        <v>-1.1111650122129999</v>
      </c>
      <c r="AH1818">
        <v>22.112948342093102</v>
      </c>
      <c r="AI1818">
        <v>92.654558540859696</v>
      </c>
      <c r="AJ1818">
        <v>67.320308725395805</v>
      </c>
      <c r="AK1818">
        <v>23.991879210067399</v>
      </c>
      <c r="AL1818">
        <v>81.723513125188902</v>
      </c>
      <c r="AM1818">
        <v>74.741665361057599</v>
      </c>
      <c r="AN1818">
        <v>0.99999995952378895</v>
      </c>
    </row>
    <row r="1819" spans="1:40" x14ac:dyDescent="0.25">
      <c r="A1819" t="str">
        <f>"20190303170255458"</f>
        <v>20190303170255458</v>
      </c>
      <c r="B1819" t="str">
        <f>"1551603775447280"</f>
        <v>1551603775447280</v>
      </c>
      <c r="C1819" t="s">
        <v>40</v>
      </c>
      <c r="D1819">
        <v>4.9004760000000003</v>
      </c>
      <c r="E1819">
        <v>0.58408919999999998</v>
      </c>
      <c r="F1819" t="s">
        <v>57</v>
      </c>
      <c r="G1819">
        <v>-205.82079999999999</v>
      </c>
      <c r="H1819">
        <v>5.1208759999999999E-2</v>
      </c>
      <c r="I1819">
        <v>279.61509999999998</v>
      </c>
      <c r="J1819">
        <v>-190.6815</v>
      </c>
      <c r="K1819">
        <v>1.1106259999999999</v>
      </c>
      <c r="L1819">
        <v>301.08769999999998</v>
      </c>
      <c r="M1819">
        <v>-0.1739125</v>
      </c>
      <c r="N1819">
        <v>-1.562264E-2</v>
      </c>
      <c r="O1819">
        <v>-0.98463730000000005</v>
      </c>
      <c r="P1819">
        <v>-0.4205875</v>
      </c>
      <c r="Q1819">
        <v>0.13771939999999999</v>
      </c>
      <c r="R1819">
        <v>-0.89673840000000005</v>
      </c>
      <c r="S1819">
        <v>-1.77037</v>
      </c>
      <c r="T1819">
        <v>-0.1233472</v>
      </c>
      <c r="U1819">
        <v>-2.5423279999999999</v>
      </c>
      <c r="V1819">
        <v>0.2621368</v>
      </c>
      <c r="W1819">
        <v>0.1457831</v>
      </c>
      <c r="X1819">
        <v>0.95395580000000002</v>
      </c>
      <c r="Y1819">
        <v>0.41965249999999998</v>
      </c>
      <c r="Z1819">
        <v>2.59216E-2</v>
      </c>
      <c r="AA1819">
        <v>0.90731470000000003</v>
      </c>
      <c r="AB1819">
        <v>34</v>
      </c>
      <c r="AC1819">
        <v>-15.139299999999899</v>
      </c>
      <c r="AD1819">
        <v>-1.0594172399999999</v>
      </c>
      <c r="AE1819">
        <v>-21.4726</v>
      </c>
      <c r="AF1819">
        <v>11.155589520285</v>
      </c>
      <c r="AG1819">
        <v>-1.0594172399999999</v>
      </c>
      <c r="AH1819">
        <v>23.739934938881699</v>
      </c>
      <c r="AI1819">
        <v>92.312860634183494</v>
      </c>
      <c r="AJ1819">
        <v>64.830784858865997</v>
      </c>
      <c r="AK1819">
        <v>26.251743815141801</v>
      </c>
      <c r="AL1819">
        <v>81.6173709507528</v>
      </c>
      <c r="AM1819">
        <v>74.634975400670498</v>
      </c>
      <c r="AN1819">
        <v>1.00000004125674</v>
      </c>
    </row>
    <row r="1820" spans="1:40" x14ac:dyDescent="0.25">
      <c r="A1820" t="str">
        <f>"20190303170255479"</f>
        <v>20190303170255479</v>
      </c>
      <c r="B1820" t="str">
        <f>"1551603775467776"</f>
        <v>1551603775467776</v>
      </c>
      <c r="C1820" t="s">
        <v>40</v>
      </c>
      <c r="D1820">
        <v>4.9349040000000004</v>
      </c>
      <c r="E1820">
        <v>0.586808</v>
      </c>
      <c r="F1820" t="s">
        <v>57</v>
      </c>
      <c r="G1820">
        <v>-207.89619999999999</v>
      </c>
      <c r="H1820">
        <v>8.0000719999999997E-2</v>
      </c>
      <c r="I1820">
        <v>278.00200000000001</v>
      </c>
      <c r="J1820">
        <v>-190.7473</v>
      </c>
      <c r="K1820">
        <v>1.1101749999999999</v>
      </c>
      <c r="L1820">
        <v>300.77800000000002</v>
      </c>
      <c r="M1820">
        <v>-0.1859867</v>
      </c>
      <c r="N1820">
        <v>-1.5717999999999999E-2</v>
      </c>
      <c r="O1820">
        <v>-0.98242649999999998</v>
      </c>
      <c r="P1820">
        <v>-0.4324482</v>
      </c>
      <c r="Q1820">
        <v>0.13749829999999999</v>
      </c>
      <c r="R1820">
        <v>-0.89111319999999905</v>
      </c>
      <c r="S1820">
        <v>-1.8576969999999999</v>
      </c>
      <c r="T1820">
        <v>-0.111217899999999</v>
      </c>
      <c r="U1820">
        <v>-2.491241</v>
      </c>
      <c r="V1820">
        <v>0.26322699999999999</v>
      </c>
      <c r="W1820">
        <v>0.14534949999999999</v>
      </c>
      <c r="X1820">
        <v>0.95372170000000001</v>
      </c>
      <c r="Y1820">
        <v>0.43793680000000001</v>
      </c>
      <c r="Z1820">
        <v>2.1913470000000001E-2</v>
      </c>
      <c r="AA1820">
        <v>0.898738699999999</v>
      </c>
      <c r="AB1820">
        <v>34</v>
      </c>
      <c r="AC1820">
        <v>-17.148899999999902</v>
      </c>
      <c r="AD1820">
        <v>-1.03017428</v>
      </c>
      <c r="AE1820">
        <v>-22.776</v>
      </c>
      <c r="AF1820">
        <v>12.5966127340987</v>
      </c>
      <c r="AG1820">
        <v>-1.03017428</v>
      </c>
      <c r="AH1820">
        <v>25.535033314315601</v>
      </c>
      <c r="AI1820">
        <v>92.072098914754093</v>
      </c>
      <c r="AJ1820">
        <v>63.742550209206698</v>
      </c>
      <c r="AK1820">
        <v>28.4916450522472</v>
      </c>
      <c r="AL1820">
        <v>81.642481570983705</v>
      </c>
      <c r="AM1820">
        <v>74.570505513372495</v>
      </c>
      <c r="AN1820">
        <v>1.00000000586507</v>
      </c>
    </row>
    <row r="1821" spans="1:40" x14ac:dyDescent="0.25">
      <c r="A1821" t="str">
        <f>"20190303170255499"</f>
        <v>20190303170255499</v>
      </c>
      <c r="B1821" t="str">
        <f>"1551603775486910"</f>
        <v>1551603775486910</v>
      </c>
      <c r="C1821" t="s">
        <v>40</v>
      </c>
      <c r="D1821">
        <v>4.9174850000000001</v>
      </c>
      <c r="E1821">
        <v>0.5879683</v>
      </c>
      <c r="F1821" t="s">
        <v>57</v>
      </c>
      <c r="G1821">
        <v>-208.64529999999999</v>
      </c>
      <c r="H1821">
        <v>8.0000569999999993E-2</v>
      </c>
      <c r="I1821">
        <v>277.75749999999999</v>
      </c>
      <c r="J1821">
        <v>-190.8184</v>
      </c>
      <c r="K1821">
        <v>1.1097509999999999</v>
      </c>
      <c r="L1821">
        <v>300.46420000000001</v>
      </c>
      <c r="M1821">
        <v>-0.1986638</v>
      </c>
      <c r="N1821">
        <v>-1.5816710000000001E-2</v>
      </c>
      <c r="O1821">
        <v>-0.97994009999999998</v>
      </c>
      <c r="P1821">
        <v>-0.44501619999999997</v>
      </c>
      <c r="Q1821">
        <v>0.13409070000000001</v>
      </c>
      <c r="R1821">
        <v>-0.88542659999999995</v>
      </c>
      <c r="S1821">
        <v>-1.909988</v>
      </c>
      <c r="T1821">
        <v>-0.1099349</v>
      </c>
      <c r="U1821">
        <v>-2.4566349999999999</v>
      </c>
      <c r="V1821">
        <v>0.2643508</v>
      </c>
      <c r="W1821">
        <v>0.14174990000000001</v>
      </c>
      <c r="X1821">
        <v>0.95395269999999999</v>
      </c>
      <c r="Y1821">
        <v>0.44439830000000002</v>
      </c>
      <c r="Z1821">
        <v>2.1489379999999999E-2</v>
      </c>
      <c r="AA1821">
        <v>0.89557149999999996</v>
      </c>
      <c r="AB1821">
        <v>34</v>
      </c>
      <c r="AC1821">
        <v>-17.826899999999899</v>
      </c>
      <c r="AD1821">
        <v>-1.02975043</v>
      </c>
      <c r="AE1821">
        <v>-22.706700000000001</v>
      </c>
      <c r="AF1821">
        <v>12.9434466797565</v>
      </c>
      <c r="AG1821">
        <v>-1.02975043</v>
      </c>
      <c r="AH1821">
        <v>25.763211085083</v>
      </c>
      <c r="AI1821">
        <v>92.0454905092638</v>
      </c>
      <c r="AJ1821">
        <v>63.325029821099101</v>
      </c>
      <c r="AK1821">
        <v>28.850238184706999</v>
      </c>
      <c r="AL1821">
        <v>81.850882457919198</v>
      </c>
      <c r="AM1821">
        <v>74.511361261960303</v>
      </c>
      <c r="AN1821">
        <v>1.0000000667239599</v>
      </c>
    </row>
    <row r="1822" spans="1:40" x14ac:dyDescent="0.25">
      <c r="A1822" t="str">
        <f>"20190303170255523"</f>
        <v>20190303170255523</v>
      </c>
      <c r="B1822" t="str">
        <f>"1551603775517165"</f>
        <v>1551603775517165</v>
      </c>
      <c r="C1822" t="s">
        <v>40</v>
      </c>
      <c r="D1822">
        <v>4.9400740000000001</v>
      </c>
      <c r="E1822">
        <v>0.58853330000000004</v>
      </c>
      <c r="F1822" t="s">
        <v>57</v>
      </c>
      <c r="G1822">
        <v>-207.62819999999999</v>
      </c>
      <c r="H1822">
        <v>7.4492779999999995E-2</v>
      </c>
      <c r="I1822">
        <v>279.59190000000001</v>
      </c>
      <c r="J1822">
        <v>-190.9041</v>
      </c>
      <c r="K1822">
        <v>1.1093120000000001</v>
      </c>
      <c r="L1822">
        <v>300.11059999999998</v>
      </c>
      <c r="M1822">
        <v>-0.21345839999999999</v>
      </c>
      <c r="N1822">
        <v>-1.592549E-2</v>
      </c>
      <c r="O1822">
        <v>-0.97682270000000004</v>
      </c>
      <c r="P1822">
        <v>-0.45869140000000003</v>
      </c>
      <c r="Q1822">
        <v>0.1337033</v>
      </c>
      <c r="R1822">
        <v>-0.87847949999999997</v>
      </c>
      <c r="S1822">
        <v>-1.952896</v>
      </c>
      <c r="T1822">
        <v>-0.120272</v>
      </c>
      <c r="U1822">
        <v>-2.4248660000000002</v>
      </c>
      <c r="V1822">
        <v>0.26484350000000001</v>
      </c>
      <c r="W1822">
        <v>0.14118149999999999</v>
      </c>
      <c r="X1822">
        <v>0.95390030000000003</v>
      </c>
      <c r="Y1822">
        <v>0.44614389999999998</v>
      </c>
      <c r="Z1822">
        <v>2.4901820000000002E-2</v>
      </c>
      <c r="AA1822">
        <v>0.89461480000000004</v>
      </c>
      <c r="AB1822">
        <v>34</v>
      </c>
      <c r="AC1822">
        <v>-16.7240999999999</v>
      </c>
      <c r="AD1822">
        <v>-1.0348192199999999</v>
      </c>
      <c r="AE1822">
        <v>-20.5186999999999</v>
      </c>
      <c r="AF1822">
        <v>11.9398571254912</v>
      </c>
      <c r="AG1822">
        <v>-1.0348192199999999</v>
      </c>
      <c r="AH1822">
        <v>23.579982617144399</v>
      </c>
      <c r="AI1822">
        <v>92.242118678436</v>
      </c>
      <c r="AJ1822">
        <v>63.144369093885203</v>
      </c>
      <c r="AK1822">
        <v>26.4508339985729</v>
      </c>
      <c r="AL1822">
        <v>81.883779997450404</v>
      </c>
      <c r="AM1822">
        <v>74.483071723400002</v>
      </c>
      <c r="AN1822">
        <v>1.0000000388872901</v>
      </c>
    </row>
    <row r="1823" spans="1:40" x14ac:dyDescent="0.25">
      <c r="A1823" t="str">
        <f>"20190303170255546"</f>
        <v>20190303170255546</v>
      </c>
      <c r="B1823" t="str">
        <f>"1551603775537661"</f>
        <v>1551603775537661</v>
      </c>
      <c r="C1823" t="s">
        <v>40</v>
      </c>
      <c r="D1823">
        <v>4.9577369999999998</v>
      </c>
      <c r="E1823">
        <v>0.58858840000000001</v>
      </c>
      <c r="F1823" t="s">
        <v>57</v>
      </c>
      <c r="G1823">
        <v>-208.00980000000001</v>
      </c>
      <c r="H1823">
        <v>6.2180390000000002E-2</v>
      </c>
      <c r="I1823">
        <v>279.60419999999999</v>
      </c>
      <c r="J1823">
        <v>-190.9913</v>
      </c>
      <c r="K1823">
        <v>1.108927</v>
      </c>
      <c r="L1823">
        <v>299.774</v>
      </c>
      <c r="M1823">
        <v>-0.22799050000000001</v>
      </c>
      <c r="N1823">
        <v>-1.602487E-2</v>
      </c>
      <c r="O1823">
        <v>-0.97353140000000005</v>
      </c>
      <c r="P1823">
        <v>-0.47157139999999997</v>
      </c>
      <c r="Q1823">
        <v>0.13580970000000001</v>
      </c>
      <c r="R1823">
        <v>-0.8713071</v>
      </c>
      <c r="S1823">
        <v>-1.995163</v>
      </c>
      <c r="T1823">
        <v>-0.1221346</v>
      </c>
      <c r="U1823">
        <v>-2.3918149999999998</v>
      </c>
      <c r="V1823">
        <v>0.26493800000000001</v>
      </c>
      <c r="W1823">
        <v>0.14313789999999901</v>
      </c>
      <c r="X1823">
        <v>0.95358240000000005</v>
      </c>
      <c r="Y1823">
        <v>0.44820339999999997</v>
      </c>
      <c r="Z1823">
        <v>2.5535370000000002E-2</v>
      </c>
      <c r="AA1823">
        <v>0.89356679999999999</v>
      </c>
      <c r="AB1823">
        <v>34</v>
      </c>
      <c r="AC1823">
        <v>-17.0185</v>
      </c>
      <c r="AD1823">
        <v>-1.04674661</v>
      </c>
      <c r="AE1823">
        <v>-20.169799999999999</v>
      </c>
      <c r="AF1823">
        <v>11.9522557111893</v>
      </c>
      <c r="AG1823">
        <v>-1.04674661</v>
      </c>
      <c r="AH1823">
        <v>23.482068929715901</v>
      </c>
      <c r="AI1823">
        <v>92.274958975675702</v>
      </c>
      <c r="AJ1823">
        <v>63.024133501937897</v>
      </c>
      <c r="AK1823">
        <v>26.3696730406567</v>
      </c>
      <c r="AL1823">
        <v>81.770536047936403</v>
      </c>
      <c r="AM1823">
        <v>74.472876889235394</v>
      </c>
      <c r="AN1823">
        <v>0.99999999792508498</v>
      </c>
    </row>
    <row r="1824" spans="1:40" x14ac:dyDescent="0.25">
      <c r="A1824" t="str">
        <f>"20190303170255569"</f>
        <v>20190303170255569</v>
      </c>
      <c r="B1824" t="str">
        <f>"1551603775557183"</f>
        <v>1551603775557183</v>
      </c>
      <c r="C1824" t="s">
        <v>40</v>
      </c>
      <c r="D1824">
        <v>4.9506240000000004</v>
      </c>
      <c r="E1824">
        <v>0.58861889999999994</v>
      </c>
      <c r="F1824" t="s">
        <v>57</v>
      </c>
      <c r="G1824">
        <v>-208.66540000000001</v>
      </c>
      <c r="H1824">
        <v>8.0000619999999995E-2</v>
      </c>
      <c r="I1824">
        <v>279.2054</v>
      </c>
      <c r="J1824">
        <v>-191.08590000000001</v>
      </c>
      <c r="K1824">
        <v>1.1085780000000001</v>
      </c>
      <c r="L1824">
        <v>299.43060000000003</v>
      </c>
      <c r="M1824">
        <v>-0.2432319</v>
      </c>
      <c r="N1824">
        <v>-1.6123200000000001E-2</v>
      </c>
      <c r="O1824">
        <v>-0.96983430000000004</v>
      </c>
      <c r="P1824">
        <v>-0.48566359999999997</v>
      </c>
      <c r="Q1824">
        <v>0.13712160000000001</v>
      </c>
      <c r="R1824">
        <v>-0.86332410000000004</v>
      </c>
      <c r="S1824">
        <v>-2.030243</v>
      </c>
      <c r="T1824">
        <v>-0.118193699999999</v>
      </c>
      <c r="U1824">
        <v>-2.3627319999999998</v>
      </c>
      <c r="V1824">
        <v>0.26568999999999998</v>
      </c>
      <c r="W1824">
        <v>0.14429129999999901</v>
      </c>
      <c r="X1824">
        <v>0.95319929999999997</v>
      </c>
      <c r="Y1824">
        <v>0.44727860000000003</v>
      </c>
      <c r="Z1824">
        <v>2.4248329999999998E-2</v>
      </c>
      <c r="AA1824">
        <v>0.89406589999999997</v>
      </c>
      <c r="AB1824">
        <v>34</v>
      </c>
      <c r="AC1824">
        <v>-17.5794999999999</v>
      </c>
      <c r="AD1824">
        <v>-1.02857738</v>
      </c>
      <c r="AE1824">
        <v>-20.225200000000001</v>
      </c>
      <c r="AF1824">
        <v>12.1135166353735</v>
      </c>
      <c r="AG1824">
        <v>-1.02857738</v>
      </c>
      <c r="AH1824">
        <v>23.858939081880401</v>
      </c>
      <c r="AI1824">
        <v>92.201372232251799</v>
      </c>
      <c r="AJ1824">
        <v>63.082458671598701</v>
      </c>
      <c r="AK1824">
        <v>26.777681580282501</v>
      </c>
      <c r="AL1824">
        <v>81.703758150958393</v>
      </c>
      <c r="AM1824">
        <v>74.424985882858394</v>
      </c>
      <c r="AN1824">
        <v>1.0000000304380801</v>
      </c>
    </row>
    <row r="1825" spans="1:40" x14ac:dyDescent="0.25">
      <c r="A1825" t="str">
        <f>"20190303170255591"</f>
        <v>20190303170255591</v>
      </c>
      <c r="B1825" t="str">
        <f>"1551603775577327"</f>
        <v>1551603775577327</v>
      </c>
      <c r="C1825" t="s">
        <v>40</v>
      </c>
      <c r="D1825">
        <v>4.9904669999999998</v>
      </c>
      <c r="E1825">
        <v>0.58835990000000005</v>
      </c>
      <c r="F1825" t="s">
        <v>57</v>
      </c>
      <c r="G1825">
        <v>-209.28880000000001</v>
      </c>
      <c r="H1825">
        <v>8.0000470000000004E-2</v>
      </c>
      <c r="I1825">
        <v>278.91570000000002</v>
      </c>
      <c r="J1825">
        <v>-191.1815</v>
      </c>
      <c r="K1825">
        <v>1.1082650000000001</v>
      </c>
      <c r="L1825">
        <v>299.10379999999998</v>
      </c>
      <c r="M1825">
        <v>-0.25808979999999998</v>
      </c>
      <c r="N1825">
        <v>-1.6213499999999999E-2</v>
      </c>
      <c r="O1825">
        <v>-0.96598499999999998</v>
      </c>
      <c r="P1825">
        <v>-0.49944070000000002</v>
      </c>
      <c r="Q1825">
        <v>0.13614770000000001</v>
      </c>
      <c r="R1825">
        <v>-0.85558369999999995</v>
      </c>
      <c r="S1825">
        <v>-2.0676730000000001</v>
      </c>
      <c r="T1825">
        <v>-0.1168367</v>
      </c>
      <c r="U1825">
        <v>-2.330292</v>
      </c>
      <c r="V1825">
        <v>0.26637909999999998</v>
      </c>
      <c r="W1825">
        <v>0.14318610000000001</v>
      </c>
      <c r="X1825">
        <v>0.95317359999999896</v>
      </c>
      <c r="Y1825">
        <v>0.44777289999999997</v>
      </c>
      <c r="Z1825">
        <v>2.3827460000000002E-2</v>
      </c>
      <c r="AA1825">
        <v>0.89382980000000001</v>
      </c>
      <c r="AB1825">
        <v>34</v>
      </c>
      <c r="AC1825">
        <v>-18.107299999999999</v>
      </c>
      <c r="AD1825">
        <v>-1.02826453</v>
      </c>
      <c r="AE1825">
        <v>-20.188099999999899</v>
      </c>
      <c r="AF1825">
        <v>12.265017200933301</v>
      </c>
      <c r="AG1825">
        <v>-1.02826453</v>
      </c>
      <c r="AH1825">
        <v>24.143175923780198</v>
      </c>
      <c r="AI1825">
        <v>92.174558338919695</v>
      </c>
      <c r="AJ1825">
        <v>63.068895060078098</v>
      </c>
      <c r="AK1825">
        <v>27.0994634369289</v>
      </c>
      <c r="AL1825">
        <v>81.767745648351394</v>
      </c>
      <c r="AM1825">
        <v>74.3861577060147</v>
      </c>
      <c r="AN1825">
        <v>0.99999999794348904</v>
      </c>
    </row>
    <row r="1826" spans="1:40" x14ac:dyDescent="0.25">
      <c r="A1826" t="str">
        <f>"20190303170255612"</f>
        <v>20190303170255612</v>
      </c>
      <c r="B1826" t="str">
        <f>"1551603775597822"</f>
        <v>1551603775597822</v>
      </c>
      <c r="C1826" t="s">
        <v>40</v>
      </c>
      <c r="D1826">
        <v>5.0190729999999997</v>
      </c>
      <c r="E1826">
        <v>0.58801079999999994</v>
      </c>
      <c r="F1826" t="s">
        <v>57</v>
      </c>
      <c r="G1826">
        <v>-209.18809999999999</v>
      </c>
      <c r="H1826">
        <v>8.000053E-2</v>
      </c>
      <c r="I1826">
        <v>279.43119999999999</v>
      </c>
      <c r="J1826">
        <v>-191.2739</v>
      </c>
      <c r="K1826">
        <v>1.107988</v>
      </c>
      <c r="L1826">
        <v>298.80560000000003</v>
      </c>
      <c r="M1826">
        <v>-0.2719242</v>
      </c>
      <c r="N1826">
        <v>-1.62921E-2</v>
      </c>
      <c r="O1826">
        <v>-0.96218099999999995</v>
      </c>
      <c r="P1826">
        <v>-0.51208339999999997</v>
      </c>
      <c r="Q1826">
        <v>0.13406989999999999</v>
      </c>
      <c r="R1826">
        <v>-0.8484083</v>
      </c>
      <c r="S1826">
        <v>-2.1031949999999999</v>
      </c>
      <c r="T1826">
        <v>-0.1201029</v>
      </c>
      <c r="U1826">
        <v>-2.2977910000000001</v>
      </c>
      <c r="V1826">
        <v>0.26678180000000001</v>
      </c>
      <c r="W1826">
        <v>0.14101060000000001</v>
      </c>
      <c r="X1826">
        <v>0.95338529999999999</v>
      </c>
      <c r="Y1826">
        <v>0.44873479999999999</v>
      </c>
      <c r="Z1826">
        <v>2.4939380000000001E-2</v>
      </c>
      <c r="AA1826">
        <v>0.89331689999999997</v>
      </c>
      <c r="AB1826">
        <v>34</v>
      </c>
      <c r="AC1826">
        <v>-17.914199999999902</v>
      </c>
      <c r="AD1826">
        <v>-1.02798747</v>
      </c>
      <c r="AE1826">
        <v>-19.374400000000001</v>
      </c>
      <c r="AF1826">
        <v>11.951781180748601</v>
      </c>
      <c r="AG1826">
        <v>-1.02798747</v>
      </c>
      <c r="AH1826">
        <v>23.4804631334503</v>
      </c>
      <c r="AI1826">
        <v>92.234369739913404</v>
      </c>
      <c r="AJ1826">
        <v>63.023469120793898</v>
      </c>
      <c r="AK1826">
        <v>26.3672899743658</v>
      </c>
      <c r="AL1826">
        <v>81.893670674256398</v>
      </c>
      <c r="AM1826">
        <v>74.367009508523296</v>
      </c>
      <c r="AN1826">
        <v>1.0000000241898399</v>
      </c>
    </row>
    <row r="1827" spans="1:40" x14ac:dyDescent="0.25">
      <c r="A1827" t="str">
        <f>"20190303170255634"</f>
        <v>20190303170255634</v>
      </c>
      <c r="B1827" t="str">
        <f>"1551603775627103"</f>
        <v>1551603775627103</v>
      </c>
      <c r="C1827" t="s">
        <v>40</v>
      </c>
      <c r="D1827">
        <v>5.0218309999999997</v>
      </c>
      <c r="E1827">
        <v>0.58746140000000002</v>
      </c>
      <c r="F1827" t="s">
        <v>57</v>
      </c>
      <c r="G1827">
        <v>-209.3417</v>
      </c>
      <c r="H1827">
        <v>3.7865450000000002E-2</v>
      </c>
      <c r="I1827">
        <v>279.61630000000002</v>
      </c>
      <c r="J1827">
        <v>-191.3836</v>
      </c>
      <c r="K1827">
        <v>1.1077239999999999</v>
      </c>
      <c r="L1827">
        <v>298.4692</v>
      </c>
      <c r="M1827">
        <v>-0.28778169999999997</v>
      </c>
      <c r="N1827">
        <v>-1.6374400000000001E-2</v>
      </c>
      <c r="O1827">
        <v>-0.95755610000000002</v>
      </c>
      <c r="P1827">
        <v>-0.52594969999999996</v>
      </c>
      <c r="Q1827">
        <v>0.13598489999999999</v>
      </c>
      <c r="R1827">
        <v>-0.83957459999999995</v>
      </c>
      <c r="S1827">
        <v>-2.1349490000000002</v>
      </c>
      <c r="T1827">
        <v>-0.1264488</v>
      </c>
      <c r="U1827">
        <v>-2.2674560000000001</v>
      </c>
      <c r="V1827">
        <v>0.2669339</v>
      </c>
      <c r="W1827">
        <v>0.14283209999999999</v>
      </c>
      <c r="X1827">
        <v>0.95307149999999996</v>
      </c>
      <c r="Y1827">
        <v>0.44652049999999999</v>
      </c>
      <c r="Z1827">
        <v>2.7042779999999999E-2</v>
      </c>
      <c r="AA1827">
        <v>0.89436469999999901</v>
      </c>
      <c r="AB1827">
        <v>34</v>
      </c>
      <c r="AC1827">
        <v>-17.958100000000002</v>
      </c>
      <c r="AD1827">
        <v>-1.06985855</v>
      </c>
      <c r="AE1827">
        <v>-18.852899999999899</v>
      </c>
      <c r="AF1827">
        <v>11.752104132133599</v>
      </c>
      <c r="AG1827">
        <v>-1.06985855</v>
      </c>
      <c r="AH1827">
        <v>23.184689611580001</v>
      </c>
      <c r="AI1827">
        <v>92.356924547200407</v>
      </c>
      <c r="AJ1827">
        <v>63.119972590425199</v>
      </c>
      <c r="AK1827">
        <v>26.015118320600099</v>
      </c>
      <c r="AL1827">
        <v>81.788239014415495</v>
      </c>
      <c r="AM1827">
        <v>74.353635077451599</v>
      </c>
      <c r="AN1827">
        <v>0.99999999993593403</v>
      </c>
    </row>
    <row r="1828" spans="1:40" x14ac:dyDescent="0.25">
      <c r="A1828" t="str">
        <f>"20190303170255659"</f>
        <v>20190303170255659</v>
      </c>
      <c r="B1828" t="str">
        <f>"1551603775647600"</f>
        <v>1551603775647600</v>
      </c>
      <c r="C1828" t="s">
        <v>40</v>
      </c>
      <c r="D1828">
        <v>5.0176860000000003</v>
      </c>
      <c r="E1828">
        <v>0.58700859999999899</v>
      </c>
      <c r="F1828" t="s">
        <v>57</v>
      </c>
      <c r="G1828">
        <v>-209.71109999999999</v>
      </c>
      <c r="H1828">
        <v>7.6238169999999994E-2</v>
      </c>
      <c r="I1828">
        <v>279.59010000000001</v>
      </c>
      <c r="J1828">
        <v>-191.5008</v>
      </c>
      <c r="K1828">
        <v>1.1075109999999999</v>
      </c>
      <c r="L1828">
        <v>298.13130000000001</v>
      </c>
      <c r="M1828">
        <v>-0.3039926</v>
      </c>
      <c r="N1828">
        <v>-1.6449510000000001E-2</v>
      </c>
      <c r="O1828">
        <v>-0.95253239999999995</v>
      </c>
      <c r="P1828">
        <v>-0.53961879999999995</v>
      </c>
      <c r="Q1828">
        <v>0.14158189999999901</v>
      </c>
      <c r="R1828">
        <v>-0.82991949999999903</v>
      </c>
      <c r="S1828">
        <v>-2.1689759999999998</v>
      </c>
      <c r="T1828">
        <v>-0.12207129999999999</v>
      </c>
      <c r="U1828">
        <v>-2.2342529999999998</v>
      </c>
      <c r="V1828">
        <v>0.266905</v>
      </c>
      <c r="W1828">
        <v>0.14835029999999999</v>
      </c>
      <c r="X1828">
        <v>0.95223619999999998</v>
      </c>
      <c r="Y1828">
        <v>0.44501819999999997</v>
      </c>
      <c r="Z1828">
        <v>2.5626759999999998E-2</v>
      </c>
      <c r="AA1828">
        <v>0.89515480000000003</v>
      </c>
      <c r="AB1828">
        <v>33</v>
      </c>
      <c r="AC1828">
        <v>-18.210299999999901</v>
      </c>
      <c r="AD1828">
        <v>-1.03127283</v>
      </c>
      <c r="AE1828">
        <v>-18.5412</v>
      </c>
      <c r="AF1828">
        <v>11.69268513858</v>
      </c>
      <c r="AG1828">
        <v>-1.03127283</v>
      </c>
      <c r="AH1828">
        <v>23.163553355969398</v>
      </c>
      <c r="AI1828">
        <v>92.276005724948902</v>
      </c>
      <c r="AJ1828">
        <v>63.2159009586724</v>
      </c>
      <c r="AK1828">
        <v>25.9679150775473</v>
      </c>
      <c r="AL1828">
        <v>81.468663328360407</v>
      </c>
      <c r="AM1828">
        <v>74.342195409555899</v>
      </c>
      <c r="AN1828">
        <v>0.99999993556276301</v>
      </c>
    </row>
    <row r="1829" spans="1:40" x14ac:dyDescent="0.25">
      <c r="A1829" t="str">
        <f>"20190303170255678"</f>
        <v>20190303170255678</v>
      </c>
      <c r="B1829" t="str">
        <f>"1551603775667119"</f>
        <v>1551603775667119</v>
      </c>
      <c r="C1829" t="s">
        <v>40</v>
      </c>
      <c r="D1829">
        <v>5.0375220000000001</v>
      </c>
      <c r="E1829">
        <v>0.58653169999999899</v>
      </c>
      <c r="F1829" t="s">
        <v>62</v>
      </c>
      <c r="G1829">
        <v>-212.59790000000001</v>
      </c>
      <c r="H1829">
        <v>8.0000699999999994E-2</v>
      </c>
      <c r="I1829">
        <v>277.06360000000001</v>
      </c>
      <c r="J1829">
        <v>-191.60659999999999</v>
      </c>
      <c r="K1829">
        <v>1.1073539999999999</v>
      </c>
      <c r="L1829">
        <v>297.8408</v>
      </c>
      <c r="M1829">
        <v>-0.31808950000000003</v>
      </c>
      <c r="N1829">
        <v>-1.650774E-2</v>
      </c>
      <c r="O1829">
        <v>-0.94791689999999995</v>
      </c>
      <c r="P1829">
        <v>-0.55083490000000002</v>
      </c>
      <c r="Q1829">
        <v>0.1438566</v>
      </c>
      <c r="R1829">
        <v>-0.82212289999999999</v>
      </c>
      <c r="S1829">
        <v>-2.2034760000000002</v>
      </c>
      <c r="T1829">
        <v>-0.1073177</v>
      </c>
      <c r="U1829">
        <v>-2.2004090000000001</v>
      </c>
      <c r="V1829">
        <v>0.26596760000000003</v>
      </c>
      <c r="W1829">
        <v>0.15060680000000001</v>
      </c>
      <c r="X1829">
        <v>0.95214430000000005</v>
      </c>
      <c r="Y1829">
        <v>0.44572200000000001</v>
      </c>
      <c r="Z1829">
        <v>2.0821860000000001E-2</v>
      </c>
      <c r="AA1829">
        <v>0.89492919999999998</v>
      </c>
      <c r="AB1829">
        <v>33</v>
      </c>
      <c r="AC1829">
        <v>-20.991299999999999</v>
      </c>
      <c r="AD1829">
        <v>-1.0273532999999999</v>
      </c>
      <c r="AE1829">
        <v>-20.777200000000001</v>
      </c>
      <c r="AF1829">
        <v>13.274749136567699</v>
      </c>
      <c r="AG1829">
        <v>-1.0273532999999999</v>
      </c>
      <c r="AH1829">
        <v>26.343892388849401</v>
      </c>
      <c r="AI1829">
        <v>91.994584902109494</v>
      </c>
      <c r="AJ1829">
        <v>63.256357877999697</v>
      </c>
      <c r="AK1829">
        <v>29.517369219446099</v>
      </c>
      <c r="AL1829">
        <v>81.337906606792401</v>
      </c>
      <c r="AM1829">
        <v>74.393070566032506</v>
      </c>
      <c r="AN1829">
        <v>0.99999997023924403</v>
      </c>
    </row>
    <row r="1830" spans="1:40" x14ac:dyDescent="0.25">
      <c r="A1830" t="str">
        <f>"20190303170255701"</f>
        <v>20190303170255701</v>
      </c>
      <c r="B1830" t="str">
        <f>"1551603775697055"</f>
        <v>1551603775697055</v>
      </c>
      <c r="C1830" t="s">
        <v>40</v>
      </c>
      <c r="D1830">
        <v>5.0429269999999997</v>
      </c>
      <c r="E1830">
        <v>0.58597759999999999</v>
      </c>
      <c r="F1830" t="s">
        <v>62</v>
      </c>
      <c r="G1830">
        <v>-214.21350000000001</v>
      </c>
      <c r="H1830">
        <v>8.0000219999999997E-2</v>
      </c>
      <c r="I1830">
        <v>275.8347</v>
      </c>
      <c r="J1830">
        <v>-191.73249999999999</v>
      </c>
      <c r="K1830">
        <v>1.107175</v>
      </c>
      <c r="L1830">
        <v>297.51209999999998</v>
      </c>
      <c r="M1830">
        <v>-0.3342116</v>
      </c>
      <c r="N1830">
        <v>-1.656614E-2</v>
      </c>
      <c r="O1830">
        <v>-0.94235250000000004</v>
      </c>
      <c r="P1830">
        <v>-0.56325040000000004</v>
      </c>
      <c r="Q1830">
        <v>0.1430534</v>
      </c>
      <c r="R1830">
        <v>-0.8138088</v>
      </c>
      <c r="S1830">
        <v>-2.2311709999999998</v>
      </c>
      <c r="T1830">
        <v>-0.10139380000000001</v>
      </c>
      <c r="U1830">
        <v>-2.171875</v>
      </c>
      <c r="V1830">
        <v>0.2641617</v>
      </c>
      <c r="W1830">
        <v>0.1498284</v>
      </c>
      <c r="X1830">
        <v>0.95276959999999999</v>
      </c>
      <c r="Y1830">
        <v>0.44191239999999998</v>
      </c>
      <c r="Z1830">
        <v>1.8891189999999999E-2</v>
      </c>
      <c r="AA1830">
        <v>0.89685930000000003</v>
      </c>
      <c r="AB1830">
        <v>33</v>
      </c>
      <c r="AC1830">
        <v>-22.481000000000002</v>
      </c>
      <c r="AD1830">
        <v>-1.02717478</v>
      </c>
      <c r="AE1830">
        <v>-21.677399999999899</v>
      </c>
      <c r="AF1830">
        <v>13.927034498687499</v>
      </c>
      <c r="AG1830">
        <v>-1.02717478</v>
      </c>
      <c r="AH1830">
        <v>27.9147986744522</v>
      </c>
      <c r="AI1830">
        <v>91.885859971809396</v>
      </c>
      <c r="AJ1830">
        <v>63.484830149133799</v>
      </c>
      <c r="AK1830">
        <v>31.2130319416666</v>
      </c>
      <c r="AL1830">
        <v>81.383017187002096</v>
      </c>
      <c r="AM1830">
        <v>74.503612713379297</v>
      </c>
      <c r="AN1830">
        <v>0.99999993193880199</v>
      </c>
    </row>
    <row r="1831" spans="1:40" x14ac:dyDescent="0.25">
      <c r="A1831" t="str">
        <f>"20190303170255724"</f>
        <v>20190303170255724</v>
      </c>
      <c r="B1831" t="str">
        <f>"1551603775717553"</f>
        <v>1551603775717553</v>
      </c>
      <c r="C1831" t="s">
        <v>40</v>
      </c>
      <c r="D1831">
        <v>5.0318350000000001</v>
      </c>
      <c r="E1831">
        <v>0.57700459999999998</v>
      </c>
      <c r="F1831" t="s">
        <v>62</v>
      </c>
      <c r="G1831">
        <v>-214.05549999999999</v>
      </c>
      <c r="H1831">
        <v>8.0000269999999998E-2</v>
      </c>
      <c r="I1831">
        <v>276.39179999999999</v>
      </c>
      <c r="J1831">
        <v>-191.8562</v>
      </c>
      <c r="K1831">
        <v>1.107024</v>
      </c>
      <c r="L1831">
        <v>297.20409999999998</v>
      </c>
      <c r="M1831">
        <v>-0.349439099999999</v>
      </c>
      <c r="N1831">
        <v>-1.6613880000000001E-2</v>
      </c>
      <c r="O1831">
        <v>-0.93681179999999997</v>
      </c>
      <c r="P1831">
        <v>-0.57554479999999997</v>
      </c>
      <c r="Q1831">
        <v>0.1415332</v>
      </c>
      <c r="R1831">
        <v>-0.80542950000000002</v>
      </c>
      <c r="S1831">
        <v>-2.2613979999999998</v>
      </c>
      <c r="T1831">
        <v>-0.1040565</v>
      </c>
      <c r="U1831">
        <v>-2.1395569999999999</v>
      </c>
      <c r="V1831">
        <v>0.26309139999999998</v>
      </c>
      <c r="W1831">
        <v>0.1483168</v>
      </c>
      <c r="X1831">
        <v>0.95330219999999999</v>
      </c>
      <c r="Y1831">
        <v>0.44010490000000002</v>
      </c>
      <c r="Z1831">
        <v>1.9793580000000002E-2</v>
      </c>
      <c r="AA1831">
        <v>0.89772809999999903</v>
      </c>
      <c r="AB1831">
        <v>33</v>
      </c>
      <c r="AC1831">
        <v>-22.199299999999901</v>
      </c>
      <c r="AD1831">
        <v>-1.02702373</v>
      </c>
      <c r="AE1831">
        <v>-20.8123</v>
      </c>
      <c r="AF1831">
        <v>13.510411334639</v>
      </c>
      <c r="AG1831">
        <v>-1.02702373</v>
      </c>
      <c r="AH1831">
        <v>27.227258050419799</v>
      </c>
      <c r="AI1831">
        <v>91.935245444297195</v>
      </c>
      <c r="AJ1831">
        <v>63.6089774014063</v>
      </c>
      <c r="AK1831">
        <v>30.412326006362498</v>
      </c>
      <c r="AL1831">
        <v>81.470604944356097</v>
      </c>
      <c r="AM1831">
        <v>74.571612322525496</v>
      </c>
      <c r="AN1831">
        <v>1.00000002122051</v>
      </c>
    </row>
    <row r="1832" spans="1:40" x14ac:dyDescent="0.25">
      <c r="A1832" t="str">
        <f>"20190303170255745"</f>
        <v>20190303170255745</v>
      </c>
      <c r="B1832" t="str">
        <f>"1551603775737072"</f>
        <v>1551603775737072</v>
      </c>
      <c r="C1832" t="s">
        <v>40</v>
      </c>
      <c r="D1832">
        <v>5.0378299999999996</v>
      </c>
      <c r="E1832">
        <v>0.57646540000000002</v>
      </c>
      <c r="F1832" t="s">
        <v>57</v>
      </c>
      <c r="G1832">
        <v>-208.33690000000001</v>
      </c>
      <c r="H1832" s="1">
        <v>6.2021719999999997E-6</v>
      </c>
      <c r="I1832">
        <v>281.32069999999999</v>
      </c>
      <c r="J1832">
        <v>-191.9873</v>
      </c>
      <c r="K1832">
        <v>1.106894</v>
      </c>
      <c r="L1832">
        <v>296.89269999999999</v>
      </c>
      <c r="M1832">
        <v>-0.36495149999999998</v>
      </c>
      <c r="N1832">
        <v>-1.6656099999999899E-2</v>
      </c>
      <c r="O1832">
        <v>-0.93087759999999997</v>
      </c>
      <c r="P1832">
        <v>-0.58829690000000001</v>
      </c>
      <c r="Q1832">
        <v>0.141548799999999</v>
      </c>
      <c r="R1832">
        <v>-0.79615999999999998</v>
      </c>
      <c r="S1832">
        <v>-2.2350159999999999</v>
      </c>
      <c r="T1832">
        <v>-0.1501276</v>
      </c>
      <c r="U1832">
        <v>-2.1540219999999999</v>
      </c>
      <c r="V1832">
        <v>0.26247859999999901</v>
      </c>
      <c r="W1832">
        <v>0.14832670000000001</v>
      </c>
      <c r="X1832">
        <v>0.95346960000000003</v>
      </c>
      <c r="Y1832">
        <v>0.41642220000000002</v>
      </c>
      <c r="Z1832">
        <v>3.4658010000000003E-2</v>
      </c>
      <c r="AA1832">
        <v>0.9085105</v>
      </c>
      <c r="AB1832">
        <v>33</v>
      </c>
      <c r="AC1832">
        <v>-16.349599999999999</v>
      </c>
      <c r="AD1832">
        <v>-1.1068877978280001</v>
      </c>
      <c r="AE1832">
        <v>-15.571999999999999</v>
      </c>
      <c r="AF1832">
        <v>9.5149068427722199</v>
      </c>
      <c r="AG1832">
        <v>-1.1068877978280001</v>
      </c>
      <c r="AH1832">
        <v>20.416208172372599</v>
      </c>
      <c r="AI1832">
        <v>92.813332298703401</v>
      </c>
      <c r="AJ1832">
        <v>65.012281627588393</v>
      </c>
      <c r="AK1832">
        <v>22.551722971012001</v>
      </c>
      <c r="AL1832">
        <v>81.470031634378699</v>
      </c>
      <c r="AM1832">
        <v>74.608416639204506</v>
      </c>
      <c r="AN1832">
        <v>1.0000000517575001</v>
      </c>
    </row>
    <row r="1833" spans="1:40" x14ac:dyDescent="0.25">
      <c r="A1833" t="str">
        <f>"20190303170255770"</f>
        <v>20190303170255770</v>
      </c>
      <c r="B1833" t="str">
        <f>"1551603775757568"</f>
        <v>1551603775757568</v>
      </c>
      <c r="C1833" t="s">
        <v>40</v>
      </c>
      <c r="D1833">
        <v>5.0311599999999999</v>
      </c>
      <c r="E1833">
        <v>0.5756945</v>
      </c>
      <c r="F1833" t="s">
        <v>57</v>
      </c>
      <c r="G1833">
        <v>-208.48599999999999</v>
      </c>
      <c r="H1833" s="1">
        <v>6.2577159999999998E-6</v>
      </c>
      <c r="I1833">
        <v>281.4418</v>
      </c>
      <c r="J1833">
        <v>-192.1309</v>
      </c>
      <c r="K1833">
        <v>1.1068</v>
      </c>
      <c r="L1833">
        <v>296.56709999999998</v>
      </c>
      <c r="M1833">
        <v>-0.3812719</v>
      </c>
      <c r="N1833">
        <v>-1.669445E-2</v>
      </c>
      <c r="O1833">
        <v>-0.92431220000000003</v>
      </c>
      <c r="P1833">
        <v>-0.60212049999999995</v>
      </c>
      <c r="Q1833">
        <v>0.1433527</v>
      </c>
      <c r="R1833">
        <v>-0.78543039999999997</v>
      </c>
      <c r="S1833">
        <v>-2.2651370000000002</v>
      </c>
      <c r="T1833">
        <v>-0.15196670000000001</v>
      </c>
      <c r="U1833">
        <v>-2.1212770000000001</v>
      </c>
      <c r="V1833">
        <v>0.26259169999999998</v>
      </c>
      <c r="W1833">
        <v>0.1500967</v>
      </c>
      <c r="X1833">
        <v>0.95316140000000005</v>
      </c>
      <c r="Y1833">
        <v>0.41343210000000002</v>
      </c>
      <c r="Z1833">
        <v>3.5213149999999999E-2</v>
      </c>
      <c r="AA1833">
        <v>0.90985380000000005</v>
      </c>
      <c r="AB1833">
        <v>33</v>
      </c>
      <c r="AC1833">
        <v>-16.355099999999901</v>
      </c>
      <c r="AD1833">
        <v>-1.106793742284</v>
      </c>
      <c r="AE1833">
        <v>-15.1252999999999</v>
      </c>
      <c r="AF1833">
        <v>9.3286427254462101</v>
      </c>
      <c r="AG1833">
        <v>-1.106793742284</v>
      </c>
      <c r="AH1833">
        <v>20.169270633330399</v>
      </c>
      <c r="AI1833">
        <v>92.851313201152095</v>
      </c>
      <c r="AJ1833">
        <v>65.178627775323804</v>
      </c>
      <c r="AK1833">
        <v>22.249675174426802</v>
      </c>
      <c r="AL1833">
        <v>81.367469820190607</v>
      </c>
      <c r="AM1833">
        <v>74.597356770212997</v>
      </c>
      <c r="AN1833">
        <v>1.0000000373548601</v>
      </c>
    </row>
    <row r="1834" spans="1:40" x14ac:dyDescent="0.25">
      <c r="A1834" t="str">
        <f>"20190303170255793"</f>
        <v>20190303170255793</v>
      </c>
      <c r="B1834" t="str">
        <f>"1551603775787824"</f>
        <v>1551603775787824</v>
      </c>
      <c r="C1834" t="s">
        <v>40</v>
      </c>
      <c r="D1834">
        <v>5.0385269999999904</v>
      </c>
      <c r="E1834">
        <v>0.57509489999999996</v>
      </c>
      <c r="F1834" t="s">
        <v>57</v>
      </c>
      <c r="G1834">
        <v>-209.2911</v>
      </c>
      <c r="H1834" s="1">
        <v>6.6536159999999997E-6</v>
      </c>
      <c r="I1834">
        <v>280.99700000000001</v>
      </c>
      <c r="J1834">
        <v>-192.27510000000001</v>
      </c>
      <c r="K1834">
        <v>1.1067119999999999</v>
      </c>
      <c r="L1834">
        <v>296.255</v>
      </c>
      <c r="M1834">
        <v>-0.39700249999999998</v>
      </c>
      <c r="N1834">
        <v>-1.672616E-2</v>
      </c>
      <c r="O1834">
        <v>-0.91766539999999996</v>
      </c>
      <c r="P1834">
        <v>-0.6150118</v>
      </c>
      <c r="Q1834">
        <v>0.1451336</v>
      </c>
      <c r="R1834">
        <v>-0.77504689999999998</v>
      </c>
      <c r="S1834">
        <v>-2.2979129999999999</v>
      </c>
      <c r="T1834">
        <v>-0.14821039999999999</v>
      </c>
      <c r="U1834">
        <v>-2.084991</v>
      </c>
      <c r="V1834">
        <v>0.26228020000000002</v>
      </c>
      <c r="W1834">
        <v>0.15186759999999999</v>
      </c>
      <c r="X1834">
        <v>0.9529666</v>
      </c>
      <c r="Y1834">
        <v>0.4122556</v>
      </c>
      <c r="Z1834">
        <v>3.3974669999999998E-2</v>
      </c>
      <c r="AA1834">
        <v>0.91043450000000004</v>
      </c>
      <c r="AB1834">
        <v>33</v>
      </c>
      <c r="AC1834">
        <v>-17.015999999999899</v>
      </c>
      <c r="AD1834">
        <v>-1.106705346384</v>
      </c>
      <c r="AE1834">
        <v>-15.2579999999999</v>
      </c>
      <c r="AF1834">
        <v>9.5365039640643303</v>
      </c>
      <c r="AG1834">
        <v>-1.106705346384</v>
      </c>
      <c r="AH1834">
        <v>20.711468018186299</v>
      </c>
      <c r="AI1834">
        <v>92.778753000746093</v>
      </c>
      <c r="AJ1834">
        <v>65.276502011055896</v>
      </c>
      <c r="AK1834">
        <v>22.828372961047499</v>
      </c>
      <c r="AL1834">
        <v>81.264827802677402</v>
      </c>
      <c r="AM1834">
        <v>74.611766084563797</v>
      </c>
      <c r="AN1834">
        <v>1.00000000597868</v>
      </c>
    </row>
    <row r="1835" spans="1:40" x14ac:dyDescent="0.25">
      <c r="A1835" t="str">
        <f>"20190303170255817"</f>
        <v>20190303170255817</v>
      </c>
      <c r="B1835" t="str">
        <f>"1551603775807344"</f>
        <v>1551603775807344</v>
      </c>
      <c r="C1835" t="s">
        <v>40</v>
      </c>
      <c r="D1835">
        <v>5.036384</v>
      </c>
      <c r="E1835">
        <v>0.57021919999999904</v>
      </c>
      <c r="F1835" t="s">
        <v>62</v>
      </c>
      <c r="G1835">
        <v>-210.0213</v>
      </c>
      <c r="H1835" s="1">
        <v>-1.525453E-6</v>
      </c>
      <c r="I1835">
        <v>280.64510000000001</v>
      </c>
      <c r="J1835">
        <v>-192.42490000000001</v>
      </c>
      <c r="K1835">
        <v>1.1066290000000001</v>
      </c>
      <c r="L1835">
        <v>295.94439999999997</v>
      </c>
      <c r="M1835">
        <v>-0.41272530000000002</v>
      </c>
      <c r="N1835">
        <v>-1.6753239999999999E-2</v>
      </c>
      <c r="O1835">
        <v>-0.91070150000000005</v>
      </c>
      <c r="P1835">
        <v>-0.62798619999999905</v>
      </c>
      <c r="Q1835">
        <v>0.14479900000000001</v>
      </c>
      <c r="R1835">
        <v>-0.76463510000000001</v>
      </c>
      <c r="S1835">
        <v>-2.3296809999999999</v>
      </c>
      <c r="T1835">
        <v>-0.14528669999999999</v>
      </c>
      <c r="U1835">
        <v>-2.0492249999999999</v>
      </c>
      <c r="V1835">
        <v>0.26193840000000002</v>
      </c>
      <c r="W1835">
        <v>0.15153159999999999</v>
      </c>
      <c r="X1835">
        <v>0.95311409999999996</v>
      </c>
      <c r="Y1835">
        <v>0.41065410000000002</v>
      </c>
      <c r="Z1835">
        <v>3.2993450000000001E-2</v>
      </c>
      <c r="AA1835">
        <v>0.91119410000000001</v>
      </c>
      <c r="AB1835">
        <v>33</v>
      </c>
      <c r="AC1835">
        <v>-17.5963999999999</v>
      </c>
      <c r="AD1835">
        <v>-1.106630525453</v>
      </c>
      <c r="AE1835">
        <v>-15.299299999999899</v>
      </c>
      <c r="AF1835">
        <v>9.6901962622255091</v>
      </c>
      <c r="AG1835">
        <v>-1.106630525453</v>
      </c>
      <c r="AH1835">
        <v>21.150909150324399</v>
      </c>
      <c r="AI1835">
        <v>92.723295375278596</v>
      </c>
      <c r="AJ1835">
        <v>65.385324193268005</v>
      </c>
      <c r="AK1835">
        <v>23.291317966263499</v>
      </c>
      <c r="AL1835">
        <v>81.284304714374599</v>
      </c>
      <c r="AM1835">
        <v>74.633137063498594</v>
      </c>
      <c r="AN1835">
        <v>1.00000001940596</v>
      </c>
    </row>
    <row r="1836" spans="1:40" x14ac:dyDescent="0.25">
      <c r="A1836" t="str">
        <f>"20190303170255836"</f>
        <v>20190303170255836</v>
      </c>
      <c r="B1836" t="str">
        <f>"1551603775827841"</f>
        <v>1551603775827841</v>
      </c>
      <c r="C1836" t="s">
        <v>40</v>
      </c>
      <c r="D1836">
        <v>5.0118660000000004</v>
      </c>
      <c r="E1836">
        <v>0.56884429999999997</v>
      </c>
      <c r="F1836" t="s">
        <v>57</v>
      </c>
      <c r="G1836">
        <v>-208.3192</v>
      </c>
      <c r="H1836" s="1">
        <v>6.1283469999999997E-6</v>
      </c>
      <c r="I1836">
        <v>282.0754</v>
      </c>
      <c r="J1836">
        <v>-192.5652</v>
      </c>
      <c r="K1836">
        <v>1.106555</v>
      </c>
      <c r="L1836">
        <v>295.66640000000001</v>
      </c>
      <c r="M1836">
        <v>-0.42686770000000002</v>
      </c>
      <c r="N1836">
        <v>-1.67741E-2</v>
      </c>
      <c r="O1836">
        <v>-0.90415869999999998</v>
      </c>
      <c r="P1836">
        <v>-0.63973530000000001</v>
      </c>
      <c r="Q1836">
        <v>0.14343710000000001</v>
      </c>
      <c r="R1836">
        <v>-0.7550926</v>
      </c>
      <c r="S1836">
        <v>-2.3344119999999999</v>
      </c>
      <c r="T1836">
        <v>-0.16253110000000001</v>
      </c>
      <c r="U1836">
        <v>-2.0369570000000001</v>
      </c>
      <c r="V1836">
        <v>0.26168259999999999</v>
      </c>
      <c r="W1836">
        <v>0.15017169999999999</v>
      </c>
      <c r="X1836">
        <v>0.95339949999999996</v>
      </c>
      <c r="Y1836">
        <v>0.39987780000000001</v>
      </c>
      <c r="Z1836">
        <v>3.8388270000000002E-2</v>
      </c>
      <c r="AA1836">
        <v>0.91576420000000003</v>
      </c>
      <c r="AB1836">
        <v>33</v>
      </c>
      <c r="AC1836">
        <v>-15.7539999999999</v>
      </c>
      <c r="AD1836">
        <v>-1.1065488716530001</v>
      </c>
      <c r="AE1836">
        <v>-13.590999999999999</v>
      </c>
      <c r="AF1836">
        <v>8.4199283113073307</v>
      </c>
      <c r="AG1836">
        <v>-1.1065488716530001</v>
      </c>
      <c r="AH1836">
        <v>18.962332512057301</v>
      </c>
      <c r="AI1836">
        <v>93.0529023298444</v>
      </c>
      <c r="AJ1836">
        <v>66.057131619954205</v>
      </c>
      <c r="AK1836">
        <v>20.7771436311813</v>
      </c>
      <c r="AL1836">
        <v>81.363122739558193</v>
      </c>
      <c r="AM1836">
        <v>74.651814461744195</v>
      </c>
      <c r="AN1836">
        <v>0.99999996461194895</v>
      </c>
    </row>
    <row r="1837" spans="1:40" x14ac:dyDescent="0.25">
      <c r="A1837" t="str">
        <f>"20190303170255858"</f>
        <v>20190303170255858</v>
      </c>
      <c r="B1837" t="str">
        <f>"1551603775847359"</f>
        <v>1551603775847359</v>
      </c>
      <c r="C1837" t="s">
        <v>40</v>
      </c>
      <c r="D1837">
        <v>5.0050970000000001</v>
      </c>
      <c r="E1837">
        <v>0.56474169999999901</v>
      </c>
      <c r="F1837" t="s">
        <v>57</v>
      </c>
      <c r="G1837">
        <v>-207.8451</v>
      </c>
      <c r="H1837" s="1">
        <v>5.868621E-6</v>
      </c>
      <c r="I1837">
        <v>282.64139999999998</v>
      </c>
      <c r="J1837">
        <v>-192.71940000000001</v>
      </c>
      <c r="K1837">
        <v>1.1065020000000001</v>
      </c>
      <c r="L1837">
        <v>295.37279999999998</v>
      </c>
      <c r="M1837">
        <v>-0.44185219999999997</v>
      </c>
      <c r="N1837">
        <v>-1.679309E-2</v>
      </c>
      <c r="O1837">
        <v>-0.89693080000000003</v>
      </c>
      <c r="P1837">
        <v>-0.65278359999999902</v>
      </c>
      <c r="Q1837">
        <v>0.14223569999999999</v>
      </c>
      <c r="R1837">
        <v>-0.74407190000000001</v>
      </c>
      <c r="S1837">
        <v>-2.3566440000000002</v>
      </c>
      <c r="T1837">
        <v>-0.17066429999999999</v>
      </c>
      <c r="U1837">
        <v>-2.0088499999999998</v>
      </c>
      <c r="V1837">
        <v>0.26228940000000001</v>
      </c>
      <c r="W1837">
        <v>0.14894009999999999</v>
      </c>
      <c r="X1837">
        <v>0.95342590000000005</v>
      </c>
      <c r="Y1837">
        <v>0.39512219999999998</v>
      </c>
      <c r="Z1837">
        <v>4.0861830000000002E-2</v>
      </c>
      <c r="AA1837">
        <v>0.91771930000000002</v>
      </c>
      <c r="AB1837">
        <v>33</v>
      </c>
      <c r="AC1837">
        <v>-15.125699999999901</v>
      </c>
      <c r="AD1837">
        <v>-1.106496131379</v>
      </c>
      <c r="AE1837">
        <v>-12.731400000000001</v>
      </c>
      <c r="AF1837">
        <v>7.9176278823610504</v>
      </c>
      <c r="AG1837">
        <v>-1.106496131379</v>
      </c>
      <c r="AH1837">
        <v>18.0485263891626</v>
      </c>
      <c r="AI1837">
        <v>93.213334474910198</v>
      </c>
      <c r="AJ1837">
        <v>66.313632534128402</v>
      </c>
      <c r="AK1837">
        <v>19.739870055109201</v>
      </c>
      <c r="AL1837">
        <v>81.434490457015301</v>
      </c>
      <c r="AM1837">
        <v>74.618314047487402</v>
      </c>
      <c r="AN1837">
        <v>0.99999991476558603</v>
      </c>
    </row>
    <row r="1838" spans="1:40" x14ac:dyDescent="0.25">
      <c r="A1838" t="str">
        <f>"20190303170255891"</f>
        <v>20190303170255891</v>
      </c>
      <c r="B1838" t="str">
        <f>"1551603775877617"</f>
        <v>1551603775877617</v>
      </c>
      <c r="C1838" t="s">
        <v>40</v>
      </c>
      <c r="D1838">
        <v>5.0131819999999996</v>
      </c>
      <c r="E1838">
        <v>0.5641408</v>
      </c>
      <c r="F1838" t="s">
        <v>57</v>
      </c>
      <c r="G1838">
        <v>-206.42070000000001</v>
      </c>
      <c r="H1838" s="1">
        <v>5.1318319999999998E-6</v>
      </c>
      <c r="I1838">
        <v>283.84370000000001</v>
      </c>
      <c r="J1838">
        <v>-192.95670000000001</v>
      </c>
      <c r="K1838">
        <v>1.106444</v>
      </c>
      <c r="L1838">
        <v>294.94240000000002</v>
      </c>
      <c r="M1838">
        <v>-0.46389839999999999</v>
      </c>
      <c r="N1838">
        <v>-1.681591E-2</v>
      </c>
      <c r="O1838">
        <v>-0.88572879999999998</v>
      </c>
      <c r="P1838">
        <v>-0.67153750000000001</v>
      </c>
      <c r="Q1838">
        <v>0.14228070000000001</v>
      </c>
      <c r="R1838">
        <v>-0.72718229999999995</v>
      </c>
      <c r="S1838">
        <v>-2.3670650000000002</v>
      </c>
      <c r="T1838">
        <v>-0.19116079999999999</v>
      </c>
      <c r="U1838">
        <v>-1.9917910000000001</v>
      </c>
      <c r="V1838">
        <v>0.26303749999999998</v>
      </c>
      <c r="W1838">
        <v>0.1489482</v>
      </c>
      <c r="X1838">
        <v>0.95321860000000003</v>
      </c>
      <c r="Y1838">
        <v>0.37795909999999999</v>
      </c>
      <c r="Z1838">
        <v>4.6920990000000003E-2</v>
      </c>
      <c r="AA1838">
        <v>0.92463249999999997</v>
      </c>
      <c r="AB1838">
        <v>33</v>
      </c>
      <c r="AC1838">
        <v>-13.464</v>
      </c>
      <c r="AD1838">
        <v>-1.106438868168</v>
      </c>
      <c r="AE1838">
        <v>-11.098699999999999</v>
      </c>
      <c r="AF1838">
        <v>6.7505981963057797</v>
      </c>
      <c r="AG1838">
        <v>-1.106438868168</v>
      </c>
      <c r="AH1838">
        <v>16.014247913502999</v>
      </c>
      <c r="AI1838">
        <v>93.642852864743602</v>
      </c>
      <c r="AJ1838">
        <v>67.142776277521193</v>
      </c>
      <c r="AK1838">
        <v>17.4141011600396</v>
      </c>
      <c r="AL1838">
        <v>81.434021827469294</v>
      </c>
      <c r="AM1838">
        <v>74.573334201511798</v>
      </c>
      <c r="AN1838">
        <v>0.99999999603772405</v>
      </c>
    </row>
    <row r="1839" spans="1:40" x14ac:dyDescent="0.25">
      <c r="A1839" t="str">
        <f>"20190303170255913"</f>
        <v>20190303170255913</v>
      </c>
      <c r="B1839" t="str">
        <f>"1551603775907872"</f>
        <v>1551603775907872</v>
      </c>
      <c r="C1839" t="s">
        <v>40</v>
      </c>
      <c r="D1839">
        <v>5.0235960000000004</v>
      </c>
      <c r="E1839">
        <v>0.56096219999999997</v>
      </c>
      <c r="F1839" t="s">
        <v>57</v>
      </c>
      <c r="G1839">
        <v>-206.80600000000001</v>
      </c>
      <c r="H1839" s="1">
        <v>5.3014200000000003E-6</v>
      </c>
      <c r="I1839">
        <v>283.8587</v>
      </c>
      <c r="J1839">
        <v>-193.1283</v>
      </c>
      <c r="K1839">
        <v>1.106417</v>
      </c>
      <c r="L1839">
        <v>294.64569999999998</v>
      </c>
      <c r="M1839">
        <v>-0.4791396</v>
      </c>
      <c r="N1839">
        <v>-1.6828619999999999E-2</v>
      </c>
      <c r="O1839">
        <v>-0.87757750000000001</v>
      </c>
      <c r="P1839">
        <v>-0.68426049999999905</v>
      </c>
      <c r="Q1839">
        <v>0.14075570000000001</v>
      </c>
      <c r="R1839">
        <v>-0.71552469999999901</v>
      </c>
      <c r="S1839">
        <v>-2.4152070000000001</v>
      </c>
      <c r="T1839">
        <v>-0.19295329999999999</v>
      </c>
      <c r="U1839">
        <v>-1.9328920000000001</v>
      </c>
      <c r="V1839">
        <v>0.2631848</v>
      </c>
      <c r="W1839">
        <v>0.1474184</v>
      </c>
      <c r="X1839">
        <v>0.95341580000000004</v>
      </c>
      <c r="Y1839">
        <v>0.38465549999999998</v>
      </c>
      <c r="Z1839">
        <v>4.7487260000000003E-2</v>
      </c>
      <c r="AA1839">
        <v>0.92183789999999999</v>
      </c>
      <c r="AB1839">
        <v>33</v>
      </c>
      <c r="AC1839">
        <v>-13.6776999999999</v>
      </c>
      <c r="AD1839">
        <v>-1.1064116985800001</v>
      </c>
      <c r="AE1839">
        <v>-10.7869999999999</v>
      </c>
      <c r="AF1839">
        <v>6.80826393685747</v>
      </c>
      <c r="AG1839">
        <v>-1.1064116985800001</v>
      </c>
      <c r="AH1839">
        <v>15.957845437187499</v>
      </c>
      <c r="AI1839">
        <v>93.648922376647604</v>
      </c>
      <c r="AJ1839">
        <v>66.894939127055196</v>
      </c>
      <c r="AK1839">
        <v>17.3847472135154</v>
      </c>
      <c r="AL1839">
        <v>81.522651907897</v>
      </c>
      <c r="AM1839">
        <v>74.5681474466015</v>
      </c>
      <c r="AN1839">
        <v>1.00000005564961</v>
      </c>
    </row>
    <row r="1840" spans="1:40" x14ac:dyDescent="0.25">
      <c r="A1840" t="str">
        <f>"20190303170255937"</f>
        <v>20190303170255937</v>
      </c>
      <c r="B1840" t="str">
        <f>"1551603775927393"</f>
        <v>1551603775927393</v>
      </c>
      <c r="C1840" t="s">
        <v>40</v>
      </c>
      <c r="D1840">
        <v>5.0064710000000003</v>
      </c>
      <c r="E1840">
        <v>0.56065379999999998</v>
      </c>
      <c r="F1840" t="s">
        <v>57</v>
      </c>
      <c r="G1840">
        <v>-205.809</v>
      </c>
      <c r="H1840" s="1">
        <v>4.7875469999999997E-6</v>
      </c>
      <c r="I1840">
        <v>284.67910000000001</v>
      </c>
      <c r="J1840">
        <v>-193.304</v>
      </c>
      <c r="K1840">
        <v>1.1064000000000001</v>
      </c>
      <c r="L1840">
        <v>294.35419999999999</v>
      </c>
      <c r="M1840">
        <v>-0.49415900000000001</v>
      </c>
      <c r="N1840">
        <v>-1.6838929999999998E-2</v>
      </c>
      <c r="O1840">
        <v>-0.869208599999999</v>
      </c>
      <c r="P1840">
        <v>-0.69601040000000003</v>
      </c>
      <c r="Q1840">
        <v>0.1393829</v>
      </c>
      <c r="R1840">
        <v>-0.70437380000000005</v>
      </c>
      <c r="S1840">
        <v>-2.43045</v>
      </c>
      <c r="T1840">
        <v>-0.21206069999999999</v>
      </c>
      <c r="U1840">
        <v>-1.9102479999999999</v>
      </c>
      <c r="V1840">
        <v>0.26239030000000002</v>
      </c>
      <c r="W1840">
        <v>0.14608350000000001</v>
      </c>
      <c r="X1840">
        <v>0.95384009999999997</v>
      </c>
      <c r="Y1840">
        <v>0.37661719999999999</v>
      </c>
      <c r="Z1840">
        <v>5.3145020000000001E-2</v>
      </c>
      <c r="AA1840">
        <v>0.92484330000000003</v>
      </c>
      <c r="AB1840">
        <v>33</v>
      </c>
      <c r="AC1840">
        <v>-12.505000000000001</v>
      </c>
      <c r="AD1840">
        <v>-1.1063952124529901</v>
      </c>
      <c r="AE1840">
        <v>-9.6750999999999792</v>
      </c>
      <c r="AF1840">
        <v>6.0596058141970701</v>
      </c>
      <c r="AG1840">
        <v>-1.1063952124529901</v>
      </c>
      <c r="AH1840">
        <v>14.5201035659681</v>
      </c>
      <c r="AI1840">
        <v>94.022399356498795</v>
      </c>
      <c r="AJ1840">
        <v>67.347990607847194</v>
      </c>
      <c r="AK1840">
        <v>15.772645325246801</v>
      </c>
      <c r="AL1840">
        <v>81.599972674020094</v>
      </c>
      <c r="AM1840">
        <v>74.619042639428102</v>
      </c>
      <c r="AN1840">
        <v>0.99999999743717405</v>
      </c>
    </row>
    <row r="1841" spans="1:40" x14ac:dyDescent="0.25">
      <c r="A1841" t="str">
        <f>"20190303170255959"</f>
        <v>20190303170255959</v>
      </c>
      <c r="B1841" t="str">
        <f>"1551603775946913"</f>
        <v>1551603775946913</v>
      </c>
      <c r="C1841" t="s">
        <v>40</v>
      </c>
      <c r="D1841">
        <v>5.0351509999999999</v>
      </c>
      <c r="E1841">
        <v>0.55704189999999998</v>
      </c>
      <c r="F1841" t="s">
        <v>57</v>
      </c>
      <c r="G1841">
        <v>-205.99350000000001</v>
      </c>
      <c r="H1841" s="1">
        <v>4.8680989999999998E-6</v>
      </c>
      <c r="I1841">
        <v>284.69369999999998</v>
      </c>
      <c r="J1841">
        <v>-193.48169999999999</v>
      </c>
      <c r="K1841">
        <v>1.106393</v>
      </c>
      <c r="L1841">
        <v>294.07100000000003</v>
      </c>
      <c r="M1841">
        <v>-0.50878559999999995</v>
      </c>
      <c r="N1841">
        <v>-1.684662E-2</v>
      </c>
      <c r="O1841">
        <v>-0.86072859999999995</v>
      </c>
      <c r="P1841">
        <v>-0.70733140000000005</v>
      </c>
      <c r="Q1841">
        <v>0.13742939999999901</v>
      </c>
      <c r="R1841">
        <v>-0.69339419999999996</v>
      </c>
      <c r="S1841">
        <v>-2.4588619999999999</v>
      </c>
      <c r="T1841">
        <v>-0.2143881</v>
      </c>
      <c r="U1841">
        <v>-1.8719479999999999</v>
      </c>
      <c r="V1841">
        <v>0.26144699999999998</v>
      </c>
      <c r="W1841">
        <v>0.14417849999999999</v>
      </c>
      <c r="X1841">
        <v>0.95438889999999998</v>
      </c>
      <c r="Y1841">
        <v>0.37519200000000003</v>
      </c>
      <c r="Z1841">
        <v>5.3651169999999998E-2</v>
      </c>
      <c r="AA1841">
        <v>0.92539320000000003</v>
      </c>
      <c r="AB1841">
        <v>33</v>
      </c>
      <c r="AC1841">
        <v>-12.511799999999999</v>
      </c>
      <c r="AD1841">
        <v>-1.106388131901</v>
      </c>
      <c r="AE1841">
        <v>-9.3772999999999893</v>
      </c>
      <c r="AF1841">
        <v>5.96919181971555</v>
      </c>
      <c r="AG1841">
        <v>-1.106388131901</v>
      </c>
      <c r="AH1841">
        <v>14.367244660177301</v>
      </c>
      <c r="AI1841">
        <v>94.067691550460694</v>
      </c>
      <c r="AJ1841">
        <v>67.438470072269595</v>
      </c>
      <c r="AK1841">
        <v>15.5972133666359</v>
      </c>
      <c r="AL1841">
        <v>81.710289764723498</v>
      </c>
      <c r="AM1841">
        <v>74.680132316850504</v>
      </c>
      <c r="AN1841">
        <v>1.0000000730572201</v>
      </c>
    </row>
    <row r="1842" spans="1:40" x14ac:dyDescent="0.25">
      <c r="A1842" t="str">
        <f>"20190303170255984"</f>
        <v>20190303170255984</v>
      </c>
      <c r="B1842" t="str">
        <f>"1551603775977168"</f>
        <v>1551603775977168</v>
      </c>
      <c r="C1842" t="s">
        <v>40</v>
      </c>
      <c r="D1842">
        <v>5.0538290000000003</v>
      </c>
      <c r="E1842">
        <v>0.55585640000000003</v>
      </c>
      <c r="F1842" t="s">
        <v>57</v>
      </c>
      <c r="G1842">
        <v>-205.26750000000001</v>
      </c>
      <c r="H1842" s="1">
        <v>4.4999489999999998E-6</v>
      </c>
      <c r="I1842">
        <v>285.22219999999999</v>
      </c>
      <c r="J1842">
        <v>-193.6756</v>
      </c>
      <c r="K1842">
        <v>1.1063860000000001</v>
      </c>
      <c r="L1842">
        <v>293.77359999999999</v>
      </c>
      <c r="M1842">
        <v>-0.52417209999999903</v>
      </c>
      <c r="N1842">
        <v>-1.68519E-2</v>
      </c>
      <c r="O1842">
        <v>-0.85144569999999997</v>
      </c>
      <c r="P1842">
        <v>-0.72014959999999995</v>
      </c>
      <c r="Q1842">
        <v>0.13748350000000001</v>
      </c>
      <c r="R1842">
        <v>-0.68006119999999903</v>
      </c>
      <c r="S1842">
        <v>-2.4690699999999999</v>
      </c>
      <c r="T1842">
        <v>-0.23178270000000001</v>
      </c>
      <c r="U1842">
        <v>-1.85379</v>
      </c>
      <c r="V1842">
        <v>0.26211370000000001</v>
      </c>
      <c r="W1842">
        <v>0.1442157</v>
      </c>
      <c r="X1842">
        <v>0.9542003</v>
      </c>
      <c r="Y1842">
        <v>0.36442920000000001</v>
      </c>
      <c r="Z1842">
        <v>5.8533300000000003E-2</v>
      </c>
      <c r="AA1842">
        <v>0.92938969999999999</v>
      </c>
      <c r="AB1842">
        <v>33</v>
      </c>
      <c r="AC1842">
        <v>-11.591900000000001</v>
      </c>
      <c r="AD1842">
        <v>-1.106381500051</v>
      </c>
      <c r="AE1842">
        <v>-8.5513999999999992</v>
      </c>
      <c r="AF1842">
        <v>5.3566328768471196</v>
      </c>
      <c r="AG1842">
        <v>-1.106381500051</v>
      </c>
      <c r="AH1842">
        <v>13.2807532148164</v>
      </c>
      <c r="AI1842">
        <v>94.4178662006737</v>
      </c>
      <c r="AJ1842">
        <v>68.033905358903993</v>
      </c>
      <c r="AK1842">
        <v>14.363008102546999</v>
      </c>
      <c r="AL1842">
        <v>81.708135125919696</v>
      </c>
      <c r="AM1842">
        <v>74.640016204038602</v>
      </c>
      <c r="AN1842">
        <v>0.99999998618713504</v>
      </c>
    </row>
    <row r="1843" spans="1:40" x14ac:dyDescent="0.25">
      <c r="A1843" t="str">
        <f>"20190303170256006"</f>
        <v>20190303170256006</v>
      </c>
      <c r="B1843" t="str">
        <f>"1551603775997664"</f>
        <v>1551603775997664</v>
      </c>
      <c r="C1843" t="s">
        <v>40</v>
      </c>
      <c r="D1843">
        <v>5.0515679999999996</v>
      </c>
      <c r="E1843">
        <v>0.55545639999999996</v>
      </c>
      <c r="F1843" t="s">
        <v>57</v>
      </c>
      <c r="G1843">
        <v>-205.5865</v>
      </c>
      <c r="H1843" s="1">
        <v>4.6493770000000003E-6</v>
      </c>
      <c r="I1843">
        <v>285.13080000000002</v>
      </c>
      <c r="J1843">
        <v>-193.8656</v>
      </c>
      <c r="K1843">
        <v>1.1064050000000001</v>
      </c>
      <c r="L1843">
        <v>293.49290000000002</v>
      </c>
      <c r="M1843">
        <v>-0.53869809999999996</v>
      </c>
      <c r="N1843">
        <v>-1.685422E-2</v>
      </c>
      <c r="O1843">
        <v>-0.84233040000000003</v>
      </c>
      <c r="P1843">
        <v>-0.73366589999999998</v>
      </c>
      <c r="Q1843">
        <v>0.13794200000000001</v>
      </c>
      <c r="R1843">
        <v>-0.66536200000000001</v>
      </c>
      <c r="S1843">
        <v>-2.4982449999999998</v>
      </c>
      <c r="T1843">
        <v>-0.23205799999999999</v>
      </c>
      <c r="U1843">
        <v>-1.812775</v>
      </c>
      <c r="V1843">
        <v>0.26498189999999999</v>
      </c>
      <c r="W1843">
        <v>0.14457149999999999</v>
      </c>
      <c r="X1843">
        <v>0.95335389999999998</v>
      </c>
      <c r="Y1843">
        <v>0.36361569999999999</v>
      </c>
      <c r="Z1843">
        <v>5.833667E-2</v>
      </c>
      <c r="AA1843">
        <v>0.92972060000000001</v>
      </c>
      <c r="AB1843">
        <v>33</v>
      </c>
      <c r="AC1843">
        <v>-11.7209</v>
      </c>
      <c r="AD1843">
        <v>-1.10640035062299</v>
      </c>
      <c r="AE1843">
        <v>-8.3620999999999892</v>
      </c>
      <c r="AF1843">
        <v>5.33746756447532</v>
      </c>
      <c r="AG1843">
        <v>-1.10640035062299</v>
      </c>
      <c r="AH1843">
        <v>13.281149250365599</v>
      </c>
      <c r="AI1843">
        <v>94.420028768597504</v>
      </c>
      <c r="AJ1843">
        <v>68.105646095008794</v>
      </c>
      <c r="AK1843">
        <v>14.356239310772599</v>
      </c>
      <c r="AL1843">
        <v>81.687533438907494</v>
      </c>
      <c r="AM1843">
        <v>74.466885782732803</v>
      </c>
      <c r="AN1843">
        <v>0.999999992292535</v>
      </c>
    </row>
    <row r="1844" spans="1:40" x14ac:dyDescent="0.25">
      <c r="A1844" t="str">
        <f>"20190303170256051"</f>
        <v>20190303170256051</v>
      </c>
      <c r="B1844" t="str">
        <f>"1551603776037681"</f>
        <v>1551603776037681</v>
      </c>
      <c r="C1844" t="s">
        <v>40</v>
      </c>
      <c r="D1844">
        <v>5.0213380000000001</v>
      </c>
      <c r="E1844">
        <v>0.54965159999999902</v>
      </c>
      <c r="F1844" t="s">
        <v>57</v>
      </c>
      <c r="G1844">
        <v>-205.91319999999999</v>
      </c>
      <c r="H1844" s="1">
        <v>4.7976020000000001E-6</v>
      </c>
      <c r="I1844">
        <v>285.09280000000001</v>
      </c>
      <c r="J1844">
        <v>-194.2441</v>
      </c>
      <c r="K1844">
        <v>1.1064969999999901</v>
      </c>
      <c r="L1844">
        <v>292.96269999999998</v>
      </c>
      <c r="M1844">
        <v>-0.56609549999999997</v>
      </c>
      <c r="N1844">
        <v>-1.6847310000000001E-2</v>
      </c>
      <c r="O1844">
        <v>-0.82416749999999905</v>
      </c>
      <c r="P1844">
        <v>-0.75849730000000004</v>
      </c>
      <c r="Q1844">
        <v>0.137541</v>
      </c>
      <c r="R1844">
        <v>-0.63699669999999997</v>
      </c>
      <c r="S1844">
        <v>-2.5318149999999999</v>
      </c>
      <c r="T1844">
        <v>-0.23251069999999999</v>
      </c>
      <c r="U1844">
        <v>-1.7652890000000001</v>
      </c>
      <c r="V1844">
        <v>0.26990049999999999</v>
      </c>
      <c r="W1844">
        <v>0.14402179999999901</v>
      </c>
      <c r="X1844">
        <v>0.95205640000000002</v>
      </c>
      <c r="Y1844">
        <v>0.35051169999999998</v>
      </c>
      <c r="Z1844">
        <v>5.7522400000000001E-2</v>
      </c>
      <c r="AA1844">
        <v>0.93479020000000002</v>
      </c>
      <c r="AB1844">
        <v>32</v>
      </c>
      <c r="AC1844">
        <v>-11.669099999999901</v>
      </c>
      <c r="AD1844">
        <v>-1.1064922023979999</v>
      </c>
      <c r="AE1844">
        <v>-7.8698999999999701</v>
      </c>
      <c r="AF1844">
        <v>5.1311986836963301</v>
      </c>
      <c r="AG1844">
        <v>-1.1064922023979999</v>
      </c>
      <c r="AH1844">
        <v>13.0133733189874</v>
      </c>
      <c r="AI1844">
        <v>94.522698922619199</v>
      </c>
      <c r="AJ1844">
        <v>68.480584815430404</v>
      </c>
      <c r="AK1844">
        <v>14.032156287073899</v>
      </c>
      <c r="AL1844">
        <v>81.719361878146799</v>
      </c>
      <c r="AM1844">
        <v>74.1723839618016</v>
      </c>
      <c r="AN1844">
        <v>0.99999997377822403</v>
      </c>
    </row>
    <row r="1845" spans="1:40" x14ac:dyDescent="0.25">
      <c r="A1845" t="str">
        <f>"20190303170256071"</f>
        <v>20190303170256071</v>
      </c>
      <c r="B1845" t="str">
        <f>"1551603776066960"</f>
        <v>1551603776066960</v>
      </c>
      <c r="C1845" t="s">
        <v>40</v>
      </c>
      <c r="D1845">
        <v>5.0686790000000004</v>
      </c>
      <c r="E1845">
        <v>0.54422060000000005</v>
      </c>
      <c r="F1845" t="s">
        <v>57</v>
      </c>
      <c r="G1845">
        <v>-205.41249999999999</v>
      </c>
      <c r="H1845" s="1">
        <v>4.5364490000000002E-6</v>
      </c>
      <c r="I1845">
        <v>285.5403</v>
      </c>
      <c r="J1845">
        <v>-194.43369999999999</v>
      </c>
      <c r="K1845">
        <v>1.106557</v>
      </c>
      <c r="L1845">
        <v>292.71039999999999</v>
      </c>
      <c r="M1845">
        <v>-0.57908249999999994</v>
      </c>
      <c r="N1845">
        <v>-1.6835889999999999E-2</v>
      </c>
      <c r="O1845">
        <v>-0.81509549999999997</v>
      </c>
      <c r="P1845">
        <v>-0.76932009999999995</v>
      </c>
      <c r="Q1845">
        <v>0.13625889999999999</v>
      </c>
      <c r="R1845">
        <v>-0.62416389999999999</v>
      </c>
      <c r="S1845">
        <v>-2.5680239999999999</v>
      </c>
      <c r="T1845">
        <v>-0.25442330000000002</v>
      </c>
      <c r="U1845">
        <v>-1.706696</v>
      </c>
      <c r="V1845">
        <v>0.27092860000000002</v>
      </c>
      <c r="W1845">
        <v>0.14273350000000001</v>
      </c>
      <c r="X1845">
        <v>0.95195839999999998</v>
      </c>
      <c r="Y1845">
        <v>0.35610419999999998</v>
      </c>
      <c r="Z1845">
        <v>6.3961119999999996E-2</v>
      </c>
      <c r="AA1845">
        <v>0.93225469999999999</v>
      </c>
      <c r="AB1845">
        <v>32</v>
      </c>
      <c r="AC1845">
        <v>-10.9788</v>
      </c>
      <c r="AD1845">
        <v>-1.106552463551</v>
      </c>
      <c r="AE1845">
        <v>-7.1700999999999899</v>
      </c>
      <c r="AF1845">
        <v>4.7634477141424103</v>
      </c>
      <c r="AG1845">
        <v>-1.106552463551</v>
      </c>
      <c r="AH1845">
        <v>12.1173819547645</v>
      </c>
      <c r="AI1845">
        <v>94.857804358986797</v>
      </c>
      <c r="AJ1845">
        <v>68.539780909959802</v>
      </c>
      <c r="AK1845">
        <v>13.0669750867449</v>
      </c>
      <c r="AL1845">
        <v>81.793946669652698</v>
      </c>
      <c r="AM1845">
        <v>74.113577915744898</v>
      </c>
      <c r="AN1845">
        <v>0.999999976825384</v>
      </c>
    </row>
    <row r="1846" spans="1:40" x14ac:dyDescent="0.25">
      <c r="A1846" t="str">
        <f>"20190303170256093"</f>
        <v>20190303170256093</v>
      </c>
      <c r="B1846" t="str">
        <f>"1551603776077696"</f>
        <v>1551603776077696</v>
      </c>
      <c r="C1846" t="s">
        <v>40</v>
      </c>
      <c r="D1846">
        <v>5.0254849999999998</v>
      </c>
      <c r="E1846">
        <v>0.54366199999999998</v>
      </c>
      <c r="F1846" t="s">
        <v>57</v>
      </c>
      <c r="G1846">
        <v>-204.93719999999999</v>
      </c>
      <c r="H1846" s="1">
        <v>4.3049120000000004E-6</v>
      </c>
      <c r="I1846">
        <v>285.77749999999997</v>
      </c>
      <c r="J1846">
        <v>-194.6259</v>
      </c>
      <c r="K1846">
        <v>1.106633</v>
      </c>
      <c r="L1846">
        <v>292.46280000000002</v>
      </c>
      <c r="M1846">
        <v>-0.59176399999999996</v>
      </c>
      <c r="N1846">
        <v>-1.6819890000000001E-2</v>
      </c>
      <c r="O1846">
        <v>-0.80593590000000004</v>
      </c>
      <c r="P1846">
        <v>-0.77996889999999997</v>
      </c>
      <c r="Q1846">
        <v>0.13525429999999999</v>
      </c>
      <c r="R1846">
        <v>-0.61102800000000002</v>
      </c>
      <c r="S1846">
        <v>-2.5708009999999999</v>
      </c>
      <c r="T1846">
        <v>-0.27083679999999999</v>
      </c>
      <c r="U1846">
        <v>-1.696869</v>
      </c>
      <c r="V1846">
        <v>0.272254</v>
      </c>
      <c r="W1846">
        <v>0.14172009999999999</v>
      </c>
      <c r="X1846">
        <v>0.95173160000000001</v>
      </c>
      <c r="Y1846">
        <v>0.34410540000000001</v>
      </c>
      <c r="Z1846">
        <v>6.8110820000000002E-2</v>
      </c>
      <c r="AA1846">
        <v>0.93645730000000005</v>
      </c>
      <c r="AB1846">
        <v>32</v>
      </c>
      <c r="AC1846">
        <v>-10.3112999999999</v>
      </c>
      <c r="AD1846">
        <v>-1.106628695088</v>
      </c>
      <c r="AE1846">
        <v>-6.6853000000000398</v>
      </c>
      <c r="AF1846">
        <v>4.3197129333747197</v>
      </c>
      <c r="AG1846">
        <v>-1.106628695088</v>
      </c>
      <c r="AH1846">
        <v>11.398966765932499</v>
      </c>
      <c r="AI1846">
        <v>95.187184060168306</v>
      </c>
      <c r="AJ1846">
        <v>69.245469491208297</v>
      </c>
      <c r="AK1846">
        <v>12.240138488856701</v>
      </c>
      <c r="AL1846">
        <v>81.852606186645005</v>
      </c>
      <c r="AM1846">
        <v>74.036200451244696</v>
      </c>
      <c r="AN1846">
        <v>0.99999993284928201</v>
      </c>
    </row>
    <row r="1847" spans="1:40" x14ac:dyDescent="0.25">
      <c r="A1847" t="str">
        <f>"20190303170256115"</f>
        <v>20190303170256115</v>
      </c>
      <c r="B1847" t="str">
        <f>"1551603776107953"</f>
        <v>1551603776107953</v>
      </c>
      <c r="C1847" t="s">
        <v>40</v>
      </c>
      <c r="D1847">
        <v>5.1847050000000001</v>
      </c>
      <c r="E1847">
        <v>0.54377929999999997</v>
      </c>
      <c r="F1847" t="s">
        <v>57</v>
      </c>
      <c r="G1847">
        <v>-205.11</v>
      </c>
      <c r="H1847" s="1">
        <v>4.3816599999999997E-6</v>
      </c>
      <c r="I1847">
        <v>285.77640000000002</v>
      </c>
      <c r="J1847">
        <v>-194.83430000000001</v>
      </c>
      <c r="K1847">
        <v>1.1067400000000001</v>
      </c>
      <c r="L1847">
        <v>292.2029</v>
      </c>
      <c r="M1847">
        <v>-0.60497690000000004</v>
      </c>
      <c r="N1847">
        <v>-1.6796180000000001E-2</v>
      </c>
      <c r="O1847">
        <v>-0.79606619999999995</v>
      </c>
      <c r="P1847">
        <v>-0.79044139999999996</v>
      </c>
      <c r="Q1847">
        <v>0.1338618</v>
      </c>
      <c r="R1847">
        <v>-0.5977325</v>
      </c>
      <c r="S1847">
        <v>-2.596527</v>
      </c>
      <c r="T1847">
        <v>-0.27407039999999999</v>
      </c>
      <c r="U1847">
        <v>-1.655975</v>
      </c>
      <c r="V1847">
        <v>0.27277010000000002</v>
      </c>
      <c r="W1847">
        <v>0.1403672</v>
      </c>
      <c r="X1847">
        <v>0.95178439999999997</v>
      </c>
      <c r="Y1847">
        <v>0.34325929999999999</v>
      </c>
      <c r="Z1847">
        <v>6.8603639999999994E-2</v>
      </c>
      <c r="AA1847">
        <v>0.93673189999999995</v>
      </c>
      <c r="AB1847">
        <v>32</v>
      </c>
      <c r="AC1847">
        <v>-10.275700000000001</v>
      </c>
      <c r="AD1847">
        <v>-1.1067356183399999</v>
      </c>
      <c r="AE1847">
        <v>-6.4264999999999697</v>
      </c>
      <c r="AF1847">
        <v>4.2573571693491896</v>
      </c>
      <c r="AG1847">
        <v>-1.1067356183399999</v>
      </c>
      <c r="AH1847">
        <v>11.240346933702901</v>
      </c>
      <c r="AI1847">
        <v>95.260827655143004</v>
      </c>
      <c r="AJ1847">
        <v>69.255479958834201</v>
      </c>
      <c r="AK1847">
        <v>12.070433007407701</v>
      </c>
      <c r="AL1847">
        <v>81.930905012169006</v>
      </c>
      <c r="AM1847">
        <v>74.008326519775693</v>
      </c>
      <c r="AN1847">
        <v>1.0000000111866001</v>
      </c>
    </row>
    <row r="1848" spans="1:40" x14ac:dyDescent="0.25">
      <c r="A1848" t="str">
        <f>"20190303170256138"</f>
        <v>20190303170256138</v>
      </c>
      <c r="B1848" t="str">
        <f>"1551603776127472"</f>
        <v>1551603776127472</v>
      </c>
      <c r="C1848" t="s">
        <v>40</v>
      </c>
      <c r="D1848">
        <v>5.0245759999999997</v>
      </c>
      <c r="E1848">
        <v>0.58805909999999995</v>
      </c>
      <c r="F1848" t="s">
        <v>57</v>
      </c>
      <c r="G1848">
        <v>-205.17670000000001</v>
      </c>
      <c r="H1848" s="1">
        <v>4.404341E-6</v>
      </c>
      <c r="I1848">
        <v>285.85489999999999</v>
      </c>
      <c r="J1848">
        <v>-195.04419999999999</v>
      </c>
      <c r="K1848">
        <v>1.106887</v>
      </c>
      <c r="L1848">
        <v>291.9502</v>
      </c>
      <c r="M1848">
        <v>-0.61770139999999996</v>
      </c>
      <c r="N1848">
        <v>-1.6763130000000001E-2</v>
      </c>
      <c r="O1848">
        <v>-0.78623409999999905</v>
      </c>
      <c r="P1848">
        <v>-0.79994639999999995</v>
      </c>
      <c r="Q1848">
        <v>0.13326779999999999</v>
      </c>
      <c r="R1848">
        <v>-0.58508579999999999</v>
      </c>
      <c r="S1848">
        <v>-2.6246800000000001</v>
      </c>
      <c r="T1848">
        <v>-0.2808677</v>
      </c>
      <c r="U1848">
        <v>-1.610992</v>
      </c>
      <c r="V1848">
        <v>0.27260489999999998</v>
      </c>
      <c r="W1848">
        <v>0.1398459</v>
      </c>
      <c r="X1848">
        <v>0.95190839999999999</v>
      </c>
      <c r="Y1848">
        <v>0.3441651</v>
      </c>
      <c r="Z1848">
        <v>7.0152270000000003E-2</v>
      </c>
      <c r="AA1848">
        <v>0.93628469999999997</v>
      </c>
      <c r="AB1848">
        <v>32</v>
      </c>
      <c r="AC1848">
        <v>-10.1325</v>
      </c>
      <c r="AD1848">
        <v>-1.106882595659</v>
      </c>
      <c r="AE1848">
        <v>-6.0952999999999999</v>
      </c>
      <c r="AF1848">
        <v>4.1655310445273601</v>
      </c>
      <c r="AG1848">
        <v>-1.106882595659</v>
      </c>
      <c r="AH1848">
        <v>10.9567352168122</v>
      </c>
      <c r="AI1848">
        <v>95.394388999031605</v>
      </c>
      <c r="AJ1848">
        <v>69.184200120595094</v>
      </c>
      <c r="AK1848">
        <v>11.773991870849301</v>
      </c>
      <c r="AL1848">
        <v>81.961070387048096</v>
      </c>
      <c r="AM1848">
        <v>74.019492541102096</v>
      </c>
      <c r="AN1848">
        <v>0.99999995462068902</v>
      </c>
    </row>
    <row r="1849" spans="1:40" x14ac:dyDescent="0.25">
      <c r="A1849" t="str">
        <f>"20190303170256159"</f>
        <v>20190303170256159</v>
      </c>
      <c r="B1849" t="str">
        <f>"1551603776146993"</f>
        <v>1551603776146993</v>
      </c>
      <c r="C1849" t="s">
        <v>40</v>
      </c>
      <c r="D1849">
        <v>5.2915049999999999</v>
      </c>
      <c r="E1849">
        <v>0.60372530000000002</v>
      </c>
      <c r="F1849" t="s">
        <v>62</v>
      </c>
      <c r="G1849">
        <v>-217.52709999999999</v>
      </c>
      <c r="H1849" s="1">
        <v>2.4687390000000002E-6</v>
      </c>
      <c r="I1849">
        <v>281.9948</v>
      </c>
      <c r="J1849">
        <v>-195.25309999999999</v>
      </c>
      <c r="K1849">
        <v>1.1070489999999999</v>
      </c>
      <c r="L1849">
        <v>291.70639999999997</v>
      </c>
      <c r="M1849">
        <v>-0.62987069999999901</v>
      </c>
      <c r="N1849">
        <v>-1.6725340000000002E-2</v>
      </c>
      <c r="O1849">
        <v>-0.77652010000000005</v>
      </c>
      <c r="P1849">
        <v>-0.80807859999999998</v>
      </c>
      <c r="Q1849">
        <v>0.13398750000000001</v>
      </c>
      <c r="R1849">
        <v>-0.57363450000000005</v>
      </c>
      <c r="S1849">
        <v>-2.8504640000000001</v>
      </c>
      <c r="T1849">
        <v>-0.14033499999999999</v>
      </c>
      <c r="U1849">
        <v>-1.2621770000000001</v>
      </c>
      <c r="V1849">
        <v>0.2712136</v>
      </c>
      <c r="W1849">
        <v>0.140683</v>
      </c>
      <c r="X1849">
        <v>0.95218250000000004</v>
      </c>
      <c r="Y1849">
        <v>0.45434960000000002</v>
      </c>
      <c r="Z1849">
        <v>3.1293769999999999E-2</v>
      </c>
      <c r="AA1849">
        <v>0.890273599999999</v>
      </c>
      <c r="AB1849">
        <v>32</v>
      </c>
      <c r="AC1849">
        <v>-22.274000000000001</v>
      </c>
      <c r="AD1849">
        <v>-1.1070465312610001</v>
      </c>
      <c r="AE1849">
        <v>-9.7115999999999705</v>
      </c>
      <c r="AF1849">
        <v>11.157559629285901</v>
      </c>
      <c r="AG1849">
        <v>-1.1070465312610001</v>
      </c>
      <c r="AH1849">
        <v>21.529320007185301</v>
      </c>
      <c r="AI1849">
        <v>92.6139505715513</v>
      </c>
      <c r="AJ1849">
        <v>62.6045728711685</v>
      </c>
      <c r="AK1849">
        <v>24.274025394961502</v>
      </c>
      <c r="AL1849">
        <v>81.912629718935605</v>
      </c>
      <c r="AM1849">
        <v>74.101264541788694</v>
      </c>
      <c r="AN1849">
        <v>1.0000000183101001</v>
      </c>
    </row>
    <row r="1850" spans="1:40" x14ac:dyDescent="0.25">
      <c r="A1850" t="str">
        <f>"20190303170256183"</f>
        <v>20190303170256183</v>
      </c>
      <c r="B1850" t="str">
        <f>"1551603776167488"</f>
        <v>1551603776167488</v>
      </c>
      <c r="C1850" t="s">
        <v>40</v>
      </c>
      <c r="D1850">
        <v>5.2760099999999897</v>
      </c>
      <c r="E1850">
        <v>0.61064739999999995</v>
      </c>
      <c r="F1850" t="s">
        <v>62</v>
      </c>
      <c r="G1850">
        <v>-226.25989999999999</v>
      </c>
      <c r="H1850" s="1">
        <v>1.7944159999999999E-6</v>
      </c>
      <c r="I1850">
        <v>279.96409999999997</v>
      </c>
      <c r="J1850">
        <v>-195.47730000000001</v>
      </c>
      <c r="K1850">
        <v>1.107224</v>
      </c>
      <c r="L1850">
        <v>291.45299999999997</v>
      </c>
      <c r="M1850">
        <v>-0.64238580000000001</v>
      </c>
      <c r="N1850">
        <v>-1.6682990000000002E-2</v>
      </c>
      <c r="O1850">
        <v>-0.76619979999999999</v>
      </c>
      <c r="P1850">
        <v>-0.81632879999999997</v>
      </c>
      <c r="Q1850">
        <v>0.13391939999999999</v>
      </c>
      <c r="R1850">
        <v>-0.56184809999999996</v>
      </c>
      <c r="S1850">
        <v>-2.9396360000000001</v>
      </c>
      <c r="T1850">
        <v>-0.10495500000000001</v>
      </c>
      <c r="U1850">
        <v>-1.113251</v>
      </c>
      <c r="V1850">
        <v>0.26952549999999997</v>
      </c>
      <c r="W1850">
        <v>0.14075190000000001</v>
      </c>
      <c r="X1850">
        <v>0.95265149999999998</v>
      </c>
      <c r="Y1850">
        <v>0.4886992</v>
      </c>
      <c r="Z1850">
        <v>2.1189119999999999E-2</v>
      </c>
      <c r="AA1850">
        <v>0.87219500000000005</v>
      </c>
      <c r="AB1850">
        <v>32</v>
      </c>
      <c r="AC1850">
        <v>-30.782599999999899</v>
      </c>
      <c r="AD1850">
        <v>-1.107222205584</v>
      </c>
      <c r="AE1850">
        <v>-11.488899999999999</v>
      </c>
      <c r="AF1850">
        <v>16.189187319839899</v>
      </c>
      <c r="AG1850">
        <v>-1.107222205584</v>
      </c>
      <c r="AH1850">
        <v>28.548656501689798</v>
      </c>
      <c r="AI1850">
        <v>91.932242280529493</v>
      </c>
      <c r="AJ1850">
        <v>60.443575557222502</v>
      </c>
      <c r="AK1850">
        <v>32.838110712111401</v>
      </c>
      <c r="AL1850">
        <v>81.908642105523995</v>
      </c>
      <c r="AM1850">
        <v>74.202656317277601</v>
      </c>
      <c r="AN1850">
        <v>0.99999998647805499</v>
      </c>
    </row>
    <row r="1851" spans="1:40" x14ac:dyDescent="0.25">
      <c r="A1851" t="str">
        <f>"20190303170256206"</f>
        <v>20190303170256206</v>
      </c>
      <c r="B1851" t="str">
        <f>"1551603776197745"</f>
        <v>1551603776197745</v>
      </c>
      <c r="C1851" t="s">
        <v>40</v>
      </c>
      <c r="D1851">
        <v>5.2687999999999997</v>
      </c>
      <c r="E1851">
        <v>0.61524709999999905</v>
      </c>
      <c r="F1851" t="s">
        <v>62</v>
      </c>
      <c r="G1851">
        <v>-230.0677</v>
      </c>
      <c r="H1851">
        <v>5.2352089999999997E-2</v>
      </c>
      <c r="I1851">
        <v>279.61399999999998</v>
      </c>
      <c r="J1851">
        <v>-195.70859999999999</v>
      </c>
      <c r="K1851">
        <v>1.1074109999999999</v>
      </c>
      <c r="L1851">
        <v>291.19959999999998</v>
      </c>
      <c r="M1851">
        <v>-0.65473380000000003</v>
      </c>
      <c r="N1851">
        <v>-1.6636950000000001E-2</v>
      </c>
      <c r="O1851">
        <v>-0.75567649999999997</v>
      </c>
      <c r="P1851">
        <v>-0.82496639999999999</v>
      </c>
      <c r="Q1851">
        <v>0.13364670000000001</v>
      </c>
      <c r="R1851">
        <v>-0.54915319999999901</v>
      </c>
      <c r="S1851">
        <v>-2.98645</v>
      </c>
      <c r="T1851">
        <v>-9.1075059999999999E-2</v>
      </c>
      <c r="U1851">
        <v>-1.0221559999999901</v>
      </c>
      <c r="V1851">
        <v>0.26876</v>
      </c>
      <c r="W1851">
        <v>0.14058860000000001</v>
      </c>
      <c r="X1851">
        <v>0.95289190000000001</v>
      </c>
      <c r="Y1851">
        <v>0.50270439999999905</v>
      </c>
      <c r="Z1851">
        <v>1.725842E-2</v>
      </c>
      <c r="AA1851">
        <v>0.86428609999999995</v>
      </c>
      <c r="AB1851">
        <v>32</v>
      </c>
      <c r="AC1851">
        <v>-34.359099999999998</v>
      </c>
      <c r="AD1851">
        <v>-1.0550589100000001</v>
      </c>
      <c r="AE1851">
        <v>-11.5855999999999</v>
      </c>
      <c r="AF1851">
        <v>18.365874154550301</v>
      </c>
      <c r="AG1851">
        <v>-1.0550589100000001</v>
      </c>
      <c r="AH1851">
        <v>31.228914042073001</v>
      </c>
      <c r="AI1851">
        <v>91.668086698897298</v>
      </c>
      <c r="AJ1851">
        <v>59.540010238606797</v>
      </c>
      <c r="AK1851">
        <v>36.244496892790998</v>
      </c>
      <c r="AL1851">
        <v>81.918092851166605</v>
      </c>
      <c r="AM1851">
        <v>74.249070405779705</v>
      </c>
      <c r="AN1851">
        <v>1.00000003256778</v>
      </c>
    </row>
    <row r="1852" spans="1:40" x14ac:dyDescent="0.25">
      <c r="A1852" t="str">
        <f>"20190303170256228"</f>
        <v>20190303170256228</v>
      </c>
      <c r="B1852" t="str">
        <f>"1551603776217265"</f>
        <v>1551603776217265</v>
      </c>
      <c r="C1852" t="s">
        <v>40</v>
      </c>
      <c r="D1852">
        <v>5.2676530000000001</v>
      </c>
      <c r="E1852">
        <v>0.61704890000000001</v>
      </c>
      <c r="F1852" t="s">
        <v>62</v>
      </c>
      <c r="G1852">
        <v>-232.8201</v>
      </c>
      <c r="H1852">
        <v>7.3975589999999994E-2</v>
      </c>
      <c r="I1852">
        <v>279.59230000000002</v>
      </c>
      <c r="J1852">
        <v>-195.9239</v>
      </c>
      <c r="K1852">
        <v>1.107613</v>
      </c>
      <c r="L1852">
        <v>290.971</v>
      </c>
      <c r="M1852">
        <v>-0.66571210000000003</v>
      </c>
      <c r="N1852">
        <v>-1.658977E-2</v>
      </c>
      <c r="O1852">
        <v>-0.74602419999999903</v>
      </c>
      <c r="P1852">
        <v>-0.83233159999999895</v>
      </c>
      <c r="Q1852">
        <v>0.1337826</v>
      </c>
      <c r="R1852">
        <v>-0.53789030000000004</v>
      </c>
      <c r="S1852">
        <v>-3.0211329999999998</v>
      </c>
      <c r="T1852">
        <v>-8.4128980000000006E-2</v>
      </c>
      <c r="U1852">
        <v>-0.94491579999999997</v>
      </c>
      <c r="V1852">
        <v>0.26769710000000002</v>
      </c>
      <c r="W1852">
        <v>0.1408449</v>
      </c>
      <c r="X1852">
        <v>0.95315320000000003</v>
      </c>
      <c r="Y1852">
        <v>0.51309380000000004</v>
      </c>
      <c r="Z1852">
        <v>1.5383050000000001E-2</v>
      </c>
      <c r="AA1852">
        <v>0.85819460000000003</v>
      </c>
      <c r="AB1852">
        <v>32</v>
      </c>
      <c r="AC1852">
        <v>-36.896199999999901</v>
      </c>
      <c r="AD1852">
        <v>-1.0336374100000001</v>
      </c>
      <c r="AE1852">
        <v>-11.378699999999901</v>
      </c>
      <c r="AF1852">
        <v>19.938976948278299</v>
      </c>
      <c r="AG1852">
        <v>-1.0336374100000001</v>
      </c>
      <c r="AH1852">
        <v>33.031909854991603</v>
      </c>
      <c r="AI1852">
        <v>91.534573831277498</v>
      </c>
      <c r="AJ1852">
        <v>58.883654265252503</v>
      </c>
      <c r="AK1852">
        <v>38.597127829770201</v>
      </c>
      <c r="AL1852">
        <v>81.903260279976195</v>
      </c>
      <c r="AM1852">
        <v>74.312378518470297</v>
      </c>
      <c r="AN1852">
        <v>1.00000002293732</v>
      </c>
    </row>
    <row r="1853" spans="1:40" x14ac:dyDescent="0.25">
      <c r="A1853" t="str">
        <f>"20190303170256249"</f>
        <v>20190303170256249</v>
      </c>
      <c r="B1853" t="str">
        <f>"1551603776237760"</f>
        <v>1551603776237760</v>
      </c>
      <c r="C1853" t="s">
        <v>40</v>
      </c>
      <c r="D1853">
        <v>5.2449059999999896</v>
      </c>
      <c r="E1853">
        <v>0.61769469999999904</v>
      </c>
      <c r="F1853" t="s">
        <v>62</v>
      </c>
      <c r="G1853">
        <v>-234.65790000000001</v>
      </c>
      <c r="H1853">
        <v>5.8827549999999999E-2</v>
      </c>
      <c r="I1853">
        <v>279.60750000000002</v>
      </c>
      <c r="J1853">
        <v>-196.13630000000001</v>
      </c>
      <c r="K1853">
        <v>1.1078410000000001</v>
      </c>
      <c r="L1853">
        <v>290.75150000000002</v>
      </c>
      <c r="M1853">
        <v>-0.67607439999999996</v>
      </c>
      <c r="N1853">
        <v>-1.653806E-2</v>
      </c>
      <c r="O1853">
        <v>-0.73664770000000002</v>
      </c>
      <c r="P1853">
        <v>-0.83888999999999903</v>
      </c>
      <c r="Q1853">
        <v>0.13515360000000001</v>
      </c>
      <c r="R1853">
        <v>-0.52725449999999996</v>
      </c>
      <c r="S1853">
        <v>-3.0410159999999999</v>
      </c>
      <c r="T1853">
        <v>-8.2340360000000001E-2</v>
      </c>
      <c r="U1853">
        <v>-0.89215089999999997</v>
      </c>
      <c r="V1853">
        <v>0.26631050000000001</v>
      </c>
      <c r="W1853">
        <v>0.14235309999999901</v>
      </c>
      <c r="X1853">
        <v>0.95331750000000004</v>
      </c>
      <c r="Y1853">
        <v>0.51634880000000005</v>
      </c>
      <c r="Z1853">
        <v>1.495049E-2</v>
      </c>
      <c r="AA1853">
        <v>0.85624789999999995</v>
      </c>
      <c r="AB1853">
        <v>32</v>
      </c>
      <c r="AC1853">
        <v>-38.521599999999999</v>
      </c>
      <c r="AD1853">
        <v>-1.0490134499999999</v>
      </c>
      <c r="AE1853">
        <v>-11.144</v>
      </c>
      <c r="AF1853">
        <v>20.831271594726701</v>
      </c>
      <c r="AG1853">
        <v>-1.0490134499999999</v>
      </c>
      <c r="AH1853">
        <v>34.233929439835201</v>
      </c>
      <c r="AI1853">
        <v>91.499494084334501</v>
      </c>
      <c r="AJ1853">
        <v>58.679578266683997</v>
      </c>
      <c r="AK1853">
        <v>40.087457269863897</v>
      </c>
      <c r="AL1853">
        <v>81.815966799690798</v>
      </c>
      <c r="AM1853">
        <v>74.392224057566295</v>
      </c>
      <c r="AN1853">
        <v>0.99999997164805399</v>
      </c>
    </row>
    <row r="1854" spans="1:40" x14ac:dyDescent="0.25">
      <c r="A1854" t="str">
        <f>"20190303170256271"</f>
        <v>20190303170256271</v>
      </c>
      <c r="B1854" t="str">
        <f>"1551603776257281"</f>
        <v>1551603776257281</v>
      </c>
      <c r="C1854" t="s">
        <v>40</v>
      </c>
      <c r="D1854">
        <v>5.2881749999999998</v>
      </c>
      <c r="E1854">
        <v>0.61794069999999901</v>
      </c>
      <c r="F1854" t="s">
        <v>62</v>
      </c>
      <c r="G1854">
        <v>-237.79669999999999</v>
      </c>
      <c r="H1854">
        <v>8.0000879999999996E-2</v>
      </c>
      <c r="I1854">
        <v>279.16930000000002</v>
      </c>
      <c r="J1854">
        <v>-196.37039999999999</v>
      </c>
      <c r="K1854">
        <v>1.108104</v>
      </c>
      <c r="L1854">
        <v>290.5163</v>
      </c>
      <c r="M1854">
        <v>-0.6869712</v>
      </c>
      <c r="N1854">
        <v>-1.647593E-2</v>
      </c>
      <c r="O1854">
        <v>-0.72649790000000003</v>
      </c>
      <c r="P1854">
        <v>-0.84649079999999999</v>
      </c>
      <c r="Q1854">
        <v>0.1366106</v>
      </c>
      <c r="R1854">
        <v>-0.5145786</v>
      </c>
      <c r="S1854">
        <v>-3.0545499999999999</v>
      </c>
      <c r="T1854">
        <v>-7.5361490000000003E-2</v>
      </c>
      <c r="U1854">
        <v>-0.84921259999999998</v>
      </c>
      <c r="V1854">
        <v>0.26623449999999999</v>
      </c>
      <c r="W1854">
        <v>0.14391609999999999</v>
      </c>
      <c r="X1854">
        <v>0.95310410000000001</v>
      </c>
      <c r="Y1854">
        <v>0.51579220000000003</v>
      </c>
      <c r="Z1854">
        <v>1.297884E-2</v>
      </c>
      <c r="AA1854">
        <v>0.85661540000000003</v>
      </c>
      <c r="AB1854">
        <v>32</v>
      </c>
      <c r="AC1854">
        <v>-41.426299999999998</v>
      </c>
      <c r="AD1854">
        <v>-1.0281031199999999</v>
      </c>
      <c r="AE1854">
        <v>-11.3469999999999</v>
      </c>
      <c r="AF1854">
        <v>22.291312920398301</v>
      </c>
      <c r="AG1854">
        <v>-1.0281031199999999</v>
      </c>
      <c r="AH1854">
        <v>36.686209020479602</v>
      </c>
      <c r="AI1854">
        <v>91.371953788612998</v>
      </c>
      <c r="AJ1854">
        <v>58.716253481691702</v>
      </c>
      <c r="AK1854">
        <v>42.939929669653601</v>
      </c>
      <c r="AL1854">
        <v>81.725482342848395</v>
      </c>
      <c r="AM1854">
        <v>74.393137823184205</v>
      </c>
      <c r="AN1854">
        <v>1.0000000391331301</v>
      </c>
    </row>
    <row r="1855" spans="1:40" x14ac:dyDescent="0.25">
      <c r="A1855" t="str">
        <f>"20190303170256294"</f>
        <v>20190303170256294</v>
      </c>
      <c r="B1855" t="str">
        <f>"1551603776277776"</f>
        <v>1551603776277776</v>
      </c>
      <c r="C1855" t="s">
        <v>40</v>
      </c>
      <c r="D1855">
        <v>5.1280519999999896</v>
      </c>
      <c r="E1855">
        <v>0.61843709999999996</v>
      </c>
      <c r="F1855" t="s">
        <v>62</v>
      </c>
      <c r="G1855">
        <v>-240.16470000000001</v>
      </c>
      <c r="H1855">
        <v>8.0001409999999995E-2</v>
      </c>
      <c r="I1855">
        <v>279.0489</v>
      </c>
      <c r="J1855">
        <v>-196.59790000000001</v>
      </c>
      <c r="K1855">
        <v>1.1083809999999901</v>
      </c>
      <c r="L1855">
        <v>290.29399999999998</v>
      </c>
      <c r="M1855">
        <v>-0.69705309999999998</v>
      </c>
      <c r="N1855">
        <v>-1.6411410000000001E-2</v>
      </c>
      <c r="O1855">
        <v>-0.71683160000000001</v>
      </c>
      <c r="P1855">
        <v>-0.854463999999999</v>
      </c>
      <c r="Q1855">
        <v>0.13573060000000001</v>
      </c>
      <c r="R1855">
        <v>-0.50146629999999903</v>
      </c>
      <c r="S1855">
        <v>-3.0673979999999998</v>
      </c>
      <c r="T1855">
        <v>-7.2009329999999996E-2</v>
      </c>
      <c r="U1855">
        <v>-0.80319209999999996</v>
      </c>
      <c r="V1855">
        <v>0.26759379999999999</v>
      </c>
      <c r="W1855">
        <v>0.1431007</v>
      </c>
      <c r="X1855">
        <v>0.95284619999999998</v>
      </c>
      <c r="Y1855">
        <v>0.51675059999999995</v>
      </c>
      <c r="Z1855">
        <v>1.2106209999999999E-2</v>
      </c>
      <c r="AA1855">
        <v>0.85605039999999999</v>
      </c>
      <c r="AB1855">
        <v>32</v>
      </c>
      <c r="AC1855">
        <v>-43.566800000000001</v>
      </c>
      <c r="AD1855">
        <v>-1.0283795899999999</v>
      </c>
      <c r="AE1855">
        <v>-11.245100000000001</v>
      </c>
      <c r="AF1855">
        <v>23.382564465564599</v>
      </c>
      <c r="AG1855">
        <v>-1.0283795899999999</v>
      </c>
      <c r="AH1855">
        <v>38.4143273049839</v>
      </c>
      <c r="AI1855">
        <v>91.309985072301004</v>
      </c>
      <c r="AJ1855">
        <v>58.671382819075198</v>
      </c>
      <c r="AK1855">
        <v>44.982912620925802</v>
      </c>
      <c r="AL1855">
        <v>81.772690189087001</v>
      </c>
      <c r="AM1855">
        <v>74.313330349432405</v>
      </c>
      <c r="AN1855">
        <v>1.0000000664966799</v>
      </c>
    </row>
    <row r="1856" spans="1:40" x14ac:dyDescent="0.25">
      <c r="A1856" t="str">
        <f>"20190303170256317"</f>
        <v>20190303170256317</v>
      </c>
      <c r="B1856" t="str">
        <f>"1551603776307056"</f>
        <v>1551603776307056</v>
      </c>
      <c r="C1856" t="s">
        <v>40</v>
      </c>
      <c r="D1856">
        <v>5.1738460000000002</v>
      </c>
      <c r="E1856">
        <v>0.61865049999999999</v>
      </c>
      <c r="F1856" t="s">
        <v>62</v>
      </c>
      <c r="G1856">
        <v>-240.40710000000001</v>
      </c>
      <c r="H1856">
        <v>7.5162809999999997E-2</v>
      </c>
      <c r="I1856">
        <v>279.59120000000001</v>
      </c>
      <c r="J1856">
        <v>-196.8398</v>
      </c>
      <c r="K1856">
        <v>1.1086940000000001</v>
      </c>
      <c r="L1856">
        <v>290.0643</v>
      </c>
      <c r="M1856">
        <v>-0.70722790000000002</v>
      </c>
      <c r="N1856">
        <v>-1.633979E-2</v>
      </c>
      <c r="O1856">
        <v>-0.70679669999999895</v>
      </c>
      <c r="P1856">
        <v>-0.86172499999999996</v>
      </c>
      <c r="Q1856">
        <v>0.13358979999999901</v>
      </c>
      <c r="R1856">
        <v>-0.4894732</v>
      </c>
      <c r="S1856">
        <v>-3.0807950000000002</v>
      </c>
      <c r="T1856">
        <v>-7.2659130000000002E-2</v>
      </c>
      <c r="U1856">
        <v>-0.75265499999999996</v>
      </c>
      <c r="V1856">
        <v>0.26735789999999998</v>
      </c>
      <c r="W1856">
        <v>0.1410971</v>
      </c>
      <c r="X1856">
        <v>0.95321109999999998</v>
      </c>
      <c r="Y1856">
        <v>0.51862200000000003</v>
      </c>
      <c r="Z1856">
        <v>1.2404429999999999E-2</v>
      </c>
      <c r="AA1856">
        <v>0.854913699999999</v>
      </c>
      <c r="AB1856">
        <v>32</v>
      </c>
      <c r="AC1856">
        <v>-43.567300000000003</v>
      </c>
      <c r="AD1856">
        <v>-1.0335311899999999</v>
      </c>
      <c r="AE1856">
        <v>-10.473099999999899</v>
      </c>
      <c r="AF1856">
        <v>23.377042436259099</v>
      </c>
      <c r="AG1856">
        <v>-1.0335311899999999</v>
      </c>
      <c r="AH1856">
        <v>38.1991448866656</v>
      </c>
      <c r="AI1856">
        <v>91.322027217701603</v>
      </c>
      <c r="AJ1856">
        <v>58.534278074877598</v>
      </c>
      <c r="AK1856">
        <v>44.796528546973697</v>
      </c>
      <c r="AL1856">
        <v>81.888664501399603</v>
      </c>
      <c r="AM1856">
        <v>74.3321844570454</v>
      </c>
      <c r="AN1856">
        <v>1.00000001974201</v>
      </c>
    </row>
    <row r="1857" spans="1:40" x14ac:dyDescent="0.25">
      <c r="A1857" t="str">
        <f>"20190303170256339"</f>
        <v>20190303170256339</v>
      </c>
      <c r="B1857" t="str">
        <f>"1551603776327552"</f>
        <v>1551603776327552</v>
      </c>
      <c r="C1857" t="s">
        <v>40</v>
      </c>
      <c r="D1857">
        <v>5.017201</v>
      </c>
      <c r="E1857">
        <v>0.61840769999999901</v>
      </c>
      <c r="F1857" t="s">
        <v>62</v>
      </c>
      <c r="G1857">
        <v>-241.8262</v>
      </c>
      <c r="H1857" s="1">
        <v>-5.6495240000000001E-7</v>
      </c>
      <c r="I1857">
        <v>279.78269999999998</v>
      </c>
      <c r="J1857">
        <v>-197.07149999999999</v>
      </c>
      <c r="K1857">
        <v>1.1089819999999999</v>
      </c>
      <c r="L1857">
        <v>289.8501</v>
      </c>
      <c r="M1857">
        <v>-0.7165011</v>
      </c>
      <c r="N1857">
        <v>-1.627075E-2</v>
      </c>
      <c r="O1857">
        <v>-0.69739649999999997</v>
      </c>
      <c r="P1857">
        <v>-0.86725289999999999</v>
      </c>
      <c r="Q1857">
        <v>0.13195660000000001</v>
      </c>
      <c r="R1857">
        <v>-0.48006280000000001</v>
      </c>
      <c r="S1857">
        <v>-3.0918269999999999</v>
      </c>
      <c r="T1857">
        <v>-7.6198340000000003E-2</v>
      </c>
      <c r="U1857">
        <v>-0.70663450000000005</v>
      </c>
      <c r="V1857">
        <v>0.2651674</v>
      </c>
      <c r="W1857">
        <v>0.1396599</v>
      </c>
      <c r="X1857">
        <v>0.9540343</v>
      </c>
      <c r="Y1857">
        <v>0.5200669</v>
      </c>
      <c r="Z1857">
        <v>1.3505690000000001E-2</v>
      </c>
      <c r="AA1857">
        <v>0.85401870000000002</v>
      </c>
      <c r="AB1857">
        <v>32</v>
      </c>
      <c r="AC1857">
        <v>-44.7547</v>
      </c>
      <c r="AD1857">
        <v>-1.1089825649524001</v>
      </c>
      <c r="AE1857">
        <v>-10.067399999999999</v>
      </c>
      <c r="AF1857">
        <v>23.9876207897012</v>
      </c>
      <c r="AG1857">
        <v>-1.1089825649524001</v>
      </c>
      <c r="AH1857">
        <v>39.070093852478102</v>
      </c>
      <c r="AI1857">
        <v>91.385667071585004</v>
      </c>
      <c r="AJ1857">
        <v>58.451583942916997</v>
      </c>
      <c r="AK1857">
        <v>45.8596557675843</v>
      </c>
      <c r="AL1857">
        <v>81.971833725800394</v>
      </c>
      <c r="AM1857">
        <v>74.467087326530404</v>
      </c>
      <c r="AN1857">
        <v>1.0000000416336201</v>
      </c>
    </row>
    <row r="1858" spans="1:40" x14ac:dyDescent="0.25">
      <c r="A1858" t="str">
        <f>"20190303170256360"</f>
        <v>20190303170256360</v>
      </c>
      <c r="B1858" t="str">
        <f>"1551603776347073"</f>
        <v>1551603776347073</v>
      </c>
      <c r="C1858" t="s">
        <v>40</v>
      </c>
      <c r="D1858">
        <v>4.9956449999999997</v>
      </c>
      <c r="E1858">
        <v>0.61816459999999995</v>
      </c>
      <c r="F1858" t="s">
        <v>62</v>
      </c>
      <c r="G1858">
        <v>-243.89400000000001</v>
      </c>
      <c r="H1858" s="1">
        <v>5.3537879999999996E-7</v>
      </c>
      <c r="I1858">
        <v>279.69240000000002</v>
      </c>
      <c r="J1858">
        <v>-197.29949999999999</v>
      </c>
      <c r="K1858">
        <v>1.1092439999999999</v>
      </c>
      <c r="L1858">
        <v>289.64449999999999</v>
      </c>
      <c r="M1858">
        <v>-0.72523669999999996</v>
      </c>
      <c r="N1858">
        <v>-1.6205710000000002E-2</v>
      </c>
      <c r="O1858">
        <v>-0.68830899999999995</v>
      </c>
      <c r="P1858">
        <v>-0.87287409999999999</v>
      </c>
      <c r="Q1858">
        <v>0.132391799999999</v>
      </c>
      <c r="R1858">
        <v>-0.4696418</v>
      </c>
      <c r="S1858">
        <v>-3.0982970000000001</v>
      </c>
      <c r="T1858">
        <v>-7.3382619999999996E-2</v>
      </c>
      <c r="U1858">
        <v>-0.67214969999999996</v>
      </c>
      <c r="V1858">
        <v>0.26444240000000002</v>
      </c>
      <c r="W1858">
        <v>0.14022079999999901</v>
      </c>
      <c r="X1858">
        <v>0.95415320000000003</v>
      </c>
      <c r="Y1858">
        <v>0.51875919999999998</v>
      </c>
      <c r="Z1858">
        <v>1.2758200000000001E-2</v>
      </c>
      <c r="AA1858">
        <v>0.85482519999999995</v>
      </c>
      <c r="AB1858">
        <v>32</v>
      </c>
      <c r="AC1858">
        <v>-46.594499999999996</v>
      </c>
      <c r="AD1858">
        <v>-1.1092434646211999</v>
      </c>
      <c r="AE1858">
        <v>-9.9520999999999695</v>
      </c>
      <c r="AF1858">
        <v>24.843582047687502</v>
      </c>
      <c r="AG1858">
        <v>-1.1092434646211999</v>
      </c>
      <c r="AH1858">
        <v>40.625476155276303</v>
      </c>
      <c r="AI1858">
        <v>91.334395617543393</v>
      </c>
      <c r="AJ1858">
        <v>58.553081513287097</v>
      </c>
      <c r="AK1858">
        <v>47.632586564944297</v>
      </c>
      <c r="AL1858">
        <v>81.939376749449195</v>
      </c>
      <c r="AM1858">
        <v>74.509351499532102</v>
      </c>
      <c r="AN1858">
        <v>0.99999999237032</v>
      </c>
    </row>
    <row r="1859" spans="1:40" x14ac:dyDescent="0.25">
      <c r="A1859" t="str">
        <f>"20190303170256383"</f>
        <v>20190303170256383</v>
      </c>
      <c r="B1859" t="str">
        <f>"1551603776367569"</f>
        <v>1551603776367569</v>
      </c>
      <c r="C1859" t="s">
        <v>40</v>
      </c>
      <c r="D1859">
        <v>5.0074160000000001</v>
      </c>
      <c r="E1859">
        <v>0.61770570000000002</v>
      </c>
      <c r="F1859" t="s">
        <v>62</v>
      </c>
      <c r="G1859">
        <v>-246.19380000000001</v>
      </c>
      <c r="H1859">
        <v>8.9693800000000008E-3</v>
      </c>
      <c r="I1859">
        <v>279.61630000000002</v>
      </c>
      <c r="J1859">
        <v>-197.547</v>
      </c>
      <c r="K1859">
        <v>1.1095010000000001</v>
      </c>
      <c r="L1859">
        <v>289.42700000000002</v>
      </c>
      <c r="M1859">
        <v>-0.73432739999999996</v>
      </c>
      <c r="N1859">
        <v>-1.6141740000000002E-2</v>
      </c>
      <c r="O1859">
        <v>-0.67860369999999903</v>
      </c>
      <c r="P1859">
        <v>-0.87949959999999905</v>
      </c>
      <c r="Q1859">
        <v>0.13247929999999999</v>
      </c>
      <c r="R1859">
        <v>-0.45708880000000002</v>
      </c>
      <c r="S1859">
        <v>-3.1049039999999999</v>
      </c>
      <c r="T1859">
        <v>-6.9870000000000002E-2</v>
      </c>
      <c r="U1859">
        <v>-0.63681030000000005</v>
      </c>
      <c r="V1859">
        <v>0.26533250000000003</v>
      </c>
      <c r="W1859">
        <v>0.14037140000000001</v>
      </c>
      <c r="X1859">
        <v>0.95388390000000001</v>
      </c>
      <c r="Y1859">
        <v>0.51709989999999995</v>
      </c>
      <c r="Z1859">
        <v>1.181781E-2</v>
      </c>
      <c r="AA1859">
        <v>0.85584349999999998</v>
      </c>
      <c r="AB1859">
        <v>32</v>
      </c>
      <c r="AC1859">
        <v>-48.646799999999999</v>
      </c>
      <c r="AD1859">
        <v>-1.1005316199999999</v>
      </c>
      <c r="AE1859">
        <v>-9.81069999999999</v>
      </c>
      <c r="AF1859">
        <v>25.798304575240699</v>
      </c>
      <c r="AG1859">
        <v>-1.1005316199999999</v>
      </c>
      <c r="AH1859">
        <v>42.364937293063797</v>
      </c>
      <c r="AI1859">
        <v>91.271031478506501</v>
      </c>
      <c r="AJ1859">
        <v>58.660501377425099</v>
      </c>
      <c r="AK1859">
        <v>49.614026249123697</v>
      </c>
      <c r="AL1859">
        <v>81.930661710897894</v>
      </c>
      <c r="AM1859">
        <v>74.455551428782798</v>
      </c>
      <c r="AN1859">
        <v>0.99999998008670898</v>
      </c>
    </row>
    <row r="1860" spans="1:40" x14ac:dyDescent="0.25">
      <c r="A1860" t="str">
        <f>"20190303170256408"</f>
        <v>20190303170256408</v>
      </c>
      <c r="B1860" t="str">
        <f>"1551603776397825"</f>
        <v>1551603776397825</v>
      </c>
      <c r="C1860" t="s">
        <v>40</v>
      </c>
      <c r="D1860">
        <v>4.9889359999999998</v>
      </c>
      <c r="E1860">
        <v>0.61688509999999996</v>
      </c>
      <c r="F1860" t="s">
        <v>62</v>
      </c>
      <c r="G1860">
        <v>-246.1884</v>
      </c>
      <c r="H1860" s="1">
        <v>1.7563419999999999E-6</v>
      </c>
      <c r="I1860">
        <v>280.08859999999999</v>
      </c>
      <c r="J1860">
        <v>-197.815</v>
      </c>
      <c r="K1860">
        <v>1.109729</v>
      </c>
      <c r="L1860">
        <v>289.19779999999997</v>
      </c>
      <c r="M1860">
        <v>-0.74377499999999996</v>
      </c>
      <c r="N1860">
        <v>-1.60807E-2</v>
      </c>
      <c r="O1860">
        <v>-0.66823669999999902</v>
      </c>
      <c r="P1860">
        <v>-0.8858414</v>
      </c>
      <c r="Q1860">
        <v>0.13204489999999999</v>
      </c>
      <c r="R1860">
        <v>-0.44480239999999999</v>
      </c>
      <c r="S1860">
        <v>-3.1112980000000001</v>
      </c>
      <c r="T1860">
        <v>-7.0968149999999994E-2</v>
      </c>
      <c r="U1860">
        <v>-0.59732059999999998</v>
      </c>
      <c r="V1860">
        <v>0.26518350000000002</v>
      </c>
      <c r="W1860">
        <v>0.1400235</v>
      </c>
      <c r="X1860">
        <v>0.95397650000000001</v>
      </c>
      <c r="Y1860">
        <v>0.51588480000000003</v>
      </c>
      <c r="Z1860">
        <v>1.2175480000000001E-2</v>
      </c>
      <c r="AA1860">
        <v>0.85657139999999998</v>
      </c>
      <c r="AB1860">
        <v>32</v>
      </c>
      <c r="AC1860">
        <v>-48.373399999999997</v>
      </c>
      <c r="AD1860">
        <v>-1.1097272436579999</v>
      </c>
      <c r="AE1860">
        <v>-9.10919999999998</v>
      </c>
      <c r="AF1860">
        <v>25.540007451545801</v>
      </c>
      <c r="AG1860">
        <v>-1.1097272436579999</v>
      </c>
      <c r="AH1860">
        <v>42.050092258515797</v>
      </c>
      <c r="AI1860">
        <v>91.292148712957299</v>
      </c>
      <c r="AJ1860">
        <v>58.726717475739598</v>
      </c>
      <c r="AK1860">
        <v>49.211113928969603</v>
      </c>
      <c r="AL1860">
        <v>81.950794035913702</v>
      </c>
      <c r="AM1860">
        <v>74.465294043393698</v>
      </c>
      <c r="AN1860">
        <v>1.00000001588837</v>
      </c>
    </row>
    <row r="1861" spans="1:40" x14ac:dyDescent="0.25">
      <c r="A1861" t="str">
        <f>"20190303170256430"</f>
        <v>20190303170256430</v>
      </c>
      <c r="B1861" t="str">
        <f>"1551603776417346"</f>
        <v>1551603776417346</v>
      </c>
      <c r="C1861" t="s">
        <v>40</v>
      </c>
      <c r="D1861">
        <v>5.0045859999999998</v>
      </c>
      <c r="E1861">
        <v>0.6030837</v>
      </c>
      <c r="F1861" t="s">
        <v>62</v>
      </c>
      <c r="G1861">
        <v>-247.47030000000001</v>
      </c>
      <c r="H1861" s="1">
        <v>2.4385399999999999E-6</v>
      </c>
      <c r="I1861">
        <v>280.28710000000001</v>
      </c>
      <c r="J1861">
        <v>-198.0506</v>
      </c>
      <c r="K1861">
        <v>1.109901</v>
      </c>
      <c r="L1861">
        <v>289.00150000000002</v>
      </c>
      <c r="M1861">
        <v>-0.7517819</v>
      </c>
      <c r="N1861">
        <v>-1.603336E-2</v>
      </c>
      <c r="O1861">
        <v>-0.65921689999999999</v>
      </c>
      <c r="P1861">
        <v>-0.89098040000000001</v>
      </c>
      <c r="Q1861">
        <v>0.13180320000000001</v>
      </c>
      <c r="R1861">
        <v>-0.4344906</v>
      </c>
      <c r="S1861">
        <v>-3.1162109999999998</v>
      </c>
      <c r="T1861">
        <v>-6.964302E-2</v>
      </c>
      <c r="U1861">
        <v>-0.55920409999999998</v>
      </c>
      <c r="V1861">
        <v>0.2647099</v>
      </c>
      <c r="W1861">
        <v>0.13985259999999999</v>
      </c>
      <c r="X1861">
        <v>0.95413309999999996</v>
      </c>
      <c r="Y1861">
        <v>0.51593670000000003</v>
      </c>
      <c r="Z1861">
        <v>1.187619E-2</v>
      </c>
      <c r="AA1861">
        <v>0.85654439999999998</v>
      </c>
      <c r="AB1861">
        <v>32</v>
      </c>
      <c r="AC1861">
        <v>-49.419699999999999</v>
      </c>
      <c r="AD1861">
        <v>-1.1098985614599901</v>
      </c>
      <c r="AE1861">
        <v>-8.7144000000000101</v>
      </c>
      <c r="AF1861">
        <v>26.017591782014701</v>
      </c>
      <c r="AG1861">
        <v>-1.1098985614599901</v>
      </c>
      <c r="AH1861">
        <v>42.882053242888503</v>
      </c>
      <c r="AI1861">
        <v>91.267646727417997</v>
      </c>
      <c r="AJ1861">
        <v>58.753786107359801</v>
      </c>
      <c r="AK1861">
        <v>50.169885860725401</v>
      </c>
      <c r="AL1861">
        <v>81.9606832786897</v>
      </c>
      <c r="AM1861">
        <v>74.494124403224802</v>
      </c>
      <c r="AN1861">
        <v>1.0000000267001801</v>
      </c>
    </row>
    <row r="1862" spans="1:40" x14ac:dyDescent="0.25">
      <c r="A1862" t="str">
        <f>"20190303170256450"</f>
        <v>20190303170256450</v>
      </c>
      <c r="B1862" t="str">
        <f>"1551603776437841"</f>
        <v>1551603776437841</v>
      </c>
      <c r="C1862" t="s">
        <v>40</v>
      </c>
      <c r="D1862">
        <v>4.9861360000000001</v>
      </c>
      <c r="E1862">
        <v>0.60339339999999997</v>
      </c>
      <c r="F1862" t="s">
        <v>42</v>
      </c>
      <c r="G1862">
        <v>-302.58300000000003</v>
      </c>
      <c r="H1862" s="1">
        <v>-4.5819889999999901E-6</v>
      </c>
      <c r="I1862">
        <v>268.02480000000003</v>
      </c>
      <c r="J1862">
        <v>-198.28210000000001</v>
      </c>
      <c r="K1862">
        <v>1.1100399999999999</v>
      </c>
      <c r="L1862">
        <v>288.81319999999999</v>
      </c>
      <c r="M1862">
        <v>-0.75942219999999905</v>
      </c>
      <c r="N1862">
        <v>-1.5992329999999999E-2</v>
      </c>
      <c r="O1862">
        <v>-0.65040169999999997</v>
      </c>
      <c r="P1862">
        <v>-0.89592349999999998</v>
      </c>
      <c r="Q1862">
        <v>0.13467870000000001</v>
      </c>
      <c r="R1862">
        <v>-0.42330050000000002</v>
      </c>
      <c r="S1862">
        <v>-3.0713499999999998</v>
      </c>
      <c r="T1862">
        <v>-3.2611010000000003E-2</v>
      </c>
      <c r="U1862">
        <v>-0.61633300000000002</v>
      </c>
      <c r="V1862">
        <v>0.26528220000000002</v>
      </c>
      <c r="W1862">
        <v>0.1427467</v>
      </c>
      <c r="X1862">
        <v>0.95354530000000004</v>
      </c>
      <c r="Y1862">
        <v>0.48826160000000002</v>
      </c>
      <c r="Z1862">
        <v>1.5974419999999999E-3</v>
      </c>
      <c r="AA1862">
        <v>0.87269589999999997</v>
      </c>
      <c r="AB1862">
        <v>32</v>
      </c>
      <c r="AC1862">
        <v>-104.300899999999</v>
      </c>
      <c r="AD1862">
        <v>-1.1100445819889999</v>
      </c>
      <c r="AE1862">
        <v>-20.7883999999999</v>
      </c>
      <c r="AF1862">
        <v>52.0512917808583</v>
      </c>
      <c r="AG1862">
        <v>-1.1100445819889999</v>
      </c>
      <c r="AH1862">
        <v>92.730978340647297</v>
      </c>
      <c r="AI1862">
        <v>90.598063434126701</v>
      </c>
      <c r="AJ1862">
        <v>60.693847718650197</v>
      </c>
      <c r="AK1862">
        <v>106.346619687903</v>
      </c>
      <c r="AL1862">
        <v>81.793182340431201</v>
      </c>
      <c r="AM1862">
        <v>74.453103907757196</v>
      </c>
      <c r="AN1862">
        <v>0.99999995257490903</v>
      </c>
    </row>
    <row r="1863" spans="1:40" x14ac:dyDescent="0.25">
      <c r="A1863" t="str">
        <f>"20190303170256472"</f>
        <v>20190303170256472</v>
      </c>
      <c r="B1863" t="str">
        <f>"1551603776467121"</f>
        <v>1551603776467121</v>
      </c>
      <c r="C1863" t="s">
        <v>40</v>
      </c>
      <c r="D1863">
        <v>4.9973470000000004</v>
      </c>
      <c r="E1863">
        <v>0.6012651</v>
      </c>
      <c r="F1863" t="s">
        <v>42</v>
      </c>
      <c r="G1863">
        <v>-309.95780000000002</v>
      </c>
      <c r="H1863">
        <v>3.8513720000000001E-2</v>
      </c>
      <c r="I1863">
        <v>267.88</v>
      </c>
      <c r="J1863">
        <v>-198.53389999999999</v>
      </c>
      <c r="K1863">
        <v>1.110168</v>
      </c>
      <c r="L1863">
        <v>288.61340000000001</v>
      </c>
      <c r="M1863">
        <v>-0.76751359999999902</v>
      </c>
      <c r="N1863">
        <v>-1.595388E-2</v>
      </c>
      <c r="O1863">
        <v>-0.64083429999999997</v>
      </c>
      <c r="P1863">
        <v>-0.90192099999999997</v>
      </c>
      <c r="Q1863">
        <v>0.13677909999999999</v>
      </c>
      <c r="R1863">
        <v>-0.40967120000000001</v>
      </c>
      <c r="S1863">
        <v>-3.080139</v>
      </c>
      <c r="T1863">
        <v>-2.9553889999999999E-2</v>
      </c>
      <c r="U1863">
        <v>-0.57736209999999999</v>
      </c>
      <c r="V1863">
        <v>0.26760460000000003</v>
      </c>
      <c r="W1863">
        <v>0.14480599999999999</v>
      </c>
      <c r="X1863">
        <v>0.95258549999999997</v>
      </c>
      <c r="Y1863">
        <v>0.48845139999999998</v>
      </c>
      <c r="Z1863">
        <v>9.0202920000000001E-4</v>
      </c>
      <c r="AA1863">
        <v>0.87259069999999905</v>
      </c>
      <c r="AB1863">
        <v>32</v>
      </c>
      <c r="AC1863">
        <v>-111.4239</v>
      </c>
      <c r="AD1863">
        <v>-1.07165428</v>
      </c>
      <c r="AE1863">
        <v>-20.7334</v>
      </c>
      <c r="AF1863">
        <v>55.493185334522003</v>
      </c>
      <c r="AG1863">
        <v>-1.07165428</v>
      </c>
      <c r="AH1863">
        <v>98.809762525801801</v>
      </c>
      <c r="AI1863">
        <v>90.541793099186904</v>
      </c>
      <c r="AJ1863">
        <v>60.680718149994298</v>
      </c>
      <c r="AK1863">
        <v>113.331422085284</v>
      </c>
      <c r="AL1863">
        <v>81.673955320344206</v>
      </c>
      <c r="AM1863">
        <v>74.3086466205162</v>
      </c>
      <c r="AN1863">
        <v>1.0000000671936999</v>
      </c>
    </row>
    <row r="1864" spans="1:40" x14ac:dyDescent="0.25">
      <c r="A1864" t="str">
        <f>"20190303170256494"</f>
        <v>20190303170256494</v>
      </c>
      <c r="B1864" t="str">
        <f>"1551603776487617"</f>
        <v>1551603776487617</v>
      </c>
      <c r="C1864" t="s">
        <v>40</v>
      </c>
      <c r="D1864">
        <v>5.0000629999999999</v>
      </c>
      <c r="E1864">
        <v>0.60043389999999996</v>
      </c>
      <c r="F1864" t="s">
        <v>42</v>
      </c>
      <c r="G1864">
        <v>-314.93340000000001</v>
      </c>
      <c r="H1864">
        <v>7.9985710000000002E-2</v>
      </c>
      <c r="I1864">
        <v>267.8843</v>
      </c>
      <c r="J1864">
        <v>-198.78739999999999</v>
      </c>
      <c r="K1864">
        <v>1.110268</v>
      </c>
      <c r="L1864">
        <v>288.41750000000002</v>
      </c>
      <c r="M1864">
        <v>-0.77546130000000002</v>
      </c>
      <c r="N1864">
        <v>-1.5921930000000001E-2</v>
      </c>
      <c r="O1864">
        <v>-0.63119440000000004</v>
      </c>
      <c r="P1864">
        <v>-0.90786509999999998</v>
      </c>
      <c r="Q1864">
        <v>0.13558789999999901</v>
      </c>
      <c r="R1864">
        <v>-0.396733</v>
      </c>
      <c r="S1864">
        <v>-3.0811310000000001</v>
      </c>
      <c r="T1864">
        <v>-2.726924E-2</v>
      </c>
      <c r="U1864">
        <v>-0.54870609999999997</v>
      </c>
      <c r="V1864">
        <v>0.26937440000000001</v>
      </c>
      <c r="W1864">
        <v>0.1435881</v>
      </c>
      <c r="X1864">
        <v>0.95227090000000003</v>
      </c>
      <c r="Y1864">
        <v>0.4854522</v>
      </c>
      <c r="Z1864">
        <v>3.9826729999999999E-4</v>
      </c>
      <c r="AA1864">
        <v>0.87426309999999996</v>
      </c>
      <c r="AB1864">
        <v>31</v>
      </c>
      <c r="AC1864">
        <v>-116.146</v>
      </c>
      <c r="AD1864">
        <v>-1.0302822899999999</v>
      </c>
      <c r="AE1864">
        <v>-20.533200000000001</v>
      </c>
      <c r="AF1864">
        <v>57.3908962411098</v>
      </c>
      <c r="AG1864">
        <v>-1.0302822899999999</v>
      </c>
      <c r="AH1864">
        <v>103.03236349149699</v>
      </c>
      <c r="AI1864">
        <v>90.5005113017817</v>
      </c>
      <c r="AJ1864">
        <v>60.881399551985297</v>
      </c>
      <c r="AK1864">
        <v>117.94254694383601</v>
      </c>
      <c r="AL1864">
        <v>81.744472174119096</v>
      </c>
      <c r="AM1864">
        <v>74.205075209976201</v>
      </c>
      <c r="AN1864">
        <v>0.99999998841188997</v>
      </c>
    </row>
    <row r="1865" spans="1:40" x14ac:dyDescent="0.25">
      <c r="A1865" t="str">
        <f>"20190303170256518"</f>
        <v>20190303170256518</v>
      </c>
      <c r="B1865" t="str">
        <f>"1551603776507137"</f>
        <v>1551603776507137</v>
      </c>
      <c r="C1865" t="s">
        <v>40</v>
      </c>
      <c r="D1865">
        <v>4.9662350000000002</v>
      </c>
      <c r="E1865">
        <v>0.59928359999999903</v>
      </c>
      <c r="F1865" t="s">
        <v>63</v>
      </c>
      <c r="G1865">
        <v>-297.51459999999997</v>
      </c>
      <c r="H1865" s="1">
        <v>6.5381769999999898E-6</v>
      </c>
      <c r="I1865">
        <v>272.06130000000002</v>
      </c>
      <c r="J1865">
        <v>-199.05189999999999</v>
      </c>
      <c r="K1865">
        <v>1.1103400000000001</v>
      </c>
      <c r="L1865">
        <v>288.21879999999999</v>
      </c>
      <c r="M1865">
        <v>-0.78357880000000002</v>
      </c>
      <c r="N1865">
        <v>-1.589672E-2</v>
      </c>
      <c r="O1865">
        <v>-0.62108909999999995</v>
      </c>
      <c r="P1865">
        <v>-0.91344729999999996</v>
      </c>
      <c r="Q1865">
        <v>0.13312750000000001</v>
      </c>
      <c r="R1865">
        <v>-0.38456620000000002</v>
      </c>
      <c r="S1865">
        <v>-3.0861969999999999</v>
      </c>
      <c r="T1865">
        <v>-3.4706590000000002E-2</v>
      </c>
      <c r="U1865">
        <v>-0.51129150000000001</v>
      </c>
      <c r="V1865">
        <v>0.269893099999999</v>
      </c>
      <c r="W1865">
        <v>0.14113059999999999</v>
      </c>
      <c r="X1865">
        <v>0.95249139999999999</v>
      </c>
      <c r="Y1865">
        <v>0.48465320000000001</v>
      </c>
      <c r="Z1865">
        <v>2.4854209999999998E-3</v>
      </c>
      <c r="AA1865">
        <v>0.87470289999999995</v>
      </c>
      <c r="AB1865">
        <v>31</v>
      </c>
      <c r="AC1865">
        <v>-98.462699999999899</v>
      </c>
      <c r="AD1865">
        <v>-1.1103334618230001</v>
      </c>
      <c r="AE1865">
        <v>-16.157499999999899</v>
      </c>
      <c r="AF1865">
        <v>48.4935560804308</v>
      </c>
      <c r="AG1865">
        <v>-1.1103334618230001</v>
      </c>
      <c r="AH1865">
        <v>87.1887486624899</v>
      </c>
      <c r="AI1865">
        <v>90.637632078734299</v>
      </c>
      <c r="AJ1865">
        <v>60.917602672444801</v>
      </c>
      <c r="AK1865">
        <v>99.773421887059499</v>
      </c>
      <c r="AL1865">
        <v>81.886725525559299</v>
      </c>
      <c r="AM1865">
        <v>74.179662506536999</v>
      </c>
      <c r="AN1865">
        <v>0.999999999378964</v>
      </c>
    </row>
    <row r="1866" spans="1:40" x14ac:dyDescent="0.25">
      <c r="A1866" t="str">
        <f>"20190303170256539"</f>
        <v>20190303170256539</v>
      </c>
      <c r="B1866" t="str">
        <f>"1551603776527633"</f>
        <v>1551603776527633</v>
      </c>
      <c r="C1866" t="s">
        <v>40</v>
      </c>
      <c r="D1866">
        <v>4.9859119999999999</v>
      </c>
      <c r="E1866">
        <v>0.59778569999999998</v>
      </c>
      <c r="F1866" t="s">
        <v>62</v>
      </c>
      <c r="G1866">
        <v>-270.79329999999999</v>
      </c>
      <c r="H1866">
        <v>8.0001559999999999E-2</v>
      </c>
      <c r="I1866">
        <v>277.14100000000002</v>
      </c>
      <c r="J1866">
        <v>-199.28960000000001</v>
      </c>
      <c r="K1866">
        <v>1.1103860000000001</v>
      </c>
      <c r="L1866">
        <v>288.04480000000001</v>
      </c>
      <c r="M1866">
        <v>-0.79074540000000004</v>
      </c>
      <c r="N1866">
        <v>-1.5880579999999998E-2</v>
      </c>
      <c r="O1866">
        <v>-0.61193929999999996</v>
      </c>
      <c r="P1866">
        <v>-0.91730750000000005</v>
      </c>
      <c r="Q1866">
        <v>0.1339265</v>
      </c>
      <c r="R1866">
        <v>-0.3749807</v>
      </c>
      <c r="S1866">
        <v>-3.0898439999999998</v>
      </c>
      <c r="T1866">
        <v>-4.4375900000000003E-2</v>
      </c>
      <c r="U1866">
        <v>-0.47711179999999997</v>
      </c>
      <c r="V1866">
        <v>0.26873229999999998</v>
      </c>
      <c r="W1866">
        <v>0.14196700000000001</v>
      </c>
      <c r="X1866">
        <v>0.95269530000000002</v>
      </c>
      <c r="Y1866">
        <v>0.48406700000000003</v>
      </c>
      <c r="Z1866">
        <v>5.1074479999999997E-3</v>
      </c>
      <c r="AA1866">
        <v>0.87501600000000002</v>
      </c>
      <c r="AB1866">
        <v>31</v>
      </c>
      <c r="AC1866">
        <v>-71.503699999999895</v>
      </c>
      <c r="AD1866">
        <v>-1.03038444</v>
      </c>
      <c r="AE1866">
        <v>-10.9038</v>
      </c>
      <c r="AF1866">
        <v>35.131092877640697</v>
      </c>
      <c r="AG1866">
        <v>-1.03038444</v>
      </c>
      <c r="AH1866">
        <v>63.208824885093897</v>
      </c>
      <c r="AI1866">
        <v>90.816319947488694</v>
      </c>
      <c r="AJ1866">
        <v>60.9349522068973</v>
      </c>
      <c r="AK1866">
        <v>72.322962620637099</v>
      </c>
      <c r="AL1866">
        <v>81.838315968802902</v>
      </c>
      <c r="AM1866">
        <v>74.247524470487306</v>
      </c>
      <c r="AN1866">
        <v>1.0000000063971799</v>
      </c>
    </row>
    <row r="1867" spans="1:40" x14ac:dyDescent="0.25">
      <c r="A1867" t="str">
        <f>"20190303170256561"</f>
        <v>20190303170256561</v>
      </c>
      <c r="B1867" t="str">
        <f>"1551603776556912"</f>
        <v>1551603776556912</v>
      </c>
      <c r="C1867" t="s">
        <v>40</v>
      </c>
      <c r="D1867">
        <v>4.9637510000000002</v>
      </c>
      <c r="E1867">
        <v>0.58248669999999902</v>
      </c>
      <c r="F1867" t="s">
        <v>62</v>
      </c>
      <c r="G1867">
        <v>-271.8877</v>
      </c>
      <c r="H1867">
        <v>8.0001230000000007E-2</v>
      </c>
      <c r="I1867">
        <v>277.34820000000002</v>
      </c>
      <c r="J1867">
        <v>-199.54429999999999</v>
      </c>
      <c r="K1867">
        <v>1.1104229999999999</v>
      </c>
      <c r="L1867">
        <v>287.86320000000001</v>
      </c>
      <c r="M1867">
        <v>-0.79829289999999997</v>
      </c>
      <c r="N1867">
        <v>-1.586957E-2</v>
      </c>
      <c r="O1867">
        <v>-0.60206040000000005</v>
      </c>
      <c r="P1867">
        <v>-0.92099909999999996</v>
      </c>
      <c r="Q1867">
        <v>0.1379292</v>
      </c>
      <c r="R1867">
        <v>-0.36433009999999999</v>
      </c>
      <c r="S1867">
        <v>-3.0906980000000002</v>
      </c>
      <c r="T1867">
        <v>-4.3866280000000001E-2</v>
      </c>
      <c r="U1867">
        <v>-0.45538329999999999</v>
      </c>
      <c r="V1867">
        <v>0.2676673</v>
      </c>
      <c r="W1867">
        <v>0.1459925</v>
      </c>
      <c r="X1867">
        <v>0.95238670000000003</v>
      </c>
      <c r="Y1867">
        <v>0.47923320000000003</v>
      </c>
      <c r="Z1867">
        <v>4.9938580000000003E-3</v>
      </c>
      <c r="AA1867">
        <v>0.87767340000000005</v>
      </c>
      <c r="AB1867">
        <v>31</v>
      </c>
      <c r="AC1867">
        <v>-72.343400000000003</v>
      </c>
      <c r="AD1867">
        <v>-1.03042177</v>
      </c>
      <c r="AE1867">
        <v>-10.514999999999899</v>
      </c>
      <c r="AF1867">
        <v>35.158487445916698</v>
      </c>
      <c r="AG1867">
        <v>-1.03042177</v>
      </c>
      <c r="AH1867">
        <v>64.077223751613801</v>
      </c>
      <c r="AI1867">
        <v>90.8077120188468</v>
      </c>
      <c r="AJ1867">
        <v>61.246894381201699</v>
      </c>
      <c r="AK1867">
        <v>73.096317364304795</v>
      </c>
      <c r="AL1867">
        <v>81.605243199971994</v>
      </c>
      <c r="AM1867">
        <v>74.302036642351595</v>
      </c>
      <c r="AN1867">
        <v>1.0000000099412101</v>
      </c>
    </row>
    <row r="1868" spans="1:40" x14ac:dyDescent="0.25">
      <c r="A1868" t="str">
        <f>"20190303170256585"</f>
        <v>20190303170256585</v>
      </c>
      <c r="B1868" t="str">
        <f>"1551603776577408"</f>
        <v>1551603776577408</v>
      </c>
      <c r="C1868" t="s">
        <v>40</v>
      </c>
      <c r="D1868">
        <v>4.9898160000000003</v>
      </c>
      <c r="E1868">
        <v>0.58120839999999996</v>
      </c>
      <c r="F1868" t="s">
        <v>62</v>
      </c>
      <c r="G1868">
        <v>-252.44059999999999</v>
      </c>
      <c r="H1868">
        <v>8.0000740000000001E-2</v>
      </c>
      <c r="I1868">
        <v>278.53820000000002</v>
      </c>
      <c r="J1868">
        <v>-199.81739999999999</v>
      </c>
      <c r="K1868">
        <v>1.1104449999999999</v>
      </c>
      <c r="L1868">
        <v>287.6739</v>
      </c>
      <c r="M1868">
        <v>-0.80626229999999999</v>
      </c>
      <c r="N1868">
        <v>-1.5862580000000001E-2</v>
      </c>
      <c r="O1868">
        <v>-0.59134549999999997</v>
      </c>
      <c r="P1868">
        <v>-0.92477310000000001</v>
      </c>
      <c r="Q1868">
        <v>0.14045099999999999</v>
      </c>
      <c r="R1868">
        <v>-0.35364990000000002</v>
      </c>
      <c r="S1868">
        <v>-3.0533290000000002</v>
      </c>
      <c r="T1868">
        <v>-5.9478999999999997E-2</v>
      </c>
      <c r="U1868">
        <v>-0.538269</v>
      </c>
      <c r="V1868">
        <v>0.26580979999999998</v>
      </c>
      <c r="W1868">
        <v>0.1485525</v>
      </c>
      <c r="X1868">
        <v>0.95251110000000005</v>
      </c>
      <c r="Y1868">
        <v>0.44230789999999998</v>
      </c>
      <c r="Z1868">
        <v>8.5530459999999999E-3</v>
      </c>
      <c r="AA1868">
        <v>0.89682249999999997</v>
      </c>
      <c r="AB1868">
        <v>31</v>
      </c>
      <c r="AC1868">
        <v>-52.623199999999997</v>
      </c>
      <c r="AD1868">
        <v>-1.0304442599999999</v>
      </c>
      <c r="AE1868">
        <v>-9.1356999999999804</v>
      </c>
      <c r="AF1868">
        <v>23.746871676887</v>
      </c>
      <c r="AG1868">
        <v>-1.0304442599999999</v>
      </c>
      <c r="AH1868">
        <v>47.818676609053703</v>
      </c>
      <c r="AI1868">
        <v>91.1056805515679</v>
      </c>
      <c r="AJ1868">
        <v>63.590892861557897</v>
      </c>
      <c r="AK1868">
        <v>53.400389160124703</v>
      </c>
      <c r="AL1868">
        <v>81.456949259888702</v>
      </c>
      <c r="AM1868">
        <v>74.407593721137602</v>
      </c>
      <c r="AN1868">
        <v>1.00000004532774</v>
      </c>
    </row>
    <row r="1869" spans="1:40" x14ac:dyDescent="0.25">
      <c r="A1869" t="str">
        <f>"20190303170256608"</f>
        <v>20190303170256608</v>
      </c>
      <c r="B1869" t="str">
        <f>"1551603776597905"</f>
        <v>1551603776597905</v>
      </c>
      <c r="C1869" t="s">
        <v>40</v>
      </c>
      <c r="D1869">
        <v>5.007377</v>
      </c>
      <c r="E1869">
        <v>0.57962329999999995</v>
      </c>
      <c r="F1869" t="s">
        <v>62</v>
      </c>
      <c r="G1869">
        <v>-255.38810000000001</v>
      </c>
      <c r="H1869">
        <v>8.0001349999999999E-2</v>
      </c>
      <c r="I1869">
        <v>278.31139999999999</v>
      </c>
      <c r="J1869">
        <v>-200.1028</v>
      </c>
      <c r="K1869">
        <v>1.1104229999999999</v>
      </c>
      <c r="L1869">
        <v>287.48180000000002</v>
      </c>
      <c r="M1869">
        <v>-0.81447099999999995</v>
      </c>
      <c r="N1869">
        <v>-1.5861690000000001E-2</v>
      </c>
      <c r="O1869">
        <v>-0.57998760000000005</v>
      </c>
      <c r="P1869">
        <v>-0.92886769999999996</v>
      </c>
      <c r="Q1869">
        <v>0.1409059</v>
      </c>
      <c r="R1869">
        <v>-0.342564799999999</v>
      </c>
      <c r="S1869">
        <v>-3.0557560000000001</v>
      </c>
      <c r="T1869">
        <v>-5.666268E-2</v>
      </c>
      <c r="U1869">
        <v>-0.5148315</v>
      </c>
      <c r="V1869">
        <v>0.26383479999999998</v>
      </c>
      <c r="W1869">
        <v>0.14904010000000001</v>
      </c>
      <c r="X1869">
        <v>0.95298389999999999</v>
      </c>
      <c r="Y1869">
        <v>0.43654300000000001</v>
      </c>
      <c r="Z1869">
        <v>7.7966819999999897E-3</v>
      </c>
      <c r="AA1869">
        <v>0.89964959999999905</v>
      </c>
      <c r="AB1869">
        <v>31</v>
      </c>
      <c r="AC1869">
        <v>-55.285299999999999</v>
      </c>
      <c r="AD1869">
        <v>-1.0304216500000001</v>
      </c>
      <c r="AE1869">
        <v>-9.1704000000000292</v>
      </c>
      <c r="AF1869">
        <v>24.590541921271701</v>
      </c>
      <c r="AG1869">
        <v>-1.0304216500000001</v>
      </c>
      <c r="AH1869">
        <v>50.336303192883399</v>
      </c>
      <c r="AI1869">
        <v>91.0537360795594</v>
      </c>
      <c r="AJ1869">
        <v>63.963335005759099</v>
      </c>
      <c r="AK1869">
        <v>56.031240749107901</v>
      </c>
      <c r="AL1869">
        <v>81.428697231454194</v>
      </c>
      <c r="AM1869">
        <v>74.525183272556504</v>
      </c>
      <c r="AN1869">
        <v>1.0000000333791199</v>
      </c>
    </row>
    <row r="1870" spans="1:40" x14ac:dyDescent="0.25">
      <c r="A1870" t="str">
        <f>"20190303170256629"</f>
        <v>20190303170256629</v>
      </c>
      <c r="B1870" t="str">
        <f>"1551603776617425"</f>
        <v>1551603776617425</v>
      </c>
      <c r="C1870" t="s">
        <v>40</v>
      </c>
      <c r="D1870">
        <v>4.9759710000000004</v>
      </c>
      <c r="E1870">
        <v>0.5789723</v>
      </c>
      <c r="F1870" t="s">
        <v>62</v>
      </c>
      <c r="G1870">
        <v>-256.57260000000002</v>
      </c>
      <c r="H1870">
        <v>8.0001000000000003E-2</v>
      </c>
      <c r="I1870">
        <v>278.45170000000002</v>
      </c>
      <c r="J1870">
        <v>-200.3501</v>
      </c>
      <c r="K1870">
        <v>1.110368</v>
      </c>
      <c r="L1870">
        <v>287.3202</v>
      </c>
      <c r="M1870">
        <v>-0.82149819999999996</v>
      </c>
      <c r="N1870">
        <v>-1.5867409999999998E-2</v>
      </c>
      <c r="O1870">
        <v>-0.56999029999999995</v>
      </c>
      <c r="P1870">
        <v>-0.93248189999999997</v>
      </c>
      <c r="Q1870">
        <v>0.1408671</v>
      </c>
      <c r="R1870">
        <v>-0.3326172</v>
      </c>
      <c r="S1870">
        <v>-3.0578609999999999</v>
      </c>
      <c r="T1870">
        <v>-5.5797699999999999E-2</v>
      </c>
      <c r="U1870">
        <v>-0.48898320000000001</v>
      </c>
      <c r="V1870">
        <v>0.26239669999999998</v>
      </c>
      <c r="W1870">
        <v>0.1490109</v>
      </c>
      <c r="X1870">
        <v>0.95338540000000005</v>
      </c>
      <c r="Y1870">
        <v>0.43305490000000002</v>
      </c>
      <c r="Z1870">
        <v>7.5662380000000003E-3</v>
      </c>
      <c r="AA1870">
        <v>0.90133580000000002</v>
      </c>
      <c r="AB1870">
        <v>31</v>
      </c>
      <c r="AC1870">
        <v>-56.222499999999997</v>
      </c>
      <c r="AD1870">
        <v>-1.030367</v>
      </c>
      <c r="AE1870">
        <v>-8.8684999999999796</v>
      </c>
      <c r="AF1870">
        <v>24.7558276667969</v>
      </c>
      <c r="AG1870">
        <v>-1.030367</v>
      </c>
      <c r="AH1870">
        <v>51.231304160766399</v>
      </c>
      <c r="AI1870">
        <v>91.037438558100504</v>
      </c>
      <c r="AJ1870">
        <v>64.209385475724304</v>
      </c>
      <c r="AK1870">
        <v>56.90834021157</v>
      </c>
      <c r="AL1870">
        <v>81.430388862018404</v>
      </c>
      <c r="AM1870">
        <v>74.611697046946603</v>
      </c>
      <c r="AN1870">
        <v>0.99999999871142997</v>
      </c>
    </row>
    <row r="1871" spans="1:40" x14ac:dyDescent="0.25">
      <c r="A1871" t="str">
        <f>"20190303170256650"</f>
        <v>20190303170256650</v>
      </c>
      <c r="B1871" t="str">
        <f>"1551603776637921"</f>
        <v>1551603776637921</v>
      </c>
      <c r="C1871" t="s">
        <v>40</v>
      </c>
      <c r="D1871">
        <v>5.0133210000000004</v>
      </c>
      <c r="E1871">
        <v>0.57267000000000001</v>
      </c>
      <c r="F1871" t="s">
        <v>62</v>
      </c>
      <c r="G1871">
        <v>-256.91559999999998</v>
      </c>
      <c r="H1871">
        <v>8.0000899999999903E-2</v>
      </c>
      <c r="I1871">
        <v>278.83330000000001</v>
      </c>
      <c r="J1871">
        <v>-200.5932</v>
      </c>
      <c r="K1871">
        <v>1.110287</v>
      </c>
      <c r="L1871">
        <v>287.16570000000002</v>
      </c>
      <c r="M1871">
        <v>-0.82833969999999901</v>
      </c>
      <c r="N1871">
        <v>-1.5879150000000002E-2</v>
      </c>
      <c r="O1871">
        <v>-0.56000109999999903</v>
      </c>
      <c r="P1871">
        <v>-0.93627150000000003</v>
      </c>
      <c r="Q1871">
        <v>0.14138199999999901</v>
      </c>
      <c r="R1871">
        <v>-0.32156970000000001</v>
      </c>
      <c r="S1871">
        <v>-3.0617830000000001</v>
      </c>
      <c r="T1871">
        <v>-5.5771830000000001E-2</v>
      </c>
      <c r="U1871">
        <v>-0.45938109999999999</v>
      </c>
      <c r="V1871">
        <v>0.26212580000000002</v>
      </c>
      <c r="W1871">
        <v>0.14948900000000001</v>
      </c>
      <c r="X1871">
        <v>0.95338509999999999</v>
      </c>
      <c r="Y1871">
        <v>0.43082959999999898</v>
      </c>
      <c r="Z1871">
        <v>7.55341E-3</v>
      </c>
      <c r="AA1871">
        <v>0.90240169999999997</v>
      </c>
      <c r="AB1871">
        <v>31</v>
      </c>
      <c r="AC1871">
        <v>-56.322399999999902</v>
      </c>
      <c r="AD1871">
        <v>-1.0302860999999901</v>
      </c>
      <c r="AE1871">
        <v>-8.3323999999999998</v>
      </c>
      <c r="AF1871">
        <v>24.6335882565063</v>
      </c>
      <c r="AG1871">
        <v>-1.0302860999999901</v>
      </c>
      <c r="AH1871">
        <v>51.309901817738101</v>
      </c>
      <c r="AI1871">
        <v>91.0370333725335</v>
      </c>
      <c r="AJ1871">
        <v>64.354605938161498</v>
      </c>
      <c r="AK1871">
        <v>56.926102838547301</v>
      </c>
      <c r="AL1871">
        <v>81.402685663824798</v>
      </c>
      <c r="AM1871">
        <v>74.626827477637306</v>
      </c>
      <c r="AN1871">
        <v>1.00000002252432</v>
      </c>
    </row>
    <row r="1872" spans="1:40" x14ac:dyDescent="0.25">
      <c r="A1872" t="str">
        <f>"20190303170256673"</f>
        <v>20190303170256673</v>
      </c>
      <c r="B1872" t="str">
        <f>"1551603776667201"</f>
        <v>1551603776667201</v>
      </c>
      <c r="C1872" t="s">
        <v>40</v>
      </c>
      <c r="D1872">
        <v>4.991473</v>
      </c>
      <c r="E1872">
        <v>0.57027139999999998</v>
      </c>
      <c r="F1872" t="s">
        <v>62</v>
      </c>
      <c r="G1872">
        <v>-245.36420000000001</v>
      </c>
      <c r="H1872" s="1">
        <v>1.317765E-6</v>
      </c>
      <c r="I1872">
        <v>280.22649999999999</v>
      </c>
      <c r="J1872">
        <v>-200.86660000000001</v>
      </c>
      <c r="K1872">
        <v>1.110174</v>
      </c>
      <c r="L1872">
        <v>286.99689999999998</v>
      </c>
      <c r="M1872">
        <v>-0.83595399999999997</v>
      </c>
      <c r="N1872">
        <v>-1.589869E-2</v>
      </c>
      <c r="O1872">
        <v>-0.54856930000000004</v>
      </c>
      <c r="P1872">
        <v>-0.94016860000000002</v>
      </c>
      <c r="Q1872">
        <v>0.14382300000000001</v>
      </c>
      <c r="R1872">
        <v>-0.30886570000000002</v>
      </c>
      <c r="S1872">
        <v>-3.0530849999999998</v>
      </c>
      <c r="T1872">
        <v>-7.5714110000000001E-2</v>
      </c>
      <c r="U1872">
        <v>-0.4732056</v>
      </c>
      <c r="V1872">
        <v>0.26184380000000002</v>
      </c>
      <c r="W1872">
        <v>0.15187610000000001</v>
      </c>
      <c r="X1872">
        <v>0.95308519999999997</v>
      </c>
      <c r="Y1872">
        <v>0.41390700000000002</v>
      </c>
      <c r="Z1872">
        <v>1.2039630000000001E-2</v>
      </c>
      <c r="AA1872">
        <v>0.91023960000000004</v>
      </c>
      <c r="AB1872">
        <v>31</v>
      </c>
      <c r="AC1872">
        <v>-44.497599999999998</v>
      </c>
      <c r="AD1872">
        <v>-1.110172682235</v>
      </c>
      <c r="AE1872">
        <v>-6.7703999999999898</v>
      </c>
      <c r="AF1872">
        <v>18.741241612317801</v>
      </c>
      <c r="AG1872">
        <v>-1.110172682235</v>
      </c>
      <c r="AH1872">
        <v>40.892271465132197</v>
      </c>
      <c r="AI1872">
        <v>91.4137833196</v>
      </c>
      <c r="AJ1872">
        <v>65.377650413892198</v>
      </c>
      <c r="AK1872">
        <v>44.996049672540401</v>
      </c>
      <c r="AL1872">
        <v>81.264334684955102</v>
      </c>
      <c r="AM1872">
        <v>74.6379808596582</v>
      </c>
      <c r="AN1872">
        <v>0.99999996190434404</v>
      </c>
    </row>
    <row r="1873" spans="1:40" x14ac:dyDescent="0.25">
      <c r="A1873" t="str">
        <f>"20190303170256697"</f>
        <v>20190303170256697</v>
      </c>
      <c r="B1873" t="str">
        <f>"1551603776687697"</f>
        <v>1551603776687697</v>
      </c>
      <c r="C1873" t="s">
        <v>40</v>
      </c>
      <c r="D1873">
        <v>4.9867739999999996</v>
      </c>
      <c r="E1873">
        <v>0.56969040000000004</v>
      </c>
      <c r="F1873" t="s">
        <v>62</v>
      </c>
      <c r="G1873">
        <v>-244.78569999999999</v>
      </c>
      <c r="H1873" s="1">
        <v>1.009898E-6</v>
      </c>
      <c r="I1873">
        <v>280.50380000000001</v>
      </c>
      <c r="J1873">
        <v>-201.1619</v>
      </c>
      <c r="K1873">
        <v>1.1100319999999999</v>
      </c>
      <c r="L1873">
        <v>286.82089999999999</v>
      </c>
      <c r="M1873">
        <v>-0.84409559999999995</v>
      </c>
      <c r="N1873">
        <v>-1.5927219999999999E-2</v>
      </c>
      <c r="O1873">
        <v>-0.53595630000000005</v>
      </c>
      <c r="P1873">
        <v>-0.94388660000000002</v>
      </c>
      <c r="Q1873">
        <v>0.14492529999999901</v>
      </c>
      <c r="R1873">
        <v>-0.29677389999999998</v>
      </c>
      <c r="S1873">
        <v>-3.0543670000000001</v>
      </c>
      <c r="T1873">
        <v>-7.7207330000000005E-2</v>
      </c>
      <c r="U1873">
        <v>-0.45156859999999999</v>
      </c>
      <c r="V1873">
        <v>0.25975949999999998</v>
      </c>
      <c r="W1873">
        <v>0.15297369999999999</v>
      </c>
      <c r="X1873">
        <v>0.95347999999999999</v>
      </c>
      <c r="Y1873">
        <v>0.40658290000000002</v>
      </c>
      <c r="Z1873">
        <v>1.220597E-2</v>
      </c>
      <c r="AA1873">
        <v>0.91353240000000002</v>
      </c>
      <c r="AB1873">
        <v>31</v>
      </c>
      <c r="AC1873">
        <v>-43.623799999999903</v>
      </c>
      <c r="AD1873">
        <v>-1.110030990102</v>
      </c>
      <c r="AE1873">
        <v>-6.3170999999999804</v>
      </c>
      <c r="AF1873">
        <v>18.0390618762986</v>
      </c>
      <c r="AG1873">
        <v>-1.110030990102</v>
      </c>
      <c r="AH1873">
        <v>40.187957526273202</v>
      </c>
      <c r="AI1873">
        <v>91.443481719701396</v>
      </c>
      <c r="AJ1873">
        <v>65.826245314769395</v>
      </c>
      <c r="AK1873">
        <v>44.064859608416498</v>
      </c>
      <c r="AL1873">
        <v>81.200703911270793</v>
      </c>
      <c r="AM1873">
        <v>74.7605711310148</v>
      </c>
      <c r="AN1873">
        <v>1.00000003056596</v>
      </c>
    </row>
    <row r="1874" spans="1:40" x14ac:dyDescent="0.25">
      <c r="A1874" t="str">
        <f>"20190303170256717"</f>
        <v>20190303170256717</v>
      </c>
      <c r="B1874" t="str">
        <f>"1551603776707217"</f>
        <v>1551603776707217</v>
      </c>
      <c r="C1874" t="s">
        <v>40</v>
      </c>
      <c r="D1874">
        <v>4.9851859999999997</v>
      </c>
      <c r="E1874">
        <v>0.56319750000000002</v>
      </c>
      <c r="F1874" t="s">
        <v>62</v>
      </c>
      <c r="G1874">
        <v>-247.10929999999999</v>
      </c>
      <c r="H1874" s="1">
        <v>2.2464030000000001E-6</v>
      </c>
      <c r="I1874">
        <v>280.56670000000003</v>
      </c>
      <c r="J1874">
        <v>-201.416</v>
      </c>
      <c r="K1874">
        <v>1.109877</v>
      </c>
      <c r="L1874">
        <v>286.67450000000002</v>
      </c>
      <c r="M1874">
        <v>-0.85102619999999896</v>
      </c>
      <c r="N1874">
        <v>-1.5956919999999999E-2</v>
      </c>
      <c r="O1874">
        <v>-0.52488080000000004</v>
      </c>
      <c r="P1874">
        <v>-0.94698749999999998</v>
      </c>
      <c r="Q1874">
        <v>0.1442378</v>
      </c>
      <c r="R1874">
        <v>-0.2870722</v>
      </c>
      <c r="S1874">
        <v>-3.058792</v>
      </c>
      <c r="T1874">
        <v>-7.3896530000000002E-2</v>
      </c>
      <c r="U1874">
        <v>-0.41635129999999998</v>
      </c>
      <c r="V1874">
        <v>0.2571698</v>
      </c>
      <c r="W1874">
        <v>0.15230869999999999</v>
      </c>
      <c r="X1874">
        <v>0.95428809999999997</v>
      </c>
      <c r="Y1874">
        <v>0.40516390000000002</v>
      </c>
      <c r="Z1874">
        <v>1.137459E-2</v>
      </c>
      <c r="AA1874">
        <v>0.91417329999999997</v>
      </c>
      <c r="AB1874">
        <v>31</v>
      </c>
      <c r="AC1874">
        <v>-45.693300000000001</v>
      </c>
      <c r="AD1874">
        <v>-1.1098747535969999</v>
      </c>
      <c r="AE1874">
        <v>-6.1077999999999903</v>
      </c>
      <c r="AF1874">
        <v>18.777145641856801</v>
      </c>
      <c r="AG1874">
        <v>-1.1098747535969999</v>
      </c>
      <c r="AH1874">
        <v>42.073033925421498</v>
      </c>
      <c r="AI1874">
        <v>91.379958803225705</v>
      </c>
      <c r="AJ1874">
        <v>65.948849366978607</v>
      </c>
      <c r="AK1874">
        <v>46.086366792293802</v>
      </c>
      <c r="AL1874">
        <v>81.239257222233107</v>
      </c>
      <c r="AM1874">
        <v>74.917736530912094</v>
      </c>
      <c r="AN1874">
        <v>1.0000000119646699</v>
      </c>
    </row>
    <row r="1875" spans="1:40" x14ac:dyDescent="0.25">
      <c r="A1875" t="str">
        <f>"20190303170256739"</f>
        <v>20190303170256739</v>
      </c>
      <c r="B1875" t="str">
        <f>"1551603776727713"</f>
        <v>1551603776727713</v>
      </c>
      <c r="C1875" t="s">
        <v>40</v>
      </c>
      <c r="D1875">
        <v>4.9706010000000003</v>
      </c>
      <c r="E1875">
        <v>0.5620018</v>
      </c>
      <c r="F1875" t="s">
        <v>62</v>
      </c>
      <c r="G1875">
        <v>-238.232</v>
      </c>
      <c r="H1875" s="1">
        <v>2.9837770000000001E-6</v>
      </c>
      <c r="I1875">
        <v>281.41609999999997</v>
      </c>
      <c r="J1875">
        <v>-201.6808</v>
      </c>
      <c r="K1875">
        <v>1.1097170000000001</v>
      </c>
      <c r="L1875">
        <v>286.52690000000001</v>
      </c>
      <c r="M1875">
        <v>-0.8581607</v>
      </c>
      <c r="N1875">
        <v>-1.5991490000000001E-2</v>
      </c>
      <c r="O1875">
        <v>-0.51313220000000004</v>
      </c>
      <c r="P1875">
        <v>-0.95060990000000001</v>
      </c>
      <c r="Q1875">
        <v>0.14169660000000001</v>
      </c>
      <c r="R1875">
        <v>-0.27615790000000001</v>
      </c>
      <c r="S1875">
        <v>-3.0498810000000001</v>
      </c>
      <c r="T1875">
        <v>-9.1943140000000007E-2</v>
      </c>
      <c r="U1875">
        <v>-0.43560789999999999</v>
      </c>
      <c r="V1875">
        <v>0.25520559999999998</v>
      </c>
      <c r="W1875">
        <v>0.149779</v>
      </c>
      <c r="X1875">
        <v>0.95521529999999999</v>
      </c>
      <c r="Y1875">
        <v>0.38640069999999999</v>
      </c>
      <c r="Z1875">
        <v>1.501225E-2</v>
      </c>
      <c r="AA1875">
        <v>0.92220880000000005</v>
      </c>
      <c r="AB1875">
        <v>31</v>
      </c>
      <c r="AC1875">
        <v>-36.551200000000001</v>
      </c>
      <c r="AD1875">
        <v>-1.1097140162229999</v>
      </c>
      <c r="AE1875">
        <v>-5.1108000000000402</v>
      </c>
      <c r="AF1875">
        <v>14.358565084978901</v>
      </c>
      <c r="AG1875">
        <v>-1.1097140162229999</v>
      </c>
      <c r="AH1875">
        <v>33.962957945604302</v>
      </c>
      <c r="AI1875">
        <v>91.723808154375305</v>
      </c>
      <c r="AJ1875">
        <v>67.082751887734702</v>
      </c>
      <c r="AK1875">
        <v>36.890139182608998</v>
      </c>
      <c r="AL1875">
        <v>81.385880130502798</v>
      </c>
      <c r="AM1875">
        <v>75.041621161401693</v>
      </c>
      <c r="AN1875">
        <v>0.99999995823322396</v>
      </c>
    </row>
    <row r="1876" spans="1:40" x14ac:dyDescent="0.25">
      <c r="A1876" t="str">
        <f>"20190303170256762"</f>
        <v>20190303170256762</v>
      </c>
      <c r="B1876" t="str">
        <f>"1551603776757969"</f>
        <v>1551603776757969</v>
      </c>
      <c r="C1876" t="s">
        <v>40</v>
      </c>
      <c r="D1876">
        <v>4.9782929999999999</v>
      </c>
      <c r="E1876">
        <v>0.55329439999999996</v>
      </c>
      <c r="F1876" t="s">
        <v>62</v>
      </c>
      <c r="G1876">
        <v>-234.0668</v>
      </c>
      <c r="H1876" s="1">
        <v>7.3478879999999997E-7</v>
      </c>
      <c r="I1876">
        <v>282.15820000000002</v>
      </c>
      <c r="J1876">
        <v>-201.96270000000001</v>
      </c>
      <c r="K1876">
        <v>1.109551</v>
      </c>
      <c r="L1876">
        <v>286.37520000000001</v>
      </c>
      <c r="M1876">
        <v>-0.86565340000000002</v>
      </c>
      <c r="N1876">
        <v>-1.6029180000000001E-2</v>
      </c>
      <c r="O1876">
        <v>-0.50038729999999998</v>
      </c>
      <c r="P1876">
        <v>-0.95486819999999895</v>
      </c>
      <c r="Q1876">
        <v>0.13957240000000001</v>
      </c>
      <c r="R1876">
        <v>-0.26219550000000003</v>
      </c>
      <c r="S1876">
        <v>-3.0518649999999998</v>
      </c>
      <c r="T1876">
        <v>-0.10457320000000001</v>
      </c>
      <c r="U1876">
        <v>-0.4116821</v>
      </c>
      <c r="V1876">
        <v>0.25523610000000002</v>
      </c>
      <c r="W1876">
        <v>0.14759710000000001</v>
      </c>
      <c r="X1876">
        <v>0.95554669999999997</v>
      </c>
      <c r="Y1876">
        <v>0.37984820000000002</v>
      </c>
      <c r="Z1876">
        <v>1.7506049999999999E-2</v>
      </c>
      <c r="AA1876">
        <v>0.92488320000000002</v>
      </c>
      <c r="AB1876">
        <v>31</v>
      </c>
      <c r="AC1876">
        <v>-32.104099999999903</v>
      </c>
      <c r="AD1876">
        <v>-1.1095502652111999</v>
      </c>
      <c r="AE1876">
        <v>-4.2169999999999801</v>
      </c>
      <c r="AF1876">
        <v>12.4010560601235</v>
      </c>
      <c r="AG1876">
        <v>-1.1095502652111999</v>
      </c>
      <c r="AH1876">
        <v>29.8699223423259</v>
      </c>
      <c r="AI1876">
        <v>91.964869887692501</v>
      </c>
      <c r="AJ1876">
        <v>67.453306023059895</v>
      </c>
      <c r="AK1876">
        <v>32.3609263454237</v>
      </c>
      <c r="AL1876">
        <v>81.5122988648031</v>
      </c>
      <c r="AM1876">
        <v>75.044869520232496</v>
      </c>
      <c r="AN1876">
        <v>0.99999993327625203</v>
      </c>
    </row>
    <row r="1877" spans="1:40" x14ac:dyDescent="0.25">
      <c r="A1877" t="str">
        <f>"20190303170256785"</f>
        <v>20190303170256785</v>
      </c>
      <c r="B1877" t="str">
        <f>"1551603776777489"</f>
        <v>1551603776777489</v>
      </c>
      <c r="C1877" t="s">
        <v>40</v>
      </c>
      <c r="D1877">
        <v>4.9722949999999999</v>
      </c>
      <c r="E1877">
        <v>0.55256749999999999</v>
      </c>
      <c r="F1877" t="s">
        <v>62</v>
      </c>
      <c r="G1877">
        <v>-221.93889999999999</v>
      </c>
      <c r="H1877" s="1">
        <v>-5.0502279999999899E-7</v>
      </c>
      <c r="I1877">
        <v>283.48790000000002</v>
      </c>
      <c r="J1877">
        <v>-202.25210000000001</v>
      </c>
      <c r="K1877">
        <v>1.109394</v>
      </c>
      <c r="L1877">
        <v>286.2253</v>
      </c>
      <c r="M1877">
        <v>-0.87323109999999904</v>
      </c>
      <c r="N1877">
        <v>-1.6070149999999998E-2</v>
      </c>
      <c r="O1877">
        <v>-0.48704140000000001</v>
      </c>
      <c r="P1877">
        <v>-0.95838520000000005</v>
      </c>
      <c r="Q1877">
        <v>0.13981759999999999</v>
      </c>
      <c r="R1877">
        <v>-0.24889610000000001</v>
      </c>
      <c r="S1877">
        <v>-3.0456539999999999</v>
      </c>
      <c r="T1877">
        <v>-0.16916729999999899</v>
      </c>
      <c r="U1877">
        <v>-0.4402161</v>
      </c>
      <c r="V1877">
        <v>0.25390200000000002</v>
      </c>
      <c r="W1877">
        <v>0.1478226</v>
      </c>
      <c r="X1877">
        <v>0.95586729999999998</v>
      </c>
      <c r="Y1877">
        <v>0.35617090000000001</v>
      </c>
      <c r="Z1877">
        <v>3.0349210000000001E-2</v>
      </c>
      <c r="AA1877">
        <v>0.93392779999999997</v>
      </c>
      <c r="AB1877">
        <v>31</v>
      </c>
      <c r="AC1877">
        <v>-19.686799999999899</v>
      </c>
      <c r="AD1877">
        <v>-1.1093945050228</v>
      </c>
      <c r="AE1877">
        <v>-2.7373999999999801</v>
      </c>
      <c r="AF1877">
        <v>7.1764758167086402</v>
      </c>
      <c r="AG1877">
        <v>-1.1093945050228</v>
      </c>
      <c r="AH1877">
        <v>18.469206550001601</v>
      </c>
      <c r="AI1877">
        <v>93.204593118077497</v>
      </c>
      <c r="AJ1877">
        <v>68.765646675996706</v>
      </c>
      <c r="AK1877">
        <v>19.845507096121299</v>
      </c>
      <c r="AL1877">
        <v>81.4992361194398</v>
      </c>
      <c r="AM1877">
        <v>75.124332083505706</v>
      </c>
      <c r="AN1877">
        <v>1.0000000209420199</v>
      </c>
    </row>
    <row r="1878" spans="1:40" x14ac:dyDescent="0.25">
      <c r="A1878" t="str">
        <f>"20190303170256807"</f>
        <v>20190303170256807</v>
      </c>
      <c r="B1878" t="str">
        <f>"1551603776797985"</f>
        <v>1551603776797985</v>
      </c>
      <c r="C1878" t="s">
        <v>40</v>
      </c>
      <c r="D1878">
        <v>5.053401</v>
      </c>
      <c r="E1878">
        <v>0.55136059999999998</v>
      </c>
      <c r="F1878" t="s">
        <v>62</v>
      </c>
      <c r="G1878">
        <v>-222.6054</v>
      </c>
      <c r="H1878" s="1">
        <v>-1.503486E-7</v>
      </c>
      <c r="I1878">
        <v>283.54379999999998</v>
      </c>
      <c r="J1878">
        <v>-202.53309999999999</v>
      </c>
      <c r="K1878">
        <v>1.109226</v>
      </c>
      <c r="L1878">
        <v>286.08519999999999</v>
      </c>
      <c r="M1878">
        <v>-0.8804786</v>
      </c>
      <c r="N1878">
        <v>-1.611448E-2</v>
      </c>
      <c r="O1878">
        <v>-0.47381180000000001</v>
      </c>
      <c r="P1878">
        <v>-0.96116360000000001</v>
      </c>
      <c r="Q1878">
        <v>0.14112239999999901</v>
      </c>
      <c r="R1878">
        <v>-0.2371685</v>
      </c>
      <c r="S1878">
        <v>-3.0501710000000002</v>
      </c>
      <c r="T1878">
        <v>-0.1662555</v>
      </c>
      <c r="U1878">
        <v>-0.40185549999999998</v>
      </c>
      <c r="V1878">
        <v>0.25116549999999999</v>
      </c>
      <c r="W1878">
        <v>0.14915419999999999</v>
      </c>
      <c r="X1878">
        <v>0.95638319999999999</v>
      </c>
      <c r="Y1878">
        <v>0.35384490000000002</v>
      </c>
      <c r="Z1878">
        <v>2.9244869999999999E-2</v>
      </c>
      <c r="AA1878">
        <v>0.93484679999999998</v>
      </c>
      <c r="AB1878">
        <v>31</v>
      </c>
      <c r="AC1878">
        <v>-20.072299999999998</v>
      </c>
      <c r="AD1878">
        <v>-1.1092261503486001</v>
      </c>
      <c r="AE1878">
        <v>-2.5413999999999999</v>
      </c>
      <c r="AF1878">
        <v>7.2519922680122999</v>
      </c>
      <c r="AG1878">
        <v>-1.1092261503486001</v>
      </c>
      <c r="AH1878">
        <v>18.823252484934301</v>
      </c>
      <c r="AI1878">
        <v>93.147446845822103</v>
      </c>
      <c r="AJ1878">
        <v>68.929934675966095</v>
      </c>
      <c r="AK1878">
        <v>20.2023911609372</v>
      </c>
      <c r="AL1878">
        <v>81.422085203578803</v>
      </c>
      <c r="AM1878">
        <v>75.285255948788105</v>
      </c>
      <c r="AN1878">
        <v>0.99999995450506396</v>
      </c>
    </row>
    <row r="1879" spans="1:40" x14ac:dyDescent="0.25">
      <c r="A1879" t="str">
        <f>"20190303170256831"</f>
        <v>20190303170256831</v>
      </c>
      <c r="B1879" t="str">
        <f>"1551603776817505"</f>
        <v>1551603776817505</v>
      </c>
      <c r="C1879" t="s">
        <v>40</v>
      </c>
      <c r="D1879">
        <v>5.0057229999999997</v>
      </c>
      <c r="E1879">
        <v>0.55118739999999999</v>
      </c>
      <c r="F1879" t="s">
        <v>62</v>
      </c>
      <c r="G1879">
        <v>-225.1129</v>
      </c>
      <c r="H1879" s="1">
        <v>1.184045E-6</v>
      </c>
      <c r="I1879">
        <v>283.33479999999997</v>
      </c>
      <c r="J1879">
        <v>-202.8227</v>
      </c>
      <c r="K1879">
        <v>1.1090260000000001</v>
      </c>
      <c r="L1879">
        <v>285.94659999999999</v>
      </c>
      <c r="M1879">
        <v>-0.88782419999999995</v>
      </c>
      <c r="N1879">
        <v>-1.6165519999999999E-2</v>
      </c>
      <c r="O1879">
        <v>-0.45989869999999999</v>
      </c>
      <c r="P1879">
        <v>-0.96422209999999997</v>
      </c>
      <c r="Q1879">
        <v>0.1406799</v>
      </c>
      <c r="R1879">
        <v>-0.22468859999999999</v>
      </c>
      <c r="S1879">
        <v>-3.0515140000000001</v>
      </c>
      <c r="T1879">
        <v>-0.14990479999999901</v>
      </c>
      <c r="U1879">
        <v>-0.37170409999999998</v>
      </c>
      <c r="V1879">
        <v>0.24859629999999999</v>
      </c>
      <c r="W1879">
        <v>0.14873499999999901</v>
      </c>
      <c r="X1879">
        <v>0.95711950000000001</v>
      </c>
      <c r="Y1879">
        <v>0.34847040000000001</v>
      </c>
      <c r="Z1879">
        <v>2.534875E-2</v>
      </c>
      <c r="AA1879">
        <v>0.93697699999999995</v>
      </c>
      <c r="AB1879">
        <v>31</v>
      </c>
      <c r="AC1879">
        <v>-22.290199999999999</v>
      </c>
      <c r="AD1879">
        <v>-1.109024815955</v>
      </c>
      <c r="AE1879">
        <v>-2.6118000000000099</v>
      </c>
      <c r="AF1879">
        <v>7.9141259182347596</v>
      </c>
      <c r="AG1879">
        <v>-1.109024815955</v>
      </c>
      <c r="AH1879">
        <v>20.942546051944799</v>
      </c>
      <c r="AI1879">
        <v>92.835915419329396</v>
      </c>
      <c r="AJ1879">
        <v>69.298570280418303</v>
      </c>
      <c r="AK1879">
        <v>22.415475909065801</v>
      </c>
      <c r="AL1879">
        <v>81.446374740497902</v>
      </c>
      <c r="AM1879">
        <v>75.4400702522789</v>
      </c>
      <c r="AN1879">
        <v>0.99999997893946901</v>
      </c>
    </row>
    <row r="1880" spans="1:40" x14ac:dyDescent="0.25">
      <c r="A1880" t="str">
        <f>"20190303170256850"</f>
        <v>20190303170256850</v>
      </c>
      <c r="B1880" t="str">
        <f>"1551603776837025"</f>
        <v>1551603776837025</v>
      </c>
      <c r="C1880" t="s">
        <v>40</v>
      </c>
      <c r="D1880">
        <v>4.9566589999999904</v>
      </c>
      <c r="E1880">
        <v>0.55023829999999996</v>
      </c>
      <c r="F1880" t="s">
        <v>62</v>
      </c>
      <c r="G1880">
        <v>-225.6703</v>
      </c>
      <c r="H1880" s="1">
        <v>1.48066E-6</v>
      </c>
      <c r="I1880">
        <v>283.45400000000001</v>
      </c>
      <c r="J1880">
        <v>-203.0736</v>
      </c>
      <c r="K1880">
        <v>1.1088389999999999</v>
      </c>
      <c r="L1880">
        <v>285.83120000000002</v>
      </c>
      <c r="M1880">
        <v>-0.89409089999999902</v>
      </c>
      <c r="N1880">
        <v>-1.6214490000000002E-2</v>
      </c>
      <c r="O1880">
        <v>-0.44759209999999999</v>
      </c>
      <c r="P1880">
        <v>-0.96710289999999999</v>
      </c>
      <c r="Q1880">
        <v>0.1388904</v>
      </c>
      <c r="R1880">
        <v>-0.2131238</v>
      </c>
      <c r="S1880">
        <v>-3.0552670000000002</v>
      </c>
      <c r="T1880">
        <v>-0.14830279999999901</v>
      </c>
      <c r="U1880">
        <v>-0.33331300000000003</v>
      </c>
      <c r="V1880">
        <v>0.2469624</v>
      </c>
      <c r="W1880">
        <v>0.1469491</v>
      </c>
      <c r="X1880">
        <v>0.95781810000000001</v>
      </c>
      <c r="Y1880">
        <v>0.34730640000000002</v>
      </c>
      <c r="Z1880">
        <v>2.4660049999999999E-2</v>
      </c>
      <c r="AA1880">
        <v>0.93742740000000002</v>
      </c>
      <c r="AB1880">
        <v>31</v>
      </c>
      <c r="AC1880">
        <v>-22.596699999999998</v>
      </c>
      <c r="AD1880">
        <v>-1.10883751934</v>
      </c>
      <c r="AE1880">
        <v>-2.37720000000001</v>
      </c>
      <c r="AF1880">
        <v>7.9707383602173003</v>
      </c>
      <c r="AG1880">
        <v>-1.10883751934</v>
      </c>
      <c r="AH1880">
        <v>21.219777949793801</v>
      </c>
      <c r="AI1880">
        <v>92.800544759330407</v>
      </c>
      <c r="AJ1880">
        <v>69.412426043303697</v>
      </c>
      <c r="AK1880">
        <v>22.69451843265</v>
      </c>
      <c r="AL1880">
        <v>81.549836314363304</v>
      </c>
      <c r="AM1880">
        <v>75.541846763297599</v>
      </c>
      <c r="AN1880">
        <v>0.99999998884608898</v>
      </c>
    </row>
    <row r="1881" spans="1:40" x14ac:dyDescent="0.25">
      <c r="A1881" t="str">
        <f>"20190303170256874"</f>
        <v>20190303170256874</v>
      </c>
      <c r="B1881" t="str">
        <f>"1551603776867281"</f>
        <v>1551603776867281</v>
      </c>
      <c r="C1881" t="s">
        <v>40</v>
      </c>
      <c r="D1881">
        <v>5.1150529999999996</v>
      </c>
      <c r="E1881">
        <v>0.54906100000000002</v>
      </c>
      <c r="F1881" t="s">
        <v>62</v>
      </c>
      <c r="G1881">
        <v>-225.0737</v>
      </c>
      <c r="H1881" s="1">
        <v>1.163155E-6</v>
      </c>
      <c r="I1881">
        <v>283.63740000000001</v>
      </c>
      <c r="J1881">
        <v>-203.36349999999999</v>
      </c>
      <c r="K1881">
        <v>1.108636</v>
      </c>
      <c r="L1881">
        <v>285.70319999999998</v>
      </c>
      <c r="M1881">
        <v>-0.90119590000000005</v>
      </c>
      <c r="N1881">
        <v>-1.6274779999999999E-2</v>
      </c>
      <c r="O1881">
        <v>-0.4331063</v>
      </c>
      <c r="P1881">
        <v>-0.9699932</v>
      </c>
      <c r="Q1881">
        <v>0.13891970000000001</v>
      </c>
      <c r="R1881">
        <v>-0.19953499999999999</v>
      </c>
      <c r="S1881">
        <v>-3.0569920000000002</v>
      </c>
      <c r="T1881">
        <v>-0.154077399999999</v>
      </c>
      <c r="U1881">
        <v>-0.3048401</v>
      </c>
      <c r="V1881">
        <v>0.24501419999999999</v>
      </c>
      <c r="W1881">
        <v>0.146984</v>
      </c>
      <c r="X1881">
        <v>0.95831299999999997</v>
      </c>
      <c r="Y1881">
        <v>0.34081739999999999</v>
      </c>
      <c r="Z1881">
        <v>2.517641E-2</v>
      </c>
      <c r="AA1881">
        <v>0.93979230000000002</v>
      </c>
      <c r="AB1881">
        <v>31</v>
      </c>
      <c r="AC1881">
        <v>-21.7102</v>
      </c>
      <c r="AD1881">
        <v>-1.1086348368450001</v>
      </c>
      <c r="AE1881">
        <v>-2.0657999999999599</v>
      </c>
      <c r="AF1881">
        <v>7.5226923256459104</v>
      </c>
      <c r="AG1881">
        <v>-1.1086348368450001</v>
      </c>
      <c r="AH1881">
        <v>20.409820367018401</v>
      </c>
      <c r="AI1881">
        <v>92.917664452191005</v>
      </c>
      <c r="AJ1881">
        <v>69.7670216918536</v>
      </c>
      <c r="AK1881">
        <v>21.7802832498055</v>
      </c>
      <c r="AL1881">
        <v>81.547815092500002</v>
      </c>
      <c r="AM1881">
        <v>75.658279619842006</v>
      </c>
      <c r="AN1881">
        <v>1.0000000302133101</v>
      </c>
    </row>
    <row r="1882" spans="1:40" x14ac:dyDescent="0.25">
      <c r="A1882" t="str">
        <f>"20190303170256896"</f>
        <v>20190303170256896</v>
      </c>
      <c r="B1882" t="str">
        <f>"1551603776887777"</f>
        <v>1551603776887777</v>
      </c>
      <c r="C1882" t="s">
        <v>40</v>
      </c>
      <c r="D1882">
        <v>4.9344229999999998</v>
      </c>
      <c r="E1882">
        <v>0.54810789999999998</v>
      </c>
      <c r="F1882" t="s">
        <v>62</v>
      </c>
      <c r="G1882">
        <v>-224.06020000000001</v>
      </c>
      <c r="H1882" s="1">
        <v>6.2386429999999996E-7</v>
      </c>
      <c r="I1882">
        <v>283.86750000000001</v>
      </c>
      <c r="J1882">
        <v>-203.6601</v>
      </c>
      <c r="K1882">
        <v>1.108444</v>
      </c>
      <c r="L1882">
        <v>285.57859999999999</v>
      </c>
      <c r="M1882">
        <v>-0.90830690000000003</v>
      </c>
      <c r="N1882">
        <v>-1.6339840000000001E-2</v>
      </c>
      <c r="O1882">
        <v>-0.41798560000000001</v>
      </c>
      <c r="P1882">
        <v>-0.97217450000000005</v>
      </c>
      <c r="Q1882">
        <v>0.14178089999999999</v>
      </c>
      <c r="R1882">
        <v>-0.18648139999999999</v>
      </c>
      <c r="S1882">
        <v>-3.0604399999999998</v>
      </c>
      <c r="T1882">
        <v>-0.16393489999999999</v>
      </c>
      <c r="U1882">
        <v>-0.27145390000000003</v>
      </c>
      <c r="V1882">
        <v>0.24186460000000001</v>
      </c>
      <c r="W1882">
        <v>0.1498939</v>
      </c>
      <c r="X1882">
        <v>0.95866229999999997</v>
      </c>
      <c r="Y1882">
        <v>0.33527899999999999</v>
      </c>
      <c r="Z1882">
        <v>2.6386099999999999E-2</v>
      </c>
      <c r="AA1882">
        <v>0.94174930000000001</v>
      </c>
      <c r="AB1882">
        <v>31</v>
      </c>
      <c r="AC1882">
        <v>-20.400099999999998</v>
      </c>
      <c r="AD1882">
        <v>-1.1084433761357</v>
      </c>
      <c r="AE1882">
        <v>-1.7110999999999801</v>
      </c>
      <c r="AF1882">
        <v>6.9532889300858098</v>
      </c>
      <c r="AG1882">
        <v>-1.1084433761357</v>
      </c>
      <c r="AH1882">
        <v>19.1910704958987</v>
      </c>
      <c r="AI1882">
        <v>93.108325485146906</v>
      </c>
      <c r="AJ1882">
        <v>70.083587359552098</v>
      </c>
      <c r="AK1882">
        <v>20.4419681156661</v>
      </c>
      <c r="AL1882">
        <v>81.379222349553402</v>
      </c>
      <c r="AM1882">
        <v>75.8401267226957</v>
      </c>
      <c r="AN1882">
        <v>1.0000000357158201</v>
      </c>
    </row>
    <row r="1883" spans="1:40" x14ac:dyDescent="0.25">
      <c r="A1883" t="str">
        <f>"20190303170256918"</f>
        <v>20190303170256918</v>
      </c>
      <c r="B1883" t="str">
        <f>"1551603776907298"</f>
        <v>1551603776907298</v>
      </c>
      <c r="C1883" t="s">
        <v>40</v>
      </c>
      <c r="D1883">
        <v>5.0244600000000004</v>
      </c>
      <c r="E1883">
        <v>0.54725880000000005</v>
      </c>
      <c r="F1883" t="s">
        <v>62</v>
      </c>
      <c r="G1883">
        <v>-225.98939999999999</v>
      </c>
      <c r="H1883" s="1">
        <v>1.6504610000000001E-6</v>
      </c>
      <c r="I1883">
        <v>283.85469999999998</v>
      </c>
      <c r="J1883">
        <v>-203.93889999999999</v>
      </c>
      <c r="K1883">
        <v>1.108271</v>
      </c>
      <c r="L1883">
        <v>285.46699999999998</v>
      </c>
      <c r="M1883">
        <v>-0.91483619999999999</v>
      </c>
      <c r="N1883">
        <v>-1.6402480000000001E-2</v>
      </c>
      <c r="O1883">
        <v>-0.40349210000000002</v>
      </c>
      <c r="P1883">
        <v>-0.97395350000000003</v>
      </c>
      <c r="Q1883">
        <v>0.14493510000000001</v>
      </c>
      <c r="R1883">
        <v>-0.17438020000000001</v>
      </c>
      <c r="S1883">
        <v>-3.0627140000000002</v>
      </c>
      <c r="T1883">
        <v>-0.15203510000000001</v>
      </c>
      <c r="U1883">
        <v>-0.2364502</v>
      </c>
      <c r="V1883">
        <v>0.2385179</v>
      </c>
      <c r="W1883">
        <v>0.15311549999999999</v>
      </c>
      <c r="X1883">
        <v>0.95899160000000006</v>
      </c>
      <c r="Y1883">
        <v>0.33119290000000001</v>
      </c>
      <c r="Z1883">
        <v>2.3613579999999999E-2</v>
      </c>
      <c r="AA1883">
        <v>0.94326750000000004</v>
      </c>
      <c r="AB1883">
        <v>30</v>
      </c>
      <c r="AC1883">
        <v>-22.0505</v>
      </c>
      <c r="AD1883">
        <v>-1.1082693495389999</v>
      </c>
      <c r="AE1883">
        <v>-1.6123000000000001</v>
      </c>
      <c r="AF1883">
        <v>7.4046046468222002</v>
      </c>
      <c r="AG1883">
        <v>-1.1082693495389999</v>
      </c>
      <c r="AH1883">
        <v>20.7737477947359</v>
      </c>
      <c r="AI1883">
        <v>92.876844345891399</v>
      </c>
      <c r="AJ1883">
        <v>70.3818746937866</v>
      </c>
      <c r="AK1883">
        <v>22.0817804618686</v>
      </c>
      <c r="AL1883">
        <v>81.192482394866701</v>
      </c>
      <c r="AM1883">
        <v>76.032941998856302</v>
      </c>
      <c r="AN1883">
        <v>1.0000000169156</v>
      </c>
    </row>
    <row r="1884" spans="1:40" x14ac:dyDescent="0.25">
      <c r="A1884" t="str">
        <f>"20190303170256940"</f>
        <v>20190303170256940</v>
      </c>
      <c r="B1884" t="str">
        <f>"1551603776927793"</f>
        <v>1551603776927793</v>
      </c>
      <c r="C1884" t="s">
        <v>40</v>
      </c>
      <c r="D1884">
        <v>5.1168069999999997</v>
      </c>
      <c r="E1884">
        <v>0.54625849999999998</v>
      </c>
      <c r="F1884" t="s">
        <v>62</v>
      </c>
      <c r="G1884">
        <v>-228.2988</v>
      </c>
      <c r="H1884" s="1">
        <v>2.8794349999999998E-6</v>
      </c>
      <c r="I1884">
        <v>283.83940000000001</v>
      </c>
      <c r="J1884">
        <v>-204.21940000000001</v>
      </c>
      <c r="K1884">
        <v>1.1081019999999999</v>
      </c>
      <c r="L1884">
        <v>285.36020000000002</v>
      </c>
      <c r="M1884">
        <v>-0.92122210000000004</v>
      </c>
      <c r="N1884">
        <v>-1.6464610000000001E-2</v>
      </c>
      <c r="O1884">
        <v>-0.38868849999999999</v>
      </c>
      <c r="P1884">
        <v>-0.97606619999999999</v>
      </c>
      <c r="Q1884">
        <v>0.1457946</v>
      </c>
      <c r="R1884">
        <v>-0.1613656</v>
      </c>
      <c r="S1884">
        <v>-3.0643159999999998</v>
      </c>
      <c r="T1884">
        <v>-0.13941300000000001</v>
      </c>
      <c r="U1884">
        <v>-0.20474239999999999</v>
      </c>
      <c r="V1884">
        <v>0.23589160000000001</v>
      </c>
      <c r="W1884">
        <v>0.1540329</v>
      </c>
      <c r="X1884">
        <v>0.95949419999999996</v>
      </c>
      <c r="Y1884">
        <v>0.32585779999999998</v>
      </c>
      <c r="Z1884">
        <v>2.0782180000000001E-2</v>
      </c>
      <c r="AA1884">
        <v>0.94519030000000004</v>
      </c>
      <c r="AB1884">
        <v>30</v>
      </c>
      <c r="AC1884">
        <v>-24.0794</v>
      </c>
      <c r="AD1884">
        <v>-1.1080991205649999</v>
      </c>
      <c r="AE1884">
        <v>-1.5207999999999999</v>
      </c>
      <c r="AF1884">
        <v>7.9427167267103602</v>
      </c>
      <c r="AG1884">
        <v>-1.1080991205649999</v>
      </c>
      <c r="AH1884">
        <v>22.728738829581101</v>
      </c>
      <c r="AI1884">
        <v>92.635116716892696</v>
      </c>
      <c r="AJ1884">
        <v>70.737675182876799</v>
      </c>
      <c r="AK1884">
        <v>24.102078778501099</v>
      </c>
      <c r="AL1884">
        <v>81.139288509585697</v>
      </c>
      <c r="AM1884">
        <v>76.187767466484502</v>
      </c>
      <c r="AN1884">
        <v>1.0000000505333</v>
      </c>
    </row>
    <row r="1885" spans="1:40" x14ac:dyDescent="0.25">
      <c r="A1885" t="str">
        <f>"20190303170256963"</f>
        <v>20190303170256963</v>
      </c>
      <c r="B1885" t="str">
        <f>"1551603776957073"</f>
        <v>1551603776957073</v>
      </c>
      <c r="C1885" t="s">
        <v>40</v>
      </c>
      <c r="D1885">
        <v>5.1230440000000002</v>
      </c>
      <c r="E1885">
        <v>0.54523469999999996</v>
      </c>
      <c r="F1885" t="s">
        <v>62</v>
      </c>
      <c r="G1885">
        <v>-229.09209999999999</v>
      </c>
      <c r="H1885" s="1">
        <v>3.3015480000000001E-6</v>
      </c>
      <c r="I1885">
        <v>283.95139999999998</v>
      </c>
      <c r="J1885">
        <v>-204.52279999999999</v>
      </c>
      <c r="K1885">
        <v>1.1079490000000001</v>
      </c>
      <c r="L1885">
        <v>285.25049999999999</v>
      </c>
      <c r="M1885">
        <v>-0.92791380000000001</v>
      </c>
      <c r="N1885">
        <v>-1.6528330000000001E-2</v>
      </c>
      <c r="O1885">
        <v>-0.37242809999999998</v>
      </c>
      <c r="P1885">
        <v>-0.97814749999999995</v>
      </c>
      <c r="Q1885">
        <v>0.14528099999999999</v>
      </c>
      <c r="R1885">
        <v>-0.14873069999999999</v>
      </c>
      <c r="S1885">
        <v>-3.0652469999999998</v>
      </c>
      <c r="T1885">
        <v>-0.1365594</v>
      </c>
      <c r="U1885">
        <v>-0.1736145</v>
      </c>
      <c r="V1885">
        <v>0.231489</v>
      </c>
      <c r="W1885">
        <v>0.15365219999999999</v>
      </c>
      <c r="X1885">
        <v>0.9606268</v>
      </c>
      <c r="Y1885">
        <v>0.31884570000000001</v>
      </c>
      <c r="Z1885">
        <v>1.9669869999999999E-2</v>
      </c>
      <c r="AA1885">
        <v>0.94760250000000001</v>
      </c>
      <c r="AB1885">
        <v>30</v>
      </c>
      <c r="AC1885">
        <v>-24.569299999999998</v>
      </c>
      <c r="AD1885">
        <v>-1.107945698452</v>
      </c>
      <c r="AE1885">
        <v>-1.2991000000000099</v>
      </c>
      <c r="AF1885">
        <v>7.9298500858920304</v>
      </c>
      <c r="AG1885">
        <v>-1.107945698452</v>
      </c>
      <c r="AH1885">
        <v>23.238072237369298</v>
      </c>
      <c r="AI1885">
        <v>92.583612539924999</v>
      </c>
      <c r="AJ1885">
        <v>71.158106602422507</v>
      </c>
      <c r="AK1885">
        <v>24.5788133839824</v>
      </c>
      <c r="AL1885">
        <v>81.161363380148103</v>
      </c>
      <c r="AM1885">
        <v>76.451347207159799</v>
      </c>
      <c r="AN1885">
        <v>1.0000000022820399</v>
      </c>
    </row>
    <row r="1886" spans="1:40" x14ac:dyDescent="0.25">
      <c r="A1886" t="str">
        <f>"20190303170256997"</f>
        <v>20190303170256997</v>
      </c>
      <c r="B1886" t="str">
        <f>"1551603776988306"</f>
        <v>1551603776988306</v>
      </c>
      <c r="C1886" t="s">
        <v>40</v>
      </c>
      <c r="D1886">
        <v>5.1205400000000001</v>
      </c>
      <c r="E1886">
        <v>0.53247489999999997</v>
      </c>
      <c r="F1886" t="s">
        <v>62</v>
      </c>
      <c r="G1886">
        <v>-229.13079999999999</v>
      </c>
      <c r="H1886" s="1">
        <v>3.3221700000000002E-6</v>
      </c>
      <c r="I1886">
        <v>284.09879999999998</v>
      </c>
      <c r="J1886">
        <v>-204.9605</v>
      </c>
      <c r="K1886">
        <v>1.107745</v>
      </c>
      <c r="L1886">
        <v>285.1028</v>
      </c>
      <c r="M1886">
        <v>-0.93713230000000003</v>
      </c>
      <c r="N1886">
        <v>-1.6612720000000001E-2</v>
      </c>
      <c r="O1886">
        <v>-0.34857870000000002</v>
      </c>
      <c r="P1886">
        <v>-0.98096360000000005</v>
      </c>
      <c r="Q1886">
        <v>0.14354819999999999</v>
      </c>
      <c r="R1886">
        <v>-0.13078310000000001</v>
      </c>
      <c r="S1886">
        <v>-3.0657040000000002</v>
      </c>
      <c r="T1886">
        <v>-0.13802970000000001</v>
      </c>
      <c r="U1886">
        <v>-0.1434937</v>
      </c>
      <c r="V1886">
        <v>0.22461590000000001</v>
      </c>
      <c r="W1886">
        <v>0.15214710000000001</v>
      </c>
      <c r="X1886">
        <v>0.96249620000000002</v>
      </c>
      <c r="Y1886">
        <v>0.30387989999999998</v>
      </c>
      <c r="Z1886">
        <v>1.8861470000000002E-2</v>
      </c>
      <c r="AA1886">
        <v>0.95252360000000003</v>
      </c>
      <c r="AB1886">
        <v>30</v>
      </c>
      <c r="AC1886">
        <v>-24.170300000000001</v>
      </c>
      <c r="AD1886">
        <v>-1.10774167783</v>
      </c>
      <c r="AE1886">
        <v>-1.00400000000001</v>
      </c>
      <c r="AF1886">
        <v>7.4697409518299498</v>
      </c>
      <c r="AG1886">
        <v>-1.10774167783</v>
      </c>
      <c r="AH1886">
        <v>22.955781460313599</v>
      </c>
      <c r="AI1886">
        <v>92.627301288059897</v>
      </c>
      <c r="AJ1886">
        <v>71.975270745799406</v>
      </c>
      <c r="AK1886">
        <v>24.1659269213065</v>
      </c>
      <c r="AL1886">
        <v>81.2486251979401</v>
      </c>
      <c r="AM1886">
        <v>76.864089111093705</v>
      </c>
      <c r="AN1886">
        <v>0.99999998879282903</v>
      </c>
    </row>
    <row r="1887" spans="1:40" x14ac:dyDescent="0.25">
      <c r="A1887" t="str">
        <f>"20190303170257020"</f>
        <v>20190303170257020</v>
      </c>
      <c r="B1887" t="str">
        <f>"1551603777007825"</f>
        <v>1551603777007825</v>
      </c>
      <c r="C1887" t="s">
        <v>40</v>
      </c>
      <c r="D1887">
        <v>5.0672180000000004</v>
      </c>
      <c r="E1887">
        <v>0.53223659999999995</v>
      </c>
      <c r="F1887" t="s">
        <v>62</v>
      </c>
      <c r="G1887">
        <v>-229.25620000000001</v>
      </c>
      <c r="H1887" s="1">
        <v>3.3888789999999999E-6</v>
      </c>
      <c r="I1887">
        <v>283.62909999999999</v>
      </c>
      <c r="J1887">
        <v>-205.26910000000001</v>
      </c>
      <c r="K1887">
        <v>1.1076280000000001</v>
      </c>
      <c r="L1887">
        <v>285.0068</v>
      </c>
      <c r="M1887">
        <v>-0.94330449999999999</v>
      </c>
      <c r="N1887">
        <v>-1.6667029999999999E-2</v>
      </c>
      <c r="O1887">
        <v>-0.33151000000000003</v>
      </c>
      <c r="P1887">
        <v>-0.98243860000000005</v>
      </c>
      <c r="Q1887">
        <v>0.14675289999999999</v>
      </c>
      <c r="R1887">
        <v>-0.1152297</v>
      </c>
      <c r="S1887">
        <v>-3.0538940000000001</v>
      </c>
      <c r="T1887">
        <v>-0.1392399</v>
      </c>
      <c r="U1887">
        <v>-0.18524170000000001</v>
      </c>
      <c r="V1887">
        <v>0.22237970000000001</v>
      </c>
      <c r="W1887">
        <v>0.15541930000000001</v>
      </c>
      <c r="X1887">
        <v>0.96249260000000003</v>
      </c>
      <c r="Y1887">
        <v>0.27331680000000003</v>
      </c>
      <c r="Z1887">
        <v>1.7726240000000001E-2</v>
      </c>
      <c r="AA1887">
        <v>0.96176079999999997</v>
      </c>
      <c r="AB1887">
        <v>30</v>
      </c>
      <c r="AC1887">
        <v>-23.987100000000002</v>
      </c>
      <c r="AD1887">
        <v>-1.107624611121</v>
      </c>
      <c r="AE1887">
        <v>-1.3776999999999999</v>
      </c>
      <c r="AF1887">
        <v>6.6391873312118603</v>
      </c>
      <c r="AG1887">
        <v>-1.107624611121</v>
      </c>
      <c r="AH1887">
        <v>23.038106484747001</v>
      </c>
      <c r="AI1887">
        <v>92.645060718004203</v>
      </c>
      <c r="AJ1887">
        <v>73.923925477583296</v>
      </c>
      <c r="AK1887">
        <v>24.001249782055702</v>
      </c>
      <c r="AL1887">
        <v>81.058884446091596</v>
      </c>
      <c r="AM1887">
        <v>76.990348848299803</v>
      </c>
      <c r="AN1887">
        <v>0.99999994741966802</v>
      </c>
    </row>
    <row r="1888" spans="1:40" x14ac:dyDescent="0.25">
      <c r="A1888" t="str">
        <f>"20190303170257041"</f>
        <v>20190303170257041</v>
      </c>
      <c r="B1888" t="str">
        <f>"1551603777027344"</f>
        <v>1551603777027344</v>
      </c>
      <c r="C1888" t="s">
        <v>40</v>
      </c>
      <c r="D1888">
        <v>5.1852029999999996</v>
      </c>
      <c r="E1888">
        <v>0.52733399999999997</v>
      </c>
      <c r="F1888" t="s">
        <v>62</v>
      </c>
      <c r="G1888">
        <v>-231.49850000000001</v>
      </c>
      <c r="H1888" s="1">
        <v>-7.0420449999999998E-7</v>
      </c>
      <c r="I1888">
        <v>283.81240000000003</v>
      </c>
      <c r="J1888">
        <v>-205.55330000000001</v>
      </c>
      <c r="K1888">
        <v>1.1075440000000001</v>
      </c>
      <c r="L1888">
        <v>284.92380000000003</v>
      </c>
      <c r="M1888">
        <v>-0.94872780000000001</v>
      </c>
      <c r="N1888">
        <v>-1.671183E-2</v>
      </c>
      <c r="O1888">
        <v>-0.31565219999999999</v>
      </c>
      <c r="P1888">
        <v>-0.98381839999999998</v>
      </c>
      <c r="Q1888">
        <v>0.1492407</v>
      </c>
      <c r="R1888">
        <v>-9.9141229999999997E-2</v>
      </c>
      <c r="S1888">
        <v>-3.0565799999999999</v>
      </c>
      <c r="T1888">
        <v>-0.12907489999999999</v>
      </c>
      <c r="U1888">
        <v>-0.1391907</v>
      </c>
      <c r="V1888">
        <v>0.22199430000000001</v>
      </c>
      <c r="W1888">
        <v>0.157913</v>
      </c>
      <c r="X1888">
        <v>0.96217569999999997</v>
      </c>
      <c r="Y1888">
        <v>0.27177600000000002</v>
      </c>
      <c r="Z1888">
        <v>1.577462E-2</v>
      </c>
      <c r="AA1888">
        <v>0.96223119999999995</v>
      </c>
      <c r="AB1888">
        <v>30</v>
      </c>
      <c r="AC1888">
        <v>-25.9452</v>
      </c>
      <c r="AD1888">
        <v>-1.1075447042044999</v>
      </c>
      <c r="AE1888">
        <v>-1.1113999999999999</v>
      </c>
      <c r="AF1888">
        <v>7.1232832065005303</v>
      </c>
      <c r="AG1888">
        <v>-1.1075447042044999</v>
      </c>
      <c r="AH1888">
        <v>24.923900500589902</v>
      </c>
      <c r="AI1888">
        <v>92.446549150968906</v>
      </c>
      <c r="AJ1888">
        <v>74.049994831696907</v>
      </c>
      <c r="AK1888">
        <v>25.945493540789101</v>
      </c>
      <c r="AL1888">
        <v>80.914220302516</v>
      </c>
      <c r="AM1888">
        <v>77.007997867602597</v>
      </c>
      <c r="AN1888">
        <v>1.00000003123598</v>
      </c>
    </row>
    <row r="1889" spans="1:40" x14ac:dyDescent="0.25">
      <c r="A1889" t="str">
        <f>"20190303170257063"</f>
        <v>20190303170257063</v>
      </c>
      <c r="B1889" t="str">
        <f>"1551603777057601"</f>
        <v>1551603777057601</v>
      </c>
      <c r="C1889" t="s">
        <v>40</v>
      </c>
      <c r="D1889">
        <v>5.1232340000000001</v>
      </c>
      <c r="E1889">
        <v>0.52628779999999997</v>
      </c>
      <c r="F1889" t="s">
        <v>62</v>
      </c>
      <c r="G1889">
        <v>-232.0341</v>
      </c>
      <c r="H1889" s="1">
        <v>-4.181341E-7</v>
      </c>
      <c r="I1889">
        <v>283.7876</v>
      </c>
      <c r="J1889">
        <v>-205.8415</v>
      </c>
      <c r="K1889">
        <v>1.107461</v>
      </c>
      <c r="L1889">
        <v>284.8449</v>
      </c>
      <c r="M1889">
        <v>-0.95396550000000002</v>
      </c>
      <c r="N1889">
        <v>-1.6751189999999999E-2</v>
      </c>
      <c r="O1889">
        <v>-0.29944850000000001</v>
      </c>
      <c r="P1889">
        <v>-0.98537620000000004</v>
      </c>
      <c r="Q1889">
        <v>0.14777029999999999</v>
      </c>
      <c r="R1889">
        <v>-8.4840559999999995E-2</v>
      </c>
      <c r="S1889">
        <v>-3.0555270000000001</v>
      </c>
      <c r="T1889">
        <v>-0.12779569999999901</v>
      </c>
      <c r="U1889">
        <v>-0.13110350000000001</v>
      </c>
      <c r="V1889">
        <v>0.21962229999999999</v>
      </c>
      <c r="W1889">
        <v>0.15653610000000001</v>
      </c>
      <c r="X1889">
        <v>0.96294469999999999</v>
      </c>
      <c r="Y1889">
        <v>0.25791540000000002</v>
      </c>
      <c r="Z1889">
        <v>1.481764E-2</v>
      </c>
      <c r="AA1889">
        <v>0.96605390000000002</v>
      </c>
      <c r="AB1889">
        <v>30</v>
      </c>
      <c r="AC1889">
        <v>-26.192599999999999</v>
      </c>
      <c r="AD1889">
        <v>-1.1074614181341</v>
      </c>
      <c r="AE1889">
        <v>-1.0572999999999899</v>
      </c>
      <c r="AF1889">
        <v>6.8234869027162102</v>
      </c>
      <c r="AG1889">
        <v>-1.1074614181341</v>
      </c>
      <c r="AH1889">
        <v>25.261904410115498</v>
      </c>
      <c r="AI1889">
        <v>92.423452038778606</v>
      </c>
      <c r="AJ1889">
        <v>74.884563630136398</v>
      </c>
      <c r="AK1889">
        <v>26.190652124947299</v>
      </c>
      <c r="AL1889">
        <v>80.994104112455602</v>
      </c>
      <c r="AM1889">
        <v>77.152106612632394</v>
      </c>
      <c r="AN1889">
        <v>1.0000000002592899</v>
      </c>
    </row>
    <row r="1890" spans="1:40" x14ac:dyDescent="0.25">
      <c r="A1890" t="str">
        <f>"20190303170257086"</f>
        <v>20190303170257086</v>
      </c>
      <c r="B1890" t="str">
        <f>"1551603777077121"</f>
        <v>1551603777077121</v>
      </c>
      <c r="C1890" t="s">
        <v>40</v>
      </c>
      <c r="D1890">
        <v>5.183249</v>
      </c>
      <c r="E1890">
        <v>0.5205419</v>
      </c>
      <c r="F1890" t="s">
        <v>62</v>
      </c>
      <c r="G1890">
        <v>-230.98599999999999</v>
      </c>
      <c r="H1890" s="1">
        <v>-9.8792420000000001E-7</v>
      </c>
      <c r="I1890">
        <v>284.06310000000002</v>
      </c>
      <c r="J1890">
        <v>-206.1446</v>
      </c>
      <c r="K1890">
        <v>1.1073919999999999</v>
      </c>
      <c r="L1890">
        <v>284.76760000000002</v>
      </c>
      <c r="M1890">
        <v>-0.95917719999999995</v>
      </c>
      <c r="N1890">
        <v>-1.6785609999999999E-2</v>
      </c>
      <c r="O1890">
        <v>-0.28230709999999998</v>
      </c>
      <c r="P1890">
        <v>-0.98685100000000003</v>
      </c>
      <c r="Q1890">
        <v>0.14407110000000001</v>
      </c>
      <c r="R1890">
        <v>-7.3271950000000002E-2</v>
      </c>
      <c r="S1890">
        <v>-3.0565340000000001</v>
      </c>
      <c r="T1890">
        <v>-0.13462170000000001</v>
      </c>
      <c r="U1890">
        <v>-9.5031740000000003E-2</v>
      </c>
      <c r="V1890">
        <v>0.2137008</v>
      </c>
      <c r="W1890">
        <v>0.1530736</v>
      </c>
      <c r="X1890">
        <v>0.96483180000000002</v>
      </c>
      <c r="Y1890">
        <v>0.2519652</v>
      </c>
      <c r="Z1890">
        <v>1.51529E-2</v>
      </c>
      <c r="AA1890">
        <v>0.96761759999999997</v>
      </c>
      <c r="AB1890">
        <v>30</v>
      </c>
      <c r="AC1890">
        <v>-24.8414</v>
      </c>
      <c r="AD1890">
        <v>-1.1073929879241999</v>
      </c>
      <c r="AE1890">
        <v>-0.70449999999999502</v>
      </c>
      <c r="AF1890">
        <v>6.3254961442235196</v>
      </c>
      <c r="AG1890">
        <v>-1.1073929879241999</v>
      </c>
      <c r="AH1890">
        <v>23.981956135855199</v>
      </c>
      <c r="AI1890">
        <v>92.556506556463603</v>
      </c>
      <c r="AJ1890">
        <v>75.224143803633098</v>
      </c>
      <c r="AK1890">
        <v>24.826849192001301</v>
      </c>
      <c r="AL1890">
        <v>81.194911403871501</v>
      </c>
      <c r="AM1890">
        <v>77.511165874301795</v>
      </c>
      <c r="AN1890">
        <v>0.99999998061441897</v>
      </c>
    </row>
    <row r="1891" spans="1:40" x14ac:dyDescent="0.25">
      <c r="A1891" t="str">
        <f>"20190303170257107"</f>
        <v>20190303170257107</v>
      </c>
      <c r="B1891" t="str">
        <f>"1551603777097618"</f>
        <v>1551603777097618</v>
      </c>
      <c r="C1891" t="s">
        <v>40</v>
      </c>
      <c r="D1891">
        <v>5.1236620000000004</v>
      </c>
      <c r="E1891">
        <v>0.51947670000000001</v>
      </c>
      <c r="F1891" t="s">
        <v>62</v>
      </c>
      <c r="G1891">
        <v>-228.88339999999999</v>
      </c>
      <c r="H1891" s="1">
        <v>3.1904980000000001E-6</v>
      </c>
      <c r="I1891">
        <v>284.00330000000002</v>
      </c>
      <c r="J1891">
        <v>-206.42830000000001</v>
      </c>
      <c r="K1891">
        <v>1.1073580000000001</v>
      </c>
      <c r="L1891">
        <v>284.70049999999998</v>
      </c>
      <c r="M1891">
        <v>-0.96377290000000004</v>
      </c>
      <c r="N1891">
        <v>-1.6811059999999999E-2</v>
      </c>
      <c r="O1891">
        <v>-0.26619419999999999</v>
      </c>
      <c r="P1891">
        <v>-0.98741000000000001</v>
      </c>
      <c r="Q1891">
        <v>0.1453634</v>
      </c>
      <c r="R1891">
        <v>-6.238051E-2</v>
      </c>
      <c r="S1891">
        <v>-3.0540620000000001</v>
      </c>
      <c r="T1891">
        <v>-0.14873410000000001</v>
      </c>
      <c r="U1891">
        <v>-0.10266110000000001</v>
      </c>
      <c r="V1891">
        <v>0.20816789999999999</v>
      </c>
      <c r="W1891">
        <v>0.1545832</v>
      </c>
      <c r="X1891">
        <v>0.96580029999999994</v>
      </c>
      <c r="Y1891">
        <v>0.2332003</v>
      </c>
      <c r="Z1891">
        <v>1.5936430000000001E-2</v>
      </c>
      <c r="AA1891">
        <v>0.97229810000000005</v>
      </c>
      <c r="AB1891">
        <v>30</v>
      </c>
      <c r="AC1891">
        <v>-22.455099999999899</v>
      </c>
      <c r="AD1891">
        <v>-1.107354809502</v>
      </c>
      <c r="AE1891">
        <v>-0.69719999999995197</v>
      </c>
      <c r="AF1891">
        <v>5.2933638546385398</v>
      </c>
      <c r="AG1891">
        <v>-1.107354809502</v>
      </c>
      <c r="AH1891">
        <v>21.777381438556599</v>
      </c>
      <c r="AI1891">
        <v>92.828694268968704</v>
      </c>
      <c r="AJ1891">
        <v>76.338224468569607</v>
      </c>
      <c r="AK1891">
        <v>22.438811864537598</v>
      </c>
      <c r="AL1891">
        <v>81.107376240450094</v>
      </c>
      <c r="AM1891">
        <v>77.836589885889396</v>
      </c>
      <c r="AN1891">
        <v>1.0000000298963601</v>
      </c>
    </row>
    <row r="1892" spans="1:40" x14ac:dyDescent="0.25">
      <c r="A1892" t="str">
        <f>"20190303170257129"</f>
        <v>20190303170257129</v>
      </c>
      <c r="B1892" t="str">
        <f>"1551603777117138"</f>
        <v>1551603777117138</v>
      </c>
      <c r="C1892" t="s">
        <v>40</v>
      </c>
      <c r="D1892">
        <v>5.1926690000000004</v>
      </c>
      <c r="E1892">
        <v>0.51375349999999997</v>
      </c>
      <c r="F1892" t="s">
        <v>62</v>
      </c>
      <c r="G1892">
        <v>-230.2533</v>
      </c>
      <c r="H1892" s="1">
        <v>-1.379873E-6</v>
      </c>
      <c r="I1892">
        <v>284.11059999999998</v>
      </c>
      <c r="J1892">
        <v>-206.71559999999999</v>
      </c>
      <c r="K1892">
        <v>1.1073500000000001</v>
      </c>
      <c r="L1892">
        <v>284.6377</v>
      </c>
      <c r="M1892">
        <v>-0.96813760000000004</v>
      </c>
      <c r="N1892">
        <v>-1.6829480000000001E-2</v>
      </c>
      <c r="O1892">
        <v>-0.24985280000000001</v>
      </c>
      <c r="P1892">
        <v>-0.98761209999999999</v>
      </c>
      <c r="Q1892">
        <v>0.14881150000000001</v>
      </c>
      <c r="R1892">
        <v>-4.9774220000000001E-2</v>
      </c>
      <c r="S1892">
        <v>-3.0543819999999999</v>
      </c>
      <c r="T1892">
        <v>-0.14196429999999999</v>
      </c>
      <c r="U1892">
        <v>-7.5622560000000005E-2</v>
      </c>
      <c r="V1892">
        <v>0.20413819999999999</v>
      </c>
      <c r="W1892">
        <v>0.15819079999999999</v>
      </c>
      <c r="X1892">
        <v>0.96607619999999905</v>
      </c>
      <c r="Y1892">
        <v>0.225411</v>
      </c>
      <c r="Z1892">
        <v>1.439549E-2</v>
      </c>
      <c r="AA1892">
        <v>0.97415739999999995</v>
      </c>
      <c r="AB1892">
        <v>30</v>
      </c>
      <c r="AC1892">
        <v>-23.537700000000001</v>
      </c>
      <c r="AD1892">
        <v>-1.1073513798729999</v>
      </c>
      <c r="AE1892">
        <v>-0.527100000000018</v>
      </c>
      <c r="AF1892">
        <v>5.35955903957682</v>
      </c>
      <c r="AG1892">
        <v>-1.1073513798729999</v>
      </c>
      <c r="AH1892">
        <v>22.872077791467198</v>
      </c>
      <c r="AI1892">
        <v>92.698817513760503</v>
      </c>
      <c r="AJ1892">
        <v>76.811963852350502</v>
      </c>
      <c r="AK1892">
        <v>23.517717633225899</v>
      </c>
      <c r="AL1892">
        <v>80.898100448895207</v>
      </c>
      <c r="AM1892">
        <v>78.068543468815705</v>
      </c>
      <c r="AN1892">
        <v>0.99999997905515903</v>
      </c>
    </row>
    <row r="1893" spans="1:40" x14ac:dyDescent="0.25">
      <c r="A1893" t="str">
        <f>"20190303170257152"</f>
        <v>20190303170257152</v>
      </c>
      <c r="B1893" t="str">
        <f>"1551603777137633"</f>
        <v>1551603777137633</v>
      </c>
      <c r="C1893" t="s">
        <v>40</v>
      </c>
      <c r="D1893">
        <v>5.0092429999999997</v>
      </c>
      <c r="E1893">
        <v>0.51320010000000005</v>
      </c>
      <c r="F1893" t="s">
        <v>62</v>
      </c>
      <c r="G1893">
        <v>-230.786</v>
      </c>
      <c r="H1893" s="1">
        <v>-1.0896229999999999E-6</v>
      </c>
      <c r="I1893">
        <v>283.9554</v>
      </c>
      <c r="J1893">
        <v>-207.02099999999999</v>
      </c>
      <c r="K1893">
        <v>1.1073710000000001</v>
      </c>
      <c r="L1893">
        <v>284.5763</v>
      </c>
      <c r="M1893">
        <v>-0.97245510000000002</v>
      </c>
      <c r="N1893">
        <v>-1.6839920000000001E-2</v>
      </c>
      <c r="O1893">
        <v>-0.23248079999999999</v>
      </c>
      <c r="P1893">
        <v>-0.98805069999999995</v>
      </c>
      <c r="Q1893">
        <v>0.1497762</v>
      </c>
      <c r="R1893">
        <v>-3.6372969999999998E-2</v>
      </c>
      <c r="S1893">
        <v>-3.054443</v>
      </c>
      <c r="T1893">
        <v>-0.14051849999999999</v>
      </c>
      <c r="U1893">
        <v>-8.6578370000000002E-2</v>
      </c>
      <c r="V1893">
        <v>0.19992760000000001</v>
      </c>
      <c r="W1893">
        <v>0.15933339999999999</v>
      </c>
      <c r="X1893">
        <v>0.96676870000000004</v>
      </c>
      <c r="Y1893">
        <v>0.2044744</v>
      </c>
      <c r="Z1893">
        <v>1.3084119999999999E-2</v>
      </c>
      <c r="AA1893">
        <v>0.97878449999999995</v>
      </c>
      <c r="AB1893">
        <v>30</v>
      </c>
      <c r="AC1893">
        <v>-23.764999999999901</v>
      </c>
      <c r="AD1893">
        <v>-1.1073720896229999</v>
      </c>
      <c r="AE1893">
        <v>-0.620900000000006</v>
      </c>
      <c r="AF1893">
        <v>4.9111510822930002</v>
      </c>
      <c r="AG1893">
        <v>-1.1073720896229999</v>
      </c>
      <c r="AH1893">
        <v>23.207687307319901</v>
      </c>
      <c r="AI1893">
        <v>92.672737698991398</v>
      </c>
      <c r="AJ1893">
        <v>78.051492262871406</v>
      </c>
      <c r="AK1893">
        <v>23.747472034983399</v>
      </c>
      <c r="AL1893">
        <v>80.831793020500101</v>
      </c>
      <c r="AM1893">
        <v>78.315945349448995</v>
      </c>
      <c r="AN1893">
        <v>0.99999994844850304</v>
      </c>
    </row>
    <row r="1894" spans="1:40" x14ac:dyDescent="0.25">
      <c r="A1894" t="str">
        <f>"20190303170257175"</f>
        <v>20190303170257175</v>
      </c>
      <c r="B1894" t="str">
        <f>"1551603777167890"</f>
        <v>1551603777167890</v>
      </c>
      <c r="C1894" t="s">
        <v>40</v>
      </c>
      <c r="D1894">
        <v>5.2453699999999897</v>
      </c>
      <c r="E1894">
        <v>0.51120529999999997</v>
      </c>
      <c r="F1894" t="s">
        <v>62</v>
      </c>
      <c r="G1894">
        <v>-231.25970000000001</v>
      </c>
      <c r="H1894" s="1">
        <v>-8.4715339999999996E-7</v>
      </c>
      <c r="I1894">
        <v>284.17520000000002</v>
      </c>
      <c r="J1894">
        <v>-207.333</v>
      </c>
      <c r="K1894">
        <v>1.107423</v>
      </c>
      <c r="L1894">
        <v>284.51929999999999</v>
      </c>
      <c r="M1894">
        <v>-0.97651410000000005</v>
      </c>
      <c r="N1894">
        <v>-1.6839400000000001E-2</v>
      </c>
      <c r="O1894">
        <v>-0.21479490000000001</v>
      </c>
      <c r="P1894">
        <v>-0.98883549999999998</v>
      </c>
      <c r="Q1894">
        <v>0.14692920000000001</v>
      </c>
      <c r="R1894">
        <v>-2.4828869999999999E-2</v>
      </c>
      <c r="S1894">
        <v>-3.0555729999999999</v>
      </c>
      <c r="T1894">
        <v>-0.13959739999999901</v>
      </c>
      <c r="U1894">
        <v>-5.0567630000000002E-2</v>
      </c>
      <c r="V1894">
        <v>0.193631</v>
      </c>
      <c r="W1894">
        <v>0.15675510000000001</v>
      </c>
      <c r="X1894">
        <v>0.96847039999999995</v>
      </c>
      <c r="Y1894">
        <v>0.19826679999999999</v>
      </c>
      <c r="Z1894">
        <v>1.2303400000000001E-2</v>
      </c>
      <c r="AA1894">
        <v>0.98007089999999997</v>
      </c>
      <c r="AB1894">
        <v>30</v>
      </c>
      <c r="AC1894">
        <v>-23.9267</v>
      </c>
      <c r="AD1894">
        <v>-1.1074238471533999</v>
      </c>
      <c r="AE1894">
        <v>-0.34409999999996899</v>
      </c>
      <c r="AF1894">
        <v>4.7937282672377002</v>
      </c>
      <c r="AG1894">
        <v>-1.1074238471533999</v>
      </c>
      <c r="AH1894">
        <v>23.391892384200101</v>
      </c>
      <c r="AI1894">
        <v>92.655381121818806</v>
      </c>
      <c r="AJ1894">
        <v>78.418657523771898</v>
      </c>
      <c r="AK1894">
        <v>23.9036994540878</v>
      </c>
      <c r="AL1894">
        <v>80.981399681707799</v>
      </c>
      <c r="AM1894">
        <v>78.693655919513802</v>
      </c>
      <c r="AN1894">
        <v>1.00000002060658</v>
      </c>
    </row>
    <row r="1895" spans="1:40" x14ac:dyDescent="0.25">
      <c r="A1895" t="str">
        <f>"20190303170257197"</f>
        <v>20190303170257197</v>
      </c>
      <c r="B1895" t="str">
        <f>"1551603777187961"</f>
        <v>1551603777187961</v>
      </c>
      <c r="C1895" t="s">
        <v>40</v>
      </c>
      <c r="D1895">
        <v>5.2461630000000001</v>
      </c>
      <c r="E1895">
        <v>0.51055189999999995</v>
      </c>
      <c r="F1895" t="s">
        <v>62</v>
      </c>
      <c r="G1895">
        <v>-230.19739999999999</v>
      </c>
      <c r="H1895" s="1">
        <v>-1.418159E-6</v>
      </c>
      <c r="I1895">
        <v>284.30579999999998</v>
      </c>
      <c r="J1895">
        <v>-207.63079999999999</v>
      </c>
      <c r="K1895">
        <v>1.1075219999999999</v>
      </c>
      <c r="L1895">
        <v>284.47070000000002</v>
      </c>
      <c r="M1895">
        <v>-0.98004930000000001</v>
      </c>
      <c r="N1895">
        <v>-1.6825260000000002E-2</v>
      </c>
      <c r="O1895">
        <v>-0.19804160000000001</v>
      </c>
      <c r="P1895">
        <v>-0.98958369999999996</v>
      </c>
      <c r="Q1895">
        <v>0.14325360000000001</v>
      </c>
      <c r="R1895">
        <v>-1.4243250000000001E-2</v>
      </c>
      <c r="S1895">
        <v>-3.0551300000000001</v>
      </c>
      <c r="T1895">
        <v>-0.1479734</v>
      </c>
      <c r="U1895">
        <v>-2.8533940000000001E-2</v>
      </c>
      <c r="V1895">
        <v>0.1873406</v>
      </c>
      <c r="W1895">
        <v>0.15335109999999999</v>
      </c>
      <c r="X1895">
        <v>0.97025099999999997</v>
      </c>
      <c r="Y1895">
        <v>0.18851319999999999</v>
      </c>
      <c r="Z1895">
        <v>1.233736E-2</v>
      </c>
      <c r="AA1895">
        <v>0.98199309999999995</v>
      </c>
      <c r="AB1895">
        <v>30</v>
      </c>
      <c r="AC1895">
        <v>-22.566599999999902</v>
      </c>
      <c r="AD1895">
        <v>-1.1075234181589999</v>
      </c>
      <c r="AE1895">
        <v>-0.16490000000004501</v>
      </c>
      <c r="AF1895">
        <v>4.2977735792707303</v>
      </c>
      <c r="AG1895">
        <v>-1.1075234181589999</v>
      </c>
      <c r="AH1895">
        <v>22.098945407967701</v>
      </c>
      <c r="AI1895">
        <v>92.816388684415898</v>
      </c>
      <c r="AJ1895">
        <v>78.994569451691305</v>
      </c>
      <c r="AK1895">
        <v>22.540205278674499</v>
      </c>
      <c r="AL1895">
        <v>81.178822313784906</v>
      </c>
      <c r="AM1895">
        <v>79.071548906958</v>
      </c>
      <c r="AN1895">
        <v>1.00000003164028</v>
      </c>
    </row>
    <row r="1896" spans="1:40" x14ac:dyDescent="0.25">
      <c r="A1896" t="str">
        <f>"20190303170257221"</f>
        <v>20190303170257221</v>
      </c>
      <c r="B1896" t="str">
        <f>"1551603777207481"</f>
        <v>1551603777207481</v>
      </c>
      <c r="C1896" t="s">
        <v>40</v>
      </c>
      <c r="D1896">
        <v>5.1869909999999999</v>
      </c>
      <c r="E1896">
        <v>0.50255039999999995</v>
      </c>
      <c r="F1896" t="s">
        <v>62</v>
      </c>
      <c r="G1896">
        <v>-228.96100000000001</v>
      </c>
      <c r="H1896" s="1">
        <v>3.2317829999999999E-6</v>
      </c>
      <c r="I1896">
        <v>284.49180000000001</v>
      </c>
      <c r="J1896">
        <v>-207.93790000000001</v>
      </c>
      <c r="K1896">
        <v>1.1076539999999999</v>
      </c>
      <c r="L1896">
        <v>284.42599999999999</v>
      </c>
      <c r="M1896">
        <v>-0.98335870000000003</v>
      </c>
      <c r="N1896">
        <v>-1.6799109999999999E-2</v>
      </c>
      <c r="O1896">
        <v>-0.1808969</v>
      </c>
      <c r="P1896">
        <v>-0.98926689999999995</v>
      </c>
      <c r="Q1896">
        <v>0.1461046</v>
      </c>
      <c r="R1896">
        <v>-2.1968420000000001E-3</v>
      </c>
      <c r="S1896">
        <v>-3.0545810000000002</v>
      </c>
      <c r="T1896">
        <v>-0.15860199999999999</v>
      </c>
      <c r="U1896">
        <v>3.0212400000000001E-3</v>
      </c>
      <c r="V1896">
        <v>0.18216570000000001</v>
      </c>
      <c r="W1896">
        <v>0.15641650000000001</v>
      </c>
      <c r="X1896">
        <v>0.97074689999999997</v>
      </c>
      <c r="Y1896">
        <v>0.1814626</v>
      </c>
      <c r="Z1896">
        <v>1.2530670000000001E-2</v>
      </c>
      <c r="AA1896">
        <v>0.98331800000000003</v>
      </c>
      <c r="AB1896">
        <v>30</v>
      </c>
      <c r="AC1896">
        <v>-21.0230999999999</v>
      </c>
      <c r="AD1896">
        <v>-1.107650768217</v>
      </c>
      <c r="AE1896">
        <v>6.58000000000242E-2</v>
      </c>
      <c r="AF1896">
        <v>3.8575557526819702</v>
      </c>
      <c r="AG1896">
        <v>-1.107650768217</v>
      </c>
      <c r="AH1896">
        <v>20.607055248173001</v>
      </c>
      <c r="AI1896">
        <v>93.024314131321802</v>
      </c>
      <c r="AJ1896">
        <v>79.397178896027796</v>
      </c>
      <c r="AK1896">
        <v>20.9942457023499</v>
      </c>
      <c r="AL1896">
        <v>81.001042184525602</v>
      </c>
      <c r="AM1896">
        <v>79.371754872400402</v>
      </c>
      <c r="AN1896">
        <v>1.0000000037941701</v>
      </c>
    </row>
    <row r="1897" spans="1:40" x14ac:dyDescent="0.25">
      <c r="A1897" t="str">
        <f>"20190303170257243"</f>
        <v>20190303170257243</v>
      </c>
      <c r="B1897" t="str">
        <f>"1551603777227976"</f>
        <v>1551603777227976</v>
      </c>
      <c r="C1897" t="s">
        <v>40</v>
      </c>
      <c r="D1897">
        <v>5.1933049999999996</v>
      </c>
      <c r="E1897">
        <v>0.50171220000000005</v>
      </c>
      <c r="F1897" t="s">
        <v>62</v>
      </c>
      <c r="G1897">
        <v>-230.92449999999999</v>
      </c>
      <c r="H1897" s="1">
        <v>-1.029284E-6</v>
      </c>
      <c r="I1897">
        <v>284.26089999999999</v>
      </c>
      <c r="J1897">
        <v>-208.24700000000001</v>
      </c>
      <c r="K1897">
        <v>1.1078220000000001</v>
      </c>
      <c r="L1897">
        <v>284.38619999999997</v>
      </c>
      <c r="M1897">
        <v>-0.98634540000000004</v>
      </c>
      <c r="N1897">
        <v>-1.6764060000000001E-2</v>
      </c>
      <c r="O1897">
        <v>-0.1638346</v>
      </c>
      <c r="P1897">
        <v>-0.9883885</v>
      </c>
      <c r="Q1897">
        <v>0.1516168</v>
      </c>
      <c r="R1897">
        <v>1.0027390000000001E-2</v>
      </c>
      <c r="S1897">
        <v>-3.0541990000000001</v>
      </c>
      <c r="T1897">
        <v>-0.14717259999999999</v>
      </c>
      <c r="U1897">
        <v>-2.1942139999999999E-2</v>
      </c>
      <c r="V1897">
        <v>0.17731549999999999</v>
      </c>
      <c r="W1897">
        <v>0.16212760000000001</v>
      </c>
      <c r="X1897">
        <v>0.97070789999999996</v>
      </c>
      <c r="Y1897">
        <v>0.15644269999999999</v>
      </c>
      <c r="Z1897">
        <v>1.018605E-2</v>
      </c>
      <c r="AA1897">
        <v>0.98763449999999997</v>
      </c>
      <c r="AB1897">
        <v>30</v>
      </c>
      <c r="AC1897">
        <v>-22.677499999999899</v>
      </c>
      <c r="AD1897">
        <v>-1.1078230292839999</v>
      </c>
      <c r="AE1897">
        <v>-0.12529999999998101</v>
      </c>
      <c r="AF1897">
        <v>3.5837226931042001</v>
      </c>
      <c r="AG1897">
        <v>-1.1078230292839999</v>
      </c>
      <c r="AH1897">
        <v>22.338215071028799</v>
      </c>
      <c r="AI1897">
        <v>92.803364795687997</v>
      </c>
      <c r="AJ1897">
        <v>80.885695350750296</v>
      </c>
      <c r="AK1897">
        <v>22.650964499659199</v>
      </c>
      <c r="AL1897">
        <v>80.669588508404999</v>
      </c>
      <c r="AM1897">
        <v>79.648128846076801</v>
      </c>
      <c r="AN1897">
        <v>0.99999998617220898</v>
      </c>
    </row>
    <row r="1898" spans="1:40" x14ac:dyDescent="0.25">
      <c r="A1898" t="str">
        <f>"20190303170257265"</f>
        <v>20190303170257265</v>
      </c>
      <c r="B1898" t="str">
        <f>"1551603777257257"</f>
        <v>1551603777257257</v>
      </c>
      <c r="C1898" t="s">
        <v>40</v>
      </c>
      <c r="D1898">
        <v>5.1892909999999999</v>
      </c>
      <c r="E1898">
        <v>0.49567299999999997</v>
      </c>
      <c r="F1898" t="s">
        <v>62</v>
      </c>
      <c r="G1898">
        <v>-234.12010000000001</v>
      </c>
      <c r="H1898" s="1">
        <v>6.6267980000000002E-7</v>
      </c>
      <c r="I1898">
        <v>284.45780000000002</v>
      </c>
      <c r="J1898">
        <v>-208.53370000000001</v>
      </c>
      <c r="K1898">
        <v>1.1080179999999999</v>
      </c>
      <c r="L1898">
        <v>284.35390000000001</v>
      </c>
      <c r="M1898">
        <v>-0.98880729999999994</v>
      </c>
      <c r="N1898">
        <v>-1.6721260000000002E-2</v>
      </c>
      <c r="O1898">
        <v>-0.14825920000000001</v>
      </c>
      <c r="P1898">
        <v>-0.98810659999999895</v>
      </c>
      <c r="Q1898">
        <v>0.15254579999999901</v>
      </c>
      <c r="R1898">
        <v>1.9374329999999999E-2</v>
      </c>
      <c r="S1898">
        <v>-3.055237</v>
      </c>
      <c r="T1898">
        <v>-0.13081719999999999</v>
      </c>
      <c r="U1898">
        <v>8.4533690000000005E-3</v>
      </c>
      <c r="V1898">
        <v>0.17110120000000001</v>
      </c>
      <c r="W1898">
        <v>0.16331599999999999</v>
      </c>
      <c r="X1898">
        <v>0.97162349999999997</v>
      </c>
      <c r="Y1898">
        <v>0.15077399999999999</v>
      </c>
      <c r="Z1898">
        <v>8.3303609999999997E-3</v>
      </c>
      <c r="AA1898">
        <v>0.98853310000000005</v>
      </c>
      <c r="AB1898">
        <v>30</v>
      </c>
      <c r="AC1898">
        <v>-25.586400000000001</v>
      </c>
      <c r="AD1898">
        <v>-1.10801733732019</v>
      </c>
      <c r="AE1898">
        <v>0.10390000000001</v>
      </c>
      <c r="AF1898">
        <v>3.8894067987718399</v>
      </c>
      <c r="AG1898">
        <v>-1.10801733732019</v>
      </c>
      <c r="AH1898">
        <v>25.240813373090599</v>
      </c>
      <c r="AI1898">
        <v>92.484264387966405</v>
      </c>
      <c r="AJ1898">
        <v>81.240079350506406</v>
      </c>
      <c r="AK1898">
        <v>25.562743346544899</v>
      </c>
      <c r="AL1898">
        <v>80.600578383745201</v>
      </c>
      <c r="AM1898">
        <v>80.012710514051406</v>
      </c>
      <c r="AN1898">
        <v>0.99999998112484401</v>
      </c>
    </row>
    <row r="1899" spans="1:40" x14ac:dyDescent="0.25">
      <c r="A1899" t="str">
        <f>"20190303170257288"</f>
        <v>20190303170257288</v>
      </c>
      <c r="B1899" t="str">
        <f>"1551603777277753"</f>
        <v>1551603777277753</v>
      </c>
      <c r="C1899" t="s">
        <v>40</v>
      </c>
      <c r="D1899">
        <v>5.1349970000000003</v>
      </c>
      <c r="E1899">
        <v>0.4949443</v>
      </c>
      <c r="F1899" t="s">
        <v>62</v>
      </c>
      <c r="G1899">
        <v>-233.21270000000001</v>
      </c>
      <c r="H1899" s="1">
        <v>1.8855589999999999E-7</v>
      </c>
      <c r="I1899">
        <v>284.25709999999998</v>
      </c>
      <c r="J1899">
        <v>-208.84229999999999</v>
      </c>
      <c r="K1899">
        <v>1.108279</v>
      </c>
      <c r="L1899">
        <v>284.32389999999998</v>
      </c>
      <c r="M1899">
        <v>-0.99112769999999994</v>
      </c>
      <c r="N1899">
        <v>-1.665869E-2</v>
      </c>
      <c r="O1899">
        <v>-0.13186489999999901</v>
      </c>
      <c r="P1899">
        <v>-0.98830240000000003</v>
      </c>
      <c r="Q1899">
        <v>0.1497926</v>
      </c>
      <c r="R1899">
        <v>2.8641949999999999E-2</v>
      </c>
      <c r="S1899">
        <v>-3.0575410000000001</v>
      </c>
      <c r="T1899">
        <v>-0.13727510000000001</v>
      </c>
      <c r="U1899">
        <v>-1.1993409999999999E-2</v>
      </c>
      <c r="V1899">
        <v>0.16396179999999999</v>
      </c>
      <c r="W1899">
        <v>0.1608665</v>
      </c>
      <c r="X1899">
        <v>0.97326179999999995</v>
      </c>
      <c r="Y1899">
        <v>0.12776569999999901</v>
      </c>
      <c r="Z1899">
        <v>7.6346180000000001E-3</v>
      </c>
      <c r="AA1899">
        <v>0.99177499999999996</v>
      </c>
      <c r="AB1899">
        <v>30</v>
      </c>
      <c r="AC1899">
        <v>-24.3704</v>
      </c>
      <c r="AD1899">
        <v>-1.1082788114441</v>
      </c>
      <c r="AE1899">
        <v>-6.6800000000000595E-2</v>
      </c>
      <c r="AF1899">
        <v>3.1413333074980399</v>
      </c>
      <c r="AG1899">
        <v>-1.1082788114441</v>
      </c>
      <c r="AH1899">
        <v>24.116465728578401</v>
      </c>
      <c r="AI1899">
        <v>92.609181258240497</v>
      </c>
      <c r="AJ1899">
        <v>82.578620124638206</v>
      </c>
      <c r="AK1899">
        <v>24.3454343997061</v>
      </c>
      <c r="AL1899">
        <v>80.742805613153806</v>
      </c>
      <c r="AM1899">
        <v>80.437383386658894</v>
      </c>
      <c r="AN1899">
        <v>1.00000001701036</v>
      </c>
    </row>
    <row r="1900" spans="1:40" x14ac:dyDescent="0.25">
      <c r="A1900" t="str">
        <f>"20190303170257309"</f>
        <v>20190303170257309</v>
      </c>
      <c r="B1900" t="str">
        <f>"1551603777297984"</f>
        <v>1551603777297984</v>
      </c>
      <c r="C1900" t="s">
        <v>40</v>
      </c>
      <c r="D1900">
        <v>5.1269429999999998</v>
      </c>
      <c r="E1900">
        <v>0.49419489999999999</v>
      </c>
      <c r="F1900" t="s">
        <v>62</v>
      </c>
      <c r="G1900">
        <v>-232.26439999999999</v>
      </c>
      <c r="H1900" s="1">
        <v>-3.2288160000000002E-7</v>
      </c>
      <c r="I1900">
        <v>284.4126</v>
      </c>
      <c r="J1900">
        <v>-209.13130000000001</v>
      </c>
      <c r="K1900">
        <v>1.1086049999999901</v>
      </c>
      <c r="L1900">
        <v>284.30020000000002</v>
      </c>
      <c r="M1900">
        <v>-0.99299959999999998</v>
      </c>
      <c r="N1900">
        <v>-1.658256E-2</v>
      </c>
      <c r="O1900">
        <v>-0.1169486</v>
      </c>
      <c r="P1900">
        <v>-0.98834960000000005</v>
      </c>
      <c r="Q1900">
        <v>0.14760680000000001</v>
      </c>
      <c r="R1900">
        <v>3.7116830000000003E-2</v>
      </c>
      <c r="S1900">
        <v>-3.0570979999999999</v>
      </c>
      <c r="T1900">
        <v>-0.14465459999999999</v>
      </c>
      <c r="U1900">
        <v>1.1566160000000001E-2</v>
      </c>
      <c r="V1900">
        <v>0.1574979</v>
      </c>
      <c r="W1900">
        <v>0.1589573</v>
      </c>
      <c r="X1900">
        <v>0.97464200000000001</v>
      </c>
      <c r="Y1900">
        <v>0.12048449999999999</v>
      </c>
      <c r="Z1900">
        <v>7.4281449999999997E-3</v>
      </c>
      <c r="AA1900">
        <v>0.9926874</v>
      </c>
      <c r="AB1900">
        <v>29</v>
      </c>
      <c r="AC1900">
        <v>-23.133099999999899</v>
      </c>
      <c r="AD1900">
        <v>-1.10860532288159</v>
      </c>
      <c r="AE1900">
        <v>0.112399999999979</v>
      </c>
      <c r="AF1900">
        <v>2.8109285368531398</v>
      </c>
      <c r="AG1900">
        <v>-1.10860532288159</v>
      </c>
      <c r="AH1900">
        <v>22.908558666458799</v>
      </c>
      <c r="AI1900">
        <v>92.749939953521405</v>
      </c>
      <c r="AJ1900">
        <v>83.004653845649301</v>
      </c>
      <c r="AK1900">
        <v>23.1069769804663</v>
      </c>
      <c r="AL1900">
        <v>80.8536208071787</v>
      </c>
      <c r="AM1900">
        <v>80.820603789861593</v>
      </c>
      <c r="AN1900">
        <v>1.0000000199458401</v>
      </c>
    </row>
    <row r="1901" spans="1:40" x14ac:dyDescent="0.25">
      <c r="A1901" t="str">
        <f>"20190303170257331"</f>
        <v>20190303170257331</v>
      </c>
      <c r="B1901" t="str">
        <f>"1551603777317504"</f>
        <v>1551603777317504</v>
      </c>
      <c r="C1901" t="s">
        <v>40</v>
      </c>
      <c r="D1901">
        <v>5.0701499999999999</v>
      </c>
      <c r="E1901">
        <v>0.49038179999999998</v>
      </c>
      <c r="F1901" t="s">
        <v>62</v>
      </c>
      <c r="G1901">
        <v>-231.0087</v>
      </c>
      <c r="H1901" s="1">
        <v>-9.9611209999999993E-7</v>
      </c>
      <c r="I1901">
        <v>284.52749999999997</v>
      </c>
      <c r="J1901">
        <v>-209.41460000000001</v>
      </c>
      <c r="K1901">
        <v>1.1090180000000001</v>
      </c>
      <c r="L1901">
        <v>284.28070000000002</v>
      </c>
      <c r="M1901">
        <v>-0.9945621</v>
      </c>
      <c r="N1901">
        <v>-1.6492329999999999E-2</v>
      </c>
      <c r="O1901">
        <v>-0.1028307</v>
      </c>
      <c r="P1901">
        <v>-0.98772649999999995</v>
      </c>
      <c r="Q1901">
        <v>0.149188299999999</v>
      </c>
      <c r="R1901">
        <v>4.6251680000000003E-2</v>
      </c>
      <c r="S1901">
        <v>-3.057312</v>
      </c>
      <c r="T1901">
        <v>-0.1549246</v>
      </c>
      <c r="U1901">
        <v>3.17688E-2</v>
      </c>
      <c r="V1901">
        <v>0.1525166</v>
      </c>
      <c r="W1901">
        <v>0.16075729999999999</v>
      </c>
      <c r="X1901">
        <v>0.97513879999999997</v>
      </c>
      <c r="Y1901">
        <v>0.11292290000000001</v>
      </c>
      <c r="Z1901">
        <v>7.2950469999999998E-3</v>
      </c>
      <c r="AA1901">
        <v>0.99357689999999999</v>
      </c>
      <c r="AB1901">
        <v>29</v>
      </c>
      <c r="AC1901">
        <v>-21.594100000000001</v>
      </c>
      <c r="AD1901">
        <v>-1.1090189961121</v>
      </c>
      <c r="AE1901">
        <v>0.24679999999995</v>
      </c>
      <c r="AF1901">
        <v>2.4598426670237599</v>
      </c>
      <c r="AG1901">
        <v>-1.1090189961121</v>
      </c>
      <c r="AH1901">
        <v>21.397782351679702</v>
      </c>
      <c r="AI1901">
        <v>92.947532650394905</v>
      </c>
      <c r="AJ1901">
        <v>83.442188128662906</v>
      </c>
      <c r="AK1901">
        <v>21.567239940476899</v>
      </c>
      <c r="AL1901">
        <v>80.749144200635797</v>
      </c>
      <c r="AM1901">
        <v>81.110670942098196</v>
      </c>
      <c r="AN1901">
        <v>0.99999995102214301</v>
      </c>
    </row>
    <row r="1902" spans="1:40" x14ac:dyDescent="0.25">
      <c r="A1902" t="str">
        <f>"20190303170257353"</f>
        <v>20190303170257353</v>
      </c>
      <c r="B1902" t="str">
        <f>"1551603777347761"</f>
        <v>1551603777347761</v>
      </c>
      <c r="C1902" t="s">
        <v>40</v>
      </c>
      <c r="D1902">
        <v>5.0672480000000002</v>
      </c>
      <c r="E1902">
        <v>0.48877720000000002</v>
      </c>
      <c r="F1902" t="s">
        <v>62</v>
      </c>
      <c r="G1902">
        <v>-232.52850000000001</v>
      </c>
      <c r="H1902" s="1">
        <v>-1.8610699999999999E-7</v>
      </c>
      <c r="I1902">
        <v>284.49939999999998</v>
      </c>
      <c r="J1902">
        <v>-209.7201</v>
      </c>
      <c r="K1902">
        <v>1.1095440000000001</v>
      </c>
      <c r="L1902">
        <v>284.2636</v>
      </c>
      <c r="M1902">
        <v>-0.99596510000000005</v>
      </c>
      <c r="N1902">
        <v>-1.6380599999999999E-2</v>
      </c>
      <c r="O1902">
        <v>-8.823288E-2</v>
      </c>
      <c r="P1902">
        <v>-0.98696989999999996</v>
      </c>
      <c r="Q1902">
        <v>0.15074389999999999</v>
      </c>
      <c r="R1902">
        <v>5.6271950000000001E-2</v>
      </c>
      <c r="S1902">
        <v>-3.05809</v>
      </c>
      <c r="T1902">
        <v>-0.14672829999999901</v>
      </c>
      <c r="U1902">
        <v>2.893066E-2</v>
      </c>
      <c r="V1902">
        <v>0.14792049999999901</v>
      </c>
      <c r="W1902">
        <v>0.16252710000000001</v>
      </c>
      <c r="X1902">
        <v>0.97555349999999996</v>
      </c>
      <c r="Y1902">
        <v>9.7469609999999998E-2</v>
      </c>
      <c r="Z1902">
        <v>5.9170459999999996E-3</v>
      </c>
      <c r="AA1902">
        <v>0.99522089999999996</v>
      </c>
      <c r="AB1902">
        <v>29</v>
      </c>
      <c r="AC1902">
        <v>-22.808399999999999</v>
      </c>
      <c r="AD1902">
        <v>-1.1095441861069999</v>
      </c>
      <c r="AE1902">
        <v>0.235799999999983</v>
      </c>
      <c r="AF1902">
        <v>2.2422953871960201</v>
      </c>
      <c r="AG1902">
        <v>-1.1095441861069999</v>
      </c>
      <c r="AH1902">
        <v>22.645029444503098</v>
      </c>
      <c r="AI1902">
        <v>92.791462584579406</v>
      </c>
      <c r="AJ1902">
        <v>84.345044821952996</v>
      </c>
      <c r="AK1902">
        <v>22.782807892065801</v>
      </c>
      <c r="AL1902">
        <v>80.646392080889598</v>
      </c>
      <c r="AM1902">
        <v>81.378072967985901</v>
      </c>
      <c r="AN1902">
        <v>1.00000008195845</v>
      </c>
    </row>
    <row r="1903" spans="1:40" x14ac:dyDescent="0.25">
      <c r="A1903" t="str">
        <f>"20190303170257377"</f>
        <v>20190303170257377</v>
      </c>
      <c r="B1903" t="str">
        <f>"1551603777368257"</f>
        <v>1551603777368257</v>
      </c>
      <c r="C1903" t="s">
        <v>40</v>
      </c>
      <c r="D1903">
        <v>5.0736679999999996</v>
      </c>
      <c r="E1903">
        <v>0.4881395</v>
      </c>
      <c r="F1903" t="s">
        <v>62</v>
      </c>
      <c r="G1903">
        <v>-233.63040000000001</v>
      </c>
      <c r="H1903" s="1">
        <v>3.9433039999999998E-7</v>
      </c>
      <c r="I1903">
        <v>284.63459999999998</v>
      </c>
      <c r="J1903">
        <v>-210.03129999999999</v>
      </c>
      <c r="K1903">
        <v>1.110147</v>
      </c>
      <c r="L1903">
        <v>284.25020000000001</v>
      </c>
      <c r="M1903">
        <v>-0.99711240000000001</v>
      </c>
      <c r="N1903">
        <v>-1.6252989999999998E-2</v>
      </c>
      <c r="O1903">
        <v>-7.4182419999999999E-2</v>
      </c>
      <c r="P1903">
        <v>-0.98652309999999999</v>
      </c>
      <c r="Q1903">
        <v>0.15065329999999999</v>
      </c>
      <c r="R1903">
        <v>6.3843819999999996E-2</v>
      </c>
      <c r="S1903">
        <v>-3.0585779999999998</v>
      </c>
      <c r="T1903">
        <v>-0.14193169999999999</v>
      </c>
      <c r="U1903">
        <v>4.7454830000000003E-2</v>
      </c>
      <c r="V1903">
        <v>0.14139450000000001</v>
      </c>
      <c r="W1903">
        <v>0.16271429999999901</v>
      </c>
      <c r="X1903">
        <v>0.97648950000000001</v>
      </c>
      <c r="Y1903">
        <v>8.9490379999999994E-2</v>
      </c>
      <c r="Z1903">
        <v>5.0355240000000004E-3</v>
      </c>
      <c r="AA1903">
        <v>0.99597500000000005</v>
      </c>
      <c r="AB1903">
        <v>29</v>
      </c>
      <c r="AC1903">
        <v>-23.5991</v>
      </c>
      <c r="AD1903">
        <v>-1.1101466056696001</v>
      </c>
      <c r="AE1903">
        <v>0.38439999999997099</v>
      </c>
      <c r="AF1903">
        <v>2.12949870310374</v>
      </c>
      <c r="AG1903">
        <v>-1.1101466056696001</v>
      </c>
      <c r="AH1903">
        <v>23.453652681254901</v>
      </c>
      <c r="AI1903">
        <v>92.698909313551894</v>
      </c>
      <c r="AJ1903">
        <v>84.811995607993794</v>
      </c>
      <c r="AK1903">
        <v>23.576280756419902</v>
      </c>
      <c r="AL1903">
        <v>80.635521269967001</v>
      </c>
      <c r="AM1903">
        <v>81.760904070054494</v>
      </c>
      <c r="AN1903">
        <v>1.00000004583249</v>
      </c>
    </row>
    <row r="1904" spans="1:40" x14ac:dyDescent="0.25">
      <c r="A1904" t="str">
        <f>"20190303170257398"</f>
        <v>20190303170257398</v>
      </c>
      <c r="B1904" t="str">
        <f>"1551603777387365"</f>
        <v>1551603777387365</v>
      </c>
      <c r="C1904" t="s">
        <v>40</v>
      </c>
      <c r="D1904">
        <v>5.0119030000000002</v>
      </c>
      <c r="E1904">
        <v>0.48721130000000001</v>
      </c>
      <c r="F1904" t="s">
        <v>62</v>
      </c>
      <c r="G1904">
        <v>-234.07339999999999</v>
      </c>
      <c r="H1904" s="1">
        <v>6.2397999999999995E-7</v>
      </c>
      <c r="I1904">
        <v>284.77409999999998</v>
      </c>
      <c r="J1904">
        <v>-210.31729999999999</v>
      </c>
      <c r="K1904">
        <v>1.110741</v>
      </c>
      <c r="L1904">
        <v>284.24110000000002</v>
      </c>
      <c r="M1904">
        <v>-0.99794210000000005</v>
      </c>
      <c r="N1904">
        <v>-1.6126999999999999E-2</v>
      </c>
      <c r="O1904">
        <v>-6.2060209999999998E-2</v>
      </c>
      <c r="P1904">
        <v>-0.98601070000000002</v>
      </c>
      <c r="Q1904">
        <v>0.151092</v>
      </c>
      <c r="R1904">
        <v>7.038664E-2</v>
      </c>
      <c r="S1904">
        <v>-3.0582579999999999</v>
      </c>
      <c r="T1904">
        <v>-0.14121500000000001</v>
      </c>
      <c r="U1904">
        <v>6.6650390000000004E-2</v>
      </c>
      <c r="V1904">
        <v>0.13575779999999901</v>
      </c>
      <c r="W1904">
        <v>0.16338800000000001</v>
      </c>
      <c r="X1904">
        <v>0.97717670000000001</v>
      </c>
      <c r="Y1904">
        <v>8.3651760000000006E-2</v>
      </c>
      <c r="Z1904">
        <v>4.4672929999999998E-3</v>
      </c>
      <c r="AA1904">
        <v>0.99648510000000001</v>
      </c>
      <c r="AB1904">
        <v>29</v>
      </c>
      <c r="AC1904">
        <v>-23.7561</v>
      </c>
      <c r="AD1904">
        <v>-1.1107403760200001</v>
      </c>
      <c r="AE1904">
        <v>0.53299999999995795</v>
      </c>
      <c r="AF1904">
        <v>2.00209801544095</v>
      </c>
      <c r="AG1904">
        <v>-1.1107403760200001</v>
      </c>
      <c r="AH1904">
        <v>23.625591107242698</v>
      </c>
      <c r="AI1904">
        <v>92.682138971666902</v>
      </c>
      <c r="AJ1904">
        <v>85.156169915071899</v>
      </c>
      <c r="AK1904">
        <v>23.736273840115999</v>
      </c>
      <c r="AL1904">
        <v>80.596397678629003</v>
      </c>
      <c r="AM1904">
        <v>82.090604565432102</v>
      </c>
      <c r="AN1904">
        <v>1.00000006091386</v>
      </c>
    </row>
    <row r="1905" spans="1:40" x14ac:dyDescent="0.25">
      <c r="A1905" t="str">
        <f>"20190303170257419"</f>
        <v>20190303170257419</v>
      </c>
      <c r="B1905" t="str">
        <f>"1551603777407860"</f>
        <v>1551603777407860</v>
      </c>
      <c r="C1905" t="s">
        <v>40</v>
      </c>
      <c r="D1905">
        <v>4.9507789999999998</v>
      </c>
      <c r="E1905">
        <v>0.4869308</v>
      </c>
      <c r="F1905" t="s">
        <v>62</v>
      </c>
      <c r="G1905">
        <v>-234.6841</v>
      </c>
      <c r="H1905" s="1">
        <v>9.4451150000000002E-7</v>
      </c>
      <c r="I1905">
        <v>284.8759</v>
      </c>
      <c r="J1905">
        <v>-210.60319999999999</v>
      </c>
      <c r="K1905">
        <v>1.111321</v>
      </c>
      <c r="L1905">
        <v>284.23489999999998</v>
      </c>
      <c r="M1905">
        <v>-0.99859100000000001</v>
      </c>
      <c r="N1905">
        <v>-1.6001379999999999E-2</v>
      </c>
      <c r="O1905">
        <v>-5.0599640000000001E-2</v>
      </c>
      <c r="P1905">
        <v>-0.9852843</v>
      </c>
      <c r="Q1905">
        <v>0.15229139999999999</v>
      </c>
      <c r="R1905">
        <v>7.7604450000000005E-2</v>
      </c>
      <c r="S1905">
        <v>-3.0582579999999999</v>
      </c>
      <c r="T1905">
        <v>-0.13940820000000001</v>
      </c>
      <c r="U1905">
        <v>7.9681399999999999E-2</v>
      </c>
      <c r="V1905">
        <v>0.13147249999999999</v>
      </c>
      <c r="W1905">
        <v>0.16476009999999999</v>
      </c>
      <c r="X1905">
        <v>0.97753210000000001</v>
      </c>
      <c r="Y1905">
        <v>7.6471880000000006E-2</v>
      </c>
      <c r="Z1905">
        <v>3.8493189999999999E-3</v>
      </c>
      <c r="AA1905">
        <v>0.99706430000000001</v>
      </c>
      <c r="AB1905">
        <v>29</v>
      </c>
      <c r="AC1905">
        <v>-24.0809</v>
      </c>
      <c r="AD1905">
        <v>-1.1113200554885001</v>
      </c>
      <c r="AE1905">
        <v>0.641000000000019</v>
      </c>
      <c r="AF1905">
        <v>1.8548717043530101</v>
      </c>
      <c r="AG1905">
        <v>-1.1113200554885001</v>
      </c>
      <c r="AH1905">
        <v>23.966599160954299</v>
      </c>
      <c r="AI1905">
        <v>92.646972633779598</v>
      </c>
      <c r="AJ1905">
        <v>85.574470693036503</v>
      </c>
      <c r="AK1905">
        <v>24.0639451596615</v>
      </c>
      <c r="AL1905">
        <v>80.516701117063207</v>
      </c>
      <c r="AM1905">
        <v>82.340009745205293</v>
      </c>
      <c r="AN1905">
        <v>0.99999995766933403</v>
      </c>
    </row>
    <row r="1906" spans="1:40" x14ac:dyDescent="0.25">
      <c r="A1906" t="str">
        <f>"20190303170257443"</f>
        <v>20190303170257443</v>
      </c>
      <c r="B1906" t="str">
        <f>"1551603777427380"</f>
        <v>1551603777427380</v>
      </c>
      <c r="C1906" t="s">
        <v>40</v>
      </c>
      <c r="D1906">
        <v>5.0137409999999996</v>
      </c>
      <c r="E1906">
        <v>0.48206110000000002</v>
      </c>
      <c r="F1906" t="s">
        <v>62</v>
      </c>
      <c r="G1906">
        <v>-235.8349</v>
      </c>
      <c r="H1906" s="1">
        <v>1.5498040000000001E-6</v>
      </c>
      <c r="I1906">
        <v>285.03789999999998</v>
      </c>
      <c r="J1906">
        <v>-210.9203</v>
      </c>
      <c r="K1906">
        <v>1.111945</v>
      </c>
      <c r="L1906">
        <v>284.23110000000003</v>
      </c>
      <c r="M1906">
        <v>-0.99912350000000005</v>
      </c>
      <c r="N1906">
        <v>-1.5866959999999999E-2</v>
      </c>
      <c r="O1906">
        <v>-3.8738599999999998E-2</v>
      </c>
      <c r="P1906">
        <v>-0.98473160000000004</v>
      </c>
      <c r="Q1906">
        <v>0.15182329999999999</v>
      </c>
      <c r="R1906">
        <v>8.5166829999999999E-2</v>
      </c>
      <c r="S1906">
        <v>-3.0579679999999998</v>
      </c>
      <c r="T1906">
        <v>-0.13468740000000001</v>
      </c>
      <c r="U1906">
        <v>9.732056E-2</v>
      </c>
      <c r="V1906">
        <v>0.12709819999999999</v>
      </c>
      <c r="W1906">
        <v>0.16446520000000001</v>
      </c>
      <c r="X1906">
        <v>0.97816009999999998</v>
      </c>
      <c r="Y1906">
        <v>7.0400980000000002E-2</v>
      </c>
      <c r="Z1906">
        <v>3.1988619999999998E-3</v>
      </c>
      <c r="AA1906">
        <v>0.99751369999999895</v>
      </c>
      <c r="AB1906">
        <v>29</v>
      </c>
      <c r="AC1906">
        <v>-24.9146</v>
      </c>
      <c r="AD1906">
        <v>-1.1119434501959999</v>
      </c>
      <c r="AE1906">
        <v>0.806799999999952</v>
      </c>
      <c r="AF1906">
        <v>1.7679545676575299</v>
      </c>
      <c r="AG1906">
        <v>-1.1119434501959999</v>
      </c>
      <c r="AH1906">
        <v>24.815259027401002</v>
      </c>
      <c r="AI1906">
        <v>92.559164286618298</v>
      </c>
      <c r="AJ1906">
        <v>85.924867502661101</v>
      </c>
      <c r="AK1906">
        <v>24.902995044507001</v>
      </c>
      <c r="AL1906">
        <v>80.533831425823195</v>
      </c>
      <c r="AM1906">
        <v>82.596694509118095</v>
      </c>
      <c r="AN1906">
        <v>0.99999996784314404</v>
      </c>
    </row>
    <row r="1907" spans="1:40" x14ac:dyDescent="0.25">
      <c r="A1907" t="str">
        <f>"20190303170257467"</f>
        <v>20190303170257467</v>
      </c>
      <c r="B1907" t="str">
        <f>"1551603777457636"</f>
        <v>1551603777457636</v>
      </c>
      <c r="C1907" t="s">
        <v>40</v>
      </c>
      <c r="D1907">
        <v>4.8924919999999998</v>
      </c>
      <c r="E1907">
        <v>0.48167280000000001</v>
      </c>
      <c r="F1907" t="s">
        <v>62</v>
      </c>
      <c r="G1907">
        <v>-234.33019999999999</v>
      </c>
      <c r="H1907" s="1">
        <v>7.5734830000000002E-7</v>
      </c>
      <c r="I1907">
        <v>284.8494</v>
      </c>
      <c r="J1907">
        <v>-211.22640000000001</v>
      </c>
      <c r="K1907">
        <v>1.112581</v>
      </c>
      <c r="L1907">
        <v>284.23020000000002</v>
      </c>
      <c r="M1907">
        <v>-0.9994788</v>
      </c>
      <c r="N1907">
        <v>-1.5735579999999999E-2</v>
      </c>
      <c r="O1907">
        <v>-2.8188930000000001E-2</v>
      </c>
      <c r="P1907">
        <v>-0.98485979999999995</v>
      </c>
      <c r="Q1907">
        <v>0.14846999999999999</v>
      </c>
      <c r="R1907">
        <v>8.9487410000000003E-2</v>
      </c>
      <c r="S1907">
        <v>-3.0619350000000001</v>
      </c>
      <c r="T1907">
        <v>-0.14543829999999999</v>
      </c>
      <c r="U1907">
        <v>8.0871579999999998E-2</v>
      </c>
      <c r="V1907">
        <v>0.1207376</v>
      </c>
      <c r="W1907">
        <v>0.16132769999999999</v>
      </c>
      <c r="X1907">
        <v>0.97948749999999996</v>
      </c>
      <c r="Y1907">
        <v>5.4478850000000002E-2</v>
      </c>
      <c r="Z1907">
        <v>2.6165279999999999E-3</v>
      </c>
      <c r="AA1907">
        <v>0.9985115</v>
      </c>
      <c r="AB1907">
        <v>29</v>
      </c>
      <c r="AC1907">
        <v>-23.1037999999999</v>
      </c>
      <c r="AD1907">
        <v>-1.1125802426517</v>
      </c>
      <c r="AE1907">
        <v>0.61919999999997799</v>
      </c>
      <c r="AF1907">
        <v>1.26736900587634</v>
      </c>
      <c r="AG1907">
        <v>-1.1125802426517</v>
      </c>
      <c r="AH1907">
        <v>23.0238065514224</v>
      </c>
      <c r="AI1907">
        <v>92.762378536461398</v>
      </c>
      <c r="AJ1907">
        <v>86.849274884198906</v>
      </c>
      <c r="AK1907">
        <v>23.085487370006199</v>
      </c>
      <c r="AL1907">
        <v>80.716030727644707</v>
      </c>
      <c r="AM1907">
        <v>82.972821437612495</v>
      </c>
      <c r="AN1907">
        <v>0.99999997874864899</v>
      </c>
    </row>
    <row r="1908" spans="1:40" x14ac:dyDescent="0.25">
      <c r="A1908" t="str">
        <f>"20190303170257487"</f>
        <v>20190303170257487</v>
      </c>
      <c r="B1908" t="str">
        <f>"1551603777477158"</f>
        <v>1551603777477158</v>
      </c>
      <c r="C1908" t="s">
        <v>40</v>
      </c>
      <c r="D1908">
        <v>4.9472370000000003</v>
      </c>
      <c r="E1908">
        <v>0.48120960000000002</v>
      </c>
      <c r="F1908" t="s">
        <v>62</v>
      </c>
      <c r="G1908">
        <v>-232.96780000000001</v>
      </c>
      <c r="H1908" s="1">
        <v>3.1024E-8</v>
      </c>
      <c r="I1908">
        <v>284.87950000000001</v>
      </c>
      <c r="J1908">
        <v>-211.5076</v>
      </c>
      <c r="K1908">
        <v>1.113192</v>
      </c>
      <c r="L1908">
        <v>284.23160000000001</v>
      </c>
      <c r="M1908">
        <v>-0.9996912</v>
      </c>
      <c r="N1908">
        <v>-1.5609990000000001E-2</v>
      </c>
      <c r="O1908">
        <v>-1.9333929999999999E-2</v>
      </c>
      <c r="P1908">
        <v>-0.98454160000000002</v>
      </c>
      <c r="Q1908">
        <v>0.14704809999999999</v>
      </c>
      <c r="R1908">
        <v>9.5157370000000005E-2</v>
      </c>
      <c r="S1908">
        <v>-3.0614319999999999</v>
      </c>
      <c r="T1908">
        <v>-0.15666389999999999</v>
      </c>
      <c r="U1908">
        <v>9.1430659999999997E-2</v>
      </c>
      <c r="V1908">
        <v>0.1174229</v>
      </c>
      <c r="W1908">
        <v>0.16003580000000001</v>
      </c>
      <c r="X1908">
        <v>0.98010220000000003</v>
      </c>
      <c r="Y1908">
        <v>4.9078110000000001E-2</v>
      </c>
      <c r="Z1908">
        <v>2.3250689999999999E-3</v>
      </c>
      <c r="AA1908">
        <v>0.99879220000000002</v>
      </c>
      <c r="AB1908">
        <v>29</v>
      </c>
      <c r="AC1908">
        <v>-21.4602</v>
      </c>
      <c r="AD1908">
        <v>-1.1131919689759999</v>
      </c>
      <c r="AE1908">
        <v>0.64789999999999204</v>
      </c>
      <c r="AF1908">
        <v>1.0598901403887899</v>
      </c>
      <c r="AG1908">
        <v>-1.1131919689759999</v>
      </c>
      <c r="AH1908">
        <v>21.386167419492601</v>
      </c>
      <c r="AI1908">
        <v>92.976022654644197</v>
      </c>
      <c r="AJ1908">
        <v>87.162764826252499</v>
      </c>
      <c r="AK1908">
        <v>21.441332056662301</v>
      </c>
      <c r="AL1908">
        <v>80.791025428616393</v>
      </c>
      <c r="AM1908">
        <v>83.168139718348598</v>
      </c>
      <c r="AN1908">
        <v>0.99999995858544399</v>
      </c>
    </row>
    <row r="1909" spans="1:40" x14ac:dyDescent="0.25">
      <c r="A1909" t="str">
        <f>"20190303170257509"</f>
        <v>20190303170257509</v>
      </c>
      <c r="B1909" t="str">
        <f>"1551603777497745"</f>
        <v>1551603777497745</v>
      </c>
      <c r="C1909" t="s">
        <v>40</v>
      </c>
      <c r="D1909">
        <v>4.8918269999999904</v>
      </c>
      <c r="E1909">
        <v>0.480796</v>
      </c>
      <c r="F1909" t="s">
        <v>62</v>
      </c>
      <c r="G1909">
        <v>-232.4408</v>
      </c>
      <c r="H1909" s="1">
        <v>-2.5295219999999999E-7</v>
      </c>
      <c r="I1909">
        <v>284.96019999999999</v>
      </c>
      <c r="J1909">
        <v>-211.7903</v>
      </c>
      <c r="K1909">
        <v>1.1138809999999999</v>
      </c>
      <c r="L1909">
        <v>284.23480000000001</v>
      </c>
      <c r="M1909">
        <v>-0.99981679999999995</v>
      </c>
      <c r="N1909">
        <v>-1.548275E-2</v>
      </c>
      <c r="O1909">
        <v>-1.125519E-2</v>
      </c>
      <c r="P1909">
        <v>-0.98404849999999999</v>
      </c>
      <c r="Q1909">
        <v>0.14825289999999999</v>
      </c>
      <c r="R1909">
        <v>9.8334009999999999E-2</v>
      </c>
      <c r="S1909">
        <v>-3.0611269999999999</v>
      </c>
      <c r="T1909">
        <v>-0.1627856</v>
      </c>
      <c r="U1909">
        <v>0.1065369</v>
      </c>
      <c r="V1909">
        <v>0.1124069</v>
      </c>
      <c r="W1909">
        <v>0.16140289999999999</v>
      </c>
      <c r="X1909">
        <v>0.98046610000000001</v>
      </c>
      <c r="Y1909">
        <v>4.593788E-2</v>
      </c>
      <c r="Z1909">
        <v>2.000117E-3</v>
      </c>
      <c r="AA1909">
        <v>0.99894229999999995</v>
      </c>
      <c r="AB1909">
        <v>29</v>
      </c>
      <c r="AC1909">
        <v>-20.650499999999901</v>
      </c>
      <c r="AD1909">
        <v>-1.1138812529522</v>
      </c>
      <c r="AE1909">
        <v>0.72539999999997895</v>
      </c>
      <c r="AF1909">
        <v>0.95503197164535802</v>
      </c>
      <c r="AG1909">
        <v>-1.1138812529522</v>
      </c>
      <c r="AH1909">
        <v>20.581219133718299</v>
      </c>
      <c r="AI1909">
        <v>93.0945733107107</v>
      </c>
      <c r="AJ1909">
        <v>87.343205138655705</v>
      </c>
      <c r="AK1909">
        <v>20.6334533838297</v>
      </c>
      <c r="AL1909">
        <v>80.711664977233696</v>
      </c>
      <c r="AM1909">
        <v>83.4598002513317</v>
      </c>
      <c r="AN1909">
        <v>0.99999999027261499</v>
      </c>
    </row>
    <row r="1910" spans="1:40" x14ac:dyDescent="0.25">
      <c r="A1910" t="str">
        <f>"20190303170257525"</f>
        <v>20190303170257525</v>
      </c>
      <c r="B1910" t="str">
        <f>"1551603777517266"</f>
        <v>1551603777517266</v>
      </c>
      <c r="C1910" t="s">
        <v>40</v>
      </c>
      <c r="D1910">
        <v>4.8552799999999996</v>
      </c>
      <c r="E1910">
        <v>0.48020770000000002</v>
      </c>
      <c r="F1910" t="s">
        <v>62</v>
      </c>
      <c r="G1910">
        <v>-233.54</v>
      </c>
      <c r="H1910" s="1">
        <v>3.2916480000000001E-7</v>
      </c>
      <c r="I1910">
        <v>285.0247</v>
      </c>
      <c r="J1910">
        <v>-211.99690000000001</v>
      </c>
      <c r="K1910">
        <v>1.1144289999999999</v>
      </c>
      <c r="L1910">
        <v>284.23809999999997</v>
      </c>
      <c r="M1910">
        <v>-0.99986430000000004</v>
      </c>
      <c r="N1910">
        <v>-1.539196E-2</v>
      </c>
      <c r="O1910">
        <v>-5.8974750000000001E-3</v>
      </c>
      <c r="P1910">
        <v>-0.98351730000000004</v>
      </c>
      <c r="Q1910">
        <v>0.14964330000000001</v>
      </c>
      <c r="R1910">
        <v>0.1014939</v>
      </c>
      <c r="S1910">
        <v>-3.0611570000000001</v>
      </c>
      <c r="T1910">
        <v>-0.15677269999999999</v>
      </c>
      <c r="U1910">
        <v>0.1111755</v>
      </c>
      <c r="V1910">
        <v>0.1101109</v>
      </c>
      <c r="W1910">
        <v>0.16288459999999999</v>
      </c>
      <c r="X1910">
        <v>0.98048159999999895</v>
      </c>
      <c r="Y1910">
        <v>4.2112370000000003E-2</v>
      </c>
      <c r="Z1910">
        <v>1.6128339999999901E-3</v>
      </c>
      <c r="AA1910">
        <v>0.99911159999999999</v>
      </c>
      <c r="AB1910">
        <v>29</v>
      </c>
      <c r="AC1910">
        <v>-21.5430999999999</v>
      </c>
      <c r="AD1910">
        <v>-1.1144286708352</v>
      </c>
      <c r="AE1910">
        <v>0.78660000000002095</v>
      </c>
      <c r="AF1910">
        <v>0.91121606487256401</v>
      </c>
      <c r="AG1910">
        <v>-1.1144286708352</v>
      </c>
      <c r="AH1910">
        <v>21.480679731412501</v>
      </c>
      <c r="AI1910">
        <v>92.967208013101597</v>
      </c>
      <c r="AJ1910">
        <v>87.570954321053506</v>
      </c>
      <c r="AK1910">
        <v>21.528861272783999</v>
      </c>
      <c r="AL1910">
        <v>80.625631296468001</v>
      </c>
      <c r="AM1910">
        <v>83.592366933813494</v>
      </c>
      <c r="AN1910">
        <v>0.99999998557726399</v>
      </c>
    </row>
    <row r="1911" spans="1:40" x14ac:dyDescent="0.25">
      <c r="A1911" t="str">
        <f>"20190303170257542"</f>
        <v>20190303170257542</v>
      </c>
      <c r="B1911" t="str">
        <f>"1551603777537762"</f>
        <v>1551603777537762</v>
      </c>
      <c r="C1911" t="s">
        <v>40</v>
      </c>
      <c r="D1911">
        <v>4.8911150000000001</v>
      </c>
      <c r="E1911">
        <v>0.47402109999999897</v>
      </c>
      <c r="F1911" t="s">
        <v>62</v>
      </c>
      <c r="G1911">
        <v>-234.5975</v>
      </c>
      <c r="H1911" s="1">
        <v>8.8912549999999995E-7</v>
      </c>
      <c r="I1911">
        <v>285.0881</v>
      </c>
      <c r="J1911">
        <v>-212.22900000000001</v>
      </c>
      <c r="K1911">
        <v>1.1150709999999999</v>
      </c>
      <c r="L1911">
        <v>284.24259999999998</v>
      </c>
      <c r="M1911">
        <v>-0.99988290000000002</v>
      </c>
      <c r="N1911">
        <v>-1.5294230000000001E-2</v>
      </c>
      <c r="O1911">
        <v>-3.9486760000000001E-4</v>
      </c>
      <c r="P1911">
        <v>-0.98321369999999997</v>
      </c>
      <c r="Q1911">
        <v>0.15082039999999999</v>
      </c>
      <c r="R1911">
        <v>0.10268529999999999</v>
      </c>
      <c r="S1911">
        <v>-3.0613709999999998</v>
      </c>
      <c r="T1911">
        <v>-0.1509556</v>
      </c>
      <c r="U1911">
        <v>0.1151428</v>
      </c>
      <c r="V1911">
        <v>0.1056677</v>
      </c>
      <c r="W1911">
        <v>0.16419900000000001</v>
      </c>
      <c r="X1911">
        <v>0.98075129999999999</v>
      </c>
      <c r="Y1911">
        <v>3.7919040000000001E-2</v>
      </c>
      <c r="Z1911">
        <v>1.2377309999999999E-3</v>
      </c>
      <c r="AA1911">
        <v>0.99927999999999995</v>
      </c>
      <c r="AB1911">
        <v>29</v>
      </c>
      <c r="AC1911">
        <v>-22.368499999999901</v>
      </c>
      <c r="AD1911">
        <v>-1.1150701108745</v>
      </c>
      <c r="AE1911">
        <v>0.84550000000001502</v>
      </c>
      <c r="AF1911">
        <v>0.85221880079688905</v>
      </c>
      <c r="AG1911">
        <v>-1.1150701108745</v>
      </c>
      <c r="AH1911">
        <v>22.312795626137799</v>
      </c>
      <c r="AI1911">
        <v>92.858865020240998</v>
      </c>
      <c r="AJ1911">
        <v>87.812698216910107</v>
      </c>
      <c r="AK1911">
        <v>22.356889472607602</v>
      </c>
      <c r="AL1911">
        <v>80.549294493387904</v>
      </c>
      <c r="AM1911">
        <v>83.8505833165556</v>
      </c>
      <c r="AN1911">
        <v>1.0000000434379801</v>
      </c>
    </row>
    <row r="1912" spans="1:40" x14ac:dyDescent="0.25">
      <c r="A1912" t="str">
        <f>"20190303170257567"</f>
        <v>20190303170257567</v>
      </c>
      <c r="B1912" t="str">
        <f>"1551603777557282"</f>
        <v>1551603777557282</v>
      </c>
      <c r="C1912" t="s">
        <v>40</v>
      </c>
      <c r="D1912">
        <v>4.8852120000000001</v>
      </c>
      <c r="E1912">
        <v>0.47439399999999998</v>
      </c>
      <c r="F1912" t="s">
        <v>62</v>
      </c>
      <c r="G1912">
        <v>-236.46039999999999</v>
      </c>
      <c r="H1912" s="1">
        <v>1.893609E-6</v>
      </c>
      <c r="I1912">
        <v>284.78800000000001</v>
      </c>
      <c r="J1912">
        <v>-212.5419</v>
      </c>
      <c r="K1912">
        <v>1.115909</v>
      </c>
      <c r="L1912">
        <v>284.24990000000003</v>
      </c>
      <c r="M1912">
        <v>-0.99986620000000004</v>
      </c>
      <c r="N1912">
        <v>-1.5170100000000001E-2</v>
      </c>
      <c r="O1912">
        <v>6.1244430000000002E-3</v>
      </c>
      <c r="P1912">
        <v>-0.98342540000000001</v>
      </c>
      <c r="Q1912">
        <v>0.14857300000000001</v>
      </c>
      <c r="R1912">
        <v>0.1039258</v>
      </c>
      <c r="S1912">
        <v>-3.0656279999999998</v>
      </c>
      <c r="T1912">
        <v>-0.14107259999999999</v>
      </c>
      <c r="U1912">
        <v>6.9000240000000004E-2</v>
      </c>
      <c r="V1912">
        <v>0.1001344</v>
      </c>
      <c r="W1912">
        <v>0.1621253</v>
      </c>
      <c r="X1912">
        <v>0.9816764</v>
      </c>
      <c r="Y1912">
        <v>1.6357880000000002E-2</v>
      </c>
      <c r="Z1912">
        <v>3.1154369999999998E-4</v>
      </c>
      <c r="AA1912">
        <v>0.99986609999999998</v>
      </c>
      <c r="AB1912">
        <v>29</v>
      </c>
      <c r="AC1912">
        <v>-23.918499999999899</v>
      </c>
      <c r="AD1912">
        <v>-1.115907106391</v>
      </c>
      <c r="AE1912">
        <v>0.53809999999998503</v>
      </c>
      <c r="AF1912">
        <v>0.39073549819641401</v>
      </c>
      <c r="AG1912">
        <v>-1.115907106391</v>
      </c>
      <c r="AH1912">
        <v>23.869418218085201</v>
      </c>
      <c r="AI1912">
        <v>92.676299086448395</v>
      </c>
      <c r="AJ1912">
        <v>89.062168362766201</v>
      </c>
      <c r="AK1912">
        <v>23.898682996548299</v>
      </c>
      <c r="AL1912">
        <v>80.669722492962293</v>
      </c>
      <c r="AM1912">
        <v>84.1757756695322</v>
      </c>
      <c r="AN1912">
        <v>1.0000000326402001</v>
      </c>
    </row>
    <row r="1913" spans="1:40" x14ac:dyDescent="0.25">
      <c r="A1913" t="str">
        <f>"20190303170257588"</f>
        <v>20190303170257588</v>
      </c>
      <c r="B1913" t="str">
        <f>"1551603777577778"</f>
        <v>1551603777577778</v>
      </c>
      <c r="C1913" t="s">
        <v>40</v>
      </c>
      <c r="D1913">
        <v>4.8890209999999996</v>
      </c>
      <c r="E1913">
        <v>0.47399330000000001</v>
      </c>
      <c r="F1913" t="s">
        <v>62</v>
      </c>
      <c r="G1913">
        <v>-235.21969999999999</v>
      </c>
      <c r="H1913" s="1">
        <v>1.232047E-6</v>
      </c>
      <c r="I1913">
        <v>284.8184</v>
      </c>
      <c r="J1913">
        <v>-212.8237</v>
      </c>
      <c r="K1913">
        <v>1.1166069999999999</v>
      </c>
      <c r="L1913">
        <v>284.25729999999999</v>
      </c>
      <c r="M1913">
        <v>-0.99982409999999999</v>
      </c>
      <c r="N1913">
        <v>-1.506584E-2</v>
      </c>
      <c r="O1913">
        <v>1.116788E-2</v>
      </c>
      <c r="P1913">
        <v>-0.98370690000000005</v>
      </c>
      <c r="Q1913">
        <v>0.14660300000000001</v>
      </c>
      <c r="R1913">
        <v>0.104059</v>
      </c>
      <c r="S1913">
        <v>-3.0652309999999998</v>
      </c>
      <c r="T1913">
        <v>-0.1508312</v>
      </c>
      <c r="U1913">
        <v>7.6843259999999997E-2</v>
      </c>
      <c r="V1913">
        <v>9.4997700000000004E-2</v>
      </c>
      <c r="W1913">
        <v>0.16029370000000001</v>
      </c>
      <c r="X1913">
        <v>0.98248729999999995</v>
      </c>
      <c r="Y1913">
        <v>1.387882E-2</v>
      </c>
      <c r="Z1913" s="1">
        <v>6.4942769999999894E-5</v>
      </c>
      <c r="AA1913">
        <v>0.99990369999999995</v>
      </c>
      <c r="AB1913">
        <v>29</v>
      </c>
      <c r="AC1913">
        <v>-22.395999999999901</v>
      </c>
      <c r="AD1913">
        <v>-1.1166057679529999</v>
      </c>
      <c r="AE1913">
        <v>0.56110000000001004</v>
      </c>
      <c r="AF1913">
        <v>0.31015028603789002</v>
      </c>
      <c r="AG1913">
        <v>-1.1166057679529999</v>
      </c>
      <c r="AH1913">
        <v>22.345359706324199</v>
      </c>
      <c r="AI1913">
        <v>92.860436404154598</v>
      </c>
      <c r="AJ1913">
        <v>89.204794121963104</v>
      </c>
      <c r="AK1913">
        <v>22.375390545104899</v>
      </c>
      <c r="AL1913">
        <v>80.776055640263607</v>
      </c>
      <c r="AM1913">
        <v>84.477181115634096</v>
      </c>
      <c r="AN1913">
        <v>0.99999996396313395</v>
      </c>
    </row>
    <row r="1914" spans="1:40" x14ac:dyDescent="0.25">
      <c r="A1914" t="str">
        <f>"20190303170257609"</f>
        <v>20190303170257609</v>
      </c>
      <c r="B1914" t="str">
        <f>"1551603777597298"</f>
        <v>1551603777597298</v>
      </c>
      <c r="C1914" t="s">
        <v>40</v>
      </c>
      <c r="D1914">
        <v>4.887505</v>
      </c>
      <c r="E1914">
        <v>0.47337410000000002</v>
      </c>
      <c r="F1914" t="s">
        <v>62</v>
      </c>
      <c r="G1914">
        <v>-234.1643</v>
      </c>
      <c r="H1914" s="1">
        <v>6.7180530000000003E-7</v>
      </c>
      <c r="I1914">
        <v>284.786</v>
      </c>
      <c r="J1914">
        <v>-213.1001</v>
      </c>
      <c r="K1914">
        <v>1.1172690000000001</v>
      </c>
      <c r="L1914">
        <v>284.26510000000002</v>
      </c>
      <c r="M1914">
        <v>-0.9997703</v>
      </c>
      <c r="N1914">
        <v>-1.496958E-2</v>
      </c>
      <c r="O1914">
        <v>1.534158E-2</v>
      </c>
      <c r="P1914">
        <v>-0.98358699999999999</v>
      </c>
      <c r="Q1914">
        <v>0.14691670000000001</v>
      </c>
      <c r="R1914">
        <v>0.1047482</v>
      </c>
      <c r="S1914">
        <v>-3.0655670000000002</v>
      </c>
      <c r="T1914">
        <v>-0.1604005</v>
      </c>
      <c r="U1914">
        <v>7.5958250000000005E-2</v>
      </c>
      <c r="V1914">
        <v>9.132171E-2</v>
      </c>
      <c r="W1914">
        <v>0.1607046</v>
      </c>
      <c r="X1914">
        <v>0.98276870000000005</v>
      </c>
      <c r="Y1914">
        <v>9.4228780000000009E-3</v>
      </c>
      <c r="Z1914">
        <v>-2.5553160000000002E-4</v>
      </c>
      <c r="AA1914">
        <v>0.99995560000000006</v>
      </c>
      <c r="AB1914">
        <v>29</v>
      </c>
      <c r="AC1914">
        <v>-21.0642</v>
      </c>
      <c r="AD1914">
        <v>-1.11726832819469</v>
      </c>
      <c r="AE1914">
        <v>0.52089999999998304</v>
      </c>
      <c r="AF1914">
        <v>0.197090229038342</v>
      </c>
      <c r="AG1914">
        <v>-1.11726832819469</v>
      </c>
      <c r="AH1914">
        <v>21.010638418012402</v>
      </c>
      <c r="AI1914">
        <v>93.043777811282894</v>
      </c>
      <c r="AJ1914">
        <v>89.462552880176005</v>
      </c>
      <c r="AK1914">
        <v>21.041246631509999</v>
      </c>
      <c r="AL1914">
        <v>80.752203645261901</v>
      </c>
      <c r="AM1914">
        <v>84.691155459142806</v>
      </c>
      <c r="AN1914">
        <v>0.99999997043908595</v>
      </c>
    </row>
    <row r="1915" spans="1:40" x14ac:dyDescent="0.25">
      <c r="A1915" t="str">
        <f>"20190303170257623"</f>
        <v>20190303170257623</v>
      </c>
      <c r="B1915" t="str">
        <f>"1551603777617795"</f>
        <v>1551603777617795</v>
      </c>
      <c r="C1915" t="s">
        <v>40</v>
      </c>
      <c r="D1915">
        <v>4.8286150000000001</v>
      </c>
      <c r="E1915">
        <v>0.47310590000000002</v>
      </c>
      <c r="F1915" t="s">
        <v>62</v>
      </c>
      <c r="G1915">
        <v>-234.428</v>
      </c>
      <c r="H1915" s="1">
        <v>8.1301230000000003E-7</v>
      </c>
      <c r="I1915">
        <v>284.76690000000002</v>
      </c>
      <c r="J1915">
        <v>-213.27590000000001</v>
      </c>
      <c r="K1915">
        <v>1.1177010000000001</v>
      </c>
      <c r="L1915">
        <v>284.2704</v>
      </c>
      <c r="M1915">
        <v>-0.99973429999999996</v>
      </c>
      <c r="N1915">
        <v>-1.4911270000000001E-2</v>
      </c>
      <c r="O1915">
        <v>1.7576720000000001E-2</v>
      </c>
      <c r="P1915">
        <v>-0.98305609999999999</v>
      </c>
      <c r="Q1915">
        <v>0.1497425</v>
      </c>
      <c r="R1915">
        <v>0.10572520000000001</v>
      </c>
      <c r="S1915">
        <v>-3.066376</v>
      </c>
      <c r="T1915">
        <v>-0.16063259999999999</v>
      </c>
      <c r="U1915">
        <v>7.2143550000000001E-2</v>
      </c>
      <c r="V1915">
        <v>8.9969140000000003E-2</v>
      </c>
      <c r="W1915">
        <v>0.16357189999999999</v>
      </c>
      <c r="X1915">
        <v>0.98242039999999997</v>
      </c>
      <c r="Y1915">
        <v>5.9452019999999897E-3</v>
      </c>
      <c r="Z1915">
        <v>-4.5798870000000002E-4</v>
      </c>
      <c r="AA1915">
        <v>0.99998220000000004</v>
      </c>
      <c r="AB1915">
        <v>29</v>
      </c>
      <c r="AC1915">
        <v>-21.152099999999901</v>
      </c>
      <c r="AD1915">
        <v>-1.1177001869876999</v>
      </c>
      <c r="AE1915">
        <v>0.49650000000002498</v>
      </c>
      <c r="AF1915">
        <v>0.124250656754554</v>
      </c>
      <c r="AG1915">
        <v>-1.1177001869876999</v>
      </c>
      <c r="AH1915">
        <v>21.098680548927099</v>
      </c>
      <c r="AI1915">
        <v>93.032350348071901</v>
      </c>
      <c r="AJ1915">
        <v>89.662587623836103</v>
      </c>
      <c r="AK1915">
        <v>21.128630169496901</v>
      </c>
      <c r="AL1915">
        <v>80.585716980972606</v>
      </c>
      <c r="AM1915">
        <v>84.767501451279202</v>
      </c>
      <c r="AN1915">
        <v>1.0000000274790499</v>
      </c>
    </row>
    <row r="1916" spans="1:40" x14ac:dyDescent="0.25">
      <c r="A1916" t="str">
        <f>"20190303170257645"</f>
        <v>20190303170257645</v>
      </c>
      <c r="B1916" t="str">
        <f>"1551603777637315"</f>
        <v>1551603777637315</v>
      </c>
      <c r="C1916" t="s">
        <v>40</v>
      </c>
      <c r="D1916">
        <v>4.8352680000000001</v>
      </c>
      <c r="E1916">
        <v>0.47256330000000002</v>
      </c>
      <c r="F1916" t="s">
        <v>62</v>
      </c>
      <c r="G1916">
        <v>-235.82689999999999</v>
      </c>
      <c r="H1916" s="1">
        <v>1.555778E-6</v>
      </c>
      <c r="I1916">
        <v>284.80450000000002</v>
      </c>
      <c r="J1916">
        <v>-213.5609</v>
      </c>
      <c r="K1916">
        <v>1.11842</v>
      </c>
      <c r="L1916">
        <v>284.2792</v>
      </c>
      <c r="M1916">
        <v>-0.99967899999999998</v>
      </c>
      <c r="N1916">
        <v>-1.4822119999999999E-2</v>
      </c>
      <c r="O1916">
        <v>2.0551050000000001E-2</v>
      </c>
      <c r="P1916">
        <v>-0.98248420000000003</v>
      </c>
      <c r="Q1916">
        <v>0.15318570000000001</v>
      </c>
      <c r="R1916">
        <v>0.10610839999999901</v>
      </c>
      <c r="S1916">
        <v>-3.0670320000000002</v>
      </c>
      <c r="T1916">
        <v>-0.15201149999999999</v>
      </c>
      <c r="U1916">
        <v>7.2631840000000003E-2</v>
      </c>
      <c r="V1916">
        <v>8.7190740000000003E-2</v>
      </c>
      <c r="W1916">
        <v>0.1670896</v>
      </c>
      <c r="X1916">
        <v>0.98207889999999998</v>
      </c>
      <c r="Y1916">
        <v>3.129681E-3</v>
      </c>
      <c r="Z1916">
        <v>-6.1248529999999995E-4</v>
      </c>
      <c r="AA1916">
        <v>0.99999490000000002</v>
      </c>
      <c r="AB1916">
        <v>29</v>
      </c>
      <c r="AC1916">
        <v>-22.265999999999899</v>
      </c>
      <c r="AD1916">
        <v>-1.118418444222</v>
      </c>
      <c r="AE1916">
        <v>0.52530000000001498</v>
      </c>
      <c r="AF1916">
        <v>6.7379209144667204E-2</v>
      </c>
      <c r="AG1916">
        <v>-1.118418444222</v>
      </c>
      <c r="AH1916">
        <v>22.216072277242301</v>
      </c>
      <c r="AI1916">
        <v>92.881981512095606</v>
      </c>
      <c r="AJ1916">
        <v>89.826227947689006</v>
      </c>
      <c r="AK1916">
        <v>22.2443086474239</v>
      </c>
      <c r="AL1916">
        <v>80.381355457519405</v>
      </c>
      <c r="AM1916">
        <v>84.926479403876897</v>
      </c>
      <c r="AN1916">
        <v>1.00000006269755</v>
      </c>
    </row>
    <row r="1917" spans="1:40" x14ac:dyDescent="0.25">
      <c r="A1917" t="str">
        <f>"20190303170257667"</f>
        <v>20190303170257667</v>
      </c>
      <c r="B1917" t="str">
        <f>"1551603777657810"</f>
        <v>1551603777657810</v>
      </c>
      <c r="C1917" t="s">
        <v>40</v>
      </c>
      <c r="D1917">
        <v>4.8340050000000003</v>
      </c>
      <c r="E1917">
        <v>0.47180329999999898</v>
      </c>
      <c r="F1917" t="s">
        <v>62</v>
      </c>
      <c r="G1917">
        <v>-238.19460000000001</v>
      </c>
      <c r="H1917" s="1">
        <v>2.8144679999999999E-6</v>
      </c>
      <c r="I1917">
        <v>284.834</v>
      </c>
      <c r="J1917">
        <v>-213.84889999999999</v>
      </c>
      <c r="K1917">
        <v>1.1191260000000001</v>
      </c>
      <c r="L1917">
        <v>284.28809999999999</v>
      </c>
      <c r="M1917">
        <v>-0.99963179999999996</v>
      </c>
      <c r="N1917">
        <v>-1.474073E-2</v>
      </c>
      <c r="O1917">
        <v>2.2785969999999999E-2</v>
      </c>
      <c r="P1917">
        <v>-0.98282329999999996</v>
      </c>
      <c r="Q1917">
        <v>0.1527376</v>
      </c>
      <c r="R1917">
        <v>0.10358539999999999</v>
      </c>
      <c r="S1917">
        <v>-3.0677340000000002</v>
      </c>
      <c r="T1917">
        <v>-0.1392806</v>
      </c>
      <c r="U1917">
        <v>6.9091799999999995E-2</v>
      </c>
      <c r="V1917">
        <v>8.2179779999999994E-2</v>
      </c>
      <c r="W1917">
        <v>0.16674169999999999</v>
      </c>
      <c r="X1917">
        <v>0.9825699</v>
      </c>
      <c r="Y1917">
        <v>-2.6108210000000003E-4</v>
      </c>
      <c r="Z1917">
        <v>-7.0579129999999999E-4</v>
      </c>
      <c r="AA1917">
        <v>0.99999970000000005</v>
      </c>
      <c r="AB1917">
        <v>29</v>
      </c>
      <c r="AC1917">
        <v>-24.345700000000001</v>
      </c>
      <c r="AD1917">
        <v>-1.1191231855320001</v>
      </c>
      <c r="AE1917">
        <v>0.54590000000001704</v>
      </c>
      <c r="AF1917">
        <v>-9.0233144509693705E-3</v>
      </c>
      <c r="AG1917">
        <v>-1.1191231855320001</v>
      </c>
      <c r="AH1917">
        <v>24.300495336621299</v>
      </c>
      <c r="AI1917">
        <v>92.636808657416395</v>
      </c>
      <c r="AJ1917">
        <v>90.021275196424398</v>
      </c>
      <c r="AK1917">
        <v>24.3262531379116</v>
      </c>
      <c r="AL1917">
        <v>80.401571276969406</v>
      </c>
      <c r="AM1917">
        <v>85.219046257622196</v>
      </c>
      <c r="AN1917">
        <v>0.99999995957287302</v>
      </c>
    </row>
    <row r="1918" spans="1:40" x14ac:dyDescent="0.25">
      <c r="A1918" t="str">
        <f>"20190303170257689"</f>
        <v>20190303170257689</v>
      </c>
      <c r="B1918" t="str">
        <f>"1551603777677330"</f>
        <v>1551603777677330</v>
      </c>
      <c r="C1918" t="s">
        <v>40</v>
      </c>
      <c r="D1918">
        <v>4.8873490000000004</v>
      </c>
      <c r="E1918">
        <v>0.45150820000000003</v>
      </c>
      <c r="F1918" t="s">
        <v>62</v>
      </c>
      <c r="G1918">
        <v>-237.88579999999999</v>
      </c>
      <c r="H1918" s="1">
        <v>2.6547140000000001E-6</v>
      </c>
      <c r="I1918">
        <v>284.7294</v>
      </c>
      <c r="J1918">
        <v>-214.13470000000001</v>
      </c>
      <c r="K1918">
        <v>1.119767</v>
      </c>
      <c r="L1918">
        <v>284.29680000000002</v>
      </c>
      <c r="M1918">
        <v>-0.99959770000000003</v>
      </c>
      <c r="N1918">
        <v>-1.4669099999999999E-2</v>
      </c>
      <c r="O1918">
        <v>2.4277549999999998E-2</v>
      </c>
      <c r="P1918">
        <v>-0.98362360000000004</v>
      </c>
      <c r="Q1918">
        <v>0.14987439999999999</v>
      </c>
      <c r="R1918">
        <v>0.1001127</v>
      </c>
      <c r="S1918">
        <v>-3.0686800000000001</v>
      </c>
      <c r="T1918">
        <v>-0.142873</v>
      </c>
      <c r="U1918">
        <v>5.6335450000000002E-2</v>
      </c>
      <c r="V1918">
        <v>7.6938389999999995E-2</v>
      </c>
      <c r="W1918">
        <v>0.16397419999999999</v>
      </c>
      <c r="X1918">
        <v>0.98345970000000005</v>
      </c>
      <c r="Y1918">
        <v>-5.9056330000000004E-3</v>
      </c>
      <c r="Z1918">
        <v>-9.5418439999999998E-4</v>
      </c>
      <c r="AA1918">
        <v>0.99998209999999998</v>
      </c>
      <c r="AB1918">
        <v>29</v>
      </c>
      <c r="AC1918">
        <v>-23.751099999999902</v>
      </c>
      <c r="AD1918">
        <v>-1.119764345286</v>
      </c>
      <c r="AE1918">
        <v>0.432599999999979</v>
      </c>
      <c r="AF1918">
        <v>-0.14388834057200101</v>
      </c>
      <c r="AG1918">
        <v>-1.119764345286</v>
      </c>
      <c r="AH1918">
        <v>23.701936193301801</v>
      </c>
      <c r="AI1918">
        <v>92.704796870806504</v>
      </c>
      <c r="AJ1918">
        <v>90.347823624786898</v>
      </c>
      <c r="AK1918">
        <v>23.7288085532096</v>
      </c>
      <c r="AL1918">
        <v>80.562351316421299</v>
      </c>
      <c r="AM1918">
        <v>85.526726064102803</v>
      </c>
      <c r="AN1918">
        <v>1.0000000178227599</v>
      </c>
    </row>
    <row r="1919" spans="1:40" x14ac:dyDescent="0.25">
      <c r="A1919" t="str">
        <f>"20190303170257710"</f>
        <v>20190303170257710</v>
      </c>
      <c r="B1919" t="str">
        <f>"1551603777697827"</f>
        <v>1551603777697827</v>
      </c>
      <c r="C1919" t="s">
        <v>40</v>
      </c>
      <c r="D1919">
        <v>4.8844589999999997</v>
      </c>
      <c r="E1919">
        <v>0.44429200000000002</v>
      </c>
      <c r="F1919" t="s">
        <v>62</v>
      </c>
      <c r="G1919">
        <v>-246.55600000000001</v>
      </c>
      <c r="H1919" s="1">
        <v>1.9520110000000002E-6</v>
      </c>
      <c r="I1919">
        <v>283.12970000000001</v>
      </c>
      <c r="J1919">
        <v>-214.40870000000001</v>
      </c>
      <c r="K1919">
        <v>1.1203620000000001</v>
      </c>
      <c r="L1919">
        <v>284.30470000000003</v>
      </c>
      <c r="M1919">
        <v>-0.99958009999999997</v>
      </c>
      <c r="N1919">
        <v>-1.460819E-2</v>
      </c>
      <c r="O1919">
        <v>2.5026099999999999E-2</v>
      </c>
      <c r="P1919">
        <v>-0.98424389999999995</v>
      </c>
      <c r="Q1919">
        <v>0.1470516</v>
      </c>
      <c r="R1919">
        <v>9.8183679999999995E-2</v>
      </c>
      <c r="S1919">
        <v>-3.077423</v>
      </c>
      <c r="T1919">
        <v>-0.1062876</v>
      </c>
      <c r="U1919">
        <v>-0.1107788</v>
      </c>
      <c r="V1919">
        <v>7.4004260000000002E-2</v>
      </c>
      <c r="W1919">
        <v>0.16122320000000001</v>
      </c>
      <c r="X1919">
        <v>0.9841394</v>
      </c>
      <c r="Y1919">
        <v>-6.0918640000000003E-2</v>
      </c>
      <c r="Z1919">
        <v>-1.9950860000000001E-3</v>
      </c>
      <c r="AA1919">
        <v>0.99814080000000005</v>
      </c>
      <c r="AB1919">
        <v>29</v>
      </c>
      <c r="AC1919">
        <v>-32.147299999999902</v>
      </c>
      <c r="AD1919">
        <v>-1.1203600479889999</v>
      </c>
      <c r="AE1919">
        <v>-1.17500000000001</v>
      </c>
      <c r="AF1919">
        <v>-1.97684144771592</v>
      </c>
      <c r="AG1919">
        <v>-1.1203600479889999</v>
      </c>
      <c r="AH1919">
        <v>32.068922137736102</v>
      </c>
      <c r="AI1919">
        <v>91.997084200842906</v>
      </c>
      <c r="AJ1919">
        <v>93.527450399397196</v>
      </c>
      <c r="AK1919">
        <v>32.149321545294299</v>
      </c>
      <c r="AL1919">
        <v>80.722097329614201</v>
      </c>
      <c r="AM1919">
        <v>85.699626782575606</v>
      </c>
      <c r="AN1919">
        <v>0.99999995467437197</v>
      </c>
    </row>
    <row r="1920" spans="1:40" x14ac:dyDescent="0.25">
      <c r="A1920" t="str">
        <f>"20190303170257725"</f>
        <v>20190303170257725</v>
      </c>
      <c r="B1920" t="str">
        <f>"1551603777717346"</f>
        <v>1551603777717346</v>
      </c>
      <c r="C1920" t="s">
        <v>40</v>
      </c>
      <c r="D1920">
        <v>4.8972249999999997</v>
      </c>
      <c r="E1920">
        <v>0.44094299999999997</v>
      </c>
      <c r="F1920" t="s">
        <v>62</v>
      </c>
      <c r="G1920">
        <v>-253.38210000000001</v>
      </c>
      <c r="H1920" s="1">
        <v>2.6297840000000001E-7</v>
      </c>
      <c r="I1920">
        <v>282.10070000000002</v>
      </c>
      <c r="J1920">
        <v>-214.59569999999999</v>
      </c>
      <c r="K1920">
        <v>1.120771</v>
      </c>
      <c r="L1920">
        <v>284.3098</v>
      </c>
      <c r="M1920">
        <v>-0.99957810000000002</v>
      </c>
      <c r="N1920">
        <v>-1.4571219999999999E-2</v>
      </c>
      <c r="O1920">
        <v>2.5130409999999999E-2</v>
      </c>
      <c r="P1920">
        <v>-0.98436559999999995</v>
      </c>
      <c r="Q1920">
        <v>0.14648420000000001</v>
      </c>
      <c r="R1920">
        <v>9.7810949999999994E-2</v>
      </c>
      <c r="S1920">
        <v>-3.0786289999999998</v>
      </c>
      <c r="T1920">
        <v>-8.8500860000000001E-2</v>
      </c>
      <c r="U1920">
        <v>-0.174102799999999</v>
      </c>
      <c r="V1920">
        <v>7.3366440000000005E-2</v>
      </c>
      <c r="W1920">
        <v>0.1606947</v>
      </c>
      <c r="X1920">
        <v>0.98427359999999997</v>
      </c>
      <c r="Y1920">
        <v>-8.1483860000000005E-2</v>
      </c>
      <c r="Z1920">
        <v>-2.1203060000000002E-3</v>
      </c>
      <c r="AA1920">
        <v>0.99667240000000001</v>
      </c>
      <c r="AB1920">
        <v>29</v>
      </c>
      <c r="AC1920">
        <v>-38.7864</v>
      </c>
      <c r="AD1920">
        <v>-1.1207707370216</v>
      </c>
      <c r="AE1920">
        <v>-2.2090999999999701</v>
      </c>
      <c r="AF1920">
        <v>-3.1805765673595801</v>
      </c>
      <c r="AG1920">
        <v>-1.1207707370216</v>
      </c>
      <c r="AH1920">
        <v>38.686428618324797</v>
      </c>
      <c r="AI1920">
        <v>91.653854633085402</v>
      </c>
      <c r="AJ1920">
        <v>94.699960520758196</v>
      </c>
      <c r="AK1920">
        <v>38.833129587847303</v>
      </c>
      <c r="AL1920">
        <v>80.752778342191704</v>
      </c>
      <c r="AM1920">
        <v>85.737132278787499</v>
      </c>
      <c r="AN1920">
        <v>0.999999970391661</v>
      </c>
    </row>
    <row r="1921" spans="1:40" x14ac:dyDescent="0.25">
      <c r="A1921" t="str">
        <f>"20190303170257744"</f>
        <v>20190303170257744</v>
      </c>
      <c r="B1921" t="str">
        <f>"1551603777737842"</f>
        <v>1551603777737842</v>
      </c>
      <c r="C1921" t="s">
        <v>40</v>
      </c>
      <c r="D1921">
        <v>4.9088539999999998</v>
      </c>
      <c r="E1921">
        <v>0.43932490000000002</v>
      </c>
      <c r="F1921" t="s">
        <v>62</v>
      </c>
      <c r="G1921">
        <v>-260.33170000000001</v>
      </c>
      <c r="H1921" s="1">
        <v>-1.3602830000000001E-6</v>
      </c>
      <c r="I1921">
        <v>281.3075</v>
      </c>
      <c r="J1921">
        <v>-214.8519</v>
      </c>
      <c r="K1921">
        <v>1.121321</v>
      </c>
      <c r="L1921">
        <v>284.31639999999999</v>
      </c>
      <c r="M1921">
        <v>-0.9995868</v>
      </c>
      <c r="N1921">
        <v>-1.4526020000000001E-2</v>
      </c>
      <c r="O1921">
        <v>2.4809020000000001E-2</v>
      </c>
      <c r="P1921">
        <v>-0.98475159999999995</v>
      </c>
      <c r="Q1921">
        <v>0.144847799999999</v>
      </c>
      <c r="R1921">
        <v>9.6351539999999999E-2</v>
      </c>
      <c r="S1921">
        <v>-3.0789789999999999</v>
      </c>
      <c r="T1921">
        <v>-7.545114E-2</v>
      </c>
      <c r="U1921">
        <v>-0.20211789999999999</v>
      </c>
      <c r="V1921">
        <v>7.2004180000000001E-2</v>
      </c>
      <c r="W1921">
        <v>0.15911539999999999</v>
      </c>
      <c r="X1921">
        <v>0.98463069999999997</v>
      </c>
      <c r="Y1921">
        <v>-9.019742E-2</v>
      </c>
      <c r="Z1921">
        <v>-2.0071450000000001E-3</v>
      </c>
      <c r="AA1921">
        <v>0.99592190000000003</v>
      </c>
      <c r="AB1921">
        <v>29</v>
      </c>
      <c r="AC1921">
        <v>-45.479799999999997</v>
      </c>
      <c r="AD1921">
        <v>-1.121322360283</v>
      </c>
      <c r="AE1921">
        <v>-3.0088999999999801</v>
      </c>
      <c r="AF1921">
        <v>-4.1338998710743704</v>
      </c>
      <c r="AG1921">
        <v>-1.121322360283</v>
      </c>
      <c r="AH1921">
        <v>45.363687158470299</v>
      </c>
      <c r="AI1921">
        <v>91.410136835466702</v>
      </c>
      <c r="AJ1921">
        <v>95.206865649895903</v>
      </c>
      <c r="AK1921">
        <v>45.565454069846602</v>
      </c>
      <c r="AL1921">
        <v>80.844445051486503</v>
      </c>
      <c r="AM1921">
        <v>85.817513045197501</v>
      </c>
      <c r="AN1921">
        <v>0.99999996391856005</v>
      </c>
    </row>
    <row r="1922" spans="1:40" x14ac:dyDescent="0.25">
      <c r="A1922" t="str">
        <f>"20190303170257760"</f>
        <v>20190303170257760</v>
      </c>
      <c r="B1922" t="str">
        <f>"1551603777747602"</f>
        <v>1551603777747602</v>
      </c>
      <c r="C1922" t="s">
        <v>40</v>
      </c>
      <c r="D1922">
        <v>4.9024720000000004</v>
      </c>
      <c r="E1922">
        <v>0.43872</v>
      </c>
      <c r="F1922" t="s">
        <v>62</v>
      </c>
      <c r="G1922">
        <v>-261.10820000000001</v>
      </c>
      <c r="H1922" s="1">
        <v>-9.4708699999999996E-7</v>
      </c>
      <c r="I1922">
        <v>281.0163</v>
      </c>
      <c r="J1922">
        <v>-215.0453</v>
      </c>
      <c r="K1922">
        <v>1.121713</v>
      </c>
      <c r="L1922">
        <v>284.32100000000003</v>
      </c>
      <c r="M1922">
        <v>-0.99960139999999997</v>
      </c>
      <c r="N1922">
        <v>-1.449609E-2</v>
      </c>
      <c r="O1922">
        <v>2.4230939999999999E-2</v>
      </c>
      <c r="P1922">
        <v>-0.98510679999999995</v>
      </c>
      <c r="Q1922">
        <v>0.14342009999999999</v>
      </c>
      <c r="R1922">
        <v>9.4846319999999998E-2</v>
      </c>
      <c r="S1922">
        <v>-3.0789179999999998</v>
      </c>
      <c r="T1922">
        <v>-7.463765E-2</v>
      </c>
      <c r="U1922">
        <v>-0.21966550000000001</v>
      </c>
      <c r="V1922">
        <v>7.0911950000000001E-2</v>
      </c>
      <c r="W1922">
        <v>0.15772939999999999</v>
      </c>
      <c r="X1922">
        <v>0.98493299999999995</v>
      </c>
      <c r="Y1922">
        <v>-9.5269560000000003E-2</v>
      </c>
      <c r="Z1922">
        <v>-2.080588E-3</v>
      </c>
      <c r="AA1922">
        <v>0.99544940000000004</v>
      </c>
      <c r="AB1922">
        <v>29</v>
      </c>
      <c r="AC1922">
        <v>-46.062899999999999</v>
      </c>
      <c r="AD1922">
        <v>-1.1217139470869999</v>
      </c>
      <c r="AE1922">
        <v>-3.30469999999996</v>
      </c>
      <c r="AF1922">
        <v>-4.4173878821435801</v>
      </c>
      <c r="AG1922">
        <v>-1.1217139470869999</v>
      </c>
      <c r="AH1922">
        <v>45.942183488340802</v>
      </c>
      <c r="AI1922">
        <v>91.392224674796793</v>
      </c>
      <c r="AJ1922">
        <v>95.492164211050294</v>
      </c>
      <c r="AK1922">
        <v>46.167691966967197</v>
      </c>
      <c r="AL1922">
        <v>80.924873406858197</v>
      </c>
      <c r="AM1922">
        <v>85.881996991937399</v>
      </c>
      <c r="AN1922">
        <v>1.0000000413830801</v>
      </c>
    </row>
    <row r="1923" spans="1:40" x14ac:dyDescent="0.25">
      <c r="A1923" t="str">
        <f>"20190303170257777"</f>
        <v>20190303170257777</v>
      </c>
      <c r="B1923" t="str">
        <f>"1551603777767122"</f>
        <v>1551603777767122</v>
      </c>
      <c r="C1923" t="s">
        <v>40</v>
      </c>
      <c r="D1923">
        <v>4.9184029999999996</v>
      </c>
      <c r="E1923">
        <v>0.43797570000000002</v>
      </c>
      <c r="F1923" t="s">
        <v>62</v>
      </c>
      <c r="G1923">
        <v>-259.62909999999999</v>
      </c>
      <c r="H1923" s="1">
        <v>3.5873419999999998E-6</v>
      </c>
      <c r="I1923">
        <v>281.01350000000002</v>
      </c>
      <c r="J1923">
        <v>-215.26820000000001</v>
      </c>
      <c r="K1923">
        <v>1.122112</v>
      </c>
      <c r="L1923">
        <v>284.32569999999998</v>
      </c>
      <c r="M1923">
        <v>-0.99962569999999995</v>
      </c>
      <c r="N1923">
        <v>-1.446603E-2</v>
      </c>
      <c r="O1923">
        <v>2.322341E-2</v>
      </c>
      <c r="P1923">
        <v>-0.98619060000000003</v>
      </c>
      <c r="Q1923">
        <v>0.13875390000000001</v>
      </c>
      <c r="R1923">
        <v>9.0420280000000006E-2</v>
      </c>
      <c r="S1923">
        <v>-3.0786289999999998</v>
      </c>
      <c r="T1923">
        <v>-7.7456949999999997E-2</v>
      </c>
      <c r="U1923">
        <v>-0.2283936</v>
      </c>
      <c r="V1923">
        <v>6.7302180000000003E-2</v>
      </c>
      <c r="W1923">
        <v>0.153115</v>
      </c>
      <c r="X1923">
        <v>0.98591390000000001</v>
      </c>
      <c r="Y1923">
        <v>-9.7076179999999998E-2</v>
      </c>
      <c r="Z1923">
        <v>-2.1707060000000001E-3</v>
      </c>
      <c r="AA1923">
        <v>0.99527460000000001</v>
      </c>
      <c r="AB1923">
        <v>29</v>
      </c>
      <c r="AC1923">
        <v>-44.360900000000001</v>
      </c>
      <c r="AD1923">
        <v>-1.1221084126580001</v>
      </c>
      <c r="AE1923">
        <v>-3.3121999999999598</v>
      </c>
      <c r="AF1923">
        <v>-4.3388648520433701</v>
      </c>
      <c r="AG1923">
        <v>-1.1221084126580001</v>
      </c>
      <c r="AH1923">
        <v>44.243852864956601</v>
      </c>
      <c r="AI1923">
        <v>91.445885651062795</v>
      </c>
      <c r="AJ1923">
        <v>95.600919863000598</v>
      </c>
      <c r="AK1923">
        <v>44.470252886957901</v>
      </c>
      <c r="AL1923">
        <v>81.192511256045293</v>
      </c>
      <c r="AM1923">
        <v>86.0948336576229</v>
      </c>
      <c r="AN1923">
        <v>1.00000000243548</v>
      </c>
    </row>
    <row r="1924" spans="1:40" x14ac:dyDescent="0.25">
      <c r="A1924" t="str">
        <f>"20190303170257792"</f>
        <v>20190303170257792</v>
      </c>
      <c r="B1924" t="str">
        <f>"1551603777787618"</f>
        <v>1551603777787618</v>
      </c>
      <c r="C1924" t="s">
        <v>40</v>
      </c>
      <c r="D1924">
        <v>4.9239709999999999</v>
      </c>
      <c r="E1924">
        <v>0.4375657</v>
      </c>
      <c r="F1924" t="s">
        <v>62</v>
      </c>
      <c r="G1924">
        <v>-253.83850000000001</v>
      </c>
      <c r="H1924" s="1">
        <v>5.0585959999999998E-7</v>
      </c>
      <c r="I1924">
        <v>281.24220000000003</v>
      </c>
      <c r="J1924">
        <v>-215.4624</v>
      </c>
      <c r="K1924">
        <v>1.1224270000000001</v>
      </c>
      <c r="L1924">
        <v>284.32929999999999</v>
      </c>
      <c r="M1924">
        <v>-0.99965230000000005</v>
      </c>
      <c r="N1924">
        <v>-1.4443050000000001E-2</v>
      </c>
      <c r="O1924">
        <v>2.2061440000000002E-2</v>
      </c>
      <c r="P1924">
        <v>-0.98672009999999999</v>
      </c>
      <c r="Q1924">
        <v>0.13684189999999999</v>
      </c>
      <c r="R1924">
        <v>8.7510729999999995E-2</v>
      </c>
      <c r="S1924">
        <v>-3.0771639999999998</v>
      </c>
      <c r="T1924">
        <v>-8.9522840000000006E-2</v>
      </c>
      <c r="U1924">
        <v>-0.2460022</v>
      </c>
      <c r="V1924">
        <v>6.5411510000000006E-2</v>
      </c>
      <c r="W1924">
        <v>0.15123699999999901</v>
      </c>
      <c r="X1924">
        <v>0.98633090000000001</v>
      </c>
      <c r="Y1924">
        <v>-0.10159799999999999</v>
      </c>
      <c r="Z1924">
        <v>-2.5330539999999999E-3</v>
      </c>
      <c r="AA1924">
        <v>0.99482230000000005</v>
      </c>
      <c r="AB1924">
        <v>29</v>
      </c>
      <c r="AC1924">
        <v>-38.376100000000001</v>
      </c>
      <c r="AD1924">
        <v>-1.1224264941403901</v>
      </c>
      <c r="AE1924">
        <v>-3.08709999999996</v>
      </c>
      <c r="AF1924">
        <v>-3.9297287595544201</v>
      </c>
      <c r="AG1924">
        <v>-1.1224264941403901</v>
      </c>
      <c r="AH1924">
        <v>38.266120730906003</v>
      </c>
      <c r="AI1924">
        <v>91.671340009947997</v>
      </c>
      <c r="AJ1924">
        <v>95.863419713838496</v>
      </c>
      <c r="AK1924">
        <v>38.483744687214198</v>
      </c>
      <c r="AL1924">
        <v>81.301380420890993</v>
      </c>
      <c r="AM1924">
        <v>86.205813354439996</v>
      </c>
      <c r="AN1924">
        <v>0.99999997005214403</v>
      </c>
    </row>
    <row r="1925" spans="1:40" x14ac:dyDescent="0.25">
      <c r="A1925" t="str">
        <f>"20190303170257812"</f>
        <v>20190303170257812</v>
      </c>
      <c r="B1925" t="str">
        <f>"1551603777807138"</f>
        <v>1551603777807138</v>
      </c>
      <c r="C1925" t="s">
        <v>40</v>
      </c>
      <c r="D1925">
        <v>4.9218929999999999</v>
      </c>
      <c r="E1925">
        <v>0.43730150000000001</v>
      </c>
      <c r="F1925" t="s">
        <v>62</v>
      </c>
      <c r="G1925">
        <v>-252.9177</v>
      </c>
      <c r="H1925" s="1">
        <v>1.5871079999999999E-8</v>
      </c>
      <c r="I1925">
        <v>281.19850000000002</v>
      </c>
      <c r="J1925">
        <v>-215.69499999999999</v>
      </c>
      <c r="K1925">
        <v>1.122763</v>
      </c>
      <c r="L1925">
        <v>284.3329</v>
      </c>
      <c r="M1925">
        <v>-0.99968809999999997</v>
      </c>
      <c r="N1925">
        <v>-1.441796E-2</v>
      </c>
      <c r="O1925">
        <v>2.0393620000000001E-2</v>
      </c>
      <c r="P1925">
        <v>-0.98707469999999997</v>
      </c>
      <c r="Q1925">
        <v>0.13655490000000001</v>
      </c>
      <c r="R1925">
        <v>8.3885039999999994E-2</v>
      </c>
      <c r="S1925">
        <v>-3.0759430000000001</v>
      </c>
      <c r="T1925">
        <v>-9.2177029999999993E-2</v>
      </c>
      <c r="U1925">
        <v>-0.25711060000000002</v>
      </c>
      <c r="V1925">
        <v>6.3303470000000001E-2</v>
      </c>
      <c r="W1925">
        <v>0.15097629999999901</v>
      </c>
      <c r="X1925">
        <v>0.98650839999999995</v>
      </c>
      <c r="Y1925">
        <v>-0.10353370000000001</v>
      </c>
      <c r="Z1925">
        <v>-2.6127910000000002E-3</v>
      </c>
      <c r="AA1925">
        <v>0.99462249999999996</v>
      </c>
      <c r="AB1925">
        <v>29</v>
      </c>
      <c r="AC1925">
        <v>-37.222700000000003</v>
      </c>
      <c r="AD1925">
        <v>-1.1227629841289199</v>
      </c>
      <c r="AE1925">
        <v>-3.1343999999999701</v>
      </c>
      <c r="AF1925">
        <v>-3.8894186865858198</v>
      </c>
      <c r="AG1925">
        <v>-1.1227629841289199</v>
      </c>
      <c r="AH1925">
        <v>37.117495873833299</v>
      </c>
      <c r="AI1925">
        <v>91.723176430221997</v>
      </c>
      <c r="AJ1925">
        <v>95.982002900882193</v>
      </c>
      <c r="AK1925">
        <v>37.337604025728901</v>
      </c>
      <c r="AL1925">
        <v>81.316491181594998</v>
      </c>
      <c r="AM1925">
        <v>86.3284087513141</v>
      </c>
      <c r="AN1925">
        <v>0.99999999787314497</v>
      </c>
    </row>
    <row r="1926" spans="1:40" x14ac:dyDescent="0.25">
      <c r="A1926" t="str">
        <f>"20190303170257835"</f>
        <v>20190303170257835</v>
      </c>
      <c r="B1926" t="str">
        <f>"1551603777827635"</f>
        <v>1551603777827635</v>
      </c>
      <c r="C1926" t="s">
        <v>40</v>
      </c>
      <c r="D1926">
        <v>4.9055770000000001</v>
      </c>
      <c r="E1926">
        <v>0.43701879999999999</v>
      </c>
      <c r="F1926" t="s">
        <v>62</v>
      </c>
      <c r="G1926">
        <v>-254.0967</v>
      </c>
      <c r="H1926" s="1">
        <v>6.4325280000000004E-7</v>
      </c>
      <c r="I1926">
        <v>280.95890000000003</v>
      </c>
      <c r="J1926">
        <v>-216.00139999999999</v>
      </c>
      <c r="K1926">
        <v>1.1231709999999999</v>
      </c>
      <c r="L1926">
        <v>284.33679999999998</v>
      </c>
      <c r="M1926">
        <v>-0.99973699999999999</v>
      </c>
      <c r="N1926">
        <v>-1.4387179999999999E-2</v>
      </c>
      <c r="O1926">
        <v>1.7860460000000002E-2</v>
      </c>
      <c r="P1926">
        <v>-0.98657010000000001</v>
      </c>
      <c r="Q1926">
        <v>0.14113489999999901</v>
      </c>
      <c r="R1926">
        <v>8.222169E-2</v>
      </c>
      <c r="S1926">
        <v>-3.0746609999999999</v>
      </c>
      <c r="T1926">
        <v>-8.9895009999999997E-2</v>
      </c>
      <c r="U1926">
        <v>-0.27014159999999998</v>
      </c>
      <c r="V1926">
        <v>6.400111E-2</v>
      </c>
      <c r="W1926">
        <v>0.1555753</v>
      </c>
      <c r="X1926">
        <v>0.98574850000000003</v>
      </c>
      <c r="Y1926">
        <v>-0.10523449999999999</v>
      </c>
      <c r="Z1926">
        <v>-2.5586020000000001E-3</v>
      </c>
      <c r="AA1926">
        <v>0.99444410000000005</v>
      </c>
      <c r="AB1926">
        <v>29</v>
      </c>
      <c r="AC1926">
        <v>-38.095300000000002</v>
      </c>
      <c r="AD1926">
        <v>-1.12317035674719</v>
      </c>
      <c r="AE1926">
        <v>-3.3778999999999502</v>
      </c>
      <c r="AF1926">
        <v>-4.0543343011161896</v>
      </c>
      <c r="AG1926">
        <v>-1.12317035674719</v>
      </c>
      <c r="AH1926">
        <v>37.996114286819903</v>
      </c>
      <c r="AI1926">
        <v>91.6836260816617</v>
      </c>
      <c r="AJ1926">
        <v>96.090638535743594</v>
      </c>
      <c r="AK1926">
        <v>38.228312010505597</v>
      </c>
      <c r="AL1926">
        <v>81.049836363945303</v>
      </c>
      <c r="AM1926">
        <v>86.2852047773072</v>
      </c>
      <c r="AN1926">
        <v>0.99999996065178498</v>
      </c>
    </row>
    <row r="1927" spans="1:40" x14ac:dyDescent="0.25">
      <c r="A1927" t="str">
        <f>"20190303170257857"</f>
        <v>20190303170257857</v>
      </c>
      <c r="B1927" t="str">
        <f>"1551603777848130"</f>
        <v>1551603777848130</v>
      </c>
      <c r="C1927" t="s">
        <v>40</v>
      </c>
      <c r="D1927">
        <v>4.910596</v>
      </c>
      <c r="E1927">
        <v>0.4368185</v>
      </c>
      <c r="F1927" t="s">
        <v>62</v>
      </c>
      <c r="G1927">
        <v>-264.02629999999999</v>
      </c>
      <c r="H1927" s="1">
        <v>6.0582299999999998E-7</v>
      </c>
      <c r="I1927">
        <v>279.99950000000001</v>
      </c>
      <c r="J1927">
        <v>-216.28559999999999</v>
      </c>
      <c r="K1927">
        <v>1.1234420000000001</v>
      </c>
      <c r="L1927">
        <v>284.33920000000001</v>
      </c>
      <c r="M1927">
        <v>-0.99978100000000003</v>
      </c>
      <c r="N1927">
        <v>-1.436135E-2</v>
      </c>
      <c r="O1927">
        <v>1.5222090000000001E-2</v>
      </c>
      <c r="P1927">
        <v>-0.98636760000000001</v>
      </c>
      <c r="Q1927">
        <v>0.14396039999999999</v>
      </c>
      <c r="R1927">
        <v>7.9713350000000002E-2</v>
      </c>
      <c r="S1927">
        <v>-3.074265</v>
      </c>
      <c r="T1927">
        <v>-7.1898580000000004E-2</v>
      </c>
      <c r="U1927">
        <v>-0.27764889999999998</v>
      </c>
      <c r="V1927">
        <v>6.3998150000000004E-2</v>
      </c>
      <c r="W1927">
        <v>0.158407399999999</v>
      </c>
      <c r="X1927">
        <v>0.9852976</v>
      </c>
      <c r="Y1927">
        <v>-0.1050526</v>
      </c>
      <c r="Z1927">
        <v>-2.1190169999999999E-3</v>
      </c>
      <c r="AA1927">
        <v>0.99446440000000003</v>
      </c>
      <c r="AB1927">
        <v>29</v>
      </c>
      <c r="AC1927">
        <v>-47.740699999999997</v>
      </c>
      <c r="AD1927">
        <v>-1.1234413941769901</v>
      </c>
      <c r="AE1927">
        <v>-4.3396999999999899</v>
      </c>
      <c r="AF1927">
        <v>-5.06320443633712</v>
      </c>
      <c r="AG1927">
        <v>-1.1234413941769901</v>
      </c>
      <c r="AH1927">
        <v>47.642934736663904</v>
      </c>
      <c r="AI1927">
        <v>91.3432480612625</v>
      </c>
      <c r="AJ1927">
        <v>96.066281227366801</v>
      </c>
      <c r="AK1927">
        <v>47.924392432792601</v>
      </c>
      <c r="AL1927">
        <v>80.885532027957495</v>
      </c>
      <c r="AM1927">
        <v>86.283680948494506</v>
      </c>
      <c r="AN1927">
        <v>1.00000001407197</v>
      </c>
    </row>
    <row r="1928" spans="1:40" x14ac:dyDescent="0.25">
      <c r="A1928" t="str">
        <f>"20190303170257880"</f>
        <v>20190303170257880</v>
      </c>
      <c r="B1928" t="str">
        <f>"1551603777867650"</f>
        <v>1551603777867650</v>
      </c>
      <c r="C1928" t="s">
        <v>40</v>
      </c>
      <c r="D1928">
        <v>4.9169650000000003</v>
      </c>
      <c r="E1928">
        <v>0.43664160000000002</v>
      </c>
      <c r="F1928" t="s">
        <v>62</v>
      </c>
      <c r="G1928">
        <v>-270.2389</v>
      </c>
      <c r="H1928">
        <v>8.0001619999999996E-2</v>
      </c>
      <c r="I1928">
        <v>279.31479999999999</v>
      </c>
      <c r="J1928">
        <v>-216.56809999999999</v>
      </c>
      <c r="K1928">
        <v>1.1236109999999999</v>
      </c>
      <c r="L1928">
        <v>284.34059999999999</v>
      </c>
      <c r="M1928">
        <v>-0.99981969999999998</v>
      </c>
      <c r="N1928">
        <v>-1.433771E-2</v>
      </c>
      <c r="O1928">
        <v>1.245419E-2</v>
      </c>
      <c r="P1928">
        <v>-0.98677309999999996</v>
      </c>
      <c r="Q1928">
        <v>0.14344170000000001</v>
      </c>
      <c r="R1928">
        <v>7.5522039999999999E-2</v>
      </c>
      <c r="S1928">
        <v>-3.0732729999999999</v>
      </c>
      <c r="T1928">
        <v>-5.9436200000000002E-2</v>
      </c>
      <c r="U1928">
        <v>-0.2861938</v>
      </c>
      <c r="V1928">
        <v>6.2476570000000002E-2</v>
      </c>
      <c r="W1928">
        <v>0.15788569999999999</v>
      </c>
      <c r="X1928">
        <v>0.98547890000000005</v>
      </c>
      <c r="Y1928">
        <v>-0.1050827</v>
      </c>
      <c r="Z1928">
        <v>-1.8311429999999999E-3</v>
      </c>
      <c r="AA1928">
        <v>0.99446179999999995</v>
      </c>
      <c r="AB1928">
        <v>29</v>
      </c>
      <c r="AC1928">
        <v>-53.6708</v>
      </c>
      <c r="AD1928">
        <v>-1.0436093799999999</v>
      </c>
      <c r="AE1928">
        <v>-5.0258000000000003</v>
      </c>
      <c r="AF1928">
        <v>-5.69177183715487</v>
      </c>
      <c r="AG1928">
        <v>-1.0436093799999999</v>
      </c>
      <c r="AH1928">
        <v>53.583954264103099</v>
      </c>
      <c r="AI1928">
        <v>91.109520160280297</v>
      </c>
      <c r="AJ1928">
        <v>96.063311798800697</v>
      </c>
      <c r="AK1928">
        <v>53.895505765896203</v>
      </c>
      <c r="AL1928">
        <v>80.915803505661302</v>
      </c>
      <c r="AM1928">
        <v>86.372464654003593</v>
      </c>
      <c r="AN1928">
        <v>0.99999993920432995</v>
      </c>
    </row>
    <row r="1929" spans="1:40" x14ac:dyDescent="0.25">
      <c r="A1929" t="str">
        <f>"20190303170257899"</f>
        <v>20190303170257899</v>
      </c>
      <c r="B1929" t="str">
        <f>"1551603777887170"</f>
        <v>1551603777887170</v>
      </c>
      <c r="C1929" t="s">
        <v>40</v>
      </c>
      <c r="D1929">
        <v>4.9350430000000003</v>
      </c>
      <c r="E1929">
        <v>0.43658930000000001</v>
      </c>
      <c r="F1929" t="s">
        <v>62</v>
      </c>
      <c r="G1929">
        <v>-269.65989999999999</v>
      </c>
      <c r="H1929">
        <v>8.0000100000000005E-2</v>
      </c>
      <c r="I1929">
        <v>279.17380000000003</v>
      </c>
      <c r="J1929">
        <v>-216.8261</v>
      </c>
      <c r="K1929">
        <v>1.1236969999999999</v>
      </c>
      <c r="L1929">
        <v>284.34120000000001</v>
      </c>
      <c r="M1929">
        <v>-0.99984890000000004</v>
      </c>
      <c r="N1929">
        <v>-1.431759E-2</v>
      </c>
      <c r="O1929">
        <v>9.8661589999999993E-3</v>
      </c>
      <c r="P1929">
        <v>-0.98703940000000001</v>
      </c>
      <c r="Q1929">
        <v>0.14340899999999901</v>
      </c>
      <c r="R1929">
        <v>7.2022790000000003E-2</v>
      </c>
      <c r="S1929">
        <v>-3.071869</v>
      </c>
      <c r="T1929">
        <v>-6.0382959999999999E-2</v>
      </c>
      <c r="U1929">
        <v>-0.2989502</v>
      </c>
      <c r="V1929">
        <v>6.1497860000000001E-2</v>
      </c>
      <c r="W1929">
        <v>0.15784289999999901</v>
      </c>
      <c r="X1929">
        <v>0.98554739999999996</v>
      </c>
      <c r="Y1929">
        <v>-0.1066416</v>
      </c>
      <c r="Z1929">
        <v>-1.8634999999999999E-3</v>
      </c>
      <c r="AA1929">
        <v>0.99429579999999995</v>
      </c>
      <c r="AB1929">
        <v>29</v>
      </c>
      <c r="AC1929">
        <v>-52.833799999999997</v>
      </c>
      <c r="AD1929">
        <v>-1.0436969</v>
      </c>
      <c r="AE1929">
        <v>-5.1673999999999802</v>
      </c>
      <c r="AF1929">
        <v>-5.6862705579403299</v>
      </c>
      <c r="AG1929">
        <v>-1.0436969</v>
      </c>
      <c r="AH1929">
        <v>52.759846743705602</v>
      </c>
      <c r="AI1929">
        <v>91.126755572118796</v>
      </c>
      <c r="AJ1929">
        <v>96.151393033898799</v>
      </c>
      <c r="AK1929">
        <v>53.075647942314099</v>
      </c>
      <c r="AL1929">
        <v>80.918287670189301</v>
      </c>
      <c r="AM1929">
        <v>86.429390187821994</v>
      </c>
      <c r="AN1929">
        <v>1.0000000227558701</v>
      </c>
    </row>
    <row r="1930" spans="1:40" x14ac:dyDescent="0.25">
      <c r="A1930" t="str">
        <f>"20190303170257913"</f>
        <v>20190303170257913</v>
      </c>
      <c r="B1930" t="str">
        <f>"1551603777907667"</f>
        <v>1551603777907667</v>
      </c>
      <c r="C1930" t="s">
        <v>40</v>
      </c>
      <c r="D1930">
        <v>4.9168969999999996</v>
      </c>
      <c r="E1930">
        <v>0.43641479999999999</v>
      </c>
      <c r="F1930" t="s">
        <v>62</v>
      </c>
      <c r="G1930">
        <v>-269.63830000000002</v>
      </c>
      <c r="H1930">
        <v>8.0000100000000005E-2</v>
      </c>
      <c r="I1930">
        <v>279.03429999999997</v>
      </c>
      <c r="J1930">
        <v>-216.99850000000001</v>
      </c>
      <c r="K1930">
        <v>1.123734</v>
      </c>
      <c r="L1930">
        <v>284.34120000000001</v>
      </c>
      <c r="M1930">
        <v>-0.99986470000000005</v>
      </c>
      <c r="N1930">
        <v>-1.430495E-2</v>
      </c>
      <c r="O1930">
        <v>8.1238899999999999E-3</v>
      </c>
      <c r="P1930">
        <v>-0.98716389999999998</v>
      </c>
      <c r="Q1930">
        <v>0.14355190000000001</v>
      </c>
      <c r="R1930">
        <v>7.0002469999999997E-2</v>
      </c>
      <c r="S1930">
        <v>-3.0707399999999998</v>
      </c>
      <c r="T1930">
        <v>-6.0685280000000001E-2</v>
      </c>
      <c r="U1930">
        <v>-0.30856319999999998</v>
      </c>
      <c r="V1930">
        <v>6.1183319999999999E-2</v>
      </c>
      <c r="W1930">
        <v>0.15797659999999999</v>
      </c>
      <c r="X1930">
        <v>0.98554549999999996</v>
      </c>
      <c r="Y1930">
        <v>-0.10802589999999999</v>
      </c>
      <c r="Z1930">
        <v>-1.883638E-3</v>
      </c>
      <c r="AA1930">
        <v>0.99414630000000004</v>
      </c>
      <c r="AB1930">
        <v>28</v>
      </c>
      <c r="AC1930">
        <v>-52.639800000000001</v>
      </c>
      <c r="AD1930">
        <v>-1.0437339000000001</v>
      </c>
      <c r="AE1930">
        <v>-5.3069000000000397</v>
      </c>
      <c r="AF1930">
        <v>-5.7321776414209804</v>
      </c>
      <c r="AG1930">
        <v>-1.0437339000000001</v>
      </c>
      <c r="AH1930">
        <v>52.574484129571701</v>
      </c>
      <c r="AI1930">
        <v>91.130615457592597</v>
      </c>
      <c r="AJ1930">
        <v>96.222360474216202</v>
      </c>
      <c r="AK1930">
        <v>52.896347912284099</v>
      </c>
      <c r="AL1930">
        <v>80.910529396387503</v>
      </c>
      <c r="AM1930">
        <v>86.447598888862601</v>
      </c>
      <c r="AN1930">
        <v>0.99999996868201502</v>
      </c>
    </row>
    <row r="1931" spans="1:40" x14ac:dyDescent="0.25">
      <c r="A1931" t="str">
        <f>"20190303170257926"</f>
        <v>20190303170257926</v>
      </c>
      <c r="B1931" t="str">
        <f>"1551603777917426"</f>
        <v>1551603777917426</v>
      </c>
      <c r="C1931" t="s">
        <v>40</v>
      </c>
      <c r="D1931">
        <v>4.9309789999999998</v>
      </c>
      <c r="E1931">
        <v>0.43640780000000001</v>
      </c>
      <c r="F1931" t="s">
        <v>62</v>
      </c>
      <c r="G1931">
        <v>-271.55959999999999</v>
      </c>
      <c r="H1931">
        <v>8.0001260000000005E-2</v>
      </c>
      <c r="I1931">
        <v>278.71890000000002</v>
      </c>
      <c r="J1931">
        <v>-217.16319999999999</v>
      </c>
      <c r="K1931">
        <v>1.1237520000000001</v>
      </c>
      <c r="L1931">
        <v>284.3408</v>
      </c>
      <c r="M1931">
        <v>-0.99987689999999996</v>
      </c>
      <c r="N1931">
        <v>-1.429389E-2</v>
      </c>
      <c r="O1931">
        <v>6.4659349999999999E-3</v>
      </c>
      <c r="P1931">
        <v>-0.98713240000000002</v>
      </c>
      <c r="Q1931">
        <v>0.14437720000000001</v>
      </c>
      <c r="R1931">
        <v>6.8736459999999999E-2</v>
      </c>
      <c r="S1931">
        <v>-3.0699770000000002</v>
      </c>
      <c r="T1931">
        <v>-5.8727500000000002E-2</v>
      </c>
      <c r="U1931">
        <v>-0.31634519999999999</v>
      </c>
      <c r="V1931">
        <v>6.1545370000000002E-2</v>
      </c>
      <c r="W1931">
        <v>0.1587934</v>
      </c>
      <c r="X1931">
        <v>0.98539169999999998</v>
      </c>
      <c r="Y1931">
        <v>-0.1088978</v>
      </c>
      <c r="Z1931">
        <v>-1.850436E-3</v>
      </c>
      <c r="AA1931">
        <v>0.99405120000000002</v>
      </c>
      <c r="AB1931">
        <v>28</v>
      </c>
      <c r="AC1931">
        <v>-54.3964</v>
      </c>
      <c r="AD1931">
        <v>-1.0437507399999999</v>
      </c>
      <c r="AE1931">
        <v>-5.6218999999999797</v>
      </c>
      <c r="AF1931">
        <v>-5.9713667198388896</v>
      </c>
      <c r="AG1931">
        <v>-1.0437507399999999</v>
      </c>
      <c r="AH1931">
        <v>54.339113268821201</v>
      </c>
      <c r="AI1931">
        <v>91.093824274939607</v>
      </c>
      <c r="AJ1931">
        <v>96.271114529698195</v>
      </c>
      <c r="AK1931">
        <v>54.676191042828002</v>
      </c>
      <c r="AL1931">
        <v>80.8631321141645</v>
      </c>
      <c r="AM1931">
        <v>86.426075710659902</v>
      </c>
      <c r="AN1931">
        <v>0.99999998944044299</v>
      </c>
    </row>
    <row r="1932" spans="1:40" x14ac:dyDescent="0.25">
      <c r="A1932" t="str">
        <f>"20190303170257945"</f>
        <v>20190303170257945</v>
      </c>
      <c r="B1932" t="str">
        <f>"1551603777937923"</f>
        <v>1551603777937923</v>
      </c>
      <c r="C1932" t="s">
        <v>40</v>
      </c>
      <c r="D1932">
        <v>4.9410020000000001</v>
      </c>
      <c r="E1932">
        <v>0.43637199999999998</v>
      </c>
      <c r="F1932" t="s">
        <v>62</v>
      </c>
      <c r="G1932">
        <v>-275.11180000000002</v>
      </c>
      <c r="H1932">
        <v>8.0001699999999995E-2</v>
      </c>
      <c r="I1932">
        <v>278.29309999999998</v>
      </c>
      <c r="J1932">
        <v>-217.4</v>
      </c>
      <c r="K1932">
        <v>1.1237569999999999</v>
      </c>
      <c r="L1932">
        <v>284.33980000000003</v>
      </c>
      <c r="M1932">
        <v>-0.99988960000000005</v>
      </c>
      <c r="N1932">
        <v>-1.427895E-2</v>
      </c>
      <c r="O1932">
        <v>4.1182370000000003E-3</v>
      </c>
      <c r="P1932">
        <v>-0.98718640000000002</v>
      </c>
      <c r="Q1932">
        <v>0.14515029999999901</v>
      </c>
      <c r="R1932">
        <v>6.6288509999999995E-2</v>
      </c>
      <c r="S1932">
        <v>-3.0695039999999998</v>
      </c>
      <c r="T1932">
        <v>-5.5286879999999997E-2</v>
      </c>
      <c r="U1932">
        <v>-0.32034299999999999</v>
      </c>
      <c r="V1932">
        <v>6.1411760000000003E-2</v>
      </c>
      <c r="W1932">
        <v>0.15954949999999901</v>
      </c>
      <c r="X1932">
        <v>0.98527790000000004</v>
      </c>
      <c r="Y1932">
        <v>-0.10786370000000001</v>
      </c>
      <c r="Z1932">
        <v>-1.7563500000000001E-3</v>
      </c>
      <c r="AA1932">
        <v>0.9941641</v>
      </c>
      <c r="AB1932">
        <v>28</v>
      </c>
      <c r="AC1932">
        <v>-57.711799999999997</v>
      </c>
      <c r="AD1932">
        <v>-1.0437552999999999</v>
      </c>
      <c r="AE1932">
        <v>-6.0467000000000404</v>
      </c>
      <c r="AF1932">
        <v>-6.2823112368981597</v>
      </c>
      <c r="AG1932">
        <v>-1.0437552999999999</v>
      </c>
      <c r="AH1932">
        <v>57.6677484592445</v>
      </c>
      <c r="AI1932">
        <v>91.030812238727904</v>
      </c>
      <c r="AJ1932">
        <v>96.217271121391306</v>
      </c>
      <c r="AK1932">
        <v>58.018325311596499</v>
      </c>
      <c r="AL1932">
        <v>80.819251375326701</v>
      </c>
      <c r="AM1932">
        <v>86.433403532858605</v>
      </c>
      <c r="AN1932">
        <v>0.99999999372247805</v>
      </c>
    </row>
    <row r="1933" spans="1:40" x14ac:dyDescent="0.25">
      <c r="A1933" t="str">
        <f>"20190303170257958"</f>
        <v>20190303170257958</v>
      </c>
      <c r="B1933" t="str">
        <f>"1551603777947682"</f>
        <v>1551603777947682</v>
      </c>
      <c r="C1933" t="s">
        <v>40</v>
      </c>
      <c r="D1933">
        <v>4.9393789999999997</v>
      </c>
      <c r="E1933">
        <v>0.43633260000000001</v>
      </c>
      <c r="F1933" t="s">
        <v>62</v>
      </c>
      <c r="G1933">
        <v>-278.01260000000002</v>
      </c>
      <c r="H1933">
        <v>8.0000870000000002E-2</v>
      </c>
      <c r="I1933">
        <v>277.86239999999998</v>
      </c>
      <c r="J1933">
        <v>-217.56909999999999</v>
      </c>
      <c r="K1933">
        <v>1.123745</v>
      </c>
      <c r="L1933">
        <v>284.33879999999999</v>
      </c>
      <c r="M1933">
        <v>-0.99989519999999998</v>
      </c>
      <c r="N1933">
        <v>-1.4268879999999999E-2</v>
      </c>
      <c r="O1933">
        <v>2.4775019999999999E-3</v>
      </c>
      <c r="P1933">
        <v>-0.98751800000000001</v>
      </c>
      <c r="Q1933">
        <v>0.14370450000000001</v>
      </c>
      <c r="R1933">
        <v>6.4477779999999998E-2</v>
      </c>
      <c r="S1933">
        <v>-3.0687259999999998</v>
      </c>
      <c r="T1933">
        <v>-5.2843809999999998E-2</v>
      </c>
      <c r="U1933">
        <v>-0.32794190000000001</v>
      </c>
      <c r="V1933">
        <v>6.123402E-2</v>
      </c>
      <c r="W1933">
        <v>0.15809429999999999</v>
      </c>
      <c r="X1933">
        <v>0.9855235</v>
      </c>
      <c r="Y1933">
        <v>-0.108694899999999</v>
      </c>
      <c r="Z1933">
        <v>-1.718256E-3</v>
      </c>
      <c r="AA1933">
        <v>0.99407369999999995</v>
      </c>
      <c r="AB1933">
        <v>28</v>
      </c>
      <c r="AC1933">
        <v>-60.4435</v>
      </c>
      <c r="AD1933">
        <v>-1.0437441300000001</v>
      </c>
      <c r="AE1933">
        <v>-6.4764000000000097</v>
      </c>
      <c r="AF1933">
        <v>-6.6241914187971496</v>
      </c>
      <c r="AG1933">
        <v>-1.0437441300000001</v>
      </c>
      <c r="AH1933">
        <v>60.409458669451297</v>
      </c>
      <c r="AI1933">
        <v>90.983951270413996</v>
      </c>
      <c r="AJ1933">
        <v>96.257759752350594</v>
      </c>
      <c r="AK1933">
        <v>60.780523282527902</v>
      </c>
      <c r="AL1933">
        <v>80.903700063626701</v>
      </c>
      <c r="AM1933">
        <v>86.444583550833798</v>
      </c>
      <c r="AN1933">
        <v>0.99999999097504999</v>
      </c>
    </row>
    <row r="1934" spans="1:40" x14ac:dyDescent="0.25">
      <c r="A1934" t="str">
        <f>"20190303170257980"</f>
        <v>20190303170257980</v>
      </c>
      <c r="B1934" t="str">
        <f>"1551603777967202"</f>
        <v>1551603777967202</v>
      </c>
      <c r="C1934" t="s">
        <v>40</v>
      </c>
      <c r="D1934">
        <v>4.9753749999999997</v>
      </c>
      <c r="E1934">
        <v>0.4363572</v>
      </c>
      <c r="F1934" t="s">
        <v>62</v>
      </c>
      <c r="G1934">
        <v>-273.91120000000001</v>
      </c>
      <c r="H1934">
        <v>8.0000589999999996E-2</v>
      </c>
      <c r="I1934">
        <v>278.20650000000001</v>
      </c>
      <c r="J1934">
        <v>-217.8374</v>
      </c>
      <c r="K1934">
        <v>1.1236790000000001</v>
      </c>
      <c r="L1934">
        <v>284.33670000000001</v>
      </c>
      <c r="M1934">
        <v>-0.99989839999999997</v>
      </c>
      <c r="N1934">
        <v>-1.4253689999999999E-2</v>
      </c>
      <c r="O1934" s="1">
        <v>-3.1662519999999999E-5</v>
      </c>
      <c r="P1934">
        <v>-0.9882571</v>
      </c>
      <c r="Q1934">
        <v>0.13946220000000001</v>
      </c>
      <c r="R1934">
        <v>6.2436770000000003E-2</v>
      </c>
      <c r="S1934">
        <v>-3.067993</v>
      </c>
      <c r="T1934">
        <v>-5.683494E-2</v>
      </c>
      <c r="U1934">
        <v>-0.33392329999999998</v>
      </c>
      <c r="V1934">
        <v>6.1712719999999999E-2</v>
      </c>
      <c r="W1934">
        <v>0.15383929999999901</v>
      </c>
      <c r="X1934">
        <v>0.98616680000000001</v>
      </c>
      <c r="Y1934">
        <v>-0.1081379</v>
      </c>
      <c r="Z1934">
        <v>-1.771571E-3</v>
      </c>
      <c r="AA1934">
        <v>0.99413430000000003</v>
      </c>
      <c r="AB1934">
        <v>28</v>
      </c>
      <c r="AC1934">
        <v>-56.073799999999999</v>
      </c>
      <c r="AD1934">
        <v>-1.0436784100000001</v>
      </c>
      <c r="AE1934">
        <v>-6.1302000000000003</v>
      </c>
      <c r="AF1934">
        <v>-6.1263271112220901</v>
      </c>
      <c r="AG1934">
        <v>-1.0436784100000001</v>
      </c>
      <c r="AH1934">
        <v>56.0548044643377</v>
      </c>
      <c r="AI1934">
        <v>91.060348236322497</v>
      </c>
      <c r="AJ1934">
        <v>96.237200248015</v>
      </c>
      <c r="AK1934">
        <v>56.398246887933801</v>
      </c>
      <c r="AL1934">
        <v>81.150514094909795</v>
      </c>
      <c r="AM1934">
        <v>86.419192321363695</v>
      </c>
      <c r="AN1934">
        <v>0.99999997372826299</v>
      </c>
    </row>
    <row r="1935" spans="1:40" x14ac:dyDescent="0.25">
      <c r="A1935" t="str">
        <f>"20190303170258002"</f>
        <v>20190303170258002</v>
      </c>
      <c r="B1935" t="str">
        <f>"1551603777987699"</f>
        <v>1551603777987699</v>
      </c>
      <c r="C1935" t="s">
        <v>40</v>
      </c>
      <c r="D1935">
        <v>5.0034049999999999</v>
      </c>
      <c r="E1935">
        <v>0.43633300000000003</v>
      </c>
      <c r="F1935" t="s">
        <v>62</v>
      </c>
      <c r="G1935">
        <v>-264.03829999999999</v>
      </c>
      <c r="H1935">
        <v>8.0000269999999998E-2</v>
      </c>
      <c r="I1935">
        <v>279.20850000000002</v>
      </c>
      <c r="J1935">
        <v>-218.1122</v>
      </c>
      <c r="K1935">
        <v>1.1235809999999999</v>
      </c>
      <c r="L1935">
        <v>284.334</v>
      </c>
      <c r="M1935">
        <v>-0.9998956</v>
      </c>
      <c r="N1935">
        <v>-1.4239119999999999E-2</v>
      </c>
      <c r="O1935">
        <v>-2.4813650000000001E-3</v>
      </c>
      <c r="P1935">
        <v>-0.9886798</v>
      </c>
      <c r="Q1935">
        <v>0.13678109999999999</v>
      </c>
      <c r="R1935">
        <v>6.1669399999999999E-2</v>
      </c>
      <c r="S1935">
        <v>-3.0669400000000002</v>
      </c>
      <c r="T1935">
        <v>-6.9282170000000004E-2</v>
      </c>
      <c r="U1935">
        <v>-0.34042359999999999</v>
      </c>
      <c r="V1935">
        <v>6.3409409999999999E-2</v>
      </c>
      <c r="W1935">
        <v>0.1511441</v>
      </c>
      <c r="X1935">
        <v>0.98647589999999996</v>
      </c>
      <c r="Y1935">
        <v>-0.107809</v>
      </c>
      <c r="Z1935">
        <v>-1.963275E-3</v>
      </c>
      <c r="AA1935">
        <v>0.99416970000000005</v>
      </c>
      <c r="AB1935">
        <v>28</v>
      </c>
      <c r="AC1935">
        <v>-45.926099999999899</v>
      </c>
      <c r="AD1935">
        <v>-1.04358073</v>
      </c>
      <c r="AE1935">
        <v>-5.1254999999999802</v>
      </c>
      <c r="AF1935">
        <v>-5.0089587605211197</v>
      </c>
      <c r="AG1935">
        <v>-1.04358073</v>
      </c>
      <c r="AH1935">
        <v>45.9152620290455</v>
      </c>
      <c r="AI1935">
        <v>91.294341073243302</v>
      </c>
      <c r="AJ1935">
        <v>96.225855065630995</v>
      </c>
      <c r="AK1935">
        <v>46.199459042293398</v>
      </c>
      <c r="AL1935">
        <v>81.306765331773306</v>
      </c>
      <c r="AM1935">
        <v>86.322160265656393</v>
      </c>
      <c r="AN1935">
        <v>0.99999999676108298</v>
      </c>
    </row>
    <row r="1936" spans="1:40" x14ac:dyDescent="0.25">
      <c r="A1936" t="str">
        <f>"20190303170258023"</f>
        <v>20190303170258023</v>
      </c>
      <c r="B1936" t="str">
        <f>"1551603778017955"</f>
        <v>1551603778017955</v>
      </c>
      <c r="C1936" t="s">
        <v>40</v>
      </c>
      <c r="D1936">
        <v>5.0221410000000004</v>
      </c>
      <c r="E1936">
        <v>0.4364248</v>
      </c>
      <c r="F1936" t="s">
        <v>62</v>
      </c>
      <c r="G1936">
        <v>-260.40929999999997</v>
      </c>
      <c r="H1936">
        <v>5.622804E-2</v>
      </c>
      <c r="I1936">
        <v>279.61009999999999</v>
      </c>
      <c r="J1936">
        <v>-218.3914</v>
      </c>
      <c r="K1936">
        <v>1.1234839999999999</v>
      </c>
      <c r="L1936">
        <v>284.3306</v>
      </c>
      <c r="M1936">
        <v>-0.99988710000000003</v>
      </c>
      <c r="N1936">
        <v>-1.4225399999999999E-2</v>
      </c>
      <c r="O1936">
        <v>-4.8346149999999996E-3</v>
      </c>
      <c r="P1936">
        <v>-0.98845910000000003</v>
      </c>
      <c r="Q1936">
        <v>0.1380642</v>
      </c>
      <c r="R1936">
        <v>6.234547E-2</v>
      </c>
      <c r="S1936">
        <v>-3.0664220000000002</v>
      </c>
      <c r="T1936">
        <v>-7.7380060000000001E-2</v>
      </c>
      <c r="U1936">
        <v>-0.3424683</v>
      </c>
      <c r="V1936">
        <v>6.6440589999999994E-2</v>
      </c>
      <c r="W1936">
        <v>0.15240680000000001</v>
      </c>
      <c r="X1936">
        <v>0.98608209999999996</v>
      </c>
      <c r="Y1936">
        <v>-0.1061347</v>
      </c>
      <c r="Z1936">
        <v>-2.0392140000000001E-3</v>
      </c>
      <c r="AA1936">
        <v>0.9943497</v>
      </c>
      <c r="AB1936">
        <v>28</v>
      </c>
      <c r="AC1936">
        <v>-42.017899999999898</v>
      </c>
      <c r="AD1936">
        <v>-1.06725596</v>
      </c>
      <c r="AE1936">
        <v>-4.7205000000000101</v>
      </c>
      <c r="AF1936">
        <v>-4.5144076688316401</v>
      </c>
      <c r="AG1936">
        <v>-1.06725596</v>
      </c>
      <c r="AH1936">
        <v>42.013465326613598</v>
      </c>
      <c r="AI1936">
        <v>91.446830361562704</v>
      </c>
      <c r="AJ1936">
        <v>96.132983259928594</v>
      </c>
      <c r="AK1936">
        <v>42.268784943917296</v>
      </c>
      <c r="AL1936">
        <v>81.233570415129705</v>
      </c>
      <c r="AM1936">
        <v>86.145330768255207</v>
      </c>
      <c r="AN1936">
        <v>1.00000004631309</v>
      </c>
    </row>
    <row r="1937" spans="1:40" x14ac:dyDescent="0.25">
      <c r="A1937" t="str">
        <f>"20190303170258047"</f>
        <v>20190303170258047</v>
      </c>
      <c r="B1937" t="str">
        <f>"1551603778037474"</f>
        <v>1551603778037474</v>
      </c>
      <c r="C1937" t="s">
        <v>40</v>
      </c>
      <c r="D1937">
        <v>5.0401099999999897</v>
      </c>
      <c r="E1937">
        <v>0.43637890000000001</v>
      </c>
      <c r="F1937" t="s">
        <v>62</v>
      </c>
      <c r="G1937">
        <v>-262.03680000000003</v>
      </c>
      <c r="H1937">
        <v>8.0000859999999993E-2</v>
      </c>
      <c r="I1937">
        <v>279.5052</v>
      </c>
      <c r="J1937">
        <v>-218.68729999999999</v>
      </c>
      <c r="K1937">
        <v>1.123389</v>
      </c>
      <c r="L1937">
        <v>284.32650000000001</v>
      </c>
      <c r="M1937">
        <v>-0.99987349999999997</v>
      </c>
      <c r="N1937">
        <v>-1.4211970000000001E-2</v>
      </c>
      <c r="O1937">
        <v>-7.1562850000000001E-3</v>
      </c>
      <c r="P1937">
        <v>-0.98769929999999995</v>
      </c>
      <c r="Q1937">
        <v>0.14326429999999901</v>
      </c>
      <c r="R1937">
        <v>6.2656160000000002E-2</v>
      </c>
      <c r="S1937">
        <v>-3.0666660000000001</v>
      </c>
      <c r="T1937">
        <v>-7.3318359999999999E-2</v>
      </c>
      <c r="U1937">
        <v>-0.33905030000000003</v>
      </c>
      <c r="V1937">
        <v>6.9062150000000003E-2</v>
      </c>
      <c r="W1937">
        <v>0.15757160000000001</v>
      </c>
      <c r="X1937">
        <v>0.98508969999999996</v>
      </c>
      <c r="Y1937">
        <v>-0.10272779999999999</v>
      </c>
      <c r="Z1937">
        <v>-1.887389E-3</v>
      </c>
      <c r="AA1937">
        <v>0.99470769999999997</v>
      </c>
      <c r="AB1937">
        <v>28</v>
      </c>
      <c r="AC1937">
        <v>-43.349499999999999</v>
      </c>
      <c r="AD1937">
        <v>-1.04338814</v>
      </c>
      <c r="AE1937">
        <v>-4.8212999999999999</v>
      </c>
      <c r="AF1937">
        <v>-4.5083439481872301</v>
      </c>
      <c r="AG1937">
        <v>-1.04338814</v>
      </c>
      <c r="AH1937">
        <v>43.358084236826002</v>
      </c>
      <c r="AI1937">
        <v>91.371135572101196</v>
      </c>
      <c r="AJ1937">
        <v>95.936243680099807</v>
      </c>
      <c r="AK1937">
        <v>43.6043265359476</v>
      </c>
      <c r="AL1937">
        <v>80.934029283178603</v>
      </c>
      <c r="AM1937">
        <v>85.989699355406003</v>
      </c>
      <c r="AN1937">
        <v>1.0000000533676301</v>
      </c>
    </row>
    <row r="1938" spans="1:40" x14ac:dyDescent="0.25">
      <c r="A1938" t="str">
        <f>"20190303170258068"</f>
        <v>20190303170258068</v>
      </c>
      <c r="B1938" t="str">
        <f>"1551603778057970"</f>
        <v>1551603778057970</v>
      </c>
      <c r="C1938" t="s">
        <v>40</v>
      </c>
      <c r="D1938">
        <v>5.034891</v>
      </c>
      <c r="E1938">
        <v>0.43632070000000001</v>
      </c>
      <c r="F1938" t="s">
        <v>62</v>
      </c>
      <c r="G1938">
        <v>-274.85849999999999</v>
      </c>
      <c r="H1938">
        <v>8.0000310000000005E-2</v>
      </c>
      <c r="I1938">
        <v>278.13720000000001</v>
      </c>
      <c r="J1938">
        <v>-218.95570000000001</v>
      </c>
      <c r="K1938">
        <v>1.1232819999999999</v>
      </c>
      <c r="L1938">
        <v>284.32229999999998</v>
      </c>
      <c r="M1938">
        <v>-0.99985780000000002</v>
      </c>
      <c r="N1938">
        <v>-1.420019E-2</v>
      </c>
      <c r="O1938">
        <v>-9.0906719999999993E-3</v>
      </c>
      <c r="P1938">
        <v>-0.98715929999999996</v>
      </c>
      <c r="Q1938">
        <v>0.1467599</v>
      </c>
      <c r="R1938">
        <v>6.3073950000000004E-2</v>
      </c>
      <c r="S1938">
        <v>-3.067062</v>
      </c>
      <c r="T1938">
        <v>-5.6971189999999998E-2</v>
      </c>
      <c r="U1938">
        <v>-0.33795170000000002</v>
      </c>
      <c r="V1938">
        <v>7.1417620000000001E-2</v>
      </c>
      <c r="W1938">
        <v>0.16103439999999999</v>
      </c>
      <c r="X1938">
        <v>0.98436140000000005</v>
      </c>
      <c r="Y1938">
        <v>-0.10045279999999999</v>
      </c>
      <c r="Z1938">
        <v>-1.605998E-3</v>
      </c>
      <c r="AA1938">
        <v>0.99494050000000001</v>
      </c>
      <c r="AB1938">
        <v>28</v>
      </c>
      <c r="AC1938">
        <v>-55.9027999999999</v>
      </c>
      <c r="AD1938">
        <v>-1.0432816899999999</v>
      </c>
      <c r="AE1938">
        <v>-6.1850999999999701</v>
      </c>
      <c r="AF1938">
        <v>-5.6746465869577198</v>
      </c>
      <c r="AG1938">
        <v>-1.0432816899999999</v>
      </c>
      <c r="AH1938">
        <v>55.937475323679301</v>
      </c>
      <c r="AI1938">
        <v>91.063036569551102</v>
      </c>
      <c r="AJ1938">
        <v>95.792624394040402</v>
      </c>
      <c r="AK1938">
        <v>56.2342528727713</v>
      </c>
      <c r="AL1938">
        <v>80.733058042952806</v>
      </c>
      <c r="AM1938">
        <v>85.850333966962793</v>
      </c>
      <c r="AN1938">
        <v>0.99999996011989101</v>
      </c>
    </row>
    <row r="1939" spans="1:40" x14ac:dyDescent="0.25">
      <c r="A1939" t="str">
        <f>"20190303170258091"</f>
        <v>20190303170258091</v>
      </c>
      <c r="B1939" t="str">
        <f>"1551603778077490"</f>
        <v>1551603778077490</v>
      </c>
      <c r="C1939" t="s">
        <v>40</v>
      </c>
      <c r="D1939">
        <v>5.0632089999999996</v>
      </c>
      <c r="E1939">
        <v>0.43633509999999998</v>
      </c>
      <c r="F1939" t="s">
        <v>63</v>
      </c>
      <c r="G1939">
        <v>-295.81569999999999</v>
      </c>
      <c r="H1939" s="1">
        <v>4.9287430000000001E-6</v>
      </c>
      <c r="I1939">
        <v>275.86070000000001</v>
      </c>
      <c r="J1939">
        <v>-219.22819999999999</v>
      </c>
      <c r="K1939">
        <v>1.123149</v>
      </c>
      <c r="L1939">
        <v>284.31779999999998</v>
      </c>
      <c r="M1939">
        <v>-0.99984010000000001</v>
      </c>
      <c r="N1939">
        <v>-1.4188859999999999E-2</v>
      </c>
      <c r="O1939">
        <v>-1.0887290000000001E-2</v>
      </c>
      <c r="P1939">
        <v>-0.98727549999999997</v>
      </c>
      <c r="Q1939">
        <v>0.1456934</v>
      </c>
      <c r="R1939">
        <v>6.3724580000000003E-2</v>
      </c>
      <c r="S1939">
        <v>-3.0672609999999998</v>
      </c>
      <c r="T1939">
        <v>-4.4826749999999999E-2</v>
      </c>
      <c r="U1939">
        <v>-0.337677</v>
      </c>
      <c r="V1939">
        <v>7.3897699999999997E-2</v>
      </c>
      <c r="W1939">
        <v>0.15994249999999999</v>
      </c>
      <c r="X1939">
        <v>0.98435640000000002</v>
      </c>
      <c r="Y1939">
        <v>-9.8579509999999995E-2</v>
      </c>
      <c r="Z1939">
        <v>-1.4151680000000001E-3</v>
      </c>
      <c r="AA1939">
        <v>0.99512820000000002</v>
      </c>
      <c r="AB1939">
        <v>28</v>
      </c>
      <c r="AC1939">
        <v>-76.587500000000006</v>
      </c>
      <c r="AD1939">
        <v>-1.123144071257</v>
      </c>
      <c r="AE1939">
        <v>-8.4570999999999596</v>
      </c>
      <c r="AF1939">
        <v>-7.6210651997052601</v>
      </c>
      <c r="AG1939">
        <v>-1.123144071257</v>
      </c>
      <c r="AH1939">
        <v>76.658756580679807</v>
      </c>
      <c r="AI1939">
        <v>90.835275876736603</v>
      </c>
      <c r="AJ1939">
        <v>95.6774308895898</v>
      </c>
      <c r="AK1939">
        <v>77.044837905461804</v>
      </c>
      <c r="AL1939">
        <v>80.796441246784198</v>
      </c>
      <c r="AM1939">
        <v>85.706738895959006</v>
      </c>
      <c r="AN1939">
        <v>0.99999999779625004</v>
      </c>
    </row>
    <row r="1940" spans="1:40" x14ac:dyDescent="0.25">
      <c r="A1940" t="str">
        <f>"20190303170258114"</f>
        <v>20190303170258114</v>
      </c>
      <c r="B1940" t="str">
        <f>"1551603778107746"</f>
        <v>1551603778107746</v>
      </c>
      <c r="C1940" t="s">
        <v>40</v>
      </c>
      <c r="D1940">
        <v>5.0398889999999996</v>
      </c>
      <c r="E1940">
        <v>0.43640459999999898</v>
      </c>
      <c r="F1940" t="s">
        <v>63</v>
      </c>
      <c r="G1940">
        <v>-285.7133</v>
      </c>
      <c r="H1940">
        <v>8.0001219999999998E-2</v>
      </c>
      <c r="I1940">
        <v>277.04840000000002</v>
      </c>
      <c r="J1940">
        <v>-219.5247</v>
      </c>
      <c r="K1940">
        <v>1.1229979999999999</v>
      </c>
      <c r="L1940">
        <v>284.31240000000003</v>
      </c>
      <c r="M1940">
        <v>-0.99981929999999997</v>
      </c>
      <c r="N1940">
        <v>-1.417763E-2</v>
      </c>
      <c r="O1940">
        <v>-1.2666449999999999E-2</v>
      </c>
      <c r="P1940">
        <v>-0.98765499999999995</v>
      </c>
      <c r="Q1940">
        <v>0.1429735</v>
      </c>
      <c r="R1940">
        <v>6.4003400000000002E-2</v>
      </c>
      <c r="S1940">
        <v>-3.0674290000000002</v>
      </c>
      <c r="T1940">
        <v>-4.812777E-2</v>
      </c>
      <c r="U1940">
        <v>-0.33538820000000003</v>
      </c>
      <c r="V1940">
        <v>7.6001390000000002E-2</v>
      </c>
      <c r="W1940">
        <v>0.157195899999999</v>
      </c>
      <c r="X1940">
        <v>0.98463860000000003</v>
      </c>
      <c r="Y1940">
        <v>-9.6067050000000001E-2</v>
      </c>
      <c r="Z1940">
        <v>-1.4154910000000001E-3</v>
      </c>
      <c r="AA1940">
        <v>0.99537379999999998</v>
      </c>
      <c r="AB1940">
        <v>28</v>
      </c>
      <c r="AC1940">
        <v>-66.188599999999994</v>
      </c>
      <c r="AD1940">
        <v>-1.04299678</v>
      </c>
      <c r="AE1940">
        <v>-7.2640000000000002</v>
      </c>
      <c r="AF1940">
        <v>-6.4233822860871603</v>
      </c>
      <c r="AG1940">
        <v>-1.04299678</v>
      </c>
      <c r="AH1940">
        <v>66.259050263874798</v>
      </c>
      <c r="AI1940">
        <v>90.897622298900899</v>
      </c>
      <c r="AJ1940">
        <v>95.5371488624031</v>
      </c>
      <c r="AK1940">
        <v>66.577844844565206</v>
      </c>
      <c r="AL1940">
        <v>80.955826175873995</v>
      </c>
      <c r="AM1940">
        <v>85.586256993227494</v>
      </c>
      <c r="AN1940">
        <v>0.99999996743435005</v>
      </c>
    </row>
    <row r="1941" spans="1:40" x14ac:dyDescent="0.25">
      <c r="A1941" t="str">
        <f>"20190303170258136"</f>
        <v>20190303170258136</v>
      </c>
      <c r="B1941" t="str">
        <f>"1551603778127266"</f>
        <v>1551603778127266</v>
      </c>
      <c r="C1941" t="s">
        <v>40</v>
      </c>
      <c r="D1941">
        <v>5.075888</v>
      </c>
      <c r="E1941">
        <v>0.4365137</v>
      </c>
      <c r="F1941" t="s">
        <v>62</v>
      </c>
      <c r="G1941">
        <v>-275.11930000000001</v>
      </c>
      <c r="H1941">
        <v>8.0001699999999995E-2</v>
      </c>
      <c r="I1941">
        <v>278.2681</v>
      </c>
      <c r="J1941">
        <v>-219.7979</v>
      </c>
      <c r="K1941">
        <v>1.1228739999999999</v>
      </c>
      <c r="L1941">
        <v>284.3073</v>
      </c>
      <c r="M1941">
        <v>-0.99979949999999995</v>
      </c>
      <c r="N1941">
        <v>-1.4168139999999999E-2</v>
      </c>
      <c r="O1941">
        <v>-1.4154740000000001E-2</v>
      </c>
      <c r="P1941">
        <v>-0.98793679999999995</v>
      </c>
      <c r="Q1941">
        <v>0.1407349</v>
      </c>
      <c r="R1941">
        <v>6.4612580000000003E-2</v>
      </c>
      <c r="S1941">
        <v>-3.0674440000000001</v>
      </c>
      <c r="T1941">
        <v>-5.7547569999999999E-2</v>
      </c>
      <c r="U1941">
        <v>-0.33349610000000002</v>
      </c>
      <c r="V1941">
        <v>7.8135330000000003E-2</v>
      </c>
      <c r="W1941">
        <v>0.15493460000000001</v>
      </c>
      <c r="X1941">
        <v>0.98482999999999998</v>
      </c>
      <c r="Y1941">
        <v>-9.3971520000000003E-2</v>
      </c>
      <c r="Z1941">
        <v>-1.481928E-3</v>
      </c>
      <c r="AA1941">
        <v>0.99557379999999995</v>
      </c>
      <c r="AB1941">
        <v>28</v>
      </c>
      <c r="AC1941">
        <v>-55.321399999999997</v>
      </c>
      <c r="AD1941">
        <v>-1.0428723</v>
      </c>
      <c r="AE1941">
        <v>-6.0391999999999904</v>
      </c>
      <c r="AF1941">
        <v>-5.2536112955573699</v>
      </c>
      <c r="AG1941">
        <v>-1.0428723</v>
      </c>
      <c r="AH1941">
        <v>55.381899416376903</v>
      </c>
      <c r="AI1941">
        <v>91.0739640557249</v>
      </c>
      <c r="AJ1941">
        <v>95.4189491831997</v>
      </c>
      <c r="AK1941">
        <v>55.640298320952603</v>
      </c>
      <c r="AL1941">
        <v>81.086996661969195</v>
      </c>
      <c r="AM1941">
        <v>85.463718009074697</v>
      </c>
      <c r="AN1941">
        <v>0.999999994485684</v>
      </c>
    </row>
    <row r="1942" spans="1:40" x14ac:dyDescent="0.25">
      <c r="A1942" t="str">
        <f>"20190303170258158"</f>
        <v>20190303170258158</v>
      </c>
      <c r="B1942" t="str">
        <f>"1551603778147762"</f>
        <v>1551603778147762</v>
      </c>
      <c r="C1942" t="s">
        <v>40</v>
      </c>
      <c r="D1942">
        <v>5.0669440000000003</v>
      </c>
      <c r="E1942">
        <v>0.4366372</v>
      </c>
      <c r="F1942" t="s">
        <v>62</v>
      </c>
      <c r="G1942">
        <v>-268.262</v>
      </c>
      <c r="H1942">
        <v>8.0000500000000002E-2</v>
      </c>
      <c r="I1942">
        <v>279.08870000000002</v>
      </c>
      <c r="J1942">
        <v>-220.07490000000001</v>
      </c>
      <c r="K1942">
        <v>1.122779</v>
      </c>
      <c r="L1942">
        <v>284.30160000000001</v>
      </c>
      <c r="M1942">
        <v>-0.99977910000000003</v>
      </c>
      <c r="N1942">
        <v>-1.415932E-2</v>
      </c>
      <c r="O1942">
        <v>-1.5540989999999999E-2</v>
      </c>
      <c r="P1942">
        <v>-0.9877435</v>
      </c>
      <c r="Q1942">
        <v>0.1414473</v>
      </c>
      <c r="R1942">
        <v>6.5999310000000005E-2</v>
      </c>
      <c r="S1942">
        <v>-3.0676420000000002</v>
      </c>
      <c r="T1942">
        <v>-6.6011070000000005E-2</v>
      </c>
      <c r="U1942">
        <v>-0.33032230000000001</v>
      </c>
      <c r="V1942">
        <v>8.0922480000000005E-2</v>
      </c>
      <c r="W1942">
        <v>0.15562239999999999</v>
      </c>
      <c r="X1942">
        <v>0.98449640000000005</v>
      </c>
      <c r="Y1942">
        <v>-9.1560009999999997E-2</v>
      </c>
      <c r="Z1942">
        <v>-1.5185369999999999E-3</v>
      </c>
      <c r="AA1942">
        <v>0.99579839999999997</v>
      </c>
      <c r="AB1942">
        <v>28</v>
      </c>
      <c r="AC1942">
        <v>-48.187100000000001</v>
      </c>
      <c r="AD1942">
        <v>-1.0427785000000001</v>
      </c>
      <c r="AE1942">
        <v>-5.2128999999999897</v>
      </c>
      <c r="AF1942">
        <v>-4.4612550652344902</v>
      </c>
      <c r="AG1942">
        <v>-1.0427785000000001</v>
      </c>
      <c r="AH1942">
        <v>48.239971715625103</v>
      </c>
      <c r="AI1942">
        <v>91.233080171599894</v>
      </c>
      <c r="AJ1942">
        <v>95.283711371162099</v>
      </c>
      <c r="AK1942">
        <v>48.457043398059902</v>
      </c>
      <c r="AL1942">
        <v>81.0471045467403</v>
      </c>
      <c r="AM1942">
        <v>85.301032313961599</v>
      </c>
      <c r="AN1942">
        <v>0.99999997038203403</v>
      </c>
    </row>
    <row r="1943" spans="1:40" x14ac:dyDescent="0.25">
      <c r="A1943" t="str">
        <f>"20190303170258179"</f>
        <v>20190303170258179</v>
      </c>
      <c r="B1943" t="str">
        <f>"1551603778167283"</f>
        <v>1551603778167283</v>
      </c>
      <c r="C1943" t="s">
        <v>40</v>
      </c>
      <c r="D1943">
        <v>4.9020199999999896</v>
      </c>
      <c r="E1943">
        <v>0.47469260000000002</v>
      </c>
      <c r="F1943" t="s">
        <v>62</v>
      </c>
      <c r="G1943">
        <v>-270.7319</v>
      </c>
      <c r="H1943">
        <v>8.0001500000000003E-2</v>
      </c>
      <c r="I1943">
        <v>278.91820000000001</v>
      </c>
      <c r="J1943">
        <v>-220.34270000000001</v>
      </c>
      <c r="K1943">
        <v>1.1227020000000001</v>
      </c>
      <c r="L1943">
        <v>284.29599999999999</v>
      </c>
      <c r="M1943">
        <v>-0.9997587</v>
      </c>
      <c r="N1943">
        <v>-1.415131E-2</v>
      </c>
      <c r="O1943">
        <v>-1.680063E-2</v>
      </c>
      <c r="P1943">
        <v>-0.98759280000000005</v>
      </c>
      <c r="Q1943">
        <v>0.1419233</v>
      </c>
      <c r="R1943">
        <v>6.7217009999999994E-2</v>
      </c>
      <c r="S1943">
        <v>-3.0680689999999999</v>
      </c>
      <c r="T1943">
        <v>-6.3156370000000003E-2</v>
      </c>
      <c r="U1943">
        <v>-0.3260498</v>
      </c>
      <c r="V1943">
        <v>8.3406419999999995E-2</v>
      </c>
      <c r="W1943">
        <v>0.15607879999999999</v>
      </c>
      <c r="X1943">
        <v>0.98421689999999995</v>
      </c>
      <c r="Y1943">
        <v>-8.8922539999999994E-2</v>
      </c>
      <c r="Z1943">
        <v>-1.43607E-3</v>
      </c>
      <c r="AA1943">
        <v>0.99603750000000002</v>
      </c>
      <c r="AB1943">
        <v>28</v>
      </c>
      <c r="AC1943">
        <v>-50.389199999999903</v>
      </c>
      <c r="AD1943">
        <v>-1.0427005</v>
      </c>
      <c r="AE1943">
        <v>-5.3777999999999704</v>
      </c>
      <c r="AF1943">
        <v>-4.5284684871226801</v>
      </c>
      <c r="AG1943">
        <v>-1.0427005</v>
      </c>
      <c r="AH1943">
        <v>50.451086352111602</v>
      </c>
      <c r="AI1943">
        <v>91.179255372215806</v>
      </c>
      <c r="AJ1943">
        <v>95.129100081510401</v>
      </c>
      <c r="AK1943">
        <v>50.664646108305</v>
      </c>
      <c r="AL1943">
        <v>81.020632117231898</v>
      </c>
      <c r="AM1943">
        <v>85.156103193764807</v>
      </c>
      <c r="AN1943">
        <v>1.00000006447613</v>
      </c>
    </row>
    <row r="1944" spans="1:40" x14ac:dyDescent="0.25">
      <c r="A1944" t="str">
        <f>"20190303170258203"</f>
        <v>20190303170258203</v>
      </c>
      <c r="B1944" t="str">
        <f>"1551603778187779"</f>
        <v>1551603778187779</v>
      </c>
      <c r="C1944" t="s">
        <v>40</v>
      </c>
      <c r="D1944">
        <v>5.0833019999999998</v>
      </c>
      <c r="E1944">
        <v>0.48759200000000003</v>
      </c>
      <c r="F1944" t="s">
        <v>62</v>
      </c>
      <c r="G1944">
        <v>-260.22329999999999</v>
      </c>
      <c r="H1944" s="1">
        <v>-1.417983E-6</v>
      </c>
      <c r="I1944">
        <v>284.00569999999999</v>
      </c>
      <c r="J1944">
        <v>-220.6276</v>
      </c>
      <c r="K1944">
        <v>1.1226480000000001</v>
      </c>
      <c r="L1944">
        <v>284.28969999999998</v>
      </c>
      <c r="M1944">
        <v>-0.99973670000000003</v>
      </c>
      <c r="N1944">
        <v>-1.41434E-2</v>
      </c>
      <c r="O1944">
        <v>-1.8072640000000001E-2</v>
      </c>
      <c r="P1944">
        <v>-0.98770179999999996</v>
      </c>
      <c r="Q1944">
        <v>0.141045899999999</v>
      </c>
      <c r="R1944">
        <v>6.7463289999999995E-2</v>
      </c>
      <c r="S1944">
        <v>-3.0515590000000001</v>
      </c>
      <c r="T1944">
        <v>-8.5906510000000005E-2</v>
      </c>
      <c r="U1944">
        <v>-2.2216799999999998E-2</v>
      </c>
      <c r="V1944">
        <v>8.4933079999999994E-2</v>
      </c>
      <c r="W1944">
        <v>0.15518570000000001</v>
      </c>
      <c r="X1944">
        <v>0.98422750000000003</v>
      </c>
      <c r="Y1944">
        <v>1.078669E-2</v>
      </c>
      <c r="Z1944">
        <v>4.8113829999999998E-4</v>
      </c>
      <c r="AA1944">
        <v>0.99994170000000004</v>
      </c>
      <c r="AB1944">
        <v>28</v>
      </c>
      <c r="AC1944">
        <v>-39.595700000000001</v>
      </c>
      <c r="AD1944">
        <v>-1.12264941798299</v>
      </c>
      <c r="AE1944">
        <v>-0.28399999999999098</v>
      </c>
      <c r="AF1944">
        <v>0.43137001061735902</v>
      </c>
      <c r="AG1944">
        <v>-1.12264941798299</v>
      </c>
      <c r="AH1944">
        <v>39.562562948571397</v>
      </c>
      <c r="AI1944">
        <v>91.625324346738694</v>
      </c>
      <c r="AJ1944">
        <v>89.375300794627194</v>
      </c>
      <c r="AK1944">
        <v>39.580838910531398</v>
      </c>
      <c r="AL1944">
        <v>81.072433606802505</v>
      </c>
      <c r="AM1944">
        <v>85.067927454694399</v>
      </c>
      <c r="AN1944">
        <v>1.00000000065951</v>
      </c>
    </row>
    <row r="1945" spans="1:40" x14ac:dyDescent="0.25">
      <c r="A1945" t="str">
        <f>"20190303170258224"</f>
        <v>20190303170258224</v>
      </c>
      <c r="B1945" t="str">
        <f>"1551603778217058"</f>
        <v>1551603778217058</v>
      </c>
      <c r="C1945" t="s">
        <v>40</v>
      </c>
      <c r="D1945">
        <v>5.0780329999999996</v>
      </c>
      <c r="E1945">
        <v>0.4937165</v>
      </c>
      <c r="F1945" t="s">
        <v>62</v>
      </c>
      <c r="G1945">
        <v>-253.6746</v>
      </c>
      <c r="H1945" s="1">
        <v>4.1865099999999998E-7</v>
      </c>
      <c r="I1945">
        <v>285.1626</v>
      </c>
      <c r="J1945">
        <v>-220.90639999999999</v>
      </c>
      <c r="K1945">
        <v>1.122592</v>
      </c>
      <c r="L1945">
        <v>284.2833</v>
      </c>
      <c r="M1945">
        <v>-0.99971460000000001</v>
      </c>
      <c r="N1945">
        <v>-1.4136289999999999E-2</v>
      </c>
      <c r="O1945">
        <v>-1.927077E-2</v>
      </c>
      <c r="P1945">
        <v>-0.98810629999999999</v>
      </c>
      <c r="Q1945">
        <v>0.1387274</v>
      </c>
      <c r="R1945">
        <v>6.6342029999999996E-2</v>
      </c>
      <c r="S1945">
        <v>-3.046646</v>
      </c>
      <c r="T1945">
        <v>-0.1034983</v>
      </c>
      <c r="U1945">
        <v>8.0474850000000001E-2</v>
      </c>
      <c r="V1945">
        <v>8.5023650000000006E-2</v>
      </c>
      <c r="W1945">
        <v>0.1528563</v>
      </c>
      <c r="X1945">
        <v>0.98458420000000002</v>
      </c>
      <c r="Y1945">
        <v>4.5625060000000002E-2</v>
      </c>
      <c r="Z1945">
        <v>1.4793269999999999E-3</v>
      </c>
      <c r="AA1945">
        <v>0.99895750000000005</v>
      </c>
      <c r="AB1945">
        <v>28</v>
      </c>
      <c r="AC1945">
        <v>-32.7682</v>
      </c>
      <c r="AD1945">
        <v>-1.1225915813489999</v>
      </c>
      <c r="AE1945">
        <v>0.87929999999999997</v>
      </c>
      <c r="AF1945">
        <v>1.50889843761564</v>
      </c>
      <c r="AG1945">
        <v>-1.1225915813489999</v>
      </c>
      <c r="AH1945">
        <v>32.706808596110299</v>
      </c>
      <c r="AI1945">
        <v>91.963696998753704</v>
      </c>
      <c r="AJ1945">
        <v>87.358584968383795</v>
      </c>
      <c r="AK1945">
        <v>32.760835076294299</v>
      </c>
      <c r="AL1945">
        <v>81.207510730240898</v>
      </c>
      <c r="AM1945">
        <v>85.064473904102499</v>
      </c>
      <c r="AN1945">
        <v>1.00000005819932</v>
      </c>
    </row>
    <row r="1946" spans="1:40" x14ac:dyDescent="0.25">
      <c r="A1946" t="str">
        <f>"20190303170258248"</f>
        <v>20190303170258248</v>
      </c>
      <c r="B1946" t="str">
        <f>"1551603778237554"</f>
        <v>1551603778237554</v>
      </c>
      <c r="C1946" t="s">
        <v>40</v>
      </c>
      <c r="D1946">
        <v>5.0217809999999998</v>
      </c>
      <c r="E1946">
        <v>0.49556329999999998</v>
      </c>
      <c r="F1946" t="s">
        <v>62</v>
      </c>
      <c r="G1946">
        <v>-250.14599999999999</v>
      </c>
      <c r="H1946" s="1">
        <v>-1.4591210000000001E-6</v>
      </c>
      <c r="I1946">
        <v>285.49099999999999</v>
      </c>
      <c r="J1946">
        <v>-221.19220000000001</v>
      </c>
      <c r="K1946">
        <v>1.1225400000000001</v>
      </c>
      <c r="L1946">
        <v>284.27629999999999</v>
      </c>
      <c r="M1946">
        <v>-0.99969079999999999</v>
      </c>
      <c r="N1946">
        <v>-1.41294E-2</v>
      </c>
      <c r="O1946">
        <v>-2.0461219999999999E-2</v>
      </c>
      <c r="P1946">
        <v>-0.9882531</v>
      </c>
      <c r="Q1946">
        <v>0.13804949999999999</v>
      </c>
      <c r="R1946">
        <v>6.5561700000000001E-2</v>
      </c>
      <c r="S1946">
        <v>-3.0440670000000001</v>
      </c>
      <c r="T1946">
        <v>-0.11687060000000001</v>
      </c>
      <c r="U1946">
        <v>0.12573239999999999</v>
      </c>
      <c r="V1946">
        <v>8.5437819999999998E-2</v>
      </c>
      <c r="W1946">
        <v>0.15216499999999999</v>
      </c>
      <c r="X1946">
        <v>0.98465539999999996</v>
      </c>
      <c r="Y1946">
        <v>6.1638030000000003E-2</v>
      </c>
      <c r="Z1946">
        <v>2.1142449999999998E-3</v>
      </c>
      <c r="AA1946">
        <v>0.99809630000000005</v>
      </c>
      <c r="AB1946">
        <v>28</v>
      </c>
      <c r="AC1946">
        <v>-28.953799999999902</v>
      </c>
      <c r="AD1946">
        <v>-1.1225414591209999</v>
      </c>
      <c r="AE1946">
        <v>1.2146999999999899</v>
      </c>
      <c r="AF1946">
        <v>1.80422766047667</v>
      </c>
      <c r="AG1946">
        <v>-1.1225414591209999</v>
      </c>
      <c r="AH1946">
        <v>28.8795473537104</v>
      </c>
      <c r="AI1946">
        <v>92.221626416320305</v>
      </c>
      <c r="AJ1946">
        <v>86.425136045006298</v>
      </c>
      <c r="AK1946">
        <v>28.957617169468101</v>
      </c>
      <c r="AL1946">
        <v>81.247587907082206</v>
      </c>
      <c r="AM1946">
        <v>85.040908254908501</v>
      </c>
      <c r="AN1946">
        <v>1.00000003253025</v>
      </c>
    </row>
    <row r="1947" spans="1:40" x14ac:dyDescent="0.25">
      <c r="A1947" t="str">
        <f>"20190303170258268"</f>
        <v>20190303170258268</v>
      </c>
      <c r="B1947" t="str">
        <f>"1551603778257074"</f>
        <v>1551603778257074</v>
      </c>
      <c r="C1947" t="s">
        <v>40</v>
      </c>
      <c r="D1947">
        <v>5.0161899999999999</v>
      </c>
      <c r="E1947">
        <v>0.49688599999999999</v>
      </c>
      <c r="F1947" t="s">
        <v>62</v>
      </c>
      <c r="G1947">
        <v>-249.85759999999999</v>
      </c>
      <c r="H1947" s="1">
        <v>3.7089569999999999E-6</v>
      </c>
      <c r="I1947">
        <v>285.57940000000002</v>
      </c>
      <c r="J1947">
        <v>-221.4554</v>
      </c>
      <c r="K1947">
        <v>1.1224989999999999</v>
      </c>
      <c r="L1947">
        <v>284.2697</v>
      </c>
      <c r="M1947">
        <v>-0.99966849999999996</v>
      </c>
      <c r="N1947">
        <v>-1.412332E-2</v>
      </c>
      <c r="O1947">
        <v>-2.152718E-2</v>
      </c>
      <c r="P1947">
        <v>-0.98820129999999995</v>
      </c>
      <c r="Q1947">
        <v>0.13844909999999999</v>
      </c>
      <c r="R1947">
        <v>6.5498100000000004E-2</v>
      </c>
      <c r="S1947">
        <v>-3.0431370000000002</v>
      </c>
      <c r="T1947">
        <v>-0.119168899999999</v>
      </c>
      <c r="U1947">
        <v>0.13833619999999999</v>
      </c>
      <c r="V1947">
        <v>8.6438169999999995E-2</v>
      </c>
      <c r="W1947">
        <v>0.15255099999999999</v>
      </c>
      <c r="X1947">
        <v>0.9845083</v>
      </c>
      <c r="Y1947">
        <v>6.6831779999999993E-2</v>
      </c>
      <c r="Z1947">
        <v>2.3183420000000001E-3</v>
      </c>
      <c r="AA1947">
        <v>0.99776149999999997</v>
      </c>
      <c r="AB1947">
        <v>28</v>
      </c>
      <c r="AC1947">
        <v>-28.402200000000001</v>
      </c>
      <c r="AD1947">
        <v>-1.1224952910429999</v>
      </c>
      <c r="AE1947">
        <v>1.3097000000000201</v>
      </c>
      <c r="AF1947">
        <v>1.9178874211322801</v>
      </c>
      <c r="AG1947">
        <v>-1.1224952910429999</v>
      </c>
      <c r="AH1947">
        <v>28.323274436202698</v>
      </c>
      <c r="AI1947">
        <v>92.264352960573106</v>
      </c>
      <c r="AJ1947">
        <v>86.126176578033693</v>
      </c>
      <c r="AK1947">
        <v>28.410317890284201</v>
      </c>
      <c r="AL1947">
        <v>81.225210013548605</v>
      </c>
      <c r="AM1947">
        <v>84.982393510601796</v>
      </c>
      <c r="AN1947">
        <v>0.999999978801419</v>
      </c>
    </row>
    <row r="1948" spans="1:40" x14ac:dyDescent="0.25">
      <c r="A1948" t="str">
        <f>"20190303170258290"</f>
        <v>20190303170258290</v>
      </c>
      <c r="B1948" t="str">
        <f>"1551603778277571"</f>
        <v>1551603778277571</v>
      </c>
      <c r="C1948" t="s">
        <v>40</v>
      </c>
      <c r="D1948">
        <v>5.0791729999999999</v>
      </c>
      <c r="E1948">
        <v>0.4978899</v>
      </c>
      <c r="F1948" t="s">
        <v>62</v>
      </c>
      <c r="G1948">
        <v>-250.5489</v>
      </c>
      <c r="H1948" s="1">
        <v>-1.2446760000000001E-6</v>
      </c>
      <c r="I1948">
        <v>285.6841</v>
      </c>
      <c r="J1948">
        <v>-221.72</v>
      </c>
      <c r="K1948">
        <v>1.1224719999999999</v>
      </c>
      <c r="L1948">
        <v>284.26280000000003</v>
      </c>
      <c r="M1948">
        <v>-0.99964580000000003</v>
      </c>
      <c r="N1948">
        <v>-1.41175E-2</v>
      </c>
      <c r="O1948">
        <v>-2.2564629999999999E-2</v>
      </c>
      <c r="P1948">
        <v>-0.98814860000000004</v>
      </c>
      <c r="Q1948">
        <v>0.13947679999999901</v>
      </c>
      <c r="R1948">
        <v>6.4100089999999998E-2</v>
      </c>
      <c r="S1948">
        <v>-3.0424500000000001</v>
      </c>
      <c r="T1948">
        <v>-0.1173854</v>
      </c>
      <c r="U1948">
        <v>0.14791869999999999</v>
      </c>
      <c r="V1948">
        <v>8.6075479999999996E-2</v>
      </c>
      <c r="W1948">
        <v>0.15356220000000001</v>
      </c>
      <c r="X1948">
        <v>0.98438289999999995</v>
      </c>
      <c r="Y1948">
        <v>7.1010019999999993E-2</v>
      </c>
      <c r="Z1948">
        <v>2.4219150000000002E-3</v>
      </c>
      <c r="AA1948">
        <v>0.99747260000000004</v>
      </c>
      <c r="AB1948">
        <v>28</v>
      </c>
      <c r="AC1948">
        <v>-28.828900000000001</v>
      </c>
      <c r="AD1948">
        <v>-1.122473244676</v>
      </c>
      <c r="AE1948">
        <v>1.42129999999997</v>
      </c>
      <c r="AF1948">
        <v>2.0683882301958101</v>
      </c>
      <c r="AG1948">
        <v>-1.122473244676</v>
      </c>
      <c r="AH1948">
        <v>28.7460110528651</v>
      </c>
      <c r="AI1948">
        <v>92.230387093892006</v>
      </c>
      <c r="AJ1948">
        <v>85.884436777749301</v>
      </c>
      <c r="AK1948">
        <v>28.842179659437502</v>
      </c>
      <c r="AL1948">
        <v>81.166582053349998</v>
      </c>
      <c r="AM1948">
        <v>85.002707017895901</v>
      </c>
      <c r="AN1948">
        <v>1.0000000156692399</v>
      </c>
    </row>
    <row r="1949" spans="1:40" x14ac:dyDescent="0.25">
      <c r="A1949" t="str">
        <f>"20190303170258313"</f>
        <v>20190303170258313</v>
      </c>
      <c r="B1949" t="str">
        <f>"1551603778297091"</f>
        <v>1551603778297091</v>
      </c>
      <c r="C1949" t="s">
        <v>40</v>
      </c>
      <c r="D1949">
        <v>5.074554</v>
      </c>
      <c r="E1949">
        <v>0.49853120000000001</v>
      </c>
      <c r="F1949" t="s">
        <v>62</v>
      </c>
      <c r="G1949">
        <v>-251.51929999999999</v>
      </c>
      <c r="H1949" s="1">
        <v>-7.2828019999999899E-7</v>
      </c>
      <c r="I1949">
        <v>285.74630000000002</v>
      </c>
      <c r="J1949">
        <v>-222.01320000000001</v>
      </c>
      <c r="K1949">
        <v>1.1224270000000001</v>
      </c>
      <c r="L1949">
        <v>284.25490000000002</v>
      </c>
      <c r="M1949">
        <v>-0.99962030000000002</v>
      </c>
      <c r="N1949">
        <v>-1.41114E-2</v>
      </c>
      <c r="O1949">
        <v>-2.3669809999999999E-2</v>
      </c>
      <c r="P1949">
        <v>-0.98840059999999996</v>
      </c>
      <c r="Q1949">
        <v>0.13889099999999999</v>
      </c>
      <c r="R1949">
        <v>6.1429999999999998E-2</v>
      </c>
      <c r="S1949">
        <v>-3.042313</v>
      </c>
      <c r="T1949">
        <v>-0.1145968</v>
      </c>
      <c r="U1949">
        <v>0.1514587</v>
      </c>
      <c r="V1949">
        <v>8.4520479999999995E-2</v>
      </c>
      <c r="W1949">
        <v>0.15296100000000001</v>
      </c>
      <c r="X1949">
        <v>0.98461120000000002</v>
      </c>
      <c r="Y1949">
        <v>7.3273610000000003E-2</v>
      </c>
      <c r="Z1949">
        <v>2.4533390000000001E-3</v>
      </c>
      <c r="AA1949">
        <v>0.99730890000000005</v>
      </c>
      <c r="AB1949">
        <v>28</v>
      </c>
      <c r="AC1949">
        <v>-29.506099999999901</v>
      </c>
      <c r="AD1949">
        <v>-1.1224277282802</v>
      </c>
      <c r="AE1949">
        <v>1.4913999999999901</v>
      </c>
      <c r="AF1949">
        <v>2.1862996607748402</v>
      </c>
      <c r="AG1949">
        <v>-1.1224277282802</v>
      </c>
      <c r="AH1949">
        <v>29.420062233586801</v>
      </c>
      <c r="AI1949">
        <v>92.178874018998599</v>
      </c>
      <c r="AJ1949">
        <v>85.749977960840994</v>
      </c>
      <c r="AK1949">
        <v>29.522530583268701</v>
      </c>
      <c r="AL1949">
        <v>81.201439936567894</v>
      </c>
      <c r="AM1949">
        <v>85.093673232622805</v>
      </c>
      <c r="AN1949">
        <v>0.99999999711293497</v>
      </c>
    </row>
    <row r="1950" spans="1:40" x14ac:dyDescent="0.25">
      <c r="A1950" t="str">
        <f>"20190303170258337"</f>
        <v>20190303170258337</v>
      </c>
      <c r="B1950" t="str">
        <f>"1551603778327347"</f>
        <v>1551603778327347</v>
      </c>
      <c r="C1950" t="s">
        <v>40</v>
      </c>
      <c r="D1950">
        <v>5.1337339999999996</v>
      </c>
      <c r="E1950">
        <v>0.49938280000000002</v>
      </c>
      <c r="F1950" t="s">
        <v>62</v>
      </c>
      <c r="G1950">
        <v>-251.0145</v>
      </c>
      <c r="H1950" s="1">
        <v>-9.9693150000000006E-7</v>
      </c>
      <c r="I1950">
        <v>285.67149999999998</v>
      </c>
      <c r="J1950">
        <v>-222.28729999999999</v>
      </c>
      <c r="K1950">
        <v>1.122377</v>
      </c>
      <c r="L1950">
        <v>284.2473</v>
      </c>
      <c r="M1950">
        <v>-0.9995967</v>
      </c>
      <c r="N1950">
        <v>-1.4105889999999999E-2</v>
      </c>
      <c r="O1950">
        <v>-2.464881E-2</v>
      </c>
      <c r="P1950">
        <v>-0.98871109999999895</v>
      </c>
      <c r="Q1950">
        <v>0.1380391</v>
      </c>
      <c r="R1950">
        <v>5.8271080000000003E-2</v>
      </c>
      <c r="S1950">
        <v>-3.0424799999999999</v>
      </c>
      <c r="T1950">
        <v>-0.11775239999999999</v>
      </c>
      <c r="U1950">
        <v>0.14862059999999999</v>
      </c>
      <c r="V1950">
        <v>8.2353259999999998E-2</v>
      </c>
      <c r="W1950">
        <v>0.1520957</v>
      </c>
      <c r="X1950">
        <v>0.98492880000000005</v>
      </c>
      <c r="Y1950">
        <v>7.3315179999999994E-2</v>
      </c>
      <c r="Z1950">
        <v>2.5407899999999998E-3</v>
      </c>
      <c r="AA1950">
        <v>0.99730560000000001</v>
      </c>
      <c r="AB1950">
        <v>28</v>
      </c>
      <c r="AC1950">
        <v>-28.7272</v>
      </c>
      <c r="AD1950">
        <v>-1.1223779969315</v>
      </c>
      <c r="AE1950">
        <v>1.4241999999999799</v>
      </c>
      <c r="AF1950">
        <v>2.1286874812147398</v>
      </c>
      <c r="AG1950">
        <v>-1.1223779969315</v>
      </c>
      <c r="AH1950">
        <v>28.639750931559</v>
      </c>
      <c r="AI1950">
        <v>92.238078255004993</v>
      </c>
      <c r="AJ1950">
        <v>85.749231334205703</v>
      </c>
      <c r="AK1950">
        <v>28.740674595117099</v>
      </c>
      <c r="AL1950">
        <v>81.251604547928693</v>
      </c>
      <c r="AM1950">
        <v>85.220421882931404</v>
      </c>
      <c r="AN1950">
        <v>0.99999995123027696</v>
      </c>
    </row>
    <row r="1951" spans="1:40" x14ac:dyDescent="0.25">
      <c r="A1951" t="str">
        <f>"20190303170258358"</f>
        <v>20190303170258358</v>
      </c>
      <c r="B1951" t="str">
        <f>"1551603778347843"</f>
        <v>1551603778347843</v>
      </c>
      <c r="C1951" t="s">
        <v>40</v>
      </c>
      <c r="D1951">
        <v>5.0743749999999999</v>
      </c>
      <c r="E1951">
        <v>0.4998512</v>
      </c>
      <c r="F1951" t="s">
        <v>62</v>
      </c>
      <c r="G1951">
        <v>-250.667</v>
      </c>
      <c r="H1951" s="1">
        <v>-1.1818230000000001E-6</v>
      </c>
      <c r="I1951">
        <v>285.61799999999999</v>
      </c>
      <c r="J1951">
        <v>-222.5573</v>
      </c>
      <c r="K1951">
        <v>1.122328</v>
      </c>
      <c r="L1951">
        <v>284.23950000000002</v>
      </c>
      <c r="M1951">
        <v>-0.99957410000000002</v>
      </c>
      <c r="N1951">
        <v>-1.4100680000000001E-2</v>
      </c>
      <c r="O1951">
        <v>-2.5556410000000002E-2</v>
      </c>
      <c r="P1951">
        <v>-0.98884309999999997</v>
      </c>
      <c r="Q1951">
        <v>0.13806099999999999</v>
      </c>
      <c r="R1951">
        <v>5.5935060000000002E-2</v>
      </c>
      <c r="S1951">
        <v>-3.0424039999999999</v>
      </c>
      <c r="T1951">
        <v>-0.12032279999999999</v>
      </c>
      <c r="U1951">
        <v>0.14694209999999999</v>
      </c>
      <c r="V1951">
        <v>8.093301E-2</v>
      </c>
      <c r="W1951">
        <v>0.1521033</v>
      </c>
      <c r="X1951">
        <v>0.98504539999999996</v>
      </c>
      <c r="Y1951">
        <v>7.3668960000000006E-2</v>
      </c>
      <c r="Z1951">
        <v>2.625086E-3</v>
      </c>
      <c r="AA1951">
        <v>0.99727929999999998</v>
      </c>
      <c r="AB1951">
        <v>28</v>
      </c>
      <c r="AC1951">
        <v>-28.1097</v>
      </c>
      <c r="AD1951">
        <v>-1.1223291818229999</v>
      </c>
      <c r="AE1951">
        <v>1.3784999999999701</v>
      </c>
      <c r="AF1951">
        <v>2.0931751701054102</v>
      </c>
      <c r="AG1951">
        <v>-1.1223291818229999</v>
      </c>
      <c r="AH1951">
        <v>28.020722070639401</v>
      </c>
      <c r="AI1951">
        <v>92.287306714483094</v>
      </c>
      <c r="AJ1951">
        <v>85.727884268289998</v>
      </c>
      <c r="AK1951">
        <v>28.121199662267902</v>
      </c>
      <c r="AL1951">
        <v>81.251164430640301</v>
      </c>
      <c r="AM1951">
        <v>85.303031116449503</v>
      </c>
      <c r="AN1951">
        <v>1.0000000030198499</v>
      </c>
    </row>
    <row r="1952" spans="1:40" x14ac:dyDescent="0.25">
      <c r="A1952" t="str">
        <f>"20190303170258380"</f>
        <v>20190303170258380</v>
      </c>
      <c r="B1952" t="str">
        <f>"1551603778367362"</f>
        <v>1551603778367362</v>
      </c>
      <c r="C1952" t="s">
        <v>40</v>
      </c>
      <c r="D1952">
        <v>5.0762239999999998</v>
      </c>
      <c r="E1952">
        <v>0.50036190000000003</v>
      </c>
      <c r="F1952" t="s">
        <v>62</v>
      </c>
      <c r="G1952">
        <v>-250.8708</v>
      </c>
      <c r="H1952" s="1">
        <v>-1.0734139999999999E-6</v>
      </c>
      <c r="I1952">
        <v>285.58819999999997</v>
      </c>
      <c r="J1952">
        <v>-222.82980000000001</v>
      </c>
      <c r="K1952">
        <v>1.122298</v>
      </c>
      <c r="L1952">
        <v>284.23149999999998</v>
      </c>
      <c r="M1952">
        <v>-0.99955150000000004</v>
      </c>
      <c r="N1952">
        <v>-1.409562E-2</v>
      </c>
      <c r="O1952">
        <v>-2.6424980000000001E-2</v>
      </c>
      <c r="P1952">
        <v>-0.98881949999999996</v>
      </c>
      <c r="Q1952">
        <v>0.1388856</v>
      </c>
      <c r="R1952">
        <v>5.4284640000000002E-2</v>
      </c>
      <c r="S1952">
        <v>-3.0424799999999999</v>
      </c>
      <c r="T1952">
        <v>-0.1206021</v>
      </c>
      <c r="U1952">
        <v>0.144928</v>
      </c>
      <c r="V1952">
        <v>8.015332E-2</v>
      </c>
      <c r="W1952">
        <v>0.1529134</v>
      </c>
      <c r="X1952">
        <v>0.98498370000000002</v>
      </c>
      <c r="Y1952">
        <v>7.3874789999999996E-2</v>
      </c>
      <c r="Z1952">
        <v>2.6584030000000002E-3</v>
      </c>
      <c r="AA1952">
        <v>0.99726400000000004</v>
      </c>
      <c r="AB1952">
        <v>28</v>
      </c>
      <c r="AC1952">
        <v>-28.041</v>
      </c>
      <c r="AD1952">
        <v>-1.1222990734139999</v>
      </c>
      <c r="AE1952">
        <v>1.35669999999998</v>
      </c>
      <c r="AF1952">
        <v>2.0939361673485601</v>
      </c>
      <c r="AG1952">
        <v>-1.1222990734139999</v>
      </c>
      <c r="AH1952">
        <v>27.9506826891655</v>
      </c>
      <c r="AI1952">
        <v>92.292934199176699</v>
      </c>
      <c r="AJ1952">
        <v>85.715667640210299</v>
      </c>
      <c r="AK1952">
        <v>28.051466747275999</v>
      </c>
      <c r="AL1952">
        <v>81.204199493826906</v>
      </c>
      <c r="AM1952">
        <v>85.347790959617399</v>
      </c>
      <c r="AN1952">
        <v>0.99999997593613599</v>
      </c>
    </row>
    <row r="1953" spans="1:40" x14ac:dyDescent="0.25">
      <c r="A1953" t="str">
        <f>"20190303170258402"</f>
        <v>20190303170258402</v>
      </c>
      <c r="B1953" t="str">
        <f>"1551603778387859"</f>
        <v>1551603778387859</v>
      </c>
      <c r="C1953" t="s">
        <v>40</v>
      </c>
      <c r="D1953">
        <v>5.1362420000000002</v>
      </c>
      <c r="E1953">
        <v>0.5008553</v>
      </c>
      <c r="F1953" t="s">
        <v>62</v>
      </c>
      <c r="G1953">
        <v>-251.6422</v>
      </c>
      <c r="H1953" s="1">
        <v>-6.6292029999999999E-7</v>
      </c>
      <c r="I1953">
        <v>285.5831</v>
      </c>
      <c r="J1953">
        <v>-223.10050000000001</v>
      </c>
      <c r="K1953">
        <v>1.122277</v>
      </c>
      <c r="L1953">
        <v>284.22340000000003</v>
      </c>
      <c r="M1953">
        <v>-0.99952969999999997</v>
      </c>
      <c r="N1953">
        <v>-1.4090780000000001E-2</v>
      </c>
      <c r="O1953">
        <v>-2.7241520000000002E-2</v>
      </c>
      <c r="P1953">
        <v>-0.98873809999999995</v>
      </c>
      <c r="Q1953">
        <v>0.13969790000000001</v>
      </c>
      <c r="R1953">
        <v>5.3681109999999997E-2</v>
      </c>
      <c r="S1953">
        <v>-3.0427550000000001</v>
      </c>
      <c r="T1953">
        <v>-0.1185215</v>
      </c>
      <c r="U1953">
        <v>0.14273069999999999</v>
      </c>
      <c r="V1953">
        <v>8.0366010000000002E-2</v>
      </c>
      <c r="W1953">
        <v>0.15371199999999999</v>
      </c>
      <c r="X1953">
        <v>0.98484210000000005</v>
      </c>
      <c r="Y1953">
        <v>7.3969069999999998E-2</v>
      </c>
      <c r="Z1953">
        <v>2.6376619999999998E-3</v>
      </c>
      <c r="AA1953">
        <v>0.99725710000000001</v>
      </c>
      <c r="AB1953">
        <v>28</v>
      </c>
      <c r="AC1953">
        <v>-28.541699999999899</v>
      </c>
      <c r="AD1953">
        <v>-1.1222776629203</v>
      </c>
      <c r="AE1953">
        <v>1.3596999999999699</v>
      </c>
      <c r="AF1953">
        <v>2.1335005131812701</v>
      </c>
      <c r="AG1953">
        <v>-1.1222776629203</v>
      </c>
      <c r="AH1953">
        <v>28.450174007524598</v>
      </c>
      <c r="AI1953">
        <v>92.252664097418602</v>
      </c>
      <c r="AJ1953">
        <v>85.711372437903606</v>
      </c>
      <c r="AK1953">
        <v>28.5521230848227</v>
      </c>
      <c r="AL1953">
        <v>81.157896042119901</v>
      </c>
      <c r="AM1953">
        <v>85.334832841903804</v>
      </c>
      <c r="AN1953">
        <v>1.0000000182198601</v>
      </c>
    </row>
    <row r="1954" spans="1:40" x14ac:dyDescent="0.25">
      <c r="A1954" t="str">
        <f>"20190303170258424"</f>
        <v>20190303170258424</v>
      </c>
      <c r="B1954" t="str">
        <f>"1551603778417139"</f>
        <v>1551603778417139</v>
      </c>
      <c r="C1954" t="s">
        <v>40</v>
      </c>
      <c r="D1954">
        <v>5.0767689999999996</v>
      </c>
      <c r="E1954">
        <v>0.50140220000000002</v>
      </c>
      <c r="F1954" t="s">
        <v>62</v>
      </c>
      <c r="G1954">
        <v>-252.25980000000001</v>
      </c>
      <c r="H1954" s="1">
        <v>-3.3426630000000001E-7</v>
      </c>
      <c r="I1954">
        <v>285.59930000000003</v>
      </c>
      <c r="J1954">
        <v>-223.3903</v>
      </c>
      <c r="K1954">
        <v>1.1222399999999999</v>
      </c>
      <c r="L1954">
        <v>284.21460000000002</v>
      </c>
      <c r="M1954">
        <v>-0.99950700000000003</v>
      </c>
      <c r="N1954">
        <v>-1.4085790000000001E-2</v>
      </c>
      <c r="O1954">
        <v>-2.8062190000000001E-2</v>
      </c>
      <c r="P1954">
        <v>-0.9888306</v>
      </c>
      <c r="Q1954">
        <v>0.13954279999999999</v>
      </c>
      <c r="R1954">
        <v>5.2358130000000003E-2</v>
      </c>
      <c r="S1954">
        <v>-3.0429379999999999</v>
      </c>
      <c r="T1954">
        <v>-0.11711630000000001</v>
      </c>
      <c r="U1954">
        <v>0.1435852</v>
      </c>
      <c r="V1954">
        <v>7.9870720000000006E-2</v>
      </c>
      <c r="W1954">
        <v>0.1535453</v>
      </c>
      <c r="X1954">
        <v>0.98490840000000002</v>
      </c>
      <c r="Y1954">
        <v>7.5065010000000001E-2</v>
      </c>
      <c r="Z1954">
        <v>2.6566419999999999E-3</v>
      </c>
      <c r="AA1954">
        <v>0.99717509999999998</v>
      </c>
      <c r="AB1954">
        <v>28</v>
      </c>
      <c r="AC1954">
        <v>-28.869499999999999</v>
      </c>
      <c r="AD1954">
        <v>-1.1222403342663001</v>
      </c>
      <c r="AE1954">
        <v>1.3847</v>
      </c>
      <c r="AF1954">
        <v>2.1910729568927101</v>
      </c>
      <c r="AG1954">
        <v>-1.1222403342663001</v>
      </c>
      <c r="AH1954">
        <v>28.775883335053699</v>
      </c>
      <c r="AI1954">
        <v>92.226925835577305</v>
      </c>
      <c r="AJ1954">
        <v>85.645747559521993</v>
      </c>
      <c r="AK1954">
        <v>28.880991772840801</v>
      </c>
      <c r="AL1954">
        <v>81.167562045319002</v>
      </c>
      <c r="AM1954">
        <v>85.3637689477127</v>
      </c>
      <c r="AN1954">
        <v>1.00000002372798</v>
      </c>
    </row>
    <row r="1955" spans="1:40" x14ac:dyDescent="0.25">
      <c r="A1955" t="str">
        <f>"20190303170258448"</f>
        <v>20190303170258448</v>
      </c>
      <c r="B1955" t="str">
        <f>"1551603778437635"</f>
        <v>1551603778437635</v>
      </c>
      <c r="C1955" t="s">
        <v>40</v>
      </c>
      <c r="D1955">
        <v>5.0718290000000001</v>
      </c>
      <c r="E1955">
        <v>0.50178420000000001</v>
      </c>
      <c r="F1955" t="s">
        <v>62</v>
      </c>
      <c r="G1955">
        <v>-252.20169999999999</v>
      </c>
      <c r="H1955" s="1">
        <v>-3.6513549999999998E-7</v>
      </c>
      <c r="I1955">
        <v>285.57429999999999</v>
      </c>
      <c r="J1955">
        <v>-223.6728</v>
      </c>
      <c r="K1955">
        <v>1.1221950000000001</v>
      </c>
      <c r="L1955">
        <v>284.20569999999998</v>
      </c>
      <c r="M1955">
        <v>-0.99948570000000003</v>
      </c>
      <c r="N1955">
        <v>-1.4081130000000001E-2</v>
      </c>
      <c r="O1955">
        <v>-2.880955E-2</v>
      </c>
      <c r="P1955">
        <v>-0.9889038</v>
      </c>
      <c r="Q1955">
        <v>0.1394292</v>
      </c>
      <c r="R1955">
        <v>5.1272690000000003E-2</v>
      </c>
      <c r="S1955">
        <v>-3.043015</v>
      </c>
      <c r="T1955">
        <v>-0.1185292</v>
      </c>
      <c r="U1955">
        <v>0.14361570000000001</v>
      </c>
      <c r="V1955">
        <v>7.9540630000000001E-2</v>
      </c>
      <c r="W1955">
        <v>0.15341939999999901</v>
      </c>
      <c r="X1955">
        <v>0.98495469999999896</v>
      </c>
      <c r="Y1955">
        <v>7.581649E-2</v>
      </c>
      <c r="Z1955">
        <v>2.725435E-3</v>
      </c>
      <c r="AA1955">
        <v>0.99711810000000001</v>
      </c>
      <c r="AB1955">
        <v>28</v>
      </c>
      <c r="AC1955">
        <v>-28.5289</v>
      </c>
      <c r="AD1955">
        <v>-1.1221953651354999</v>
      </c>
      <c r="AE1955">
        <v>1.36860000000001</v>
      </c>
      <c r="AF1955">
        <v>2.1866425365757798</v>
      </c>
      <c r="AG1955">
        <v>-1.1221953651354999</v>
      </c>
      <c r="AH1955">
        <v>28.433729457377201</v>
      </c>
      <c r="AI1955">
        <v>92.253475360664694</v>
      </c>
      <c r="AJ1955">
        <v>85.602431311816503</v>
      </c>
      <c r="AK1955">
        <v>28.539756461392798</v>
      </c>
      <c r="AL1955">
        <v>81.174861802008294</v>
      </c>
      <c r="AM1955">
        <v>85.383062667348099</v>
      </c>
      <c r="AN1955">
        <v>0.99999999258462302</v>
      </c>
    </row>
    <row r="1956" spans="1:40" x14ac:dyDescent="0.25">
      <c r="A1956" t="str">
        <f>"20190303170258470"</f>
        <v>20190303170258470</v>
      </c>
      <c r="B1956" t="str">
        <f>"1551603778457154"</f>
        <v>1551603778457154</v>
      </c>
      <c r="C1956" t="s">
        <v>40</v>
      </c>
      <c r="D1956">
        <v>5.0755309999999998</v>
      </c>
      <c r="E1956">
        <v>0.50219009999999997</v>
      </c>
      <c r="F1956" t="s">
        <v>62</v>
      </c>
      <c r="G1956">
        <v>-252.29920000000001</v>
      </c>
      <c r="H1956" s="1">
        <v>-3.1326170000000001E-7</v>
      </c>
      <c r="I1956">
        <v>285.55509999999998</v>
      </c>
      <c r="J1956">
        <v>-223.9435</v>
      </c>
      <c r="K1956">
        <v>1.1221570000000001</v>
      </c>
      <c r="L1956">
        <v>284.19720000000001</v>
      </c>
      <c r="M1956">
        <v>-0.99946650000000004</v>
      </c>
      <c r="N1956">
        <v>-1.4076709999999999E-2</v>
      </c>
      <c r="O1956">
        <v>-2.9475000000000001E-2</v>
      </c>
      <c r="P1956">
        <v>-0.98883560000000004</v>
      </c>
      <c r="Q1956">
        <v>0.13979520000000001</v>
      </c>
      <c r="R1956">
        <v>5.1592600000000002E-2</v>
      </c>
      <c r="S1956">
        <v>-3.0430450000000002</v>
      </c>
      <c r="T1956">
        <v>-0.1192918</v>
      </c>
      <c r="U1956">
        <v>0.14343259999999999</v>
      </c>
      <c r="V1956">
        <v>8.0529879999999998E-2</v>
      </c>
      <c r="W1956">
        <v>0.1537724</v>
      </c>
      <c r="X1956">
        <v>0.98481929999999995</v>
      </c>
      <c r="Y1956">
        <v>7.6418120000000006E-2</v>
      </c>
      <c r="Z1956">
        <v>2.774791E-3</v>
      </c>
      <c r="AA1956">
        <v>0.99707199999999996</v>
      </c>
      <c r="AB1956">
        <v>28</v>
      </c>
      <c r="AC1956">
        <v>-28.355699999999999</v>
      </c>
      <c r="AD1956">
        <v>-1.1221573132617</v>
      </c>
      <c r="AE1956">
        <v>1.3578999999999699</v>
      </c>
      <c r="AF1956">
        <v>2.1897553006035202</v>
      </c>
      <c r="AG1956">
        <v>-1.1221573132617</v>
      </c>
      <c r="AH1956">
        <v>28.2591932495164</v>
      </c>
      <c r="AI1956">
        <v>92.267200435506496</v>
      </c>
      <c r="AJ1956">
        <v>85.569104753601295</v>
      </c>
      <c r="AK1956">
        <v>28.366111267245302</v>
      </c>
      <c r="AL1956">
        <v>81.154393870988201</v>
      </c>
      <c r="AM1956">
        <v>85.325254720912298</v>
      </c>
      <c r="AN1956">
        <v>1.0000000331135299</v>
      </c>
    </row>
    <row r="1957" spans="1:40" x14ac:dyDescent="0.25">
      <c r="A1957" t="str">
        <f>"20190303170258491"</f>
        <v>20190303170258491</v>
      </c>
      <c r="B1957" t="str">
        <f>"1551603778477651"</f>
        <v>1551603778477651</v>
      </c>
      <c r="C1957" t="s">
        <v>40</v>
      </c>
      <c r="D1957">
        <v>5.0151399999999997</v>
      </c>
      <c r="E1957">
        <v>0.50252759999999996</v>
      </c>
      <c r="F1957" t="s">
        <v>62</v>
      </c>
      <c r="G1957">
        <v>-252.8631</v>
      </c>
      <c r="H1957" s="1">
        <v>-1.321835E-8</v>
      </c>
      <c r="I1957">
        <v>285.59429999999998</v>
      </c>
      <c r="J1957">
        <v>-224.20269999999999</v>
      </c>
      <c r="K1957">
        <v>1.122117</v>
      </c>
      <c r="L1957">
        <v>284.18880000000001</v>
      </c>
      <c r="M1957">
        <v>-0.99944889999999997</v>
      </c>
      <c r="N1957">
        <v>-1.4072660000000001E-2</v>
      </c>
      <c r="O1957">
        <v>-3.0064279999999999E-2</v>
      </c>
      <c r="P1957">
        <v>-0.98878500000000003</v>
      </c>
      <c r="Q1957">
        <v>0.1398411</v>
      </c>
      <c r="R1957">
        <v>5.2431619999999998E-2</v>
      </c>
      <c r="S1957">
        <v>-3.0428769999999998</v>
      </c>
      <c r="T1957">
        <v>-0.1180717</v>
      </c>
      <c r="U1957">
        <v>0.1470032</v>
      </c>
      <c r="V1957">
        <v>8.1963859999999999E-2</v>
      </c>
      <c r="W1957">
        <v>0.15380679999999999</v>
      </c>
      <c r="X1957">
        <v>0.9846956</v>
      </c>
      <c r="Y1957">
        <v>7.8175499999999995E-2</v>
      </c>
      <c r="Z1957">
        <v>2.80876E-3</v>
      </c>
      <c r="AA1957">
        <v>0.99693569999999998</v>
      </c>
      <c r="AB1957">
        <v>28</v>
      </c>
      <c r="AC1957">
        <v>-28.660399999999999</v>
      </c>
      <c r="AD1957">
        <v>-1.12211701321835</v>
      </c>
      <c r="AE1957">
        <v>1.40549999999996</v>
      </c>
      <c r="AF1957">
        <v>2.26314333117999</v>
      </c>
      <c r="AG1957">
        <v>-1.12211701321835</v>
      </c>
      <c r="AH1957">
        <v>28.561505777054599</v>
      </c>
      <c r="AI1957">
        <v>92.242841881170506</v>
      </c>
      <c r="AJ1957">
        <v>85.469489541927899</v>
      </c>
      <c r="AK1957">
        <v>28.672993854523501</v>
      </c>
      <c r="AL1957">
        <v>81.152399008187203</v>
      </c>
      <c r="AM1957">
        <v>85.241796306092695</v>
      </c>
      <c r="AN1957">
        <v>1.0000000153658399</v>
      </c>
    </row>
    <row r="1958" spans="1:40" x14ac:dyDescent="0.25">
      <c r="A1958" t="str">
        <f>"20190303170258504"</f>
        <v>20190303170258504</v>
      </c>
      <c r="B1958" t="str">
        <f>"1551603778497172"</f>
        <v>1551603778497172</v>
      </c>
      <c r="C1958" t="s">
        <v>40</v>
      </c>
      <c r="D1958">
        <v>5.073493</v>
      </c>
      <c r="E1958">
        <v>0.50289539999999999</v>
      </c>
      <c r="F1958" t="s">
        <v>62</v>
      </c>
      <c r="G1958">
        <v>-253.1422</v>
      </c>
      <c r="H1958" s="1">
        <v>1.3532849999999999E-7</v>
      </c>
      <c r="I1958">
        <v>285.62650000000002</v>
      </c>
      <c r="J1958">
        <v>-224.35740000000001</v>
      </c>
      <c r="K1958">
        <v>1.1220889999999999</v>
      </c>
      <c r="L1958">
        <v>284.18380000000002</v>
      </c>
      <c r="M1958">
        <v>-0.99943919999999997</v>
      </c>
      <c r="N1958">
        <v>-1.4070350000000001E-2</v>
      </c>
      <c r="O1958">
        <v>-3.038923E-2</v>
      </c>
      <c r="P1958">
        <v>-0.98876810000000004</v>
      </c>
      <c r="Q1958">
        <v>0.13990739999999999</v>
      </c>
      <c r="R1958">
        <v>5.2570989999999998E-2</v>
      </c>
      <c r="S1958">
        <v>-3.0427089999999999</v>
      </c>
      <c r="T1958">
        <v>-0.1179798</v>
      </c>
      <c r="U1958">
        <v>0.1511536</v>
      </c>
      <c r="V1958">
        <v>8.2432510000000001E-2</v>
      </c>
      <c r="W1958">
        <v>0.15386559999999999</v>
      </c>
      <c r="X1958">
        <v>0.9846473</v>
      </c>
      <c r="Y1958">
        <v>7.9857090000000006E-2</v>
      </c>
      <c r="Z1958">
        <v>2.8591850000000002E-3</v>
      </c>
      <c r="AA1958">
        <v>0.99680219999999997</v>
      </c>
      <c r="AB1958">
        <v>28</v>
      </c>
      <c r="AC1958">
        <v>-28.784799999999901</v>
      </c>
      <c r="AD1958">
        <v>-1.1220888646714999</v>
      </c>
      <c r="AE1958">
        <v>1.4427000000000001</v>
      </c>
      <c r="AF1958">
        <v>2.3133614026225899</v>
      </c>
      <c r="AG1958">
        <v>-1.1220888646714999</v>
      </c>
      <c r="AH1958">
        <v>28.684176830990701</v>
      </c>
      <c r="AI1958">
        <v>92.232953697282497</v>
      </c>
      <c r="AJ1958">
        <v>85.389109883264098</v>
      </c>
      <c r="AK1958">
        <v>28.7991792395357</v>
      </c>
      <c r="AL1958">
        <v>81.148989502445303</v>
      </c>
      <c r="AM1958">
        <v>85.214482361816707</v>
      </c>
      <c r="AN1958">
        <v>1.00000002348277</v>
      </c>
    </row>
    <row r="1959" spans="1:40" x14ac:dyDescent="0.25">
      <c r="A1959" t="str">
        <f>"20190303170258517"</f>
        <v>20190303170258517</v>
      </c>
      <c r="B1959" t="str">
        <f>"1551603778507907"</f>
        <v>1551603778507907</v>
      </c>
      <c r="C1959" t="s">
        <v>40</v>
      </c>
      <c r="D1959">
        <v>5.0796619999999999</v>
      </c>
      <c r="E1959">
        <v>0.50303140000000002</v>
      </c>
      <c r="F1959" t="s">
        <v>62</v>
      </c>
      <c r="G1959">
        <v>-253.22149999999999</v>
      </c>
      <c r="H1959" s="1">
        <v>1.775534E-7</v>
      </c>
      <c r="I1959">
        <v>285.64870000000002</v>
      </c>
      <c r="J1959">
        <v>-224.5162</v>
      </c>
      <c r="K1959">
        <v>1.1220619999999999</v>
      </c>
      <c r="L1959">
        <v>284.17860000000002</v>
      </c>
      <c r="M1959">
        <v>-0.99942940000000002</v>
      </c>
      <c r="N1959">
        <v>-1.4068010000000001E-2</v>
      </c>
      <c r="O1959">
        <v>-3.070939E-2</v>
      </c>
      <c r="P1959">
        <v>-0.98886169999999995</v>
      </c>
      <c r="Q1959">
        <v>0.13924</v>
      </c>
      <c r="R1959">
        <v>5.2581749999999997E-2</v>
      </c>
      <c r="S1959">
        <v>-3.0426030000000002</v>
      </c>
      <c r="T1959">
        <v>-0.1182806</v>
      </c>
      <c r="U1959">
        <v>0.1544189</v>
      </c>
      <c r="V1959">
        <v>8.2772709999999999E-2</v>
      </c>
      <c r="W1959">
        <v>0.15319179999999999</v>
      </c>
      <c r="X1959">
        <v>0.98472380000000004</v>
      </c>
      <c r="Y1959">
        <v>8.1243190000000007E-2</v>
      </c>
      <c r="Z1959">
        <v>2.9107719999999998E-3</v>
      </c>
      <c r="AA1959">
        <v>0.99668999999999996</v>
      </c>
      <c r="AB1959">
        <v>27</v>
      </c>
      <c r="AC1959">
        <v>-28.705299999999902</v>
      </c>
      <c r="AD1959">
        <v>-1.1220618224465999</v>
      </c>
      <c r="AE1959">
        <v>1.4701</v>
      </c>
      <c r="AF1959">
        <v>2.3474385618921101</v>
      </c>
      <c r="AG1959">
        <v>-1.1220618224465999</v>
      </c>
      <c r="AH1959">
        <v>28.603018603550801</v>
      </c>
      <c r="AI1959">
        <v>92.238972368518205</v>
      </c>
      <c r="AJ1959">
        <v>85.308272493483599</v>
      </c>
      <c r="AK1959">
        <v>28.721110072041501</v>
      </c>
      <c r="AL1959">
        <v>81.188058436350801</v>
      </c>
      <c r="AM1959">
        <v>85.195196310196707</v>
      </c>
      <c r="AN1959">
        <v>1.00000000569721</v>
      </c>
    </row>
    <row r="1960" spans="1:40" x14ac:dyDescent="0.25">
      <c r="A1960" t="str">
        <f>"20190303170258530"</f>
        <v>20190303170258530</v>
      </c>
      <c r="B1960" t="str">
        <f>"1551603778517667"</f>
        <v>1551603778517667</v>
      </c>
      <c r="C1960" t="s">
        <v>40</v>
      </c>
      <c r="D1960">
        <v>4.7018940000000002</v>
      </c>
      <c r="E1960">
        <v>0.50317420000000002</v>
      </c>
      <c r="F1960" t="s">
        <v>62</v>
      </c>
      <c r="G1960">
        <v>-252.8562</v>
      </c>
      <c r="H1960" s="1">
        <v>-1.68840999999999E-8</v>
      </c>
      <c r="I1960">
        <v>285.62299999999999</v>
      </c>
      <c r="J1960">
        <v>-224.68170000000001</v>
      </c>
      <c r="K1960">
        <v>1.122034</v>
      </c>
      <c r="L1960">
        <v>284.17320000000001</v>
      </c>
      <c r="M1960">
        <v>-0.99941999999999998</v>
      </c>
      <c r="N1960">
        <v>-1.406553E-2</v>
      </c>
      <c r="O1960">
        <v>-3.1014739999999999E-2</v>
      </c>
      <c r="P1960">
        <v>-0.98890389999999995</v>
      </c>
      <c r="Q1960">
        <v>0.1389793</v>
      </c>
      <c r="R1960">
        <v>5.2478820000000002E-2</v>
      </c>
      <c r="S1960">
        <v>-3.0425260000000001</v>
      </c>
      <c r="T1960">
        <v>-0.12046270000000001</v>
      </c>
      <c r="U1960">
        <v>0.1550598</v>
      </c>
      <c r="V1960">
        <v>8.2983319999999999E-2</v>
      </c>
      <c r="W1960">
        <v>0.152923799999999</v>
      </c>
      <c r="X1960">
        <v>0.9847477</v>
      </c>
      <c r="Y1960">
        <v>8.1754480000000004E-2</v>
      </c>
      <c r="Z1960">
        <v>2.9833860000000002E-3</v>
      </c>
      <c r="AA1960">
        <v>0.99664799999999998</v>
      </c>
      <c r="AB1960">
        <v>27</v>
      </c>
      <c r="AC1960">
        <v>-28.174499999999899</v>
      </c>
      <c r="AD1960">
        <v>-1.1220340168841001</v>
      </c>
      <c r="AE1960">
        <v>1.44979999999998</v>
      </c>
      <c r="AF1960">
        <v>2.3193448706533801</v>
      </c>
      <c r="AG1960">
        <v>-1.1220340168841001</v>
      </c>
      <c r="AH1960">
        <v>28.071570149892299</v>
      </c>
      <c r="AI1960">
        <v>92.281156487981505</v>
      </c>
      <c r="AJ1960">
        <v>85.276804376472796</v>
      </c>
      <c r="AK1960">
        <v>28.189561395034101</v>
      </c>
      <c r="AL1960">
        <v>81.203596529565402</v>
      </c>
      <c r="AM1960">
        <v>85.183144599121206</v>
      </c>
      <c r="AN1960">
        <v>0.99999997632997595</v>
      </c>
    </row>
    <row r="1961" spans="1:40" x14ac:dyDescent="0.25">
      <c r="A1961" t="str">
        <f>"20190303170258547"</f>
        <v>20190303170258547</v>
      </c>
      <c r="B1961" t="str">
        <f>"1551603778537187"</f>
        <v>1551603778537187</v>
      </c>
      <c r="C1961" t="s">
        <v>40</v>
      </c>
      <c r="D1961">
        <v>4.9619119999999999</v>
      </c>
      <c r="E1961">
        <v>0.50351440000000003</v>
      </c>
      <c r="F1961" t="s">
        <v>62</v>
      </c>
      <c r="G1961">
        <v>-252.8158</v>
      </c>
      <c r="H1961" s="1">
        <v>-3.8349649999999997E-8</v>
      </c>
      <c r="I1961">
        <v>285.61470000000003</v>
      </c>
      <c r="J1961">
        <v>-224.8877</v>
      </c>
      <c r="K1961">
        <v>1.1219980000000001</v>
      </c>
      <c r="L1961">
        <v>284.16640000000001</v>
      </c>
      <c r="M1961">
        <v>-0.99940910000000005</v>
      </c>
      <c r="N1961">
        <v>-1.406259E-2</v>
      </c>
      <c r="O1961">
        <v>-3.1366209999999999E-2</v>
      </c>
      <c r="P1961">
        <v>-0.98899970000000004</v>
      </c>
      <c r="Q1961">
        <v>0.1384513</v>
      </c>
      <c r="R1961">
        <v>5.2068400000000001E-2</v>
      </c>
      <c r="S1961">
        <v>-3.0424190000000002</v>
      </c>
      <c r="T1961">
        <v>-0.1213366</v>
      </c>
      <c r="U1961">
        <v>0.15588379999999999</v>
      </c>
      <c r="V1961">
        <v>8.2936480000000007E-2</v>
      </c>
      <c r="W1961">
        <v>0.15238650000000001</v>
      </c>
      <c r="X1961">
        <v>0.98483500000000002</v>
      </c>
      <c r="Y1961">
        <v>8.2373840000000004E-2</v>
      </c>
      <c r="Z1961">
        <v>3.0298270000000001E-3</v>
      </c>
      <c r="AA1961">
        <v>0.99659690000000001</v>
      </c>
      <c r="AB1961">
        <v>27</v>
      </c>
      <c r="AC1961">
        <v>-27.928100000000001</v>
      </c>
      <c r="AD1961">
        <v>-1.12199803834965</v>
      </c>
      <c r="AE1961">
        <v>1.4483000000000099</v>
      </c>
      <c r="AF1961">
        <v>2.3199381335085199</v>
      </c>
      <c r="AG1961">
        <v>-1.12199803834965</v>
      </c>
      <c r="AH1961">
        <v>27.824135861812199</v>
      </c>
      <c r="AI1961">
        <v>92.301203635611202</v>
      </c>
      <c r="AJ1961">
        <v>85.2337813097528</v>
      </c>
      <c r="AK1961">
        <v>27.9432197321273</v>
      </c>
      <c r="AL1961">
        <v>81.234747220189902</v>
      </c>
      <c r="AM1961">
        <v>85.186275436314403</v>
      </c>
      <c r="AN1961">
        <v>1.0000000411610099</v>
      </c>
    </row>
    <row r="1962" spans="1:40" x14ac:dyDescent="0.25">
      <c r="A1962" t="str">
        <f>"20190303170258569"</f>
        <v>20190303170258569</v>
      </c>
      <c r="B1962" t="str">
        <f>"1551603778557683"</f>
        <v>1551603778557683</v>
      </c>
      <c r="C1962" t="s">
        <v>40</v>
      </c>
      <c r="D1962">
        <v>4.9603960000000002</v>
      </c>
      <c r="E1962">
        <v>0.50386239999999904</v>
      </c>
      <c r="F1962" t="s">
        <v>62</v>
      </c>
      <c r="G1962">
        <v>-252.72200000000001</v>
      </c>
      <c r="H1962" s="1">
        <v>-8.8270179999999894E-8</v>
      </c>
      <c r="I1962">
        <v>285.60239999999999</v>
      </c>
      <c r="J1962">
        <v>-225.15369999999999</v>
      </c>
      <c r="K1962">
        <v>1.1219570000000001</v>
      </c>
      <c r="L1962">
        <v>284.15750000000003</v>
      </c>
      <c r="M1962">
        <v>-0.99939639999999996</v>
      </c>
      <c r="N1962">
        <v>-1.4058859999999999E-2</v>
      </c>
      <c r="O1962">
        <v>-3.1768980000000002E-2</v>
      </c>
      <c r="P1962">
        <v>-0.98900569999999999</v>
      </c>
      <c r="Q1962">
        <v>0.13844999999999999</v>
      </c>
      <c r="R1962">
        <v>5.1954409999999999E-2</v>
      </c>
      <c r="S1962">
        <v>-3.0422669999999998</v>
      </c>
      <c r="T1962">
        <v>-0.122633199999999</v>
      </c>
      <c r="U1962">
        <v>0.15695190000000001</v>
      </c>
      <c r="V1962">
        <v>8.3237290000000005E-2</v>
      </c>
      <c r="W1962">
        <v>0.15237239999999999</v>
      </c>
      <c r="X1962">
        <v>0.98481180000000001</v>
      </c>
      <c r="Y1962">
        <v>8.3124039999999996E-2</v>
      </c>
      <c r="Z1962">
        <v>3.0917420000000002E-3</v>
      </c>
      <c r="AA1962">
        <v>0.99653440000000004</v>
      </c>
      <c r="AB1962">
        <v>27</v>
      </c>
      <c r="AC1962">
        <v>-27.568300000000001</v>
      </c>
      <c r="AD1962">
        <v>-1.1219570882701799</v>
      </c>
      <c r="AE1962">
        <v>1.4448999999999601</v>
      </c>
      <c r="AF1962">
        <v>2.31624799189095</v>
      </c>
      <c r="AG1962">
        <v>-1.1219570882701799</v>
      </c>
      <c r="AH1962">
        <v>27.463112434279498</v>
      </c>
      <c r="AI1962">
        <v>92.331150047506</v>
      </c>
      <c r="AJ1962">
        <v>85.179064297526295</v>
      </c>
      <c r="AK1962">
        <v>27.5834431687876</v>
      </c>
      <c r="AL1962">
        <v>81.235564609109502</v>
      </c>
      <c r="AM1962">
        <v>85.168785308667907</v>
      </c>
      <c r="AN1962">
        <v>1.0000000380737699</v>
      </c>
    </row>
    <row r="1963" spans="1:40" x14ac:dyDescent="0.25">
      <c r="A1963" t="str">
        <f>"20190303170258582"</f>
        <v>20190303170258582</v>
      </c>
      <c r="B1963" t="str">
        <f>"1551603778567443"</f>
        <v>1551603778567443</v>
      </c>
      <c r="C1963" t="s">
        <v>40</v>
      </c>
      <c r="D1963">
        <v>4.9606649999999997</v>
      </c>
      <c r="E1963">
        <v>0.50403980000000004</v>
      </c>
      <c r="F1963" t="s">
        <v>62</v>
      </c>
      <c r="G1963">
        <v>-253.13579999999999</v>
      </c>
      <c r="H1963" s="1">
        <v>1.31951399999999E-7</v>
      </c>
      <c r="I1963">
        <v>285.62060000000002</v>
      </c>
      <c r="J1963">
        <v>-225.30869999999999</v>
      </c>
      <c r="K1963">
        <v>1.121929</v>
      </c>
      <c r="L1963">
        <v>284.15230000000003</v>
      </c>
      <c r="M1963">
        <v>-0.99938990000000005</v>
      </c>
      <c r="N1963">
        <v>-1.405673E-2</v>
      </c>
      <c r="O1963">
        <v>-3.197361E-2</v>
      </c>
      <c r="P1963">
        <v>-0.98897420000000003</v>
      </c>
      <c r="Q1963">
        <v>0.13862629999999901</v>
      </c>
      <c r="R1963">
        <v>5.2083890000000001E-2</v>
      </c>
      <c r="S1963">
        <v>-3.042068</v>
      </c>
      <c r="T1963">
        <v>-0.121973</v>
      </c>
      <c r="U1963">
        <v>0.15905759999999999</v>
      </c>
      <c r="V1963">
        <v>8.3577970000000001E-2</v>
      </c>
      <c r="W1963">
        <v>0.15254010000000001</v>
      </c>
      <c r="X1963">
        <v>0.98475690000000005</v>
      </c>
      <c r="Y1963">
        <v>8.4019300000000005E-2</v>
      </c>
      <c r="Z1963">
        <v>3.1055449999999999E-3</v>
      </c>
      <c r="AA1963">
        <v>0.99645930000000005</v>
      </c>
      <c r="AB1963">
        <v>27</v>
      </c>
      <c r="AC1963">
        <v>-27.827100000000002</v>
      </c>
      <c r="AD1963">
        <v>-1.1219288680485999</v>
      </c>
      <c r="AE1963">
        <v>1.4682999999999899</v>
      </c>
      <c r="AF1963">
        <v>2.3535547039965601</v>
      </c>
      <c r="AG1963">
        <v>-1.1219288680485999</v>
      </c>
      <c r="AH1963">
        <v>27.7209819237852</v>
      </c>
      <c r="AI1963">
        <v>92.3093217248488</v>
      </c>
      <c r="AJ1963">
        <v>85.147136673129395</v>
      </c>
      <c r="AK1963">
        <v>27.843325644550699</v>
      </c>
      <c r="AL1963">
        <v>81.225841728420704</v>
      </c>
      <c r="AM1963">
        <v>85.148836759935094</v>
      </c>
      <c r="AN1963">
        <v>0.99999995563746902</v>
      </c>
    </row>
    <row r="1964" spans="1:40" x14ac:dyDescent="0.25">
      <c r="A1964" t="str">
        <f>"20190303170258595"</f>
        <v>20190303170258595</v>
      </c>
      <c r="B1964" t="str">
        <f>"1551603778587939"</f>
        <v>1551603778587939</v>
      </c>
      <c r="C1964" t="s">
        <v>40</v>
      </c>
      <c r="D1964">
        <v>4.8434819999999998</v>
      </c>
      <c r="E1964">
        <v>0.50428589999999995</v>
      </c>
      <c r="F1964" t="s">
        <v>62</v>
      </c>
      <c r="G1964">
        <v>-253.4384</v>
      </c>
      <c r="H1964" s="1">
        <v>2.929465E-7</v>
      </c>
      <c r="I1964">
        <v>285.63900000000001</v>
      </c>
      <c r="J1964">
        <v>-225.47399999999999</v>
      </c>
      <c r="K1964">
        <v>1.1218969999999999</v>
      </c>
      <c r="L1964">
        <v>284.14690000000002</v>
      </c>
      <c r="M1964">
        <v>-0.99938340000000003</v>
      </c>
      <c r="N1964">
        <v>-1.4054519999999999E-2</v>
      </c>
      <c r="O1964">
        <v>-3.2173559999999997E-2</v>
      </c>
      <c r="P1964">
        <v>-0.98888520000000002</v>
      </c>
      <c r="Q1964">
        <v>0.13918329999999901</v>
      </c>
      <c r="R1964">
        <v>5.2284940000000002E-2</v>
      </c>
      <c r="S1964">
        <v>-3.0419770000000002</v>
      </c>
      <c r="T1964">
        <v>-0.1213268</v>
      </c>
      <c r="U1964">
        <v>0.16076660000000001</v>
      </c>
      <c r="V1964">
        <v>8.3984429999999999E-2</v>
      </c>
      <c r="W1964">
        <v>0.15308769999999999</v>
      </c>
      <c r="X1964">
        <v>0.9846374</v>
      </c>
      <c r="Y1964">
        <v>8.4778599999999996E-2</v>
      </c>
      <c r="Z1964">
        <v>3.1155229999999998E-3</v>
      </c>
      <c r="AA1964">
        <v>0.99639489999999997</v>
      </c>
      <c r="AB1964">
        <v>27</v>
      </c>
      <c r="AC1964">
        <v>-27.964399999999898</v>
      </c>
      <c r="AD1964">
        <v>-1.1218967070535</v>
      </c>
      <c r="AE1964">
        <v>1.49209999999999</v>
      </c>
      <c r="AF1964">
        <v>2.3872991426177799</v>
      </c>
      <c r="AG1964">
        <v>-1.1218967070535</v>
      </c>
      <c r="AH1964">
        <v>27.857199704746701</v>
      </c>
      <c r="AI1964">
        <v>92.297821032958396</v>
      </c>
      <c r="AJ1964">
        <v>85.101848459093802</v>
      </c>
      <c r="AK1964">
        <v>27.981805245691</v>
      </c>
      <c r="AL1964">
        <v>81.194094238045807</v>
      </c>
      <c r="AM1964">
        <v>85.124769024931794</v>
      </c>
      <c r="AN1964">
        <v>1.0000000189262299</v>
      </c>
    </row>
    <row r="1965" spans="1:40" x14ac:dyDescent="0.25">
      <c r="A1965" t="str">
        <f>"20190303170258608"</f>
        <v>20190303170258608</v>
      </c>
      <c r="B1965" t="str">
        <f>"1551603778597699"</f>
        <v>1551603778597699</v>
      </c>
      <c r="C1965" t="s">
        <v>40</v>
      </c>
      <c r="D1965">
        <v>4.959867</v>
      </c>
      <c r="E1965">
        <v>0.50446340000000001</v>
      </c>
      <c r="F1965" t="s">
        <v>62</v>
      </c>
      <c r="G1965">
        <v>-254.04759999999999</v>
      </c>
      <c r="H1965" s="1">
        <v>6.1713729999999998E-7</v>
      </c>
      <c r="I1965">
        <v>285.67959999999999</v>
      </c>
      <c r="J1965">
        <v>-225.62739999999999</v>
      </c>
      <c r="K1965">
        <v>1.1218649999999999</v>
      </c>
      <c r="L1965">
        <v>284.14170000000001</v>
      </c>
      <c r="M1965">
        <v>-0.99937869999999995</v>
      </c>
      <c r="N1965">
        <v>-1.4052439999999999E-2</v>
      </c>
      <c r="O1965">
        <v>-3.2325479999999997E-2</v>
      </c>
      <c r="P1965">
        <v>-0.98890750000000005</v>
      </c>
      <c r="Q1965">
        <v>0.13894049999999999</v>
      </c>
      <c r="R1965">
        <v>5.2514829999999998E-2</v>
      </c>
      <c r="S1965">
        <v>-3.0419010000000002</v>
      </c>
      <c r="T1965">
        <v>-0.11943529999999999</v>
      </c>
      <c r="U1965">
        <v>0.1631775</v>
      </c>
      <c r="V1965">
        <v>8.4376060000000003E-2</v>
      </c>
      <c r="W1965">
        <v>0.152837</v>
      </c>
      <c r="X1965">
        <v>0.98464289999999999</v>
      </c>
      <c r="Y1965">
        <v>8.5720729999999995E-2</v>
      </c>
      <c r="Z1965">
        <v>3.098178E-3</v>
      </c>
      <c r="AA1965">
        <v>0.99631440000000004</v>
      </c>
      <c r="AB1965">
        <v>27</v>
      </c>
      <c r="AC1965">
        <v>-28.420199999999902</v>
      </c>
      <c r="AD1965">
        <v>-1.1218643828627</v>
      </c>
      <c r="AE1965">
        <v>1.5378999999999701</v>
      </c>
      <c r="AF1965">
        <v>2.4520736721249601</v>
      </c>
      <c r="AG1965">
        <v>-1.1218643828627</v>
      </c>
      <c r="AH1965">
        <v>28.311639547438201</v>
      </c>
      <c r="AI1965">
        <v>92.260735219075798</v>
      </c>
      <c r="AJ1965">
        <v>85.049959929553793</v>
      </c>
      <c r="AK1965">
        <v>28.439764043520601</v>
      </c>
      <c r="AL1965">
        <v>81.208629651953402</v>
      </c>
      <c r="AM1965">
        <v>85.102172767237207</v>
      </c>
      <c r="AN1965">
        <v>1.0000000542952601</v>
      </c>
    </row>
    <row r="1966" spans="1:40" x14ac:dyDescent="0.25">
      <c r="A1966" t="str">
        <f>"20190303170258626"</f>
        <v>20190303170258626</v>
      </c>
      <c r="B1966" t="str">
        <f>"1551603778617219"</f>
        <v>1551603778617219</v>
      </c>
      <c r="C1966" t="s">
        <v>40</v>
      </c>
      <c r="D1966">
        <v>4.4187260000000004</v>
      </c>
      <c r="E1966">
        <v>0.50470530000000002</v>
      </c>
      <c r="F1966" t="s">
        <v>62</v>
      </c>
      <c r="G1966">
        <v>-254.0437</v>
      </c>
      <c r="H1966" s="1">
        <v>6.1507519999999903E-7</v>
      </c>
      <c r="I1966">
        <v>285.68009999999998</v>
      </c>
      <c r="J1966">
        <v>-225.85249999999999</v>
      </c>
      <c r="K1966">
        <v>1.121826</v>
      </c>
      <c r="L1966">
        <v>284.13420000000002</v>
      </c>
      <c r="M1966">
        <v>-0.9993725</v>
      </c>
      <c r="N1966">
        <v>-1.404943E-2</v>
      </c>
      <c r="O1966">
        <v>-3.2517690000000002E-2</v>
      </c>
      <c r="P1966">
        <v>-0.98885730000000005</v>
      </c>
      <c r="Q1966">
        <v>0.13911479999999901</v>
      </c>
      <c r="R1966">
        <v>5.2994529999999998E-2</v>
      </c>
      <c r="S1966">
        <v>-3.041779</v>
      </c>
      <c r="T1966">
        <v>-0.1200883</v>
      </c>
      <c r="U1966">
        <v>0.16467290000000001</v>
      </c>
      <c r="V1966">
        <v>8.5059469999999998E-2</v>
      </c>
      <c r="W1966">
        <v>0.15299869999999999</v>
      </c>
      <c r="X1966">
        <v>0.98455890000000001</v>
      </c>
      <c r="Y1966">
        <v>8.6401060000000002E-2</v>
      </c>
      <c r="Z1966">
        <v>3.1374409999999999E-3</v>
      </c>
      <c r="AA1966">
        <v>0.99625549999999996</v>
      </c>
      <c r="AB1966">
        <v>27</v>
      </c>
      <c r="AC1966">
        <v>-28.191199999999998</v>
      </c>
      <c r="AD1966">
        <v>-1.1218253849248001</v>
      </c>
      <c r="AE1966">
        <v>1.5458999999999601</v>
      </c>
      <c r="AF1966">
        <v>2.4580047821759199</v>
      </c>
      <c r="AG1966">
        <v>-1.1218253849248001</v>
      </c>
      <c r="AH1966">
        <v>28.081679801013198</v>
      </c>
      <c r="AI1966">
        <v>92.2789686088704</v>
      </c>
      <c r="AJ1966">
        <v>84.997618514391206</v>
      </c>
      <c r="AK1966">
        <v>28.211363316048601</v>
      </c>
      <c r="AL1966">
        <v>81.199253931260401</v>
      </c>
      <c r="AM1966">
        <v>85.062278618101203</v>
      </c>
      <c r="AN1966">
        <v>0.99999997160378995</v>
      </c>
    </row>
    <row r="1967" spans="1:40" x14ac:dyDescent="0.25">
      <c r="A1967" t="str">
        <f>"20190303170258639"</f>
        <v>20190303170258639</v>
      </c>
      <c r="B1967" t="str">
        <f>"1551603778627955"</f>
        <v>1551603778627955</v>
      </c>
      <c r="C1967" t="s">
        <v>40</v>
      </c>
      <c r="D1967">
        <v>4.9056850000000001</v>
      </c>
      <c r="E1967">
        <v>0.50463100000000005</v>
      </c>
      <c r="F1967" t="s">
        <v>62</v>
      </c>
      <c r="G1967">
        <v>-254.4323</v>
      </c>
      <c r="H1967" s="1">
        <v>8.2184930000000002E-7</v>
      </c>
      <c r="I1967">
        <v>285.71159999999998</v>
      </c>
      <c r="J1967">
        <v>-226.00720000000001</v>
      </c>
      <c r="K1967">
        <v>1.1217999999999999</v>
      </c>
      <c r="L1967">
        <v>284.12900000000002</v>
      </c>
      <c r="M1967">
        <v>-0.99936899999999995</v>
      </c>
      <c r="N1967">
        <v>-1.404737E-2</v>
      </c>
      <c r="O1967">
        <v>-3.262528E-2</v>
      </c>
      <c r="P1967">
        <v>-0.98883580000000004</v>
      </c>
      <c r="Q1967">
        <v>0.1392148</v>
      </c>
      <c r="R1967">
        <v>5.3135439999999999E-2</v>
      </c>
      <c r="S1967">
        <v>-3.041595</v>
      </c>
      <c r="T1967">
        <v>-0.1193898</v>
      </c>
      <c r="U1967">
        <v>0.1678772</v>
      </c>
      <c r="V1967">
        <v>8.5316710000000004E-2</v>
      </c>
      <c r="W1967">
        <v>0.15309059999999999</v>
      </c>
      <c r="X1967">
        <v>0.98452240000000002</v>
      </c>
      <c r="Y1967">
        <v>8.7557759999999998E-2</v>
      </c>
      <c r="Z1967">
        <v>3.153707E-3</v>
      </c>
      <c r="AA1967">
        <v>0.9961544</v>
      </c>
      <c r="AB1967">
        <v>27</v>
      </c>
      <c r="AC1967">
        <v>-28.425099999999901</v>
      </c>
      <c r="AD1967">
        <v>-1.1217991781507</v>
      </c>
      <c r="AE1967">
        <v>1.58259999999995</v>
      </c>
      <c r="AF1967">
        <v>2.5053356533244102</v>
      </c>
      <c r="AG1967">
        <v>-1.1217991781507</v>
      </c>
      <c r="AH1967">
        <v>28.3143640042424</v>
      </c>
      <c r="AI1967">
        <v>92.260019295951594</v>
      </c>
      <c r="AJ1967">
        <v>84.943474843334499</v>
      </c>
      <c r="AK1967">
        <v>28.4471149520765</v>
      </c>
      <c r="AL1967">
        <v>81.193926058658306</v>
      </c>
      <c r="AM1967">
        <v>85.047237240458799</v>
      </c>
      <c r="AN1967">
        <v>1.00000001445767</v>
      </c>
    </row>
    <row r="1968" spans="1:40" x14ac:dyDescent="0.25">
      <c r="A1968" t="str">
        <f>"20190303170258652"</f>
        <v>20190303170258652</v>
      </c>
      <c r="B1968" t="str">
        <f>"1551603778637715"</f>
        <v>1551603778637715</v>
      </c>
      <c r="C1968" t="s">
        <v>40</v>
      </c>
      <c r="D1968">
        <v>4.7863639999999998</v>
      </c>
      <c r="E1968">
        <v>0.50463100000000005</v>
      </c>
      <c r="F1968" t="s">
        <v>62</v>
      </c>
      <c r="G1968">
        <v>-254.73</v>
      </c>
      <c r="H1968" s="1">
        <v>9.8026190000000003E-7</v>
      </c>
      <c r="I1968">
        <v>285.71339999999998</v>
      </c>
      <c r="J1968">
        <v>-226.1705</v>
      </c>
      <c r="K1968">
        <v>1.121769</v>
      </c>
      <c r="L1968">
        <v>284.12349999999998</v>
      </c>
      <c r="M1968">
        <v>-0.99936610000000003</v>
      </c>
      <c r="N1968">
        <v>-1.4045220000000001E-2</v>
      </c>
      <c r="O1968">
        <v>-3.2713279999999997E-2</v>
      </c>
      <c r="P1968">
        <v>-0.98882199999999998</v>
      </c>
      <c r="Q1968">
        <v>0.1392361</v>
      </c>
      <c r="R1968">
        <v>5.3331780000000002E-2</v>
      </c>
      <c r="S1968">
        <v>-3.041595</v>
      </c>
      <c r="T1968">
        <v>-0.1187928</v>
      </c>
      <c r="U1968">
        <v>0.16778560000000001</v>
      </c>
      <c r="V1968">
        <v>8.5611099999999996E-2</v>
      </c>
      <c r="W1968">
        <v>0.1531023</v>
      </c>
      <c r="X1968">
        <v>0.98449500000000001</v>
      </c>
      <c r="Y1968">
        <v>8.7616470000000002E-2</v>
      </c>
      <c r="Z1968">
        <v>3.1424679999999998E-3</v>
      </c>
      <c r="AA1968">
        <v>0.99614930000000002</v>
      </c>
      <c r="AB1968">
        <v>27</v>
      </c>
      <c r="AC1968">
        <v>-28.5594999999999</v>
      </c>
      <c r="AD1968">
        <v>-1.1217680197380999</v>
      </c>
      <c r="AE1968">
        <v>1.5899000000000001</v>
      </c>
      <c r="AF1968">
        <v>2.51954085745558</v>
      </c>
      <c r="AG1968">
        <v>-1.1217680197380999</v>
      </c>
      <c r="AH1968">
        <v>28.4484411421072</v>
      </c>
      <c r="AI1968">
        <v>92.2493001619994</v>
      </c>
      <c r="AJ1968">
        <v>84.938795326520903</v>
      </c>
      <c r="AK1968">
        <v>28.581816825360001</v>
      </c>
      <c r="AL1968">
        <v>81.193247482772605</v>
      </c>
      <c r="AM1968">
        <v>85.030095279831002</v>
      </c>
      <c r="AN1968">
        <v>0.99999998986674998</v>
      </c>
    </row>
    <row r="1969" spans="1:40" x14ac:dyDescent="0.25">
      <c r="A1969" t="str">
        <f>"20190303170258672"</f>
        <v>20190303170258672</v>
      </c>
      <c r="B1969" t="str">
        <f>"1551603778657236"</f>
        <v>1551603778657236</v>
      </c>
      <c r="C1969" t="s">
        <v>40</v>
      </c>
      <c r="D1969">
        <v>4.7945989999999998</v>
      </c>
      <c r="E1969">
        <v>0.48531679999999999</v>
      </c>
      <c r="F1969" t="s">
        <v>62</v>
      </c>
      <c r="G1969">
        <v>-254.9068</v>
      </c>
      <c r="H1969" s="1">
        <v>1.0743870000000001E-6</v>
      </c>
      <c r="I1969">
        <v>285.71159999999998</v>
      </c>
      <c r="J1969">
        <v>-226.40719999999999</v>
      </c>
      <c r="K1969">
        <v>1.121721</v>
      </c>
      <c r="L1969">
        <v>284.1157</v>
      </c>
      <c r="M1969">
        <v>-0.99936349999999996</v>
      </c>
      <c r="N1969">
        <v>-1.4042270000000001E-2</v>
      </c>
      <c r="O1969">
        <v>-3.279485E-2</v>
      </c>
      <c r="P1969">
        <v>-0.98883909999999997</v>
      </c>
      <c r="Q1969">
        <v>0.139010299999999</v>
      </c>
      <c r="R1969">
        <v>5.3603970000000001E-2</v>
      </c>
      <c r="S1969">
        <v>-3.0415649999999999</v>
      </c>
      <c r="T1969">
        <v>-0.118732199999999</v>
      </c>
      <c r="U1969">
        <v>0.16809079999999901</v>
      </c>
      <c r="V1969">
        <v>8.5980829999999994E-2</v>
      </c>
      <c r="W1969">
        <v>0.1528649</v>
      </c>
      <c r="X1969">
        <v>0.98449969999999998</v>
      </c>
      <c r="Y1969">
        <v>8.7797860000000005E-2</v>
      </c>
      <c r="Z1969">
        <v>3.1477879999999999E-3</v>
      </c>
      <c r="AA1969">
        <v>0.9961333</v>
      </c>
      <c r="AB1969">
        <v>27</v>
      </c>
      <c r="AC1969">
        <v>-28.499600000000001</v>
      </c>
      <c r="AD1969">
        <v>-1.1217199256129999</v>
      </c>
      <c r="AE1969">
        <v>1.5958999999999699</v>
      </c>
      <c r="AF1969">
        <v>2.5258729235168502</v>
      </c>
      <c r="AG1969">
        <v>-1.1217199256129999</v>
      </c>
      <c r="AH1969">
        <v>28.388084985665799</v>
      </c>
      <c r="AI1969">
        <v>92.253899373188801</v>
      </c>
      <c r="AJ1969">
        <v>84.915410822092795</v>
      </c>
      <c r="AK1969">
        <v>28.522301077764698</v>
      </c>
      <c r="AL1969">
        <v>81.207011788664801</v>
      </c>
      <c r="AM1969">
        <v>85.008763575525506</v>
      </c>
      <c r="AN1969">
        <v>1.00000002003979</v>
      </c>
    </row>
    <row r="1970" spans="1:40" x14ac:dyDescent="0.25">
      <c r="A1970" t="str">
        <f>"20190303170258693"</f>
        <v>20190303170258693</v>
      </c>
      <c r="B1970" t="str">
        <f>"1551603778687491"</f>
        <v>1551603778687491</v>
      </c>
      <c r="C1970" t="s">
        <v>40</v>
      </c>
      <c r="D1970">
        <v>4.7887919999999999</v>
      </c>
      <c r="E1970">
        <v>0.48414499999999999</v>
      </c>
      <c r="F1970" t="s">
        <v>62</v>
      </c>
      <c r="G1970">
        <v>-259.31790000000001</v>
      </c>
      <c r="H1970" s="1">
        <v>3.4217519999999999E-6</v>
      </c>
      <c r="I1970">
        <v>284.28039999999999</v>
      </c>
      <c r="J1970">
        <v>-226.66130000000001</v>
      </c>
      <c r="K1970">
        <v>1.1216809999999999</v>
      </c>
      <c r="L1970">
        <v>284.10730000000001</v>
      </c>
      <c r="M1970">
        <v>-0.99936210000000003</v>
      </c>
      <c r="N1970">
        <v>-1.403912E-2</v>
      </c>
      <c r="O1970">
        <v>-3.2837850000000002E-2</v>
      </c>
      <c r="P1970">
        <v>-0.9888692</v>
      </c>
      <c r="Q1970">
        <v>0.1384995</v>
      </c>
      <c r="R1970">
        <v>5.4366560000000001E-2</v>
      </c>
      <c r="S1970">
        <v>-3.0476230000000002</v>
      </c>
      <c r="T1970">
        <v>-0.10387399999999999</v>
      </c>
      <c r="U1970">
        <v>1.525879E-2</v>
      </c>
      <c r="V1970">
        <v>8.6802199999999996E-2</v>
      </c>
      <c r="W1970">
        <v>0.15234220000000001</v>
      </c>
      <c r="X1970">
        <v>0.98450859999999996</v>
      </c>
      <c r="Y1970">
        <v>3.7807100000000003E-2</v>
      </c>
      <c r="Z1970">
        <v>1.5673869999999999E-3</v>
      </c>
      <c r="AA1970">
        <v>0.9992839</v>
      </c>
      <c r="AB1970">
        <v>27</v>
      </c>
      <c r="AC1970">
        <v>-32.656599999999997</v>
      </c>
      <c r="AD1970">
        <v>-1.121677578248</v>
      </c>
      <c r="AE1970">
        <v>0.173099999999976</v>
      </c>
      <c r="AF1970">
        <v>1.24401723874683</v>
      </c>
      <c r="AG1970">
        <v>-1.121677578248</v>
      </c>
      <c r="AH1970">
        <v>32.594846724123201</v>
      </c>
      <c r="AI1970">
        <v>91.969493501158198</v>
      </c>
      <c r="AJ1970">
        <v>87.814306054333002</v>
      </c>
      <c r="AK1970">
        <v>32.637857963550999</v>
      </c>
      <c r="AL1970">
        <v>81.237314829699599</v>
      </c>
      <c r="AM1970">
        <v>84.961372193718006</v>
      </c>
      <c r="AN1970">
        <v>0.99999997564981902</v>
      </c>
    </row>
    <row r="1971" spans="1:40" x14ac:dyDescent="0.25">
      <c r="A1971" t="str">
        <f>"20190303170258716"</f>
        <v>20190303170258716</v>
      </c>
      <c r="B1971" t="str">
        <f>"1551603778707987"</f>
        <v>1551603778707987</v>
      </c>
      <c r="C1971" t="s">
        <v>40</v>
      </c>
      <c r="D1971">
        <v>4.7264819999999999</v>
      </c>
      <c r="E1971">
        <v>0.48426799999999998</v>
      </c>
      <c r="F1971" t="s">
        <v>62</v>
      </c>
      <c r="G1971">
        <v>-261.10730000000001</v>
      </c>
      <c r="H1971" s="1">
        <v>-9.4754150000000001E-7</v>
      </c>
      <c r="I1971">
        <v>284.20069999999998</v>
      </c>
      <c r="J1971">
        <v>-226.93790000000001</v>
      </c>
      <c r="K1971">
        <v>1.1216429999999999</v>
      </c>
      <c r="L1971">
        <v>284.09809999999999</v>
      </c>
      <c r="M1971">
        <v>-0.99936199999999997</v>
      </c>
      <c r="N1971">
        <v>-1.403573E-2</v>
      </c>
      <c r="O1971">
        <v>-3.284546E-2</v>
      </c>
      <c r="P1971">
        <v>-0.98873160000000004</v>
      </c>
      <c r="Q1971">
        <v>0.139152</v>
      </c>
      <c r="R1971">
        <v>5.5199419999999999E-2</v>
      </c>
      <c r="S1971">
        <v>-3.0472109999999999</v>
      </c>
      <c r="T1971">
        <v>-9.9227670000000004E-2</v>
      </c>
      <c r="U1971">
        <v>8.2702639999999994E-3</v>
      </c>
      <c r="V1971">
        <v>8.7650599999999995E-2</v>
      </c>
      <c r="W1971">
        <v>0.1529817</v>
      </c>
      <c r="X1971">
        <v>0.9843343</v>
      </c>
      <c r="Y1971">
        <v>3.5528549999999999E-2</v>
      </c>
      <c r="Z1971">
        <v>1.4358769999999999E-3</v>
      </c>
      <c r="AA1971">
        <v>0.99936769999999997</v>
      </c>
      <c r="AB1971">
        <v>27</v>
      </c>
      <c r="AC1971">
        <v>-34.169400000000003</v>
      </c>
      <c r="AD1971">
        <v>-1.1216439475415001</v>
      </c>
      <c r="AE1971">
        <v>0.102599999999995</v>
      </c>
      <c r="AF1971">
        <v>1.2236462037240201</v>
      </c>
      <c r="AG1971">
        <v>-1.1216439475415001</v>
      </c>
      <c r="AH1971">
        <v>34.110834112573201</v>
      </c>
      <c r="AI1971">
        <v>91.882130801655805</v>
      </c>
      <c r="AJ1971">
        <v>87.945529196516702</v>
      </c>
      <c r="AK1971">
        <v>34.1511990863048</v>
      </c>
      <c r="AL1971">
        <v>81.200240002457207</v>
      </c>
      <c r="AM1971">
        <v>84.911485980393607</v>
      </c>
      <c r="AN1971">
        <v>1.00000002118586</v>
      </c>
    </row>
    <row r="1972" spans="1:40" x14ac:dyDescent="0.25">
      <c r="A1972" t="str">
        <f>"20190303170258728"</f>
        <v>20190303170258728</v>
      </c>
      <c r="B1972" t="str">
        <f>"1551603778717748"</f>
        <v>1551603778717748</v>
      </c>
      <c r="C1972" t="s">
        <v>40</v>
      </c>
      <c r="D1972">
        <v>4.6680809999999999</v>
      </c>
      <c r="E1972">
        <v>0.48410880000000001</v>
      </c>
      <c r="F1972" t="s">
        <v>62</v>
      </c>
      <c r="G1972">
        <v>-261.75400000000002</v>
      </c>
      <c r="H1972" s="1">
        <v>-6.0339569999999998E-7</v>
      </c>
      <c r="I1972">
        <v>284.22089999999997</v>
      </c>
      <c r="J1972">
        <v>-227.0976</v>
      </c>
      <c r="K1972">
        <v>1.121631</v>
      </c>
      <c r="L1972">
        <v>284.09289999999999</v>
      </c>
      <c r="M1972">
        <v>-0.99936239999999998</v>
      </c>
      <c r="N1972">
        <v>-1.4033739999999999E-2</v>
      </c>
      <c r="O1972">
        <v>-3.2832449999999999E-2</v>
      </c>
      <c r="P1972">
        <v>-0.98873469999999997</v>
      </c>
      <c r="Q1972">
        <v>0.1389504</v>
      </c>
      <c r="R1972">
        <v>5.5646639999999997E-2</v>
      </c>
      <c r="S1972">
        <v>-3.047409</v>
      </c>
      <c r="T1972">
        <v>-9.8176120000000006E-2</v>
      </c>
      <c r="U1972">
        <v>1.074219E-2</v>
      </c>
      <c r="V1972">
        <v>8.8090080000000001E-2</v>
      </c>
      <c r="W1972">
        <v>0.1527753</v>
      </c>
      <c r="X1972">
        <v>0.98432710000000001</v>
      </c>
      <c r="Y1972">
        <v>3.6326110000000002E-2</v>
      </c>
      <c r="Z1972">
        <v>1.436559E-3</v>
      </c>
      <c r="AA1972">
        <v>0.99933899999999998</v>
      </c>
      <c r="AB1972">
        <v>27</v>
      </c>
      <c r="AC1972">
        <v>-34.656399999999998</v>
      </c>
      <c r="AD1972">
        <v>-1.1216316033956999</v>
      </c>
      <c r="AE1972">
        <v>0.12799999999998499</v>
      </c>
      <c r="AF1972">
        <v>1.26457293311941</v>
      </c>
      <c r="AG1972">
        <v>-1.1216316033956999</v>
      </c>
      <c r="AH1972">
        <v>34.5972706010322</v>
      </c>
      <c r="AI1972">
        <v>91.855620823228506</v>
      </c>
      <c r="AJ1972">
        <v>87.906700435536195</v>
      </c>
      <c r="AK1972">
        <v>34.638538294765802</v>
      </c>
      <c r="AL1972">
        <v>81.2122063046085</v>
      </c>
      <c r="AM1972">
        <v>84.886069919918199</v>
      </c>
      <c r="AN1972">
        <v>0.99999999713945298</v>
      </c>
    </row>
    <row r="1973" spans="1:40" x14ac:dyDescent="0.25">
      <c r="A1973" t="str">
        <f>"20190303170258748"</f>
        <v>20190303170258748</v>
      </c>
      <c r="B1973" t="str">
        <f>"1551603778737267"</f>
        <v>1551603778737267</v>
      </c>
      <c r="C1973" t="s">
        <v>40</v>
      </c>
      <c r="D1973">
        <v>4.7298980000000004</v>
      </c>
      <c r="E1973">
        <v>0.48414239999999997</v>
      </c>
      <c r="F1973" t="s">
        <v>62</v>
      </c>
      <c r="G1973">
        <v>-261.82709999999997</v>
      </c>
      <c r="H1973" s="1">
        <v>-5.6446849999999898E-7</v>
      </c>
      <c r="I1973">
        <v>284.21039999999999</v>
      </c>
      <c r="J1973">
        <v>-227.3227</v>
      </c>
      <c r="K1973">
        <v>1.1216189999999999</v>
      </c>
      <c r="L1973">
        <v>284.08550000000002</v>
      </c>
      <c r="M1973">
        <v>-0.99936349999999996</v>
      </c>
      <c r="N1973">
        <v>-1.403098E-2</v>
      </c>
      <c r="O1973">
        <v>-3.2803939999999997E-2</v>
      </c>
      <c r="P1973">
        <v>-0.98866900000000002</v>
      </c>
      <c r="Q1973">
        <v>0.13884969999999999</v>
      </c>
      <c r="R1973">
        <v>5.7049849999999999E-2</v>
      </c>
      <c r="S1973">
        <v>-3.0474239999999999</v>
      </c>
      <c r="T1973">
        <v>-9.8420140000000003E-2</v>
      </c>
      <c r="U1973">
        <v>1.031494E-2</v>
      </c>
      <c r="V1973">
        <v>8.9467519999999995E-2</v>
      </c>
      <c r="W1973">
        <v>0.15266689999999999</v>
      </c>
      <c r="X1973">
        <v>0.98421970000000003</v>
      </c>
      <c r="Y1973">
        <v>3.6157429999999997E-2</v>
      </c>
      <c r="Z1973">
        <v>1.4362439999999999E-3</v>
      </c>
      <c r="AA1973">
        <v>0.99934509999999999</v>
      </c>
      <c r="AB1973">
        <v>27</v>
      </c>
      <c r="AC1973">
        <v>-34.504399999999897</v>
      </c>
      <c r="AD1973">
        <v>-1.1216195644685001</v>
      </c>
      <c r="AE1973">
        <v>0.12489999999996799</v>
      </c>
      <c r="AF1973">
        <v>1.25549761738237</v>
      </c>
      <c r="AG1973">
        <v>-1.1216195644685001</v>
      </c>
      <c r="AH1973">
        <v>34.4453315637911</v>
      </c>
      <c r="AI1973">
        <v>91.863787193375998</v>
      </c>
      <c r="AJ1973">
        <v>87.912550671347205</v>
      </c>
      <c r="AK1973">
        <v>34.486449096045703</v>
      </c>
      <c r="AL1973">
        <v>81.218491080178396</v>
      </c>
      <c r="AM1973">
        <v>84.805975148319405</v>
      </c>
      <c r="AN1973">
        <v>1.0000000186793201</v>
      </c>
    </row>
    <row r="1974" spans="1:40" x14ac:dyDescent="0.25">
      <c r="A1974" t="str">
        <f>"20190303170258761"</f>
        <v>20190303170258761</v>
      </c>
      <c r="B1974" t="str">
        <f>"1551603778748003"</f>
        <v>1551603778748003</v>
      </c>
      <c r="C1974" t="s">
        <v>40</v>
      </c>
      <c r="D1974">
        <v>4.7263449999999896</v>
      </c>
      <c r="E1974">
        <v>0.48417460000000001</v>
      </c>
      <c r="F1974" t="s">
        <v>62</v>
      </c>
      <c r="G1974">
        <v>-261.74970000000002</v>
      </c>
      <c r="H1974" s="1">
        <v>-6.0571169999999996E-7</v>
      </c>
      <c r="I1974">
        <v>284.24169999999998</v>
      </c>
      <c r="J1974">
        <v>-227.48830000000001</v>
      </c>
      <c r="K1974">
        <v>1.1216120000000001</v>
      </c>
      <c r="L1974">
        <v>284.08010000000002</v>
      </c>
      <c r="M1974">
        <v>-0.99936429999999998</v>
      </c>
      <c r="N1974">
        <v>-1.4029E-2</v>
      </c>
      <c r="O1974">
        <v>-3.2774699999999997E-2</v>
      </c>
      <c r="P1974">
        <v>-0.98863540000000005</v>
      </c>
      <c r="Q1974">
        <v>0.13896610000000001</v>
      </c>
      <c r="R1974">
        <v>5.734413E-2</v>
      </c>
      <c r="S1974">
        <v>-3.0475310000000002</v>
      </c>
      <c r="T1974">
        <v>-9.9287630000000002E-2</v>
      </c>
      <c r="U1974">
        <v>1.382446E-2</v>
      </c>
      <c r="V1974">
        <v>8.9734610000000006E-2</v>
      </c>
      <c r="W1974">
        <v>0.15277859999999999</v>
      </c>
      <c r="X1974">
        <v>0.984178</v>
      </c>
      <c r="Y1974">
        <v>3.7277459999999998E-2</v>
      </c>
      <c r="Z1974">
        <v>1.4762530000000001E-3</v>
      </c>
      <c r="AA1974">
        <v>0.99930390000000002</v>
      </c>
      <c r="AB1974">
        <v>27</v>
      </c>
      <c r="AC1974">
        <v>-34.261400000000002</v>
      </c>
      <c r="AD1974">
        <v>-1.1216126057117</v>
      </c>
      <c r="AE1974">
        <v>0.16159999999996399</v>
      </c>
      <c r="AF1974">
        <v>1.2831556564193201</v>
      </c>
      <c r="AG1974">
        <v>-1.1216126057117</v>
      </c>
      <c r="AH1974">
        <v>34.2010404112267</v>
      </c>
      <c r="AI1974">
        <v>91.877004665176997</v>
      </c>
      <c r="AJ1974">
        <v>87.851382986460706</v>
      </c>
      <c r="AK1974">
        <v>34.243476290912099</v>
      </c>
      <c r="AL1974">
        <v>81.212014726807695</v>
      </c>
      <c r="AM1974">
        <v>84.790334951584697</v>
      </c>
      <c r="AN1974">
        <v>0.99999996826690496</v>
      </c>
    </row>
    <row r="1975" spans="1:40" x14ac:dyDescent="0.25">
      <c r="A1975" t="str">
        <f>"20190303170258775"</f>
        <v>20190303170258775</v>
      </c>
      <c r="B1975" t="str">
        <f>"1551603778767523"</f>
        <v>1551603778767523</v>
      </c>
      <c r="C1975" t="s">
        <v>40</v>
      </c>
      <c r="D1975">
        <v>4.6649479999999999</v>
      </c>
      <c r="E1975">
        <v>0.4841724</v>
      </c>
      <c r="F1975" t="s">
        <v>62</v>
      </c>
      <c r="G1975">
        <v>-262.07780000000002</v>
      </c>
      <c r="H1975" s="1">
        <v>-4.3110539999999999E-7</v>
      </c>
      <c r="I1975">
        <v>284.24700000000001</v>
      </c>
      <c r="J1975">
        <v>-227.65700000000001</v>
      </c>
      <c r="K1975">
        <v>1.1216079999999999</v>
      </c>
      <c r="L1975">
        <v>284.07459999999998</v>
      </c>
      <c r="M1975">
        <v>-0.99936559999999997</v>
      </c>
      <c r="N1975">
        <v>-1.402699E-2</v>
      </c>
      <c r="O1975">
        <v>-3.273976E-2</v>
      </c>
      <c r="P1975">
        <v>-0.98855519999999997</v>
      </c>
      <c r="Q1975">
        <v>0.13923669999999999</v>
      </c>
      <c r="R1975">
        <v>5.8070200000000002E-2</v>
      </c>
      <c r="S1975">
        <v>-3.047501</v>
      </c>
      <c r="T1975">
        <v>-9.8819489999999996E-2</v>
      </c>
      <c r="U1975">
        <v>1.4709470000000001E-2</v>
      </c>
      <c r="V1975">
        <v>9.0426110000000004E-2</v>
      </c>
      <c r="W1975">
        <v>0.15304489999999901</v>
      </c>
      <c r="X1975">
        <v>0.98407330000000004</v>
      </c>
      <c r="Y1975">
        <v>3.7532879999999998E-2</v>
      </c>
      <c r="Z1975">
        <v>1.4736969999999999E-3</v>
      </c>
      <c r="AA1975">
        <v>0.99929429999999997</v>
      </c>
      <c r="AB1975">
        <v>27</v>
      </c>
      <c r="AC1975">
        <v>-34.4208</v>
      </c>
      <c r="AD1975">
        <v>-1.1216084311054</v>
      </c>
      <c r="AE1975">
        <v>0.172400000000038</v>
      </c>
      <c r="AF1975">
        <v>1.2979688891405201</v>
      </c>
      <c r="AG1975">
        <v>-1.1216084311054</v>
      </c>
      <c r="AH1975">
        <v>34.360216263619002</v>
      </c>
      <c r="AI1975">
        <v>91.868290491912404</v>
      </c>
      <c r="AJ1975">
        <v>87.836661006067104</v>
      </c>
      <c r="AK1975">
        <v>34.403011356457903</v>
      </c>
      <c r="AL1975">
        <v>81.196575050580705</v>
      </c>
      <c r="AM1975">
        <v>84.749857019250896</v>
      </c>
      <c r="AN1975">
        <v>0.99999994127931402</v>
      </c>
    </row>
    <row r="1976" spans="1:40" x14ac:dyDescent="0.25">
      <c r="A1976" t="str">
        <f>"20190303170258793"</f>
        <v>20190303170258793</v>
      </c>
      <c r="B1976" t="str">
        <f>"1551603778787044"</f>
        <v>1551603778787044</v>
      </c>
      <c r="C1976" t="s">
        <v>40</v>
      </c>
      <c r="D1976">
        <v>4.7846789999999997</v>
      </c>
      <c r="E1976">
        <v>0.4842457</v>
      </c>
      <c r="F1976" t="s">
        <v>62</v>
      </c>
      <c r="G1976">
        <v>-262.66789999999997</v>
      </c>
      <c r="H1976" s="1">
        <v>-1.1707620000000001E-7</v>
      </c>
      <c r="I1976">
        <v>284.27159999999998</v>
      </c>
      <c r="J1976">
        <v>-227.8818</v>
      </c>
      <c r="K1976">
        <v>1.1215949999999999</v>
      </c>
      <c r="L1976">
        <v>284.06729999999999</v>
      </c>
      <c r="M1976">
        <v>-0.99936740000000002</v>
      </c>
      <c r="N1976">
        <v>-1.402432E-2</v>
      </c>
      <c r="O1976">
        <v>-3.2684640000000001E-2</v>
      </c>
      <c r="P1976">
        <v>-0.98840859999999997</v>
      </c>
      <c r="Q1976">
        <v>0.1397938</v>
      </c>
      <c r="R1976">
        <v>5.921506E-2</v>
      </c>
      <c r="S1976">
        <v>-3.047485</v>
      </c>
      <c r="T1976">
        <v>-9.7629069999999998E-2</v>
      </c>
      <c r="U1976">
        <v>1.715088E-2</v>
      </c>
      <c r="V1976">
        <v>9.1514479999999995E-2</v>
      </c>
      <c r="W1976">
        <v>0.15359429999999999</v>
      </c>
      <c r="X1976">
        <v>0.98388710000000001</v>
      </c>
      <c r="Y1976">
        <v>3.827858E-2</v>
      </c>
      <c r="Z1976">
        <v>1.4698199999999999E-3</v>
      </c>
      <c r="AA1976">
        <v>0.99926599999999999</v>
      </c>
      <c r="AB1976">
        <v>27</v>
      </c>
      <c r="AC1976">
        <v>-34.786099999999898</v>
      </c>
      <c r="AD1976">
        <v>-1.1215951170762</v>
      </c>
      <c r="AE1976">
        <v>0.20429999999998899</v>
      </c>
      <c r="AF1976">
        <v>1.3398808370868101</v>
      </c>
      <c r="AG1976">
        <v>-1.1215951170762</v>
      </c>
      <c r="AH1976">
        <v>34.724734377491899</v>
      </c>
      <c r="AI1976">
        <v>91.848613042049905</v>
      </c>
      <c r="AJ1976">
        <v>87.790294075748207</v>
      </c>
      <c r="AK1976">
        <v>34.768670291680898</v>
      </c>
      <c r="AL1976">
        <v>81.164720346765293</v>
      </c>
      <c r="AM1976">
        <v>84.686025982737604</v>
      </c>
      <c r="AN1976">
        <v>0.99999996729428398</v>
      </c>
    </row>
    <row r="1977" spans="1:40" x14ac:dyDescent="0.25">
      <c r="A1977" t="str">
        <f>"20190303170258818"</f>
        <v>20190303170258818</v>
      </c>
      <c r="B1977" t="str">
        <f>"1551603778807539"</f>
        <v>1551603778807539</v>
      </c>
      <c r="C1977" t="s">
        <v>40</v>
      </c>
      <c r="D1977">
        <v>4.7272589999999903</v>
      </c>
      <c r="E1977">
        <v>0.48423179999999999</v>
      </c>
      <c r="F1977" t="s">
        <v>62</v>
      </c>
      <c r="G1977">
        <v>-263.97910000000002</v>
      </c>
      <c r="H1977" s="1">
        <v>5.8070190000000002E-7</v>
      </c>
      <c r="I1977">
        <v>284.32139999999998</v>
      </c>
      <c r="J1977">
        <v>-228.15770000000001</v>
      </c>
      <c r="K1977">
        <v>1.1215809999999999</v>
      </c>
      <c r="L1977">
        <v>284.05829999999997</v>
      </c>
      <c r="M1977">
        <v>-0.99936990000000003</v>
      </c>
      <c r="N1977">
        <v>-1.402109E-2</v>
      </c>
      <c r="O1977">
        <v>-3.2611250000000001E-2</v>
      </c>
      <c r="P1977">
        <v>-0.98837269999999999</v>
      </c>
      <c r="Q1977">
        <v>0.1395892</v>
      </c>
      <c r="R1977">
        <v>6.0288870000000001E-2</v>
      </c>
      <c r="S1977">
        <v>-3.0472869999999999</v>
      </c>
      <c r="T1977">
        <v>-9.4683409999999996E-2</v>
      </c>
      <c r="U1977">
        <v>2.1453860000000002E-2</v>
      </c>
      <c r="V1977">
        <v>9.2517849999999999E-2</v>
      </c>
      <c r="W1977">
        <v>0.1533832</v>
      </c>
      <c r="X1977">
        <v>0.98382619999999998</v>
      </c>
      <c r="Y1977">
        <v>3.9617560000000003E-2</v>
      </c>
      <c r="Z1977">
        <v>1.44885E-3</v>
      </c>
      <c r="AA1977">
        <v>0.99921389999999999</v>
      </c>
      <c r="AB1977">
        <v>27</v>
      </c>
      <c r="AC1977">
        <v>-35.821399999999997</v>
      </c>
      <c r="AD1977">
        <v>-1.1215804192981</v>
      </c>
      <c r="AE1977">
        <v>0.26310000000000799</v>
      </c>
      <c r="AF1977">
        <v>1.4298536788103</v>
      </c>
      <c r="AG1977">
        <v>-1.1215804192981</v>
      </c>
      <c r="AH1977">
        <v>35.758708692432997</v>
      </c>
      <c r="AI1977">
        <v>91.795073258180693</v>
      </c>
      <c r="AJ1977">
        <v>87.710181294092706</v>
      </c>
      <c r="AK1977">
        <v>35.8048554183653</v>
      </c>
      <c r="AL1977">
        <v>81.176960597940806</v>
      </c>
      <c r="AM1977">
        <v>84.627771691319396</v>
      </c>
      <c r="AN1977">
        <v>0.99999997520865003</v>
      </c>
    </row>
    <row r="1978" spans="1:40" x14ac:dyDescent="0.25">
      <c r="A1978" t="str">
        <f>"20190303170258838"</f>
        <v>20190303170258838</v>
      </c>
      <c r="B1978" t="str">
        <f>"1551603778827059"</f>
        <v>1551603778827059</v>
      </c>
      <c r="C1978" t="s">
        <v>40</v>
      </c>
      <c r="D1978">
        <v>4.6649890000000003</v>
      </c>
      <c r="E1978">
        <v>0.48423729999999998</v>
      </c>
      <c r="F1978" t="s">
        <v>62</v>
      </c>
      <c r="G1978">
        <v>-264.24599999999998</v>
      </c>
      <c r="H1978" s="1">
        <v>7.2270959999999997E-7</v>
      </c>
      <c r="I1978">
        <v>284.346</v>
      </c>
      <c r="J1978">
        <v>-228.41730000000001</v>
      </c>
      <c r="K1978">
        <v>1.121577</v>
      </c>
      <c r="L1978">
        <v>284.05</v>
      </c>
      <c r="M1978">
        <v>-0.99937229999999999</v>
      </c>
      <c r="N1978">
        <v>-1.401808E-2</v>
      </c>
      <c r="O1978">
        <v>-3.2539480000000003E-2</v>
      </c>
      <c r="P1978">
        <v>-0.98833959999999998</v>
      </c>
      <c r="Q1978">
        <v>0.13973099999999999</v>
      </c>
      <c r="R1978">
        <v>6.0500230000000002E-2</v>
      </c>
      <c r="S1978">
        <v>-3.04718</v>
      </c>
      <c r="T1978">
        <v>-9.4702599999999998E-2</v>
      </c>
      <c r="U1978">
        <v>2.4291989999999999E-2</v>
      </c>
      <c r="V1978">
        <v>9.2659870000000005E-2</v>
      </c>
      <c r="W1978">
        <v>0.15351979999999901</v>
      </c>
      <c r="X1978">
        <v>0.98379150000000004</v>
      </c>
      <c r="Y1978">
        <v>4.0476030000000003E-2</v>
      </c>
      <c r="Z1978">
        <v>1.4674110000000001E-3</v>
      </c>
      <c r="AA1978">
        <v>0.99917940000000005</v>
      </c>
      <c r="AB1978">
        <v>27</v>
      </c>
      <c r="AC1978">
        <v>-35.828699999999898</v>
      </c>
      <c r="AD1978">
        <v>-1.1215762772903899</v>
      </c>
      <c r="AE1978">
        <v>0.29599999999999199</v>
      </c>
      <c r="AF1978">
        <v>1.4603739012733601</v>
      </c>
      <c r="AG1978">
        <v>-1.1215762772903899</v>
      </c>
      <c r="AH1978">
        <v>35.765045701819197</v>
      </c>
      <c r="AI1978">
        <v>91.794687549413595</v>
      </c>
      <c r="AJ1978">
        <v>87.661772733405599</v>
      </c>
      <c r="AK1978">
        <v>35.812415714811998</v>
      </c>
      <c r="AL1978">
        <v>81.169039944007807</v>
      </c>
      <c r="AM1978">
        <v>84.619384720928295</v>
      </c>
      <c r="AN1978">
        <v>0.99999994798635194</v>
      </c>
    </row>
    <row r="1979" spans="1:40" x14ac:dyDescent="0.25">
      <c r="A1979" t="str">
        <f>"20190303170258853"</f>
        <v>20190303170258853</v>
      </c>
      <c r="B1979" t="str">
        <f>"1551603778847555"</f>
        <v>1551603778847555</v>
      </c>
      <c r="C1979" t="s">
        <v>40</v>
      </c>
      <c r="D1979">
        <v>4.725295</v>
      </c>
      <c r="E1979">
        <v>0.48421570000000003</v>
      </c>
      <c r="F1979" t="s">
        <v>62</v>
      </c>
      <c r="G1979">
        <v>-264.88920000000002</v>
      </c>
      <c r="H1979" s="1">
        <v>1.0649839999999999E-6</v>
      </c>
      <c r="I1979">
        <v>284.34370000000001</v>
      </c>
      <c r="J1979">
        <v>-228.5907</v>
      </c>
      <c r="K1979">
        <v>1.121577</v>
      </c>
      <c r="L1979">
        <v>284.0444</v>
      </c>
      <c r="M1979">
        <v>-0.99937390000000004</v>
      </c>
      <c r="N1979">
        <v>-1.401609E-2</v>
      </c>
      <c r="O1979">
        <v>-3.24903E-2</v>
      </c>
      <c r="P1979">
        <v>-0.98830709999999999</v>
      </c>
      <c r="Q1979">
        <v>0.14022879999999999</v>
      </c>
      <c r="R1979">
        <v>5.987721E-2</v>
      </c>
      <c r="S1979">
        <v>-3.0471499999999998</v>
      </c>
      <c r="T1979">
        <v>-9.3705300000000005E-2</v>
      </c>
      <c r="U1979">
        <v>2.453613E-2</v>
      </c>
      <c r="V1979">
        <v>9.1988829999999994E-2</v>
      </c>
      <c r="W1979">
        <v>0.15401500000000001</v>
      </c>
      <c r="X1979">
        <v>0.98377709999999996</v>
      </c>
      <c r="Y1979">
        <v>4.0507660000000001E-2</v>
      </c>
      <c r="Z1979">
        <v>1.4500750000000001E-3</v>
      </c>
      <c r="AA1979">
        <v>0.99917820000000002</v>
      </c>
      <c r="AB1979">
        <v>27</v>
      </c>
      <c r="AC1979">
        <v>-36.298499999999997</v>
      </c>
      <c r="AD1979">
        <v>-1.1215759350159999</v>
      </c>
      <c r="AE1979">
        <v>0.299300000000016</v>
      </c>
      <c r="AF1979">
        <v>1.4771965864977199</v>
      </c>
      <c r="AG1979">
        <v>-1.1215759350159999</v>
      </c>
      <c r="AH1979">
        <v>36.235014915917503</v>
      </c>
      <c r="AI1979">
        <v>91.771429497404</v>
      </c>
      <c r="AJ1979">
        <v>87.665509754433202</v>
      </c>
      <c r="AK1979">
        <v>36.2824523466914</v>
      </c>
      <c r="AL1979">
        <v>81.140325804580996</v>
      </c>
      <c r="AM1979">
        <v>84.658047005834106</v>
      </c>
      <c r="AN1979">
        <v>0.99999997377708905</v>
      </c>
    </row>
    <row r="1980" spans="1:40" x14ac:dyDescent="0.25">
      <c r="A1980" t="str">
        <f>"20190303170258873"</f>
        <v>20190303170258873</v>
      </c>
      <c r="B1980" t="str">
        <f>"1551603778857316"</f>
        <v>1551603778857316</v>
      </c>
      <c r="C1980" t="s">
        <v>40</v>
      </c>
      <c r="D1980">
        <v>4.6681990000000004</v>
      </c>
      <c r="E1980">
        <v>0.48415259999999999</v>
      </c>
      <c r="F1980" t="s">
        <v>62</v>
      </c>
      <c r="G1980">
        <v>-265.95319999999998</v>
      </c>
      <c r="H1980" s="1">
        <v>1.6311980000000001E-6</v>
      </c>
      <c r="I1980">
        <v>284.31909999999999</v>
      </c>
      <c r="J1980">
        <v>-228.8297</v>
      </c>
      <c r="K1980">
        <v>1.121586</v>
      </c>
      <c r="L1980">
        <v>284.0367</v>
      </c>
      <c r="M1980">
        <v>-0.99937609999999999</v>
      </c>
      <c r="N1980">
        <v>-1.401315E-2</v>
      </c>
      <c r="O1980">
        <v>-3.242076E-2</v>
      </c>
      <c r="P1980">
        <v>-0.9883054</v>
      </c>
      <c r="Q1980">
        <v>0.1408546</v>
      </c>
      <c r="R1980">
        <v>5.841884E-2</v>
      </c>
      <c r="S1980">
        <v>-3.0471189999999999</v>
      </c>
      <c r="T1980">
        <v>-9.1470720000000005E-2</v>
      </c>
      <c r="U1980">
        <v>2.23999E-2</v>
      </c>
      <c r="V1980">
        <v>9.0463269999999998E-2</v>
      </c>
      <c r="W1980">
        <v>0.15463879999999999</v>
      </c>
      <c r="X1980">
        <v>0.98382069999999999</v>
      </c>
      <c r="Y1980">
        <v>3.9739770000000001E-2</v>
      </c>
      <c r="Z1980">
        <v>1.393451E-3</v>
      </c>
      <c r="AA1980">
        <v>0.99920909999999996</v>
      </c>
      <c r="AB1980">
        <v>27</v>
      </c>
      <c r="AC1980">
        <v>-37.1234999999999</v>
      </c>
      <c r="AD1980">
        <v>-1.121584368802</v>
      </c>
      <c r="AE1980">
        <v>0.28239999999999499</v>
      </c>
      <c r="AF1980">
        <v>1.4845867280984799</v>
      </c>
      <c r="AG1980">
        <v>-1.121584368802</v>
      </c>
      <c r="AH1980">
        <v>37.060997579344502</v>
      </c>
      <c r="AI1980">
        <v>91.732036310244595</v>
      </c>
      <c r="AJ1980">
        <v>87.706076305832894</v>
      </c>
      <c r="AK1980">
        <v>37.107674284786</v>
      </c>
      <c r="AL1980">
        <v>81.104151247386795</v>
      </c>
      <c r="AM1980">
        <v>84.746370570977305</v>
      </c>
      <c r="AN1980">
        <v>0.99999996571650995</v>
      </c>
    </row>
    <row r="1981" spans="1:40" x14ac:dyDescent="0.25">
      <c r="A1981" t="str">
        <f>"20190303170258896"</f>
        <v>20190303170258896</v>
      </c>
      <c r="B1981" t="str">
        <f>"1551603778887571"</f>
        <v>1551603778887571</v>
      </c>
      <c r="C1981" t="s">
        <v>40</v>
      </c>
      <c r="D1981">
        <v>4.6679190000000004</v>
      </c>
      <c r="E1981">
        <v>0.48407020000000001</v>
      </c>
      <c r="F1981" t="s">
        <v>62</v>
      </c>
      <c r="G1981">
        <v>-267.18209999999999</v>
      </c>
      <c r="H1981" s="1">
        <v>2.2851879999999998E-6</v>
      </c>
      <c r="I1981">
        <v>284.24950000000001</v>
      </c>
      <c r="J1981">
        <v>-229.10339999999999</v>
      </c>
      <c r="K1981">
        <v>1.1215930000000001</v>
      </c>
      <c r="L1981">
        <v>284.02800000000002</v>
      </c>
      <c r="M1981">
        <v>-0.99937880000000001</v>
      </c>
      <c r="N1981">
        <v>-1.400999E-2</v>
      </c>
      <c r="O1981">
        <v>-3.2339329999999999E-2</v>
      </c>
      <c r="P1981">
        <v>-0.98827810000000005</v>
      </c>
      <c r="Q1981">
        <v>0.1416152</v>
      </c>
      <c r="R1981">
        <v>5.7023280000000003E-2</v>
      </c>
      <c r="S1981">
        <v>-3.0472109999999999</v>
      </c>
      <c r="T1981">
        <v>-8.9113120000000004E-2</v>
      </c>
      <c r="U1981">
        <v>1.690674E-2</v>
      </c>
      <c r="V1981">
        <v>8.89871E-2</v>
      </c>
      <c r="W1981">
        <v>0.15539720000000001</v>
      </c>
      <c r="X1981">
        <v>0.98383589999999999</v>
      </c>
      <c r="Y1981">
        <v>3.78596E-2</v>
      </c>
      <c r="Z1981">
        <v>1.311102E-3</v>
      </c>
      <c r="AA1981">
        <v>0.99928220000000001</v>
      </c>
      <c r="AB1981">
        <v>27</v>
      </c>
      <c r="AC1981">
        <v>-38.078699999999998</v>
      </c>
      <c r="AD1981">
        <v>-1.1215907148119999</v>
      </c>
      <c r="AE1981">
        <v>0.22149999999999101</v>
      </c>
      <c r="AF1981">
        <v>1.45168518106829</v>
      </c>
      <c r="AG1981">
        <v>-1.1215907148119999</v>
      </c>
      <c r="AH1981">
        <v>38.018632337823398</v>
      </c>
      <c r="AI1981">
        <v>91.688567483692196</v>
      </c>
      <c r="AJ1981">
        <v>87.813307803801095</v>
      </c>
      <c r="AK1981">
        <v>38.062865898866299</v>
      </c>
      <c r="AL1981">
        <v>81.060167054224905</v>
      </c>
      <c r="AM1981">
        <v>84.831710048747894</v>
      </c>
      <c r="AN1981">
        <v>1.00000003593152</v>
      </c>
    </row>
    <row r="1982" spans="1:40" x14ac:dyDescent="0.25">
      <c r="A1982" t="str">
        <f>"20190303170258916"</f>
        <v>20190303170258916</v>
      </c>
      <c r="B1982" t="str">
        <f>"1551603778907900"</f>
        <v>1551603778907900</v>
      </c>
      <c r="C1982" t="s">
        <v>40</v>
      </c>
      <c r="D1982">
        <v>4.7236019999999996</v>
      </c>
      <c r="E1982">
        <v>0.48403010000000002</v>
      </c>
      <c r="F1982" t="s">
        <v>62</v>
      </c>
      <c r="G1982">
        <v>-269.08949999999999</v>
      </c>
      <c r="H1982" s="1">
        <v>3.300201E-6</v>
      </c>
      <c r="I1982">
        <v>284.18009999999998</v>
      </c>
      <c r="J1982">
        <v>-229.35339999999999</v>
      </c>
      <c r="K1982">
        <v>1.12159599999999</v>
      </c>
      <c r="L1982">
        <v>284.01990000000001</v>
      </c>
      <c r="M1982">
        <v>-0.99938119999999997</v>
      </c>
      <c r="N1982">
        <v>-1.400738E-2</v>
      </c>
      <c r="O1982">
        <v>-3.2264849999999998E-2</v>
      </c>
      <c r="P1982">
        <v>-0.98825700000000005</v>
      </c>
      <c r="Q1982">
        <v>0.1422011</v>
      </c>
      <c r="R1982">
        <v>5.5922899999999998E-2</v>
      </c>
      <c r="S1982">
        <v>-3.04718</v>
      </c>
      <c r="T1982">
        <v>-8.5471749999999999E-2</v>
      </c>
      <c r="U1982">
        <v>1.159668E-2</v>
      </c>
      <c r="V1982">
        <v>8.7812550000000003E-2</v>
      </c>
      <c r="W1982">
        <v>0.1559808</v>
      </c>
      <c r="X1982">
        <v>0.98384899999999997</v>
      </c>
      <c r="Y1982">
        <v>3.6047049999999997E-2</v>
      </c>
      <c r="Z1982">
        <v>1.2107509999999999E-3</v>
      </c>
      <c r="AA1982">
        <v>0.99934940000000005</v>
      </c>
      <c r="AB1982">
        <v>27</v>
      </c>
      <c r="AC1982">
        <v>-39.736099999999901</v>
      </c>
      <c r="AD1982">
        <v>-1.12159269979899</v>
      </c>
      <c r="AE1982">
        <v>0.160199999999974</v>
      </c>
      <c r="AF1982">
        <v>1.44117349291416</v>
      </c>
      <c r="AG1982">
        <v>-1.12159269979899</v>
      </c>
      <c r="AH1982">
        <v>39.678626353677899</v>
      </c>
      <c r="AI1982">
        <v>91.618077885921593</v>
      </c>
      <c r="AJ1982">
        <v>87.919865577583906</v>
      </c>
      <c r="AK1982">
        <v>39.720628652322503</v>
      </c>
      <c r="AL1982">
        <v>81.026315730003205</v>
      </c>
      <c r="AM1982">
        <v>84.899632198148296</v>
      </c>
      <c r="AN1982">
        <v>0.99999995435357003</v>
      </c>
    </row>
    <row r="1983" spans="1:40" x14ac:dyDescent="0.25">
      <c r="A1983" t="str">
        <f>"20190303170258929"</f>
        <v>20190303170258929</v>
      </c>
      <c r="B1983" t="str">
        <f>"1551603778917661"</f>
        <v>1551603778917661</v>
      </c>
      <c r="C1983" t="s">
        <v>40</v>
      </c>
      <c r="D1983">
        <v>4.7230679999999996</v>
      </c>
      <c r="E1983">
        <v>0.48404940000000002</v>
      </c>
      <c r="F1983" t="s">
        <v>62</v>
      </c>
      <c r="G1983">
        <v>-270.54770000000002</v>
      </c>
      <c r="H1983" s="1">
        <v>-1.223814E-6</v>
      </c>
      <c r="I1983">
        <v>284.12430000000001</v>
      </c>
      <c r="J1983">
        <v>-229.50569999999999</v>
      </c>
      <c r="K1983">
        <v>1.1215980000000001</v>
      </c>
      <c r="L1983">
        <v>284.01499999999999</v>
      </c>
      <c r="M1983">
        <v>-0.99938260000000001</v>
      </c>
      <c r="N1983">
        <v>-1.400584E-2</v>
      </c>
      <c r="O1983">
        <v>-3.2220159999999998E-2</v>
      </c>
      <c r="P1983">
        <v>-0.98822279999999996</v>
      </c>
      <c r="Q1983">
        <v>0.14266579999999901</v>
      </c>
      <c r="R1983">
        <v>5.5335639999999998E-2</v>
      </c>
      <c r="S1983">
        <v>-3.0471499999999998</v>
      </c>
      <c r="T1983">
        <v>-8.2964659999999996E-2</v>
      </c>
      <c r="U1983">
        <v>7.7209469999999997E-3</v>
      </c>
      <c r="V1983">
        <v>8.7179939999999997E-2</v>
      </c>
      <c r="W1983">
        <v>0.15644469999999999</v>
      </c>
      <c r="X1983">
        <v>0.98383160000000003</v>
      </c>
      <c r="Y1983">
        <v>3.4733420000000001E-2</v>
      </c>
      <c r="Z1983">
        <v>1.141754E-3</v>
      </c>
      <c r="AA1983">
        <v>0.99939599999999995</v>
      </c>
      <c r="AB1983">
        <v>27</v>
      </c>
      <c r="AC1983">
        <v>-41.042000000000002</v>
      </c>
      <c r="AD1983">
        <v>-1.12159922381399</v>
      </c>
      <c r="AE1983">
        <v>0.10930000000001799</v>
      </c>
      <c r="AF1983">
        <v>1.4306843819900401</v>
      </c>
      <c r="AG1983">
        <v>-1.12159922381399</v>
      </c>
      <c r="AH1983">
        <v>40.986555096860201</v>
      </c>
      <c r="AI1983">
        <v>91.566557193164698</v>
      </c>
      <c r="AJ1983">
        <v>88.000834462704901</v>
      </c>
      <c r="AK1983">
        <v>41.026851467394998</v>
      </c>
      <c r="AL1983">
        <v>80.999405830717393</v>
      </c>
      <c r="AM1983">
        <v>84.936094916114897</v>
      </c>
      <c r="AN1983">
        <v>0.99999995162752497</v>
      </c>
    </row>
    <row r="1984" spans="1:40" x14ac:dyDescent="0.25">
      <c r="A1984" t="str">
        <f>"20190303170258949"</f>
        <v>20190303170258949</v>
      </c>
      <c r="B1984" t="str">
        <f>"1551603778937181"</f>
        <v>1551603778937181</v>
      </c>
      <c r="C1984" t="s">
        <v>40</v>
      </c>
      <c r="D1984">
        <v>4.6689569999999998</v>
      </c>
      <c r="E1984">
        <v>0.48403160000000001</v>
      </c>
      <c r="F1984" t="s">
        <v>62</v>
      </c>
      <c r="G1984">
        <v>-271.52710000000002</v>
      </c>
      <c r="H1984" s="1">
        <v>-7.0156009999999998E-7</v>
      </c>
      <c r="I1984">
        <v>284.10000000000002</v>
      </c>
      <c r="J1984">
        <v>-229.7388</v>
      </c>
      <c r="K1984">
        <v>1.121594</v>
      </c>
      <c r="L1984">
        <v>284.00760000000002</v>
      </c>
      <c r="M1984">
        <v>-0.99938490000000002</v>
      </c>
      <c r="N1984">
        <v>-1.4003460000000001E-2</v>
      </c>
      <c r="O1984">
        <v>-3.215341E-2</v>
      </c>
      <c r="P1984">
        <v>-0.98819869999999999</v>
      </c>
      <c r="Q1984">
        <v>0.14319089999999901</v>
      </c>
      <c r="R1984">
        <v>5.4404380000000002E-2</v>
      </c>
      <c r="S1984">
        <v>-3.0471189999999999</v>
      </c>
      <c r="T1984">
        <v>-8.1330899999999998E-2</v>
      </c>
      <c r="U1984">
        <v>6.1645509999999999E-3</v>
      </c>
      <c r="V1984">
        <v>8.618207E-2</v>
      </c>
      <c r="W1984">
        <v>0.156968</v>
      </c>
      <c r="X1984">
        <v>0.98383620000000005</v>
      </c>
      <c r="Y1984">
        <v>3.4157399999999997E-2</v>
      </c>
      <c r="Z1984">
        <v>1.102659E-3</v>
      </c>
      <c r="AA1984">
        <v>0.99941590000000002</v>
      </c>
      <c r="AB1984">
        <v>27</v>
      </c>
      <c r="AC1984">
        <v>-41.7883</v>
      </c>
      <c r="AD1984">
        <v>-1.1215947015601</v>
      </c>
      <c r="AE1984">
        <v>9.2399999999997803E-2</v>
      </c>
      <c r="AF1984">
        <v>1.43508643557321</v>
      </c>
      <c r="AG1984">
        <v>-1.1215947015601</v>
      </c>
      <c r="AH1984">
        <v>41.733653665426203</v>
      </c>
      <c r="AI1984">
        <v>91.538548376664394</v>
      </c>
      <c r="AJ1984">
        <v>88.030558003785501</v>
      </c>
      <c r="AK1984">
        <v>41.773380232127202</v>
      </c>
      <c r="AL1984">
        <v>80.9690481891015</v>
      </c>
      <c r="AM1984">
        <v>84.993783903771998</v>
      </c>
      <c r="AN1984">
        <v>0.99999998532196199</v>
      </c>
    </row>
    <row r="1985" spans="1:40" x14ac:dyDescent="0.25">
      <c r="A1985" t="str">
        <f>"20190303170258963"</f>
        <v>20190303170258963</v>
      </c>
      <c r="B1985" t="str">
        <f>"1551603778957676"</f>
        <v>1551603778957676</v>
      </c>
      <c r="C1985" t="s">
        <v>40</v>
      </c>
      <c r="D1985">
        <v>4.727036</v>
      </c>
      <c r="E1985">
        <v>0.48401169999999999</v>
      </c>
      <c r="F1985" t="s">
        <v>62</v>
      </c>
      <c r="G1985">
        <v>-272.67259999999999</v>
      </c>
      <c r="H1985" s="1">
        <v>-8.9952809999999997E-8</v>
      </c>
      <c r="I1985">
        <v>284.0532</v>
      </c>
      <c r="J1985">
        <v>-229.90450000000001</v>
      </c>
      <c r="K1985">
        <v>1.12159599999999</v>
      </c>
      <c r="L1985">
        <v>284.00229999999999</v>
      </c>
      <c r="M1985">
        <v>-0.99938640000000001</v>
      </c>
      <c r="N1985">
        <v>-1.400175E-2</v>
      </c>
      <c r="O1985">
        <v>-3.210681E-2</v>
      </c>
      <c r="P1985">
        <v>-0.98818799999999996</v>
      </c>
      <c r="Q1985">
        <v>0.14346429999999999</v>
      </c>
      <c r="R1985">
        <v>5.3874720000000001E-2</v>
      </c>
      <c r="S1985">
        <v>-3.0471949999999999</v>
      </c>
      <c r="T1985">
        <v>-7.9604389999999997E-2</v>
      </c>
      <c r="U1985">
        <v>3.2348630000000001E-3</v>
      </c>
      <c r="V1985">
        <v>8.5605999999999904E-2</v>
      </c>
      <c r="W1985">
        <v>0.15723970000000001</v>
      </c>
      <c r="X1985">
        <v>0.98384309999999997</v>
      </c>
      <c r="Y1985">
        <v>3.315125E-2</v>
      </c>
      <c r="Z1985">
        <v>1.0540149999999999E-3</v>
      </c>
      <c r="AA1985">
        <v>0.99944980000000005</v>
      </c>
      <c r="AB1985">
        <v>27</v>
      </c>
      <c r="AC1985">
        <v>-42.768099999999897</v>
      </c>
      <c r="AD1985">
        <v>-1.1215960899528099</v>
      </c>
      <c r="AE1985">
        <v>5.0900000000012803E-2</v>
      </c>
      <c r="AF1985">
        <v>1.42317679169475</v>
      </c>
      <c r="AG1985">
        <v>-1.1215960899528099</v>
      </c>
      <c r="AH1985">
        <v>42.7150345173361</v>
      </c>
      <c r="AI1985">
        <v>91.503272696311996</v>
      </c>
      <c r="AJ1985">
        <v>88.091728783287806</v>
      </c>
      <c r="AK1985">
        <v>42.753451133056203</v>
      </c>
      <c r="AL1985">
        <v>80.953285114674799</v>
      </c>
      <c r="AM1985">
        <v>85.027113477825694</v>
      </c>
      <c r="AN1985">
        <v>0.99999997795484896</v>
      </c>
    </row>
    <row r="1986" spans="1:40" x14ac:dyDescent="0.25">
      <c r="A1986" t="str">
        <f>"20190303170258977"</f>
        <v>20190303170258977</v>
      </c>
      <c r="B1986" t="str">
        <f>"1551603778967436"</f>
        <v>1551603778967436</v>
      </c>
      <c r="C1986" t="s">
        <v>40</v>
      </c>
      <c r="D1986">
        <v>4.6708679999999996</v>
      </c>
      <c r="E1986">
        <v>0.48400169999999998</v>
      </c>
      <c r="F1986" t="s">
        <v>62</v>
      </c>
      <c r="G1986">
        <v>-273.32060000000001</v>
      </c>
      <c r="H1986" s="1">
        <v>2.560644E-7</v>
      </c>
      <c r="I1986">
        <v>284.02620000000002</v>
      </c>
      <c r="J1986">
        <v>-230.07069999999999</v>
      </c>
      <c r="K1986">
        <v>1.121594</v>
      </c>
      <c r="L1986">
        <v>283.99700000000001</v>
      </c>
      <c r="M1986">
        <v>-0.99938800000000005</v>
      </c>
      <c r="N1986">
        <v>-1.400003E-2</v>
      </c>
      <c r="O1986">
        <v>-3.2060909999999998E-2</v>
      </c>
      <c r="P1986">
        <v>-0.98820140000000001</v>
      </c>
      <c r="Q1986">
        <v>0.1435101</v>
      </c>
      <c r="R1986">
        <v>5.3506020000000001E-2</v>
      </c>
      <c r="S1986">
        <v>-3.0471949999999999</v>
      </c>
      <c r="T1986">
        <v>-7.8720090000000006E-2</v>
      </c>
      <c r="U1986">
        <v>1.6784669999999999E-3</v>
      </c>
      <c r="V1986">
        <v>8.5192359999999995E-2</v>
      </c>
      <c r="W1986">
        <v>0.15728439999999999</v>
      </c>
      <c r="X1986">
        <v>0.98387190000000002</v>
      </c>
      <c r="Y1986">
        <v>3.2595569999999997E-2</v>
      </c>
      <c r="Z1986">
        <v>1.028309E-3</v>
      </c>
      <c r="AA1986">
        <v>0.99946809999999997</v>
      </c>
      <c r="AB1986">
        <v>27</v>
      </c>
      <c r="AC1986">
        <v>-43.249899999999997</v>
      </c>
      <c r="AD1986">
        <v>-1.1215937439356001</v>
      </c>
      <c r="AE1986">
        <v>2.9200000000002901E-2</v>
      </c>
      <c r="AF1986">
        <v>1.4150002491281799</v>
      </c>
      <c r="AG1986">
        <v>-1.1215937439356001</v>
      </c>
      <c r="AH1986">
        <v>43.197674331232101</v>
      </c>
      <c r="AI1986">
        <v>91.486508906840399</v>
      </c>
      <c r="AJ1986">
        <v>88.123867421450001</v>
      </c>
      <c r="AK1986">
        <v>43.235393670679798</v>
      </c>
      <c r="AL1986">
        <v>80.950692090240494</v>
      </c>
      <c r="AM1986">
        <v>85.051166513271497</v>
      </c>
      <c r="AN1986">
        <v>1.00000001814766</v>
      </c>
    </row>
    <row r="1987" spans="1:40" x14ac:dyDescent="0.25">
      <c r="A1987" t="str">
        <f>"20190303170258996"</f>
        <v>20190303170258996</v>
      </c>
      <c r="B1987" t="str">
        <f>"1551603778987933"</f>
        <v>1551603778987933</v>
      </c>
      <c r="C1987" t="s">
        <v>40</v>
      </c>
      <c r="D1987">
        <v>4.7236019999999996</v>
      </c>
      <c r="E1987">
        <v>0.48405039999999999</v>
      </c>
      <c r="F1987" t="s">
        <v>62</v>
      </c>
      <c r="G1987">
        <v>-273.54829999999998</v>
      </c>
      <c r="H1987" s="1">
        <v>3.7827600000000002E-7</v>
      </c>
      <c r="I1987">
        <v>284.0027</v>
      </c>
      <c r="J1987">
        <v>-230.298</v>
      </c>
      <c r="K1987">
        <v>1.1215930000000001</v>
      </c>
      <c r="L1987">
        <v>283.9898</v>
      </c>
      <c r="M1987">
        <v>-0.99938990000000005</v>
      </c>
      <c r="N1987">
        <v>-1.399769E-2</v>
      </c>
      <c r="O1987">
        <v>-3.1999279999999998E-2</v>
      </c>
      <c r="P1987">
        <v>-0.98813519999999999</v>
      </c>
      <c r="Q1987">
        <v>0.14413779999999901</v>
      </c>
      <c r="R1987">
        <v>5.304056E-2</v>
      </c>
      <c r="S1987">
        <v>-3.04718</v>
      </c>
      <c r="T1987">
        <v>-7.8608269999999994E-2</v>
      </c>
      <c r="U1987">
        <v>3.9672850000000001E-4</v>
      </c>
      <c r="V1987">
        <v>8.4664260000000005E-2</v>
      </c>
      <c r="W1987">
        <v>0.1579092</v>
      </c>
      <c r="X1987">
        <v>0.98381739999999995</v>
      </c>
      <c r="Y1987">
        <v>3.2113839999999998E-2</v>
      </c>
      <c r="Z1987">
        <v>1.016264E-3</v>
      </c>
      <c r="AA1987">
        <v>0.99948369999999997</v>
      </c>
      <c r="AB1987">
        <v>27</v>
      </c>
      <c r="AC1987">
        <v>-43.250299999999903</v>
      </c>
      <c r="AD1987">
        <v>-1.121592621724</v>
      </c>
      <c r="AE1987">
        <v>1.29000000000019E-2</v>
      </c>
      <c r="AF1987">
        <v>1.39606855932748</v>
      </c>
      <c r="AG1987">
        <v>-1.121592621724</v>
      </c>
      <c r="AH1987">
        <v>43.198682905135698</v>
      </c>
      <c r="AI1987">
        <v>91.486493930841704</v>
      </c>
      <c r="AJ1987">
        <v>88.148994337794207</v>
      </c>
      <c r="AK1987">
        <v>43.2357858974474</v>
      </c>
      <c r="AL1987">
        <v>80.914440639129197</v>
      </c>
      <c r="AM1987">
        <v>85.081421836027701</v>
      </c>
      <c r="AN1987">
        <v>1.0000000144543699</v>
      </c>
    </row>
    <row r="1988" spans="1:40" x14ac:dyDescent="0.25">
      <c r="A1988" t="str">
        <f>"20190303170259009"</f>
        <v>20190303170259009</v>
      </c>
      <c r="B1988" t="str">
        <f>"1551603778997293"</f>
        <v>1551603778997293</v>
      </c>
      <c r="C1988" t="s">
        <v>40</v>
      </c>
      <c r="D1988">
        <v>4.7214780000000003</v>
      </c>
      <c r="E1988">
        <v>0.48407539999999999</v>
      </c>
      <c r="F1988" t="s">
        <v>62</v>
      </c>
      <c r="G1988">
        <v>-274.59879999999998</v>
      </c>
      <c r="H1988" s="1">
        <v>9.3833880000000001E-7</v>
      </c>
      <c r="I1988">
        <v>283.9787</v>
      </c>
      <c r="J1988">
        <v>-230.4615</v>
      </c>
      <c r="K1988">
        <v>1.12159599999999</v>
      </c>
      <c r="L1988">
        <v>283.9846</v>
      </c>
      <c r="M1988">
        <v>-0.99939140000000004</v>
      </c>
      <c r="N1988">
        <v>-1.399595E-2</v>
      </c>
      <c r="O1988">
        <v>-3.1954929999999999E-2</v>
      </c>
      <c r="P1988">
        <v>-0.98810810000000004</v>
      </c>
      <c r="Q1988">
        <v>0.14438529999999999</v>
      </c>
      <c r="R1988">
        <v>5.2870019999999997E-2</v>
      </c>
      <c r="S1988">
        <v>-3.0473020000000002</v>
      </c>
      <c r="T1988">
        <v>-7.7150460000000004E-2</v>
      </c>
      <c r="U1988">
        <v>-7.6293949999999998E-4</v>
      </c>
      <c r="V1988">
        <v>8.4448960000000003E-2</v>
      </c>
      <c r="W1988">
        <v>0.15815509999999999</v>
      </c>
      <c r="X1988">
        <v>0.98379640000000002</v>
      </c>
      <c r="Y1988">
        <v>3.1690009999999998E-2</v>
      </c>
      <c r="Z1988">
        <v>9.8442780000000001E-4</v>
      </c>
      <c r="AA1988">
        <v>0.99949719999999997</v>
      </c>
      <c r="AB1988">
        <v>27</v>
      </c>
      <c r="AC1988">
        <v>-44.137299999999897</v>
      </c>
      <c r="AD1988">
        <v>-1.1215950616611901</v>
      </c>
      <c r="AE1988">
        <v>-5.8999999999968999E-3</v>
      </c>
      <c r="AF1988">
        <v>1.4037389258314601</v>
      </c>
      <c r="AG1988">
        <v>-1.1215950616611901</v>
      </c>
      <c r="AH1988">
        <v>44.086475103581598</v>
      </c>
      <c r="AI1988">
        <v>91.456598074148303</v>
      </c>
      <c r="AJ1988">
        <v>88.176285304998402</v>
      </c>
      <c r="AK1988">
        <v>44.123074977985802</v>
      </c>
      <c r="AL1988">
        <v>80.900172266075103</v>
      </c>
      <c r="AM1988">
        <v>85.093764367700501</v>
      </c>
      <c r="AN1988">
        <v>1.0000000095770201</v>
      </c>
    </row>
    <row r="1989" spans="1:40" x14ac:dyDescent="0.25">
      <c r="A1989" t="str">
        <f>"20190303170259029"</f>
        <v>20190303170259029</v>
      </c>
      <c r="B1989" t="str">
        <f>"1551603779017789"</f>
        <v>1551603779017789</v>
      </c>
      <c r="C1989" t="s">
        <v>40</v>
      </c>
      <c r="D1989">
        <v>4.6661650000000003</v>
      </c>
      <c r="E1989">
        <v>0.48413919999999999</v>
      </c>
      <c r="F1989" t="s">
        <v>62</v>
      </c>
      <c r="G1989">
        <v>-275.29660000000001</v>
      </c>
      <c r="H1989" s="1">
        <v>1.3103279999999999E-6</v>
      </c>
      <c r="I1989">
        <v>283.964</v>
      </c>
      <c r="J1989">
        <v>-230.68790000000001</v>
      </c>
      <c r="K1989">
        <v>1.12159599999999</v>
      </c>
      <c r="L1989">
        <v>283.97739999999999</v>
      </c>
      <c r="M1989">
        <v>-0.99939339999999999</v>
      </c>
      <c r="N1989">
        <v>-1.39936E-2</v>
      </c>
      <c r="O1989">
        <v>-3.1893530000000003E-2</v>
      </c>
      <c r="P1989">
        <v>-0.988124</v>
      </c>
      <c r="Q1989">
        <v>0.14427000000000001</v>
      </c>
      <c r="R1989">
        <v>5.288988E-2</v>
      </c>
      <c r="S1989">
        <v>-3.0473180000000002</v>
      </c>
      <c r="T1989">
        <v>-7.6231720000000003E-2</v>
      </c>
      <c r="U1989">
        <v>-1.403809E-3</v>
      </c>
      <c r="V1989">
        <v>8.4408750000000005E-2</v>
      </c>
      <c r="W1989">
        <v>0.15803780000000001</v>
      </c>
      <c r="X1989">
        <v>0.98381870000000005</v>
      </c>
      <c r="Y1989">
        <v>3.1418950000000001E-2</v>
      </c>
      <c r="Z1989">
        <v>9.6409070000000004E-4</v>
      </c>
      <c r="AA1989">
        <v>0.9995058</v>
      </c>
      <c r="AB1989">
        <v>27</v>
      </c>
      <c r="AC1989">
        <v>-44.608699999999999</v>
      </c>
      <c r="AD1989">
        <v>-1.1215946896719899</v>
      </c>
      <c r="AE1989">
        <v>-1.339999999999E-2</v>
      </c>
      <c r="AF1989">
        <v>1.4085844556100799</v>
      </c>
      <c r="AG1989">
        <v>-1.1215946896719899</v>
      </c>
      <c r="AH1989">
        <v>44.5582609572159</v>
      </c>
      <c r="AI1989">
        <v>91.441192005096795</v>
      </c>
      <c r="AJ1989">
        <v>88.189357600864895</v>
      </c>
      <c r="AK1989">
        <v>44.594626406640501</v>
      </c>
      <c r="AL1989">
        <v>80.9069786540595</v>
      </c>
      <c r="AM1989">
        <v>85.096199669283493</v>
      </c>
      <c r="AN1989">
        <v>1.00000000888754</v>
      </c>
    </row>
    <row r="1990" spans="1:40" x14ac:dyDescent="0.25">
      <c r="A1990" t="str">
        <f>"20190303170259049"</f>
        <v>20190303170259049</v>
      </c>
      <c r="B1990" t="str">
        <f>"1551603779037310"</f>
        <v>1551603779037310</v>
      </c>
      <c r="C1990" t="s">
        <v>40</v>
      </c>
      <c r="D1990">
        <v>4.7257619999999996</v>
      </c>
      <c r="E1990">
        <v>0.48423369999999999</v>
      </c>
      <c r="F1990" t="s">
        <v>62</v>
      </c>
      <c r="G1990">
        <v>-275.59059999999999</v>
      </c>
      <c r="H1990" s="1">
        <v>1.467142E-6</v>
      </c>
      <c r="I1990">
        <v>283.9554</v>
      </c>
      <c r="J1990">
        <v>-230.9418</v>
      </c>
      <c r="K1990">
        <v>1.1215949999999999</v>
      </c>
      <c r="L1990">
        <v>283.96940000000001</v>
      </c>
      <c r="M1990">
        <v>-0.99939560000000005</v>
      </c>
      <c r="N1990">
        <v>-1.399098E-2</v>
      </c>
      <c r="O1990">
        <v>-3.182451E-2</v>
      </c>
      <c r="P1990">
        <v>-0.98825200000000002</v>
      </c>
      <c r="Q1990">
        <v>0.14344179999999901</v>
      </c>
      <c r="R1990">
        <v>5.2750480000000002E-2</v>
      </c>
      <c r="S1990">
        <v>-3.047256</v>
      </c>
      <c r="T1990">
        <v>-7.6115370000000002E-2</v>
      </c>
      <c r="U1990">
        <v>-1.495361E-3</v>
      </c>
      <c r="V1990">
        <v>8.4204979999999999E-2</v>
      </c>
      <c r="W1990">
        <v>0.1572095</v>
      </c>
      <c r="X1990">
        <v>0.98396890000000004</v>
      </c>
      <c r="Y1990">
        <v>3.1319979999999997E-2</v>
      </c>
      <c r="Z1990">
        <v>9.5965419999999996E-4</v>
      </c>
      <c r="AA1990">
        <v>0.99950899999999998</v>
      </c>
      <c r="AB1990">
        <v>27</v>
      </c>
      <c r="AC1990">
        <v>-44.648800000000001</v>
      </c>
      <c r="AD1990">
        <v>-1.121593532858</v>
      </c>
      <c r="AE1990">
        <v>-1.4000000000009999E-2</v>
      </c>
      <c r="AF1990">
        <v>1.4061849392356001</v>
      </c>
      <c r="AG1990">
        <v>-1.121593532858</v>
      </c>
      <c r="AH1990">
        <v>44.598482224291203</v>
      </c>
      <c r="AI1990">
        <v>91.439895061483696</v>
      </c>
      <c r="AJ1990">
        <v>88.194069046153402</v>
      </c>
      <c r="AK1990">
        <v>44.634739215623298</v>
      </c>
      <c r="AL1990">
        <v>80.955037903577406</v>
      </c>
      <c r="AM1990">
        <v>85.108723476299801</v>
      </c>
      <c r="AN1990">
        <v>1.0000000508571201</v>
      </c>
    </row>
    <row r="1991" spans="1:40" x14ac:dyDescent="0.25">
      <c r="A1991" t="str">
        <f>"20190303170259074"</f>
        <v>20190303170259074</v>
      </c>
      <c r="B1991" t="str">
        <f>"1551603779067564"</f>
        <v>1551603779067564</v>
      </c>
      <c r="C1991" t="s">
        <v>40</v>
      </c>
      <c r="D1991">
        <v>4.6681269999999904</v>
      </c>
      <c r="E1991">
        <v>0.48435899999999998</v>
      </c>
      <c r="F1991" t="s">
        <v>62</v>
      </c>
      <c r="G1991">
        <v>-274.39370000000002</v>
      </c>
      <c r="H1991" s="1">
        <v>8.3038030000000003E-7</v>
      </c>
      <c r="I1991">
        <v>283.9511</v>
      </c>
      <c r="J1991">
        <v>-231.22</v>
      </c>
      <c r="K1991">
        <v>1.1215869999999999</v>
      </c>
      <c r="L1991">
        <v>283.9606</v>
      </c>
      <c r="M1991">
        <v>-0.99939809999999996</v>
      </c>
      <c r="N1991">
        <v>-1.398811E-2</v>
      </c>
      <c r="O1991">
        <v>-3.1748209999999999E-2</v>
      </c>
      <c r="P1991">
        <v>-0.98843939999999997</v>
      </c>
      <c r="Q1991">
        <v>0.14253829999999901</v>
      </c>
      <c r="R1991">
        <v>5.1678050000000003E-2</v>
      </c>
      <c r="S1991">
        <v>-3.0471499999999998</v>
      </c>
      <c r="T1991">
        <v>-7.8653929999999997E-2</v>
      </c>
      <c r="U1991">
        <v>-1.2817379999999999E-3</v>
      </c>
      <c r="V1991">
        <v>8.306326E-2</v>
      </c>
      <c r="W1991">
        <v>0.15630669999999999</v>
      </c>
      <c r="X1991">
        <v>0.98420969999999997</v>
      </c>
      <c r="Y1991">
        <v>3.1312590000000001E-2</v>
      </c>
      <c r="Z1991">
        <v>9.982375999999999E-4</v>
      </c>
      <c r="AA1991">
        <v>0.99950919999999999</v>
      </c>
      <c r="AB1991">
        <v>27</v>
      </c>
      <c r="AC1991">
        <v>-43.173699999999997</v>
      </c>
      <c r="AD1991">
        <v>-1.1215861696197</v>
      </c>
      <c r="AE1991">
        <v>-9.5000000000027198E-3</v>
      </c>
      <c r="AF1991">
        <v>1.3604083679594501</v>
      </c>
      <c r="AG1991">
        <v>-1.1215861696197</v>
      </c>
      <c r="AH1991">
        <v>43.123130505088</v>
      </c>
      <c r="AI1991">
        <v>91.489125132771505</v>
      </c>
      <c r="AJ1991">
        <v>88.193085363096003</v>
      </c>
      <c r="AK1991">
        <v>43.159159526366402</v>
      </c>
      <c r="AL1991">
        <v>81.007411676530296</v>
      </c>
      <c r="AM1991">
        <v>85.175903126305002</v>
      </c>
      <c r="AN1991">
        <v>1.0000000116004</v>
      </c>
    </row>
    <row r="1992" spans="1:40" x14ac:dyDescent="0.25">
      <c r="A1992" t="str">
        <f>"20190303170259096"</f>
        <v>20190303170259096</v>
      </c>
      <c r="B1992" t="str">
        <f>"1551603779089036"</f>
        <v>1551603779089036</v>
      </c>
      <c r="C1992" t="s">
        <v>40</v>
      </c>
      <c r="D1992">
        <v>4.6674579999999999</v>
      </c>
      <c r="E1992">
        <v>0.48442550000000001</v>
      </c>
      <c r="F1992" t="s">
        <v>62</v>
      </c>
      <c r="G1992">
        <v>-273.3211</v>
      </c>
      <c r="H1992" s="1">
        <v>2.6129840000000001E-7</v>
      </c>
      <c r="I1992">
        <v>283.91300000000001</v>
      </c>
      <c r="J1992">
        <v>-231.49</v>
      </c>
      <c r="K1992">
        <v>1.1215790000000001</v>
      </c>
      <c r="L1992">
        <v>283.95209999999997</v>
      </c>
      <c r="M1992">
        <v>-0.99940059999999997</v>
      </c>
      <c r="N1992">
        <v>-1.398516E-2</v>
      </c>
      <c r="O1992">
        <v>-3.1674050000000002E-2</v>
      </c>
      <c r="P1992">
        <v>-0.98849759999999998</v>
      </c>
      <c r="Q1992">
        <v>0.14245079999999999</v>
      </c>
      <c r="R1992">
        <v>5.0801359999999997E-2</v>
      </c>
      <c r="S1992">
        <v>-3.0469819999999999</v>
      </c>
      <c r="T1992">
        <v>-8.1172590000000003E-2</v>
      </c>
      <c r="U1992">
        <v>-3.4484860000000002E-3</v>
      </c>
      <c r="V1992">
        <v>8.2115579999999994E-2</v>
      </c>
      <c r="W1992">
        <v>0.15621769999999999</v>
      </c>
      <c r="X1992">
        <v>0.98430340000000005</v>
      </c>
      <c r="Y1992">
        <v>3.0526870000000001E-2</v>
      </c>
      <c r="Z1992">
        <v>1.020619E-3</v>
      </c>
      <c r="AA1992">
        <v>0.99953340000000002</v>
      </c>
      <c r="AB1992">
        <v>27</v>
      </c>
      <c r="AC1992">
        <v>-41.8310999999999</v>
      </c>
      <c r="AD1992">
        <v>-1.1215787387016001</v>
      </c>
      <c r="AE1992">
        <v>-3.9099999999962103E-2</v>
      </c>
      <c r="AF1992">
        <v>1.28508547594183</v>
      </c>
      <c r="AG1992">
        <v>-1.1215787387016001</v>
      </c>
      <c r="AH1992">
        <v>41.781309744366098</v>
      </c>
      <c r="AI1992">
        <v>91.536953878956894</v>
      </c>
      <c r="AJ1992">
        <v>88.238284791687093</v>
      </c>
      <c r="AK1992">
        <v>41.816112056266597</v>
      </c>
      <c r="AL1992">
        <v>81.012574867525103</v>
      </c>
      <c r="AM1992">
        <v>85.231138476893307</v>
      </c>
      <c r="AN1992">
        <v>1.00000006076179</v>
      </c>
    </row>
    <row r="1993" spans="1:40" x14ac:dyDescent="0.25">
      <c r="A1993" t="str">
        <f>"20190303170259117"</f>
        <v>20190303170259117</v>
      </c>
      <c r="B1993" t="str">
        <f>"1551603779107581"</f>
        <v>1551603779107581</v>
      </c>
      <c r="C1993" t="s">
        <v>40</v>
      </c>
      <c r="D1993">
        <v>4.5349050000000002</v>
      </c>
      <c r="E1993">
        <v>0.48446810000000001</v>
      </c>
      <c r="F1993" t="s">
        <v>62</v>
      </c>
      <c r="G1993">
        <v>-273.5292</v>
      </c>
      <c r="H1993" s="1">
        <v>3.7354930000000001E-7</v>
      </c>
      <c r="I1993">
        <v>283.8784</v>
      </c>
      <c r="J1993">
        <v>-231.73410000000001</v>
      </c>
      <c r="K1993">
        <v>1.1215839999999999</v>
      </c>
      <c r="L1993">
        <v>283.94450000000001</v>
      </c>
      <c r="M1993">
        <v>-0.99940260000000003</v>
      </c>
      <c r="N1993">
        <v>-1.398249E-2</v>
      </c>
      <c r="O1993">
        <v>-3.1607040000000003E-2</v>
      </c>
      <c r="P1993">
        <v>-0.98862280000000002</v>
      </c>
      <c r="Q1993">
        <v>0.14188599999999901</v>
      </c>
      <c r="R1993">
        <v>4.9933669999999999E-2</v>
      </c>
      <c r="S1993">
        <v>-3.0468899999999999</v>
      </c>
      <c r="T1993">
        <v>-8.1289050000000002E-2</v>
      </c>
      <c r="U1993">
        <v>-5.3405759999999997E-3</v>
      </c>
      <c r="V1993">
        <v>8.1186010000000003E-2</v>
      </c>
      <c r="W1993">
        <v>0.1556525</v>
      </c>
      <c r="X1993">
        <v>0.98446999999999996</v>
      </c>
      <c r="Y1993">
        <v>2.9839439999999998E-2</v>
      </c>
      <c r="Z1993">
        <v>1.007665E-3</v>
      </c>
      <c r="AA1993">
        <v>0.99955419999999995</v>
      </c>
      <c r="AB1993">
        <v>26</v>
      </c>
      <c r="AC1993">
        <v>-41.795099999999898</v>
      </c>
      <c r="AD1993">
        <v>-1.1215836264507</v>
      </c>
      <c r="AE1993">
        <v>-6.6100000000005807E-2</v>
      </c>
      <c r="AF1993">
        <v>1.2541783643342099</v>
      </c>
      <c r="AG1993">
        <v>-1.1215836264507</v>
      </c>
      <c r="AH1993">
        <v>41.746240612144398</v>
      </c>
      <c r="AI1993">
        <v>91.538284451360795</v>
      </c>
      <c r="AJ1993">
        <v>88.279185904296298</v>
      </c>
      <c r="AK1993">
        <v>41.780133059239297</v>
      </c>
      <c r="AL1993">
        <v>81.045359161431904</v>
      </c>
      <c r="AM1993">
        <v>85.285672790193402</v>
      </c>
      <c r="AN1993">
        <v>1.0000000249379799</v>
      </c>
    </row>
    <row r="1994" spans="1:40" x14ac:dyDescent="0.25">
      <c r="A1994" t="str">
        <f>"20190303170259138"</f>
        <v>20190303170259138</v>
      </c>
      <c r="B1994" t="str">
        <f>"1551603779128077"</f>
        <v>1551603779128077</v>
      </c>
      <c r="C1994" t="s">
        <v>40</v>
      </c>
      <c r="D1994">
        <v>4.6278579999999998</v>
      </c>
      <c r="E1994">
        <v>0.460895</v>
      </c>
      <c r="F1994" t="s">
        <v>62</v>
      </c>
      <c r="G1994">
        <v>-273.08449999999999</v>
      </c>
      <c r="H1994" s="1">
        <v>1.389613E-7</v>
      </c>
      <c r="I1994">
        <v>283.8306</v>
      </c>
      <c r="J1994">
        <v>-231.99090000000001</v>
      </c>
      <c r="K1994">
        <v>1.1215809999999999</v>
      </c>
      <c r="L1994">
        <v>283.93639999999999</v>
      </c>
      <c r="M1994">
        <v>-0.99940479999999998</v>
      </c>
      <c r="N1994">
        <v>-1.3979790000000001E-2</v>
      </c>
      <c r="O1994">
        <v>-3.1536809999999998E-2</v>
      </c>
      <c r="P1994">
        <v>-0.98870100000000005</v>
      </c>
      <c r="Q1994">
        <v>0.14164969999999999</v>
      </c>
      <c r="R1994">
        <v>4.9045709999999999E-2</v>
      </c>
      <c r="S1994">
        <v>-3.0468139999999999</v>
      </c>
      <c r="T1994">
        <v>-8.2641599999999996E-2</v>
      </c>
      <c r="U1994">
        <v>-8.3923339999999996E-3</v>
      </c>
      <c r="V1994">
        <v>8.0231499999999997E-2</v>
      </c>
      <c r="W1994">
        <v>0.15541559999999999</v>
      </c>
      <c r="X1994">
        <v>0.98458559999999995</v>
      </c>
      <c r="Y1994">
        <v>2.8767939999999999E-2</v>
      </c>
      <c r="Z1994">
        <v>1.005438E-3</v>
      </c>
      <c r="AA1994">
        <v>0.99958559999999996</v>
      </c>
      <c r="AB1994">
        <v>26</v>
      </c>
      <c r="AC1994">
        <v>-41.093599999999903</v>
      </c>
      <c r="AD1994">
        <v>-1.1215808610386999</v>
      </c>
      <c r="AE1994">
        <v>-0.105799999999987</v>
      </c>
      <c r="AF1994">
        <v>1.1894543254607901</v>
      </c>
      <c r="AG1994">
        <v>-1.1215808610386999</v>
      </c>
      <c r="AH1994">
        <v>41.045916656426797</v>
      </c>
      <c r="AI1994">
        <v>91.564562886027005</v>
      </c>
      <c r="AJ1994">
        <v>88.340111485821595</v>
      </c>
      <c r="AK1994">
        <v>41.078461745622199</v>
      </c>
      <c r="AL1994">
        <v>81.059099098637603</v>
      </c>
      <c r="AM1994">
        <v>85.341398651227493</v>
      </c>
      <c r="AN1994">
        <v>0.99999995302148303</v>
      </c>
    </row>
    <row r="1995" spans="1:40" x14ac:dyDescent="0.25">
      <c r="A1995" t="str">
        <f>"20190303170259162"</f>
        <v>20190303170259162</v>
      </c>
      <c r="B1995" t="str">
        <f>"1551603779157357"</f>
        <v>1551603779157357</v>
      </c>
      <c r="C1995" t="s">
        <v>40</v>
      </c>
      <c r="D1995">
        <v>4.6126889999999996</v>
      </c>
      <c r="E1995">
        <v>0.45105200000000001</v>
      </c>
      <c r="F1995" t="s">
        <v>62</v>
      </c>
      <c r="G1995">
        <v>-326.45549999999997</v>
      </c>
      <c r="H1995">
        <v>8.0001329999999996E-2</v>
      </c>
      <c r="I1995">
        <v>277.8603</v>
      </c>
      <c r="J1995">
        <v>-232.26050000000001</v>
      </c>
      <c r="K1995">
        <v>1.121578</v>
      </c>
      <c r="L1995">
        <v>283.928</v>
      </c>
      <c r="M1995">
        <v>-0.99940739999999995</v>
      </c>
      <c r="N1995">
        <v>-1.397694E-2</v>
      </c>
      <c r="O1995">
        <v>-3.1462169999999998E-2</v>
      </c>
      <c r="P1995">
        <v>-0.98881739999999996</v>
      </c>
      <c r="Q1995">
        <v>0.14099979999999901</v>
      </c>
      <c r="R1995">
        <v>4.8573999999999999E-2</v>
      </c>
      <c r="S1995">
        <v>-3.0488279999999999</v>
      </c>
      <c r="T1995">
        <v>-3.3616779999999999E-2</v>
      </c>
      <c r="U1995">
        <v>-0.196106</v>
      </c>
      <c r="V1995">
        <v>7.9689830000000003E-2</v>
      </c>
      <c r="W1995">
        <v>0.1547645</v>
      </c>
      <c r="X1995">
        <v>0.98473219999999995</v>
      </c>
      <c r="Y1995">
        <v>-3.27526E-2</v>
      </c>
      <c r="Z1995">
        <v>-5.0260370000000003E-4</v>
      </c>
      <c r="AA1995">
        <v>0.9994634</v>
      </c>
      <c r="AB1995">
        <v>26</v>
      </c>
      <c r="AC1995">
        <v>-94.194999999999894</v>
      </c>
      <c r="AD1995">
        <v>-1.04157667</v>
      </c>
      <c r="AE1995">
        <v>-6.0677000000000003</v>
      </c>
      <c r="AF1995">
        <v>-3.1004499618377901</v>
      </c>
      <c r="AG1995">
        <v>-1.04157667</v>
      </c>
      <c r="AH1995">
        <v>94.3277946877175</v>
      </c>
      <c r="AI1995">
        <v>90.632298414334599</v>
      </c>
      <c r="AJ1995">
        <v>91.882570948531296</v>
      </c>
      <c r="AK1995">
        <v>94.384482424673706</v>
      </c>
      <c r="AL1995">
        <v>81.096861827683298</v>
      </c>
      <c r="AM1995">
        <v>85.373399288539503</v>
      </c>
      <c r="AN1995">
        <v>1.00000001259125</v>
      </c>
    </row>
    <row r="1996" spans="1:40" x14ac:dyDescent="0.25">
      <c r="A1996" t="str">
        <f>"20190303170259184"</f>
        <v>20190303170259184</v>
      </c>
      <c r="B1996" t="str">
        <f>"1551603779177853"</f>
        <v>1551603779177853</v>
      </c>
      <c r="C1996" t="s">
        <v>40</v>
      </c>
      <c r="D1996">
        <v>4.5685419999999999</v>
      </c>
      <c r="E1996">
        <v>0.44831680000000002</v>
      </c>
      <c r="F1996" t="s">
        <v>64</v>
      </c>
      <c r="G1996">
        <v>-440.6841</v>
      </c>
      <c r="H1996">
        <v>0.16951939999999999</v>
      </c>
      <c r="I1996">
        <v>265.11599999999999</v>
      </c>
      <c r="J1996">
        <v>-232.5307</v>
      </c>
      <c r="K1996">
        <v>1.1215679999999999</v>
      </c>
      <c r="L1996">
        <v>283.9196</v>
      </c>
      <c r="M1996">
        <v>-0.99940989999999996</v>
      </c>
      <c r="N1996">
        <v>-1.397405E-2</v>
      </c>
      <c r="O1996">
        <v>-3.1378410000000002E-2</v>
      </c>
      <c r="P1996">
        <v>-0.98886969999999996</v>
      </c>
      <c r="Q1996">
        <v>0.14055390000000001</v>
      </c>
      <c r="R1996">
        <v>4.8798389999999997E-2</v>
      </c>
      <c r="S1996">
        <v>-3.0494379999999999</v>
      </c>
      <c r="T1996">
        <v>-1.392937E-2</v>
      </c>
      <c r="U1996">
        <v>-0.27523799999999998</v>
      </c>
      <c r="V1996">
        <v>7.9834299999999997E-2</v>
      </c>
      <c r="W1996">
        <v>0.15431610000000001</v>
      </c>
      <c r="X1996">
        <v>0.98479090000000002</v>
      </c>
      <c r="Y1996">
        <v>-5.8593390000000002E-2</v>
      </c>
      <c r="Z1996">
        <v>-8.3866050000000003E-4</v>
      </c>
      <c r="AA1996">
        <v>0.99828159999999999</v>
      </c>
      <c r="AB1996">
        <v>26</v>
      </c>
      <c r="AC1996">
        <v>-208.1534</v>
      </c>
      <c r="AD1996">
        <v>-0.95204860000000002</v>
      </c>
      <c r="AE1996">
        <v>-18.803599999999999</v>
      </c>
      <c r="AF1996">
        <v>-12.2619239668393</v>
      </c>
      <c r="AG1996">
        <v>-0.95204860000000002</v>
      </c>
      <c r="AH1996">
        <v>208.63663577737199</v>
      </c>
      <c r="AI1996">
        <v>90.260999345346406</v>
      </c>
      <c r="AJ1996">
        <v>93.363499700580704</v>
      </c>
      <c r="AK1996">
        <v>208.998820485679</v>
      </c>
      <c r="AL1996">
        <v>81.122865946487593</v>
      </c>
      <c r="AM1996">
        <v>85.365323287891201</v>
      </c>
      <c r="AN1996">
        <v>1.0000000454492499</v>
      </c>
    </row>
    <row r="1997" spans="1:40" x14ac:dyDescent="0.25">
      <c r="A1997" t="str">
        <f>"20190303170259206"</f>
        <v>20190303170259206</v>
      </c>
      <c r="B1997" t="str">
        <f>"1551603779197373"</f>
        <v>1551603779197373</v>
      </c>
      <c r="C1997" t="s">
        <v>40</v>
      </c>
      <c r="D1997">
        <v>4.5421779999999998</v>
      </c>
      <c r="E1997">
        <v>0.44702900000000001</v>
      </c>
      <c r="F1997" t="s">
        <v>64</v>
      </c>
      <c r="G1997">
        <v>-440.40789999999998</v>
      </c>
      <c r="H1997">
        <v>0.63596390000000003</v>
      </c>
      <c r="I1997">
        <v>263.7604</v>
      </c>
      <c r="J1997">
        <v>-232.7869</v>
      </c>
      <c r="K1997">
        <v>1.1215539999999999</v>
      </c>
      <c r="L1997">
        <v>283.91160000000002</v>
      </c>
      <c r="M1997">
        <v>-0.99941329999999995</v>
      </c>
      <c r="N1997">
        <v>-1.3971320000000001E-2</v>
      </c>
      <c r="O1997">
        <v>-3.1271350000000003E-2</v>
      </c>
      <c r="P1997">
        <v>-0.98901240000000001</v>
      </c>
      <c r="Q1997">
        <v>0.13977120000000001</v>
      </c>
      <c r="R1997">
        <v>4.8152729999999998E-2</v>
      </c>
      <c r="S1997">
        <v>-3.0493619999999999</v>
      </c>
      <c r="T1997">
        <v>-7.1232319999999898E-3</v>
      </c>
      <c r="U1997">
        <v>-0.29571530000000001</v>
      </c>
      <c r="V1997">
        <v>7.9093170000000004E-2</v>
      </c>
      <c r="W1997">
        <v>0.15353059999999999</v>
      </c>
      <c r="X1997">
        <v>0.9849734</v>
      </c>
      <c r="Y1997">
        <v>-6.5348569999999995E-2</v>
      </c>
      <c r="Z1997">
        <v>-8.970273E-4</v>
      </c>
      <c r="AA1997">
        <v>0.99786209999999997</v>
      </c>
      <c r="AB1997">
        <v>26</v>
      </c>
      <c r="AC1997">
        <v>-207.62100000000001</v>
      </c>
      <c r="AD1997">
        <v>-0.48559010000000002</v>
      </c>
      <c r="AE1997">
        <v>-20.151199999999999</v>
      </c>
      <c r="AF1997">
        <v>-13.6480462108208</v>
      </c>
      <c r="AG1997">
        <v>-0.48559010000000002</v>
      </c>
      <c r="AH1997">
        <v>208.14852808850199</v>
      </c>
      <c r="AI1997">
        <v>90.133378784450798</v>
      </c>
      <c r="AJ1997">
        <v>93.751444679926195</v>
      </c>
      <c r="AK1997">
        <v>208.59605631106299</v>
      </c>
      <c r="AL1997">
        <v>81.168414070137203</v>
      </c>
      <c r="AM1997">
        <v>85.409010936175903</v>
      </c>
      <c r="AN1997">
        <v>0.99999998669228396</v>
      </c>
    </row>
    <row r="1998" spans="1:40" x14ac:dyDescent="0.25">
      <c r="A1998" t="str">
        <f>"20190303170259227"</f>
        <v>20190303170259227</v>
      </c>
      <c r="B1998" t="str">
        <f>"1551603779217869"</f>
        <v>1551603779217869</v>
      </c>
      <c r="C1998" t="s">
        <v>40</v>
      </c>
      <c r="D1998">
        <v>4.5365549999999999</v>
      </c>
      <c r="E1998">
        <v>0.44609870000000001</v>
      </c>
      <c r="F1998" t="s">
        <v>65</v>
      </c>
      <c r="G1998">
        <v>-386.41149999999999</v>
      </c>
      <c r="H1998">
        <v>0.74070930000000001</v>
      </c>
      <c r="I1998">
        <v>268.36970000000002</v>
      </c>
      <c r="J1998">
        <v>-233.03630000000001</v>
      </c>
      <c r="K1998">
        <v>1.121524</v>
      </c>
      <c r="L1998">
        <v>283.90390000000002</v>
      </c>
      <c r="M1998">
        <v>-0.99941809999999998</v>
      </c>
      <c r="N1998">
        <v>-1.396873E-2</v>
      </c>
      <c r="O1998">
        <v>-3.111655E-2</v>
      </c>
      <c r="P1998">
        <v>-0.98906510000000003</v>
      </c>
      <c r="Q1998">
        <v>0.139654</v>
      </c>
      <c r="R1998">
        <v>4.7402560000000003E-2</v>
      </c>
      <c r="S1998">
        <v>-3.0494080000000001</v>
      </c>
      <c r="T1998">
        <v>-7.5582269999999998E-3</v>
      </c>
      <c r="U1998">
        <v>-0.3085022</v>
      </c>
      <c r="V1998">
        <v>7.8203720000000004E-2</v>
      </c>
      <c r="W1998">
        <v>0.1534063</v>
      </c>
      <c r="X1998">
        <v>0.98506380000000004</v>
      </c>
      <c r="Y1998">
        <v>-6.9644410000000004E-2</v>
      </c>
      <c r="Z1998">
        <v>-9.3069020000000004E-4</v>
      </c>
      <c r="AA1998">
        <v>0.99757150000000006</v>
      </c>
      <c r="AB1998">
        <v>26</v>
      </c>
      <c r="AC1998">
        <v>-153.37519999999901</v>
      </c>
      <c r="AD1998">
        <v>-0.38081469999999901</v>
      </c>
      <c r="AE1998">
        <v>-15.534199999999901</v>
      </c>
      <c r="AF1998">
        <v>-10.7536376782632</v>
      </c>
      <c r="AG1998">
        <v>-0.38081469999999901</v>
      </c>
      <c r="AH1998">
        <v>153.78339502153</v>
      </c>
      <c r="AI1998">
        <v>90.141535957745205</v>
      </c>
      <c r="AJ1998">
        <v>94.000020441777394</v>
      </c>
      <c r="AK1998">
        <v>154.15939260226401</v>
      </c>
      <c r="AL1998">
        <v>81.175621455515099</v>
      </c>
      <c r="AM1998">
        <v>85.460837200986902</v>
      </c>
      <c r="AN1998">
        <v>1.0000000023859801</v>
      </c>
    </row>
    <row r="1999" spans="1:40" x14ac:dyDescent="0.25">
      <c r="A1999" t="str">
        <f>"20190303170259251"</f>
        <v>20190303170259251</v>
      </c>
      <c r="B1999" t="str">
        <f>"1551603779237389"</f>
        <v>1551603779237389</v>
      </c>
      <c r="C1999" t="s">
        <v>40</v>
      </c>
      <c r="D1999">
        <v>4.5154129999999997</v>
      </c>
      <c r="E1999">
        <v>0.44554159999999998</v>
      </c>
      <c r="F1999" t="s">
        <v>65</v>
      </c>
      <c r="G1999">
        <v>-385.31319999999999</v>
      </c>
      <c r="H1999">
        <v>0.81814770000000003</v>
      </c>
      <c r="I1999">
        <v>268.05090000000001</v>
      </c>
      <c r="J1999">
        <v>-233.3107</v>
      </c>
      <c r="K1999">
        <v>1.121467</v>
      </c>
      <c r="L1999">
        <v>283.8956</v>
      </c>
      <c r="M1999">
        <v>-0.99942620000000004</v>
      </c>
      <c r="N1999">
        <v>-1.3966009999999999E-2</v>
      </c>
      <c r="O1999">
        <v>-3.086034E-2</v>
      </c>
      <c r="P1999">
        <v>-0.98904709999999996</v>
      </c>
      <c r="Q1999">
        <v>0.1399918</v>
      </c>
      <c r="R1999">
        <v>4.677924E-2</v>
      </c>
      <c r="S1999">
        <v>-3.0492249999999999</v>
      </c>
      <c r="T1999">
        <v>-6.0734750000000001E-3</v>
      </c>
      <c r="U1999">
        <v>-0.3174438</v>
      </c>
      <c r="V1999">
        <v>7.7349260000000003E-2</v>
      </c>
      <c r="W1999">
        <v>0.1537309</v>
      </c>
      <c r="X1999">
        <v>0.98508070000000003</v>
      </c>
      <c r="Y1999">
        <v>-7.2801050000000006E-2</v>
      </c>
      <c r="Z1999">
        <v>-9.5088810000000003E-4</v>
      </c>
      <c r="AA1999">
        <v>0.99734599999999995</v>
      </c>
      <c r="AB1999">
        <v>26</v>
      </c>
      <c r="AC1999">
        <v>-152.0025</v>
      </c>
      <c r="AD1999">
        <v>-0.30331930000000001</v>
      </c>
      <c r="AE1999">
        <v>-15.8446999999999</v>
      </c>
      <c r="AF1999">
        <v>-11.145801847317999</v>
      </c>
      <c r="AG1999">
        <v>-0.30331930000000001</v>
      </c>
      <c r="AH1999">
        <v>152.41850813274601</v>
      </c>
      <c r="AI1999">
        <v>90.113717239631697</v>
      </c>
      <c r="AJ1999">
        <v>94.182384035567097</v>
      </c>
      <c r="AK1999">
        <v>152.825791418953</v>
      </c>
      <c r="AL1999">
        <v>81.156800334281897</v>
      </c>
      <c r="AM1999">
        <v>85.510305272792394</v>
      </c>
      <c r="AN1999">
        <v>1.00000004157492</v>
      </c>
    </row>
    <row r="2000" spans="1:40" x14ac:dyDescent="0.25">
      <c r="A2000" t="str">
        <f>"20190303170259274"</f>
        <v>20190303170259274</v>
      </c>
      <c r="B2000" t="str">
        <f>"1551603779267646"</f>
        <v>1551603779267646</v>
      </c>
      <c r="C2000" t="s">
        <v>40</v>
      </c>
      <c r="D2000">
        <v>4.4798049999999998</v>
      </c>
      <c r="E2000">
        <v>0.44517230000000002</v>
      </c>
      <c r="F2000" t="s">
        <v>65</v>
      </c>
      <c r="G2000">
        <v>-384.9434</v>
      </c>
      <c r="H2000">
        <v>0.87047580000000002</v>
      </c>
      <c r="I2000">
        <v>267.85000000000002</v>
      </c>
      <c r="J2000">
        <v>-233.58269999999999</v>
      </c>
      <c r="K2000">
        <v>1.121375</v>
      </c>
      <c r="L2000">
        <v>283.88760000000002</v>
      </c>
      <c r="M2000">
        <v>-0.99943789999999999</v>
      </c>
      <c r="N2000">
        <v>-1.3963659999999999E-2</v>
      </c>
      <c r="O2000">
        <v>-3.048199E-2</v>
      </c>
      <c r="P2000">
        <v>-0.9890544</v>
      </c>
      <c r="Q2000">
        <v>0.14014560000000001</v>
      </c>
      <c r="R2000">
        <v>4.6159199999999997E-2</v>
      </c>
      <c r="S2000">
        <v>-3.049194</v>
      </c>
      <c r="T2000">
        <v>-5.0458909999999899E-3</v>
      </c>
      <c r="U2000">
        <v>-0.32266240000000002</v>
      </c>
      <c r="V2000">
        <v>7.6388750000000005E-2</v>
      </c>
      <c r="W2000">
        <v>0.15386710000000001</v>
      </c>
      <c r="X2000">
        <v>0.98513439999999997</v>
      </c>
      <c r="Y2000">
        <v>-7.4868050000000005E-2</v>
      </c>
      <c r="Z2000">
        <v>-9.6039750000000005E-4</v>
      </c>
      <c r="AA2000">
        <v>0.997193</v>
      </c>
      <c r="AB2000">
        <v>26</v>
      </c>
      <c r="AC2000">
        <v>-151.36070000000001</v>
      </c>
      <c r="AD2000">
        <v>-0.25089919999999999</v>
      </c>
      <c r="AE2000">
        <v>-16.037599999999902</v>
      </c>
      <c r="AF2000">
        <v>-11.4158904804448</v>
      </c>
      <c r="AG2000">
        <v>-0.25089919999999999</v>
      </c>
      <c r="AH2000">
        <v>151.77884458146499</v>
      </c>
      <c r="AI2000">
        <v>90.0944463768096</v>
      </c>
      <c r="AJ2000">
        <v>94.301344519567294</v>
      </c>
      <c r="AK2000">
        <v>152.20776316717399</v>
      </c>
      <c r="AL2000">
        <v>81.148902811571702</v>
      </c>
      <c r="AM2000">
        <v>85.566074549827505</v>
      </c>
      <c r="AN2000">
        <v>1.0000000558261599</v>
      </c>
    </row>
    <row r="2001" spans="1:40" x14ac:dyDescent="0.25">
      <c r="A2001" t="str">
        <f>"20190303170259297"</f>
        <v>20190303170259297</v>
      </c>
      <c r="B2001" t="str">
        <f>"1551603779287166"</f>
        <v>1551603779287166</v>
      </c>
      <c r="C2001" t="s">
        <v>40</v>
      </c>
      <c r="D2001">
        <v>4.4816729999999998</v>
      </c>
      <c r="E2001">
        <v>0.44490039999999997</v>
      </c>
      <c r="F2001" t="s">
        <v>65</v>
      </c>
      <c r="G2001">
        <v>-383.42610000000002</v>
      </c>
      <c r="H2001">
        <v>0.95197489999999996</v>
      </c>
      <c r="I2001">
        <v>267.85000000000002</v>
      </c>
      <c r="J2001">
        <v>-233.8484</v>
      </c>
      <c r="K2001">
        <v>1.121262</v>
      </c>
      <c r="L2001">
        <v>283.88010000000003</v>
      </c>
      <c r="M2001">
        <v>-0.99945430000000002</v>
      </c>
      <c r="N2001">
        <v>-1.39617E-2</v>
      </c>
      <c r="O2001">
        <v>-2.994103E-2</v>
      </c>
      <c r="P2001">
        <v>-0.98917049999999995</v>
      </c>
      <c r="Q2001">
        <v>0.13955919999999999</v>
      </c>
      <c r="R2001">
        <v>4.5444770000000002E-2</v>
      </c>
      <c r="S2001">
        <v>-3.0489350000000002</v>
      </c>
      <c r="T2001">
        <v>-3.4453869999999998E-3</v>
      </c>
      <c r="U2001">
        <v>-0.32632450000000002</v>
      </c>
      <c r="V2001">
        <v>7.5185139999999998E-2</v>
      </c>
      <c r="W2001">
        <v>0.15326210000000001</v>
      </c>
      <c r="X2001">
        <v>0.98532120000000001</v>
      </c>
      <c r="Y2001">
        <v>-7.6601359999999993E-2</v>
      </c>
      <c r="Z2001">
        <v>-9.6280420000000001E-4</v>
      </c>
      <c r="AA2001">
        <v>0.99706130000000004</v>
      </c>
      <c r="AB2001">
        <v>26</v>
      </c>
      <c r="AC2001">
        <v>-149.57769999999999</v>
      </c>
      <c r="AD2001">
        <v>-0.1692871</v>
      </c>
      <c r="AE2001">
        <v>-16.030100000000001</v>
      </c>
      <c r="AF2001">
        <v>-11.5439508483857</v>
      </c>
      <c r="AG2001">
        <v>-0.1692871</v>
      </c>
      <c r="AH2001">
        <v>149.990440781986</v>
      </c>
      <c r="AI2001">
        <v>90.064476320583296</v>
      </c>
      <c r="AJ2001">
        <v>94.401069147239497</v>
      </c>
      <c r="AK2001">
        <v>150.43411775686599</v>
      </c>
      <c r="AL2001">
        <v>81.183982108787305</v>
      </c>
      <c r="AM2001">
        <v>85.636489290946201</v>
      </c>
      <c r="AN2001">
        <v>0.99999997187133405</v>
      </c>
    </row>
    <row r="2002" spans="1:40" x14ac:dyDescent="0.25">
      <c r="A2002" t="str">
        <f>"20190303170259317"</f>
        <v>20190303170259317</v>
      </c>
      <c r="B2002" t="str">
        <f>"1551603779307661"</f>
        <v>1551603779307661</v>
      </c>
      <c r="C2002" t="s">
        <v>40</v>
      </c>
      <c r="D2002">
        <v>4.4455309999999999</v>
      </c>
      <c r="E2002">
        <v>0.44462079999999998</v>
      </c>
      <c r="F2002" t="s">
        <v>65</v>
      </c>
      <c r="G2002">
        <v>-381.55470000000003</v>
      </c>
      <c r="H2002">
        <v>0.96852870000000002</v>
      </c>
      <c r="I2002">
        <v>267.85000000000002</v>
      </c>
      <c r="J2002">
        <v>-234.0915</v>
      </c>
      <c r="K2002">
        <v>1.1211469999999999</v>
      </c>
      <c r="L2002">
        <v>283.8734</v>
      </c>
      <c r="M2002">
        <v>-0.99947379999999997</v>
      </c>
      <c r="N2002">
        <v>-1.3960510000000001E-2</v>
      </c>
      <c r="O2002">
        <v>-2.9281270000000002E-2</v>
      </c>
      <c r="P2002">
        <v>-0.98926400000000003</v>
      </c>
      <c r="Q2002">
        <v>0.13899339999999999</v>
      </c>
      <c r="R2002">
        <v>4.514369E-2</v>
      </c>
      <c r="S2002">
        <v>-3.0484770000000001</v>
      </c>
      <c r="T2002">
        <v>-3.1505819999999999E-3</v>
      </c>
      <c r="U2002">
        <v>-0.330841099999999</v>
      </c>
      <c r="V2002">
        <v>7.4279020000000001E-2</v>
      </c>
      <c r="W2002">
        <v>0.15267629999999999</v>
      </c>
      <c r="X2002">
        <v>0.98548089999999999</v>
      </c>
      <c r="Y2002">
        <v>-7.8735479999999997E-2</v>
      </c>
      <c r="Z2002">
        <v>-9.6945270000000001E-4</v>
      </c>
      <c r="AA2002">
        <v>0.99689510000000003</v>
      </c>
      <c r="AB2002">
        <v>26</v>
      </c>
      <c r="AC2002">
        <v>-147.4632</v>
      </c>
      <c r="AD2002">
        <v>-0.15261829999999901</v>
      </c>
      <c r="AE2002">
        <v>-16.023399999999899</v>
      </c>
      <c r="AF2002">
        <v>-11.6981853809648</v>
      </c>
      <c r="AG2002">
        <v>-0.15261829999999901</v>
      </c>
      <c r="AH2002">
        <v>147.86903183552499</v>
      </c>
      <c r="AI2002">
        <v>90.058951796223397</v>
      </c>
      <c r="AJ2002">
        <v>94.523351258387095</v>
      </c>
      <c r="AK2002">
        <v>148.33112083958801</v>
      </c>
      <c r="AL2002">
        <v>81.217946077098802</v>
      </c>
      <c r="AM2002">
        <v>85.689574197048998</v>
      </c>
      <c r="AN2002">
        <v>1.00000001482933</v>
      </c>
    </row>
    <row r="2003" spans="1:40" x14ac:dyDescent="0.25">
      <c r="A2003" t="str">
        <f>"20190303170259339"</f>
        <v>20190303170259339</v>
      </c>
      <c r="B2003" t="str">
        <f>"1551603779327181"</f>
        <v>1551603779327181</v>
      </c>
      <c r="C2003" t="s">
        <v>40</v>
      </c>
      <c r="D2003">
        <v>4.4637039999999999</v>
      </c>
      <c r="E2003">
        <v>0.44452900000000001</v>
      </c>
      <c r="F2003" t="s">
        <v>65</v>
      </c>
      <c r="G2003">
        <v>-380.13580000000002</v>
      </c>
      <c r="H2003">
        <v>0.96850009999999997</v>
      </c>
      <c r="I2003">
        <v>267.85000000000002</v>
      </c>
      <c r="J2003">
        <v>-234.34719999999999</v>
      </c>
      <c r="K2003">
        <v>1.121019</v>
      </c>
      <c r="L2003">
        <v>283.86680000000001</v>
      </c>
      <c r="M2003">
        <v>-0.9994982</v>
      </c>
      <c r="N2003">
        <v>-1.3959589999999999E-2</v>
      </c>
      <c r="O2003">
        <v>-2.843387E-2</v>
      </c>
      <c r="P2003">
        <v>-0.98939010000000005</v>
      </c>
      <c r="Q2003">
        <v>0.13809959999999999</v>
      </c>
      <c r="R2003">
        <v>4.5118850000000002E-2</v>
      </c>
      <c r="S2003">
        <v>-3.0482480000000001</v>
      </c>
      <c r="T2003">
        <v>-3.1847949999999998E-3</v>
      </c>
      <c r="U2003">
        <v>-0.33444210000000002</v>
      </c>
      <c r="V2003">
        <v>7.3464979999999999E-2</v>
      </c>
      <c r="W2003">
        <v>0.1517635</v>
      </c>
      <c r="X2003">
        <v>0.98568290000000003</v>
      </c>
      <c r="Y2003">
        <v>-8.0752290000000004E-2</v>
      </c>
      <c r="Z2003">
        <v>-9.7375789999999999E-4</v>
      </c>
      <c r="AA2003">
        <v>0.99673369999999994</v>
      </c>
      <c r="AB2003">
        <v>26</v>
      </c>
      <c r="AC2003">
        <v>-145.7886</v>
      </c>
      <c r="AD2003">
        <v>-0.15251889999999901</v>
      </c>
      <c r="AE2003">
        <v>-16.0167999999999</v>
      </c>
      <c r="AF2003">
        <v>-11.8645718814233</v>
      </c>
      <c r="AG2003">
        <v>-0.15251889999999901</v>
      </c>
      <c r="AH2003">
        <v>146.18494854914499</v>
      </c>
      <c r="AI2003">
        <v>90.059582371618006</v>
      </c>
      <c r="AJ2003">
        <v>94.6400340295191</v>
      </c>
      <c r="AK2003">
        <v>146.665710069738</v>
      </c>
      <c r="AL2003">
        <v>81.2708623740603</v>
      </c>
      <c r="AM2003">
        <v>85.737508447681194</v>
      </c>
      <c r="AN2003">
        <v>1.00000002128553</v>
      </c>
    </row>
    <row r="2004" spans="1:40" x14ac:dyDescent="0.25">
      <c r="A2004" t="str">
        <f>"20190303170259362"</f>
        <v>20190303170259362</v>
      </c>
      <c r="B2004" t="str">
        <f>"1551603779357437"</f>
        <v>1551603779357437</v>
      </c>
      <c r="C2004" t="s">
        <v>40</v>
      </c>
      <c r="D2004">
        <v>4.4256260000000003</v>
      </c>
      <c r="E2004">
        <v>0.44446079999999999</v>
      </c>
      <c r="F2004" t="s">
        <v>65</v>
      </c>
      <c r="G2004">
        <v>-380.31950000000001</v>
      </c>
      <c r="H2004">
        <v>0.81909940000000003</v>
      </c>
      <c r="I2004">
        <v>267.85000000000002</v>
      </c>
      <c r="J2004">
        <v>-234.6146</v>
      </c>
      <c r="K2004">
        <v>1.1209009999999999</v>
      </c>
      <c r="L2004">
        <v>283.8603</v>
      </c>
      <c r="M2004">
        <v>-0.99952790000000002</v>
      </c>
      <c r="N2004">
        <v>-1.3958709999999999E-2</v>
      </c>
      <c r="O2004">
        <v>-2.7374619999999999E-2</v>
      </c>
      <c r="P2004">
        <v>-0.98931119999999995</v>
      </c>
      <c r="Q2004">
        <v>0.13846429999999901</v>
      </c>
      <c r="R2004">
        <v>4.5729609999999997E-2</v>
      </c>
      <c r="S2004">
        <v>-3.048279</v>
      </c>
      <c r="T2004">
        <v>-6.3031909999999997E-3</v>
      </c>
      <c r="U2004">
        <v>-0.33447270000000001</v>
      </c>
      <c r="V2004">
        <v>7.3071549999999999E-2</v>
      </c>
      <c r="W2004">
        <v>0.15210609999999999</v>
      </c>
      <c r="X2004">
        <v>0.98565930000000002</v>
      </c>
      <c r="Y2004">
        <v>-8.1816189999999997E-2</v>
      </c>
      <c r="Z2004">
        <v>-9.8186359999999991E-4</v>
      </c>
      <c r="AA2004">
        <v>0.9966469</v>
      </c>
      <c r="AB2004">
        <v>26</v>
      </c>
      <c r="AC2004">
        <v>-145.70490000000001</v>
      </c>
      <c r="AD2004">
        <v>-0.301801599999999</v>
      </c>
      <c r="AE2004">
        <v>-16.010299999999901</v>
      </c>
      <c r="AF2004">
        <v>-12.015243521777601</v>
      </c>
      <c r="AG2004">
        <v>-0.301801599999999</v>
      </c>
      <c r="AH2004">
        <v>146.08798494728799</v>
      </c>
      <c r="AI2004">
        <v>90.117968242601606</v>
      </c>
      <c r="AJ2004">
        <v>94.701801682397999</v>
      </c>
      <c r="AK2004">
        <v>146.58156946578401</v>
      </c>
      <c r="AL2004">
        <v>81.2510019670475</v>
      </c>
      <c r="AM2004">
        <v>85.760150938489801</v>
      </c>
      <c r="AN2004">
        <v>0.99999998637655096</v>
      </c>
    </row>
    <row r="2005" spans="1:40" x14ac:dyDescent="0.25">
      <c r="A2005" t="str">
        <f>"20190303170259385"</f>
        <v>20190303170259385</v>
      </c>
      <c r="B2005" t="str">
        <f>"1551603779377933"</f>
        <v>1551603779377933</v>
      </c>
      <c r="C2005" t="s">
        <v>40</v>
      </c>
      <c r="D2005">
        <v>4.3948710000000002</v>
      </c>
      <c r="E2005">
        <v>0.44438650000000002</v>
      </c>
      <c r="F2005" t="s">
        <v>65</v>
      </c>
      <c r="G2005">
        <v>-381.58539999999999</v>
      </c>
      <c r="H2005">
        <v>0.85980029999999996</v>
      </c>
      <c r="I2005">
        <v>267.85000000000002</v>
      </c>
      <c r="J2005">
        <v>-234.8811</v>
      </c>
      <c r="K2005">
        <v>1.1207959999999999</v>
      </c>
      <c r="L2005">
        <v>283.8544</v>
      </c>
      <c r="M2005">
        <v>-0.99956100000000003</v>
      </c>
      <c r="N2005">
        <v>-1.395777E-2</v>
      </c>
      <c r="O2005">
        <v>-2.6136449999999999E-2</v>
      </c>
      <c r="P2005">
        <v>-0.98897429999999997</v>
      </c>
      <c r="Q2005">
        <v>0.14014979999999999</v>
      </c>
      <c r="R2005">
        <v>4.7832380000000001E-2</v>
      </c>
      <c r="S2005">
        <v>-3.0485229999999999</v>
      </c>
      <c r="T2005">
        <v>-5.414248E-3</v>
      </c>
      <c r="U2005">
        <v>-0.33209229999999901</v>
      </c>
      <c r="V2005">
        <v>7.3987010000000006E-2</v>
      </c>
      <c r="W2005">
        <v>0.1537644</v>
      </c>
      <c r="X2005">
        <v>0.98533369999999998</v>
      </c>
      <c r="Y2005">
        <v>-8.2273269999999996E-2</v>
      </c>
      <c r="Z2005">
        <v>-9.6639529999999999E-4</v>
      </c>
      <c r="AA2005">
        <v>0.99660930000000003</v>
      </c>
      <c r="AB2005">
        <v>26</v>
      </c>
      <c r="AC2005">
        <v>-146.70429999999999</v>
      </c>
      <c r="AD2005">
        <v>-0.260995699999999</v>
      </c>
      <c r="AE2005">
        <v>-16.004399999999901</v>
      </c>
      <c r="AF2005">
        <v>-12.1641906234796</v>
      </c>
      <c r="AG2005">
        <v>-0.260995699999999</v>
      </c>
      <c r="AH2005">
        <v>147.07205270701101</v>
      </c>
      <c r="AI2005">
        <v>90.101331618044995</v>
      </c>
      <c r="AJ2005">
        <v>94.728118074838804</v>
      </c>
      <c r="AK2005">
        <v>147.574470487729</v>
      </c>
      <c r="AL2005">
        <v>81.154857765287503</v>
      </c>
      <c r="AM2005">
        <v>85.705817084935106</v>
      </c>
      <c r="AN2005">
        <v>1.0000000343558899</v>
      </c>
    </row>
    <row r="2006" spans="1:40" x14ac:dyDescent="0.25">
      <c r="A2006" t="str">
        <f>"20190303170259407"</f>
        <v>20190303170259407</v>
      </c>
      <c r="B2006" t="str">
        <f>"1551603779397454"</f>
        <v>1551603779397454</v>
      </c>
      <c r="C2006" t="s">
        <v>40</v>
      </c>
      <c r="D2006">
        <v>4.3838879999999998</v>
      </c>
      <c r="E2006">
        <v>0.44448140000000003</v>
      </c>
      <c r="F2006" t="s">
        <v>65</v>
      </c>
      <c r="G2006">
        <v>-384.31130000000002</v>
      </c>
      <c r="H2006">
        <v>1.1670969999999901</v>
      </c>
      <c r="I2006">
        <v>267.85000000000002</v>
      </c>
      <c r="J2006">
        <v>-235.13140000000001</v>
      </c>
      <c r="K2006">
        <v>1.120692</v>
      </c>
      <c r="L2006">
        <v>283.8492</v>
      </c>
      <c r="M2006">
        <v>-0.99959480000000001</v>
      </c>
      <c r="N2006">
        <v>-1.3957310000000001E-2</v>
      </c>
      <c r="O2006">
        <v>-2.4812730000000002E-2</v>
      </c>
      <c r="P2006">
        <v>-0.98883089999999996</v>
      </c>
      <c r="Q2006">
        <v>0.14057549999999999</v>
      </c>
      <c r="R2006">
        <v>4.952028E-2</v>
      </c>
      <c r="S2006">
        <v>-3.049118</v>
      </c>
      <c r="T2006">
        <v>9.4616410000000002E-4</v>
      </c>
      <c r="U2006">
        <v>-0.32656859999999999</v>
      </c>
      <c r="V2006">
        <v>7.440397E-2</v>
      </c>
      <c r="W2006">
        <v>0.1541681</v>
      </c>
      <c r="X2006">
        <v>0.98523910000000003</v>
      </c>
      <c r="Y2006">
        <v>-8.1789420000000002E-2</v>
      </c>
      <c r="Z2006">
        <v>-9.1294499999999997E-4</v>
      </c>
      <c r="AA2006">
        <v>0.99664920000000001</v>
      </c>
      <c r="AB2006">
        <v>26</v>
      </c>
      <c r="AC2006">
        <v>-149.1799</v>
      </c>
      <c r="AD2006">
        <v>4.6404999999999801E-2</v>
      </c>
      <c r="AE2006">
        <v>-15.999199999999901</v>
      </c>
      <c r="AF2006">
        <v>-12.292351252408499</v>
      </c>
      <c r="AG2006">
        <v>4.6404999999999801E-2</v>
      </c>
      <c r="AH2006">
        <v>149.53096922875099</v>
      </c>
      <c r="AI2006">
        <v>89.982278775068096</v>
      </c>
      <c r="AJ2006">
        <v>94.699492943990194</v>
      </c>
      <c r="AK2006">
        <v>150.035378531953</v>
      </c>
      <c r="AL2006">
        <v>81.131447296736397</v>
      </c>
      <c r="AM2006">
        <v>85.681295080454106</v>
      </c>
      <c r="AN2006">
        <v>0.99999991898908702</v>
      </c>
    </row>
    <row r="2007" spans="1:40" x14ac:dyDescent="0.25">
      <c r="A2007" t="str">
        <f>"20190303170259428"</f>
        <v>20190303170259428</v>
      </c>
      <c r="B2007" t="str">
        <f>"1551603779417949"</f>
        <v>1551603779417949</v>
      </c>
      <c r="C2007" t="s">
        <v>40</v>
      </c>
      <c r="D2007">
        <v>4.4054060000000002</v>
      </c>
      <c r="E2007">
        <v>0.44463710000000001</v>
      </c>
      <c r="F2007" t="s">
        <v>65</v>
      </c>
      <c r="G2007">
        <v>-385.31319999999999</v>
      </c>
      <c r="H2007">
        <v>1.3146819999999999</v>
      </c>
      <c r="I2007">
        <v>268.0394</v>
      </c>
      <c r="J2007">
        <v>-235.38489999999999</v>
      </c>
      <c r="K2007">
        <v>1.1205879999999999</v>
      </c>
      <c r="L2007">
        <v>283.84449999999998</v>
      </c>
      <c r="M2007">
        <v>-0.99963049999999998</v>
      </c>
      <c r="N2007">
        <v>-1.3957229999999999E-2</v>
      </c>
      <c r="O2007">
        <v>-2.332656E-2</v>
      </c>
      <c r="P2007">
        <v>-0.98906070000000001</v>
      </c>
      <c r="Q2007">
        <v>0.1388201</v>
      </c>
      <c r="R2007">
        <v>4.9880630000000002E-2</v>
      </c>
      <c r="S2007">
        <v>-3.0493929999999998</v>
      </c>
      <c r="T2007">
        <v>3.9403440000000001E-3</v>
      </c>
      <c r="U2007">
        <v>-0.32101439999999998</v>
      </c>
      <c r="V2007">
        <v>7.3337319999999998E-2</v>
      </c>
      <c r="W2007">
        <v>0.1524006</v>
      </c>
      <c r="X2007">
        <v>0.98559410000000003</v>
      </c>
      <c r="Y2007">
        <v>-8.1467300000000006E-2</v>
      </c>
      <c r="Z2007">
        <v>-8.724917E-4</v>
      </c>
      <c r="AA2007">
        <v>0.99667559999999999</v>
      </c>
      <c r="AB2007">
        <v>26</v>
      </c>
      <c r="AC2007">
        <v>-149.92830000000001</v>
      </c>
      <c r="AD2007">
        <v>0.19409399999999999</v>
      </c>
      <c r="AE2007">
        <v>-15.8050999999999</v>
      </c>
      <c r="AF2007">
        <v>-12.303126122655801</v>
      </c>
      <c r="AG2007">
        <v>0.19409399999999999</v>
      </c>
      <c r="AH2007">
        <v>150.25596184423301</v>
      </c>
      <c r="AI2007">
        <v>89.926234756371002</v>
      </c>
      <c r="AJ2007">
        <v>94.680999832165</v>
      </c>
      <c r="AK2007">
        <v>150.75894220445599</v>
      </c>
      <c r="AL2007">
        <v>81.233929594655095</v>
      </c>
      <c r="AM2007">
        <v>85.7445061768952</v>
      </c>
      <c r="AN2007">
        <v>1.0000000176699699</v>
      </c>
    </row>
    <row r="2008" spans="1:40" x14ac:dyDescent="0.25">
      <c r="A2008" t="str">
        <f>"20190303170259452"</f>
        <v>20190303170259452</v>
      </c>
      <c r="B2008" t="str">
        <f>"1551603779437470"</f>
        <v>1551603779437470</v>
      </c>
      <c r="C2008" t="s">
        <v>40</v>
      </c>
      <c r="D2008">
        <v>4.3746010000000002</v>
      </c>
      <c r="E2008">
        <v>0.44476510000000002</v>
      </c>
      <c r="F2008" t="s">
        <v>65</v>
      </c>
      <c r="G2008">
        <v>-385.31319999999999</v>
      </c>
      <c r="H2008">
        <v>1.09029</v>
      </c>
      <c r="I2008">
        <v>268.16160000000002</v>
      </c>
      <c r="J2008">
        <v>-235.65280000000001</v>
      </c>
      <c r="K2008">
        <v>1.120471</v>
      </c>
      <c r="L2008">
        <v>283.84010000000001</v>
      </c>
      <c r="M2008">
        <v>-0.99966909999999998</v>
      </c>
      <c r="N2008">
        <v>-1.3957310000000001E-2</v>
      </c>
      <c r="O2008">
        <v>-2.1616900000000001E-2</v>
      </c>
      <c r="P2008">
        <v>-0.98914869999999999</v>
      </c>
      <c r="Q2008">
        <v>0.138342299999999</v>
      </c>
      <c r="R2008">
        <v>4.9460850000000001E-2</v>
      </c>
      <c r="S2008">
        <v>-3.049347</v>
      </c>
      <c r="T2008">
        <v>-6.1476230000000003E-4</v>
      </c>
      <c r="U2008">
        <v>-0.31896970000000002</v>
      </c>
      <c r="V2008">
        <v>7.1269040000000006E-2</v>
      </c>
      <c r="W2008">
        <v>0.15191289999999999</v>
      </c>
      <c r="X2008">
        <v>0.98582110000000001</v>
      </c>
      <c r="Y2008">
        <v>-8.2510910000000007E-2</v>
      </c>
      <c r="Z2008">
        <v>-8.8237089999999895E-4</v>
      </c>
      <c r="AA2008">
        <v>0.99658979999999997</v>
      </c>
      <c r="AB2008">
        <v>26</v>
      </c>
      <c r="AC2008">
        <v>-149.66039999999899</v>
      </c>
      <c r="AD2008">
        <v>-3.0180999999999999E-2</v>
      </c>
      <c r="AE2008">
        <v>-15.6784999999999</v>
      </c>
      <c r="AF2008">
        <v>-12.439326745442999</v>
      </c>
      <c r="AG2008">
        <v>-3.0180999999999999E-2</v>
      </c>
      <c r="AH2008">
        <v>149.96436916395999</v>
      </c>
      <c r="AI2008">
        <v>90.011491565854101</v>
      </c>
      <c r="AJ2008">
        <v>94.741746491436501</v>
      </c>
      <c r="AK2008">
        <v>150.47939985100001</v>
      </c>
      <c r="AL2008">
        <v>81.262201987638704</v>
      </c>
      <c r="AM2008">
        <v>85.865047395420902</v>
      </c>
      <c r="AN2008">
        <v>1.00000002322707</v>
      </c>
    </row>
    <row r="2009" spans="1:40" x14ac:dyDescent="0.25">
      <c r="A2009" t="str">
        <f>"20190303170259475"</f>
        <v>20190303170259475</v>
      </c>
      <c r="B2009" t="str">
        <f>"1551603779467725"</f>
        <v>1551603779467725</v>
      </c>
      <c r="C2009" t="s">
        <v>40</v>
      </c>
      <c r="D2009">
        <v>4.3539839999999996</v>
      </c>
      <c r="E2009">
        <v>0.44463710000000001</v>
      </c>
      <c r="F2009" t="s">
        <v>65</v>
      </c>
      <c r="G2009">
        <v>-385.31319999999999</v>
      </c>
      <c r="H2009">
        <v>1.0106219999999999</v>
      </c>
      <c r="I2009">
        <v>268.19330000000002</v>
      </c>
      <c r="J2009">
        <v>-235.92769999999999</v>
      </c>
      <c r="K2009">
        <v>1.1203809999999901</v>
      </c>
      <c r="L2009">
        <v>283.83620000000002</v>
      </c>
      <c r="M2009">
        <v>-0.99970809999999999</v>
      </c>
      <c r="N2009">
        <v>-1.3957270000000001E-2</v>
      </c>
      <c r="O2009">
        <v>-1.973099E-2</v>
      </c>
      <c r="P2009">
        <v>-0.98900829999999995</v>
      </c>
      <c r="Q2009">
        <v>0.139401</v>
      </c>
      <c r="R2009">
        <v>4.929567E-2</v>
      </c>
      <c r="S2009">
        <v>-3.0491640000000002</v>
      </c>
      <c r="T2009">
        <v>-2.236605E-3</v>
      </c>
      <c r="U2009">
        <v>-0.31878659999999998</v>
      </c>
      <c r="V2009">
        <v>6.9276569999999996E-2</v>
      </c>
      <c r="W2009">
        <v>0.15296100000000001</v>
      </c>
      <c r="X2009">
        <v>0.98580100000000004</v>
      </c>
      <c r="Y2009">
        <v>-8.4337170000000003E-2</v>
      </c>
      <c r="Z2009">
        <v>-8.8134679999999895E-4</v>
      </c>
      <c r="AA2009">
        <v>0.99643689999999996</v>
      </c>
      <c r="AB2009">
        <v>26</v>
      </c>
      <c r="AC2009">
        <v>-149.38550000000001</v>
      </c>
      <c r="AD2009">
        <v>-0.109758999999999</v>
      </c>
      <c r="AE2009">
        <v>-15.6428999999999</v>
      </c>
      <c r="AF2009">
        <v>-12.692036998082299</v>
      </c>
      <c r="AG2009">
        <v>-0.109758999999999</v>
      </c>
      <c r="AH2009">
        <v>149.66501272322199</v>
      </c>
      <c r="AI2009">
        <v>90.041868400947607</v>
      </c>
      <c r="AJ2009">
        <v>94.847254500535598</v>
      </c>
      <c r="AK2009">
        <v>150.202249928691</v>
      </c>
      <c r="AL2009">
        <v>81.201439617515007</v>
      </c>
      <c r="AM2009">
        <v>85.980182278245294</v>
      </c>
      <c r="AN2009">
        <v>0.99999996113648104</v>
      </c>
    </row>
    <row r="2010" spans="1:40" x14ac:dyDescent="0.25">
      <c r="A2010" t="str">
        <f>"20190303170259497"</f>
        <v>20190303170259497</v>
      </c>
      <c r="B2010" t="str">
        <f>"1551603779487245"</f>
        <v>1551603779487245</v>
      </c>
      <c r="C2010" t="s">
        <v>40</v>
      </c>
      <c r="D2010">
        <v>4.3789059999999997</v>
      </c>
      <c r="E2010">
        <v>0.44453779999999998</v>
      </c>
      <c r="F2010" t="s">
        <v>65</v>
      </c>
      <c r="G2010">
        <v>-385.31319999999999</v>
      </c>
      <c r="H2010">
        <v>1.222755</v>
      </c>
      <c r="I2010">
        <v>268.13510000000002</v>
      </c>
      <c r="J2010">
        <v>-236.17769999999999</v>
      </c>
      <c r="K2010">
        <v>1.1203190000000001</v>
      </c>
      <c r="L2010">
        <v>283.83330000000001</v>
      </c>
      <c r="M2010">
        <v>-0.99974220000000003</v>
      </c>
      <c r="N2010">
        <v>-1.3957020000000001E-2</v>
      </c>
      <c r="O2010">
        <v>-1.7912109999999998E-2</v>
      </c>
      <c r="P2010">
        <v>-0.98870440000000004</v>
      </c>
      <c r="Q2010">
        <v>0.14104169999999999</v>
      </c>
      <c r="R2010">
        <v>5.0703579999999998E-2</v>
      </c>
      <c r="S2010">
        <v>-3.0490110000000001</v>
      </c>
      <c r="T2010">
        <v>2.0909309999999999E-3</v>
      </c>
      <c r="U2010">
        <v>-0.3204651</v>
      </c>
      <c r="V2010">
        <v>6.8912870000000001E-2</v>
      </c>
      <c r="W2010">
        <v>0.15458839999999999</v>
      </c>
      <c r="X2010">
        <v>0.98557260000000002</v>
      </c>
      <c r="Y2010">
        <v>-8.6698579999999997E-2</v>
      </c>
      <c r="Z2010">
        <v>-8.3871110000000005E-4</v>
      </c>
      <c r="AA2010">
        <v>0.99623419999999896</v>
      </c>
      <c r="AB2010">
        <v>26</v>
      </c>
      <c r="AC2010">
        <v>-149.13550000000001</v>
      </c>
      <c r="AD2010">
        <v>0.102435999999999</v>
      </c>
      <c r="AE2010">
        <v>-15.6981999999999</v>
      </c>
      <c r="AF2010">
        <v>-13.024083336667699</v>
      </c>
      <c r="AG2010">
        <v>0.102435999999999</v>
      </c>
      <c r="AH2010">
        <v>149.392714382181</v>
      </c>
      <c r="AI2010">
        <v>89.960861732602098</v>
      </c>
      <c r="AJ2010">
        <v>94.982458836727403</v>
      </c>
      <c r="AK2010">
        <v>149.95939567219699</v>
      </c>
      <c r="AL2010">
        <v>81.1070739922489</v>
      </c>
      <c r="AM2010">
        <v>86.000293878099797</v>
      </c>
      <c r="AN2010">
        <v>0.99999995346847703</v>
      </c>
    </row>
    <row r="2011" spans="1:40" x14ac:dyDescent="0.25">
      <c r="A2011" t="str">
        <f>"20190303170259518"</f>
        <v>20190303170259518</v>
      </c>
      <c r="B2011" t="str">
        <f>"1551603779507741"</f>
        <v>1551603779507741</v>
      </c>
      <c r="C2011" t="s">
        <v>40</v>
      </c>
      <c r="D2011">
        <v>4.3429219999999997</v>
      </c>
      <c r="E2011">
        <v>0.44444919999999999</v>
      </c>
      <c r="F2011" t="s">
        <v>65</v>
      </c>
      <c r="G2011">
        <v>-385.31319999999999</v>
      </c>
      <c r="H2011">
        <v>1.575321</v>
      </c>
      <c r="I2011">
        <v>268.29109999999997</v>
      </c>
      <c r="J2011">
        <v>-236.42769999999999</v>
      </c>
      <c r="K2011">
        <v>1.1202719999999999</v>
      </c>
      <c r="L2011">
        <v>283.83089999999999</v>
      </c>
      <c r="M2011">
        <v>-0.99977419999999995</v>
      </c>
      <c r="N2011">
        <v>-1.395647E-2</v>
      </c>
      <c r="O2011">
        <v>-1.6025930000000001E-2</v>
      </c>
      <c r="P2011">
        <v>-0.98867099999999997</v>
      </c>
      <c r="Q2011">
        <v>0.14032310000000001</v>
      </c>
      <c r="R2011">
        <v>5.328281E-2</v>
      </c>
      <c r="S2011">
        <v>-3.049255</v>
      </c>
      <c r="T2011">
        <v>9.3045230000000003E-3</v>
      </c>
      <c r="U2011">
        <v>-0.31777949999999999</v>
      </c>
      <c r="V2011">
        <v>6.9643120000000003E-2</v>
      </c>
      <c r="W2011">
        <v>0.15385950000000001</v>
      </c>
      <c r="X2011">
        <v>0.98563540000000005</v>
      </c>
      <c r="Y2011">
        <v>-8.7703359999999994E-2</v>
      </c>
      <c r="Z2011">
        <v>-7.5212529999999997E-4</v>
      </c>
      <c r="AA2011">
        <v>0.99614639999999999</v>
      </c>
      <c r="AB2011">
        <v>26</v>
      </c>
      <c r="AC2011">
        <v>-148.88550000000001</v>
      </c>
      <c r="AD2011">
        <v>0.45504899999999998</v>
      </c>
      <c r="AE2011">
        <v>-15.5398</v>
      </c>
      <c r="AF2011">
        <v>-13.1514214707507</v>
      </c>
      <c r="AG2011">
        <v>0.45504899999999998</v>
      </c>
      <c r="AH2011">
        <v>149.11406195977699</v>
      </c>
      <c r="AI2011">
        <v>89.825828029159595</v>
      </c>
      <c r="AJ2011">
        <v>95.040277179787495</v>
      </c>
      <c r="AK2011">
        <v>149.69358847471699</v>
      </c>
      <c r="AL2011">
        <v>81.149343239489895</v>
      </c>
      <c r="AM2011">
        <v>85.958306561765198</v>
      </c>
      <c r="AN2011">
        <v>1.0000000258183701</v>
      </c>
    </row>
    <row r="2012" spans="1:40" x14ac:dyDescent="0.25">
      <c r="A2012" t="str">
        <f>"20190303170259540"</f>
        <v>20190303170259540</v>
      </c>
      <c r="B2012" t="str">
        <f>"1551603779537998"</f>
        <v>1551603779537998</v>
      </c>
      <c r="C2012" t="s">
        <v>40</v>
      </c>
      <c r="D2012">
        <v>4.3856580000000003</v>
      </c>
      <c r="E2012">
        <v>0.44435930000000001</v>
      </c>
      <c r="F2012" t="s">
        <v>65</v>
      </c>
      <c r="G2012">
        <v>-388.077</v>
      </c>
      <c r="H2012">
        <v>1.568254</v>
      </c>
      <c r="I2012">
        <v>268.36970000000002</v>
      </c>
      <c r="J2012">
        <v>-236.68170000000001</v>
      </c>
      <c r="K2012">
        <v>1.120241</v>
      </c>
      <c r="L2012">
        <v>283.82909999999998</v>
      </c>
      <c r="M2012">
        <v>-0.99980369999999996</v>
      </c>
      <c r="N2012">
        <v>-1.3955510000000001E-2</v>
      </c>
      <c r="O2012">
        <v>-1.4066210000000001E-2</v>
      </c>
      <c r="P2012">
        <v>-0.9887418</v>
      </c>
      <c r="Q2012">
        <v>0.1390266</v>
      </c>
      <c r="R2012">
        <v>5.5327370000000001E-2</v>
      </c>
      <c r="S2012">
        <v>-3.0498500000000002</v>
      </c>
      <c r="T2012">
        <v>9.0109109999999999E-3</v>
      </c>
      <c r="U2012">
        <v>-0.31094359999999999</v>
      </c>
      <c r="V2012">
        <v>6.9758550000000003E-2</v>
      </c>
      <c r="W2012">
        <v>0.15255949999999999</v>
      </c>
      <c r="X2012">
        <v>0.98582930000000002</v>
      </c>
      <c r="Y2012">
        <v>-8.7426249999999997E-2</v>
      </c>
      <c r="Z2012">
        <v>-7.2010679999999895E-4</v>
      </c>
      <c r="AA2012">
        <v>0.99617080000000002</v>
      </c>
      <c r="AB2012">
        <v>26</v>
      </c>
      <c r="AC2012">
        <v>-151.39529999999999</v>
      </c>
      <c r="AD2012">
        <v>0.44801299999999999</v>
      </c>
      <c r="AE2012">
        <v>-15.459399999999899</v>
      </c>
      <c r="AF2012">
        <v>-13.3279893033951</v>
      </c>
      <c r="AG2012">
        <v>0.44801299999999999</v>
      </c>
      <c r="AH2012">
        <v>151.59648144169</v>
      </c>
      <c r="AI2012">
        <v>89.831324934373697</v>
      </c>
      <c r="AJ2012">
        <v>95.024385087655901</v>
      </c>
      <c r="AK2012">
        <v>152.18189511246101</v>
      </c>
      <c r="AL2012">
        <v>81.224717706648505</v>
      </c>
      <c r="AM2012">
        <v>85.952423527581004</v>
      </c>
      <c r="AN2012">
        <v>1.00000003253842</v>
      </c>
    </row>
    <row r="2013" spans="1:40" x14ac:dyDescent="0.25">
      <c r="A2013" t="str">
        <f>"20190303170259552"</f>
        <v>20190303170259552</v>
      </c>
      <c r="B2013" t="str">
        <f>"1551603779547758"</f>
        <v>1551603779547758</v>
      </c>
      <c r="C2013" t="s">
        <v>40</v>
      </c>
      <c r="D2013">
        <v>4.4412719999999997</v>
      </c>
      <c r="E2013">
        <v>0.44435930000000001</v>
      </c>
      <c r="F2013" t="s">
        <v>64</v>
      </c>
      <c r="G2013">
        <v>-440.40789999999998</v>
      </c>
      <c r="H2013">
        <v>1.545415</v>
      </c>
      <c r="I2013">
        <v>263.39019999999999</v>
      </c>
      <c r="J2013">
        <v>-236.81970000000001</v>
      </c>
      <c r="K2013">
        <v>1.120233</v>
      </c>
      <c r="L2013">
        <v>283.82819999999998</v>
      </c>
      <c r="M2013">
        <v>-0.99981830000000005</v>
      </c>
      <c r="N2013">
        <v>-1.395481E-2</v>
      </c>
      <c r="O2013">
        <v>-1.2990989999999999E-2</v>
      </c>
      <c r="P2013">
        <v>-0.98878840000000001</v>
      </c>
      <c r="Q2013">
        <v>0.1381059</v>
      </c>
      <c r="R2013">
        <v>5.678391E-2</v>
      </c>
      <c r="S2013">
        <v>-3.0503849999999999</v>
      </c>
      <c r="T2013">
        <v>6.3664910000000002E-3</v>
      </c>
      <c r="U2013">
        <v>-0.30603029999999998</v>
      </c>
      <c r="V2013">
        <v>7.0153240000000006E-2</v>
      </c>
      <c r="W2013">
        <v>0.15163670000000001</v>
      </c>
      <c r="X2013">
        <v>0.98594360000000003</v>
      </c>
      <c r="Y2013">
        <v>-8.689094E-2</v>
      </c>
      <c r="Z2013">
        <v>-7.2528320000000003E-4</v>
      </c>
      <c r="AA2013">
        <v>0.99621749999999998</v>
      </c>
      <c r="AB2013">
        <v>26</v>
      </c>
      <c r="AC2013">
        <v>-203.5882</v>
      </c>
      <c r="AD2013">
        <v>0.425182</v>
      </c>
      <c r="AE2013">
        <v>-20.437999999999899</v>
      </c>
      <c r="AF2013">
        <v>-17.791128500606799</v>
      </c>
      <c r="AG2013">
        <v>0.425182</v>
      </c>
      <c r="AH2013">
        <v>203.83567208119001</v>
      </c>
      <c r="AI2013">
        <v>89.880939224159604</v>
      </c>
      <c r="AJ2013">
        <v>94.988232989130196</v>
      </c>
      <c r="AK2013">
        <v>204.61106090788101</v>
      </c>
      <c r="AL2013">
        <v>81.278212130931607</v>
      </c>
      <c r="AM2013">
        <v>85.930069618925003</v>
      </c>
      <c r="AN2013">
        <v>0.99999997412517305</v>
      </c>
    </row>
    <row r="2014" spans="1:40" x14ac:dyDescent="0.25">
      <c r="A2014" t="str">
        <f>"20190303170259565"</f>
        <v>20190303170259565</v>
      </c>
      <c r="B2014" t="str">
        <f>"1551603779557518"</f>
        <v>1551603779557518</v>
      </c>
      <c r="C2014" t="s">
        <v>40</v>
      </c>
      <c r="D2014">
        <v>4.4494280000000002</v>
      </c>
      <c r="E2014">
        <v>0.4658562</v>
      </c>
      <c r="F2014" t="s">
        <v>64</v>
      </c>
      <c r="G2014">
        <v>-440.40789999999998</v>
      </c>
      <c r="H2014">
        <v>1.37073</v>
      </c>
      <c r="I2014">
        <v>263.68709999999999</v>
      </c>
      <c r="J2014">
        <v>-236.9659</v>
      </c>
      <c r="K2014">
        <v>1.1202190000000001</v>
      </c>
      <c r="L2014">
        <v>283.82760000000002</v>
      </c>
      <c r="M2014">
        <v>-0.99983250000000001</v>
      </c>
      <c r="N2014">
        <v>-1.395396E-2</v>
      </c>
      <c r="O2014">
        <v>-1.184789E-2</v>
      </c>
      <c r="P2014">
        <v>-0.98870429999999998</v>
      </c>
      <c r="Q2014">
        <v>0.1381484</v>
      </c>
      <c r="R2014">
        <v>5.8129489999999999E-2</v>
      </c>
      <c r="S2014">
        <v>-3.0508120000000001</v>
      </c>
      <c r="T2014">
        <v>3.7537809999999999E-3</v>
      </c>
      <c r="U2014">
        <v>-0.3018188</v>
      </c>
      <c r="V2014">
        <v>7.036974E-2</v>
      </c>
      <c r="W2014">
        <v>0.15167629999999999</v>
      </c>
      <c r="X2014">
        <v>0.98592210000000002</v>
      </c>
      <c r="Y2014">
        <v>-8.6653690000000005E-2</v>
      </c>
      <c r="Z2014">
        <v>-7.3239679999999904E-4</v>
      </c>
      <c r="AA2014">
        <v>0.99623819999999996</v>
      </c>
      <c r="AB2014">
        <v>26</v>
      </c>
      <c r="AC2014">
        <v>-203.44200000000001</v>
      </c>
      <c r="AD2014">
        <v>0.25051099999999898</v>
      </c>
      <c r="AE2014">
        <v>-20.140499999999999</v>
      </c>
      <c r="AF2014">
        <v>-17.728466470279901</v>
      </c>
      <c r="AG2014">
        <v>0.25051099999999898</v>
      </c>
      <c r="AH2014">
        <v>203.66605772593101</v>
      </c>
      <c r="AI2014">
        <v>89.929791223169701</v>
      </c>
      <c r="AJ2014">
        <v>94.974871048013995</v>
      </c>
      <c r="AK2014">
        <v>204.43635769786999</v>
      </c>
      <c r="AL2014">
        <v>81.275916839761706</v>
      </c>
      <c r="AM2014">
        <v>85.917463079814695</v>
      </c>
      <c r="AN2014">
        <v>0.99999999377888305</v>
      </c>
    </row>
    <row r="2015" spans="1:40" x14ac:dyDescent="0.25">
      <c r="A2015" t="str">
        <f>"20190303170259578"</f>
        <v>20190303170259578</v>
      </c>
      <c r="B2015" t="str">
        <f>"1551603779567278"</f>
        <v>1551603779567278</v>
      </c>
      <c r="C2015" t="s">
        <v>40</v>
      </c>
      <c r="D2015">
        <v>4.3313439999999996</v>
      </c>
      <c r="E2015">
        <v>0.47652850000000002</v>
      </c>
      <c r="F2015" t="s">
        <v>66</v>
      </c>
      <c r="G2015">
        <v>-512.82579999999996</v>
      </c>
      <c r="H2015">
        <v>1.9259470000000001</v>
      </c>
      <c r="I2015">
        <v>272.43369999999999</v>
      </c>
      <c r="J2015">
        <v>-237.11240000000001</v>
      </c>
      <c r="K2015">
        <v>1.120217</v>
      </c>
      <c r="L2015">
        <v>283.82709999999997</v>
      </c>
      <c r="M2015">
        <v>-0.9998454</v>
      </c>
      <c r="N2015">
        <v>-1.395305E-2</v>
      </c>
      <c r="O2015">
        <v>-1.070137E-2</v>
      </c>
      <c r="P2015">
        <v>-0.98854120000000001</v>
      </c>
      <c r="Q2015">
        <v>0.13851859999999999</v>
      </c>
      <c r="R2015">
        <v>5.9992480000000001E-2</v>
      </c>
      <c r="S2015">
        <v>-3.0404360000000001</v>
      </c>
      <c r="T2015">
        <v>8.8813299999999998E-3</v>
      </c>
      <c r="U2015">
        <v>-0.12557979999999999</v>
      </c>
      <c r="V2015">
        <v>7.1099689999999993E-2</v>
      </c>
      <c r="W2015">
        <v>0.1520415</v>
      </c>
      <c r="X2015">
        <v>0.98581350000000001</v>
      </c>
      <c r="Y2015">
        <v>-3.057441E-2</v>
      </c>
      <c r="Z2015">
        <v>-3.4927949999999998E-4</v>
      </c>
      <c r="AA2015">
        <v>0.99953250000000005</v>
      </c>
      <c r="AB2015">
        <v>26</v>
      </c>
      <c r="AC2015">
        <v>-275.71339999999998</v>
      </c>
      <c r="AD2015">
        <v>0.80572999999999995</v>
      </c>
      <c r="AE2015">
        <v>-11.3933999999999</v>
      </c>
      <c r="AF2015">
        <v>-8.4418771826699306</v>
      </c>
      <c r="AG2015">
        <v>0.80572999999999995</v>
      </c>
      <c r="AH2015">
        <v>275.817194583098</v>
      </c>
      <c r="AI2015">
        <v>89.832703724425301</v>
      </c>
      <c r="AJ2015">
        <v>91.753092242594093</v>
      </c>
      <c r="AK2015">
        <v>275.94753001049099</v>
      </c>
      <c r="AL2015">
        <v>81.254747128646301</v>
      </c>
      <c r="AM2015">
        <v>85.874807246919303</v>
      </c>
      <c r="AN2015">
        <v>1.00000002021129</v>
      </c>
    </row>
    <row r="2016" spans="1:40" x14ac:dyDescent="0.25">
      <c r="A2016" t="str">
        <f>"20190303170259596"</f>
        <v>20190303170259596</v>
      </c>
      <c r="B2016" t="str">
        <f>"1551603779587773"</f>
        <v>1551603779587773</v>
      </c>
      <c r="C2016" t="s">
        <v>40</v>
      </c>
      <c r="D2016">
        <v>4.3252179999999996</v>
      </c>
      <c r="E2016">
        <v>0.49485990000000002</v>
      </c>
      <c r="F2016" t="s">
        <v>48</v>
      </c>
      <c r="G2016">
        <v>0</v>
      </c>
      <c r="H2016">
        <v>0</v>
      </c>
      <c r="I2016">
        <v>0</v>
      </c>
      <c r="J2016">
        <v>-237.32660000000001</v>
      </c>
      <c r="K2016">
        <v>1.120215</v>
      </c>
      <c r="L2016">
        <v>283.82659999999998</v>
      </c>
      <c r="M2016">
        <v>-0.99986189999999997</v>
      </c>
      <c r="N2016">
        <v>-1.395154E-2</v>
      </c>
      <c r="O2016">
        <v>-9.0264709999999995E-3</v>
      </c>
      <c r="P2016">
        <v>-0.98841400000000001</v>
      </c>
      <c r="Q2016">
        <v>0.13819960000000001</v>
      </c>
      <c r="R2016">
        <v>6.2759410000000002E-2</v>
      </c>
      <c r="S2016">
        <v>-3.0362239999999998</v>
      </c>
      <c r="T2016">
        <v>5.0649639999999999E-3</v>
      </c>
      <c r="U2016">
        <v>-3.5247800000000003E-2</v>
      </c>
      <c r="V2016">
        <v>7.2208140000000004E-2</v>
      </c>
      <c r="W2016">
        <v>0.15171680000000001</v>
      </c>
      <c r="X2016">
        <v>0.98578290000000002</v>
      </c>
      <c r="Y2016">
        <v>-2.582221E-3</v>
      </c>
      <c r="Z2016">
        <v>-1.568548E-4</v>
      </c>
      <c r="AA2016">
        <v>0.99999669999999896</v>
      </c>
      <c r="AB2016">
        <v>26</v>
      </c>
      <c r="AC2016">
        <v>-3.0362239999999998</v>
      </c>
      <c r="AD2016">
        <v>5.0649639999999999E-3</v>
      </c>
      <c r="AE2016">
        <v>-3.5247800000000003E-2</v>
      </c>
      <c r="AF2016">
        <v>-7.8372856002121693E-3</v>
      </c>
      <c r="AG2016">
        <v>5.0649639999999999E-3</v>
      </c>
      <c r="AH2016">
        <v>3.0364100274878401</v>
      </c>
      <c r="AI2016">
        <v>89.904426667632407</v>
      </c>
      <c r="AJ2016">
        <v>90.147885952977504</v>
      </c>
      <c r="AK2016">
        <v>3.0364243662463601</v>
      </c>
      <c r="AL2016">
        <v>81.273568933309207</v>
      </c>
      <c r="AM2016">
        <v>85.810592793722904</v>
      </c>
      <c r="AN2016">
        <v>0.99999996440845396</v>
      </c>
    </row>
    <row r="2017" spans="1:40" x14ac:dyDescent="0.25">
      <c r="A2017" t="str">
        <f>"20190303170259619"</f>
        <v>20190303170259619</v>
      </c>
      <c r="B2017" t="str">
        <f>"1551603779607294"</f>
        <v>1551603779607294</v>
      </c>
      <c r="C2017" t="s">
        <v>40</v>
      </c>
      <c r="D2017">
        <v>4.2311310000000004</v>
      </c>
      <c r="E2017">
        <v>0.50657719999999995</v>
      </c>
      <c r="F2017" t="s">
        <v>67</v>
      </c>
      <c r="G2017">
        <v>-510.95389999999998</v>
      </c>
      <c r="H2017">
        <v>0.71922030000000003</v>
      </c>
      <c r="I2017">
        <v>294.58370000000002</v>
      </c>
      <c r="J2017">
        <v>-237.58449999999999</v>
      </c>
      <c r="K2017">
        <v>1.1202160000000001</v>
      </c>
      <c r="L2017">
        <v>283.82659999999998</v>
      </c>
      <c r="M2017">
        <v>-0.99987809999999999</v>
      </c>
      <c r="N2017">
        <v>-1.394953E-2</v>
      </c>
      <c r="O2017">
        <v>-7.0223919999999997E-3</v>
      </c>
      <c r="P2017">
        <v>-0.98844390000000004</v>
      </c>
      <c r="Q2017">
        <v>0.1365711</v>
      </c>
      <c r="R2017">
        <v>6.5782399999999894E-2</v>
      </c>
      <c r="S2017">
        <v>-3.0282290000000001</v>
      </c>
      <c r="T2017">
        <v>-4.4368510000000003E-3</v>
      </c>
      <c r="U2017">
        <v>0.1190491</v>
      </c>
      <c r="V2017">
        <v>7.3242559999999998E-2</v>
      </c>
      <c r="W2017">
        <v>0.15008679999999999</v>
      </c>
      <c r="X2017">
        <v>0.9859561</v>
      </c>
      <c r="Y2017">
        <v>4.629838E-2</v>
      </c>
      <c r="Z2017">
        <v>2.6932829999999999E-4</v>
      </c>
      <c r="AA2017">
        <v>0.99892760000000003</v>
      </c>
      <c r="AB2017">
        <v>26</v>
      </c>
      <c r="AC2017">
        <v>-273.36939999999998</v>
      </c>
      <c r="AD2017">
        <v>-0.40099569999999901</v>
      </c>
      <c r="AE2017">
        <v>10.757099999999999</v>
      </c>
      <c r="AF2017">
        <v>12.6767012518812</v>
      </c>
      <c r="AG2017">
        <v>-0.40099569999999901</v>
      </c>
      <c r="AH2017">
        <v>273.28652309997602</v>
      </c>
      <c r="AI2017">
        <v>90.083980236612405</v>
      </c>
      <c r="AJ2017">
        <v>87.344174868436198</v>
      </c>
      <c r="AK2017">
        <v>273.580670479942</v>
      </c>
      <c r="AL2017">
        <v>81.368043010639497</v>
      </c>
      <c r="AM2017">
        <v>85.751539295046598</v>
      </c>
      <c r="AN2017">
        <v>0.99999997562840104</v>
      </c>
    </row>
    <row r="2018" spans="1:40" x14ac:dyDescent="0.25">
      <c r="A2018" t="str">
        <f>"20190303170259632"</f>
        <v>20190303170259632</v>
      </c>
      <c r="B2018" t="str">
        <f>"1551603779627790"</f>
        <v>1551603779627790</v>
      </c>
      <c r="C2018" t="s">
        <v>40</v>
      </c>
      <c r="D2018">
        <v>5.8816790000000001</v>
      </c>
      <c r="E2018">
        <v>0.51216119999999998</v>
      </c>
      <c r="F2018" t="s">
        <v>63</v>
      </c>
      <c r="G2018">
        <v>-406.79250000000002</v>
      </c>
      <c r="H2018">
        <v>7.9999719999999996E-2</v>
      </c>
      <c r="I2018">
        <v>296.18380000000002</v>
      </c>
      <c r="J2018">
        <v>-237.74709999999999</v>
      </c>
      <c r="K2018">
        <v>1.120228</v>
      </c>
      <c r="L2018">
        <v>283.82679999999999</v>
      </c>
      <c r="M2018">
        <v>-0.9998861</v>
      </c>
      <c r="N2018">
        <v>-1.3948179999999999E-2</v>
      </c>
      <c r="O2018">
        <v>-5.764389E-3</v>
      </c>
      <c r="P2018">
        <v>-0.98828689999999997</v>
      </c>
      <c r="Q2018">
        <v>0.13674600000000001</v>
      </c>
      <c r="R2018">
        <v>6.7748020000000006E-2</v>
      </c>
      <c r="S2018">
        <v>-3.0229339999999998</v>
      </c>
      <c r="T2018">
        <v>-1.8583659999999998E-2</v>
      </c>
      <c r="U2018">
        <v>0.22076419999999999</v>
      </c>
      <c r="V2018">
        <v>7.3962260000000002E-2</v>
      </c>
      <c r="W2018">
        <v>0.1502579</v>
      </c>
      <c r="X2018">
        <v>0.98587630000000004</v>
      </c>
      <c r="Y2018">
        <v>7.8579220000000005E-2</v>
      </c>
      <c r="Z2018">
        <v>7.4509679999999897E-4</v>
      </c>
      <c r="AA2018">
        <v>0.9969076</v>
      </c>
      <c r="AB2018">
        <v>26</v>
      </c>
      <c r="AC2018">
        <v>-169.0454</v>
      </c>
      <c r="AD2018">
        <v>-1.04022828</v>
      </c>
      <c r="AE2018">
        <v>12.356999999999999</v>
      </c>
      <c r="AF2018">
        <v>13.330830805775401</v>
      </c>
      <c r="AG2018">
        <v>-1.04022828</v>
      </c>
      <c r="AH2018">
        <v>168.96498936969499</v>
      </c>
      <c r="AI2018">
        <v>90.3516427079729</v>
      </c>
      <c r="AJ2018">
        <v>85.488879562488094</v>
      </c>
      <c r="AK2018">
        <v>169.49324693788799</v>
      </c>
      <c r="AL2018">
        <v>81.358127169383707</v>
      </c>
      <c r="AM2018">
        <v>85.709601988268901</v>
      </c>
      <c r="AN2018">
        <v>0.99999996565920302</v>
      </c>
    </row>
    <row r="2019" spans="1:40" x14ac:dyDescent="0.25">
      <c r="A2019" t="str">
        <f>"20190303170259645"</f>
        <v>20190303170259645</v>
      </c>
      <c r="B2019" t="str">
        <f>"1551603779637549"</f>
        <v>1551603779637549</v>
      </c>
      <c r="C2019" t="s">
        <v>40</v>
      </c>
      <c r="D2019">
        <v>4.2770130000000002</v>
      </c>
      <c r="E2019">
        <v>0.51364979999999905</v>
      </c>
      <c r="F2019" t="s">
        <v>62</v>
      </c>
      <c r="G2019">
        <v>-353.98489999999998</v>
      </c>
      <c r="H2019">
        <v>8.000119E-2</v>
      </c>
      <c r="I2019">
        <v>294.25349999999997</v>
      </c>
      <c r="J2019">
        <v>-237.89259999999999</v>
      </c>
      <c r="K2019">
        <v>1.120239</v>
      </c>
      <c r="L2019">
        <v>283.82729999999998</v>
      </c>
      <c r="M2019">
        <v>-0.999892</v>
      </c>
      <c r="N2019">
        <v>-1.394692E-2</v>
      </c>
      <c r="O2019">
        <v>-4.6447779999999996E-3</v>
      </c>
      <c r="P2019">
        <v>-0.98810980000000004</v>
      </c>
      <c r="Q2019">
        <v>0.1372303</v>
      </c>
      <c r="R2019">
        <v>6.9332729999999995E-2</v>
      </c>
      <c r="S2019">
        <v>-3.0207519999999999</v>
      </c>
      <c r="T2019">
        <v>-2.7033089999999999E-2</v>
      </c>
      <c r="U2019">
        <v>0.27096559999999997</v>
      </c>
      <c r="V2019">
        <v>7.4439409999999998E-2</v>
      </c>
      <c r="W2019">
        <v>0.1507387</v>
      </c>
      <c r="X2019">
        <v>0.98576699999999995</v>
      </c>
      <c r="Y2019">
        <v>9.3958680000000003E-2</v>
      </c>
      <c r="Z2019">
        <v>1.0530019999999999E-3</v>
      </c>
      <c r="AA2019">
        <v>0.99557549999999995</v>
      </c>
      <c r="AB2019">
        <v>26</v>
      </c>
      <c r="AC2019">
        <v>-116.09229999999999</v>
      </c>
      <c r="AD2019">
        <v>-1.04023781</v>
      </c>
      <c r="AE2019">
        <v>10.4261999999999</v>
      </c>
      <c r="AF2019">
        <v>10.964489606286399</v>
      </c>
      <c r="AG2019">
        <v>-1.04023781</v>
      </c>
      <c r="AH2019">
        <v>116.033373658315</v>
      </c>
      <c r="AI2019">
        <v>90.511364385407006</v>
      </c>
      <c r="AJ2019">
        <v>84.601905563527794</v>
      </c>
      <c r="AK2019">
        <v>116.55490521448699</v>
      </c>
      <c r="AL2019">
        <v>81.330262104395203</v>
      </c>
      <c r="AM2019">
        <v>85.681550892733497</v>
      </c>
      <c r="AN2019">
        <v>0.99999997986391798</v>
      </c>
    </row>
    <row r="2020" spans="1:40" x14ac:dyDescent="0.25">
      <c r="A2020" t="str">
        <f>"20190303170259658"</f>
        <v>20190303170259658</v>
      </c>
      <c r="B2020" t="str">
        <f>"1551603779647310"</f>
        <v>1551603779647310</v>
      </c>
      <c r="C2020" t="s">
        <v>40</v>
      </c>
      <c r="D2020">
        <v>4.3421219999999998</v>
      </c>
      <c r="E2020">
        <v>0.51479640000000004</v>
      </c>
      <c r="F2020" t="s">
        <v>62</v>
      </c>
      <c r="G2020">
        <v>-343.81450000000001</v>
      </c>
      <c r="H2020">
        <v>8.0001139999999998E-2</v>
      </c>
      <c r="I2020">
        <v>293.90769999999998</v>
      </c>
      <c r="J2020">
        <v>-238.0275</v>
      </c>
      <c r="K2020">
        <v>1.1202490000000001</v>
      </c>
      <c r="L2020">
        <v>283.82780000000002</v>
      </c>
      <c r="M2020">
        <v>-0.99989629999999996</v>
      </c>
      <c r="N2020">
        <v>-1.394574E-2</v>
      </c>
      <c r="O2020">
        <v>-3.6080079999999998E-3</v>
      </c>
      <c r="P2020">
        <v>-0.9878169</v>
      </c>
      <c r="Q2020">
        <v>0.1382371</v>
      </c>
      <c r="R2020">
        <v>7.1473200000000001E-2</v>
      </c>
      <c r="S2020">
        <v>-3.0200499999999999</v>
      </c>
      <c r="T2020">
        <v>-2.9659270000000001E-2</v>
      </c>
      <c r="U2020">
        <v>0.28741460000000002</v>
      </c>
      <c r="V2020">
        <v>7.5556040000000005E-2</v>
      </c>
      <c r="W2020">
        <v>0.1517385</v>
      </c>
      <c r="X2020">
        <v>0.98552859999999998</v>
      </c>
      <c r="Y2020">
        <v>9.8320770000000002E-2</v>
      </c>
      <c r="Z2020">
        <v>1.154041E-3</v>
      </c>
      <c r="AA2020">
        <v>0.99515410000000004</v>
      </c>
      <c r="AB2020">
        <v>26</v>
      </c>
      <c r="AC2020">
        <v>-105.78700000000001</v>
      </c>
      <c r="AD2020">
        <v>-1.04024786</v>
      </c>
      <c r="AE2020">
        <v>10.079899999999901</v>
      </c>
      <c r="AF2020">
        <v>10.4605494263323</v>
      </c>
      <c r="AG2020">
        <v>-1.04024786</v>
      </c>
      <c r="AH2020">
        <v>105.73980678313001</v>
      </c>
      <c r="AI2020">
        <v>90.560908826786303</v>
      </c>
      <c r="AJ2020">
        <v>84.350268192398801</v>
      </c>
      <c r="AK2020">
        <v>106.26105565278699</v>
      </c>
      <c r="AL2020">
        <v>81.272310964281502</v>
      </c>
      <c r="AM2020">
        <v>85.615966358729594</v>
      </c>
      <c r="AN2020">
        <v>0.99999995449034396</v>
      </c>
    </row>
    <row r="2021" spans="1:40" x14ac:dyDescent="0.25">
      <c r="A2021" t="str">
        <f>"20190303170259676"</f>
        <v>20190303170259676</v>
      </c>
      <c r="B2021" t="str">
        <f>"1551603779667805"</f>
        <v>1551603779667805</v>
      </c>
      <c r="C2021" t="s">
        <v>40</v>
      </c>
      <c r="D2021">
        <v>4.2368129999999997</v>
      </c>
      <c r="E2021">
        <v>0.51614459999999995</v>
      </c>
      <c r="F2021" t="s">
        <v>62</v>
      </c>
      <c r="G2021">
        <v>-342.63560000000001</v>
      </c>
      <c r="H2021">
        <v>8.0000790000000002E-2</v>
      </c>
      <c r="I2021">
        <v>294.31439999999998</v>
      </c>
      <c r="J2021">
        <v>-238.24299999999999</v>
      </c>
      <c r="K2021">
        <v>1.1202620000000001</v>
      </c>
      <c r="L2021">
        <v>283.82889999999998</v>
      </c>
      <c r="M2021">
        <v>-0.99990089999999998</v>
      </c>
      <c r="N2021">
        <v>-1.3943799999999999E-2</v>
      </c>
      <c r="O2021">
        <v>-1.95773E-3</v>
      </c>
      <c r="P2021">
        <v>-0.98752340000000005</v>
      </c>
      <c r="Q2021">
        <v>0.13874159999999999</v>
      </c>
      <c r="R2021">
        <v>7.4486689999999994E-2</v>
      </c>
      <c r="S2021">
        <v>-3.0192869999999998</v>
      </c>
      <c r="T2021">
        <v>-3.0024530000000001E-2</v>
      </c>
      <c r="U2021">
        <v>0.30267329999999998</v>
      </c>
      <c r="V2021">
        <v>7.6937389999999994E-2</v>
      </c>
      <c r="W2021">
        <v>0.1522357</v>
      </c>
      <c r="X2021">
        <v>0.98534509999999997</v>
      </c>
      <c r="Y2021">
        <v>0.1016826</v>
      </c>
      <c r="Z2021">
        <v>1.2072599999999999E-3</v>
      </c>
      <c r="AA2021">
        <v>0.99481620000000004</v>
      </c>
      <c r="AB2021">
        <v>26</v>
      </c>
      <c r="AC2021">
        <v>-104.3926</v>
      </c>
      <c r="AD2021">
        <v>-1.0402612099999999</v>
      </c>
      <c r="AE2021">
        <v>10.4855</v>
      </c>
      <c r="AF2021">
        <v>10.688821501174001</v>
      </c>
      <c r="AG2021">
        <v>-1.0402612099999999</v>
      </c>
      <c r="AH2021">
        <v>104.36161062508501</v>
      </c>
      <c r="AI2021">
        <v>90.568125138848401</v>
      </c>
      <c r="AJ2021">
        <v>84.152099820754799</v>
      </c>
      <c r="AK2021">
        <v>104.912720013976</v>
      </c>
      <c r="AL2021">
        <v>81.243489219637198</v>
      </c>
      <c r="AM2021">
        <v>85.535308566213899</v>
      </c>
      <c r="AN2021">
        <v>1.0000000182142501</v>
      </c>
    </row>
    <row r="2022" spans="1:40" x14ac:dyDescent="0.25">
      <c r="A2022" t="str">
        <f>"20190303170259700"</f>
        <v>20190303170259700</v>
      </c>
      <c r="B2022" t="str">
        <f>"1551603779687326"</f>
        <v>1551603779687326</v>
      </c>
      <c r="C2022" t="s">
        <v>40</v>
      </c>
      <c r="D2022">
        <v>4.2824580000000001</v>
      </c>
      <c r="E2022">
        <v>0.51653629999999995</v>
      </c>
      <c r="F2022" t="s">
        <v>62</v>
      </c>
      <c r="G2022">
        <v>-335.2371</v>
      </c>
      <c r="H2022">
        <v>7.9999669999999995E-2</v>
      </c>
      <c r="I2022">
        <v>294.16770000000002</v>
      </c>
      <c r="J2022">
        <v>-238.5103</v>
      </c>
      <c r="K2022">
        <v>1.1202669999999999</v>
      </c>
      <c r="L2022">
        <v>283.83069999999998</v>
      </c>
      <c r="M2022">
        <v>-0.99990299999999999</v>
      </c>
      <c r="N2022">
        <v>-1.394134E-2</v>
      </c>
      <c r="O2022" s="1">
        <v>8.2688649999999996E-5</v>
      </c>
      <c r="P2022">
        <v>-0.98724219999999896</v>
      </c>
      <c r="Q2022">
        <v>0.13860710000000001</v>
      </c>
      <c r="R2022">
        <v>7.8366459999999999E-2</v>
      </c>
      <c r="S2022">
        <v>-3.0181879999999999</v>
      </c>
      <c r="T2022">
        <v>-3.2370089999999997E-2</v>
      </c>
      <c r="U2022">
        <v>0.32171630000000001</v>
      </c>
      <c r="V2022">
        <v>7.879796E-2</v>
      </c>
      <c r="W2022">
        <v>0.15209239999999999</v>
      </c>
      <c r="X2022">
        <v>0.98522019999999999</v>
      </c>
      <c r="Y2022">
        <v>0.1058959</v>
      </c>
      <c r="Z2022">
        <v>1.3068470000000001E-3</v>
      </c>
      <c r="AA2022">
        <v>0.99437640000000005</v>
      </c>
      <c r="AB2022">
        <v>26</v>
      </c>
      <c r="AC2022">
        <v>-96.726799999999997</v>
      </c>
      <c r="AD2022">
        <v>-1.0402673299999901</v>
      </c>
      <c r="AE2022">
        <v>10.337</v>
      </c>
      <c r="AF2022">
        <v>10.327819917261101</v>
      </c>
      <c r="AG2022">
        <v>-1.0402673299999901</v>
      </c>
      <c r="AH2022">
        <v>96.716594242984399</v>
      </c>
      <c r="AI2022">
        <v>90.612756520986295</v>
      </c>
      <c r="AJ2022">
        <v>83.904804282802999</v>
      </c>
      <c r="AK2022">
        <v>97.272018701799993</v>
      </c>
      <c r="AL2022">
        <v>81.251796540255199</v>
      </c>
      <c r="AM2022">
        <v>85.427214573220795</v>
      </c>
      <c r="AN2022">
        <v>1.0000000295629801</v>
      </c>
    </row>
    <row r="2023" spans="1:40" x14ac:dyDescent="0.25">
      <c r="A2023" t="str">
        <f>"20190303170259720"</f>
        <v>20190303170259720</v>
      </c>
      <c r="B2023" t="str">
        <f>"1551603779707821"</f>
        <v>1551603779707821</v>
      </c>
      <c r="C2023" t="s">
        <v>40</v>
      </c>
      <c r="D2023">
        <v>4.3003580000000001</v>
      </c>
      <c r="E2023">
        <v>0.51716700000000004</v>
      </c>
      <c r="F2023" t="s">
        <v>62</v>
      </c>
      <c r="G2023">
        <v>-324.79509999999999</v>
      </c>
      <c r="H2023">
        <v>8.0001039999999995E-2</v>
      </c>
      <c r="I2023">
        <v>293.45</v>
      </c>
      <c r="J2023">
        <v>-238.7457</v>
      </c>
      <c r="K2023">
        <v>1.1202780000000001</v>
      </c>
      <c r="L2023">
        <v>283.83280000000002</v>
      </c>
      <c r="M2023">
        <v>-0.99990109999999999</v>
      </c>
      <c r="N2023">
        <v>-1.393905E-2</v>
      </c>
      <c r="O2023">
        <v>1.876558E-3</v>
      </c>
      <c r="P2023">
        <v>-0.98695330000000003</v>
      </c>
      <c r="Q2023">
        <v>0.138957</v>
      </c>
      <c r="R2023">
        <v>8.1328869999999998E-2</v>
      </c>
      <c r="S2023">
        <v>-3.017166</v>
      </c>
      <c r="T2023">
        <v>-3.6375520000000001E-2</v>
      </c>
      <c r="U2023">
        <v>0.33636470000000002</v>
      </c>
      <c r="V2023">
        <v>7.9987989999999995E-2</v>
      </c>
      <c r="W2023">
        <v>0.1524355</v>
      </c>
      <c r="X2023">
        <v>0.98507120000000004</v>
      </c>
      <c r="Y2023">
        <v>0.1089149</v>
      </c>
      <c r="Z2023">
        <v>1.419551E-3</v>
      </c>
      <c r="AA2023">
        <v>0.99405010000000005</v>
      </c>
      <c r="AB2023">
        <v>26</v>
      </c>
      <c r="AC2023">
        <v>-86.049399999999906</v>
      </c>
      <c r="AD2023">
        <v>-1.0402769599999999</v>
      </c>
      <c r="AE2023">
        <v>9.6171999999999596</v>
      </c>
      <c r="AF2023">
        <v>9.4543259722718194</v>
      </c>
      <c r="AG2023">
        <v>-1.0402769599999999</v>
      </c>
      <c r="AH2023">
        <v>86.054875590189596</v>
      </c>
      <c r="AI2023">
        <v>90.688446088510005</v>
      </c>
      <c r="AJ2023">
        <v>83.730405217283504</v>
      </c>
      <c r="AK2023">
        <v>86.578912378167999</v>
      </c>
      <c r="AL2023">
        <v>81.231905863754903</v>
      </c>
      <c r="AM2023">
        <v>85.357755535269504</v>
      </c>
      <c r="AN2023">
        <v>0.99999996463696394</v>
      </c>
    </row>
    <row r="2024" spans="1:40" x14ac:dyDescent="0.25">
      <c r="A2024" t="str">
        <f>"20190303170259732"</f>
        <v>20190303170259732</v>
      </c>
      <c r="B2024" t="str">
        <f>"1551603779717582"</f>
        <v>1551603779717582</v>
      </c>
      <c r="C2024" t="s">
        <v>40</v>
      </c>
      <c r="D2024">
        <v>4.516559</v>
      </c>
      <c r="E2024">
        <v>0.51723439999999998</v>
      </c>
      <c r="F2024" t="s">
        <v>62</v>
      </c>
      <c r="G2024">
        <v>-323.12939999999998</v>
      </c>
      <c r="H2024">
        <v>8.0000539999999995E-2</v>
      </c>
      <c r="I2024">
        <v>293.61149999999998</v>
      </c>
      <c r="J2024">
        <v>-238.88290000000001</v>
      </c>
      <c r="K2024">
        <v>1.120287</v>
      </c>
      <c r="L2024">
        <v>283.83420000000001</v>
      </c>
      <c r="M2024">
        <v>-0.99989859999999997</v>
      </c>
      <c r="N2024">
        <v>-1.393761E-2</v>
      </c>
      <c r="O2024">
        <v>2.9214520000000002E-3</v>
      </c>
      <c r="P2024">
        <v>-0.98677369999999998</v>
      </c>
      <c r="Q2024">
        <v>0.1394705</v>
      </c>
      <c r="R2024">
        <v>8.2617070000000001E-2</v>
      </c>
      <c r="S2024">
        <v>-3.0160830000000001</v>
      </c>
      <c r="T2024">
        <v>-3.7182090000000001E-2</v>
      </c>
      <c r="U2024">
        <v>0.34951779999999999</v>
      </c>
      <c r="V2024">
        <v>8.0245200000000003E-2</v>
      </c>
      <c r="W2024">
        <v>0.15294630000000001</v>
      </c>
      <c r="X2024">
        <v>0.98497109999999999</v>
      </c>
      <c r="Y2024">
        <v>0.1121935</v>
      </c>
      <c r="Z2024">
        <v>1.478481E-3</v>
      </c>
      <c r="AA2024">
        <v>0.99368529999999999</v>
      </c>
      <c r="AB2024">
        <v>25</v>
      </c>
      <c r="AC2024">
        <v>-84.246499999999898</v>
      </c>
      <c r="AD2024">
        <v>-1.0402864599999999</v>
      </c>
      <c r="AE2024">
        <v>9.7772999999999595</v>
      </c>
      <c r="AF2024">
        <v>9.5296785146262</v>
      </c>
      <c r="AG2024">
        <v>-1.0402864599999999</v>
      </c>
      <c r="AH2024">
        <v>84.262029891646705</v>
      </c>
      <c r="AI2024">
        <v>90.702849004728193</v>
      </c>
      <c r="AJ2024">
        <v>83.547507449144902</v>
      </c>
      <c r="AK2024">
        <v>84.805581478884704</v>
      </c>
      <c r="AL2024">
        <v>81.202291931040094</v>
      </c>
      <c r="AM2024">
        <v>85.342422248142498</v>
      </c>
      <c r="AN2024">
        <v>0.99999996532096902</v>
      </c>
    </row>
    <row r="2025" spans="1:40" x14ac:dyDescent="0.25">
      <c r="A2025" t="str">
        <f>"20190303170259744"</f>
        <v>20190303170259744</v>
      </c>
      <c r="B2025" t="str">
        <f>"1551603779738078"</f>
        <v>1551603779738078</v>
      </c>
      <c r="C2025" t="s">
        <v>40</v>
      </c>
      <c r="D2025">
        <v>4.2581179999999996</v>
      </c>
      <c r="E2025">
        <v>0.51737619999999995</v>
      </c>
      <c r="F2025" t="s">
        <v>62</v>
      </c>
      <c r="G2025">
        <v>-325.14519999999999</v>
      </c>
      <c r="H2025">
        <v>7.999966E-2</v>
      </c>
      <c r="I2025">
        <v>293.9409</v>
      </c>
      <c r="J2025">
        <v>-239.02799999999999</v>
      </c>
      <c r="K2025">
        <v>1.120296</v>
      </c>
      <c r="L2025">
        <v>283.83589999999998</v>
      </c>
      <c r="M2025">
        <v>-0.99989490000000003</v>
      </c>
      <c r="N2025">
        <v>-1.393614E-2</v>
      </c>
      <c r="O2025">
        <v>4.027559E-3</v>
      </c>
      <c r="P2025">
        <v>-0.98661569999999998</v>
      </c>
      <c r="Q2025">
        <v>0.1398382</v>
      </c>
      <c r="R2025">
        <v>8.387464E-2</v>
      </c>
      <c r="S2025">
        <v>-3.0157470000000002</v>
      </c>
      <c r="T2025">
        <v>-3.6368610000000003E-2</v>
      </c>
      <c r="U2025">
        <v>0.35333249999999999</v>
      </c>
      <c r="V2025">
        <v>8.0411200000000002E-2</v>
      </c>
      <c r="W2025">
        <v>0.153311999999999</v>
      </c>
      <c r="X2025">
        <v>0.98490069999999996</v>
      </c>
      <c r="Y2025">
        <v>0.1123475</v>
      </c>
      <c r="Z2025">
        <v>1.468254E-3</v>
      </c>
      <c r="AA2025">
        <v>0.99366790000000005</v>
      </c>
      <c r="AB2025">
        <v>25</v>
      </c>
      <c r="AC2025">
        <v>-86.117199999999997</v>
      </c>
      <c r="AD2025">
        <v>-1.04029634</v>
      </c>
      <c r="AE2025">
        <v>10.105</v>
      </c>
      <c r="AF2025">
        <v>9.7566378634888409</v>
      </c>
      <c r="AG2025">
        <v>-1.04029634</v>
      </c>
      <c r="AH2025">
        <v>86.144803747752306</v>
      </c>
      <c r="AI2025">
        <v>90.687483106518798</v>
      </c>
      <c r="AJ2025">
        <v>83.538296857259496</v>
      </c>
      <c r="AK2025">
        <v>86.7017958961234</v>
      </c>
      <c r="AL2025">
        <v>81.181088747306305</v>
      </c>
      <c r="AM2025">
        <v>85.332497693814403</v>
      </c>
      <c r="AN2025">
        <v>0.99999995964496402</v>
      </c>
    </row>
    <row r="2026" spans="1:40" x14ac:dyDescent="0.25">
      <c r="A2026" t="str">
        <f>"20190303170259758"</f>
        <v>20190303170259758</v>
      </c>
      <c r="B2026" t="str">
        <f>"1551603779747838"</f>
        <v>1551603779747838</v>
      </c>
      <c r="C2026" t="s">
        <v>40</v>
      </c>
      <c r="D2026">
        <v>4.3883609999999997</v>
      </c>
      <c r="E2026">
        <v>0.51739570000000001</v>
      </c>
      <c r="F2026" t="s">
        <v>62</v>
      </c>
      <c r="G2026">
        <v>-323.45679999999999</v>
      </c>
      <c r="H2026">
        <v>8.0000619999999995E-2</v>
      </c>
      <c r="I2026">
        <v>293.85309999999998</v>
      </c>
      <c r="J2026">
        <v>-239.1765</v>
      </c>
      <c r="K2026">
        <v>1.120304</v>
      </c>
      <c r="L2026">
        <v>283.83769999999998</v>
      </c>
      <c r="M2026">
        <v>-0.9998899</v>
      </c>
      <c r="N2026">
        <v>-1.393469E-2</v>
      </c>
      <c r="O2026">
        <v>5.1579219999999997E-3</v>
      </c>
      <c r="P2026">
        <v>-0.98649189999999998</v>
      </c>
      <c r="Q2026">
        <v>0.1399754</v>
      </c>
      <c r="R2026">
        <v>8.5095309999999993E-2</v>
      </c>
      <c r="S2026">
        <v>-3.015549</v>
      </c>
      <c r="T2026">
        <v>-3.7156340000000003E-2</v>
      </c>
      <c r="U2026">
        <v>0.3577881</v>
      </c>
      <c r="V2026">
        <v>8.0515809999999993E-2</v>
      </c>
      <c r="W2026">
        <v>0.15344769999999999</v>
      </c>
      <c r="X2026">
        <v>0.98487100000000005</v>
      </c>
      <c r="Y2026">
        <v>0.11267919999999999</v>
      </c>
      <c r="Z2026">
        <v>1.487969E-3</v>
      </c>
      <c r="AA2026">
        <v>0.99363029999999997</v>
      </c>
      <c r="AB2026">
        <v>25</v>
      </c>
      <c r="AC2026">
        <v>-84.280299999999897</v>
      </c>
      <c r="AD2026">
        <v>-1.0403033800000001</v>
      </c>
      <c r="AE2026">
        <v>10.0154</v>
      </c>
      <c r="AF2026">
        <v>9.5790743170461994</v>
      </c>
      <c r="AG2026">
        <v>-1.0403033800000001</v>
      </c>
      <c r="AH2026">
        <v>84.318174588343894</v>
      </c>
      <c r="AI2026">
        <v>90.702352345321103</v>
      </c>
      <c r="AJ2026">
        <v>83.518627892780799</v>
      </c>
      <c r="AK2026">
        <v>84.866927962571907</v>
      </c>
      <c r="AL2026">
        <v>81.173220428887504</v>
      </c>
      <c r="AM2026">
        <v>85.326312130274204</v>
      </c>
      <c r="AN2026">
        <v>0.99999993946812105</v>
      </c>
    </row>
    <row r="2027" spans="1:40" x14ac:dyDescent="0.25">
      <c r="A2027" t="str">
        <f>"20190303170259777"</f>
        <v>20190303170259777</v>
      </c>
      <c r="B2027" t="str">
        <f>"1551603779767358"</f>
        <v>1551603779767358</v>
      </c>
      <c r="C2027" t="s">
        <v>40</v>
      </c>
      <c r="D2027">
        <v>4.1674680000000004</v>
      </c>
      <c r="E2027">
        <v>0.51743379999999894</v>
      </c>
      <c r="F2027" t="s">
        <v>62</v>
      </c>
      <c r="G2027">
        <v>-322.34660000000002</v>
      </c>
      <c r="H2027">
        <v>8.0000299999999996E-2</v>
      </c>
      <c r="I2027">
        <v>293.80079999999998</v>
      </c>
      <c r="J2027">
        <v>-239.38900000000001</v>
      </c>
      <c r="K2027">
        <v>1.1203190000000001</v>
      </c>
      <c r="L2027">
        <v>283.84059999999999</v>
      </c>
      <c r="M2027">
        <v>-0.99987999999999999</v>
      </c>
      <c r="N2027">
        <v>-1.3932770000000001E-2</v>
      </c>
      <c r="O2027">
        <v>6.774006E-3</v>
      </c>
      <c r="P2027">
        <v>-0.98641109999999999</v>
      </c>
      <c r="Q2027">
        <v>0.13991110000000001</v>
      </c>
      <c r="R2027">
        <v>8.6129990000000003E-2</v>
      </c>
      <c r="S2027">
        <v>-3.0152890000000001</v>
      </c>
      <c r="T2027">
        <v>-3.771567E-2</v>
      </c>
      <c r="U2027">
        <v>0.36120609999999997</v>
      </c>
      <c r="V2027">
        <v>7.9952809999999999E-2</v>
      </c>
      <c r="W2027">
        <v>0.15338499999999999</v>
      </c>
      <c r="X2027">
        <v>0.98492670000000004</v>
      </c>
      <c r="Y2027">
        <v>0.1121934</v>
      </c>
      <c r="Z2027">
        <v>1.493252E-3</v>
      </c>
      <c r="AA2027">
        <v>0.99368520000000005</v>
      </c>
      <c r="AB2027">
        <v>25</v>
      </c>
      <c r="AC2027">
        <v>-82.957599999999999</v>
      </c>
      <c r="AD2027">
        <v>-1.0403187</v>
      </c>
      <c r="AE2027">
        <v>9.9601999999999808</v>
      </c>
      <c r="AF2027">
        <v>9.3965049020063596</v>
      </c>
      <c r="AG2027">
        <v>-1.0403187</v>
      </c>
      <c r="AH2027">
        <v>83.010304508923795</v>
      </c>
      <c r="AI2027">
        <v>90.713460339731</v>
      </c>
      <c r="AJ2027">
        <v>83.541788827723593</v>
      </c>
      <c r="AK2027">
        <v>83.546916292794805</v>
      </c>
      <c r="AL2027">
        <v>81.176856515145303</v>
      </c>
      <c r="AM2027">
        <v>85.359110552297096</v>
      </c>
      <c r="AN2027">
        <v>1.00000000721239</v>
      </c>
    </row>
    <row r="2028" spans="1:40" x14ac:dyDescent="0.25">
      <c r="A2028" t="str">
        <f>"20190303170259798"</f>
        <v>20190303170259798</v>
      </c>
      <c r="B2028" t="str">
        <f>"1551603779787854"</f>
        <v>1551603779787854</v>
      </c>
      <c r="C2028" t="s">
        <v>40</v>
      </c>
      <c r="D2028">
        <v>4.4500330000000003</v>
      </c>
      <c r="E2028">
        <v>0.51743409999999901</v>
      </c>
      <c r="F2028" t="s">
        <v>62</v>
      </c>
      <c r="G2028">
        <v>-321.17750000000001</v>
      </c>
      <c r="H2028">
        <v>7.9999979999999998E-2</v>
      </c>
      <c r="I2028">
        <v>293.72449999999998</v>
      </c>
      <c r="J2028">
        <v>-239.6293</v>
      </c>
      <c r="K2028">
        <v>1.120328</v>
      </c>
      <c r="L2028">
        <v>283.84429999999998</v>
      </c>
      <c r="M2028">
        <v>-0.99986609999999998</v>
      </c>
      <c r="N2028">
        <v>-1.3930629999999999E-2</v>
      </c>
      <c r="O2028">
        <v>8.5938950000000007E-3</v>
      </c>
      <c r="P2028">
        <v>-0.98636190000000001</v>
      </c>
      <c r="Q2028">
        <v>0.14020940000000001</v>
      </c>
      <c r="R2028">
        <v>8.6205669999999998E-2</v>
      </c>
      <c r="S2028">
        <v>-3.0149689999999998</v>
      </c>
      <c r="T2028">
        <v>-3.8349269999999998E-2</v>
      </c>
      <c r="U2028">
        <v>0.36434939999999999</v>
      </c>
      <c r="V2028">
        <v>7.8229640000000003E-2</v>
      </c>
      <c r="W2028">
        <v>0.1536904</v>
      </c>
      <c r="X2028">
        <v>0.98501749999999999</v>
      </c>
      <c r="Y2028">
        <v>0.11141810000000001</v>
      </c>
      <c r="Z2028">
        <v>1.4953919999999999E-3</v>
      </c>
      <c r="AA2028">
        <v>0.99377249999999995</v>
      </c>
      <c r="AB2028">
        <v>25</v>
      </c>
      <c r="AC2028">
        <v>-81.548199999999994</v>
      </c>
      <c r="AD2028">
        <v>-1.04032802</v>
      </c>
      <c r="AE2028">
        <v>9.8802000000000003</v>
      </c>
      <c r="AF2028">
        <v>9.1774784441088695</v>
      </c>
      <c r="AG2028">
        <v>-1.04032802</v>
      </c>
      <c r="AH2028">
        <v>81.617014896202406</v>
      </c>
      <c r="AI2028">
        <v>90.725705800687095</v>
      </c>
      <c r="AJ2028">
        <v>83.584288288530303</v>
      </c>
      <c r="AK2028">
        <v>82.137966334382796</v>
      </c>
      <c r="AL2028">
        <v>81.159148756399901</v>
      </c>
      <c r="AM2028">
        <v>85.459126484136107</v>
      </c>
      <c r="AN2028">
        <v>1.0000000454664599</v>
      </c>
    </row>
    <row r="2029" spans="1:40" x14ac:dyDescent="0.25">
      <c r="A2029" t="str">
        <f>"20190303170259810"</f>
        <v>20190303170259810</v>
      </c>
      <c r="B2029" t="str">
        <f>"1551603779797614"</f>
        <v>1551603779797614</v>
      </c>
      <c r="C2029" t="s">
        <v>40</v>
      </c>
      <c r="D2029">
        <v>4.3806120000000002</v>
      </c>
      <c r="E2029">
        <v>0.51734899999999995</v>
      </c>
      <c r="F2029" t="s">
        <v>62</v>
      </c>
      <c r="G2029">
        <v>-322.5385</v>
      </c>
      <c r="H2029">
        <v>8.0000360000000006E-2</v>
      </c>
      <c r="I2029">
        <v>293.88310000000001</v>
      </c>
      <c r="J2029">
        <v>-239.7672</v>
      </c>
      <c r="K2029">
        <v>1.120336</v>
      </c>
      <c r="L2029">
        <v>283.84660000000002</v>
      </c>
      <c r="M2029">
        <v>-0.99985659999999998</v>
      </c>
      <c r="N2029">
        <v>-1.3929250000000001E-2</v>
      </c>
      <c r="O2029">
        <v>9.6332020000000004E-3</v>
      </c>
      <c r="P2029">
        <v>-0.98617149999999998</v>
      </c>
      <c r="Q2029">
        <v>0.14107809999999901</v>
      </c>
      <c r="R2029">
        <v>8.6966260000000004E-2</v>
      </c>
      <c r="S2029">
        <v>-3.0149379999999999</v>
      </c>
      <c r="T2029">
        <v>-3.7830830000000003E-2</v>
      </c>
      <c r="U2029">
        <v>0.36505130000000002</v>
      </c>
      <c r="V2029">
        <v>7.7966170000000001E-2</v>
      </c>
      <c r="W2029">
        <v>0.15455869999999999</v>
      </c>
      <c r="X2029">
        <v>0.98490250000000001</v>
      </c>
      <c r="Y2029">
        <v>0.1106148</v>
      </c>
      <c r="Z2029">
        <v>1.4780399999999999E-3</v>
      </c>
      <c r="AA2029">
        <v>0.99386229999999998</v>
      </c>
      <c r="AB2029">
        <v>25</v>
      </c>
      <c r="AC2029">
        <v>-82.771299999999997</v>
      </c>
      <c r="AD2029">
        <v>-1.0403356399999999</v>
      </c>
      <c r="AE2029">
        <v>10.036499999999901</v>
      </c>
      <c r="AF2029">
        <v>9.2371661189968197</v>
      </c>
      <c r="AG2029">
        <v>-1.0403356399999999</v>
      </c>
      <c r="AH2029">
        <v>82.851252898988903</v>
      </c>
      <c r="AI2029">
        <v>90.714976771454005</v>
      </c>
      <c r="AJ2029">
        <v>83.638310554047607</v>
      </c>
      <c r="AK2029">
        <v>83.371083974517305</v>
      </c>
      <c r="AL2029">
        <v>81.108797018626404</v>
      </c>
      <c r="AM2029">
        <v>85.473829846551595</v>
      </c>
      <c r="AN2029">
        <v>1.0000000249582</v>
      </c>
    </row>
    <row r="2030" spans="1:40" x14ac:dyDescent="0.25">
      <c r="A2030" t="str">
        <f>"20190303170259824"</f>
        <v>20190303170259824</v>
      </c>
      <c r="B2030" t="str">
        <f>"1551603779818111"</f>
        <v>1551603779818111</v>
      </c>
      <c r="C2030" t="s">
        <v>40</v>
      </c>
      <c r="D2030">
        <v>4.2728349999999997</v>
      </c>
      <c r="E2030">
        <v>0.51723220000000003</v>
      </c>
      <c r="F2030" t="s">
        <v>62</v>
      </c>
      <c r="G2030">
        <v>-328.13170000000002</v>
      </c>
      <c r="H2030">
        <v>8.0000500000000002E-2</v>
      </c>
      <c r="I2030">
        <v>294.601</v>
      </c>
      <c r="J2030">
        <v>-239.93039999999999</v>
      </c>
      <c r="K2030">
        <v>1.120347</v>
      </c>
      <c r="L2030">
        <v>283.84960000000001</v>
      </c>
      <c r="M2030">
        <v>-0.99984430000000002</v>
      </c>
      <c r="N2030">
        <v>-1.392753E-2</v>
      </c>
      <c r="O2030">
        <v>1.0853659999999999E-2</v>
      </c>
      <c r="P2030">
        <v>-0.98597630000000003</v>
      </c>
      <c r="Q2030">
        <v>0.142045799999999</v>
      </c>
      <c r="R2030">
        <v>8.7602689999999997E-2</v>
      </c>
      <c r="S2030">
        <v>-3.014786</v>
      </c>
      <c r="T2030">
        <v>-3.5493730000000001E-2</v>
      </c>
      <c r="U2030">
        <v>0.36691279999999998</v>
      </c>
      <c r="V2030">
        <v>7.7398739999999994E-2</v>
      </c>
      <c r="W2030">
        <v>0.15552669999999999</v>
      </c>
      <c r="X2030">
        <v>0.98479490000000003</v>
      </c>
      <c r="Y2030">
        <v>0.11001420000000001</v>
      </c>
      <c r="Z2030">
        <v>1.4375900000000001E-3</v>
      </c>
      <c r="AA2030">
        <v>0.99392899999999995</v>
      </c>
      <c r="AB2030">
        <v>25</v>
      </c>
      <c r="AC2030">
        <v>-88.201300000000003</v>
      </c>
      <c r="AD2030">
        <v>-1.0403465000000001</v>
      </c>
      <c r="AE2030">
        <v>10.751399999999901</v>
      </c>
      <c r="AF2030">
        <v>9.7920246285920598</v>
      </c>
      <c r="AG2030">
        <v>-1.0403465000000001</v>
      </c>
      <c r="AH2030">
        <v>88.300702039577402</v>
      </c>
      <c r="AI2030">
        <v>90.670907358588096</v>
      </c>
      <c r="AJ2030">
        <v>83.672092179702105</v>
      </c>
      <c r="AK2030">
        <v>88.848072842629804</v>
      </c>
      <c r="AL2030">
        <v>81.052656121908001</v>
      </c>
      <c r="AM2030">
        <v>85.506146530370103</v>
      </c>
      <c r="AN2030">
        <v>1.00000005721624</v>
      </c>
    </row>
    <row r="2031" spans="1:40" x14ac:dyDescent="0.25">
      <c r="A2031" t="str">
        <f>"20190303170259843"</f>
        <v>20190303170259843</v>
      </c>
      <c r="B2031" t="str">
        <f>"1551603779837630"</f>
        <v>1551603779837630</v>
      </c>
      <c r="C2031" t="s">
        <v>40</v>
      </c>
      <c r="D2031">
        <v>4.2450599999999996</v>
      </c>
      <c r="E2031">
        <v>0.51713450000000005</v>
      </c>
      <c r="F2031" t="s">
        <v>44</v>
      </c>
      <c r="G2031">
        <v>-345.0951</v>
      </c>
      <c r="H2031">
        <v>-0.05</v>
      </c>
      <c r="I2031">
        <v>296.68459999999999</v>
      </c>
      <c r="J2031">
        <v>-240.14580000000001</v>
      </c>
      <c r="K2031">
        <v>1.120371</v>
      </c>
      <c r="L2031">
        <v>283.85379999999998</v>
      </c>
      <c r="M2031">
        <v>-0.99982579999999999</v>
      </c>
      <c r="N2031">
        <v>-1.3924270000000001E-2</v>
      </c>
      <c r="O2031">
        <v>1.244017E-2</v>
      </c>
      <c r="P2031">
        <v>-0.98570389999999997</v>
      </c>
      <c r="Q2031">
        <v>0.1431066</v>
      </c>
      <c r="R2031">
        <v>8.892883E-2</v>
      </c>
      <c r="S2031">
        <v>-3.0148470000000001</v>
      </c>
      <c r="T2031">
        <v>-3.3551339999999999E-2</v>
      </c>
      <c r="U2031">
        <v>0.36795040000000001</v>
      </c>
      <c r="V2031">
        <v>7.7157219999999999E-2</v>
      </c>
      <c r="W2031">
        <v>0.15658739999999999</v>
      </c>
      <c r="X2031">
        <v>0.98464569999999996</v>
      </c>
      <c r="Y2031">
        <v>0.1087731</v>
      </c>
      <c r="Z2031">
        <v>1.3979050000000001E-3</v>
      </c>
      <c r="AA2031">
        <v>0.99406559999999999</v>
      </c>
      <c r="AB2031">
        <v>25</v>
      </c>
      <c r="AC2031">
        <v>-104.94929999999999</v>
      </c>
      <c r="AD2031">
        <v>-1.1703709999999901</v>
      </c>
      <c r="AE2031">
        <v>12.8308</v>
      </c>
      <c r="AF2031">
        <v>11.5226815140035</v>
      </c>
      <c r="AG2031">
        <v>-1.1703709999999901</v>
      </c>
      <c r="AH2031">
        <v>105.087933544889</v>
      </c>
      <c r="AI2031">
        <v>90.634279196571896</v>
      </c>
      <c r="AJ2031">
        <v>83.742629390008204</v>
      </c>
      <c r="AK2031">
        <v>105.72424383406999</v>
      </c>
      <c r="AL2031">
        <v>80.991128159981599</v>
      </c>
      <c r="AM2031">
        <v>85.519436209702306</v>
      </c>
      <c r="AN2031">
        <v>1.0000000024826801</v>
      </c>
    </row>
    <row r="2032" spans="1:40" x14ac:dyDescent="0.25">
      <c r="A2032" t="str">
        <f>"20190303170259856"</f>
        <v>20190303170259856</v>
      </c>
      <c r="B2032" t="str">
        <f>"1551603779847390"</f>
        <v>1551603779847390</v>
      </c>
      <c r="C2032" t="s">
        <v>40</v>
      </c>
      <c r="D2032">
        <v>4.3085290000000001</v>
      </c>
      <c r="E2032">
        <v>0.51709689999999997</v>
      </c>
      <c r="F2032" t="s">
        <v>44</v>
      </c>
      <c r="G2032">
        <v>-353.03160000000003</v>
      </c>
      <c r="H2032">
        <v>-0.05</v>
      </c>
      <c r="I2032">
        <v>297.75369999999998</v>
      </c>
      <c r="J2032">
        <v>-240.2876</v>
      </c>
      <c r="K2032">
        <v>1.1203909999999999</v>
      </c>
      <c r="L2032">
        <v>283.85669999999999</v>
      </c>
      <c r="M2032">
        <v>-0.99981240000000005</v>
      </c>
      <c r="N2032">
        <v>-1.3921060000000001E-2</v>
      </c>
      <c r="O2032">
        <v>1.346692E-2</v>
      </c>
      <c r="P2032">
        <v>-0.98553109999999999</v>
      </c>
      <c r="Q2032">
        <v>0.14343900000000001</v>
      </c>
      <c r="R2032">
        <v>9.029711E-2</v>
      </c>
      <c r="S2032">
        <v>-3.014526</v>
      </c>
      <c r="T2032">
        <v>-3.125381E-2</v>
      </c>
      <c r="U2032">
        <v>0.3711853</v>
      </c>
      <c r="V2032">
        <v>7.7507670000000001E-2</v>
      </c>
      <c r="W2032">
        <v>0.15691849999999999</v>
      </c>
      <c r="X2032">
        <v>0.98456540000000003</v>
      </c>
      <c r="Y2032">
        <v>0.10881739999999999</v>
      </c>
      <c r="Z2032">
        <v>1.3700800000000001E-3</v>
      </c>
      <c r="AA2032">
        <v>0.99406079999999997</v>
      </c>
      <c r="AB2032">
        <v>25</v>
      </c>
      <c r="AC2032">
        <v>-112.744</v>
      </c>
      <c r="AD2032">
        <v>-1.170391</v>
      </c>
      <c r="AE2032">
        <v>13.896999999999901</v>
      </c>
      <c r="AF2032">
        <v>12.3759642255978</v>
      </c>
      <c r="AG2032">
        <v>-1.170391</v>
      </c>
      <c r="AH2032">
        <v>112.908956511266</v>
      </c>
      <c r="AI2032">
        <v>90.590359425182498</v>
      </c>
      <c r="AJ2032">
        <v>83.744773882413199</v>
      </c>
      <c r="AK2032">
        <v>113.59122662454701</v>
      </c>
      <c r="AL2032">
        <v>80.971919511686195</v>
      </c>
      <c r="AM2032">
        <v>85.498803233463505</v>
      </c>
      <c r="AN2032">
        <v>0.99999994071411702</v>
      </c>
    </row>
    <row r="2033" spans="1:40" x14ac:dyDescent="0.25">
      <c r="A2033" t="str">
        <f>"20190303170259867"</f>
        <v>20190303170259867</v>
      </c>
      <c r="B2033" t="str">
        <f>"1551603779858127"</f>
        <v>1551603779858127</v>
      </c>
      <c r="C2033" t="s">
        <v>40</v>
      </c>
      <c r="D2033">
        <v>4.2740900000000002</v>
      </c>
      <c r="E2033">
        <v>0.51707899999999996</v>
      </c>
      <c r="F2033" t="s">
        <v>44</v>
      </c>
      <c r="G2033">
        <v>-355.15859999999998</v>
      </c>
      <c r="H2033">
        <v>-0.05</v>
      </c>
      <c r="I2033">
        <v>298.15519999999998</v>
      </c>
      <c r="J2033">
        <v>-240.428</v>
      </c>
      <c r="K2033">
        <v>1.1204259999999999</v>
      </c>
      <c r="L2033">
        <v>283.85969999999998</v>
      </c>
      <c r="M2033">
        <v>-0.99979879999999999</v>
      </c>
      <c r="N2033">
        <v>-1.391394E-2</v>
      </c>
      <c r="O2033">
        <v>1.4449170000000001E-2</v>
      </c>
      <c r="P2033">
        <v>-0.98535569999999895</v>
      </c>
      <c r="Q2033">
        <v>0.1439146</v>
      </c>
      <c r="R2033">
        <v>9.1447829999999994E-2</v>
      </c>
      <c r="S2033">
        <v>-3.0141450000000001</v>
      </c>
      <c r="T2033">
        <v>-3.0710339999999999E-2</v>
      </c>
      <c r="U2033">
        <v>0.37518309999999999</v>
      </c>
      <c r="V2033">
        <v>7.7681630000000002E-2</v>
      </c>
      <c r="W2033">
        <v>0.1573908</v>
      </c>
      <c r="X2033">
        <v>0.98447629999999997</v>
      </c>
      <c r="Y2033">
        <v>0.1091549</v>
      </c>
      <c r="Z2033">
        <v>1.3700349999999999E-3</v>
      </c>
      <c r="AA2033">
        <v>0.99402380000000001</v>
      </c>
      <c r="AB2033">
        <v>25</v>
      </c>
      <c r="AC2033">
        <v>-114.730599999999</v>
      </c>
      <c r="AD2033">
        <v>-1.170426</v>
      </c>
      <c r="AE2033">
        <v>14.295500000000001</v>
      </c>
      <c r="AF2033">
        <v>12.634790102127999</v>
      </c>
      <c r="AG2033">
        <v>-1.170426</v>
      </c>
      <c r="AH2033">
        <v>114.91342220448099</v>
      </c>
      <c r="AI2033">
        <v>90.580058265405597</v>
      </c>
      <c r="AJ2033">
        <v>83.725502836298304</v>
      </c>
      <c r="AK2033">
        <v>115.61186107269199</v>
      </c>
      <c r="AL2033">
        <v>80.944518240367998</v>
      </c>
      <c r="AM2033">
        <v>85.488335693317296</v>
      </c>
      <c r="AN2033">
        <v>0.99999994241289103</v>
      </c>
    </row>
    <row r="2034" spans="1:40" x14ac:dyDescent="0.25">
      <c r="A2034" t="str">
        <f>"20190303170259881"</f>
        <v>20190303170259881</v>
      </c>
      <c r="B2034" t="str">
        <f>"1551603779867886"</f>
        <v>1551603779867886</v>
      </c>
      <c r="C2034" t="s">
        <v>40</v>
      </c>
      <c r="D2034">
        <v>4.2317749999999998</v>
      </c>
      <c r="E2034">
        <v>0.51707609999999904</v>
      </c>
      <c r="F2034" t="s">
        <v>44</v>
      </c>
      <c r="G2034">
        <v>-357.67540000000002</v>
      </c>
      <c r="H2034">
        <v>-0.05</v>
      </c>
      <c r="I2034">
        <v>298.5643</v>
      </c>
      <c r="J2034">
        <v>-240.56610000000001</v>
      </c>
      <c r="K2034">
        <v>1.1204609999999999</v>
      </c>
      <c r="L2034">
        <v>283.86270000000002</v>
      </c>
      <c r="M2034">
        <v>-0.99978480000000003</v>
      </c>
      <c r="N2034">
        <v>-1.390563E-2</v>
      </c>
      <c r="O2034">
        <v>1.5392090000000001E-2</v>
      </c>
      <c r="P2034">
        <v>-0.98519710000000005</v>
      </c>
      <c r="Q2034">
        <v>0.14411669999999999</v>
      </c>
      <c r="R2034">
        <v>9.2827350000000003E-2</v>
      </c>
      <c r="S2034">
        <v>-3.013916</v>
      </c>
      <c r="T2034">
        <v>-3.0086519999999999E-2</v>
      </c>
      <c r="U2034">
        <v>0.37799070000000001</v>
      </c>
      <c r="V2034">
        <v>7.8120659999999995E-2</v>
      </c>
      <c r="W2034">
        <v>0.1575886</v>
      </c>
      <c r="X2034">
        <v>0.98441000000000001</v>
      </c>
      <c r="Y2034">
        <v>0.10913879999999999</v>
      </c>
      <c r="Z2034">
        <v>1.3647310000000001E-3</v>
      </c>
      <c r="AA2034">
        <v>0.99402559999999995</v>
      </c>
      <c r="AB2034">
        <v>25</v>
      </c>
      <c r="AC2034">
        <v>-117.1093</v>
      </c>
      <c r="AD2034">
        <v>-1.170461</v>
      </c>
      <c r="AE2034">
        <v>14.7015999999999</v>
      </c>
      <c r="AF2034">
        <v>12.895858575134699</v>
      </c>
      <c r="AG2034">
        <v>-1.170461</v>
      </c>
      <c r="AH2034">
        <v>117.31019762528101</v>
      </c>
      <c r="AI2034">
        <v>90.568226110556907</v>
      </c>
      <c r="AJ2034">
        <v>83.726689124465693</v>
      </c>
      <c r="AK2034">
        <v>118.022691098894</v>
      </c>
      <c r="AL2034">
        <v>80.9330426836204</v>
      </c>
      <c r="AM2034">
        <v>85.462639176413703</v>
      </c>
      <c r="AN2034">
        <v>1.00000002623439</v>
      </c>
    </row>
    <row r="2035" spans="1:40" x14ac:dyDescent="0.25">
      <c r="A2035" t="str">
        <f>"20190303170259901"</f>
        <v>20190303170259901</v>
      </c>
      <c r="B2035" t="str">
        <f>"1551603779887405"</f>
        <v>1551603779887405</v>
      </c>
      <c r="C2035" t="s">
        <v>40</v>
      </c>
      <c r="D2035">
        <v>4.2387230000000002</v>
      </c>
      <c r="E2035">
        <v>0.51700219999999997</v>
      </c>
      <c r="F2035" t="s">
        <v>44</v>
      </c>
      <c r="G2035">
        <v>-357.85469999999998</v>
      </c>
      <c r="H2035">
        <v>-0.05</v>
      </c>
      <c r="I2035">
        <v>298.7242</v>
      </c>
      <c r="J2035">
        <v>-240.7843</v>
      </c>
      <c r="K2035">
        <v>1.1205259999999999</v>
      </c>
      <c r="L2035">
        <v>283.86770000000001</v>
      </c>
      <c r="M2035">
        <v>-0.99976229999999999</v>
      </c>
      <c r="N2035">
        <v>-1.388986E-2</v>
      </c>
      <c r="O2035">
        <v>1.6810080000000002E-2</v>
      </c>
      <c r="P2035">
        <v>-0.98505699999999996</v>
      </c>
      <c r="Q2035">
        <v>0.14381259999999901</v>
      </c>
      <c r="R2035">
        <v>9.4766950000000003E-2</v>
      </c>
      <c r="S2035">
        <v>-3.0134889999999999</v>
      </c>
      <c r="T2035">
        <v>-3.007257E-2</v>
      </c>
      <c r="U2035">
        <v>0.38183590000000001</v>
      </c>
      <c r="V2035">
        <v>7.8635869999999997E-2</v>
      </c>
      <c r="W2035">
        <v>0.15728010000000001</v>
      </c>
      <c r="X2035">
        <v>0.98441829999999997</v>
      </c>
      <c r="Y2035">
        <v>0.10899499999999999</v>
      </c>
      <c r="Z2035">
        <v>1.3673400000000001E-3</v>
      </c>
      <c r="AA2035">
        <v>0.99404139999999996</v>
      </c>
      <c r="AB2035">
        <v>25</v>
      </c>
      <c r="AC2035">
        <v>-117.070399999999</v>
      </c>
      <c r="AD2035">
        <v>-1.170526</v>
      </c>
      <c r="AE2035">
        <v>14.856499999999899</v>
      </c>
      <c r="AF2035">
        <v>12.884980195995499</v>
      </c>
      <c r="AG2035">
        <v>-1.170526</v>
      </c>
      <c r="AH2035">
        <v>117.292078061027</v>
      </c>
      <c r="AI2035">
        <v>90.568350119426199</v>
      </c>
      <c r="AJ2035">
        <v>83.730978278649005</v>
      </c>
      <c r="AK2035">
        <v>118.00349326033501</v>
      </c>
      <c r="AL2035">
        <v>80.950941489528603</v>
      </c>
      <c r="AM2035">
        <v>85.432879565276806</v>
      </c>
      <c r="AN2035">
        <v>1.00000000964077</v>
      </c>
    </row>
    <row r="2036" spans="1:40" x14ac:dyDescent="0.25">
      <c r="A2036" t="str">
        <f>"20190303170259914"</f>
        <v>20190303170259914</v>
      </c>
      <c r="B2036" t="str">
        <f>"1551603779907901"</f>
        <v>1551603779907901</v>
      </c>
      <c r="C2036" t="s">
        <v>40</v>
      </c>
      <c r="D2036">
        <v>4.3068179999999998</v>
      </c>
      <c r="E2036">
        <v>0.51689770000000002</v>
      </c>
      <c r="F2036" t="s">
        <v>44</v>
      </c>
      <c r="G2036">
        <v>-350.96370000000002</v>
      </c>
      <c r="H2036">
        <v>-0.05</v>
      </c>
      <c r="I2036">
        <v>297.99110000000002</v>
      </c>
      <c r="J2036">
        <v>-240.95179999999999</v>
      </c>
      <c r="K2036">
        <v>1.1205879999999999</v>
      </c>
      <c r="L2036">
        <v>283.87169999999998</v>
      </c>
      <c r="M2036">
        <v>-0.99974450000000004</v>
      </c>
      <c r="N2036">
        <v>-1.3877489999999999E-2</v>
      </c>
      <c r="O2036">
        <v>1.7835489999999999E-2</v>
      </c>
      <c r="P2036">
        <v>-0.98494400000000004</v>
      </c>
      <c r="Q2036">
        <v>0.14380270000000001</v>
      </c>
      <c r="R2036">
        <v>9.594772E-2</v>
      </c>
      <c r="S2036">
        <v>-3.0130620000000001</v>
      </c>
      <c r="T2036">
        <v>-3.2010200000000003E-2</v>
      </c>
      <c r="U2036">
        <v>0.38623049999999998</v>
      </c>
      <c r="V2036">
        <v>7.8781710000000005E-2</v>
      </c>
      <c r="W2036">
        <v>0.1572703</v>
      </c>
      <c r="X2036">
        <v>0.98440819999999996</v>
      </c>
      <c r="Y2036">
        <v>0.1094183</v>
      </c>
      <c r="Z2036">
        <v>1.399197E-3</v>
      </c>
      <c r="AA2036">
        <v>0.99399479999999996</v>
      </c>
      <c r="AB2036">
        <v>25</v>
      </c>
      <c r="AC2036">
        <v>-110.0119</v>
      </c>
      <c r="AD2036">
        <v>-1.170588</v>
      </c>
      <c r="AE2036">
        <v>14.119400000000001</v>
      </c>
      <c r="AF2036">
        <v>12.153494579810801</v>
      </c>
      <c r="AG2036">
        <v>-1.170588</v>
      </c>
      <c r="AH2036">
        <v>110.23396968612001</v>
      </c>
      <c r="AI2036">
        <v>90.604743924238505</v>
      </c>
      <c r="AJ2036">
        <v>83.708446790208797</v>
      </c>
      <c r="AK2036">
        <v>110.90809609549601</v>
      </c>
      <c r="AL2036">
        <v>80.951510018731696</v>
      </c>
      <c r="AM2036">
        <v>85.424398459957104</v>
      </c>
      <c r="AN2036">
        <v>1.00000000465992</v>
      </c>
    </row>
    <row r="2037" spans="1:40" x14ac:dyDescent="0.25">
      <c r="A2037" t="str">
        <f>"20190303170259932"</f>
        <v>20190303170259932</v>
      </c>
      <c r="B2037" t="str">
        <f>"1551603779917661"</f>
        <v>1551603779917661</v>
      </c>
      <c r="C2037" t="s">
        <v>40</v>
      </c>
      <c r="D2037">
        <v>4.4348519999999896</v>
      </c>
      <c r="E2037">
        <v>0.51683729999999894</v>
      </c>
      <c r="F2037" t="s">
        <v>44</v>
      </c>
      <c r="G2037">
        <v>-348.54059999999998</v>
      </c>
      <c r="H2037">
        <v>-0.05</v>
      </c>
      <c r="I2037">
        <v>297.74799999999999</v>
      </c>
      <c r="J2037">
        <v>-241.14420000000001</v>
      </c>
      <c r="K2037">
        <v>1.1206750000000001</v>
      </c>
      <c r="L2037">
        <v>283.87639999999999</v>
      </c>
      <c r="M2037">
        <v>-0.99972510000000003</v>
      </c>
      <c r="N2037">
        <v>-1.386424E-2</v>
      </c>
      <c r="O2037">
        <v>1.89088E-2</v>
      </c>
      <c r="P2037">
        <v>-0.98498540000000001</v>
      </c>
      <c r="Q2037">
        <v>0.1431441</v>
      </c>
      <c r="R2037">
        <v>9.6507369999999995E-2</v>
      </c>
      <c r="S2037">
        <v>-3.0128170000000001</v>
      </c>
      <c r="T2037">
        <v>-3.2780049999999998E-2</v>
      </c>
      <c r="U2037">
        <v>0.38858029999999999</v>
      </c>
      <c r="V2037">
        <v>7.8246389999999999E-2</v>
      </c>
      <c r="W2037">
        <v>0.15661849999999999</v>
      </c>
      <c r="X2037">
        <v>0.98455479999999995</v>
      </c>
      <c r="Y2037">
        <v>0.109123499999999</v>
      </c>
      <c r="Z2037">
        <v>1.4072170000000001E-3</v>
      </c>
      <c r="AA2037">
        <v>0.9940272</v>
      </c>
      <c r="AB2037">
        <v>25</v>
      </c>
      <c r="AC2037">
        <v>-107.39639999999901</v>
      </c>
      <c r="AD2037">
        <v>-1.1706749999999999</v>
      </c>
      <c r="AE2037">
        <v>13.871600000000001</v>
      </c>
      <c r="AF2037">
        <v>11.8368038629922</v>
      </c>
      <c r="AG2037">
        <v>-1.1706749999999999</v>
      </c>
      <c r="AH2037">
        <v>107.626937215327</v>
      </c>
      <c r="AI2037">
        <v>90.619455776811705</v>
      </c>
      <c r="AJ2037">
        <v>83.723837248562504</v>
      </c>
      <c r="AK2037">
        <v>108.282214698437</v>
      </c>
      <c r="AL2037">
        <v>80.989324006912199</v>
      </c>
      <c r="AM2037">
        <v>85.456032749627298</v>
      </c>
      <c r="AN2037">
        <v>1.00000000314666</v>
      </c>
    </row>
    <row r="2038" spans="1:40" x14ac:dyDescent="0.25">
      <c r="A2038" t="str">
        <f>"20190303170259944"</f>
        <v>20190303170259944</v>
      </c>
      <c r="B2038" t="str">
        <f>"1551603779937182"</f>
        <v>1551603779937182</v>
      </c>
      <c r="C2038" t="s">
        <v>40</v>
      </c>
      <c r="D2038">
        <v>4.2678039999999999</v>
      </c>
      <c r="E2038">
        <v>0.51676460000000002</v>
      </c>
      <c r="F2038" t="s">
        <v>44</v>
      </c>
      <c r="G2038">
        <v>-340.8313</v>
      </c>
      <c r="H2038">
        <v>-0.05</v>
      </c>
      <c r="I2038">
        <v>296.7654</v>
      </c>
      <c r="J2038">
        <v>-241.28450000000001</v>
      </c>
      <c r="K2038">
        <v>1.120749</v>
      </c>
      <c r="L2038">
        <v>283.87990000000002</v>
      </c>
      <c r="M2038">
        <v>-0.99971160000000003</v>
      </c>
      <c r="N2038">
        <v>-1.3854790000000001E-2</v>
      </c>
      <c r="O2038">
        <v>1.9615E-2</v>
      </c>
      <c r="P2038">
        <v>-0.98501000000000005</v>
      </c>
      <c r="Q2038">
        <v>0.14281489999999999</v>
      </c>
      <c r="R2038">
        <v>9.6743949999999995E-2</v>
      </c>
      <c r="S2038">
        <v>-3.0127109999999999</v>
      </c>
      <c r="T2038">
        <v>-3.5379769999999998E-2</v>
      </c>
      <c r="U2038">
        <v>0.38952639999999999</v>
      </c>
      <c r="V2038">
        <v>7.7756729999999996E-2</v>
      </c>
      <c r="W2038">
        <v>0.1562964</v>
      </c>
      <c r="X2038">
        <v>0.98464479999999999</v>
      </c>
      <c r="Y2038">
        <v>0.1087312</v>
      </c>
      <c r="Z2038">
        <v>1.43366E-3</v>
      </c>
      <c r="AA2038">
        <v>0.99407020000000001</v>
      </c>
      <c r="AB2038">
        <v>25</v>
      </c>
      <c r="AC2038">
        <v>-99.546800000000005</v>
      </c>
      <c r="AD2038">
        <v>-1.170749</v>
      </c>
      <c r="AE2038">
        <v>12.885499999999899</v>
      </c>
      <c r="AF2038">
        <v>10.9287358089785</v>
      </c>
      <c r="AG2038">
        <v>-1.170749</v>
      </c>
      <c r="AH2038">
        <v>99.766845629909497</v>
      </c>
      <c r="AI2038">
        <v>90.668329013606098</v>
      </c>
      <c r="AJ2038">
        <v>83.748587408808206</v>
      </c>
      <c r="AK2038">
        <v>100.370470789698</v>
      </c>
      <c r="AL2038">
        <v>81.008009314718507</v>
      </c>
      <c r="AM2038">
        <v>85.484761619029697</v>
      </c>
      <c r="AN2038">
        <v>1.00000002794014</v>
      </c>
    </row>
    <row r="2039" spans="1:40" x14ac:dyDescent="0.25">
      <c r="A2039" t="str">
        <f>"20190303170259957"</f>
        <v>20190303170259957</v>
      </c>
      <c r="B2039" t="str">
        <f>"1551603779947918"</f>
        <v>1551603779947918</v>
      </c>
      <c r="C2039" t="s">
        <v>40</v>
      </c>
      <c r="D2039">
        <v>4.2581899999999999</v>
      </c>
      <c r="E2039">
        <v>0.51671899999999904</v>
      </c>
      <c r="F2039" t="s">
        <v>44</v>
      </c>
      <c r="G2039">
        <v>-337.5942</v>
      </c>
      <c r="H2039">
        <v>-0.05</v>
      </c>
      <c r="I2039">
        <v>296.32740000000001</v>
      </c>
      <c r="J2039">
        <v>-241.43029999999999</v>
      </c>
      <c r="K2039">
        <v>1.120827</v>
      </c>
      <c r="L2039">
        <v>283.8836</v>
      </c>
      <c r="M2039">
        <v>-0.99969810000000003</v>
      </c>
      <c r="N2039">
        <v>-1.3845140000000001E-2</v>
      </c>
      <c r="O2039">
        <v>2.0302299999999999E-2</v>
      </c>
      <c r="P2039">
        <v>-0.98487950000000002</v>
      </c>
      <c r="Q2039">
        <v>0.1433527</v>
      </c>
      <c r="R2039">
        <v>9.7275990000000007E-2</v>
      </c>
      <c r="S2039">
        <v>-3.0127109999999999</v>
      </c>
      <c r="T2039">
        <v>-3.6622759999999997E-2</v>
      </c>
      <c r="U2039">
        <v>0.38937379999999999</v>
      </c>
      <c r="V2039">
        <v>7.7582910000000005E-2</v>
      </c>
      <c r="W2039">
        <v>0.15683939999999999</v>
      </c>
      <c r="X2039">
        <v>0.98457209999999995</v>
      </c>
      <c r="Y2039">
        <v>0.1079975</v>
      </c>
      <c r="Z2039">
        <v>1.438855E-3</v>
      </c>
      <c r="AA2039">
        <v>0.99415010000000004</v>
      </c>
      <c r="AB2039">
        <v>25</v>
      </c>
      <c r="AC2039">
        <v>-96.163899999999998</v>
      </c>
      <c r="AD2039">
        <v>-1.1708270000000001</v>
      </c>
      <c r="AE2039">
        <v>12.4438</v>
      </c>
      <c r="AF2039">
        <v>10.4871703438629</v>
      </c>
      <c r="AG2039">
        <v>-1.1708270000000001</v>
      </c>
      <c r="AH2039">
        <v>96.382685206299897</v>
      </c>
      <c r="AI2039">
        <v>90.691893897972506</v>
      </c>
      <c r="AJ2039">
        <v>83.790211943176104</v>
      </c>
      <c r="AK2039">
        <v>96.958617900946905</v>
      </c>
      <c r="AL2039">
        <v>80.976508628949006</v>
      </c>
      <c r="AM2039">
        <v>85.494482246069097</v>
      </c>
      <c r="AN2039">
        <v>0.99999996270741798</v>
      </c>
    </row>
    <row r="2040" spans="1:40" x14ac:dyDescent="0.25">
      <c r="A2040" t="str">
        <f>"20190303170259968"</f>
        <v>20190303170259968</v>
      </c>
      <c r="B2040" t="str">
        <f>"1551603779957678"</f>
        <v>1551603779957678</v>
      </c>
      <c r="C2040" t="s">
        <v>40</v>
      </c>
      <c r="D2040">
        <v>4.3789449999999999</v>
      </c>
      <c r="E2040">
        <v>0.51669129999999996</v>
      </c>
      <c r="F2040" t="s">
        <v>44</v>
      </c>
      <c r="G2040">
        <v>-342.05709999999999</v>
      </c>
      <c r="H2040">
        <v>-0.05</v>
      </c>
      <c r="I2040">
        <v>296.92919999999998</v>
      </c>
      <c r="J2040">
        <v>-241.5641</v>
      </c>
      <c r="K2040">
        <v>1.120911</v>
      </c>
      <c r="L2040">
        <v>283.887</v>
      </c>
      <c r="M2040">
        <v>-0.99968710000000005</v>
      </c>
      <c r="N2040">
        <v>-1.3836380000000001E-2</v>
      </c>
      <c r="O2040">
        <v>2.084389E-2</v>
      </c>
      <c r="P2040">
        <v>-0.98477179999999997</v>
      </c>
      <c r="Q2040">
        <v>0.14378150000000001</v>
      </c>
      <c r="R2040">
        <v>9.7732059999999996E-2</v>
      </c>
      <c r="S2040">
        <v>-3.0126040000000001</v>
      </c>
      <c r="T2040">
        <v>-3.5052659999999999E-2</v>
      </c>
      <c r="U2040">
        <v>0.39056400000000002</v>
      </c>
      <c r="V2040">
        <v>7.7476059999999999E-2</v>
      </c>
      <c r="W2040">
        <v>0.15727449999999901</v>
      </c>
      <c r="X2040">
        <v>0.98451109999999997</v>
      </c>
      <c r="Y2040">
        <v>0.10785069999999999</v>
      </c>
      <c r="Z2040">
        <v>1.4200549999999999E-3</v>
      </c>
      <c r="AA2040">
        <v>0.99416610000000005</v>
      </c>
      <c r="AB2040">
        <v>25</v>
      </c>
      <c r="AC2040">
        <v>-100.49299999999999</v>
      </c>
      <c r="AD2040">
        <v>-1.170911</v>
      </c>
      <c r="AE2040">
        <v>13.0421999999999</v>
      </c>
      <c r="AF2040">
        <v>10.943039557031501</v>
      </c>
      <c r="AG2040">
        <v>-1.170911</v>
      </c>
      <c r="AH2040">
        <v>100.729590483659</v>
      </c>
      <c r="AI2040">
        <v>90.662098059741695</v>
      </c>
      <c r="AJ2040">
        <v>83.799828969443098</v>
      </c>
      <c r="AK2040">
        <v>101.32902617869399</v>
      </c>
      <c r="AL2040">
        <v>80.951265910231498</v>
      </c>
      <c r="AM2040">
        <v>85.5003842796649</v>
      </c>
      <c r="AN2040">
        <v>0.99999995712329004</v>
      </c>
    </row>
    <row r="2041" spans="1:40" x14ac:dyDescent="0.25">
      <c r="A2041" t="str">
        <f>"20190303170259988"</f>
        <v>20190303170259988</v>
      </c>
      <c r="B2041" t="str">
        <f>"1551603779977198"</f>
        <v>1551603779977198</v>
      </c>
      <c r="C2041" t="s">
        <v>40</v>
      </c>
      <c r="D2041">
        <v>4.2705900000000003</v>
      </c>
      <c r="E2041">
        <v>0.51658230000000005</v>
      </c>
      <c r="F2041" t="s">
        <v>44</v>
      </c>
      <c r="G2041">
        <v>-344.26069999999999</v>
      </c>
      <c r="H2041">
        <v>-0.05</v>
      </c>
      <c r="I2041">
        <v>297.22500000000002</v>
      </c>
      <c r="J2041">
        <v>-241.779</v>
      </c>
      <c r="K2041">
        <v>1.121046</v>
      </c>
      <c r="L2041">
        <v>283.89240000000001</v>
      </c>
      <c r="M2041">
        <v>-0.99967110000000003</v>
      </c>
      <c r="N2041">
        <v>-1.382278E-2</v>
      </c>
      <c r="O2041">
        <v>2.160252E-2</v>
      </c>
      <c r="P2041">
        <v>-0.98461679999999996</v>
      </c>
      <c r="Q2041">
        <v>0.144628799999999</v>
      </c>
      <c r="R2041">
        <v>9.8042309999999994E-2</v>
      </c>
      <c r="S2041">
        <v>-3.0125579999999998</v>
      </c>
      <c r="T2041">
        <v>-3.4348129999999998E-2</v>
      </c>
      <c r="U2041">
        <v>0.3912659</v>
      </c>
      <c r="V2041">
        <v>7.6991050000000005E-2</v>
      </c>
      <c r="W2041">
        <v>0.15813289999999999</v>
      </c>
      <c r="X2041">
        <v>0.9844117</v>
      </c>
      <c r="Y2041">
        <v>0.10732659999999999</v>
      </c>
      <c r="Z2041">
        <v>1.406568E-3</v>
      </c>
      <c r="AA2041">
        <v>0.99422279999999996</v>
      </c>
      <c r="AB2041">
        <v>25</v>
      </c>
      <c r="AC2041">
        <v>-102.48169999999899</v>
      </c>
      <c r="AD2041">
        <v>-1.17104599999999</v>
      </c>
      <c r="AE2041">
        <v>13.332599999999999</v>
      </c>
      <c r="AF2041">
        <v>11.113986594498799</v>
      </c>
      <c r="AG2041">
        <v>-1.17104599999999</v>
      </c>
      <c r="AH2041">
        <v>102.732634495147</v>
      </c>
      <c r="AI2041">
        <v>90.649296262478401</v>
      </c>
      <c r="AJ2041">
        <v>83.825549343827504</v>
      </c>
      <c r="AK2041">
        <v>103.33869670685</v>
      </c>
      <c r="AL2041">
        <v>80.901460496775499</v>
      </c>
      <c r="AM2041">
        <v>85.527988171083393</v>
      </c>
      <c r="AN2041">
        <v>1.0000000154697</v>
      </c>
    </row>
    <row r="2042" spans="1:40" x14ac:dyDescent="0.25">
      <c r="A2042" t="str">
        <f>"20190303170300012"</f>
        <v>20190303170300012</v>
      </c>
      <c r="B2042" t="str">
        <f>"1551603779997694"</f>
        <v>1551603779997694</v>
      </c>
      <c r="C2042" t="s">
        <v>40</v>
      </c>
      <c r="D2042">
        <v>4.320074</v>
      </c>
      <c r="E2042">
        <v>0.49369740000000001</v>
      </c>
      <c r="F2042" t="s">
        <v>44</v>
      </c>
      <c r="G2042">
        <v>-350.52249999999998</v>
      </c>
      <c r="H2042">
        <v>-0.05</v>
      </c>
      <c r="I2042">
        <v>297.98059999999998</v>
      </c>
      <c r="J2042">
        <v>-242.0401</v>
      </c>
      <c r="K2042">
        <v>1.1212029999999999</v>
      </c>
      <c r="L2042">
        <v>283.899</v>
      </c>
      <c r="M2042">
        <v>-0.99965559999999998</v>
      </c>
      <c r="N2042">
        <v>-1.380734E-2</v>
      </c>
      <c r="O2042">
        <v>2.2316699999999998E-2</v>
      </c>
      <c r="P2042">
        <v>-0.98474289999999998</v>
      </c>
      <c r="Q2042">
        <v>0.14442530000000001</v>
      </c>
      <c r="R2042">
        <v>9.7072459999999999E-2</v>
      </c>
      <c r="S2042">
        <v>-3.0127869999999999</v>
      </c>
      <c r="T2042">
        <v>-3.2444359999999998E-2</v>
      </c>
      <c r="U2042">
        <v>0.39031979999999999</v>
      </c>
      <c r="V2042">
        <v>7.5251650000000003E-2</v>
      </c>
      <c r="W2042">
        <v>0.15794830000000001</v>
      </c>
      <c r="X2042">
        <v>0.9845758</v>
      </c>
      <c r="Y2042">
        <v>0.1063009</v>
      </c>
      <c r="Z2042">
        <v>1.3747589999999999E-3</v>
      </c>
      <c r="AA2042">
        <v>0.99433300000000002</v>
      </c>
      <c r="AB2042">
        <v>25</v>
      </c>
      <c r="AC2042">
        <v>-108.482399999999</v>
      </c>
      <c r="AD2042">
        <v>-1.171203</v>
      </c>
      <c r="AE2042">
        <v>14.0815999999999</v>
      </c>
      <c r="AF2042">
        <v>11.6555562972529</v>
      </c>
      <c r="AG2042">
        <v>-1.171203</v>
      </c>
      <c r="AH2042">
        <v>108.757195690329</v>
      </c>
      <c r="AI2042">
        <v>90.613479958450199</v>
      </c>
      <c r="AJ2042">
        <v>83.882934106777597</v>
      </c>
      <c r="AK2042">
        <v>109.386248328984</v>
      </c>
      <c r="AL2042">
        <v>80.912171688871894</v>
      </c>
      <c r="AM2042">
        <v>85.629350567024503</v>
      </c>
      <c r="AN2042">
        <v>0.99999999112312599</v>
      </c>
    </row>
    <row r="2043" spans="1:40" x14ac:dyDescent="0.25">
      <c r="A2043" t="str">
        <f>"20190303170300034"</f>
        <v>20190303170300034</v>
      </c>
      <c r="B2043" t="str">
        <f>"1551603780027949"</f>
        <v>1551603780027949</v>
      </c>
      <c r="C2043" t="s">
        <v>40</v>
      </c>
      <c r="D2043">
        <v>4.3136369999999999</v>
      </c>
      <c r="E2043">
        <v>0.48003240000000003</v>
      </c>
      <c r="F2043" t="s">
        <v>63</v>
      </c>
      <c r="G2043">
        <v>-306.1225</v>
      </c>
      <c r="H2043" s="1">
        <v>2.566134E-6</v>
      </c>
      <c r="I2043">
        <v>288.1902</v>
      </c>
      <c r="J2043">
        <v>-242.29839999999999</v>
      </c>
      <c r="K2043">
        <v>1.121353</v>
      </c>
      <c r="L2043">
        <v>283.90550000000002</v>
      </c>
      <c r="M2043">
        <v>-0.99964529999999996</v>
      </c>
      <c r="N2043">
        <v>-1.3788470000000001E-2</v>
      </c>
      <c r="O2043">
        <v>2.2789360000000002E-2</v>
      </c>
      <c r="P2043">
        <v>-0.98506550000000004</v>
      </c>
      <c r="Q2043">
        <v>0.1433652</v>
      </c>
      <c r="R2043">
        <v>9.5355499999999996E-2</v>
      </c>
      <c r="S2043">
        <v>-3.0342560000000001</v>
      </c>
      <c r="T2043">
        <v>-5.3088070000000001E-2</v>
      </c>
      <c r="U2043">
        <v>0.20318600000000001</v>
      </c>
      <c r="V2043">
        <v>7.300044E-2</v>
      </c>
      <c r="W2043">
        <v>0.1569044</v>
      </c>
      <c r="X2043">
        <v>0.98491220000000002</v>
      </c>
      <c r="Y2043">
        <v>4.4044600000000003E-2</v>
      </c>
      <c r="Z2043">
        <v>6.0471560000000001E-4</v>
      </c>
      <c r="AA2043">
        <v>0.99902939999999996</v>
      </c>
      <c r="AB2043">
        <v>25</v>
      </c>
      <c r="AC2043">
        <v>-63.824100000000001</v>
      </c>
      <c r="AD2043">
        <v>-1.1213504338660001</v>
      </c>
      <c r="AE2043">
        <v>4.2846999999999804</v>
      </c>
      <c r="AF2043">
        <v>2.8280694115978502</v>
      </c>
      <c r="AG2043">
        <v>-1.1213504338660001</v>
      </c>
      <c r="AH2043">
        <v>63.885543931732897</v>
      </c>
      <c r="AI2043">
        <v>91.004596754837294</v>
      </c>
      <c r="AJ2043">
        <v>87.4652994757231</v>
      </c>
      <c r="AK2043">
        <v>63.957940295523301</v>
      </c>
      <c r="AL2043">
        <v>80.972738494825293</v>
      </c>
      <c r="AM2043">
        <v>85.761060658027006</v>
      </c>
      <c r="AN2043">
        <v>1.00000004834419</v>
      </c>
    </row>
    <row r="2044" spans="1:40" x14ac:dyDescent="0.25">
      <c r="A2044" t="str">
        <f>"20190303170300056"</f>
        <v>20190303170300056</v>
      </c>
      <c r="B2044" t="str">
        <f>"1551603780047470"</f>
        <v>1551603780047470</v>
      </c>
      <c r="C2044" t="s">
        <v>40</v>
      </c>
      <c r="D2044">
        <v>4.2827409999999997</v>
      </c>
      <c r="E2044">
        <v>0.47686919999999999</v>
      </c>
      <c r="F2044" t="s">
        <v>63</v>
      </c>
      <c r="G2044">
        <v>-307.56130000000002</v>
      </c>
      <c r="H2044" s="1">
        <v>2.517645E-6</v>
      </c>
      <c r="I2044">
        <v>285.82549999999998</v>
      </c>
      <c r="J2044">
        <v>-242.53970000000001</v>
      </c>
      <c r="K2044">
        <v>1.1214850000000001</v>
      </c>
      <c r="L2044">
        <v>283.91140000000001</v>
      </c>
      <c r="M2044">
        <v>-0.99964059999999999</v>
      </c>
      <c r="N2044">
        <v>-1.3756000000000001E-2</v>
      </c>
      <c r="O2044">
        <v>2.3009310000000002E-2</v>
      </c>
      <c r="P2044">
        <v>-0.98533309999999996</v>
      </c>
      <c r="Q2044">
        <v>0.1426849</v>
      </c>
      <c r="R2044">
        <v>9.3593480000000007E-2</v>
      </c>
      <c r="S2044">
        <v>-3.0444179999999998</v>
      </c>
      <c r="T2044">
        <v>-5.2309389999999997E-2</v>
      </c>
      <c r="U2044">
        <v>8.9569090000000004E-2</v>
      </c>
      <c r="V2044">
        <v>7.0962289999999997E-2</v>
      </c>
      <c r="W2044">
        <v>0.156221</v>
      </c>
      <c r="X2044">
        <v>0.98516970000000004</v>
      </c>
      <c r="Y2044">
        <v>6.3971449999999999E-3</v>
      </c>
      <c r="Z2044" s="1">
        <v>2.0291610000000001E-5</v>
      </c>
      <c r="AA2044">
        <v>0.99997959999999997</v>
      </c>
      <c r="AB2044">
        <v>25</v>
      </c>
      <c r="AC2044">
        <v>-65.021600000000007</v>
      </c>
      <c r="AD2044">
        <v>-1.121482482355</v>
      </c>
      <c r="AE2044">
        <v>1.9140999999999599</v>
      </c>
      <c r="AF2044">
        <v>0.41722540120365398</v>
      </c>
      <c r="AG2044">
        <v>-1.121482482355</v>
      </c>
      <c r="AH2044">
        <v>65.029099974357706</v>
      </c>
      <c r="AI2044">
        <v>90.9879964774927</v>
      </c>
      <c r="AJ2044">
        <v>89.6323964718284</v>
      </c>
      <c r="AK2044">
        <v>65.040107960155296</v>
      </c>
      <c r="AL2044">
        <v>81.012382823706005</v>
      </c>
      <c r="AM2044">
        <v>85.880070406758804</v>
      </c>
      <c r="AN2044">
        <v>0.99999999262056705</v>
      </c>
    </row>
    <row r="2045" spans="1:40" x14ac:dyDescent="0.25">
      <c r="A2045" t="str">
        <f>"20190303170300069"</f>
        <v>20190303170300069</v>
      </c>
      <c r="B2045" t="str">
        <f>"1551603780057230"</f>
        <v>1551603780057230</v>
      </c>
      <c r="C2045" t="s">
        <v>40</v>
      </c>
      <c r="D2045">
        <v>4.2719469999999999</v>
      </c>
      <c r="E2045">
        <v>0.4759639</v>
      </c>
      <c r="F2045" t="s">
        <v>63</v>
      </c>
      <c r="G2045">
        <v>-304.7867</v>
      </c>
      <c r="H2045" s="1">
        <v>3.0713670000000001E-6</v>
      </c>
      <c r="I2045">
        <v>285.12150000000003</v>
      </c>
      <c r="J2045">
        <v>-242.68979999999999</v>
      </c>
      <c r="K2045">
        <v>1.1215580000000001</v>
      </c>
      <c r="L2045">
        <v>283.91500000000002</v>
      </c>
      <c r="M2045">
        <v>-0.99963999999999997</v>
      </c>
      <c r="N2045">
        <v>-1.3727400000000001E-2</v>
      </c>
      <c r="O2045">
        <v>2.3055280000000001E-2</v>
      </c>
      <c r="P2045">
        <v>-0.98532730000000002</v>
      </c>
      <c r="Q2045">
        <v>0.14313380000000001</v>
      </c>
      <c r="R2045">
        <v>9.2968529999999994E-2</v>
      </c>
      <c r="S2045">
        <v>-3.046967</v>
      </c>
      <c r="T2045">
        <v>-5.489612E-2</v>
      </c>
      <c r="U2045">
        <v>5.9234620000000002E-2</v>
      </c>
      <c r="V2045">
        <v>7.0263190000000003E-2</v>
      </c>
      <c r="W2045">
        <v>0.15665470000000001</v>
      </c>
      <c r="X2045">
        <v>0.98515090000000005</v>
      </c>
      <c r="Y2045">
        <v>-3.620163E-3</v>
      </c>
      <c r="Z2045">
        <v>-1.562089E-4</v>
      </c>
      <c r="AA2045">
        <v>0.99999340000000003</v>
      </c>
      <c r="AB2045">
        <v>25</v>
      </c>
      <c r="AC2045">
        <v>-62.096899999999998</v>
      </c>
      <c r="AD2045">
        <v>-1.121554928633</v>
      </c>
      <c r="AE2045">
        <v>1.2064999999999999</v>
      </c>
      <c r="AF2045">
        <v>-0.22554345479112001</v>
      </c>
      <c r="AG2045">
        <v>-1.121554928633</v>
      </c>
      <c r="AH2045">
        <v>62.0879635767716</v>
      </c>
      <c r="AI2045">
        <v>91.034869694305797</v>
      </c>
      <c r="AJ2045">
        <v>90.208134241635506</v>
      </c>
      <c r="AK2045">
        <v>62.098502207528803</v>
      </c>
      <c r="AL2045">
        <v>80.987223524904607</v>
      </c>
      <c r="AM2045">
        <v>85.920443462851594</v>
      </c>
      <c r="AN2045">
        <v>0.99999995333593705</v>
      </c>
    </row>
    <row r="2046" spans="1:40" x14ac:dyDescent="0.25">
      <c r="A2046" t="str">
        <f>"20190303170300082"</f>
        <v>20190303170300082</v>
      </c>
      <c r="B2046" t="str">
        <f>"1551603780067966"</f>
        <v>1551603780067966</v>
      </c>
      <c r="C2046" t="s">
        <v>40</v>
      </c>
      <c r="D2046">
        <v>4.2800900000000004</v>
      </c>
      <c r="E2046">
        <v>0.47535159999999999</v>
      </c>
      <c r="F2046" t="s">
        <v>63</v>
      </c>
      <c r="G2046">
        <v>-306.95100000000002</v>
      </c>
      <c r="H2046" s="1">
        <v>2.700616E-6</v>
      </c>
      <c r="I2046">
        <v>284.97089999999997</v>
      </c>
      <c r="J2046">
        <v>-242.82749999999999</v>
      </c>
      <c r="K2046">
        <v>1.1216200000000001</v>
      </c>
      <c r="L2046">
        <v>283.91820000000001</v>
      </c>
      <c r="M2046">
        <v>-0.99964010000000003</v>
      </c>
      <c r="N2046">
        <v>-1.37E-2</v>
      </c>
      <c r="O2046">
        <v>2.3064399999999999E-2</v>
      </c>
      <c r="P2046">
        <v>-0.98525649999999998</v>
      </c>
      <c r="Q2046">
        <v>0.1436212</v>
      </c>
      <c r="R2046">
        <v>9.2965419999999993E-2</v>
      </c>
      <c r="S2046">
        <v>-3.0476529999999999</v>
      </c>
      <c r="T2046">
        <v>-5.3190950000000001E-2</v>
      </c>
      <c r="U2046">
        <v>5.0079350000000002E-2</v>
      </c>
      <c r="V2046">
        <v>7.0229029999999998E-2</v>
      </c>
      <c r="W2046">
        <v>0.15712479999999901</v>
      </c>
      <c r="X2046">
        <v>0.98507849999999997</v>
      </c>
      <c r="Y2046">
        <v>-6.6359749999999997E-3</v>
      </c>
      <c r="Z2046">
        <v>-1.8980329999999999E-4</v>
      </c>
      <c r="AA2046">
        <v>0.99997789999999998</v>
      </c>
      <c r="AB2046">
        <v>25</v>
      </c>
      <c r="AC2046">
        <v>-64.123499999999893</v>
      </c>
      <c r="AD2046">
        <v>-1.1216172993839999</v>
      </c>
      <c r="AE2046">
        <v>1.05269999999995</v>
      </c>
      <c r="AF2046">
        <v>-0.42655849584494099</v>
      </c>
      <c r="AG2046">
        <v>-1.1216172993839999</v>
      </c>
      <c r="AH2046">
        <v>64.111111209882196</v>
      </c>
      <c r="AI2046">
        <v>91.002259344522798</v>
      </c>
      <c r="AJ2046">
        <v>90.381207569772101</v>
      </c>
      <c r="AK2046">
        <v>64.122340553683401</v>
      </c>
      <c r="AL2046">
        <v>80.959951329614896</v>
      </c>
      <c r="AM2046">
        <v>85.922121459970498</v>
      </c>
      <c r="AN2046">
        <v>0.99999998529601497</v>
      </c>
    </row>
    <row r="2047" spans="1:40" x14ac:dyDescent="0.25">
      <c r="A2047" t="str">
        <f>"20190303170300104"</f>
        <v>20190303170300104</v>
      </c>
      <c r="B2047" t="str">
        <f>"1551603780087485"</f>
        <v>1551603780087485</v>
      </c>
      <c r="C2047" t="s">
        <v>40</v>
      </c>
      <c r="D2047">
        <v>4.2421550000000003</v>
      </c>
      <c r="E2047">
        <v>0.47420050000000002</v>
      </c>
      <c r="F2047" t="s">
        <v>63</v>
      </c>
      <c r="G2047">
        <v>-307.57459999999998</v>
      </c>
      <c r="H2047" s="1">
        <v>2.5979810000000001E-6</v>
      </c>
      <c r="I2047">
        <v>284.87950000000001</v>
      </c>
      <c r="J2047">
        <v>-243.06700000000001</v>
      </c>
      <c r="K2047">
        <v>1.1217109999999999</v>
      </c>
      <c r="L2047">
        <v>283.92380000000003</v>
      </c>
      <c r="M2047">
        <v>-0.99964240000000004</v>
      </c>
      <c r="N2047">
        <v>-1.3649949999999999E-2</v>
      </c>
      <c r="O2047">
        <v>2.2999660000000002E-2</v>
      </c>
      <c r="P2047">
        <v>-0.9850814</v>
      </c>
      <c r="Q2047">
        <v>0.1454782</v>
      </c>
      <c r="R2047">
        <v>9.1928689999999993E-2</v>
      </c>
      <c r="S2047">
        <v>-3.0483250000000002</v>
      </c>
      <c r="T2047">
        <v>-5.2806260000000001E-2</v>
      </c>
      <c r="U2047">
        <v>4.5257569999999997E-2</v>
      </c>
      <c r="V2047">
        <v>6.9227410000000003E-2</v>
      </c>
      <c r="W2047">
        <v>0.15894459999999999</v>
      </c>
      <c r="X2047">
        <v>0.98485739999999999</v>
      </c>
      <c r="Y2047">
        <v>-8.1557850000000005E-3</v>
      </c>
      <c r="Z2047">
        <v>-2.106667E-4</v>
      </c>
      <c r="AA2047">
        <v>0.99996669999999999</v>
      </c>
      <c r="AB2047">
        <v>25</v>
      </c>
      <c r="AC2047">
        <v>-64.507599999999897</v>
      </c>
      <c r="AD2047">
        <v>-1.121708402019</v>
      </c>
      <c r="AE2047">
        <v>0.95569999999997801</v>
      </c>
      <c r="AF2047">
        <v>-0.52818411538785204</v>
      </c>
      <c r="AG2047">
        <v>-1.121708402019</v>
      </c>
      <c r="AH2047">
        <v>64.493019180009597</v>
      </c>
      <c r="AI2047">
        <v>90.996395021865396</v>
      </c>
      <c r="AJ2047">
        <v>90.4692297620673</v>
      </c>
      <c r="AK2047">
        <v>64.5049357115562</v>
      </c>
      <c r="AL2047">
        <v>80.854357273895999</v>
      </c>
      <c r="AM2047">
        <v>85.979189398395803</v>
      </c>
      <c r="AN2047">
        <v>0.99999995924961305</v>
      </c>
    </row>
    <row r="2048" spans="1:40" x14ac:dyDescent="0.25">
      <c r="A2048" t="str">
        <f>"20190303170300126"</f>
        <v>20190303170300126</v>
      </c>
      <c r="B2048" t="str">
        <f>"1551603780117741"</f>
        <v>1551603780117741</v>
      </c>
      <c r="C2048" t="s">
        <v>40</v>
      </c>
      <c r="D2048">
        <v>4.2586690000000003</v>
      </c>
      <c r="E2048">
        <v>0.47313470000000002</v>
      </c>
      <c r="F2048" t="s">
        <v>63</v>
      </c>
      <c r="G2048">
        <v>-318.74340000000001</v>
      </c>
      <c r="H2048" s="1">
        <v>6.0817749999999999E-6</v>
      </c>
      <c r="I2048">
        <v>284.76</v>
      </c>
      <c r="J2048">
        <v>-243.3152</v>
      </c>
      <c r="K2048">
        <v>1.12178</v>
      </c>
      <c r="L2048">
        <v>283.92939999999999</v>
      </c>
      <c r="M2048">
        <v>-0.99964679999999995</v>
      </c>
      <c r="N2048">
        <v>-1.359661E-2</v>
      </c>
      <c r="O2048">
        <v>2.2839149999999999E-2</v>
      </c>
      <c r="P2048">
        <v>-0.98502920000000005</v>
      </c>
      <c r="Q2048">
        <v>0.14674319999999999</v>
      </c>
      <c r="R2048">
        <v>9.0464580000000003E-2</v>
      </c>
      <c r="S2048">
        <v>-3.0489649999999999</v>
      </c>
      <c r="T2048">
        <v>-4.5192959999999997E-2</v>
      </c>
      <c r="U2048">
        <v>3.3691409999999998E-2</v>
      </c>
      <c r="V2048">
        <v>6.789779E-2</v>
      </c>
      <c r="W2048">
        <v>0.16016610000000001</v>
      </c>
      <c r="X2048">
        <v>0.98475210000000002</v>
      </c>
      <c r="Y2048">
        <v>-1.179082E-2</v>
      </c>
      <c r="Z2048">
        <v>-1.9544930000000001E-4</v>
      </c>
      <c r="AA2048">
        <v>0.9999304</v>
      </c>
      <c r="AB2048">
        <v>25</v>
      </c>
      <c r="AC2048">
        <v>-75.428200000000004</v>
      </c>
      <c r="AD2048">
        <v>-1.1217739182249999</v>
      </c>
      <c r="AE2048">
        <v>0.830600000000004</v>
      </c>
      <c r="AF2048">
        <v>-0.89229441183631397</v>
      </c>
      <c r="AG2048">
        <v>-1.1217739182249999</v>
      </c>
      <c r="AH2048">
        <v>75.410815825491497</v>
      </c>
      <c r="AI2048">
        <v>90.852181114480004</v>
      </c>
      <c r="AJ2048">
        <v>90.677917584991803</v>
      </c>
      <c r="AK2048">
        <v>75.424437084456898</v>
      </c>
      <c r="AL2048">
        <v>80.783462556741398</v>
      </c>
      <c r="AM2048">
        <v>86.055748858735498</v>
      </c>
      <c r="AN2048">
        <v>0.99999999396525197</v>
      </c>
    </row>
    <row r="2049" spans="1:40" x14ac:dyDescent="0.25">
      <c r="A2049" t="str">
        <f>"20190303170300145"</f>
        <v>20190303170300145</v>
      </c>
      <c r="B2049" t="str">
        <f>"1551603780137262"</f>
        <v>1551603780137262</v>
      </c>
      <c r="C2049" t="s">
        <v>40</v>
      </c>
      <c r="D2049">
        <v>4.2702809999999998</v>
      </c>
      <c r="E2049">
        <v>0.472742</v>
      </c>
      <c r="F2049" t="s">
        <v>62</v>
      </c>
      <c r="G2049">
        <v>-328.43959999999998</v>
      </c>
      <c r="H2049" s="1">
        <v>2.9568819999999999E-6</v>
      </c>
      <c r="I2049">
        <v>284.55889999999999</v>
      </c>
      <c r="J2049">
        <v>-243.53450000000001</v>
      </c>
      <c r="K2049">
        <v>1.1218220000000001</v>
      </c>
      <c r="L2049">
        <v>283.93419999999998</v>
      </c>
      <c r="M2049">
        <v>-0.99965190000000004</v>
      </c>
      <c r="N2049">
        <v>-1.3547419999999999E-2</v>
      </c>
      <c r="O2049">
        <v>2.2643480000000001E-2</v>
      </c>
      <c r="P2049">
        <v>-0.98513669999999998</v>
      </c>
      <c r="Q2049">
        <v>0.1474434</v>
      </c>
      <c r="R2049">
        <v>8.8127780000000003E-2</v>
      </c>
      <c r="S2049">
        <v>-3.049515</v>
      </c>
      <c r="T2049">
        <v>-4.0186760000000002E-2</v>
      </c>
      <c r="U2049">
        <v>2.2552490000000001E-2</v>
      </c>
      <c r="V2049">
        <v>6.5736119999999995E-2</v>
      </c>
      <c r="W2049">
        <v>0.1608241</v>
      </c>
      <c r="X2049">
        <v>0.98479150000000004</v>
      </c>
      <c r="Y2049">
        <v>-1.5248919999999999E-2</v>
      </c>
      <c r="Z2049">
        <v>-1.953352E-4</v>
      </c>
      <c r="AA2049">
        <v>0.99988370000000004</v>
      </c>
      <c r="AB2049">
        <v>25</v>
      </c>
      <c r="AC2049">
        <v>-84.905099999999905</v>
      </c>
      <c r="AD2049">
        <v>-1.121819043118</v>
      </c>
      <c r="AE2049">
        <v>0.62470000000001802</v>
      </c>
      <c r="AF2049">
        <v>-1.29795683283573</v>
      </c>
      <c r="AG2049">
        <v>-1.121819043118</v>
      </c>
      <c r="AH2049">
        <v>84.882655867558498</v>
      </c>
      <c r="AI2049">
        <v>90.757095100364296</v>
      </c>
      <c r="AJ2049">
        <v>90.876052384947201</v>
      </c>
      <c r="AK2049">
        <v>84.899990795263093</v>
      </c>
      <c r="AL2049">
        <v>80.745266503185505</v>
      </c>
      <c r="AM2049">
        <v>86.181097102455595</v>
      </c>
      <c r="AN2049">
        <v>0.99999996354285603</v>
      </c>
    </row>
    <row r="2050" spans="1:40" x14ac:dyDescent="0.25">
      <c r="A2050" t="str">
        <f>"20190303170300158"</f>
        <v>20190303170300158</v>
      </c>
      <c r="B2050" t="str">
        <f>"1551603780147998"</f>
        <v>1551603780147998</v>
      </c>
      <c r="C2050" t="s">
        <v>40</v>
      </c>
      <c r="D2050">
        <v>4.2887579999999996</v>
      </c>
      <c r="E2050">
        <v>0.47252949999999999</v>
      </c>
      <c r="F2050" t="s">
        <v>62</v>
      </c>
      <c r="G2050">
        <v>-332.46929999999998</v>
      </c>
      <c r="H2050" s="1">
        <v>-2.107934E-7</v>
      </c>
      <c r="I2050">
        <v>284.34269999999998</v>
      </c>
      <c r="J2050">
        <v>-243.67699999999999</v>
      </c>
      <c r="K2050">
        <v>1.1218399999999999</v>
      </c>
      <c r="L2050">
        <v>283.93729999999999</v>
      </c>
      <c r="M2050">
        <v>-0.99965550000000003</v>
      </c>
      <c r="N2050">
        <v>-1.351424E-2</v>
      </c>
      <c r="O2050">
        <v>2.2503519999999999E-2</v>
      </c>
      <c r="P2050">
        <v>-0.98522240000000005</v>
      </c>
      <c r="Q2050">
        <v>0.14765529999999999</v>
      </c>
      <c r="R2050">
        <v>8.6803569999999997E-2</v>
      </c>
      <c r="S2050">
        <v>-3.049744</v>
      </c>
      <c r="T2050">
        <v>-3.8469429999999999E-2</v>
      </c>
      <c r="U2050">
        <v>1.400757E-2</v>
      </c>
      <c r="V2050">
        <v>6.4539639999999995E-2</v>
      </c>
      <c r="W2050">
        <v>0.16100719999999999</v>
      </c>
      <c r="X2050">
        <v>0.98484079999999996</v>
      </c>
      <c r="Y2050">
        <v>-1.7910559999999999E-2</v>
      </c>
      <c r="Z2050">
        <v>-2.1366709999999999E-4</v>
      </c>
      <c r="AA2050">
        <v>0.99983949999999999</v>
      </c>
      <c r="AB2050">
        <v>25</v>
      </c>
      <c r="AC2050">
        <v>-88.792299999999898</v>
      </c>
      <c r="AD2050">
        <v>-1.1218402107934</v>
      </c>
      <c r="AE2050">
        <v>0.40539999999998599</v>
      </c>
      <c r="AF2050">
        <v>-1.59277006095692</v>
      </c>
      <c r="AG2050">
        <v>-1.1218402107934</v>
      </c>
      <c r="AH2050">
        <v>88.764765102015105</v>
      </c>
      <c r="AI2050">
        <v>90.723969062452795</v>
      </c>
      <c r="AJ2050">
        <v>91.027989085296696</v>
      </c>
      <c r="AK2050">
        <v>88.786141742625304</v>
      </c>
      <c r="AL2050">
        <v>80.734637862893806</v>
      </c>
      <c r="AM2050">
        <v>86.250592980579796</v>
      </c>
      <c r="AN2050">
        <v>1.0000000424639</v>
      </c>
    </row>
    <row r="2051" spans="1:40" x14ac:dyDescent="0.25">
      <c r="A2051" t="str">
        <f>"20190303170300177"</f>
        <v>20190303170300177</v>
      </c>
      <c r="B2051" t="str">
        <f>"1551603780167519"</f>
        <v>1551603780167519</v>
      </c>
      <c r="C2051" t="s">
        <v>40</v>
      </c>
      <c r="D2051">
        <v>4.377866</v>
      </c>
      <c r="E2051">
        <v>0.47239199999999998</v>
      </c>
      <c r="F2051" t="s">
        <v>62</v>
      </c>
      <c r="G2051">
        <v>-333.16050000000001</v>
      </c>
      <c r="H2051" s="1">
        <v>1.633357E-7</v>
      </c>
      <c r="I2051">
        <v>284.19880000000001</v>
      </c>
      <c r="J2051">
        <v>-243.88820000000001</v>
      </c>
      <c r="K2051">
        <v>1.1218459999999999</v>
      </c>
      <c r="L2051">
        <v>283.94189999999998</v>
      </c>
      <c r="M2051">
        <v>-0.99966109999999997</v>
      </c>
      <c r="N2051">
        <v>-1.346397E-2</v>
      </c>
      <c r="O2051">
        <v>2.2287850000000001E-2</v>
      </c>
      <c r="P2051">
        <v>-0.9853383</v>
      </c>
      <c r="Q2051">
        <v>0.14748900000000001</v>
      </c>
      <c r="R2051">
        <v>8.576578E-2</v>
      </c>
      <c r="S2051">
        <v>-3.0499269999999998</v>
      </c>
      <c r="T2051">
        <v>-3.823638E-2</v>
      </c>
      <c r="U2051">
        <v>8.9111329999999999E-3</v>
      </c>
      <c r="V2051">
        <v>6.3703750000000003E-2</v>
      </c>
      <c r="W2051">
        <v>0.16079589999999999</v>
      </c>
      <c r="X2051">
        <v>0.98492970000000002</v>
      </c>
      <c r="Y2051">
        <v>-1.93656E-2</v>
      </c>
      <c r="Z2051">
        <v>-2.3104199999999999E-4</v>
      </c>
      <c r="AA2051">
        <v>0.99981240000000005</v>
      </c>
      <c r="AB2051">
        <v>25</v>
      </c>
      <c r="AC2051">
        <v>-89.272300000000001</v>
      </c>
      <c r="AD2051">
        <v>-1.1218458366642901</v>
      </c>
      <c r="AE2051">
        <v>0.25690000000002999</v>
      </c>
      <c r="AF2051">
        <v>-1.73275785452661</v>
      </c>
      <c r="AG2051">
        <v>-1.1218458366642901</v>
      </c>
      <c r="AH2051">
        <v>89.241753765061304</v>
      </c>
      <c r="AI2051">
        <v>90.720083734978502</v>
      </c>
      <c r="AJ2051">
        <v>91.112340743169796</v>
      </c>
      <c r="AK2051">
        <v>89.265623858949795</v>
      </c>
      <c r="AL2051">
        <v>80.746903904831797</v>
      </c>
      <c r="AM2051">
        <v>86.299350984573394</v>
      </c>
      <c r="AN2051">
        <v>1.0000000015814801</v>
      </c>
    </row>
    <row r="2052" spans="1:40" x14ac:dyDescent="0.25">
      <c r="A2052" t="str">
        <f>"20190303170300189"</f>
        <v>20190303170300189</v>
      </c>
      <c r="B2052" t="str">
        <f>"1551603780177279"</f>
        <v>1551603780177279</v>
      </c>
      <c r="C2052" t="s">
        <v>40</v>
      </c>
      <c r="D2052">
        <v>4.2778839999999896</v>
      </c>
      <c r="E2052">
        <v>0.47246100000000002</v>
      </c>
      <c r="F2052" t="s">
        <v>62</v>
      </c>
      <c r="G2052">
        <v>-331.65620000000001</v>
      </c>
      <c r="H2052" s="1">
        <v>-6.3162169999999996E-7</v>
      </c>
      <c r="I2052">
        <v>284.07100000000003</v>
      </c>
      <c r="J2052">
        <v>-244.0325</v>
      </c>
      <c r="K2052">
        <v>1.1218509999999999</v>
      </c>
      <c r="L2052">
        <v>283.94490000000002</v>
      </c>
      <c r="M2052">
        <v>-0.99966469999999996</v>
      </c>
      <c r="N2052">
        <v>-1.342848E-2</v>
      </c>
      <c r="O2052">
        <v>2.214112E-2</v>
      </c>
      <c r="P2052">
        <v>-0.98546909999999999</v>
      </c>
      <c r="Q2052">
        <v>0.1473747</v>
      </c>
      <c r="R2052">
        <v>8.4448519999999999E-2</v>
      </c>
      <c r="S2052">
        <v>-3.0500949999999998</v>
      </c>
      <c r="T2052">
        <v>-3.898621E-2</v>
      </c>
      <c r="U2052">
        <v>4.4860840000000004E-3</v>
      </c>
      <c r="V2052">
        <v>6.2525910000000004E-2</v>
      </c>
      <c r="W2052">
        <v>0.16064809999999999</v>
      </c>
      <c r="X2052">
        <v>0.9850293</v>
      </c>
      <c r="Y2052">
        <v>-2.066919E-2</v>
      </c>
      <c r="Z2052">
        <v>-2.5650869999999999E-4</v>
      </c>
      <c r="AA2052">
        <v>0.99978630000000002</v>
      </c>
      <c r="AB2052">
        <v>25</v>
      </c>
      <c r="AC2052">
        <v>-87.623699999999999</v>
      </c>
      <c r="AD2052">
        <v>-1.1218516316217</v>
      </c>
      <c r="AE2052">
        <v>0.126099999999951</v>
      </c>
      <c r="AF2052">
        <v>-1.81389532677642</v>
      </c>
      <c r="AG2052">
        <v>-1.1218516316217</v>
      </c>
      <c r="AH2052">
        <v>87.590650204455201</v>
      </c>
      <c r="AI2052">
        <v>90.733640783592705</v>
      </c>
      <c r="AJ2052">
        <v>91.186356004612406</v>
      </c>
      <c r="AK2052">
        <v>87.616612412139602</v>
      </c>
      <c r="AL2052">
        <v>80.7554838555738</v>
      </c>
      <c r="AM2052">
        <v>86.367954920230005</v>
      </c>
      <c r="AN2052">
        <v>1.00000001165671</v>
      </c>
    </row>
    <row r="2053" spans="1:40" x14ac:dyDescent="0.25">
      <c r="A2053" t="str">
        <f>"20190303170300202"</f>
        <v>20190303170300202</v>
      </c>
      <c r="B2053" t="str">
        <f>"1551603780188014"</f>
        <v>1551603780188014</v>
      </c>
      <c r="C2053" t="s">
        <v>40</v>
      </c>
      <c r="D2053">
        <v>4.2925579999999997</v>
      </c>
      <c r="E2053">
        <v>0.47252250000000001</v>
      </c>
      <c r="F2053" t="s">
        <v>62</v>
      </c>
      <c r="G2053">
        <v>-330.16809999999998</v>
      </c>
      <c r="H2053" s="1">
        <v>-1.418928E-6</v>
      </c>
      <c r="I2053">
        <v>283.9665</v>
      </c>
      <c r="J2053">
        <v>-244.16579999999999</v>
      </c>
      <c r="K2053">
        <v>1.121845</v>
      </c>
      <c r="L2053">
        <v>283.9477</v>
      </c>
      <c r="M2053">
        <v>-0.99966809999999995</v>
      </c>
      <c r="N2053">
        <v>-1.339401E-2</v>
      </c>
      <c r="O2053">
        <v>2.2006919999999999E-2</v>
      </c>
      <c r="P2053">
        <v>-0.98557479999999997</v>
      </c>
      <c r="Q2053">
        <v>0.14722399999999999</v>
      </c>
      <c r="R2053">
        <v>8.3470989999999995E-2</v>
      </c>
      <c r="S2053">
        <v>-3.0501100000000001</v>
      </c>
      <c r="T2053">
        <v>-3.9725419999999997E-2</v>
      </c>
      <c r="U2053">
        <v>7.6293949999999998E-4</v>
      </c>
      <c r="V2053">
        <v>6.1677870000000003E-2</v>
      </c>
      <c r="W2053">
        <v>0.16046450000000001</v>
      </c>
      <c r="X2053">
        <v>0.98511269999999995</v>
      </c>
      <c r="Y2053">
        <v>-2.175508E-2</v>
      </c>
      <c r="Z2053">
        <v>-2.7918039999999999E-4</v>
      </c>
      <c r="AA2053">
        <v>0.99976330000000002</v>
      </c>
      <c r="AB2053">
        <v>25</v>
      </c>
      <c r="AC2053">
        <v>-86.002299999999906</v>
      </c>
      <c r="AD2053">
        <v>-1.121846418928</v>
      </c>
      <c r="AE2053">
        <v>1.87999999999988E-2</v>
      </c>
      <c r="AF2053">
        <v>-1.87370124795153</v>
      </c>
      <c r="AG2053">
        <v>-1.121846418928</v>
      </c>
      <c r="AH2053">
        <v>85.967254032483496</v>
      </c>
      <c r="AI2053">
        <v>90.747472491436795</v>
      </c>
      <c r="AJ2053">
        <v>91.248593782848104</v>
      </c>
      <c r="AK2053">
        <v>85.994988584450596</v>
      </c>
      <c r="AL2053">
        <v>80.766141738049399</v>
      </c>
      <c r="AM2053">
        <v>86.417389749919806</v>
      </c>
      <c r="AN2053">
        <v>1.00000002355463</v>
      </c>
    </row>
    <row r="2054" spans="1:40" x14ac:dyDescent="0.25">
      <c r="A2054" t="str">
        <f>"20190303170300215"</f>
        <v>20190303170300215</v>
      </c>
      <c r="B2054" t="str">
        <f>"1551603780207534"</f>
        <v>1551603780207534</v>
      </c>
      <c r="C2054" t="s">
        <v>40</v>
      </c>
      <c r="D2054">
        <v>4.3149680000000004</v>
      </c>
      <c r="E2054">
        <v>0.47259810000000002</v>
      </c>
      <c r="F2054" t="s">
        <v>62</v>
      </c>
      <c r="G2054">
        <v>-327.26710000000003</v>
      </c>
      <c r="H2054" s="1">
        <v>2.361699E-6</v>
      </c>
      <c r="I2054">
        <v>283.90030000000002</v>
      </c>
      <c r="J2054">
        <v>-244.3109</v>
      </c>
      <c r="K2054">
        <v>1.1218399999999999</v>
      </c>
      <c r="L2054">
        <v>283.95069999999998</v>
      </c>
      <c r="M2054">
        <v>-0.9996718</v>
      </c>
      <c r="N2054">
        <v>-1.335507E-2</v>
      </c>
      <c r="O2054">
        <v>2.186184E-2</v>
      </c>
      <c r="P2054">
        <v>-0.98569949999999995</v>
      </c>
      <c r="Q2054">
        <v>0.1469279</v>
      </c>
      <c r="R2054">
        <v>8.2514459999999998E-2</v>
      </c>
      <c r="S2054">
        <v>-3.050217</v>
      </c>
      <c r="T2054">
        <v>-4.1177030000000003E-2</v>
      </c>
      <c r="U2054">
        <v>-1.739502E-3</v>
      </c>
      <c r="V2054">
        <v>6.0862659999999999E-2</v>
      </c>
      <c r="W2054">
        <v>0.16013079999999999</v>
      </c>
      <c r="X2054">
        <v>0.98521769999999997</v>
      </c>
      <c r="Y2054">
        <v>-2.2429879999999999E-2</v>
      </c>
      <c r="Z2054">
        <v>-3.042896E-4</v>
      </c>
      <c r="AA2054">
        <v>0.99974830000000003</v>
      </c>
      <c r="AB2054">
        <v>25</v>
      </c>
      <c r="AC2054">
        <v>-82.956199999999995</v>
      </c>
      <c r="AD2054">
        <v>-1.121837638301</v>
      </c>
      <c r="AE2054">
        <v>-5.0399999999967797E-2</v>
      </c>
      <c r="AF2054">
        <v>-1.8637840273242601</v>
      </c>
      <c r="AG2054">
        <v>-1.121837638301</v>
      </c>
      <c r="AH2054">
        <v>82.920103826668793</v>
      </c>
      <c r="AI2054">
        <v>90.774919595096193</v>
      </c>
      <c r="AJ2054">
        <v>91.2876127253828</v>
      </c>
      <c r="AK2054">
        <v>82.948633678998902</v>
      </c>
      <c r="AL2054">
        <v>80.785511846037195</v>
      </c>
      <c r="AM2054">
        <v>86.464996826740105</v>
      </c>
      <c r="AN2054">
        <v>1.0000000264421001</v>
      </c>
    </row>
    <row r="2055" spans="1:40" x14ac:dyDescent="0.25">
      <c r="A2055" t="str">
        <f>"20190303170300227"</f>
        <v>20190303170300227</v>
      </c>
      <c r="B2055" t="str">
        <f>"1551603780217294"</f>
        <v>1551603780217294</v>
      </c>
      <c r="C2055" t="s">
        <v>40</v>
      </c>
      <c r="D2055">
        <v>4.2789400000000004</v>
      </c>
      <c r="E2055">
        <v>0.47266229999999998</v>
      </c>
      <c r="F2055" t="s">
        <v>62</v>
      </c>
      <c r="G2055">
        <v>-322.85109999999997</v>
      </c>
      <c r="H2055" s="1">
        <v>1.3488319999999999E-8</v>
      </c>
      <c r="I2055">
        <v>283.8596</v>
      </c>
      <c r="J2055">
        <v>-244.44749999999999</v>
      </c>
      <c r="K2055">
        <v>1.121829</v>
      </c>
      <c r="L2055">
        <v>283.95359999999999</v>
      </c>
      <c r="M2055">
        <v>-0.99967530000000004</v>
      </c>
      <c r="N2055">
        <v>-1.330931E-2</v>
      </c>
      <c r="O2055">
        <v>2.1729399999999999E-2</v>
      </c>
      <c r="P2055">
        <v>-0.98584159999999998</v>
      </c>
      <c r="Q2055">
        <v>0.14662269999999999</v>
      </c>
      <c r="R2055">
        <v>8.1352339999999995E-2</v>
      </c>
      <c r="S2055">
        <v>-3.0502929999999999</v>
      </c>
      <c r="T2055">
        <v>-4.3569330000000003E-2</v>
      </c>
      <c r="U2055">
        <v>-3.540039E-3</v>
      </c>
      <c r="V2055">
        <v>5.9830830000000002E-2</v>
      </c>
      <c r="W2055">
        <v>0.15978059999999999</v>
      </c>
      <c r="X2055">
        <v>0.98533769999999998</v>
      </c>
      <c r="Y2055">
        <v>-2.2887080000000001E-2</v>
      </c>
      <c r="Z2055">
        <v>-3.3688529999999998E-4</v>
      </c>
      <c r="AA2055">
        <v>0.99973800000000002</v>
      </c>
      <c r="AB2055">
        <v>25</v>
      </c>
      <c r="AC2055">
        <v>-78.403599999999898</v>
      </c>
      <c r="AD2055">
        <v>-1.1218289865116799</v>
      </c>
      <c r="AE2055">
        <v>-9.3999999999994005E-2</v>
      </c>
      <c r="AF2055">
        <v>-1.79742390458916</v>
      </c>
      <c r="AG2055">
        <v>-1.1218289865116799</v>
      </c>
      <c r="AH2055">
        <v>78.366997954899105</v>
      </c>
      <c r="AI2055">
        <v>90.819921415788102</v>
      </c>
      <c r="AJ2055">
        <v>91.313904493131304</v>
      </c>
      <c r="AK2055">
        <v>78.395635091699603</v>
      </c>
      <c r="AL2055">
        <v>80.805838079700806</v>
      </c>
      <c r="AM2055">
        <v>86.525201262314098</v>
      </c>
      <c r="AN2055">
        <v>0.99999997569806898</v>
      </c>
    </row>
    <row r="2056" spans="1:40" x14ac:dyDescent="0.25">
      <c r="A2056" t="str">
        <f>"20190303170300245"</f>
        <v>20190303170300245</v>
      </c>
      <c r="B2056" t="str">
        <f>"1551603780237790"</f>
        <v>1551603780237790</v>
      </c>
      <c r="C2056" t="s">
        <v>40</v>
      </c>
      <c r="D2056">
        <v>4.3303320000000003</v>
      </c>
      <c r="E2056">
        <v>0.47240949999999998</v>
      </c>
      <c r="F2056" t="s">
        <v>63</v>
      </c>
      <c r="G2056">
        <v>-319.46339999999998</v>
      </c>
      <c r="H2056" s="1">
        <v>6.4851479999999996E-6</v>
      </c>
      <c r="I2056">
        <v>283.79820000000001</v>
      </c>
      <c r="J2056">
        <v>-244.6455</v>
      </c>
      <c r="K2056">
        <v>1.121801</v>
      </c>
      <c r="L2056">
        <v>283.95760000000001</v>
      </c>
      <c r="M2056">
        <v>-0.99968040000000002</v>
      </c>
      <c r="N2056">
        <v>-1.323357E-2</v>
      </c>
      <c r="O2056">
        <v>2.1539969999999999E-2</v>
      </c>
      <c r="P2056">
        <v>-0.98606669999999996</v>
      </c>
      <c r="Q2056">
        <v>0.14599309999999999</v>
      </c>
      <c r="R2056">
        <v>7.9739530000000003E-2</v>
      </c>
      <c r="S2056">
        <v>-3.0503999999999998</v>
      </c>
      <c r="T2056">
        <v>-4.5617100000000001E-2</v>
      </c>
      <c r="U2056">
        <v>-6.3171390000000003E-3</v>
      </c>
      <c r="V2056">
        <v>5.840472E-2</v>
      </c>
      <c r="W2056">
        <v>0.15907639999999901</v>
      </c>
      <c r="X2056">
        <v>0.9855372</v>
      </c>
      <c r="Y2056">
        <v>-2.3607240000000002E-2</v>
      </c>
      <c r="Z2056">
        <v>-3.6974179999999998E-4</v>
      </c>
      <c r="AA2056">
        <v>0.99972119999999998</v>
      </c>
      <c r="AB2056">
        <v>25</v>
      </c>
      <c r="AC2056">
        <v>-74.817899999999895</v>
      </c>
      <c r="AD2056">
        <v>-1.1217945148520001</v>
      </c>
      <c r="AE2056">
        <v>-0.15940000000000501</v>
      </c>
      <c r="AF2056">
        <v>-1.77068140136397</v>
      </c>
      <c r="AG2056">
        <v>-1.1217945148520001</v>
      </c>
      <c r="AH2056">
        <v>74.7802932512149</v>
      </c>
      <c r="AI2056">
        <v>90.859200480337407</v>
      </c>
      <c r="AJ2056">
        <v>91.356421761535103</v>
      </c>
      <c r="AK2056">
        <v>74.809665112847398</v>
      </c>
      <c r="AL2056">
        <v>80.846708678712801</v>
      </c>
      <c r="AM2056">
        <v>86.608514846153199</v>
      </c>
      <c r="AN2056">
        <v>0.99999999246953897</v>
      </c>
    </row>
    <row r="2057" spans="1:40" x14ac:dyDescent="0.25">
      <c r="A2057" t="str">
        <f>"20190303170300258"</f>
        <v>20190303170300258</v>
      </c>
      <c r="B2057" t="str">
        <f>"1551603780247549"</f>
        <v>1551603780247549</v>
      </c>
      <c r="C2057" t="s">
        <v>40</v>
      </c>
      <c r="D2057">
        <v>4.3004569999999998</v>
      </c>
      <c r="E2057">
        <v>0.47231279999999998</v>
      </c>
      <c r="F2057" t="s">
        <v>63</v>
      </c>
      <c r="G2057">
        <v>-315.83</v>
      </c>
      <c r="H2057" s="1">
        <v>4.8857749999999998E-6</v>
      </c>
      <c r="I2057">
        <v>283.66199999999998</v>
      </c>
      <c r="J2057">
        <v>-244.7903</v>
      </c>
      <c r="K2057">
        <v>1.1217809999999999</v>
      </c>
      <c r="L2057">
        <v>283.96050000000002</v>
      </c>
      <c r="M2057">
        <v>-0.99968420000000002</v>
      </c>
      <c r="N2057">
        <v>-1.316995E-2</v>
      </c>
      <c r="O2057">
        <v>2.14045E-2</v>
      </c>
      <c r="P2057">
        <v>-0.9861645</v>
      </c>
      <c r="Q2057">
        <v>0.14563319999999999</v>
      </c>
      <c r="R2057">
        <v>7.9186419999999993E-2</v>
      </c>
      <c r="S2057">
        <v>-3.0505520000000002</v>
      </c>
      <c r="T2057">
        <v>-4.8073650000000002E-2</v>
      </c>
      <c r="U2057">
        <v>-1.266479E-2</v>
      </c>
      <c r="V2057">
        <v>5.7987259999999999E-2</v>
      </c>
      <c r="W2057">
        <v>0.15865360000000001</v>
      </c>
      <c r="X2057">
        <v>0.98563000000000001</v>
      </c>
      <c r="Y2057">
        <v>-2.5550929999999999E-2</v>
      </c>
      <c r="Z2057">
        <v>-4.249527E-4</v>
      </c>
      <c r="AA2057">
        <v>0.99967340000000005</v>
      </c>
      <c r="AB2057">
        <v>25</v>
      </c>
      <c r="AC2057">
        <v>-71.039699999999897</v>
      </c>
      <c r="AD2057">
        <v>-1.121776114225</v>
      </c>
      <c r="AE2057">
        <v>-0.29849999999999</v>
      </c>
      <c r="AF2057">
        <v>-1.8186791899202599</v>
      </c>
      <c r="AG2057">
        <v>-1.121776114225</v>
      </c>
      <c r="AH2057">
        <v>70.999328602796197</v>
      </c>
      <c r="AI2057">
        <v>90.904890510188096</v>
      </c>
      <c r="AJ2057">
        <v>91.467335846752405</v>
      </c>
      <c r="AK2057">
        <v>71.031476386839401</v>
      </c>
      <c r="AL2057">
        <v>80.871244933184499</v>
      </c>
      <c r="AM2057">
        <v>86.633016529577901</v>
      </c>
      <c r="AN2057">
        <v>0.99999999200763301</v>
      </c>
    </row>
    <row r="2058" spans="1:40" x14ac:dyDescent="0.25">
      <c r="A2058" t="str">
        <f>"20190303170300270"</f>
        <v>20190303170300270</v>
      </c>
      <c r="B2058" t="str">
        <f>"1551603780257310"</f>
        <v>1551603780257310</v>
      </c>
      <c r="C2058" t="s">
        <v>40</v>
      </c>
      <c r="D2058">
        <v>4.3327400000000003</v>
      </c>
      <c r="E2058">
        <v>0.47230329999999898</v>
      </c>
      <c r="F2058" t="s">
        <v>63</v>
      </c>
      <c r="G2058">
        <v>-314.25310000000002</v>
      </c>
      <c r="H2058" s="1">
        <v>4.1905809999999998E-6</v>
      </c>
      <c r="I2058">
        <v>283.61509999999998</v>
      </c>
      <c r="J2058">
        <v>-244.93190000000001</v>
      </c>
      <c r="K2058">
        <v>1.1217569999999999</v>
      </c>
      <c r="L2058">
        <v>283.96339999999998</v>
      </c>
      <c r="M2058">
        <v>-0.99968789999999996</v>
      </c>
      <c r="N2058">
        <v>-1.3098749999999999E-2</v>
      </c>
      <c r="O2058">
        <v>2.1277299999999999E-2</v>
      </c>
      <c r="P2058">
        <v>-0.98623150000000004</v>
      </c>
      <c r="Q2058">
        <v>0.14523559999999999</v>
      </c>
      <c r="R2058">
        <v>7.9084080000000001E-2</v>
      </c>
      <c r="S2058">
        <v>-3.0505680000000002</v>
      </c>
      <c r="T2058">
        <v>-4.9264549999999997E-2</v>
      </c>
      <c r="U2058">
        <v>-1.516724E-2</v>
      </c>
      <c r="V2058">
        <v>5.8014660000000003E-2</v>
      </c>
      <c r="W2058">
        <v>0.15818470000000001</v>
      </c>
      <c r="X2058">
        <v>0.98570380000000002</v>
      </c>
      <c r="Y2058">
        <v>-2.6243320000000001E-2</v>
      </c>
      <c r="Z2058">
        <v>-4.4864599999999997E-4</v>
      </c>
      <c r="AA2058">
        <v>0.99965550000000003</v>
      </c>
      <c r="AB2058">
        <v>25</v>
      </c>
      <c r="AC2058">
        <v>-69.321200000000005</v>
      </c>
      <c r="AD2058">
        <v>-1.1217528094189999</v>
      </c>
      <c r="AE2058">
        <v>-0.348299999999994</v>
      </c>
      <c r="AF2058">
        <v>-1.82283820141388</v>
      </c>
      <c r="AG2058">
        <v>-1.1217528094189999</v>
      </c>
      <c r="AH2058">
        <v>69.279951447898199</v>
      </c>
      <c r="AI2058">
        <v>90.927308043976197</v>
      </c>
      <c r="AJ2058">
        <v>91.507172605461705</v>
      </c>
      <c r="AK2058">
        <v>69.313005569641206</v>
      </c>
      <c r="AL2058">
        <v>80.898454975800206</v>
      </c>
      <c r="AM2058">
        <v>86.631680858866005</v>
      </c>
      <c r="AN2058">
        <v>1.00000004071172</v>
      </c>
    </row>
    <row r="2059" spans="1:40" x14ac:dyDescent="0.25">
      <c r="A2059" t="str">
        <f>"20190303170300289"</f>
        <v>20190303170300289</v>
      </c>
      <c r="B2059" t="str">
        <f>"1551603780277806"</f>
        <v>1551603780277806</v>
      </c>
      <c r="C2059" t="s">
        <v>40</v>
      </c>
      <c r="D2059">
        <v>4.2573889999999999</v>
      </c>
      <c r="E2059">
        <v>0.47229650000000001</v>
      </c>
      <c r="F2059" t="s">
        <v>63</v>
      </c>
      <c r="G2059">
        <v>-312.20490000000001</v>
      </c>
      <c r="H2059" s="1">
        <v>3.2816149999999998E-6</v>
      </c>
      <c r="I2059">
        <v>283.62290000000002</v>
      </c>
      <c r="J2059">
        <v>-245.1327</v>
      </c>
      <c r="K2059">
        <v>1.1217159999999999</v>
      </c>
      <c r="L2059">
        <v>283.9674</v>
      </c>
      <c r="M2059">
        <v>-0.9996929</v>
      </c>
      <c r="N2059">
        <v>-1.2990369999999999E-2</v>
      </c>
      <c r="O2059">
        <v>2.1106420000000001E-2</v>
      </c>
      <c r="P2059">
        <v>-0.98637129999999995</v>
      </c>
      <c r="Q2059">
        <v>0.14440020000000001</v>
      </c>
      <c r="R2059">
        <v>7.8868469999999996E-2</v>
      </c>
      <c r="S2059">
        <v>-3.0506129999999998</v>
      </c>
      <c r="T2059">
        <v>-5.0867919999999997E-2</v>
      </c>
      <c r="U2059">
        <v>-1.544189E-2</v>
      </c>
      <c r="V2059">
        <v>5.797306E-2</v>
      </c>
      <c r="W2059">
        <v>0.15724160000000001</v>
      </c>
      <c r="X2059">
        <v>0.98585710000000004</v>
      </c>
      <c r="Y2059">
        <v>-2.6162020000000001E-2</v>
      </c>
      <c r="Z2059">
        <v>-4.657644E-4</v>
      </c>
      <c r="AA2059">
        <v>0.99965760000000004</v>
      </c>
      <c r="AB2059">
        <v>25</v>
      </c>
      <c r="AC2059">
        <v>-67.072199999999995</v>
      </c>
      <c r="AD2059">
        <v>-1.121712718385</v>
      </c>
      <c r="AE2059">
        <v>-0.34449999999998199</v>
      </c>
      <c r="AF2059">
        <v>-1.7597044799931201</v>
      </c>
      <c r="AG2059">
        <v>-1.121712718385</v>
      </c>
      <c r="AH2059">
        <v>67.031236820757599</v>
      </c>
      <c r="AI2059">
        <v>90.958378226270398</v>
      </c>
      <c r="AJ2059">
        <v>91.503783799564403</v>
      </c>
      <c r="AK2059">
        <v>67.063712311502599</v>
      </c>
      <c r="AL2059">
        <v>80.953175164992103</v>
      </c>
      <c r="AM2059">
        <v>86.634612784302206</v>
      </c>
      <c r="AN2059">
        <v>1.0000000090383601</v>
      </c>
    </row>
    <row r="2060" spans="1:40" x14ac:dyDescent="0.25">
      <c r="A2060" t="str">
        <f>"20190303170300305"</f>
        <v>20190303170300305</v>
      </c>
      <c r="B2060" t="str">
        <f>"1551603780298302"</f>
        <v>1551603780298302</v>
      </c>
      <c r="C2060" t="s">
        <v>40</v>
      </c>
      <c r="D2060">
        <v>4.3288460000000004</v>
      </c>
      <c r="E2060">
        <v>0.47218729999999998</v>
      </c>
      <c r="F2060" t="s">
        <v>63</v>
      </c>
      <c r="G2060">
        <v>-308.81330000000003</v>
      </c>
      <c r="H2060" s="1">
        <v>2.4877470000000002E-6</v>
      </c>
      <c r="I2060">
        <v>283.62720000000002</v>
      </c>
      <c r="J2060">
        <v>-245.2987</v>
      </c>
      <c r="K2060">
        <v>1.1216839999999999</v>
      </c>
      <c r="L2060">
        <v>283.9708</v>
      </c>
      <c r="M2060">
        <v>-0.99969699999999995</v>
      </c>
      <c r="N2060">
        <v>-1.2893760000000001E-2</v>
      </c>
      <c r="O2060">
        <v>2.0972919999999999E-2</v>
      </c>
      <c r="P2060">
        <v>-0.98635980000000001</v>
      </c>
      <c r="Q2060">
        <v>0.14449970000000001</v>
      </c>
      <c r="R2060">
        <v>7.8832250000000006E-2</v>
      </c>
      <c r="S2060">
        <v>-3.0505979999999999</v>
      </c>
      <c r="T2060">
        <v>-5.3735379999999999E-2</v>
      </c>
      <c r="U2060">
        <v>-1.6296390000000001E-2</v>
      </c>
      <c r="V2060">
        <v>5.8075090000000003E-2</v>
      </c>
      <c r="W2060">
        <v>0.15724299999999999</v>
      </c>
      <c r="X2060">
        <v>0.98585089999999997</v>
      </c>
      <c r="Y2060">
        <v>-2.6307850000000001E-2</v>
      </c>
      <c r="Z2060">
        <v>-5.0026819999999996E-4</v>
      </c>
      <c r="AA2060">
        <v>0.99965380000000004</v>
      </c>
      <c r="AB2060">
        <v>25</v>
      </c>
      <c r="AC2060">
        <v>-63.514600000000002</v>
      </c>
      <c r="AD2060">
        <v>-1.1216815122529999</v>
      </c>
      <c r="AE2060">
        <v>-0.34359999999997998</v>
      </c>
      <c r="AF2060">
        <v>-1.67519919085159</v>
      </c>
      <c r="AG2060">
        <v>-1.1216815122529999</v>
      </c>
      <c r="AH2060">
        <v>63.473624598277603</v>
      </c>
      <c r="AI2060">
        <v>91.012051296618594</v>
      </c>
      <c r="AJ2060">
        <v>91.511802237834502</v>
      </c>
      <c r="AK2060">
        <v>63.505633461819997</v>
      </c>
      <c r="AL2060">
        <v>80.953094196284795</v>
      </c>
      <c r="AM2060">
        <v>86.628682349159504</v>
      </c>
      <c r="AN2060">
        <v>1.00000003707915</v>
      </c>
    </row>
    <row r="2061" spans="1:40" x14ac:dyDescent="0.25">
      <c r="A2061" t="str">
        <f>"20190303170300327"</f>
        <v>20190303170300327</v>
      </c>
      <c r="B2061" t="str">
        <f>"1551603780317822"</f>
        <v>1551603780317822</v>
      </c>
      <c r="C2061" t="s">
        <v>40</v>
      </c>
      <c r="D2061">
        <v>4.3659790000000003</v>
      </c>
      <c r="E2061">
        <v>0.47210400000000002</v>
      </c>
      <c r="F2061" t="s">
        <v>63</v>
      </c>
      <c r="G2061">
        <v>-308.9366</v>
      </c>
      <c r="H2061" s="1">
        <v>2.4674420000000002E-6</v>
      </c>
      <c r="I2061">
        <v>283.60919999999999</v>
      </c>
      <c r="J2061">
        <v>-245.5461</v>
      </c>
      <c r="K2061">
        <v>1.121642</v>
      </c>
      <c r="L2061">
        <v>283.97570000000002</v>
      </c>
      <c r="M2061">
        <v>-0.9997028</v>
      </c>
      <c r="N2061">
        <v>-1.273987E-2</v>
      </c>
      <c r="O2061">
        <v>2.0785620000000001E-2</v>
      </c>
      <c r="P2061">
        <v>-0.98627010000000004</v>
      </c>
      <c r="Q2061">
        <v>0.14547079999999901</v>
      </c>
      <c r="R2061">
        <v>7.8164899999999995E-2</v>
      </c>
      <c r="S2061">
        <v>-3.050735</v>
      </c>
      <c r="T2061">
        <v>-5.3772210000000001E-2</v>
      </c>
      <c r="U2061">
        <v>-1.7333979999999999E-2</v>
      </c>
      <c r="V2061">
        <v>5.7601810000000003E-2</v>
      </c>
      <c r="W2061">
        <v>0.15805849999999999</v>
      </c>
      <c r="X2061">
        <v>0.98574819999999996</v>
      </c>
      <c r="Y2061">
        <v>-2.6460230000000001E-2</v>
      </c>
      <c r="Z2061">
        <v>-5.0325629999999999E-4</v>
      </c>
      <c r="AA2061">
        <v>0.99964980000000003</v>
      </c>
      <c r="AB2061">
        <v>25</v>
      </c>
      <c r="AC2061">
        <v>-63.390500000000003</v>
      </c>
      <c r="AD2061">
        <v>-1.121639532558</v>
      </c>
      <c r="AE2061">
        <v>-0.36650000000003002</v>
      </c>
      <c r="AF2061">
        <v>-1.68361147763612</v>
      </c>
      <c r="AG2061">
        <v>-1.121639532558</v>
      </c>
      <c r="AH2061">
        <v>63.349351184683897</v>
      </c>
      <c r="AI2061">
        <v>91.013993344258395</v>
      </c>
      <c r="AJ2061">
        <v>91.522369661086003</v>
      </c>
      <c r="AK2061">
        <v>63.381644964209002</v>
      </c>
      <c r="AL2061">
        <v>80.905777323958802</v>
      </c>
      <c r="AM2061">
        <v>86.655746537307493</v>
      </c>
      <c r="AN2061">
        <v>0.99999998587038297</v>
      </c>
    </row>
    <row r="2062" spans="1:40" x14ac:dyDescent="0.25">
      <c r="A2062" t="str">
        <f>"20190303170300341"</f>
        <v>20190303170300341</v>
      </c>
      <c r="B2062" t="str">
        <f>"1551603780327582"</f>
        <v>1551603780327582</v>
      </c>
      <c r="C2062" t="s">
        <v>40</v>
      </c>
      <c r="D2062">
        <v>4.3371629999999897</v>
      </c>
      <c r="E2062">
        <v>0.47209449999999997</v>
      </c>
      <c r="F2062" t="s">
        <v>63</v>
      </c>
      <c r="G2062">
        <v>-312.4425</v>
      </c>
      <c r="H2062" s="1">
        <v>3.3945580000000002E-6</v>
      </c>
      <c r="I2062">
        <v>283.53609999999998</v>
      </c>
      <c r="J2062">
        <v>-245.70439999999999</v>
      </c>
      <c r="K2062">
        <v>1.1216219999999999</v>
      </c>
      <c r="L2062">
        <v>283.97890000000001</v>
      </c>
      <c r="M2062">
        <v>-0.9997064</v>
      </c>
      <c r="N2062">
        <v>-1.263651E-2</v>
      </c>
      <c r="O2062">
        <v>2.0672119999999999E-2</v>
      </c>
      <c r="P2062">
        <v>-0.98625680000000004</v>
      </c>
      <c r="Q2062">
        <v>0.14582249999999999</v>
      </c>
      <c r="R2062">
        <v>7.767512E-2</v>
      </c>
      <c r="S2062">
        <v>-3.050888</v>
      </c>
      <c r="T2062">
        <v>-5.1153659999999997E-2</v>
      </c>
      <c r="U2062">
        <v>-2.005005E-2</v>
      </c>
      <c r="V2062">
        <v>5.7227739999999999E-2</v>
      </c>
      <c r="W2062">
        <v>0.15830659999999999</v>
      </c>
      <c r="X2062">
        <v>0.9857302</v>
      </c>
      <c r="Y2062">
        <v>-2.7236759999999999E-2</v>
      </c>
      <c r="Z2062">
        <v>-4.8576560000000002E-4</v>
      </c>
      <c r="AA2062">
        <v>0.99962890000000004</v>
      </c>
      <c r="AB2062">
        <v>25</v>
      </c>
      <c r="AC2062">
        <v>-66.738100000000003</v>
      </c>
      <c r="AD2062">
        <v>-1.1216186054420001</v>
      </c>
      <c r="AE2062">
        <v>-0.442800000000033</v>
      </c>
      <c r="AF2062">
        <v>-1.8219190234836</v>
      </c>
      <c r="AG2062">
        <v>-1.1216186054420001</v>
      </c>
      <c r="AH2062">
        <v>66.695844574265806</v>
      </c>
      <c r="AI2062">
        <v>90.963088459205906</v>
      </c>
      <c r="AJ2062">
        <v>91.564749914832802</v>
      </c>
      <c r="AK2062">
        <v>66.730151361276199</v>
      </c>
      <c r="AL2062">
        <v>80.891381215653595</v>
      </c>
      <c r="AM2062">
        <v>86.677354991427705</v>
      </c>
      <c r="AN2062">
        <v>1.00000001051055</v>
      </c>
    </row>
    <row r="2063" spans="1:40" x14ac:dyDescent="0.25">
      <c r="A2063" t="str">
        <f>"20190303170300356"</f>
        <v>20190303170300356</v>
      </c>
      <c r="B2063" t="str">
        <f>"1551603780348078"</f>
        <v>1551603780348078</v>
      </c>
      <c r="C2063" t="s">
        <v>40</v>
      </c>
      <c r="D2063">
        <v>4.3232999999999997</v>
      </c>
      <c r="E2063">
        <v>0.47205259999999999</v>
      </c>
      <c r="F2063" t="s">
        <v>63</v>
      </c>
      <c r="G2063">
        <v>-313.9058</v>
      </c>
      <c r="H2063" s="1">
        <v>4.0469839999999999E-6</v>
      </c>
      <c r="I2063">
        <v>283.49590000000001</v>
      </c>
      <c r="J2063">
        <v>-245.8852</v>
      </c>
      <c r="K2063">
        <v>1.1215980000000001</v>
      </c>
      <c r="L2063">
        <v>283.98250000000002</v>
      </c>
      <c r="M2063">
        <v>-0.9997106</v>
      </c>
      <c r="N2063">
        <v>-1.251443E-2</v>
      </c>
      <c r="O2063">
        <v>2.054773E-2</v>
      </c>
      <c r="P2063">
        <v>-0.98630150000000005</v>
      </c>
      <c r="Q2063">
        <v>0.14595</v>
      </c>
      <c r="R2063">
        <v>7.686316E-2</v>
      </c>
      <c r="S2063">
        <v>-3.0509339999999998</v>
      </c>
      <c r="T2063">
        <v>-5.0174709999999997E-2</v>
      </c>
      <c r="U2063">
        <v>-2.1606449999999999E-2</v>
      </c>
      <c r="V2063">
        <v>5.654021E-2</v>
      </c>
      <c r="W2063">
        <v>0.1583128</v>
      </c>
      <c r="X2063">
        <v>0.98576889999999995</v>
      </c>
      <c r="Y2063">
        <v>-2.7622319999999999E-2</v>
      </c>
      <c r="Z2063">
        <v>-4.807123E-4</v>
      </c>
      <c r="AA2063">
        <v>0.99961829999999996</v>
      </c>
      <c r="AB2063">
        <v>25</v>
      </c>
      <c r="AC2063">
        <v>-68.020600000000002</v>
      </c>
      <c r="AD2063">
        <v>-1.121593953016</v>
      </c>
      <c r="AE2063">
        <v>-0.48660000000000903</v>
      </c>
      <c r="AF2063">
        <v>-1.88376341127928</v>
      </c>
      <c r="AG2063">
        <v>-1.121593953016</v>
      </c>
      <c r="AH2063">
        <v>67.977756060341207</v>
      </c>
      <c r="AI2063">
        <v>90.944899030986306</v>
      </c>
      <c r="AJ2063">
        <v>91.587343922661304</v>
      </c>
      <c r="AK2063">
        <v>68.013100624691205</v>
      </c>
      <c r="AL2063">
        <v>80.891021634073795</v>
      </c>
      <c r="AM2063">
        <v>86.717313775383701</v>
      </c>
      <c r="AN2063">
        <v>1.0000000310989401</v>
      </c>
    </row>
    <row r="2064" spans="1:40" x14ac:dyDescent="0.25">
      <c r="A2064" t="str">
        <f>"20190303170300369"</f>
        <v>20190303170300369</v>
      </c>
      <c r="B2064" t="str">
        <f>"1551603780357838"</f>
        <v>1551603780357838</v>
      </c>
      <c r="C2064" t="s">
        <v>40</v>
      </c>
      <c r="D2064">
        <v>4.357075</v>
      </c>
      <c r="E2064">
        <v>0.47204859999999998</v>
      </c>
      <c r="F2064" t="s">
        <v>63</v>
      </c>
      <c r="G2064">
        <v>-314.41730000000001</v>
      </c>
      <c r="H2064" s="1">
        <v>4.27847699999999E-6</v>
      </c>
      <c r="I2064">
        <v>283.44290000000001</v>
      </c>
      <c r="J2064">
        <v>-246.024</v>
      </c>
      <c r="K2064">
        <v>1.12158</v>
      </c>
      <c r="L2064">
        <v>283.98520000000002</v>
      </c>
      <c r="M2064">
        <v>-0.99971370000000004</v>
      </c>
      <c r="N2064">
        <v>-1.241655E-2</v>
      </c>
      <c r="O2064">
        <v>2.0455830000000001E-2</v>
      </c>
      <c r="P2064">
        <v>-0.98635130000000004</v>
      </c>
      <c r="Q2064">
        <v>0.14585490000000001</v>
      </c>
      <c r="R2064">
        <v>7.6405500000000001E-2</v>
      </c>
      <c r="S2064">
        <v>-3.0509189999999999</v>
      </c>
      <c r="T2064">
        <v>-4.9931169999999997E-2</v>
      </c>
      <c r="U2064">
        <v>-2.401733E-2</v>
      </c>
      <c r="V2064">
        <v>5.6173399999999998E-2</v>
      </c>
      <c r="W2064">
        <v>0.1581216</v>
      </c>
      <c r="X2064">
        <v>0.98582049999999999</v>
      </c>
      <c r="Y2064">
        <v>-2.8320209999999998E-2</v>
      </c>
      <c r="Z2064">
        <v>-4.8831419999999996E-4</v>
      </c>
      <c r="AA2064">
        <v>0.99959880000000001</v>
      </c>
      <c r="AB2064">
        <v>25</v>
      </c>
      <c r="AC2064">
        <v>-68.393299999999996</v>
      </c>
      <c r="AD2064">
        <v>-1.121575721523</v>
      </c>
      <c r="AE2064">
        <v>-0.542300000000011</v>
      </c>
      <c r="AF2064">
        <v>-1.94081412156736</v>
      </c>
      <c r="AG2064">
        <v>-1.121575721523</v>
      </c>
      <c r="AH2064">
        <v>68.349513275263206</v>
      </c>
      <c r="AI2064">
        <v>90.939727304187997</v>
      </c>
      <c r="AJ2064">
        <v>91.626501493663795</v>
      </c>
      <c r="AK2064">
        <v>68.386260729176897</v>
      </c>
      <c r="AL2064">
        <v>80.902115814774206</v>
      </c>
      <c r="AM2064">
        <v>86.738734733613001</v>
      </c>
      <c r="AN2064">
        <v>0.99999997473718405</v>
      </c>
    </row>
    <row r="2065" spans="1:40" x14ac:dyDescent="0.25">
      <c r="A2065" t="str">
        <f>"20190303170300382"</f>
        <v>20190303170300382</v>
      </c>
      <c r="B2065" t="str">
        <f>"1551603780367598"</f>
        <v>1551603780367598</v>
      </c>
      <c r="C2065" t="s">
        <v>40</v>
      </c>
      <c r="D2065">
        <v>4.3487119999999999</v>
      </c>
      <c r="E2065">
        <v>0.47203669999999998</v>
      </c>
      <c r="F2065" t="s">
        <v>63</v>
      </c>
      <c r="G2065">
        <v>-314.22750000000002</v>
      </c>
      <c r="H2065" s="1">
        <v>4.1962179999999998E-6</v>
      </c>
      <c r="I2065">
        <v>283.42099999999999</v>
      </c>
      <c r="J2065">
        <v>-246.16149999999999</v>
      </c>
      <c r="K2065">
        <v>1.121564</v>
      </c>
      <c r="L2065">
        <v>283.98790000000002</v>
      </c>
      <c r="M2065">
        <v>-0.99971690000000002</v>
      </c>
      <c r="N2065">
        <v>-1.231693E-2</v>
      </c>
      <c r="O2065">
        <v>2.0365169999999998E-2</v>
      </c>
      <c r="P2065">
        <v>-0.98638210000000004</v>
      </c>
      <c r="Q2065">
        <v>0.14587039999999901</v>
      </c>
      <c r="R2065">
        <v>7.5977840000000005E-2</v>
      </c>
      <c r="S2065">
        <v>-3.0508730000000002</v>
      </c>
      <c r="T2065">
        <v>-5.0170180000000002E-2</v>
      </c>
      <c r="U2065">
        <v>-2.523804E-2</v>
      </c>
      <c r="V2065">
        <v>5.5835099999999999E-2</v>
      </c>
      <c r="W2065">
        <v>0.15803829999999999</v>
      </c>
      <c r="X2065">
        <v>0.98585310000000004</v>
      </c>
      <c r="Y2065">
        <v>-2.8629479999999999E-2</v>
      </c>
      <c r="Z2065">
        <v>-4.9573550000000003E-4</v>
      </c>
      <c r="AA2065">
        <v>0.99958999999999998</v>
      </c>
      <c r="AB2065">
        <v>25</v>
      </c>
      <c r="AC2065">
        <v>-68.066000000000003</v>
      </c>
      <c r="AD2065">
        <v>-1.121559803782</v>
      </c>
      <c r="AE2065">
        <v>-0.56690000000003204</v>
      </c>
      <c r="AF2065">
        <v>-1.9525329107654901</v>
      </c>
      <c r="AG2065">
        <v>-1.121559803782</v>
      </c>
      <c r="AH2065">
        <v>68.021868382194995</v>
      </c>
      <c r="AI2065">
        <v>90.944231203978603</v>
      </c>
      <c r="AJ2065">
        <v>91.644194543022394</v>
      </c>
      <c r="AK2065">
        <v>68.059127671207605</v>
      </c>
      <c r="AL2065">
        <v>80.906949548325798</v>
      </c>
      <c r="AM2065">
        <v>86.758440406666594</v>
      </c>
      <c r="AN2065">
        <v>0.99999999871925505</v>
      </c>
    </row>
    <row r="2066" spans="1:40" x14ac:dyDescent="0.25">
      <c r="A2066" t="str">
        <f>"20190303170300394"</f>
        <v>20190303170300394</v>
      </c>
      <c r="B2066" t="str">
        <f>"1551603780388094"</f>
        <v>1551603780388094</v>
      </c>
      <c r="C2066" t="s">
        <v>40</v>
      </c>
      <c r="D2066">
        <v>4.3695740000000001</v>
      </c>
      <c r="E2066">
        <v>0.4720065</v>
      </c>
      <c r="F2066" t="s">
        <v>63</v>
      </c>
      <c r="G2066">
        <v>-314.6893</v>
      </c>
      <c r="H2066" s="1">
        <v>4.404171E-6</v>
      </c>
      <c r="I2066">
        <v>283.38470000000001</v>
      </c>
      <c r="J2066">
        <v>-246.31</v>
      </c>
      <c r="K2066">
        <v>1.121545</v>
      </c>
      <c r="L2066">
        <v>283.99079999999998</v>
      </c>
      <c r="M2066">
        <v>-0.9997201</v>
      </c>
      <c r="N2066">
        <v>-1.2207020000000001E-2</v>
      </c>
      <c r="O2066">
        <v>2.026795E-2</v>
      </c>
      <c r="P2066">
        <v>-0.98640760000000005</v>
      </c>
      <c r="Q2066">
        <v>0.14587849999999999</v>
      </c>
      <c r="R2066">
        <v>7.5628249999999994E-2</v>
      </c>
      <c r="S2066">
        <v>-3.050888</v>
      </c>
      <c r="T2066">
        <v>-4.9932360000000002E-2</v>
      </c>
      <c r="U2066">
        <v>-2.6855469999999999E-2</v>
      </c>
      <c r="V2066">
        <v>5.5581400000000003E-2</v>
      </c>
      <c r="W2066">
        <v>0.15793850000000001</v>
      </c>
      <c r="X2066">
        <v>0.98588339999999997</v>
      </c>
      <c r="Y2066">
        <v>-2.9062069999999999E-2</v>
      </c>
      <c r="Z2066">
        <v>-4.9947160000000002E-4</v>
      </c>
      <c r="AA2066">
        <v>0.99957750000000001</v>
      </c>
      <c r="AB2066">
        <v>25</v>
      </c>
      <c r="AC2066">
        <v>-68.379300000000001</v>
      </c>
      <c r="AD2066">
        <v>-1.1215405958289999</v>
      </c>
      <c r="AE2066">
        <v>-0.606099999999969</v>
      </c>
      <c r="AF2066">
        <v>-1.9914512333811201</v>
      </c>
      <c r="AG2066">
        <v>-1.1215405958289999</v>
      </c>
      <c r="AH2066">
        <v>68.334584624326297</v>
      </c>
      <c r="AI2066">
        <v>90.939882947938003</v>
      </c>
      <c r="AJ2066">
        <v>91.669278680270594</v>
      </c>
      <c r="AK2066">
        <v>68.372795665397803</v>
      </c>
      <c r="AL2066">
        <v>80.912740132297699</v>
      </c>
      <c r="AM2066">
        <v>86.773236968444394</v>
      </c>
      <c r="AN2066">
        <v>0.99999997010188402</v>
      </c>
    </row>
    <row r="2067" spans="1:40" x14ac:dyDescent="0.25">
      <c r="A2067" t="str">
        <f>"20190303170300412"</f>
        <v>20190303170300412</v>
      </c>
      <c r="B2067" t="str">
        <f>"1551603780397854"</f>
        <v>1551603780397854</v>
      </c>
      <c r="C2067" t="s">
        <v>40</v>
      </c>
      <c r="D2067">
        <v>4.3603269999999998</v>
      </c>
      <c r="E2067">
        <v>0.47203790000000001</v>
      </c>
      <c r="F2067" t="s">
        <v>63</v>
      </c>
      <c r="G2067">
        <v>-314.59539999999998</v>
      </c>
      <c r="H2067" s="1">
        <v>4.3647900000000003E-6</v>
      </c>
      <c r="I2067">
        <v>283.35899999999998</v>
      </c>
      <c r="J2067">
        <v>-246.5042</v>
      </c>
      <c r="K2067">
        <v>1.1215269999999999</v>
      </c>
      <c r="L2067">
        <v>283.99459999999999</v>
      </c>
      <c r="M2067">
        <v>-0.99972450000000002</v>
      </c>
      <c r="N2067">
        <v>-1.205731E-2</v>
      </c>
      <c r="O2067">
        <v>2.0140089999999999E-2</v>
      </c>
      <c r="P2067">
        <v>-0.98650780000000005</v>
      </c>
      <c r="Q2067">
        <v>0.14572979999999899</v>
      </c>
      <c r="R2067">
        <v>7.4601210000000001E-2</v>
      </c>
      <c r="S2067">
        <v>-3.0509490000000001</v>
      </c>
      <c r="T2067">
        <v>-5.010974E-2</v>
      </c>
      <c r="U2067">
        <v>-2.8228759999999999E-2</v>
      </c>
      <c r="V2067">
        <v>5.4678810000000001E-2</v>
      </c>
      <c r="W2067">
        <v>0.1576428</v>
      </c>
      <c r="X2067">
        <v>0.9859812</v>
      </c>
      <c r="Y2067">
        <v>-2.9383800000000002E-2</v>
      </c>
      <c r="Z2067">
        <v>-5.0636609999999999E-4</v>
      </c>
      <c r="AA2067">
        <v>0.99956800000000001</v>
      </c>
      <c r="AB2067">
        <v>25</v>
      </c>
      <c r="AC2067">
        <v>-68.091199999999901</v>
      </c>
      <c r="AD2067">
        <v>-1.1215226352099901</v>
      </c>
      <c r="AE2067">
        <v>-0.63559999999995398</v>
      </c>
      <c r="AF2067">
        <v>-2.0063893319631498</v>
      </c>
      <c r="AG2067">
        <v>-1.1215226352099901</v>
      </c>
      <c r="AH2067">
        <v>68.046126295651504</v>
      </c>
      <c r="AI2067">
        <v>90.943841946858996</v>
      </c>
      <c r="AJ2067">
        <v>91.6889182291022</v>
      </c>
      <c r="AK2067">
        <v>68.084937504682003</v>
      </c>
      <c r="AL2067">
        <v>80.929897482695694</v>
      </c>
      <c r="AM2067">
        <v>86.825842768319504</v>
      </c>
      <c r="AN2067">
        <v>0.999999975704147</v>
      </c>
    </row>
    <row r="2068" spans="1:40" x14ac:dyDescent="0.25">
      <c r="A2068" t="str">
        <f>"20190303170300424"</f>
        <v>20190303170300424</v>
      </c>
      <c r="B2068" t="str">
        <f>"1551603780417375"</f>
        <v>1551603780417375</v>
      </c>
      <c r="C2068" t="s">
        <v>40</v>
      </c>
      <c r="D2068">
        <v>4.4113040000000003</v>
      </c>
      <c r="E2068">
        <v>0.47201490000000002</v>
      </c>
      <c r="F2068" t="s">
        <v>63</v>
      </c>
      <c r="G2068">
        <v>-313.90350000000001</v>
      </c>
      <c r="H2068" s="1">
        <v>4.0630190000000002E-6</v>
      </c>
      <c r="I2068">
        <v>283.30079999999998</v>
      </c>
      <c r="J2068">
        <v>-246.63820000000001</v>
      </c>
      <c r="K2068">
        <v>1.121516</v>
      </c>
      <c r="L2068">
        <v>283.99720000000002</v>
      </c>
      <c r="M2068">
        <v>-0.99972740000000004</v>
      </c>
      <c r="N2068">
        <v>-1.1955779999999999E-2</v>
      </c>
      <c r="O2068">
        <v>2.005024E-2</v>
      </c>
      <c r="P2068">
        <v>-0.98654459999999999</v>
      </c>
      <c r="Q2068">
        <v>0.145782299999999</v>
      </c>
      <c r="R2068">
        <v>7.4008500000000005E-2</v>
      </c>
      <c r="S2068">
        <v>-3.050888</v>
      </c>
      <c r="T2068">
        <v>-5.076671E-2</v>
      </c>
      <c r="U2068">
        <v>-3.1402590000000001E-2</v>
      </c>
      <c r="V2068">
        <v>5.4174180000000002E-2</v>
      </c>
      <c r="W2068">
        <v>0.15759570000000001</v>
      </c>
      <c r="X2068">
        <v>0.98601660000000002</v>
      </c>
      <c r="Y2068">
        <v>-3.0333499999999999E-2</v>
      </c>
      <c r="Z2068">
        <v>-5.275891E-4</v>
      </c>
      <c r="AA2068">
        <v>0.99953970000000003</v>
      </c>
      <c r="AB2068">
        <v>25</v>
      </c>
      <c r="AC2068">
        <v>-67.265299999999996</v>
      </c>
      <c r="AD2068">
        <v>-1.121511936981</v>
      </c>
      <c r="AE2068">
        <v>-0.69640000000003899</v>
      </c>
      <c r="AF2068">
        <v>-2.0444736342051799</v>
      </c>
      <c r="AG2068">
        <v>-1.121511936981</v>
      </c>
      <c r="AH2068">
        <v>67.219127895326196</v>
      </c>
      <c r="AI2068">
        <v>90.955416238485199</v>
      </c>
      <c r="AJ2068">
        <v>91.742117359060799</v>
      </c>
      <c r="AK2068">
        <v>67.259563011321802</v>
      </c>
      <c r="AL2068">
        <v>80.932630413440805</v>
      </c>
      <c r="AM2068">
        <v>86.855190628456597</v>
      </c>
      <c r="AN2068">
        <v>0.99999999095636105</v>
      </c>
    </row>
    <row r="2069" spans="1:40" x14ac:dyDescent="0.25">
      <c r="A2069" t="str">
        <f>"20190303170300436"</f>
        <v>20190303170300436</v>
      </c>
      <c r="B2069" t="str">
        <f>"1551603780428109"</f>
        <v>1551603780428109</v>
      </c>
      <c r="C2069" t="s">
        <v>40</v>
      </c>
      <c r="D2069">
        <v>4.347836</v>
      </c>
      <c r="E2069">
        <v>0.47204230000000003</v>
      </c>
      <c r="F2069" t="s">
        <v>63</v>
      </c>
      <c r="G2069">
        <v>-314.3134</v>
      </c>
      <c r="H2069" s="1">
        <v>4.2486509999999998E-6</v>
      </c>
      <c r="I2069">
        <v>283.25659999999999</v>
      </c>
      <c r="J2069">
        <v>-246.77950000000001</v>
      </c>
      <c r="K2069">
        <v>1.121507</v>
      </c>
      <c r="L2069">
        <v>283.99990000000003</v>
      </c>
      <c r="M2069">
        <v>-0.99973060000000002</v>
      </c>
      <c r="N2069">
        <v>-1.1850090000000001E-2</v>
      </c>
      <c r="O2069">
        <v>1.9954449999999999E-2</v>
      </c>
      <c r="P2069">
        <v>-0.98655020000000004</v>
      </c>
      <c r="Q2069">
        <v>0.14596519999999999</v>
      </c>
      <c r="R2069">
        <v>7.3572059999999995E-2</v>
      </c>
      <c r="S2069">
        <v>-3.0508730000000002</v>
      </c>
      <c r="T2069">
        <v>-5.055904E-2</v>
      </c>
      <c r="U2069">
        <v>-3.3386230000000003E-2</v>
      </c>
      <c r="V2069">
        <v>5.3832169999999999E-2</v>
      </c>
      <c r="W2069">
        <v>0.157673799999999</v>
      </c>
      <c r="X2069">
        <v>0.98602279999999998</v>
      </c>
      <c r="Y2069">
        <v>-3.0887499999999998E-2</v>
      </c>
      <c r="Z2069">
        <v>-5.3313290000000005E-4</v>
      </c>
      <c r="AA2069">
        <v>0.99952269999999999</v>
      </c>
      <c r="AB2069">
        <v>25</v>
      </c>
      <c r="AC2069">
        <v>-67.533899999999903</v>
      </c>
      <c r="AD2069">
        <v>-1.1215027513489999</v>
      </c>
      <c r="AE2069">
        <v>-0.74330000000003305</v>
      </c>
      <c r="AF2069">
        <v>-2.0902721447969701</v>
      </c>
      <c r="AG2069">
        <v>-1.1215027513489999</v>
      </c>
      <c r="AH2069">
        <v>67.487009192125498</v>
      </c>
      <c r="AI2069">
        <v>90.951600461352996</v>
      </c>
      <c r="AJ2069">
        <v>91.774052487625795</v>
      </c>
      <c r="AK2069">
        <v>67.528685873180095</v>
      </c>
      <c r="AL2069">
        <v>80.928098546486297</v>
      </c>
      <c r="AM2069">
        <v>86.875024433819902</v>
      </c>
      <c r="AN2069">
        <v>0.99999994592659303</v>
      </c>
    </row>
    <row r="2070" spans="1:40" x14ac:dyDescent="0.25">
      <c r="A2070" t="str">
        <f>"20190303170300450"</f>
        <v>20190303170300450</v>
      </c>
      <c r="B2070" t="str">
        <f>"1551603780437870"</f>
        <v>1551603780437870</v>
      </c>
      <c r="C2070" t="s">
        <v>40</v>
      </c>
      <c r="D2070">
        <v>4.3182320000000001</v>
      </c>
      <c r="E2070">
        <v>0.47206369999999997</v>
      </c>
      <c r="F2070" t="s">
        <v>63</v>
      </c>
      <c r="G2070">
        <v>-315.37970000000001</v>
      </c>
      <c r="H2070" s="1">
        <v>4.7240929999999901E-6</v>
      </c>
      <c r="I2070">
        <v>283.22719999999998</v>
      </c>
      <c r="J2070">
        <v>-246.92439999999999</v>
      </c>
      <c r="K2070">
        <v>1.1214959999999901</v>
      </c>
      <c r="L2070">
        <v>284.00259999999997</v>
      </c>
      <c r="M2070">
        <v>-0.99973400000000001</v>
      </c>
      <c r="N2070">
        <v>-1.174589E-2</v>
      </c>
      <c r="O2070">
        <v>1.9854119999999999E-2</v>
      </c>
      <c r="P2070">
        <v>-0.98649889999999996</v>
      </c>
      <c r="Q2070">
        <v>0.14670939999999999</v>
      </c>
      <c r="R2070">
        <v>7.2778060000000006E-2</v>
      </c>
      <c r="S2070">
        <v>-3.0508579999999998</v>
      </c>
      <c r="T2070">
        <v>-4.9876570000000002E-2</v>
      </c>
      <c r="U2070">
        <v>-3.4362789999999997E-2</v>
      </c>
      <c r="V2070">
        <v>5.3138379999999999E-2</v>
      </c>
      <c r="W2070">
        <v>0.1583137</v>
      </c>
      <c r="X2070">
        <v>0.985958</v>
      </c>
      <c r="Y2070">
        <v>-3.1107269999999999E-2</v>
      </c>
      <c r="Z2070">
        <v>-5.2831429999999999E-4</v>
      </c>
      <c r="AA2070">
        <v>0.99951590000000001</v>
      </c>
      <c r="AB2070">
        <v>25</v>
      </c>
      <c r="AC2070">
        <v>-68.455299999999994</v>
      </c>
      <c r="AD2070">
        <v>-1.1214912759069999</v>
      </c>
      <c r="AE2070">
        <v>-0.77539999999998999</v>
      </c>
      <c r="AF2070">
        <v>-2.1338878375667298</v>
      </c>
      <c r="AG2070">
        <v>-1.1214912759069999</v>
      </c>
      <c r="AH2070">
        <v>68.408050643281399</v>
      </c>
      <c r="AI2070">
        <v>90.938774451668294</v>
      </c>
      <c r="AJ2070">
        <v>91.786677645247295</v>
      </c>
      <c r="AK2070">
        <v>68.450512144168798</v>
      </c>
      <c r="AL2070">
        <v>80.8909695498308</v>
      </c>
      <c r="AM2070">
        <v>86.915018536975595</v>
      </c>
      <c r="AN2070">
        <v>1.00000004640035</v>
      </c>
    </row>
    <row r="2071" spans="1:40" x14ac:dyDescent="0.25">
      <c r="A2071" t="str">
        <f>"20190303170300468"</f>
        <v>20190303170300468</v>
      </c>
      <c r="B2071" t="str">
        <f>"1551603780457391"</f>
        <v>1551603780457391</v>
      </c>
      <c r="C2071" t="s">
        <v>40</v>
      </c>
      <c r="D2071">
        <v>4.3339660000000002</v>
      </c>
      <c r="E2071">
        <v>0.47214159999999999</v>
      </c>
      <c r="F2071" t="s">
        <v>63</v>
      </c>
      <c r="G2071">
        <v>-318.78230000000002</v>
      </c>
      <c r="H2071" s="1">
        <v>6.2398540000000002E-6</v>
      </c>
      <c r="I2071">
        <v>283.14870000000002</v>
      </c>
      <c r="J2071">
        <v>-247.1224</v>
      </c>
      <c r="K2071">
        <v>1.1214839999999999</v>
      </c>
      <c r="L2071">
        <v>284.00639999999999</v>
      </c>
      <c r="M2071">
        <v>-0.99973829999999997</v>
      </c>
      <c r="N2071">
        <v>-1.161001E-2</v>
      </c>
      <c r="O2071">
        <v>1.971589E-2</v>
      </c>
      <c r="P2071">
        <v>-0.98634500000000003</v>
      </c>
      <c r="Q2071">
        <v>0.14812049999999999</v>
      </c>
      <c r="R2071">
        <v>7.1999899999999895E-2</v>
      </c>
      <c r="S2071">
        <v>-3.0508120000000001</v>
      </c>
      <c r="T2071">
        <v>-4.7614219999999999E-2</v>
      </c>
      <c r="U2071">
        <v>-3.6254880000000003E-2</v>
      </c>
      <c r="V2071">
        <v>5.2499369999999997E-2</v>
      </c>
      <c r="W2071">
        <v>0.15958900000000001</v>
      </c>
      <c r="X2071">
        <v>0.98578659999999996</v>
      </c>
      <c r="Y2071">
        <v>-3.15895E-2</v>
      </c>
      <c r="Z2071">
        <v>-5.0866479999999998E-4</v>
      </c>
      <c r="AA2071">
        <v>0.99950079999999997</v>
      </c>
      <c r="AB2071">
        <v>25</v>
      </c>
      <c r="AC2071">
        <v>-71.659899999999993</v>
      </c>
      <c r="AD2071">
        <v>-1.121477760146</v>
      </c>
      <c r="AE2071">
        <v>-0.85769999999996505</v>
      </c>
      <c r="AF2071">
        <v>-2.2699111975330801</v>
      </c>
      <c r="AG2071">
        <v>-1.121477760146</v>
      </c>
      <c r="AH2071">
        <v>71.611520856738096</v>
      </c>
      <c r="AI2071">
        <v>90.8967613249702</v>
      </c>
      <c r="AJ2071">
        <v>91.815529104093002</v>
      </c>
      <c r="AK2071">
        <v>71.656263708249696</v>
      </c>
      <c r="AL2071">
        <v>80.816959122835399</v>
      </c>
      <c r="AM2071">
        <v>86.951517330744196</v>
      </c>
      <c r="AN2071">
        <v>1.0000000267554701</v>
      </c>
    </row>
    <row r="2072" spans="1:40" x14ac:dyDescent="0.25">
      <c r="A2072" t="str">
        <f>"20190303170300490"</f>
        <v>20190303170300490</v>
      </c>
      <c r="B2072" t="str">
        <f>"1551603780477886"</f>
        <v>1551603780477886</v>
      </c>
      <c r="C2072" t="s">
        <v>40</v>
      </c>
      <c r="D2072">
        <v>4.3731849999999897</v>
      </c>
      <c r="E2072">
        <v>0.4721939</v>
      </c>
      <c r="F2072" t="s">
        <v>62</v>
      </c>
      <c r="G2072">
        <v>-325.61340000000001</v>
      </c>
      <c r="H2072" s="1">
        <v>1.5193969999999999E-6</v>
      </c>
      <c r="I2072">
        <v>283.03750000000002</v>
      </c>
      <c r="J2072">
        <v>-247.37289999999999</v>
      </c>
      <c r="K2072">
        <v>1.1214729999999999</v>
      </c>
      <c r="L2072">
        <v>284.01119999999997</v>
      </c>
      <c r="M2072">
        <v>-0.99974359999999995</v>
      </c>
      <c r="N2072">
        <v>-1.1446649999999999E-2</v>
      </c>
      <c r="O2072">
        <v>1.9539299999999999E-2</v>
      </c>
      <c r="P2072">
        <v>-0.98623689999999997</v>
      </c>
      <c r="Q2072">
        <v>0.14892649999999999</v>
      </c>
      <c r="R2072">
        <v>7.1818699999999999E-2</v>
      </c>
      <c r="S2072">
        <v>-3.0508419999999998</v>
      </c>
      <c r="T2072">
        <v>-4.3590549999999999E-2</v>
      </c>
      <c r="U2072">
        <v>-3.7658690000000002E-2</v>
      </c>
      <c r="V2072">
        <v>5.2494510000000001E-2</v>
      </c>
      <c r="W2072">
        <v>0.1602325</v>
      </c>
      <c r="X2072">
        <v>0.98568239999999996</v>
      </c>
      <c r="Y2072">
        <v>-3.1873569999999997E-2</v>
      </c>
      <c r="Z2072">
        <v>-4.6562589999999998E-4</v>
      </c>
      <c r="AA2072">
        <v>0.99949180000000004</v>
      </c>
      <c r="AB2072">
        <v>25</v>
      </c>
      <c r="AC2072">
        <v>-78.240499999999997</v>
      </c>
      <c r="AD2072">
        <v>-1.1214714806029999</v>
      </c>
      <c r="AE2072">
        <v>-0.97369999999995105</v>
      </c>
      <c r="AF2072">
        <v>-2.5018648566774102</v>
      </c>
      <c r="AG2072">
        <v>-1.1214714806029999</v>
      </c>
      <c r="AH2072">
        <v>78.1904724533495</v>
      </c>
      <c r="AI2072">
        <v>90.821306154818501</v>
      </c>
      <c r="AJ2072">
        <v>91.832670949134396</v>
      </c>
      <c r="AK2072">
        <v>78.238526369819198</v>
      </c>
      <c r="AL2072">
        <v>80.779608028702</v>
      </c>
      <c r="AM2072">
        <v>86.951477375896204</v>
      </c>
      <c r="AN2072">
        <v>0.99999996065307395</v>
      </c>
    </row>
    <row r="2073" spans="1:40" x14ac:dyDescent="0.25">
      <c r="A2073" t="str">
        <f>"20190303170300504"</f>
        <v>20190303170300504</v>
      </c>
      <c r="B2073" t="str">
        <f>"1551603780497407"</f>
        <v>1551603780497407</v>
      </c>
      <c r="C2073" t="s">
        <v>40</v>
      </c>
      <c r="D2073">
        <v>4.2482150000000001</v>
      </c>
      <c r="E2073">
        <v>0.50094229999999995</v>
      </c>
      <c r="F2073" t="s">
        <v>62</v>
      </c>
      <c r="G2073">
        <v>-329.92669999999998</v>
      </c>
      <c r="H2073" s="1">
        <v>3.8166320000000001E-6</v>
      </c>
      <c r="I2073">
        <v>282.99380000000002</v>
      </c>
      <c r="J2073">
        <v>-247.52860000000001</v>
      </c>
      <c r="K2073">
        <v>1.12147</v>
      </c>
      <c r="L2073">
        <v>284.01409999999998</v>
      </c>
      <c r="M2073">
        <v>-0.99974689999999999</v>
      </c>
      <c r="N2073">
        <v>-1.1348520000000001E-2</v>
      </c>
      <c r="O2073">
        <v>1.942866E-2</v>
      </c>
      <c r="P2073">
        <v>-0.98622290000000001</v>
      </c>
      <c r="Q2073">
        <v>0.14911969999999999</v>
      </c>
      <c r="R2073">
        <v>7.1608340000000006E-2</v>
      </c>
      <c r="S2073">
        <v>-3.0508579999999998</v>
      </c>
      <c r="T2073">
        <v>-4.1445019999999999E-2</v>
      </c>
      <c r="U2073">
        <v>-3.7597659999999998E-2</v>
      </c>
      <c r="V2073">
        <v>5.2393380000000003E-2</v>
      </c>
      <c r="W2073">
        <v>0.160329</v>
      </c>
      <c r="X2073">
        <v>0.98567210000000005</v>
      </c>
      <c r="Y2073">
        <v>-3.1743380000000002E-2</v>
      </c>
      <c r="Z2073">
        <v>-4.391609E-4</v>
      </c>
      <c r="AA2073">
        <v>0.99949600000000005</v>
      </c>
      <c r="AB2073">
        <v>25</v>
      </c>
      <c r="AC2073">
        <v>-82.3980999999999</v>
      </c>
      <c r="AD2073">
        <v>-1.121466183368</v>
      </c>
      <c r="AE2073">
        <v>-1.02029999999996</v>
      </c>
      <c r="AF2073">
        <v>-2.62060968527088</v>
      </c>
      <c r="AG2073">
        <v>-1.121466183368</v>
      </c>
      <c r="AH2073">
        <v>82.347468852561207</v>
      </c>
      <c r="AI2073">
        <v>90.779851540793203</v>
      </c>
      <c r="AJ2073">
        <v>91.822754472817195</v>
      </c>
      <c r="AK2073">
        <v>82.396789427419506</v>
      </c>
      <c r="AL2073">
        <v>80.774006669077394</v>
      </c>
      <c r="AM2073">
        <v>86.957307534560002</v>
      </c>
      <c r="AN2073">
        <v>0.99999997161361598</v>
      </c>
    </row>
    <row r="2074" spans="1:40" x14ac:dyDescent="0.25">
      <c r="A2074" t="str">
        <f>"20190303170300525"</f>
        <v>20190303170300525</v>
      </c>
      <c r="B2074" t="str">
        <f>"1551603780517902"</f>
        <v>1551603780517902</v>
      </c>
      <c r="C2074" t="s">
        <v>40</v>
      </c>
      <c r="D2074">
        <v>4.3157050000000003</v>
      </c>
      <c r="E2074">
        <v>0.51194450000000002</v>
      </c>
      <c r="F2074" t="s">
        <v>63</v>
      </c>
      <c r="G2074">
        <v>-306.2697</v>
      </c>
      <c r="H2074" s="1">
        <v>2.5840160000000002E-6</v>
      </c>
      <c r="I2074">
        <v>287.68689999999998</v>
      </c>
      <c r="J2074">
        <v>-247.77109999999999</v>
      </c>
      <c r="K2074">
        <v>1.121456</v>
      </c>
      <c r="L2074">
        <v>284.01859999999999</v>
      </c>
      <c r="M2074">
        <v>-0.99975199999999997</v>
      </c>
      <c r="N2074">
        <v>-1.119886E-2</v>
      </c>
      <c r="O2074">
        <v>1.9256249999999999E-2</v>
      </c>
      <c r="P2074">
        <v>-0.98627670000000001</v>
      </c>
      <c r="Q2074">
        <v>0.14907970000000001</v>
      </c>
      <c r="R2074">
        <v>7.0951739999999999E-2</v>
      </c>
      <c r="S2074">
        <v>-3.0368650000000001</v>
      </c>
      <c r="T2074">
        <v>-5.7978870000000002E-2</v>
      </c>
      <c r="U2074">
        <v>0.1898804</v>
      </c>
      <c r="V2074">
        <v>5.1905850000000003E-2</v>
      </c>
      <c r="W2074">
        <v>0.1601416</v>
      </c>
      <c r="X2074">
        <v>0.98572839999999995</v>
      </c>
      <c r="Y2074">
        <v>4.3159919999999997E-2</v>
      </c>
      <c r="Z2074">
        <v>5.0181620000000005E-4</v>
      </c>
      <c r="AA2074">
        <v>0.99906799999999996</v>
      </c>
      <c r="AB2074">
        <v>25</v>
      </c>
      <c r="AC2074">
        <v>-58.498600000000003</v>
      </c>
      <c r="AD2074">
        <v>-1.1214534159839999</v>
      </c>
      <c r="AE2074">
        <v>3.6682999999999799</v>
      </c>
      <c r="AF2074">
        <v>2.5401557089042002</v>
      </c>
      <c r="AG2074">
        <v>-1.1214534159839999</v>
      </c>
      <c r="AH2074">
        <v>58.536965251062398</v>
      </c>
      <c r="AI2074">
        <v>91.096508819569195</v>
      </c>
      <c r="AJ2074">
        <v>87.515263200778307</v>
      </c>
      <c r="AK2074">
        <v>58.602784486692997</v>
      </c>
      <c r="AL2074">
        <v>80.784884845441397</v>
      </c>
      <c r="AM2074">
        <v>86.985739735449997</v>
      </c>
      <c r="AN2074">
        <v>1.00000001394067</v>
      </c>
    </row>
    <row r="2075" spans="1:40" x14ac:dyDescent="0.25">
      <c r="A2075" t="str">
        <f>"20190303170300547"</f>
        <v>20190303170300547</v>
      </c>
      <c r="B2075" t="str">
        <f>"1551603780537423"</f>
        <v>1551603780537423</v>
      </c>
      <c r="C2075" t="s">
        <v>40</v>
      </c>
      <c r="D2075">
        <v>4.190029</v>
      </c>
      <c r="E2075">
        <v>0.51724490000000001</v>
      </c>
      <c r="F2075" t="s">
        <v>63</v>
      </c>
      <c r="G2075">
        <v>-313.9513</v>
      </c>
      <c r="H2075">
        <v>8.0000429999999997E-2</v>
      </c>
      <c r="I2075">
        <v>290.05549999999999</v>
      </c>
      <c r="J2075">
        <v>-248.00829999999999</v>
      </c>
      <c r="K2075">
        <v>1.121434</v>
      </c>
      <c r="L2075">
        <v>284.02289999999999</v>
      </c>
      <c r="M2075">
        <v>-0.9997568</v>
      </c>
      <c r="N2075">
        <v>-1.1059070000000001E-2</v>
      </c>
      <c r="O2075">
        <v>1.9087420000000001E-2</v>
      </c>
      <c r="P2075">
        <v>-0.98640079999999997</v>
      </c>
      <c r="Q2075">
        <v>0.14876229999999999</v>
      </c>
      <c r="R2075">
        <v>6.9882330000000006E-2</v>
      </c>
      <c r="S2075">
        <v>-3.0290680000000001</v>
      </c>
      <c r="T2075">
        <v>-4.7667380000000002E-2</v>
      </c>
      <c r="U2075">
        <v>0.2763062</v>
      </c>
      <c r="V2075">
        <v>5.1000730000000001E-2</v>
      </c>
      <c r="W2075">
        <v>0.15968740000000001</v>
      </c>
      <c r="X2075">
        <v>0.98584930000000004</v>
      </c>
      <c r="Y2075">
        <v>7.1799989999999994E-2</v>
      </c>
      <c r="Z2075">
        <v>8.7269470000000005E-4</v>
      </c>
      <c r="AA2075">
        <v>0.99741860000000004</v>
      </c>
      <c r="AB2075">
        <v>25</v>
      </c>
      <c r="AC2075">
        <v>-65.942999999999998</v>
      </c>
      <c r="AD2075">
        <v>-1.0414335699999999</v>
      </c>
      <c r="AE2075">
        <v>6.0326000000000004</v>
      </c>
      <c r="AF2075">
        <v>4.7715620770831997</v>
      </c>
      <c r="AG2075">
        <v>-1.0414335699999999</v>
      </c>
      <c r="AH2075">
        <v>66.029806480730898</v>
      </c>
      <c r="AI2075">
        <v>90.901254313503401</v>
      </c>
      <c r="AJ2075">
        <v>85.866776193642394</v>
      </c>
      <c r="AK2075">
        <v>66.210178465391195</v>
      </c>
      <c r="AL2075">
        <v>80.811247647071895</v>
      </c>
      <c r="AM2075">
        <v>87.038569740461796</v>
      </c>
      <c r="AN2075">
        <v>0.99999999124489103</v>
      </c>
    </row>
    <row r="2076" spans="1:40" x14ac:dyDescent="0.25">
      <c r="A2076" t="str">
        <f>"20190303170300559"</f>
        <v>20190303170300559</v>
      </c>
      <c r="B2076" t="str">
        <f>"1551603780547182"</f>
        <v>1551603780547182</v>
      </c>
      <c r="C2076" t="s">
        <v>40</v>
      </c>
      <c r="D2076">
        <v>4.4781870000000001</v>
      </c>
      <c r="E2076">
        <v>0.51844009999999996</v>
      </c>
      <c r="F2076" t="s">
        <v>63</v>
      </c>
      <c r="G2076">
        <v>-317.82190000000003</v>
      </c>
      <c r="H2076">
        <v>8.0000409999999994E-2</v>
      </c>
      <c r="I2076">
        <v>291.30149999999998</v>
      </c>
      <c r="J2076">
        <v>-248.1576</v>
      </c>
      <c r="K2076">
        <v>1.121426</v>
      </c>
      <c r="L2076">
        <v>284.02569999999997</v>
      </c>
      <c r="M2076">
        <v>-0.99975970000000003</v>
      </c>
      <c r="N2076">
        <v>-1.09754E-2</v>
      </c>
      <c r="O2076">
        <v>1.8981379999999999E-2</v>
      </c>
      <c r="P2076">
        <v>-0.98648409999999997</v>
      </c>
      <c r="Q2076">
        <v>0.14841599999999999</v>
      </c>
      <c r="R2076">
        <v>6.9439500000000001E-2</v>
      </c>
      <c r="S2076">
        <v>-3.0258029999999998</v>
      </c>
      <c r="T2076">
        <v>-4.5136929999999999E-2</v>
      </c>
      <c r="U2076">
        <v>0.31546020000000002</v>
      </c>
      <c r="V2076">
        <v>5.066093E-2</v>
      </c>
      <c r="W2076">
        <v>0.1592595</v>
      </c>
      <c r="X2076">
        <v>0.98593600000000003</v>
      </c>
      <c r="Y2076">
        <v>8.47797E-2</v>
      </c>
      <c r="Z2076">
        <v>1.0227019999999999E-3</v>
      </c>
      <c r="AA2076">
        <v>0.99639920000000004</v>
      </c>
      <c r="AB2076">
        <v>25</v>
      </c>
      <c r="AC2076">
        <v>-69.664299999999997</v>
      </c>
      <c r="AD2076">
        <v>-1.04142559</v>
      </c>
      <c r="AE2076">
        <v>7.2758000000000003</v>
      </c>
      <c r="AF2076">
        <v>5.95076943276805</v>
      </c>
      <c r="AG2076">
        <v>-1.04142559</v>
      </c>
      <c r="AH2076">
        <v>69.774435775890495</v>
      </c>
      <c r="AI2076">
        <v>90.852018038370403</v>
      </c>
      <c r="AJ2076">
        <v>85.125279101878803</v>
      </c>
      <c r="AK2076">
        <v>70.035477523504696</v>
      </c>
      <c r="AL2076">
        <v>80.836082025254299</v>
      </c>
      <c r="AM2076">
        <v>87.058524172369999</v>
      </c>
      <c r="AN2076">
        <v>0.99999995713235601</v>
      </c>
    </row>
    <row r="2077" spans="1:40" x14ac:dyDescent="0.25">
      <c r="A2077" t="str">
        <f>"20190303170300573"</f>
        <v>20190303170300573</v>
      </c>
      <c r="B2077" t="str">
        <f>"1551603780567679"</f>
        <v>1551603780567679</v>
      </c>
      <c r="C2077" t="s">
        <v>40</v>
      </c>
      <c r="D2077">
        <v>4.1694649999999998</v>
      </c>
      <c r="E2077">
        <v>0.52016399999999996</v>
      </c>
      <c r="F2077" t="s">
        <v>63</v>
      </c>
      <c r="G2077">
        <v>-315.60980000000001</v>
      </c>
      <c r="H2077">
        <v>8.0000039999999994E-2</v>
      </c>
      <c r="I2077">
        <v>291.23939999999999</v>
      </c>
      <c r="J2077">
        <v>-248.3074</v>
      </c>
      <c r="K2077">
        <v>1.121421</v>
      </c>
      <c r="L2077">
        <v>284.02839999999998</v>
      </c>
      <c r="M2077">
        <v>-0.9997627</v>
      </c>
      <c r="N2077">
        <v>-1.0894549999999999E-2</v>
      </c>
      <c r="O2077">
        <v>1.8874970000000001E-2</v>
      </c>
      <c r="P2077">
        <v>-0.98651619999999995</v>
      </c>
      <c r="Q2077">
        <v>0.1483671</v>
      </c>
      <c r="R2077">
        <v>6.9090330000000005E-2</v>
      </c>
      <c r="S2077">
        <v>-3.0253450000000002</v>
      </c>
      <c r="T2077">
        <v>-4.670966E-2</v>
      </c>
      <c r="U2077">
        <v>0.32354739999999999</v>
      </c>
      <c r="V2077">
        <v>5.0416290000000002E-2</v>
      </c>
      <c r="W2077">
        <v>0.15913099999999999</v>
      </c>
      <c r="X2077">
        <v>0.98596930000000005</v>
      </c>
      <c r="Y2077">
        <v>8.7533749999999994E-2</v>
      </c>
      <c r="Z2077">
        <v>1.06664E-3</v>
      </c>
      <c r="AA2077">
        <v>0.99616099999999996</v>
      </c>
      <c r="AB2077">
        <v>25</v>
      </c>
      <c r="AC2077">
        <v>-67.302400000000006</v>
      </c>
      <c r="AD2077">
        <v>-1.04142096</v>
      </c>
      <c r="AE2077">
        <v>7.2110000000000101</v>
      </c>
      <c r="AF2077">
        <v>5.9379036888737504</v>
      </c>
      <c r="AG2077">
        <v>-1.04142096</v>
      </c>
      <c r="AH2077">
        <v>67.4105668369223</v>
      </c>
      <c r="AI2077">
        <v>90.881674592616804</v>
      </c>
      <c r="AJ2077">
        <v>84.966056704137102</v>
      </c>
      <c r="AK2077">
        <v>67.6795964756693</v>
      </c>
      <c r="AL2077">
        <v>80.843539748926105</v>
      </c>
      <c r="AM2077">
        <v>87.072802393576296</v>
      </c>
      <c r="AN2077">
        <v>0.99999996900042598</v>
      </c>
    </row>
    <row r="2078" spans="1:40" x14ac:dyDescent="0.25">
      <c r="A2078" t="str">
        <f>"20190303170300590"</f>
        <v>20190303170300590</v>
      </c>
      <c r="B2078" t="str">
        <f>"1551603780577438"</f>
        <v>1551603780577438</v>
      </c>
      <c r="C2078" t="s">
        <v>40</v>
      </c>
      <c r="D2078">
        <v>4.1606719999999999</v>
      </c>
      <c r="E2078">
        <v>0.52088990000000002</v>
      </c>
      <c r="F2078" t="s">
        <v>63</v>
      </c>
      <c r="G2078">
        <v>-315.24189999999999</v>
      </c>
      <c r="H2078">
        <v>7.999995E-2</v>
      </c>
      <c r="I2078">
        <v>291.46620000000001</v>
      </c>
      <c r="J2078">
        <v>-248.49959999999999</v>
      </c>
      <c r="K2078">
        <v>1.1214120000000001</v>
      </c>
      <c r="L2078">
        <v>284.03190000000001</v>
      </c>
      <c r="M2078">
        <v>-0.99976620000000005</v>
      </c>
      <c r="N2078">
        <v>-1.079369E-2</v>
      </c>
      <c r="O2078">
        <v>1.873874E-2</v>
      </c>
      <c r="P2078">
        <v>-0.98655499999999996</v>
      </c>
      <c r="Q2078">
        <v>0.1481401</v>
      </c>
      <c r="R2078">
        <v>6.9021079999999999E-2</v>
      </c>
      <c r="S2078">
        <v>-3.0245669999999998</v>
      </c>
      <c r="T2078">
        <v>-4.7058700000000002E-2</v>
      </c>
      <c r="U2078">
        <v>0.3360901</v>
      </c>
      <c r="V2078">
        <v>5.048064E-2</v>
      </c>
      <c r="W2078">
        <v>0.15880520000000001</v>
      </c>
      <c r="X2078">
        <v>0.98601850000000002</v>
      </c>
      <c r="Y2078">
        <v>9.1777289999999997E-2</v>
      </c>
      <c r="Z2078">
        <v>1.1197830000000001E-3</v>
      </c>
      <c r="AA2078">
        <v>0.99577890000000002</v>
      </c>
      <c r="AB2078">
        <v>25</v>
      </c>
      <c r="AC2078">
        <v>-66.7423</v>
      </c>
      <c r="AD2078">
        <v>-1.0414120499999999</v>
      </c>
      <c r="AE2078">
        <v>7.4343000000000004</v>
      </c>
      <c r="AF2078">
        <v>6.1807687062445202</v>
      </c>
      <c r="AG2078">
        <v>-1.0414120499999999</v>
      </c>
      <c r="AH2078">
        <v>66.853819846428394</v>
      </c>
      <c r="AI2078">
        <v>90.888660806856194</v>
      </c>
      <c r="AJ2078">
        <v>84.717906334283299</v>
      </c>
      <c r="AK2078">
        <v>67.147000446160504</v>
      </c>
      <c r="AL2078">
        <v>80.862446827950194</v>
      </c>
      <c r="AM2078">
        <v>87.069218698754995</v>
      </c>
      <c r="AN2078">
        <v>0.99999993445204705</v>
      </c>
    </row>
    <row r="2079" spans="1:40" x14ac:dyDescent="0.25">
      <c r="A2079" t="str">
        <f>"20190303170300603"</f>
        <v>20190303170300603</v>
      </c>
      <c r="B2079" t="str">
        <f>"1551603780597935"</f>
        <v>1551603780597935</v>
      </c>
      <c r="C2079" t="s">
        <v>40</v>
      </c>
      <c r="D2079">
        <v>4.1867080000000003</v>
      </c>
      <c r="E2079">
        <v>0.52203389999999905</v>
      </c>
      <c r="F2079" t="s">
        <v>63</v>
      </c>
      <c r="G2079">
        <v>-314.80040000000002</v>
      </c>
      <c r="H2079">
        <v>7.9999899999999902E-2</v>
      </c>
      <c r="I2079">
        <v>291.51670000000001</v>
      </c>
      <c r="J2079">
        <v>-248.64580000000001</v>
      </c>
      <c r="K2079">
        <v>1.1213979999999999</v>
      </c>
      <c r="L2079">
        <v>284.03449999999998</v>
      </c>
      <c r="M2079">
        <v>-0.99976900000000002</v>
      </c>
      <c r="N2079">
        <v>-1.071776E-2</v>
      </c>
      <c r="O2079">
        <v>1.8634970000000001E-2</v>
      </c>
      <c r="P2079">
        <v>-0.98653290000000005</v>
      </c>
      <c r="Q2079">
        <v>0.1482106</v>
      </c>
      <c r="R2079">
        <v>6.9185060000000007E-2</v>
      </c>
      <c r="S2079">
        <v>-3.0241389999999999</v>
      </c>
      <c r="T2079">
        <v>-4.7501330000000001E-2</v>
      </c>
      <c r="U2079">
        <v>0.34140009999999998</v>
      </c>
      <c r="V2079">
        <v>5.0747439999999998E-2</v>
      </c>
      <c r="W2079">
        <v>0.15880050000000001</v>
      </c>
      <c r="X2079">
        <v>0.98600560000000004</v>
      </c>
      <c r="Y2079">
        <v>9.3622179999999999E-2</v>
      </c>
      <c r="Z2079">
        <v>1.143755E-3</v>
      </c>
      <c r="AA2079">
        <v>0.99560709999999997</v>
      </c>
      <c r="AB2079">
        <v>25</v>
      </c>
      <c r="AC2079">
        <v>-66.154600000000002</v>
      </c>
      <c r="AD2079">
        <v>-1.0413981000000001</v>
      </c>
      <c r="AE2079">
        <v>7.4822000000000299</v>
      </c>
      <c r="AF2079">
        <v>6.2465125343902601</v>
      </c>
      <c r="AG2079">
        <v>-1.0413981000000001</v>
      </c>
      <c r="AH2079">
        <v>66.266335910149493</v>
      </c>
      <c r="AI2079">
        <v>90.896375646257994</v>
      </c>
      <c r="AJ2079">
        <v>84.614997778953693</v>
      </c>
      <c r="AK2079">
        <v>66.568240954690594</v>
      </c>
      <c r="AL2079">
        <v>80.862719928502202</v>
      </c>
      <c r="AM2079">
        <v>87.053717690750403</v>
      </c>
      <c r="AN2079">
        <v>0.999999972349081</v>
      </c>
    </row>
    <row r="2080" spans="1:40" x14ac:dyDescent="0.25">
      <c r="A2080" t="str">
        <f>"20190303170300615"</f>
        <v>20190303170300615</v>
      </c>
      <c r="B2080" t="str">
        <f>"1551603780607695"</f>
        <v>1551603780607695</v>
      </c>
      <c r="C2080" t="s">
        <v>40</v>
      </c>
      <c r="D2080">
        <v>4.132676</v>
      </c>
      <c r="E2080">
        <v>0.52240829999999905</v>
      </c>
      <c r="F2080" t="s">
        <v>63</v>
      </c>
      <c r="G2080">
        <v>-316.68549999999999</v>
      </c>
      <c r="H2080">
        <v>8.0000160000000001E-2</v>
      </c>
      <c r="I2080">
        <v>291.93060000000003</v>
      </c>
      <c r="J2080">
        <v>-248.78809999999999</v>
      </c>
      <c r="K2080">
        <v>1.1213900000000001</v>
      </c>
      <c r="L2080">
        <v>284.03699999999998</v>
      </c>
      <c r="M2080">
        <v>-0.99977169999999904</v>
      </c>
      <c r="N2080">
        <v>-1.064415E-2</v>
      </c>
      <c r="O2080">
        <v>1.8533810000000001E-2</v>
      </c>
      <c r="P2080">
        <v>-0.98652260000000003</v>
      </c>
      <c r="Q2080">
        <v>0.1482434</v>
      </c>
      <c r="R2080">
        <v>6.9262619999999997E-2</v>
      </c>
      <c r="S2080">
        <v>-3.0232999999999999</v>
      </c>
      <c r="T2080">
        <v>-4.6273830000000002E-2</v>
      </c>
      <c r="U2080">
        <v>0.35086060000000002</v>
      </c>
      <c r="V2080">
        <v>5.0924959999999998E-2</v>
      </c>
      <c r="W2080">
        <v>0.15876100000000001</v>
      </c>
      <c r="X2080">
        <v>0.98600290000000002</v>
      </c>
      <c r="Y2080">
        <v>9.6828540000000005E-2</v>
      </c>
      <c r="Z2080">
        <v>1.1696720000000001E-3</v>
      </c>
      <c r="AA2080">
        <v>0.99530039999999997</v>
      </c>
      <c r="AB2080">
        <v>25</v>
      </c>
      <c r="AC2080">
        <v>-67.897400000000005</v>
      </c>
      <c r="AD2080">
        <v>-1.0413898399999999</v>
      </c>
      <c r="AE2080">
        <v>7.8935999999999904</v>
      </c>
      <c r="AF2080">
        <v>6.63223595669219</v>
      </c>
      <c r="AG2080">
        <v>-1.0413898399999999</v>
      </c>
      <c r="AH2080">
        <v>68.016255875057396</v>
      </c>
      <c r="AI2080">
        <v>90.873041174569195</v>
      </c>
      <c r="AJ2080">
        <v>84.430719687445105</v>
      </c>
      <c r="AK2080">
        <v>68.346778342840594</v>
      </c>
      <c r="AL2080">
        <v>80.865013024603002</v>
      </c>
      <c r="AM2080">
        <v>87.0434214509485</v>
      </c>
      <c r="AN2080">
        <v>1.0000000627401999</v>
      </c>
    </row>
    <row r="2081" spans="1:40" x14ac:dyDescent="0.25">
      <c r="A2081" t="str">
        <f>"20190303170300628"</f>
        <v>20190303170300628</v>
      </c>
      <c r="B2081" t="str">
        <f>"1551603780617455"</f>
        <v>1551603780617455</v>
      </c>
      <c r="C2081" t="s">
        <v>40</v>
      </c>
      <c r="D2081">
        <v>4.1378729999999999</v>
      </c>
      <c r="E2081">
        <v>0.52285859999999995</v>
      </c>
      <c r="F2081" t="s">
        <v>63</v>
      </c>
      <c r="G2081">
        <v>-318.13299999999998</v>
      </c>
      <c r="H2081">
        <v>8.0000390000000005E-2</v>
      </c>
      <c r="I2081">
        <v>292.15629999999999</v>
      </c>
      <c r="J2081">
        <v>-248.92750000000001</v>
      </c>
      <c r="K2081">
        <v>1.121381</v>
      </c>
      <c r="L2081">
        <v>284.03949999999998</v>
      </c>
      <c r="M2081">
        <v>-0.99977419999999995</v>
      </c>
      <c r="N2081">
        <v>-1.057292E-2</v>
      </c>
      <c r="O2081">
        <v>1.8435199999999999E-2</v>
      </c>
      <c r="P2081">
        <v>-0.98644520000000002</v>
      </c>
      <c r="Q2081">
        <v>0.1487386</v>
      </c>
      <c r="R2081">
        <v>6.9300929999999997E-2</v>
      </c>
      <c r="S2081">
        <v>-3.0229490000000001</v>
      </c>
      <c r="T2081">
        <v>-4.5397279999999998E-2</v>
      </c>
      <c r="U2081">
        <v>0.3539429</v>
      </c>
      <c r="V2081">
        <v>5.1061809999999999E-2</v>
      </c>
      <c r="W2081">
        <v>0.15918470000000001</v>
      </c>
      <c r="X2081">
        <v>0.98592749999999996</v>
      </c>
      <c r="Y2081">
        <v>9.7941509999999996E-2</v>
      </c>
      <c r="Z2081">
        <v>1.1709730000000001E-3</v>
      </c>
      <c r="AA2081">
        <v>0.99519150000000001</v>
      </c>
      <c r="AB2081">
        <v>25</v>
      </c>
      <c r="AC2081">
        <v>-69.205499999999901</v>
      </c>
      <c r="AD2081">
        <v>-1.04138061</v>
      </c>
      <c r="AE2081">
        <v>8.1168000000000102</v>
      </c>
      <c r="AF2081">
        <v>6.8380046324762196</v>
      </c>
      <c r="AG2081">
        <v>-1.04138061</v>
      </c>
      <c r="AH2081">
        <v>69.327895860558399</v>
      </c>
      <c r="AI2081">
        <v>90.856425247947897</v>
      </c>
      <c r="AJ2081">
        <v>84.366976394001497</v>
      </c>
      <c r="AK2081">
        <v>69.672088567668695</v>
      </c>
      <c r="AL2081">
        <v>80.840424045423603</v>
      </c>
      <c r="AM2081">
        <v>87.035264118208602</v>
      </c>
      <c r="AN2081">
        <v>1.0000000562053999</v>
      </c>
    </row>
    <row r="2082" spans="1:40" x14ac:dyDescent="0.25">
      <c r="A2082" t="str">
        <f>"20190303170300646"</f>
        <v>20190303170300646</v>
      </c>
      <c r="B2082" t="str">
        <f>"1551603780637951"</f>
        <v>1551603780637951</v>
      </c>
      <c r="C2082" t="s">
        <v>40</v>
      </c>
      <c r="D2082">
        <v>4.1283629999999896</v>
      </c>
      <c r="E2082">
        <v>0.5235938</v>
      </c>
      <c r="F2082" t="s">
        <v>62</v>
      </c>
      <c r="G2082">
        <v>-321.88029999999998</v>
      </c>
      <c r="H2082">
        <v>8.0000219999999997E-2</v>
      </c>
      <c r="I2082">
        <v>292.67349999999999</v>
      </c>
      <c r="J2082">
        <v>-249.1397</v>
      </c>
      <c r="K2082">
        <v>1.1213690000000001</v>
      </c>
      <c r="L2082">
        <v>284.04329999999999</v>
      </c>
      <c r="M2082">
        <v>-0.9997781</v>
      </c>
      <c r="N2082">
        <v>-1.046831E-2</v>
      </c>
      <c r="O2082">
        <v>1.8284729999999999E-2</v>
      </c>
      <c r="P2082">
        <v>-0.98643360000000002</v>
      </c>
      <c r="Q2082">
        <v>0.14868589999999901</v>
      </c>
      <c r="R2082">
        <v>6.9580909999999996E-2</v>
      </c>
      <c r="S2082">
        <v>-3.0226139999999999</v>
      </c>
      <c r="T2082">
        <v>-4.314697E-2</v>
      </c>
      <c r="U2082">
        <v>0.35772710000000002</v>
      </c>
      <c r="V2082">
        <v>5.149041E-2</v>
      </c>
      <c r="W2082">
        <v>0.15902929999999901</v>
      </c>
      <c r="X2082">
        <v>0.98593019999999998</v>
      </c>
      <c r="Y2082">
        <v>9.9334080000000005E-2</v>
      </c>
      <c r="Z2082">
        <v>1.1590789999999999E-3</v>
      </c>
      <c r="AA2082">
        <v>0.99505350000000004</v>
      </c>
      <c r="AB2082">
        <v>25</v>
      </c>
      <c r="AC2082">
        <v>-72.740599999999901</v>
      </c>
      <c r="AD2082">
        <v>-1.04136878</v>
      </c>
      <c r="AE2082">
        <v>8.6302000000000003</v>
      </c>
      <c r="AF2082">
        <v>7.2971672250419797</v>
      </c>
      <c r="AG2082">
        <v>-1.04136878</v>
      </c>
      <c r="AH2082">
        <v>72.871519473453802</v>
      </c>
      <c r="AI2082">
        <v>90.814654559509194</v>
      </c>
      <c r="AJ2082">
        <v>84.281610347539697</v>
      </c>
      <c r="AK2082">
        <v>73.243371364350395</v>
      </c>
      <c r="AL2082">
        <v>80.849441898235398</v>
      </c>
      <c r="AM2082">
        <v>87.010431997955195</v>
      </c>
      <c r="AN2082">
        <v>0.99999996992624796</v>
      </c>
    </row>
    <row r="2083" spans="1:40" x14ac:dyDescent="0.25">
      <c r="A2083" t="str">
        <f>"20190303170300660"</f>
        <v>20190303170300660</v>
      </c>
      <c r="B2083" t="str">
        <f>"1551603780647710"</f>
        <v>1551603780647710</v>
      </c>
      <c r="C2083" t="s">
        <v>40</v>
      </c>
      <c r="D2083">
        <v>4.0991679999999997</v>
      </c>
      <c r="E2083">
        <v>0.52394859999999999</v>
      </c>
      <c r="F2083" t="s">
        <v>62</v>
      </c>
      <c r="G2083">
        <v>-322.32639999999998</v>
      </c>
      <c r="H2083">
        <v>8.0000340000000003E-2</v>
      </c>
      <c r="I2083">
        <v>292.87970000000001</v>
      </c>
      <c r="J2083">
        <v>-249.2878</v>
      </c>
      <c r="K2083">
        <v>1.1213599999999999</v>
      </c>
      <c r="L2083">
        <v>284.04590000000002</v>
      </c>
      <c r="M2083">
        <v>-0.99978069999999997</v>
      </c>
      <c r="N2083">
        <v>-1.0397180000000001E-2</v>
      </c>
      <c r="O2083">
        <v>1.817974E-2</v>
      </c>
      <c r="P2083">
        <v>-0.98638899999999996</v>
      </c>
      <c r="Q2083">
        <v>0.148841</v>
      </c>
      <c r="R2083">
        <v>6.9880540000000005E-2</v>
      </c>
      <c r="S2083">
        <v>-3.021973</v>
      </c>
      <c r="T2083">
        <v>-4.2999509999999998E-2</v>
      </c>
      <c r="U2083">
        <v>0.36486819999999998</v>
      </c>
      <c r="V2083">
        <v>5.1894429999999998E-2</v>
      </c>
      <c r="W2083">
        <v>0.15911359999999999</v>
      </c>
      <c r="X2083">
        <v>0.98589550000000004</v>
      </c>
      <c r="Y2083">
        <v>0.10178089999999999</v>
      </c>
      <c r="Z2083">
        <v>1.1833010000000001E-3</v>
      </c>
      <c r="AA2083">
        <v>0.99480610000000003</v>
      </c>
      <c r="AB2083">
        <v>25</v>
      </c>
      <c r="AC2083">
        <v>-73.038599999999903</v>
      </c>
      <c r="AD2083">
        <v>-1.0413596599999999</v>
      </c>
      <c r="AE2083">
        <v>8.8337999999999894</v>
      </c>
      <c r="AF2083">
        <v>7.5029422087175703</v>
      </c>
      <c r="AG2083">
        <v>-1.0413596599999999</v>
      </c>
      <c r="AH2083">
        <v>73.172472709023296</v>
      </c>
      <c r="AI2083">
        <v>90.811101999823407</v>
      </c>
      <c r="AJ2083">
        <v>84.145479432880407</v>
      </c>
      <c r="AK2083">
        <v>73.563505449928002</v>
      </c>
      <c r="AL2083">
        <v>80.844550339598499</v>
      </c>
      <c r="AM2083">
        <v>86.986911526801805</v>
      </c>
      <c r="AN2083">
        <v>1.0000000532451101</v>
      </c>
    </row>
    <row r="2084" spans="1:40" x14ac:dyDescent="0.25">
      <c r="A2084" t="str">
        <f>"20190303170300672"</f>
        <v>20190303170300672</v>
      </c>
      <c r="B2084" t="str">
        <f>"1551603780657471"</f>
        <v>1551603780657471</v>
      </c>
      <c r="C2084" t="s">
        <v>40</v>
      </c>
      <c r="D2084">
        <v>4.1424760000000003</v>
      </c>
      <c r="E2084">
        <v>0.52427299999999999</v>
      </c>
      <c r="F2084" t="s">
        <v>62</v>
      </c>
      <c r="G2084">
        <v>-324.14260000000002</v>
      </c>
      <c r="H2084">
        <v>8.0000859999999993E-2</v>
      </c>
      <c r="I2084">
        <v>293.18079999999998</v>
      </c>
      <c r="J2084">
        <v>-249.4288</v>
      </c>
      <c r="K2084">
        <v>1.1213580000000001</v>
      </c>
      <c r="L2084">
        <v>284.04829999999998</v>
      </c>
      <c r="M2084">
        <v>-0.99978330000000004</v>
      </c>
      <c r="N2084">
        <v>-1.032981E-2</v>
      </c>
      <c r="O2084">
        <v>1.807955E-2</v>
      </c>
      <c r="P2084">
        <v>-0.98638060000000005</v>
      </c>
      <c r="Q2084">
        <v>0.14892569999999999</v>
      </c>
      <c r="R2084">
        <v>6.9821850000000005E-2</v>
      </c>
      <c r="S2084">
        <v>-3.0216219999999998</v>
      </c>
      <c r="T2084">
        <v>-4.2035940000000001E-2</v>
      </c>
      <c r="U2084">
        <v>0.36874390000000001</v>
      </c>
      <c r="V2084">
        <v>5.1934830000000001E-2</v>
      </c>
      <c r="W2084">
        <v>0.15913150000000001</v>
      </c>
      <c r="X2084">
        <v>0.98589039999999994</v>
      </c>
      <c r="Y2084">
        <v>0.1031521</v>
      </c>
      <c r="Z2084">
        <v>1.1852570000000001E-3</v>
      </c>
      <c r="AA2084">
        <v>0.99466489999999996</v>
      </c>
      <c r="AB2084">
        <v>25</v>
      </c>
      <c r="AC2084">
        <v>-74.713800000000006</v>
      </c>
      <c r="AD2084">
        <v>-1.0413571399999999</v>
      </c>
      <c r="AE2084">
        <v>9.1324999999999896</v>
      </c>
      <c r="AF2084">
        <v>7.7786544556077004</v>
      </c>
      <c r="AG2084">
        <v>-1.0413571399999999</v>
      </c>
      <c r="AH2084">
        <v>74.852379886704597</v>
      </c>
      <c r="AI2084">
        <v>90.792787006497406</v>
      </c>
      <c r="AJ2084">
        <v>84.067122235811894</v>
      </c>
      <c r="AK2084">
        <v>75.262677766183103</v>
      </c>
      <c r="AL2084">
        <v>80.843510748225995</v>
      </c>
      <c r="AM2084">
        <v>86.984554583998801</v>
      </c>
      <c r="AN2084">
        <v>0.99999997083576897</v>
      </c>
    </row>
    <row r="2085" spans="1:40" x14ac:dyDescent="0.25">
      <c r="A2085" t="str">
        <f>"20190303170300684"</f>
        <v>20190303170300684</v>
      </c>
      <c r="B2085" t="str">
        <f>"1551603780677966"</f>
        <v>1551603780677966</v>
      </c>
      <c r="C2085" t="s">
        <v>40</v>
      </c>
      <c r="D2085">
        <v>4.1340700000000004</v>
      </c>
      <c r="E2085">
        <v>0.52492220000000001</v>
      </c>
      <c r="F2085" t="s">
        <v>62</v>
      </c>
      <c r="G2085">
        <v>-325.75790000000001</v>
      </c>
      <c r="H2085">
        <v>7.9999860000000006E-2</v>
      </c>
      <c r="I2085">
        <v>293.42020000000002</v>
      </c>
      <c r="J2085">
        <v>-249.5684</v>
      </c>
      <c r="K2085">
        <v>1.1213500000000001</v>
      </c>
      <c r="L2085">
        <v>284.05079999999998</v>
      </c>
      <c r="M2085">
        <v>-0.99978579999999995</v>
      </c>
      <c r="N2085">
        <v>-1.0259910000000001E-2</v>
      </c>
      <c r="O2085">
        <v>1.7980679999999999E-2</v>
      </c>
      <c r="P2085">
        <v>-0.98638329999999996</v>
      </c>
      <c r="Q2085">
        <v>0.14893319999999999</v>
      </c>
      <c r="R2085">
        <v>6.9765720000000003E-2</v>
      </c>
      <c r="S2085">
        <v>-3.0213779999999999</v>
      </c>
      <c r="T2085">
        <v>-4.1220659999999999E-2</v>
      </c>
      <c r="U2085">
        <v>0.37097170000000002</v>
      </c>
      <c r="V2085">
        <v>5.1976120000000001E-2</v>
      </c>
      <c r="W2085">
        <v>0.15907070000000001</v>
      </c>
      <c r="X2085">
        <v>0.9858981</v>
      </c>
      <c r="Y2085">
        <v>0.10398309999999999</v>
      </c>
      <c r="Z2085">
        <v>1.1816629999999999E-3</v>
      </c>
      <c r="AA2085">
        <v>0.99457839999999997</v>
      </c>
      <c r="AB2085">
        <v>25</v>
      </c>
      <c r="AC2085">
        <v>-76.189499999999995</v>
      </c>
      <c r="AD2085">
        <v>-1.04135014</v>
      </c>
      <c r="AE2085">
        <v>9.3694000000000397</v>
      </c>
      <c r="AF2085">
        <v>7.99640258738253</v>
      </c>
      <c r="AG2085">
        <v>-1.04135014</v>
      </c>
      <c r="AH2085">
        <v>76.3316113453795</v>
      </c>
      <c r="AI2085">
        <v>90.7773529587882</v>
      </c>
      <c r="AJ2085">
        <v>84.019580457495607</v>
      </c>
      <c r="AK2085">
        <v>76.756379246520197</v>
      </c>
      <c r="AL2085">
        <v>80.847039861264307</v>
      </c>
      <c r="AM2085">
        <v>86.982185155716493</v>
      </c>
      <c r="AN2085">
        <v>1.0000000341161699</v>
      </c>
    </row>
    <row r="2086" spans="1:40" x14ac:dyDescent="0.25">
      <c r="A2086" t="str">
        <f>"20190303170300704"</f>
        <v>20190303170300704</v>
      </c>
      <c r="B2086" t="str">
        <f>"1551603780697486"</f>
        <v>1551603780697486</v>
      </c>
      <c r="C2086" t="s">
        <v>40</v>
      </c>
      <c r="D2086">
        <v>4.1153870000000001</v>
      </c>
      <c r="E2086">
        <v>0.52542509999999998</v>
      </c>
      <c r="F2086" t="s">
        <v>62</v>
      </c>
      <c r="G2086">
        <v>-326.71140000000003</v>
      </c>
      <c r="H2086">
        <v>8.0000119999999994E-2</v>
      </c>
      <c r="I2086">
        <v>293.64929999999998</v>
      </c>
      <c r="J2086">
        <v>-249.78989999999999</v>
      </c>
      <c r="K2086">
        <v>1.121335</v>
      </c>
      <c r="L2086">
        <v>284.05459999999999</v>
      </c>
      <c r="M2086">
        <v>-0.9997897</v>
      </c>
      <c r="N2086">
        <v>-1.0143299999999999E-2</v>
      </c>
      <c r="O2086">
        <v>1.7824590000000001E-2</v>
      </c>
      <c r="P2086">
        <v>-0.98638499999999996</v>
      </c>
      <c r="Q2086">
        <v>0.1489645</v>
      </c>
      <c r="R2086">
        <v>6.967081E-2</v>
      </c>
      <c r="S2086">
        <v>-3.0209809999999999</v>
      </c>
      <c r="T2086">
        <v>-4.0780070000000002E-2</v>
      </c>
      <c r="U2086">
        <v>0.37588500000000002</v>
      </c>
      <c r="V2086">
        <v>5.2035079999999997E-2</v>
      </c>
      <c r="W2086">
        <v>0.15898689999999999</v>
      </c>
      <c r="X2086">
        <v>0.98590840000000002</v>
      </c>
      <c r="Y2086">
        <v>0.10574740000000001</v>
      </c>
      <c r="Z2086">
        <v>1.189959E-3</v>
      </c>
      <c r="AA2086">
        <v>0.99439230000000001</v>
      </c>
      <c r="AB2086">
        <v>25</v>
      </c>
      <c r="AC2086">
        <v>-76.921499999999995</v>
      </c>
      <c r="AD2086">
        <v>-1.04133488</v>
      </c>
      <c r="AE2086">
        <v>9.59469999999998</v>
      </c>
      <c r="AF2086">
        <v>8.2205273461209707</v>
      </c>
      <c r="AG2086">
        <v>-1.04133488</v>
      </c>
      <c r="AH2086">
        <v>77.066401179410505</v>
      </c>
      <c r="AI2086">
        <v>90.769777242913506</v>
      </c>
      <c r="AJ2086">
        <v>83.911390088190601</v>
      </c>
      <c r="AK2086">
        <v>77.510590495276602</v>
      </c>
      <c r="AL2086">
        <v>80.851902163787599</v>
      </c>
      <c r="AM2086">
        <v>86.978799689429806</v>
      </c>
      <c r="AN2086">
        <v>0.99999992855638498</v>
      </c>
    </row>
    <row r="2087" spans="1:40" x14ac:dyDescent="0.25">
      <c r="A2087" t="str">
        <f>"20190303170300726"</f>
        <v>20190303170300726</v>
      </c>
      <c r="B2087" t="str">
        <f>"1551603780718021"</f>
        <v>1551603780718021</v>
      </c>
      <c r="C2087" t="s">
        <v>40</v>
      </c>
      <c r="D2087">
        <v>4.098217</v>
      </c>
      <c r="E2087">
        <v>0.52589030000000003</v>
      </c>
      <c r="F2087" t="s">
        <v>62</v>
      </c>
      <c r="G2087">
        <v>-327.39229999999998</v>
      </c>
      <c r="H2087">
        <v>8.000032E-2</v>
      </c>
      <c r="I2087">
        <v>293.78550000000001</v>
      </c>
      <c r="J2087">
        <v>-250.04769999999999</v>
      </c>
      <c r="K2087">
        <v>1.1213150000000001</v>
      </c>
      <c r="L2087">
        <v>284.05900000000003</v>
      </c>
      <c r="M2087">
        <v>-0.99979450000000003</v>
      </c>
      <c r="N2087">
        <v>-9.9998589999999998E-3</v>
      </c>
      <c r="O2087">
        <v>1.7642359999999999E-2</v>
      </c>
      <c r="P2087">
        <v>-0.98632710000000001</v>
      </c>
      <c r="Q2087">
        <v>0.1494161</v>
      </c>
      <c r="R2087">
        <v>6.9528329999999999E-2</v>
      </c>
      <c r="S2087">
        <v>-3.0207519999999999</v>
      </c>
      <c r="T2087">
        <v>-4.0534969999999997E-2</v>
      </c>
      <c r="U2087">
        <v>0.37878420000000002</v>
      </c>
      <c r="V2087">
        <v>5.2073359999999999E-2</v>
      </c>
      <c r="W2087">
        <v>0.1592962</v>
      </c>
      <c r="X2087">
        <v>0.98585650000000002</v>
      </c>
      <c r="Y2087">
        <v>0.1068776</v>
      </c>
      <c r="Z2087">
        <v>1.1908369999999999E-3</v>
      </c>
      <c r="AA2087">
        <v>0.99427149999999997</v>
      </c>
      <c r="AB2087">
        <v>25</v>
      </c>
      <c r="AC2087">
        <v>-77.3445999999999</v>
      </c>
      <c r="AD2087">
        <v>-1.0413146799999999</v>
      </c>
      <c r="AE2087">
        <v>9.7264999999999802</v>
      </c>
      <c r="AF2087">
        <v>8.3588851721213793</v>
      </c>
      <c r="AG2087">
        <v>-1.0413146799999999</v>
      </c>
      <c r="AH2087">
        <v>77.490340674751494</v>
      </c>
      <c r="AI2087">
        <v>90.765453985505403</v>
      </c>
      <c r="AJ2087">
        <v>83.843308681514301</v>
      </c>
      <c r="AK2087">
        <v>77.946829284279104</v>
      </c>
      <c r="AL2087">
        <v>80.833952256611795</v>
      </c>
      <c r="AM2087">
        <v>86.976422371361295</v>
      </c>
      <c r="AN2087">
        <v>0.99999997637418903</v>
      </c>
    </row>
    <row r="2088" spans="1:40" x14ac:dyDescent="0.25">
      <c r="A2088" t="str">
        <f>"20190303170300748"</f>
        <v>20190303170300748</v>
      </c>
      <c r="B2088" t="str">
        <f>"1551603780737542"</f>
        <v>1551603780737542</v>
      </c>
      <c r="C2088" t="s">
        <v>40</v>
      </c>
      <c r="D2088">
        <v>4.0999879999999997</v>
      </c>
      <c r="E2088">
        <v>0.5263255</v>
      </c>
      <c r="F2088" t="s">
        <v>62</v>
      </c>
      <c r="G2088">
        <v>-329.93049999999999</v>
      </c>
      <c r="H2088">
        <v>8.0001050000000004E-2</v>
      </c>
      <c r="I2088">
        <v>294.13569999999999</v>
      </c>
      <c r="J2088">
        <v>-250.28960000000001</v>
      </c>
      <c r="K2088">
        <v>1.121299</v>
      </c>
      <c r="L2088">
        <v>284.06310000000002</v>
      </c>
      <c r="M2088">
        <v>-0.99979870000000004</v>
      </c>
      <c r="N2088">
        <v>-9.8671520000000006E-3</v>
      </c>
      <c r="O2088">
        <v>1.747311E-2</v>
      </c>
      <c r="P2088">
        <v>-0.98629710000000004</v>
      </c>
      <c r="Q2088">
        <v>0.1497011</v>
      </c>
      <c r="R2088">
        <v>6.9340120000000005E-2</v>
      </c>
      <c r="S2088">
        <v>-3.0206909999999998</v>
      </c>
      <c r="T2088">
        <v>-3.9376260000000003E-2</v>
      </c>
      <c r="U2088">
        <v>0.38104250000000001</v>
      </c>
      <c r="V2088">
        <v>5.2052699999999903E-2</v>
      </c>
      <c r="W2088">
        <v>0.15945019999999999</v>
      </c>
      <c r="X2088">
        <v>0.98583279999999995</v>
      </c>
      <c r="Y2088">
        <v>0.1077808</v>
      </c>
      <c r="Z2088">
        <v>1.178578E-3</v>
      </c>
      <c r="AA2088">
        <v>0.994174</v>
      </c>
      <c r="AB2088">
        <v>26</v>
      </c>
      <c r="AC2088">
        <v>-79.640899999999903</v>
      </c>
      <c r="AD2088">
        <v>-1.0412979499999999</v>
      </c>
      <c r="AE2088">
        <v>10.0725999999999</v>
      </c>
      <c r="AF2088">
        <v>8.6779600562673895</v>
      </c>
      <c r="AG2088">
        <v>-1.0412979499999999</v>
      </c>
      <c r="AH2088">
        <v>79.791322693683099</v>
      </c>
      <c r="AI2088">
        <v>90.743300108148304</v>
      </c>
      <c r="AJ2088">
        <v>83.793010650498104</v>
      </c>
      <c r="AK2088">
        <v>80.268589556353305</v>
      </c>
      <c r="AL2088">
        <v>80.825015423417</v>
      </c>
      <c r="AM2088">
        <v>86.977547220028598</v>
      </c>
      <c r="AN2088">
        <v>1.00000007970658</v>
      </c>
    </row>
    <row r="2089" spans="1:40" x14ac:dyDescent="0.25">
      <c r="A2089" t="str">
        <f>"20190303170300760"</f>
        <v>20190303170300760</v>
      </c>
      <c r="B2089" t="str">
        <f>"1551603780747302"</f>
        <v>1551603780747302</v>
      </c>
      <c r="C2089" t="s">
        <v>40</v>
      </c>
      <c r="D2089">
        <v>4.1245120000000002</v>
      </c>
      <c r="E2089">
        <v>0.52654380000000001</v>
      </c>
      <c r="F2089" t="s">
        <v>62</v>
      </c>
      <c r="G2089">
        <v>-332.94130000000001</v>
      </c>
      <c r="H2089">
        <v>8.0000450000000001E-2</v>
      </c>
      <c r="I2089">
        <v>294.56920000000002</v>
      </c>
      <c r="J2089">
        <v>-250.43729999999999</v>
      </c>
      <c r="K2089">
        <v>1.1212879999999901</v>
      </c>
      <c r="L2089">
        <v>284.06560000000002</v>
      </c>
      <c r="M2089">
        <v>-0.99980139999999995</v>
      </c>
      <c r="N2089">
        <v>-9.7893070000000006E-3</v>
      </c>
      <c r="O2089">
        <v>1.737178E-2</v>
      </c>
      <c r="P2089">
        <v>-0.98628229999999995</v>
      </c>
      <c r="Q2089">
        <v>0.14992320000000001</v>
      </c>
      <c r="R2089">
        <v>6.9068589999999999E-2</v>
      </c>
      <c r="S2089">
        <v>-3.0204770000000001</v>
      </c>
      <c r="T2089">
        <v>-3.8053869999999997E-2</v>
      </c>
      <c r="U2089">
        <v>0.3839417</v>
      </c>
      <c r="V2089">
        <v>5.1881610000000002E-2</v>
      </c>
      <c r="W2089">
        <v>0.1595946</v>
      </c>
      <c r="X2089">
        <v>0.98581839999999998</v>
      </c>
      <c r="Y2089">
        <v>0.1088302</v>
      </c>
      <c r="Z2089">
        <v>1.169177E-3</v>
      </c>
      <c r="AA2089">
        <v>0.99405969999999999</v>
      </c>
      <c r="AB2089">
        <v>26</v>
      </c>
      <c r="AC2089">
        <v>-82.504000000000005</v>
      </c>
      <c r="AD2089">
        <v>-1.0412875499999901</v>
      </c>
      <c r="AE2089">
        <v>10.5036</v>
      </c>
      <c r="AF2089">
        <v>9.0672838522470691</v>
      </c>
      <c r="AG2089">
        <v>-1.0412875499999901</v>
      </c>
      <c r="AH2089">
        <v>82.6610666683939</v>
      </c>
      <c r="AI2089">
        <v>90.717418210549098</v>
      </c>
      <c r="AJ2089">
        <v>83.740120321997694</v>
      </c>
      <c r="AK2089">
        <v>83.163404565804498</v>
      </c>
      <c r="AL2089">
        <v>80.816634110300896</v>
      </c>
      <c r="AM2089">
        <v>86.987419350124497</v>
      </c>
      <c r="AN2089">
        <v>1.0000000277919501</v>
      </c>
    </row>
    <row r="2090" spans="1:40" x14ac:dyDescent="0.25">
      <c r="A2090" t="str">
        <f>"20190303170300772"</f>
        <v>20190303170300772</v>
      </c>
      <c r="B2090" t="str">
        <f>"1551603780767801"</f>
        <v>1551603780767801</v>
      </c>
      <c r="C2090" t="s">
        <v>40</v>
      </c>
      <c r="D2090">
        <v>4.0749639999999996</v>
      </c>
      <c r="E2090">
        <v>0.52695009999999998</v>
      </c>
      <c r="F2090" t="s">
        <v>44</v>
      </c>
      <c r="G2090">
        <v>-345.49740000000003</v>
      </c>
      <c r="H2090">
        <v>-0.05</v>
      </c>
      <c r="I2090">
        <v>296.18490000000003</v>
      </c>
      <c r="J2090">
        <v>-250.5831</v>
      </c>
      <c r="K2090">
        <v>1.1212759999999999</v>
      </c>
      <c r="L2090">
        <v>284.06799999999998</v>
      </c>
      <c r="M2090">
        <v>-0.99980369999999996</v>
      </c>
      <c r="N2090">
        <v>-9.7146539999999997E-3</v>
      </c>
      <c r="O2090">
        <v>1.7274069999999999E-2</v>
      </c>
      <c r="P2090">
        <v>-0.98627719999999997</v>
      </c>
      <c r="Q2090">
        <v>0.15011659999999999</v>
      </c>
      <c r="R2090">
        <v>6.8721290000000004E-2</v>
      </c>
      <c r="S2090">
        <v>-3.0203859999999998</v>
      </c>
      <c r="T2090">
        <v>-3.7215829999999998E-2</v>
      </c>
      <c r="U2090">
        <v>0.38507079999999999</v>
      </c>
      <c r="V2090">
        <v>5.1631660000000003E-2</v>
      </c>
      <c r="W2090">
        <v>0.1597142</v>
      </c>
      <c r="X2090">
        <v>0.98581209999999997</v>
      </c>
      <c r="Y2090">
        <v>0.1092973</v>
      </c>
      <c r="Z2090">
        <v>1.1589759999999999E-3</v>
      </c>
      <c r="AA2090">
        <v>0.99400840000000001</v>
      </c>
      <c r="AB2090">
        <v>26</v>
      </c>
      <c r="AC2090">
        <v>-94.914299999999997</v>
      </c>
      <c r="AD2090">
        <v>-1.171276</v>
      </c>
      <c r="AE2090">
        <v>12.116899999999999</v>
      </c>
      <c r="AF2090">
        <v>10.473888996940801</v>
      </c>
      <c r="AG2090">
        <v>-1.171276</v>
      </c>
      <c r="AH2090">
        <v>95.095205457585706</v>
      </c>
      <c r="AI2090">
        <v>90.701428136612606</v>
      </c>
      <c r="AJ2090">
        <v>83.714714765513904</v>
      </c>
      <c r="AK2090">
        <v>95.677439029317895</v>
      </c>
      <c r="AL2090">
        <v>80.809692007903294</v>
      </c>
      <c r="AM2090">
        <v>87.001887390698997</v>
      </c>
      <c r="AN2090">
        <v>0.99999997525120199</v>
      </c>
    </row>
    <row r="2091" spans="1:40" x14ac:dyDescent="0.25">
      <c r="A2091" t="str">
        <f>"20190303170300785"</f>
        <v>20190303170300785</v>
      </c>
      <c r="B2091" t="str">
        <f>"1551603780777558"</f>
        <v>1551603780777558</v>
      </c>
      <c r="C2091" t="s">
        <v>40</v>
      </c>
      <c r="D2091">
        <v>4.0495289999999997</v>
      </c>
      <c r="E2091">
        <v>0.52711989999999997</v>
      </c>
      <c r="F2091" t="s">
        <v>44</v>
      </c>
      <c r="G2091">
        <v>-347.3673</v>
      </c>
      <c r="H2091">
        <v>-0.05</v>
      </c>
      <c r="I2091">
        <v>296.47379999999998</v>
      </c>
      <c r="J2091">
        <v>-250.72059999999999</v>
      </c>
      <c r="K2091">
        <v>1.1212610000000001</v>
      </c>
      <c r="L2091">
        <v>284.07029999999997</v>
      </c>
      <c r="M2091">
        <v>-0.99980570000000002</v>
      </c>
      <c r="N2091">
        <v>-9.6474839999999996E-3</v>
      </c>
      <c r="O2091">
        <v>1.7187009999999999E-2</v>
      </c>
      <c r="P2091">
        <v>-0.98628179999999999</v>
      </c>
      <c r="Q2091">
        <v>0.1500515</v>
      </c>
      <c r="R2091">
        <v>6.8795789999999996E-2</v>
      </c>
      <c r="S2091">
        <v>-3.02034</v>
      </c>
      <c r="T2091">
        <v>-3.655195E-2</v>
      </c>
      <c r="U2091">
        <v>0.38714599999999999</v>
      </c>
      <c r="V2091">
        <v>5.1793390000000002E-2</v>
      </c>
      <c r="W2091">
        <v>0.1595829</v>
      </c>
      <c r="X2091">
        <v>0.9858249</v>
      </c>
      <c r="Y2091">
        <v>0.110058</v>
      </c>
      <c r="Z2091">
        <v>1.1544350000000001E-3</v>
      </c>
      <c r="AA2091">
        <v>0.99392449999999999</v>
      </c>
      <c r="AB2091">
        <v>26</v>
      </c>
      <c r="AC2091">
        <v>-96.646699999999996</v>
      </c>
      <c r="AD2091">
        <v>-1.1712610000000001</v>
      </c>
      <c r="AE2091">
        <v>12.403499999999999</v>
      </c>
      <c r="AF2091">
        <v>10.738970877672401</v>
      </c>
      <c r="AG2091">
        <v>-1.1712610000000001</v>
      </c>
      <c r="AH2091">
        <v>96.831621010449794</v>
      </c>
      <c r="AI2091">
        <v>90.6887849651594</v>
      </c>
      <c r="AJ2091">
        <v>83.671555660522301</v>
      </c>
      <c r="AK2091">
        <v>97.432336394818094</v>
      </c>
      <c r="AL2091">
        <v>80.817312873491403</v>
      </c>
      <c r="AM2091">
        <v>86.9925523530096</v>
      </c>
      <c r="AN2091">
        <v>0.99999999534005601</v>
      </c>
    </row>
    <row r="2092" spans="1:40" x14ac:dyDescent="0.25">
      <c r="A2092" t="str">
        <f>"20190303170300803"</f>
        <v>20190303170300803</v>
      </c>
      <c r="B2092" t="str">
        <f>"1551603780798055"</f>
        <v>1551603780798055</v>
      </c>
      <c r="C2092" t="s">
        <v>40</v>
      </c>
      <c r="D2092">
        <v>4.0483969999999996</v>
      </c>
      <c r="E2092">
        <v>0.52736159999999999</v>
      </c>
      <c r="F2092" t="s">
        <v>44</v>
      </c>
      <c r="G2092">
        <v>-348.33760000000001</v>
      </c>
      <c r="H2092">
        <v>-0.05</v>
      </c>
      <c r="I2092">
        <v>296.62799999999999</v>
      </c>
      <c r="J2092">
        <v>-250.94040000000001</v>
      </c>
      <c r="K2092">
        <v>1.121235</v>
      </c>
      <c r="L2092">
        <v>284.07389999999998</v>
      </c>
      <c r="M2092">
        <v>-0.99980899999999995</v>
      </c>
      <c r="N2092">
        <v>-9.5449809999999993E-3</v>
      </c>
      <c r="O2092">
        <v>1.705661E-2</v>
      </c>
      <c r="P2092">
        <v>-0.9863769</v>
      </c>
      <c r="Q2092">
        <v>0.14939559999999999</v>
      </c>
      <c r="R2092">
        <v>6.8858920000000004E-2</v>
      </c>
      <c r="S2092">
        <v>-3.0201419999999999</v>
      </c>
      <c r="T2092">
        <v>-3.6237239999999997E-2</v>
      </c>
      <c r="U2092">
        <v>0.38851930000000001</v>
      </c>
      <c r="V2092">
        <v>5.198705E-2</v>
      </c>
      <c r="W2092">
        <v>0.15882550000000001</v>
      </c>
      <c r="X2092">
        <v>0.98593699999999995</v>
      </c>
      <c r="Y2092">
        <v>0.11064069999999999</v>
      </c>
      <c r="Z2092">
        <v>1.149705E-3</v>
      </c>
      <c r="AA2092">
        <v>0.99385979999999996</v>
      </c>
      <c r="AB2092">
        <v>26</v>
      </c>
      <c r="AC2092">
        <v>-97.397199999999998</v>
      </c>
      <c r="AD2092">
        <v>-1.171235</v>
      </c>
      <c r="AE2092">
        <v>12.5541</v>
      </c>
      <c r="AF2092">
        <v>10.8893828864828</v>
      </c>
      <c r="AG2092">
        <v>-1.171235</v>
      </c>
      <c r="AH2092">
        <v>97.583289232502295</v>
      </c>
      <c r="AI2092">
        <v>90.683413104109505</v>
      </c>
      <c r="AJ2092">
        <v>83.632669074922205</v>
      </c>
      <c r="AK2092">
        <v>98.195971345609905</v>
      </c>
      <c r="AL2092">
        <v>80.861269195461901</v>
      </c>
      <c r="AM2092">
        <v>86.981670588455103</v>
      </c>
      <c r="AN2092">
        <v>0.99999998039347504</v>
      </c>
    </row>
    <row r="2093" spans="1:40" x14ac:dyDescent="0.25">
      <c r="A2093" t="str">
        <f>"20190303170300826"</f>
        <v>20190303170300826</v>
      </c>
      <c r="B2093" t="str">
        <f>"1551603780817319"</f>
        <v>1551603780817319</v>
      </c>
      <c r="C2093" t="s">
        <v>40</v>
      </c>
      <c r="D2093">
        <v>4.014087</v>
      </c>
      <c r="E2093">
        <v>0.5274875</v>
      </c>
      <c r="F2093" t="s">
        <v>44</v>
      </c>
      <c r="G2093">
        <v>-344.64499999999998</v>
      </c>
      <c r="H2093">
        <v>-0.05</v>
      </c>
      <c r="I2093">
        <v>296.19560000000001</v>
      </c>
      <c r="J2093">
        <v>-251.19300000000001</v>
      </c>
      <c r="K2093">
        <v>1.121208</v>
      </c>
      <c r="L2093">
        <v>284.07810000000001</v>
      </c>
      <c r="M2093">
        <v>-0.99981229999999999</v>
      </c>
      <c r="N2093">
        <v>-9.4374260000000005E-3</v>
      </c>
      <c r="O2093">
        <v>1.692511E-2</v>
      </c>
      <c r="P2093">
        <v>-0.98640709999999998</v>
      </c>
      <c r="Q2093">
        <v>0.14930060000000001</v>
      </c>
      <c r="R2093">
        <v>6.8633620000000006E-2</v>
      </c>
      <c r="S2093">
        <v>-3.019882</v>
      </c>
      <c r="T2093">
        <v>-3.7746189999999999E-2</v>
      </c>
      <c r="U2093">
        <v>0.39065549999999999</v>
      </c>
      <c r="V2093">
        <v>5.1896480000000002E-2</v>
      </c>
      <c r="W2093">
        <v>0.15862299999999999</v>
      </c>
      <c r="X2093">
        <v>0.98597440000000003</v>
      </c>
      <c r="Y2093">
        <v>0.1114728</v>
      </c>
      <c r="Z2093">
        <v>1.170501E-3</v>
      </c>
      <c r="AA2093">
        <v>0.99376679999999995</v>
      </c>
      <c r="AB2093">
        <v>26</v>
      </c>
      <c r="AC2093">
        <v>-93.451999999999998</v>
      </c>
      <c r="AD2093">
        <v>-1.171208</v>
      </c>
      <c r="AE2093">
        <v>12.1175</v>
      </c>
      <c r="AF2093">
        <v>10.532381483354101</v>
      </c>
      <c r="AG2093">
        <v>-1.171208</v>
      </c>
      <c r="AH2093">
        <v>93.629248794008603</v>
      </c>
      <c r="AI2093">
        <v>90.712183980704594</v>
      </c>
      <c r="AJ2093">
        <v>83.581762578174406</v>
      </c>
      <c r="AK2093">
        <v>94.227060962446004</v>
      </c>
      <c r="AL2093">
        <v>80.873020828060902</v>
      </c>
      <c r="AM2093">
        <v>86.987033398945201</v>
      </c>
      <c r="AN2093">
        <v>1.00000000911037</v>
      </c>
    </row>
    <row r="2094" spans="1:40" x14ac:dyDescent="0.25">
      <c r="A2094" t="str">
        <f>"20190303170300839"</f>
        <v>20190303170300839</v>
      </c>
      <c r="B2094" t="str">
        <f>"1551603780828055"</f>
        <v>1551603780828055</v>
      </c>
      <c r="C2094" t="s">
        <v>40</v>
      </c>
      <c r="D2094">
        <v>4.0295379999999996</v>
      </c>
      <c r="E2094">
        <v>0.52762959999999903</v>
      </c>
      <c r="F2094" t="s">
        <v>44</v>
      </c>
      <c r="G2094">
        <v>-344.41309999999999</v>
      </c>
      <c r="H2094">
        <v>-0.05</v>
      </c>
      <c r="I2094">
        <v>296.1533</v>
      </c>
      <c r="J2094">
        <v>-251.34200000000001</v>
      </c>
      <c r="K2094">
        <v>1.121189</v>
      </c>
      <c r="L2094">
        <v>284.0806</v>
      </c>
      <c r="M2094">
        <v>-0.99981390000000003</v>
      </c>
      <c r="N2094">
        <v>-9.3789919999999992E-3</v>
      </c>
      <c r="O2094">
        <v>1.6856779999999998E-2</v>
      </c>
      <c r="P2094">
        <v>-0.98639239999999995</v>
      </c>
      <c r="Q2094">
        <v>0.14956320000000001</v>
      </c>
      <c r="R2094">
        <v>6.8268750000000003E-2</v>
      </c>
      <c r="S2094">
        <v>-3.0198520000000002</v>
      </c>
      <c r="T2094">
        <v>-3.7941099999999998E-2</v>
      </c>
      <c r="U2094">
        <v>0.39117429999999997</v>
      </c>
      <c r="V2094">
        <v>5.1602990000000001E-2</v>
      </c>
      <c r="W2094">
        <v>0.15882639999999901</v>
      </c>
      <c r="X2094">
        <v>0.98595699999999997</v>
      </c>
      <c r="Y2094">
        <v>0.1117098</v>
      </c>
      <c r="Z2094">
        <v>1.1715580000000001E-3</v>
      </c>
      <c r="AA2094">
        <v>0.99374019999999996</v>
      </c>
      <c r="AB2094">
        <v>26</v>
      </c>
      <c r="AC2094">
        <v>-93.071099999999902</v>
      </c>
      <c r="AD2094">
        <v>-1.171189</v>
      </c>
      <c r="AE2094">
        <v>12.0726999999999</v>
      </c>
      <c r="AF2094">
        <v>10.5004011407925</v>
      </c>
      <c r="AG2094">
        <v>-1.171189</v>
      </c>
      <c r="AH2094">
        <v>93.246869061361906</v>
      </c>
      <c r="AI2094">
        <v>90.715083145600303</v>
      </c>
      <c r="AJ2094">
        <v>83.575067720531194</v>
      </c>
      <c r="AK2094">
        <v>93.843533061890099</v>
      </c>
      <c r="AL2094">
        <v>80.861216685061706</v>
      </c>
      <c r="AM2094">
        <v>87.003988713798705</v>
      </c>
      <c r="AN2094">
        <v>0.99999994988144802</v>
      </c>
    </row>
    <row r="2095" spans="1:40" x14ac:dyDescent="0.25">
      <c r="A2095" t="str">
        <f>"20190303170300858"</f>
        <v>20190303170300858</v>
      </c>
      <c r="B2095" t="str">
        <f>"1551603780847575"</f>
        <v>1551603780847575</v>
      </c>
      <c r="C2095" t="s">
        <v>40</v>
      </c>
      <c r="D2095">
        <v>3.991107</v>
      </c>
      <c r="E2095">
        <v>0.52778990000000003</v>
      </c>
      <c r="F2095" t="s">
        <v>44</v>
      </c>
      <c r="G2095">
        <v>-347.87400000000002</v>
      </c>
      <c r="H2095">
        <v>-0.05</v>
      </c>
      <c r="I2095">
        <v>296.59660000000002</v>
      </c>
      <c r="J2095">
        <v>-251.56469999999999</v>
      </c>
      <c r="K2095">
        <v>1.1211610000000001</v>
      </c>
      <c r="L2095">
        <v>284.08420000000001</v>
      </c>
      <c r="M2095">
        <v>-0.99981620000000004</v>
      </c>
      <c r="N2095">
        <v>-9.2994779999999999E-3</v>
      </c>
      <c r="O2095">
        <v>1.6771640000000001E-2</v>
      </c>
      <c r="P2095">
        <v>-0.98636509999999999</v>
      </c>
      <c r="Q2095">
        <v>0.14993319999999999</v>
      </c>
      <c r="R2095">
        <v>6.785563E-2</v>
      </c>
      <c r="S2095">
        <v>-3.0198360000000002</v>
      </c>
      <c r="T2095">
        <v>-3.6638619999999997E-2</v>
      </c>
      <c r="U2095">
        <v>0.39154050000000001</v>
      </c>
      <c r="V2095">
        <v>5.1280840000000001E-2</v>
      </c>
      <c r="W2095">
        <v>0.15911589999999901</v>
      </c>
      <c r="X2095">
        <v>0.9859272</v>
      </c>
      <c r="Y2095">
        <v>0.1119144</v>
      </c>
      <c r="Z2095">
        <v>1.1514419999999999E-3</v>
      </c>
      <c r="AA2095">
        <v>0.99371719999999997</v>
      </c>
      <c r="AB2095">
        <v>26</v>
      </c>
      <c r="AC2095">
        <v>-96.309299999999993</v>
      </c>
      <c r="AD2095">
        <v>-1.1711609999999999</v>
      </c>
      <c r="AE2095">
        <v>12.5124</v>
      </c>
      <c r="AF2095">
        <v>10.893721159826001</v>
      </c>
      <c r="AG2095">
        <v>-1.1711609999999999</v>
      </c>
      <c r="AH2095">
        <v>96.491583164734394</v>
      </c>
      <c r="AI2095">
        <v>90.691000686656395</v>
      </c>
      <c r="AJ2095">
        <v>83.558687103691298</v>
      </c>
      <c r="AK2095">
        <v>97.111638851544498</v>
      </c>
      <c r="AL2095">
        <v>80.844416542012993</v>
      </c>
      <c r="AM2095">
        <v>87.022568791924797</v>
      </c>
      <c r="AN2095">
        <v>1.0000000189418701</v>
      </c>
    </row>
    <row r="2096" spans="1:40" x14ac:dyDescent="0.25">
      <c r="A2096" t="str">
        <f>"20190303170300870"</f>
        <v>20190303170300870</v>
      </c>
      <c r="B2096" t="str">
        <f>"1551603780857335"</f>
        <v>1551603780857335</v>
      </c>
      <c r="C2096" t="s">
        <v>40</v>
      </c>
      <c r="D2096">
        <v>3.9990380000000001</v>
      </c>
      <c r="E2096">
        <v>0.52791699999999997</v>
      </c>
      <c r="F2096" t="s">
        <v>44</v>
      </c>
      <c r="G2096">
        <v>-354.96339999999998</v>
      </c>
      <c r="H2096">
        <v>-0.05</v>
      </c>
      <c r="I2096">
        <v>297.5059</v>
      </c>
      <c r="J2096">
        <v>-251.70480000000001</v>
      </c>
      <c r="K2096">
        <v>1.12114</v>
      </c>
      <c r="L2096">
        <v>284.0865</v>
      </c>
      <c r="M2096">
        <v>-0.99981730000000002</v>
      </c>
      <c r="N2096">
        <v>-9.2539749999999994E-3</v>
      </c>
      <c r="O2096">
        <v>1.6730499999999999E-2</v>
      </c>
      <c r="P2096">
        <v>-0.98635450000000002</v>
      </c>
      <c r="Q2096">
        <v>0.1500437</v>
      </c>
      <c r="R2096">
        <v>6.7762619999999996E-2</v>
      </c>
      <c r="S2096">
        <v>-3.0196689999999999</v>
      </c>
      <c r="T2096">
        <v>-3.4202690000000001E-2</v>
      </c>
      <c r="U2096">
        <v>0.39196779999999998</v>
      </c>
      <c r="V2096">
        <v>5.1232850000000003E-2</v>
      </c>
      <c r="W2096">
        <v>0.15917999999999999</v>
      </c>
      <c r="X2096">
        <v>0.9859194</v>
      </c>
      <c r="Y2096">
        <v>0.11210199999999999</v>
      </c>
      <c r="Z2096">
        <v>1.118682E-3</v>
      </c>
      <c r="AA2096">
        <v>0.99369609999999997</v>
      </c>
      <c r="AB2096">
        <v>26</v>
      </c>
      <c r="AC2096">
        <v>-103.25859999999901</v>
      </c>
      <c r="AD2096">
        <v>-1.1711400000000001</v>
      </c>
      <c r="AE2096">
        <v>13.4193999999999</v>
      </c>
      <c r="AF2096">
        <v>11.688401184060501</v>
      </c>
      <c r="AG2096">
        <v>-1.1711400000000001</v>
      </c>
      <c r="AH2096">
        <v>103.455581921445</v>
      </c>
      <c r="AI2096">
        <v>90.644473369975302</v>
      </c>
      <c r="AJ2096">
        <v>83.554062188126494</v>
      </c>
      <c r="AK2096">
        <v>104.12035210199799</v>
      </c>
      <c r="AL2096">
        <v>80.840696943863804</v>
      </c>
      <c r="AM2096">
        <v>87.025326654799798</v>
      </c>
      <c r="AN2096">
        <v>1.0000000703077301</v>
      </c>
    </row>
    <row r="2097" spans="1:40" x14ac:dyDescent="0.25">
      <c r="A2097" t="str">
        <f>"20190303170300883"</f>
        <v>20190303170300883</v>
      </c>
      <c r="B2097" t="str">
        <f>"1551603780877832"</f>
        <v>1551603780877832</v>
      </c>
      <c r="C2097" t="s">
        <v>40</v>
      </c>
      <c r="D2097">
        <v>3.9457710000000001</v>
      </c>
      <c r="E2097">
        <v>0.528161199999999</v>
      </c>
      <c r="F2097" t="s">
        <v>44</v>
      </c>
      <c r="G2097">
        <v>-356.82909999999998</v>
      </c>
      <c r="H2097">
        <v>-0.05</v>
      </c>
      <c r="I2097">
        <v>297.75029999999998</v>
      </c>
      <c r="J2097">
        <v>-251.86259999999999</v>
      </c>
      <c r="K2097">
        <v>1.121122</v>
      </c>
      <c r="L2097">
        <v>284.08909999999997</v>
      </c>
      <c r="M2097">
        <v>-0.99981830000000005</v>
      </c>
      <c r="N2097">
        <v>-9.2064959999999998E-3</v>
      </c>
      <c r="O2097">
        <v>1.6695109999999999E-2</v>
      </c>
      <c r="P2097">
        <v>-0.98638219999999999</v>
      </c>
      <c r="Q2097">
        <v>0.14985319999999999</v>
      </c>
      <c r="R2097">
        <v>6.7782809999999999E-2</v>
      </c>
      <c r="S2097">
        <v>-3.0196529999999999</v>
      </c>
      <c r="T2097">
        <v>-3.3640499999999997E-2</v>
      </c>
      <c r="U2097">
        <v>0.39248660000000002</v>
      </c>
      <c r="V2097">
        <v>5.129247E-2</v>
      </c>
      <c r="W2097">
        <v>0.15894129999999901</v>
      </c>
      <c r="X2097">
        <v>0.98595480000000002</v>
      </c>
      <c r="Y2097">
        <v>0.11230610000000001</v>
      </c>
      <c r="Z2097">
        <v>1.110071E-3</v>
      </c>
      <c r="AA2097">
        <v>0.99367300000000003</v>
      </c>
      <c r="AB2097">
        <v>26</v>
      </c>
      <c r="AC2097">
        <v>-104.9665</v>
      </c>
      <c r="AD2097">
        <v>-1.171122</v>
      </c>
      <c r="AE2097">
        <v>13.661199999999999</v>
      </c>
      <c r="AF2097">
        <v>11.9053371011479</v>
      </c>
      <c r="AG2097">
        <v>-1.171122</v>
      </c>
      <c r="AH2097">
        <v>105.167080906021</v>
      </c>
      <c r="AI2097">
        <v>90.633960404388603</v>
      </c>
      <c r="AJ2097">
        <v>83.541382741388006</v>
      </c>
      <c r="AK2097">
        <v>105.845280879803</v>
      </c>
      <c r="AL2097">
        <v>80.854549722890596</v>
      </c>
      <c r="AM2097">
        <v>87.021977971197302</v>
      </c>
      <c r="AN2097">
        <v>1.0000000609837101</v>
      </c>
    </row>
    <row r="2098" spans="1:40" x14ac:dyDescent="0.25">
      <c r="A2098" t="str">
        <f>"20190303170300896"</f>
        <v>20190303170300896</v>
      </c>
      <c r="B2098" t="str">
        <f>"1551603780887592"</f>
        <v>1551603780887592</v>
      </c>
      <c r="C2098" t="s">
        <v>40</v>
      </c>
      <c r="D2098">
        <v>4.2139800000000003</v>
      </c>
      <c r="E2098">
        <v>0.52826430000000002</v>
      </c>
      <c r="F2098" t="s">
        <v>44</v>
      </c>
      <c r="G2098">
        <v>-356.70569999999998</v>
      </c>
      <c r="H2098">
        <v>-0.05</v>
      </c>
      <c r="I2098">
        <v>297.79579999999999</v>
      </c>
      <c r="J2098">
        <v>-252.00810000000001</v>
      </c>
      <c r="K2098">
        <v>1.1211040000000001</v>
      </c>
      <c r="L2098">
        <v>284.0915</v>
      </c>
      <c r="M2098">
        <v>-0.99981920000000002</v>
      </c>
      <c r="N2098">
        <v>-9.1651040000000003E-3</v>
      </c>
      <c r="O2098">
        <v>1.666867E-2</v>
      </c>
      <c r="P2098">
        <v>-0.98646120000000004</v>
      </c>
      <c r="Q2098">
        <v>0.14946619999999999</v>
      </c>
      <c r="R2098">
        <v>6.7485779999999995E-2</v>
      </c>
      <c r="S2098">
        <v>-3.0194239999999999</v>
      </c>
      <c r="T2098">
        <v>-3.3727649999999998E-2</v>
      </c>
      <c r="U2098">
        <v>0.39474490000000001</v>
      </c>
      <c r="V2098">
        <v>5.10245E-2</v>
      </c>
      <c r="W2098">
        <v>0.15851289999999901</v>
      </c>
      <c r="X2098">
        <v>0.98603759999999996</v>
      </c>
      <c r="Y2098">
        <v>0.1130726</v>
      </c>
      <c r="Z2098">
        <v>1.116056E-3</v>
      </c>
      <c r="AA2098">
        <v>0.99358610000000003</v>
      </c>
      <c r="AB2098">
        <v>26</v>
      </c>
      <c r="AC2098">
        <v>-104.697599999999</v>
      </c>
      <c r="AD2098">
        <v>-1.1711039999999999</v>
      </c>
      <c r="AE2098">
        <v>13.7042999999999</v>
      </c>
      <c r="AF2098">
        <v>11.9556824059501</v>
      </c>
      <c r="AG2098">
        <v>-1.1711039999999999</v>
      </c>
      <c r="AH2098">
        <v>104.898591407775</v>
      </c>
      <c r="AI2098">
        <v>90.635518282125801</v>
      </c>
      <c r="AJ2098">
        <v>83.497844503779504</v>
      </c>
      <c r="AK2098">
        <v>105.584204811639</v>
      </c>
      <c r="AL2098">
        <v>80.8794097873308</v>
      </c>
      <c r="AM2098">
        <v>87.037756748902197</v>
      </c>
      <c r="AN2098">
        <v>0.99999999384020999</v>
      </c>
    </row>
    <row r="2099" spans="1:40" x14ac:dyDescent="0.25">
      <c r="A2099" t="str">
        <f>"20190303170300909"</f>
        <v>20190303170300909</v>
      </c>
      <c r="B2099" t="str">
        <f>"1551603780897353"</f>
        <v>1551603780897353</v>
      </c>
      <c r="C2099" t="s">
        <v>40</v>
      </c>
      <c r="D2099">
        <v>4.0409790000000001</v>
      </c>
      <c r="E2099">
        <v>0.52839060000000004</v>
      </c>
      <c r="F2099" t="s">
        <v>44</v>
      </c>
      <c r="G2099">
        <v>-352.82659999999998</v>
      </c>
      <c r="H2099">
        <v>-0.05</v>
      </c>
      <c r="I2099">
        <v>297.25529999999998</v>
      </c>
      <c r="J2099">
        <v>-252.15369999999999</v>
      </c>
      <c r="K2099">
        <v>1.121094</v>
      </c>
      <c r="L2099">
        <v>284.09390000000002</v>
      </c>
      <c r="M2099">
        <v>-0.99981969999999998</v>
      </c>
      <c r="N2099">
        <v>-9.1281339999999996E-3</v>
      </c>
      <c r="O2099">
        <v>1.665405E-2</v>
      </c>
      <c r="P2099">
        <v>-0.98650559999999998</v>
      </c>
      <c r="Q2099">
        <v>0.1492049</v>
      </c>
      <c r="R2099">
        <v>6.7414160000000001E-2</v>
      </c>
      <c r="S2099">
        <v>-3.0195159999999999</v>
      </c>
      <c r="T2099">
        <v>-3.5074590000000003E-2</v>
      </c>
      <c r="U2099">
        <v>0.39425660000000001</v>
      </c>
      <c r="V2099">
        <v>5.097049E-2</v>
      </c>
      <c r="W2099">
        <v>0.15821389999999999</v>
      </c>
      <c r="X2099">
        <v>0.98608839999999998</v>
      </c>
      <c r="Y2099">
        <v>0.1129246</v>
      </c>
      <c r="Z2099">
        <v>1.1295420000000001E-3</v>
      </c>
      <c r="AA2099">
        <v>0.99360289999999996</v>
      </c>
      <c r="AB2099">
        <v>26</v>
      </c>
      <c r="AC2099">
        <v>-100.6729</v>
      </c>
      <c r="AD2099">
        <v>-1.1710940000000001</v>
      </c>
      <c r="AE2099">
        <v>13.161399999999899</v>
      </c>
      <c r="AF2099">
        <v>11.481365708118499</v>
      </c>
      <c r="AG2099">
        <v>-1.1710940000000001</v>
      </c>
      <c r="AH2099">
        <v>100.864716877774</v>
      </c>
      <c r="AI2099">
        <v>90.660937386929106</v>
      </c>
      <c r="AJ2099">
        <v>83.5060098972574</v>
      </c>
      <c r="AK2099">
        <v>101.522826647576</v>
      </c>
      <c r="AL2099">
        <v>80.896760052261499</v>
      </c>
      <c r="AM2099">
        <v>87.041038913347904</v>
      </c>
      <c r="AN2099">
        <v>0.99999998080930397</v>
      </c>
    </row>
    <row r="2100" spans="1:40" x14ac:dyDescent="0.25">
      <c r="A2100" t="str">
        <f>"20190303170300928"</f>
        <v>20190303170300928</v>
      </c>
      <c r="B2100" t="str">
        <f>"1551603780917848"</f>
        <v>1551603780917848</v>
      </c>
      <c r="C2100" t="s">
        <v>40</v>
      </c>
      <c r="D2100">
        <v>4.0064590000000004</v>
      </c>
      <c r="E2100">
        <v>0.52866230000000003</v>
      </c>
      <c r="F2100" t="s">
        <v>44</v>
      </c>
      <c r="G2100">
        <v>-350.50020000000001</v>
      </c>
      <c r="H2100">
        <v>-0.05</v>
      </c>
      <c r="I2100">
        <v>296.95679999999999</v>
      </c>
      <c r="J2100">
        <v>-252.3758</v>
      </c>
      <c r="K2100">
        <v>1.12107</v>
      </c>
      <c r="L2100">
        <v>284.0976</v>
      </c>
      <c r="M2100">
        <v>-0.9998205</v>
      </c>
      <c r="N2100">
        <v>-9.0762900000000007E-3</v>
      </c>
      <c r="O2100">
        <v>1.664127E-2</v>
      </c>
      <c r="P2100">
        <v>-0.98662159999999999</v>
      </c>
      <c r="Q2100">
        <v>0.1485108</v>
      </c>
      <c r="R2100">
        <v>6.7251939999999996E-2</v>
      </c>
      <c r="S2100">
        <v>-3.0195159999999999</v>
      </c>
      <c r="T2100">
        <v>-3.5955910000000001E-2</v>
      </c>
      <c r="U2100">
        <v>0.394928</v>
      </c>
      <c r="V2100">
        <v>5.0824179999999997E-2</v>
      </c>
      <c r="W2100">
        <v>0.1574681</v>
      </c>
      <c r="X2100">
        <v>0.98621539999999996</v>
      </c>
      <c r="Y2100">
        <v>0.113154</v>
      </c>
      <c r="Z2100">
        <v>1.1397530000000001E-3</v>
      </c>
      <c r="AA2100">
        <v>0.99357680000000004</v>
      </c>
      <c r="AB2100">
        <v>26</v>
      </c>
      <c r="AC2100">
        <v>-98.124399999999994</v>
      </c>
      <c r="AD2100">
        <v>-1.1710700000000001</v>
      </c>
      <c r="AE2100">
        <v>12.8591999999999</v>
      </c>
      <c r="AF2100">
        <v>11.2228660316114</v>
      </c>
      <c r="AG2100">
        <v>-1.1710700000000001</v>
      </c>
      <c r="AH2100">
        <v>98.311046907997195</v>
      </c>
      <c r="AI2100">
        <v>90.678065053045998</v>
      </c>
      <c r="AJ2100">
        <v>83.487494252457694</v>
      </c>
      <c r="AK2100">
        <v>98.956485745275003</v>
      </c>
      <c r="AL2100">
        <v>80.940034402243796</v>
      </c>
      <c r="AM2100">
        <v>87.0498968134725</v>
      </c>
      <c r="AN2100">
        <v>1.00000005749371</v>
      </c>
    </row>
    <row r="2101" spans="1:40" x14ac:dyDescent="0.25">
      <c r="A2101" t="str">
        <f>"20190303170300949"</f>
        <v>20190303170300949</v>
      </c>
      <c r="B2101" t="str">
        <f>"1551603780937367"</f>
        <v>1551603780937367</v>
      </c>
      <c r="C2101" t="s">
        <v>40</v>
      </c>
      <c r="D2101">
        <v>3.9435899999999999</v>
      </c>
      <c r="E2101">
        <v>0.52895209999999904</v>
      </c>
      <c r="F2101" t="s">
        <v>44</v>
      </c>
      <c r="G2101">
        <v>-344.53820000000002</v>
      </c>
      <c r="H2101">
        <v>-0.05</v>
      </c>
      <c r="I2101">
        <v>296.19479999999999</v>
      </c>
      <c r="J2101">
        <v>-252.61959999999999</v>
      </c>
      <c r="K2101">
        <v>1.1210560000000001</v>
      </c>
      <c r="L2101">
        <v>284.10160000000002</v>
      </c>
      <c r="M2101">
        <v>-0.99982090000000001</v>
      </c>
      <c r="N2101">
        <v>-9.0263519999999996E-3</v>
      </c>
      <c r="O2101">
        <v>1.663976E-2</v>
      </c>
      <c r="P2101">
        <v>-0.98660349999999997</v>
      </c>
      <c r="Q2101">
        <v>0.14842130000000001</v>
      </c>
      <c r="R2101">
        <v>6.771336E-2</v>
      </c>
      <c r="S2101">
        <v>-3.0194399999999999</v>
      </c>
      <c r="T2101">
        <v>-3.8366789999999998E-2</v>
      </c>
      <c r="U2101">
        <v>0.39633180000000001</v>
      </c>
      <c r="V2101">
        <v>5.1291370000000003E-2</v>
      </c>
      <c r="W2101">
        <v>0.1573282</v>
      </c>
      <c r="X2101">
        <v>0.98621349999999997</v>
      </c>
      <c r="Y2101">
        <v>0.1136113</v>
      </c>
      <c r="Z2101">
        <v>1.172822E-3</v>
      </c>
      <c r="AA2101">
        <v>0.99352459999999998</v>
      </c>
      <c r="AB2101">
        <v>26</v>
      </c>
      <c r="AC2101">
        <v>-91.918599999999998</v>
      </c>
      <c r="AD2101">
        <v>-1.1710559999999901</v>
      </c>
      <c r="AE2101">
        <v>12.0931999999999</v>
      </c>
      <c r="AF2101">
        <v>10.560275057342601</v>
      </c>
      <c r="AG2101">
        <v>-1.1710559999999901</v>
      </c>
      <c r="AH2101">
        <v>92.092415620770893</v>
      </c>
      <c r="AI2101">
        <v>90.723796707538895</v>
      </c>
      <c r="AJ2101">
        <v>83.458441929131894</v>
      </c>
      <c r="AK2101">
        <v>92.703310600596595</v>
      </c>
      <c r="AL2101">
        <v>80.948150889808403</v>
      </c>
      <c r="AM2101">
        <v>87.022821483679095</v>
      </c>
      <c r="AN2101">
        <v>1.0000000173669801</v>
      </c>
    </row>
    <row r="2102" spans="1:40" x14ac:dyDescent="0.25">
      <c r="A2102" t="str">
        <f>"20190303170300970"</f>
        <v>20190303170300970</v>
      </c>
      <c r="B2102" t="str">
        <f>"1551603780957864"</f>
        <v>1551603780957864</v>
      </c>
      <c r="C2102" t="s">
        <v>40</v>
      </c>
      <c r="D2102">
        <v>3.9610970000000001</v>
      </c>
      <c r="E2102">
        <v>0.52923629999999999</v>
      </c>
      <c r="F2102" t="s">
        <v>44</v>
      </c>
      <c r="G2102">
        <v>-343.67439999999999</v>
      </c>
      <c r="H2102">
        <v>-0.05</v>
      </c>
      <c r="I2102">
        <v>296.16050000000001</v>
      </c>
      <c r="J2102">
        <v>-252.8699</v>
      </c>
      <c r="K2102">
        <v>1.1210500000000001</v>
      </c>
      <c r="L2102">
        <v>284.10579999999999</v>
      </c>
      <c r="M2102">
        <v>-0.99982110000000002</v>
      </c>
      <c r="N2102">
        <v>-8.9818840000000007E-3</v>
      </c>
      <c r="O2102">
        <v>1.6646879999999999E-2</v>
      </c>
      <c r="P2102">
        <v>-0.98646180000000006</v>
      </c>
      <c r="Q2102">
        <v>0.14894679999999999</v>
      </c>
      <c r="R2102">
        <v>6.861399E-2</v>
      </c>
      <c r="S2102">
        <v>-3.0191349999999999</v>
      </c>
      <c r="T2102">
        <v>-3.8829089999999997E-2</v>
      </c>
      <c r="U2102">
        <v>0.39984130000000001</v>
      </c>
      <c r="V2102">
        <v>5.2189359999999997E-2</v>
      </c>
      <c r="W2102">
        <v>0.157808</v>
      </c>
      <c r="X2102">
        <v>0.98608969999999996</v>
      </c>
      <c r="Y2102">
        <v>0.1147519</v>
      </c>
      <c r="Z2102">
        <v>1.1881330000000001E-3</v>
      </c>
      <c r="AA2102">
        <v>0.99339350000000004</v>
      </c>
      <c r="AB2102">
        <v>26</v>
      </c>
      <c r="AC2102">
        <v>-90.804500000000004</v>
      </c>
      <c r="AD2102">
        <v>-1.1710499999999999</v>
      </c>
      <c r="AE2102">
        <v>12.0547</v>
      </c>
      <c r="AF2102">
        <v>10.5396343243813</v>
      </c>
      <c r="AG2102">
        <v>-1.1710499999999999</v>
      </c>
      <c r="AH2102">
        <v>90.977728465193593</v>
      </c>
      <c r="AI2102">
        <v>90.732562009203804</v>
      </c>
      <c r="AJ2102">
        <v>83.391826720414002</v>
      </c>
      <c r="AK2102">
        <v>91.593680603416502</v>
      </c>
      <c r="AL2102">
        <v>80.920312420779396</v>
      </c>
      <c r="AM2102">
        <v>86.970414808346305</v>
      </c>
      <c r="AN2102">
        <v>0.99999999530364903</v>
      </c>
    </row>
    <row r="2103" spans="1:40" x14ac:dyDescent="0.25">
      <c r="A2103" t="str">
        <f>"20190303170300983"</f>
        <v>20190303170300983</v>
      </c>
      <c r="B2103" t="str">
        <f>"1551603780977384"</f>
        <v>1551603780977384</v>
      </c>
      <c r="C2103" t="s">
        <v>40</v>
      </c>
      <c r="D2103">
        <v>3.9845760000000001</v>
      </c>
      <c r="E2103">
        <v>0.52950259999999905</v>
      </c>
      <c r="F2103" t="s">
        <v>44</v>
      </c>
      <c r="G2103">
        <v>-347.36630000000002</v>
      </c>
      <c r="H2103">
        <v>-0.05</v>
      </c>
      <c r="I2103">
        <v>296.77319999999997</v>
      </c>
      <c r="J2103">
        <v>-253.02359999999999</v>
      </c>
      <c r="K2103">
        <v>1.1210450000000001</v>
      </c>
      <c r="L2103">
        <v>284.10840000000002</v>
      </c>
      <c r="M2103">
        <v>-0.99982139999999997</v>
      </c>
      <c r="N2103">
        <v>-8.9579020000000002E-3</v>
      </c>
      <c r="O2103">
        <v>1.6653390000000001E-2</v>
      </c>
      <c r="P2103">
        <v>-0.98638239999999999</v>
      </c>
      <c r="Q2103">
        <v>0.1492571</v>
      </c>
      <c r="R2103">
        <v>6.9082160000000004E-2</v>
      </c>
      <c r="S2103">
        <v>-3.018707</v>
      </c>
      <c r="T2103">
        <v>-3.7409419999999999E-2</v>
      </c>
      <c r="U2103">
        <v>0.4046631</v>
      </c>
      <c r="V2103">
        <v>5.2653070000000003E-2</v>
      </c>
      <c r="W2103">
        <v>0.1580934</v>
      </c>
      <c r="X2103">
        <v>0.98601930000000004</v>
      </c>
      <c r="Y2103">
        <v>0.11632339999999999</v>
      </c>
      <c r="Z2103">
        <v>1.1840819999999999E-3</v>
      </c>
      <c r="AA2103">
        <v>0.9932107</v>
      </c>
      <c r="AB2103">
        <v>26</v>
      </c>
      <c r="AC2103">
        <v>-94.342699999999994</v>
      </c>
      <c r="AD2103">
        <v>-1.1710449999999999</v>
      </c>
      <c r="AE2103">
        <v>12.6647999999999</v>
      </c>
      <c r="AF2103">
        <v>11.090176580270199</v>
      </c>
      <c r="AG2103">
        <v>-1.1710449999999999</v>
      </c>
      <c r="AH2103">
        <v>94.526229775053594</v>
      </c>
      <c r="AI2103">
        <v>90.704941934100503</v>
      </c>
      <c r="AJ2103">
        <v>83.308432329970202</v>
      </c>
      <c r="AK2103">
        <v>95.181781231808301</v>
      </c>
      <c r="AL2103">
        <v>80.903752043145801</v>
      </c>
      <c r="AM2103">
        <v>86.943329509628597</v>
      </c>
      <c r="AN2103">
        <v>0.99999996443823602</v>
      </c>
    </row>
    <row r="2104" spans="1:40" x14ac:dyDescent="0.25">
      <c r="A2104" t="str">
        <f>"20190303170300996"</f>
        <v>20190303170300996</v>
      </c>
      <c r="B2104" t="str">
        <f>"1551603780988120"</f>
        <v>1551603780988120</v>
      </c>
      <c r="C2104" t="s">
        <v>40</v>
      </c>
      <c r="D2104">
        <v>4.0103289999999996</v>
      </c>
      <c r="E2104">
        <v>0.52962189999999998</v>
      </c>
      <c r="F2104" t="s">
        <v>44</v>
      </c>
      <c r="G2104">
        <v>-349.09370000000001</v>
      </c>
      <c r="H2104">
        <v>-0.05</v>
      </c>
      <c r="I2104">
        <v>297.10079999999999</v>
      </c>
      <c r="J2104">
        <v>-253.18459999999999</v>
      </c>
      <c r="K2104">
        <v>1.1210389999999999</v>
      </c>
      <c r="L2104">
        <v>284.11110000000002</v>
      </c>
      <c r="M2104">
        <v>-0.99982130000000002</v>
      </c>
      <c r="N2104">
        <v>-8.9345859999999996E-3</v>
      </c>
      <c r="O2104">
        <v>1.6661019999999999E-2</v>
      </c>
      <c r="P2104">
        <v>-0.98631769999999996</v>
      </c>
      <c r="Q2104">
        <v>0.14944689999999999</v>
      </c>
      <c r="R2104">
        <v>6.9594000000000003E-2</v>
      </c>
      <c r="S2104">
        <v>-3.018402</v>
      </c>
      <c r="T2104">
        <v>-3.6792760000000001E-2</v>
      </c>
      <c r="U2104">
        <v>0.40820309999999999</v>
      </c>
      <c r="V2104">
        <v>5.3158829999999997E-2</v>
      </c>
      <c r="W2104">
        <v>0.1582595</v>
      </c>
      <c r="X2104">
        <v>0.98596550000000005</v>
      </c>
      <c r="Y2104">
        <v>0.1174733</v>
      </c>
      <c r="Z2104">
        <v>1.186044E-3</v>
      </c>
      <c r="AA2104">
        <v>0.99307529999999999</v>
      </c>
      <c r="AB2104">
        <v>26</v>
      </c>
      <c r="AC2104">
        <v>-95.909099999999995</v>
      </c>
      <c r="AD2104">
        <v>-1.1710389999999999</v>
      </c>
      <c r="AE2104">
        <v>12.9896999999999</v>
      </c>
      <c r="AF2104">
        <v>11.3882224615722</v>
      </c>
      <c r="AG2104">
        <v>-1.1710389999999999</v>
      </c>
      <c r="AH2104">
        <v>96.098148241999795</v>
      </c>
      <c r="AI2104">
        <v>90.6933131486972</v>
      </c>
      <c r="AJ2104">
        <v>83.241617197448704</v>
      </c>
      <c r="AK2104">
        <v>96.777668078514594</v>
      </c>
      <c r="AL2104">
        <v>80.8941137346349</v>
      </c>
      <c r="AM2104">
        <v>86.9138570245225</v>
      </c>
      <c r="AN2104">
        <v>0.999999948868733</v>
      </c>
    </row>
    <row r="2105" spans="1:40" x14ac:dyDescent="0.25">
      <c r="A2105" t="str">
        <f>"20190303170301017"</f>
        <v>20190303170301017</v>
      </c>
      <c r="B2105" t="str">
        <f>"1551603781007640"</f>
        <v>1551603781007640</v>
      </c>
      <c r="C2105" t="s">
        <v>40</v>
      </c>
      <c r="D2105">
        <v>3.955279</v>
      </c>
      <c r="E2105">
        <v>0.52985380000000004</v>
      </c>
      <c r="F2105" t="s">
        <v>44</v>
      </c>
      <c r="G2105">
        <v>-350.79750000000001</v>
      </c>
      <c r="H2105">
        <v>-0.05</v>
      </c>
      <c r="I2105">
        <v>297.39429999999999</v>
      </c>
      <c r="J2105">
        <v>-253.41829999999999</v>
      </c>
      <c r="K2105">
        <v>1.1210290000000001</v>
      </c>
      <c r="L2105">
        <v>284.11489999999998</v>
      </c>
      <c r="M2105">
        <v>-0.99982139999999997</v>
      </c>
      <c r="N2105">
        <v>-8.9050120000000003E-3</v>
      </c>
      <c r="O2105">
        <v>1.6672349999999999E-2</v>
      </c>
      <c r="P2105">
        <v>-0.98632640000000005</v>
      </c>
      <c r="Q2105">
        <v>0.1491043</v>
      </c>
      <c r="R2105">
        <v>7.0200310000000002E-2</v>
      </c>
      <c r="S2105">
        <v>-3.018097</v>
      </c>
      <c r="T2105">
        <v>-3.620744E-2</v>
      </c>
      <c r="U2105">
        <v>0.4107056</v>
      </c>
      <c r="V2105">
        <v>5.3753530000000001E-2</v>
      </c>
      <c r="W2105">
        <v>0.1578881</v>
      </c>
      <c r="X2105">
        <v>0.9859928</v>
      </c>
      <c r="Y2105">
        <v>0.1182841</v>
      </c>
      <c r="Z2105">
        <v>1.184163E-3</v>
      </c>
      <c r="AA2105">
        <v>0.9929791</v>
      </c>
      <c r="AB2105">
        <v>26</v>
      </c>
      <c r="AC2105">
        <v>-97.379199999999997</v>
      </c>
      <c r="AD2105">
        <v>-1.1710290000000001</v>
      </c>
      <c r="AE2105">
        <v>13.279400000000001</v>
      </c>
      <c r="AF2105">
        <v>11.652295411931499</v>
      </c>
      <c r="AG2105">
        <v>-1.1710290000000001</v>
      </c>
      <c r="AH2105">
        <v>97.573218839724404</v>
      </c>
      <c r="AI2105">
        <v>90.682753834382396</v>
      </c>
      <c r="AJ2105">
        <v>83.189929810566099</v>
      </c>
      <c r="AK2105">
        <v>98.273497607597704</v>
      </c>
      <c r="AL2105">
        <v>80.915664328599206</v>
      </c>
      <c r="AM2105">
        <v>86.879485729322994</v>
      </c>
      <c r="AN2105">
        <v>0.99999994788045399</v>
      </c>
    </row>
    <row r="2106" spans="1:40" x14ac:dyDescent="0.25">
      <c r="A2106" t="str">
        <f>"20190303170301030"</f>
        <v>20190303170301030</v>
      </c>
      <c r="B2106" t="str">
        <f>"1551603781017400"</f>
        <v>1551603781017400</v>
      </c>
      <c r="C2106" t="s">
        <v>40</v>
      </c>
      <c r="D2106">
        <v>3.9506399999999999</v>
      </c>
      <c r="E2106">
        <v>0.52996180000000004</v>
      </c>
      <c r="F2106" t="s">
        <v>44</v>
      </c>
      <c r="G2106">
        <v>-349.26710000000003</v>
      </c>
      <c r="H2106">
        <v>-0.05</v>
      </c>
      <c r="I2106">
        <v>297.2869</v>
      </c>
      <c r="J2106">
        <v>-253.57689999999999</v>
      </c>
      <c r="K2106">
        <v>1.121024</v>
      </c>
      <c r="L2106">
        <v>284.11759999999998</v>
      </c>
      <c r="M2106">
        <v>-0.99982150000000003</v>
      </c>
      <c r="N2106">
        <v>-8.8875959999999993E-3</v>
      </c>
      <c r="O2106">
        <v>1.6678749999999999E-2</v>
      </c>
      <c r="P2106">
        <v>-0.98639739999999998</v>
      </c>
      <c r="Q2106">
        <v>0.1485908</v>
      </c>
      <c r="R2106">
        <v>7.0295410000000003E-2</v>
      </c>
      <c r="S2106">
        <v>-3.0176850000000002</v>
      </c>
      <c r="T2106">
        <v>-3.6868449999999997E-2</v>
      </c>
      <c r="U2106">
        <v>0.4147034</v>
      </c>
      <c r="V2106">
        <v>5.3841390000000003E-2</v>
      </c>
      <c r="W2106">
        <v>0.15735829999999901</v>
      </c>
      <c r="X2106">
        <v>0.98607270000000002</v>
      </c>
      <c r="Y2106">
        <v>0.1195866</v>
      </c>
      <c r="Z2106">
        <v>1.2058710000000001E-3</v>
      </c>
      <c r="AA2106">
        <v>0.99282309999999996</v>
      </c>
      <c r="AB2106">
        <v>26</v>
      </c>
      <c r="AC2106">
        <v>-95.690200000000004</v>
      </c>
      <c r="AD2106">
        <v>-1.1710240000000001</v>
      </c>
      <c r="AE2106">
        <v>13.1693</v>
      </c>
      <c r="AF2106">
        <v>11.5697117310502</v>
      </c>
      <c r="AG2106">
        <v>-1.1710240000000001</v>
      </c>
      <c r="AH2106">
        <v>95.882452091611199</v>
      </c>
      <c r="AI2106">
        <v>90.694686896997297</v>
      </c>
      <c r="AJ2106">
        <v>83.119635952934303</v>
      </c>
      <c r="AK2106">
        <v>96.585061711676204</v>
      </c>
      <c r="AL2106">
        <v>80.946403917091402</v>
      </c>
      <c r="AM2106">
        <v>86.874648122986699</v>
      </c>
      <c r="AN2106">
        <v>0.99999994977065398</v>
      </c>
    </row>
    <row r="2107" spans="1:40" x14ac:dyDescent="0.25">
      <c r="A2107" t="str">
        <f>"20190303170301048"</f>
        <v>20190303170301048</v>
      </c>
      <c r="B2107" t="str">
        <f>"1551603781037896"</f>
        <v>1551603781037896</v>
      </c>
      <c r="C2107" t="s">
        <v>40</v>
      </c>
      <c r="D2107">
        <v>3.9256980000000001</v>
      </c>
      <c r="E2107">
        <v>0.5301517</v>
      </c>
      <c r="F2107" t="s">
        <v>44</v>
      </c>
      <c r="G2107">
        <v>-345.7756</v>
      </c>
      <c r="H2107">
        <v>-0.05</v>
      </c>
      <c r="I2107">
        <v>296.82600000000002</v>
      </c>
      <c r="J2107">
        <v>-253.79509999999999</v>
      </c>
      <c r="K2107">
        <v>1.121016</v>
      </c>
      <c r="L2107">
        <v>284.12130000000002</v>
      </c>
      <c r="M2107">
        <v>-0.99982150000000003</v>
      </c>
      <c r="N2107">
        <v>-8.8662110000000006E-3</v>
      </c>
      <c r="O2107">
        <v>1.6686900000000001E-2</v>
      </c>
      <c r="P2107">
        <v>-0.98642609999999997</v>
      </c>
      <c r="Q2107">
        <v>0.14856449999999999</v>
      </c>
      <c r="R2107">
        <v>6.9943249999999998E-2</v>
      </c>
      <c r="S2107">
        <v>-3.0175019999999999</v>
      </c>
      <c r="T2107">
        <v>-3.832555E-2</v>
      </c>
      <c r="U2107">
        <v>0.41592410000000002</v>
      </c>
      <c r="V2107">
        <v>5.3480760000000002E-2</v>
      </c>
      <c r="W2107">
        <v>0.1573108</v>
      </c>
      <c r="X2107">
        <v>0.98609999999999998</v>
      </c>
      <c r="Y2107">
        <v>0.1199798</v>
      </c>
      <c r="Z2107">
        <v>1.229188E-3</v>
      </c>
      <c r="AA2107">
        <v>0.99277559999999998</v>
      </c>
      <c r="AB2107">
        <v>26</v>
      </c>
      <c r="AC2107">
        <v>-91.980500000000006</v>
      </c>
      <c r="AD2107">
        <v>-1.1710160000000001</v>
      </c>
      <c r="AE2107">
        <v>12.7046999999999</v>
      </c>
      <c r="AF2107">
        <v>11.166225285567601</v>
      </c>
      <c r="AG2107">
        <v>-1.1710160000000001</v>
      </c>
      <c r="AH2107">
        <v>92.165043766189299</v>
      </c>
      <c r="AI2107">
        <v>90.722656608264501</v>
      </c>
      <c r="AJ2107">
        <v>83.092017061145299</v>
      </c>
      <c r="AK2107">
        <v>92.846384733191996</v>
      </c>
      <c r="AL2107">
        <v>80.949160656968999</v>
      </c>
      <c r="AM2107">
        <v>86.895626444719198</v>
      </c>
      <c r="AN2107">
        <v>1.0000000447434001</v>
      </c>
    </row>
    <row r="2108" spans="1:40" x14ac:dyDescent="0.25">
      <c r="A2108" t="str">
        <f>"20190303170301063"</f>
        <v>20190303170301063</v>
      </c>
      <c r="B2108" t="str">
        <f>"1551603781048633"</f>
        <v>1551603781048633</v>
      </c>
      <c r="C2108" t="s">
        <v>40</v>
      </c>
      <c r="D2108">
        <v>4.0832139999999999</v>
      </c>
      <c r="E2108">
        <v>0.5301517</v>
      </c>
      <c r="F2108" t="s">
        <v>44</v>
      </c>
      <c r="G2108">
        <v>-346.54410000000001</v>
      </c>
      <c r="H2108">
        <v>-0.05</v>
      </c>
      <c r="I2108">
        <v>296.9083</v>
      </c>
      <c r="J2108">
        <v>-253.95869999999999</v>
      </c>
      <c r="K2108">
        <v>1.12101299999999</v>
      </c>
      <c r="L2108">
        <v>284.12400000000002</v>
      </c>
      <c r="M2108">
        <v>-0.99982159999999998</v>
      </c>
      <c r="N2108">
        <v>-8.8520360000000006E-3</v>
      </c>
      <c r="O2108">
        <v>1.669317E-2</v>
      </c>
      <c r="P2108">
        <v>-0.98645340000000004</v>
      </c>
      <c r="Q2108">
        <v>0.1485726</v>
      </c>
      <c r="R2108">
        <v>6.9543439999999998E-2</v>
      </c>
      <c r="S2108">
        <v>-3.0175169999999998</v>
      </c>
      <c r="T2108">
        <v>-3.8098100000000003E-2</v>
      </c>
      <c r="U2108">
        <v>0.41601559999999999</v>
      </c>
      <c r="V2108">
        <v>5.3074719999999999E-2</v>
      </c>
      <c r="W2108">
        <v>0.1573051</v>
      </c>
      <c r="X2108">
        <v>0.98612279999999997</v>
      </c>
      <c r="Y2108">
        <v>0.1200026</v>
      </c>
      <c r="Z2108">
        <v>1.225067E-3</v>
      </c>
      <c r="AA2108">
        <v>0.99277280000000001</v>
      </c>
      <c r="AB2108">
        <v>26</v>
      </c>
      <c r="AC2108">
        <v>-92.585400000000007</v>
      </c>
      <c r="AD2108">
        <v>-1.1710130000000001</v>
      </c>
      <c r="AE2108">
        <v>12.784299999999901</v>
      </c>
      <c r="AF2108">
        <v>11.2351506444772</v>
      </c>
      <c r="AG2108">
        <v>-1.1710130000000001</v>
      </c>
      <c r="AH2108">
        <v>92.771353942866</v>
      </c>
      <c r="AI2108">
        <v>90.717936505958093</v>
      </c>
      <c r="AJ2108">
        <v>83.094775528662893</v>
      </c>
      <c r="AK2108">
        <v>93.456535319060393</v>
      </c>
      <c r="AL2108">
        <v>80.949490938558498</v>
      </c>
      <c r="AM2108">
        <v>86.919221182514704</v>
      </c>
      <c r="AN2108">
        <v>0.99999999853446397</v>
      </c>
    </row>
    <row r="2109" spans="1:40" x14ac:dyDescent="0.25">
      <c r="A2109" t="str">
        <f>"20190303170301075"</f>
        <v>20190303170301075</v>
      </c>
      <c r="B2109" t="str">
        <f>"1551603781067176"</f>
        <v>1551603781067176</v>
      </c>
      <c r="C2109" t="s">
        <v>40</v>
      </c>
      <c r="D2109">
        <v>3.9501689999999998</v>
      </c>
      <c r="E2109">
        <v>0.53829950000000004</v>
      </c>
      <c r="F2109" t="s">
        <v>44</v>
      </c>
      <c r="G2109">
        <v>-346.63420000000002</v>
      </c>
      <c r="H2109">
        <v>-0.05</v>
      </c>
      <c r="I2109">
        <v>296.86540000000002</v>
      </c>
      <c r="J2109">
        <v>-254.11760000000001</v>
      </c>
      <c r="K2109">
        <v>1.1210059999999999</v>
      </c>
      <c r="L2109">
        <v>284.1266</v>
      </c>
      <c r="M2109">
        <v>-0.99982150000000003</v>
      </c>
      <c r="N2109">
        <v>-8.8393619999999999E-3</v>
      </c>
      <c r="O2109">
        <v>1.6699740000000001E-2</v>
      </c>
      <c r="P2109">
        <v>-0.98645419999999995</v>
      </c>
      <c r="Q2109">
        <v>0.14863219999999999</v>
      </c>
      <c r="R2109">
        <v>6.9402389999999994E-2</v>
      </c>
      <c r="S2109">
        <v>-3.0177</v>
      </c>
      <c r="T2109">
        <v>-3.8130520000000001E-2</v>
      </c>
      <c r="U2109">
        <v>0.41488649999999999</v>
      </c>
      <c r="V2109">
        <v>5.292765E-2</v>
      </c>
      <c r="W2109">
        <v>0.15735170000000001</v>
      </c>
      <c r="X2109">
        <v>0.98612330000000004</v>
      </c>
      <c r="Y2109">
        <v>0.1196234</v>
      </c>
      <c r="Z2109">
        <v>1.2204339999999901E-3</v>
      </c>
      <c r="AA2109">
        <v>0.9928186</v>
      </c>
      <c r="AB2109">
        <v>26</v>
      </c>
      <c r="AC2109">
        <v>-92.516599999999997</v>
      </c>
      <c r="AD2109">
        <v>-1.171006</v>
      </c>
      <c r="AE2109">
        <v>12.738799999999999</v>
      </c>
      <c r="AF2109">
        <v>11.190200557797001</v>
      </c>
      <c r="AG2109">
        <v>-1.171006</v>
      </c>
      <c r="AH2109">
        <v>92.701865402073693</v>
      </c>
      <c r="AI2109">
        <v>90.718504054300695</v>
      </c>
      <c r="AJ2109">
        <v>83.117030948418503</v>
      </c>
      <c r="AK2109">
        <v>93.382159391395305</v>
      </c>
      <c r="AL2109">
        <v>80.946787555810403</v>
      </c>
      <c r="AM2109">
        <v>86.927743195796893</v>
      </c>
      <c r="AN2109">
        <v>1.00000002821515</v>
      </c>
    </row>
    <row r="2110" spans="1:40" x14ac:dyDescent="0.25">
      <c r="A2110" t="str">
        <f>"20190303170301094"</f>
        <v>20190303170301094</v>
      </c>
      <c r="B2110" t="str">
        <f>"1551603781087672"</f>
        <v>1551603781087672</v>
      </c>
      <c r="C2110" t="s">
        <v>40</v>
      </c>
      <c r="D2110">
        <v>3.9394170000000002</v>
      </c>
      <c r="E2110">
        <v>0.53759279999999998</v>
      </c>
      <c r="F2110" t="s">
        <v>44</v>
      </c>
      <c r="G2110">
        <v>-361.49950000000001</v>
      </c>
      <c r="H2110">
        <v>-0.05</v>
      </c>
      <c r="I2110">
        <v>301.22660000000002</v>
      </c>
      <c r="J2110">
        <v>-254.34020000000001</v>
      </c>
      <c r="K2110">
        <v>1.1209990000000001</v>
      </c>
      <c r="L2110">
        <v>284.13040000000001</v>
      </c>
      <c r="M2110">
        <v>-0.99982150000000003</v>
      </c>
      <c r="N2110">
        <v>-8.8241829999999993E-3</v>
      </c>
      <c r="O2110">
        <v>1.6710679999999999E-2</v>
      </c>
      <c r="P2110">
        <v>-0.98652640000000003</v>
      </c>
      <c r="Q2110">
        <v>0.148626799999999</v>
      </c>
      <c r="R2110">
        <v>6.8380200000000002E-2</v>
      </c>
      <c r="S2110">
        <v>-3.0123899999999999</v>
      </c>
      <c r="T2110">
        <v>-3.2850270000000001E-2</v>
      </c>
      <c r="U2110">
        <v>0.47970580000000002</v>
      </c>
      <c r="V2110">
        <v>5.189477E-2</v>
      </c>
      <c r="W2110">
        <v>0.157332</v>
      </c>
      <c r="X2110">
        <v>0.98618130000000004</v>
      </c>
      <c r="Y2110">
        <v>0.1407225</v>
      </c>
      <c r="Z2110">
        <v>1.3528520000000001E-3</v>
      </c>
      <c r="AA2110">
        <v>0.99004820000000004</v>
      </c>
      <c r="AB2110">
        <v>27</v>
      </c>
      <c r="AC2110">
        <v>-107.1593</v>
      </c>
      <c r="AD2110">
        <v>-1.1709989999999999</v>
      </c>
      <c r="AE2110">
        <v>17.0962</v>
      </c>
      <c r="AF2110">
        <v>15.3012564313316</v>
      </c>
      <c r="AG2110">
        <v>-1.1709989999999999</v>
      </c>
      <c r="AH2110">
        <v>107.41752736030701</v>
      </c>
      <c r="AI2110">
        <v>90.618336826086903</v>
      </c>
      <c r="AJ2110">
        <v>81.892953572643506</v>
      </c>
      <c r="AK2110">
        <v>108.50817882186401</v>
      </c>
      <c r="AL2110">
        <v>80.947930178756494</v>
      </c>
      <c r="AM2110">
        <v>86.987763426758093</v>
      </c>
      <c r="AN2110">
        <v>0.99999999092352099</v>
      </c>
    </row>
    <row r="2111" spans="1:40" x14ac:dyDescent="0.25">
      <c r="A2111" t="str">
        <f>"20190303170301106"</f>
        <v>20190303170301106</v>
      </c>
      <c r="B2111" t="str">
        <f>"1551603781097432"</f>
        <v>1551603781097432</v>
      </c>
      <c r="C2111" t="s">
        <v>40</v>
      </c>
      <c r="D2111">
        <v>3.9440550000000001</v>
      </c>
      <c r="E2111">
        <v>0.53748969999999996</v>
      </c>
      <c r="F2111" t="s">
        <v>44</v>
      </c>
      <c r="G2111">
        <v>-354.28399999999999</v>
      </c>
      <c r="H2111">
        <v>-0.05</v>
      </c>
      <c r="I2111">
        <v>299.72719999999998</v>
      </c>
      <c r="J2111">
        <v>-254.48249999999999</v>
      </c>
      <c r="K2111">
        <v>1.120992</v>
      </c>
      <c r="L2111">
        <v>284.13279999999997</v>
      </c>
      <c r="M2111">
        <v>-0.99982139999999997</v>
      </c>
      <c r="N2111">
        <v>-8.8159940000000006E-3</v>
      </c>
      <c r="O2111">
        <v>1.6720099999999901E-2</v>
      </c>
      <c r="P2111">
        <v>-0.98659410000000003</v>
      </c>
      <c r="Q2111">
        <v>0.14837929999999999</v>
      </c>
      <c r="R2111">
        <v>6.7939849999999996E-2</v>
      </c>
      <c r="S2111">
        <v>-3.0137019999999999</v>
      </c>
      <c r="T2111">
        <v>-3.5310269999999998E-2</v>
      </c>
      <c r="U2111">
        <v>0.47030640000000001</v>
      </c>
      <c r="V2111">
        <v>5.144485E-2</v>
      </c>
      <c r="W2111">
        <v>0.1570763</v>
      </c>
      <c r="X2111">
        <v>0.98624559999999994</v>
      </c>
      <c r="Y2111">
        <v>0.13763120000000001</v>
      </c>
      <c r="Z2111">
        <v>1.363707E-3</v>
      </c>
      <c r="AA2111">
        <v>0.99048259999999999</v>
      </c>
      <c r="AB2111">
        <v>27</v>
      </c>
      <c r="AC2111">
        <v>-99.801500000000004</v>
      </c>
      <c r="AD2111">
        <v>-1.170992</v>
      </c>
      <c r="AE2111">
        <v>15.5944</v>
      </c>
      <c r="AF2111">
        <v>13.9215931823968</v>
      </c>
      <c r="AG2111">
        <v>-1.170992</v>
      </c>
      <c r="AH2111">
        <v>100.034854251258</v>
      </c>
      <c r="AI2111">
        <v>90.664263441426996</v>
      </c>
      <c r="AJ2111">
        <v>82.077180912389693</v>
      </c>
      <c r="AK2111">
        <v>101.00571292788599</v>
      </c>
      <c r="AL2111">
        <v>80.962764884906903</v>
      </c>
      <c r="AM2111">
        <v>87.014025936614004</v>
      </c>
      <c r="AN2111">
        <v>0.999999960066285</v>
      </c>
    </row>
    <row r="2112" spans="1:40" x14ac:dyDescent="0.25">
      <c r="A2112" t="str">
        <f>"20190303170301119"</f>
        <v>20190303170301119</v>
      </c>
      <c r="B2112" t="str">
        <f>"1551603781107192"</f>
        <v>1551603781107192</v>
      </c>
      <c r="C2112" t="s">
        <v>40</v>
      </c>
      <c r="D2112">
        <v>4.1015769999999998</v>
      </c>
      <c r="E2112">
        <v>0.53748969999999996</v>
      </c>
      <c r="F2112" t="s">
        <v>44</v>
      </c>
      <c r="G2112">
        <v>-348.2842</v>
      </c>
      <c r="H2112">
        <v>-0.05</v>
      </c>
      <c r="I2112">
        <v>298.70499999999998</v>
      </c>
      <c r="J2112">
        <v>-254.63980000000001</v>
      </c>
      <c r="K2112">
        <v>1.120984</v>
      </c>
      <c r="L2112">
        <v>284.1354</v>
      </c>
      <c r="M2112">
        <v>-0.99982139999999997</v>
      </c>
      <c r="N2112">
        <v>-8.8075319999999999E-3</v>
      </c>
      <c r="O2112">
        <v>1.6731070000000001E-2</v>
      </c>
      <c r="P2112">
        <v>-0.98662700000000003</v>
      </c>
      <c r="Q2112">
        <v>0.14834140000000001</v>
      </c>
      <c r="R2112">
        <v>6.7543859999999997E-2</v>
      </c>
      <c r="S2112">
        <v>-3.0142060000000002</v>
      </c>
      <c r="T2112">
        <v>-3.7628410000000001E-2</v>
      </c>
      <c r="U2112">
        <v>0.4682617</v>
      </c>
      <c r="V2112">
        <v>5.1038460000000001E-2</v>
      </c>
      <c r="W2112">
        <v>0.15703010000000001</v>
      </c>
      <c r="X2112">
        <v>0.98627410000000004</v>
      </c>
      <c r="Y2112">
        <v>0.13693749999999999</v>
      </c>
      <c r="Z2112">
        <v>1.395299E-3</v>
      </c>
      <c r="AA2112">
        <v>0.99057870000000003</v>
      </c>
      <c r="AB2112">
        <v>27</v>
      </c>
      <c r="AC2112">
        <v>-93.644400000000005</v>
      </c>
      <c r="AD2112">
        <v>-1.170984</v>
      </c>
      <c r="AE2112">
        <v>14.5695999999999</v>
      </c>
      <c r="AF2112">
        <v>12.998744446923601</v>
      </c>
      <c r="AG2112">
        <v>-1.170984</v>
      </c>
      <c r="AH2112">
        <v>93.860735982411398</v>
      </c>
      <c r="AI2112">
        <v>90.708014601613797</v>
      </c>
      <c r="AJ2112">
        <v>82.115277936093506</v>
      </c>
      <c r="AK2112">
        <v>94.763792240943005</v>
      </c>
      <c r="AL2112">
        <v>80.965445471709202</v>
      </c>
      <c r="AM2112">
        <v>87.037656989406301</v>
      </c>
      <c r="AN2112">
        <v>0.99999998851799499</v>
      </c>
    </row>
    <row r="2113" spans="1:40" x14ac:dyDescent="0.25">
      <c r="A2113" t="str">
        <f>"20190303170301139"</f>
        <v>20190303170301139</v>
      </c>
      <c r="B2113" t="str">
        <f>"1551603781127687"</f>
        <v>1551603781127687</v>
      </c>
      <c r="C2113" t="s">
        <v>40</v>
      </c>
      <c r="D2113">
        <v>3.9171339999999999</v>
      </c>
      <c r="E2113">
        <v>0.53752500000000003</v>
      </c>
      <c r="F2113" t="s">
        <v>44</v>
      </c>
      <c r="G2113">
        <v>-348.42540000000002</v>
      </c>
      <c r="H2113">
        <v>-0.05</v>
      </c>
      <c r="I2113">
        <v>298.6721</v>
      </c>
      <c r="J2113">
        <v>-254.8672</v>
      </c>
      <c r="K2113">
        <v>1.120978</v>
      </c>
      <c r="L2113">
        <v>284.13920000000002</v>
      </c>
      <c r="M2113">
        <v>-0.99982110000000002</v>
      </c>
      <c r="N2113">
        <v>-8.7978880000000002E-3</v>
      </c>
      <c r="O2113">
        <v>1.6749690000000001E-2</v>
      </c>
      <c r="P2113">
        <v>-0.98673270000000002</v>
      </c>
      <c r="Q2113">
        <v>0.1478901</v>
      </c>
      <c r="R2113">
        <v>6.6989119999999999E-2</v>
      </c>
      <c r="S2113">
        <v>-3.0143589999999998</v>
      </c>
      <c r="T2113">
        <v>-3.763652E-2</v>
      </c>
      <c r="U2113">
        <v>0.46722409999999998</v>
      </c>
      <c r="V2113">
        <v>5.0464950000000001E-2</v>
      </c>
      <c r="W2113">
        <v>0.1565695</v>
      </c>
      <c r="X2113">
        <v>0.98637680000000005</v>
      </c>
      <c r="Y2113">
        <v>0.13657859999999999</v>
      </c>
      <c r="Z2113">
        <v>1.390701E-3</v>
      </c>
      <c r="AA2113">
        <v>0.99062819999999996</v>
      </c>
      <c r="AB2113">
        <v>27</v>
      </c>
      <c r="AC2113">
        <v>-93.558199999999999</v>
      </c>
      <c r="AD2113">
        <v>-1.1709780000000001</v>
      </c>
      <c r="AE2113">
        <v>14.5328999999999</v>
      </c>
      <c r="AF2113">
        <v>12.9617470955643</v>
      </c>
      <c r="AG2113">
        <v>-1.1709780000000001</v>
      </c>
      <c r="AH2113">
        <v>93.774161323962204</v>
      </c>
      <c r="AI2113">
        <v>90.708690215238803</v>
      </c>
      <c r="AJ2113">
        <v>82.130270554279903</v>
      </c>
      <c r="AK2113">
        <v>94.6729708483808</v>
      </c>
      <c r="AL2113">
        <v>80.992166136244407</v>
      </c>
      <c r="AM2113">
        <v>87.071190452620499</v>
      </c>
      <c r="AN2113">
        <v>0.99999995554349497</v>
      </c>
    </row>
    <row r="2114" spans="1:40" x14ac:dyDescent="0.25">
      <c r="A2114" t="str">
        <f>"20190303170301160"</f>
        <v>20190303170301160</v>
      </c>
      <c r="B2114" t="str">
        <f>"1551603781147208"</f>
        <v>1551603781147208</v>
      </c>
      <c r="C2114" t="s">
        <v>40</v>
      </c>
      <c r="D2114">
        <v>4.0513219999999999</v>
      </c>
      <c r="E2114">
        <v>0.53807759999999905</v>
      </c>
      <c r="F2114" t="s">
        <v>44</v>
      </c>
      <c r="G2114">
        <v>-347.67129999999997</v>
      </c>
      <c r="H2114">
        <v>-0.05</v>
      </c>
      <c r="I2114">
        <v>298.49459999999999</v>
      </c>
      <c r="J2114">
        <v>-255.12989999999999</v>
      </c>
      <c r="K2114">
        <v>1.1209720000000001</v>
      </c>
      <c r="L2114">
        <v>284.14370000000002</v>
      </c>
      <c r="M2114">
        <v>-0.99982059999999995</v>
      </c>
      <c r="N2114">
        <v>-8.7953609999999998E-3</v>
      </c>
      <c r="O2114">
        <v>1.6774819999999999E-2</v>
      </c>
      <c r="P2114">
        <v>-0.98681229999999998</v>
      </c>
      <c r="Q2114">
        <v>0.1475823</v>
      </c>
      <c r="R2114">
        <v>6.6490859999999999E-2</v>
      </c>
      <c r="S2114">
        <v>-3.0143740000000001</v>
      </c>
      <c r="T2114">
        <v>-3.8034560000000002E-2</v>
      </c>
      <c r="U2114">
        <v>0.46627809999999997</v>
      </c>
      <c r="V2114">
        <v>4.9941489999999998E-2</v>
      </c>
      <c r="W2114">
        <v>0.1562596</v>
      </c>
      <c r="X2114">
        <v>0.98645260000000001</v>
      </c>
      <c r="Y2114">
        <v>0.13624900000000001</v>
      </c>
      <c r="Z2114">
        <v>1.3936319999999999E-3</v>
      </c>
      <c r="AA2114">
        <v>0.99067369999999999</v>
      </c>
      <c r="AB2114">
        <v>27</v>
      </c>
      <c r="AC2114">
        <v>-92.541399999999896</v>
      </c>
      <c r="AD2114">
        <v>-1.1709719999999999</v>
      </c>
      <c r="AE2114">
        <v>14.3508999999999</v>
      </c>
      <c r="AF2114">
        <v>12.794454757481899</v>
      </c>
      <c r="AG2114">
        <v>-1.1709719999999999</v>
      </c>
      <c r="AH2114">
        <v>92.754618561011199</v>
      </c>
      <c r="AI2114">
        <v>90.716503132864801</v>
      </c>
      <c r="AJ2114">
        <v>82.146253723865399</v>
      </c>
      <c r="AK2114">
        <v>93.640207776172304</v>
      </c>
      <c r="AL2114">
        <v>81.010143535154199</v>
      </c>
      <c r="AM2114">
        <v>87.101740511133102</v>
      </c>
      <c r="AN2114">
        <v>0.99999997353116898</v>
      </c>
    </row>
    <row r="2115" spans="1:40" x14ac:dyDescent="0.25">
      <c r="A2115" t="str">
        <f>"20190303170301173"</f>
        <v>20190303170301173</v>
      </c>
      <c r="B2115" t="str">
        <f>"1551603781167704"</f>
        <v>1551603781167704</v>
      </c>
      <c r="C2115" t="s">
        <v>40</v>
      </c>
      <c r="D2115">
        <v>4.0876599999999996</v>
      </c>
      <c r="E2115">
        <v>0.53832789999999997</v>
      </c>
      <c r="F2115" t="s">
        <v>44</v>
      </c>
      <c r="G2115">
        <v>-348.26089999999999</v>
      </c>
      <c r="H2115">
        <v>-0.05</v>
      </c>
      <c r="I2115">
        <v>298.64890000000003</v>
      </c>
      <c r="J2115">
        <v>-255.2876</v>
      </c>
      <c r="K2115">
        <v>1.12097</v>
      </c>
      <c r="L2115">
        <v>284.1463</v>
      </c>
      <c r="M2115">
        <v>-0.99982020000000005</v>
      </c>
      <c r="N2115">
        <v>-8.7987610000000004E-3</v>
      </c>
      <c r="O2115">
        <v>1.6791690000000001E-2</v>
      </c>
      <c r="P2115">
        <v>-0.98681779999999997</v>
      </c>
      <c r="Q2115">
        <v>0.14769570000000001</v>
      </c>
      <c r="R2115">
        <v>6.6155420000000006E-2</v>
      </c>
      <c r="S2115">
        <v>-3.0141300000000002</v>
      </c>
      <c r="T2115">
        <v>-3.789783E-2</v>
      </c>
      <c r="U2115">
        <v>0.46945189999999998</v>
      </c>
      <c r="V2115">
        <v>4.9589830000000001E-2</v>
      </c>
      <c r="W2115">
        <v>0.1563764</v>
      </c>
      <c r="X2115">
        <v>0.98645190000000005</v>
      </c>
      <c r="Y2115">
        <v>0.13726289999999999</v>
      </c>
      <c r="Z2115">
        <v>1.4024040000000001E-3</v>
      </c>
      <c r="AA2115">
        <v>0.99053360000000001</v>
      </c>
      <c r="AB2115">
        <v>27</v>
      </c>
      <c r="AC2115">
        <v>-92.973299999999995</v>
      </c>
      <c r="AD2115">
        <v>-1.1709700000000001</v>
      </c>
      <c r="AE2115">
        <v>14.502599999999999</v>
      </c>
      <c r="AF2115">
        <v>12.9373122503291</v>
      </c>
      <c r="AG2115">
        <v>-1.1709700000000001</v>
      </c>
      <c r="AH2115">
        <v>93.189292125144405</v>
      </c>
      <c r="AI2115">
        <v>90.713074064299306</v>
      </c>
      <c r="AJ2115">
        <v>82.096242362842204</v>
      </c>
      <c r="AK2115">
        <v>94.0903256758574</v>
      </c>
      <c r="AL2115">
        <v>81.003368702225501</v>
      </c>
      <c r="AM2115">
        <v>87.122111963455595</v>
      </c>
      <c r="AN2115">
        <v>1.00000004036499</v>
      </c>
    </row>
    <row r="2116" spans="1:40" x14ac:dyDescent="0.25">
      <c r="A2116" t="str">
        <f>"20190303170301186"</f>
        <v>20190303170301186</v>
      </c>
      <c r="B2116" t="str">
        <f>"1551603781177464"</f>
        <v>1551603781177464</v>
      </c>
      <c r="C2116" t="s">
        <v>40</v>
      </c>
      <c r="D2116">
        <v>3.932585</v>
      </c>
      <c r="E2116">
        <v>0.53826409999999902</v>
      </c>
      <c r="F2116" t="s">
        <v>44</v>
      </c>
      <c r="G2116">
        <v>-350.29790000000003</v>
      </c>
      <c r="H2116">
        <v>-0.05</v>
      </c>
      <c r="I2116">
        <v>298.9742</v>
      </c>
      <c r="J2116">
        <v>-255.4323</v>
      </c>
      <c r="K2116">
        <v>1.12097</v>
      </c>
      <c r="L2116">
        <v>284.14879999999999</v>
      </c>
      <c r="M2116">
        <v>-0.99982009999999999</v>
      </c>
      <c r="N2116">
        <v>-8.8051429999999997E-3</v>
      </c>
      <c r="O2116">
        <v>1.6808529999999999E-2</v>
      </c>
      <c r="P2116">
        <v>-0.98683469999999995</v>
      </c>
      <c r="Q2116">
        <v>0.14761560000000001</v>
      </c>
      <c r="R2116">
        <v>6.6085630000000006E-2</v>
      </c>
      <c r="S2116">
        <v>-3.0140989999999999</v>
      </c>
      <c r="T2116">
        <v>-3.7147760000000002E-2</v>
      </c>
      <c r="U2116">
        <v>0.47039789999999998</v>
      </c>
      <c r="V2116">
        <v>4.9503409999999998E-2</v>
      </c>
      <c r="W2116">
        <v>0.156303</v>
      </c>
      <c r="X2116">
        <v>0.98646780000000001</v>
      </c>
      <c r="Y2116">
        <v>0.137551799999999</v>
      </c>
      <c r="Z2116">
        <v>1.3931200000000001E-3</v>
      </c>
      <c r="AA2116">
        <v>0.99049359999999997</v>
      </c>
      <c r="AB2116">
        <v>27</v>
      </c>
      <c r="AC2116">
        <v>-94.865600000000001</v>
      </c>
      <c r="AD2116">
        <v>-1.1709700000000001</v>
      </c>
      <c r="AE2116">
        <v>14.8254</v>
      </c>
      <c r="AF2116">
        <v>13.226725341564499</v>
      </c>
      <c r="AG2116">
        <v>-1.1709700000000001</v>
      </c>
      <c r="AH2116">
        <v>95.087257587192198</v>
      </c>
      <c r="AI2116">
        <v>90.698816383724804</v>
      </c>
      <c r="AJ2116">
        <v>82.080918868969704</v>
      </c>
      <c r="AK2116">
        <v>96.009916099615097</v>
      </c>
      <c r="AL2116">
        <v>81.007625912975499</v>
      </c>
      <c r="AM2116">
        <v>87.127165066188496</v>
      </c>
      <c r="AN2116">
        <v>0.99999996792373302</v>
      </c>
    </row>
    <row r="2117" spans="1:40" x14ac:dyDescent="0.25">
      <c r="A2117" t="str">
        <f>"20190303170301198"</f>
        <v>20190303170301198</v>
      </c>
      <c r="B2117" t="str">
        <f>"1551603781187224"</f>
        <v>1551603781187224</v>
      </c>
      <c r="C2117" t="s">
        <v>40</v>
      </c>
      <c r="D2117">
        <v>4.1484769999999997</v>
      </c>
      <c r="E2117">
        <v>0.53825269999999903</v>
      </c>
      <c r="F2117" t="s">
        <v>44</v>
      </c>
      <c r="G2117">
        <v>-346.64370000000002</v>
      </c>
      <c r="H2117">
        <v>-0.05</v>
      </c>
      <c r="I2117">
        <v>298.35649999999998</v>
      </c>
      <c r="J2117">
        <v>-255.57759999999999</v>
      </c>
      <c r="K2117">
        <v>1.12097</v>
      </c>
      <c r="L2117">
        <v>284.15120000000002</v>
      </c>
      <c r="M2117">
        <v>-0.99981960000000003</v>
      </c>
      <c r="N2117">
        <v>-8.8120899999999999E-3</v>
      </c>
      <c r="O2117">
        <v>1.6825909999999999E-2</v>
      </c>
      <c r="P2117">
        <v>-0.98682530000000002</v>
      </c>
      <c r="Q2117">
        <v>0.14778279999999999</v>
      </c>
      <c r="R2117">
        <v>6.5849450000000004E-2</v>
      </c>
      <c r="S2117">
        <v>-3.014389</v>
      </c>
      <c r="T2117">
        <v>-3.8698669999999998E-2</v>
      </c>
      <c r="U2117">
        <v>0.4695435</v>
      </c>
      <c r="V2117">
        <v>4.9250330000000002E-2</v>
      </c>
      <c r="W2117">
        <v>0.15647720000000001</v>
      </c>
      <c r="X2117">
        <v>0.98645289999999997</v>
      </c>
      <c r="Y2117">
        <v>0.137244899999999</v>
      </c>
      <c r="Z2117">
        <v>1.416851E-3</v>
      </c>
      <c r="AA2117">
        <v>0.99053619999999998</v>
      </c>
      <c r="AB2117">
        <v>27</v>
      </c>
      <c r="AC2117">
        <v>-91.066100000000006</v>
      </c>
      <c r="AD2117">
        <v>-1.1709700000000001</v>
      </c>
      <c r="AE2117">
        <v>14.2052999999999</v>
      </c>
      <c r="AF2117">
        <v>12.668914439285601</v>
      </c>
      <c r="AG2117">
        <v>-1.1709700000000001</v>
      </c>
      <c r="AH2117">
        <v>91.277500220906404</v>
      </c>
      <c r="AI2117">
        <v>90.728010933910795</v>
      </c>
      <c r="AJ2117">
        <v>82.098081865340006</v>
      </c>
      <c r="AK2117">
        <v>92.159940377522005</v>
      </c>
      <c r="AL2117">
        <v>80.997521087374807</v>
      </c>
      <c r="AM2117">
        <v>87.141784560212699</v>
      </c>
      <c r="AN2117">
        <v>1.00000001652167</v>
      </c>
    </row>
    <row r="2118" spans="1:40" x14ac:dyDescent="0.25">
      <c r="A2118" t="str">
        <f>"20190303170301216"</f>
        <v>20190303170301216</v>
      </c>
      <c r="B2118" t="str">
        <f>"1551603781207720"</f>
        <v>1551603781207720</v>
      </c>
      <c r="C2118" t="s">
        <v>40</v>
      </c>
      <c r="D2118">
        <v>4.042745</v>
      </c>
      <c r="E2118">
        <v>0.49825809999999998</v>
      </c>
      <c r="F2118" t="s">
        <v>44</v>
      </c>
      <c r="G2118">
        <v>-349.35809999999998</v>
      </c>
      <c r="H2118">
        <v>-0.05</v>
      </c>
      <c r="I2118">
        <v>298.7364</v>
      </c>
      <c r="J2118">
        <v>-255.7987</v>
      </c>
      <c r="K2118">
        <v>1.1209739999999999</v>
      </c>
      <c r="L2118">
        <v>284.15499999999997</v>
      </c>
      <c r="M2118">
        <v>-0.99981909999999896</v>
      </c>
      <c r="N2118">
        <v>-8.8235520000000001E-3</v>
      </c>
      <c r="O2118">
        <v>1.6853099999999999E-2</v>
      </c>
      <c r="P2118">
        <v>-0.98693719999999996</v>
      </c>
      <c r="Q2118">
        <v>0.1474319</v>
      </c>
      <c r="R2118">
        <v>6.4953209999999997E-2</v>
      </c>
      <c r="S2118">
        <v>-3.0143740000000001</v>
      </c>
      <c r="T2118">
        <v>-3.7638310000000001E-2</v>
      </c>
      <c r="U2118">
        <v>0.46881099999999998</v>
      </c>
      <c r="V2118">
        <v>4.8325640000000003E-2</v>
      </c>
      <c r="W2118">
        <v>0.1561381</v>
      </c>
      <c r="X2118">
        <v>0.9865524</v>
      </c>
      <c r="Y2118">
        <v>0.13698450000000001</v>
      </c>
      <c r="Z2118">
        <v>1.396857E-3</v>
      </c>
      <c r="AA2118">
        <v>0.99057220000000001</v>
      </c>
      <c r="AB2118">
        <v>27</v>
      </c>
      <c r="AC2118">
        <v>-93.559399999999897</v>
      </c>
      <c r="AD2118">
        <v>-1.170974</v>
      </c>
      <c r="AE2118">
        <v>14.5814</v>
      </c>
      <c r="AF2118">
        <v>13.0005135321901</v>
      </c>
      <c r="AG2118">
        <v>-1.170974</v>
      </c>
      <c r="AH2118">
        <v>93.7775211389351</v>
      </c>
      <c r="AI2118">
        <v>90.708623098396998</v>
      </c>
      <c r="AJ2118">
        <v>82.107308938856605</v>
      </c>
      <c r="AK2118">
        <v>94.681613860203896</v>
      </c>
      <c r="AL2118">
        <v>81.0171922272324</v>
      </c>
      <c r="AM2118">
        <v>87.195644342654305</v>
      </c>
      <c r="AN2118">
        <v>1.00000005584938</v>
      </c>
    </row>
    <row r="2119" spans="1:40" x14ac:dyDescent="0.25">
      <c r="A2119" t="str">
        <f>"20190303170301229"</f>
        <v>20190303170301229</v>
      </c>
      <c r="B2119" t="str">
        <f>"1551603781217480"</f>
        <v>1551603781217480</v>
      </c>
      <c r="C2119" t="s">
        <v>40</v>
      </c>
      <c r="D2119">
        <v>4.1344469999999998</v>
      </c>
      <c r="E2119">
        <v>0.48656959999999999</v>
      </c>
      <c r="F2119" t="s">
        <v>62</v>
      </c>
      <c r="G2119">
        <v>-341.58659999999998</v>
      </c>
      <c r="H2119" s="1">
        <v>-6.9246059999999995E-7</v>
      </c>
      <c r="I2119">
        <v>288.30619999999999</v>
      </c>
      <c r="J2119">
        <v>-255.95070000000001</v>
      </c>
      <c r="K2119">
        <v>1.1209750000000001</v>
      </c>
      <c r="L2119">
        <v>284.15750000000003</v>
      </c>
      <c r="M2119">
        <v>-0.99981869999999995</v>
      </c>
      <c r="N2119">
        <v>-8.8313049999999994E-3</v>
      </c>
      <c r="O2119">
        <v>1.6872620000000001E-2</v>
      </c>
      <c r="P2119">
        <v>-0.98700299999999996</v>
      </c>
      <c r="Q2119">
        <v>0.14734029999999901</v>
      </c>
      <c r="R2119">
        <v>6.4155970000000007E-2</v>
      </c>
      <c r="S2119">
        <v>-3.0359799999999999</v>
      </c>
      <c r="T2119">
        <v>-3.9670589999999999E-2</v>
      </c>
      <c r="U2119">
        <v>0.1469116</v>
      </c>
      <c r="V2119">
        <v>4.7508059999999998E-2</v>
      </c>
      <c r="W2119">
        <v>0.15605479999999899</v>
      </c>
      <c r="X2119">
        <v>0.98660519999999996</v>
      </c>
      <c r="Y2119">
        <v>3.146885E-2</v>
      </c>
      <c r="Z2119">
        <v>2.7315789999999998E-4</v>
      </c>
      <c r="AA2119">
        <v>0.99950470000000002</v>
      </c>
      <c r="AB2119">
        <v>27</v>
      </c>
      <c r="AC2119">
        <v>-85.635899999999907</v>
      </c>
      <c r="AD2119">
        <v>-1.1209756924606</v>
      </c>
      <c r="AE2119">
        <v>4.1486999999999599</v>
      </c>
      <c r="AF2119">
        <v>2.7026890891098398</v>
      </c>
      <c r="AG2119">
        <v>-1.1209756924606</v>
      </c>
      <c r="AH2119">
        <v>85.679064090740695</v>
      </c>
      <c r="AI2119">
        <v>90.749209708074503</v>
      </c>
      <c r="AJ2119">
        <v>88.193241854006303</v>
      </c>
      <c r="AK2119">
        <v>85.729009899104298</v>
      </c>
      <c r="AL2119">
        <v>81.022023406011101</v>
      </c>
      <c r="AM2119">
        <v>87.243162315827504</v>
      </c>
      <c r="AN2119">
        <v>0.99999996851752104</v>
      </c>
    </row>
    <row r="2120" spans="1:40" x14ac:dyDescent="0.25">
      <c r="A2120" t="str">
        <f>"20190303170301241"</f>
        <v>20190303170301241</v>
      </c>
      <c r="B2120" t="str">
        <f>"1551603781237976"</f>
        <v>1551603781237976</v>
      </c>
      <c r="C2120" t="s">
        <v>40</v>
      </c>
      <c r="D2120">
        <v>4.1433679999999997</v>
      </c>
      <c r="E2120">
        <v>0.47627520000000001</v>
      </c>
      <c r="F2120" t="s">
        <v>62</v>
      </c>
      <c r="G2120">
        <v>-396.48910000000001</v>
      </c>
      <c r="H2120" s="1">
        <v>1.9163979999999999E-6</v>
      </c>
      <c r="I2120">
        <v>286.59140000000002</v>
      </c>
      <c r="J2120">
        <v>-256.09609999999998</v>
      </c>
      <c r="K2120">
        <v>1.120973</v>
      </c>
      <c r="L2120">
        <v>284.16000000000003</v>
      </c>
      <c r="M2120">
        <v>-0.9998184</v>
      </c>
      <c r="N2120">
        <v>-8.8388040000000005E-3</v>
      </c>
      <c r="O2120">
        <v>1.6890820000000001E-2</v>
      </c>
      <c r="P2120">
        <v>-0.98702570000000001</v>
      </c>
      <c r="Q2120">
        <v>0.1474713</v>
      </c>
      <c r="R2120">
        <v>6.3506409999999999E-2</v>
      </c>
      <c r="S2120">
        <v>-3.0397029999999998</v>
      </c>
      <c r="T2120">
        <v>-2.42455E-2</v>
      </c>
      <c r="U2120">
        <v>5.264282E-2</v>
      </c>
      <c r="V2120">
        <v>4.6840340000000001E-2</v>
      </c>
      <c r="W2120">
        <v>0.15619369999999999</v>
      </c>
      <c r="X2120">
        <v>0.98661520000000003</v>
      </c>
      <c r="Y2120">
        <v>0</v>
      </c>
      <c r="Z2120">
        <v>0</v>
      </c>
      <c r="AA2120">
        <v>1</v>
      </c>
      <c r="AB2120">
        <v>27</v>
      </c>
      <c r="AC2120">
        <v>-140.393</v>
      </c>
      <c r="AD2120">
        <v>-1.1209710836019999</v>
      </c>
      <c r="AE2120">
        <v>2.4313999999999898</v>
      </c>
      <c r="AF2120">
        <v>5.9604087519147197E-2</v>
      </c>
      <c r="AG2120">
        <v>-1.1209710836019999</v>
      </c>
      <c r="AH2120">
        <v>140.405091397034</v>
      </c>
      <c r="AI2120">
        <v>90.457430289958396</v>
      </c>
      <c r="AJ2120">
        <v>89.975677075400498</v>
      </c>
      <c r="AK2120">
        <v>140.40957880083201</v>
      </c>
      <c r="AL2120">
        <v>81.013966696728701</v>
      </c>
      <c r="AM2120">
        <v>87.281878319364694</v>
      </c>
      <c r="AN2120">
        <v>1.00000002112102</v>
      </c>
    </row>
    <row r="2121" spans="1:40" x14ac:dyDescent="0.25">
      <c r="A2121" t="str">
        <f>"20190303170301253"</f>
        <v>20190303170301253</v>
      </c>
      <c r="B2121" t="str">
        <f>"1551603781247736"</f>
        <v>1551603781247736</v>
      </c>
      <c r="C2121" t="s">
        <v>40</v>
      </c>
      <c r="D2121">
        <v>4.1256399999999998</v>
      </c>
      <c r="E2121">
        <v>0.42146830000000002</v>
      </c>
      <c r="F2121" t="s">
        <v>48</v>
      </c>
      <c r="G2121">
        <v>0</v>
      </c>
      <c r="H2121">
        <v>0</v>
      </c>
      <c r="I2121">
        <v>0</v>
      </c>
      <c r="J2121">
        <v>-256.25259999999997</v>
      </c>
      <c r="K2121">
        <v>1.1209709999999999</v>
      </c>
      <c r="L2121">
        <v>284.16269999999997</v>
      </c>
      <c r="M2121">
        <v>-0.99981790000000004</v>
      </c>
      <c r="N2121">
        <v>-8.8469629999999994E-3</v>
      </c>
      <c r="O2121">
        <v>1.6910339999999999E-2</v>
      </c>
      <c r="P2121">
        <v>-0.98696260000000002</v>
      </c>
      <c r="Q2121">
        <v>0.14813579999999901</v>
      </c>
      <c r="R2121">
        <v>6.2935989999999997E-2</v>
      </c>
      <c r="S2121">
        <v>-3.0429379999999999</v>
      </c>
      <c r="T2121">
        <v>-1.0527969999999999E-2</v>
      </c>
      <c r="U2121">
        <v>-3.015137E-2</v>
      </c>
      <c r="V2121">
        <v>4.6251979999999998E-2</v>
      </c>
      <c r="W2121">
        <v>0.15686530000000001</v>
      </c>
      <c r="X2121">
        <v>0.98653639999999998</v>
      </c>
      <c r="Y2121">
        <v>-2.6816090000000001E-2</v>
      </c>
      <c r="Z2121" s="1">
        <v>-7.3911560000000003E-5</v>
      </c>
      <c r="AA2121">
        <v>0.99964039999999998</v>
      </c>
      <c r="AB2121">
        <v>27</v>
      </c>
      <c r="AC2121">
        <v>-3.0429379999999999</v>
      </c>
      <c r="AD2121">
        <v>-1.0527969999999999E-2</v>
      </c>
      <c r="AE2121">
        <v>-3.015137E-2</v>
      </c>
      <c r="AF2121">
        <v>-8.16052100356527E-2</v>
      </c>
      <c r="AG2121">
        <v>-1.0527969999999999E-2</v>
      </c>
      <c r="AH2121">
        <v>3.0419565569427598</v>
      </c>
      <c r="AI2121">
        <v>90.198224035822804</v>
      </c>
      <c r="AJ2121">
        <v>91.536679728792805</v>
      </c>
      <c r="AK2121">
        <v>3.0430691649688701</v>
      </c>
      <c r="AL2121">
        <v>80.975006575182107</v>
      </c>
      <c r="AM2121">
        <v>87.315756239432204</v>
      </c>
      <c r="AN2121">
        <v>1.0000000182614801</v>
      </c>
    </row>
    <row r="2122" spans="1:40" x14ac:dyDescent="0.25">
      <c r="A2122" t="str">
        <f>"20190303170301273"</f>
        <v>20190303170301273</v>
      </c>
      <c r="B2122" t="str">
        <f>"1551603781267256"</f>
        <v>1551603781267256</v>
      </c>
      <c r="C2122" t="s">
        <v>40</v>
      </c>
      <c r="D2122">
        <v>4.1136780000000002</v>
      </c>
      <c r="E2122">
        <v>0.41743209999999997</v>
      </c>
      <c r="F2122" t="s">
        <v>65</v>
      </c>
      <c r="G2122">
        <v>-363.37860000000001</v>
      </c>
      <c r="H2122">
        <v>2.404137</v>
      </c>
      <c r="I2122">
        <v>267.85000000000002</v>
      </c>
      <c r="J2122">
        <v>-256.47669999999999</v>
      </c>
      <c r="K2122">
        <v>1.1209750000000001</v>
      </c>
      <c r="L2122">
        <v>284.16640000000001</v>
      </c>
      <c r="M2122">
        <v>-0.99981739999999997</v>
      </c>
      <c r="N2122">
        <v>-8.8628879999999993E-3</v>
      </c>
      <c r="O2122">
        <v>1.6939539999999999E-2</v>
      </c>
      <c r="P2122">
        <v>-0.98695040000000001</v>
      </c>
      <c r="Q2122">
        <v>0.14857290000000001</v>
      </c>
      <c r="R2122">
        <v>6.2092219999999997E-2</v>
      </c>
      <c r="S2122">
        <v>-3.0638730000000001</v>
      </c>
      <c r="T2122">
        <v>3.6701440000000002E-2</v>
      </c>
      <c r="U2122">
        <v>-0.46655269999999999</v>
      </c>
      <c r="V2122">
        <v>4.5379839999999998E-2</v>
      </c>
      <c r="W2122">
        <v>0.15731779999999901</v>
      </c>
      <c r="X2122">
        <v>0.98650490000000002</v>
      </c>
      <c r="Y2122">
        <v>-0.1672592</v>
      </c>
      <c r="Z2122">
        <v>6.0156130000000002E-4</v>
      </c>
      <c r="AA2122">
        <v>0.98591280000000003</v>
      </c>
      <c r="AB2122">
        <v>27</v>
      </c>
      <c r="AC2122">
        <v>-106.9019</v>
      </c>
      <c r="AD2122">
        <v>1.2831619999999999</v>
      </c>
      <c r="AE2122">
        <v>-16.316399999999899</v>
      </c>
      <c r="AF2122">
        <v>-18.122446935060399</v>
      </c>
      <c r="AG2122">
        <v>1.2831619999999999</v>
      </c>
      <c r="AH2122">
        <v>106.595148743053</v>
      </c>
      <c r="AI2122">
        <v>89.320078372562406</v>
      </c>
      <c r="AJ2122">
        <v>99.648709637639101</v>
      </c>
      <c r="AK2122">
        <v>108.132304715963</v>
      </c>
      <c r="AL2122">
        <v>80.948754750153</v>
      </c>
      <c r="AM2122">
        <v>87.366215146133001</v>
      </c>
      <c r="AN2122">
        <v>1.00000006889963</v>
      </c>
    </row>
    <row r="2123" spans="1:40" x14ac:dyDescent="0.25">
      <c r="A2123" t="str">
        <f>"20190303170301288"</f>
        <v>20190303170301288</v>
      </c>
      <c r="B2123" t="str">
        <f>"1551603781277992"</f>
        <v>1551603781277992</v>
      </c>
      <c r="C2123" t="s">
        <v>40</v>
      </c>
      <c r="D2123">
        <v>4.1493729999999998</v>
      </c>
      <c r="E2123">
        <v>0.4166494</v>
      </c>
      <c r="F2123" t="s">
        <v>65</v>
      </c>
      <c r="G2123">
        <v>-352.99779999999998</v>
      </c>
      <c r="H2123">
        <v>2.458059</v>
      </c>
      <c r="I2123">
        <v>268.36970000000002</v>
      </c>
      <c r="J2123">
        <v>-256.66640000000001</v>
      </c>
      <c r="K2123">
        <v>1.1209739999999999</v>
      </c>
      <c r="L2123">
        <v>284.16969999999998</v>
      </c>
      <c r="M2123">
        <v>-0.9998167</v>
      </c>
      <c r="N2123">
        <v>-8.8789719999999902E-3</v>
      </c>
      <c r="O2123">
        <v>1.6964389999999999E-2</v>
      </c>
      <c r="P2123">
        <v>-0.98697539999999995</v>
      </c>
      <c r="Q2123">
        <v>0.14848649999999999</v>
      </c>
      <c r="R2123">
        <v>6.189944E-2</v>
      </c>
      <c r="S2123">
        <v>-3.0647890000000002</v>
      </c>
      <c r="T2123">
        <v>4.2458059999999999E-2</v>
      </c>
      <c r="U2123">
        <v>-0.50158689999999995</v>
      </c>
      <c r="V2123">
        <v>4.516245E-2</v>
      </c>
      <c r="W2123">
        <v>0.1572472</v>
      </c>
      <c r="X2123">
        <v>0.98652609999999996</v>
      </c>
      <c r="Y2123">
        <v>-0.1782214</v>
      </c>
      <c r="Z2123">
        <v>8.1291169999999995E-4</v>
      </c>
      <c r="AA2123">
        <v>0.98399009999999998</v>
      </c>
      <c r="AB2123">
        <v>27</v>
      </c>
      <c r="AC2123">
        <v>-96.331399999999903</v>
      </c>
      <c r="AD2123">
        <v>1.3370850000000001</v>
      </c>
      <c r="AE2123">
        <v>-15.799999999999899</v>
      </c>
      <c r="AF2123">
        <v>-17.4287241387729</v>
      </c>
      <c r="AG2123">
        <v>1.3370850000000001</v>
      </c>
      <c r="AH2123">
        <v>96.031471998652407</v>
      </c>
      <c r="AI2123">
        <v>89.215119281247198</v>
      </c>
      <c r="AJ2123">
        <v>100.28662768672</v>
      </c>
      <c r="AK2123">
        <v>97.609383952725693</v>
      </c>
      <c r="AL2123">
        <v>80.952850525455503</v>
      </c>
      <c r="AM2123">
        <v>87.378870779690502</v>
      </c>
      <c r="AN2123">
        <v>1.0000000373895199</v>
      </c>
    </row>
    <row r="2124" spans="1:40" x14ac:dyDescent="0.25">
      <c r="A2124" t="str">
        <f>"20190303170301306"</f>
        <v>20190303170301306</v>
      </c>
      <c r="B2124" t="str">
        <f>"1551603781297512"</f>
        <v>1551603781297512</v>
      </c>
      <c r="C2124" t="s">
        <v>40</v>
      </c>
      <c r="D2124">
        <v>4.1343059999999996</v>
      </c>
      <c r="E2124">
        <v>0.41613800000000001</v>
      </c>
      <c r="F2124" t="s">
        <v>65</v>
      </c>
      <c r="G2124">
        <v>-352.08690000000001</v>
      </c>
      <c r="H2124">
        <v>2.4093270000000002</v>
      </c>
      <c r="I2124">
        <v>268.34160000000003</v>
      </c>
      <c r="J2124">
        <v>-256.88279999999997</v>
      </c>
      <c r="K2124">
        <v>1.120973</v>
      </c>
      <c r="L2124">
        <v>284.17340000000002</v>
      </c>
      <c r="M2124">
        <v>-0.99981620000000004</v>
      </c>
      <c r="N2124">
        <v>-8.897884E-3</v>
      </c>
      <c r="O2124">
        <v>1.69937E-2</v>
      </c>
      <c r="P2124">
        <v>-0.98714380000000002</v>
      </c>
      <c r="Q2124">
        <v>0.1480995</v>
      </c>
      <c r="R2124">
        <v>6.0115540000000002E-2</v>
      </c>
      <c r="S2124">
        <v>-3.0652469999999998</v>
      </c>
      <c r="T2124">
        <v>4.1388870000000001E-2</v>
      </c>
      <c r="U2124">
        <v>-0.50845340000000006</v>
      </c>
      <c r="V2124">
        <v>4.3347240000000002E-2</v>
      </c>
      <c r="W2124">
        <v>0.15688079999999999</v>
      </c>
      <c r="X2124">
        <v>0.98666580000000004</v>
      </c>
      <c r="Y2124">
        <v>-0.18037300000000001</v>
      </c>
      <c r="Z2124">
        <v>7.7958499999999996E-4</v>
      </c>
      <c r="AA2124">
        <v>0.98359799999999997</v>
      </c>
      <c r="AB2124">
        <v>27</v>
      </c>
      <c r="AC2124">
        <v>-95.204099999999997</v>
      </c>
      <c r="AD2124">
        <v>1.288354</v>
      </c>
      <c r="AE2124">
        <v>-15.8317999999999</v>
      </c>
      <c r="AF2124">
        <v>-17.4443386860777</v>
      </c>
      <c r="AG2124">
        <v>1.288354</v>
      </c>
      <c r="AH2124">
        <v>94.904387522151495</v>
      </c>
      <c r="AI2124">
        <v>89.235054613693407</v>
      </c>
      <c r="AJ2124">
        <v>100.415256983776</v>
      </c>
      <c r="AK2124">
        <v>96.502888968043806</v>
      </c>
      <c r="AL2124">
        <v>80.9741070522618</v>
      </c>
      <c r="AM2124">
        <v>87.484439140147302</v>
      </c>
      <c r="AN2124">
        <v>0.99999998475694796</v>
      </c>
    </row>
    <row r="2125" spans="1:40" x14ac:dyDescent="0.25">
      <c r="A2125" t="str">
        <f>"20190303170301320"</f>
        <v>20190303170301320</v>
      </c>
      <c r="B2125" t="str">
        <f>"1551603781307272"</f>
        <v>1551603781307272</v>
      </c>
      <c r="C2125" t="s">
        <v>40</v>
      </c>
      <c r="D2125">
        <v>4.152412</v>
      </c>
      <c r="E2125">
        <v>0.41591620000000001</v>
      </c>
      <c r="F2125" t="s">
        <v>65</v>
      </c>
      <c r="G2125">
        <v>-352.08690000000001</v>
      </c>
      <c r="H2125">
        <v>2.3482440000000002</v>
      </c>
      <c r="I2125">
        <v>268.08359999999999</v>
      </c>
      <c r="J2125">
        <v>-257.05259999999998</v>
      </c>
      <c r="K2125">
        <v>1.1209720000000001</v>
      </c>
      <c r="L2125">
        <v>284.17630000000003</v>
      </c>
      <c r="M2125">
        <v>-0.99981560000000003</v>
      </c>
      <c r="N2125">
        <v>-8.9124759999999904E-3</v>
      </c>
      <c r="O2125">
        <v>1.7017910000000001E-2</v>
      </c>
      <c r="P2125">
        <v>-0.98725830000000003</v>
      </c>
      <c r="Q2125">
        <v>0.14767179999999999</v>
      </c>
      <c r="R2125">
        <v>5.9283910000000002E-2</v>
      </c>
      <c r="S2125">
        <v>-3.0646969999999998</v>
      </c>
      <c r="T2125">
        <v>3.9509179999999998E-2</v>
      </c>
      <c r="U2125">
        <v>-0.51794430000000002</v>
      </c>
      <c r="V2125">
        <v>4.249037E-2</v>
      </c>
      <c r="W2125">
        <v>0.1564683</v>
      </c>
      <c r="X2125">
        <v>0.9867686</v>
      </c>
      <c r="Y2125">
        <v>-0.18338850000000001</v>
      </c>
      <c r="Z2125">
        <v>7.1917659999999996E-4</v>
      </c>
      <c r="AA2125">
        <v>0.98304029999999998</v>
      </c>
      <c r="AB2125">
        <v>27</v>
      </c>
      <c r="AC2125">
        <v>-95.034300000000002</v>
      </c>
      <c r="AD2125">
        <v>1.2272719999999999</v>
      </c>
      <c r="AE2125">
        <v>-16.092700000000001</v>
      </c>
      <c r="AF2125">
        <v>-17.7048481753537</v>
      </c>
      <c r="AG2125">
        <v>1.2272719999999999</v>
      </c>
      <c r="AH2125">
        <v>94.731303485963593</v>
      </c>
      <c r="AI2125">
        <v>89.270389623722195</v>
      </c>
      <c r="AJ2125">
        <v>100.586189013207</v>
      </c>
      <c r="AK2125">
        <v>96.379394611213797</v>
      </c>
      <c r="AL2125">
        <v>80.998037367320094</v>
      </c>
      <c r="AM2125">
        <v>87.534360265226894</v>
      </c>
      <c r="AN2125">
        <v>1.00000001519679</v>
      </c>
    </row>
    <row r="2126" spans="1:40" x14ac:dyDescent="0.25">
      <c r="A2126" t="str">
        <f>"20190303170301341"</f>
        <v>20190303170301341</v>
      </c>
      <c r="B2126" t="str">
        <f>"1551603781327768"</f>
        <v>1551603781327768</v>
      </c>
      <c r="C2126" t="s">
        <v>40</v>
      </c>
      <c r="D2126">
        <v>4.1313360000000001</v>
      </c>
      <c r="E2126">
        <v>0.41581289999999999</v>
      </c>
      <c r="F2126" t="s">
        <v>65</v>
      </c>
      <c r="G2126">
        <v>-352.08690000000001</v>
      </c>
      <c r="H2126">
        <v>2.2977120000000002</v>
      </c>
      <c r="I2126">
        <v>267.97919999999999</v>
      </c>
      <c r="J2126">
        <v>-257.30290000000002</v>
      </c>
      <c r="K2126">
        <v>1.1209629999999999</v>
      </c>
      <c r="L2126">
        <v>284.18049999999999</v>
      </c>
      <c r="M2126">
        <v>-0.9998146</v>
      </c>
      <c r="N2126">
        <v>-8.9328329999999994E-3</v>
      </c>
      <c r="O2126">
        <v>1.7055460000000001E-2</v>
      </c>
      <c r="P2126">
        <v>-0.98734310000000003</v>
      </c>
      <c r="Q2126">
        <v>0.1474597</v>
      </c>
      <c r="R2126">
        <v>5.838989E-2</v>
      </c>
      <c r="S2126">
        <v>-3.0643919999999998</v>
      </c>
      <c r="T2126">
        <v>3.7946460000000001E-2</v>
      </c>
      <c r="U2126">
        <v>-0.52227780000000001</v>
      </c>
      <c r="V2126">
        <v>4.1558980000000002E-2</v>
      </c>
      <c r="W2126">
        <v>0.15627659999999999</v>
      </c>
      <c r="X2126">
        <v>0.98683860000000001</v>
      </c>
      <c r="Y2126">
        <v>-0.1847935</v>
      </c>
      <c r="Z2126">
        <v>6.6557429999999896E-4</v>
      </c>
      <c r="AA2126">
        <v>0.98277720000000002</v>
      </c>
      <c r="AB2126">
        <v>27</v>
      </c>
      <c r="AC2126">
        <v>-94.784000000000006</v>
      </c>
      <c r="AD2126">
        <v>1.1767489999999901</v>
      </c>
      <c r="AE2126">
        <v>-16.2013</v>
      </c>
      <c r="AF2126">
        <v>-17.8129249081727</v>
      </c>
      <c r="AG2126">
        <v>1.1767489999999901</v>
      </c>
      <c r="AH2126">
        <v>94.479731315725104</v>
      </c>
      <c r="AI2126">
        <v>89.298768532957197</v>
      </c>
      <c r="AJ2126">
        <v>100.677042194454</v>
      </c>
      <c r="AK2126">
        <v>96.151467287217201</v>
      </c>
      <c r="AL2126">
        <v>81.009157391394396</v>
      </c>
      <c r="AM2126">
        <v>87.588513489956895</v>
      </c>
      <c r="AN2126">
        <v>0.99999997348807901</v>
      </c>
    </row>
    <row r="2127" spans="1:40" x14ac:dyDescent="0.25">
      <c r="A2127" t="str">
        <f>"20190303170301361"</f>
        <v>20190303170301361</v>
      </c>
      <c r="B2127" t="str">
        <f>"1551603781358024"</f>
        <v>1551603781358024</v>
      </c>
      <c r="C2127" t="s">
        <v>40</v>
      </c>
      <c r="D2127">
        <v>4.1267860000000001</v>
      </c>
      <c r="E2127">
        <v>0.41565479999999999</v>
      </c>
      <c r="F2127" t="s">
        <v>65</v>
      </c>
      <c r="G2127">
        <v>-352.08690000000001</v>
      </c>
      <c r="H2127">
        <v>2.2173790000000002</v>
      </c>
      <c r="I2127">
        <v>267.92129999999997</v>
      </c>
      <c r="J2127">
        <v>-257.55739999999997</v>
      </c>
      <c r="K2127">
        <v>1.120962</v>
      </c>
      <c r="L2127">
        <v>284.18490000000003</v>
      </c>
      <c r="M2127">
        <v>-0.99981390000000003</v>
      </c>
      <c r="N2127">
        <v>-8.9492219999999997E-3</v>
      </c>
      <c r="O2127">
        <v>1.7097669999999999E-2</v>
      </c>
      <c r="P2127">
        <v>-0.98724319999999999</v>
      </c>
      <c r="Q2127">
        <v>0.14826520000000001</v>
      </c>
      <c r="R2127">
        <v>5.8039430000000003E-2</v>
      </c>
      <c r="S2127">
        <v>-3.064209</v>
      </c>
      <c r="T2127">
        <v>3.5447600000000003E-2</v>
      </c>
      <c r="U2127">
        <v>-0.52563479999999996</v>
      </c>
      <c r="V2127">
        <v>4.1169799999999999E-2</v>
      </c>
      <c r="W2127">
        <v>0.15709699999999999</v>
      </c>
      <c r="X2127">
        <v>0.98672470000000001</v>
      </c>
      <c r="Y2127">
        <v>-0.1858921</v>
      </c>
      <c r="Z2127">
        <v>5.7780639999999996E-4</v>
      </c>
      <c r="AA2127">
        <v>0.98257000000000005</v>
      </c>
      <c r="AB2127">
        <v>27</v>
      </c>
      <c r="AC2127">
        <v>-94.529499999999999</v>
      </c>
      <c r="AD2127">
        <v>1.096417</v>
      </c>
      <c r="AE2127">
        <v>-16.2636</v>
      </c>
      <c r="AF2127">
        <v>-17.8751855800671</v>
      </c>
      <c r="AG2127">
        <v>1.096417</v>
      </c>
      <c r="AH2127">
        <v>94.225288571312902</v>
      </c>
      <c r="AI2127">
        <v>89.345010272952706</v>
      </c>
      <c r="AJ2127">
        <v>100.741756877193</v>
      </c>
      <c r="AK2127">
        <v>95.912092022366593</v>
      </c>
      <c r="AL2127">
        <v>80.961564559886696</v>
      </c>
      <c r="AM2127">
        <v>87.6107941824487</v>
      </c>
      <c r="AN2127">
        <v>1.00000002671556</v>
      </c>
    </row>
    <row r="2128" spans="1:40" x14ac:dyDescent="0.25">
      <c r="A2128" t="str">
        <f>"20190303170301373"</f>
        <v>20190303170301373</v>
      </c>
      <c r="B2128" t="str">
        <f>"1551603781367784"</f>
        <v>1551603781367784</v>
      </c>
      <c r="C2128" t="s">
        <v>40</v>
      </c>
      <c r="D2128">
        <v>4.1662140000000001</v>
      </c>
      <c r="E2128">
        <v>0.41557460000000002</v>
      </c>
      <c r="F2128" t="s">
        <v>65</v>
      </c>
      <c r="G2128">
        <v>-352.08690000000001</v>
      </c>
      <c r="H2128">
        <v>2.2645</v>
      </c>
      <c r="I2128">
        <v>267.89510000000001</v>
      </c>
      <c r="J2128">
        <v>-257.70740000000001</v>
      </c>
      <c r="K2128">
        <v>1.1209629999999999</v>
      </c>
      <c r="L2128">
        <v>284.1875</v>
      </c>
      <c r="M2128">
        <v>-0.99981330000000002</v>
      </c>
      <c r="N2128">
        <v>-8.9546369999999997E-3</v>
      </c>
      <c r="O2128">
        <v>1.7123900000000001E-2</v>
      </c>
      <c r="P2128">
        <v>-0.98717089999999996</v>
      </c>
      <c r="Q2128">
        <v>0.14878640000000001</v>
      </c>
      <c r="R2128">
        <v>5.7931209999999997E-2</v>
      </c>
      <c r="S2128">
        <v>-3.0642399999999999</v>
      </c>
      <c r="T2128">
        <v>3.7070869999999999E-2</v>
      </c>
      <c r="U2128">
        <v>-0.52804569999999995</v>
      </c>
      <c r="V2128">
        <v>4.1037629999999999E-2</v>
      </c>
      <c r="W2128">
        <v>0.15762300000000001</v>
      </c>
      <c r="X2128">
        <v>0.98664629999999998</v>
      </c>
      <c r="Y2128">
        <v>-0.1866661</v>
      </c>
      <c r="Z2128">
        <v>6.3679899999999996E-4</v>
      </c>
      <c r="AA2128">
        <v>0.98242320000000005</v>
      </c>
      <c r="AB2128">
        <v>27</v>
      </c>
      <c r="AC2128">
        <v>-94.379499999999993</v>
      </c>
      <c r="AD2128">
        <v>1.143537</v>
      </c>
      <c r="AE2128">
        <v>-16.292399999999901</v>
      </c>
      <c r="AF2128">
        <v>-17.903668505422601</v>
      </c>
      <c r="AG2128">
        <v>1.143537</v>
      </c>
      <c r="AH2128">
        <v>94.073249000293103</v>
      </c>
      <c r="AI2128">
        <v>89.315836304927004</v>
      </c>
      <c r="AJ2128">
        <v>100.775454842389</v>
      </c>
      <c r="AK2128">
        <v>95.768602372038302</v>
      </c>
      <c r="AL2128">
        <v>80.931046608779397</v>
      </c>
      <c r="AM2128">
        <v>87.618266532253202</v>
      </c>
      <c r="AN2128">
        <v>1.00000000925435</v>
      </c>
    </row>
    <row r="2129" spans="1:40" x14ac:dyDescent="0.25">
      <c r="A2129" t="str">
        <f>"20190303170301385"</f>
        <v>20190303170301385</v>
      </c>
      <c r="B2129" t="str">
        <f>"1551603781378521"</f>
        <v>1551603781378521</v>
      </c>
      <c r="C2129" t="s">
        <v>40</v>
      </c>
      <c r="D2129">
        <v>4.1390310000000001</v>
      </c>
      <c r="E2129">
        <v>0.41553909999999999</v>
      </c>
      <c r="F2129" t="s">
        <v>65</v>
      </c>
      <c r="G2129">
        <v>-352.08690000000001</v>
      </c>
      <c r="H2129">
        <v>2.310127</v>
      </c>
      <c r="I2129">
        <v>267.8963</v>
      </c>
      <c r="J2129">
        <v>-257.84690000000001</v>
      </c>
      <c r="K2129">
        <v>1.12096</v>
      </c>
      <c r="L2129">
        <v>284.19</v>
      </c>
      <c r="M2129">
        <v>-0.9998129</v>
      </c>
      <c r="N2129">
        <v>-8.9553669999999901E-3</v>
      </c>
      <c r="O2129">
        <v>1.7150200000000001E-2</v>
      </c>
      <c r="P2129">
        <v>-0.98715960000000003</v>
      </c>
      <c r="Q2129">
        <v>0.14903620000000001</v>
      </c>
      <c r="R2129">
        <v>5.7484210000000001E-2</v>
      </c>
      <c r="S2129">
        <v>-3.0642399999999999</v>
      </c>
      <c r="T2129">
        <v>3.861117E-2</v>
      </c>
      <c r="U2129">
        <v>-0.52893069999999998</v>
      </c>
      <c r="V2129">
        <v>4.0565700000000003E-2</v>
      </c>
      <c r="W2129">
        <v>0.15787300000000001</v>
      </c>
      <c r="X2129">
        <v>0.98662589999999994</v>
      </c>
      <c r="Y2129">
        <v>-0.18696660000000001</v>
      </c>
      <c r="Z2129">
        <v>6.9288339999999996E-4</v>
      </c>
      <c r="AA2129">
        <v>0.98236599999999996</v>
      </c>
      <c r="AB2129">
        <v>27</v>
      </c>
      <c r="AC2129">
        <v>-94.24</v>
      </c>
      <c r="AD2129">
        <v>1.1891670000000001</v>
      </c>
      <c r="AE2129">
        <v>-16.293700000000001</v>
      </c>
      <c r="AF2129">
        <v>-17.9048347603274</v>
      </c>
      <c r="AG2129">
        <v>1.1891670000000001</v>
      </c>
      <c r="AH2129">
        <v>93.932164732539206</v>
      </c>
      <c r="AI2129">
        <v>89.287509772822702</v>
      </c>
      <c r="AJ2129">
        <v>100.79194604212699</v>
      </c>
      <c r="AK2129">
        <v>95.6307941893688</v>
      </c>
      <c r="AL2129">
        <v>80.916541541181999</v>
      </c>
      <c r="AM2129">
        <v>87.645576681652202</v>
      </c>
      <c r="AN2129">
        <v>1.0000000633481401</v>
      </c>
    </row>
    <row r="2130" spans="1:40" x14ac:dyDescent="0.25">
      <c r="A2130" t="str">
        <f>"20190303170301406"</f>
        <v>20190303170301406</v>
      </c>
      <c r="B2130" t="str">
        <f>"1551603781398040"</f>
        <v>1551603781398040</v>
      </c>
      <c r="C2130" t="s">
        <v>40</v>
      </c>
      <c r="D2130">
        <v>4.1644129999999997</v>
      </c>
      <c r="E2130">
        <v>0.41540349999999998</v>
      </c>
      <c r="F2130" t="s">
        <v>65</v>
      </c>
      <c r="G2130">
        <v>-352.08690000000001</v>
      </c>
      <c r="H2130">
        <v>2.3273239999999999</v>
      </c>
      <c r="I2130">
        <v>267.87740000000002</v>
      </c>
      <c r="J2130">
        <v>-258.10950000000003</v>
      </c>
      <c r="K2130">
        <v>1.1209420000000001</v>
      </c>
      <c r="L2130">
        <v>284.19450000000001</v>
      </c>
      <c r="M2130">
        <v>-0.99981209999999998</v>
      </c>
      <c r="N2130">
        <v>-8.9517450000000005E-3</v>
      </c>
      <c r="O2130">
        <v>1.7201859999999999E-2</v>
      </c>
      <c r="P2130">
        <v>-0.98728419999999895</v>
      </c>
      <c r="Q2130">
        <v>0.1488005</v>
      </c>
      <c r="R2130">
        <v>5.5933259999999999E-2</v>
      </c>
      <c r="S2130">
        <v>-3.0639949999999998</v>
      </c>
      <c r="T2130">
        <v>3.9224509999999997E-2</v>
      </c>
      <c r="U2130">
        <v>-0.53036499999999998</v>
      </c>
      <c r="V2130">
        <v>3.8962980000000001E-2</v>
      </c>
      <c r="W2130">
        <v>0.15763429999999901</v>
      </c>
      <c r="X2130">
        <v>0.98672859999999996</v>
      </c>
      <c r="Y2130">
        <v>-0.18747659999999999</v>
      </c>
      <c r="Z2130">
        <v>7.1721299999999997E-4</v>
      </c>
      <c r="AA2130">
        <v>0.98226880000000005</v>
      </c>
      <c r="AB2130">
        <v>27</v>
      </c>
      <c r="AC2130">
        <v>-93.977400000000003</v>
      </c>
      <c r="AD2130">
        <v>1.2063819999999901</v>
      </c>
      <c r="AE2130">
        <v>-16.3170999999999</v>
      </c>
      <c r="AF2130">
        <v>-17.928468194129099</v>
      </c>
      <c r="AG2130">
        <v>1.2063819999999901</v>
      </c>
      <c r="AH2130">
        <v>93.667814507386794</v>
      </c>
      <c r="AI2130">
        <v>89.275262337833894</v>
      </c>
      <c r="AJ2130">
        <v>100.835631073215</v>
      </c>
      <c r="AK2130">
        <v>95.375808273943505</v>
      </c>
      <c r="AL2130">
        <v>80.930390960361706</v>
      </c>
      <c r="AM2130">
        <v>87.738734727562601</v>
      </c>
      <c r="AN2130">
        <v>1.00000000820246</v>
      </c>
    </row>
    <row r="2131" spans="1:40" x14ac:dyDescent="0.25">
      <c r="A2131" t="str">
        <f>"20190303170301419"</f>
        <v>20190303170301419</v>
      </c>
      <c r="B2131" t="str">
        <f>"1551603781407800"</f>
        <v>1551603781407800</v>
      </c>
      <c r="C2131" t="s">
        <v>40</v>
      </c>
      <c r="D2131">
        <v>4.1770849999999999</v>
      </c>
      <c r="E2131">
        <v>0.41537370000000001</v>
      </c>
      <c r="F2131" t="s">
        <v>65</v>
      </c>
      <c r="G2131">
        <v>-352.08690000000001</v>
      </c>
      <c r="H2131">
        <v>2.2944279999999999</v>
      </c>
      <c r="I2131">
        <v>267.74369999999999</v>
      </c>
      <c r="J2131">
        <v>-258.26029999999997</v>
      </c>
      <c r="K2131">
        <v>1.120935</v>
      </c>
      <c r="L2131">
        <v>284.19709999999998</v>
      </c>
      <c r="M2131">
        <v>-0.99981149999999996</v>
      </c>
      <c r="N2131">
        <v>-8.9470109999999995E-3</v>
      </c>
      <c r="O2131">
        <v>1.723301E-2</v>
      </c>
      <c r="P2131">
        <v>-0.98737070000000005</v>
      </c>
      <c r="Q2131">
        <v>0.14852099999999999</v>
      </c>
      <c r="R2131">
        <v>5.5142730000000001E-2</v>
      </c>
      <c r="S2131">
        <v>-3.0632630000000001</v>
      </c>
      <c r="T2131">
        <v>3.8252950000000001E-2</v>
      </c>
      <c r="U2131">
        <v>-0.53622440000000005</v>
      </c>
      <c r="V2131">
        <v>3.8140830000000001E-2</v>
      </c>
      <c r="W2131">
        <v>0.15735080000000001</v>
      </c>
      <c r="X2131">
        <v>0.98680599999999996</v>
      </c>
      <c r="Y2131">
        <v>-0.18937039999999999</v>
      </c>
      <c r="Z2131">
        <v>6.86463E-4</v>
      </c>
      <c r="AA2131">
        <v>0.98190549999999999</v>
      </c>
      <c r="AB2131">
        <v>27</v>
      </c>
      <c r="AC2131">
        <v>-93.826599999999999</v>
      </c>
      <c r="AD2131">
        <v>1.1734929999999999</v>
      </c>
      <c r="AE2131">
        <v>-16.453399999999899</v>
      </c>
      <c r="AF2131">
        <v>-18.065194331115698</v>
      </c>
      <c r="AG2131">
        <v>1.1734929999999999</v>
      </c>
      <c r="AH2131">
        <v>93.5149209917154</v>
      </c>
      <c r="AI2131">
        <v>89.294098343191806</v>
      </c>
      <c r="AJ2131">
        <v>100.933705665076</v>
      </c>
      <c r="AK2131">
        <v>95.251082829166904</v>
      </c>
      <c r="AL2131">
        <v>80.946839874643203</v>
      </c>
      <c r="AM2131">
        <v>87.786574704963698</v>
      </c>
      <c r="AN2131">
        <v>1.00000003940486</v>
      </c>
    </row>
    <row r="2132" spans="1:40" x14ac:dyDescent="0.25">
      <c r="A2132" t="str">
        <f>"20190303170301432"</f>
        <v>20190303170301432</v>
      </c>
      <c r="B2132" t="str">
        <f>"1551603781428296"</f>
        <v>1551603781428296</v>
      </c>
      <c r="C2132" t="s">
        <v>40</v>
      </c>
      <c r="D2132">
        <v>4.1589989999999997</v>
      </c>
      <c r="E2132">
        <v>0.41527310000000001</v>
      </c>
      <c r="F2132" t="s">
        <v>68</v>
      </c>
      <c r="G2132">
        <v>-341.6302</v>
      </c>
      <c r="H2132">
        <v>2.130538</v>
      </c>
      <c r="I2132">
        <v>269.52170000000001</v>
      </c>
      <c r="J2132">
        <v>-258.42140000000001</v>
      </c>
      <c r="K2132">
        <v>1.1209279999999999</v>
      </c>
      <c r="L2132">
        <v>284.19990000000001</v>
      </c>
      <c r="M2132">
        <v>-0.99981109999999895</v>
      </c>
      <c r="N2132">
        <v>-8.9404099999999993E-3</v>
      </c>
      <c r="O2132">
        <v>1.7267270000000001E-2</v>
      </c>
      <c r="P2132">
        <v>-0.98746310000000004</v>
      </c>
      <c r="Q2132">
        <v>0.14815510000000001</v>
      </c>
      <c r="R2132">
        <v>5.4472260000000002E-2</v>
      </c>
      <c r="S2132">
        <v>-3.062897</v>
      </c>
      <c r="T2132">
        <v>3.7093040000000001E-2</v>
      </c>
      <c r="U2132">
        <v>-0.53915409999999997</v>
      </c>
      <c r="V2132">
        <v>3.7435389999999999E-2</v>
      </c>
      <c r="W2132">
        <v>0.156978799999999</v>
      </c>
      <c r="X2132">
        <v>0.9868922</v>
      </c>
      <c r="Y2132">
        <v>-0.1903357</v>
      </c>
      <c r="Z2132">
        <v>6.4705909999999999E-4</v>
      </c>
      <c r="AA2132">
        <v>0.9817188</v>
      </c>
      <c r="AB2132">
        <v>27</v>
      </c>
      <c r="AC2132">
        <v>-83.208799999999997</v>
      </c>
      <c r="AD2132">
        <v>1.0096099999999999</v>
      </c>
      <c r="AE2132">
        <v>-14.6782</v>
      </c>
      <c r="AF2132">
        <v>-16.1105572252937</v>
      </c>
      <c r="AG2132">
        <v>1.0096099999999999</v>
      </c>
      <c r="AH2132">
        <v>82.931090131437401</v>
      </c>
      <c r="AI2132">
        <v>89.315309611237396</v>
      </c>
      <c r="AJ2132">
        <v>100.99359972067499</v>
      </c>
      <c r="AK2132">
        <v>84.487484735019606</v>
      </c>
      <c r="AL2132">
        <v>80.968421608184499</v>
      </c>
      <c r="AM2132">
        <v>87.827663456454601</v>
      </c>
      <c r="AN2132">
        <v>0.99999998324736505</v>
      </c>
    </row>
    <row r="2133" spans="1:40" x14ac:dyDescent="0.25">
      <c r="A2133" t="str">
        <f>"20190303170301444"</f>
        <v>20190303170301444</v>
      </c>
      <c r="B2133" t="str">
        <f>"1551603781438057"</f>
        <v>1551603781438057</v>
      </c>
      <c r="C2133" t="s">
        <v>40</v>
      </c>
      <c r="D2133">
        <v>4.1907719999999999</v>
      </c>
      <c r="E2133">
        <v>0.41521010000000003</v>
      </c>
      <c r="F2133" t="s">
        <v>68</v>
      </c>
      <c r="G2133">
        <v>-341.3372</v>
      </c>
      <c r="H2133">
        <v>2.080981</v>
      </c>
      <c r="I2133">
        <v>269.52179999999998</v>
      </c>
      <c r="J2133">
        <v>-258.5745</v>
      </c>
      <c r="K2133">
        <v>1.1209209999999901</v>
      </c>
      <c r="L2133">
        <v>284.20260000000002</v>
      </c>
      <c r="M2133">
        <v>-0.99981039999999999</v>
      </c>
      <c r="N2133">
        <v>-8.9338089999999992E-3</v>
      </c>
      <c r="O2133">
        <v>1.730075E-2</v>
      </c>
      <c r="P2133">
        <v>-0.98753159999999895</v>
      </c>
      <c r="Q2133">
        <v>0.14787120000000001</v>
      </c>
      <c r="R2133">
        <v>5.3996639999999999E-2</v>
      </c>
      <c r="S2133">
        <v>-3.0627140000000002</v>
      </c>
      <c r="T2133">
        <v>3.5463809999999998E-2</v>
      </c>
      <c r="U2133">
        <v>-0.54217530000000003</v>
      </c>
      <c r="V2133">
        <v>3.6926050000000002E-2</v>
      </c>
      <c r="W2133">
        <v>0.1566891</v>
      </c>
      <c r="X2133">
        <v>0.98695739999999998</v>
      </c>
      <c r="Y2133">
        <v>-0.1913185</v>
      </c>
      <c r="Z2133">
        <v>5.9001680000000001E-4</v>
      </c>
      <c r="AA2133">
        <v>0.98152779999999995</v>
      </c>
      <c r="AB2133">
        <v>27</v>
      </c>
      <c r="AC2133">
        <v>-82.762699999999995</v>
      </c>
      <c r="AD2133">
        <v>0.96006000000000002</v>
      </c>
      <c r="AE2133">
        <v>-14.6808</v>
      </c>
      <c r="AF2133">
        <v>-16.108415030179</v>
      </c>
      <c r="AG2133">
        <v>0.96006000000000002</v>
      </c>
      <c r="AH2133">
        <v>82.485552040419293</v>
      </c>
      <c r="AI2133">
        <v>89.345519310745601</v>
      </c>
      <c r="AJ2133">
        <v>101.050089160026</v>
      </c>
      <c r="AK2133">
        <v>84.049206096195903</v>
      </c>
      <c r="AL2133">
        <v>80.985227950817503</v>
      </c>
      <c r="AM2133">
        <v>87.857333607313706</v>
      </c>
      <c r="AN2133">
        <v>0.99999995832108501</v>
      </c>
    </row>
    <row r="2134" spans="1:40" x14ac:dyDescent="0.25">
      <c r="A2134" t="str">
        <f>"20190303170301461"</f>
        <v>20190303170301461</v>
      </c>
      <c r="B2134" t="str">
        <f>"1551603781457576"</f>
        <v>1551603781457576</v>
      </c>
      <c r="C2134" t="s">
        <v>40</v>
      </c>
      <c r="D2134">
        <v>4.1708769999999999</v>
      </c>
      <c r="E2134">
        <v>0.41500900000000002</v>
      </c>
      <c r="F2134" t="s">
        <v>68</v>
      </c>
      <c r="G2134">
        <v>-341.20940000000002</v>
      </c>
      <c r="H2134">
        <v>2.0541649999999998</v>
      </c>
      <c r="I2134">
        <v>269.52179999999998</v>
      </c>
      <c r="J2134">
        <v>-258.78370000000001</v>
      </c>
      <c r="K2134">
        <v>1.1209150000000001</v>
      </c>
      <c r="L2134">
        <v>284.2063</v>
      </c>
      <c r="M2134">
        <v>-0.99980979999999997</v>
      </c>
      <c r="N2134">
        <v>-8.9231659999999997E-3</v>
      </c>
      <c r="O2134">
        <v>1.7346759999999999E-2</v>
      </c>
      <c r="P2134">
        <v>-0.98756489999999997</v>
      </c>
      <c r="Q2134">
        <v>0.14791609999999999</v>
      </c>
      <c r="R2134">
        <v>5.326231E-2</v>
      </c>
      <c r="S2134">
        <v>-3.0624389999999999</v>
      </c>
      <c r="T2134">
        <v>3.4587739999999999E-2</v>
      </c>
      <c r="U2134">
        <v>-0.54406739999999998</v>
      </c>
      <c r="V2134">
        <v>3.6146280000000003E-2</v>
      </c>
      <c r="W2134">
        <v>0.156724</v>
      </c>
      <c r="X2134">
        <v>0.98698079999999999</v>
      </c>
      <c r="Y2134">
        <v>-0.1919671</v>
      </c>
      <c r="Z2134">
        <v>5.6043070000000002E-4</v>
      </c>
      <c r="AA2134">
        <v>0.98140119999999997</v>
      </c>
      <c r="AB2134">
        <v>27</v>
      </c>
      <c r="AC2134">
        <v>-82.425700000000006</v>
      </c>
      <c r="AD2134">
        <v>0.93325000000000002</v>
      </c>
      <c r="AE2134">
        <v>-14.6845</v>
      </c>
      <c r="AF2134">
        <v>-16.1101642339694</v>
      </c>
      <c r="AG2134">
        <v>0.93325000000000002</v>
      </c>
      <c r="AH2134">
        <v>82.148351064204405</v>
      </c>
      <c r="AI2134">
        <v>89.361282178598302</v>
      </c>
      <c r="AJ2134">
        <v>101.09549910956</v>
      </c>
      <c r="AK2134">
        <v>83.718336878940306</v>
      </c>
      <c r="AL2134">
        <v>80.983203989869395</v>
      </c>
      <c r="AM2134">
        <v>87.902589279662493</v>
      </c>
      <c r="AN2134">
        <v>1.0000000326512299</v>
      </c>
    </row>
    <row r="2135" spans="1:40" x14ac:dyDescent="0.25">
      <c r="A2135" t="str">
        <f>"20190303170301473"</f>
        <v>20190303170301473</v>
      </c>
      <c r="B2135" t="str">
        <f>"1551603781467336"</f>
        <v>1551603781467336</v>
      </c>
      <c r="C2135" t="s">
        <v>40</v>
      </c>
      <c r="D2135">
        <v>4.2131259999999999</v>
      </c>
      <c r="E2135">
        <v>0.41487930000000001</v>
      </c>
      <c r="F2135" t="s">
        <v>68</v>
      </c>
      <c r="G2135">
        <v>-341.1703</v>
      </c>
      <c r="H2135">
        <v>2.0761419999999999</v>
      </c>
      <c r="I2135">
        <v>269.45749999999998</v>
      </c>
      <c r="J2135">
        <v>-258.9307</v>
      </c>
      <c r="K2135">
        <v>1.1209180000000001</v>
      </c>
      <c r="L2135">
        <v>284.20890000000003</v>
      </c>
      <c r="M2135">
        <v>-0.99980930000000001</v>
      </c>
      <c r="N2135">
        <v>-8.9140309999999993E-3</v>
      </c>
      <c r="O2135">
        <v>1.7379769999999999E-2</v>
      </c>
      <c r="P2135">
        <v>-0.98749960000000003</v>
      </c>
      <c r="Q2135">
        <v>0.14847170000000001</v>
      </c>
      <c r="R2135">
        <v>5.2924609999999997E-2</v>
      </c>
      <c r="S2135">
        <v>-3.0620120000000002</v>
      </c>
      <c r="T2135">
        <v>3.5503979999999997E-2</v>
      </c>
      <c r="U2135">
        <v>-0.54815669999999905</v>
      </c>
      <c r="V2135">
        <v>3.5777299999999998E-2</v>
      </c>
      <c r="W2135">
        <v>0.15726979999999999</v>
      </c>
      <c r="X2135">
        <v>0.98690739999999999</v>
      </c>
      <c r="Y2135">
        <v>-0.19329270000000001</v>
      </c>
      <c r="Z2135">
        <v>5.9704790000000005E-4</v>
      </c>
      <c r="AA2135">
        <v>0.98114100000000004</v>
      </c>
      <c r="AB2135">
        <v>28</v>
      </c>
      <c r="AC2135">
        <v>-82.239599999999996</v>
      </c>
      <c r="AD2135">
        <v>0.95522399999999996</v>
      </c>
      <c r="AE2135">
        <v>-14.7514</v>
      </c>
      <c r="AF2135">
        <v>-16.1764194356434</v>
      </c>
      <c r="AG2135">
        <v>0.95522399999999996</v>
      </c>
      <c r="AH2135">
        <v>81.960078796379193</v>
      </c>
      <c r="AI2135">
        <v>89.344899010473995</v>
      </c>
      <c r="AJ2135">
        <v>101.16493945251401</v>
      </c>
      <c r="AK2135">
        <v>83.546654720322095</v>
      </c>
      <c r="AL2135">
        <v>80.951539082557801</v>
      </c>
      <c r="AM2135">
        <v>87.9238264802743</v>
      </c>
      <c r="AN2135">
        <v>1.0000000106810401</v>
      </c>
    </row>
    <row r="2136" spans="1:40" x14ac:dyDescent="0.25">
      <c r="A2136" t="str">
        <f>"20190303170301485"</f>
        <v>20190303170301485</v>
      </c>
      <c r="B2136" t="str">
        <f>"1551603781478071"</f>
        <v>1551603781478071</v>
      </c>
      <c r="C2136" t="s">
        <v>40</v>
      </c>
      <c r="D2136">
        <v>4.1804269999999999</v>
      </c>
      <c r="E2136">
        <v>0.41470639999999998</v>
      </c>
      <c r="F2136" t="s">
        <v>68</v>
      </c>
      <c r="G2136">
        <v>-341.1703</v>
      </c>
      <c r="H2136">
        <v>2.1249210000000001</v>
      </c>
      <c r="I2136">
        <v>269.4323</v>
      </c>
      <c r="J2136">
        <v>-259.07929999999999</v>
      </c>
      <c r="K2136">
        <v>1.1209169999999999</v>
      </c>
      <c r="L2136">
        <v>284.2115</v>
      </c>
      <c r="M2136">
        <v>-0.99980880000000005</v>
      </c>
      <c r="N2136">
        <v>-8.900771E-3</v>
      </c>
      <c r="O2136">
        <v>1.7413390000000001E-2</v>
      </c>
      <c r="P2136">
        <v>-0.98742379999999996</v>
      </c>
      <c r="Q2136">
        <v>0.14900429999999901</v>
      </c>
      <c r="R2136">
        <v>5.2841510000000001E-2</v>
      </c>
      <c r="S2136">
        <v>-3.0618289999999999</v>
      </c>
      <c r="T2136">
        <v>3.7381289999999998E-2</v>
      </c>
      <c r="U2136">
        <v>-0.55014039999999997</v>
      </c>
      <c r="V2136">
        <v>3.5662439999999997E-2</v>
      </c>
      <c r="W2136">
        <v>0.1577887</v>
      </c>
      <c r="X2136">
        <v>0.9868287</v>
      </c>
      <c r="Y2136">
        <v>-0.1939505</v>
      </c>
      <c r="Z2136">
        <v>6.6914429999999998E-4</v>
      </c>
      <c r="AA2136">
        <v>0.98101110000000002</v>
      </c>
      <c r="AB2136">
        <v>28</v>
      </c>
      <c r="AC2136">
        <v>-82.090999999999994</v>
      </c>
      <c r="AD2136">
        <v>1.0040039999999999</v>
      </c>
      <c r="AE2136">
        <v>-14.779199999999999</v>
      </c>
      <c r="AF2136">
        <v>-16.204150341857702</v>
      </c>
      <c r="AG2136">
        <v>1.0040039999999999</v>
      </c>
      <c r="AH2136">
        <v>81.809332813168098</v>
      </c>
      <c r="AI2136">
        <v>89.310271979797903</v>
      </c>
      <c r="AJ2136">
        <v>101.203683842072</v>
      </c>
      <c r="AK2136">
        <v>83.404732765408696</v>
      </c>
      <c r="AL2136">
        <v>80.921432149573306</v>
      </c>
      <c r="AM2136">
        <v>87.930321153842698</v>
      </c>
      <c r="AN2136">
        <v>0.99999998330906603</v>
      </c>
    </row>
    <row r="2137" spans="1:40" x14ac:dyDescent="0.25">
      <c r="A2137" t="str">
        <f>"20190303170301497"</f>
        <v>20190303170301497</v>
      </c>
      <c r="B2137" t="str">
        <f>"1551603781487832"</f>
        <v>1551603781487832</v>
      </c>
      <c r="C2137" t="s">
        <v>40</v>
      </c>
      <c r="D2137">
        <v>4.1930560000000003</v>
      </c>
      <c r="E2137">
        <v>0.41458600000000001</v>
      </c>
      <c r="F2137" t="s">
        <v>65</v>
      </c>
      <c r="G2137">
        <v>-352.08690000000001</v>
      </c>
      <c r="H2137">
        <v>2.3124959999999999</v>
      </c>
      <c r="I2137">
        <v>267.44729999999998</v>
      </c>
      <c r="J2137">
        <v>-259.22890000000001</v>
      </c>
      <c r="K2137">
        <v>1.1209169999999999</v>
      </c>
      <c r="L2137">
        <v>284.21409999999997</v>
      </c>
      <c r="M2137">
        <v>-0.99980840000000004</v>
      </c>
      <c r="N2137">
        <v>-8.8839739999999993E-3</v>
      </c>
      <c r="O2137">
        <v>1.74472E-2</v>
      </c>
      <c r="P2137">
        <v>-0.98733610000000005</v>
      </c>
      <c r="Q2137">
        <v>0.14952389999999999</v>
      </c>
      <c r="R2137">
        <v>5.3010090000000003E-2</v>
      </c>
      <c r="S2137">
        <v>-3.0618289999999999</v>
      </c>
      <c r="T2137">
        <v>3.9229390000000003E-2</v>
      </c>
      <c r="U2137">
        <v>-0.55187989999999998</v>
      </c>
      <c r="V2137">
        <v>3.579922E-2</v>
      </c>
      <c r="W2137">
        <v>0.1582906</v>
      </c>
      <c r="X2137">
        <v>0.98674340000000005</v>
      </c>
      <c r="Y2137">
        <v>-0.19452240000000001</v>
      </c>
      <c r="Z2137">
        <v>7.4066339999999896E-4</v>
      </c>
      <c r="AA2137">
        <v>0.98089780000000004</v>
      </c>
      <c r="AB2137">
        <v>28</v>
      </c>
      <c r="AC2137">
        <v>-92.857999999999905</v>
      </c>
      <c r="AD2137">
        <v>1.1915789999999999</v>
      </c>
      <c r="AE2137">
        <v>-16.7667999999999</v>
      </c>
      <c r="AF2137">
        <v>-18.3814922981934</v>
      </c>
      <c r="AG2137">
        <v>1.1915789999999999</v>
      </c>
      <c r="AH2137">
        <v>92.536562748069798</v>
      </c>
      <c r="AI2137">
        <v>89.276388349988295</v>
      </c>
      <c r="AJ2137">
        <v>101.23500522226</v>
      </c>
      <c r="AK2137">
        <v>94.352077692275799</v>
      </c>
      <c r="AL2137">
        <v>80.8923097216949</v>
      </c>
      <c r="AM2137">
        <v>87.922210591114094</v>
      </c>
      <c r="AN2137">
        <v>1.0000000178222599</v>
      </c>
    </row>
    <row r="2138" spans="1:40" x14ac:dyDescent="0.25">
      <c r="A2138" t="str">
        <f>"20190303170301510"</f>
        <v>20190303170301510</v>
      </c>
      <c r="B2138" t="str">
        <f>"1551603781497592"</f>
        <v>1551603781497592</v>
      </c>
      <c r="C2138" t="s">
        <v>40</v>
      </c>
      <c r="D2138">
        <v>4.1998620000000004</v>
      </c>
      <c r="E2138">
        <v>0.41443419999999997</v>
      </c>
      <c r="F2138" t="s">
        <v>65</v>
      </c>
      <c r="G2138">
        <v>-352.08690000000001</v>
      </c>
      <c r="H2138">
        <v>2.3569740000000001</v>
      </c>
      <c r="I2138">
        <v>267.46809999999999</v>
      </c>
      <c r="J2138">
        <v>-259.38350000000003</v>
      </c>
      <c r="K2138">
        <v>1.1209150000000001</v>
      </c>
      <c r="L2138">
        <v>284.21679999999998</v>
      </c>
      <c r="M2138">
        <v>-0.99980800000000003</v>
      </c>
      <c r="N2138">
        <v>-8.8562369999999994E-3</v>
      </c>
      <c r="O2138">
        <v>1.7482129999999999E-2</v>
      </c>
      <c r="P2138">
        <v>-0.987259</v>
      </c>
      <c r="Q2138">
        <v>0.15004500000000001</v>
      </c>
      <c r="R2138">
        <v>5.2975099999999997E-2</v>
      </c>
      <c r="S2138">
        <v>-3.0619200000000002</v>
      </c>
      <c r="T2138">
        <v>4.0760400000000002E-2</v>
      </c>
      <c r="U2138">
        <v>-0.55218509999999998</v>
      </c>
      <c r="V2138">
        <v>3.5731329999999999E-2</v>
      </c>
      <c r="W2138">
        <v>0.15878399999999901</v>
      </c>
      <c r="X2138">
        <v>0.98666659999999995</v>
      </c>
      <c r="Y2138">
        <v>-0.19464519999999999</v>
      </c>
      <c r="Z2138">
        <v>8.0076069999999999E-4</v>
      </c>
      <c r="AA2138">
        <v>0.98087340000000001</v>
      </c>
      <c r="AB2138">
        <v>28</v>
      </c>
      <c r="AC2138">
        <v>-92.703400000000002</v>
      </c>
      <c r="AD2138">
        <v>1.236059</v>
      </c>
      <c r="AE2138">
        <v>-16.7486999999999</v>
      </c>
      <c r="AF2138">
        <v>-18.363695036019902</v>
      </c>
      <c r="AG2138">
        <v>1.236059</v>
      </c>
      <c r="AH2138">
        <v>92.380512734554799</v>
      </c>
      <c r="AI2138">
        <v>89.248132687518194</v>
      </c>
      <c r="AJ2138">
        <v>101.242881407005</v>
      </c>
      <c r="AK2138">
        <v>94.196137236760705</v>
      </c>
      <c r="AL2138">
        <v>80.863678017593898</v>
      </c>
      <c r="AM2138">
        <v>87.925986204655899</v>
      </c>
      <c r="AN2138">
        <v>1.00000003307756</v>
      </c>
    </row>
    <row r="2139" spans="1:40" x14ac:dyDescent="0.25">
      <c r="A2139" t="str">
        <f>"20190303170301523"</f>
        <v>20190303170301523</v>
      </c>
      <c r="B2139" t="str">
        <f>"1551603781518088"</f>
        <v>1551603781518088</v>
      </c>
      <c r="C2139" t="s">
        <v>40</v>
      </c>
      <c r="D2139">
        <v>4.1899089999999903</v>
      </c>
      <c r="E2139">
        <v>0.41420459999999898</v>
      </c>
      <c r="F2139" t="s">
        <v>65</v>
      </c>
      <c r="G2139">
        <v>-352.08690000000001</v>
      </c>
      <c r="H2139">
        <v>2.4119890000000002</v>
      </c>
      <c r="I2139">
        <v>267.45440000000002</v>
      </c>
      <c r="J2139">
        <v>-259.54329999999999</v>
      </c>
      <c r="K2139">
        <v>1.1209100000000001</v>
      </c>
      <c r="L2139">
        <v>284.21969999999999</v>
      </c>
      <c r="M2139">
        <v>-0.99980769999999997</v>
      </c>
      <c r="N2139">
        <v>-8.8221710000000002E-3</v>
      </c>
      <c r="O2139">
        <v>1.751805E-2</v>
      </c>
      <c r="P2139">
        <v>-0.98716740000000003</v>
      </c>
      <c r="Q2139">
        <v>0.1505302</v>
      </c>
      <c r="R2139">
        <v>5.3305749999999999E-2</v>
      </c>
      <c r="S2139">
        <v>-3.0619200000000002</v>
      </c>
      <c r="T2139">
        <v>4.2645570000000001E-2</v>
      </c>
      <c r="U2139">
        <v>-0.55364990000000003</v>
      </c>
      <c r="V2139">
        <v>3.60281E-2</v>
      </c>
      <c r="W2139">
        <v>0.1592346</v>
      </c>
      <c r="X2139">
        <v>0.98658319999999999</v>
      </c>
      <c r="Y2139">
        <v>-0.19513349999999999</v>
      </c>
      <c r="Z2139">
        <v>8.7552399999999905E-4</v>
      </c>
      <c r="AA2139">
        <v>0.98077630000000005</v>
      </c>
      <c r="AB2139">
        <v>28</v>
      </c>
      <c r="AC2139">
        <v>-92.543599999999998</v>
      </c>
      <c r="AD2139">
        <v>1.2910790000000001</v>
      </c>
      <c r="AE2139">
        <v>-16.7652999999999</v>
      </c>
      <c r="AF2139">
        <v>-18.3805097548228</v>
      </c>
      <c r="AG2139">
        <v>1.2910790000000001</v>
      </c>
      <c r="AH2139">
        <v>92.218312814508195</v>
      </c>
      <c r="AI2139">
        <v>89.213368336739293</v>
      </c>
      <c r="AJ2139">
        <v>101.272199423007</v>
      </c>
      <c r="AK2139">
        <v>94.041093369791597</v>
      </c>
      <c r="AL2139">
        <v>80.837527954442393</v>
      </c>
      <c r="AM2139">
        <v>87.908598891980802</v>
      </c>
      <c r="AN2139">
        <v>1.0000000461745</v>
      </c>
    </row>
    <row r="2140" spans="1:40" x14ac:dyDescent="0.25">
      <c r="A2140" t="str">
        <f>"20190303170301540"</f>
        <v>20190303170301540</v>
      </c>
      <c r="B2140" t="str">
        <f>"1551603781527849"</f>
        <v>1551603781527849</v>
      </c>
      <c r="C2140" t="s">
        <v>40</v>
      </c>
      <c r="D2140">
        <v>4.173235</v>
      </c>
      <c r="E2140">
        <v>0.41407080000000002</v>
      </c>
      <c r="F2140" t="s">
        <v>65</v>
      </c>
      <c r="G2140">
        <v>-352.08690000000001</v>
      </c>
      <c r="H2140">
        <v>2.4409480000000001</v>
      </c>
      <c r="I2140">
        <v>267.46769999999998</v>
      </c>
      <c r="J2140">
        <v>-259.75970000000001</v>
      </c>
      <c r="K2140">
        <v>1.1208979999999999</v>
      </c>
      <c r="L2140">
        <v>284.2235</v>
      </c>
      <c r="M2140">
        <v>-0.99980729999999995</v>
      </c>
      <c r="N2140">
        <v>-8.7702459999999902E-3</v>
      </c>
      <c r="O2140">
        <v>1.7566559999999998E-2</v>
      </c>
      <c r="P2140">
        <v>-0.98703890000000005</v>
      </c>
      <c r="Q2140">
        <v>0.15119440000000001</v>
      </c>
      <c r="R2140">
        <v>5.3801809999999999E-2</v>
      </c>
      <c r="S2140">
        <v>-3.0622560000000001</v>
      </c>
      <c r="T2140">
        <v>4.368234E-2</v>
      </c>
      <c r="U2140">
        <v>-0.55432130000000002</v>
      </c>
      <c r="V2140">
        <v>3.6478589999999998E-2</v>
      </c>
      <c r="W2140">
        <v>0.1598465</v>
      </c>
      <c r="X2140">
        <v>0.98646769999999995</v>
      </c>
      <c r="Y2140">
        <v>-0.1953696</v>
      </c>
      <c r="Z2140">
        <v>9.1988849999999995E-4</v>
      </c>
      <c r="AA2140">
        <v>0.98072919999999997</v>
      </c>
      <c r="AB2140">
        <v>28</v>
      </c>
      <c r="AC2140">
        <v>-92.327200000000005</v>
      </c>
      <c r="AD2140">
        <v>1.3200499999999999</v>
      </c>
      <c r="AE2140">
        <v>-16.755800000000001</v>
      </c>
      <c r="AF2140">
        <v>-18.371512139711001</v>
      </c>
      <c r="AG2140">
        <v>1.3200499999999999</v>
      </c>
      <c r="AH2140">
        <v>92.000392420081894</v>
      </c>
      <c r="AI2140">
        <v>89.193872159157706</v>
      </c>
      <c r="AJ2140">
        <v>101.29282522409601</v>
      </c>
      <c r="AK2140">
        <v>93.826047533460098</v>
      </c>
      <c r="AL2140">
        <v>80.802013881834398</v>
      </c>
      <c r="AM2140">
        <v>87.882224279105401</v>
      </c>
      <c r="AN2140">
        <v>1.0000000571169601</v>
      </c>
    </row>
    <row r="2141" spans="1:40" x14ac:dyDescent="0.25">
      <c r="A2141" t="str">
        <f>"20190303170301562"</f>
        <v>20190303170301562</v>
      </c>
      <c r="B2141" t="str">
        <f>"1551603781558104"</f>
        <v>1551603781558104</v>
      </c>
      <c r="C2141" t="s">
        <v>40</v>
      </c>
      <c r="D2141">
        <v>4.184577</v>
      </c>
      <c r="E2141">
        <v>0.41374830000000001</v>
      </c>
      <c r="F2141" t="s">
        <v>65</v>
      </c>
      <c r="G2141">
        <v>-352.08690000000001</v>
      </c>
      <c r="H2141">
        <v>2.4808620000000001</v>
      </c>
      <c r="I2141">
        <v>267.53590000000003</v>
      </c>
      <c r="J2141">
        <v>-260.03680000000003</v>
      </c>
      <c r="K2141">
        <v>1.1208769999999999</v>
      </c>
      <c r="L2141">
        <v>284.22840000000002</v>
      </c>
      <c r="M2141">
        <v>-0.99980690000000005</v>
      </c>
      <c r="N2141">
        <v>-8.6983389999999994E-3</v>
      </c>
      <c r="O2141">
        <v>1.76282E-2</v>
      </c>
      <c r="P2141">
        <v>-0.98698960000000002</v>
      </c>
      <c r="Q2141">
        <v>0.1512839</v>
      </c>
      <c r="R2141">
        <v>5.4452210000000001E-2</v>
      </c>
      <c r="S2141">
        <v>-3.0626530000000001</v>
      </c>
      <c r="T2141">
        <v>4.5114759999999997E-2</v>
      </c>
      <c r="U2141">
        <v>-0.55355829999999995</v>
      </c>
      <c r="V2141">
        <v>3.7068900000000002E-2</v>
      </c>
      <c r="W2141">
        <v>0.15986439999999999</v>
      </c>
      <c r="X2141">
        <v>0.98644270000000001</v>
      </c>
      <c r="Y2141">
        <v>-0.19517010000000001</v>
      </c>
      <c r="Z2141">
        <v>9.7988159999999993E-4</v>
      </c>
      <c r="AA2141">
        <v>0.98076890000000005</v>
      </c>
      <c r="AB2141">
        <v>28</v>
      </c>
      <c r="AC2141">
        <v>-92.0501</v>
      </c>
      <c r="AD2141">
        <v>1.35998499999999</v>
      </c>
      <c r="AE2141">
        <v>-16.6924999999999</v>
      </c>
      <c r="AF2141">
        <v>-18.3087754825358</v>
      </c>
      <c r="AG2141">
        <v>1.35998499999999</v>
      </c>
      <c r="AH2141">
        <v>91.722141604300901</v>
      </c>
      <c r="AI2141">
        <v>89.166956412477106</v>
      </c>
      <c r="AJ2141">
        <v>101.28851631113299</v>
      </c>
      <c r="AK2141">
        <v>93.541499236165606</v>
      </c>
      <c r="AL2141">
        <v>80.800974072734903</v>
      </c>
      <c r="AM2141">
        <v>87.847931128551494</v>
      </c>
      <c r="AN2141">
        <v>0.99999996505892896</v>
      </c>
    </row>
    <row r="2142" spans="1:40" x14ac:dyDescent="0.25">
      <c r="A2142" t="str">
        <f>"20190303170301574"</f>
        <v>20190303170301574</v>
      </c>
      <c r="B2142" t="str">
        <f>"1551603781567865"</f>
        <v>1551603781567865</v>
      </c>
      <c r="C2142" t="s">
        <v>40</v>
      </c>
      <c r="D2142">
        <v>4.1736060000000004</v>
      </c>
      <c r="E2142">
        <v>0.41365950000000001</v>
      </c>
      <c r="F2142" t="s">
        <v>65</v>
      </c>
      <c r="G2142">
        <v>-352.08690000000001</v>
      </c>
      <c r="H2142">
        <v>2.480251</v>
      </c>
      <c r="I2142">
        <v>267.5763</v>
      </c>
      <c r="J2142">
        <v>-260.19009999999997</v>
      </c>
      <c r="K2142">
        <v>1.1208610000000001</v>
      </c>
      <c r="L2142">
        <v>284.2312</v>
      </c>
      <c r="M2142">
        <v>-0.99980659999999999</v>
      </c>
      <c r="N2142">
        <v>-8.657128E-3</v>
      </c>
      <c r="O2142">
        <v>1.766212E-2</v>
      </c>
      <c r="P2142">
        <v>-0.98699990000000004</v>
      </c>
      <c r="Q2142">
        <v>0.1511885</v>
      </c>
      <c r="R2142">
        <v>5.4530330000000002E-2</v>
      </c>
      <c r="S2142">
        <v>-3.0631710000000001</v>
      </c>
      <c r="T2142">
        <v>4.5238609999999999E-2</v>
      </c>
      <c r="U2142">
        <v>-0.55413819999999903</v>
      </c>
      <c r="V2142">
        <v>3.711333E-2</v>
      </c>
      <c r="W2142">
        <v>0.159728799999999</v>
      </c>
      <c r="X2142">
        <v>0.98646299999999998</v>
      </c>
      <c r="Y2142">
        <v>-0.195354</v>
      </c>
      <c r="Z2142">
        <v>9.8884620000000011E-4</v>
      </c>
      <c r="AA2142">
        <v>0.9807323</v>
      </c>
      <c r="AB2142">
        <v>28</v>
      </c>
      <c r="AC2142">
        <v>-91.896799999999999</v>
      </c>
      <c r="AD2142">
        <v>1.3593900000000001</v>
      </c>
      <c r="AE2142">
        <v>-16.654899999999898</v>
      </c>
      <c r="AF2142">
        <v>-18.271583834345201</v>
      </c>
      <c r="AG2142">
        <v>1.3593900000000001</v>
      </c>
      <c r="AH2142">
        <v>91.568892426853196</v>
      </c>
      <c r="AI2142">
        <v>89.165915912087002</v>
      </c>
      <c r="AJ2142">
        <v>101.28454396543999</v>
      </c>
      <c r="AK2142">
        <v>93.383942823529495</v>
      </c>
      <c r="AL2142">
        <v>80.808844558239898</v>
      </c>
      <c r="AM2142">
        <v>87.845398431753296</v>
      </c>
      <c r="AN2142">
        <v>0.99999996959106396</v>
      </c>
    </row>
    <row r="2143" spans="1:40" x14ac:dyDescent="0.25">
      <c r="A2143" t="str">
        <f>"20190303170301587"</f>
        <v>20190303170301587</v>
      </c>
      <c r="B2143" t="str">
        <f>"1551603781577624"</f>
        <v>1551603781577624</v>
      </c>
      <c r="C2143" t="s">
        <v>40</v>
      </c>
      <c r="D2143">
        <v>4.1791999999999998</v>
      </c>
      <c r="E2143">
        <v>0.41352660000000002</v>
      </c>
      <c r="F2143" t="s">
        <v>65</v>
      </c>
      <c r="G2143">
        <v>-352.08690000000001</v>
      </c>
      <c r="H2143">
        <v>2.471622</v>
      </c>
      <c r="I2143">
        <v>267.58890000000002</v>
      </c>
      <c r="J2143">
        <v>-260.34750000000003</v>
      </c>
      <c r="K2143">
        <v>1.1208530000000001</v>
      </c>
      <c r="L2143">
        <v>284.23390000000001</v>
      </c>
      <c r="M2143">
        <v>-0.99980630000000004</v>
      </c>
      <c r="N2143">
        <v>-8.6146480000000008E-3</v>
      </c>
      <c r="O2143">
        <v>1.769687E-2</v>
      </c>
      <c r="P2143">
        <v>-0.98701300000000003</v>
      </c>
      <c r="Q2143">
        <v>0.15099889999999999</v>
      </c>
      <c r="R2143">
        <v>5.4813180000000003E-2</v>
      </c>
      <c r="S2143">
        <v>-3.0632630000000001</v>
      </c>
      <c r="T2143">
        <v>4.5028329999999998E-2</v>
      </c>
      <c r="U2143">
        <v>-0.55474849999999998</v>
      </c>
      <c r="V2143">
        <v>3.7361470000000001E-2</v>
      </c>
      <c r="W2143">
        <v>0.15949769999999999</v>
      </c>
      <c r="X2143">
        <v>0.98649109999999995</v>
      </c>
      <c r="Y2143">
        <v>-0.1955722</v>
      </c>
      <c r="Z2143">
        <v>9.8578290000000002E-4</v>
      </c>
      <c r="AA2143">
        <v>0.98068880000000003</v>
      </c>
      <c r="AB2143">
        <v>28</v>
      </c>
      <c r="AC2143">
        <v>-91.739400000000003</v>
      </c>
      <c r="AD2143">
        <v>1.3507690000000001</v>
      </c>
      <c r="AE2143">
        <v>-16.6449999999999</v>
      </c>
      <c r="AF2143">
        <v>-18.262120659305801</v>
      </c>
      <c r="AG2143">
        <v>1.3507690000000001</v>
      </c>
      <c r="AH2143">
        <v>91.411271083719001</v>
      </c>
      <c r="AI2143">
        <v>89.169814217459802</v>
      </c>
      <c r="AJ2143">
        <v>101.297797790554</v>
      </c>
      <c r="AK2143">
        <v>93.227410717061005</v>
      </c>
      <c r="AL2143">
        <v>80.822258253352999</v>
      </c>
      <c r="AM2143">
        <v>87.831068187459195</v>
      </c>
      <c r="AN2143">
        <v>1.00000004306252</v>
      </c>
    </row>
    <row r="2144" spans="1:40" x14ac:dyDescent="0.25">
      <c r="A2144" t="str">
        <f>"20190303170301600"</f>
        <v>20190303170301600</v>
      </c>
      <c r="B2144" t="str">
        <f>"1551603781587384"</f>
        <v>1551603781587384</v>
      </c>
      <c r="C2144" t="s">
        <v>40</v>
      </c>
      <c r="D2144">
        <v>4.2023479999999998</v>
      </c>
      <c r="E2144">
        <v>0.41342089999999998</v>
      </c>
      <c r="F2144" t="s">
        <v>65</v>
      </c>
      <c r="G2144">
        <v>-352.08690000000001</v>
      </c>
      <c r="H2144">
        <v>2.4655320000000001</v>
      </c>
      <c r="I2144">
        <v>267.61099999999999</v>
      </c>
      <c r="J2144">
        <v>-260.49059999999997</v>
      </c>
      <c r="K2144">
        <v>1.1208450000000001</v>
      </c>
      <c r="L2144">
        <v>284.23649999999998</v>
      </c>
      <c r="M2144">
        <v>-0.99980610000000003</v>
      </c>
      <c r="N2144">
        <v>-8.5767039999999992E-3</v>
      </c>
      <c r="O2144">
        <v>1.7728270000000001E-2</v>
      </c>
      <c r="P2144">
        <v>-0.98698229999999998</v>
      </c>
      <c r="Q2144">
        <v>0.15114559999999999</v>
      </c>
      <c r="R2144">
        <v>5.4964510000000001E-2</v>
      </c>
      <c r="S2144">
        <v>-3.0634160000000001</v>
      </c>
      <c r="T2144">
        <v>4.490471E-2</v>
      </c>
      <c r="U2144">
        <v>-0.55508419999999903</v>
      </c>
      <c r="V2144">
        <v>3.7482460000000002E-2</v>
      </c>
      <c r="W2144">
        <v>0.15960650000000001</v>
      </c>
      <c r="X2144">
        <v>0.98646889999999998</v>
      </c>
      <c r="Y2144">
        <v>-0.1956985</v>
      </c>
      <c r="Z2144">
        <v>9.8522379999999997E-4</v>
      </c>
      <c r="AA2144">
        <v>0.98066359999999997</v>
      </c>
      <c r="AB2144">
        <v>28</v>
      </c>
      <c r="AC2144">
        <v>-91.596299999999999</v>
      </c>
      <c r="AD2144">
        <v>1.344687</v>
      </c>
      <c r="AE2144">
        <v>-16.625499999999899</v>
      </c>
      <c r="AF2144">
        <v>-18.242984250495201</v>
      </c>
      <c r="AG2144">
        <v>1.344687</v>
      </c>
      <c r="AH2144">
        <v>91.268108969200199</v>
      </c>
      <c r="AI2144">
        <v>89.172272023907297</v>
      </c>
      <c r="AJ2144">
        <v>101.30351119833099</v>
      </c>
      <c r="AK2144">
        <v>93.083201343236993</v>
      </c>
      <c r="AL2144">
        <v>80.815943459197598</v>
      </c>
      <c r="AM2144">
        <v>87.824002218180595</v>
      </c>
      <c r="AN2144">
        <v>1.0000000301585501</v>
      </c>
    </row>
    <row r="2145" spans="1:40" x14ac:dyDescent="0.25">
      <c r="A2145" t="str">
        <f>"20190303170301611"</f>
        <v>20190303170301611</v>
      </c>
      <c r="B2145" t="str">
        <f>"1551603781607880"</f>
        <v>1551603781607880</v>
      </c>
      <c r="C2145" t="s">
        <v>40</v>
      </c>
      <c r="D2145">
        <v>4.1563119999999998</v>
      </c>
      <c r="E2145">
        <v>0.41331279999999998</v>
      </c>
      <c r="F2145" t="s">
        <v>65</v>
      </c>
      <c r="G2145">
        <v>-352.08690000000001</v>
      </c>
      <c r="H2145">
        <v>2.4780060000000002</v>
      </c>
      <c r="I2145">
        <v>267.62389999999999</v>
      </c>
      <c r="J2145">
        <v>-260.6515</v>
      </c>
      <c r="K2145">
        <v>1.1208389999999999</v>
      </c>
      <c r="L2145">
        <v>284.23939999999999</v>
      </c>
      <c r="M2145">
        <v>-0.99980590000000003</v>
      </c>
      <c r="N2145">
        <v>-8.5352250000000005E-3</v>
      </c>
      <c r="O2145">
        <v>1.7763560000000001E-2</v>
      </c>
      <c r="P2145">
        <v>-0.98698980000000003</v>
      </c>
      <c r="Q2145">
        <v>0.15109229999999901</v>
      </c>
      <c r="R2145">
        <v>5.4979790000000001E-2</v>
      </c>
      <c r="S2145">
        <v>-3.0635680000000001</v>
      </c>
      <c r="T2145">
        <v>4.5394539999999997E-2</v>
      </c>
      <c r="U2145">
        <v>-0.5556335</v>
      </c>
      <c r="V2145">
        <v>3.7462860000000001E-2</v>
      </c>
      <c r="W2145">
        <v>0.1595123</v>
      </c>
      <c r="X2145">
        <v>0.98648480000000005</v>
      </c>
      <c r="Y2145">
        <v>-0.19589429999999999</v>
      </c>
      <c r="Z2145">
        <v>1.008204E-3</v>
      </c>
      <c r="AA2145">
        <v>0.98062450000000001</v>
      </c>
      <c r="AB2145">
        <v>28</v>
      </c>
      <c r="AC2145">
        <v>-91.435400000000001</v>
      </c>
      <c r="AD2145">
        <v>1.357167</v>
      </c>
      <c r="AE2145">
        <v>-16.615499999999901</v>
      </c>
      <c r="AF2145">
        <v>-18.233266735835699</v>
      </c>
      <c r="AG2145">
        <v>1.357167</v>
      </c>
      <c r="AH2145">
        <v>91.106380518309294</v>
      </c>
      <c r="AI2145">
        <v>89.163148149030206</v>
      </c>
      <c r="AJ2145">
        <v>101.317183034615</v>
      </c>
      <c r="AK2145">
        <v>92.922906160284199</v>
      </c>
      <c r="AL2145">
        <v>80.821410026379397</v>
      </c>
      <c r="AM2145">
        <v>87.825173999339398</v>
      </c>
      <c r="AN2145">
        <v>0.99999995018085297</v>
      </c>
    </row>
    <row r="2146" spans="1:40" x14ac:dyDescent="0.25">
      <c r="A2146" t="str">
        <f>"20190303170301629"</f>
        <v>20190303170301629</v>
      </c>
      <c r="B2146" t="str">
        <f>"1551603781617640"</f>
        <v>1551603781617640</v>
      </c>
      <c r="C2146" t="s">
        <v>40</v>
      </c>
      <c r="D2146">
        <v>4.1513299999999997</v>
      </c>
      <c r="E2146">
        <v>0.4071437</v>
      </c>
      <c r="F2146" t="s">
        <v>65</v>
      </c>
      <c r="G2146">
        <v>-352.08690000000001</v>
      </c>
      <c r="H2146">
        <v>2.478342</v>
      </c>
      <c r="I2146">
        <v>267.62959999999998</v>
      </c>
      <c r="J2146">
        <v>-260.85899999999998</v>
      </c>
      <c r="K2146">
        <v>1.120838</v>
      </c>
      <c r="L2146">
        <v>284.2432</v>
      </c>
      <c r="M2146">
        <v>-0.99980550000000001</v>
      </c>
      <c r="N2146">
        <v>-8.4849729999999998E-3</v>
      </c>
      <c r="O2146">
        <v>1.7809189999999999E-2</v>
      </c>
      <c r="P2146">
        <v>-0.98697330000000005</v>
      </c>
      <c r="Q2146">
        <v>0.15109639999999999</v>
      </c>
      <c r="R2146">
        <v>5.5259019999999999E-2</v>
      </c>
      <c r="S2146">
        <v>-3.0635680000000001</v>
      </c>
      <c r="T2146">
        <v>4.5485970000000001E-2</v>
      </c>
      <c r="U2146">
        <v>-0.55651859999999997</v>
      </c>
      <c r="V2146">
        <v>3.769699E-2</v>
      </c>
      <c r="W2146">
        <v>0.15946659999999999</v>
      </c>
      <c r="X2146">
        <v>0.98648329999999995</v>
      </c>
      <c r="Y2146">
        <v>-0.1962132</v>
      </c>
      <c r="Z2146">
        <v>1.0176779999999999E-3</v>
      </c>
      <c r="AA2146">
        <v>0.98056069999999995</v>
      </c>
      <c r="AB2146">
        <v>28</v>
      </c>
      <c r="AC2146">
        <v>-91.227899999999906</v>
      </c>
      <c r="AD2146">
        <v>1.357504</v>
      </c>
      <c r="AE2146">
        <v>-16.613600000000002</v>
      </c>
      <c r="AF2146">
        <v>-18.231810892486799</v>
      </c>
      <c r="AG2146">
        <v>1.357504</v>
      </c>
      <c r="AH2146">
        <v>90.898064144597797</v>
      </c>
      <c r="AI2146">
        <v>89.161093833404394</v>
      </c>
      <c r="AJ2146">
        <v>101.34156552266801</v>
      </c>
      <c r="AK2146">
        <v>92.718389819737695</v>
      </c>
      <c r="AL2146">
        <v>80.824062674378695</v>
      </c>
      <c r="AM2146">
        <v>87.811591934109401</v>
      </c>
      <c r="AN2146">
        <v>0.99999998037475402</v>
      </c>
    </row>
    <row r="2147" spans="1:40" x14ac:dyDescent="0.25">
      <c r="A2147" t="str">
        <f>"20190303170301643"</f>
        <v>20190303170301643</v>
      </c>
      <c r="B2147" t="str">
        <f>"1551603781638137"</f>
        <v>1551603781638137</v>
      </c>
      <c r="C2147" t="s">
        <v>40</v>
      </c>
      <c r="D2147">
        <v>4.1576399999999998</v>
      </c>
      <c r="E2147">
        <v>0.40761350000000002</v>
      </c>
      <c r="F2147" t="s">
        <v>65</v>
      </c>
      <c r="G2147">
        <v>-352.08690000000001</v>
      </c>
      <c r="H2147">
        <v>2.4570880000000002</v>
      </c>
      <c r="I2147">
        <v>266.23840000000001</v>
      </c>
      <c r="J2147">
        <v>-261.03160000000003</v>
      </c>
      <c r="K2147">
        <v>1.1208309999999999</v>
      </c>
      <c r="L2147">
        <v>284.24630000000002</v>
      </c>
      <c r="M2147">
        <v>-0.9998051</v>
      </c>
      <c r="N2147">
        <v>-8.4457449999999993E-3</v>
      </c>
      <c r="O2147">
        <v>1.7847140000000001E-2</v>
      </c>
      <c r="P2147">
        <v>-0.98692599999999997</v>
      </c>
      <c r="Q2147">
        <v>0.15135499999999999</v>
      </c>
      <c r="R2147">
        <v>5.5399249999999997E-2</v>
      </c>
      <c r="S2147">
        <v>-3.066589</v>
      </c>
      <c r="T2147">
        <v>4.4919969999999997E-2</v>
      </c>
      <c r="U2147">
        <v>-0.6052246</v>
      </c>
      <c r="V2147">
        <v>3.780095E-2</v>
      </c>
      <c r="W2147">
        <v>0.15968599999999999</v>
      </c>
      <c r="X2147">
        <v>0.98644379999999998</v>
      </c>
      <c r="Y2147">
        <v>-0.21109149999999999</v>
      </c>
      <c r="Z2147">
        <v>1.0394849999999999E-3</v>
      </c>
      <c r="AA2147">
        <v>0.97746569999999999</v>
      </c>
      <c r="AB2147">
        <v>28</v>
      </c>
      <c r="AC2147">
        <v>-91.055300000000003</v>
      </c>
      <c r="AD2147">
        <v>1.336257</v>
      </c>
      <c r="AE2147">
        <v>-18.007899999999999</v>
      </c>
      <c r="AF2147">
        <v>-19.626098576678999</v>
      </c>
      <c r="AG2147">
        <v>1.336257</v>
      </c>
      <c r="AH2147">
        <v>90.700597128847406</v>
      </c>
      <c r="AI2147">
        <v>89.175033910314895</v>
      </c>
      <c r="AJ2147">
        <v>102.20961650233301</v>
      </c>
      <c r="AK2147">
        <v>92.809307979539696</v>
      </c>
      <c r="AL2147">
        <v>80.811328526123106</v>
      </c>
      <c r="AM2147">
        <v>87.805474892991498</v>
      </c>
      <c r="AN2147">
        <v>0.99999995048766999</v>
      </c>
    </row>
    <row r="2148" spans="1:40" x14ac:dyDescent="0.25">
      <c r="A2148" t="str">
        <f>"20190303170301663"</f>
        <v>20190303170301663</v>
      </c>
      <c r="B2148" t="str">
        <f>"1551603781657656"</f>
        <v>1551603781657656</v>
      </c>
      <c r="C2148" t="s">
        <v>40</v>
      </c>
      <c r="D2148">
        <v>4.159675</v>
      </c>
      <c r="E2148">
        <v>0.40764460000000002</v>
      </c>
      <c r="F2148" t="s">
        <v>65</v>
      </c>
      <c r="G2148">
        <v>-352.08690000000001</v>
      </c>
      <c r="H2148">
        <v>2.3604409999999998</v>
      </c>
      <c r="I2148">
        <v>266.39170000000001</v>
      </c>
      <c r="J2148">
        <v>-261.29840000000002</v>
      </c>
      <c r="K2148">
        <v>1.1208209999999901</v>
      </c>
      <c r="L2148">
        <v>284.25110000000001</v>
      </c>
      <c r="M2148">
        <v>-0.99980460000000004</v>
      </c>
      <c r="N2148">
        <v>-8.389957E-3</v>
      </c>
      <c r="O2148">
        <v>1.790537E-2</v>
      </c>
      <c r="P2148">
        <v>-0.98693090000000006</v>
      </c>
      <c r="Q2148">
        <v>0.15121979999999999</v>
      </c>
      <c r="R2148">
        <v>5.5680739999999999E-2</v>
      </c>
      <c r="S2148">
        <v>-3.067078</v>
      </c>
      <c r="T2148">
        <v>4.175711E-2</v>
      </c>
      <c r="U2148">
        <v>-0.60140990000000005</v>
      </c>
      <c r="V2148">
        <v>3.8024780000000001E-2</v>
      </c>
      <c r="W2148">
        <v>0.15949579999999999</v>
      </c>
      <c r="X2148">
        <v>0.98646599999999995</v>
      </c>
      <c r="Y2148">
        <v>-0.20995069999999999</v>
      </c>
      <c r="Z2148">
        <v>9.1688079999999996E-4</v>
      </c>
      <c r="AA2148">
        <v>0.97771160000000001</v>
      </c>
      <c r="AB2148">
        <v>28</v>
      </c>
      <c r="AC2148">
        <v>-90.788499999999999</v>
      </c>
      <c r="AD2148">
        <v>1.2396199999999999</v>
      </c>
      <c r="AE2148">
        <v>-17.859399999999901</v>
      </c>
      <c r="AF2148">
        <v>-19.478699277163098</v>
      </c>
      <c r="AG2148">
        <v>1.2396199999999999</v>
      </c>
      <c r="AH2148">
        <v>90.437921729833604</v>
      </c>
      <c r="AI2148">
        <v>89.232306299207295</v>
      </c>
      <c r="AJ2148">
        <v>102.154797775148</v>
      </c>
      <c r="AK2148">
        <v>92.5201279186645</v>
      </c>
      <c r="AL2148">
        <v>80.822367958360999</v>
      </c>
      <c r="AM2148">
        <v>87.792542943651</v>
      </c>
      <c r="AN2148">
        <v>0.99999998163384396</v>
      </c>
    </row>
    <row r="2149" spans="1:40" x14ac:dyDescent="0.25">
      <c r="A2149" t="str">
        <f>"20190303170301676"</f>
        <v>20190303170301676</v>
      </c>
      <c r="B2149" t="str">
        <f>"1551603781667416"</f>
        <v>1551603781667416</v>
      </c>
      <c r="C2149" t="s">
        <v>40</v>
      </c>
      <c r="D2149">
        <v>4.1433429999999998</v>
      </c>
      <c r="E2149">
        <v>0.40777920000000001</v>
      </c>
      <c r="F2149" t="s">
        <v>69</v>
      </c>
      <c r="G2149">
        <v>-338.12529999999998</v>
      </c>
      <c r="H2149">
        <v>2.1590739999999999</v>
      </c>
      <c r="I2149">
        <v>269.21170000000001</v>
      </c>
      <c r="J2149">
        <v>-261.45350000000002</v>
      </c>
      <c r="K2149">
        <v>1.1208229999999999</v>
      </c>
      <c r="L2149">
        <v>284.25389999999999</v>
      </c>
      <c r="M2149">
        <v>-0.99980409999999997</v>
      </c>
      <c r="N2149">
        <v>-8.3596039999999996E-3</v>
      </c>
      <c r="O2149">
        <v>1.793906E-2</v>
      </c>
      <c r="P2149">
        <v>-0.98692639999999998</v>
      </c>
      <c r="Q2149">
        <v>0.15093960000000001</v>
      </c>
      <c r="R2149">
        <v>5.6511989999999998E-2</v>
      </c>
      <c r="S2149">
        <v>-3.0672299999999999</v>
      </c>
      <c r="T2149">
        <v>4.1452879999999998E-2</v>
      </c>
      <c r="U2149">
        <v>-0.60043329999999995</v>
      </c>
      <c r="V2149">
        <v>3.8822780000000001E-2</v>
      </c>
      <c r="W2149">
        <v>0.15918560000000001</v>
      </c>
      <c r="X2149">
        <v>0.9864851</v>
      </c>
      <c r="Y2149">
        <v>-0.2096749</v>
      </c>
      <c r="Z2149">
        <v>9.0753570000000003E-4</v>
      </c>
      <c r="AA2149">
        <v>0.97777069999999999</v>
      </c>
      <c r="AB2149">
        <v>28</v>
      </c>
      <c r="AC2149">
        <v>-76.671799999999905</v>
      </c>
      <c r="AD2149">
        <v>1.038251</v>
      </c>
      <c r="AE2149">
        <v>-15.0421999999999</v>
      </c>
      <c r="AF2149">
        <v>-16.412349379038801</v>
      </c>
      <c r="AG2149">
        <v>1.038251</v>
      </c>
      <c r="AH2149">
        <v>76.376122738427199</v>
      </c>
      <c r="AI2149">
        <v>89.238553811199594</v>
      </c>
      <c r="AJ2149">
        <v>102.12777304259301</v>
      </c>
      <c r="AK2149">
        <v>78.126533916678696</v>
      </c>
      <c r="AL2149">
        <v>80.840371829853297</v>
      </c>
      <c r="AM2149">
        <v>87.746307427008801</v>
      </c>
      <c r="AN2149">
        <v>1.0000000580081401</v>
      </c>
    </row>
    <row r="2150" spans="1:40" x14ac:dyDescent="0.25">
      <c r="A2150" t="str">
        <f>"20190303170301686"</f>
        <v>20190303170301686</v>
      </c>
      <c r="B2150" t="str">
        <f>"1551603781678152"</f>
        <v>1551603781678152</v>
      </c>
      <c r="C2150" t="s">
        <v>40</v>
      </c>
      <c r="D2150">
        <v>4.1549009999999997</v>
      </c>
      <c r="E2150">
        <v>0.40779749999999998</v>
      </c>
      <c r="F2150" t="s">
        <v>69</v>
      </c>
      <c r="G2150">
        <v>-338.12529999999998</v>
      </c>
      <c r="H2150">
        <v>2.1456840000000001</v>
      </c>
      <c r="I2150">
        <v>269.33139999999997</v>
      </c>
      <c r="J2150">
        <v>-261.60239999999999</v>
      </c>
      <c r="K2150">
        <v>1.120819</v>
      </c>
      <c r="L2150">
        <v>284.25670000000002</v>
      </c>
      <c r="M2150">
        <v>-0.99980380000000002</v>
      </c>
      <c r="N2150">
        <v>-8.3334299999999993E-3</v>
      </c>
      <c r="O2150">
        <v>1.7971419999999998E-2</v>
      </c>
      <c r="P2150">
        <v>-0.98694530000000003</v>
      </c>
      <c r="Q2150">
        <v>0.15071590000000001</v>
      </c>
      <c r="R2150">
        <v>5.6778019999999998E-2</v>
      </c>
      <c r="S2150">
        <v>-3.0676269999999999</v>
      </c>
      <c r="T2150">
        <v>4.1006330000000001E-2</v>
      </c>
      <c r="U2150">
        <v>-0.59704590000000002</v>
      </c>
      <c r="V2150">
        <v>3.9056349999999997E-2</v>
      </c>
      <c r="W2150">
        <v>0.15893660000000001</v>
      </c>
      <c r="X2150">
        <v>0.98651599999999995</v>
      </c>
      <c r="Y2150">
        <v>-0.20864279999999999</v>
      </c>
      <c r="Z2150">
        <v>8.9041139999999897E-4</v>
      </c>
      <c r="AA2150">
        <v>0.97799150000000001</v>
      </c>
      <c r="AB2150">
        <v>28</v>
      </c>
      <c r="AC2150">
        <v>-76.522899999999893</v>
      </c>
      <c r="AD2150">
        <v>1.0248649999999999</v>
      </c>
      <c r="AE2150">
        <v>-14.9253</v>
      </c>
      <c r="AF2150">
        <v>-16.2953465198453</v>
      </c>
      <c r="AG2150">
        <v>1.0248649999999999</v>
      </c>
      <c r="AH2150">
        <v>76.229130482556101</v>
      </c>
      <c r="AI2150">
        <v>89.246747765764795</v>
      </c>
      <c r="AJ2150">
        <v>102.066391884699</v>
      </c>
      <c r="AK2150">
        <v>77.958123377853497</v>
      </c>
      <c r="AL2150">
        <v>80.854822192362093</v>
      </c>
      <c r="AM2150">
        <v>87.732833555389107</v>
      </c>
      <c r="AN2150">
        <v>1.0000000297754399</v>
      </c>
    </row>
    <row r="2151" spans="1:40" x14ac:dyDescent="0.25">
      <c r="A2151" t="str">
        <f>"20190303170301698"</f>
        <v>20190303170301698</v>
      </c>
      <c r="B2151" t="str">
        <f>"1551603781687912"</f>
        <v>1551603781687912</v>
      </c>
      <c r="C2151" t="s">
        <v>40</v>
      </c>
      <c r="D2151">
        <v>4.1467429999999998</v>
      </c>
      <c r="E2151">
        <v>0.40779009999999999</v>
      </c>
      <c r="F2151" t="s">
        <v>69</v>
      </c>
      <c r="G2151">
        <v>-338.12529999999998</v>
      </c>
      <c r="H2151">
        <v>2.0878930000000002</v>
      </c>
      <c r="I2151">
        <v>269.3904</v>
      </c>
      <c r="J2151">
        <v>-261.74610000000001</v>
      </c>
      <c r="K2151">
        <v>1.120816</v>
      </c>
      <c r="L2151">
        <v>284.2593</v>
      </c>
      <c r="M2151">
        <v>-0.99980340000000001</v>
      </c>
      <c r="N2151">
        <v>-8.3091859999999997E-3</v>
      </c>
      <c r="O2151">
        <v>1.8002750000000001E-2</v>
      </c>
      <c r="P2151">
        <v>-0.98697330000000005</v>
      </c>
      <c r="Q2151">
        <v>0.1504587</v>
      </c>
      <c r="R2151">
        <v>5.6974299999999999E-2</v>
      </c>
      <c r="S2151">
        <v>-3.0680540000000001</v>
      </c>
      <c r="T2151">
        <v>3.8774969999999999E-2</v>
      </c>
      <c r="U2151">
        <v>-0.59603879999999998</v>
      </c>
      <c r="V2151">
        <v>3.9221289999999999E-2</v>
      </c>
      <c r="W2151">
        <v>0.1586555</v>
      </c>
      <c r="X2151">
        <v>0.98655470000000001</v>
      </c>
      <c r="Y2151">
        <v>-0.2083401</v>
      </c>
      <c r="Z2151">
        <v>8.0431019999999999E-4</v>
      </c>
      <c r="AA2151">
        <v>0.97805609999999998</v>
      </c>
      <c r="AB2151">
        <v>28</v>
      </c>
      <c r="AC2151">
        <v>-76.379199999999898</v>
      </c>
      <c r="AD2151">
        <v>0.96707699999999996</v>
      </c>
      <c r="AE2151">
        <v>-14.868899999999901</v>
      </c>
      <c r="AF2151">
        <v>-16.2390649725515</v>
      </c>
      <c r="AG2151">
        <v>0.96707699999999996</v>
      </c>
      <c r="AH2151">
        <v>76.087378099801796</v>
      </c>
      <c r="AI2151">
        <v>89.287842396361597</v>
      </c>
      <c r="AJ2151">
        <v>102.047682300188</v>
      </c>
      <c r="AK2151">
        <v>77.807014948582093</v>
      </c>
      <c r="AL2151">
        <v>80.871134993918105</v>
      </c>
      <c r="AM2151">
        <v>87.723358289962505</v>
      </c>
      <c r="AN2151">
        <v>1.0000000266808</v>
      </c>
    </row>
    <row r="2152" spans="1:40" x14ac:dyDescent="0.25">
      <c r="A2152" t="str">
        <f>"20190303170301710"</f>
        <v>20190303170301710</v>
      </c>
      <c r="B2152" t="str">
        <f>"1551603781697673"</f>
        <v>1551603781697673</v>
      </c>
      <c r="C2152" t="s">
        <v>40</v>
      </c>
      <c r="D2152">
        <v>4.1146079999999996</v>
      </c>
      <c r="E2152">
        <v>0.40765980000000002</v>
      </c>
      <c r="F2152" t="s">
        <v>69</v>
      </c>
      <c r="G2152">
        <v>-338.12529999999998</v>
      </c>
      <c r="H2152">
        <v>2.0701450000000001</v>
      </c>
      <c r="I2152">
        <v>269.43790000000001</v>
      </c>
      <c r="J2152">
        <v>-261.89159999999998</v>
      </c>
      <c r="K2152">
        <v>1.1208119999999999</v>
      </c>
      <c r="L2152">
        <v>284.26190000000003</v>
      </c>
      <c r="M2152">
        <v>-0.9998032</v>
      </c>
      <c r="N2152">
        <v>-8.2865539999999998E-3</v>
      </c>
      <c r="O2152">
        <v>1.803426E-2</v>
      </c>
      <c r="P2152">
        <v>-0.98700880000000002</v>
      </c>
      <c r="Q2152">
        <v>0.1501555</v>
      </c>
      <c r="R2152">
        <v>5.7159370000000001E-2</v>
      </c>
      <c r="S2152">
        <v>-3.0681150000000001</v>
      </c>
      <c r="T2152">
        <v>3.8135889999999999E-2</v>
      </c>
      <c r="U2152">
        <v>-0.59536739999999999</v>
      </c>
      <c r="V2152">
        <v>3.9374300000000001E-2</v>
      </c>
      <c r="W2152">
        <v>0.1583302</v>
      </c>
      <c r="X2152">
        <v>0.98660079999999994</v>
      </c>
      <c r="Y2152">
        <v>-0.2081614</v>
      </c>
      <c r="Z2152">
        <v>7.8139219999999996E-4</v>
      </c>
      <c r="AA2152">
        <v>0.97809420000000002</v>
      </c>
      <c r="AB2152">
        <v>28</v>
      </c>
      <c r="AC2152">
        <v>-76.233699999999999</v>
      </c>
      <c r="AD2152">
        <v>0.94933299999999998</v>
      </c>
      <c r="AE2152">
        <v>-14.824</v>
      </c>
      <c r="AF2152">
        <v>-16.194034539371099</v>
      </c>
      <c r="AG2152">
        <v>0.94933299999999998</v>
      </c>
      <c r="AH2152">
        <v>75.942604476397605</v>
      </c>
      <c r="AI2152">
        <v>89.299548628471697</v>
      </c>
      <c r="AJ2152">
        <v>102.037484439834</v>
      </c>
      <c r="AK2152">
        <v>77.655825038858495</v>
      </c>
      <c r="AL2152">
        <v>80.890011328741394</v>
      </c>
      <c r="AM2152">
        <v>87.714592741136201</v>
      </c>
      <c r="AN2152">
        <v>0.99999996314658401</v>
      </c>
    </row>
    <row r="2153" spans="1:40" x14ac:dyDescent="0.25">
      <c r="A2153" t="str">
        <f>"20190303170301722"</f>
        <v>20190303170301722</v>
      </c>
      <c r="B2153" t="str">
        <f>"1551603781718168"</f>
        <v>1551603781718168</v>
      </c>
      <c r="C2153" t="s">
        <v>40</v>
      </c>
      <c r="D2153">
        <v>4.1276929999999998</v>
      </c>
      <c r="E2153">
        <v>0.40760809999999997</v>
      </c>
      <c r="F2153" t="s">
        <v>69</v>
      </c>
      <c r="G2153">
        <v>-338.12529999999998</v>
      </c>
      <c r="H2153">
        <v>2.03023</v>
      </c>
      <c r="I2153">
        <v>269.45139999999998</v>
      </c>
      <c r="J2153">
        <v>-262.03519999999997</v>
      </c>
      <c r="K2153">
        <v>1.120808</v>
      </c>
      <c r="L2153">
        <v>284.2645</v>
      </c>
      <c r="M2153">
        <v>-0.99980270000000004</v>
      </c>
      <c r="N2153">
        <v>-8.2659829999999993E-3</v>
      </c>
      <c r="O2153">
        <v>1.8065580000000001E-2</v>
      </c>
      <c r="P2153">
        <v>-0.98700580000000004</v>
      </c>
      <c r="Q2153">
        <v>0.15013280000000001</v>
      </c>
      <c r="R2153">
        <v>5.7270550000000003E-2</v>
      </c>
      <c r="S2153">
        <v>-3.068451</v>
      </c>
      <c r="T2153">
        <v>3.6606430000000002E-2</v>
      </c>
      <c r="U2153">
        <v>-0.59613039999999995</v>
      </c>
      <c r="V2153">
        <v>3.9454669999999997E-2</v>
      </c>
      <c r="W2153">
        <v>0.15828689999999901</v>
      </c>
      <c r="X2153">
        <v>0.98660460000000005</v>
      </c>
      <c r="Y2153">
        <v>-0.20840729999999999</v>
      </c>
      <c r="Z2153">
        <v>7.237233E-4</v>
      </c>
      <c r="AA2153">
        <v>0.97804179999999996</v>
      </c>
      <c r="AB2153">
        <v>28</v>
      </c>
      <c r="AC2153">
        <v>-76.090100000000007</v>
      </c>
      <c r="AD2153">
        <v>0.90942199999999995</v>
      </c>
      <c r="AE2153">
        <v>-14.8131</v>
      </c>
      <c r="AF2153">
        <v>-16.1831137471296</v>
      </c>
      <c r="AG2153">
        <v>0.90942199999999995</v>
      </c>
      <c r="AH2153">
        <v>75.799632741468102</v>
      </c>
      <c r="AI2153">
        <v>89.327763508799904</v>
      </c>
      <c r="AJ2153">
        <v>102.051630484512</v>
      </c>
      <c r="AK2153">
        <v>77.513253980645501</v>
      </c>
      <c r="AL2153">
        <v>80.8925244907782</v>
      </c>
      <c r="AM2153">
        <v>87.709941588146293</v>
      </c>
      <c r="AN2153">
        <v>1.00000002521878</v>
      </c>
    </row>
    <row r="2154" spans="1:40" x14ac:dyDescent="0.25">
      <c r="A2154" t="str">
        <f>"20190303170301736"</f>
        <v>20190303170301736</v>
      </c>
      <c r="B2154" t="str">
        <f>"1551603781727927"</f>
        <v>1551603781727927</v>
      </c>
      <c r="C2154" t="s">
        <v>40</v>
      </c>
      <c r="D2154">
        <v>4.1036250000000001</v>
      </c>
      <c r="E2154">
        <v>0.4075222</v>
      </c>
      <c r="F2154" t="s">
        <v>69</v>
      </c>
      <c r="G2154">
        <v>-338.12529999999998</v>
      </c>
      <c r="H2154">
        <v>2.0146959999999998</v>
      </c>
      <c r="I2154">
        <v>269.47980000000001</v>
      </c>
      <c r="J2154">
        <v>-262.21949999999998</v>
      </c>
      <c r="K2154">
        <v>1.1208049999999901</v>
      </c>
      <c r="L2154">
        <v>284.2679</v>
      </c>
      <c r="M2154">
        <v>-0.99980219999999997</v>
      </c>
      <c r="N2154">
        <v>-8.2413829999999997E-3</v>
      </c>
      <c r="O2154">
        <v>1.810579E-2</v>
      </c>
      <c r="P2154">
        <v>-0.98701910000000004</v>
      </c>
      <c r="Q2154">
        <v>0.1499868</v>
      </c>
      <c r="R2154">
        <v>5.7424210000000003E-2</v>
      </c>
      <c r="S2154">
        <v>-3.0686339999999999</v>
      </c>
      <c r="T2154">
        <v>3.6051390000000003E-2</v>
      </c>
      <c r="U2154">
        <v>-0.59625240000000002</v>
      </c>
      <c r="V2154">
        <v>3.9568480000000003E-2</v>
      </c>
      <c r="W2154">
        <v>0.15811739999999999</v>
      </c>
      <c r="X2154">
        <v>0.98662720000000004</v>
      </c>
      <c r="Y2154">
        <v>-0.20847350000000001</v>
      </c>
      <c r="Z2154">
        <v>7.0477530000000004E-4</v>
      </c>
      <c r="AA2154">
        <v>0.9780278</v>
      </c>
      <c r="AB2154">
        <v>28</v>
      </c>
      <c r="AC2154">
        <v>-75.905799999999999</v>
      </c>
      <c r="AD2154">
        <v>0.89389099999999999</v>
      </c>
      <c r="AE2154">
        <v>-14.788099999999901</v>
      </c>
      <c r="AF2154">
        <v>-16.157897884635201</v>
      </c>
      <c r="AG2154">
        <v>0.89389099999999999</v>
      </c>
      <c r="AH2154">
        <v>75.6154941079118</v>
      </c>
      <c r="AI2154">
        <v>89.337659148374897</v>
      </c>
      <c r="AJ2154">
        <v>102.061846431882</v>
      </c>
      <c r="AK2154">
        <v>77.327741815947405</v>
      </c>
      <c r="AL2154">
        <v>80.902359794014004</v>
      </c>
      <c r="AM2154">
        <v>87.703395355426295</v>
      </c>
      <c r="AN2154">
        <v>1.00000000428605</v>
      </c>
    </row>
    <row r="2155" spans="1:40" x14ac:dyDescent="0.25">
      <c r="A2155" t="str">
        <f>"20190303170301753"</f>
        <v>20190303170301753</v>
      </c>
      <c r="B2155" t="str">
        <f>"1551603781747448"</f>
        <v>1551603781747448</v>
      </c>
      <c r="C2155" t="s">
        <v>40</v>
      </c>
      <c r="D2155">
        <v>4.1371699999999896</v>
      </c>
      <c r="E2155">
        <v>0.40742889999999998</v>
      </c>
      <c r="F2155" t="s">
        <v>69</v>
      </c>
      <c r="G2155">
        <v>-338.12529999999998</v>
      </c>
      <c r="H2155">
        <v>2.0206080000000002</v>
      </c>
      <c r="I2155">
        <v>269.51609999999999</v>
      </c>
      <c r="J2155">
        <v>-262.43770000000001</v>
      </c>
      <c r="K2155">
        <v>1.120798</v>
      </c>
      <c r="L2155">
        <v>284.27190000000002</v>
      </c>
      <c r="M2155">
        <v>-0.99980150000000001</v>
      </c>
      <c r="N2155">
        <v>-8.2156429999999999E-3</v>
      </c>
      <c r="O2155">
        <v>1.8153639999999999E-2</v>
      </c>
      <c r="P2155">
        <v>-0.9870101</v>
      </c>
      <c r="Q2155">
        <v>0.14991409999999999</v>
      </c>
      <c r="R2155">
        <v>5.7765209999999997E-2</v>
      </c>
      <c r="S2155">
        <v>-3.0686650000000002</v>
      </c>
      <c r="T2155">
        <v>3.6378380000000002E-2</v>
      </c>
      <c r="U2155">
        <v>-0.59637450000000003</v>
      </c>
      <c r="V2155">
        <v>3.9862149999999999E-2</v>
      </c>
      <c r="W2155">
        <v>0.15801899999999999</v>
      </c>
      <c r="X2155">
        <v>0.98663120000000004</v>
      </c>
      <c r="Y2155">
        <v>-0.20855580000000001</v>
      </c>
      <c r="Z2155">
        <v>7.2100720000000003E-4</v>
      </c>
      <c r="AA2155">
        <v>0.97801020000000005</v>
      </c>
      <c r="AB2155">
        <v>28</v>
      </c>
      <c r="AC2155">
        <v>-75.687599999999904</v>
      </c>
      <c r="AD2155">
        <v>0.89981</v>
      </c>
      <c r="AE2155">
        <v>-14.755800000000001</v>
      </c>
      <c r="AF2155">
        <v>-16.125224347719701</v>
      </c>
      <c r="AG2155">
        <v>0.89981</v>
      </c>
      <c r="AH2155">
        <v>75.396979924490395</v>
      </c>
      <c r="AI2155">
        <v>89.331367074853901</v>
      </c>
      <c r="AJ2155">
        <v>102.072034666021</v>
      </c>
      <c r="AK2155">
        <v>77.107308992302507</v>
      </c>
      <c r="AL2155">
        <v>80.9080699913942</v>
      </c>
      <c r="AM2155">
        <v>87.686378201464294</v>
      </c>
      <c r="AN2155">
        <v>1.0000000600885199</v>
      </c>
    </row>
    <row r="2156" spans="1:40" x14ac:dyDescent="0.25">
      <c r="A2156" t="str">
        <f>"20190303170301775"</f>
        <v>20190303170301775</v>
      </c>
      <c r="B2156" t="str">
        <f>"1551603781767946"</f>
        <v>1551603781767946</v>
      </c>
      <c r="C2156" t="s">
        <v>40</v>
      </c>
      <c r="D2156">
        <v>4.1166830000000001</v>
      </c>
      <c r="E2156">
        <v>0.40718009999999999</v>
      </c>
      <c r="F2156" t="s">
        <v>69</v>
      </c>
      <c r="G2156">
        <v>-338.334</v>
      </c>
      <c r="H2156">
        <v>2.029544</v>
      </c>
      <c r="I2156">
        <v>269.52280000000002</v>
      </c>
      <c r="J2156">
        <v>-262.71600000000001</v>
      </c>
      <c r="K2156">
        <v>1.12079</v>
      </c>
      <c r="L2156">
        <v>284.27699999999999</v>
      </c>
      <c r="M2156">
        <v>-0.99980069999999999</v>
      </c>
      <c r="N2156">
        <v>-8.1867889999999999E-3</v>
      </c>
      <c r="O2156">
        <v>1.821509E-2</v>
      </c>
      <c r="P2156">
        <v>-0.98703649999999998</v>
      </c>
      <c r="Q2156">
        <v>0.149442299999999</v>
      </c>
      <c r="R2156">
        <v>5.8533059999999998E-2</v>
      </c>
      <c r="S2156">
        <v>-3.0688170000000001</v>
      </c>
      <c r="T2156">
        <v>3.6746380000000002E-2</v>
      </c>
      <c r="U2156">
        <v>-0.59637450000000003</v>
      </c>
      <c r="V2156">
        <v>4.0568760000000002E-2</v>
      </c>
      <c r="W2156">
        <v>0.1575194</v>
      </c>
      <c r="X2156">
        <v>0.98668219999999995</v>
      </c>
      <c r="Y2156">
        <v>-0.2086065</v>
      </c>
      <c r="Z2156">
        <v>7.3931899999999902E-4</v>
      </c>
      <c r="AA2156">
        <v>0.97799939999999996</v>
      </c>
      <c r="AB2156">
        <v>28</v>
      </c>
      <c r="AC2156">
        <v>-75.617999999999995</v>
      </c>
      <c r="AD2156">
        <v>0.90875399999999995</v>
      </c>
      <c r="AE2156">
        <v>-14.7541999999999</v>
      </c>
      <c r="AF2156">
        <v>-16.126942936259201</v>
      </c>
      <c r="AG2156">
        <v>0.90875399999999995</v>
      </c>
      <c r="AH2156">
        <v>75.326215424196405</v>
      </c>
      <c r="AI2156">
        <v>89.324118172780302</v>
      </c>
      <c r="AJ2156">
        <v>102.08429243203101</v>
      </c>
      <c r="AK2156">
        <v>77.038580285687502</v>
      </c>
      <c r="AL2156">
        <v>80.937057226773305</v>
      </c>
      <c r="AM2156">
        <v>87.645533481992899</v>
      </c>
      <c r="AN2156">
        <v>0.99999997473056801</v>
      </c>
    </row>
    <row r="2157" spans="1:40" x14ac:dyDescent="0.25">
      <c r="A2157" t="str">
        <f>"20190303170301787"</f>
        <v>20190303170301787</v>
      </c>
      <c r="B2157" t="str">
        <f>"1551603781777704"</f>
        <v>1551603781777704</v>
      </c>
      <c r="C2157" t="s">
        <v>40</v>
      </c>
      <c r="D2157">
        <v>4.1038629999999996</v>
      </c>
      <c r="E2157">
        <v>0.40701470000000001</v>
      </c>
      <c r="F2157" t="s">
        <v>68</v>
      </c>
      <c r="G2157">
        <v>-341.17020000000002</v>
      </c>
      <c r="H2157">
        <v>2.0351409999999999</v>
      </c>
      <c r="I2157">
        <v>269.03500000000003</v>
      </c>
      <c r="J2157">
        <v>-262.87369999999999</v>
      </c>
      <c r="K2157">
        <v>1.1207879999999999</v>
      </c>
      <c r="L2157">
        <v>284.27999999999997</v>
      </c>
      <c r="M2157">
        <v>-0.99980020000000003</v>
      </c>
      <c r="N2157">
        <v>-8.1730169999999994E-3</v>
      </c>
      <c r="O2157">
        <v>1.8249540000000002E-2</v>
      </c>
      <c r="P2157">
        <v>-0.98707250000000002</v>
      </c>
      <c r="Q2157">
        <v>0.14912590000000001</v>
      </c>
      <c r="R2157">
        <v>5.8734290000000001E-2</v>
      </c>
      <c r="S2157">
        <v>-3.069366</v>
      </c>
      <c r="T2157">
        <v>3.5773989999999999E-2</v>
      </c>
      <c r="U2157">
        <v>-0.59631350000000005</v>
      </c>
      <c r="V2157">
        <v>4.0735180000000003E-2</v>
      </c>
      <c r="W2157">
        <v>0.157189299999999</v>
      </c>
      <c r="X2157">
        <v>0.98672800000000005</v>
      </c>
      <c r="Y2157">
        <v>-0.20858930000000001</v>
      </c>
      <c r="Z2157">
        <v>7.0246939999999997E-4</v>
      </c>
      <c r="AA2157">
        <v>0.97800310000000001</v>
      </c>
      <c r="AB2157">
        <v>29</v>
      </c>
      <c r="AC2157">
        <v>-78.296499999999995</v>
      </c>
      <c r="AD2157">
        <v>0.91435299999999997</v>
      </c>
      <c r="AE2157">
        <v>-15.2449999999999</v>
      </c>
      <c r="AF2157">
        <v>-16.6691933415003</v>
      </c>
      <c r="AG2157">
        <v>0.91435299999999997</v>
      </c>
      <c r="AH2157">
        <v>77.994988154859797</v>
      </c>
      <c r="AI2157">
        <v>89.343171382986796</v>
      </c>
      <c r="AJ2157">
        <v>102.063836852755</v>
      </c>
      <c r="AK2157">
        <v>79.761621255724506</v>
      </c>
      <c r="AL2157">
        <v>80.956209280105796</v>
      </c>
      <c r="AM2157">
        <v>87.635995601832605</v>
      </c>
      <c r="AN2157">
        <v>0.99999998845406102</v>
      </c>
    </row>
    <row r="2158" spans="1:40" x14ac:dyDescent="0.25">
      <c r="A2158" t="str">
        <f>"20190303170301799"</f>
        <v>20190303170301799</v>
      </c>
      <c r="B2158" t="str">
        <f>"1551603781787465"</f>
        <v>1551603781787465</v>
      </c>
      <c r="C2158" t="s">
        <v>40</v>
      </c>
      <c r="D2158">
        <v>4.1283190000000003</v>
      </c>
      <c r="E2158">
        <v>0.40681040000000002</v>
      </c>
      <c r="F2158" t="s">
        <v>65</v>
      </c>
      <c r="G2158">
        <v>-352.08690000000001</v>
      </c>
      <c r="H2158">
        <v>2.1086710000000002</v>
      </c>
      <c r="I2158">
        <v>266.92899999999997</v>
      </c>
      <c r="J2158">
        <v>-263.02080000000001</v>
      </c>
      <c r="K2158">
        <v>1.120792</v>
      </c>
      <c r="L2158">
        <v>284.28269999999998</v>
      </c>
      <c r="M2158">
        <v>-0.99979969999999996</v>
      </c>
      <c r="N2158">
        <v>-8.160858E-3</v>
      </c>
      <c r="O2158">
        <v>1.8281840000000001E-2</v>
      </c>
      <c r="P2158">
        <v>-0.98711349999999998</v>
      </c>
      <c r="Q2158">
        <v>0.1488466</v>
      </c>
      <c r="R2158">
        <v>5.8752070000000003E-2</v>
      </c>
      <c r="S2158">
        <v>-3.0696720000000002</v>
      </c>
      <c r="T2158">
        <v>3.3993839999999997E-2</v>
      </c>
      <c r="U2158">
        <v>-0.59701539999999997</v>
      </c>
      <c r="V2158">
        <v>4.0720149999999997E-2</v>
      </c>
      <c r="W2158">
        <v>0.1568987</v>
      </c>
      <c r="X2158">
        <v>0.98677490000000001</v>
      </c>
      <c r="Y2158">
        <v>-0.20881910000000001</v>
      </c>
      <c r="Z2158">
        <v>6.3386970000000003E-4</v>
      </c>
      <c r="AA2158">
        <v>0.97795410000000005</v>
      </c>
      <c r="AB2158">
        <v>29</v>
      </c>
      <c r="AC2158">
        <v>-89.066100000000006</v>
      </c>
      <c r="AD2158">
        <v>0.98787899999999895</v>
      </c>
      <c r="AE2158">
        <v>-17.3536999999999</v>
      </c>
      <c r="AF2158">
        <v>-18.9768965479958</v>
      </c>
      <c r="AG2158">
        <v>0.98787899999999895</v>
      </c>
      <c r="AH2158">
        <v>88.723429867282604</v>
      </c>
      <c r="AI2158">
        <v>89.376182799267099</v>
      </c>
      <c r="AJ2158">
        <v>102.072980464425</v>
      </c>
      <c r="AK2158">
        <v>90.735580203835099</v>
      </c>
      <c r="AL2158">
        <v>80.973068900051402</v>
      </c>
      <c r="AM2158">
        <v>87.6369790450767</v>
      </c>
      <c r="AN2158">
        <v>1.00000001797386</v>
      </c>
    </row>
    <row r="2159" spans="1:40" x14ac:dyDescent="0.25">
      <c r="A2159" t="str">
        <f>"20190303170301812"</f>
        <v>20190303170301812</v>
      </c>
      <c r="B2159" t="str">
        <f>"1551603781807960"</f>
        <v>1551603781807960</v>
      </c>
      <c r="C2159" t="s">
        <v>40</v>
      </c>
      <c r="D2159">
        <v>4.166741</v>
      </c>
      <c r="E2159">
        <v>0.40642600000000001</v>
      </c>
      <c r="F2159" t="s">
        <v>70</v>
      </c>
      <c r="G2159">
        <v>-339.62110000000001</v>
      </c>
      <c r="H2159">
        <v>1.9456450000000001</v>
      </c>
      <c r="I2159">
        <v>269.35469999999998</v>
      </c>
      <c r="J2159">
        <v>-263.18819999999999</v>
      </c>
      <c r="K2159">
        <v>1.12079</v>
      </c>
      <c r="L2159">
        <v>284.28579999999999</v>
      </c>
      <c r="M2159">
        <v>-0.99979910000000005</v>
      </c>
      <c r="N2159">
        <v>-8.1484750000000005E-3</v>
      </c>
      <c r="O2159">
        <v>1.8318480000000002E-2</v>
      </c>
      <c r="P2159">
        <v>-0.98710889999999996</v>
      </c>
      <c r="Q2159">
        <v>0.148727</v>
      </c>
      <c r="R2159">
        <v>5.9132700000000003E-2</v>
      </c>
      <c r="S2159">
        <v>-3.069763</v>
      </c>
      <c r="T2159">
        <v>3.305781E-2</v>
      </c>
      <c r="U2159">
        <v>-0.59823609999999905</v>
      </c>
      <c r="V2159">
        <v>4.1064820000000002E-2</v>
      </c>
      <c r="W2159">
        <v>0.1567664</v>
      </c>
      <c r="X2159">
        <v>0.98678169999999998</v>
      </c>
      <c r="Y2159">
        <v>-0.20922470000000001</v>
      </c>
      <c r="Z2159">
        <v>5.9894660000000004E-4</v>
      </c>
      <c r="AA2159">
        <v>0.97786740000000005</v>
      </c>
      <c r="AB2159">
        <v>29</v>
      </c>
      <c r="AC2159">
        <v>-76.432900000000004</v>
      </c>
      <c r="AD2159">
        <v>0.824855</v>
      </c>
      <c r="AE2159">
        <v>-14.931100000000001</v>
      </c>
      <c r="AF2159">
        <v>-16.326943708896401</v>
      </c>
      <c r="AG2159">
        <v>0.824855</v>
      </c>
      <c r="AH2159">
        <v>76.138008354269303</v>
      </c>
      <c r="AI2159">
        <v>89.3930960455167</v>
      </c>
      <c r="AJ2159">
        <v>102.103143308779</v>
      </c>
      <c r="AK2159">
        <v>77.873267510740007</v>
      </c>
      <c r="AL2159">
        <v>80.980744615963502</v>
      </c>
      <c r="AM2159">
        <v>87.617016949541707</v>
      </c>
      <c r="AN2159">
        <v>1.0000000735327299</v>
      </c>
    </row>
    <row r="2160" spans="1:40" x14ac:dyDescent="0.25">
      <c r="A2160" t="str">
        <f>"20190303170301827"</f>
        <v>20190303170301827</v>
      </c>
      <c r="B2160" t="str">
        <f>"1551603781818226"</f>
        <v>1551603781818226</v>
      </c>
      <c r="C2160" t="s">
        <v>40</v>
      </c>
      <c r="D2160">
        <v>4.0956039999999998</v>
      </c>
      <c r="E2160">
        <v>0.40642600000000001</v>
      </c>
      <c r="F2160" t="s">
        <v>70</v>
      </c>
      <c r="G2160">
        <v>-339.59449999999998</v>
      </c>
      <c r="H2160">
        <v>1.9238839999999999</v>
      </c>
      <c r="I2160">
        <v>269.35469999999998</v>
      </c>
      <c r="J2160">
        <v>-263.37599999999998</v>
      </c>
      <c r="K2160">
        <v>1.1207910000000001</v>
      </c>
      <c r="L2160">
        <v>284.28919999999999</v>
      </c>
      <c r="M2160">
        <v>-0.99979839999999998</v>
      </c>
      <c r="N2160">
        <v>-8.1414299999999998E-3</v>
      </c>
      <c r="O2160">
        <v>1.835958E-2</v>
      </c>
      <c r="P2160">
        <v>-0.98708490000000004</v>
      </c>
      <c r="Q2160">
        <v>0.1488401</v>
      </c>
      <c r="R2160">
        <v>5.92484E-2</v>
      </c>
      <c r="S2160">
        <v>-3.0702509999999998</v>
      </c>
      <c r="T2160">
        <v>3.2272700000000001E-2</v>
      </c>
      <c r="U2160">
        <v>-0.59997559999999905</v>
      </c>
      <c r="V2160">
        <v>4.1140490000000002E-2</v>
      </c>
      <c r="W2160">
        <v>0.15687229999999999</v>
      </c>
      <c r="X2160">
        <v>0.98676160000000002</v>
      </c>
      <c r="Y2160">
        <v>-0.2097697</v>
      </c>
      <c r="Z2160">
        <v>5.694551E-4</v>
      </c>
      <c r="AA2160">
        <v>0.97775069999999997</v>
      </c>
      <c r="AB2160">
        <v>29</v>
      </c>
      <c r="AC2160">
        <v>-76.218500000000006</v>
      </c>
      <c r="AD2160">
        <v>0.80309299999999895</v>
      </c>
      <c r="AE2160">
        <v>-14.9345</v>
      </c>
      <c r="AF2160">
        <v>-16.3296225701407</v>
      </c>
      <c r="AG2160">
        <v>0.80309299999999895</v>
      </c>
      <c r="AH2160">
        <v>75.923334682599204</v>
      </c>
      <c r="AI2160">
        <v>89.4075141367572</v>
      </c>
      <c r="AJ2160">
        <v>102.138284140986</v>
      </c>
      <c r="AK2160">
        <v>77.6637256444466</v>
      </c>
      <c r="AL2160">
        <v>80.974599917935805</v>
      </c>
      <c r="AM2160">
        <v>87.6125823374596</v>
      </c>
      <c r="AN2160">
        <v>0.99999995682964404</v>
      </c>
    </row>
    <row r="2161" spans="1:40" x14ac:dyDescent="0.25">
      <c r="A2161" t="str">
        <f>"20190303170301841"</f>
        <v>20190303170301841</v>
      </c>
      <c r="B2161" t="str">
        <f>"1551603781837747"</f>
        <v>1551603781837747</v>
      </c>
      <c r="C2161" t="s">
        <v>40</v>
      </c>
      <c r="D2161">
        <v>4.1400750000000004</v>
      </c>
      <c r="E2161">
        <v>0.40271449999999998</v>
      </c>
      <c r="F2161" t="s">
        <v>70</v>
      </c>
      <c r="G2161">
        <v>-339.85210000000001</v>
      </c>
      <c r="H2161">
        <v>1.9381379999999999</v>
      </c>
      <c r="I2161">
        <v>269.3546</v>
      </c>
      <c r="J2161">
        <v>-263.56729999999999</v>
      </c>
      <c r="K2161">
        <v>1.120792</v>
      </c>
      <c r="L2161">
        <v>284.2928</v>
      </c>
      <c r="M2161">
        <v>-0.99979759999999995</v>
      </c>
      <c r="N2161">
        <v>-8.1391989999999997E-3</v>
      </c>
      <c r="O2161">
        <v>1.8401379999999998E-2</v>
      </c>
      <c r="P2161">
        <v>-0.98712370000000005</v>
      </c>
      <c r="Q2161">
        <v>0.14836679999999999</v>
      </c>
      <c r="R2161">
        <v>5.9783889999999999E-2</v>
      </c>
      <c r="S2161">
        <v>-3.0702820000000002</v>
      </c>
      <c r="T2161">
        <v>3.2815810000000001E-2</v>
      </c>
      <c r="U2161">
        <v>-0.59957890000000003</v>
      </c>
      <c r="V2161">
        <v>4.1633730000000001E-2</v>
      </c>
      <c r="W2161">
        <v>0.15639719999999999</v>
      </c>
      <c r="X2161">
        <v>0.98681629999999998</v>
      </c>
      <c r="Y2161">
        <v>-0.20968690000000001</v>
      </c>
      <c r="Z2161">
        <v>5.9194439999999998E-4</v>
      </c>
      <c r="AA2161">
        <v>0.97776839999999998</v>
      </c>
      <c r="AB2161">
        <v>29</v>
      </c>
      <c r="AC2161">
        <v>-76.284800000000004</v>
      </c>
      <c r="AD2161">
        <v>0.81734600000000002</v>
      </c>
      <c r="AE2161">
        <v>-14.938199999999901</v>
      </c>
      <c r="AF2161">
        <v>-16.337656250225798</v>
      </c>
      <c r="AG2161">
        <v>0.81734600000000002</v>
      </c>
      <c r="AH2161">
        <v>75.988588821661196</v>
      </c>
      <c r="AI2161">
        <v>89.397507685541299</v>
      </c>
      <c r="AJ2161">
        <v>102.133959196961</v>
      </c>
      <c r="AK2161">
        <v>77.729355441440205</v>
      </c>
      <c r="AL2161">
        <v>81.002161109850206</v>
      </c>
      <c r="AM2161">
        <v>87.584126679663996</v>
      </c>
      <c r="AN2161">
        <v>0.99999993079361904</v>
      </c>
    </row>
    <row r="2162" spans="1:40" x14ac:dyDescent="0.25">
      <c r="A2162" t="str">
        <f>"20190303170301853"</f>
        <v>20190303170301853</v>
      </c>
      <c r="B2162" t="str">
        <f>"1551603781847506"</f>
        <v>1551603781847506</v>
      </c>
      <c r="C2162" t="s">
        <v>40</v>
      </c>
      <c r="D2162">
        <v>4.1641599999999999</v>
      </c>
      <c r="E2162">
        <v>0.40268500000000002</v>
      </c>
      <c r="F2162" t="s">
        <v>71</v>
      </c>
      <c r="G2162">
        <v>-336.77289999999999</v>
      </c>
      <c r="H2162">
        <v>1.6489199999999999</v>
      </c>
      <c r="I2162">
        <v>269.32740000000001</v>
      </c>
      <c r="J2162">
        <v>-263.72129999999999</v>
      </c>
      <c r="K2162">
        <v>1.120792</v>
      </c>
      <c r="L2162">
        <v>284.29570000000001</v>
      </c>
      <c r="M2162">
        <v>-0.99979689999999999</v>
      </c>
      <c r="N2162">
        <v>-8.1406569999999904E-3</v>
      </c>
      <c r="O2162">
        <v>1.8434929999999999E-2</v>
      </c>
      <c r="P2162">
        <v>-0.9871354</v>
      </c>
      <c r="Q2162">
        <v>0.14813219999999999</v>
      </c>
      <c r="R2162">
        <v>6.0170649999999999E-2</v>
      </c>
      <c r="S2162">
        <v>-3.0738530000000002</v>
      </c>
      <c r="T2162">
        <v>2.2177579999999999E-2</v>
      </c>
      <c r="U2162">
        <v>-0.62838749999999999</v>
      </c>
      <c r="V2162">
        <v>4.198702E-2</v>
      </c>
      <c r="W2162">
        <v>0.156164</v>
      </c>
      <c r="X2162">
        <v>0.98683829999999995</v>
      </c>
      <c r="Y2162">
        <v>-0.21831429999999999</v>
      </c>
      <c r="Z2162">
        <v>1.619394E-4</v>
      </c>
      <c r="AA2162">
        <v>0.97587849999999998</v>
      </c>
      <c r="AB2162">
        <v>29</v>
      </c>
      <c r="AC2162">
        <v>-73.051599999999993</v>
      </c>
      <c r="AD2162">
        <v>0.52812800000000004</v>
      </c>
      <c r="AE2162">
        <v>-14.968299999999999</v>
      </c>
      <c r="AF2162">
        <v>-16.311683743229398</v>
      </c>
      <c r="AG2162">
        <v>0.52812800000000004</v>
      </c>
      <c r="AH2162">
        <v>72.759586615861707</v>
      </c>
      <c r="AI2162">
        <v>89.5941962500127</v>
      </c>
      <c r="AJ2162">
        <v>102.635986606294</v>
      </c>
      <c r="AK2162">
        <v>74.567468712801301</v>
      </c>
      <c r="AL2162">
        <v>81.015689037174894</v>
      </c>
      <c r="AM2162">
        <v>87.563705229481798</v>
      </c>
      <c r="AN2162">
        <v>0.99999996754568399</v>
      </c>
    </row>
    <row r="2163" spans="1:40" x14ac:dyDescent="0.25">
      <c r="A2163" t="str">
        <f>"20190303170301865"</f>
        <v>20190303170301865</v>
      </c>
      <c r="B2163" t="str">
        <f>"1551603781858244"</f>
        <v>1551603781858244</v>
      </c>
      <c r="C2163" t="s">
        <v>40</v>
      </c>
      <c r="D2163">
        <v>4.1184859999999999</v>
      </c>
      <c r="E2163">
        <v>0.4023293</v>
      </c>
      <c r="F2163" t="s">
        <v>71</v>
      </c>
      <c r="G2163">
        <v>-337.04669999999999</v>
      </c>
      <c r="H2163">
        <v>1.6405320000000001</v>
      </c>
      <c r="I2163">
        <v>269.32729999999998</v>
      </c>
      <c r="J2163">
        <v>-263.87329999999997</v>
      </c>
      <c r="K2163">
        <v>1.120792</v>
      </c>
      <c r="L2163">
        <v>284.29849999999999</v>
      </c>
      <c r="M2163">
        <v>-0.99979629999999997</v>
      </c>
      <c r="N2163">
        <v>-8.1463339999999999E-3</v>
      </c>
      <c r="O2163">
        <v>1.846799E-2</v>
      </c>
      <c r="P2163">
        <v>-0.98718419999999896</v>
      </c>
      <c r="Q2163">
        <v>0.147699</v>
      </c>
      <c r="R2163">
        <v>6.0434439999999999E-2</v>
      </c>
      <c r="S2163">
        <v>-3.0740970000000001</v>
      </c>
      <c r="T2163">
        <v>2.1791580000000001E-2</v>
      </c>
      <c r="U2163">
        <v>-0.62753300000000001</v>
      </c>
      <c r="V2163">
        <v>4.2217299999999999E-2</v>
      </c>
      <c r="W2163">
        <v>0.15573679999999901</v>
      </c>
      <c r="X2163">
        <v>0.986896</v>
      </c>
      <c r="Y2163">
        <v>-0.21807099999999999</v>
      </c>
      <c r="Z2163">
        <v>1.461891E-4</v>
      </c>
      <c r="AA2163">
        <v>0.97593289999999999</v>
      </c>
      <c r="AB2163">
        <v>29</v>
      </c>
      <c r="AC2163">
        <v>-73.173400000000001</v>
      </c>
      <c r="AD2163">
        <v>0.51973999999999898</v>
      </c>
      <c r="AE2163">
        <v>-14.9712</v>
      </c>
      <c r="AF2163">
        <v>-16.319266702430699</v>
      </c>
      <c r="AG2163">
        <v>0.51973999999999898</v>
      </c>
      <c r="AH2163">
        <v>72.880893320534099</v>
      </c>
      <c r="AI2163">
        <v>89.601283025706095</v>
      </c>
      <c r="AJ2163">
        <v>102.621305253323</v>
      </c>
      <c r="AK2163">
        <v>74.687436738528703</v>
      </c>
      <c r="AL2163">
        <v>81.040469120698504</v>
      </c>
      <c r="AM2163">
        <v>87.550502523300807</v>
      </c>
      <c r="AN2163">
        <v>0.99999998305476401</v>
      </c>
    </row>
    <row r="2164" spans="1:40" x14ac:dyDescent="0.25">
      <c r="A2164" t="str">
        <f>"20190303170301877"</f>
        <v>20190303170301877</v>
      </c>
      <c r="B2164" t="str">
        <f>"1551603781868003"</f>
        <v>1551603781868003</v>
      </c>
      <c r="C2164" t="s">
        <v>40</v>
      </c>
      <c r="D2164">
        <v>4.1566099999999997</v>
      </c>
      <c r="E2164">
        <v>0.40208159999999998</v>
      </c>
      <c r="F2164" t="s">
        <v>71</v>
      </c>
      <c r="G2164">
        <v>-337.00990000000002</v>
      </c>
      <c r="H2164">
        <v>1.6588069999999999</v>
      </c>
      <c r="I2164">
        <v>269.32729999999998</v>
      </c>
      <c r="J2164">
        <v>-264.02890000000002</v>
      </c>
      <c r="K2164">
        <v>1.120792</v>
      </c>
      <c r="L2164">
        <v>284.3014</v>
      </c>
      <c r="M2164">
        <v>-0.99979560000000001</v>
      </c>
      <c r="N2164">
        <v>-8.1533360000000006E-3</v>
      </c>
      <c r="O2164">
        <v>1.850187E-2</v>
      </c>
      <c r="P2164">
        <v>-0.98728990000000005</v>
      </c>
      <c r="Q2164">
        <v>0.14685999999999999</v>
      </c>
      <c r="R2164">
        <v>6.0751930000000003E-2</v>
      </c>
      <c r="S2164">
        <v>-3.0740970000000001</v>
      </c>
      <c r="T2164">
        <v>2.2615909999999999E-2</v>
      </c>
      <c r="U2164">
        <v>-0.62927250000000001</v>
      </c>
      <c r="V2164">
        <v>4.2499179999999998E-2</v>
      </c>
      <c r="W2164">
        <v>0.15490590000000001</v>
      </c>
      <c r="X2164">
        <v>0.98701470000000002</v>
      </c>
      <c r="Y2164">
        <v>-0.218634</v>
      </c>
      <c r="Z2164">
        <v>1.795294E-4</v>
      </c>
      <c r="AA2164">
        <v>0.97580699999999998</v>
      </c>
      <c r="AB2164">
        <v>29</v>
      </c>
      <c r="AC2164">
        <v>-72.980999999999995</v>
      </c>
      <c r="AD2164">
        <v>0.53801499999999902</v>
      </c>
      <c r="AE2164">
        <v>-14.9741</v>
      </c>
      <c r="AF2164">
        <v>-16.321015328686901</v>
      </c>
      <c r="AG2164">
        <v>0.53801499999999902</v>
      </c>
      <c r="AH2164">
        <v>72.687657930723404</v>
      </c>
      <c r="AI2164">
        <v>89.586221409541594</v>
      </c>
      <c r="AJ2164">
        <v>102.65509129664601</v>
      </c>
      <c r="AK2164">
        <v>74.499400111365404</v>
      </c>
      <c r="AL2164">
        <v>81.0886613582243</v>
      </c>
      <c r="AM2164">
        <v>87.534463813304399</v>
      </c>
      <c r="AN2164">
        <v>1.00000001808578</v>
      </c>
    </row>
    <row r="2165" spans="1:40" x14ac:dyDescent="0.25">
      <c r="A2165" t="str">
        <f>"20190303170301888"</f>
        <v>20190303170301888</v>
      </c>
      <c r="B2165" t="str">
        <f>"1551603781877763"</f>
        <v>1551603781877763</v>
      </c>
      <c r="C2165" t="s">
        <v>40</v>
      </c>
      <c r="D2165">
        <v>4.1571689999999997</v>
      </c>
      <c r="E2165">
        <v>0.40206649999999999</v>
      </c>
      <c r="F2165" t="s">
        <v>71</v>
      </c>
      <c r="G2165">
        <v>-337.07560000000001</v>
      </c>
      <c r="H2165">
        <v>1.682266</v>
      </c>
      <c r="I2165">
        <v>269.32729999999998</v>
      </c>
      <c r="J2165">
        <v>-264.17829999999998</v>
      </c>
      <c r="K2165">
        <v>1.1207879999999999</v>
      </c>
      <c r="L2165">
        <v>284.30419999999998</v>
      </c>
      <c r="M2165">
        <v>-0.99979499999999999</v>
      </c>
      <c r="N2165">
        <v>-8.1622340000000008E-3</v>
      </c>
      <c r="O2165">
        <v>1.853403E-2</v>
      </c>
      <c r="P2165">
        <v>-0.9873653</v>
      </c>
      <c r="Q2165">
        <v>0.14629819999999999</v>
      </c>
      <c r="R2165">
        <v>6.0885189999999999E-2</v>
      </c>
      <c r="S2165">
        <v>-3.0738829999999999</v>
      </c>
      <c r="T2165">
        <v>2.362943E-2</v>
      </c>
      <c r="U2165">
        <v>-0.63012699999999999</v>
      </c>
      <c r="V2165">
        <v>4.2599369999999998E-2</v>
      </c>
      <c r="W2165">
        <v>0.15435380000000001</v>
      </c>
      <c r="X2165">
        <v>0.9870968</v>
      </c>
      <c r="Y2165">
        <v>-0.21893860000000001</v>
      </c>
      <c r="Z2165">
        <v>2.208349E-4</v>
      </c>
      <c r="AA2165">
        <v>0.97573860000000001</v>
      </c>
      <c r="AB2165">
        <v>29</v>
      </c>
      <c r="AC2165">
        <v>-72.897300000000001</v>
      </c>
      <c r="AD2165">
        <v>0.56147800000000003</v>
      </c>
      <c r="AE2165">
        <v>-14.976900000000001</v>
      </c>
      <c r="AF2165">
        <v>-16.324523644597601</v>
      </c>
      <c r="AG2165">
        <v>0.56147800000000003</v>
      </c>
      <c r="AH2165">
        <v>72.603053292682205</v>
      </c>
      <c r="AI2165">
        <v>89.567702542514894</v>
      </c>
      <c r="AJ2165">
        <v>102.67199799671199</v>
      </c>
      <c r="AK2165">
        <v>74.417798121064806</v>
      </c>
      <c r="AL2165">
        <v>81.120678822260103</v>
      </c>
      <c r="AM2165">
        <v>87.528863909713394</v>
      </c>
      <c r="AN2165">
        <v>0.999999947234537</v>
      </c>
    </row>
    <row r="2166" spans="1:40" x14ac:dyDescent="0.25">
      <c r="A2166" t="str">
        <f>"20190303170301901"</f>
        <v>20190303170301901</v>
      </c>
      <c r="B2166" t="str">
        <f>"1551603781887523"</f>
        <v>1551603781887523</v>
      </c>
      <c r="C2166" t="s">
        <v>40</v>
      </c>
      <c r="D2166">
        <v>4.1209369999999996</v>
      </c>
      <c r="E2166">
        <v>0.4015957</v>
      </c>
      <c r="F2166" t="s">
        <v>71</v>
      </c>
      <c r="G2166">
        <v>-337.25639999999999</v>
      </c>
      <c r="H2166">
        <v>1.6644869999999901</v>
      </c>
      <c r="I2166">
        <v>269.3272</v>
      </c>
      <c r="J2166">
        <v>-264.3279</v>
      </c>
      <c r="K2166">
        <v>1.1207800000000001</v>
      </c>
      <c r="L2166">
        <v>284.30700000000002</v>
      </c>
      <c r="M2166">
        <v>-0.99979439999999997</v>
      </c>
      <c r="N2166">
        <v>-8.1716259999999995E-3</v>
      </c>
      <c r="O2166">
        <v>1.8566409999999998E-2</v>
      </c>
      <c r="P2166">
        <v>-0.98747510000000005</v>
      </c>
      <c r="Q2166">
        <v>0.14563889999999999</v>
      </c>
      <c r="R2166">
        <v>6.0684670000000003E-2</v>
      </c>
      <c r="S2166">
        <v>-3.0738829999999999</v>
      </c>
      <c r="T2166">
        <v>2.287138E-2</v>
      </c>
      <c r="U2166">
        <v>-0.62997440000000005</v>
      </c>
      <c r="V2166">
        <v>4.2364680000000002E-2</v>
      </c>
      <c r="W2166">
        <v>0.15370400000000001</v>
      </c>
      <c r="X2166">
        <v>0.98720839999999999</v>
      </c>
      <c r="Y2166">
        <v>-0.21892400000000001</v>
      </c>
      <c r="Z2166">
        <v>1.8924299999999999E-4</v>
      </c>
      <c r="AA2166">
        <v>0.97574190000000005</v>
      </c>
      <c r="AB2166">
        <v>29</v>
      </c>
      <c r="AC2166">
        <v>-72.9284999999999</v>
      </c>
      <c r="AD2166">
        <v>0.54370699999999905</v>
      </c>
      <c r="AE2166">
        <v>-14.979799999999999</v>
      </c>
      <c r="AF2166">
        <v>-16.330412235318001</v>
      </c>
      <c r="AG2166">
        <v>0.54370699999999905</v>
      </c>
      <c r="AH2166">
        <v>72.633924368748794</v>
      </c>
      <c r="AI2166">
        <v>89.581561049579506</v>
      </c>
      <c r="AJ2166">
        <v>102.671207588824</v>
      </c>
      <c r="AK2166">
        <v>74.449076221820206</v>
      </c>
      <c r="AL2166">
        <v>81.158360252118399</v>
      </c>
      <c r="AM2166">
        <v>87.542738719559097</v>
      </c>
      <c r="AN2166">
        <v>1.00000005537902</v>
      </c>
    </row>
    <row r="2167" spans="1:40" x14ac:dyDescent="0.25">
      <c r="A2167" t="str">
        <f>"20190303170301913"</f>
        <v>20190303170301913</v>
      </c>
      <c r="B2167" t="str">
        <f>"1551603781898258"</f>
        <v>1551603781898258</v>
      </c>
      <c r="C2167" t="s">
        <v>40</v>
      </c>
      <c r="D2167">
        <v>4.1589109999999998</v>
      </c>
      <c r="E2167">
        <v>0.40116590000000002</v>
      </c>
      <c r="F2167" t="s">
        <v>71</v>
      </c>
      <c r="G2167">
        <v>-336.94199999999898</v>
      </c>
      <c r="H2167">
        <v>1.6629929999999999</v>
      </c>
      <c r="I2167">
        <v>269.32729999999998</v>
      </c>
      <c r="J2167">
        <v>-264.50139999999999</v>
      </c>
      <c r="K2167">
        <v>1.120779</v>
      </c>
      <c r="L2167">
        <v>284.31020000000001</v>
      </c>
      <c r="M2167">
        <v>-0.99979340000000005</v>
      </c>
      <c r="N2167">
        <v>-8.1831530000000003E-3</v>
      </c>
      <c r="O2167">
        <v>1.860446E-2</v>
      </c>
      <c r="P2167">
        <v>-0.98757680000000003</v>
      </c>
      <c r="Q2167">
        <v>0.14482429999999999</v>
      </c>
      <c r="R2167">
        <v>6.0975349999999998E-2</v>
      </c>
      <c r="S2167">
        <v>-3.073639</v>
      </c>
      <c r="T2167">
        <v>2.295291E-2</v>
      </c>
      <c r="U2167">
        <v>-0.63406370000000001</v>
      </c>
      <c r="V2167">
        <v>4.2615849999999997E-2</v>
      </c>
      <c r="W2167">
        <v>0.15290210000000001</v>
      </c>
      <c r="X2167">
        <v>0.98732200000000003</v>
      </c>
      <c r="Y2167">
        <v>-0.22022169999999999</v>
      </c>
      <c r="Z2167">
        <v>1.9136899999999999E-4</v>
      </c>
      <c r="AA2167">
        <v>0.97544980000000003</v>
      </c>
      <c r="AB2167">
        <v>29</v>
      </c>
      <c r="AC2167">
        <v>-72.440599999999904</v>
      </c>
      <c r="AD2167">
        <v>0.54221399999999897</v>
      </c>
      <c r="AE2167">
        <v>-14.982900000000001</v>
      </c>
      <c r="AF2167">
        <v>-16.3271928374756</v>
      </c>
      <c r="AG2167">
        <v>0.54221399999999897</v>
      </c>
      <c r="AH2167">
        <v>72.145427091095996</v>
      </c>
      <c r="AI2167">
        <v>89.580017884637797</v>
      </c>
      <c r="AJ2167">
        <v>102.751774911524</v>
      </c>
      <c r="AK2167">
        <v>73.971845131310303</v>
      </c>
      <c r="AL2167">
        <v>81.204854386245302</v>
      </c>
      <c r="AM2167">
        <v>87.528472275561199</v>
      </c>
      <c r="AN2167">
        <v>0.999999947269814</v>
      </c>
    </row>
    <row r="2168" spans="1:40" x14ac:dyDescent="0.25">
      <c r="A2168" t="str">
        <f>"20190303170301931"</f>
        <v>20190303170301931</v>
      </c>
      <c r="B2168" t="str">
        <f>"1551603781917921"</f>
        <v>1551603781917921</v>
      </c>
      <c r="C2168" t="s">
        <v>40</v>
      </c>
      <c r="D2168">
        <v>4.2608480000000002</v>
      </c>
      <c r="E2168">
        <v>0.4007269</v>
      </c>
      <c r="F2168" t="s">
        <v>71</v>
      </c>
      <c r="G2168">
        <v>-336.90179999999998</v>
      </c>
      <c r="H2168">
        <v>1.654029</v>
      </c>
      <c r="I2168">
        <v>269.32729999999998</v>
      </c>
      <c r="J2168">
        <v>-264.7251</v>
      </c>
      <c r="K2168">
        <v>1.1207780000000001</v>
      </c>
      <c r="L2168">
        <v>284.31450000000001</v>
      </c>
      <c r="M2168">
        <v>-0.99979249999999997</v>
      </c>
      <c r="N2168">
        <v>-8.1984640000000008E-3</v>
      </c>
      <c r="O2168">
        <v>1.865315E-2</v>
      </c>
      <c r="P2168">
        <v>-0.98760700000000001</v>
      </c>
      <c r="Q2168">
        <v>0.14477400000000001</v>
      </c>
      <c r="R2168">
        <v>6.0606790000000001E-2</v>
      </c>
      <c r="S2168">
        <v>-3.0736690000000002</v>
      </c>
      <c r="T2168">
        <v>2.264035E-2</v>
      </c>
      <c r="U2168">
        <v>-0.63607789999999997</v>
      </c>
      <c r="V2168">
        <v>4.2198609999999998E-2</v>
      </c>
      <c r="W2168">
        <v>0.15286720000000001</v>
      </c>
      <c r="X2168">
        <v>0.98734540000000004</v>
      </c>
      <c r="Y2168">
        <v>-0.2208804</v>
      </c>
      <c r="Z2168">
        <v>1.7727699999999999E-4</v>
      </c>
      <c r="AA2168">
        <v>0.97530090000000003</v>
      </c>
      <c r="AB2168">
        <v>29</v>
      </c>
      <c r="AC2168">
        <v>-72.176699999999897</v>
      </c>
      <c r="AD2168">
        <v>0.53325100000000003</v>
      </c>
      <c r="AE2168">
        <v>-14.9872</v>
      </c>
      <c r="AF2168">
        <v>-16.330105676117601</v>
      </c>
      <c r="AG2168">
        <v>0.53325100000000003</v>
      </c>
      <c r="AH2168">
        <v>71.880812229101707</v>
      </c>
      <c r="AI2168">
        <v>89.585517728408007</v>
      </c>
      <c r="AJ2168">
        <v>102.799382871397</v>
      </c>
      <c r="AK2168">
        <v>73.714366813651395</v>
      </c>
      <c r="AL2168">
        <v>81.206878451514498</v>
      </c>
      <c r="AM2168">
        <v>87.552698683826094</v>
      </c>
      <c r="AN2168">
        <v>1.0000000212114599</v>
      </c>
    </row>
    <row r="2169" spans="1:40" x14ac:dyDescent="0.25">
      <c r="A2169" t="str">
        <f>"20190303170301946"</f>
        <v>20190303170301946</v>
      </c>
      <c r="B2169" t="str">
        <f>"1551603781937442"</f>
        <v>1551603781937442</v>
      </c>
      <c r="C2169" t="s">
        <v>40</v>
      </c>
      <c r="D2169">
        <v>4.221603</v>
      </c>
      <c r="E2169">
        <v>0.43597469999999999</v>
      </c>
      <c r="F2169" t="s">
        <v>71</v>
      </c>
      <c r="G2169">
        <v>-336.64940000000001</v>
      </c>
      <c r="H2169">
        <v>1.668722</v>
      </c>
      <c r="I2169">
        <v>269.32740000000001</v>
      </c>
      <c r="J2169">
        <v>-264.91609999999997</v>
      </c>
      <c r="K2169">
        <v>1.1207800000000001</v>
      </c>
      <c r="L2169">
        <v>284.31810000000002</v>
      </c>
      <c r="M2169">
        <v>-0.99979150000000006</v>
      </c>
      <c r="N2169">
        <v>-8.2116529999999993E-3</v>
      </c>
      <c r="O2169">
        <v>1.8695E-2</v>
      </c>
      <c r="P2169">
        <v>-0.98752390000000001</v>
      </c>
      <c r="Q2169">
        <v>0.1453122</v>
      </c>
      <c r="R2169">
        <v>6.0674169999999999E-2</v>
      </c>
      <c r="S2169">
        <v>-3.073547</v>
      </c>
      <c r="T2169">
        <v>2.341735E-2</v>
      </c>
      <c r="U2169">
        <v>-0.64044190000000001</v>
      </c>
      <c r="V2169">
        <v>4.2226390000000003E-2</v>
      </c>
      <c r="W2169">
        <v>0.1534171</v>
      </c>
      <c r="X2169">
        <v>0.98725890000000005</v>
      </c>
      <c r="Y2169">
        <v>-0.22225600000000001</v>
      </c>
      <c r="Z2169">
        <v>2.0822040000000001E-4</v>
      </c>
      <c r="AA2169">
        <v>0.97498830000000003</v>
      </c>
      <c r="AB2169">
        <v>29</v>
      </c>
      <c r="AC2169">
        <v>-71.7333</v>
      </c>
      <c r="AD2169">
        <v>0.54794200000000004</v>
      </c>
      <c r="AE2169">
        <v>-14.9907</v>
      </c>
      <c r="AF2169">
        <v>-16.328266363132599</v>
      </c>
      <c r="AG2169">
        <v>0.54794200000000004</v>
      </c>
      <c r="AH2169">
        <v>71.436508190395401</v>
      </c>
      <c r="AI2169">
        <v>89.571579148551194</v>
      </c>
      <c r="AJ2169">
        <v>102.874941826667</v>
      </c>
      <c r="AK2169">
        <v>73.280878988295498</v>
      </c>
      <c r="AL2169">
        <v>81.174995272487195</v>
      </c>
      <c r="AM2169">
        <v>87.550875244877105</v>
      </c>
      <c r="AN2169">
        <v>1.0000000051070199</v>
      </c>
    </row>
    <row r="2170" spans="1:40" x14ac:dyDescent="0.25">
      <c r="A2170" t="str">
        <f>"20190303170301965"</f>
        <v>20190303170301965</v>
      </c>
      <c r="B2170" t="str">
        <f>"1551603781957937"</f>
        <v>1551603781957937</v>
      </c>
      <c r="C2170" t="s">
        <v>40</v>
      </c>
      <c r="D2170">
        <v>4.1284769999999904</v>
      </c>
      <c r="E2170">
        <v>0.45262289999999999</v>
      </c>
      <c r="F2170" t="s">
        <v>42</v>
      </c>
      <c r="G2170">
        <v>-429.96469999999999</v>
      </c>
      <c r="H2170">
        <v>5.6922390000000003E-2</v>
      </c>
      <c r="I2170">
        <v>264.81549999999999</v>
      </c>
      <c r="J2170">
        <v>-265.17599999999999</v>
      </c>
      <c r="K2170">
        <v>1.120784</v>
      </c>
      <c r="L2170">
        <v>284.32299999999998</v>
      </c>
      <c r="M2170">
        <v>-0.99979039999999997</v>
      </c>
      <c r="N2170">
        <v>-8.2248410000000001E-3</v>
      </c>
      <c r="O2170">
        <v>1.8751569999999999E-2</v>
      </c>
      <c r="P2170">
        <v>-0.98742410000000003</v>
      </c>
      <c r="Q2170">
        <v>0.14593049999999999</v>
      </c>
      <c r="R2170">
        <v>6.0809929999999998E-2</v>
      </c>
      <c r="S2170">
        <v>-3.0630489999999999</v>
      </c>
      <c r="T2170">
        <v>-1.974356E-2</v>
      </c>
      <c r="U2170">
        <v>-0.3619385</v>
      </c>
      <c r="V2170">
        <v>4.2307999999999998E-2</v>
      </c>
      <c r="W2170">
        <v>0.15404849999999901</v>
      </c>
      <c r="X2170">
        <v>0.98715710000000001</v>
      </c>
      <c r="Y2170">
        <v>-0.13594200000000001</v>
      </c>
      <c r="Z2170">
        <v>-9.6442420000000004E-4</v>
      </c>
      <c r="AA2170">
        <v>0.99071629999999999</v>
      </c>
      <c r="AB2170">
        <v>29</v>
      </c>
      <c r="AC2170">
        <v>-164.78870000000001</v>
      </c>
      <c r="AD2170">
        <v>-1.06386161</v>
      </c>
      <c r="AE2170">
        <v>-19.5075</v>
      </c>
      <c r="AF2170">
        <v>-22.593292382887899</v>
      </c>
      <c r="AG2170">
        <v>-1.06386161</v>
      </c>
      <c r="AH2170">
        <v>164.38715850012099</v>
      </c>
      <c r="AI2170">
        <v>90.367341809767098</v>
      </c>
      <c r="AJ2170">
        <v>97.825675609548995</v>
      </c>
      <c r="AK2170">
        <v>165.93591094747299</v>
      </c>
      <c r="AL2170">
        <v>81.138383658326504</v>
      </c>
      <c r="AM2170">
        <v>87.5458949138267</v>
      </c>
      <c r="AN2170">
        <v>1.00000002364832</v>
      </c>
    </row>
    <row r="2171" spans="1:40" x14ac:dyDescent="0.25">
      <c r="A2171" t="str">
        <f>"20190303170301980"</f>
        <v>20190303170301980</v>
      </c>
      <c r="B2171" t="str">
        <f>"1551603781967698"</f>
        <v>1551603781967698</v>
      </c>
      <c r="C2171" t="s">
        <v>40</v>
      </c>
      <c r="D2171">
        <v>4.1123159999999999</v>
      </c>
      <c r="E2171">
        <v>0.4576268</v>
      </c>
      <c r="F2171" t="s">
        <v>62</v>
      </c>
      <c r="G2171">
        <v>-394.4579</v>
      </c>
      <c r="H2171">
        <v>8.0000150000000006E-2</v>
      </c>
      <c r="I2171">
        <v>274.64269999999999</v>
      </c>
      <c r="J2171">
        <v>-265.3612</v>
      </c>
      <c r="K2171">
        <v>1.1207830000000001</v>
      </c>
      <c r="L2171">
        <v>284.32650000000001</v>
      </c>
      <c r="M2171">
        <v>-0.9997897</v>
      </c>
      <c r="N2171">
        <v>-8.2294699999999991E-3</v>
      </c>
      <c r="O2171">
        <v>1.879196E-2</v>
      </c>
      <c r="P2171">
        <v>-0.98743879999999995</v>
      </c>
      <c r="Q2171">
        <v>0.1458721</v>
      </c>
      <c r="R2171">
        <v>6.0712049999999997E-2</v>
      </c>
      <c r="S2171">
        <v>-3.055939</v>
      </c>
      <c r="T2171">
        <v>-2.460182E-2</v>
      </c>
      <c r="U2171">
        <v>-0.22882079999999999</v>
      </c>
      <c r="V2171">
        <v>4.2169980000000003E-2</v>
      </c>
      <c r="W2171">
        <v>0.1539943</v>
      </c>
      <c r="X2171">
        <v>0.98717140000000003</v>
      </c>
      <c r="Y2171">
        <v>-9.3389239999999998E-2</v>
      </c>
      <c r="Z2171">
        <v>-7.5688809999999997E-4</v>
      </c>
      <c r="AA2171">
        <v>0.9956294</v>
      </c>
      <c r="AB2171">
        <v>29</v>
      </c>
      <c r="AC2171">
        <v>-129.0967</v>
      </c>
      <c r="AD2171">
        <v>-1.04078285</v>
      </c>
      <c r="AE2171">
        <v>-9.6838000000000193</v>
      </c>
      <c r="AF2171">
        <v>-12.107369146572299</v>
      </c>
      <c r="AG2171">
        <v>-1.04078285</v>
      </c>
      <c r="AH2171">
        <v>128.883588163176</v>
      </c>
      <c r="AI2171">
        <v>90.460646643584198</v>
      </c>
      <c r="AJ2171">
        <v>95.366635979087803</v>
      </c>
      <c r="AK2171">
        <v>129.45520813936901</v>
      </c>
      <c r="AL2171">
        <v>81.141526044806795</v>
      </c>
      <c r="AM2171">
        <v>87.553926510768804</v>
      </c>
      <c r="AN2171">
        <v>0.99999996231182398</v>
      </c>
    </row>
    <row r="2172" spans="1:40" x14ac:dyDescent="0.25">
      <c r="A2172" t="str">
        <f>"20190303170301998"</f>
        <v>20190303170301998</v>
      </c>
      <c r="B2172" t="str">
        <f>"1551603781988194"</f>
        <v>1551603781988194</v>
      </c>
      <c r="C2172" t="s">
        <v>40</v>
      </c>
      <c r="D2172">
        <v>4.1814619999999998</v>
      </c>
      <c r="E2172">
        <v>0.46372600000000003</v>
      </c>
      <c r="F2172" t="s">
        <v>62</v>
      </c>
      <c r="G2172">
        <v>-390.88369999999998</v>
      </c>
      <c r="H2172">
        <v>8.0001199999999995E-2</v>
      </c>
      <c r="I2172">
        <v>276.53989999999999</v>
      </c>
      <c r="J2172">
        <v>-265.60059999999999</v>
      </c>
      <c r="K2172">
        <v>1.1207750000000001</v>
      </c>
      <c r="L2172">
        <v>284.33109999999999</v>
      </c>
      <c r="M2172">
        <v>-0.99978860000000003</v>
      </c>
      <c r="N2172">
        <v>-8.2299609999999992E-3</v>
      </c>
      <c r="O2172">
        <v>1.8844409999999999E-2</v>
      </c>
      <c r="P2172">
        <v>-0.98751610000000001</v>
      </c>
      <c r="Q2172">
        <v>0.1453111</v>
      </c>
      <c r="R2172">
        <v>6.0799680000000002E-2</v>
      </c>
      <c r="S2172">
        <v>-3.0535580000000002</v>
      </c>
      <c r="T2172">
        <v>-2.5318859999999999E-2</v>
      </c>
      <c r="U2172">
        <v>-0.1894226</v>
      </c>
      <c r="V2172">
        <v>4.220434E-2</v>
      </c>
      <c r="W2172">
        <v>0.1534345</v>
      </c>
      <c r="X2172">
        <v>0.9872571</v>
      </c>
      <c r="Y2172">
        <v>-8.0706780000000006E-2</v>
      </c>
      <c r="Z2172">
        <v>-6.6789629999999996E-4</v>
      </c>
      <c r="AA2172">
        <v>0.99673769999999995</v>
      </c>
      <c r="AB2172">
        <v>29</v>
      </c>
      <c r="AC2172">
        <v>-125.2831</v>
      </c>
      <c r="AD2172">
        <v>-1.0407738</v>
      </c>
      <c r="AE2172">
        <v>-7.7911999999999999</v>
      </c>
      <c r="AF2172">
        <v>-10.1500845819224</v>
      </c>
      <c r="AG2172">
        <v>-1.0407738</v>
      </c>
      <c r="AH2172">
        <v>125.10542565854099</v>
      </c>
      <c r="AI2172">
        <v>90.475081599529005</v>
      </c>
      <c r="AJ2172">
        <v>94.638375989569994</v>
      </c>
      <c r="AK2172">
        <v>125.52081483294999</v>
      </c>
      <c r="AL2172">
        <v>81.173986040050394</v>
      </c>
      <c r="AM2172">
        <v>87.552148128200599</v>
      </c>
      <c r="AN2172">
        <v>0.99999996680274705</v>
      </c>
    </row>
    <row r="2173" spans="1:40" x14ac:dyDescent="0.25">
      <c r="A2173" t="str">
        <f>"20190303170302012"</f>
        <v>20190303170302012</v>
      </c>
      <c r="B2173" t="str">
        <f>"1551603781997954"</f>
        <v>1551603781997954</v>
      </c>
      <c r="C2173" t="s">
        <v>40</v>
      </c>
      <c r="D2173">
        <v>4.0745269999999998</v>
      </c>
      <c r="E2173">
        <v>0.4659741</v>
      </c>
      <c r="F2173" t="s">
        <v>62</v>
      </c>
      <c r="G2173">
        <v>-368.43009999999998</v>
      </c>
      <c r="H2173">
        <v>7.1540889999999996E-2</v>
      </c>
      <c r="I2173">
        <v>279.59480000000002</v>
      </c>
      <c r="J2173">
        <v>-265.78469999999999</v>
      </c>
      <c r="K2173">
        <v>1.120771</v>
      </c>
      <c r="L2173">
        <v>284.33460000000002</v>
      </c>
      <c r="M2173">
        <v>-0.99978789999999995</v>
      </c>
      <c r="N2173">
        <v>-8.2265099999999994E-3</v>
      </c>
      <c r="O2173">
        <v>1.8884359999999999E-2</v>
      </c>
      <c r="P2173">
        <v>-0.98754600000000003</v>
      </c>
      <c r="Q2173">
        <v>0.14507639999999999</v>
      </c>
      <c r="R2173">
        <v>6.0876239999999998E-2</v>
      </c>
      <c r="S2173">
        <v>-3.0511170000000001</v>
      </c>
      <c r="T2173">
        <v>-3.1132460000000001E-2</v>
      </c>
      <c r="U2173">
        <v>-0.140533399999999</v>
      </c>
      <c r="V2173">
        <v>4.2240850000000003E-2</v>
      </c>
      <c r="W2173">
        <v>0.15319659999999999</v>
      </c>
      <c r="X2173">
        <v>0.98729250000000002</v>
      </c>
      <c r="Y2173">
        <v>-6.4861550000000004E-2</v>
      </c>
      <c r="Z2173">
        <v>-6.3501050000000004E-4</v>
      </c>
      <c r="AA2173">
        <v>0.99789399999999995</v>
      </c>
      <c r="AB2173">
        <v>29</v>
      </c>
      <c r="AC2173">
        <v>-102.6454</v>
      </c>
      <c r="AD2173">
        <v>-1.0492301100000001</v>
      </c>
      <c r="AE2173">
        <v>-4.7397999999999998</v>
      </c>
      <c r="AF2173">
        <v>-6.6767167147892703</v>
      </c>
      <c r="AG2173">
        <v>-1.0492301100000001</v>
      </c>
      <c r="AH2173">
        <v>102.52689342687199</v>
      </c>
      <c r="AI2173">
        <v>90.585088479169599</v>
      </c>
      <c r="AJ2173">
        <v>93.725932536248294</v>
      </c>
      <c r="AK2173">
        <v>102.74941997733301</v>
      </c>
      <c r="AL2173">
        <v>81.187779939768205</v>
      </c>
      <c r="AM2173">
        <v>87.550120865310802</v>
      </c>
      <c r="AN2173">
        <v>0.99999998410826596</v>
      </c>
    </row>
    <row r="2174" spans="1:40" x14ac:dyDescent="0.25">
      <c r="A2174" t="str">
        <f>"20190303170302026"</f>
        <v>20190303170302026</v>
      </c>
      <c r="B2174" t="str">
        <f>"1551603782018197"</f>
        <v>1551603782018197</v>
      </c>
      <c r="C2174" t="s">
        <v>40</v>
      </c>
      <c r="D2174">
        <v>4.1605919999999896</v>
      </c>
      <c r="E2174">
        <v>0.4690647</v>
      </c>
      <c r="F2174" t="s">
        <v>62</v>
      </c>
      <c r="G2174">
        <v>-371.0949</v>
      </c>
      <c r="H2174" s="1">
        <v>-9.5415660000000002E-7</v>
      </c>
      <c r="I2174">
        <v>280.11270000000002</v>
      </c>
      <c r="J2174">
        <v>-265.95999999999998</v>
      </c>
      <c r="K2174">
        <v>1.120768</v>
      </c>
      <c r="L2174">
        <v>284.33789999999999</v>
      </c>
      <c r="M2174">
        <v>-0.99978699999999998</v>
      </c>
      <c r="N2174">
        <v>-8.2214109999999996E-3</v>
      </c>
      <c r="O2174">
        <v>1.892307E-2</v>
      </c>
      <c r="P2174">
        <v>-0.98758029999999997</v>
      </c>
      <c r="Q2174">
        <v>0.14483119999999999</v>
      </c>
      <c r="R2174">
        <v>6.0899019999999998E-2</v>
      </c>
      <c r="S2174">
        <v>-3.0502009999999999</v>
      </c>
      <c r="T2174">
        <v>-3.2461999999999998E-2</v>
      </c>
      <c r="U2174">
        <v>-0.1222839</v>
      </c>
      <c r="V2174">
        <v>4.2224480000000002E-2</v>
      </c>
      <c r="W2174">
        <v>0.15294679999999999</v>
      </c>
      <c r="X2174">
        <v>0.98733190000000004</v>
      </c>
      <c r="Y2174">
        <v>-5.8953659999999998E-2</v>
      </c>
      <c r="Z2174">
        <v>-6.0183730000000003E-4</v>
      </c>
      <c r="AA2174">
        <v>0.99826060000000005</v>
      </c>
      <c r="AB2174">
        <v>29</v>
      </c>
      <c r="AC2174">
        <v>-105.1349</v>
      </c>
      <c r="AD2174">
        <v>-1.1207689541565999</v>
      </c>
      <c r="AE2174">
        <v>-4.2251999999999699</v>
      </c>
      <c r="AF2174">
        <v>-6.2132810358047799</v>
      </c>
      <c r="AG2174">
        <v>-1.1207689541565999</v>
      </c>
      <c r="AH2174">
        <v>105.024201178643</v>
      </c>
      <c r="AI2174">
        <v>90.610343368159704</v>
      </c>
      <c r="AJ2174">
        <v>93.385698949874296</v>
      </c>
      <c r="AK2174">
        <v>105.21380050872899</v>
      </c>
      <c r="AL2174">
        <v>81.202262855430206</v>
      </c>
      <c r="AM2174">
        <v>87.551166741155399</v>
      </c>
      <c r="AN2174">
        <v>0.99999995554955901</v>
      </c>
    </row>
    <row r="2175" spans="1:40" x14ac:dyDescent="0.25">
      <c r="A2175" t="str">
        <f>"20190303170302043"</f>
        <v>20190303170302043</v>
      </c>
      <c r="B2175" t="str">
        <f>"1551603782037717"</f>
        <v>1551603782037717</v>
      </c>
      <c r="C2175" t="s">
        <v>40</v>
      </c>
      <c r="D2175">
        <v>4.1640649999999999</v>
      </c>
      <c r="E2175">
        <v>0.47106150000000002</v>
      </c>
      <c r="F2175" t="s">
        <v>62</v>
      </c>
      <c r="G2175">
        <v>-368.93669999999997</v>
      </c>
      <c r="H2175" s="1">
        <v>3.218892E-6</v>
      </c>
      <c r="I2175">
        <v>281.05369999999999</v>
      </c>
      <c r="J2175">
        <v>-266.19040000000001</v>
      </c>
      <c r="K2175">
        <v>1.1207689999999999</v>
      </c>
      <c r="L2175">
        <v>284.34230000000002</v>
      </c>
      <c r="M2175">
        <v>-0.99978639999999996</v>
      </c>
      <c r="N2175">
        <v>-8.2137570000000003E-3</v>
      </c>
      <c r="O2175">
        <v>1.8973400000000001E-2</v>
      </c>
      <c r="P2175">
        <v>-0.98748429999999998</v>
      </c>
      <c r="Q2175">
        <v>0.14537229999999901</v>
      </c>
      <c r="R2175">
        <v>6.117152E-2</v>
      </c>
      <c r="S2175">
        <v>-3.048584</v>
      </c>
      <c r="T2175">
        <v>-3.3179760000000003E-2</v>
      </c>
      <c r="U2175">
        <v>-9.7228999999999996E-2</v>
      </c>
      <c r="V2175">
        <v>4.2449300000000002E-2</v>
      </c>
      <c r="W2175">
        <v>0.15347930000000001</v>
      </c>
      <c r="X2175">
        <v>0.98723970000000005</v>
      </c>
      <c r="Y2175">
        <v>-5.0830269999999997E-2</v>
      </c>
      <c r="Z2175">
        <v>-5.3600030000000001E-4</v>
      </c>
      <c r="AA2175">
        <v>0.99870720000000002</v>
      </c>
      <c r="AB2175">
        <v>29</v>
      </c>
      <c r="AC2175">
        <v>-102.746299999999</v>
      </c>
      <c r="AD2175">
        <v>-1.1207657811080001</v>
      </c>
      <c r="AE2175">
        <v>-3.2886000000000299</v>
      </c>
      <c r="AF2175">
        <v>-5.2368976121181596</v>
      </c>
      <c r="AG2175">
        <v>-1.1207657811080001</v>
      </c>
      <c r="AH2175">
        <v>102.65320342312801</v>
      </c>
      <c r="AI2175">
        <v>90.624717066038698</v>
      </c>
      <c r="AJ2175">
        <v>92.920437199963104</v>
      </c>
      <c r="AK2175">
        <v>102.792808043978</v>
      </c>
      <c r="AL2175">
        <v>81.171389000688507</v>
      </c>
      <c r="AM2175">
        <v>87.537914540180296</v>
      </c>
      <c r="AN2175">
        <v>1.00000003192753</v>
      </c>
    </row>
    <row r="2176" spans="1:40" x14ac:dyDescent="0.25">
      <c r="A2176" t="str">
        <f>"20190303170302057"</f>
        <v>20190303170302057</v>
      </c>
      <c r="B2176" t="str">
        <f>"1551603782047476"</f>
        <v>1551603782047476</v>
      </c>
      <c r="C2176" t="s">
        <v>40</v>
      </c>
      <c r="D2176">
        <v>4.2142739999999996</v>
      </c>
      <c r="E2176">
        <v>0.47196169999999998</v>
      </c>
      <c r="F2176" t="s">
        <v>62</v>
      </c>
      <c r="G2176">
        <v>-376.31670000000003</v>
      </c>
      <c r="H2176" s="1">
        <v>1.824637E-6</v>
      </c>
      <c r="I2176">
        <v>281.44979999999998</v>
      </c>
      <c r="J2176">
        <v>-266.36790000000002</v>
      </c>
      <c r="K2176">
        <v>1.1207670000000001</v>
      </c>
      <c r="L2176">
        <v>284.3458</v>
      </c>
      <c r="M2176">
        <v>-0.99978549999999999</v>
      </c>
      <c r="N2176">
        <v>-8.2075989999999995E-3</v>
      </c>
      <c r="O2176">
        <v>1.9012290000000001E-2</v>
      </c>
      <c r="P2176">
        <v>-0.98734500000000003</v>
      </c>
      <c r="Q2176">
        <v>0.1461015</v>
      </c>
      <c r="R2176">
        <v>6.1678789999999997E-2</v>
      </c>
      <c r="S2176">
        <v>-3.047577</v>
      </c>
      <c r="T2176">
        <v>-3.1015520000000001E-2</v>
      </c>
      <c r="U2176">
        <v>-8.0047610000000005E-2</v>
      </c>
      <c r="V2176">
        <v>4.2920880000000002E-2</v>
      </c>
      <c r="W2176">
        <v>0.15420159999999999</v>
      </c>
      <c r="X2176">
        <v>0.9871067</v>
      </c>
      <c r="Y2176">
        <v>-4.5254290000000003E-2</v>
      </c>
      <c r="Z2176">
        <v>-4.5342929999999998E-4</v>
      </c>
      <c r="AA2176">
        <v>0.99897539999999996</v>
      </c>
      <c r="AB2176">
        <v>29</v>
      </c>
      <c r="AC2176">
        <v>-109.94880000000001</v>
      </c>
      <c r="AD2176">
        <v>-1.1207651753629999</v>
      </c>
      <c r="AE2176">
        <v>-2.8960000000000101</v>
      </c>
      <c r="AF2176">
        <v>-4.9854078599522396</v>
      </c>
      <c r="AG2176">
        <v>-1.1207651753629999</v>
      </c>
      <c r="AH2176">
        <v>109.862456316924</v>
      </c>
      <c r="AI2176">
        <v>90.583883532964407</v>
      </c>
      <c r="AJ2176">
        <v>92.598221574786805</v>
      </c>
      <c r="AK2176">
        <v>109.981224370782</v>
      </c>
      <c r="AL2176">
        <v>81.129505259678197</v>
      </c>
      <c r="AM2176">
        <v>87.510261838303094</v>
      </c>
      <c r="AN2176">
        <v>0.99999998628371201</v>
      </c>
    </row>
    <row r="2177" spans="1:40" x14ac:dyDescent="0.25">
      <c r="A2177" t="str">
        <f>"20190303170302068"</f>
        <v>20190303170302068</v>
      </c>
      <c r="B2177" t="str">
        <f>"1551603782058212"</f>
        <v>1551603782058212</v>
      </c>
      <c r="C2177" t="s">
        <v>40</v>
      </c>
      <c r="D2177">
        <v>4.1068249999999997</v>
      </c>
      <c r="E2177">
        <v>0.47269290000000003</v>
      </c>
      <c r="F2177" t="s">
        <v>62</v>
      </c>
      <c r="G2177">
        <v>-381.89729999999997</v>
      </c>
      <c r="H2177" s="1">
        <v>-5.2711749999999996E-7</v>
      </c>
      <c r="I2177">
        <v>281.63850000000002</v>
      </c>
      <c r="J2177">
        <v>-266.53399999999999</v>
      </c>
      <c r="K2177">
        <v>1.1207689999999999</v>
      </c>
      <c r="L2177">
        <v>284.34890000000001</v>
      </c>
      <c r="M2177">
        <v>-0.99978509999999998</v>
      </c>
      <c r="N2177">
        <v>-8.2019640000000008E-3</v>
      </c>
      <c r="O2177">
        <v>1.904844E-2</v>
      </c>
      <c r="P2177">
        <v>-0.98723099999999997</v>
      </c>
      <c r="Q2177">
        <v>0.1467773</v>
      </c>
      <c r="R2177">
        <v>6.189824E-2</v>
      </c>
      <c r="S2177">
        <v>-3.0473330000000001</v>
      </c>
      <c r="T2177">
        <v>-2.956259E-2</v>
      </c>
      <c r="U2177">
        <v>-7.1411130000000003E-2</v>
      </c>
      <c r="V2177">
        <v>4.3106659999999998E-2</v>
      </c>
      <c r="W2177">
        <v>0.15487100000000001</v>
      </c>
      <c r="X2177">
        <v>0.98699380000000003</v>
      </c>
      <c r="Y2177">
        <v>-4.2463439999999998E-2</v>
      </c>
      <c r="Z2177">
        <v>-4.08665E-4</v>
      </c>
      <c r="AA2177">
        <v>0.99909789999999998</v>
      </c>
      <c r="AB2177">
        <v>29</v>
      </c>
      <c r="AC2177">
        <v>-115.363299999999</v>
      </c>
      <c r="AD2177">
        <v>-1.1207695271175</v>
      </c>
      <c r="AE2177">
        <v>-2.7103999999999902</v>
      </c>
      <c r="AF2177">
        <v>-4.9070097308455001</v>
      </c>
      <c r="AG2177">
        <v>-1.1207695271175</v>
      </c>
      <c r="AH2177">
        <v>115.27986214997701</v>
      </c>
      <c r="AI2177">
        <v>90.556517408114701</v>
      </c>
      <c r="AJ2177">
        <v>92.437384325170001</v>
      </c>
      <c r="AK2177">
        <v>115.38969402052</v>
      </c>
      <c r="AL2177">
        <v>81.090685119067501</v>
      </c>
      <c r="AM2177">
        <v>87.499213167795105</v>
      </c>
      <c r="AN2177">
        <v>0.99999998600789697</v>
      </c>
    </row>
    <row r="2178" spans="1:40" x14ac:dyDescent="0.25">
      <c r="A2178" t="str">
        <f>"20190303170302086"</f>
        <v>20190303170302086</v>
      </c>
      <c r="B2178" t="str">
        <f>"1551603782077734"</f>
        <v>1551603782077734</v>
      </c>
      <c r="C2178" t="s">
        <v>40</v>
      </c>
      <c r="D2178">
        <v>4.1705350000000001</v>
      </c>
      <c r="E2178">
        <v>0.4738638</v>
      </c>
      <c r="F2178" t="s">
        <v>62</v>
      </c>
      <c r="G2178">
        <v>-387.89299999999997</v>
      </c>
      <c r="H2178" s="1">
        <v>2.663454E-6</v>
      </c>
      <c r="I2178">
        <v>281.76</v>
      </c>
      <c r="J2178">
        <v>-266.76609999999999</v>
      </c>
      <c r="K2178">
        <v>1.120768</v>
      </c>
      <c r="L2178">
        <v>284.35340000000002</v>
      </c>
      <c r="M2178">
        <v>-0.99978409999999995</v>
      </c>
      <c r="N2178">
        <v>-8.1918129999999992E-3</v>
      </c>
      <c r="O2178">
        <v>1.9099020000000001E-2</v>
      </c>
      <c r="P2178">
        <v>-0.98701380000000005</v>
      </c>
      <c r="Q2178">
        <v>0.1478255</v>
      </c>
      <c r="R2178">
        <v>6.2861520000000004E-2</v>
      </c>
      <c r="S2178">
        <v>-3.0470280000000001</v>
      </c>
      <c r="T2178">
        <v>-2.8139709999999998E-2</v>
      </c>
      <c r="U2178">
        <v>-6.5002439999999995E-2</v>
      </c>
      <c r="V2178">
        <v>4.4024389999999997E-2</v>
      </c>
      <c r="W2178">
        <v>0.1559073</v>
      </c>
      <c r="X2178">
        <v>0.9867901</v>
      </c>
      <c r="Y2178">
        <v>-4.041637E-2</v>
      </c>
      <c r="Z2178">
        <v>-3.7209E-4</v>
      </c>
      <c r="AA2178">
        <v>0.99918289999999998</v>
      </c>
      <c r="AB2178">
        <v>29</v>
      </c>
      <c r="AC2178">
        <v>-121.12690000000001</v>
      </c>
      <c r="AD2178">
        <v>-1.120765336546</v>
      </c>
      <c r="AE2178">
        <v>-2.5934000000000301</v>
      </c>
      <c r="AF2178">
        <v>-4.9059896587825698</v>
      </c>
      <c r="AG2178">
        <v>-1.120765336546</v>
      </c>
      <c r="AH2178">
        <v>121.04491309096601</v>
      </c>
      <c r="AI2178">
        <v>90.530056266523005</v>
      </c>
      <c r="AJ2178">
        <v>92.320946238662302</v>
      </c>
      <c r="AK2178">
        <v>121.14947723647499</v>
      </c>
      <c r="AL2178">
        <v>81.030579245813698</v>
      </c>
      <c r="AM2178">
        <v>87.4455152977973</v>
      </c>
      <c r="AN2178">
        <v>0.99999996728308505</v>
      </c>
    </row>
    <row r="2179" spans="1:40" x14ac:dyDescent="0.25">
      <c r="A2179" t="str">
        <f>"20190303170302098"</f>
        <v>20190303170302098</v>
      </c>
      <c r="B2179" t="str">
        <f>"1551603782087492"</f>
        <v>1551603782087492</v>
      </c>
      <c r="C2179" t="s">
        <v>40</v>
      </c>
      <c r="D2179">
        <v>4.1621420000000002</v>
      </c>
      <c r="E2179">
        <v>0.47428989999999999</v>
      </c>
      <c r="F2179" t="s">
        <v>63</v>
      </c>
      <c r="G2179">
        <v>-412.80990000000003</v>
      </c>
      <c r="H2179" s="1">
        <v>2.9485740000000002E-6</v>
      </c>
      <c r="I2179">
        <v>281.82089999999999</v>
      </c>
      <c r="J2179">
        <v>-266.92009999999999</v>
      </c>
      <c r="K2179">
        <v>1.1207659999999999</v>
      </c>
      <c r="L2179">
        <v>284.35640000000001</v>
      </c>
      <c r="M2179">
        <v>-0.99978350000000005</v>
      </c>
      <c r="N2179">
        <v>-8.1838869999999904E-3</v>
      </c>
      <c r="O2179">
        <v>1.9132610000000001E-2</v>
      </c>
      <c r="P2179">
        <v>-0.9869829</v>
      </c>
      <c r="Q2179">
        <v>0.1478806</v>
      </c>
      <c r="R2179">
        <v>6.3215450000000006E-2</v>
      </c>
      <c r="S2179">
        <v>-3.0463260000000001</v>
      </c>
      <c r="T2179">
        <v>-2.3378010000000001E-2</v>
      </c>
      <c r="U2179">
        <v>-5.282593E-2</v>
      </c>
      <c r="V2179">
        <v>4.4345620000000002E-2</v>
      </c>
      <c r="W2179">
        <v>0.15595439999999999</v>
      </c>
      <c r="X2179">
        <v>0.98676830000000004</v>
      </c>
      <c r="Y2179">
        <v>-3.6463250000000003E-2</v>
      </c>
      <c r="Z2179">
        <v>-2.7936600000000002E-4</v>
      </c>
      <c r="AA2179">
        <v>0.99933490000000003</v>
      </c>
      <c r="AB2179">
        <v>30</v>
      </c>
      <c r="AC2179">
        <v>-145.88980000000001</v>
      </c>
      <c r="AD2179">
        <v>-1.1207630514260001</v>
      </c>
      <c r="AE2179">
        <v>-2.5355000000000101</v>
      </c>
      <c r="AF2179">
        <v>-5.3260676373229998</v>
      </c>
      <c r="AG2179">
        <v>-1.1207630514260001</v>
      </c>
      <c r="AH2179">
        <v>145.80597899430899</v>
      </c>
      <c r="AI2179">
        <v>90.440111796978798</v>
      </c>
      <c r="AJ2179">
        <v>92.091996358995004</v>
      </c>
      <c r="AK2179">
        <v>145.907527622065</v>
      </c>
      <c r="AL2179">
        <v>81.0278474321602</v>
      </c>
      <c r="AM2179">
        <v>87.426844341068303</v>
      </c>
      <c r="AN2179">
        <v>0.99999999338871703</v>
      </c>
    </row>
    <row r="2180" spans="1:40" x14ac:dyDescent="0.25">
      <c r="A2180" t="str">
        <f>"20190303170302109"</f>
        <v>20190303170302109</v>
      </c>
      <c r="B2180" t="str">
        <f>"1551603782098229"</f>
        <v>1551603782098229</v>
      </c>
      <c r="C2180" t="s">
        <v>40</v>
      </c>
      <c r="D2180">
        <v>4.2814870000000003</v>
      </c>
      <c r="E2180">
        <v>0.47443419999999997</v>
      </c>
      <c r="F2180" t="s">
        <v>63</v>
      </c>
      <c r="G2180">
        <v>-418.28059999999999</v>
      </c>
      <c r="H2180" s="1">
        <v>3.9082339999999998E-6</v>
      </c>
      <c r="I2180">
        <v>281.94380000000001</v>
      </c>
      <c r="J2180">
        <v>-267.07619999999997</v>
      </c>
      <c r="K2180">
        <v>1.12076</v>
      </c>
      <c r="L2180">
        <v>284.35939999999999</v>
      </c>
      <c r="M2180">
        <v>-0.99978290000000003</v>
      </c>
      <c r="N2180">
        <v>-8.1747639999999993E-3</v>
      </c>
      <c r="O2180">
        <v>1.9166389999999998E-2</v>
      </c>
      <c r="P2180">
        <v>-0.98699309999999996</v>
      </c>
      <c r="Q2180">
        <v>0.14764269999999999</v>
      </c>
      <c r="R2180">
        <v>6.3611150000000005E-2</v>
      </c>
      <c r="S2180">
        <v>-3.0460509999999998</v>
      </c>
      <c r="T2180">
        <v>-2.255476E-2</v>
      </c>
      <c r="U2180">
        <v>-4.8553470000000001E-2</v>
      </c>
      <c r="V2180">
        <v>4.4707709999999998E-2</v>
      </c>
      <c r="W2180">
        <v>0.1557076</v>
      </c>
      <c r="X2180">
        <v>0.98679099999999997</v>
      </c>
      <c r="Y2180">
        <v>-3.5097419999999997E-2</v>
      </c>
      <c r="Z2180">
        <v>-2.5863559999999999E-4</v>
      </c>
      <c r="AA2180">
        <v>0.99938389999999999</v>
      </c>
      <c r="AB2180">
        <v>30</v>
      </c>
      <c r="AC2180">
        <v>-151.20439999999999</v>
      </c>
      <c r="AD2180">
        <v>-1.120756091766</v>
      </c>
      <c r="AE2180">
        <v>-2.41559999999998</v>
      </c>
      <c r="AF2180">
        <v>-5.3130037215615102</v>
      </c>
      <c r="AG2180">
        <v>-1.120756091766</v>
      </c>
      <c r="AH2180">
        <v>151.122022593346</v>
      </c>
      <c r="AI2180">
        <v>90.424648699907706</v>
      </c>
      <c r="AJ2180">
        <v>92.013520978989305</v>
      </c>
      <c r="AK2180">
        <v>151.21954177772901</v>
      </c>
      <c r="AL2180">
        <v>81.042163485644195</v>
      </c>
      <c r="AM2180">
        <v>87.405922239259397</v>
      </c>
      <c r="AN2180">
        <v>1.0000000568561001</v>
      </c>
    </row>
    <row r="2181" spans="1:40" x14ac:dyDescent="0.25">
      <c r="A2181" t="str">
        <f>"20190303170302121"</f>
        <v>20190303170302121</v>
      </c>
      <c r="B2181" t="str">
        <f>"1551603782107989"</f>
        <v>1551603782107989</v>
      </c>
      <c r="C2181" t="s">
        <v>40</v>
      </c>
      <c r="D2181">
        <v>4.1967429999999997</v>
      </c>
      <c r="E2181">
        <v>0.47478749999999997</v>
      </c>
      <c r="F2181" t="s">
        <v>63</v>
      </c>
      <c r="G2181">
        <v>-420.00139999999999</v>
      </c>
      <c r="H2181" s="1">
        <v>4.1884109999999997E-6</v>
      </c>
      <c r="I2181">
        <v>282.05349999999999</v>
      </c>
      <c r="J2181">
        <v>-267.21969999999999</v>
      </c>
      <c r="K2181">
        <v>1.1207560000000001</v>
      </c>
      <c r="L2181">
        <v>284.36219999999997</v>
      </c>
      <c r="M2181">
        <v>-0.99978230000000001</v>
      </c>
      <c r="N2181">
        <v>-8.1664449999999996E-3</v>
      </c>
      <c r="O2181">
        <v>1.9197659999999998E-2</v>
      </c>
      <c r="P2181">
        <v>-0.98704590000000003</v>
      </c>
      <c r="Q2181">
        <v>0.147234</v>
      </c>
      <c r="R2181">
        <v>6.3739450000000003E-2</v>
      </c>
      <c r="S2181">
        <v>-3.0458370000000001</v>
      </c>
      <c r="T2181">
        <v>-2.23223E-2</v>
      </c>
      <c r="U2181">
        <v>-4.5928959999999998E-2</v>
      </c>
      <c r="V2181">
        <v>4.4804280000000002E-2</v>
      </c>
      <c r="W2181">
        <v>0.1552907</v>
      </c>
      <c r="X2181">
        <v>0.98685219999999996</v>
      </c>
      <c r="Y2181">
        <v>-3.4268930000000003E-2</v>
      </c>
      <c r="Z2181">
        <v>-2.4942010000000001E-4</v>
      </c>
      <c r="AA2181">
        <v>0.99941259999999998</v>
      </c>
      <c r="AB2181">
        <v>30</v>
      </c>
      <c r="AC2181">
        <v>-152.7817</v>
      </c>
      <c r="AD2181">
        <v>-1.1207518115889901</v>
      </c>
      <c r="AE2181">
        <v>-2.30869999999998</v>
      </c>
      <c r="AF2181">
        <v>-5.2411416297072</v>
      </c>
      <c r="AG2181">
        <v>-1.1207518115889901</v>
      </c>
      <c r="AH2181">
        <v>152.70100333156299</v>
      </c>
      <c r="AI2181">
        <v>90.420268403413701</v>
      </c>
      <c r="AJ2181">
        <v>91.965785750084393</v>
      </c>
      <c r="AK2181">
        <v>152.79503286649</v>
      </c>
      <c r="AL2181">
        <v>81.066343219849202</v>
      </c>
      <c r="AM2181">
        <v>87.400487630589694</v>
      </c>
      <c r="AN2181">
        <v>0.99999994482882204</v>
      </c>
    </row>
    <row r="2182" spans="1:40" x14ac:dyDescent="0.25">
      <c r="A2182" t="str">
        <f>"20190303170302145"</f>
        <v>20190303170302145</v>
      </c>
      <c r="B2182" t="str">
        <f>"1551603782138245"</f>
        <v>1551603782138245</v>
      </c>
      <c r="C2182" t="s">
        <v>40</v>
      </c>
      <c r="D2182">
        <v>4.186877</v>
      </c>
      <c r="E2182">
        <v>0.47562660000000001</v>
      </c>
      <c r="F2182" t="s">
        <v>63</v>
      </c>
      <c r="G2182">
        <v>-410.3578</v>
      </c>
      <c r="H2182" s="1">
        <v>2.4674759999999999E-6</v>
      </c>
      <c r="I2182">
        <v>282.34859999999998</v>
      </c>
      <c r="J2182">
        <v>-267.5335</v>
      </c>
      <c r="K2182">
        <v>1.1207389999999999</v>
      </c>
      <c r="L2182">
        <v>284.36829999999998</v>
      </c>
      <c r="M2182">
        <v>-0.99978129999999998</v>
      </c>
      <c r="N2182">
        <v>-8.1490929999999996E-3</v>
      </c>
      <c r="O2182">
        <v>1.9265319999999999E-2</v>
      </c>
      <c r="P2182">
        <v>-0.98702500000000004</v>
      </c>
      <c r="Q2182">
        <v>0.1471837</v>
      </c>
      <c r="R2182">
        <v>6.4179700000000006E-2</v>
      </c>
      <c r="S2182">
        <v>-3.045715</v>
      </c>
      <c r="T2182">
        <v>-2.384758E-2</v>
      </c>
      <c r="U2182">
        <v>-4.2846679999999998E-2</v>
      </c>
      <c r="V2182">
        <v>4.5177950000000001E-2</v>
      </c>
      <c r="W2182">
        <v>0.15522339999999901</v>
      </c>
      <c r="X2182">
        <v>0.9868458</v>
      </c>
      <c r="Y2182">
        <v>-3.3325809999999997E-2</v>
      </c>
      <c r="Z2182">
        <v>-2.601026E-4</v>
      </c>
      <c r="AA2182">
        <v>0.99944449999999996</v>
      </c>
      <c r="AB2182">
        <v>30</v>
      </c>
      <c r="AC2182">
        <v>-142.82429999999999</v>
      </c>
      <c r="AD2182">
        <v>-1.120736532524</v>
      </c>
      <c r="AE2182">
        <v>-2.0196999999999998</v>
      </c>
      <c r="AF2182">
        <v>-4.7706783610311998</v>
      </c>
      <c r="AG2182">
        <v>-1.120736532524</v>
      </c>
      <c r="AH2182">
        <v>142.75009148075</v>
      </c>
      <c r="AI2182">
        <v>90.449571177577297</v>
      </c>
      <c r="AJ2182">
        <v>91.914100635722406</v>
      </c>
      <c r="AK2182">
        <v>142.83418372421301</v>
      </c>
      <c r="AL2182">
        <v>81.070246982391893</v>
      </c>
      <c r="AM2182">
        <v>87.378820700003402</v>
      </c>
      <c r="AN2182">
        <v>0.999999992025701</v>
      </c>
    </row>
    <row r="2183" spans="1:40" x14ac:dyDescent="0.25">
      <c r="A2183" t="str">
        <f>"20190303170302167"</f>
        <v>20190303170302167</v>
      </c>
      <c r="B2183" t="str">
        <f>"1551603782157764"</f>
        <v>1551603782157764</v>
      </c>
      <c r="C2183" t="s">
        <v>40</v>
      </c>
      <c r="D2183">
        <v>4.1966950000000001</v>
      </c>
      <c r="E2183">
        <v>0.47612860000000001</v>
      </c>
      <c r="F2183" t="s">
        <v>63</v>
      </c>
      <c r="G2183">
        <v>-404.46800000000002</v>
      </c>
      <c r="H2183" s="1">
        <v>6.7939509999999998E-6</v>
      </c>
      <c r="I2183">
        <v>282.8109</v>
      </c>
      <c r="J2183">
        <v>-267.83269999999999</v>
      </c>
      <c r="K2183">
        <v>1.120741</v>
      </c>
      <c r="L2183">
        <v>284.3741</v>
      </c>
      <c r="M2183">
        <v>-0.99978009999999995</v>
      </c>
      <c r="N2183">
        <v>-8.1345649999999999E-3</v>
      </c>
      <c r="O2183">
        <v>1.9329160000000001E-2</v>
      </c>
      <c r="P2183">
        <v>-0.98691450000000003</v>
      </c>
      <c r="Q2183">
        <v>0.14779800000000001</v>
      </c>
      <c r="R2183">
        <v>6.4465369999999994E-2</v>
      </c>
      <c r="S2183">
        <v>-3.0454409999999998</v>
      </c>
      <c r="T2183">
        <v>-2.492523E-2</v>
      </c>
      <c r="U2183">
        <v>-3.463745E-2</v>
      </c>
      <c r="V2183">
        <v>4.5402650000000003E-2</v>
      </c>
      <c r="W2183">
        <v>0.15582209999999999</v>
      </c>
      <c r="X2183">
        <v>0.98674110000000004</v>
      </c>
      <c r="Y2183">
        <v>-3.0697189999999999E-2</v>
      </c>
      <c r="Z2183">
        <v>-2.5143060000000001E-4</v>
      </c>
      <c r="AA2183">
        <v>0.99952870000000005</v>
      </c>
      <c r="AB2183">
        <v>30</v>
      </c>
      <c r="AC2183">
        <v>-136.6353</v>
      </c>
      <c r="AD2183">
        <v>-1.120734206049</v>
      </c>
      <c r="AE2183">
        <v>-1.5631999999999899</v>
      </c>
      <c r="AF2183">
        <v>-4.20375805998688</v>
      </c>
      <c r="AG2183">
        <v>-1.120734206049</v>
      </c>
      <c r="AH2183">
        <v>136.57036787547401</v>
      </c>
      <c r="AI2183">
        <v>90.469951888750799</v>
      </c>
      <c r="AJ2183">
        <v>91.763058663220406</v>
      </c>
      <c r="AK2183">
        <v>136.63964654751399</v>
      </c>
      <c r="AL2183">
        <v>81.035521206324006</v>
      </c>
      <c r="AM2183">
        <v>87.365523036834304</v>
      </c>
      <c r="AN2183">
        <v>0.99999996295231997</v>
      </c>
    </row>
    <row r="2184" spans="1:40" x14ac:dyDescent="0.25">
      <c r="A2184" t="str">
        <f>"20190303170302180"</f>
        <v>20190303170302180</v>
      </c>
      <c r="B2184" t="str">
        <f>"1551603782167525"</f>
        <v>1551603782167525</v>
      </c>
      <c r="C2184" t="s">
        <v>40</v>
      </c>
      <c r="D2184">
        <v>4.2348299999999997</v>
      </c>
      <c r="E2184">
        <v>0.47628179999999998</v>
      </c>
      <c r="F2184" t="s">
        <v>63</v>
      </c>
      <c r="G2184">
        <v>-413.99099999999999</v>
      </c>
      <c r="H2184" s="1">
        <v>3.060609E-6</v>
      </c>
      <c r="I2184">
        <v>282.93579999999997</v>
      </c>
      <c r="J2184">
        <v>-267.99950000000001</v>
      </c>
      <c r="K2184">
        <v>1.120738</v>
      </c>
      <c r="L2184">
        <v>284.37740000000002</v>
      </c>
      <c r="M2184">
        <v>-0.99977959999999999</v>
      </c>
      <c r="N2184">
        <v>-8.1252960000000006E-3</v>
      </c>
      <c r="O2184">
        <v>1.9363459999999999E-2</v>
      </c>
      <c r="P2184">
        <v>-0.98685089999999998</v>
      </c>
      <c r="Q2184">
        <v>0.14815</v>
      </c>
      <c r="R2184">
        <v>6.46312E-2</v>
      </c>
      <c r="S2184">
        <v>-3.0452270000000001</v>
      </c>
      <c r="T2184">
        <v>-2.3350719999999998E-2</v>
      </c>
      <c r="U2184">
        <v>-2.996826E-2</v>
      </c>
      <c r="V2184">
        <v>4.5535590000000001E-2</v>
      </c>
      <c r="W2184">
        <v>0.15616450000000001</v>
      </c>
      <c r="X2184">
        <v>0.98668089999999997</v>
      </c>
      <c r="Y2184">
        <v>-2.9200130000000001E-2</v>
      </c>
      <c r="Z2184">
        <v>-2.2171969999999999E-4</v>
      </c>
      <c r="AA2184">
        <v>0.99957359999999995</v>
      </c>
      <c r="AB2184">
        <v>30</v>
      </c>
      <c r="AC2184">
        <v>-145.99149999999901</v>
      </c>
      <c r="AD2184">
        <v>-1.120734939391</v>
      </c>
      <c r="AE2184">
        <v>-1.44160000000005</v>
      </c>
      <c r="AF2184">
        <v>-4.2680717876355203</v>
      </c>
      <c r="AG2184">
        <v>-1.120734939391</v>
      </c>
      <c r="AH2184">
        <v>145.927612104226</v>
      </c>
      <c r="AI2184">
        <v>90.439839126640294</v>
      </c>
      <c r="AJ2184">
        <v>91.675301898160697</v>
      </c>
      <c r="AK2184">
        <v>145.994316526467</v>
      </c>
      <c r="AL2184">
        <v>81.015660506079897</v>
      </c>
      <c r="AM2184">
        <v>87.357659165404996</v>
      </c>
      <c r="AN2184">
        <v>1.0000000197208501</v>
      </c>
    </row>
    <row r="2185" spans="1:40" x14ac:dyDescent="0.25">
      <c r="A2185" t="str">
        <f>"20190303170302193"</f>
        <v>20190303170302193</v>
      </c>
      <c r="B2185" t="str">
        <f>"1551603782188021"</f>
        <v>1551603782188021</v>
      </c>
      <c r="C2185" t="s">
        <v>40</v>
      </c>
      <c r="D2185">
        <v>4.2053279999999997</v>
      </c>
      <c r="E2185">
        <v>0.47659289999999999</v>
      </c>
      <c r="F2185" t="s">
        <v>63</v>
      </c>
      <c r="G2185">
        <v>-419.70089999999999</v>
      </c>
      <c r="H2185" s="1">
        <v>4.0706310000000003E-6</v>
      </c>
      <c r="I2185">
        <v>282.96809999999999</v>
      </c>
      <c r="J2185">
        <v>-268.18790000000001</v>
      </c>
      <c r="K2185">
        <v>1.120738</v>
      </c>
      <c r="L2185">
        <v>284.3811</v>
      </c>
      <c r="M2185">
        <v>-0.99977899999999997</v>
      </c>
      <c r="N2185">
        <v>-8.1115030000000008E-3</v>
      </c>
      <c r="O2185">
        <v>1.9400509999999999E-2</v>
      </c>
      <c r="P2185">
        <v>-0.98685029999999996</v>
      </c>
      <c r="Q2185">
        <v>0.14791869999999999</v>
      </c>
      <c r="R2185">
        <v>6.5166849999999998E-2</v>
      </c>
      <c r="S2185">
        <v>-3.0451969999999999</v>
      </c>
      <c r="T2185">
        <v>-2.2497179999999999E-2</v>
      </c>
      <c r="U2185">
        <v>-2.8289789999999999E-2</v>
      </c>
      <c r="V2185">
        <v>4.6033850000000001E-2</v>
      </c>
      <c r="W2185">
        <v>0.15592010000000001</v>
      </c>
      <c r="X2185">
        <v>0.98669640000000003</v>
      </c>
      <c r="Y2185">
        <v>-2.8686489999999999E-2</v>
      </c>
      <c r="Z2185">
        <v>-2.082609E-4</v>
      </c>
      <c r="AA2185">
        <v>0.99958840000000004</v>
      </c>
      <c r="AB2185">
        <v>30</v>
      </c>
      <c r="AC2185">
        <v>-151.51299999999901</v>
      </c>
      <c r="AD2185">
        <v>-1.120733929369</v>
      </c>
      <c r="AE2185">
        <v>-1.41300000000001</v>
      </c>
      <c r="AF2185">
        <v>-4.3520217932636003</v>
      </c>
      <c r="AG2185">
        <v>-1.120733929369</v>
      </c>
      <c r="AH2185">
        <v>151.448782634163</v>
      </c>
      <c r="AI2185">
        <v>90.423810984544801</v>
      </c>
      <c r="AJ2185">
        <v>91.645994613960994</v>
      </c>
      <c r="AK2185">
        <v>151.51544442597</v>
      </c>
      <c r="AL2185">
        <v>81.029836979549302</v>
      </c>
      <c r="AM2185">
        <v>87.328829669504302</v>
      </c>
      <c r="AN2185">
        <v>0.999999989351396</v>
      </c>
    </row>
    <row r="2186" spans="1:40" x14ac:dyDescent="0.25">
      <c r="A2186" t="str">
        <f>"20190303170302209"</f>
        <v>20190303170302209</v>
      </c>
      <c r="B2186" t="str">
        <f>"1551603782197781"</f>
        <v>1551603782197781</v>
      </c>
      <c r="C2186" t="s">
        <v>40</v>
      </c>
      <c r="D2186">
        <v>4.2261309999999996</v>
      </c>
      <c r="E2186">
        <v>0.47671970000000002</v>
      </c>
      <c r="F2186" t="s">
        <v>63</v>
      </c>
      <c r="G2186">
        <v>-416.31</v>
      </c>
      <c r="H2186" s="1">
        <v>3.4486459999999999E-6</v>
      </c>
      <c r="I2186">
        <v>283.20240000000001</v>
      </c>
      <c r="J2186">
        <v>-268.39870000000002</v>
      </c>
      <c r="K2186">
        <v>1.120736</v>
      </c>
      <c r="L2186">
        <v>284.3852</v>
      </c>
      <c r="M2186">
        <v>-0.99977830000000001</v>
      </c>
      <c r="N2186">
        <v>-8.0892759999999994E-3</v>
      </c>
      <c r="O2186">
        <v>1.9437650000000001E-2</v>
      </c>
      <c r="P2186">
        <v>-0.98688120000000001</v>
      </c>
      <c r="Q2186">
        <v>0.14759800000000001</v>
      </c>
      <c r="R2186">
        <v>6.5425469999999999E-2</v>
      </c>
      <c r="S2186">
        <v>-3.045013</v>
      </c>
      <c r="T2186">
        <v>-2.3039460000000001E-2</v>
      </c>
      <c r="U2186">
        <v>-2.4230959999999999E-2</v>
      </c>
      <c r="V2186">
        <v>4.6253990000000002E-2</v>
      </c>
      <c r="W2186">
        <v>0.1555781</v>
      </c>
      <c r="X2186">
        <v>0.98674010000000001</v>
      </c>
      <c r="Y2186">
        <v>-2.7391869999999999E-2</v>
      </c>
      <c r="Z2186">
        <v>-2.0424270000000001E-4</v>
      </c>
      <c r="AA2186">
        <v>0.99962470000000003</v>
      </c>
      <c r="AB2186">
        <v>30</v>
      </c>
      <c r="AC2186">
        <v>-147.91129999999899</v>
      </c>
      <c r="AD2186">
        <v>-1.1207325513540001</v>
      </c>
      <c r="AE2186">
        <v>-1.1827999999999801</v>
      </c>
      <c r="AF2186">
        <v>-4.0574858714767599</v>
      </c>
      <c r="AG2186">
        <v>-1.1207325513540001</v>
      </c>
      <c r="AH2186">
        <v>147.85187393243899</v>
      </c>
      <c r="AI2186">
        <v>90.434136198251906</v>
      </c>
      <c r="AJ2186">
        <v>91.571968454492804</v>
      </c>
      <c r="AK2186">
        <v>147.911784041646</v>
      </c>
      <c r="AL2186">
        <v>81.049674321191205</v>
      </c>
      <c r="AM2186">
        <v>87.316193101141593</v>
      </c>
      <c r="AN2186">
        <v>1.00000000086927</v>
      </c>
    </row>
    <row r="2187" spans="1:40" x14ac:dyDescent="0.25">
      <c r="A2187" t="str">
        <f>"20190303170302221"</f>
        <v>20190303170302221</v>
      </c>
      <c r="B2187" t="str">
        <f>"1551603782207540"</f>
        <v>1551603782207540</v>
      </c>
      <c r="C2187" t="s">
        <v>40</v>
      </c>
      <c r="D2187">
        <v>4.2307959999999998</v>
      </c>
      <c r="E2187">
        <v>0.47677770000000003</v>
      </c>
      <c r="F2187" t="s">
        <v>63</v>
      </c>
      <c r="G2187">
        <v>-410.06990000000002</v>
      </c>
      <c r="H2187" s="1">
        <v>2.3310810000000001E-6</v>
      </c>
      <c r="I2187">
        <v>283.32459999999998</v>
      </c>
      <c r="J2187">
        <v>-268.55880000000002</v>
      </c>
      <c r="K2187">
        <v>1.120735</v>
      </c>
      <c r="L2187">
        <v>284.38839999999999</v>
      </c>
      <c r="M2187">
        <v>-0.99977800000000006</v>
      </c>
      <c r="N2187">
        <v>-8.0695119999999992E-3</v>
      </c>
      <c r="O2187">
        <v>1.946291E-2</v>
      </c>
      <c r="P2187">
        <v>-0.98684039999999995</v>
      </c>
      <c r="Q2187">
        <v>0.14790220000000001</v>
      </c>
      <c r="R2187">
        <v>6.5352430000000003E-2</v>
      </c>
      <c r="S2187">
        <v>-3.045013</v>
      </c>
      <c r="T2187">
        <v>-2.4088499999999999E-2</v>
      </c>
      <c r="U2187">
        <v>-2.2796629999999998E-2</v>
      </c>
      <c r="V2187">
        <v>4.615553E-2</v>
      </c>
      <c r="W2187">
        <v>0.15586259999999999</v>
      </c>
      <c r="X2187">
        <v>0.98669980000000002</v>
      </c>
      <c r="Y2187">
        <v>-2.6946210000000002E-2</v>
      </c>
      <c r="Z2187">
        <v>-2.1220510000000001E-4</v>
      </c>
      <c r="AA2187">
        <v>0.99963690000000005</v>
      </c>
      <c r="AB2187">
        <v>30</v>
      </c>
      <c r="AC2187">
        <v>-141.5111</v>
      </c>
      <c r="AD2187">
        <v>-1.120732668919</v>
      </c>
      <c r="AE2187">
        <v>-1.0638000000000101</v>
      </c>
      <c r="AF2187">
        <v>-3.8176665622044501</v>
      </c>
      <c r="AG2187">
        <v>-1.120732668919</v>
      </c>
      <c r="AH2187">
        <v>141.45471596434101</v>
      </c>
      <c r="AI2187">
        <v>90.453774454523099</v>
      </c>
      <c r="AJ2187">
        <v>91.545958331909006</v>
      </c>
      <c r="AK2187">
        <v>141.510661394284</v>
      </c>
      <c r="AL2187">
        <v>81.033172261790497</v>
      </c>
      <c r="AM2187">
        <v>87.321788521128397</v>
      </c>
      <c r="AN2187">
        <v>0.99999998917418997</v>
      </c>
    </row>
    <row r="2188" spans="1:40" x14ac:dyDescent="0.25">
      <c r="A2188" t="str">
        <f>"20190303170302231"</f>
        <v>20190303170302231</v>
      </c>
      <c r="B2188" t="str">
        <f>"1551603782218276"</f>
        <v>1551603782218276</v>
      </c>
      <c r="C2188" t="s">
        <v>40</v>
      </c>
      <c r="D2188">
        <v>4.1713979999999999</v>
      </c>
      <c r="E2188">
        <v>0.47692370000000001</v>
      </c>
      <c r="F2188" t="s">
        <v>63</v>
      </c>
      <c r="G2188">
        <v>-419.61090000000002</v>
      </c>
      <c r="H2188" s="1">
        <v>4.0292289999999996E-6</v>
      </c>
      <c r="I2188">
        <v>283.25900000000001</v>
      </c>
      <c r="J2188">
        <v>-268.7097</v>
      </c>
      <c r="K2188">
        <v>1.120733</v>
      </c>
      <c r="L2188">
        <v>284.3913</v>
      </c>
      <c r="M2188">
        <v>-0.99977769999999999</v>
      </c>
      <c r="N2188">
        <v>-8.0488629999999999E-3</v>
      </c>
      <c r="O2188">
        <v>1.9484350000000001E-2</v>
      </c>
      <c r="P2188">
        <v>-0.98678049999999995</v>
      </c>
      <c r="Q2188">
        <v>0.14833160000000001</v>
      </c>
      <c r="R2188">
        <v>6.5282119999999999E-2</v>
      </c>
      <c r="S2188">
        <v>-3.044861</v>
      </c>
      <c r="T2188">
        <v>-2.259135E-2</v>
      </c>
      <c r="U2188">
        <v>-2.2766109999999999E-2</v>
      </c>
      <c r="V2188">
        <v>4.6063880000000001E-2</v>
      </c>
      <c r="W2188">
        <v>0.1562714</v>
      </c>
      <c r="X2188">
        <v>0.98663940000000006</v>
      </c>
      <c r="Y2188">
        <v>-2.6958159999999998E-2</v>
      </c>
      <c r="Z2188">
        <v>-1.9622690000000001E-4</v>
      </c>
      <c r="AA2188">
        <v>0.99963650000000004</v>
      </c>
      <c r="AB2188">
        <v>30</v>
      </c>
      <c r="AC2188">
        <v>-150.90119999999999</v>
      </c>
      <c r="AD2188">
        <v>-1.120728970771</v>
      </c>
      <c r="AE2188">
        <v>-1.1322999999999801</v>
      </c>
      <c r="AF2188">
        <v>-4.0721676552131996</v>
      </c>
      <c r="AG2188">
        <v>-1.120728970771</v>
      </c>
      <c r="AH2188">
        <v>150.842168693914</v>
      </c>
      <c r="AI2188">
        <v>90.425534013557893</v>
      </c>
      <c r="AJ2188">
        <v>91.546393601472104</v>
      </c>
      <c r="AK2188">
        <v>150.90128706913401</v>
      </c>
      <c r="AL2188">
        <v>81.009458990910005</v>
      </c>
      <c r="AM2188">
        <v>87.3269354733293</v>
      </c>
      <c r="AN2188">
        <v>0.99999996856548601</v>
      </c>
    </row>
    <row r="2189" spans="1:40" x14ac:dyDescent="0.25">
      <c r="A2189" t="str">
        <f>"20190303170302244"</f>
        <v>20190303170302244</v>
      </c>
      <c r="B2189" t="str">
        <f>"1551603782237798"</f>
        <v>1551603782237798</v>
      </c>
      <c r="C2189" t="s">
        <v>40</v>
      </c>
      <c r="D2189">
        <v>4.1608470000000004</v>
      </c>
      <c r="E2189">
        <v>0.47720620000000002</v>
      </c>
      <c r="F2189" t="s">
        <v>63</v>
      </c>
      <c r="G2189">
        <v>-430.1764</v>
      </c>
      <c r="H2189" s="1">
        <v>2.4161800000000001E-6</v>
      </c>
      <c r="I2189">
        <v>283.23250000000002</v>
      </c>
      <c r="J2189">
        <v>-268.86759999999998</v>
      </c>
      <c r="K2189">
        <v>1.120735</v>
      </c>
      <c r="L2189">
        <v>284.39440000000002</v>
      </c>
      <c r="M2189">
        <v>-0.99977769999999999</v>
      </c>
      <c r="N2189">
        <v>-8.0243499999999995E-3</v>
      </c>
      <c r="O2189">
        <v>1.950408E-2</v>
      </c>
      <c r="P2189">
        <v>-0.98669150000000005</v>
      </c>
      <c r="Q2189">
        <v>0.14892250000000001</v>
      </c>
      <c r="R2189">
        <v>6.5286230000000001E-2</v>
      </c>
      <c r="S2189">
        <v>-3.0448</v>
      </c>
      <c r="T2189">
        <v>-2.1133780000000001E-2</v>
      </c>
      <c r="U2189">
        <v>-2.185059E-2</v>
      </c>
      <c r="V2189">
        <v>4.6048749999999999E-2</v>
      </c>
      <c r="W2189">
        <v>0.15683800000000001</v>
      </c>
      <c r="X2189">
        <v>0.98655020000000004</v>
      </c>
      <c r="Y2189">
        <v>-2.6677619999999999E-2</v>
      </c>
      <c r="Z2189">
        <v>-1.78479E-4</v>
      </c>
      <c r="AA2189">
        <v>0.99964410000000004</v>
      </c>
      <c r="AB2189">
        <v>30</v>
      </c>
      <c r="AC2189">
        <v>-161.30879999999999</v>
      </c>
      <c r="AD2189">
        <v>-1.12073258382</v>
      </c>
      <c r="AE2189">
        <v>-1.1618999999999999</v>
      </c>
      <c r="AF2189">
        <v>-4.3077516816787504</v>
      </c>
      <c r="AG2189">
        <v>-1.12073258382</v>
      </c>
      <c r="AH2189">
        <v>161.24766771436001</v>
      </c>
      <c r="AI2189">
        <v>90.398079010313495</v>
      </c>
      <c r="AJ2189">
        <v>91.530299953018897</v>
      </c>
      <c r="AK2189">
        <v>161.30909183736699</v>
      </c>
      <c r="AL2189">
        <v>80.976589927015496</v>
      </c>
      <c r="AM2189">
        <v>87.327570928549804</v>
      </c>
      <c r="AN2189">
        <v>0.99999997137029994</v>
      </c>
    </row>
    <row r="2190" spans="1:40" x14ac:dyDescent="0.25">
      <c r="A2190" t="str">
        <f>"20190303170302256"</f>
        <v>20190303170302256</v>
      </c>
      <c r="B2190" t="str">
        <f>"1551603782247557"</f>
        <v>1551603782247557</v>
      </c>
      <c r="C2190" t="s">
        <v>40</v>
      </c>
      <c r="D2190">
        <v>4.2720840000000004</v>
      </c>
      <c r="E2190">
        <v>0.47736190000000001</v>
      </c>
      <c r="F2190" t="s">
        <v>62</v>
      </c>
      <c r="G2190">
        <v>-450.08769999999998</v>
      </c>
      <c r="H2190" s="1">
        <v>-1.4297630000000001E-6</v>
      </c>
      <c r="I2190">
        <v>283.2355</v>
      </c>
      <c r="J2190">
        <v>-269.03219999999999</v>
      </c>
      <c r="K2190">
        <v>1.120736</v>
      </c>
      <c r="L2190">
        <v>284.39760000000001</v>
      </c>
      <c r="M2190">
        <v>-0.99977740000000004</v>
      </c>
      <c r="N2190">
        <v>-7.9975910000000001E-3</v>
      </c>
      <c r="O2190">
        <v>1.9523519999999999E-2</v>
      </c>
      <c r="P2190">
        <v>-0.98655470000000001</v>
      </c>
      <c r="Q2190">
        <v>0.1497868</v>
      </c>
      <c r="R2190">
        <v>6.5372890000000003E-2</v>
      </c>
      <c r="S2190">
        <v>-3.0446170000000001</v>
      </c>
      <c r="T2190">
        <v>-1.882911E-2</v>
      </c>
      <c r="U2190">
        <v>-1.9470210000000002E-2</v>
      </c>
      <c r="V2190">
        <v>4.6117159999999997E-2</v>
      </c>
      <c r="W2190">
        <v>0.15767519999999999</v>
      </c>
      <c r="X2190">
        <v>0.9864136</v>
      </c>
      <c r="Y2190">
        <v>-2.5916189999999999E-2</v>
      </c>
      <c r="Z2190">
        <v>-1.4836229999999999E-4</v>
      </c>
      <c r="AA2190">
        <v>0.99966410000000006</v>
      </c>
      <c r="AB2190">
        <v>30</v>
      </c>
      <c r="AC2190">
        <v>-181.05549999999999</v>
      </c>
      <c r="AD2190">
        <v>-1.1207374297629999</v>
      </c>
      <c r="AE2190">
        <v>-1.1620999999999999</v>
      </c>
      <c r="AF2190">
        <v>-4.6966523008775001</v>
      </c>
      <c r="AG2190">
        <v>-1.1207374297629999</v>
      </c>
      <c r="AH2190">
        <v>180.991364582458</v>
      </c>
      <c r="AI2190">
        <v>90.354663857887104</v>
      </c>
      <c r="AJ2190">
        <v>91.486468582366697</v>
      </c>
      <c r="AK2190">
        <v>181.055761158385</v>
      </c>
      <c r="AL2190">
        <v>80.928018046134994</v>
      </c>
      <c r="AM2190">
        <v>87.323236445856196</v>
      </c>
      <c r="AN2190">
        <v>1.00000002570323</v>
      </c>
    </row>
    <row r="2191" spans="1:40" x14ac:dyDescent="0.25">
      <c r="A2191" t="str">
        <f>"20190303170302268"</f>
        <v>20190303170302268</v>
      </c>
      <c r="B2191" t="str">
        <f>"1551603782257317"</f>
        <v>1551603782257317</v>
      </c>
      <c r="C2191" t="s">
        <v>40</v>
      </c>
      <c r="D2191">
        <v>4.1362779999999999</v>
      </c>
      <c r="E2191">
        <v>0.47749799999999998</v>
      </c>
      <c r="F2191" t="s">
        <v>57</v>
      </c>
      <c r="G2191">
        <v>-480.95609999999999</v>
      </c>
      <c r="H2191" s="1">
        <v>2.2468549999999999E-6</v>
      </c>
      <c r="I2191">
        <v>283.1465</v>
      </c>
      <c r="J2191">
        <v>-269.19479999999999</v>
      </c>
      <c r="K2191">
        <v>1.120738</v>
      </c>
      <c r="L2191">
        <v>284.4008</v>
      </c>
      <c r="M2191">
        <v>-0.99977740000000004</v>
      </c>
      <c r="N2191">
        <v>-7.9682499999999996E-3</v>
      </c>
      <c r="O2191">
        <v>1.9538799999999999E-2</v>
      </c>
      <c r="P2191">
        <v>-0.98643449999999999</v>
      </c>
      <c r="Q2191">
        <v>0.15052179999999901</v>
      </c>
      <c r="R2191">
        <v>6.5501719999999999E-2</v>
      </c>
      <c r="S2191">
        <v>-3.044556</v>
      </c>
      <c r="T2191">
        <v>-1.6100759999999999E-2</v>
      </c>
      <c r="U2191">
        <v>-1.7974850000000001E-2</v>
      </c>
      <c r="V2191">
        <v>4.6232099999999998E-2</v>
      </c>
      <c r="W2191">
        <v>0.15838060000000001</v>
      </c>
      <c r="X2191">
        <v>0.98629520000000004</v>
      </c>
      <c r="Y2191">
        <v>-2.5440830000000001E-2</v>
      </c>
      <c r="Z2191">
        <v>-1.162596E-4</v>
      </c>
      <c r="AA2191">
        <v>0.99967629999999996</v>
      </c>
      <c r="AB2191">
        <v>30</v>
      </c>
      <c r="AC2191">
        <v>-211.76130000000001</v>
      </c>
      <c r="AD2191">
        <v>-1.120735753145</v>
      </c>
      <c r="AE2191">
        <v>-1.2543</v>
      </c>
      <c r="AF2191">
        <v>-5.3916023505787196</v>
      </c>
      <c r="AG2191">
        <v>-1.120735753145</v>
      </c>
      <c r="AH2191">
        <v>211.690434546662</v>
      </c>
      <c r="AI2191">
        <v>90.303235299257494</v>
      </c>
      <c r="AJ2191">
        <v>91.458966673852203</v>
      </c>
      <c r="AK2191">
        <v>211.76204925125199</v>
      </c>
      <c r="AL2191">
        <v>80.887087255764101</v>
      </c>
      <c r="AM2191">
        <v>87.316253098251806</v>
      </c>
      <c r="AN2191">
        <v>1.0000000215349001</v>
      </c>
    </row>
    <row r="2192" spans="1:40" x14ac:dyDescent="0.25">
      <c r="A2192" t="str">
        <f>"20190303170302279"</f>
        <v>20190303170302279</v>
      </c>
      <c r="B2192" t="str">
        <f>"1551603782268054"</f>
        <v>1551603782268054</v>
      </c>
      <c r="C2192" t="s">
        <v>40</v>
      </c>
      <c r="D2192">
        <v>4.187951</v>
      </c>
      <c r="E2192">
        <v>0.47763739999999999</v>
      </c>
      <c r="F2192" t="s">
        <v>57</v>
      </c>
      <c r="G2192">
        <v>-499.97460000000001</v>
      </c>
      <c r="H2192">
        <v>6.6819089999999998E-2</v>
      </c>
      <c r="I2192">
        <v>283.13080000000002</v>
      </c>
      <c r="J2192">
        <v>-269.34559999999999</v>
      </c>
      <c r="K2192">
        <v>1.120738</v>
      </c>
      <c r="L2192">
        <v>284.40379999999999</v>
      </c>
      <c r="M2192">
        <v>-0.99977749999999999</v>
      </c>
      <c r="N2192">
        <v>-7.9398239999999998E-3</v>
      </c>
      <c r="O2192">
        <v>1.9551880000000001E-2</v>
      </c>
      <c r="P2192">
        <v>-0.98633009999999999</v>
      </c>
      <c r="Q2192">
        <v>0.1510447</v>
      </c>
      <c r="R2192">
        <v>6.5869529999999996E-2</v>
      </c>
      <c r="S2192">
        <v>-3.0444640000000001</v>
      </c>
      <c r="T2192">
        <v>-1.390338E-2</v>
      </c>
      <c r="U2192">
        <v>-1.6754149999999999E-2</v>
      </c>
      <c r="V2192">
        <v>4.6587820000000002E-2</v>
      </c>
      <c r="W2192">
        <v>0.15887490000000001</v>
      </c>
      <c r="X2192">
        <v>0.98619900000000005</v>
      </c>
      <c r="Y2192">
        <v>-2.5053389999999998E-2</v>
      </c>
      <c r="Z2192" s="1">
        <v>-9.0708480000000006E-5</v>
      </c>
      <c r="AA2192">
        <v>0.99968610000000002</v>
      </c>
      <c r="AB2192">
        <v>30</v>
      </c>
      <c r="AC2192">
        <v>-230.62899999999999</v>
      </c>
      <c r="AD2192">
        <v>-1.0539189099999999</v>
      </c>
      <c r="AE2192">
        <v>-1.2729999999999599</v>
      </c>
      <c r="AF2192">
        <v>-5.7820077485833998</v>
      </c>
      <c r="AG2192">
        <v>-1.0539189099999999</v>
      </c>
      <c r="AH2192">
        <v>230.55520626487601</v>
      </c>
      <c r="AI2192">
        <v>90.261827550948794</v>
      </c>
      <c r="AJ2192">
        <v>91.436598289090696</v>
      </c>
      <c r="AK2192">
        <v>230.63010535164901</v>
      </c>
      <c r="AL2192">
        <v>80.858403146690407</v>
      </c>
      <c r="AM2192">
        <v>87.295370885811494</v>
      </c>
      <c r="AN2192">
        <v>1.0000000632116699</v>
      </c>
    </row>
    <row r="2193" spans="1:40" x14ac:dyDescent="0.25">
      <c r="A2193" t="str">
        <f>"20190303170302292"</f>
        <v>20190303170302292</v>
      </c>
      <c r="B2193" t="str">
        <f>"1551603782277812"</f>
        <v>1551603782277812</v>
      </c>
      <c r="C2193" t="s">
        <v>40</v>
      </c>
      <c r="D2193">
        <v>4.2128769999999998</v>
      </c>
      <c r="E2193">
        <v>0.47775889999999999</v>
      </c>
      <c r="F2193" t="s">
        <v>48</v>
      </c>
      <c r="G2193">
        <v>0</v>
      </c>
      <c r="H2193">
        <v>0</v>
      </c>
      <c r="I2193">
        <v>0</v>
      </c>
      <c r="J2193">
        <v>-269.51769999999999</v>
      </c>
      <c r="K2193">
        <v>1.120735</v>
      </c>
      <c r="L2193">
        <v>284.40719999999999</v>
      </c>
      <c r="M2193">
        <v>-0.99977729999999998</v>
      </c>
      <c r="N2193">
        <v>-7.9054729999999997E-3</v>
      </c>
      <c r="O2193">
        <v>1.9565519999999999E-2</v>
      </c>
      <c r="P2193">
        <v>-0.98622969999999999</v>
      </c>
      <c r="Q2193">
        <v>0.15174279999999901</v>
      </c>
      <c r="R2193">
        <v>6.5764740000000002E-2</v>
      </c>
      <c r="S2193">
        <v>-3.0444339999999999</v>
      </c>
      <c r="T2193">
        <v>-1.2087580000000001E-2</v>
      </c>
      <c r="U2193">
        <v>-1.467896E-2</v>
      </c>
      <c r="V2193">
        <v>4.6470480000000002E-2</v>
      </c>
      <c r="W2193">
        <v>0.15953909999999999</v>
      </c>
      <c r="X2193">
        <v>0.98609720000000001</v>
      </c>
      <c r="Y2193">
        <v>-2.4385770000000001E-2</v>
      </c>
      <c r="Z2193" s="1">
        <v>-6.7800500000000002E-5</v>
      </c>
      <c r="AA2193">
        <v>0.9997026</v>
      </c>
      <c r="AB2193">
        <v>30</v>
      </c>
      <c r="AC2193">
        <v>-3.0444339999999999</v>
      </c>
      <c r="AD2193">
        <v>-1.2087580000000001E-2</v>
      </c>
      <c r="AE2193">
        <v>-1.467896E-2</v>
      </c>
      <c r="AF2193">
        <v>-7.4242776653003897E-2</v>
      </c>
      <c r="AG2193">
        <v>-1.2087580000000001E-2</v>
      </c>
      <c r="AH2193">
        <v>3.0435160012831401</v>
      </c>
      <c r="AI2193">
        <v>90.227486142393303</v>
      </c>
      <c r="AJ2193">
        <v>91.3973819466555</v>
      </c>
      <c r="AK2193">
        <v>3.0444453927672699</v>
      </c>
      <c r="AL2193">
        <v>80.819854660694901</v>
      </c>
      <c r="AM2193">
        <v>87.3018948158239</v>
      </c>
      <c r="AN2193">
        <v>0.99999995889403903</v>
      </c>
    </row>
    <row r="2194" spans="1:40" x14ac:dyDescent="0.25">
      <c r="A2194" t="str">
        <f>"20190303170302305"</f>
        <v>20190303170302305</v>
      </c>
      <c r="B2194" t="str">
        <f>"1551603782298309"</f>
        <v>1551603782298309</v>
      </c>
      <c r="C2194" t="s">
        <v>40</v>
      </c>
      <c r="D2194">
        <v>4.0879659999999998</v>
      </c>
      <c r="E2194">
        <v>0.47795490000000002</v>
      </c>
      <c r="F2194" t="s">
        <v>48</v>
      </c>
      <c r="G2194">
        <v>0</v>
      </c>
      <c r="H2194">
        <v>0</v>
      </c>
      <c r="I2194">
        <v>0</v>
      </c>
      <c r="J2194">
        <v>-269.67959999999999</v>
      </c>
      <c r="K2194">
        <v>1.1207370000000001</v>
      </c>
      <c r="L2194">
        <v>284.41030000000001</v>
      </c>
      <c r="M2194">
        <v>-0.99977749999999999</v>
      </c>
      <c r="N2194">
        <v>-7.8726969999999997E-3</v>
      </c>
      <c r="O2194">
        <v>1.9576300000000001E-2</v>
      </c>
      <c r="P2194">
        <v>-0.9861413</v>
      </c>
      <c r="Q2194">
        <v>0.15230639999999901</v>
      </c>
      <c r="R2194">
        <v>6.5791420000000003E-2</v>
      </c>
      <c r="S2194">
        <v>-3.0443419999999999</v>
      </c>
      <c r="T2194">
        <v>-9.8687410000000003E-3</v>
      </c>
      <c r="U2194">
        <v>-1.4068600000000001E-2</v>
      </c>
      <c r="V2194">
        <v>4.6487599999999997E-2</v>
      </c>
      <c r="W2194">
        <v>0.16006960000000001</v>
      </c>
      <c r="X2194">
        <v>0.98601039999999995</v>
      </c>
      <c r="Y2194">
        <v>-2.4196349999999998E-2</v>
      </c>
      <c r="Z2194" s="1">
        <v>-4.3796959999999998E-5</v>
      </c>
      <c r="AA2194">
        <v>0.99970720000000002</v>
      </c>
      <c r="AB2194">
        <v>30</v>
      </c>
      <c r="AC2194">
        <v>-3.0443419999999999</v>
      </c>
      <c r="AD2194">
        <v>-9.8687410000000003E-3</v>
      </c>
      <c r="AE2194">
        <v>-1.4068600000000001E-2</v>
      </c>
      <c r="AF2194">
        <v>-7.36639212473435E-2</v>
      </c>
      <c r="AG2194">
        <v>-9.8687410000000003E-3</v>
      </c>
      <c r="AH2194">
        <v>3.0434511634243</v>
      </c>
      <c r="AI2194">
        <v>90.1857331179894</v>
      </c>
      <c r="AJ2194">
        <v>91.3865206476884</v>
      </c>
      <c r="AK2194">
        <v>3.04435851198429</v>
      </c>
      <c r="AL2194">
        <v>80.789063379326606</v>
      </c>
      <c r="AM2194">
        <v>87.300665033273006</v>
      </c>
      <c r="AN2194">
        <v>0.99999994135303805</v>
      </c>
    </row>
    <row r="2195" spans="1:40" x14ac:dyDescent="0.25">
      <c r="A2195" t="str">
        <f>"20190303170302316"</f>
        <v>20190303170302316</v>
      </c>
      <c r="B2195" t="str">
        <f>"1551603782308069"</f>
        <v>1551603782308069</v>
      </c>
      <c r="C2195" t="s">
        <v>40</v>
      </c>
      <c r="D2195">
        <v>4.1523490000000001</v>
      </c>
      <c r="E2195">
        <v>0.4780623</v>
      </c>
      <c r="F2195" t="s">
        <v>48</v>
      </c>
      <c r="G2195">
        <v>0</v>
      </c>
      <c r="H2195">
        <v>0</v>
      </c>
      <c r="I2195">
        <v>0</v>
      </c>
      <c r="J2195">
        <v>-269.84649999999999</v>
      </c>
      <c r="K2195">
        <v>1.120733</v>
      </c>
      <c r="L2195">
        <v>284.41359999999997</v>
      </c>
      <c r="M2195">
        <v>-0.99977749999999999</v>
      </c>
      <c r="N2195">
        <v>-7.8386589999999996E-3</v>
      </c>
      <c r="O2195">
        <v>1.9586969999999999E-2</v>
      </c>
      <c r="P2195">
        <v>-0.98609959999999997</v>
      </c>
      <c r="Q2195">
        <v>0.1526112</v>
      </c>
      <c r="R2195">
        <v>6.5710580000000005E-2</v>
      </c>
      <c r="S2195">
        <v>-3.0442499999999999</v>
      </c>
      <c r="T2195">
        <v>-8.3978179999999996E-3</v>
      </c>
      <c r="U2195">
        <v>-1.2146000000000001E-2</v>
      </c>
      <c r="V2195">
        <v>4.6396609999999998E-2</v>
      </c>
      <c r="W2195">
        <v>0.1603407</v>
      </c>
      <c r="X2195">
        <v>0.98597069999999998</v>
      </c>
      <c r="Y2195">
        <v>-2.3575840000000001E-2</v>
      </c>
      <c r="Z2195" s="1">
        <v>-2.540788E-5</v>
      </c>
      <c r="AA2195">
        <v>0.99972209999999995</v>
      </c>
      <c r="AB2195">
        <v>30</v>
      </c>
      <c r="AC2195">
        <v>-3.0442499999999999</v>
      </c>
      <c r="AD2195">
        <v>-8.3978179999999996E-3</v>
      </c>
      <c r="AE2195">
        <v>-1.2146000000000001E-2</v>
      </c>
      <c r="AF2195">
        <v>-7.1772584692030905E-2</v>
      </c>
      <c r="AG2195">
        <v>-8.3978179999999996E-3</v>
      </c>
      <c r="AH2195">
        <v>3.04340487592733</v>
      </c>
      <c r="AI2195">
        <v>90.158054739195194</v>
      </c>
      <c r="AJ2195">
        <v>91.350955345664204</v>
      </c>
      <c r="AK2195">
        <v>3.0442626473546501</v>
      </c>
      <c r="AL2195">
        <v>80.773327817728699</v>
      </c>
      <c r="AM2195">
        <v>87.305832323460706</v>
      </c>
      <c r="AN2195">
        <v>1.0000000033772301</v>
      </c>
    </row>
    <row r="2196" spans="1:40" x14ac:dyDescent="0.25">
      <c r="A2196" t="str">
        <f>"20190303170302333"</f>
        <v>20190303170302333</v>
      </c>
      <c r="B2196" t="str">
        <f>"1551603782327589"</f>
        <v>1551603782327589</v>
      </c>
      <c r="C2196" t="s">
        <v>40</v>
      </c>
      <c r="D2196">
        <v>4.1371419999999999</v>
      </c>
      <c r="E2196">
        <v>0.47820400000000002</v>
      </c>
      <c r="F2196" t="s">
        <v>48</v>
      </c>
      <c r="G2196">
        <v>0</v>
      </c>
      <c r="H2196">
        <v>0</v>
      </c>
      <c r="I2196">
        <v>0</v>
      </c>
      <c r="J2196">
        <v>-270.07229999999998</v>
      </c>
      <c r="K2196">
        <v>1.1207279999999999</v>
      </c>
      <c r="L2196">
        <v>284.41800000000001</v>
      </c>
      <c r="M2196">
        <v>-0.99977769999999999</v>
      </c>
      <c r="N2196">
        <v>-7.7916919999999898E-3</v>
      </c>
      <c r="O2196">
        <v>1.9599310000000002E-2</v>
      </c>
      <c r="P2196">
        <v>-0.98609749999999996</v>
      </c>
      <c r="Q2196">
        <v>0.15281439999999999</v>
      </c>
      <c r="R2196">
        <v>6.5267749999999999E-2</v>
      </c>
      <c r="S2196">
        <v>-3.0441889999999998</v>
      </c>
      <c r="T2196">
        <v>-7.5449940000000002E-3</v>
      </c>
      <c r="U2196">
        <v>-1.1505130000000001E-2</v>
      </c>
      <c r="V2196">
        <v>4.5941120000000002E-2</v>
      </c>
      <c r="W2196">
        <v>0.16049749999999999</v>
      </c>
      <c r="X2196">
        <v>0.98596649999999997</v>
      </c>
      <c r="Y2196">
        <v>-2.3377800000000001E-2</v>
      </c>
      <c r="Z2196" s="1">
        <v>-1.5903940000000001E-5</v>
      </c>
      <c r="AA2196">
        <v>0.99972669999999997</v>
      </c>
      <c r="AB2196">
        <v>30</v>
      </c>
      <c r="AC2196">
        <v>-3.0441889999999998</v>
      </c>
      <c r="AD2196">
        <v>-7.5449940000000002E-3</v>
      </c>
      <c r="AE2196">
        <v>-1.1505130000000001E-2</v>
      </c>
      <c r="AF2196">
        <v>-7.1168289099985904E-2</v>
      </c>
      <c r="AG2196">
        <v>-7.5449940000000002E-3</v>
      </c>
      <c r="AH2196">
        <v>3.0433600275918802</v>
      </c>
      <c r="AI2196">
        <v>90.142006621670902</v>
      </c>
      <c r="AJ2196">
        <v>91.339604754042497</v>
      </c>
      <c r="AK2196">
        <v>3.04420139114545</v>
      </c>
      <c r="AL2196">
        <v>80.764225804697503</v>
      </c>
      <c r="AM2196">
        <v>87.332232061046696</v>
      </c>
      <c r="AN2196">
        <v>0.99999998656767697</v>
      </c>
    </row>
    <row r="2197" spans="1:40" x14ac:dyDescent="0.25">
      <c r="A2197" t="str">
        <f>"20190303170302348"</f>
        <v>20190303170302348</v>
      </c>
      <c r="B2197" t="str">
        <f>"1551603782337349"</f>
        <v>1551603782337349</v>
      </c>
      <c r="C2197" t="s">
        <v>40</v>
      </c>
      <c r="D2197">
        <v>4.1337099999999998</v>
      </c>
      <c r="E2197">
        <v>0.47824729999999999</v>
      </c>
      <c r="F2197" t="s">
        <v>48</v>
      </c>
      <c r="G2197">
        <v>0</v>
      </c>
      <c r="H2197">
        <v>0</v>
      </c>
      <c r="I2197">
        <v>0</v>
      </c>
      <c r="J2197">
        <v>-270.26339999999999</v>
      </c>
      <c r="K2197">
        <v>1.120722</v>
      </c>
      <c r="L2197">
        <v>284.42180000000002</v>
      </c>
      <c r="M2197">
        <v>-0.99977769999999999</v>
      </c>
      <c r="N2197">
        <v>-7.7525190000000003E-3</v>
      </c>
      <c r="O2197">
        <v>1.9609290000000001E-2</v>
      </c>
      <c r="P2197">
        <v>-0.98612420000000001</v>
      </c>
      <c r="Q2197">
        <v>0.15280450000000001</v>
      </c>
      <c r="R2197">
        <v>6.4884960000000005E-2</v>
      </c>
      <c r="S2197">
        <v>-3.0441280000000002</v>
      </c>
      <c r="T2197">
        <v>-6.9494250000000004E-3</v>
      </c>
      <c r="U2197">
        <v>-1.132202E-2</v>
      </c>
      <c r="V2197">
        <v>4.5547850000000001E-2</v>
      </c>
      <c r="W2197">
        <v>0.16044990000000001</v>
      </c>
      <c r="X2197">
        <v>0.98599250000000005</v>
      </c>
      <c r="Y2197">
        <v>-2.332774E-2</v>
      </c>
      <c r="Z2197" s="1">
        <v>-9.7882659999999994E-6</v>
      </c>
      <c r="AA2197">
        <v>0.99972780000000006</v>
      </c>
      <c r="AB2197">
        <v>30</v>
      </c>
      <c r="AC2197">
        <v>-3.0441280000000002</v>
      </c>
      <c r="AD2197">
        <v>-6.9494250000000004E-3</v>
      </c>
      <c r="AE2197">
        <v>-1.132202E-2</v>
      </c>
      <c r="AF2197">
        <v>-7.1014453181082807E-2</v>
      </c>
      <c r="AG2197">
        <v>-6.9494250000000004E-3</v>
      </c>
      <c r="AH2197">
        <v>3.0433047543254101</v>
      </c>
      <c r="AI2197">
        <v>90.130799806036507</v>
      </c>
      <c r="AJ2197">
        <v>91.336734412387599</v>
      </c>
      <c r="AK2197">
        <v>3.0441411226761601</v>
      </c>
      <c r="AL2197">
        <v>80.766988958203697</v>
      </c>
      <c r="AM2197">
        <v>87.355106045004803</v>
      </c>
      <c r="AN2197">
        <v>0.999999993552941</v>
      </c>
    </row>
    <row r="2198" spans="1:40" x14ac:dyDescent="0.25">
      <c r="A2198" t="str">
        <f>"20190303170302362"</f>
        <v>20190303170302362</v>
      </c>
      <c r="B2198" t="str">
        <f>"1551603782348087"</f>
        <v>1551603782348087</v>
      </c>
      <c r="C2198" t="s">
        <v>40</v>
      </c>
      <c r="D2198">
        <v>4.0699019999999999</v>
      </c>
      <c r="E2198">
        <v>0.47835670000000002</v>
      </c>
      <c r="F2198" t="s">
        <v>48</v>
      </c>
      <c r="G2198">
        <v>0</v>
      </c>
      <c r="H2198">
        <v>0</v>
      </c>
      <c r="I2198">
        <v>0</v>
      </c>
      <c r="J2198">
        <v>-270.46980000000002</v>
      </c>
      <c r="K2198">
        <v>1.120714</v>
      </c>
      <c r="L2198">
        <v>284.42579999999998</v>
      </c>
      <c r="M2198">
        <v>-0.9997779</v>
      </c>
      <c r="N2198">
        <v>-7.7102059999999998E-3</v>
      </c>
      <c r="O2198">
        <v>1.961982E-2</v>
      </c>
      <c r="P2198">
        <v>-0.98609729999999995</v>
      </c>
      <c r="Q2198">
        <v>0.153004</v>
      </c>
      <c r="R2198">
        <v>6.4822959999999999E-2</v>
      </c>
      <c r="S2198">
        <v>-3.044098</v>
      </c>
      <c r="T2198">
        <v>-7.1228740000000004E-3</v>
      </c>
      <c r="U2198">
        <v>-1.1810299999999999E-2</v>
      </c>
      <c r="V2198">
        <v>4.5475969999999998E-2</v>
      </c>
      <c r="W2198">
        <v>0.1606071</v>
      </c>
      <c r="X2198">
        <v>0.98597020000000002</v>
      </c>
      <c r="Y2198">
        <v>-2.3498660000000001E-2</v>
      </c>
      <c r="Z2198" s="1">
        <v>-1.270953E-5</v>
      </c>
      <c r="AA2198">
        <v>0.9997239</v>
      </c>
      <c r="AB2198">
        <v>30</v>
      </c>
      <c r="AC2198">
        <v>-3.044098</v>
      </c>
      <c r="AD2198">
        <v>-7.1228740000000004E-3</v>
      </c>
      <c r="AE2198">
        <v>-1.1810299999999999E-2</v>
      </c>
      <c r="AF2198">
        <v>-7.1534058031424902E-2</v>
      </c>
      <c r="AG2198">
        <v>-7.1228740000000004E-3</v>
      </c>
      <c r="AH2198">
        <v>3.04326363062698</v>
      </c>
      <c r="AI2198">
        <v>90.134065669474396</v>
      </c>
      <c r="AJ2198">
        <v>91.346529750258199</v>
      </c>
      <c r="AK2198">
        <v>3.0441125771379398</v>
      </c>
      <c r="AL2198">
        <v>80.7578634972743</v>
      </c>
      <c r="AM2198">
        <v>87.359214451917495</v>
      </c>
      <c r="AN2198">
        <v>0.99999996985294504</v>
      </c>
    </row>
    <row r="2199" spans="1:40" x14ac:dyDescent="0.25">
      <c r="A2199" t="str">
        <f>"20190303170302379"</f>
        <v>20190303170302379</v>
      </c>
      <c r="B2199" t="str">
        <f>"1551603782367605"</f>
        <v>1551603782367605</v>
      </c>
      <c r="C2199" t="s">
        <v>40</v>
      </c>
      <c r="D2199">
        <v>4.0751989999999996</v>
      </c>
      <c r="E2199">
        <v>0.47847659999999997</v>
      </c>
      <c r="F2199" t="s">
        <v>48</v>
      </c>
      <c r="G2199">
        <v>0</v>
      </c>
      <c r="H2199">
        <v>0</v>
      </c>
      <c r="I2199">
        <v>0</v>
      </c>
      <c r="J2199">
        <v>-270.69389999999999</v>
      </c>
      <c r="K2199">
        <v>1.1207020000000001</v>
      </c>
      <c r="L2199">
        <v>284.43029999999999</v>
      </c>
      <c r="M2199">
        <v>-0.9997779</v>
      </c>
      <c r="N2199">
        <v>-7.664382E-3</v>
      </c>
      <c r="O2199">
        <v>1.963138E-2</v>
      </c>
      <c r="P2199">
        <v>-0.98612840000000002</v>
      </c>
      <c r="Q2199">
        <v>0.1528524</v>
      </c>
      <c r="R2199">
        <v>6.4702699999999905E-2</v>
      </c>
      <c r="S2199">
        <v>-3.0439759999999998</v>
      </c>
      <c r="T2199">
        <v>-6.2781570000000004E-3</v>
      </c>
      <c r="U2199">
        <v>-1.089478E-2</v>
      </c>
      <c r="V2199">
        <v>4.5343410000000001E-2</v>
      </c>
      <c r="W2199">
        <v>0.1604109</v>
      </c>
      <c r="X2199">
        <v>0.98600829999999995</v>
      </c>
      <c r="Y2199">
        <v>-2.3209710000000001E-2</v>
      </c>
      <c r="Z2199" s="1">
        <v>-2.8979700000000001E-6</v>
      </c>
      <c r="AA2199">
        <v>0.99973060000000002</v>
      </c>
      <c r="AB2199">
        <v>31</v>
      </c>
      <c r="AC2199">
        <v>-3.0439759999999998</v>
      </c>
      <c r="AD2199">
        <v>-6.2781570000000004E-3</v>
      </c>
      <c r="AE2199">
        <v>-1.089478E-2</v>
      </c>
      <c r="AF2199">
        <v>-7.0651585067477402E-2</v>
      </c>
      <c r="AG2199">
        <v>-6.2781570000000004E-3</v>
      </c>
      <c r="AH2199">
        <v>3.0431625175673802</v>
      </c>
      <c r="AI2199">
        <v>90.118171304682093</v>
      </c>
      <c r="AJ2199">
        <v>91.329968592420002</v>
      </c>
      <c r="AK2199">
        <v>3.0439890226567701</v>
      </c>
      <c r="AL2199">
        <v>80.769253106767593</v>
      </c>
      <c r="AM2199">
        <v>87.367002951295007</v>
      </c>
      <c r="AN2199">
        <v>1.0000000246690599</v>
      </c>
    </row>
    <row r="2200" spans="1:40" x14ac:dyDescent="0.25">
      <c r="A2200" t="str">
        <f>"20190303170302392"</f>
        <v>20190303170302392</v>
      </c>
      <c r="B2200" t="str">
        <f>"1551603782378340"</f>
        <v>1551603782378340</v>
      </c>
      <c r="C2200" t="s">
        <v>40</v>
      </c>
      <c r="D2200">
        <v>4.0226569999999997</v>
      </c>
      <c r="E2200">
        <v>0.47853790000000002</v>
      </c>
      <c r="F2200" t="s">
        <v>48</v>
      </c>
      <c r="G2200">
        <v>0</v>
      </c>
      <c r="H2200">
        <v>0</v>
      </c>
      <c r="I2200">
        <v>0</v>
      </c>
      <c r="J2200">
        <v>-270.87819999999999</v>
      </c>
      <c r="K2200">
        <v>1.1206959999999999</v>
      </c>
      <c r="L2200">
        <v>284.43389999999999</v>
      </c>
      <c r="M2200">
        <v>-0.99977800000000006</v>
      </c>
      <c r="N2200">
        <v>-7.6274580000000002E-3</v>
      </c>
      <c r="O2200">
        <v>1.9641349999999998E-2</v>
      </c>
      <c r="P2200">
        <v>-0.98620830000000004</v>
      </c>
      <c r="Q2200">
        <v>0.15228739999999999</v>
      </c>
      <c r="R2200">
        <v>6.4818520000000004E-2</v>
      </c>
      <c r="S2200">
        <v>-3.0438540000000001</v>
      </c>
      <c r="T2200">
        <v>-5.9801339999999998E-3</v>
      </c>
      <c r="U2200">
        <v>-1.101685E-2</v>
      </c>
      <c r="V2200">
        <v>4.5447710000000002E-2</v>
      </c>
      <c r="W2200">
        <v>0.1598098</v>
      </c>
      <c r="X2200">
        <v>0.98610109999999995</v>
      </c>
      <c r="Y2200">
        <v>-2.325992E-2</v>
      </c>
      <c r="Z2200" s="1">
        <v>-3.2306710000000001E-7</v>
      </c>
      <c r="AA2200">
        <v>0.99972950000000005</v>
      </c>
      <c r="AB2200">
        <v>31</v>
      </c>
      <c r="AC2200">
        <v>-3.0438540000000001</v>
      </c>
      <c r="AD2200">
        <v>-5.9801339999999998E-3</v>
      </c>
      <c r="AE2200">
        <v>-1.101685E-2</v>
      </c>
      <c r="AF2200">
        <v>-7.0801591974329406E-2</v>
      </c>
      <c r="AG2200">
        <v>-5.9801339999999998E-3</v>
      </c>
      <c r="AH2200">
        <v>3.0430386384800601</v>
      </c>
      <c r="AI2200">
        <v>90.112566199484803</v>
      </c>
      <c r="AJ2200">
        <v>91.332845591194996</v>
      </c>
      <c r="AK2200">
        <v>3.0438680626320398</v>
      </c>
      <c r="AL2200">
        <v>80.804143703329601</v>
      </c>
      <c r="AM2200">
        <v>87.361203025016295</v>
      </c>
      <c r="AN2200">
        <v>1.00000002297074</v>
      </c>
    </row>
    <row r="2201" spans="1:40" x14ac:dyDescent="0.25">
      <c r="A2201" t="str">
        <f>"20190303170302403"</f>
        <v>20190303170302403</v>
      </c>
      <c r="B2201" t="str">
        <f>"1551603782397861"</f>
        <v>1551603782397861</v>
      </c>
      <c r="C2201" t="s">
        <v>40</v>
      </c>
      <c r="D2201">
        <v>4.0440940000000003</v>
      </c>
      <c r="E2201">
        <v>0.47871059999999999</v>
      </c>
      <c r="F2201" t="s">
        <v>48</v>
      </c>
      <c r="G2201">
        <v>0</v>
      </c>
      <c r="H2201">
        <v>0</v>
      </c>
      <c r="I2201">
        <v>0</v>
      </c>
      <c r="J2201">
        <v>-271.0351</v>
      </c>
      <c r="K2201">
        <v>1.120687</v>
      </c>
      <c r="L2201">
        <v>284.43700000000001</v>
      </c>
      <c r="M2201">
        <v>-0.99977819999999995</v>
      </c>
      <c r="N2201">
        <v>-7.5977859999999996E-3</v>
      </c>
      <c r="O2201">
        <v>1.9650109999999998E-2</v>
      </c>
      <c r="P2201">
        <v>-0.9862727</v>
      </c>
      <c r="Q2201">
        <v>0.1518362</v>
      </c>
      <c r="R2201">
        <v>6.4900949999999999E-2</v>
      </c>
      <c r="S2201">
        <v>-3.0437319999999999</v>
      </c>
      <c r="T2201">
        <v>-7.0043800000000002E-3</v>
      </c>
      <c r="U2201">
        <v>-1.049805E-2</v>
      </c>
      <c r="V2201">
        <v>4.5519980000000002E-2</v>
      </c>
      <c r="W2201">
        <v>0.15932969999999999</v>
      </c>
      <c r="X2201">
        <v>0.98617540000000004</v>
      </c>
      <c r="Y2201">
        <v>-2.309841E-2</v>
      </c>
      <c r="Z2201" s="1">
        <v>-1.0240200000000001E-5</v>
      </c>
      <c r="AA2201">
        <v>0.99973319999999999</v>
      </c>
      <c r="AB2201">
        <v>31</v>
      </c>
      <c r="AC2201">
        <v>-3.0437319999999999</v>
      </c>
      <c r="AD2201">
        <v>-7.0043800000000002E-3</v>
      </c>
      <c r="AE2201">
        <v>-1.049805E-2</v>
      </c>
      <c r="AF2201">
        <v>-7.0307036514401094E-2</v>
      </c>
      <c r="AG2201">
        <v>-7.0043800000000002E-3</v>
      </c>
      <c r="AH2201">
        <v>3.04292186813848</v>
      </c>
      <c r="AI2201">
        <v>90.131851438259403</v>
      </c>
      <c r="AJ2201">
        <v>91.323589640624803</v>
      </c>
      <c r="AK2201">
        <v>3.0437420449699801</v>
      </c>
      <c r="AL2201">
        <v>80.8320079641164</v>
      </c>
      <c r="AM2201">
        <v>87.357211654946596</v>
      </c>
      <c r="AN2201">
        <v>0.999999970723224</v>
      </c>
    </row>
    <row r="2202" spans="1:40" x14ac:dyDescent="0.25">
      <c r="A2202" t="str">
        <f>"20190303170302416"</f>
        <v>20190303170302416</v>
      </c>
      <c r="B2202" t="str">
        <f>"1551603782407620"</f>
        <v>1551603782407620</v>
      </c>
      <c r="C2202" t="s">
        <v>40</v>
      </c>
      <c r="D2202">
        <v>4.019234</v>
      </c>
      <c r="E2202">
        <v>0.47877550000000002</v>
      </c>
      <c r="F2202" t="s">
        <v>48</v>
      </c>
      <c r="G2202">
        <v>0</v>
      </c>
      <c r="H2202">
        <v>0</v>
      </c>
      <c r="I2202">
        <v>0</v>
      </c>
      <c r="J2202">
        <v>-271.20280000000002</v>
      </c>
      <c r="K2202">
        <v>1.1206799999999999</v>
      </c>
      <c r="L2202">
        <v>284.44029999999998</v>
      </c>
      <c r="M2202">
        <v>-0.99977819999999995</v>
      </c>
      <c r="N2202">
        <v>-7.5668630000000001E-3</v>
      </c>
      <c r="O2202">
        <v>1.96594E-2</v>
      </c>
      <c r="P2202">
        <v>-0.9863845</v>
      </c>
      <c r="Q2202">
        <v>0.15108829999999901</v>
      </c>
      <c r="R2202">
        <v>6.4947790000000005E-2</v>
      </c>
      <c r="S2202">
        <v>-3.0435180000000002</v>
      </c>
      <c r="T2202">
        <v>-7.7296500000000002E-3</v>
      </c>
      <c r="U2202">
        <v>-8.7890629999999997E-3</v>
      </c>
      <c r="V2202">
        <v>4.5555360000000003E-2</v>
      </c>
      <c r="W2202">
        <v>0.1585529</v>
      </c>
      <c r="X2202">
        <v>0.98629900000000004</v>
      </c>
      <c r="Y2202">
        <v>-2.2546569999999998E-2</v>
      </c>
      <c r="Z2202" s="1">
        <v>-1.509461E-5</v>
      </c>
      <c r="AA2202">
        <v>0.99974580000000002</v>
      </c>
      <c r="AB2202">
        <v>31</v>
      </c>
      <c r="AC2202">
        <v>-3.0435180000000002</v>
      </c>
      <c r="AD2202">
        <v>-7.7296500000000002E-3</v>
      </c>
      <c r="AE2202">
        <v>-8.7890629999999997E-3</v>
      </c>
      <c r="AF2202">
        <v>-6.8622366531477103E-2</v>
      </c>
      <c r="AG2202">
        <v>-7.7296500000000002E-3</v>
      </c>
      <c r="AH2202">
        <v>3.0427373434034499</v>
      </c>
      <c r="AI2202">
        <v>90.145514624797599</v>
      </c>
      <c r="AJ2202">
        <v>91.291963497233695</v>
      </c>
      <c r="AK2202">
        <v>3.0435208751739098</v>
      </c>
      <c r="AL2202">
        <v>80.877088797893194</v>
      </c>
      <c r="AM2202">
        <v>87.355491459499305</v>
      </c>
      <c r="AN2202">
        <v>1.0000000151620601</v>
      </c>
    </row>
    <row r="2203" spans="1:40" x14ac:dyDescent="0.25">
      <c r="A2203" t="str">
        <f>"20190303170302434"</f>
        <v>20190303170302434</v>
      </c>
      <c r="B2203" t="str">
        <f>"1551603782427705"</f>
        <v>1551603782427705</v>
      </c>
      <c r="C2203" t="s">
        <v>40</v>
      </c>
      <c r="D2203">
        <v>4.0072210000000004</v>
      </c>
      <c r="E2203">
        <v>0.47895710000000002</v>
      </c>
      <c r="F2203" t="s">
        <v>48</v>
      </c>
      <c r="G2203">
        <v>0</v>
      </c>
      <c r="H2203">
        <v>0</v>
      </c>
      <c r="I2203">
        <v>0</v>
      </c>
      <c r="J2203">
        <v>-271.46249999999998</v>
      </c>
      <c r="K2203">
        <v>1.120676</v>
      </c>
      <c r="L2203">
        <v>284.44540000000001</v>
      </c>
      <c r="M2203">
        <v>-0.99977819999999995</v>
      </c>
      <c r="N2203">
        <v>-7.5232650000000003E-3</v>
      </c>
      <c r="O2203">
        <v>1.9674589999999999E-2</v>
      </c>
      <c r="P2203">
        <v>-0.98656790000000005</v>
      </c>
      <c r="Q2203">
        <v>0.1499434</v>
      </c>
      <c r="R2203">
        <v>6.4816559999999995E-2</v>
      </c>
      <c r="S2203">
        <v>-3.0434269999999999</v>
      </c>
      <c r="T2203">
        <v>-9.7039940000000005E-3</v>
      </c>
      <c r="U2203">
        <v>-7.59887699999999E-3</v>
      </c>
      <c r="V2203">
        <v>4.5405389999999997E-2</v>
      </c>
      <c r="W2203">
        <v>0.15736639999999999</v>
      </c>
      <c r="X2203">
        <v>0.98649589999999998</v>
      </c>
      <c r="Y2203">
        <v>-2.2170849999999999E-2</v>
      </c>
      <c r="Z2203" s="1">
        <v>-3.3450359999999998E-5</v>
      </c>
      <c r="AA2203">
        <v>0.99975420000000004</v>
      </c>
      <c r="AB2203">
        <v>31</v>
      </c>
      <c r="AC2203">
        <v>-3.0434269999999999</v>
      </c>
      <c r="AD2203">
        <v>-9.7039940000000005E-3</v>
      </c>
      <c r="AE2203">
        <v>-7.59887699999999E-3</v>
      </c>
      <c r="AF2203">
        <v>-6.7476588941214499E-2</v>
      </c>
      <c r="AG2203">
        <v>-9.7039940000000005E-3</v>
      </c>
      <c r="AH2203">
        <v>3.0426574281503398</v>
      </c>
      <c r="AI2203">
        <v>90.182688770217894</v>
      </c>
      <c r="AJ2203">
        <v>91.270432257665902</v>
      </c>
      <c r="AK2203">
        <v>3.0434210163290101</v>
      </c>
      <c r="AL2203">
        <v>80.945934397345795</v>
      </c>
      <c r="AM2203">
        <v>87.364710340195401</v>
      </c>
      <c r="AN2203">
        <v>0.99999999700341102</v>
      </c>
    </row>
    <row r="2204" spans="1:40" x14ac:dyDescent="0.25">
      <c r="A2204" t="str">
        <f>"20190303170302446"</f>
        <v>20190303170302446</v>
      </c>
      <c r="B2204" t="str">
        <f>"1551603782437464"</f>
        <v>1551603782437464</v>
      </c>
      <c r="C2204" t="s">
        <v>40</v>
      </c>
      <c r="D2204">
        <v>3.996696</v>
      </c>
      <c r="E2204">
        <v>0.47903259999999998</v>
      </c>
      <c r="F2204" t="s">
        <v>44</v>
      </c>
      <c r="G2204">
        <v>-557.01229999999998</v>
      </c>
      <c r="H2204">
        <v>-0.05</v>
      </c>
      <c r="I2204">
        <v>283.84980000000002</v>
      </c>
      <c r="J2204">
        <v>-271.6189</v>
      </c>
      <c r="K2204">
        <v>1.1206719999999999</v>
      </c>
      <c r="L2204">
        <v>284.44850000000002</v>
      </c>
      <c r="M2204">
        <v>-0.99977830000000001</v>
      </c>
      <c r="N2204">
        <v>-7.499833E-3</v>
      </c>
      <c r="O2204">
        <v>1.968373E-2</v>
      </c>
      <c r="P2204">
        <v>-0.98657570000000006</v>
      </c>
      <c r="Q2204">
        <v>0.14985519999999999</v>
      </c>
      <c r="R2204">
        <v>6.4900040000000006E-2</v>
      </c>
      <c r="S2204">
        <v>-3.0431520000000001</v>
      </c>
      <c r="T2204">
        <v>-1.247609E-2</v>
      </c>
      <c r="U2204">
        <v>-6.3476560000000001E-3</v>
      </c>
      <c r="V2204">
        <v>4.5479449999999998E-2</v>
      </c>
      <c r="W2204">
        <v>0.1572547</v>
      </c>
      <c r="X2204">
        <v>0.98651029999999995</v>
      </c>
      <c r="Y2204">
        <v>-2.1769090000000001E-2</v>
      </c>
      <c r="Z2204" s="1">
        <v>-5.9318299999999998E-5</v>
      </c>
      <c r="AA2204">
        <v>0.99976299999999996</v>
      </c>
      <c r="AB2204">
        <v>31</v>
      </c>
      <c r="AC2204">
        <v>-285.39339999999999</v>
      </c>
      <c r="AD2204">
        <v>-1.1706719999999999</v>
      </c>
      <c r="AE2204">
        <v>-0.598700000000007</v>
      </c>
      <c r="AF2204">
        <v>-6.21624305751864</v>
      </c>
      <c r="AG2204">
        <v>-1.1706719999999999</v>
      </c>
      <c r="AH2204">
        <v>285.32151802977199</v>
      </c>
      <c r="AI2204">
        <v>90.235027052428904</v>
      </c>
      <c r="AJ2204">
        <v>91.248094280529301</v>
      </c>
      <c r="AK2204">
        <v>285.39162706970802</v>
      </c>
      <c r="AL2204">
        <v>80.952415020681002</v>
      </c>
      <c r="AM2204">
        <v>87.360456511305301</v>
      </c>
      <c r="AN2204">
        <v>0.99999999652524096</v>
      </c>
    </row>
    <row r="2205" spans="1:40" x14ac:dyDescent="0.25">
      <c r="A2205" t="str">
        <f>"20190303170302457"</f>
        <v>20190303170302457</v>
      </c>
      <c r="B2205" t="str">
        <f>"1551603782448201"</f>
        <v>1551603782448201</v>
      </c>
      <c r="C2205" t="s">
        <v>40</v>
      </c>
      <c r="D2205">
        <v>4.0506140000000004</v>
      </c>
      <c r="E2205">
        <v>0.47907850000000002</v>
      </c>
      <c r="F2205" t="s">
        <v>44</v>
      </c>
      <c r="G2205">
        <v>-559.87189999999998</v>
      </c>
      <c r="H2205">
        <v>-0.05</v>
      </c>
      <c r="I2205">
        <v>283.95699999999999</v>
      </c>
      <c r="J2205">
        <v>-271.77890000000002</v>
      </c>
      <c r="K2205">
        <v>1.1206700000000001</v>
      </c>
      <c r="L2205">
        <v>284.45170000000002</v>
      </c>
      <c r="M2205">
        <v>-0.99977819999999995</v>
      </c>
      <c r="N2205">
        <v>-7.4765580000000003E-3</v>
      </c>
      <c r="O2205">
        <v>1.96933E-2</v>
      </c>
      <c r="P2205">
        <v>-0.98658939999999995</v>
      </c>
      <c r="Q2205">
        <v>0.14952879999999999</v>
      </c>
      <c r="R2205">
        <v>6.544258E-2</v>
      </c>
      <c r="S2205">
        <v>-3.042999</v>
      </c>
      <c r="T2205">
        <v>-1.235843E-2</v>
      </c>
      <c r="U2205">
        <v>-5.1879880000000001E-3</v>
      </c>
      <c r="V2205">
        <v>4.601222E-2</v>
      </c>
      <c r="W2205">
        <v>0.15690580000000001</v>
      </c>
      <c r="X2205">
        <v>0.98654120000000001</v>
      </c>
      <c r="Y2205">
        <v>-2.1397759999999998E-2</v>
      </c>
      <c r="Z2205" s="1">
        <v>-5.617243E-5</v>
      </c>
      <c r="AA2205">
        <v>0.99977110000000002</v>
      </c>
      <c r="AB2205">
        <v>31</v>
      </c>
      <c r="AC2205">
        <v>-288.09300000000002</v>
      </c>
      <c r="AD2205">
        <v>-1.1706700000000001</v>
      </c>
      <c r="AE2205">
        <v>-0.49470000000002201</v>
      </c>
      <c r="AF2205">
        <v>-6.1681621679834597</v>
      </c>
      <c r="AG2205">
        <v>-1.1706700000000001</v>
      </c>
      <c r="AH2205">
        <v>288.02262807624697</v>
      </c>
      <c r="AI2205">
        <v>90.232824433979999</v>
      </c>
      <c r="AJ2205">
        <v>91.226832937469794</v>
      </c>
      <c r="AK2205">
        <v>288.09104633210501</v>
      </c>
      <c r="AL2205">
        <v>80.972657261393707</v>
      </c>
      <c r="AM2205">
        <v>87.329663543855105</v>
      </c>
      <c r="AN2205">
        <v>1.0000000468801999</v>
      </c>
    </row>
    <row r="2206" spans="1:40" x14ac:dyDescent="0.25">
      <c r="A2206" t="str">
        <f>"20190303170302469"</f>
        <v>20190303170302469</v>
      </c>
      <c r="B2206" t="str">
        <f>"1551603782457961"</f>
        <v>1551603782457961</v>
      </c>
      <c r="C2206" t="s">
        <v>40</v>
      </c>
      <c r="D2206">
        <v>4.045928</v>
      </c>
      <c r="E2206">
        <v>0.4791107</v>
      </c>
      <c r="F2206" t="s">
        <v>44</v>
      </c>
      <c r="G2206">
        <v>-539.25429999999994</v>
      </c>
      <c r="H2206">
        <v>-0.05</v>
      </c>
      <c r="I2206">
        <v>284.1968</v>
      </c>
      <c r="J2206">
        <v>-271.9554</v>
      </c>
      <c r="K2206">
        <v>1.1206609999999999</v>
      </c>
      <c r="L2206">
        <v>284.45510000000002</v>
      </c>
      <c r="M2206">
        <v>-0.99977819999999995</v>
      </c>
      <c r="N2206">
        <v>-7.4533139999999999E-3</v>
      </c>
      <c r="O2206">
        <v>1.9703760000000001E-2</v>
      </c>
      <c r="P2206">
        <v>-0.98655619999999999</v>
      </c>
      <c r="Q2206">
        <v>0.149564</v>
      </c>
      <c r="R2206">
        <v>6.5862669999999998E-2</v>
      </c>
      <c r="S2206">
        <v>-3.042999</v>
      </c>
      <c r="T2206">
        <v>-1.3318419999999999E-2</v>
      </c>
      <c r="U2206">
        <v>-2.89917E-3</v>
      </c>
      <c r="V2206">
        <v>4.6422570000000003E-2</v>
      </c>
      <c r="W2206">
        <v>0.15691759999999999</v>
      </c>
      <c r="X2206">
        <v>0.98652010000000001</v>
      </c>
      <c r="Y2206">
        <v>-2.0656219999999999E-2</v>
      </c>
      <c r="Z2206" s="1">
        <v>-6.1550180000000004E-5</v>
      </c>
      <c r="AA2206">
        <v>0.99978659999999997</v>
      </c>
      <c r="AB2206">
        <v>31</v>
      </c>
      <c r="AC2206">
        <v>-267.29889999999898</v>
      </c>
      <c r="AD2206">
        <v>-1.170661</v>
      </c>
      <c r="AE2206">
        <v>-0.25830000000001901</v>
      </c>
      <c r="AF2206">
        <v>-5.5250829157332904</v>
      </c>
      <c r="AG2206">
        <v>-1.170661</v>
      </c>
      <c r="AH2206">
        <v>267.23678882851698</v>
      </c>
      <c r="AI2206">
        <v>90.250935416842495</v>
      </c>
      <c r="AJ2206">
        <v>91.184413420102004</v>
      </c>
      <c r="AK2206">
        <v>267.29646142771799</v>
      </c>
      <c r="AL2206">
        <v>80.971972700942899</v>
      </c>
      <c r="AM2206">
        <v>87.305826122598305</v>
      </c>
      <c r="AN2206">
        <v>1.0000000479495801</v>
      </c>
    </row>
    <row r="2207" spans="1:40" x14ac:dyDescent="0.25">
      <c r="A2207" t="str">
        <f>"20190303170302481"</f>
        <v>20190303170302481</v>
      </c>
      <c r="B2207" t="str">
        <f>"1551603782467721"</f>
        <v>1551603782467721</v>
      </c>
      <c r="C2207" t="s">
        <v>40</v>
      </c>
      <c r="D2207">
        <v>4.009137</v>
      </c>
      <c r="E2207">
        <v>0.47917920000000003</v>
      </c>
      <c r="F2207" t="s">
        <v>44</v>
      </c>
      <c r="G2207">
        <v>-548.2518</v>
      </c>
      <c r="H2207">
        <v>-0.05</v>
      </c>
      <c r="I2207">
        <v>284.35539999999997</v>
      </c>
      <c r="J2207">
        <v>-272.11329999999998</v>
      </c>
      <c r="K2207">
        <v>1.1206590000000001</v>
      </c>
      <c r="L2207">
        <v>284.45830000000001</v>
      </c>
      <c r="M2207">
        <v>-0.99977800000000006</v>
      </c>
      <c r="N2207">
        <v>-7.4340379999999996E-3</v>
      </c>
      <c r="O2207">
        <v>1.9713479999999999E-2</v>
      </c>
      <c r="P2207">
        <v>-0.98650119999999997</v>
      </c>
      <c r="Q2207">
        <v>0.149563</v>
      </c>
      <c r="R2207">
        <v>6.6683220000000001E-2</v>
      </c>
      <c r="S2207">
        <v>-3.0429080000000002</v>
      </c>
      <c r="T2207">
        <v>-1.289272E-2</v>
      </c>
      <c r="U2207">
        <v>-1.0986329999999999E-3</v>
      </c>
      <c r="V2207">
        <v>4.7234320000000003E-2</v>
      </c>
      <c r="W2207">
        <v>0.15689729999999999</v>
      </c>
      <c r="X2207">
        <v>0.98648480000000005</v>
      </c>
      <c r="Y2207">
        <v>-2.0074410000000001E-2</v>
      </c>
      <c r="Z2207" s="1">
        <v>-5.4106959999999999E-5</v>
      </c>
      <c r="AA2207">
        <v>0.99979850000000003</v>
      </c>
      <c r="AB2207">
        <v>31</v>
      </c>
      <c r="AC2207">
        <v>-276.13850000000002</v>
      </c>
      <c r="AD2207">
        <v>-1.1706589999999999</v>
      </c>
      <c r="AE2207">
        <v>-0.10290000000003301</v>
      </c>
      <c r="AF2207">
        <v>-5.5465817170822698</v>
      </c>
      <c r="AG2207">
        <v>-1.1706589999999999</v>
      </c>
      <c r="AH2207">
        <v>276.07784480254099</v>
      </c>
      <c r="AI2207">
        <v>90.242902090537001</v>
      </c>
      <c r="AJ2207">
        <v>91.150954275143405</v>
      </c>
      <c r="AK2207">
        <v>276.13603785463101</v>
      </c>
      <c r="AL2207">
        <v>80.973150431439507</v>
      </c>
      <c r="AM2207">
        <v>87.258688811527705</v>
      </c>
      <c r="AN2207">
        <v>1.00000005218209</v>
      </c>
    </row>
    <row r="2208" spans="1:40" x14ac:dyDescent="0.25">
      <c r="A2208" t="str">
        <f>"20190303170302493"</f>
        <v>20190303170302493</v>
      </c>
      <c r="B2208" t="str">
        <f>"1551603782488216"</f>
        <v>1551603782488216</v>
      </c>
      <c r="C2208" t="s">
        <v>40</v>
      </c>
      <c r="D2208">
        <v>4.0290179999999998</v>
      </c>
      <c r="E2208">
        <v>0.5039998</v>
      </c>
      <c r="F2208" t="s">
        <v>44</v>
      </c>
      <c r="G2208">
        <v>-548.07989999999995</v>
      </c>
      <c r="H2208">
        <v>-0.05</v>
      </c>
      <c r="I2208">
        <v>284.62709999999998</v>
      </c>
      <c r="J2208">
        <v>-272.28980000000001</v>
      </c>
      <c r="K2208">
        <v>1.120657</v>
      </c>
      <c r="L2208">
        <v>284.46170000000001</v>
      </c>
      <c r="M2208">
        <v>-0.99977800000000006</v>
      </c>
      <c r="N2208">
        <v>-7.4137969999999997E-3</v>
      </c>
      <c r="O2208">
        <v>1.9724289999999998E-2</v>
      </c>
      <c r="P2208">
        <v>-0.98647980000000002</v>
      </c>
      <c r="Q2208">
        <v>0.1494461</v>
      </c>
      <c r="R2208">
        <v>6.7259799999999995E-2</v>
      </c>
      <c r="S2208">
        <v>-3.0428769999999998</v>
      </c>
      <c r="T2208">
        <v>-1.2907979999999999E-2</v>
      </c>
      <c r="U2208">
        <v>1.8615719999999999E-3</v>
      </c>
      <c r="V2208">
        <v>4.780061E-2</v>
      </c>
      <c r="W2208">
        <v>0.15676029999999999</v>
      </c>
      <c r="X2208">
        <v>0.98647929999999995</v>
      </c>
      <c r="Y2208">
        <v>-1.9112589999999999E-2</v>
      </c>
      <c r="Z2208" s="1">
        <v>-4.8813020000000003E-5</v>
      </c>
      <c r="AA2208">
        <v>0.99981730000000002</v>
      </c>
      <c r="AB2208">
        <v>31</v>
      </c>
      <c r="AC2208">
        <v>-275.79009999999897</v>
      </c>
      <c r="AD2208">
        <v>-1.1706570000000001</v>
      </c>
      <c r="AE2208">
        <v>0.16539999999997601</v>
      </c>
      <c r="AF2208">
        <v>-5.2744503927563802</v>
      </c>
      <c r="AG2208">
        <v>-1.1706570000000001</v>
      </c>
      <c r="AH2208">
        <v>275.73473844743597</v>
      </c>
      <c r="AI2208">
        <v>90.243208508782402</v>
      </c>
      <c r="AJ2208">
        <v>91.095860815348203</v>
      </c>
      <c r="AK2208">
        <v>275.78766515461302</v>
      </c>
      <c r="AL2208">
        <v>80.981098278301403</v>
      </c>
      <c r="AM2208">
        <v>87.225858956489503</v>
      </c>
      <c r="AN2208">
        <v>1.00000004965047</v>
      </c>
    </row>
    <row r="2209" spans="1:40" x14ac:dyDescent="0.25">
      <c r="A2209" t="str">
        <f>"20190303170302505"</f>
        <v>20190303170302505</v>
      </c>
      <c r="B2209" t="str">
        <f>"1551603782497977"</f>
        <v>1551603782497977</v>
      </c>
      <c r="C2209" t="s">
        <v>40</v>
      </c>
      <c r="D2209">
        <v>3.9953759999999998</v>
      </c>
      <c r="E2209">
        <v>0.50922719999999999</v>
      </c>
      <c r="F2209" t="s">
        <v>62</v>
      </c>
      <c r="G2209">
        <v>-366.21190000000001</v>
      </c>
      <c r="H2209">
        <v>8.0000379999999996E-2</v>
      </c>
      <c r="I2209">
        <v>290.67349999999999</v>
      </c>
      <c r="J2209">
        <v>-272.45100000000002</v>
      </c>
      <c r="K2209">
        <v>1.120649</v>
      </c>
      <c r="L2209">
        <v>284.4649</v>
      </c>
      <c r="M2209">
        <v>-0.9997779</v>
      </c>
      <c r="N2209">
        <v>-7.3976579999999997E-3</v>
      </c>
      <c r="O2209">
        <v>1.9733529999999999E-2</v>
      </c>
      <c r="P2209">
        <v>-0.98648369999999996</v>
      </c>
      <c r="Q2209">
        <v>0.14922589999999999</v>
      </c>
      <c r="R2209">
        <v>6.7688390000000001E-2</v>
      </c>
      <c r="S2209">
        <v>-3.0325009999999999</v>
      </c>
      <c r="T2209">
        <v>-3.3600089999999999E-2</v>
      </c>
      <c r="U2209">
        <v>0.2005615</v>
      </c>
      <c r="V2209">
        <v>4.821988E-2</v>
      </c>
      <c r="W2209">
        <v>0.15652430000000001</v>
      </c>
      <c r="X2209">
        <v>0.98649629999999999</v>
      </c>
      <c r="Y2209">
        <v>4.6284659999999998E-2</v>
      </c>
      <c r="Z2209">
        <v>3.5502439999999998E-4</v>
      </c>
      <c r="AA2209">
        <v>0.99892820000000004</v>
      </c>
      <c r="AB2209">
        <v>31</v>
      </c>
      <c r="AC2209">
        <v>-93.760900000000007</v>
      </c>
      <c r="AD2209">
        <v>-1.04064862</v>
      </c>
      <c r="AE2209">
        <v>6.2085999999999899</v>
      </c>
      <c r="AF2209">
        <v>4.3565724593035799</v>
      </c>
      <c r="AG2209">
        <v>-1.04064862</v>
      </c>
      <c r="AH2209">
        <v>93.853651279423502</v>
      </c>
      <c r="AI2209">
        <v>90.634585915372199</v>
      </c>
      <c r="AJ2209">
        <v>87.342307281051006</v>
      </c>
      <c r="AK2209">
        <v>93.960473240736206</v>
      </c>
      <c r="AL2209">
        <v>80.994788471429402</v>
      </c>
      <c r="AM2209">
        <v>87.2016129949847</v>
      </c>
      <c r="AN2209">
        <v>0.99999998161569703</v>
      </c>
    </row>
    <row r="2210" spans="1:40" x14ac:dyDescent="0.25">
      <c r="A2210" t="str">
        <f>"20190303170302519"</f>
        <v>20190303170302519</v>
      </c>
      <c r="B2210" t="str">
        <f>"1551603782507737"</f>
        <v>1551603782507737</v>
      </c>
      <c r="C2210" t="s">
        <v>40</v>
      </c>
      <c r="D2210">
        <v>4.0176559999999997</v>
      </c>
      <c r="E2210">
        <v>0.51187570000000004</v>
      </c>
      <c r="F2210" t="s">
        <v>62</v>
      </c>
      <c r="G2210">
        <v>-361.20269999999999</v>
      </c>
      <c r="H2210">
        <v>8.0000370000000001E-2</v>
      </c>
      <c r="I2210">
        <v>291.59230000000002</v>
      </c>
      <c r="J2210">
        <v>-272.62549999999999</v>
      </c>
      <c r="K2210">
        <v>1.120644</v>
      </c>
      <c r="L2210">
        <v>284.46839999999997</v>
      </c>
      <c r="M2210">
        <v>-0.99977769999999999</v>
      </c>
      <c r="N2210">
        <v>-7.3810519999999999E-3</v>
      </c>
      <c r="O2210">
        <v>1.974306E-2</v>
      </c>
      <c r="P2210">
        <v>-0.98643990000000004</v>
      </c>
      <c r="Q2210">
        <v>0.1493372</v>
      </c>
      <c r="R2210">
        <v>6.8077399999999899E-2</v>
      </c>
      <c r="S2210">
        <v>-3.0298159999999998</v>
      </c>
      <c r="T2210">
        <v>-3.5525800000000003E-2</v>
      </c>
      <c r="U2210">
        <v>0.2433167</v>
      </c>
      <c r="V2210">
        <v>4.860006E-2</v>
      </c>
      <c r="W2210">
        <v>0.15661900000000001</v>
      </c>
      <c r="X2210">
        <v>0.98646270000000003</v>
      </c>
      <c r="Y2210">
        <v>6.0347310000000001E-2</v>
      </c>
      <c r="Z2210">
        <v>4.9077240000000002E-4</v>
      </c>
      <c r="AA2210">
        <v>0.99817730000000005</v>
      </c>
      <c r="AB2210">
        <v>31</v>
      </c>
      <c r="AC2210">
        <v>-88.577200000000005</v>
      </c>
      <c r="AD2210">
        <v>-1.0406436299999999</v>
      </c>
      <c r="AE2210">
        <v>7.1239000000000399</v>
      </c>
      <c r="AF2210">
        <v>5.3729416836650703</v>
      </c>
      <c r="AG2210">
        <v>-1.0406436299999999</v>
      </c>
      <c r="AH2210">
        <v>88.688423009104099</v>
      </c>
      <c r="AI2210">
        <v>90.671030648870001</v>
      </c>
      <c r="AJ2210">
        <v>86.533131626849993</v>
      </c>
      <c r="AK2210">
        <v>88.857120239981398</v>
      </c>
      <c r="AL2210">
        <v>80.989295587962602</v>
      </c>
      <c r="AM2210">
        <v>87.179489246627696</v>
      </c>
      <c r="AN2210">
        <v>1.0000000677421399</v>
      </c>
    </row>
    <row r="2211" spans="1:40" x14ac:dyDescent="0.25">
      <c r="A2211" t="str">
        <f>"20190303170302535"</f>
        <v>20190303170302535</v>
      </c>
      <c r="B2211" t="str">
        <f>"1551603782527852"</f>
        <v>1551603782527852</v>
      </c>
      <c r="C2211" t="s">
        <v>40</v>
      </c>
      <c r="D2211">
        <v>3.99438</v>
      </c>
      <c r="E2211">
        <v>0.51488859999999903</v>
      </c>
      <c r="F2211" t="s">
        <v>62</v>
      </c>
      <c r="G2211">
        <v>-358.45580000000001</v>
      </c>
      <c r="H2211">
        <v>8.0001030000000001E-2</v>
      </c>
      <c r="I2211">
        <v>292.00790000000001</v>
      </c>
      <c r="J2211">
        <v>-272.8614</v>
      </c>
      <c r="K2211">
        <v>1.1206449999999999</v>
      </c>
      <c r="L2211">
        <v>284.47309999999999</v>
      </c>
      <c r="M2211">
        <v>-0.9997779</v>
      </c>
      <c r="N2211">
        <v>-7.3611819999999904E-3</v>
      </c>
      <c r="O2211">
        <v>1.9753679999999999E-2</v>
      </c>
      <c r="P2211">
        <v>-0.98640490000000003</v>
      </c>
      <c r="Q2211">
        <v>0.14964349999999901</v>
      </c>
      <c r="R2211">
        <v>6.7913660000000001E-2</v>
      </c>
      <c r="S2211">
        <v>-3.0284119999999999</v>
      </c>
      <c r="T2211">
        <v>-3.6717769999999997E-2</v>
      </c>
      <c r="U2211">
        <v>0.26602170000000003</v>
      </c>
      <c r="V2211">
        <v>4.8426169999999998E-2</v>
      </c>
      <c r="W2211">
        <v>0.1569053</v>
      </c>
      <c r="X2211">
        <v>0.98642569999999996</v>
      </c>
      <c r="Y2211">
        <v>6.7801780000000006E-2</v>
      </c>
      <c r="Z2211">
        <v>5.6647220000000001E-4</v>
      </c>
      <c r="AA2211">
        <v>0.99769870000000005</v>
      </c>
      <c r="AB2211">
        <v>31</v>
      </c>
      <c r="AC2211">
        <v>-85.594399999999993</v>
      </c>
      <c r="AD2211">
        <v>-1.0406439700000001</v>
      </c>
      <c r="AE2211">
        <v>7.5348000000000104</v>
      </c>
      <c r="AF2211">
        <v>5.8416228853808398</v>
      </c>
      <c r="AG2211">
        <v>-1.0406439700000001</v>
      </c>
      <c r="AH2211">
        <v>85.713969463287896</v>
      </c>
      <c r="AI2211">
        <v>90.693977987268596</v>
      </c>
      <c r="AJ2211">
        <v>86.101177243840894</v>
      </c>
      <c r="AK2211">
        <v>85.919101828177602</v>
      </c>
      <c r="AL2211">
        <v>80.972685972595698</v>
      </c>
      <c r="AM2211">
        <v>87.189459518616104</v>
      </c>
      <c r="AN2211">
        <v>1.0000000143647201</v>
      </c>
    </row>
    <row r="2212" spans="1:40" x14ac:dyDescent="0.25">
      <c r="A2212" t="str">
        <f>"20190303170302548"</f>
        <v>20190303170302548</v>
      </c>
      <c r="B2212" t="str">
        <f>"1551603782537612"</f>
        <v>1551603782537612</v>
      </c>
      <c r="C2212" t="s">
        <v>40</v>
      </c>
      <c r="D2212">
        <v>3.9407070000000002</v>
      </c>
      <c r="E2212">
        <v>0.51551590000000003</v>
      </c>
      <c r="F2212" t="s">
        <v>62</v>
      </c>
      <c r="G2212">
        <v>-362.6422</v>
      </c>
      <c r="H2212">
        <v>8.0000799999999997E-2</v>
      </c>
      <c r="I2212">
        <v>293.06810000000002</v>
      </c>
      <c r="J2212">
        <v>-273.04180000000002</v>
      </c>
      <c r="K2212">
        <v>1.12064599999999</v>
      </c>
      <c r="L2212">
        <v>284.47660000000002</v>
      </c>
      <c r="M2212">
        <v>-0.99977780000000005</v>
      </c>
      <c r="N2212">
        <v>-7.3484379999999997E-3</v>
      </c>
      <c r="O2212">
        <v>1.9759550000000001E-2</v>
      </c>
      <c r="P2212">
        <v>-0.98632549999999997</v>
      </c>
      <c r="Q2212">
        <v>0.15028569999999999</v>
      </c>
      <c r="R2212">
        <v>6.7650269999999998E-2</v>
      </c>
      <c r="S2212">
        <v>-3.026764</v>
      </c>
      <c r="T2212">
        <v>-3.5083059999999999E-2</v>
      </c>
      <c r="U2212">
        <v>0.28976439999999998</v>
      </c>
      <c r="V2212">
        <v>4.8158090000000001E-2</v>
      </c>
      <c r="W2212">
        <v>0.15753490000000001</v>
      </c>
      <c r="X2212">
        <v>0.98633839999999995</v>
      </c>
      <c r="Y2212">
        <v>7.560153E-2</v>
      </c>
      <c r="Z2212">
        <v>6.3203710000000004E-4</v>
      </c>
      <c r="AA2212">
        <v>0.99713790000000002</v>
      </c>
      <c r="AB2212">
        <v>31</v>
      </c>
      <c r="AC2212">
        <v>-89.600399999999894</v>
      </c>
      <c r="AD2212">
        <v>-1.0406451999999899</v>
      </c>
      <c r="AE2212">
        <v>8.5914999999999893</v>
      </c>
      <c r="AF2212">
        <v>6.8183998379577702</v>
      </c>
      <c r="AG2212">
        <v>-1.0406451999999899</v>
      </c>
      <c r="AH2212">
        <v>89.740679323065393</v>
      </c>
      <c r="AI2212">
        <v>90.662470690863501</v>
      </c>
      <c r="AJ2212">
        <v>85.655076542412402</v>
      </c>
      <c r="AK2212">
        <v>90.005350086246594</v>
      </c>
      <c r="AL2212">
        <v>80.936157622383107</v>
      </c>
      <c r="AM2212">
        <v>87.204746516928694</v>
      </c>
      <c r="AN2212">
        <v>0.99999994283250704</v>
      </c>
    </row>
    <row r="2213" spans="1:40" x14ac:dyDescent="0.25">
      <c r="A2213" t="str">
        <f>"20190303170302563"</f>
        <v>20190303170302563</v>
      </c>
      <c r="B2213" t="str">
        <f>"1551603782558109"</f>
        <v>1551603782558109</v>
      </c>
      <c r="C2213" t="s">
        <v>40</v>
      </c>
      <c r="D2213">
        <v>3.9720270000000002</v>
      </c>
      <c r="E2213">
        <v>0.51650039999999997</v>
      </c>
      <c r="F2213" t="s">
        <v>62</v>
      </c>
      <c r="G2213">
        <v>-368.26839999999999</v>
      </c>
      <c r="H2213">
        <v>8.0000970000000005E-2</v>
      </c>
      <c r="I2213">
        <v>293.72840000000002</v>
      </c>
      <c r="J2213">
        <v>-273.24930000000001</v>
      </c>
      <c r="K2213">
        <v>1.120649</v>
      </c>
      <c r="L2213">
        <v>284.48070000000001</v>
      </c>
      <c r="M2213">
        <v>-0.99977769999999999</v>
      </c>
      <c r="N2213">
        <v>-7.3350940000000003E-3</v>
      </c>
      <c r="O2213">
        <v>1.976524E-2</v>
      </c>
      <c r="P2213">
        <v>-0.9862822</v>
      </c>
      <c r="Q2213">
        <v>0.15064169999999999</v>
      </c>
      <c r="R2213">
        <v>6.7486589999999999E-2</v>
      </c>
      <c r="S2213">
        <v>-3.026459</v>
      </c>
      <c r="T2213">
        <v>-3.3073430000000001E-2</v>
      </c>
      <c r="U2213">
        <v>0.29403689999999999</v>
      </c>
      <c r="V2213">
        <v>4.798856E-2</v>
      </c>
      <c r="W2213">
        <v>0.1578772</v>
      </c>
      <c r="X2213">
        <v>0.98629199999999995</v>
      </c>
      <c r="Y2213">
        <v>7.7000550000000001E-2</v>
      </c>
      <c r="Z2213">
        <v>6.3207960000000001E-4</v>
      </c>
      <c r="AA2213">
        <v>0.99703090000000005</v>
      </c>
      <c r="AB2213">
        <v>31</v>
      </c>
      <c r="AC2213">
        <v>-95.019099999999895</v>
      </c>
      <c r="AD2213">
        <v>-1.0406480300000001</v>
      </c>
      <c r="AE2213">
        <v>9.2477</v>
      </c>
      <c r="AF2213">
        <v>7.3668920939199802</v>
      </c>
      <c r="AG2213">
        <v>-1.0406480300000001</v>
      </c>
      <c r="AH2213">
        <v>95.172016424473597</v>
      </c>
      <c r="AI2213">
        <v>90.624601215272094</v>
      </c>
      <c r="AJ2213">
        <v>85.573784786824504</v>
      </c>
      <c r="AK2213">
        <v>95.462383993623803</v>
      </c>
      <c r="AL2213">
        <v>80.916297360594299</v>
      </c>
      <c r="AM2213">
        <v>87.214440236241202</v>
      </c>
      <c r="AN2213">
        <v>1.0000000107173499</v>
      </c>
    </row>
    <row r="2214" spans="1:40" x14ac:dyDescent="0.25">
      <c r="A2214" t="str">
        <f>"20190303170302579"</f>
        <v>20190303170302579</v>
      </c>
      <c r="B2214" t="str">
        <f>"1551603782567868"</f>
        <v>1551603782567868</v>
      </c>
      <c r="C2214" t="s">
        <v>40</v>
      </c>
      <c r="D2214">
        <v>3.9493849999999999</v>
      </c>
      <c r="E2214">
        <v>0.51677759999999995</v>
      </c>
      <c r="F2214" t="s">
        <v>62</v>
      </c>
      <c r="G2214">
        <v>-371.88850000000002</v>
      </c>
      <c r="H2214">
        <v>8.0000559999999998E-2</v>
      </c>
      <c r="I2214">
        <v>294.3073</v>
      </c>
      <c r="J2214">
        <v>-273.4812</v>
      </c>
      <c r="K2214">
        <v>1.120652</v>
      </c>
      <c r="L2214">
        <v>284.4853</v>
      </c>
      <c r="M2214">
        <v>-0.99977769999999999</v>
      </c>
      <c r="N2214">
        <v>-7.3221609999999998E-3</v>
      </c>
      <c r="O2214">
        <v>1.9770090000000001E-2</v>
      </c>
      <c r="P2214">
        <v>-0.98615220000000003</v>
      </c>
      <c r="Q2214">
        <v>0.15159890000000001</v>
      </c>
      <c r="R2214">
        <v>6.7244280000000003E-2</v>
      </c>
      <c r="S2214">
        <v>-3.02597</v>
      </c>
      <c r="T2214">
        <v>-3.1924130000000002E-2</v>
      </c>
      <c r="U2214">
        <v>0.30145260000000001</v>
      </c>
      <c r="V2214">
        <v>4.7743189999999998E-2</v>
      </c>
      <c r="W2214">
        <v>0.1588212</v>
      </c>
      <c r="X2214">
        <v>0.98615240000000004</v>
      </c>
      <c r="Y2214">
        <v>7.9431139999999997E-2</v>
      </c>
      <c r="Z2214">
        <v>6.4594679999999995E-4</v>
      </c>
      <c r="AA2214">
        <v>0.99684010000000001</v>
      </c>
      <c r="AB2214">
        <v>31</v>
      </c>
      <c r="AC2214">
        <v>-98.407300000000006</v>
      </c>
      <c r="AD2214">
        <v>-1.04065144</v>
      </c>
      <c r="AE2214">
        <v>9.8219999999999992</v>
      </c>
      <c r="AF2214">
        <v>7.8736349832075501</v>
      </c>
      <c r="AG2214">
        <v>-1.04065144</v>
      </c>
      <c r="AH2214">
        <v>98.571338117548194</v>
      </c>
      <c r="AI2214">
        <v>90.602948401918894</v>
      </c>
      <c r="AJ2214">
        <v>85.4330512186379</v>
      </c>
      <c r="AK2214">
        <v>98.890777029773503</v>
      </c>
      <c r="AL2214">
        <v>80.861519568832406</v>
      </c>
      <c r="AM2214">
        <v>87.228269103156407</v>
      </c>
      <c r="AN2214">
        <v>1.0000000708932799</v>
      </c>
    </row>
    <row r="2215" spans="1:40" x14ac:dyDescent="0.25">
      <c r="A2215" t="str">
        <f>"20190303170302601"</f>
        <v>20190303170302601</v>
      </c>
      <c r="B2215" t="str">
        <f>"1551603782587388"</f>
        <v>1551603782587388</v>
      </c>
      <c r="C2215" t="s">
        <v>40</v>
      </c>
      <c r="D2215">
        <v>3.9750519999999998</v>
      </c>
      <c r="E2215">
        <v>0.51791509999999996</v>
      </c>
      <c r="F2215" t="s">
        <v>44</v>
      </c>
      <c r="G2215">
        <v>-399.25330000000002</v>
      </c>
      <c r="H2215">
        <v>-0.05</v>
      </c>
      <c r="I2215">
        <v>297.07920000000001</v>
      </c>
      <c r="J2215">
        <v>-273.78339999999997</v>
      </c>
      <c r="K2215">
        <v>1.120655</v>
      </c>
      <c r="L2215">
        <v>284.49130000000002</v>
      </c>
      <c r="M2215">
        <v>-0.99977780000000005</v>
      </c>
      <c r="N2215">
        <v>-7.3085469999999899E-3</v>
      </c>
      <c r="O2215">
        <v>1.977226E-2</v>
      </c>
      <c r="P2215">
        <v>-0.98617069999999996</v>
      </c>
      <c r="Q2215">
        <v>0.151437299999999</v>
      </c>
      <c r="R2215">
        <v>6.7334720000000001E-2</v>
      </c>
      <c r="S2215">
        <v>-3.0257869999999998</v>
      </c>
      <c r="T2215">
        <v>-2.8163190000000001E-2</v>
      </c>
      <c r="U2215">
        <v>0.30297849999999998</v>
      </c>
      <c r="V2215">
        <v>4.7829620000000003E-2</v>
      </c>
      <c r="W2215">
        <v>0.1586466</v>
      </c>
      <c r="X2215">
        <v>0.98617630000000001</v>
      </c>
      <c r="Y2215">
        <v>7.9933899999999905E-2</v>
      </c>
      <c r="Z2215">
        <v>6.2458230000000004E-4</v>
      </c>
      <c r="AA2215">
        <v>0.99679989999999996</v>
      </c>
      <c r="AB2215">
        <v>31</v>
      </c>
      <c r="AC2215">
        <v>-125.4699</v>
      </c>
      <c r="AD2215">
        <v>-1.170655</v>
      </c>
      <c r="AE2215">
        <v>12.5878999999999</v>
      </c>
      <c r="AF2215">
        <v>10.103678540237899</v>
      </c>
      <c r="AG2215">
        <v>-1.170655</v>
      </c>
      <c r="AH2215">
        <v>125.683436460048</v>
      </c>
      <c r="AI2215">
        <v>90.531939480930404</v>
      </c>
      <c r="AJ2215">
        <v>85.403882026949105</v>
      </c>
      <c r="AK2215">
        <v>126.09433355064201</v>
      </c>
      <c r="AL2215">
        <v>80.871651732591204</v>
      </c>
      <c r="AM2215">
        <v>87.223326444447594</v>
      </c>
      <c r="AN2215">
        <v>1.00000005546129</v>
      </c>
    </row>
    <row r="2216" spans="1:40" x14ac:dyDescent="0.25">
      <c r="A2216" t="str">
        <f>"20190303170302612"</f>
        <v>20190303170302612</v>
      </c>
      <c r="B2216" t="str">
        <f>"1551603782607884"</f>
        <v>1551603782607884</v>
      </c>
      <c r="C2216" t="s">
        <v>40</v>
      </c>
      <c r="D2216">
        <v>3.9810859999999999</v>
      </c>
      <c r="E2216">
        <v>0.51831470000000002</v>
      </c>
      <c r="F2216" t="s">
        <v>44</v>
      </c>
      <c r="G2216">
        <v>-389.55290000000002</v>
      </c>
      <c r="H2216">
        <v>-0.05</v>
      </c>
      <c r="I2216">
        <v>296.42450000000002</v>
      </c>
      <c r="J2216">
        <v>-273.9622</v>
      </c>
      <c r="K2216">
        <v>1.1206579999999999</v>
      </c>
      <c r="L2216">
        <v>284.4948</v>
      </c>
      <c r="M2216">
        <v>-0.9997779</v>
      </c>
      <c r="N2216">
        <v>-7.3017780000000001E-3</v>
      </c>
      <c r="O2216">
        <v>1.9769450000000001E-2</v>
      </c>
      <c r="P2216">
        <v>-0.98622770000000004</v>
      </c>
      <c r="Q2216">
        <v>0.15104579999999901</v>
      </c>
      <c r="R2216">
        <v>6.7382220000000007E-2</v>
      </c>
      <c r="S2216">
        <v>-3.0254819999999998</v>
      </c>
      <c r="T2216">
        <v>-3.0593510000000001E-2</v>
      </c>
      <c r="U2216">
        <v>0.3118591</v>
      </c>
      <c r="V2216">
        <v>4.7877669999999997E-2</v>
      </c>
      <c r="W2216">
        <v>0.15824969999999999</v>
      </c>
      <c r="X2216">
        <v>0.98623769999999999</v>
      </c>
      <c r="Y2216">
        <v>8.2841239999999997E-2</v>
      </c>
      <c r="Z2216">
        <v>6.6568770000000001E-4</v>
      </c>
      <c r="AA2216">
        <v>0.99656250000000002</v>
      </c>
      <c r="AB2216">
        <v>32</v>
      </c>
      <c r="AC2216">
        <v>-115.5907</v>
      </c>
      <c r="AD2216">
        <v>-1.170658</v>
      </c>
      <c r="AE2216">
        <v>11.9297</v>
      </c>
      <c r="AF2216">
        <v>9.6411644518374509</v>
      </c>
      <c r="AG2216">
        <v>-1.170658</v>
      </c>
      <c r="AH2216">
        <v>115.792206790777</v>
      </c>
      <c r="AI2216">
        <v>90.577242673582703</v>
      </c>
      <c r="AJ2216">
        <v>85.240381013698496</v>
      </c>
      <c r="AK2216">
        <v>116.198785043641</v>
      </c>
      <c r="AL2216">
        <v>80.894683051392605</v>
      </c>
      <c r="AM2216">
        <v>87.220714117978702</v>
      </c>
      <c r="AN2216">
        <v>1.0000000198679999</v>
      </c>
    </row>
    <row r="2217" spans="1:40" x14ac:dyDescent="0.25">
      <c r="A2217" t="str">
        <f>"20190303170302625"</f>
        <v>20190303170302625</v>
      </c>
      <c r="B2217" t="str">
        <f>"1551603782618268"</f>
        <v>1551603782618268</v>
      </c>
      <c r="C2217" t="s">
        <v>40</v>
      </c>
      <c r="D2217">
        <v>3.9931920000000001</v>
      </c>
      <c r="E2217">
        <v>0.51862259999999905</v>
      </c>
      <c r="F2217" t="s">
        <v>62</v>
      </c>
      <c r="G2217">
        <v>-370.64409999999998</v>
      </c>
      <c r="H2217">
        <v>8.0000210000000002E-2</v>
      </c>
      <c r="I2217">
        <v>294.56630000000001</v>
      </c>
      <c r="J2217">
        <v>-274.12279999999998</v>
      </c>
      <c r="K2217">
        <v>1.120662</v>
      </c>
      <c r="L2217">
        <v>284.49799999999999</v>
      </c>
      <c r="M2217">
        <v>-0.99977839999999996</v>
      </c>
      <c r="N2217">
        <v>-7.2968779999999997E-3</v>
      </c>
      <c r="O2217">
        <v>1.975588E-2</v>
      </c>
      <c r="P2217">
        <v>-0.986205</v>
      </c>
      <c r="Q2217">
        <v>0.15110879999999999</v>
      </c>
      <c r="R2217">
        <v>6.7572939999999998E-2</v>
      </c>
      <c r="S2217">
        <v>-3.02536</v>
      </c>
      <c r="T2217">
        <v>-3.2564160000000002E-2</v>
      </c>
      <c r="U2217">
        <v>0.31515500000000002</v>
      </c>
      <c r="V2217">
        <v>4.8079520000000001E-2</v>
      </c>
      <c r="W2217">
        <v>0.158308</v>
      </c>
      <c r="X2217">
        <v>0.9862185</v>
      </c>
      <c r="Y2217">
        <v>8.393217E-2</v>
      </c>
      <c r="Z2217">
        <v>6.8935589999999998E-4</v>
      </c>
      <c r="AA2217">
        <v>0.9964712</v>
      </c>
      <c r="AB2217">
        <v>32</v>
      </c>
      <c r="AC2217">
        <v>-96.521299999999997</v>
      </c>
      <c r="AD2217">
        <v>-1.0406617899999999</v>
      </c>
      <c r="AE2217">
        <v>10.068300000000001</v>
      </c>
      <c r="AF2217">
        <v>8.1584831132579492</v>
      </c>
      <c r="AG2217">
        <v>-1.0406617899999999</v>
      </c>
      <c r="AH2217">
        <v>96.690255928385298</v>
      </c>
      <c r="AI2217">
        <v>90.614458229532403</v>
      </c>
      <c r="AJ2217">
        <v>85.176949102578803</v>
      </c>
      <c r="AK2217">
        <v>97.039421964308602</v>
      </c>
      <c r="AL2217">
        <v>80.891299847742204</v>
      </c>
      <c r="AM2217">
        <v>87.208961017926498</v>
      </c>
      <c r="AN2217">
        <v>0.99999999642484005</v>
      </c>
    </row>
    <row r="2218" spans="1:40" x14ac:dyDescent="0.25">
      <c r="A2218" t="str">
        <f>"20190303170302636"</f>
        <v>20190303170302636</v>
      </c>
      <c r="B2218" t="str">
        <f>"1551603782628028"</f>
        <v>1551603782628028</v>
      </c>
      <c r="C2218" t="s">
        <v>40</v>
      </c>
      <c r="D2218">
        <v>4.0137150000000004</v>
      </c>
      <c r="E2218">
        <v>0.51877859999999998</v>
      </c>
      <c r="F2218" t="s">
        <v>62</v>
      </c>
      <c r="G2218">
        <v>-369.07119999999998</v>
      </c>
      <c r="H2218">
        <v>8.0001210000000003E-2</v>
      </c>
      <c r="I2218">
        <v>294.48230000000001</v>
      </c>
      <c r="J2218">
        <v>-274.2946</v>
      </c>
      <c r="K2218">
        <v>1.120673</v>
      </c>
      <c r="L2218">
        <v>284.50139999999999</v>
      </c>
      <c r="M2218">
        <v>-0.99977870000000002</v>
      </c>
      <c r="N2218">
        <v>-7.2924239999999996E-3</v>
      </c>
      <c r="O2218">
        <v>1.9734950000000001E-2</v>
      </c>
      <c r="P2218">
        <v>-0.98619060000000003</v>
      </c>
      <c r="Q2218">
        <v>0.1511924</v>
      </c>
      <c r="R2218">
        <v>6.7596719999999999E-2</v>
      </c>
      <c r="S2218">
        <v>-3.0252080000000001</v>
      </c>
      <c r="T2218">
        <v>-3.3157109999999997E-2</v>
      </c>
      <c r="U2218">
        <v>0.31811519999999999</v>
      </c>
      <c r="V2218">
        <v>4.812081E-2</v>
      </c>
      <c r="W2218">
        <v>0.15838859999999999</v>
      </c>
      <c r="X2218">
        <v>0.98620359999999996</v>
      </c>
      <c r="Y2218">
        <v>8.4922319999999996E-2</v>
      </c>
      <c r="Z2218">
        <v>7.0253990000000005E-4</v>
      </c>
      <c r="AA2218">
        <v>0.99638729999999998</v>
      </c>
      <c r="AB2218">
        <v>32</v>
      </c>
      <c r="AC2218">
        <v>-94.776599999999902</v>
      </c>
      <c r="AD2218">
        <v>-1.04067179</v>
      </c>
      <c r="AE2218">
        <v>9.9809000000000196</v>
      </c>
      <c r="AF2218">
        <v>8.1075282065733898</v>
      </c>
      <c r="AG2218">
        <v>-1.04067179</v>
      </c>
      <c r="AH2218">
        <v>94.943797325370298</v>
      </c>
      <c r="AI2218">
        <v>90.625712555529006</v>
      </c>
      <c r="AJ2218">
        <v>85.119186582591396</v>
      </c>
      <c r="AK2218">
        <v>95.295013835750495</v>
      </c>
      <c r="AL2218">
        <v>80.886623298902904</v>
      </c>
      <c r="AM2218">
        <v>87.206525771129193</v>
      </c>
      <c r="AN2218">
        <v>1.0000000508089799</v>
      </c>
    </row>
    <row r="2219" spans="1:40" x14ac:dyDescent="0.25">
      <c r="A2219" t="str">
        <f>"20190303170302657"</f>
        <v>20190303170302657</v>
      </c>
      <c r="B2219" t="str">
        <f>"1551603782647547"</f>
        <v>1551603782647547</v>
      </c>
      <c r="C2219" t="s">
        <v>40</v>
      </c>
      <c r="D2219">
        <v>3.9298709999999999</v>
      </c>
      <c r="E2219">
        <v>0.51879849999999905</v>
      </c>
      <c r="F2219" t="s">
        <v>62</v>
      </c>
      <c r="G2219">
        <v>-369.97590000000002</v>
      </c>
      <c r="H2219">
        <v>8.0000009999999996E-2</v>
      </c>
      <c r="I2219">
        <v>294.61020000000002</v>
      </c>
      <c r="J2219">
        <v>-274.58199999999999</v>
      </c>
      <c r="K2219">
        <v>1.1207039999999999</v>
      </c>
      <c r="L2219">
        <v>284.50700000000001</v>
      </c>
      <c r="M2219">
        <v>-0.99978049999999996</v>
      </c>
      <c r="N2219">
        <v>-7.2909740000000004E-3</v>
      </c>
      <c r="O2219">
        <v>1.964788E-2</v>
      </c>
      <c r="P2219">
        <v>-0.98607880000000003</v>
      </c>
      <c r="Q2219">
        <v>0.15175449999999999</v>
      </c>
      <c r="R2219">
        <v>6.7966639999999995E-2</v>
      </c>
      <c r="S2219">
        <v>-3.0251459999999999</v>
      </c>
      <c r="T2219">
        <v>-3.2902840000000003E-2</v>
      </c>
      <c r="U2219">
        <v>0.31961060000000002</v>
      </c>
      <c r="V2219">
        <v>4.8565839999999999E-2</v>
      </c>
      <c r="W2219">
        <v>0.15895210000000001</v>
      </c>
      <c r="X2219">
        <v>0.9860911</v>
      </c>
      <c r="Y2219">
        <v>8.5498329999999997E-2</v>
      </c>
      <c r="Z2219">
        <v>7.0608740000000002E-4</v>
      </c>
      <c r="AA2219">
        <v>0.9963381</v>
      </c>
      <c r="AB2219">
        <v>32</v>
      </c>
      <c r="AC2219">
        <v>-95.393900000000002</v>
      </c>
      <c r="AD2219">
        <v>-1.0407039899999999</v>
      </c>
      <c r="AE2219">
        <v>10.103199999999999</v>
      </c>
      <c r="AF2219">
        <v>8.2259439276604507</v>
      </c>
      <c r="AG2219">
        <v>-1.0407039899999999</v>
      </c>
      <c r="AH2219">
        <v>95.562748530600899</v>
      </c>
      <c r="AI2219">
        <v>90.621643128712606</v>
      </c>
      <c r="AJ2219">
        <v>85.0801651404376</v>
      </c>
      <c r="AK2219">
        <v>95.921781285684403</v>
      </c>
      <c r="AL2219">
        <v>80.853922713556202</v>
      </c>
      <c r="AM2219">
        <v>87.180411580747801</v>
      </c>
      <c r="AN2219">
        <v>1.0000000342042601</v>
      </c>
    </row>
    <row r="2220" spans="1:40" x14ac:dyDescent="0.25">
      <c r="A2220" t="str">
        <f>"20190303170302669"</f>
        <v>20190303170302669</v>
      </c>
      <c r="B2220" t="str">
        <f>"1551603782658284"</f>
        <v>1551603782658284</v>
      </c>
      <c r="C2220" t="s">
        <v>40</v>
      </c>
      <c r="D2220">
        <v>4.0151250000000003</v>
      </c>
      <c r="E2220">
        <v>0.51892309999999997</v>
      </c>
      <c r="F2220" t="s">
        <v>44</v>
      </c>
      <c r="G2220">
        <v>-387.6936</v>
      </c>
      <c r="H2220">
        <v>-0.05</v>
      </c>
      <c r="I2220">
        <v>296.4941</v>
      </c>
      <c r="J2220">
        <v>-274.74549999999999</v>
      </c>
      <c r="K2220">
        <v>1.1207320000000001</v>
      </c>
      <c r="L2220">
        <v>284.5102</v>
      </c>
      <c r="M2220">
        <v>-0.99978199999999995</v>
      </c>
      <c r="N2220">
        <v>-7.2928259999999996E-3</v>
      </c>
      <c r="O2220">
        <v>1.956865E-2</v>
      </c>
      <c r="P2220">
        <v>-0.9860681</v>
      </c>
      <c r="Q2220">
        <v>0.1516998</v>
      </c>
      <c r="R2220">
        <v>6.8243819999999997E-2</v>
      </c>
      <c r="S2220">
        <v>-3.0250849999999998</v>
      </c>
      <c r="T2220">
        <v>-3.13096E-2</v>
      </c>
      <c r="U2220">
        <v>0.32058720000000002</v>
      </c>
      <c r="V2220">
        <v>4.8911009999999998E-2</v>
      </c>
      <c r="W2220">
        <v>0.15890219999999999</v>
      </c>
      <c r="X2220">
        <v>0.98608200000000001</v>
      </c>
      <c r="Y2220">
        <v>8.589803E-2</v>
      </c>
      <c r="Z2220">
        <v>6.978358E-4</v>
      </c>
      <c r="AA2220">
        <v>0.99630370000000001</v>
      </c>
      <c r="AB2220">
        <v>32</v>
      </c>
      <c r="AC2220">
        <v>-112.9481</v>
      </c>
      <c r="AD2220">
        <v>-1.1707319999999899</v>
      </c>
      <c r="AE2220">
        <v>11.9839</v>
      </c>
      <c r="AF2220">
        <v>9.7702667047972191</v>
      </c>
      <c r="AG2220">
        <v>-1.1707319999999899</v>
      </c>
      <c r="AH2220">
        <v>113.14896487062001</v>
      </c>
      <c r="AI2220">
        <v>90.590610397889193</v>
      </c>
      <c r="AJ2220">
        <v>85.064825003063604</v>
      </c>
      <c r="AK2220">
        <v>113.57604050235</v>
      </c>
      <c r="AL2220">
        <v>80.856817833192196</v>
      </c>
      <c r="AM2220">
        <v>87.160378556464906</v>
      </c>
      <c r="AN2220">
        <v>0.99999995339402803</v>
      </c>
    </row>
    <row r="2221" spans="1:40" x14ac:dyDescent="0.25">
      <c r="A2221" t="str">
        <f>"20190303170302680"</f>
        <v>20190303170302680</v>
      </c>
      <c r="B2221" t="str">
        <f>"1551603782668044"</f>
        <v>1551603782668044</v>
      </c>
      <c r="C2221" t="s">
        <v>40</v>
      </c>
      <c r="D2221">
        <v>3.9671810000000001</v>
      </c>
      <c r="E2221">
        <v>0.51910529999999999</v>
      </c>
      <c r="F2221" t="s">
        <v>44</v>
      </c>
      <c r="G2221">
        <v>-387.79410000000001</v>
      </c>
      <c r="H2221">
        <v>-0.05</v>
      </c>
      <c r="I2221">
        <v>296.55079999999998</v>
      </c>
      <c r="J2221">
        <v>-274.91640000000001</v>
      </c>
      <c r="K2221">
        <v>1.120762</v>
      </c>
      <c r="L2221">
        <v>284.51339999999999</v>
      </c>
      <c r="M2221">
        <v>-0.9997838</v>
      </c>
      <c r="N2221">
        <v>-7.2955110000000002E-3</v>
      </c>
      <c r="O2221">
        <v>1.9469899999999998E-2</v>
      </c>
      <c r="P2221">
        <v>-0.98600750000000004</v>
      </c>
      <c r="Q2221">
        <v>0.1520011</v>
      </c>
      <c r="R2221">
        <v>6.8444699999999997E-2</v>
      </c>
      <c r="S2221">
        <v>-3.0248719999999998</v>
      </c>
      <c r="T2221">
        <v>-3.1325579999999999E-2</v>
      </c>
      <c r="U2221">
        <v>0.32217410000000002</v>
      </c>
      <c r="V2221">
        <v>4.9198459999999999E-2</v>
      </c>
      <c r="W2221">
        <v>0.15921009999999999</v>
      </c>
      <c r="X2221">
        <v>0.98601810000000001</v>
      </c>
      <c r="Y2221">
        <v>8.6520559999999996E-2</v>
      </c>
      <c r="Z2221">
        <v>7.0393429999999904E-4</v>
      </c>
      <c r="AA2221">
        <v>0.99624979999999996</v>
      </c>
      <c r="AB2221">
        <v>32</v>
      </c>
      <c r="AC2221">
        <v>-112.8777</v>
      </c>
      <c r="AD2221">
        <v>-1.1707620000000001</v>
      </c>
      <c r="AE2221">
        <v>12.0373999999999</v>
      </c>
      <c r="AF2221">
        <v>9.8362957703350808</v>
      </c>
      <c r="AG2221">
        <v>-1.1707620000000001</v>
      </c>
      <c r="AH2221">
        <v>113.07864746084699</v>
      </c>
      <c r="AI2221">
        <v>90.590960370790995</v>
      </c>
      <c r="AJ2221">
        <v>85.028564594931197</v>
      </c>
      <c r="AK2221">
        <v>113.511690630158</v>
      </c>
      <c r="AL2221">
        <v>80.838949588944701</v>
      </c>
      <c r="AM2221">
        <v>87.143532858473407</v>
      </c>
      <c r="AN2221">
        <v>1.0000000189679901</v>
      </c>
    </row>
    <row r="2222" spans="1:40" x14ac:dyDescent="0.25">
      <c r="A2222" t="str">
        <f>"20190303170302692"</f>
        <v>20190303170302692</v>
      </c>
      <c r="B2222" t="str">
        <f>"1551603782677804"</f>
        <v>1551603782677804</v>
      </c>
      <c r="C2222" t="s">
        <v>40</v>
      </c>
      <c r="D2222">
        <v>4.0256470000000002</v>
      </c>
      <c r="E2222">
        <v>0.51927690000000004</v>
      </c>
      <c r="F2222" t="s">
        <v>44</v>
      </c>
      <c r="G2222">
        <v>-388.19400000000002</v>
      </c>
      <c r="H2222">
        <v>-0.05</v>
      </c>
      <c r="I2222">
        <v>296.64800000000002</v>
      </c>
      <c r="J2222">
        <v>-275.08640000000003</v>
      </c>
      <c r="K2222">
        <v>1.1207940000000001</v>
      </c>
      <c r="L2222">
        <v>284.51670000000001</v>
      </c>
      <c r="M2222">
        <v>-0.99978610000000001</v>
      </c>
      <c r="N2222">
        <v>-7.299051E-3</v>
      </c>
      <c r="O2222">
        <v>1.9352520000000002E-2</v>
      </c>
      <c r="P2222">
        <v>-0.98598180000000002</v>
      </c>
      <c r="Q2222">
        <v>0.15214359999999999</v>
      </c>
      <c r="R2222">
        <v>6.8503739999999994E-2</v>
      </c>
      <c r="S2222">
        <v>-3.024902</v>
      </c>
      <c r="T2222">
        <v>-3.1263350000000002E-2</v>
      </c>
      <c r="U2222">
        <v>0.32403559999999998</v>
      </c>
      <c r="V2222">
        <v>4.9361299999999997E-2</v>
      </c>
      <c r="W2222">
        <v>0.15935929999999901</v>
      </c>
      <c r="X2222">
        <v>0.98598580000000002</v>
      </c>
      <c r="Y2222">
        <v>8.7242600000000003E-2</v>
      </c>
      <c r="Z2222">
        <v>7.1038149999999903E-4</v>
      </c>
      <c r="AA2222">
        <v>0.99618689999999999</v>
      </c>
      <c r="AB2222">
        <v>32</v>
      </c>
      <c r="AC2222">
        <v>-113.10760000000001</v>
      </c>
      <c r="AD2222">
        <v>-1.1707939999999999</v>
      </c>
      <c r="AE2222">
        <v>12.1312999999999</v>
      </c>
      <c r="AF2222">
        <v>9.9389997862606005</v>
      </c>
      <c r="AG2222">
        <v>-1.1707939999999999</v>
      </c>
      <c r="AH2222">
        <v>113.309191238225</v>
      </c>
      <c r="AI2222">
        <v>90.589736891414702</v>
      </c>
      <c r="AJ2222">
        <v>84.9870884463203</v>
      </c>
      <c r="AK2222">
        <v>113.750284810203</v>
      </c>
      <c r="AL2222">
        <v>80.830289970553693</v>
      </c>
      <c r="AM2222">
        <v>87.134000361029194</v>
      </c>
      <c r="AN2222">
        <v>0.99999996111790901</v>
      </c>
    </row>
    <row r="2223" spans="1:40" x14ac:dyDescent="0.25">
      <c r="A2223" t="str">
        <f>"20190303170302704"</f>
        <v>20190303170302704</v>
      </c>
      <c r="B2223" t="str">
        <f>"1551603782698300"</f>
        <v>1551603782698300</v>
      </c>
      <c r="C2223" t="s">
        <v>40</v>
      </c>
      <c r="D2223">
        <v>3.9913470000000002</v>
      </c>
      <c r="E2223">
        <v>0.5195554</v>
      </c>
      <c r="F2223" t="s">
        <v>44</v>
      </c>
      <c r="G2223">
        <v>-387.9085</v>
      </c>
      <c r="H2223">
        <v>-0.05</v>
      </c>
      <c r="I2223">
        <v>296.66070000000002</v>
      </c>
      <c r="J2223">
        <v>-275.24689999999998</v>
      </c>
      <c r="K2223">
        <v>1.1208320000000001</v>
      </c>
      <c r="L2223">
        <v>284.5197</v>
      </c>
      <c r="M2223">
        <v>-0.99978889999999998</v>
      </c>
      <c r="N2223">
        <v>-7.3030279999999996E-3</v>
      </c>
      <c r="O2223">
        <v>1.9207930000000002E-2</v>
      </c>
      <c r="P2223">
        <v>-0.98597610000000002</v>
      </c>
      <c r="Q2223">
        <v>0.15224219999999999</v>
      </c>
      <c r="R2223">
        <v>6.8366689999999994E-2</v>
      </c>
      <c r="S2223">
        <v>-3.0248409999999999</v>
      </c>
      <c r="T2223">
        <v>-3.1389830000000001E-2</v>
      </c>
      <c r="U2223">
        <v>0.32559199999999999</v>
      </c>
      <c r="V2223">
        <v>4.9353420000000002E-2</v>
      </c>
      <c r="W2223">
        <v>0.1594661</v>
      </c>
      <c r="X2223">
        <v>0.98596890000000004</v>
      </c>
      <c r="Y2223">
        <v>8.7895390000000004E-2</v>
      </c>
      <c r="Z2223">
        <v>7.1785740000000005E-4</v>
      </c>
      <c r="AA2223">
        <v>0.9961295</v>
      </c>
      <c r="AB2223">
        <v>32</v>
      </c>
      <c r="AC2223">
        <v>-112.66160000000001</v>
      </c>
      <c r="AD2223">
        <v>-1.1708319999999901</v>
      </c>
      <c r="AE2223">
        <v>12.141</v>
      </c>
      <c r="AF2223">
        <v>9.9736414724600095</v>
      </c>
      <c r="AG2223">
        <v>-1.1708319999999901</v>
      </c>
      <c r="AH2223">
        <v>112.861974177316</v>
      </c>
      <c r="AI2223">
        <v>90.592058927223107</v>
      </c>
      <c r="AJ2223">
        <v>84.9498760526604</v>
      </c>
      <c r="AK2223">
        <v>113.307853156763</v>
      </c>
      <c r="AL2223">
        <v>80.824091268493504</v>
      </c>
      <c r="AM2223">
        <v>87.1344080894131</v>
      </c>
      <c r="AN2223">
        <v>0.99999993444105595</v>
      </c>
    </row>
    <row r="2224" spans="1:40" x14ac:dyDescent="0.25">
      <c r="A2224" t="str">
        <f>"20190303170302716"</f>
        <v>20190303170302716</v>
      </c>
      <c r="B2224" t="str">
        <f>"1551603782708060"</f>
        <v>1551603782708060</v>
      </c>
      <c r="C2224" t="s">
        <v>40</v>
      </c>
      <c r="D2224">
        <v>4.0223409999999999</v>
      </c>
      <c r="E2224">
        <v>0.51963800000000004</v>
      </c>
      <c r="F2224" t="s">
        <v>44</v>
      </c>
      <c r="G2224">
        <v>-385.2799</v>
      </c>
      <c r="H2224">
        <v>-0.05</v>
      </c>
      <c r="I2224">
        <v>296.41520000000003</v>
      </c>
      <c r="J2224">
        <v>-275.42599999999999</v>
      </c>
      <c r="K2224">
        <v>1.1208720000000001</v>
      </c>
      <c r="L2224">
        <v>284.52289999999999</v>
      </c>
      <c r="M2224">
        <v>-0.99979220000000002</v>
      </c>
      <c r="N2224">
        <v>-7.3079850000000003E-3</v>
      </c>
      <c r="O2224">
        <v>1.9030390000000001E-2</v>
      </c>
      <c r="P2224">
        <v>-0.98603549999999995</v>
      </c>
      <c r="Q2224">
        <v>0.152088</v>
      </c>
      <c r="R2224">
        <v>6.7847569999999996E-2</v>
      </c>
      <c r="S2224">
        <v>-3.0249630000000001</v>
      </c>
      <c r="T2224">
        <v>-3.2187819999999999E-2</v>
      </c>
      <c r="U2224">
        <v>0.32702639999999999</v>
      </c>
      <c r="V2224">
        <v>4.8992569999999999E-2</v>
      </c>
      <c r="W2224">
        <v>0.15932209999999999</v>
      </c>
      <c r="X2224">
        <v>0.98601030000000001</v>
      </c>
      <c r="Y2224">
        <v>8.853453E-2</v>
      </c>
      <c r="Z2224">
        <v>7.309886E-4</v>
      </c>
      <c r="AA2224">
        <v>0.99607279999999998</v>
      </c>
      <c r="AB2224">
        <v>32</v>
      </c>
      <c r="AC2224">
        <v>-109.8539</v>
      </c>
      <c r="AD2224">
        <v>-1.1708719999999999</v>
      </c>
      <c r="AE2224">
        <v>11.892300000000001</v>
      </c>
      <c r="AF2224">
        <v>9.7984276442597995</v>
      </c>
      <c r="AG2224">
        <v>-1.1708719999999999</v>
      </c>
      <c r="AH2224">
        <v>110.047969265521</v>
      </c>
      <c r="AI2224">
        <v>90.607182248037503</v>
      </c>
      <c r="AJ2224">
        <v>84.911927898244997</v>
      </c>
      <c r="AK2224">
        <v>110.489527399683</v>
      </c>
      <c r="AL2224">
        <v>80.832449849594795</v>
      </c>
      <c r="AM2224">
        <v>87.155444711698195</v>
      </c>
      <c r="AN2224">
        <v>1.00000005758485</v>
      </c>
    </row>
    <row r="2225" spans="1:40" x14ac:dyDescent="0.25">
      <c r="A2225" t="str">
        <f>"20190303170302728"</f>
        <v>20190303170302728</v>
      </c>
      <c r="B2225" t="str">
        <f>"1551603782717491"</f>
        <v>1551603782717491</v>
      </c>
      <c r="C2225" t="s">
        <v>40</v>
      </c>
      <c r="D2225">
        <v>4.0223800000000001</v>
      </c>
      <c r="E2225">
        <v>0.51975939999999998</v>
      </c>
      <c r="F2225" t="s">
        <v>44</v>
      </c>
      <c r="G2225">
        <v>-384.53800000000001</v>
      </c>
      <c r="H2225">
        <v>-0.05</v>
      </c>
      <c r="I2225">
        <v>296.2878</v>
      </c>
      <c r="J2225">
        <v>-275.59829999999999</v>
      </c>
      <c r="K2225">
        <v>1.1209129999999901</v>
      </c>
      <c r="L2225">
        <v>284.52600000000001</v>
      </c>
      <c r="M2225">
        <v>-0.99979629999999997</v>
      </c>
      <c r="N2225">
        <v>-7.3156269999999999E-3</v>
      </c>
      <c r="O2225">
        <v>1.8813409999999999E-2</v>
      </c>
      <c r="P2225">
        <v>-0.98612949999999999</v>
      </c>
      <c r="Q2225">
        <v>0.15175079999999999</v>
      </c>
      <c r="R2225">
        <v>6.7231860000000004E-2</v>
      </c>
      <c r="S2225">
        <v>-3.025055</v>
      </c>
      <c r="T2225">
        <v>-3.246164E-2</v>
      </c>
      <c r="U2225">
        <v>0.32617190000000001</v>
      </c>
      <c r="V2225">
        <v>4.8572990000000003E-2</v>
      </c>
      <c r="W2225">
        <v>0.15899779999999999</v>
      </c>
      <c r="X2225">
        <v>0.9860833</v>
      </c>
      <c r="Y2225">
        <v>8.8469240000000005E-2</v>
      </c>
      <c r="Z2225">
        <v>7.3389159999999996E-4</v>
      </c>
      <c r="AA2225">
        <v>0.99607860000000004</v>
      </c>
      <c r="AB2225">
        <v>32</v>
      </c>
      <c r="AC2225">
        <v>-108.9397</v>
      </c>
      <c r="AD2225">
        <v>-1.1709130000000001</v>
      </c>
      <c r="AE2225">
        <v>11.7617999999999</v>
      </c>
      <c r="AF2225">
        <v>9.7090274987041294</v>
      </c>
      <c r="AG2225">
        <v>-1.1709130000000001</v>
      </c>
      <c r="AH2225">
        <v>109.12924152340599</v>
      </c>
      <c r="AI2225">
        <v>90.612318756866401</v>
      </c>
      <c r="AJ2225">
        <v>84.915886044328602</v>
      </c>
      <c r="AK2225">
        <v>109.566544198939</v>
      </c>
      <c r="AL2225">
        <v>80.851269838724505</v>
      </c>
      <c r="AM2225">
        <v>87.179974872547106</v>
      </c>
      <c r="AN2225">
        <v>0.999999955150633</v>
      </c>
    </row>
    <row r="2226" spans="1:40" x14ac:dyDescent="0.25">
      <c r="A2226" t="str">
        <f>"20190303170302739"</f>
        <v>20190303170302739</v>
      </c>
      <c r="B2226" t="str">
        <f>"1551603782728228"</f>
        <v>1551603782728228</v>
      </c>
      <c r="C2226" t="s">
        <v>40</v>
      </c>
      <c r="D2226">
        <v>3.992089</v>
      </c>
      <c r="E2226">
        <v>0.51978610000000003</v>
      </c>
      <c r="F2226" t="s">
        <v>44</v>
      </c>
      <c r="G2226">
        <v>-381.85399999999998</v>
      </c>
      <c r="H2226">
        <v>-0.05</v>
      </c>
      <c r="I2226">
        <v>295.96010000000001</v>
      </c>
      <c r="J2226">
        <v>-275.76429999999999</v>
      </c>
      <c r="K2226">
        <v>1.120954</v>
      </c>
      <c r="L2226">
        <v>284.529</v>
      </c>
      <c r="M2226">
        <v>-0.99980060000000004</v>
      </c>
      <c r="N2226">
        <v>-7.3239200000000003E-3</v>
      </c>
      <c r="O2226">
        <v>1.858601E-2</v>
      </c>
      <c r="P2226">
        <v>-0.98627790000000004</v>
      </c>
      <c r="Q2226">
        <v>0.1512529</v>
      </c>
      <c r="R2226">
        <v>6.6172120000000001E-2</v>
      </c>
      <c r="S2226">
        <v>-3.0251160000000001</v>
      </c>
      <c r="T2226">
        <v>-3.3336039999999997E-2</v>
      </c>
      <c r="U2226">
        <v>0.32553100000000001</v>
      </c>
      <c r="V2226">
        <v>4.7720119999999998E-2</v>
      </c>
      <c r="W2226">
        <v>0.1585134</v>
      </c>
      <c r="X2226">
        <v>0.98620300000000005</v>
      </c>
      <c r="Y2226">
        <v>8.8484699999999999E-2</v>
      </c>
      <c r="Z2226">
        <v>7.4271579999999997E-4</v>
      </c>
      <c r="AA2226">
        <v>0.9960772</v>
      </c>
      <c r="AB2226">
        <v>32</v>
      </c>
      <c r="AC2226">
        <v>-106.08969999999999</v>
      </c>
      <c r="AD2226">
        <v>-1.1709540000000001</v>
      </c>
      <c r="AE2226">
        <v>11.431100000000001</v>
      </c>
      <c r="AF2226">
        <v>9.4561497844858202</v>
      </c>
      <c r="AG2226">
        <v>-1.1709540000000001</v>
      </c>
      <c r="AH2226">
        <v>106.271040049929</v>
      </c>
      <c r="AI2226">
        <v>90.628807284412602</v>
      </c>
      <c r="AJ2226">
        <v>84.915131173328504</v>
      </c>
      <c r="AK2226">
        <v>106.69734699284</v>
      </c>
      <c r="AL2226">
        <v>80.879381128404006</v>
      </c>
      <c r="AM2226">
        <v>87.229748266582604</v>
      </c>
      <c r="AN2226">
        <v>1.0000000325206799</v>
      </c>
    </row>
    <row r="2227" spans="1:40" x14ac:dyDescent="0.25">
      <c r="A2227" t="str">
        <f>"20190303170302758"</f>
        <v>20190303170302758</v>
      </c>
      <c r="B2227" t="str">
        <f>"1551603782747747"</f>
        <v>1551603782747747</v>
      </c>
      <c r="C2227" t="s">
        <v>40</v>
      </c>
      <c r="D2227">
        <v>4.008724</v>
      </c>
      <c r="E2227">
        <v>0.51995340000000001</v>
      </c>
      <c r="F2227" t="s">
        <v>62</v>
      </c>
      <c r="G2227">
        <v>-365.19729999999998</v>
      </c>
      <c r="H2227">
        <v>8.0000070000000006E-2</v>
      </c>
      <c r="I2227">
        <v>294.07040000000001</v>
      </c>
      <c r="J2227">
        <v>-276.01769999999999</v>
      </c>
      <c r="K2227">
        <v>1.12101299999999</v>
      </c>
      <c r="L2227">
        <v>284.5333</v>
      </c>
      <c r="M2227">
        <v>-0.99980769999999997</v>
      </c>
      <c r="N2227">
        <v>-7.338766E-3</v>
      </c>
      <c r="O2227">
        <v>1.8191860000000001E-2</v>
      </c>
      <c r="P2227">
        <v>-0.98644240000000005</v>
      </c>
      <c r="Q2227">
        <v>0.15091019999999999</v>
      </c>
      <c r="R2227">
        <v>6.4481570000000002E-2</v>
      </c>
      <c r="S2227">
        <v>-3.0254819999999998</v>
      </c>
      <c r="T2227">
        <v>-3.521502E-2</v>
      </c>
      <c r="U2227">
        <v>0.32278440000000003</v>
      </c>
      <c r="V2227">
        <v>4.6393289999999997E-2</v>
      </c>
      <c r="W2227">
        <v>0.15819179999999999</v>
      </c>
      <c r="X2227">
        <v>0.98631789999999997</v>
      </c>
      <c r="Y2227">
        <v>8.7969820000000004E-2</v>
      </c>
      <c r="Z2227">
        <v>7.5631419999999997E-4</v>
      </c>
      <c r="AA2227">
        <v>0.99612279999999997</v>
      </c>
      <c r="AB2227">
        <v>32</v>
      </c>
      <c r="AC2227">
        <v>-89.179599999999994</v>
      </c>
      <c r="AD2227">
        <v>-1.04101292999999</v>
      </c>
      <c r="AE2227">
        <v>9.5371000000000095</v>
      </c>
      <c r="AF2227">
        <v>7.91206942909551</v>
      </c>
      <c r="AG2227">
        <v>-1.04101292999999</v>
      </c>
      <c r="AH2227">
        <v>89.326309181570593</v>
      </c>
      <c r="AI2227">
        <v>90.665093763160797</v>
      </c>
      <c r="AJ2227">
        <v>84.938241506321603</v>
      </c>
      <c r="AK2227">
        <v>89.682072135810898</v>
      </c>
      <c r="AL2227">
        <v>80.898042535812294</v>
      </c>
      <c r="AM2227">
        <v>87.306971752777201</v>
      </c>
      <c r="AN2227">
        <v>0.99999999140233697</v>
      </c>
    </row>
    <row r="2228" spans="1:40" x14ac:dyDescent="0.25">
      <c r="A2228" t="str">
        <f>"20190303170302772"</f>
        <v>20190303170302772</v>
      </c>
      <c r="B2228" t="str">
        <f>"1551603782757507"</f>
        <v>1551603782757507</v>
      </c>
      <c r="C2228" t="s">
        <v>40</v>
      </c>
      <c r="D2228">
        <v>4.022475</v>
      </c>
      <c r="E2228">
        <v>0.52004119999999998</v>
      </c>
      <c r="F2228" t="s">
        <v>62</v>
      </c>
      <c r="G2228">
        <v>-362.18259999999998</v>
      </c>
      <c r="H2228">
        <v>8.0000660000000001E-2</v>
      </c>
      <c r="I2228">
        <v>293.62630000000001</v>
      </c>
      <c r="J2228">
        <v>-276.23590000000002</v>
      </c>
      <c r="K2228">
        <v>1.121057</v>
      </c>
      <c r="L2228">
        <v>284.5369</v>
      </c>
      <c r="M2228">
        <v>-0.99981450000000005</v>
      </c>
      <c r="N2228">
        <v>-7.3525600000000002E-3</v>
      </c>
      <c r="O2228">
        <v>1.780957E-2</v>
      </c>
      <c r="P2228">
        <v>-0.98643760000000003</v>
      </c>
      <c r="Q2228">
        <v>0.1512665</v>
      </c>
      <c r="R2228">
        <v>6.3717190000000007E-2</v>
      </c>
      <c r="S2228">
        <v>-3.0260009999999999</v>
      </c>
      <c r="T2228">
        <v>-3.655899E-2</v>
      </c>
      <c r="U2228">
        <v>0.31933590000000001</v>
      </c>
      <c r="V2228">
        <v>4.5988279999999999E-2</v>
      </c>
      <c r="W2228">
        <v>0.1585665</v>
      </c>
      <c r="X2228">
        <v>0.98627670000000001</v>
      </c>
      <c r="Y2228">
        <v>8.7209620000000002E-2</v>
      </c>
      <c r="Z2228">
        <v>7.6296969999999997E-4</v>
      </c>
      <c r="AA2228">
        <v>0.99618969999999996</v>
      </c>
      <c r="AB2228">
        <v>32</v>
      </c>
      <c r="AC2228">
        <v>-85.946699999999893</v>
      </c>
      <c r="AD2228">
        <v>-1.0410563399999999</v>
      </c>
      <c r="AE2228">
        <v>9.0894000000000101</v>
      </c>
      <c r="AF2228">
        <v>7.5561470040870802</v>
      </c>
      <c r="AG2228">
        <v>-1.0410563399999999</v>
      </c>
      <c r="AH2228">
        <v>86.0824601807725</v>
      </c>
      <c r="AI2228">
        <v>90.690231036227502</v>
      </c>
      <c r="AJ2228">
        <v>84.983548043740697</v>
      </c>
      <c r="AK2228">
        <v>86.419726374391502</v>
      </c>
      <c r="AL2228">
        <v>80.876299386433899</v>
      </c>
      <c r="AM2228">
        <v>87.330336177005506</v>
      </c>
      <c r="AN2228">
        <v>0.99999999289124897</v>
      </c>
    </row>
    <row r="2229" spans="1:40" x14ac:dyDescent="0.25">
      <c r="A2229" t="str">
        <f>"20190303170302790"</f>
        <v>20190303170302790</v>
      </c>
      <c r="B2229" t="str">
        <f>"1551603782778003"</f>
        <v>1551603782778003</v>
      </c>
      <c r="C2229" t="s">
        <v>40</v>
      </c>
      <c r="D2229">
        <v>4.0405069999999998</v>
      </c>
      <c r="E2229">
        <v>0.52025100000000002</v>
      </c>
      <c r="F2229" t="s">
        <v>62</v>
      </c>
      <c r="G2229">
        <v>-364.7801</v>
      </c>
      <c r="H2229">
        <v>8.0001420000000004E-2</v>
      </c>
      <c r="I2229">
        <v>293.82960000000003</v>
      </c>
      <c r="J2229">
        <v>-276.49329999999998</v>
      </c>
      <c r="K2229">
        <v>1.1211120000000001</v>
      </c>
      <c r="L2229">
        <v>284.541</v>
      </c>
      <c r="M2229">
        <v>-0.99982289999999996</v>
      </c>
      <c r="N2229">
        <v>-7.3689999999999997E-3</v>
      </c>
      <c r="O2229">
        <v>1.7320459999999999E-2</v>
      </c>
      <c r="P2229">
        <v>-0.98642529999999995</v>
      </c>
      <c r="Q2229">
        <v>0.15183529999999901</v>
      </c>
      <c r="R2229">
        <v>6.2538709999999997E-2</v>
      </c>
      <c r="S2229">
        <v>-3.0261840000000002</v>
      </c>
      <c r="T2229">
        <v>-3.5580279999999999E-2</v>
      </c>
      <c r="U2229">
        <v>0.3175964</v>
      </c>
      <c r="V2229">
        <v>4.5274740000000001E-2</v>
      </c>
      <c r="W2229">
        <v>0.15915550000000001</v>
      </c>
      <c r="X2229">
        <v>0.98621490000000001</v>
      </c>
      <c r="Y2229">
        <v>8.7124709999999994E-2</v>
      </c>
      <c r="Z2229">
        <v>7.5696770000000001E-4</v>
      </c>
      <c r="AA2229">
        <v>0.99619709999999995</v>
      </c>
      <c r="AB2229">
        <v>32</v>
      </c>
      <c r="AC2229">
        <v>-88.286799999999999</v>
      </c>
      <c r="AD2229">
        <v>-1.04111058</v>
      </c>
      <c r="AE2229">
        <v>9.2886000000000202</v>
      </c>
      <c r="AF2229">
        <v>7.7569302609901403</v>
      </c>
      <c r="AG2229">
        <v>-1.04111058</v>
      </c>
      <c r="AH2229">
        <v>88.422281138862999</v>
      </c>
      <c r="AI2229">
        <v>90.672005965884793</v>
      </c>
      <c r="AJ2229">
        <v>84.986506978895505</v>
      </c>
      <c r="AK2229">
        <v>88.767976658893005</v>
      </c>
      <c r="AL2229">
        <v>80.8421186490623</v>
      </c>
      <c r="AM2229">
        <v>87.371534849976101</v>
      </c>
      <c r="AN2229">
        <v>1.0000000521221599</v>
      </c>
    </row>
    <row r="2230" spans="1:40" x14ac:dyDescent="0.25">
      <c r="A2230" t="str">
        <f>"20190303170302804"</f>
        <v>20190303170302804</v>
      </c>
      <c r="B2230" t="str">
        <f>"1551603782797523"</f>
        <v>1551603782797523</v>
      </c>
      <c r="C2230" t="s">
        <v>40</v>
      </c>
      <c r="D2230">
        <v>4.0251199999999896</v>
      </c>
      <c r="E2230">
        <v>0.52052810000000005</v>
      </c>
      <c r="F2230" t="s">
        <v>62</v>
      </c>
      <c r="G2230">
        <v>-366.04250000000002</v>
      </c>
      <c r="H2230">
        <v>8.000032E-2</v>
      </c>
      <c r="I2230">
        <v>293.8861</v>
      </c>
      <c r="J2230">
        <v>-276.69459999999998</v>
      </c>
      <c r="K2230">
        <v>1.1211390000000001</v>
      </c>
      <c r="L2230">
        <v>284.54419999999999</v>
      </c>
      <c r="M2230">
        <v>-0.99982979999999999</v>
      </c>
      <c r="N2230">
        <v>-7.3816730000000001E-3</v>
      </c>
      <c r="O2230">
        <v>1.6916469999999999E-2</v>
      </c>
      <c r="P2230">
        <v>-0.9864269</v>
      </c>
      <c r="Q2230">
        <v>0.15209819999999999</v>
      </c>
      <c r="R2230">
        <v>6.1874749999999999E-2</v>
      </c>
      <c r="S2230">
        <v>-3.0267029999999999</v>
      </c>
      <c r="T2230">
        <v>-3.5188909999999997E-2</v>
      </c>
      <c r="U2230">
        <v>0.3158569</v>
      </c>
      <c r="V2230">
        <v>4.4998419999999997E-2</v>
      </c>
      <c r="W2230">
        <v>0.15943370000000001</v>
      </c>
      <c r="X2230">
        <v>0.98618260000000002</v>
      </c>
      <c r="Y2230">
        <v>8.6943339999999994E-2</v>
      </c>
      <c r="Z2230">
        <v>7.5428910000000004E-4</v>
      </c>
      <c r="AA2230">
        <v>0.99621300000000002</v>
      </c>
      <c r="AB2230">
        <v>32</v>
      </c>
      <c r="AC2230">
        <v>-89.347899999999996</v>
      </c>
      <c r="AD2230">
        <v>-1.04113868</v>
      </c>
      <c r="AE2230">
        <v>9.3419000000000096</v>
      </c>
      <c r="AF2230">
        <v>7.8280197000983804</v>
      </c>
      <c r="AG2230">
        <v>-1.04113868</v>
      </c>
      <c r="AH2230">
        <v>89.481131725056201</v>
      </c>
      <c r="AI2230">
        <v>90.664086667864595</v>
      </c>
      <c r="AJ2230">
        <v>85.000358980526201</v>
      </c>
      <c r="AK2230">
        <v>89.828919602614505</v>
      </c>
      <c r="AL2230">
        <v>80.825972701036505</v>
      </c>
      <c r="AM2230">
        <v>87.387469113929001</v>
      </c>
      <c r="AN2230">
        <v>1.00000004152047</v>
      </c>
    </row>
    <row r="2231" spans="1:40" x14ac:dyDescent="0.25">
      <c r="A2231" t="str">
        <f>"20190303170302817"</f>
        <v>20190303170302817</v>
      </c>
      <c r="B2231" t="str">
        <f>"1551603782808259"</f>
        <v>1551603782808259</v>
      </c>
      <c r="C2231" t="s">
        <v>40</v>
      </c>
      <c r="D2231">
        <v>4.0311059999999896</v>
      </c>
      <c r="E2231">
        <v>0.52062980000000003</v>
      </c>
      <c r="F2231" t="s">
        <v>62</v>
      </c>
      <c r="G2231">
        <v>-367.5213</v>
      </c>
      <c r="H2231">
        <v>8.0000760000000004E-2</v>
      </c>
      <c r="I2231">
        <v>294.02969999999999</v>
      </c>
      <c r="J2231">
        <v>-276.87360000000001</v>
      </c>
      <c r="K2231">
        <v>1.121165</v>
      </c>
      <c r="L2231">
        <v>284.54689999999999</v>
      </c>
      <c r="M2231">
        <v>-0.99983580000000005</v>
      </c>
      <c r="N2231">
        <v>-7.3927990000000002E-3</v>
      </c>
      <c r="O2231">
        <v>1.654808E-2</v>
      </c>
      <c r="P2231">
        <v>-0.98648519999999895</v>
      </c>
      <c r="Q2231">
        <v>0.152003</v>
      </c>
      <c r="R2231">
        <v>6.1175109999999998E-2</v>
      </c>
      <c r="S2231">
        <v>-3.026764</v>
      </c>
      <c r="T2231">
        <v>-3.4695509999999999E-2</v>
      </c>
      <c r="U2231">
        <v>0.31610110000000002</v>
      </c>
      <c r="V2231">
        <v>4.4653230000000002E-2</v>
      </c>
      <c r="W2231">
        <v>0.1593513</v>
      </c>
      <c r="X2231">
        <v>0.98621150000000002</v>
      </c>
      <c r="Y2231">
        <v>8.7387930000000003E-2</v>
      </c>
      <c r="Z2231">
        <v>7.5631829999999996E-4</v>
      </c>
      <c r="AA2231">
        <v>0.99617409999999995</v>
      </c>
      <c r="AB2231">
        <v>32</v>
      </c>
      <c r="AC2231">
        <v>-90.6477</v>
      </c>
      <c r="AD2231">
        <v>-1.0411642400000001</v>
      </c>
      <c r="AE2231">
        <v>9.4827999999999903</v>
      </c>
      <c r="AF2231">
        <v>7.9803737566414696</v>
      </c>
      <c r="AG2231">
        <v>-1.0411642400000001</v>
      </c>
      <c r="AH2231">
        <v>90.780366953399707</v>
      </c>
      <c r="AI2231">
        <v>90.6545749800528</v>
      </c>
      <c r="AJ2231">
        <v>84.976123809172094</v>
      </c>
      <c r="AK2231">
        <v>91.136411013734005</v>
      </c>
      <c r="AL2231">
        <v>80.830754030686705</v>
      </c>
      <c r="AM2231">
        <v>87.407558670591101</v>
      </c>
      <c r="AN2231">
        <v>0.99999993524668396</v>
      </c>
    </row>
    <row r="2232" spans="1:40" x14ac:dyDescent="0.25">
      <c r="A2232" t="str">
        <f>"20190303170302829"</f>
        <v>20190303170302829</v>
      </c>
      <c r="B2232" t="str">
        <f>"1551603782817553"</f>
        <v>1551603782817553</v>
      </c>
      <c r="C2232" t="s">
        <v>40</v>
      </c>
      <c r="D2232">
        <v>4.1121549999999996</v>
      </c>
      <c r="E2232">
        <v>0.52078749999999996</v>
      </c>
      <c r="F2232" t="s">
        <v>62</v>
      </c>
      <c r="G2232">
        <v>-366.40440000000001</v>
      </c>
      <c r="H2232">
        <v>8.0000429999999997E-2</v>
      </c>
      <c r="I2232">
        <v>293.8621</v>
      </c>
      <c r="J2232">
        <v>-277.05560000000003</v>
      </c>
      <c r="K2232">
        <v>1.121181</v>
      </c>
      <c r="L2232">
        <v>284.5496</v>
      </c>
      <c r="M2232">
        <v>-0.99984220000000001</v>
      </c>
      <c r="N2232">
        <v>-7.4038250000000002E-3</v>
      </c>
      <c r="O2232">
        <v>1.6161620000000002E-2</v>
      </c>
      <c r="P2232">
        <v>-0.98651129999999998</v>
      </c>
      <c r="Q2232">
        <v>0.15211810000000001</v>
      </c>
      <c r="R2232">
        <v>6.0463290000000003E-2</v>
      </c>
      <c r="S2232">
        <v>-3.0269780000000002</v>
      </c>
      <c r="T2232">
        <v>-3.5201070000000001E-2</v>
      </c>
      <c r="U2232">
        <v>0.31494139999999998</v>
      </c>
      <c r="V2232">
        <v>4.4315790000000001E-2</v>
      </c>
      <c r="W2232">
        <v>0.15947890000000001</v>
      </c>
      <c r="X2232">
        <v>0.98620620000000003</v>
      </c>
      <c r="Y2232">
        <v>8.7387969999999995E-2</v>
      </c>
      <c r="Z2232">
        <v>7.6311059999999999E-4</v>
      </c>
      <c r="AA2232">
        <v>0.996174</v>
      </c>
      <c r="AB2232">
        <v>32</v>
      </c>
      <c r="AC2232">
        <v>-89.348799999999898</v>
      </c>
      <c r="AD2232">
        <v>-1.0411805700000001</v>
      </c>
      <c r="AE2232">
        <v>9.3125</v>
      </c>
      <c r="AF2232">
        <v>7.8661663511622102</v>
      </c>
      <c r="AG2232">
        <v>-1.0411805700000001</v>
      </c>
      <c r="AH2232">
        <v>89.475619402507505</v>
      </c>
      <c r="AI2232">
        <v>90.664129343943003</v>
      </c>
      <c r="AJ2232">
        <v>84.975811739797095</v>
      </c>
      <c r="AK2232">
        <v>89.826761588659494</v>
      </c>
      <c r="AL2232">
        <v>80.823349341628003</v>
      </c>
      <c r="AM2232">
        <v>87.427109256787602</v>
      </c>
      <c r="AN2232">
        <v>1.00000003885348</v>
      </c>
    </row>
    <row r="2233" spans="1:40" x14ac:dyDescent="0.25">
      <c r="A2233" t="str">
        <f>"20190303170302845"</f>
        <v>20190303170302845</v>
      </c>
      <c r="B2233" t="str">
        <f>"1551603782838048"</f>
        <v>1551603782838048</v>
      </c>
      <c r="C2233" t="s">
        <v>40</v>
      </c>
      <c r="D2233">
        <v>4.0694710000000001</v>
      </c>
      <c r="E2233">
        <v>0.52105170000000001</v>
      </c>
      <c r="F2233" t="s">
        <v>62</v>
      </c>
      <c r="G2233">
        <v>-368.32119999999998</v>
      </c>
      <c r="H2233">
        <v>8.0001000000000003E-2</v>
      </c>
      <c r="I2233">
        <v>294.02569999999997</v>
      </c>
      <c r="J2233">
        <v>-277.30040000000002</v>
      </c>
      <c r="K2233">
        <v>1.1212009999999999</v>
      </c>
      <c r="L2233">
        <v>284.553</v>
      </c>
      <c r="M2233">
        <v>-0.99985029999999997</v>
      </c>
      <c r="N2233">
        <v>-7.4185769999999896E-3</v>
      </c>
      <c r="O2233">
        <v>1.5634769999999999E-2</v>
      </c>
      <c r="P2233">
        <v>-0.98659960000000002</v>
      </c>
      <c r="Q2233">
        <v>0.15196899999999999</v>
      </c>
      <c r="R2233">
        <v>5.9385159999999999E-2</v>
      </c>
      <c r="S2233">
        <v>-3.027069</v>
      </c>
      <c r="T2233">
        <v>-3.4533499999999898E-2</v>
      </c>
      <c r="U2233">
        <v>0.31430049999999998</v>
      </c>
      <c r="V2233">
        <v>4.3749919999999998E-2</v>
      </c>
      <c r="W2233">
        <v>0.15934570000000001</v>
      </c>
      <c r="X2233">
        <v>0.98625300000000005</v>
      </c>
      <c r="Y2233">
        <v>8.7701349999999997E-2</v>
      </c>
      <c r="Z2233">
        <v>7.6296939999999998E-4</v>
      </c>
      <c r="AA2233">
        <v>0.99614650000000005</v>
      </c>
      <c r="AB2233">
        <v>32</v>
      </c>
      <c r="AC2233">
        <v>-91.020799999999895</v>
      </c>
      <c r="AD2233">
        <v>-1.0411999999999999</v>
      </c>
      <c r="AE2233">
        <v>9.4726999999999695</v>
      </c>
      <c r="AF2233">
        <v>8.0473719748292005</v>
      </c>
      <c r="AG2233">
        <v>-1.0411999999999999</v>
      </c>
      <c r="AH2233">
        <v>91.145982403458405</v>
      </c>
      <c r="AI2233">
        <v>90.651950094135202</v>
      </c>
      <c r="AJ2233">
        <v>84.954380617346203</v>
      </c>
      <c r="AK2233">
        <v>91.506471910094007</v>
      </c>
      <c r="AL2233">
        <v>80.831080043895</v>
      </c>
      <c r="AM2233">
        <v>87.460039663677506</v>
      </c>
      <c r="AN2233">
        <v>1.00000004380874</v>
      </c>
    </row>
    <row r="2234" spans="1:40" x14ac:dyDescent="0.25">
      <c r="A2234" t="str">
        <f>"20190303170302859"</f>
        <v>20190303170302859</v>
      </c>
      <c r="B2234" t="str">
        <f>"1551603782847808"</f>
        <v>1551603782847808</v>
      </c>
      <c r="C2234" t="s">
        <v>40</v>
      </c>
      <c r="D2234">
        <v>4.0484400000000003</v>
      </c>
      <c r="E2234">
        <v>0.52114890000000003</v>
      </c>
      <c r="F2234" t="s">
        <v>62</v>
      </c>
      <c r="G2234">
        <v>-365.6463</v>
      </c>
      <c r="H2234">
        <v>8.0000210000000002E-2</v>
      </c>
      <c r="I2234">
        <v>293.7054</v>
      </c>
      <c r="J2234">
        <v>-277.49189999999999</v>
      </c>
      <c r="K2234">
        <v>1.12121</v>
      </c>
      <c r="L2234">
        <v>284.5557</v>
      </c>
      <c r="M2234">
        <v>-0.99985670000000004</v>
      </c>
      <c r="N2234">
        <v>-7.4299379999999996E-3</v>
      </c>
      <c r="O2234">
        <v>1.5218560000000001E-2</v>
      </c>
      <c r="P2234">
        <v>-0.98661849999999995</v>
      </c>
      <c r="Q2234">
        <v>0.1519201</v>
      </c>
      <c r="R2234">
        <v>5.9196899999999997E-2</v>
      </c>
      <c r="S2234">
        <v>-3.027374</v>
      </c>
      <c r="T2234">
        <v>-3.5679099999999998E-2</v>
      </c>
      <c r="U2234">
        <v>0.3136292</v>
      </c>
      <c r="V2234">
        <v>4.3967930000000002E-2</v>
      </c>
      <c r="W2234">
        <v>0.15930939999999999</v>
      </c>
      <c r="X2234">
        <v>0.98624909999999999</v>
      </c>
      <c r="Y2234">
        <v>8.7886619999999999E-2</v>
      </c>
      <c r="Z2234">
        <v>7.7784779999999997E-4</v>
      </c>
      <c r="AA2234">
        <v>0.99613019999999997</v>
      </c>
      <c r="AB2234">
        <v>32</v>
      </c>
      <c r="AC2234">
        <v>-88.154399999999995</v>
      </c>
      <c r="AD2234">
        <v>-1.0412097899999999</v>
      </c>
      <c r="AE2234">
        <v>9.1496999999999904</v>
      </c>
      <c r="AF2234">
        <v>7.8059430615507299</v>
      </c>
      <c r="AG2234">
        <v>-1.0412097899999999</v>
      </c>
      <c r="AH2234">
        <v>88.271256451441801</v>
      </c>
      <c r="AI2234">
        <v>90.673178249364199</v>
      </c>
      <c r="AJ2234">
        <v>84.946404861094393</v>
      </c>
      <c r="AK2234">
        <v>88.621845954725899</v>
      </c>
      <c r="AL2234">
        <v>80.833186161328598</v>
      </c>
      <c r="AM2234">
        <v>87.447389419514707</v>
      </c>
      <c r="AN2234">
        <v>0.99999997552382702</v>
      </c>
    </row>
    <row r="2235" spans="1:40" x14ac:dyDescent="0.25">
      <c r="A2235" t="str">
        <f>"20190303170302871"</f>
        <v>20190303170302871</v>
      </c>
      <c r="B2235" t="str">
        <f>"1551603782857569"</f>
        <v>1551603782857569</v>
      </c>
      <c r="C2235" t="s">
        <v>40</v>
      </c>
      <c r="D2235">
        <v>4.1947570000000001</v>
      </c>
      <c r="E2235">
        <v>0.52114890000000003</v>
      </c>
      <c r="F2235" t="s">
        <v>62</v>
      </c>
      <c r="G2235">
        <v>-364.51530000000002</v>
      </c>
      <c r="H2235">
        <v>8.0001340000000004E-2</v>
      </c>
      <c r="I2235">
        <v>293.58069999999998</v>
      </c>
      <c r="J2235">
        <v>-277.6653</v>
      </c>
      <c r="K2235">
        <v>1.121216</v>
      </c>
      <c r="L2235">
        <v>284.55799999999999</v>
      </c>
      <c r="M2235">
        <v>-0.99986209999999998</v>
      </c>
      <c r="N2235">
        <v>-7.4399389999999996E-3</v>
      </c>
      <c r="O2235">
        <v>1.484048E-2</v>
      </c>
      <c r="P2235">
        <v>-0.98666940000000003</v>
      </c>
      <c r="Q2235">
        <v>0.15165960000000001</v>
      </c>
      <c r="R2235">
        <v>5.9016609999999997E-2</v>
      </c>
      <c r="S2235">
        <v>-3.0274049999999999</v>
      </c>
      <c r="T2235">
        <v>-3.6221980000000001E-2</v>
      </c>
      <c r="U2235">
        <v>0.31396479999999999</v>
      </c>
      <c r="V2235">
        <v>4.4157429999999998E-2</v>
      </c>
      <c r="W2235">
        <v>0.1590599</v>
      </c>
      <c r="X2235">
        <v>0.98628090000000002</v>
      </c>
      <c r="Y2235">
        <v>8.8371240000000004E-2</v>
      </c>
      <c r="Z2235">
        <v>7.8997550000000001E-4</v>
      </c>
      <c r="AA2235">
        <v>0.99608730000000001</v>
      </c>
      <c r="AB2235">
        <v>33</v>
      </c>
      <c r="AC2235">
        <v>-86.85</v>
      </c>
      <c r="AD2235">
        <v>-1.0412146600000001</v>
      </c>
      <c r="AE2235">
        <v>9.0226999999999808</v>
      </c>
      <c r="AF2235">
        <v>7.7316754366770803</v>
      </c>
      <c r="AG2235">
        <v>-1.0412146600000001</v>
      </c>
      <c r="AH2235">
        <v>86.961974544479105</v>
      </c>
      <c r="AI2235">
        <v>90.683287031539606</v>
      </c>
      <c r="AJ2235">
        <v>84.919266384878796</v>
      </c>
      <c r="AK2235">
        <v>87.311213195676899</v>
      </c>
      <c r="AL2235">
        <v>80.847666062860398</v>
      </c>
      <c r="AM2235">
        <v>87.436484963164702</v>
      </c>
      <c r="AN2235">
        <v>0.99999997205851199</v>
      </c>
    </row>
    <row r="2236" spans="1:40" x14ac:dyDescent="0.25">
      <c r="A2236" t="str">
        <f>"20190303170302882"</f>
        <v>20190303170302882</v>
      </c>
      <c r="B2236" t="str">
        <f>"1551603782878064"</f>
        <v>1551603782878064</v>
      </c>
      <c r="C2236" t="s">
        <v>40</v>
      </c>
      <c r="D2236">
        <v>3.989582</v>
      </c>
      <c r="E2236">
        <v>0.5211943</v>
      </c>
      <c r="F2236" t="s">
        <v>62</v>
      </c>
      <c r="G2236">
        <v>-362.68430000000001</v>
      </c>
      <c r="H2236">
        <v>8.0000799999999997E-2</v>
      </c>
      <c r="I2236">
        <v>293.35340000000002</v>
      </c>
      <c r="J2236">
        <v>-277.8365</v>
      </c>
      <c r="K2236">
        <v>1.1212200000000001</v>
      </c>
      <c r="L2236">
        <v>284.56020000000001</v>
      </c>
      <c r="M2236">
        <v>-0.99986759999999997</v>
      </c>
      <c r="N2236">
        <v>-7.449593E-3</v>
      </c>
      <c r="O2236">
        <v>1.446765E-2</v>
      </c>
      <c r="P2236">
        <v>-0.98669180000000001</v>
      </c>
      <c r="Q2236">
        <v>0.151535</v>
      </c>
      <c r="R2236">
        <v>5.8961159999999999E-2</v>
      </c>
      <c r="S2236">
        <v>-3.0274960000000002</v>
      </c>
      <c r="T2236">
        <v>-3.7077310000000002E-2</v>
      </c>
      <c r="U2236">
        <v>0.31320189999999998</v>
      </c>
      <c r="V2236">
        <v>4.4467180000000002E-2</v>
      </c>
      <c r="W2236">
        <v>0.15894649999999999</v>
      </c>
      <c r="X2236">
        <v>0.98628530000000003</v>
      </c>
      <c r="Y2236">
        <v>8.8490819999999998E-2</v>
      </c>
      <c r="Z2236">
        <v>8.0176339999999996E-4</v>
      </c>
      <c r="AA2236">
        <v>0.99607659999999998</v>
      </c>
      <c r="AB2236">
        <v>33</v>
      </c>
      <c r="AC2236">
        <v>-84.847800000000007</v>
      </c>
      <c r="AD2236">
        <v>-1.0412192</v>
      </c>
      <c r="AE2236">
        <v>8.7932000000000095</v>
      </c>
      <c r="AF2236">
        <v>7.5635704016058201</v>
      </c>
      <c r="AG2236">
        <v>-1.0412192</v>
      </c>
      <c r="AH2236">
        <v>84.953482232943003</v>
      </c>
      <c r="AI2236">
        <v>90.699435337774204</v>
      </c>
      <c r="AJ2236">
        <v>84.912262231793093</v>
      </c>
      <c r="AK2236">
        <v>85.295872573914494</v>
      </c>
      <c r="AL2236">
        <v>80.854247445809406</v>
      </c>
      <c r="AM2236">
        <v>87.418538481527307</v>
      </c>
      <c r="AN2236">
        <v>1.0000000064777399</v>
      </c>
    </row>
    <row r="2237" spans="1:40" x14ac:dyDescent="0.25">
      <c r="A2237" t="str">
        <f>"20190303170302894"</f>
        <v>20190303170302894</v>
      </c>
      <c r="B2237" t="str">
        <f>"1551603782887824"</f>
        <v>1551603782887824</v>
      </c>
      <c r="C2237" t="s">
        <v>40</v>
      </c>
      <c r="D2237">
        <v>4.0291880000000004</v>
      </c>
      <c r="E2237">
        <v>0.5211943</v>
      </c>
      <c r="F2237" t="s">
        <v>62</v>
      </c>
      <c r="G2237">
        <v>-360.49509999999998</v>
      </c>
      <c r="H2237">
        <v>8.0000160000000001E-2</v>
      </c>
      <c r="I2237">
        <v>293.11520000000002</v>
      </c>
      <c r="J2237">
        <v>-278.00700000000001</v>
      </c>
      <c r="K2237">
        <v>1.1212260000000001</v>
      </c>
      <c r="L2237">
        <v>284.56240000000003</v>
      </c>
      <c r="M2237">
        <v>-0.99987300000000001</v>
      </c>
      <c r="N2237">
        <v>-7.4591079999999999E-3</v>
      </c>
      <c r="O2237">
        <v>1.4096330000000001E-2</v>
      </c>
      <c r="P2237">
        <v>-0.98670199999999997</v>
      </c>
      <c r="Q2237">
        <v>0.1515147</v>
      </c>
      <c r="R2237">
        <v>5.8844390000000003E-2</v>
      </c>
      <c r="S2237">
        <v>-3.0276489999999998</v>
      </c>
      <c r="T2237">
        <v>-3.8138150000000003E-2</v>
      </c>
      <c r="U2237">
        <v>0.31335449999999998</v>
      </c>
      <c r="V2237">
        <v>4.4714139999999999E-2</v>
      </c>
      <c r="W2237">
        <v>0.15893660000000001</v>
      </c>
      <c r="X2237">
        <v>0.98627569999999998</v>
      </c>
      <c r="Y2237">
        <v>8.8904720000000007E-2</v>
      </c>
      <c r="Z2237">
        <v>8.1875759999999905E-4</v>
      </c>
      <c r="AA2237">
        <v>0.99603980000000003</v>
      </c>
      <c r="AB2237">
        <v>33</v>
      </c>
      <c r="AC2237">
        <v>-82.488099999999903</v>
      </c>
      <c r="AD2237">
        <v>-1.0412258400000001</v>
      </c>
      <c r="AE2237">
        <v>8.5527999999999906</v>
      </c>
      <c r="AF2237">
        <v>7.38797391285775</v>
      </c>
      <c r="AG2237">
        <v>-1.0412258400000001</v>
      </c>
      <c r="AH2237">
        <v>82.587451111040295</v>
      </c>
      <c r="AI2237">
        <v>90.719448793454703</v>
      </c>
      <c r="AJ2237">
        <v>84.888134147772305</v>
      </c>
      <c r="AK2237">
        <v>82.923780610904501</v>
      </c>
      <c r="AL2237">
        <v>80.854821703486607</v>
      </c>
      <c r="AM2237">
        <v>87.404195990540899</v>
      </c>
      <c r="AN2237">
        <v>0.99999997677299401</v>
      </c>
    </row>
    <row r="2238" spans="1:40" x14ac:dyDescent="0.25">
      <c r="A2238" t="str">
        <f>"20190303170302906"</f>
        <v>20190303170302906</v>
      </c>
      <c r="B2238" t="str">
        <f>"1551603782897584"</f>
        <v>1551603782897584</v>
      </c>
      <c r="C2238" t="s">
        <v>40</v>
      </c>
      <c r="D2238">
        <v>4.2130229999999997</v>
      </c>
      <c r="E2238">
        <v>0.49929679999999999</v>
      </c>
      <c r="F2238" t="s">
        <v>62</v>
      </c>
      <c r="G2238">
        <v>-360.58539999999999</v>
      </c>
      <c r="H2238">
        <v>8.0000189999999999E-2</v>
      </c>
      <c r="I2238">
        <v>293.10169999999999</v>
      </c>
      <c r="J2238">
        <v>-278.18060000000003</v>
      </c>
      <c r="K2238">
        <v>1.1212329999999999</v>
      </c>
      <c r="L2238">
        <v>284.56450000000001</v>
      </c>
      <c r="M2238">
        <v>-0.99987809999999999</v>
      </c>
      <c r="N2238">
        <v>-7.4684390000000003E-3</v>
      </c>
      <c r="O2238">
        <v>1.371988E-2</v>
      </c>
      <c r="P2238">
        <v>-0.98669560000000001</v>
      </c>
      <c r="Q2238">
        <v>0.1515774</v>
      </c>
      <c r="R2238">
        <v>5.8790799999999997E-2</v>
      </c>
      <c r="S2238">
        <v>-3.0275880000000002</v>
      </c>
      <c r="T2238">
        <v>-3.8174630000000001E-2</v>
      </c>
      <c r="U2238">
        <v>0.31307980000000002</v>
      </c>
      <c r="V2238">
        <v>4.5030149999999998E-2</v>
      </c>
      <c r="W2238">
        <v>0.1590095</v>
      </c>
      <c r="X2238">
        <v>0.98624959999999995</v>
      </c>
      <c r="Y2238">
        <v>8.9192300000000002E-2</v>
      </c>
      <c r="Z2238">
        <v>8.2448949999999895E-4</v>
      </c>
      <c r="AA2238">
        <v>0.99601410000000001</v>
      </c>
      <c r="AB2238">
        <v>33</v>
      </c>
      <c r="AC2238">
        <v>-82.404799999999895</v>
      </c>
      <c r="AD2238">
        <v>-1.0412328099999999</v>
      </c>
      <c r="AE2238">
        <v>8.5371999999999808</v>
      </c>
      <c r="AF2238">
        <v>7.4046113950444497</v>
      </c>
      <c r="AG2238">
        <v>-1.0412328099999999</v>
      </c>
      <c r="AH2238">
        <v>82.501143986636606</v>
      </c>
      <c r="AI2238">
        <v>90.720187274223804</v>
      </c>
      <c r="AJ2238">
        <v>84.871352486175297</v>
      </c>
      <c r="AK2238">
        <v>82.839309477928396</v>
      </c>
      <c r="AL2238">
        <v>80.850591295238502</v>
      </c>
      <c r="AM2238">
        <v>87.385806838307701</v>
      </c>
      <c r="AN2238">
        <v>1.0000000044997099</v>
      </c>
    </row>
    <row r="2239" spans="1:40" x14ac:dyDescent="0.25">
      <c r="A2239" t="str">
        <f>"20190303170302919"</f>
        <v>20190303170302919</v>
      </c>
      <c r="B2239" t="str">
        <f>"1551603782907344"</f>
        <v>1551603782907344</v>
      </c>
      <c r="C2239" t="s">
        <v>40</v>
      </c>
      <c r="D2239">
        <v>4.111694</v>
      </c>
      <c r="E2239">
        <v>0.49366339999999997</v>
      </c>
      <c r="F2239" t="s">
        <v>62</v>
      </c>
      <c r="G2239">
        <v>-332.87889999999999</v>
      </c>
      <c r="H2239" s="1">
        <v>-1.097925E-7</v>
      </c>
      <c r="I2239">
        <v>287.01909999999998</v>
      </c>
      <c r="J2239">
        <v>-278.3537</v>
      </c>
      <c r="K2239">
        <v>1.1212359999999999</v>
      </c>
      <c r="L2239">
        <v>284.56659999999999</v>
      </c>
      <c r="M2239">
        <v>-0.99988310000000002</v>
      </c>
      <c r="N2239">
        <v>-7.4776089999999996E-3</v>
      </c>
      <c r="O2239">
        <v>1.3345050000000001E-2</v>
      </c>
      <c r="P2239">
        <v>-0.98666969999999998</v>
      </c>
      <c r="Q2239">
        <v>0.15176889999999901</v>
      </c>
      <c r="R2239">
        <v>5.8733720000000003E-2</v>
      </c>
      <c r="S2239">
        <v>-3.0419010000000002</v>
      </c>
      <c r="T2239">
        <v>-6.2354329999999999E-2</v>
      </c>
      <c r="U2239">
        <v>0.13650509999999999</v>
      </c>
      <c r="V2239">
        <v>4.5341060000000002E-2</v>
      </c>
      <c r="W2239">
        <v>0.15921060000000001</v>
      </c>
      <c r="X2239">
        <v>0.98620289999999999</v>
      </c>
      <c r="Y2239">
        <v>3.148596E-2</v>
      </c>
      <c r="Z2239">
        <v>2.6669129999999999E-4</v>
      </c>
      <c r="AA2239">
        <v>0.99950410000000001</v>
      </c>
      <c r="AB2239">
        <v>33</v>
      </c>
      <c r="AC2239">
        <v>-54.525199999999899</v>
      </c>
      <c r="AD2239">
        <v>-1.1212361097924901</v>
      </c>
      <c r="AE2239">
        <v>2.4524999999999801</v>
      </c>
      <c r="AF2239">
        <v>1.7238923120137799</v>
      </c>
      <c r="AG2239">
        <v>-1.1212361097924901</v>
      </c>
      <c r="AH2239">
        <v>54.530061768495599</v>
      </c>
      <c r="AI2239">
        <v>91.177350230545102</v>
      </c>
      <c r="AJ2239">
        <v>88.189276419509795</v>
      </c>
      <c r="AK2239">
        <v>54.568824539229901</v>
      </c>
      <c r="AL2239">
        <v>80.838920334871503</v>
      </c>
      <c r="AM2239">
        <v>87.367658010652093</v>
      </c>
      <c r="AN2239">
        <v>0.99999999342134605</v>
      </c>
    </row>
    <row r="2240" spans="1:40" x14ac:dyDescent="0.25">
      <c r="A2240" t="str">
        <f>"20190303170302929"</f>
        <v>20190303170302929</v>
      </c>
      <c r="B2240" t="str">
        <f>"1551603782918081"</f>
        <v>1551603782918081</v>
      </c>
      <c r="C2240" t="s">
        <v>40</v>
      </c>
      <c r="D2240">
        <v>4.1480489999999897</v>
      </c>
      <c r="E2240">
        <v>0.49002269999999998</v>
      </c>
      <c r="F2240" t="s">
        <v>62</v>
      </c>
      <c r="G2240">
        <v>-339.74979999999999</v>
      </c>
      <c r="H2240" s="1">
        <v>3.5730240000000002E-6</v>
      </c>
      <c r="I2240">
        <v>286.4128</v>
      </c>
      <c r="J2240">
        <v>-278.52789999999999</v>
      </c>
      <c r="K2240">
        <v>1.12124</v>
      </c>
      <c r="L2240">
        <v>284.56849999999997</v>
      </c>
      <c r="M2240">
        <v>-0.99988790000000005</v>
      </c>
      <c r="N2240">
        <v>-7.486525E-3</v>
      </c>
      <c r="O2240">
        <v>1.2969799999999899E-2</v>
      </c>
      <c r="P2240">
        <v>-0.9866819</v>
      </c>
      <c r="Q2240">
        <v>0.15175229999999901</v>
      </c>
      <c r="R2240">
        <v>5.8567719999999997E-2</v>
      </c>
      <c r="S2240">
        <v>-3.0436709999999998</v>
      </c>
      <c r="T2240">
        <v>-5.5584429999999997E-2</v>
      </c>
      <c r="U2240">
        <v>9.1522220000000001E-2</v>
      </c>
      <c r="V2240">
        <v>4.5543220000000002E-2</v>
      </c>
      <c r="W2240">
        <v>0.1592035</v>
      </c>
      <c r="X2240">
        <v>0.98619469999999998</v>
      </c>
      <c r="Y2240">
        <v>1.7086E-2</v>
      </c>
      <c r="Z2240" s="1">
        <v>8.0258370000000002E-5</v>
      </c>
      <c r="AA2240">
        <v>0.99985400000000002</v>
      </c>
      <c r="AB2240">
        <v>33</v>
      </c>
      <c r="AC2240">
        <v>-61.221899999999998</v>
      </c>
      <c r="AD2240">
        <v>-1.121236426976</v>
      </c>
      <c r="AE2240">
        <v>1.84430000000003</v>
      </c>
      <c r="AF2240">
        <v>1.0497350670675101</v>
      </c>
      <c r="AG2240">
        <v>-1.121236426976</v>
      </c>
      <c r="AH2240">
        <v>61.220155663346702</v>
      </c>
      <c r="AI2240">
        <v>91.049090679894405</v>
      </c>
      <c r="AJ2240">
        <v>89.0176520334754</v>
      </c>
      <c r="AK2240">
        <v>61.239420100786397</v>
      </c>
      <c r="AL2240">
        <v>80.839332107702205</v>
      </c>
      <c r="AM2240">
        <v>87.355915979616199</v>
      </c>
      <c r="AN2240">
        <v>0.99999996280415304</v>
      </c>
    </row>
    <row r="2241" spans="1:40" x14ac:dyDescent="0.25">
      <c r="A2241" t="str">
        <f>"20190303170302947"</f>
        <v>20190303170302947</v>
      </c>
      <c r="B2241" t="str">
        <f>"1551603782937600"</f>
        <v>1551603782937600</v>
      </c>
      <c r="C2241" t="s">
        <v>40</v>
      </c>
      <c r="D2241">
        <v>4.1273989999999996</v>
      </c>
      <c r="E2241">
        <v>0.48743370000000003</v>
      </c>
      <c r="F2241" t="s">
        <v>62</v>
      </c>
      <c r="G2241">
        <v>-341.47800000000001</v>
      </c>
      <c r="H2241" s="1">
        <v>-7.5028639999999899E-7</v>
      </c>
      <c r="I2241">
        <v>285.84539999999998</v>
      </c>
      <c r="J2241">
        <v>-278.76609999999999</v>
      </c>
      <c r="K2241">
        <v>1.121243</v>
      </c>
      <c r="L2241">
        <v>284.57119999999998</v>
      </c>
      <c r="M2241">
        <v>-0.99989430000000001</v>
      </c>
      <c r="N2241">
        <v>-7.498645E-3</v>
      </c>
      <c r="O2241">
        <v>1.245947E-2</v>
      </c>
      <c r="P2241">
        <v>-0.98680489999999998</v>
      </c>
      <c r="Q2241">
        <v>0.15090499999999901</v>
      </c>
      <c r="R2241">
        <v>5.8683810000000003E-2</v>
      </c>
      <c r="S2241">
        <v>-3.0451350000000001</v>
      </c>
      <c r="T2241">
        <v>-5.4238679999999997E-2</v>
      </c>
      <c r="U2241">
        <v>6.1767580000000002E-2</v>
      </c>
      <c r="V2241">
        <v>4.6160409999999999E-2</v>
      </c>
      <c r="W2241">
        <v>0.1583707</v>
      </c>
      <c r="X2241">
        <v>0.98630010000000001</v>
      </c>
      <c r="Y2241">
        <v>7.8199159999999997E-3</v>
      </c>
      <c r="Z2241" s="1">
        <v>-2.9493809999999999E-5</v>
      </c>
      <c r="AA2241">
        <v>0.99996940000000001</v>
      </c>
      <c r="AB2241">
        <v>33</v>
      </c>
      <c r="AC2241">
        <v>-62.7119</v>
      </c>
      <c r="AD2241">
        <v>-1.1212437502864001</v>
      </c>
      <c r="AE2241">
        <v>1.2742</v>
      </c>
      <c r="AF2241">
        <v>0.492564721280768</v>
      </c>
      <c r="AG2241">
        <v>-1.1212437502864001</v>
      </c>
      <c r="AH2241">
        <v>62.702872316905001</v>
      </c>
      <c r="AI2241">
        <v>91.024414109938903</v>
      </c>
      <c r="AJ2241">
        <v>89.549920153157899</v>
      </c>
      <c r="AK2241">
        <v>62.714830816500601</v>
      </c>
      <c r="AL2241">
        <v>80.887661303771793</v>
      </c>
      <c r="AM2241">
        <v>87.320421884420895</v>
      </c>
      <c r="AN2241">
        <v>0.99999997466493296</v>
      </c>
    </row>
    <row r="2242" spans="1:40" x14ac:dyDescent="0.25">
      <c r="A2242" t="str">
        <f>"20190303170302961"</f>
        <v>20190303170302961</v>
      </c>
      <c r="B2242" t="str">
        <f>"1551603782947359"</f>
        <v>1551603782947359</v>
      </c>
      <c r="C2242" t="s">
        <v>40</v>
      </c>
      <c r="D2242">
        <v>4.1929860000000003</v>
      </c>
      <c r="E2242">
        <v>0.48646129999999999</v>
      </c>
      <c r="F2242" t="s">
        <v>62</v>
      </c>
      <c r="G2242">
        <v>-338.46289999999999</v>
      </c>
      <c r="H2242" s="1">
        <v>2.9334179999999998E-6</v>
      </c>
      <c r="I2242">
        <v>285.37849999999997</v>
      </c>
      <c r="J2242">
        <v>-278.97660000000002</v>
      </c>
      <c r="K2242">
        <v>1.121246</v>
      </c>
      <c r="L2242">
        <v>284.57339999999999</v>
      </c>
      <c r="M2242">
        <v>-0.99989969999999995</v>
      </c>
      <c r="N2242">
        <v>-7.5091119999999897E-3</v>
      </c>
      <c r="O2242">
        <v>1.2010669999999999E-2</v>
      </c>
      <c r="P2242">
        <v>-0.98693399999999998</v>
      </c>
      <c r="Q2242">
        <v>0.15015139999999999</v>
      </c>
      <c r="R2242">
        <v>5.8445829999999997E-2</v>
      </c>
      <c r="S2242">
        <v>-3.0464479999999998</v>
      </c>
      <c r="T2242">
        <v>-5.7219150000000003E-2</v>
      </c>
      <c r="U2242">
        <v>4.1198730000000003E-2</v>
      </c>
      <c r="V2242">
        <v>4.6363380000000003E-2</v>
      </c>
      <c r="W2242">
        <v>0.15762909999999999</v>
      </c>
      <c r="X2242">
        <v>0.98640939999999999</v>
      </c>
      <c r="Y2242">
        <v>1.5117970000000001E-3</v>
      </c>
      <c r="Z2242">
        <v>-1.154906E-4</v>
      </c>
      <c r="AA2242">
        <v>0.99999890000000002</v>
      </c>
      <c r="AB2242">
        <v>33</v>
      </c>
      <c r="AC2242">
        <v>-59.4862999999999</v>
      </c>
      <c r="AD2242">
        <v>-1.1212430665819999</v>
      </c>
      <c r="AE2242">
        <v>0.80509999999998105</v>
      </c>
      <c r="AF2242">
        <v>9.0519326800332006E-2</v>
      </c>
      <c r="AG2242">
        <v>-1.1212430665819999</v>
      </c>
      <c r="AH2242">
        <v>59.470554453329598</v>
      </c>
      <c r="AI2242">
        <v>91.080111180784002</v>
      </c>
      <c r="AJ2242">
        <v>89.912790936077002</v>
      </c>
      <c r="AK2242">
        <v>59.481192210221501</v>
      </c>
      <c r="AL2242">
        <v>80.930692598034497</v>
      </c>
      <c r="AM2242">
        <v>87.308954688166295</v>
      </c>
      <c r="AN2242">
        <v>1.00000000029009</v>
      </c>
    </row>
    <row r="2243" spans="1:40" x14ac:dyDescent="0.25">
      <c r="A2243" t="str">
        <f>"20190303170302975"</f>
        <v>20190303170302975</v>
      </c>
      <c r="B2243" t="str">
        <f>"1551603782967856"</f>
        <v>1551603782967856</v>
      </c>
      <c r="C2243" t="s">
        <v>40</v>
      </c>
      <c r="D2243">
        <v>4.1444749999999999</v>
      </c>
      <c r="E2243">
        <v>0.48515979999999997</v>
      </c>
      <c r="F2243" t="s">
        <v>62</v>
      </c>
      <c r="G2243">
        <v>-335.93549999999999</v>
      </c>
      <c r="H2243" s="1">
        <v>1.596626E-6</v>
      </c>
      <c r="I2243">
        <v>285.19130000000001</v>
      </c>
      <c r="J2243">
        <v>-279.18799999999999</v>
      </c>
      <c r="K2243">
        <v>1.1212470000000001</v>
      </c>
      <c r="L2243">
        <v>284.57560000000001</v>
      </c>
      <c r="M2243">
        <v>-0.99990509999999999</v>
      </c>
      <c r="N2243">
        <v>-7.519286E-3</v>
      </c>
      <c r="O2243">
        <v>1.1561470000000001E-2</v>
      </c>
      <c r="P2243">
        <v>-0.98700699999999997</v>
      </c>
      <c r="Q2243">
        <v>0.14978569999999999</v>
      </c>
      <c r="R2243">
        <v>5.81529E-2</v>
      </c>
      <c r="S2243">
        <v>-3.046875</v>
      </c>
      <c r="T2243">
        <v>-5.9978249999999997E-2</v>
      </c>
      <c r="U2243">
        <v>3.3050540000000003E-2</v>
      </c>
      <c r="V2243">
        <v>4.6512379999999999E-2</v>
      </c>
      <c r="W2243">
        <v>0.15727449999999901</v>
      </c>
      <c r="X2243">
        <v>0.98645899999999997</v>
      </c>
      <c r="Y2243">
        <v>-7.1407649999999997E-4</v>
      </c>
      <c r="Z2243">
        <v>-1.503357E-4</v>
      </c>
      <c r="AA2243">
        <v>0.99999979999999999</v>
      </c>
      <c r="AB2243">
        <v>33</v>
      </c>
      <c r="AC2243">
        <v>-56.747500000000002</v>
      </c>
      <c r="AD2243">
        <v>-1.12124540337399</v>
      </c>
      <c r="AE2243">
        <v>0.61570000000000302</v>
      </c>
      <c r="AF2243">
        <v>-4.0428302419209403E-2</v>
      </c>
      <c r="AG2243">
        <v>-1.12124540337399</v>
      </c>
      <c r="AH2243">
        <v>56.728681434172799</v>
      </c>
      <c r="AI2243">
        <v>91.132306406964702</v>
      </c>
      <c r="AJ2243">
        <v>90.040832444026293</v>
      </c>
      <c r="AK2243">
        <v>56.739775492700701</v>
      </c>
      <c r="AL2243">
        <v>80.951266431608701</v>
      </c>
      <c r="AM2243">
        <v>87.300454675066007</v>
      </c>
      <c r="AN2243">
        <v>1.00000001426225</v>
      </c>
    </row>
    <row r="2244" spans="1:40" x14ac:dyDescent="0.25">
      <c r="A2244" t="str">
        <f>"20190303170302993"</f>
        <v>20190303170302993</v>
      </c>
      <c r="B2244" t="str">
        <f>"1551603782987375"</f>
        <v>1551603782987375</v>
      </c>
      <c r="C2244" t="s">
        <v>40</v>
      </c>
      <c r="D2244">
        <v>4.1583240000000004</v>
      </c>
      <c r="E2244">
        <v>0.4841493</v>
      </c>
      <c r="F2244" t="s">
        <v>62</v>
      </c>
      <c r="G2244">
        <v>-335.39789999999999</v>
      </c>
      <c r="H2244" s="1">
        <v>1.3200160000000001E-6</v>
      </c>
      <c r="I2244">
        <v>284.97460000000001</v>
      </c>
      <c r="J2244">
        <v>-279.45670000000001</v>
      </c>
      <c r="K2244">
        <v>1.1212420000000001</v>
      </c>
      <c r="L2244">
        <v>284.57810000000001</v>
      </c>
      <c r="M2244">
        <v>-0.9999112</v>
      </c>
      <c r="N2244">
        <v>-7.5316209999999996E-3</v>
      </c>
      <c r="O2244">
        <v>1.0995929999999999E-2</v>
      </c>
      <c r="P2244">
        <v>-0.98718050000000002</v>
      </c>
      <c r="Q2244">
        <v>0.14880689999999999</v>
      </c>
      <c r="R2244">
        <v>5.7716950000000003E-2</v>
      </c>
      <c r="S2244">
        <v>-3.0475159999999999</v>
      </c>
      <c r="T2244">
        <v>-6.0790299999999999E-2</v>
      </c>
      <c r="U2244">
        <v>2.163696E-2</v>
      </c>
      <c r="V2244">
        <v>4.6633670000000002E-2</v>
      </c>
      <c r="W2244">
        <v>0.15630910000000001</v>
      </c>
      <c r="X2244">
        <v>0.98660669999999995</v>
      </c>
      <c r="Y2244">
        <v>-3.8947919999999998E-3</v>
      </c>
      <c r="Z2244">
        <v>-1.9000779999999999E-4</v>
      </c>
      <c r="AA2244">
        <v>0.9999924</v>
      </c>
      <c r="AB2244">
        <v>33</v>
      </c>
      <c r="AC2244">
        <v>-55.941199999999903</v>
      </c>
      <c r="AD2244">
        <v>-1.121240679984</v>
      </c>
      <c r="AE2244">
        <v>0.39650000000000302</v>
      </c>
      <c r="AF2244">
        <v>-0.21857912045067199</v>
      </c>
      <c r="AG2244">
        <v>-1.121240679984</v>
      </c>
      <c r="AH2244">
        <v>55.9197142856355</v>
      </c>
      <c r="AI2244">
        <v>91.1486693343534</v>
      </c>
      <c r="AJ2244">
        <v>90.223956747100104</v>
      </c>
      <c r="AK2244">
        <v>55.931381203055103</v>
      </c>
      <c r="AL2244">
        <v>81.007272415532199</v>
      </c>
      <c r="AM2244">
        <v>87.293830129789697</v>
      </c>
      <c r="AN2244">
        <v>1.00000000720268</v>
      </c>
    </row>
    <row r="2245" spans="1:40" x14ac:dyDescent="0.25">
      <c r="A2245" t="str">
        <f>"20190303170303007"</f>
        <v>20190303170303007</v>
      </c>
      <c r="B2245" t="str">
        <f>"1551603782998112"</f>
        <v>1551603782998112</v>
      </c>
      <c r="C2245" t="s">
        <v>40</v>
      </c>
      <c r="D2245">
        <v>4.1569890000000003</v>
      </c>
      <c r="E2245">
        <v>0.48384670000000002</v>
      </c>
      <c r="F2245" t="s">
        <v>62</v>
      </c>
      <c r="G2245">
        <v>-331.3184</v>
      </c>
      <c r="H2245" s="1">
        <v>-8.4283159999999996E-7</v>
      </c>
      <c r="I2245">
        <v>284.79050000000001</v>
      </c>
      <c r="J2245">
        <v>-279.66489999999999</v>
      </c>
      <c r="K2245">
        <v>1.12124</v>
      </c>
      <c r="L2245">
        <v>284.58</v>
      </c>
      <c r="M2245">
        <v>-0.99991580000000002</v>
      </c>
      <c r="N2245">
        <v>-7.540766E-3</v>
      </c>
      <c r="O2245">
        <v>1.056198E-2</v>
      </c>
      <c r="P2245">
        <v>-0.98725689999999999</v>
      </c>
      <c r="Q2245">
        <v>0.14843020000000001</v>
      </c>
      <c r="R2245">
        <v>5.7380029999999999E-2</v>
      </c>
      <c r="S2245">
        <v>-3.0481569999999998</v>
      </c>
      <c r="T2245">
        <v>-6.5900799999999995E-2</v>
      </c>
      <c r="U2245">
        <v>1.248169E-2</v>
      </c>
      <c r="V2245">
        <v>4.6725170000000003E-2</v>
      </c>
      <c r="W2245">
        <v>0.1559422</v>
      </c>
      <c r="X2245">
        <v>0.98666039999999999</v>
      </c>
      <c r="Y2245">
        <v>-6.4645350000000004E-3</v>
      </c>
      <c r="Z2245">
        <v>-2.4292589999999999E-4</v>
      </c>
      <c r="AA2245">
        <v>0.99997910000000001</v>
      </c>
      <c r="AB2245">
        <v>33</v>
      </c>
      <c r="AC2245">
        <v>-51.653500000000001</v>
      </c>
      <c r="AD2245">
        <v>-1.1212408428316001</v>
      </c>
      <c r="AE2245">
        <v>0.210500000000024</v>
      </c>
      <c r="AF2245">
        <v>-0.33493266589834603</v>
      </c>
      <c r="AG2245">
        <v>-1.1212408428316001</v>
      </c>
      <c r="AH2245">
        <v>51.628515439932102</v>
      </c>
      <c r="AI2245">
        <v>91.244097749367896</v>
      </c>
      <c r="AJ2245">
        <v>90.371693022900004</v>
      </c>
      <c r="AK2245">
        <v>51.641775409542497</v>
      </c>
      <c r="AL2245">
        <v>81.028554960439607</v>
      </c>
      <c r="AM2245">
        <v>87.2886756203348</v>
      </c>
      <c r="AN2245">
        <v>0.99999997809026397</v>
      </c>
    </row>
    <row r="2246" spans="1:40" x14ac:dyDescent="0.25">
      <c r="A2246" t="str">
        <f>"20190303170303020"</f>
        <v>20190303170303020</v>
      </c>
      <c r="B2246" t="str">
        <f>"1551603783007872"</f>
        <v>1551603783007872</v>
      </c>
      <c r="C2246" t="s">
        <v>40</v>
      </c>
      <c r="D2246">
        <v>4.2040739999999897</v>
      </c>
      <c r="E2246">
        <v>0.48359740000000001</v>
      </c>
      <c r="F2246" t="s">
        <v>62</v>
      </c>
      <c r="G2246">
        <v>-331.17500000000001</v>
      </c>
      <c r="H2246" s="1">
        <v>-9.1674500000000002E-7</v>
      </c>
      <c r="I2246">
        <v>284.73630000000003</v>
      </c>
      <c r="J2246">
        <v>-279.85570000000001</v>
      </c>
      <c r="K2246">
        <v>1.12124</v>
      </c>
      <c r="L2246">
        <v>284.58170000000001</v>
      </c>
      <c r="M2246">
        <v>-0.99992000000000003</v>
      </c>
      <c r="N2246">
        <v>-7.5490339999999996E-3</v>
      </c>
      <c r="O2246">
        <v>1.0166E-2</v>
      </c>
      <c r="P2246">
        <v>-0.9872552</v>
      </c>
      <c r="Q2246">
        <v>0.1485447</v>
      </c>
      <c r="R2246">
        <v>5.7115039999999999E-2</v>
      </c>
      <c r="S2246">
        <v>-3.048187</v>
      </c>
      <c r="T2246">
        <v>-6.6351060000000003E-2</v>
      </c>
      <c r="U2246">
        <v>9.2468259999999997E-3</v>
      </c>
      <c r="V2246">
        <v>4.6851530000000002E-2</v>
      </c>
      <c r="W2246">
        <v>0.1560647</v>
      </c>
      <c r="X2246">
        <v>0.98663509999999999</v>
      </c>
      <c r="Y2246">
        <v>-7.1295580000000002E-3</v>
      </c>
      <c r="Z2246">
        <v>-2.4901889999999997E-4</v>
      </c>
      <c r="AA2246">
        <v>0.99997449999999999</v>
      </c>
      <c r="AB2246">
        <v>33</v>
      </c>
      <c r="AC2246">
        <v>-51.319299999999998</v>
      </c>
      <c r="AD2246">
        <v>-1.1212409167449999</v>
      </c>
      <c r="AE2246">
        <v>0.154600000000016</v>
      </c>
      <c r="AF2246">
        <v>-0.36695960393747201</v>
      </c>
      <c r="AG2246">
        <v>-1.1212409167449999</v>
      </c>
      <c r="AH2246">
        <v>51.293734813279798</v>
      </c>
      <c r="AI2246">
        <v>91.252209459068993</v>
      </c>
      <c r="AJ2246">
        <v>90.409891733330596</v>
      </c>
      <c r="AK2246">
        <v>51.307300373722398</v>
      </c>
      <c r="AL2246">
        <v>81.021449775210897</v>
      </c>
      <c r="AM2246">
        <v>87.281284697532897</v>
      </c>
      <c r="AN2246">
        <v>1.00000003850071</v>
      </c>
    </row>
    <row r="2247" spans="1:40" x14ac:dyDescent="0.25">
      <c r="A2247" t="str">
        <f>"20190303170303037"</f>
        <v>20190303170303037</v>
      </c>
      <c r="B2247" t="str">
        <f>"1551603783027392"</f>
        <v>1551603783027392</v>
      </c>
      <c r="C2247" t="s">
        <v>40</v>
      </c>
      <c r="D2247">
        <v>4.1983750000000004</v>
      </c>
      <c r="E2247">
        <v>0.48293059999999899</v>
      </c>
      <c r="F2247" t="s">
        <v>62</v>
      </c>
      <c r="G2247">
        <v>-331.50450000000001</v>
      </c>
      <c r="H2247" s="1">
        <v>-7.3934759999999898E-7</v>
      </c>
      <c r="I2247">
        <v>284.68970000000002</v>
      </c>
      <c r="J2247">
        <v>-280.10559999999998</v>
      </c>
      <c r="K2247">
        <v>1.121238</v>
      </c>
      <c r="L2247">
        <v>284.58370000000002</v>
      </c>
      <c r="M2247">
        <v>-0.99992490000000001</v>
      </c>
      <c r="N2247">
        <v>-7.5596839999999997E-3</v>
      </c>
      <c r="O2247">
        <v>9.6514640000000002E-3</v>
      </c>
      <c r="P2247">
        <v>-0.98714650000000004</v>
      </c>
      <c r="Q2247">
        <v>0.14949660000000001</v>
      </c>
      <c r="R2247">
        <v>5.6505020000000003E-2</v>
      </c>
      <c r="S2247">
        <v>-3.04834</v>
      </c>
      <c r="T2247">
        <v>-6.6176180000000001E-2</v>
      </c>
      <c r="U2247">
        <v>6.3781740000000003E-3</v>
      </c>
      <c r="V2247">
        <v>4.6750069999999998E-2</v>
      </c>
      <c r="W2247">
        <v>0.1570259</v>
      </c>
      <c r="X2247">
        <v>0.98648740000000001</v>
      </c>
      <c r="Y2247">
        <v>-7.5561119999999898E-3</v>
      </c>
      <c r="Z2247">
        <v>-2.4711029999999998E-4</v>
      </c>
      <c r="AA2247">
        <v>0.99997139999999995</v>
      </c>
      <c r="AB2247">
        <v>33</v>
      </c>
      <c r="AC2247">
        <v>-51.398899999999998</v>
      </c>
      <c r="AD2247">
        <v>-1.1212387393476</v>
      </c>
      <c r="AE2247">
        <v>0.105999999999994</v>
      </c>
      <c r="AF2247">
        <v>-0.38990817501880098</v>
      </c>
      <c r="AG2247">
        <v>-1.1212387393476</v>
      </c>
      <c r="AH2247">
        <v>51.373082152197803</v>
      </c>
      <c r="AI2247">
        <v>91.250269555525605</v>
      </c>
      <c r="AJ2247">
        <v>90.434851539849404</v>
      </c>
      <c r="AK2247">
        <v>51.3867957213916</v>
      </c>
      <c r="AL2247">
        <v>80.965689663589004</v>
      </c>
      <c r="AM2247">
        <v>87.286757877945305</v>
      </c>
      <c r="AN2247">
        <v>1.00000004633728</v>
      </c>
    </row>
    <row r="2248" spans="1:40" x14ac:dyDescent="0.25">
      <c r="A2248" t="str">
        <f>"20190303170303049"</f>
        <v>20190303170303049</v>
      </c>
      <c r="B2248" t="str">
        <f>"1551603783038128"</f>
        <v>1551603783038128</v>
      </c>
      <c r="C2248" t="s">
        <v>40</v>
      </c>
      <c r="D2248">
        <v>4.2330940000000004</v>
      </c>
      <c r="E2248">
        <v>0.48268270000000002</v>
      </c>
      <c r="F2248" t="s">
        <v>62</v>
      </c>
      <c r="G2248">
        <v>-334.6096</v>
      </c>
      <c r="H2248" s="1">
        <v>9.1800499999999997E-7</v>
      </c>
      <c r="I2248">
        <v>284.57560000000001</v>
      </c>
      <c r="J2248">
        <v>-280.29770000000002</v>
      </c>
      <c r="K2248">
        <v>1.1212359999999999</v>
      </c>
      <c r="L2248">
        <v>284.58530000000002</v>
      </c>
      <c r="M2248">
        <v>-0.9999285</v>
      </c>
      <c r="N2248">
        <v>-7.5676859999999997E-3</v>
      </c>
      <c r="O2248">
        <v>9.2585340000000006E-3</v>
      </c>
      <c r="P2248">
        <v>-0.98704919999999996</v>
      </c>
      <c r="Q2248">
        <v>0.15032809999999999</v>
      </c>
      <c r="R2248">
        <v>5.5995049999999998E-2</v>
      </c>
      <c r="S2248">
        <v>-3.048584</v>
      </c>
      <c r="T2248">
        <v>-6.2714339999999993E-2</v>
      </c>
      <c r="U2248">
        <v>-4.577637E-4</v>
      </c>
      <c r="V2248">
        <v>4.6628320000000001E-2</v>
      </c>
      <c r="W2248">
        <v>0.15786359999999999</v>
      </c>
      <c r="X2248">
        <v>0.9863594</v>
      </c>
      <c r="Y2248">
        <v>-9.4054450000000001E-3</v>
      </c>
      <c r="Z2248">
        <v>-2.5270510000000002E-4</v>
      </c>
      <c r="AA2248">
        <v>0.9999557</v>
      </c>
      <c r="AB2248">
        <v>33</v>
      </c>
      <c r="AC2248">
        <v>-54.311899999999902</v>
      </c>
      <c r="AD2248">
        <v>-1.1212350819949899</v>
      </c>
      <c r="AE2248">
        <v>-9.7000000000093695E-3</v>
      </c>
      <c r="AF2248">
        <v>-0.51234420175768203</v>
      </c>
      <c r="AG2248">
        <v>-1.1212350819949899</v>
      </c>
      <c r="AH2248">
        <v>54.286345883339699</v>
      </c>
      <c r="AI2248">
        <v>91.183171285847195</v>
      </c>
      <c r="AJ2248">
        <v>90.540730609343697</v>
      </c>
      <c r="AK2248">
        <v>54.300340828173098</v>
      </c>
      <c r="AL2248">
        <v>80.917086300078395</v>
      </c>
      <c r="AM2248">
        <v>87.293462726451395</v>
      </c>
      <c r="AN2248">
        <v>0.99999999119967098</v>
      </c>
    </row>
    <row r="2249" spans="1:40" x14ac:dyDescent="0.25">
      <c r="A2249" t="str">
        <f>"20190303170303064"</f>
        <v>20190303170303064</v>
      </c>
      <c r="B2249" t="str">
        <f>"1551603783057648"</f>
        <v>1551603783057648</v>
      </c>
      <c r="C2249" t="s">
        <v>40</v>
      </c>
      <c r="D2249">
        <v>4.2268509999999999</v>
      </c>
      <c r="E2249">
        <v>0.48227120000000001</v>
      </c>
      <c r="F2249" t="s">
        <v>62</v>
      </c>
      <c r="G2249">
        <v>-336.78519999999997</v>
      </c>
      <c r="H2249" s="1">
        <v>2.0784860000000001E-6</v>
      </c>
      <c r="I2249">
        <v>284.5129</v>
      </c>
      <c r="J2249">
        <v>-280.50490000000002</v>
      </c>
      <c r="K2249">
        <v>1.1212359999999999</v>
      </c>
      <c r="L2249">
        <v>284.58679999999998</v>
      </c>
      <c r="M2249">
        <v>-0.99993240000000005</v>
      </c>
      <c r="N2249">
        <v>-7.57618099999999E-3</v>
      </c>
      <c r="O2249">
        <v>8.8367489999999996E-3</v>
      </c>
      <c r="P2249">
        <v>-0.98701719999999904</v>
      </c>
      <c r="Q2249">
        <v>0.1508727</v>
      </c>
      <c r="R2249">
        <v>5.5091800000000003E-2</v>
      </c>
      <c r="S2249">
        <v>-3.0487980000000001</v>
      </c>
      <c r="T2249">
        <v>-6.0516359999999998E-2</v>
      </c>
      <c r="U2249">
        <v>-3.90625E-3</v>
      </c>
      <c r="V2249">
        <v>4.6141639999999998E-2</v>
      </c>
      <c r="W2249">
        <v>0.15841540000000001</v>
      </c>
      <c r="X2249">
        <v>0.98629389999999995</v>
      </c>
      <c r="Y2249">
        <v>-1.011477E-2</v>
      </c>
      <c r="Z2249">
        <v>-2.471347E-4</v>
      </c>
      <c r="AA2249">
        <v>0.99994879999999997</v>
      </c>
      <c r="AB2249">
        <v>33</v>
      </c>
      <c r="AC2249">
        <v>-56.280299999999897</v>
      </c>
      <c r="AD2249">
        <v>-1.1212339215139999</v>
      </c>
      <c r="AE2249">
        <v>-7.3899999999980495E-2</v>
      </c>
      <c r="AF2249">
        <v>-0.57101956398326104</v>
      </c>
      <c r="AG2249">
        <v>-1.1212339215139999</v>
      </c>
      <c r="AH2249">
        <v>56.255121820609901</v>
      </c>
      <c r="AI2249">
        <v>91.141765527132407</v>
      </c>
      <c r="AJ2249">
        <v>90.581562823055194</v>
      </c>
      <c r="AK2249">
        <v>56.269191925074502</v>
      </c>
      <c r="AL2249">
        <v>80.885068346662095</v>
      </c>
      <c r="AM2249">
        <v>87.321493069235601</v>
      </c>
      <c r="AN2249">
        <v>1.00000007353812</v>
      </c>
    </row>
    <row r="2250" spans="1:40" x14ac:dyDescent="0.25">
      <c r="A2250" t="str">
        <f>"20190303170303077"</f>
        <v>20190303170303077</v>
      </c>
      <c r="B2250" t="str">
        <f>"1551603783067408"</f>
        <v>1551603783067408</v>
      </c>
      <c r="C2250" t="s">
        <v>40</v>
      </c>
      <c r="D2250">
        <v>4.3716850000000003</v>
      </c>
      <c r="E2250">
        <v>0.48227120000000001</v>
      </c>
      <c r="F2250" t="s">
        <v>62</v>
      </c>
      <c r="G2250">
        <v>-337.81810000000002</v>
      </c>
      <c r="H2250" s="1">
        <v>2.6331720000000001E-6</v>
      </c>
      <c r="I2250">
        <v>284.3981</v>
      </c>
      <c r="J2250">
        <v>-280.7011</v>
      </c>
      <c r="K2250">
        <v>1.1212390000000001</v>
      </c>
      <c r="L2250">
        <v>284.58819999999997</v>
      </c>
      <c r="M2250">
        <v>-0.99993569999999998</v>
      </c>
      <c r="N2250">
        <v>-7.58413199999999E-3</v>
      </c>
      <c r="O2250">
        <v>8.4389240000000004E-3</v>
      </c>
      <c r="P2250">
        <v>-0.98702789999999996</v>
      </c>
      <c r="Q2250">
        <v>0.15098829999999999</v>
      </c>
      <c r="R2250">
        <v>5.4578519999999998E-2</v>
      </c>
      <c r="S2250">
        <v>-3.0491329999999999</v>
      </c>
      <c r="T2250">
        <v>-5.96509E-2</v>
      </c>
      <c r="U2250">
        <v>-1.004028E-2</v>
      </c>
      <c r="V2250">
        <v>4.6021279999999998E-2</v>
      </c>
      <c r="W2250">
        <v>0.15853829999999999</v>
      </c>
      <c r="X2250">
        <v>0.98627969999999998</v>
      </c>
      <c r="Y2250">
        <v>-1.17281E-2</v>
      </c>
      <c r="Z2250">
        <v>-2.6026510000000001E-4</v>
      </c>
      <c r="AA2250">
        <v>0.99993120000000002</v>
      </c>
      <c r="AB2250">
        <v>33</v>
      </c>
      <c r="AC2250">
        <v>-57.116999999999997</v>
      </c>
      <c r="AD2250">
        <v>-1.1212363668280001</v>
      </c>
      <c r="AE2250">
        <v>-0.19009999999997201</v>
      </c>
      <c r="AF2250">
        <v>-0.67185418098716998</v>
      </c>
      <c r="AG2250">
        <v>-1.1212363668280001</v>
      </c>
      <c r="AH2250">
        <v>57.091361427158198</v>
      </c>
      <c r="AI2250">
        <v>91.125028486239998</v>
      </c>
      <c r="AJ2250">
        <v>90.674228661069904</v>
      </c>
      <c r="AK2250">
        <v>57.106322842897299</v>
      </c>
      <c r="AL2250">
        <v>80.877935880978697</v>
      </c>
      <c r="AM2250">
        <v>87.328431384218604</v>
      </c>
      <c r="AN2250">
        <v>0.99999999870590905</v>
      </c>
    </row>
    <row r="2251" spans="1:40" x14ac:dyDescent="0.25">
      <c r="A2251" t="str">
        <f>"20190303170303188"</f>
        <v>20190303170303188</v>
      </c>
      <c r="B2251" t="str">
        <f>"1551603783177697"</f>
        <v>1551603783177697</v>
      </c>
      <c r="C2251" t="s">
        <v>40</v>
      </c>
      <c r="D2251">
        <v>4.2036179999999996</v>
      </c>
      <c r="E2251">
        <v>0.48130329999999899</v>
      </c>
      <c r="F2251" t="s">
        <v>62</v>
      </c>
      <c r="G2251">
        <v>-338.36829999999998</v>
      </c>
      <c r="H2251" s="1">
        <v>2.9272009999999999E-6</v>
      </c>
      <c r="I2251">
        <v>284.37</v>
      </c>
      <c r="J2251">
        <v>-282.36930000000001</v>
      </c>
      <c r="K2251">
        <v>1.121237</v>
      </c>
      <c r="L2251">
        <v>284.59690000000001</v>
      </c>
      <c r="M2251">
        <v>-0.99995800000000001</v>
      </c>
      <c r="N2251">
        <v>-7.6233769999999998E-3</v>
      </c>
      <c r="O2251">
        <v>5.0920310000000003E-3</v>
      </c>
      <c r="P2251">
        <v>-0.98710819999999999</v>
      </c>
      <c r="Q2251">
        <v>0.15123049999999999</v>
      </c>
      <c r="R2251">
        <v>5.2410940000000003E-2</v>
      </c>
      <c r="S2251">
        <v>-3.0491329999999999</v>
      </c>
      <c r="T2251">
        <v>-5.928493E-2</v>
      </c>
      <c r="U2251">
        <v>-1.153564E-2</v>
      </c>
      <c r="V2251">
        <v>4.7154790000000002E-2</v>
      </c>
      <c r="W2251">
        <v>0.1588212</v>
      </c>
      <c r="X2251">
        <v>0.98618059999999996</v>
      </c>
      <c r="Y2251">
        <v>-8.8726299999999994E-3</v>
      </c>
      <c r="Z2251">
        <v>-1.8025140000000001E-4</v>
      </c>
      <c r="AA2251">
        <v>0.99996059999999998</v>
      </c>
      <c r="AB2251">
        <v>34</v>
      </c>
      <c r="AC2251">
        <v>-55.998999999999903</v>
      </c>
      <c r="AD2251">
        <v>-1.121234072799</v>
      </c>
      <c r="AE2251">
        <v>-0.22689999999999999</v>
      </c>
      <c r="AF2251">
        <v>-0.511848786825291</v>
      </c>
      <c r="AG2251">
        <v>-1.121234072799</v>
      </c>
      <c r="AH2251">
        <v>55.974678872541702</v>
      </c>
      <c r="AI2251">
        <v>91.147495736957396</v>
      </c>
      <c r="AJ2251">
        <v>90.523914713752205</v>
      </c>
      <c r="AK2251">
        <v>55.988247248067601</v>
      </c>
      <c r="AL2251">
        <v>80.861518563371305</v>
      </c>
      <c r="AM2251">
        <v>87.262454538795097</v>
      </c>
      <c r="AN2251">
        <v>0.99999996180287098</v>
      </c>
    </row>
    <row r="2252" spans="1:40" x14ac:dyDescent="0.25">
      <c r="A2252" t="str">
        <f>"20190303170303205"</f>
        <v>20190303170303205</v>
      </c>
      <c r="B2252" t="str">
        <f>"1551603783198193"</f>
        <v>1551603783198193</v>
      </c>
      <c r="C2252" t="s">
        <v>40</v>
      </c>
      <c r="D2252">
        <v>4.2477460000000002</v>
      </c>
      <c r="E2252">
        <v>0.35213260000000002</v>
      </c>
      <c r="F2252" t="s">
        <v>62</v>
      </c>
      <c r="G2252">
        <v>-322.06209999999999</v>
      </c>
      <c r="H2252" s="1">
        <v>-4.227304E-7</v>
      </c>
      <c r="I2252">
        <v>284.23360000000002</v>
      </c>
      <c r="J2252">
        <v>-282.63249999999999</v>
      </c>
      <c r="K2252">
        <v>1.121237</v>
      </c>
      <c r="L2252">
        <v>284.59769999999997</v>
      </c>
      <c r="M2252">
        <v>-0.99996059999999998</v>
      </c>
      <c r="N2252">
        <v>-7.6261530000000001E-3</v>
      </c>
      <c r="O2252">
        <v>4.5649250000000001E-3</v>
      </c>
      <c r="P2252">
        <v>-0.9871664</v>
      </c>
      <c r="Q2252">
        <v>0.15089720000000001</v>
      </c>
      <c r="R2252">
        <v>5.2274090000000002E-2</v>
      </c>
      <c r="S2252">
        <v>-3.053925</v>
      </c>
      <c r="T2252">
        <v>-8.6266880000000004E-2</v>
      </c>
      <c r="U2252">
        <v>-2.7954099999999999E-2</v>
      </c>
      <c r="V2252">
        <v>4.753785E-2</v>
      </c>
      <c r="W2252">
        <v>0.15849170000000001</v>
      </c>
      <c r="X2252">
        <v>0.98621530000000002</v>
      </c>
      <c r="Y2252">
        <v>-1.370997E-2</v>
      </c>
      <c r="Z2252">
        <v>-3.4000239999999998E-4</v>
      </c>
      <c r="AA2252">
        <v>0.99990590000000001</v>
      </c>
      <c r="AB2252">
        <v>34</v>
      </c>
      <c r="AC2252">
        <v>-39.429599999999901</v>
      </c>
      <c r="AD2252">
        <v>-1.1212374227304001</v>
      </c>
      <c r="AE2252">
        <v>-0.36409999999995002</v>
      </c>
      <c r="AF2252">
        <v>-0.54365501045243703</v>
      </c>
      <c r="AG2252">
        <v>-1.1212374227304001</v>
      </c>
      <c r="AH2252">
        <v>39.3956731597182</v>
      </c>
      <c r="AI2252">
        <v>91.630095853738197</v>
      </c>
      <c r="AJ2252">
        <v>90.790623894173194</v>
      </c>
      <c r="AK2252">
        <v>39.415375145187397</v>
      </c>
      <c r="AL2252">
        <v>80.880640453004503</v>
      </c>
      <c r="AM2252">
        <v>87.240347394033904</v>
      </c>
      <c r="AN2252">
        <v>1.0000000420527999</v>
      </c>
    </row>
    <row r="2253" spans="1:40" x14ac:dyDescent="0.25">
      <c r="A2253" t="str">
        <f>"20190303170303217"</f>
        <v>20190303170303217</v>
      </c>
      <c r="B2253" t="str">
        <f>"1551603783207952"</f>
        <v>1551603783207952</v>
      </c>
      <c r="C2253" t="s">
        <v>40</v>
      </c>
      <c r="D2253">
        <v>4.2036610000000003</v>
      </c>
      <c r="E2253">
        <v>0.35190979999999999</v>
      </c>
      <c r="F2253" t="s">
        <v>72</v>
      </c>
      <c r="G2253">
        <v>-334.05329999999998</v>
      </c>
      <c r="H2253">
        <v>4.685098</v>
      </c>
      <c r="I2253">
        <v>267.1275</v>
      </c>
      <c r="J2253">
        <v>-282.81420000000003</v>
      </c>
      <c r="K2253">
        <v>1.121232</v>
      </c>
      <c r="L2253">
        <v>284.59829999999999</v>
      </c>
      <c r="M2253">
        <v>-0.99996220000000002</v>
      </c>
      <c r="N2253">
        <v>-7.6276460000000001E-3</v>
      </c>
      <c r="O2253">
        <v>4.2009059999999999E-3</v>
      </c>
      <c r="P2253">
        <v>-0.9872898</v>
      </c>
      <c r="Q2253">
        <v>0.1502125</v>
      </c>
      <c r="R2253">
        <v>5.1917289999999998E-2</v>
      </c>
      <c r="S2253">
        <v>-3.0616460000000001</v>
      </c>
      <c r="T2253">
        <v>0.21219579999999999</v>
      </c>
      <c r="U2253">
        <v>-1.040192</v>
      </c>
      <c r="V2253">
        <v>4.7540739999999998E-2</v>
      </c>
      <c r="W2253">
        <v>0.15780939999999999</v>
      </c>
      <c r="X2253">
        <v>0.98632450000000005</v>
      </c>
      <c r="Y2253">
        <v>-0.32503759999999998</v>
      </c>
      <c r="Z2253">
        <v>9.9835819999999995E-3</v>
      </c>
      <c r="AA2253">
        <v>0.94564839999999994</v>
      </c>
      <c r="AB2253">
        <v>34</v>
      </c>
      <c r="AC2253">
        <v>-51.239099999999901</v>
      </c>
      <c r="AD2253">
        <v>3.563866</v>
      </c>
      <c r="AE2253">
        <v>-17.470799999999901</v>
      </c>
      <c r="AF2253">
        <v>-17.609585179914401</v>
      </c>
      <c r="AG2253">
        <v>3.563866</v>
      </c>
      <c r="AH2253">
        <v>50.944466190540702</v>
      </c>
      <c r="AI2253">
        <v>86.217258295745197</v>
      </c>
      <c r="AJ2253">
        <v>109.068342035868</v>
      </c>
      <c r="AK2253">
        <v>54.019785879932599</v>
      </c>
      <c r="AL2253">
        <v>80.920230993705999</v>
      </c>
      <c r="AM2253">
        <v>87.240484962616804</v>
      </c>
      <c r="AN2253">
        <v>0.99999997399417795</v>
      </c>
    </row>
    <row r="2254" spans="1:40" x14ac:dyDescent="0.25">
      <c r="A2254" t="str">
        <f>"20190303170303230"</f>
        <v>20190303170303230</v>
      </c>
      <c r="B2254" t="str">
        <f>"1551603783217712"</f>
        <v>1551603783217712</v>
      </c>
      <c r="C2254" t="s">
        <v>40</v>
      </c>
      <c r="D2254">
        <v>4.3317709999999998</v>
      </c>
      <c r="E2254">
        <v>0.3540835</v>
      </c>
      <c r="F2254" t="s">
        <v>72</v>
      </c>
      <c r="G2254">
        <v>-334.07150000000001</v>
      </c>
      <c r="H2254">
        <v>4.6351829999999996</v>
      </c>
      <c r="I2254">
        <v>267.13850000000002</v>
      </c>
      <c r="J2254">
        <v>-283.00529999999998</v>
      </c>
      <c r="K2254">
        <v>1.1212279999999999</v>
      </c>
      <c r="L2254">
        <v>284.59879999999998</v>
      </c>
      <c r="M2254">
        <v>-0.99996379999999996</v>
      </c>
      <c r="N2254">
        <v>-7.6274960000000001E-3</v>
      </c>
      <c r="O2254">
        <v>3.8181180000000001E-3</v>
      </c>
      <c r="P2254">
        <v>-0.98742859999999999</v>
      </c>
      <c r="Q2254">
        <v>0.14939229999999901</v>
      </c>
      <c r="R2254">
        <v>5.164378E-2</v>
      </c>
      <c r="S2254">
        <v>-3.0615230000000002</v>
      </c>
      <c r="T2254">
        <v>0.20988319999999999</v>
      </c>
      <c r="U2254">
        <v>-1.0428470000000001</v>
      </c>
      <c r="V2254">
        <v>4.7645449999999999E-2</v>
      </c>
      <c r="W2254">
        <v>0.15699060000000001</v>
      </c>
      <c r="X2254">
        <v>0.9864501</v>
      </c>
      <c r="Y2254">
        <v>-0.32543709999999998</v>
      </c>
      <c r="Z2254">
        <v>9.8436879999999997E-3</v>
      </c>
      <c r="AA2254">
        <v>0.94551249999999998</v>
      </c>
      <c r="AB2254">
        <v>34</v>
      </c>
      <c r="AC2254">
        <v>-51.066200000000002</v>
      </c>
      <c r="AD2254">
        <v>3.5139550000000002</v>
      </c>
      <c r="AE2254">
        <v>-17.460299999999901</v>
      </c>
      <c r="AF2254">
        <v>-17.580623100197801</v>
      </c>
      <c r="AG2254">
        <v>3.5139550000000002</v>
      </c>
      <c r="AH2254">
        <v>50.783865073473102</v>
      </c>
      <c r="AI2254">
        <v>86.258924431119894</v>
      </c>
      <c r="AJ2254">
        <v>109.095096823766</v>
      </c>
      <c r="AK2254">
        <v>53.855613821902999</v>
      </c>
      <c r="AL2254">
        <v>80.967736896434104</v>
      </c>
      <c r="AM2254">
        <v>87.234768050223394</v>
      </c>
      <c r="AN2254">
        <v>0.99999996859203499</v>
      </c>
    </row>
    <row r="2255" spans="1:40" x14ac:dyDescent="0.25">
      <c r="A2255" t="str">
        <f>"20190303170303243"</f>
        <v>20190303170303243</v>
      </c>
      <c r="B2255" t="str">
        <f>"1551603783238208"</f>
        <v>1551603783238208</v>
      </c>
      <c r="C2255" t="s">
        <v>40</v>
      </c>
      <c r="D2255">
        <v>4.3380169999999998</v>
      </c>
      <c r="E2255">
        <v>0.35782789999999998</v>
      </c>
      <c r="F2255" t="s">
        <v>72</v>
      </c>
      <c r="G2255">
        <v>-333.90410000000003</v>
      </c>
      <c r="H2255">
        <v>4.2813179999999997</v>
      </c>
      <c r="I2255">
        <v>267.52699999999999</v>
      </c>
      <c r="J2255">
        <v>-283.18990000000002</v>
      </c>
      <c r="K2255">
        <v>1.1212230000000001</v>
      </c>
      <c r="L2255">
        <v>284.59910000000002</v>
      </c>
      <c r="M2255">
        <v>-0.99996499999999999</v>
      </c>
      <c r="N2255">
        <v>-7.6263240000000003E-3</v>
      </c>
      <c r="O2255">
        <v>3.4482689999999999E-3</v>
      </c>
      <c r="P2255">
        <v>-0.98748550000000002</v>
      </c>
      <c r="Q2255">
        <v>0.14907819999999999</v>
      </c>
      <c r="R2255">
        <v>5.1458179999999999E-2</v>
      </c>
      <c r="S2255">
        <v>-3.0631710000000001</v>
      </c>
      <c r="T2255">
        <v>0.19017919999999999</v>
      </c>
      <c r="U2255">
        <v>-1.0274049999999999</v>
      </c>
      <c r="V2255">
        <v>4.782484E-2</v>
      </c>
      <c r="W2255">
        <v>0.15667590000000001</v>
      </c>
      <c r="X2255">
        <v>0.98649149999999997</v>
      </c>
      <c r="Y2255">
        <v>-0.32077369999999999</v>
      </c>
      <c r="Z2255">
        <v>8.6609129999999993E-3</v>
      </c>
      <c r="AA2255">
        <v>0.94711630000000002</v>
      </c>
      <c r="AB2255">
        <v>34</v>
      </c>
      <c r="AC2255">
        <v>-50.714199999999998</v>
      </c>
      <c r="AD2255">
        <v>3.1600950000000001</v>
      </c>
      <c r="AE2255">
        <v>-17.072099999999999</v>
      </c>
      <c r="AF2255">
        <v>-17.186939492230898</v>
      </c>
      <c r="AG2255">
        <v>3.1600950000000001</v>
      </c>
      <c r="AH2255">
        <v>50.4789796693927</v>
      </c>
      <c r="AI2255">
        <v>86.608536643425893</v>
      </c>
      <c r="AJ2255">
        <v>108.80253583307601</v>
      </c>
      <c r="AK2255">
        <v>53.418203619942098</v>
      </c>
      <c r="AL2255">
        <v>80.9859942397281</v>
      </c>
      <c r="AM2255">
        <v>87.224489221893293</v>
      </c>
      <c r="AN2255">
        <v>1.0000000162670399</v>
      </c>
    </row>
    <row r="2256" spans="1:40" x14ac:dyDescent="0.25">
      <c r="A2256" t="str">
        <f>"20190303170303259"</f>
        <v>20190303170303259</v>
      </c>
      <c r="B2256" t="str">
        <f>"1551603783247968"</f>
        <v>1551603783247968</v>
      </c>
      <c r="C2256" t="s">
        <v>40</v>
      </c>
      <c r="D2256">
        <v>4.3229649999999999</v>
      </c>
      <c r="E2256">
        <v>0.35896739999999999</v>
      </c>
      <c r="F2256" t="s">
        <v>72</v>
      </c>
      <c r="G2256">
        <v>-334.79849999999999</v>
      </c>
      <c r="H2256">
        <v>3.8239540000000001</v>
      </c>
      <c r="I2256">
        <v>267.76729999999998</v>
      </c>
      <c r="J2256">
        <v>-283.44200000000001</v>
      </c>
      <c r="K2256">
        <v>1.1212169999999999</v>
      </c>
      <c r="L2256">
        <v>284.59949999999998</v>
      </c>
      <c r="M2256">
        <v>-0.99996660000000004</v>
      </c>
      <c r="N2256">
        <v>-7.6237229999999998E-3</v>
      </c>
      <c r="O2256">
        <v>2.9422839999999999E-3</v>
      </c>
      <c r="P2256">
        <v>-0.98748049999999998</v>
      </c>
      <c r="Q2256">
        <v>0.14915300000000001</v>
      </c>
      <c r="R2256">
        <v>5.1340160000000003E-2</v>
      </c>
      <c r="S2256">
        <v>-3.0658569999999998</v>
      </c>
      <c r="T2256">
        <v>0.16055820000000001</v>
      </c>
      <c r="U2256">
        <v>-0.99990840000000003</v>
      </c>
      <c r="V2256">
        <v>4.8205999999999999E-2</v>
      </c>
      <c r="W2256">
        <v>0.15674850000000001</v>
      </c>
      <c r="X2256">
        <v>0.98646140000000004</v>
      </c>
      <c r="Y2256">
        <v>-0.31253360000000002</v>
      </c>
      <c r="Z2256">
        <v>6.9217189999999998E-3</v>
      </c>
      <c r="AA2256">
        <v>0.94988150000000005</v>
      </c>
      <c r="AB2256">
        <v>34</v>
      </c>
      <c r="AC2256">
        <v>-51.356499999999897</v>
      </c>
      <c r="AD2256">
        <v>2.7027369999999999</v>
      </c>
      <c r="AE2256">
        <v>-16.8322</v>
      </c>
      <c r="AF2256">
        <v>-16.9408687891497</v>
      </c>
      <c r="AG2256">
        <v>2.7027369999999999</v>
      </c>
      <c r="AH2256">
        <v>51.178755979029901</v>
      </c>
      <c r="AI2256">
        <v>87.129907702456507</v>
      </c>
      <c r="AJ2256">
        <v>108.31525042627</v>
      </c>
      <c r="AK2256">
        <v>53.9774294143714</v>
      </c>
      <c r="AL2256">
        <v>80.981782399584702</v>
      </c>
      <c r="AM2256">
        <v>87.202318407091596</v>
      </c>
      <c r="AN2256">
        <v>1.0000000021891</v>
      </c>
    </row>
    <row r="2257" spans="1:40" x14ac:dyDescent="0.25">
      <c r="A2257" t="str">
        <f>"20190303170303272"</f>
        <v>20190303170303272</v>
      </c>
      <c r="B2257" t="str">
        <f>"1551603783257728"</f>
        <v>1551603783257728</v>
      </c>
      <c r="C2257" t="s">
        <v>40</v>
      </c>
      <c r="D2257">
        <v>4.3224019999999896</v>
      </c>
      <c r="E2257">
        <v>0.35992390000000002</v>
      </c>
      <c r="F2257" t="s">
        <v>73</v>
      </c>
      <c r="G2257">
        <v>-337.08909999999997</v>
      </c>
      <c r="H2257">
        <v>3.8205650000000002</v>
      </c>
      <c r="I2257">
        <v>267.24149999999997</v>
      </c>
      <c r="J2257">
        <v>-283.64429999999999</v>
      </c>
      <c r="K2257">
        <v>1.121213</v>
      </c>
      <c r="L2257">
        <v>284.59980000000002</v>
      </c>
      <c r="M2257">
        <v>-0.99996779999999996</v>
      </c>
      <c r="N2257">
        <v>-7.6213569999999996E-3</v>
      </c>
      <c r="O2257">
        <v>2.5353559999999999E-3</v>
      </c>
      <c r="P2257">
        <v>-0.98747940000000001</v>
      </c>
      <c r="Q2257">
        <v>0.14918210000000001</v>
      </c>
      <c r="R2257">
        <v>5.1276240000000001E-2</v>
      </c>
      <c r="S2257">
        <v>-3.066284</v>
      </c>
      <c r="T2257">
        <v>0.15428520000000001</v>
      </c>
      <c r="U2257">
        <v>-0.99212650000000002</v>
      </c>
      <c r="V2257">
        <v>4.8543200000000002E-2</v>
      </c>
      <c r="W2257">
        <v>0.15677579999999999</v>
      </c>
      <c r="X2257">
        <v>0.98644050000000005</v>
      </c>
      <c r="Y2257">
        <v>-0.30995669999999997</v>
      </c>
      <c r="Z2257">
        <v>6.5315140000000004E-3</v>
      </c>
      <c r="AA2257">
        <v>0.95072820000000002</v>
      </c>
      <c r="AB2257">
        <v>34</v>
      </c>
      <c r="AC2257">
        <v>-53.444800000000001</v>
      </c>
      <c r="AD2257">
        <v>2.6993520000000002</v>
      </c>
      <c r="AE2257">
        <v>-17.3583</v>
      </c>
      <c r="AF2257">
        <v>-17.453474690979199</v>
      </c>
      <c r="AG2257">
        <v>2.6993520000000002</v>
      </c>
      <c r="AH2257">
        <v>53.277675739360802</v>
      </c>
      <c r="AI2257">
        <v>87.243452956100299</v>
      </c>
      <c r="AJ2257">
        <v>108.13851237829201</v>
      </c>
      <c r="AK2257">
        <v>56.128611351048299</v>
      </c>
      <c r="AL2257">
        <v>80.980198413728203</v>
      </c>
      <c r="AM2257">
        <v>87.182720505123697</v>
      </c>
      <c r="AN2257">
        <v>0.99999997688606401</v>
      </c>
    </row>
    <row r="2258" spans="1:40" x14ac:dyDescent="0.25">
      <c r="A2258" t="str">
        <f>"20190303170303285"</f>
        <v>20190303170303285</v>
      </c>
      <c r="B2258" t="str">
        <f>"1551603783278224"</f>
        <v>1551603783278224</v>
      </c>
      <c r="C2258" t="s">
        <v>40</v>
      </c>
      <c r="D2258">
        <v>4.305936</v>
      </c>
      <c r="E2258">
        <v>0.36073189999999999</v>
      </c>
      <c r="F2258" t="s">
        <v>73</v>
      </c>
      <c r="G2258">
        <v>-337.03590000000003</v>
      </c>
      <c r="H2258">
        <v>3.6946690000000002</v>
      </c>
      <c r="I2258">
        <v>267.4461</v>
      </c>
      <c r="J2258">
        <v>-283.8229</v>
      </c>
      <c r="K2258">
        <v>1.1212150000000001</v>
      </c>
      <c r="L2258">
        <v>284.59989999999999</v>
      </c>
      <c r="M2258">
        <v>-0.99996859999999999</v>
      </c>
      <c r="N2258">
        <v>-7.6195450000000001E-3</v>
      </c>
      <c r="O2258">
        <v>2.1755089999999999E-3</v>
      </c>
      <c r="P2258">
        <v>-0.98751719999999998</v>
      </c>
      <c r="Q2258">
        <v>0.1490283</v>
      </c>
      <c r="R2258">
        <v>5.0992929999999999E-2</v>
      </c>
      <c r="S2258">
        <v>-3.0668639999999998</v>
      </c>
      <c r="T2258">
        <v>0.1478217</v>
      </c>
      <c r="U2258">
        <v>-0.985321</v>
      </c>
      <c r="V2258">
        <v>4.8614289999999998E-2</v>
      </c>
      <c r="W2258">
        <v>0.15662089999999901</v>
      </c>
      <c r="X2258">
        <v>0.98646160000000005</v>
      </c>
      <c r="Y2258">
        <v>-0.30767929999999999</v>
      </c>
      <c r="Z2258">
        <v>6.1459499999999999E-3</v>
      </c>
      <c r="AA2258">
        <v>0.95147029999999999</v>
      </c>
      <c r="AB2258">
        <v>34</v>
      </c>
      <c r="AC2258">
        <v>-53.213000000000001</v>
      </c>
      <c r="AD2258">
        <v>2.5734539999999999</v>
      </c>
      <c r="AE2258">
        <v>-17.153799999999901</v>
      </c>
      <c r="AF2258">
        <v>-17.233017240692899</v>
      </c>
      <c r="AG2258">
        <v>2.5734539999999999</v>
      </c>
      <c r="AH2258">
        <v>53.063132061294802</v>
      </c>
      <c r="AI2258">
        <v>87.359023252683102</v>
      </c>
      <c r="AJ2258">
        <v>107.991952451632</v>
      </c>
      <c r="AK2258">
        <v>55.850653826634399</v>
      </c>
      <c r="AL2258">
        <v>80.9891844948488</v>
      </c>
      <c r="AM2258">
        <v>87.178661599882602</v>
      </c>
      <c r="AN2258">
        <v>0.99999997189178602</v>
      </c>
    </row>
    <row r="2259" spans="1:40" x14ac:dyDescent="0.25">
      <c r="A2259" t="str">
        <f>"20190303170303296"</f>
        <v>20190303170303296</v>
      </c>
      <c r="B2259" t="str">
        <f>"1551603783287984"</f>
        <v>1551603783287984</v>
      </c>
      <c r="C2259" t="s">
        <v>40</v>
      </c>
      <c r="D2259">
        <v>4.329974</v>
      </c>
      <c r="E2259">
        <v>0.36098370000000002</v>
      </c>
      <c r="F2259" t="s">
        <v>73</v>
      </c>
      <c r="G2259">
        <v>-337.13099999999997</v>
      </c>
      <c r="H2259">
        <v>3.5726749999999998</v>
      </c>
      <c r="I2259">
        <v>267.56119999999999</v>
      </c>
      <c r="J2259">
        <v>-284.01900000000001</v>
      </c>
      <c r="K2259">
        <v>1.1212139999999999</v>
      </c>
      <c r="L2259">
        <v>284.60000000000002</v>
      </c>
      <c r="M2259">
        <v>-0.99996940000000001</v>
      </c>
      <c r="N2259">
        <v>-7.617721E-3</v>
      </c>
      <c r="O2259">
        <v>1.7801939999999999E-3</v>
      </c>
      <c r="P2259">
        <v>-0.98757709999999999</v>
      </c>
      <c r="Q2259">
        <v>0.14872340000000001</v>
      </c>
      <c r="R2259">
        <v>5.0724499999999999E-2</v>
      </c>
      <c r="S2259">
        <v>-3.0672609999999998</v>
      </c>
      <c r="T2259">
        <v>0.14105279999999901</v>
      </c>
      <c r="U2259">
        <v>-0.98037719999999995</v>
      </c>
      <c r="V2259">
        <v>4.8735559999999997E-2</v>
      </c>
      <c r="W2259">
        <v>0.15631519999999999</v>
      </c>
      <c r="X2259">
        <v>0.98650409999999999</v>
      </c>
      <c r="Y2259">
        <v>-0.30590440000000002</v>
      </c>
      <c r="Z2259">
        <v>5.7584819999999997E-3</v>
      </c>
      <c r="AA2259">
        <v>0.95204480000000002</v>
      </c>
      <c r="AB2259">
        <v>34</v>
      </c>
      <c r="AC2259">
        <v>-53.111999999999902</v>
      </c>
      <c r="AD2259">
        <v>2.4514610000000001</v>
      </c>
      <c r="AE2259">
        <v>-17.038799999999998</v>
      </c>
      <c r="AF2259">
        <v>-17.1002941655019</v>
      </c>
      <c r="AG2259">
        <v>2.4514610000000001</v>
      </c>
      <c r="AH2259">
        <v>52.979246903504297</v>
      </c>
      <c r="AI2259">
        <v>87.478604953206599</v>
      </c>
      <c r="AJ2259">
        <v>107.88870162403001</v>
      </c>
      <c r="AK2259">
        <v>55.724593529640799</v>
      </c>
      <c r="AL2259">
        <v>81.006918205565597</v>
      </c>
      <c r="AM2259">
        <v>87.171756741159598</v>
      </c>
      <c r="AN2259">
        <v>0.99999996793818102</v>
      </c>
    </row>
    <row r="2260" spans="1:40" x14ac:dyDescent="0.25">
      <c r="A2260" t="str">
        <f>"20190303170303308"</f>
        <v>20190303170303308</v>
      </c>
      <c r="B2260" t="str">
        <f>"1551603783297745"</f>
        <v>1551603783297745</v>
      </c>
      <c r="C2260" t="s">
        <v>40</v>
      </c>
      <c r="D2260">
        <v>4.3222449999999997</v>
      </c>
      <c r="E2260">
        <v>0.36111209999999999</v>
      </c>
      <c r="F2260" t="s">
        <v>73</v>
      </c>
      <c r="G2260">
        <v>-337.03550000000001</v>
      </c>
      <c r="H2260">
        <v>3.5065300000000001</v>
      </c>
      <c r="I2260">
        <v>267.66980000000001</v>
      </c>
      <c r="J2260">
        <v>-284.19560000000001</v>
      </c>
      <c r="K2260">
        <v>1.1212139999999999</v>
      </c>
      <c r="L2260">
        <v>284.60000000000002</v>
      </c>
      <c r="M2260">
        <v>-0.99997000000000003</v>
      </c>
      <c r="N2260">
        <v>-7.6165039999999996E-3</v>
      </c>
      <c r="O2260">
        <v>1.423264E-3</v>
      </c>
      <c r="P2260">
        <v>-0.98770369999999996</v>
      </c>
      <c r="Q2260">
        <v>0.14802799999999999</v>
      </c>
      <c r="R2260">
        <v>5.029111E-2</v>
      </c>
      <c r="S2260">
        <v>-3.0672609999999998</v>
      </c>
      <c r="T2260">
        <v>0.13800190000000001</v>
      </c>
      <c r="U2260">
        <v>-0.97949219999999904</v>
      </c>
      <c r="V2260">
        <v>4.8654629999999997E-2</v>
      </c>
      <c r="W2260">
        <v>0.15561949999999999</v>
      </c>
      <c r="X2260">
        <v>0.98661810000000005</v>
      </c>
      <c r="Y2260">
        <v>-0.30532769999999998</v>
      </c>
      <c r="Z2260">
        <v>5.5803629999999996E-3</v>
      </c>
      <c r="AA2260">
        <v>0.95223100000000005</v>
      </c>
      <c r="AB2260">
        <v>34</v>
      </c>
      <c r="AC2260">
        <v>-52.8399</v>
      </c>
      <c r="AD2260">
        <v>2.385316</v>
      </c>
      <c r="AE2260">
        <v>-16.930199999999999</v>
      </c>
      <c r="AF2260">
        <v>-16.974020408245</v>
      </c>
      <c r="AG2260">
        <v>2.385316</v>
      </c>
      <c r="AH2260">
        <v>52.718320710019199</v>
      </c>
      <c r="AI2260">
        <v>87.533850663488707</v>
      </c>
      <c r="AJ2260">
        <v>107.847299211155</v>
      </c>
      <c r="AK2260">
        <v>55.434902721334403</v>
      </c>
      <c r="AL2260">
        <v>81.047272917554906</v>
      </c>
      <c r="AM2260">
        <v>87.1767714228708</v>
      </c>
      <c r="AN2260">
        <v>0.99999998852414795</v>
      </c>
    </row>
    <row r="2261" spans="1:40" x14ac:dyDescent="0.25">
      <c r="A2261" t="str">
        <f>"20190303170303320"</f>
        <v>20190303170303320</v>
      </c>
      <c r="B2261" t="str">
        <f>"1551603783307504"</f>
        <v>1551603783307504</v>
      </c>
      <c r="C2261" t="s">
        <v>40</v>
      </c>
      <c r="D2261">
        <v>4.3366809999999996</v>
      </c>
      <c r="E2261">
        <v>0.3611529</v>
      </c>
      <c r="F2261" t="s">
        <v>73</v>
      </c>
      <c r="G2261">
        <v>-337.30250000000001</v>
      </c>
      <c r="H2261">
        <v>3.4356300000000002</v>
      </c>
      <c r="I2261">
        <v>267.63080000000002</v>
      </c>
      <c r="J2261">
        <v>-284.36829999999998</v>
      </c>
      <c r="K2261">
        <v>1.1212120000000001</v>
      </c>
      <c r="L2261">
        <v>284.60000000000002</v>
      </c>
      <c r="M2261">
        <v>-0.99997049999999998</v>
      </c>
      <c r="N2261">
        <v>-7.6155149999999998E-3</v>
      </c>
      <c r="O2261">
        <v>1.0737839999999999E-3</v>
      </c>
      <c r="P2261">
        <v>-0.98786819999999997</v>
      </c>
      <c r="Q2261">
        <v>0.14707500000000001</v>
      </c>
      <c r="R2261">
        <v>4.9853509999999997E-2</v>
      </c>
      <c r="S2261">
        <v>-3.0672299999999999</v>
      </c>
      <c r="T2261">
        <v>0.13367089999999901</v>
      </c>
      <c r="U2261">
        <v>-0.98007200000000005</v>
      </c>
      <c r="V2261">
        <v>4.856249E-2</v>
      </c>
      <c r="W2261">
        <v>0.15466659999999999</v>
      </c>
      <c r="X2261">
        <v>0.98677250000000005</v>
      </c>
      <c r="Y2261">
        <v>-0.30517739999999999</v>
      </c>
      <c r="Z2261">
        <v>5.3483339999999997E-3</v>
      </c>
      <c r="AA2261">
        <v>0.95228049999999997</v>
      </c>
      <c r="AB2261">
        <v>34</v>
      </c>
      <c r="AC2261">
        <v>-52.934199999999997</v>
      </c>
      <c r="AD2261">
        <v>2.3144179999999999</v>
      </c>
      <c r="AE2261">
        <v>-16.969200000000001</v>
      </c>
      <c r="AF2261">
        <v>-16.996567961405599</v>
      </c>
      <c r="AG2261">
        <v>2.3144179999999999</v>
      </c>
      <c r="AH2261">
        <v>52.824375879683899</v>
      </c>
      <c r="AI2261">
        <v>87.611710677715493</v>
      </c>
      <c r="AJ2261">
        <v>107.835898762607</v>
      </c>
      <c r="AK2261">
        <v>55.539666367593</v>
      </c>
      <c r="AL2261">
        <v>81.102539511858097</v>
      </c>
      <c r="AM2261">
        <v>87.182549507645703</v>
      </c>
      <c r="AN2261">
        <v>1.0000000196734</v>
      </c>
    </row>
    <row r="2262" spans="1:40" x14ac:dyDescent="0.25">
      <c r="A2262" t="str">
        <f>"20190303170303330"</f>
        <v>20190303170303330</v>
      </c>
      <c r="B2262" t="str">
        <f>"1551603783318239"</f>
        <v>1551603783318239</v>
      </c>
      <c r="C2262" t="s">
        <v>40</v>
      </c>
      <c r="D2262">
        <v>4.3427309999999997</v>
      </c>
      <c r="E2262">
        <v>0.3612919</v>
      </c>
      <c r="F2262" t="s">
        <v>73</v>
      </c>
      <c r="G2262">
        <v>-337.92540000000002</v>
      </c>
      <c r="H2262">
        <v>3.3762569999999998</v>
      </c>
      <c r="I2262">
        <v>267.4667</v>
      </c>
      <c r="J2262">
        <v>-284.5437</v>
      </c>
      <c r="K2262">
        <v>1.121208</v>
      </c>
      <c r="L2262">
        <v>284.59989999999999</v>
      </c>
      <c r="M2262">
        <v>-0.9999709</v>
      </c>
      <c r="N2262">
        <v>-7.6148040000000002E-3</v>
      </c>
      <c r="O2262">
        <v>7.1875940000000005E-4</v>
      </c>
      <c r="P2262">
        <v>-0.98806329999999998</v>
      </c>
      <c r="Q2262">
        <v>0.14593419999999999</v>
      </c>
      <c r="R2262">
        <v>4.9342839999999999E-2</v>
      </c>
      <c r="S2262">
        <v>-3.0671390000000001</v>
      </c>
      <c r="T2262">
        <v>0.12914320000000001</v>
      </c>
      <c r="U2262">
        <v>-0.9812012</v>
      </c>
      <c r="V2262">
        <v>4.840332E-2</v>
      </c>
      <c r="W2262">
        <v>0.15352689999999999</v>
      </c>
      <c r="X2262">
        <v>0.98695829999999996</v>
      </c>
      <c r="Y2262">
        <v>-0.30518190000000001</v>
      </c>
      <c r="Z2262">
        <v>5.1100700000000004E-3</v>
      </c>
      <c r="AA2262">
        <v>0.95228029999999997</v>
      </c>
      <c r="AB2262">
        <v>34</v>
      </c>
      <c r="AC2262">
        <v>-53.381700000000002</v>
      </c>
      <c r="AD2262">
        <v>2.2550490000000001</v>
      </c>
      <c r="AE2262">
        <v>-17.133199999999899</v>
      </c>
      <c r="AF2262">
        <v>-17.1438286082053</v>
      </c>
      <c r="AG2262">
        <v>2.2550490000000001</v>
      </c>
      <c r="AH2262">
        <v>53.283165396093601</v>
      </c>
      <c r="AI2262">
        <v>87.692917330501501</v>
      </c>
      <c r="AJ2262">
        <v>107.835550206213</v>
      </c>
      <c r="AK2262">
        <v>56.018673850488298</v>
      </c>
      <c r="AL2262">
        <v>81.168629066342902</v>
      </c>
      <c r="AM2262">
        <v>87.192297086769301</v>
      </c>
      <c r="AN2262">
        <v>1.00000003817476</v>
      </c>
    </row>
    <row r="2263" spans="1:40" x14ac:dyDescent="0.25">
      <c r="A2263" t="str">
        <f>"20190303170303348"</f>
        <v>20190303170303348</v>
      </c>
      <c r="B2263" t="str">
        <f>"1551603783337761"</f>
        <v>1551603783337761</v>
      </c>
      <c r="C2263" t="s">
        <v>40</v>
      </c>
      <c r="D2263">
        <v>4.3805019999999999</v>
      </c>
      <c r="E2263">
        <v>0.3611009</v>
      </c>
      <c r="F2263" t="s">
        <v>73</v>
      </c>
      <c r="G2263">
        <v>-338.03539999999998</v>
      </c>
      <c r="H2263">
        <v>3.2846839999999902</v>
      </c>
      <c r="I2263">
        <v>267.4742</v>
      </c>
      <c r="J2263">
        <v>-284.80919999999998</v>
      </c>
      <c r="K2263">
        <v>1.1212009999999999</v>
      </c>
      <c r="L2263">
        <v>284.59960000000001</v>
      </c>
      <c r="M2263">
        <v>-0.99997100000000005</v>
      </c>
      <c r="N2263">
        <v>-7.6143460000000001E-3</v>
      </c>
      <c r="O2263">
        <v>1.808584E-4</v>
      </c>
      <c r="P2263">
        <v>-0.98860789999999998</v>
      </c>
      <c r="Q2263">
        <v>0.14229910000000001</v>
      </c>
      <c r="R2263">
        <v>4.9046909999999999E-2</v>
      </c>
      <c r="S2263">
        <v>-3.0669559999999998</v>
      </c>
      <c r="T2263">
        <v>0.1240433</v>
      </c>
      <c r="U2263">
        <v>-0.98190310000000003</v>
      </c>
      <c r="V2263">
        <v>4.8642890000000001E-2</v>
      </c>
      <c r="W2263">
        <v>0.1498958</v>
      </c>
      <c r="X2263">
        <v>0.98750450000000001</v>
      </c>
      <c r="Y2263">
        <v>-0.3049017</v>
      </c>
      <c r="Z2263">
        <v>4.8322130000000001E-3</v>
      </c>
      <c r="AA2263">
        <v>0.95237150000000004</v>
      </c>
      <c r="AB2263">
        <v>34</v>
      </c>
      <c r="AC2263">
        <v>-53.226199999999999</v>
      </c>
      <c r="AD2263">
        <v>2.1634829999999901</v>
      </c>
      <c r="AE2263">
        <v>-17.125399999999999</v>
      </c>
      <c r="AF2263">
        <v>-17.109410464112901</v>
      </c>
      <c r="AG2263">
        <v>2.1634829999999901</v>
      </c>
      <c r="AH2263">
        <v>53.143536101054302</v>
      </c>
      <c r="AI2263">
        <v>87.780818901700897</v>
      </c>
      <c r="AJ2263">
        <v>107.845815358783</v>
      </c>
      <c r="AK2263">
        <v>55.8717103232472</v>
      </c>
      <c r="AL2263">
        <v>81.379112016413004</v>
      </c>
      <c r="AM2263">
        <v>87.1799810187741</v>
      </c>
      <c r="AN2263">
        <v>1.0000000095627199</v>
      </c>
    </row>
    <row r="2264" spans="1:40" x14ac:dyDescent="0.25">
      <c r="A2264" t="str">
        <f>"20190303170303363"</f>
        <v>20190303170303363</v>
      </c>
      <c r="B2264" t="str">
        <f>"1551603783347520"</f>
        <v>1551603783347520</v>
      </c>
      <c r="C2264" t="s">
        <v>40</v>
      </c>
      <c r="D2264">
        <v>4.3257029999999999</v>
      </c>
      <c r="E2264">
        <v>0.36108089999999998</v>
      </c>
      <c r="F2264" t="s">
        <v>65</v>
      </c>
      <c r="G2264">
        <v>-352.55</v>
      </c>
      <c r="H2264">
        <v>3.6052789999999999</v>
      </c>
      <c r="I2264">
        <v>262.85599999999999</v>
      </c>
      <c r="J2264">
        <v>-285.02510000000001</v>
      </c>
      <c r="K2264">
        <v>1.121191</v>
      </c>
      <c r="L2264">
        <v>284.59930000000003</v>
      </c>
      <c r="M2264">
        <v>-0.9999711</v>
      </c>
      <c r="N2264">
        <v>-7.6144899999999998E-3</v>
      </c>
      <c r="O2264">
        <v>-2.5719909999999998E-4</v>
      </c>
      <c r="P2264">
        <v>-0.98894749999999998</v>
      </c>
      <c r="Q2264">
        <v>0.14007600000000001</v>
      </c>
      <c r="R2264">
        <v>4.8601499999999999E-2</v>
      </c>
      <c r="S2264">
        <v>-3.0672299999999999</v>
      </c>
      <c r="T2264">
        <v>0.1124797</v>
      </c>
      <c r="U2264">
        <v>-0.98452759999999995</v>
      </c>
      <c r="V2264">
        <v>4.8633120000000002E-2</v>
      </c>
      <c r="W2264">
        <v>0.1476759</v>
      </c>
      <c r="X2264">
        <v>0.98783940000000003</v>
      </c>
      <c r="Y2264">
        <v>-0.30523499999999998</v>
      </c>
      <c r="Z2264">
        <v>4.255834E-3</v>
      </c>
      <c r="AA2264">
        <v>0.95226750000000004</v>
      </c>
      <c r="AB2264">
        <v>34</v>
      </c>
      <c r="AC2264">
        <v>-67.524900000000002</v>
      </c>
      <c r="AD2264">
        <v>2.4840879999999999</v>
      </c>
      <c r="AE2264">
        <v>-21.743300000000001</v>
      </c>
      <c r="AF2264">
        <v>-21.699323790226099</v>
      </c>
      <c r="AG2264">
        <v>2.4840879999999999</v>
      </c>
      <c r="AH2264">
        <v>67.447786012326802</v>
      </c>
      <c r="AI2264">
        <v>87.992030508416605</v>
      </c>
      <c r="AJ2264">
        <v>107.83403865666401</v>
      </c>
      <c r="AK2264">
        <v>70.895946175429899</v>
      </c>
      <c r="AL2264">
        <v>81.507734640807101</v>
      </c>
      <c r="AM2264">
        <v>87.181500827194995</v>
      </c>
      <c r="AN2264">
        <v>1.0000000159970499</v>
      </c>
    </row>
    <row r="2265" spans="1:40" x14ac:dyDescent="0.25">
      <c r="A2265" t="str">
        <f>"20190303170303377"</f>
        <v>20190303170303377</v>
      </c>
      <c r="B2265" t="str">
        <f>"1551603783368016"</f>
        <v>1551603783368016</v>
      </c>
      <c r="C2265" t="s">
        <v>40</v>
      </c>
      <c r="D2265">
        <v>4.3726139999999996</v>
      </c>
      <c r="E2265">
        <v>0.36109479999999999</v>
      </c>
      <c r="F2265" t="s">
        <v>65</v>
      </c>
      <c r="G2265">
        <v>-352.55</v>
      </c>
      <c r="H2265">
        <v>3.4357660000000001</v>
      </c>
      <c r="I2265">
        <v>262.88920000000002</v>
      </c>
      <c r="J2265">
        <v>-285.25080000000003</v>
      </c>
      <c r="K2265">
        <v>1.1211799999999901</v>
      </c>
      <c r="L2265">
        <v>284.59879999999998</v>
      </c>
      <c r="M2265">
        <v>-0.9999709</v>
      </c>
      <c r="N2265">
        <v>-7.615078E-3</v>
      </c>
      <c r="O2265">
        <v>-7.1546350000000001E-4</v>
      </c>
      <c r="P2265">
        <v>-0.9893672</v>
      </c>
      <c r="Q2265">
        <v>0.13717070000000001</v>
      </c>
      <c r="R2265">
        <v>4.8341019999999998E-2</v>
      </c>
      <c r="S2265">
        <v>-3.0671080000000002</v>
      </c>
      <c r="T2265">
        <v>0.1051357</v>
      </c>
      <c r="U2265">
        <v>-0.9861145</v>
      </c>
      <c r="V2265">
        <v>4.8829520000000001E-2</v>
      </c>
      <c r="W2265">
        <v>0.1447744</v>
      </c>
      <c r="X2265">
        <v>0.98825909999999995</v>
      </c>
      <c r="Y2265">
        <v>-0.30527739999999998</v>
      </c>
      <c r="Z2265">
        <v>3.8817639999999998E-3</v>
      </c>
      <c r="AA2265">
        <v>0.95225550000000003</v>
      </c>
      <c r="AB2265">
        <v>34</v>
      </c>
      <c r="AC2265">
        <v>-67.2991999999999</v>
      </c>
      <c r="AD2265">
        <v>2.3145859999999998</v>
      </c>
      <c r="AE2265">
        <v>-21.709599999999899</v>
      </c>
      <c r="AF2265">
        <v>-21.638260633765999</v>
      </c>
      <c r="AG2265">
        <v>2.3145859999999998</v>
      </c>
      <c r="AH2265">
        <v>67.242674746370696</v>
      </c>
      <c r="AI2265">
        <v>88.123280380517102</v>
      </c>
      <c r="AJ2265">
        <v>107.83784166955</v>
      </c>
      <c r="AK2265">
        <v>70.676367610767798</v>
      </c>
      <c r="AL2265">
        <v>81.675784575746306</v>
      </c>
      <c r="AM2265">
        <v>87.171336915626597</v>
      </c>
      <c r="AN2265">
        <v>0.99999999882580004</v>
      </c>
    </row>
    <row r="2266" spans="1:40" x14ac:dyDescent="0.25">
      <c r="A2266" t="str">
        <f>"20190303170303396"</f>
        <v>20190303170303396</v>
      </c>
      <c r="B2266" t="str">
        <f>"1551603783388512"</f>
        <v>1551603783388512</v>
      </c>
      <c r="C2266" t="s">
        <v>40</v>
      </c>
      <c r="D2266">
        <v>4.3511249999999997</v>
      </c>
      <c r="E2266">
        <v>0.36082930000000002</v>
      </c>
      <c r="F2266" t="s">
        <v>65</v>
      </c>
      <c r="G2266">
        <v>-352.55</v>
      </c>
      <c r="H2266">
        <v>3.2073680000000002</v>
      </c>
      <c r="I2266">
        <v>262.9452</v>
      </c>
      <c r="J2266">
        <v>-285.5369</v>
      </c>
      <c r="K2266">
        <v>1.121159</v>
      </c>
      <c r="L2266">
        <v>284.59809999999999</v>
      </c>
      <c r="M2266">
        <v>-0.99997029999999998</v>
      </c>
      <c r="N2266">
        <v>-7.6166609999999899E-3</v>
      </c>
      <c r="O2266">
        <v>-1.296759E-3</v>
      </c>
      <c r="P2266">
        <v>-0.9899</v>
      </c>
      <c r="Q2266">
        <v>0.1332411</v>
      </c>
      <c r="R2266">
        <v>4.842598E-2</v>
      </c>
      <c r="S2266">
        <v>-3.067291</v>
      </c>
      <c r="T2266">
        <v>9.5085260000000005E-2</v>
      </c>
      <c r="U2266">
        <v>-0.98690800000000001</v>
      </c>
      <c r="V2266">
        <v>4.9495259999999999E-2</v>
      </c>
      <c r="W2266">
        <v>0.140852</v>
      </c>
      <c r="X2266">
        <v>0.98879269999999997</v>
      </c>
      <c r="Y2266">
        <v>-0.30495679999999997</v>
      </c>
      <c r="Z2266">
        <v>3.3703750000000001E-3</v>
      </c>
      <c r="AA2266">
        <v>0.95236019999999999</v>
      </c>
      <c r="AB2266">
        <v>34</v>
      </c>
      <c r="AC2266">
        <v>-67.013099999999994</v>
      </c>
      <c r="AD2266">
        <v>2.0862090000000002</v>
      </c>
      <c r="AE2266">
        <v>-21.652899999999899</v>
      </c>
      <c r="AF2266">
        <v>-21.547070952625202</v>
      </c>
      <c r="AG2266">
        <v>2.0862090000000002</v>
      </c>
      <c r="AH2266">
        <v>66.982343135493693</v>
      </c>
      <c r="AI2266">
        <v>88.301714526958506</v>
      </c>
      <c r="AJ2266">
        <v>107.832092684711</v>
      </c>
      <c r="AK2266">
        <v>70.393627741082994</v>
      </c>
      <c r="AL2266">
        <v>81.902849483102202</v>
      </c>
      <c r="AM2266">
        <v>87.134379619703296</v>
      </c>
      <c r="AN2266">
        <v>1.0000000351198699</v>
      </c>
    </row>
    <row r="2267" spans="1:40" x14ac:dyDescent="0.25">
      <c r="A2267" t="str">
        <f>"20190303170303415"</f>
        <v>20190303170303415</v>
      </c>
      <c r="B2267" t="str">
        <f>"1551603783408033"</f>
        <v>1551603783408033</v>
      </c>
      <c r="C2267" t="s">
        <v>40</v>
      </c>
      <c r="D2267">
        <v>4.3230469999999999</v>
      </c>
      <c r="E2267">
        <v>0.36068790000000001</v>
      </c>
      <c r="F2267" t="s">
        <v>65</v>
      </c>
      <c r="G2267">
        <v>-352.55</v>
      </c>
      <c r="H2267">
        <v>2.9440460000000002</v>
      </c>
      <c r="I2267">
        <v>263.0018</v>
      </c>
      <c r="J2267">
        <v>-285.84750000000003</v>
      </c>
      <c r="K2267">
        <v>1.1211610000000001</v>
      </c>
      <c r="L2267">
        <v>284.59719999999999</v>
      </c>
      <c r="M2267">
        <v>-0.9999692</v>
      </c>
      <c r="N2267">
        <v>-7.6193049999999998E-3</v>
      </c>
      <c r="O2267">
        <v>-1.927649E-3</v>
      </c>
      <c r="P2267">
        <v>-0.98992500000000005</v>
      </c>
      <c r="Q2267">
        <v>0.13241169999999999</v>
      </c>
      <c r="R2267">
        <v>5.0157260000000002E-2</v>
      </c>
      <c r="S2267">
        <v>-3.0677490000000001</v>
      </c>
      <c r="T2267">
        <v>8.3452109999999996E-2</v>
      </c>
      <c r="U2267">
        <v>-0.98864750000000001</v>
      </c>
      <c r="V2267">
        <v>5.1851349999999997E-2</v>
      </c>
      <c r="W2267">
        <v>0.14002909999999999</v>
      </c>
      <c r="X2267">
        <v>0.98878880000000002</v>
      </c>
      <c r="Y2267">
        <v>-0.3048302</v>
      </c>
      <c r="Z2267">
        <v>2.7874739999999999E-3</v>
      </c>
      <c r="AA2267">
        <v>0.95240270000000005</v>
      </c>
      <c r="AB2267">
        <v>35</v>
      </c>
      <c r="AC2267">
        <v>-66.702499999999901</v>
      </c>
      <c r="AD2267">
        <v>1.8228850000000001</v>
      </c>
      <c r="AE2267">
        <v>-21.595399999999898</v>
      </c>
      <c r="AF2267">
        <v>-21.4522755198469</v>
      </c>
      <c r="AG2267">
        <v>1.8228850000000001</v>
      </c>
      <c r="AH2267">
        <v>66.698917500394003</v>
      </c>
      <c r="AI2267">
        <v>88.509644671127603</v>
      </c>
      <c r="AJ2267">
        <v>107.829272829676</v>
      </c>
      <c r="AK2267">
        <v>70.087578289073605</v>
      </c>
      <c r="AL2267">
        <v>81.9504698677286</v>
      </c>
      <c r="AM2267">
        <v>86.998201402731397</v>
      </c>
      <c r="AN2267">
        <v>1.00000000117453</v>
      </c>
    </row>
    <row r="2268" spans="1:40" x14ac:dyDescent="0.25">
      <c r="A2268" t="str">
        <f>"20190303170303427"</f>
        <v>20190303170303427</v>
      </c>
      <c r="B2268" t="str">
        <f>"1551603783417794"</f>
        <v>1551603783417794</v>
      </c>
      <c r="C2268" t="s">
        <v>40</v>
      </c>
      <c r="D2268">
        <v>4.1141779999999999</v>
      </c>
      <c r="E2268">
        <v>0.3603403</v>
      </c>
      <c r="F2268" t="s">
        <v>65</v>
      </c>
      <c r="G2268">
        <v>-352.55</v>
      </c>
      <c r="H2268">
        <v>2.8862760000000001</v>
      </c>
      <c r="I2268">
        <v>263.20499999999998</v>
      </c>
      <c r="J2268">
        <v>-286.03339999999997</v>
      </c>
      <c r="K2268">
        <v>1.121164</v>
      </c>
      <c r="L2268">
        <v>284.59649999999999</v>
      </c>
      <c r="M2268">
        <v>-0.99996830000000003</v>
      </c>
      <c r="N2268">
        <v>-7.6213950000000004E-3</v>
      </c>
      <c r="O2268">
        <v>-2.3053269999999998E-3</v>
      </c>
      <c r="P2268">
        <v>-0.98977190000000004</v>
      </c>
      <c r="Q2268">
        <v>0.13311889999999901</v>
      </c>
      <c r="R2268">
        <v>5.1295159999999999E-2</v>
      </c>
      <c r="S2268">
        <v>-3.06955</v>
      </c>
      <c r="T2268">
        <v>8.1231360000000002E-2</v>
      </c>
      <c r="U2268">
        <v>-0.98443599999999998</v>
      </c>
      <c r="V2268">
        <v>5.336134E-2</v>
      </c>
      <c r="W2268">
        <v>0.1407397</v>
      </c>
      <c r="X2268">
        <v>0.98860760000000003</v>
      </c>
      <c r="Y2268">
        <v>-0.3031277</v>
      </c>
      <c r="Z2268">
        <v>2.6519640000000001E-3</v>
      </c>
      <c r="AA2268">
        <v>0.95294619999999997</v>
      </c>
      <c r="AB2268">
        <v>35</v>
      </c>
      <c r="AC2268">
        <v>-66.516599999999997</v>
      </c>
      <c r="AD2268">
        <v>1.76511199999999</v>
      </c>
      <c r="AE2268">
        <v>-21.391500000000001</v>
      </c>
      <c r="AF2268">
        <v>-21.2245511415687</v>
      </c>
      <c r="AG2268">
        <v>1.76511199999999</v>
      </c>
      <c r="AH2268">
        <v>66.523285365312006</v>
      </c>
      <c r="AI2268">
        <v>88.551967912178</v>
      </c>
      <c r="AJ2268">
        <v>107.695515153313</v>
      </c>
      <c r="AK2268">
        <v>69.849442999413696</v>
      </c>
      <c r="AL2268">
        <v>81.909348588371103</v>
      </c>
      <c r="AM2268">
        <v>86.910386294624004</v>
      </c>
      <c r="AN2268">
        <v>1.0000000412702199</v>
      </c>
    </row>
    <row r="2269" spans="1:40" x14ac:dyDescent="0.25">
      <c r="A2269" t="str">
        <f>"20190303170303440"</f>
        <v>20190303170303440</v>
      </c>
      <c r="B2269" t="str">
        <f>"1551603783427552"</f>
        <v>1551603783427552</v>
      </c>
      <c r="C2269" t="s">
        <v>40</v>
      </c>
      <c r="D2269">
        <v>4.4915580000000004</v>
      </c>
      <c r="E2269">
        <v>0.3603403</v>
      </c>
      <c r="F2269" t="s">
        <v>65</v>
      </c>
      <c r="G2269">
        <v>-352.55</v>
      </c>
      <c r="H2269">
        <v>2.9620540000000002</v>
      </c>
      <c r="I2269">
        <v>263.29140000000001</v>
      </c>
      <c r="J2269">
        <v>-286.22219999999999</v>
      </c>
      <c r="K2269">
        <v>1.1211660000000001</v>
      </c>
      <c r="L2269">
        <v>284.5958</v>
      </c>
      <c r="M2269">
        <v>-0.99996750000000001</v>
      </c>
      <c r="N2269">
        <v>-7.6237169999999899E-3</v>
      </c>
      <c r="O2269">
        <v>-2.6890859999999998E-3</v>
      </c>
      <c r="P2269">
        <v>-0.98968520000000004</v>
      </c>
      <c r="Q2269">
        <v>0.1333656</v>
      </c>
      <c r="R2269">
        <v>5.2316719999999997E-2</v>
      </c>
      <c r="S2269">
        <v>-3.070557</v>
      </c>
      <c r="T2269">
        <v>8.4982989999999994E-2</v>
      </c>
      <c r="U2269">
        <v>-0.98348999999999998</v>
      </c>
      <c r="V2269">
        <v>5.4761249999999997E-2</v>
      </c>
      <c r="W2269">
        <v>0.1409899</v>
      </c>
      <c r="X2269">
        <v>0.98849529999999997</v>
      </c>
      <c r="Y2269">
        <v>-0.30239759999999999</v>
      </c>
      <c r="Z2269">
        <v>2.8082350000000001E-3</v>
      </c>
      <c r="AA2269">
        <v>0.95317779999999996</v>
      </c>
      <c r="AB2269">
        <v>35</v>
      </c>
      <c r="AC2269">
        <v>-66.327799999999996</v>
      </c>
      <c r="AD2269">
        <v>1.8408880000000001</v>
      </c>
      <c r="AE2269">
        <v>-21.304399999999902</v>
      </c>
      <c r="AF2269">
        <v>-21.111215386940501</v>
      </c>
      <c r="AG2269">
        <v>1.8408880000000001</v>
      </c>
      <c r="AH2269">
        <v>66.338529168450506</v>
      </c>
      <c r="AI2269">
        <v>88.485269332362606</v>
      </c>
      <c r="AJ2269">
        <v>107.652870406076</v>
      </c>
      <c r="AK2269">
        <v>69.641027677481205</v>
      </c>
      <c r="AL2269">
        <v>81.894868078422505</v>
      </c>
      <c r="AM2269">
        <v>86.829135509380095</v>
      </c>
      <c r="AN2269">
        <v>0.99999995226283001</v>
      </c>
    </row>
    <row r="2270" spans="1:40" x14ac:dyDescent="0.25">
      <c r="A2270" t="str">
        <f>"20190303170303452"</f>
        <v>20190303170303452</v>
      </c>
      <c r="B2270" t="str">
        <f>"1551603783448048"</f>
        <v>1551603783448048</v>
      </c>
      <c r="C2270" t="s">
        <v>40</v>
      </c>
      <c r="D2270">
        <v>4.4454079999999996</v>
      </c>
      <c r="E2270">
        <v>0.41896030000000001</v>
      </c>
      <c r="F2270" t="s">
        <v>65</v>
      </c>
      <c r="G2270">
        <v>-352.55</v>
      </c>
      <c r="H2270">
        <v>2.9751919999999998</v>
      </c>
      <c r="I2270">
        <v>263.42230000000001</v>
      </c>
      <c r="J2270">
        <v>-286.4237</v>
      </c>
      <c r="K2270">
        <v>1.1211709999999999</v>
      </c>
      <c r="L2270">
        <v>284.59480000000002</v>
      </c>
      <c r="M2270">
        <v>-0.99996629999999997</v>
      </c>
      <c r="N2270">
        <v>-7.6265029999999998E-3</v>
      </c>
      <c r="O2270">
        <v>-3.098001E-3</v>
      </c>
      <c r="P2270">
        <v>-0.9895678</v>
      </c>
      <c r="Q2270">
        <v>0.1339032</v>
      </c>
      <c r="R2270">
        <v>5.315955E-2</v>
      </c>
      <c r="S2270">
        <v>-3.0715029999999999</v>
      </c>
      <c r="T2270">
        <v>8.5859539999999998E-2</v>
      </c>
      <c r="U2270">
        <v>-0.98049929999999996</v>
      </c>
      <c r="V2270">
        <v>5.6006880000000002E-2</v>
      </c>
      <c r="W2270">
        <v>0.1415313</v>
      </c>
      <c r="X2270">
        <v>0.98834820000000001</v>
      </c>
      <c r="Y2270">
        <v>-0.30107899999999999</v>
      </c>
      <c r="Z2270">
        <v>2.8216840000000001E-3</v>
      </c>
      <c r="AA2270">
        <v>0.95359499999999997</v>
      </c>
      <c r="AB2270">
        <v>35</v>
      </c>
      <c r="AC2270">
        <v>-66.126300000000001</v>
      </c>
      <c r="AD2270">
        <v>1.8540209999999999</v>
      </c>
      <c r="AE2270">
        <v>-21.172499999999999</v>
      </c>
      <c r="AF2270">
        <v>-20.952593720015901</v>
      </c>
      <c r="AG2270">
        <v>1.8540209999999999</v>
      </c>
      <c r="AH2270">
        <v>66.144415352400301</v>
      </c>
      <c r="AI2270">
        <v>88.469347429131005</v>
      </c>
      <c r="AJ2270">
        <v>107.576661057078</v>
      </c>
      <c r="AK2270">
        <v>69.408445161776498</v>
      </c>
      <c r="AL2270">
        <v>81.863534507633105</v>
      </c>
      <c r="AM2270">
        <v>86.756679864520706</v>
      </c>
      <c r="AN2270">
        <v>1.0000000219651299</v>
      </c>
    </row>
    <row r="2271" spans="1:40" x14ac:dyDescent="0.25">
      <c r="A2271" t="str">
        <f>"20190303170303464"</f>
        <v>20190303170303464</v>
      </c>
      <c r="B2271" t="str">
        <f>"1551603783457808"</f>
        <v>1551603783457808</v>
      </c>
      <c r="C2271" t="s">
        <v>40</v>
      </c>
      <c r="D2271">
        <v>4.3391489999999999</v>
      </c>
      <c r="E2271">
        <v>0.47188770000000002</v>
      </c>
      <c r="F2271" t="s">
        <v>65</v>
      </c>
      <c r="G2271">
        <v>-385.31319999999999</v>
      </c>
      <c r="H2271">
        <v>2.238083</v>
      </c>
      <c r="I2271">
        <v>267.9819</v>
      </c>
      <c r="J2271">
        <v>-286.6053</v>
      </c>
      <c r="K2271">
        <v>1.121181</v>
      </c>
      <c r="L2271">
        <v>284.59399999999999</v>
      </c>
      <c r="M2271">
        <v>-0.99996499999999999</v>
      </c>
      <c r="N2271">
        <v>-7.6293630000000001E-3</v>
      </c>
      <c r="O2271">
        <v>-3.4668590000000001E-3</v>
      </c>
      <c r="P2271">
        <v>-0.98922849999999996</v>
      </c>
      <c r="Q2271">
        <v>0.13611419999999999</v>
      </c>
      <c r="R2271">
        <v>5.3850540000000002E-2</v>
      </c>
      <c r="S2271">
        <v>-3.0545650000000002</v>
      </c>
      <c r="T2271">
        <v>3.4502150000000002E-2</v>
      </c>
      <c r="U2271">
        <v>-0.51315310000000003</v>
      </c>
      <c r="V2271">
        <v>5.705768E-2</v>
      </c>
      <c r="W2271">
        <v>0.14374479999999901</v>
      </c>
      <c r="X2271">
        <v>0.98796859999999997</v>
      </c>
      <c r="Y2271">
        <v>-0.16225129999999999</v>
      </c>
      <c r="Z2271">
        <v>2.215245E-4</v>
      </c>
      <c r="AA2271">
        <v>0.98674949999999995</v>
      </c>
      <c r="AB2271">
        <v>35</v>
      </c>
      <c r="AC2271">
        <v>-98.707899999999995</v>
      </c>
      <c r="AD2271">
        <v>1.1169020000000001</v>
      </c>
      <c r="AE2271">
        <v>-16.612099999999899</v>
      </c>
      <c r="AF2271">
        <v>-16.267758407160599</v>
      </c>
      <c r="AG2271">
        <v>1.1169020000000001</v>
      </c>
      <c r="AH2271">
        <v>98.752604780598006</v>
      </c>
      <c r="AI2271">
        <v>89.360623053741506</v>
      </c>
      <c r="AJ2271">
        <v>99.354461184774806</v>
      </c>
      <c r="AK2271">
        <v>100.089781619425</v>
      </c>
      <c r="AL2271">
        <v>81.735400326723607</v>
      </c>
      <c r="AM2271">
        <v>86.694695658890197</v>
      </c>
      <c r="AN2271">
        <v>1.00000005047999</v>
      </c>
    </row>
    <row r="2272" spans="1:40" x14ac:dyDescent="0.25">
      <c r="A2272" t="str">
        <f>"20190303170303477"</f>
        <v>20190303170303477</v>
      </c>
      <c r="B2272" t="str">
        <f>"1551603783467570"</f>
        <v>1551603783467570</v>
      </c>
      <c r="C2272" t="s">
        <v>40</v>
      </c>
      <c r="D2272">
        <v>4.3898140000000003</v>
      </c>
      <c r="E2272">
        <v>0.47824529999999899</v>
      </c>
      <c r="F2272" t="s">
        <v>66</v>
      </c>
      <c r="G2272">
        <v>-511.95859999999999</v>
      </c>
      <c r="H2272">
        <v>8.7269659999999999E-2</v>
      </c>
      <c r="I2272">
        <v>277.77010000000001</v>
      </c>
      <c r="J2272">
        <v>-286.80130000000003</v>
      </c>
      <c r="K2272">
        <v>1.121202</v>
      </c>
      <c r="L2272">
        <v>284.59300000000002</v>
      </c>
      <c r="M2272">
        <v>-0.9999633</v>
      </c>
      <c r="N2272">
        <v>-7.6325999999999998E-3</v>
      </c>
      <c r="O2272">
        <v>-3.8645680000000001E-3</v>
      </c>
      <c r="P2272">
        <v>-0.98864790000000002</v>
      </c>
      <c r="Q2272">
        <v>0.1401327</v>
      </c>
      <c r="R2272">
        <v>5.4205200000000002E-2</v>
      </c>
      <c r="S2272">
        <v>-3.039612</v>
      </c>
      <c r="T2272">
        <v>-1.394451E-2</v>
      </c>
      <c r="U2272">
        <v>-9.2041020000000001E-2</v>
      </c>
      <c r="V2272">
        <v>5.779687E-2</v>
      </c>
      <c r="W2272">
        <v>0.1477627</v>
      </c>
      <c r="X2272">
        <v>0.9873326</v>
      </c>
      <c r="Y2272">
        <v>-2.6402789999999999E-2</v>
      </c>
      <c r="Z2272">
        <v>-1.7310169999999999E-4</v>
      </c>
      <c r="AA2272">
        <v>0.99965139999999997</v>
      </c>
      <c r="AB2272">
        <v>35</v>
      </c>
      <c r="AC2272">
        <v>-225.15729999999999</v>
      </c>
      <c r="AD2272">
        <v>-1.03393234</v>
      </c>
      <c r="AE2272">
        <v>-6.8228999999999997</v>
      </c>
      <c r="AF2272">
        <v>-5.9525625080750801</v>
      </c>
      <c r="AG2272">
        <v>-1.03393234</v>
      </c>
      <c r="AH2272">
        <v>225.177242950265</v>
      </c>
      <c r="AI2272">
        <v>90.262987746188301</v>
      </c>
      <c r="AJ2272">
        <v>91.514261802150898</v>
      </c>
      <c r="AK2272">
        <v>225.25828011236101</v>
      </c>
      <c r="AL2272">
        <v>81.502705879665996</v>
      </c>
      <c r="AM2272">
        <v>86.649820025528797</v>
      </c>
      <c r="AN2272">
        <v>0.99999997835792298</v>
      </c>
    </row>
    <row r="2273" spans="1:40" x14ac:dyDescent="0.25">
      <c r="A2273" t="str">
        <f>"20190303170303495"</f>
        <v>20190303170303495</v>
      </c>
      <c r="B2273" t="str">
        <f>"1551603783488065"</f>
        <v>1551603783488065</v>
      </c>
      <c r="C2273" t="s">
        <v>40</v>
      </c>
      <c r="D2273">
        <v>4.340344</v>
      </c>
      <c r="E2273">
        <v>0.48315259999999999</v>
      </c>
      <c r="F2273" t="s">
        <v>44</v>
      </c>
      <c r="G2273">
        <v>-550.09529999999995</v>
      </c>
      <c r="H2273">
        <v>-0.05</v>
      </c>
      <c r="I2273">
        <v>281.0258</v>
      </c>
      <c r="J2273">
        <v>-287.08240000000001</v>
      </c>
      <c r="K2273">
        <v>1.121251</v>
      </c>
      <c r="L2273">
        <v>284.59140000000002</v>
      </c>
      <c r="M2273">
        <v>-0.99996099999999999</v>
      </c>
      <c r="N2273">
        <v>-7.6377290000000002E-3</v>
      </c>
      <c r="O2273">
        <v>-4.4344349999999996E-3</v>
      </c>
      <c r="P2273">
        <v>-0.98728070000000001</v>
      </c>
      <c r="Q2273">
        <v>0.14952489999999999</v>
      </c>
      <c r="R2273">
        <v>5.4030979999999999E-2</v>
      </c>
      <c r="S2273">
        <v>-3.0386350000000002</v>
      </c>
      <c r="T2273">
        <v>-1.351666E-2</v>
      </c>
      <c r="U2273">
        <v>-4.1168209999999997E-2</v>
      </c>
      <c r="V2273">
        <v>5.816433E-2</v>
      </c>
      <c r="W2273">
        <v>0.1571497</v>
      </c>
      <c r="X2273">
        <v>0.98586050000000003</v>
      </c>
      <c r="Y2273">
        <v>-9.1125019999999998E-3</v>
      </c>
      <c r="Z2273" s="1">
        <v>-6.9212440000000004E-5</v>
      </c>
      <c r="AA2273">
        <v>0.99995849999999997</v>
      </c>
      <c r="AB2273">
        <v>35</v>
      </c>
      <c r="AC2273">
        <v>-263.01289999999898</v>
      </c>
      <c r="AD2273">
        <v>-1.171251</v>
      </c>
      <c r="AE2273">
        <v>-3.5656000000000101</v>
      </c>
      <c r="AF2273">
        <v>-2.3991697423706602</v>
      </c>
      <c r="AG2273">
        <v>-1.171251</v>
      </c>
      <c r="AH2273">
        <v>263.02091072404198</v>
      </c>
      <c r="AI2273">
        <v>90.255129919988903</v>
      </c>
      <c r="AJ2273">
        <v>90.522614296858805</v>
      </c>
      <c r="AK2273">
        <v>263.03446033260002</v>
      </c>
      <c r="AL2273">
        <v>80.958507047822295</v>
      </c>
      <c r="AM2273">
        <v>86.623546656564997</v>
      </c>
      <c r="AN2273">
        <v>1.0000000214773399</v>
      </c>
    </row>
    <row r="2274" spans="1:40" x14ac:dyDescent="0.25">
      <c r="A2274" t="str">
        <f>"20190303170303508"</f>
        <v>20190303170303508</v>
      </c>
      <c r="B2274" t="str">
        <f>"1551603783497824"</f>
        <v>1551603783497824</v>
      </c>
      <c r="C2274" t="s">
        <v>40</v>
      </c>
      <c r="D2274">
        <v>4.338489</v>
      </c>
      <c r="E2274">
        <v>0.48416819999999999</v>
      </c>
      <c r="F2274" t="s">
        <v>48</v>
      </c>
      <c r="G2274">
        <v>0</v>
      </c>
      <c r="H2274">
        <v>0</v>
      </c>
      <c r="I2274">
        <v>0</v>
      </c>
      <c r="J2274">
        <v>-287.2946</v>
      </c>
      <c r="K2274">
        <v>1.1212709999999999</v>
      </c>
      <c r="L2274">
        <v>284.59010000000001</v>
      </c>
      <c r="M2274">
        <v>-0.99995909999999999</v>
      </c>
      <c r="N2274">
        <v>-7.6394979999999998E-3</v>
      </c>
      <c r="O2274">
        <v>-4.8650400000000002E-3</v>
      </c>
      <c r="P2274">
        <v>-0.98671929999999997</v>
      </c>
      <c r="Q2274">
        <v>0.1533938</v>
      </c>
      <c r="R2274">
        <v>5.3436749999999998E-2</v>
      </c>
      <c r="S2274">
        <v>-3.0381770000000001</v>
      </c>
      <c r="T2274">
        <v>4.6427250000000003E-3</v>
      </c>
      <c r="U2274">
        <v>-4.2419429999999998E-3</v>
      </c>
      <c r="V2274">
        <v>5.7985540000000002E-2</v>
      </c>
      <c r="W2274">
        <v>0.1610161</v>
      </c>
      <c r="X2274">
        <v>0.98524690000000004</v>
      </c>
      <c r="Y2274">
        <v>3.4687939999999999E-3</v>
      </c>
      <c r="Z2274" s="1">
        <v>-3.4001659999999899E-5</v>
      </c>
      <c r="AA2274">
        <v>0.99999400000000005</v>
      </c>
      <c r="AB2274">
        <v>35</v>
      </c>
      <c r="AC2274">
        <v>-3.0381770000000001</v>
      </c>
      <c r="AD2274">
        <v>4.6427250000000003E-3</v>
      </c>
      <c r="AE2274">
        <v>-4.2419429999999998E-3</v>
      </c>
      <c r="AF2274">
        <v>1.05393648466097E-2</v>
      </c>
      <c r="AG2274">
        <v>4.6427250000000003E-3</v>
      </c>
      <c r="AH2274">
        <v>3.0381545861852</v>
      </c>
      <c r="AI2274">
        <v>89.912444632825597</v>
      </c>
      <c r="AJ2274">
        <v>89.801241613925995</v>
      </c>
      <c r="AK2274">
        <v>3.0381764140130101</v>
      </c>
      <c r="AL2274">
        <v>80.734120611224995</v>
      </c>
      <c r="AM2274">
        <v>86.631810016237395</v>
      </c>
      <c r="AN2274">
        <v>0.99999998063395501</v>
      </c>
    </row>
    <row r="2275" spans="1:40" x14ac:dyDescent="0.25">
      <c r="A2275" t="str">
        <f>"20190303170303520"</f>
        <v>20190303170303520</v>
      </c>
      <c r="B2275" t="str">
        <f>"1551603783507584"</f>
        <v>1551603783507584</v>
      </c>
      <c r="C2275" t="s">
        <v>40</v>
      </c>
      <c r="D2275">
        <v>4.3935170000000001</v>
      </c>
      <c r="E2275">
        <v>0.48516749999999997</v>
      </c>
      <c r="F2275" t="s">
        <v>48</v>
      </c>
      <c r="G2275">
        <v>0</v>
      </c>
      <c r="H2275">
        <v>0</v>
      </c>
      <c r="I2275">
        <v>0</v>
      </c>
      <c r="J2275">
        <v>-287.46960000000001</v>
      </c>
      <c r="K2275">
        <v>1.1212850000000001</v>
      </c>
      <c r="L2275">
        <v>284.589</v>
      </c>
      <c r="M2275">
        <v>-0.99995730000000005</v>
      </c>
      <c r="N2275">
        <v>-7.640333E-3</v>
      </c>
      <c r="O2275">
        <v>-5.2194650000000004E-3</v>
      </c>
      <c r="P2275">
        <v>-0.98647799999999997</v>
      </c>
      <c r="Q2275">
        <v>0.15518779999999999</v>
      </c>
      <c r="R2275">
        <v>5.2708699999999997E-2</v>
      </c>
      <c r="S2275">
        <v>-3.0384519999999999</v>
      </c>
      <c r="T2275">
        <v>1.170266E-2</v>
      </c>
      <c r="U2275">
        <v>1.77002E-3</v>
      </c>
      <c r="V2275">
        <v>5.7602630000000002E-2</v>
      </c>
      <c r="W2275">
        <v>0.16280839999999999</v>
      </c>
      <c r="X2275">
        <v>0.98497480000000004</v>
      </c>
      <c r="Y2275">
        <v>5.8018459999999899E-3</v>
      </c>
      <c r="Z2275" s="1">
        <v>-4.8990099999999997E-5</v>
      </c>
      <c r="AA2275">
        <v>0.99998319999999996</v>
      </c>
      <c r="AB2275">
        <v>35</v>
      </c>
      <c r="AC2275">
        <v>-3.0384519999999999</v>
      </c>
      <c r="AD2275">
        <v>1.170266E-2</v>
      </c>
      <c r="AE2275">
        <v>1.77002E-3</v>
      </c>
      <c r="AF2275">
        <v>1.7629289405747602E-2</v>
      </c>
      <c r="AG2275">
        <v>1.170266E-2</v>
      </c>
      <c r="AH2275">
        <v>3.03835629889292</v>
      </c>
      <c r="AI2275">
        <v>89.779321988892505</v>
      </c>
      <c r="AJ2275">
        <v>89.667559547186201</v>
      </c>
      <c r="AK2275">
        <v>3.03842997995977</v>
      </c>
      <c r="AL2275">
        <v>80.630056413934497</v>
      </c>
      <c r="AM2275">
        <v>86.653079067322096</v>
      </c>
      <c r="AN2275">
        <v>0.99999999736425804</v>
      </c>
    </row>
    <row r="2276" spans="1:40" x14ac:dyDescent="0.25">
      <c r="A2276" t="str">
        <f>"20190303170303531"</f>
        <v>20190303170303531</v>
      </c>
      <c r="B2276" t="str">
        <f>"1551603783518320"</f>
        <v>1551603783518320</v>
      </c>
      <c r="C2276" t="s">
        <v>40</v>
      </c>
      <c r="D2276">
        <v>4.3302360000000002</v>
      </c>
      <c r="E2276">
        <v>0.4857303</v>
      </c>
      <c r="F2276" t="s">
        <v>48</v>
      </c>
      <c r="G2276">
        <v>0</v>
      </c>
      <c r="H2276">
        <v>0</v>
      </c>
      <c r="I2276">
        <v>0</v>
      </c>
      <c r="J2276">
        <v>-287.65210000000002</v>
      </c>
      <c r="K2276">
        <v>1.1212850000000001</v>
      </c>
      <c r="L2276">
        <v>284.58769999999998</v>
      </c>
      <c r="M2276">
        <v>-0.99995520000000004</v>
      </c>
      <c r="N2276">
        <v>-7.64035199999999E-3</v>
      </c>
      <c r="O2276">
        <v>-5.5891480000000004E-3</v>
      </c>
      <c r="P2276">
        <v>-0.98646500000000004</v>
      </c>
      <c r="Q2276">
        <v>0.1556372</v>
      </c>
      <c r="R2276">
        <v>5.161338E-2</v>
      </c>
      <c r="S2276">
        <v>-3.0387270000000002</v>
      </c>
      <c r="T2276">
        <v>1.271105E-2</v>
      </c>
      <c r="U2276">
        <v>7.4157709999999998E-3</v>
      </c>
      <c r="V2276">
        <v>5.6870469999999999E-2</v>
      </c>
      <c r="W2276">
        <v>0.1632567</v>
      </c>
      <c r="X2276">
        <v>0.98494320000000002</v>
      </c>
      <c r="Y2276">
        <v>8.0293359999999998E-3</v>
      </c>
      <c r="Z2276" s="1">
        <v>-5.2201950000000003E-5</v>
      </c>
      <c r="AA2276">
        <v>0.99996779999999996</v>
      </c>
      <c r="AB2276">
        <v>35</v>
      </c>
      <c r="AC2276">
        <v>-3.0387270000000002</v>
      </c>
      <c r="AD2276">
        <v>1.271105E-2</v>
      </c>
      <c r="AE2276">
        <v>7.4157709999999998E-3</v>
      </c>
      <c r="AF2276">
        <v>2.4399618771461198E-2</v>
      </c>
      <c r="AG2276">
        <v>1.271105E-2</v>
      </c>
      <c r="AH2276">
        <v>3.0385849173075901</v>
      </c>
      <c r="AI2276">
        <v>89.760328636043496</v>
      </c>
      <c r="AJ2276">
        <v>89.539928891546197</v>
      </c>
      <c r="AK2276">
        <v>3.0387094648678499</v>
      </c>
      <c r="AL2276">
        <v>80.604022933979294</v>
      </c>
      <c r="AM2276">
        <v>86.695419548094407</v>
      </c>
      <c r="AN2276">
        <v>1.0000000538395699</v>
      </c>
    </row>
    <row r="2277" spans="1:40" x14ac:dyDescent="0.25">
      <c r="A2277" t="str">
        <f>"20190303170303543"</f>
        <v>20190303170303543</v>
      </c>
      <c r="B2277" t="str">
        <f>"1551603783537840"</f>
        <v>1551603783537840</v>
      </c>
      <c r="C2277" t="s">
        <v>40</v>
      </c>
      <c r="D2277">
        <v>4.3637779999999999</v>
      </c>
      <c r="E2277">
        <v>0.48656440000000001</v>
      </c>
      <c r="F2277" t="s">
        <v>48</v>
      </c>
      <c r="G2277">
        <v>0</v>
      </c>
      <c r="H2277">
        <v>0</v>
      </c>
      <c r="I2277">
        <v>0</v>
      </c>
      <c r="J2277">
        <v>-287.84179999999998</v>
      </c>
      <c r="K2277">
        <v>1.1212819999999999</v>
      </c>
      <c r="L2277">
        <v>284.58629999999999</v>
      </c>
      <c r="M2277">
        <v>-0.99995310000000004</v>
      </c>
      <c r="N2277">
        <v>-7.6385480000000002E-3</v>
      </c>
      <c r="O2277">
        <v>-5.9734829999999999E-3</v>
      </c>
      <c r="P2277">
        <v>-0.98664249999999998</v>
      </c>
      <c r="Q2277">
        <v>0.1548987</v>
      </c>
      <c r="R2277">
        <v>5.0430700000000002E-2</v>
      </c>
      <c r="S2277">
        <v>-3.0390320000000002</v>
      </c>
      <c r="T2277">
        <v>1.053166E-2</v>
      </c>
      <c r="U2277">
        <v>8.2092290000000002E-3</v>
      </c>
      <c r="V2277">
        <v>5.606825E-2</v>
      </c>
      <c r="W2277">
        <v>0.16251669999999999</v>
      </c>
      <c r="X2277">
        <v>0.98511150000000003</v>
      </c>
      <c r="Y2277">
        <v>8.6745380000000007E-3</v>
      </c>
      <c r="Z2277" s="1">
        <v>-4.8229490000000002E-5</v>
      </c>
      <c r="AA2277">
        <v>0.99996240000000003</v>
      </c>
      <c r="AB2277">
        <v>35</v>
      </c>
      <c r="AC2277">
        <v>-3.0390320000000002</v>
      </c>
      <c r="AD2277">
        <v>1.053166E-2</v>
      </c>
      <c r="AE2277">
        <v>8.2092290000000002E-3</v>
      </c>
      <c r="AF2277">
        <v>2.6362899438257599E-2</v>
      </c>
      <c r="AG2277">
        <v>1.053166E-2</v>
      </c>
      <c r="AH2277">
        <v>3.0388922419640498</v>
      </c>
      <c r="AI2277">
        <v>89.8014425979094</v>
      </c>
      <c r="AJ2277">
        <v>89.502961979976803</v>
      </c>
      <c r="AK2277">
        <v>3.03902483974686</v>
      </c>
      <c r="AL2277">
        <v>80.646995183533605</v>
      </c>
      <c r="AM2277">
        <v>86.742488543148497</v>
      </c>
      <c r="AN2277">
        <v>0.99999999693460095</v>
      </c>
    </row>
    <row r="2278" spans="1:40" x14ac:dyDescent="0.25">
      <c r="A2278" t="str">
        <f>"20190303170303555"</f>
        <v>20190303170303555</v>
      </c>
      <c r="B2278" t="str">
        <f>"1551603783547601"</f>
        <v>1551603783547601</v>
      </c>
      <c r="C2278" t="s">
        <v>40</v>
      </c>
      <c r="D2278">
        <v>4.3790100000000001</v>
      </c>
      <c r="E2278">
        <v>0.48684569999999999</v>
      </c>
      <c r="F2278" t="s">
        <v>48</v>
      </c>
      <c r="G2278">
        <v>0</v>
      </c>
      <c r="H2278">
        <v>0</v>
      </c>
      <c r="I2278">
        <v>0</v>
      </c>
      <c r="J2278">
        <v>-288.03149999999999</v>
      </c>
      <c r="K2278">
        <v>1.1212759999999999</v>
      </c>
      <c r="L2278">
        <v>284.58479999999997</v>
      </c>
      <c r="M2278">
        <v>-0.99995060000000002</v>
      </c>
      <c r="N2278">
        <v>-7.6359080000000003E-3</v>
      </c>
      <c r="O2278">
        <v>-6.357456E-3</v>
      </c>
      <c r="P2278">
        <v>-0.98696130000000004</v>
      </c>
      <c r="Q2278">
        <v>0.15328910000000001</v>
      </c>
      <c r="R2278">
        <v>4.9091959999999997E-2</v>
      </c>
      <c r="S2278">
        <v>-3.0394899999999998</v>
      </c>
      <c r="T2278">
        <v>3.7211179999999998E-3</v>
      </c>
      <c r="U2278">
        <v>1.077271E-2</v>
      </c>
      <c r="V2278">
        <v>5.5112399999999999E-2</v>
      </c>
      <c r="W2278">
        <v>0.16090550000000001</v>
      </c>
      <c r="X2278">
        <v>0.98542989999999997</v>
      </c>
      <c r="Y2278">
        <v>9.901544E-3</v>
      </c>
      <c r="Z2278" s="1">
        <v>-2.4585360000000001E-5</v>
      </c>
      <c r="AA2278">
        <v>0.99995100000000003</v>
      </c>
      <c r="AB2278">
        <v>35</v>
      </c>
      <c r="AC2278">
        <v>-3.0394899999999998</v>
      </c>
      <c r="AD2278">
        <v>3.7211179999999998E-3</v>
      </c>
      <c r="AE2278">
        <v>1.077271E-2</v>
      </c>
      <c r="AF2278">
        <v>3.0096435191202701E-2</v>
      </c>
      <c r="AG2278">
        <v>3.7211179999999998E-3</v>
      </c>
      <c r="AH2278">
        <v>3.039355527508</v>
      </c>
      <c r="AI2278">
        <v>89.9298555907707</v>
      </c>
      <c r="AJ2278">
        <v>89.432661845274595</v>
      </c>
      <c r="AK2278">
        <v>3.0395068127450902</v>
      </c>
      <c r="AL2278">
        <v>80.740541632651997</v>
      </c>
      <c r="AM2278">
        <v>86.798938417327093</v>
      </c>
      <c r="AN2278">
        <v>1.000000022189</v>
      </c>
    </row>
    <row r="2279" spans="1:40" x14ac:dyDescent="0.25">
      <c r="A2279" t="str">
        <f>"20190303170303573"</f>
        <v>20190303170303573</v>
      </c>
      <c r="B2279" t="str">
        <f>"1551603783568097"</f>
        <v>1551603783568097</v>
      </c>
      <c r="C2279" t="s">
        <v>40</v>
      </c>
      <c r="D2279">
        <v>4.2280170000000004</v>
      </c>
      <c r="E2279">
        <v>0.48729070000000002</v>
      </c>
      <c r="F2279" t="s">
        <v>48</v>
      </c>
      <c r="G2279">
        <v>0</v>
      </c>
      <c r="H2279">
        <v>0</v>
      </c>
      <c r="I2279">
        <v>0</v>
      </c>
      <c r="J2279">
        <v>-288.3279</v>
      </c>
      <c r="K2279">
        <v>1.121275</v>
      </c>
      <c r="L2279">
        <v>284.58249999999998</v>
      </c>
      <c r="M2279">
        <v>-0.99994680000000002</v>
      </c>
      <c r="N2279">
        <v>-7.6294040000000002E-3</v>
      </c>
      <c r="O2279">
        <v>-6.9580179999999998E-3</v>
      </c>
      <c r="P2279">
        <v>-0.98729719999999999</v>
      </c>
      <c r="Q2279">
        <v>0.1517376</v>
      </c>
      <c r="R2279">
        <v>4.7122699999999997E-2</v>
      </c>
      <c r="S2279">
        <v>-3.039917</v>
      </c>
      <c r="T2279">
        <v>-4.6670440000000004E-3</v>
      </c>
      <c r="U2279">
        <v>8.6975100000000003E-3</v>
      </c>
      <c r="V2279">
        <v>5.3739759999999998E-2</v>
      </c>
      <c r="W2279">
        <v>0.159348499999999</v>
      </c>
      <c r="X2279">
        <v>0.98575869999999999</v>
      </c>
      <c r="Y2279">
        <v>9.8190120000000002E-3</v>
      </c>
      <c r="Z2279" s="1">
        <v>2.5904370000000002E-6</v>
      </c>
      <c r="AA2279">
        <v>0.99995179999999995</v>
      </c>
      <c r="AB2279">
        <v>35</v>
      </c>
      <c r="AC2279">
        <v>-3.039917</v>
      </c>
      <c r="AD2279">
        <v>-4.6670440000000004E-3</v>
      </c>
      <c r="AE2279">
        <v>8.6975100000000003E-3</v>
      </c>
      <c r="AF2279">
        <v>2.9849639544553799E-2</v>
      </c>
      <c r="AG2279">
        <v>-4.6670440000000004E-3</v>
      </c>
      <c r="AH2279">
        <v>3.03977572365838</v>
      </c>
      <c r="AI2279">
        <v>90.087963339037799</v>
      </c>
      <c r="AJ2279">
        <v>89.437391586321496</v>
      </c>
      <c r="AK2279">
        <v>3.0399258596918899</v>
      </c>
      <c r="AL2279">
        <v>80.830917693158597</v>
      </c>
      <c r="AM2279">
        <v>86.879544117122194</v>
      </c>
      <c r="AN2279">
        <v>1.0000000604413899</v>
      </c>
    </row>
    <row r="2280" spans="1:40" x14ac:dyDescent="0.25">
      <c r="A2280" t="str">
        <f>"20190303170303587"</f>
        <v>20190303170303587</v>
      </c>
      <c r="B2280" t="str">
        <f>"1551603783577857"</f>
        <v>1551603783577857</v>
      </c>
      <c r="C2280" t="s">
        <v>40</v>
      </c>
      <c r="D2280">
        <v>4.3199329999999998</v>
      </c>
      <c r="E2280">
        <v>0.48748590000000003</v>
      </c>
      <c r="F2280" t="s">
        <v>57</v>
      </c>
      <c r="G2280">
        <v>-489.62599999999998</v>
      </c>
      <c r="H2280" s="1">
        <v>3.9441899999999996E-6</v>
      </c>
      <c r="I2280">
        <v>284.97030000000001</v>
      </c>
      <c r="J2280">
        <v>-288.53660000000002</v>
      </c>
      <c r="K2280">
        <v>1.1212759999999999</v>
      </c>
      <c r="L2280">
        <v>284.5806</v>
      </c>
      <c r="M2280">
        <v>-0.9999439</v>
      </c>
      <c r="N2280">
        <v>-7.622284E-3</v>
      </c>
      <c r="O2280">
        <v>-7.3801190000000001E-3</v>
      </c>
      <c r="P2280">
        <v>-0.98731469999999999</v>
      </c>
      <c r="Q2280">
        <v>0.15197920000000001</v>
      </c>
      <c r="R2280">
        <v>4.595871E-2</v>
      </c>
      <c r="S2280">
        <v>-3.040924</v>
      </c>
      <c r="T2280">
        <v>-1.693857E-2</v>
      </c>
      <c r="U2280">
        <v>5.859375E-3</v>
      </c>
      <c r="V2280">
        <v>5.2991290000000003E-2</v>
      </c>
      <c r="W2280">
        <v>0.159582</v>
      </c>
      <c r="X2280">
        <v>0.98576140000000001</v>
      </c>
      <c r="Y2280">
        <v>9.3067470000000006E-3</v>
      </c>
      <c r="Z2280" s="1">
        <v>4.6244179999999999E-5</v>
      </c>
      <c r="AA2280">
        <v>0.99995670000000003</v>
      </c>
      <c r="AB2280">
        <v>35</v>
      </c>
      <c r="AC2280">
        <v>-201.08940000000001</v>
      </c>
      <c r="AD2280">
        <v>-1.12127205581</v>
      </c>
      <c r="AE2280">
        <v>0.38970000000000399</v>
      </c>
      <c r="AF2280">
        <v>1.87373767066137</v>
      </c>
      <c r="AG2280">
        <v>-1.12127205581</v>
      </c>
      <c r="AH2280">
        <v>201.074795488668</v>
      </c>
      <c r="AI2280">
        <v>90.319486593654204</v>
      </c>
      <c r="AJ2280">
        <v>89.466098409623996</v>
      </c>
      <c r="AK2280">
        <v>201.086651781493</v>
      </c>
      <c r="AL2280">
        <v>80.817365287823705</v>
      </c>
      <c r="AM2280">
        <v>86.922929122220594</v>
      </c>
      <c r="AN2280">
        <v>1.00000001463491</v>
      </c>
    </row>
    <row r="2281" spans="1:40" x14ac:dyDescent="0.25">
      <c r="A2281" t="str">
        <f>"20190303170303607"</f>
        <v>20190303170303607</v>
      </c>
      <c r="B2281" t="str">
        <f>"1551603783598352"</f>
        <v>1551603783598352</v>
      </c>
      <c r="C2281" t="s">
        <v>40</v>
      </c>
      <c r="D2281">
        <v>4.2171159999999999</v>
      </c>
      <c r="E2281">
        <v>0.48753069999999998</v>
      </c>
      <c r="F2281" t="s">
        <v>62</v>
      </c>
      <c r="G2281">
        <v>-465.79629999999997</v>
      </c>
      <c r="H2281" s="1">
        <v>1.5391509999999999E-6</v>
      </c>
      <c r="I2281">
        <v>284.81180000000001</v>
      </c>
      <c r="J2281">
        <v>-288.8424</v>
      </c>
      <c r="K2281">
        <v>1.1212819999999999</v>
      </c>
      <c r="L2281">
        <v>284.57780000000002</v>
      </c>
      <c r="M2281">
        <v>-0.99993909999999997</v>
      </c>
      <c r="N2281">
        <v>-7.6101930000000003E-3</v>
      </c>
      <c r="O2281">
        <v>-7.9987779999999998E-3</v>
      </c>
      <c r="P2281">
        <v>-0.9871626</v>
      </c>
      <c r="Q2281">
        <v>0.1533417</v>
      </c>
      <c r="R2281">
        <v>4.4679490000000002E-2</v>
      </c>
      <c r="S2281">
        <v>-3.04129</v>
      </c>
      <c r="T2281">
        <v>-1.9238000000000002E-2</v>
      </c>
      <c r="U2281">
        <v>3.9672850000000001E-3</v>
      </c>
      <c r="V2281">
        <v>5.2318339999999998E-2</v>
      </c>
      <c r="W2281">
        <v>0.1609305</v>
      </c>
      <c r="X2281">
        <v>0.98557810000000001</v>
      </c>
      <c r="Y2281">
        <v>9.3030179999999997E-3</v>
      </c>
      <c r="Z2281" s="1">
        <v>5.4546080000000001E-5</v>
      </c>
      <c r="AA2281">
        <v>0.99995670000000003</v>
      </c>
      <c r="AB2281">
        <v>35</v>
      </c>
      <c r="AC2281">
        <v>-176.95389999999901</v>
      </c>
      <c r="AD2281">
        <v>-1.1212804608489999</v>
      </c>
      <c r="AE2281">
        <v>0.23399999999998</v>
      </c>
      <c r="AF2281">
        <v>1.64938216851013</v>
      </c>
      <c r="AG2281">
        <v>-1.1212804608489999</v>
      </c>
      <c r="AH2281">
        <v>176.93926254894899</v>
      </c>
      <c r="AI2281">
        <v>90.363068016600096</v>
      </c>
      <c r="AJ2281">
        <v>89.465918990640205</v>
      </c>
      <c r="AK2281">
        <v>176.950502578477</v>
      </c>
      <c r="AL2281">
        <v>80.7390902373199</v>
      </c>
      <c r="AM2281">
        <v>86.961367995081702</v>
      </c>
      <c r="AN2281">
        <v>1.0000000128651001</v>
      </c>
    </row>
    <row r="2282" spans="1:40" x14ac:dyDescent="0.25">
      <c r="A2282" t="str">
        <f>"20190303170303622"</f>
        <v>20190303170303622</v>
      </c>
      <c r="B2282" t="str">
        <f>"1551603783608112"</f>
        <v>1551603783608112</v>
      </c>
      <c r="C2282" t="s">
        <v>40</v>
      </c>
      <c r="D2282">
        <v>4.2194339999999997</v>
      </c>
      <c r="E2282">
        <v>0.48760700000000001</v>
      </c>
      <c r="F2282" t="s">
        <v>62</v>
      </c>
      <c r="G2282">
        <v>-465.4862</v>
      </c>
      <c r="H2282" s="1">
        <v>1.383196E-6</v>
      </c>
      <c r="I2282">
        <v>284.6044</v>
      </c>
      <c r="J2282">
        <v>-289.07670000000002</v>
      </c>
      <c r="K2282">
        <v>1.1212789999999999</v>
      </c>
      <c r="L2282">
        <v>284.57549999999998</v>
      </c>
      <c r="M2282">
        <v>-0.99993529999999997</v>
      </c>
      <c r="N2282">
        <v>-7.5990789999999999E-3</v>
      </c>
      <c r="O2282">
        <v>-8.4727169999999994E-3</v>
      </c>
      <c r="P2282">
        <v>-0.98718329999999999</v>
      </c>
      <c r="Q2282">
        <v>0.15338779999999999</v>
      </c>
      <c r="R2282">
        <v>4.4063680000000001E-2</v>
      </c>
      <c r="S2282">
        <v>-3.041992</v>
      </c>
      <c r="T2282">
        <v>-1.9309639999999999E-2</v>
      </c>
      <c r="U2282">
        <v>4.577637E-4</v>
      </c>
      <c r="V2282">
        <v>5.2169939999999998E-2</v>
      </c>
      <c r="W2282">
        <v>0.16096529999999901</v>
      </c>
      <c r="X2282">
        <v>0.98558029999999996</v>
      </c>
      <c r="Y2282">
        <v>8.6230509999999996E-3</v>
      </c>
      <c r="Z2282" s="1">
        <v>4.9527529999999998E-5</v>
      </c>
      <c r="AA2282">
        <v>0.99996280000000004</v>
      </c>
      <c r="AB2282">
        <v>35</v>
      </c>
      <c r="AC2282">
        <v>-176.40949999999901</v>
      </c>
      <c r="AD2282">
        <v>-1.121277616804</v>
      </c>
      <c r="AE2282">
        <v>2.8900000000021402E-2</v>
      </c>
      <c r="AF2282">
        <v>1.5235482356515899</v>
      </c>
      <c r="AG2282">
        <v>-1.121277616804</v>
      </c>
      <c r="AH2282">
        <v>176.39579629803501</v>
      </c>
      <c r="AI2282">
        <v>90.364187895102901</v>
      </c>
      <c r="AJ2282">
        <v>89.505142894287403</v>
      </c>
      <c r="AK2282">
        <v>176.40593928305901</v>
      </c>
      <c r="AL2282">
        <v>80.737070157940806</v>
      </c>
      <c r="AM2282">
        <v>86.969977685573397</v>
      </c>
      <c r="AN2282">
        <v>1.0000000290958899</v>
      </c>
    </row>
    <row r="2283" spans="1:40" x14ac:dyDescent="0.25">
      <c r="A2283" t="str">
        <f>"20190303170303633"</f>
        <v>20190303170303633</v>
      </c>
      <c r="B2283" t="str">
        <f>"1551603783627633"</f>
        <v>1551603783627633</v>
      </c>
      <c r="C2283" t="s">
        <v>40</v>
      </c>
      <c r="D2283">
        <v>4.1698950000000004</v>
      </c>
      <c r="E2283">
        <v>0.48780620000000002</v>
      </c>
      <c r="F2283" t="s">
        <v>62</v>
      </c>
      <c r="G2283">
        <v>-452.64749999999998</v>
      </c>
      <c r="H2283" s="1">
        <v>-1.2492470000000001E-7</v>
      </c>
      <c r="I2283">
        <v>284.54759999999999</v>
      </c>
      <c r="J2283">
        <v>-289.26679999999999</v>
      </c>
      <c r="K2283">
        <v>1.121273</v>
      </c>
      <c r="L2283">
        <v>284.5736</v>
      </c>
      <c r="M2283">
        <v>-0.99993209999999999</v>
      </c>
      <c r="N2283">
        <v>-7.5889699999999996E-3</v>
      </c>
      <c r="O2283">
        <v>-8.8570130000000004E-3</v>
      </c>
      <c r="P2283">
        <v>-0.98725399999999996</v>
      </c>
      <c r="Q2283">
        <v>0.15308339999999901</v>
      </c>
      <c r="R2283">
        <v>4.3533919999999997E-2</v>
      </c>
      <c r="S2283">
        <v>-3.0422060000000002</v>
      </c>
      <c r="T2283">
        <v>-2.0854350000000001E-2</v>
      </c>
      <c r="U2283">
        <v>-5.1879879999999995E-4</v>
      </c>
      <c r="V2283">
        <v>5.2019799999999998E-2</v>
      </c>
      <c r="W2283">
        <v>0.16065179999999901</v>
      </c>
      <c r="X2283">
        <v>0.9856393</v>
      </c>
      <c r="Y2283">
        <v>8.6863099999999992E-3</v>
      </c>
      <c r="Z2283" s="1">
        <v>5.6229659999999897E-5</v>
      </c>
      <c r="AA2283">
        <v>0.99996229999999997</v>
      </c>
      <c r="AB2283">
        <v>35</v>
      </c>
      <c r="AC2283">
        <v>-163.38069999999999</v>
      </c>
      <c r="AD2283">
        <v>-1.1212731249247001</v>
      </c>
      <c r="AE2283">
        <v>-2.60000000000104E-2</v>
      </c>
      <c r="AF2283">
        <v>1.42104056810163</v>
      </c>
      <c r="AG2283">
        <v>-1.1212731249247001</v>
      </c>
      <c r="AH2283">
        <v>163.366826874342</v>
      </c>
      <c r="AI2283">
        <v>90.393230253526895</v>
      </c>
      <c r="AJ2283">
        <v>89.501627256721207</v>
      </c>
      <c r="AK2283">
        <v>163.376854948025</v>
      </c>
      <c r="AL2283">
        <v>80.755268450481395</v>
      </c>
      <c r="AM2283">
        <v>86.978862134907899</v>
      </c>
      <c r="AN2283">
        <v>0.99999994506988299</v>
      </c>
    </row>
    <row r="2284" spans="1:40" x14ac:dyDescent="0.25">
      <c r="A2284" t="str">
        <f>"20190303170303645"</f>
        <v>20190303170303645</v>
      </c>
      <c r="B2284" t="str">
        <f>"1551603783638368"</f>
        <v>1551603783638368</v>
      </c>
      <c r="C2284" t="s">
        <v>40</v>
      </c>
      <c r="D2284">
        <v>4.165724</v>
      </c>
      <c r="E2284">
        <v>0.48796909999999999</v>
      </c>
      <c r="F2284" t="s">
        <v>63</v>
      </c>
      <c r="G2284">
        <v>-428.51069999999999</v>
      </c>
      <c r="H2284" s="1">
        <v>2.4606370000000002E-6</v>
      </c>
      <c r="I2284">
        <v>284.55119999999999</v>
      </c>
      <c r="J2284">
        <v>-289.45319999999998</v>
      </c>
      <c r="K2284">
        <v>1.1212629999999999</v>
      </c>
      <c r="L2284">
        <v>284.57159999999999</v>
      </c>
      <c r="M2284">
        <v>-0.99992879999999995</v>
      </c>
      <c r="N2284">
        <v>-7.5780119999999899E-3</v>
      </c>
      <c r="O2284">
        <v>-9.2342699999999993E-3</v>
      </c>
      <c r="P2284">
        <v>-0.98739410000000005</v>
      </c>
      <c r="Q2284">
        <v>0.15233729999999901</v>
      </c>
      <c r="R2284">
        <v>4.297202E-2</v>
      </c>
      <c r="S2284">
        <v>-3.0425110000000002</v>
      </c>
      <c r="T2284">
        <v>-2.4500009999999999E-2</v>
      </c>
      <c r="U2284">
        <v>-4.8828130000000002E-4</v>
      </c>
      <c r="V2284">
        <v>5.1832360000000001E-2</v>
      </c>
      <c r="W2284">
        <v>0.15989500000000001</v>
      </c>
      <c r="X2284">
        <v>0.98577230000000005</v>
      </c>
      <c r="Y2284">
        <v>9.0734839999999997E-3</v>
      </c>
      <c r="Z2284" s="1">
        <v>7.5291300000000002E-5</v>
      </c>
      <c r="AA2284">
        <v>0.99995880000000004</v>
      </c>
      <c r="AB2284">
        <v>35</v>
      </c>
      <c r="AC2284">
        <v>-139.0575</v>
      </c>
      <c r="AD2284">
        <v>-1.121260539363</v>
      </c>
      <c r="AE2284">
        <v>-2.0399999999994999E-2</v>
      </c>
      <c r="AF2284">
        <v>1.2636498895069901</v>
      </c>
      <c r="AG2284">
        <v>-1.121260539363</v>
      </c>
      <c r="AH2284">
        <v>139.042718997338</v>
      </c>
      <c r="AI2284">
        <v>90.462012335380294</v>
      </c>
      <c r="AJ2284">
        <v>89.479298069582995</v>
      </c>
      <c r="AK2284">
        <v>139.05298178181201</v>
      </c>
      <c r="AL2284">
        <v>80.799198447837497</v>
      </c>
      <c r="AM2284">
        <v>86.990133370044205</v>
      </c>
      <c r="AN2284">
        <v>1.00000001600772</v>
      </c>
    </row>
    <row r="2285" spans="1:40" x14ac:dyDescent="0.25">
      <c r="A2285" t="str">
        <f>"20190303170303661"</f>
        <v>20190303170303661</v>
      </c>
      <c r="B2285" t="str">
        <f>"1551603783648128"</f>
        <v>1551603783648128</v>
      </c>
      <c r="C2285" t="s">
        <v>40</v>
      </c>
      <c r="D2285">
        <v>4.3177390000000004</v>
      </c>
      <c r="E2285">
        <v>0.48819600000000002</v>
      </c>
      <c r="F2285" t="s">
        <v>63</v>
      </c>
      <c r="G2285">
        <v>-412.7602</v>
      </c>
      <c r="H2285" s="1">
        <v>2.7018670000000001E-6</v>
      </c>
      <c r="I2285">
        <v>284.5419</v>
      </c>
      <c r="J2285">
        <v>-289.71080000000001</v>
      </c>
      <c r="K2285">
        <v>1.1212580000000001</v>
      </c>
      <c r="L2285">
        <v>284.56880000000001</v>
      </c>
      <c r="M2285">
        <v>-0.99992389999999998</v>
      </c>
      <c r="N2285">
        <v>-7.5628789999999998E-3</v>
      </c>
      <c r="O2285">
        <v>-9.7546839999999996E-3</v>
      </c>
      <c r="P2285">
        <v>-0.98776699999999995</v>
      </c>
      <c r="Q2285">
        <v>0.1502117</v>
      </c>
      <c r="R2285">
        <v>4.1866680000000003E-2</v>
      </c>
      <c r="S2285">
        <v>-3.0426329999999999</v>
      </c>
      <c r="T2285">
        <v>-2.7667400000000002E-2</v>
      </c>
      <c r="U2285">
        <v>-7.3242190000000001E-4</v>
      </c>
      <c r="V2285">
        <v>5.1246920000000001E-2</v>
      </c>
      <c r="W2285">
        <v>0.1577567</v>
      </c>
      <c r="X2285">
        <v>0.98614729999999995</v>
      </c>
      <c r="Y2285">
        <v>9.5135240000000006E-3</v>
      </c>
      <c r="Z2285" s="1">
        <v>9.4153790000000006E-5</v>
      </c>
      <c r="AA2285">
        <v>0.99995480000000003</v>
      </c>
      <c r="AB2285">
        <v>35</v>
      </c>
      <c r="AC2285">
        <v>-123.04940000000001</v>
      </c>
      <c r="AD2285">
        <v>-1.121255298133</v>
      </c>
      <c r="AE2285">
        <v>-2.6900000000011901E-2</v>
      </c>
      <c r="AF2285">
        <v>1.17334610148886</v>
      </c>
      <c r="AG2285">
        <v>-1.121255298133</v>
      </c>
      <c r="AH2285">
        <v>123.033591791609</v>
      </c>
      <c r="AI2285">
        <v>90.522121608457098</v>
      </c>
      <c r="AJ2285">
        <v>89.4535984805174</v>
      </c>
      <c r="AK2285">
        <v>123.04429553482601</v>
      </c>
      <c r="AL2285">
        <v>80.923288658054304</v>
      </c>
      <c r="AM2285">
        <v>87.025197596888404</v>
      </c>
      <c r="AN2285">
        <v>0.99999996025083204</v>
      </c>
    </row>
    <row r="2286" spans="1:40" x14ac:dyDescent="0.25">
      <c r="A2286" t="str">
        <f>"20190303170303673"</f>
        <v>20190303170303673</v>
      </c>
      <c r="B2286" t="str">
        <f>"1551603783657889"</f>
        <v>1551603783657889</v>
      </c>
      <c r="C2286" t="s">
        <v>40</v>
      </c>
      <c r="D2286">
        <v>4.2022899999999996</v>
      </c>
      <c r="E2286">
        <v>0.48838350000000003</v>
      </c>
      <c r="F2286" t="s">
        <v>62</v>
      </c>
      <c r="G2286">
        <v>-384.04590000000002</v>
      </c>
      <c r="H2286" s="1">
        <v>6.1625770000000001E-7</v>
      </c>
      <c r="I2286">
        <v>284.50830000000002</v>
      </c>
      <c r="J2286">
        <v>-289.89580000000001</v>
      </c>
      <c r="K2286">
        <v>1.1212569999999999</v>
      </c>
      <c r="L2286">
        <v>284.56670000000003</v>
      </c>
      <c r="M2286">
        <v>-0.99992020000000004</v>
      </c>
      <c r="N2286">
        <v>-7.5521669999999898E-3</v>
      </c>
      <c r="O2286">
        <v>-1.012825E-2</v>
      </c>
      <c r="P2286">
        <v>-0.98773520000000004</v>
      </c>
      <c r="Q2286">
        <v>0.15052470000000001</v>
      </c>
      <c r="R2286">
        <v>4.1495259999999999E-2</v>
      </c>
      <c r="S2286">
        <v>-3.0427249999999999</v>
      </c>
      <c r="T2286">
        <v>-3.616548E-2</v>
      </c>
      <c r="U2286">
        <v>-1.953125E-3</v>
      </c>
      <c r="V2286">
        <v>5.1242969999999999E-2</v>
      </c>
      <c r="W2286">
        <v>0.15805949999999999</v>
      </c>
      <c r="X2286">
        <v>0.98609910000000001</v>
      </c>
      <c r="Y2286">
        <v>9.4854789999999998E-3</v>
      </c>
      <c r="Z2286">
        <v>1.3607619999999999E-4</v>
      </c>
      <c r="AA2286">
        <v>0.99995500000000004</v>
      </c>
      <c r="AB2286">
        <v>36</v>
      </c>
      <c r="AC2286">
        <v>-94.150099999999995</v>
      </c>
      <c r="AD2286">
        <v>-1.1212563837423</v>
      </c>
      <c r="AE2286">
        <v>-5.8400000000005899E-2</v>
      </c>
      <c r="AF2286">
        <v>0.89507898077473202</v>
      </c>
      <c r="AG2286">
        <v>-1.1212563837423</v>
      </c>
      <c r="AH2286">
        <v>94.132511266106405</v>
      </c>
      <c r="AI2286">
        <v>90.682413715556393</v>
      </c>
      <c r="AJ2286">
        <v>89.455207327509697</v>
      </c>
      <c r="AK2286">
        <v>94.143444060240199</v>
      </c>
      <c r="AL2286">
        <v>80.905719806855799</v>
      </c>
      <c r="AM2286">
        <v>87.025281341884806</v>
      </c>
      <c r="AN2286">
        <v>1.0000000412677299</v>
      </c>
    </row>
    <row r="2287" spans="1:40" x14ac:dyDescent="0.25">
      <c r="A2287" t="str">
        <f>"20190303170303695"</f>
        <v>20190303170303695</v>
      </c>
      <c r="B2287" t="str">
        <f>"1551603783688145"</f>
        <v>1551603783688145</v>
      </c>
      <c r="C2287" t="s">
        <v>40</v>
      </c>
      <c r="D2287">
        <v>4.1257820000000001</v>
      </c>
      <c r="E2287">
        <v>0.4888284</v>
      </c>
      <c r="F2287" t="s">
        <v>62</v>
      </c>
      <c r="G2287">
        <v>-382.72930000000002</v>
      </c>
      <c r="H2287" s="1">
        <v>-8.4370729999999995E-8</v>
      </c>
      <c r="I2287">
        <v>284.52109999999999</v>
      </c>
      <c r="J2287">
        <v>-290.2473</v>
      </c>
      <c r="K2287">
        <v>1.1212660000000001</v>
      </c>
      <c r="L2287">
        <v>284.56259999999997</v>
      </c>
      <c r="M2287">
        <v>-0.99991300000000005</v>
      </c>
      <c r="N2287">
        <v>-7.5336569999999896E-3</v>
      </c>
      <c r="O2287">
        <v>-1.0837609999999999E-2</v>
      </c>
      <c r="P2287">
        <v>-0.98756379999999999</v>
      </c>
      <c r="Q2287">
        <v>0.15184790000000001</v>
      </c>
      <c r="R2287">
        <v>4.0741149999999997E-2</v>
      </c>
      <c r="S2287">
        <v>-3.0429379999999999</v>
      </c>
      <c r="T2287">
        <v>-3.6753059999999997E-2</v>
      </c>
      <c r="U2287">
        <v>-1.495361E-3</v>
      </c>
      <c r="V2287">
        <v>5.1184029999999998E-2</v>
      </c>
      <c r="W2287">
        <v>0.15936310000000001</v>
      </c>
      <c r="X2287">
        <v>0.98589230000000005</v>
      </c>
      <c r="Y2287">
        <v>1.0345180000000001E-2</v>
      </c>
      <c r="Z2287">
        <v>1.5068779999999999E-4</v>
      </c>
      <c r="AA2287">
        <v>0.99994649999999996</v>
      </c>
      <c r="AB2287">
        <v>36</v>
      </c>
      <c r="AC2287">
        <v>-92.481999999999999</v>
      </c>
      <c r="AD2287">
        <v>-1.1212660843707201</v>
      </c>
      <c r="AE2287">
        <v>-4.1499999999984903E-2</v>
      </c>
      <c r="AF2287">
        <v>0.96067340619668196</v>
      </c>
      <c r="AG2287">
        <v>-1.1212660843707201</v>
      </c>
      <c r="AH2287">
        <v>92.463426455584994</v>
      </c>
      <c r="AI2287">
        <v>90.694730893040401</v>
      </c>
      <c r="AJ2287">
        <v>89.404731650767999</v>
      </c>
      <c r="AK2287">
        <v>92.475214857456393</v>
      </c>
      <c r="AL2287">
        <v>80.830069925410797</v>
      </c>
      <c r="AM2287">
        <v>87.028074607004001</v>
      </c>
      <c r="AN2287">
        <v>1.0000000148839701</v>
      </c>
    </row>
    <row r="2288" spans="1:40" x14ac:dyDescent="0.25">
      <c r="A2288" t="str">
        <f>"20190303170303707"</f>
        <v>20190303170303707</v>
      </c>
      <c r="B2288" t="str">
        <f>"1551603783697904"</f>
        <v>1551603783697904</v>
      </c>
      <c r="C2288" t="s">
        <v>40</v>
      </c>
      <c r="D2288">
        <v>4.3144679999999997</v>
      </c>
      <c r="E2288">
        <v>0.48899140000000002</v>
      </c>
      <c r="F2288" t="s">
        <v>62</v>
      </c>
      <c r="G2288">
        <v>-383.0994</v>
      </c>
      <c r="H2288" s="1">
        <v>1.125634E-7</v>
      </c>
      <c r="I2288">
        <v>284.54669999999999</v>
      </c>
      <c r="J2288">
        <v>-290.44260000000003</v>
      </c>
      <c r="K2288">
        <v>1.121267</v>
      </c>
      <c r="L2288">
        <v>284.56009999999998</v>
      </c>
      <c r="M2288">
        <v>-0.99990869999999998</v>
      </c>
      <c r="N2288">
        <v>-7.524719E-3</v>
      </c>
      <c r="O2288">
        <v>-1.1231329999999999E-2</v>
      </c>
      <c r="P2288">
        <v>-0.98740629999999996</v>
      </c>
      <c r="Q2288">
        <v>0.15294820000000001</v>
      </c>
      <c r="R2288">
        <v>4.0450399999999997E-2</v>
      </c>
      <c r="S2288">
        <v>-3.0434269999999999</v>
      </c>
      <c r="T2288">
        <v>-3.6751869999999999E-2</v>
      </c>
      <c r="U2288">
        <v>-5.1879879999999995E-4</v>
      </c>
      <c r="V2288">
        <v>5.127781E-2</v>
      </c>
      <c r="W2288">
        <v>0.1604537</v>
      </c>
      <c r="X2288">
        <v>0.98571050000000004</v>
      </c>
      <c r="Y2288">
        <v>1.105977E-2</v>
      </c>
      <c r="Z2288">
        <v>1.594957E-4</v>
      </c>
      <c r="AA2288">
        <v>0.99993880000000002</v>
      </c>
      <c r="AB2288">
        <v>36</v>
      </c>
      <c r="AC2288">
        <v>-92.656799999999905</v>
      </c>
      <c r="AD2288">
        <v>-1.1212668874366001</v>
      </c>
      <c r="AE2288">
        <v>-1.339999999999E-2</v>
      </c>
      <c r="AF2288">
        <v>1.0271389005526499</v>
      </c>
      <c r="AG2288">
        <v>-1.1212668874366001</v>
      </c>
      <c r="AH2288">
        <v>92.637540040960204</v>
      </c>
      <c r="AI2288">
        <v>90.693420564391801</v>
      </c>
      <c r="AJ2288">
        <v>89.364746597611699</v>
      </c>
      <c r="AK2288">
        <v>92.650019312434097</v>
      </c>
      <c r="AL2288">
        <v>80.766768405865193</v>
      </c>
      <c r="AM2288">
        <v>87.022091054928794</v>
      </c>
      <c r="AN2288">
        <v>0.99999999672616802</v>
      </c>
    </row>
    <row r="2289" spans="1:40" x14ac:dyDescent="0.25">
      <c r="A2289" t="str">
        <f>"20190303170303718"</f>
        <v>20190303170303718</v>
      </c>
      <c r="B2289" t="str">
        <f>"1551603783707665"</f>
        <v>1551603783707665</v>
      </c>
      <c r="C2289" t="s">
        <v>40</v>
      </c>
      <c r="D2289">
        <v>4.1254710000000001</v>
      </c>
      <c r="E2289">
        <v>0.48911349999999998</v>
      </c>
      <c r="F2289" t="s">
        <v>62</v>
      </c>
      <c r="G2289">
        <v>-389.86169999999998</v>
      </c>
      <c r="H2289" s="1">
        <v>3.7111100000000002E-6</v>
      </c>
      <c r="I2289">
        <v>284.54520000000002</v>
      </c>
      <c r="J2289">
        <v>-290.61309999999997</v>
      </c>
      <c r="K2289">
        <v>1.12127</v>
      </c>
      <c r="L2289">
        <v>284.55790000000002</v>
      </c>
      <c r="M2289">
        <v>-0.99990489999999999</v>
      </c>
      <c r="N2289">
        <v>-7.517279E-3</v>
      </c>
      <c r="O2289">
        <v>-1.1574630000000001E-2</v>
      </c>
      <c r="P2289">
        <v>-0.98735519999999999</v>
      </c>
      <c r="Q2289">
        <v>0.15335289999999999</v>
      </c>
      <c r="R2289">
        <v>4.0158329999999999E-2</v>
      </c>
      <c r="S2289">
        <v>-3.0435789999999998</v>
      </c>
      <c r="T2289">
        <v>-3.4325960000000003E-2</v>
      </c>
      <c r="U2289">
        <v>-4.577637E-4</v>
      </c>
      <c r="V2289">
        <v>5.1322619999999999E-2</v>
      </c>
      <c r="W2289">
        <v>0.16085050000000001</v>
      </c>
      <c r="X2289">
        <v>0.98564350000000001</v>
      </c>
      <c r="Y2289">
        <v>1.1423269999999999E-2</v>
      </c>
      <c r="Z2289">
        <v>1.5087609999999999E-4</v>
      </c>
      <c r="AA2289">
        <v>0.99993469999999995</v>
      </c>
      <c r="AB2289">
        <v>36</v>
      </c>
      <c r="AC2289">
        <v>-99.248599999999996</v>
      </c>
      <c r="AD2289">
        <v>-1.12126628889</v>
      </c>
      <c r="AE2289">
        <v>-1.26999999999952E-2</v>
      </c>
      <c r="AF2289">
        <v>1.1359539792122899</v>
      </c>
      <c r="AG2289">
        <v>-1.12126628889</v>
      </c>
      <c r="AH2289">
        <v>99.229433017354197</v>
      </c>
      <c r="AI2289">
        <v>90.647357153597099</v>
      </c>
      <c r="AJ2289">
        <v>89.344120753226406</v>
      </c>
      <c r="AK2289">
        <v>99.242269252970402</v>
      </c>
      <c r="AL2289">
        <v>80.743734300041396</v>
      </c>
      <c r="AM2289">
        <v>87.019291210534703</v>
      </c>
      <c r="AN2289">
        <v>1.0000000018830799</v>
      </c>
    </row>
    <row r="2290" spans="1:40" x14ac:dyDescent="0.25">
      <c r="A2290" t="str">
        <f>"20190303170303729"</f>
        <v>20190303170303729</v>
      </c>
      <c r="B2290" t="str">
        <f>"1551603783718401"</f>
        <v>1551603783718401</v>
      </c>
      <c r="C2290" t="s">
        <v>40</v>
      </c>
      <c r="D2290">
        <v>4.1430749999999996</v>
      </c>
      <c r="E2290">
        <v>0.48923270000000002</v>
      </c>
      <c r="F2290" t="s">
        <v>62</v>
      </c>
      <c r="G2290">
        <v>-390.40260000000001</v>
      </c>
      <c r="H2290" s="1">
        <v>-1.322521E-6</v>
      </c>
      <c r="I2290">
        <v>284.54090000000002</v>
      </c>
      <c r="J2290">
        <v>-290.80220000000003</v>
      </c>
      <c r="K2290">
        <v>1.1212660000000001</v>
      </c>
      <c r="L2290">
        <v>284.55540000000002</v>
      </c>
      <c r="M2290">
        <v>-0.99990029999999996</v>
      </c>
      <c r="N2290">
        <v>-7.5099229999999999E-3</v>
      </c>
      <c r="O2290">
        <v>-1.195572E-2</v>
      </c>
      <c r="P2290">
        <v>-0.98733419999999905</v>
      </c>
      <c r="Q2290">
        <v>0.15356040000000001</v>
      </c>
      <c r="R2290">
        <v>3.9881380000000001E-2</v>
      </c>
      <c r="S2290">
        <v>-3.0437620000000001</v>
      </c>
      <c r="T2290">
        <v>-3.4200790000000002E-2</v>
      </c>
      <c r="U2290">
        <v>-5.1879879999999995E-4</v>
      </c>
      <c r="V2290">
        <v>5.1420590000000002E-2</v>
      </c>
      <c r="W2290">
        <v>0.16105139999999901</v>
      </c>
      <c r="X2290">
        <v>0.98560559999999997</v>
      </c>
      <c r="Y2290">
        <v>1.1784309999999999E-2</v>
      </c>
      <c r="Z2290">
        <v>1.550004E-4</v>
      </c>
      <c r="AA2290">
        <v>0.9999306</v>
      </c>
      <c r="AB2290">
        <v>36</v>
      </c>
      <c r="AC2290">
        <v>-99.600399999999894</v>
      </c>
      <c r="AD2290">
        <v>-1.1212673225209999</v>
      </c>
      <c r="AE2290">
        <v>-1.4499999999998099E-2</v>
      </c>
      <c r="AF2290">
        <v>1.1761800797376101</v>
      </c>
      <c r="AG2290">
        <v>-1.1212673225209999</v>
      </c>
      <c r="AH2290">
        <v>99.580833938769501</v>
      </c>
      <c r="AI2290">
        <v>90.645070820405707</v>
      </c>
      <c r="AJ2290">
        <v>89.323293265250797</v>
      </c>
      <c r="AK2290">
        <v>99.594091832444093</v>
      </c>
      <c r="AL2290">
        <v>80.732071642618195</v>
      </c>
      <c r="AM2290">
        <v>87.013496981623703</v>
      </c>
      <c r="AN2290">
        <v>1.00000001463463</v>
      </c>
    </row>
    <row r="2291" spans="1:40" x14ac:dyDescent="0.25">
      <c r="A2291" t="str">
        <f>"20190303170303741"</f>
        <v>20190303170303741</v>
      </c>
      <c r="B2291" t="str">
        <f>"1551603783727498"</f>
        <v>1551603783727498</v>
      </c>
      <c r="C2291" t="s">
        <v>40</v>
      </c>
      <c r="D2291">
        <v>4.1019519999999998</v>
      </c>
      <c r="E2291">
        <v>0.48932510000000001</v>
      </c>
      <c r="F2291" t="s">
        <v>62</v>
      </c>
      <c r="G2291">
        <v>-391.5675</v>
      </c>
      <c r="H2291" s="1">
        <v>-7.0262699999999996E-7</v>
      </c>
      <c r="I2291">
        <v>284.55239999999998</v>
      </c>
      <c r="J2291">
        <v>-290.97489999999999</v>
      </c>
      <c r="K2291">
        <v>1.1212660000000001</v>
      </c>
      <c r="L2291">
        <v>284.55309999999997</v>
      </c>
      <c r="M2291">
        <v>-0.99989620000000001</v>
      </c>
      <c r="N2291">
        <v>-7.5038830000000003E-3</v>
      </c>
      <c r="O2291">
        <v>-1.230296E-2</v>
      </c>
      <c r="P2291">
        <v>-0.9874349</v>
      </c>
      <c r="Q2291">
        <v>0.15301799999999999</v>
      </c>
      <c r="R2291">
        <v>3.9469589999999999E-2</v>
      </c>
      <c r="S2291">
        <v>-3.0437319999999999</v>
      </c>
      <c r="T2291">
        <v>-3.3869150000000001E-2</v>
      </c>
      <c r="U2291" s="1">
        <v>-9.1552730000000004E-5</v>
      </c>
      <c r="V2291">
        <v>5.1353040000000003E-2</v>
      </c>
      <c r="W2291">
        <v>0.1605036</v>
      </c>
      <c r="X2291">
        <v>0.98569850000000003</v>
      </c>
      <c r="Y2291">
        <v>1.2271880000000001E-2</v>
      </c>
      <c r="Z2291">
        <v>1.588944E-4</v>
      </c>
      <c r="AA2291">
        <v>0.9999247</v>
      </c>
      <c r="AB2291">
        <v>36</v>
      </c>
      <c r="AC2291">
        <v>-100.5926</v>
      </c>
      <c r="AD2291">
        <v>-1.121266702627</v>
      </c>
      <c r="AE2291">
        <v>-6.9999999999481501E-4</v>
      </c>
      <c r="AF2291">
        <v>1.2367679164108301</v>
      </c>
      <c r="AG2291">
        <v>-1.121266702627</v>
      </c>
      <c r="AH2291">
        <v>100.57249907843</v>
      </c>
      <c r="AI2291">
        <v>90.638706727694398</v>
      </c>
      <c r="AJ2291">
        <v>89.295453420635198</v>
      </c>
      <c r="AK2291">
        <v>100.586352974836</v>
      </c>
      <c r="AL2291">
        <v>80.763872176164796</v>
      </c>
      <c r="AM2291">
        <v>87.017693785844003</v>
      </c>
      <c r="AN2291">
        <v>1.0000000366162201</v>
      </c>
    </row>
    <row r="2292" spans="1:40" x14ac:dyDescent="0.25">
      <c r="A2292" t="str">
        <f>"20190303170303752"</f>
        <v>20190303170303752</v>
      </c>
      <c r="B2292" t="str">
        <f>"1551603783738235"</f>
        <v>1551603783738235</v>
      </c>
      <c r="C2292" t="s">
        <v>40</v>
      </c>
      <c r="D2292">
        <v>4.1611129999999896</v>
      </c>
      <c r="E2292">
        <v>0.48940260000000002</v>
      </c>
      <c r="F2292" t="s">
        <v>62</v>
      </c>
      <c r="G2292">
        <v>-386.4076</v>
      </c>
      <c r="H2292" s="1">
        <v>1.8730159999999999E-6</v>
      </c>
      <c r="I2292">
        <v>284.53399999999999</v>
      </c>
      <c r="J2292">
        <v>-291.16379999999998</v>
      </c>
      <c r="K2292">
        <v>1.1212629999999999</v>
      </c>
      <c r="L2292">
        <v>284.5505</v>
      </c>
      <c r="M2292">
        <v>-0.99989150000000004</v>
      </c>
      <c r="N2292">
        <v>-7.49790099999999E-3</v>
      </c>
      <c r="O2292">
        <v>-1.2682270000000001E-2</v>
      </c>
      <c r="P2292">
        <v>-0.98757930000000005</v>
      </c>
      <c r="Q2292">
        <v>0.1521602</v>
      </c>
      <c r="R2292">
        <v>3.9176170000000003E-2</v>
      </c>
      <c r="S2292">
        <v>-3.0437319999999999</v>
      </c>
      <c r="T2292">
        <v>-3.5761590000000003E-2</v>
      </c>
      <c r="U2292">
        <v>-6.1035159999999996E-4</v>
      </c>
      <c r="V2292">
        <v>5.1436820000000001E-2</v>
      </c>
      <c r="W2292">
        <v>0.15964130000000001</v>
      </c>
      <c r="X2292">
        <v>0.98583410000000005</v>
      </c>
      <c r="Y2292">
        <v>1.248059E-2</v>
      </c>
      <c r="Z2292">
        <v>1.7401539999999999E-4</v>
      </c>
      <c r="AA2292">
        <v>0.99992210000000004</v>
      </c>
      <c r="AB2292">
        <v>36</v>
      </c>
      <c r="AC2292">
        <v>-95.243799999999993</v>
      </c>
      <c r="AD2292">
        <v>-1.1212611269839901</v>
      </c>
      <c r="AE2292">
        <v>-1.6500000000007699E-2</v>
      </c>
      <c r="AF2292">
        <v>1.1912777245682999</v>
      </c>
      <c r="AG2292">
        <v>-1.1212611269839901</v>
      </c>
      <c r="AH2292">
        <v>95.223151794474504</v>
      </c>
      <c r="AI2292">
        <v>90.674578966219698</v>
      </c>
      <c r="AJ2292">
        <v>89.283245470977604</v>
      </c>
      <c r="AK2292">
        <v>95.237203900605294</v>
      </c>
      <c r="AL2292">
        <v>80.813923221215703</v>
      </c>
      <c r="AM2292">
        <v>87.013247238117998</v>
      </c>
      <c r="AN2292">
        <v>0.99999998192010597</v>
      </c>
    </row>
    <row r="2293" spans="1:40" x14ac:dyDescent="0.25">
      <c r="A2293" t="str">
        <f>"20190303170303765"</f>
        <v>20190303170303765</v>
      </c>
      <c r="B2293" t="str">
        <f>"1551603783757754"</f>
        <v>1551603783757754</v>
      </c>
      <c r="C2293" t="s">
        <v>40</v>
      </c>
      <c r="D2293">
        <v>4.0940580000000004</v>
      </c>
      <c r="E2293">
        <v>0.48963329999999999</v>
      </c>
      <c r="F2293" t="s">
        <v>62</v>
      </c>
      <c r="G2293">
        <v>-378.55149999999998</v>
      </c>
      <c r="H2293" s="1">
        <v>3.0139079999999999E-6</v>
      </c>
      <c r="I2293">
        <v>284.52589999999998</v>
      </c>
      <c r="J2293">
        <v>-291.36790000000002</v>
      </c>
      <c r="K2293">
        <v>1.121259</v>
      </c>
      <c r="L2293">
        <v>284.54750000000001</v>
      </c>
      <c r="M2293">
        <v>-0.99988630000000001</v>
      </c>
      <c r="N2293">
        <v>-7.4924589999999999E-3</v>
      </c>
      <c r="O2293">
        <v>-1.3091139999999999E-2</v>
      </c>
      <c r="P2293">
        <v>-0.98770380000000002</v>
      </c>
      <c r="Q2293">
        <v>0.15142649999999999</v>
      </c>
      <c r="R2293">
        <v>3.8880690000000002E-2</v>
      </c>
      <c r="S2293">
        <v>-3.043793</v>
      </c>
      <c r="T2293">
        <v>-3.9054510000000001E-2</v>
      </c>
      <c r="U2293">
        <v>-8.5449219999999995E-4</v>
      </c>
      <c r="V2293">
        <v>5.1547500000000003E-2</v>
      </c>
      <c r="W2293">
        <v>0.15890270000000001</v>
      </c>
      <c r="X2293">
        <v>0.98594769999999998</v>
      </c>
      <c r="Y2293">
        <v>1.280894E-2</v>
      </c>
      <c r="Z2293">
        <v>2.0003410000000001E-4</v>
      </c>
      <c r="AA2293">
        <v>0.99991790000000003</v>
      </c>
      <c r="AB2293">
        <v>36</v>
      </c>
      <c r="AC2293">
        <v>-87.183599999999899</v>
      </c>
      <c r="AD2293">
        <v>-1.1212559860919999</v>
      </c>
      <c r="AE2293">
        <v>-2.16000000000349E-2</v>
      </c>
      <c r="AF2293">
        <v>1.11958134759511</v>
      </c>
      <c r="AG2293">
        <v>-1.1212559860919999</v>
      </c>
      <c r="AH2293">
        <v>87.161994624103698</v>
      </c>
      <c r="AI2293">
        <v>90.736954155809798</v>
      </c>
      <c r="AJ2293">
        <v>89.264085697179794</v>
      </c>
      <c r="AK2293">
        <v>87.176395797443405</v>
      </c>
      <c r="AL2293">
        <v>80.856789615082604</v>
      </c>
      <c r="AM2293">
        <v>87.007176362133904</v>
      </c>
      <c r="AN2293">
        <v>1.00000003997941</v>
      </c>
    </row>
    <row r="2294" spans="1:40" x14ac:dyDescent="0.25">
      <c r="A2294" t="str">
        <f>"20190303170303779"</f>
        <v>20190303170303779</v>
      </c>
      <c r="B2294" t="str">
        <f>"1551603783767516"</f>
        <v>1551603783767516</v>
      </c>
      <c r="C2294" t="s">
        <v>40</v>
      </c>
      <c r="D2294">
        <v>4.0945809999999998</v>
      </c>
      <c r="E2294">
        <v>0.48975269999999999</v>
      </c>
      <c r="F2294" t="s">
        <v>62</v>
      </c>
      <c r="G2294">
        <v>-371.00099999999998</v>
      </c>
      <c r="H2294" s="1">
        <v>-1.004113E-6</v>
      </c>
      <c r="I2294">
        <v>284.54829999999998</v>
      </c>
      <c r="J2294">
        <v>-291.57780000000002</v>
      </c>
      <c r="K2294">
        <v>1.121254</v>
      </c>
      <c r="L2294">
        <v>284.54450000000003</v>
      </c>
      <c r="M2294">
        <v>-0.99988069999999896</v>
      </c>
      <c r="N2294">
        <v>-7.4874240000000003E-3</v>
      </c>
      <c r="O2294">
        <v>-1.3510619999999999E-2</v>
      </c>
      <c r="P2294">
        <v>-0.98775000000000002</v>
      </c>
      <c r="Q2294">
        <v>0.15113109999999999</v>
      </c>
      <c r="R2294">
        <v>3.8848979999999998E-2</v>
      </c>
      <c r="S2294">
        <v>-3.0438540000000001</v>
      </c>
      <c r="T2294">
        <v>-4.2858479999999997E-2</v>
      </c>
      <c r="U2294" s="1">
        <v>3.0517579999999999E-5</v>
      </c>
      <c r="V2294">
        <v>5.1930419999999998E-2</v>
      </c>
      <c r="W2294">
        <v>0.15860369999999999</v>
      </c>
      <c r="X2294">
        <v>0.98597570000000001</v>
      </c>
      <c r="Y2294">
        <v>1.351868E-2</v>
      </c>
      <c r="Z2294">
        <v>2.3484290000000001E-4</v>
      </c>
      <c r="AA2294">
        <v>0.99990860000000004</v>
      </c>
      <c r="AB2294">
        <v>36</v>
      </c>
      <c r="AC2294">
        <v>-79.423199999999895</v>
      </c>
      <c r="AD2294">
        <v>-1.1212550041130001</v>
      </c>
      <c r="AE2294">
        <v>3.7999999999556102E-3</v>
      </c>
      <c r="AF2294">
        <v>1.0766718166071101</v>
      </c>
      <c r="AG2294">
        <v>-1.1212550041130001</v>
      </c>
      <c r="AH2294">
        <v>79.400074410609193</v>
      </c>
      <c r="AI2294">
        <v>90.808979155811301</v>
      </c>
      <c r="AJ2294">
        <v>89.223111932049605</v>
      </c>
      <c r="AK2294">
        <v>79.415289783486898</v>
      </c>
      <c r="AL2294">
        <v>80.874140653438303</v>
      </c>
      <c r="AM2294">
        <v>86.985070538082297</v>
      </c>
      <c r="AN2294">
        <v>0.99999999158277797</v>
      </c>
    </row>
    <row r="2295" spans="1:40" x14ac:dyDescent="0.25">
      <c r="A2295" t="str">
        <f>"20190303170303797"</f>
        <v>20190303170303797</v>
      </c>
      <c r="B2295" t="str">
        <f>"1551603783788011"</f>
        <v>1551603783788011</v>
      </c>
      <c r="C2295" t="s">
        <v>40</v>
      </c>
      <c r="D2295">
        <v>4.0899099999999997</v>
      </c>
      <c r="E2295">
        <v>0.48998900000000001</v>
      </c>
      <c r="F2295" t="s">
        <v>62</v>
      </c>
      <c r="G2295">
        <v>-369.00139999999999</v>
      </c>
      <c r="H2295" s="1">
        <v>3.2533139999999998E-6</v>
      </c>
      <c r="I2295">
        <v>284.56630000000001</v>
      </c>
      <c r="J2295">
        <v>-291.88670000000002</v>
      </c>
      <c r="K2295">
        <v>1.121254</v>
      </c>
      <c r="L2295">
        <v>284.53980000000001</v>
      </c>
      <c r="M2295">
        <v>-0.99987219999999999</v>
      </c>
      <c r="N2295">
        <v>-7.4816419999999897E-3</v>
      </c>
      <c r="O2295">
        <v>-1.41256E-2</v>
      </c>
      <c r="P2295">
        <v>-0.9875543</v>
      </c>
      <c r="Q2295">
        <v>0.1521959</v>
      </c>
      <c r="R2295">
        <v>3.9657779999999997E-2</v>
      </c>
      <c r="S2295">
        <v>-3.0439150000000001</v>
      </c>
      <c r="T2295">
        <v>-4.4082049999999998E-2</v>
      </c>
      <c r="U2295">
        <v>8.5449219999999995E-4</v>
      </c>
      <c r="V2295">
        <v>5.3341409999999999E-2</v>
      </c>
      <c r="W2295">
        <v>0.15966340000000001</v>
      </c>
      <c r="X2295">
        <v>0.98572930000000003</v>
      </c>
      <c r="Y2295">
        <v>1.440405E-2</v>
      </c>
      <c r="Z2295">
        <v>2.5704990000000001E-4</v>
      </c>
      <c r="AA2295">
        <v>0.99989620000000001</v>
      </c>
      <c r="AB2295">
        <v>36</v>
      </c>
      <c r="AC2295">
        <v>-77.1146999999999</v>
      </c>
      <c r="AD2295">
        <v>-1.121250746686</v>
      </c>
      <c r="AE2295">
        <v>2.6499999999998601E-2</v>
      </c>
      <c r="AF2295">
        <v>1.11558344298449</v>
      </c>
      <c r="AG2295">
        <v>-1.121250746686</v>
      </c>
      <c r="AH2295">
        <v>77.090333522364304</v>
      </c>
      <c r="AI2295">
        <v>90.833200206775302</v>
      </c>
      <c r="AJ2295">
        <v>89.1709237871667</v>
      </c>
      <c r="AK2295">
        <v>77.106557777173293</v>
      </c>
      <c r="AL2295">
        <v>80.812640514922293</v>
      </c>
      <c r="AM2295">
        <v>86.902537323095999</v>
      </c>
      <c r="AN2295">
        <v>0.99999998009941804</v>
      </c>
    </row>
    <row r="2296" spans="1:40" x14ac:dyDescent="0.25">
      <c r="A2296" t="str">
        <f>"20190303170303820"</f>
        <v>20190303170303820</v>
      </c>
      <c r="B2296" t="str">
        <f>"1551603783807530"</f>
        <v>1551603783807530</v>
      </c>
      <c r="C2296" t="s">
        <v>40</v>
      </c>
      <c r="D2296">
        <v>4.1999839999999997</v>
      </c>
      <c r="E2296">
        <v>0.49024099999999998</v>
      </c>
      <c r="F2296" t="s">
        <v>62</v>
      </c>
      <c r="G2296">
        <v>-372.87079999999997</v>
      </c>
      <c r="H2296" s="1">
        <v>-9.0997500000000001E-9</v>
      </c>
      <c r="I2296">
        <v>284.66890000000001</v>
      </c>
      <c r="J2296">
        <v>-292.2484</v>
      </c>
      <c r="K2296">
        <v>1.1212629999999999</v>
      </c>
      <c r="L2296">
        <v>284.53410000000002</v>
      </c>
      <c r="M2296">
        <v>-0.99986200000000003</v>
      </c>
      <c r="N2296">
        <v>-7.4774589999999997E-3</v>
      </c>
      <c r="O2296">
        <v>-1.484034E-2</v>
      </c>
      <c r="P2296">
        <v>-0.98736219999999997</v>
      </c>
      <c r="Q2296">
        <v>0.15330739999999901</v>
      </c>
      <c r="R2296">
        <v>4.016397E-2</v>
      </c>
      <c r="S2296">
        <v>-3.0441280000000002</v>
      </c>
      <c r="T2296">
        <v>-4.2147039999999997E-2</v>
      </c>
      <c r="U2296">
        <v>4.8522950000000004E-3</v>
      </c>
      <c r="V2296">
        <v>5.4548569999999998E-2</v>
      </c>
      <c r="W2296">
        <v>0.16077040000000001</v>
      </c>
      <c r="X2296">
        <v>0.98548329999999995</v>
      </c>
      <c r="Y2296">
        <v>1.643182E-2</v>
      </c>
      <c r="Z2296">
        <v>2.6967119999999999E-4</v>
      </c>
      <c r="AA2296">
        <v>0.99986489999999995</v>
      </c>
      <c r="AB2296">
        <v>36</v>
      </c>
      <c r="AC2296">
        <v>-80.622399999999899</v>
      </c>
      <c r="AD2296">
        <v>-1.12126300909975</v>
      </c>
      <c r="AE2296">
        <v>0.13479999999998399</v>
      </c>
      <c r="AF2296">
        <v>1.3310248846785</v>
      </c>
      <c r="AG2296">
        <v>-1.12126300909975</v>
      </c>
      <c r="AH2296">
        <v>80.595931618285903</v>
      </c>
      <c r="AI2296">
        <v>90.796947627881593</v>
      </c>
      <c r="AJ2296">
        <v>89.053858244166605</v>
      </c>
      <c r="AK2296">
        <v>80.614719818396907</v>
      </c>
      <c r="AL2296">
        <v>80.748384203588799</v>
      </c>
      <c r="AM2296">
        <v>86.831791297293904</v>
      </c>
      <c r="AN2296">
        <v>1.00000000129204</v>
      </c>
    </row>
    <row r="2297" spans="1:40" x14ac:dyDescent="0.25">
      <c r="A2297" t="str">
        <f>"20190303170303840"</f>
        <v>20190303170303840</v>
      </c>
      <c r="B2297" t="str">
        <f>"1551603783828027"</f>
        <v>1551603783828027</v>
      </c>
      <c r="C2297" t="s">
        <v>40</v>
      </c>
      <c r="D2297">
        <v>4.0815519999999896</v>
      </c>
      <c r="E2297">
        <v>0.49048219999999998</v>
      </c>
      <c r="F2297" t="s">
        <v>62</v>
      </c>
      <c r="G2297">
        <v>-377.41460000000001</v>
      </c>
      <c r="H2297" s="1">
        <v>2.4088929999999999E-6</v>
      </c>
      <c r="I2297">
        <v>284.76889999999997</v>
      </c>
      <c r="J2297">
        <v>-292.57580000000002</v>
      </c>
      <c r="K2297">
        <v>1.1212549999999999</v>
      </c>
      <c r="L2297">
        <v>284.52870000000001</v>
      </c>
      <c r="M2297">
        <v>-0.99985239999999997</v>
      </c>
      <c r="N2297">
        <v>-7.4746999999999999E-3</v>
      </c>
      <c r="O2297">
        <v>-1.5480570000000001E-2</v>
      </c>
      <c r="P2297">
        <v>-0.98730309999999999</v>
      </c>
      <c r="Q2297">
        <v>0.1535502</v>
      </c>
      <c r="R2297">
        <v>4.0686649999999998E-2</v>
      </c>
      <c r="S2297">
        <v>-3.0442499999999999</v>
      </c>
      <c r="T2297">
        <v>-4.0079240000000002E-2</v>
      </c>
      <c r="U2297">
        <v>8.3923339999999996E-3</v>
      </c>
      <c r="V2297">
        <v>5.5702620000000001E-2</v>
      </c>
      <c r="W2297">
        <v>0.16101190000000001</v>
      </c>
      <c r="X2297">
        <v>0.98537929999999996</v>
      </c>
      <c r="Y2297">
        <v>1.823466E-2</v>
      </c>
      <c r="Z2297">
        <v>2.7626549999999999E-4</v>
      </c>
      <c r="AA2297">
        <v>0.99983370000000005</v>
      </c>
      <c r="AB2297">
        <v>36</v>
      </c>
      <c r="AC2297">
        <v>-84.838799999999907</v>
      </c>
      <c r="AD2297">
        <v>-1.1212525911069999</v>
      </c>
      <c r="AE2297">
        <v>0.240199999999958</v>
      </c>
      <c r="AF2297">
        <v>1.5532893533313299</v>
      </c>
      <c r="AG2297">
        <v>-1.1212525911069999</v>
      </c>
      <c r="AH2297">
        <v>84.810100916981497</v>
      </c>
      <c r="AI2297">
        <v>90.757321685089096</v>
      </c>
      <c r="AJ2297">
        <v>88.950750271173007</v>
      </c>
      <c r="AK2297">
        <v>84.831734231576505</v>
      </c>
      <c r="AL2297">
        <v>80.734364516285893</v>
      </c>
      <c r="AM2297">
        <v>86.764563668569295</v>
      </c>
      <c r="AN2297">
        <v>0.99999998934248202</v>
      </c>
    </row>
    <row r="2298" spans="1:40" x14ac:dyDescent="0.25">
      <c r="A2298" t="str">
        <f>"20190303170303851"</f>
        <v>20190303170303851</v>
      </c>
      <c r="B2298" t="str">
        <f>"1551603783837787"</f>
        <v>1551603783837787</v>
      </c>
      <c r="C2298" t="s">
        <v>40</v>
      </c>
      <c r="D2298">
        <v>4.099583</v>
      </c>
      <c r="E2298">
        <v>0.49058809999999903</v>
      </c>
      <c r="F2298" t="s">
        <v>62</v>
      </c>
      <c r="G2298">
        <v>-377.4615</v>
      </c>
      <c r="H2298" s="1">
        <v>2.43382E-6</v>
      </c>
      <c r="I2298">
        <v>284.85629999999998</v>
      </c>
      <c r="J2298">
        <v>-292.77019999999999</v>
      </c>
      <c r="K2298">
        <v>1.121251</v>
      </c>
      <c r="L2298">
        <v>284.52539999999999</v>
      </c>
      <c r="M2298">
        <v>-0.99984649999999997</v>
      </c>
      <c r="N2298">
        <v>-7.4723069999999897E-3</v>
      </c>
      <c r="O2298">
        <v>-1.585688E-2</v>
      </c>
      <c r="P2298">
        <v>-0.98735969999999995</v>
      </c>
      <c r="Q2298">
        <v>0.1531951</v>
      </c>
      <c r="R2298">
        <v>4.0647780000000001E-2</v>
      </c>
      <c r="S2298">
        <v>-3.0443419999999999</v>
      </c>
      <c r="T2298">
        <v>-4.0212629999999999E-2</v>
      </c>
      <c r="U2298">
        <v>1.1749269999999999E-2</v>
      </c>
      <c r="V2298">
        <v>5.6037150000000001E-2</v>
      </c>
      <c r="W2298">
        <v>0.16065470000000001</v>
      </c>
      <c r="X2298">
        <v>0.98541869999999998</v>
      </c>
      <c r="Y2298">
        <v>1.9713109999999999E-2</v>
      </c>
      <c r="Z2298">
        <v>2.9479529999999998E-4</v>
      </c>
      <c r="AA2298">
        <v>0.99980559999999996</v>
      </c>
      <c r="AB2298">
        <v>36</v>
      </c>
      <c r="AC2298">
        <v>-84.691299999999998</v>
      </c>
      <c r="AD2298">
        <v>-1.12124856617999</v>
      </c>
      <c r="AE2298">
        <v>0.33089999999998498</v>
      </c>
      <c r="AF2298">
        <v>1.67354213770433</v>
      </c>
      <c r="AG2298">
        <v>-1.12124856617999</v>
      </c>
      <c r="AH2298">
        <v>84.660565267604099</v>
      </c>
      <c r="AI2298">
        <v>90.758635484485495</v>
      </c>
      <c r="AJ2298">
        <v>88.867543414829697</v>
      </c>
      <c r="AK2298">
        <v>84.684527825713701</v>
      </c>
      <c r="AL2298">
        <v>80.755101127181305</v>
      </c>
      <c r="AM2298">
        <v>86.745304305953397</v>
      </c>
      <c r="AN2298">
        <v>1.00000005456094</v>
      </c>
    </row>
    <row r="2299" spans="1:40" x14ac:dyDescent="0.25">
      <c r="A2299" t="str">
        <f>"20190303170303864"</f>
        <v>20190303170303864</v>
      </c>
      <c r="B2299" t="str">
        <f>"1551603783858283"</f>
        <v>1551603783858283</v>
      </c>
      <c r="C2299" t="s">
        <v>40</v>
      </c>
      <c r="D2299">
        <v>4.1169379999999904</v>
      </c>
      <c r="E2299">
        <v>0.49078110000000003</v>
      </c>
      <c r="F2299" t="s">
        <v>62</v>
      </c>
      <c r="G2299">
        <v>-374.81139999999999</v>
      </c>
      <c r="H2299" s="1">
        <v>1.023576E-6</v>
      </c>
      <c r="I2299">
        <v>284.85599999999999</v>
      </c>
      <c r="J2299">
        <v>-292.96890000000002</v>
      </c>
      <c r="K2299">
        <v>1.121243</v>
      </c>
      <c r="L2299">
        <v>284.52190000000002</v>
      </c>
      <c r="M2299">
        <v>-0.99984030000000002</v>
      </c>
      <c r="N2299">
        <v>-7.4690310000000001E-3</v>
      </c>
      <c r="O2299">
        <v>-1.6235779999999998E-2</v>
      </c>
      <c r="P2299">
        <v>-0.98738210000000004</v>
      </c>
      <c r="Q2299">
        <v>0.15311849999999999</v>
      </c>
      <c r="R2299">
        <v>4.0391160000000002E-2</v>
      </c>
      <c r="S2299">
        <v>-3.0443419999999999</v>
      </c>
      <c r="T2299">
        <v>-4.1606780000000003E-2</v>
      </c>
      <c r="U2299">
        <v>1.2268070000000001E-2</v>
      </c>
      <c r="V2299">
        <v>5.6156379999999999E-2</v>
      </c>
      <c r="W2299">
        <v>0.1605751</v>
      </c>
      <c r="X2299">
        <v>0.98542479999999999</v>
      </c>
      <c r="Y2299">
        <v>2.0262100000000002E-2</v>
      </c>
      <c r="Z2299">
        <v>3.1473839999999998E-4</v>
      </c>
      <c r="AA2299">
        <v>0.99979470000000004</v>
      </c>
      <c r="AB2299">
        <v>36</v>
      </c>
      <c r="AC2299">
        <v>-81.842499999999902</v>
      </c>
      <c r="AD2299">
        <v>-1.121241976424</v>
      </c>
      <c r="AE2299">
        <v>0.33409999999997803</v>
      </c>
      <c r="AF2299">
        <v>1.6625578018095399</v>
      </c>
      <c r="AG2299">
        <v>-1.121241976424</v>
      </c>
      <c r="AH2299">
        <v>81.810932467301399</v>
      </c>
      <c r="AI2299">
        <v>90.785043641229194</v>
      </c>
      <c r="AJ2299">
        <v>88.835798194592201</v>
      </c>
      <c r="AK2299">
        <v>81.835505455660297</v>
      </c>
      <c r="AL2299">
        <v>80.7597210647194</v>
      </c>
      <c r="AM2299">
        <v>86.738414385577002</v>
      </c>
      <c r="AN2299">
        <v>0.99999996910487599</v>
      </c>
    </row>
    <row r="2300" spans="1:40" x14ac:dyDescent="0.25">
      <c r="A2300" t="str">
        <f>"20190303170303885"</f>
        <v>20190303170303885</v>
      </c>
      <c r="B2300" t="str">
        <f>"1551603783877803"</f>
        <v>1551603783877803</v>
      </c>
      <c r="C2300" t="s">
        <v>40</v>
      </c>
      <c r="D2300">
        <v>4.260961</v>
      </c>
      <c r="E2300">
        <v>0.49096489999999998</v>
      </c>
      <c r="F2300" t="s">
        <v>62</v>
      </c>
      <c r="G2300">
        <v>-372.5412</v>
      </c>
      <c r="H2300" s="1">
        <v>-1.8450639999999999E-7</v>
      </c>
      <c r="I2300">
        <v>284.85770000000002</v>
      </c>
      <c r="J2300">
        <v>-293.31970000000001</v>
      </c>
      <c r="K2300">
        <v>1.121232</v>
      </c>
      <c r="L2300">
        <v>284.51560000000001</v>
      </c>
      <c r="M2300">
        <v>-0.99982950000000004</v>
      </c>
      <c r="N2300">
        <v>-7.4628319999999904E-3</v>
      </c>
      <c r="O2300">
        <v>-1.6890929999999998E-2</v>
      </c>
      <c r="P2300">
        <v>-0.98722849999999995</v>
      </c>
      <c r="Q2300">
        <v>0.15429579999999901</v>
      </c>
      <c r="R2300">
        <v>3.9661460000000003E-2</v>
      </c>
      <c r="S2300">
        <v>-3.044495</v>
      </c>
      <c r="T2300">
        <v>-4.2899609999999998E-2</v>
      </c>
      <c r="U2300">
        <v>1.2847900000000001E-2</v>
      </c>
      <c r="V2300">
        <v>5.6072730000000001E-2</v>
      </c>
      <c r="W2300">
        <v>0.1617432</v>
      </c>
      <c r="X2300">
        <v>0.98523859999999996</v>
      </c>
      <c r="Y2300">
        <v>2.1107089999999998E-2</v>
      </c>
      <c r="Z2300">
        <v>3.3940050000000002E-4</v>
      </c>
      <c r="AA2300">
        <v>0.99977709999999997</v>
      </c>
      <c r="AB2300">
        <v>36</v>
      </c>
      <c r="AC2300">
        <v>-79.221499999999907</v>
      </c>
      <c r="AD2300">
        <v>-1.1212321845063999</v>
      </c>
      <c r="AE2300">
        <v>0.342100000000016</v>
      </c>
      <c r="AF2300">
        <v>1.6798767584932</v>
      </c>
      <c r="AG2300">
        <v>-1.1212321845063999</v>
      </c>
      <c r="AH2300">
        <v>79.188556880192905</v>
      </c>
      <c r="AI2300">
        <v>90.8110153135774</v>
      </c>
      <c r="AJ2300">
        <v>88.784730799571804</v>
      </c>
      <c r="AK2300">
        <v>79.214308608374793</v>
      </c>
      <c r="AL2300">
        <v>80.691908247136197</v>
      </c>
      <c r="AM2300">
        <v>86.742648181457596</v>
      </c>
      <c r="AN2300">
        <v>1.0000000563629201</v>
      </c>
    </row>
    <row r="2301" spans="1:40" x14ac:dyDescent="0.25">
      <c r="A2301" t="str">
        <f>"20190303170303897"</f>
        <v>20190303170303897</v>
      </c>
      <c r="B2301" t="str">
        <f>"1551603783887562"</f>
        <v>1551603783887562</v>
      </c>
      <c r="C2301" t="s">
        <v>40</v>
      </c>
      <c r="D2301">
        <v>4.0406269999999997</v>
      </c>
      <c r="E2301">
        <v>0.49104310000000001</v>
      </c>
      <c r="F2301" t="s">
        <v>62</v>
      </c>
      <c r="G2301">
        <v>-378.21480000000003</v>
      </c>
      <c r="H2301" s="1">
        <v>2.834703E-6</v>
      </c>
      <c r="I2301">
        <v>284.85000000000002</v>
      </c>
      <c r="J2301">
        <v>-293.5043</v>
      </c>
      <c r="K2301">
        <v>1.1212310000000001</v>
      </c>
      <c r="L2301">
        <v>284.51229999999998</v>
      </c>
      <c r="M2301">
        <v>-0.99982389999999999</v>
      </c>
      <c r="N2301">
        <v>-7.4597129999999998E-3</v>
      </c>
      <c r="O2301">
        <v>-1.7227240000000001E-2</v>
      </c>
      <c r="P2301">
        <v>-0.98713079999999997</v>
      </c>
      <c r="Q2301">
        <v>0.15503439999999999</v>
      </c>
      <c r="R2301">
        <v>3.9209239999999999E-2</v>
      </c>
      <c r="S2301">
        <v>-3.0446170000000001</v>
      </c>
      <c r="T2301">
        <v>-4.0210959999999997E-2</v>
      </c>
      <c r="U2301">
        <v>1.1993409999999999E-2</v>
      </c>
      <c r="V2301">
        <v>5.5952450000000001E-2</v>
      </c>
      <c r="W2301">
        <v>0.16247619999999999</v>
      </c>
      <c r="X2301">
        <v>0.98512480000000002</v>
      </c>
      <c r="Y2301">
        <v>2.1163009999999999E-2</v>
      </c>
      <c r="Z2301">
        <v>3.1768170000000002E-4</v>
      </c>
      <c r="AA2301">
        <v>0.999776</v>
      </c>
      <c r="AB2301">
        <v>36</v>
      </c>
      <c r="AC2301">
        <v>-84.710499999999996</v>
      </c>
      <c r="AD2301">
        <v>-1.12122816529699</v>
      </c>
      <c r="AE2301">
        <v>0.33770000000004002</v>
      </c>
      <c r="AF2301">
        <v>1.7967036526835001</v>
      </c>
      <c r="AG2301">
        <v>-1.12122816529699</v>
      </c>
      <c r="AH2301">
        <v>84.677275953412604</v>
      </c>
      <c r="AI2301">
        <v>90.758449455330506</v>
      </c>
      <c r="AJ2301">
        <v>88.784466192748994</v>
      </c>
      <c r="AK2301">
        <v>84.703756466313905</v>
      </c>
      <c r="AL2301">
        <v>80.649347249123807</v>
      </c>
      <c r="AM2301">
        <v>86.749245762180706</v>
      </c>
      <c r="AN2301">
        <v>1.0000000319012401</v>
      </c>
    </row>
    <row r="2302" spans="1:40" x14ac:dyDescent="0.25">
      <c r="A2302" t="str">
        <f>"20190303170303909"</f>
        <v>20190303170303909</v>
      </c>
      <c r="B2302" t="str">
        <f>"1551603783898298"</f>
        <v>1551603783898298</v>
      </c>
      <c r="C2302" t="s">
        <v>40</v>
      </c>
      <c r="D2302">
        <v>4.0377289999999997</v>
      </c>
      <c r="E2302">
        <v>0.49112899999999998</v>
      </c>
      <c r="F2302" t="s">
        <v>62</v>
      </c>
      <c r="G2302">
        <v>-382.14440000000002</v>
      </c>
      <c r="H2302" s="1">
        <v>-3.9563470000000001E-7</v>
      </c>
      <c r="I2302">
        <v>284.84100000000001</v>
      </c>
      <c r="J2302">
        <v>-293.70780000000002</v>
      </c>
      <c r="K2302">
        <v>1.1212219999999999</v>
      </c>
      <c r="L2302">
        <v>284.50850000000003</v>
      </c>
      <c r="M2302">
        <v>-0.99981759999999997</v>
      </c>
      <c r="N2302">
        <v>-7.4568419999999896E-3</v>
      </c>
      <c r="O2302">
        <v>-1.7583890000000001E-2</v>
      </c>
      <c r="P2302">
        <v>-0.98707880000000003</v>
      </c>
      <c r="Q2302">
        <v>0.15556789999999901</v>
      </c>
      <c r="R2302">
        <v>3.8395650000000003E-2</v>
      </c>
      <c r="S2302">
        <v>-3.044708</v>
      </c>
      <c r="T2302">
        <v>-3.85133E-2</v>
      </c>
      <c r="U2302">
        <v>1.1291499999999999E-2</v>
      </c>
      <c r="V2302">
        <v>5.5493599999999997E-2</v>
      </c>
      <c r="W2302">
        <v>0.16300410000000001</v>
      </c>
      <c r="X2302">
        <v>0.98506349999999998</v>
      </c>
      <c r="Y2302">
        <v>2.1289280000000001E-2</v>
      </c>
      <c r="Z2302">
        <v>3.0530599999999998E-4</v>
      </c>
      <c r="AA2302">
        <v>0.99977329999999998</v>
      </c>
      <c r="AB2302">
        <v>37</v>
      </c>
      <c r="AC2302">
        <v>-88.436599999999999</v>
      </c>
      <c r="AD2302">
        <v>-1.1212223956346901</v>
      </c>
      <c r="AE2302">
        <v>0.33249999999998098</v>
      </c>
      <c r="AF2302">
        <v>1.8872478992694499</v>
      </c>
      <c r="AG2302">
        <v>-1.1212223956346901</v>
      </c>
      <c r="AH2302">
        <v>88.402869851203803</v>
      </c>
      <c r="AI2302">
        <v>90.726483601516705</v>
      </c>
      <c r="AJ2302">
        <v>88.7770202788696</v>
      </c>
      <c r="AK2302">
        <v>88.430120672894304</v>
      </c>
      <c r="AL2302">
        <v>80.618691724455203</v>
      </c>
      <c r="AM2302">
        <v>86.775647578600996</v>
      </c>
      <c r="AN2302">
        <v>0.99999998764500997</v>
      </c>
    </row>
    <row r="2303" spans="1:40" x14ac:dyDescent="0.25">
      <c r="A2303" t="str">
        <f>"20190303170303930"</f>
        <v>20190303170303930</v>
      </c>
      <c r="B2303" t="str">
        <f>"1551603783917819"</f>
        <v>1551603783917819</v>
      </c>
      <c r="C2303" t="s">
        <v>40</v>
      </c>
      <c r="D2303">
        <v>4.085153</v>
      </c>
      <c r="E2303">
        <v>0.49105799999999999</v>
      </c>
      <c r="F2303" t="s">
        <v>62</v>
      </c>
      <c r="G2303">
        <v>-385.3449</v>
      </c>
      <c r="H2303" s="1">
        <v>1.307515E-6</v>
      </c>
      <c r="I2303">
        <v>284.79140000000001</v>
      </c>
      <c r="J2303">
        <v>-294.03469999999999</v>
      </c>
      <c r="K2303">
        <v>1.1211960000000001</v>
      </c>
      <c r="L2303">
        <v>284.50220000000002</v>
      </c>
      <c r="M2303">
        <v>-0.99980809999999998</v>
      </c>
      <c r="N2303">
        <v>-7.4532259999999899E-3</v>
      </c>
      <c r="O2303">
        <v>-1.8129699999999999E-2</v>
      </c>
      <c r="P2303">
        <v>-0.98711269999999995</v>
      </c>
      <c r="Q2303">
        <v>0.155641</v>
      </c>
      <c r="R2303">
        <v>3.7211080000000001E-2</v>
      </c>
      <c r="S2303">
        <v>-3.0447690000000001</v>
      </c>
      <c r="T2303">
        <v>-3.7254099999999998E-2</v>
      </c>
      <c r="U2303">
        <v>9.399414E-3</v>
      </c>
      <c r="V2303">
        <v>5.485756E-2</v>
      </c>
      <c r="W2303">
        <v>0.16306999999999999</v>
      </c>
      <c r="X2303">
        <v>0.98508819999999997</v>
      </c>
      <c r="Y2303">
        <v>2.1213900000000001E-2</v>
      </c>
      <c r="Z2303">
        <v>2.955171E-4</v>
      </c>
      <c r="AA2303">
        <v>0.99977490000000002</v>
      </c>
      <c r="AB2303">
        <v>37</v>
      </c>
      <c r="AC2303">
        <v>-91.310199999999995</v>
      </c>
      <c r="AD2303">
        <v>-1.12119469248499</v>
      </c>
      <c r="AE2303">
        <v>0.28919999999999302</v>
      </c>
      <c r="AF2303">
        <v>1.94433143871244</v>
      </c>
      <c r="AG2303">
        <v>-1.12119469248499</v>
      </c>
      <c r="AH2303">
        <v>91.276186649856498</v>
      </c>
      <c r="AI2303">
        <v>90.703600008543603</v>
      </c>
      <c r="AJ2303">
        <v>88.779691130970804</v>
      </c>
      <c r="AK2303">
        <v>91.303777312997696</v>
      </c>
      <c r="AL2303">
        <v>80.614864553233701</v>
      </c>
      <c r="AM2303">
        <v>86.812606614243506</v>
      </c>
      <c r="AN2303">
        <v>0.99999996928419599</v>
      </c>
    </row>
    <row r="2304" spans="1:40" x14ac:dyDescent="0.25">
      <c r="A2304" t="str">
        <f>"20190303170303942"</f>
        <v>20190303170303942</v>
      </c>
      <c r="B2304" t="str">
        <f>"1551603783928555"</f>
        <v>1551603783928555</v>
      </c>
      <c r="C2304" t="s">
        <v>40</v>
      </c>
      <c r="D2304">
        <v>4.012384</v>
      </c>
      <c r="E2304">
        <v>0.49101</v>
      </c>
      <c r="F2304" t="s">
        <v>62</v>
      </c>
      <c r="G2304">
        <v>-386.48230000000001</v>
      </c>
      <c r="H2304" s="1">
        <v>1.9127680000000001E-6</v>
      </c>
      <c r="I2304">
        <v>284.6635</v>
      </c>
      <c r="J2304">
        <v>-294.23689999999999</v>
      </c>
      <c r="K2304">
        <v>1.1211739999999999</v>
      </c>
      <c r="L2304">
        <v>284.49829999999997</v>
      </c>
      <c r="M2304">
        <v>-0.99980210000000003</v>
      </c>
      <c r="N2304">
        <v>-7.451666E-3</v>
      </c>
      <c r="O2304">
        <v>-1.8443350000000001E-2</v>
      </c>
      <c r="P2304">
        <v>-0.98722790000000005</v>
      </c>
      <c r="Q2304">
        <v>0.1550445</v>
      </c>
      <c r="R2304">
        <v>3.6641939999999998E-2</v>
      </c>
      <c r="S2304">
        <v>-3.0448</v>
      </c>
      <c r="T2304">
        <v>-3.6926979999999998E-2</v>
      </c>
      <c r="U2304">
        <v>5.3100589999999998E-3</v>
      </c>
      <c r="V2304">
        <v>5.4608940000000002E-2</v>
      </c>
      <c r="W2304">
        <v>0.16246969999999999</v>
      </c>
      <c r="X2304">
        <v>0.9852012</v>
      </c>
      <c r="Y2304">
        <v>2.0184919999999999E-2</v>
      </c>
      <c r="Z2304">
        <v>2.8382979999999998E-4</v>
      </c>
      <c r="AA2304">
        <v>0.99979620000000002</v>
      </c>
      <c r="AB2304">
        <v>37</v>
      </c>
      <c r="AC2304">
        <v>-92.245400000000004</v>
      </c>
      <c r="AD2304">
        <v>-1.1211720872319999</v>
      </c>
      <c r="AE2304">
        <v>0.16520000000002699</v>
      </c>
      <c r="AF2304">
        <v>1.8662577060454599</v>
      </c>
      <c r="AG2304">
        <v>-1.1211720872319999</v>
      </c>
      <c r="AH2304">
        <v>92.213039737604703</v>
      </c>
      <c r="AI2304">
        <v>90.696453709037101</v>
      </c>
      <c r="AJ2304">
        <v>88.840575100357398</v>
      </c>
      <c r="AK2304">
        <v>92.238737211236895</v>
      </c>
      <c r="AL2304">
        <v>80.649724122646305</v>
      </c>
      <c r="AM2304">
        <v>86.827385807991007</v>
      </c>
      <c r="AN2304">
        <v>0.99999997211372604</v>
      </c>
    </row>
    <row r="2305" spans="1:40" x14ac:dyDescent="0.25">
      <c r="A2305" t="str">
        <f>"20190303170303953"</f>
        <v>20190303170303953</v>
      </c>
      <c r="B2305" t="str">
        <f>"1551603783948075"</f>
        <v>1551603783948075</v>
      </c>
      <c r="C2305" t="s">
        <v>40</v>
      </c>
      <c r="D2305">
        <v>4.0594260000000002</v>
      </c>
      <c r="E2305">
        <v>0.49089539999999998</v>
      </c>
      <c r="F2305" t="s">
        <v>62</v>
      </c>
      <c r="G2305">
        <v>-384.38560000000001</v>
      </c>
      <c r="H2305" s="1">
        <v>7.9700109999999896E-7</v>
      </c>
      <c r="I2305">
        <v>284.59769999999997</v>
      </c>
      <c r="J2305">
        <v>-294.44040000000001</v>
      </c>
      <c r="K2305">
        <v>1.1211469999999999</v>
      </c>
      <c r="L2305">
        <v>284.49430000000001</v>
      </c>
      <c r="M2305">
        <v>-0.99979660000000004</v>
      </c>
      <c r="N2305">
        <v>-7.4504669999999997E-3</v>
      </c>
      <c r="O2305">
        <v>-1.8745169999999999E-2</v>
      </c>
      <c r="P2305">
        <v>-0.98736080000000004</v>
      </c>
      <c r="Q2305">
        <v>0.15434439999999999</v>
      </c>
      <c r="R2305">
        <v>3.6007209999999998E-2</v>
      </c>
      <c r="S2305">
        <v>-3.044708</v>
      </c>
      <c r="T2305">
        <v>-3.7866829999999997E-2</v>
      </c>
      <c r="U2305">
        <v>3.3569339999999998E-3</v>
      </c>
      <c r="V2305">
        <v>5.4284390000000002E-2</v>
      </c>
      <c r="W2305">
        <v>0.1617662</v>
      </c>
      <c r="X2305">
        <v>0.98533490000000001</v>
      </c>
      <c r="Y2305">
        <v>1.984534E-2</v>
      </c>
      <c r="Z2305">
        <v>2.9078490000000002E-4</v>
      </c>
      <c r="AA2305">
        <v>0.999803</v>
      </c>
      <c r="AB2305">
        <v>37</v>
      </c>
      <c r="AC2305">
        <v>-89.9452</v>
      </c>
      <c r="AD2305">
        <v>-1.1211462029989001</v>
      </c>
      <c r="AE2305">
        <v>0.10339999999996501</v>
      </c>
      <c r="AF2305">
        <v>1.78918859493157</v>
      </c>
      <c r="AG2305">
        <v>-1.1211462029989001</v>
      </c>
      <c r="AH2305">
        <v>89.913487013463097</v>
      </c>
      <c r="AI2305">
        <v>90.714252185024407</v>
      </c>
      <c r="AJ2305">
        <v>88.860021658960704</v>
      </c>
      <c r="AK2305">
        <v>89.938275008790995</v>
      </c>
      <c r="AL2305">
        <v>80.690572158321004</v>
      </c>
      <c r="AM2305">
        <v>86.846630079367102</v>
      </c>
      <c r="AN2305">
        <v>0.99999998180906102</v>
      </c>
    </row>
    <row r="2306" spans="1:40" x14ac:dyDescent="0.25">
      <c r="A2306" t="str">
        <f>"20190303170303965"</f>
        <v>20190303170303965</v>
      </c>
      <c r="B2306" t="str">
        <f>"1551603783957835"</f>
        <v>1551603783957835</v>
      </c>
      <c r="C2306" t="s">
        <v>40</v>
      </c>
      <c r="D2306">
        <v>4.0564109999999998</v>
      </c>
      <c r="E2306">
        <v>0.49082409999999999</v>
      </c>
      <c r="F2306" t="s">
        <v>62</v>
      </c>
      <c r="G2306">
        <v>-381.65320000000003</v>
      </c>
      <c r="H2306" s="1">
        <v>-6.5705609999999896E-7</v>
      </c>
      <c r="I2306">
        <v>284.51440000000002</v>
      </c>
      <c r="J2306">
        <v>-294.6241</v>
      </c>
      <c r="K2306">
        <v>1.1211180000000001</v>
      </c>
      <c r="L2306">
        <v>284.4907</v>
      </c>
      <c r="M2306">
        <v>-0.99979189999999996</v>
      </c>
      <c r="N2306">
        <v>-7.4501680000000001E-3</v>
      </c>
      <c r="O2306">
        <v>-1.8985680000000001E-2</v>
      </c>
      <c r="P2306">
        <v>-0.98745229999999995</v>
      </c>
      <c r="Q2306">
        <v>0.15386359999999999</v>
      </c>
      <c r="R2306">
        <v>3.5549150000000002E-2</v>
      </c>
      <c r="S2306">
        <v>-3.044495</v>
      </c>
      <c r="T2306">
        <v>-3.9137959999999999E-2</v>
      </c>
      <c r="U2306">
        <v>7.0190429999999896E-4</v>
      </c>
      <c r="V2306">
        <v>5.4076600000000002E-2</v>
      </c>
      <c r="W2306">
        <v>0.16128199999999901</v>
      </c>
      <c r="X2306">
        <v>0.98542569999999996</v>
      </c>
      <c r="Y2306">
        <v>1.9213939999999999E-2</v>
      </c>
      <c r="Z2306">
        <v>2.976686E-4</v>
      </c>
      <c r="AA2306">
        <v>0.99981529999999996</v>
      </c>
      <c r="AB2306">
        <v>37</v>
      </c>
      <c r="AC2306">
        <v>-87.0291</v>
      </c>
      <c r="AD2306">
        <v>-1.1211186570561</v>
      </c>
      <c r="AE2306">
        <v>2.3700000000019299E-2</v>
      </c>
      <c r="AF2306">
        <v>1.6757702983727101</v>
      </c>
      <c r="AG2306">
        <v>-1.1211186570561</v>
      </c>
      <c r="AH2306">
        <v>86.9985253549102</v>
      </c>
      <c r="AI2306">
        <v>90.738172290730603</v>
      </c>
      <c r="AJ2306">
        <v>88.896502059952894</v>
      </c>
      <c r="AK2306">
        <v>87.021885333892001</v>
      </c>
      <c r="AL2306">
        <v>80.718683958785604</v>
      </c>
      <c r="AM2306">
        <v>86.858965211664099</v>
      </c>
      <c r="AN2306">
        <v>0.99999998620602404</v>
      </c>
    </row>
    <row r="2307" spans="1:40" x14ac:dyDescent="0.25">
      <c r="A2307" t="str">
        <f>"20190303170303978"</f>
        <v>20190303170303978</v>
      </c>
      <c r="B2307" t="str">
        <f>"1551603783967595"</f>
        <v>1551603783967595</v>
      </c>
      <c r="C2307" t="s">
        <v>40</v>
      </c>
      <c r="D2307">
        <v>4.2092289999999997</v>
      </c>
      <c r="E2307">
        <v>0.49081000000000002</v>
      </c>
      <c r="F2307" t="s">
        <v>62</v>
      </c>
      <c r="G2307">
        <v>-380.25580000000002</v>
      </c>
      <c r="H2307" s="1">
        <v>-1.4006589999999999E-6</v>
      </c>
      <c r="I2307">
        <v>284.4538</v>
      </c>
      <c r="J2307">
        <v>-294.8229</v>
      </c>
      <c r="K2307">
        <v>1.121086</v>
      </c>
      <c r="L2307">
        <v>284.48669999999998</v>
      </c>
      <c r="M2307">
        <v>-0.99978730000000005</v>
      </c>
      <c r="N2307">
        <v>-7.4500740000000001E-3</v>
      </c>
      <c r="O2307">
        <v>-1.9234979999999999E-2</v>
      </c>
      <c r="P2307">
        <v>-0.98749350000000002</v>
      </c>
      <c r="Q2307">
        <v>0.15368589999999999</v>
      </c>
      <c r="R2307">
        <v>3.5179469999999997E-2</v>
      </c>
      <c r="S2307">
        <v>-3.044403</v>
      </c>
      <c r="T2307">
        <v>-3.9858339999999999E-2</v>
      </c>
      <c r="U2307">
        <v>-1.3122559999999999E-3</v>
      </c>
      <c r="V2307">
        <v>5.3965840000000001E-2</v>
      </c>
      <c r="W2307">
        <v>0.16109989999999999</v>
      </c>
      <c r="X2307">
        <v>0.98546160000000005</v>
      </c>
      <c r="Y2307">
        <v>1.8801720000000001E-2</v>
      </c>
      <c r="Z2307">
        <v>3.0161659999999998E-4</v>
      </c>
      <c r="AA2307">
        <v>0.99982320000000002</v>
      </c>
      <c r="AB2307">
        <v>37</v>
      </c>
      <c r="AC2307">
        <v>-85.432900000000004</v>
      </c>
      <c r="AD2307">
        <v>-1.1210874006589999</v>
      </c>
      <c r="AE2307">
        <v>-3.2899999999983699E-2</v>
      </c>
      <c r="AF2307">
        <v>1.6101744377652301</v>
      </c>
      <c r="AG2307">
        <v>-1.1210874006589999</v>
      </c>
      <c r="AH2307">
        <v>85.403019843013993</v>
      </c>
      <c r="AI2307">
        <v>90.751946196054107</v>
      </c>
      <c r="AJ2307">
        <v>88.9198828013742</v>
      </c>
      <c r="AK2307">
        <v>85.425554121622099</v>
      </c>
      <c r="AL2307">
        <v>80.729256150391194</v>
      </c>
      <c r="AM2307">
        <v>86.865499819249393</v>
      </c>
      <c r="AN2307">
        <v>1.0000000273707299</v>
      </c>
    </row>
    <row r="2308" spans="1:40" x14ac:dyDescent="0.25">
      <c r="A2308" t="str">
        <f>"20190303170303991"</f>
        <v>20190303170303991</v>
      </c>
      <c r="B2308" t="str">
        <f>"1551603783978331"</f>
        <v>1551603783978331</v>
      </c>
      <c r="C2308" t="s">
        <v>40</v>
      </c>
      <c r="D2308">
        <v>4.0422479999999998</v>
      </c>
      <c r="E2308">
        <v>0.49079980000000001</v>
      </c>
      <c r="F2308" t="s">
        <v>62</v>
      </c>
      <c r="G2308">
        <v>-379.81319999999999</v>
      </c>
      <c r="H2308" s="1">
        <v>3.6853320000000001E-6</v>
      </c>
      <c r="I2308">
        <v>284.42200000000003</v>
      </c>
      <c r="J2308">
        <v>-295.06740000000002</v>
      </c>
      <c r="K2308">
        <v>1.1210439999999999</v>
      </c>
      <c r="L2308">
        <v>284.48180000000002</v>
      </c>
      <c r="M2308">
        <v>-0.99978210000000001</v>
      </c>
      <c r="N2308">
        <v>-7.4506969999999896E-3</v>
      </c>
      <c r="O2308">
        <v>-1.949797E-2</v>
      </c>
      <c r="P2308">
        <v>-0.98745919999999998</v>
      </c>
      <c r="Q2308">
        <v>0.15399740000000001</v>
      </c>
      <c r="R2308">
        <v>3.4770790000000003E-2</v>
      </c>
      <c r="S2308">
        <v>-3.0443120000000001</v>
      </c>
      <c r="T2308">
        <v>-4.0156600000000001E-2</v>
      </c>
      <c r="U2308">
        <v>-2.319336E-3</v>
      </c>
      <c r="V2308">
        <v>5.3832739999999997E-2</v>
      </c>
      <c r="W2308">
        <v>0.1614062</v>
      </c>
      <c r="X2308">
        <v>0.98541869999999998</v>
      </c>
      <c r="Y2308">
        <v>1.8733920000000001E-2</v>
      </c>
      <c r="Z2308">
        <v>3.0523559999999999E-4</v>
      </c>
      <c r="AA2308">
        <v>0.9998245</v>
      </c>
      <c r="AB2308">
        <v>37</v>
      </c>
      <c r="AC2308">
        <v>-84.745799999999903</v>
      </c>
      <c r="AD2308">
        <v>-1.1210403146679999</v>
      </c>
      <c r="AE2308">
        <v>-5.97999999999956E-2</v>
      </c>
      <c r="AF2308">
        <v>1.5923497169860601</v>
      </c>
      <c r="AG2308">
        <v>-1.1210403146679999</v>
      </c>
      <c r="AH2308">
        <v>84.7160304361919</v>
      </c>
      <c r="AI2308">
        <v>90.758012245744894</v>
      </c>
      <c r="AJ2308">
        <v>88.923176928665001</v>
      </c>
      <c r="AK2308">
        <v>84.738409956017506</v>
      </c>
      <c r="AL2308">
        <v>80.711473197293699</v>
      </c>
      <c r="AM2308">
        <v>86.873079459407094</v>
      </c>
      <c r="AN2308">
        <v>0.999999969802018</v>
      </c>
    </row>
    <row r="2309" spans="1:40" x14ac:dyDescent="0.25">
      <c r="A2309" t="str">
        <f>"20190303170304009"</f>
        <v>20190303170304009</v>
      </c>
      <c r="B2309" t="str">
        <f>"1551603783997851"</f>
        <v>1551603783997851</v>
      </c>
      <c r="C2309" t="s">
        <v>40</v>
      </c>
      <c r="D2309">
        <v>4.0434150000000004</v>
      </c>
      <c r="E2309">
        <v>0.49080469999999998</v>
      </c>
      <c r="F2309" t="s">
        <v>62</v>
      </c>
      <c r="G2309">
        <v>-382.67689999999999</v>
      </c>
      <c r="H2309" s="1">
        <v>-1.122561E-7</v>
      </c>
      <c r="I2309">
        <v>284.3904</v>
      </c>
      <c r="J2309">
        <v>-295.34269999999998</v>
      </c>
      <c r="K2309">
        <v>1.1209899999999999</v>
      </c>
      <c r="L2309">
        <v>284.47620000000001</v>
      </c>
      <c r="M2309">
        <v>-0.99977740000000004</v>
      </c>
      <c r="N2309">
        <v>-7.452335E-3</v>
      </c>
      <c r="O2309">
        <v>-1.9744660000000001E-2</v>
      </c>
      <c r="P2309">
        <v>-0.98735269999999997</v>
      </c>
      <c r="Q2309">
        <v>0.15487390000000001</v>
      </c>
      <c r="R2309">
        <v>3.3893529999999998E-2</v>
      </c>
      <c r="S2309">
        <v>-3.0442809999999998</v>
      </c>
      <c r="T2309">
        <v>-3.8954379999999997E-2</v>
      </c>
      <c r="U2309">
        <v>-3.1738280000000001E-3</v>
      </c>
      <c r="V2309">
        <v>5.3216989999999999E-2</v>
      </c>
      <c r="W2309">
        <v>0.16227539999999999</v>
      </c>
      <c r="X2309">
        <v>0.9853094</v>
      </c>
      <c r="Y2309">
        <v>1.8700149999999999E-2</v>
      </c>
      <c r="Z2309">
        <v>2.9480020000000002E-4</v>
      </c>
      <c r="AA2309">
        <v>0.99982510000000002</v>
      </c>
      <c r="AB2309">
        <v>37</v>
      </c>
      <c r="AC2309">
        <v>-87.334199999999996</v>
      </c>
      <c r="AD2309">
        <v>-1.1209901122560999</v>
      </c>
      <c r="AE2309">
        <v>-8.5800000000006094E-2</v>
      </c>
      <c r="AF2309">
        <v>1.6383785642875699</v>
      </c>
      <c r="AG2309">
        <v>-1.1209901122560999</v>
      </c>
      <c r="AH2309">
        <v>87.304484136021799</v>
      </c>
      <c r="AI2309">
        <v>90.735508248047907</v>
      </c>
      <c r="AJ2309">
        <v>88.924898755169707</v>
      </c>
      <c r="AK2309">
        <v>87.327051097632904</v>
      </c>
      <c r="AL2309">
        <v>80.661006522538301</v>
      </c>
      <c r="AM2309">
        <v>86.908433813309998</v>
      </c>
      <c r="AN2309">
        <v>0.99999998359908904</v>
      </c>
    </row>
    <row r="2310" spans="1:40" x14ac:dyDescent="0.25">
      <c r="A2310" t="str">
        <f>"20190303170304026"</f>
        <v>20190303170304026</v>
      </c>
      <c r="B2310" t="str">
        <f>"1551603784018347"</f>
        <v>1551603784018347</v>
      </c>
      <c r="C2310" t="s">
        <v>40</v>
      </c>
      <c r="D2310">
        <v>4.0006389999999996</v>
      </c>
      <c r="E2310">
        <v>0.49080279999999998</v>
      </c>
      <c r="F2310" t="s">
        <v>62</v>
      </c>
      <c r="G2310">
        <v>-389.9708</v>
      </c>
      <c r="H2310" s="1">
        <v>-1.5523519999999999E-6</v>
      </c>
      <c r="I2310">
        <v>284.3064</v>
      </c>
      <c r="J2310">
        <v>-295.61059999999998</v>
      </c>
      <c r="K2310">
        <v>1.1209359999999999</v>
      </c>
      <c r="L2310">
        <v>284.4708</v>
      </c>
      <c r="M2310">
        <v>-0.99977360000000004</v>
      </c>
      <c r="N2310">
        <v>-7.4547379999999998E-3</v>
      </c>
      <c r="O2310">
        <v>-1.9937E-2</v>
      </c>
      <c r="P2310">
        <v>-0.98733040000000005</v>
      </c>
      <c r="Q2310">
        <v>0.15519069999999999</v>
      </c>
      <c r="R2310">
        <v>3.3087310000000002E-2</v>
      </c>
      <c r="S2310">
        <v>-3.0442809999999998</v>
      </c>
      <c r="T2310">
        <v>-3.606343E-2</v>
      </c>
      <c r="U2310">
        <v>-5.4626459999999998E-3</v>
      </c>
      <c r="V2310">
        <v>5.2621229999999998E-2</v>
      </c>
      <c r="W2310">
        <v>0.1625868</v>
      </c>
      <c r="X2310">
        <v>0.98529009999999995</v>
      </c>
      <c r="Y2310">
        <v>1.8141230000000001E-2</v>
      </c>
      <c r="Z2310">
        <v>2.6259820000000002E-4</v>
      </c>
      <c r="AA2310">
        <v>0.99983540000000004</v>
      </c>
      <c r="AB2310">
        <v>37</v>
      </c>
      <c r="AC2310">
        <v>-94.360200000000006</v>
      </c>
      <c r="AD2310">
        <v>-1.120937552352</v>
      </c>
      <c r="AE2310">
        <v>-0.16439999999999999</v>
      </c>
      <c r="AF2310">
        <v>1.7167017131820701</v>
      </c>
      <c r="AG2310">
        <v>-1.120937552352</v>
      </c>
      <c r="AH2310">
        <v>94.331409596601404</v>
      </c>
      <c r="AI2310">
        <v>90.680699432173697</v>
      </c>
      <c r="AJ2310">
        <v>88.957410825931206</v>
      </c>
      <c r="AK2310">
        <v>94.353687804187601</v>
      </c>
      <c r="AL2310">
        <v>80.642924840588293</v>
      </c>
      <c r="AM2310">
        <v>86.942917867609694</v>
      </c>
      <c r="AN2310">
        <v>1.00000002126948</v>
      </c>
    </row>
    <row r="2311" spans="1:40" x14ac:dyDescent="0.25">
      <c r="A2311" t="str">
        <f>"20190303170304042"</f>
        <v>20190303170304042</v>
      </c>
      <c r="B2311" t="str">
        <f>"1551603784028107"</f>
        <v>1551603784028107</v>
      </c>
      <c r="C2311" t="s">
        <v>40</v>
      </c>
      <c r="D2311">
        <v>4.0382249999999997</v>
      </c>
      <c r="E2311">
        <v>0.49080109999999899</v>
      </c>
      <c r="F2311" t="s">
        <v>62</v>
      </c>
      <c r="G2311">
        <v>-393.44290000000001</v>
      </c>
      <c r="H2311" s="1">
        <v>2.9537560000000002E-7</v>
      </c>
      <c r="I2311">
        <v>284.22559999999999</v>
      </c>
      <c r="J2311">
        <v>-295.89789999999999</v>
      </c>
      <c r="K2311">
        <v>1.120878</v>
      </c>
      <c r="L2311">
        <v>284.46480000000003</v>
      </c>
      <c r="M2311">
        <v>-0.9997703</v>
      </c>
      <c r="N2311">
        <v>-7.4581259999999998E-3</v>
      </c>
      <c r="O2311">
        <v>-2.0094629999999999E-2</v>
      </c>
      <c r="P2311">
        <v>-0.98747680000000004</v>
      </c>
      <c r="Q2311">
        <v>0.15442700000000001</v>
      </c>
      <c r="R2311">
        <v>3.2282249999999998E-2</v>
      </c>
      <c r="S2311">
        <v>-3.0442499999999999</v>
      </c>
      <c r="T2311">
        <v>-3.488016E-2</v>
      </c>
      <c r="U2311">
        <v>-7.6293949999999998E-3</v>
      </c>
      <c r="V2311">
        <v>5.1997939999999999E-2</v>
      </c>
      <c r="W2311">
        <v>0.1618203</v>
      </c>
      <c r="X2311">
        <v>0.98544929999999997</v>
      </c>
      <c r="Y2311">
        <v>1.7587410000000001E-2</v>
      </c>
      <c r="Z2311">
        <v>2.466821E-4</v>
      </c>
      <c r="AA2311">
        <v>0.99984530000000005</v>
      </c>
      <c r="AB2311">
        <v>37</v>
      </c>
      <c r="AC2311">
        <v>-97.545000000000002</v>
      </c>
      <c r="AD2311">
        <v>-1.1208777046243901</v>
      </c>
      <c r="AE2311">
        <v>-0.23920000000003899</v>
      </c>
      <c r="AF2311">
        <v>1.72080621824264</v>
      </c>
      <c r="AG2311">
        <v>-1.1208777046243901</v>
      </c>
      <c r="AH2311">
        <v>97.517233510412396</v>
      </c>
      <c r="AI2311">
        <v>90.658434784047202</v>
      </c>
      <c r="AJ2311">
        <v>88.989053541776499</v>
      </c>
      <c r="AK2311">
        <v>97.538855705784002</v>
      </c>
      <c r="AL2311">
        <v>80.687430858057198</v>
      </c>
      <c r="AM2311">
        <v>86.979548171476694</v>
      </c>
      <c r="AN2311">
        <v>0.99999995906341099</v>
      </c>
    </row>
    <row r="2312" spans="1:40" x14ac:dyDescent="0.25">
      <c r="A2312" t="str">
        <f>"20190303170304056"</f>
        <v>20190303170304056</v>
      </c>
      <c r="B2312" t="str">
        <f>"1551603784047628"</f>
        <v>1551603784047628</v>
      </c>
      <c r="C2312" t="s">
        <v>40</v>
      </c>
      <c r="D2312">
        <v>4.0405629999999997</v>
      </c>
      <c r="E2312">
        <v>0.49082419999999999</v>
      </c>
      <c r="F2312" t="s">
        <v>62</v>
      </c>
      <c r="G2312">
        <v>-387.86239999999998</v>
      </c>
      <c r="H2312" s="1">
        <v>2.647208E-6</v>
      </c>
      <c r="I2312">
        <v>284.17169999999999</v>
      </c>
      <c r="J2312">
        <v>-296.12479999999999</v>
      </c>
      <c r="K2312">
        <v>1.1208279999999999</v>
      </c>
      <c r="L2312">
        <v>284.46019999999999</v>
      </c>
      <c r="M2312">
        <v>-0.9997684</v>
      </c>
      <c r="N2312">
        <v>-7.4612769999999997E-3</v>
      </c>
      <c r="O2312">
        <v>-2.0191009999999999E-2</v>
      </c>
      <c r="P2312">
        <v>-0.98758800000000002</v>
      </c>
      <c r="Q2312">
        <v>0.15377379999999999</v>
      </c>
      <c r="R2312">
        <v>3.1993099999999997E-2</v>
      </c>
      <c r="S2312">
        <v>-3.0441590000000001</v>
      </c>
      <c r="T2312">
        <v>-3.7102580000000003E-2</v>
      </c>
      <c r="U2312">
        <v>-9.7045900000000008E-3</v>
      </c>
      <c r="V2312">
        <v>5.1823689999999999E-2</v>
      </c>
      <c r="W2312">
        <v>0.16116529999999901</v>
      </c>
      <c r="X2312">
        <v>0.98556580000000005</v>
      </c>
      <c r="Y2312">
        <v>1.700194E-2</v>
      </c>
      <c r="Z2312">
        <v>2.6244670000000002E-4</v>
      </c>
      <c r="AA2312">
        <v>0.99985539999999995</v>
      </c>
      <c r="AB2312">
        <v>37</v>
      </c>
      <c r="AC2312">
        <v>-91.7376</v>
      </c>
      <c r="AD2312">
        <v>-1.120825352792</v>
      </c>
      <c r="AE2312">
        <v>-0.28849999999999898</v>
      </c>
      <c r="AF2312">
        <v>1.5636515815273599</v>
      </c>
      <c r="AG2312">
        <v>-1.120825352792</v>
      </c>
      <c r="AH2312">
        <v>91.711032832769803</v>
      </c>
      <c r="AI2312">
        <v>90.700090630425393</v>
      </c>
      <c r="AJ2312">
        <v>89.0232150502613</v>
      </c>
      <c r="AK2312">
        <v>91.731209514500904</v>
      </c>
      <c r="AL2312">
        <v>80.725458645629104</v>
      </c>
      <c r="AM2312">
        <v>86.990006529412696</v>
      </c>
      <c r="AN2312">
        <v>0.99999994744947096</v>
      </c>
    </row>
    <row r="2313" spans="1:40" x14ac:dyDescent="0.25">
      <c r="A2313" t="str">
        <f>"20190303170304075"</f>
        <v>20190303170304075</v>
      </c>
      <c r="B2313" t="str">
        <f>"1551603784068123"</f>
        <v>1551603784068123</v>
      </c>
      <c r="C2313" t="s">
        <v>40</v>
      </c>
      <c r="D2313">
        <v>4.057652</v>
      </c>
      <c r="E2313">
        <v>0.4908305</v>
      </c>
      <c r="F2313" t="s">
        <v>62</v>
      </c>
      <c r="G2313">
        <v>-383.52629999999999</v>
      </c>
      <c r="H2313" s="1">
        <v>3.3974619999999999E-7</v>
      </c>
      <c r="I2313">
        <v>284.1474</v>
      </c>
      <c r="J2313">
        <v>-296.4434</v>
      </c>
      <c r="K2313">
        <v>1.12077</v>
      </c>
      <c r="L2313">
        <v>284.45370000000003</v>
      </c>
      <c r="M2313">
        <v>-0.99976640000000006</v>
      </c>
      <c r="N2313">
        <v>-7.4665189999999996E-3</v>
      </c>
      <c r="O2313">
        <v>-2.0280510000000002E-2</v>
      </c>
      <c r="P2313">
        <v>-0.98784939999999999</v>
      </c>
      <c r="Q2313">
        <v>0.15211629999999901</v>
      </c>
      <c r="R2313">
        <v>3.1851589999999999E-2</v>
      </c>
      <c r="S2313">
        <v>-3.0441280000000002</v>
      </c>
      <c r="T2313">
        <v>-3.9037589999999997E-2</v>
      </c>
      <c r="U2313">
        <v>-1.089478E-2</v>
      </c>
      <c r="V2313">
        <v>5.1797509999999998E-2</v>
      </c>
      <c r="W2313">
        <v>0.15950799999999901</v>
      </c>
      <c r="X2313">
        <v>0.98583679999999996</v>
      </c>
      <c r="Y2313">
        <v>1.6700299999999901E-2</v>
      </c>
      <c r="Z2313">
        <v>2.780433E-4</v>
      </c>
      <c r="AA2313">
        <v>0.99986050000000004</v>
      </c>
      <c r="AB2313">
        <v>37</v>
      </c>
      <c r="AC2313">
        <v>-87.082899999999995</v>
      </c>
      <c r="AD2313">
        <v>-1.1207696602538</v>
      </c>
      <c r="AE2313">
        <v>-0.306300000000021</v>
      </c>
      <c r="AF2313">
        <v>1.4596561660836</v>
      </c>
      <c r="AG2313">
        <v>-1.1207696602538</v>
      </c>
      <c r="AH2313">
        <v>87.056780728238095</v>
      </c>
      <c r="AI2313">
        <v>90.737481913139405</v>
      </c>
      <c r="AJ2313">
        <v>89.039428043230899</v>
      </c>
      <c r="AK2313">
        <v>87.076229773222593</v>
      </c>
      <c r="AL2313">
        <v>80.821659963839096</v>
      </c>
      <c r="AM2313">
        <v>86.992349798327893</v>
      </c>
      <c r="AN2313">
        <v>0.99999999017021901</v>
      </c>
    </row>
    <row r="2314" spans="1:40" x14ac:dyDescent="0.25">
      <c r="A2314" t="str">
        <f>"20190303170304088"</f>
        <v>20190303170304088</v>
      </c>
      <c r="B2314" t="str">
        <f>"1551603784077883"</f>
        <v>1551603784077883</v>
      </c>
      <c r="C2314" t="s">
        <v>40</v>
      </c>
      <c r="D2314">
        <v>3.9768560000000002</v>
      </c>
      <c r="E2314">
        <v>0.49085079999999998</v>
      </c>
      <c r="F2314" t="s">
        <v>62</v>
      </c>
      <c r="G2314">
        <v>-374.851</v>
      </c>
      <c r="H2314" s="1">
        <v>1.044665E-6</v>
      </c>
      <c r="I2314">
        <v>284.16840000000002</v>
      </c>
      <c r="J2314">
        <v>-296.66269999999997</v>
      </c>
      <c r="K2314">
        <v>1.1207400000000001</v>
      </c>
      <c r="L2314">
        <v>284.44920000000002</v>
      </c>
      <c r="M2314">
        <v>-0.99976580000000004</v>
      </c>
      <c r="N2314">
        <v>-7.4706869999999898E-3</v>
      </c>
      <c r="O2314">
        <v>-2.03178E-2</v>
      </c>
      <c r="P2314">
        <v>-0.98789819999999995</v>
      </c>
      <c r="Q2314">
        <v>0.15176870000000001</v>
      </c>
      <c r="R2314">
        <v>3.1996230000000001E-2</v>
      </c>
      <c r="S2314">
        <v>-3.0439449999999999</v>
      </c>
      <c r="T2314">
        <v>-4.3510559999999997E-2</v>
      </c>
      <c r="U2314">
        <v>-1.107788E-2</v>
      </c>
      <c r="V2314">
        <v>5.1991330000000002E-2</v>
      </c>
      <c r="W2314">
        <v>0.15916159999999999</v>
      </c>
      <c r="X2314">
        <v>0.98588260000000005</v>
      </c>
      <c r="Y2314">
        <v>1.667662E-2</v>
      </c>
      <c r="Z2314">
        <v>3.2007809999999999E-4</v>
      </c>
      <c r="AA2314">
        <v>0.99986090000000005</v>
      </c>
      <c r="AB2314">
        <v>37</v>
      </c>
      <c r="AC2314">
        <v>-78.188299999999998</v>
      </c>
      <c r="AD2314">
        <v>-1.120738955335</v>
      </c>
      <c r="AE2314">
        <v>-0.28079999999999899</v>
      </c>
      <c r="AF2314">
        <v>1.3076476566558</v>
      </c>
      <c r="AG2314">
        <v>-1.120738955335</v>
      </c>
      <c r="AH2314">
        <v>78.161805413554305</v>
      </c>
      <c r="AI2314">
        <v>90.821375975097098</v>
      </c>
      <c r="AJ2314">
        <v>89.041530547087206</v>
      </c>
      <c r="AK2314">
        <v>78.180776561161693</v>
      </c>
      <c r="AL2314">
        <v>80.841764216741197</v>
      </c>
      <c r="AM2314">
        <v>86.981256300409996</v>
      </c>
      <c r="AN2314">
        <v>1.00000000714624</v>
      </c>
    </row>
    <row r="2315" spans="1:40" x14ac:dyDescent="0.25">
      <c r="A2315" t="str">
        <f>"20190303170304100"</f>
        <v>20190303170304100</v>
      </c>
      <c r="B2315" t="str">
        <f>"1551603784088239"</f>
        <v>1551603784088239</v>
      </c>
      <c r="C2315" t="s">
        <v>40</v>
      </c>
      <c r="D2315">
        <v>4.0451420000000002</v>
      </c>
      <c r="E2315">
        <v>0.4908537</v>
      </c>
      <c r="F2315" t="s">
        <v>62</v>
      </c>
      <c r="G2315">
        <v>-373.5351</v>
      </c>
      <c r="H2315" s="1">
        <v>3.4440900000000002E-7</v>
      </c>
      <c r="I2315">
        <v>284.18880000000001</v>
      </c>
      <c r="J2315">
        <v>-296.86099999999999</v>
      </c>
      <c r="K2315">
        <v>1.120716</v>
      </c>
      <c r="L2315">
        <v>284.4452</v>
      </c>
      <c r="M2315">
        <v>-0.99976520000000002</v>
      </c>
      <c r="N2315">
        <v>-7.4746200000000004E-3</v>
      </c>
      <c r="O2315">
        <v>-2.0344049999999999E-2</v>
      </c>
      <c r="P2315">
        <v>-0.98784570000000005</v>
      </c>
      <c r="Q2315">
        <v>0.1520427</v>
      </c>
      <c r="R2315">
        <v>3.2310930000000002E-2</v>
      </c>
      <c r="S2315">
        <v>-3.0438839999999998</v>
      </c>
      <c r="T2315">
        <v>-4.4377449999999999E-2</v>
      </c>
      <c r="U2315">
        <v>-1.031494E-2</v>
      </c>
      <c r="V2315">
        <v>5.2339700000000003E-2</v>
      </c>
      <c r="W2315">
        <v>0.1594361</v>
      </c>
      <c r="X2315">
        <v>0.98581980000000002</v>
      </c>
      <c r="Y2315">
        <v>1.695325E-2</v>
      </c>
      <c r="Z2315">
        <v>3.3143620000000002E-4</v>
      </c>
      <c r="AA2315">
        <v>0.99985619999999997</v>
      </c>
      <c r="AB2315">
        <v>37</v>
      </c>
      <c r="AC2315">
        <v>-76.674099999999996</v>
      </c>
      <c r="AD2315">
        <v>-1.1207156555910001</v>
      </c>
      <c r="AE2315">
        <v>-0.25639999999998497</v>
      </c>
      <c r="AF2315">
        <v>1.3032797716998501</v>
      </c>
      <c r="AG2315">
        <v>-1.1207156555910001</v>
      </c>
      <c r="AH2315">
        <v>76.6470717720197</v>
      </c>
      <c r="AI2315">
        <v>90.837584808280596</v>
      </c>
      <c r="AJ2315">
        <v>89.025856651349599</v>
      </c>
      <c r="AK2315">
        <v>76.666343025927205</v>
      </c>
      <c r="AL2315">
        <v>80.825832989359597</v>
      </c>
      <c r="AM2315">
        <v>86.960873647472198</v>
      </c>
      <c r="AN2315">
        <v>0.99999999612566903</v>
      </c>
    </row>
    <row r="2316" spans="1:40" x14ac:dyDescent="0.25">
      <c r="A2316" t="str">
        <f>"20190303170304112"</f>
        <v>20190303170304112</v>
      </c>
      <c r="B2316" t="str">
        <f>"1551603784097999"</f>
        <v>1551603784097999</v>
      </c>
      <c r="C2316" t="s">
        <v>40</v>
      </c>
      <c r="D2316">
        <v>4.0195819999999998</v>
      </c>
      <c r="E2316">
        <v>0.49088229999999999</v>
      </c>
      <c r="F2316" t="s">
        <v>62</v>
      </c>
      <c r="G2316">
        <v>-376.11259999999999</v>
      </c>
      <c r="H2316" s="1">
        <v>1.7160570000000001E-6</v>
      </c>
      <c r="I2316">
        <v>284.20760000000001</v>
      </c>
      <c r="J2316">
        <v>-297.0795</v>
      </c>
      <c r="K2316">
        <v>1.1206959999999999</v>
      </c>
      <c r="L2316">
        <v>284.44069999999999</v>
      </c>
      <c r="M2316">
        <v>-0.99976480000000001</v>
      </c>
      <c r="N2316">
        <v>-7.4791769999999896E-3</v>
      </c>
      <c r="O2316">
        <v>-2.0362930000000001E-2</v>
      </c>
      <c r="P2316">
        <v>-0.98772910000000003</v>
      </c>
      <c r="Q2316">
        <v>0.152673799999999</v>
      </c>
      <c r="R2316">
        <v>3.2896849999999998E-2</v>
      </c>
      <c r="S2316">
        <v>-3.043793</v>
      </c>
      <c r="T2316">
        <v>-4.3042900000000002E-2</v>
      </c>
      <c r="U2316">
        <v>-9.1247559999999995E-3</v>
      </c>
      <c r="V2316">
        <v>5.295006E-2</v>
      </c>
      <c r="W2316">
        <v>0.16006819999999999</v>
      </c>
      <c r="X2316">
        <v>0.98568480000000003</v>
      </c>
      <c r="Y2316">
        <v>1.7363110000000001E-2</v>
      </c>
      <c r="Z2316">
        <v>3.2331720000000001E-4</v>
      </c>
      <c r="AA2316">
        <v>0.99984919999999999</v>
      </c>
      <c r="AB2316">
        <v>37</v>
      </c>
      <c r="AC2316">
        <v>-79.033099999999905</v>
      </c>
      <c r="AD2316">
        <v>-1.1206942839430001</v>
      </c>
      <c r="AE2316">
        <v>-0.23309999999997899</v>
      </c>
      <c r="AF2316">
        <v>1.3760619486478001</v>
      </c>
      <c r="AG2316">
        <v>-1.1206942839430001</v>
      </c>
      <c r="AH2316">
        <v>79.005572783117202</v>
      </c>
      <c r="AI2316">
        <v>90.812563072671693</v>
      </c>
      <c r="AJ2316">
        <v>89.002164428640796</v>
      </c>
      <c r="AK2316">
        <v>79.025502421389305</v>
      </c>
      <c r="AL2316">
        <v>80.789145476258795</v>
      </c>
      <c r="AM2316">
        <v>86.925080166562296</v>
      </c>
      <c r="AN2316">
        <v>1.0000000312281401</v>
      </c>
    </row>
    <row r="2317" spans="1:40" x14ac:dyDescent="0.25">
      <c r="A2317" t="str">
        <f>"20190303170304125"</f>
        <v>20190303170304125</v>
      </c>
      <c r="B2317" t="str">
        <f>"1551603784117519"</f>
        <v>1551603784117519</v>
      </c>
      <c r="C2317" t="s">
        <v>40</v>
      </c>
      <c r="D2317">
        <v>4.0525010000000004</v>
      </c>
      <c r="E2317">
        <v>0.49086869999999999</v>
      </c>
      <c r="F2317" t="s">
        <v>62</v>
      </c>
      <c r="G2317">
        <v>-381.02809999999999</v>
      </c>
      <c r="H2317" s="1">
        <v>-9.8966979999999996E-7</v>
      </c>
      <c r="I2317">
        <v>284.25299999999999</v>
      </c>
      <c r="J2317">
        <v>-297.28750000000002</v>
      </c>
      <c r="K2317">
        <v>1.1206830000000001</v>
      </c>
      <c r="L2317">
        <v>284.43650000000002</v>
      </c>
      <c r="M2317">
        <v>-0.9997646</v>
      </c>
      <c r="N2317">
        <v>-7.4838600000000002E-3</v>
      </c>
      <c r="O2317">
        <v>-2.0371730000000001E-2</v>
      </c>
      <c r="P2317">
        <v>-0.98756290000000002</v>
      </c>
      <c r="Q2317">
        <v>0.1536187</v>
      </c>
      <c r="R2317">
        <v>3.348624E-2</v>
      </c>
      <c r="S2317">
        <v>-3.0437319999999999</v>
      </c>
      <c r="T2317">
        <v>-4.0633200000000001E-2</v>
      </c>
      <c r="U2317">
        <v>-6.8054200000000004E-3</v>
      </c>
      <c r="V2317">
        <v>5.3551080000000001E-2</v>
      </c>
      <c r="W2317">
        <v>0.1610142</v>
      </c>
      <c r="X2317">
        <v>0.98549819999999999</v>
      </c>
      <c r="Y2317">
        <v>1.8133960000000001E-2</v>
      </c>
      <c r="Z2317">
        <v>3.0836209999999999E-4</v>
      </c>
      <c r="AA2317">
        <v>0.99983549999999999</v>
      </c>
      <c r="AB2317">
        <v>37</v>
      </c>
      <c r="AC2317">
        <v>-83.740599999999901</v>
      </c>
      <c r="AD2317">
        <v>-1.1206839896698</v>
      </c>
      <c r="AE2317">
        <v>-0.18350000000003699</v>
      </c>
      <c r="AF2317">
        <v>1.5222538869234501</v>
      </c>
      <c r="AG2317">
        <v>-1.1206839896698</v>
      </c>
      <c r="AH2317">
        <v>83.711966367720805</v>
      </c>
      <c r="AI2317">
        <v>90.766867846861004</v>
      </c>
      <c r="AJ2317">
        <v>88.958224073266194</v>
      </c>
      <c r="AK2317">
        <v>83.73330581466</v>
      </c>
      <c r="AL2317">
        <v>80.734231060610398</v>
      </c>
      <c r="AM2317">
        <v>86.889658146028594</v>
      </c>
      <c r="AN2317">
        <v>0.99999999648702298</v>
      </c>
    </row>
    <row r="2318" spans="1:40" x14ac:dyDescent="0.25">
      <c r="A2318" t="str">
        <f>"20190303170304142"</f>
        <v>20190303170304142</v>
      </c>
      <c r="B2318" t="str">
        <f>"1551603784128255"</f>
        <v>1551603784128255</v>
      </c>
      <c r="C2318" t="s">
        <v>40</v>
      </c>
      <c r="D2318">
        <v>4.0730120000000003</v>
      </c>
      <c r="E2318">
        <v>0.49081320000000001</v>
      </c>
      <c r="F2318" t="s">
        <v>62</v>
      </c>
      <c r="G2318">
        <v>-389.14019999999999</v>
      </c>
      <c r="H2318" s="1">
        <v>3.327159E-6</v>
      </c>
      <c r="I2318">
        <v>284.27159999999998</v>
      </c>
      <c r="J2318">
        <v>-297.56180000000001</v>
      </c>
      <c r="K2318">
        <v>1.1206590000000001</v>
      </c>
      <c r="L2318">
        <v>284.43079999999998</v>
      </c>
      <c r="M2318">
        <v>-0.9997644</v>
      </c>
      <c r="N2318">
        <v>-7.4903280000000001E-3</v>
      </c>
      <c r="O2318">
        <v>-2.0378130000000001E-2</v>
      </c>
      <c r="P2318">
        <v>-0.98737600000000003</v>
      </c>
      <c r="Q2318">
        <v>0.1544614</v>
      </c>
      <c r="R2318">
        <v>3.5078610000000003E-2</v>
      </c>
      <c r="S2318">
        <v>-3.0437319999999999</v>
      </c>
      <c r="T2318">
        <v>-3.7136080000000002E-2</v>
      </c>
      <c r="U2318">
        <v>-5.4626459999999998E-3</v>
      </c>
      <c r="V2318">
        <v>5.5152960000000001E-2</v>
      </c>
      <c r="W2318">
        <v>0.1618599</v>
      </c>
      <c r="X2318">
        <v>0.98527129999999996</v>
      </c>
      <c r="Y2318">
        <v>1.858187E-2</v>
      </c>
      <c r="Z2318">
        <v>2.7890960000000002E-4</v>
      </c>
      <c r="AA2318">
        <v>0.99982729999999997</v>
      </c>
      <c r="AB2318">
        <v>37</v>
      </c>
      <c r="AC2318">
        <v>-91.578400000000002</v>
      </c>
      <c r="AD2318">
        <v>-1.120655672841</v>
      </c>
      <c r="AE2318">
        <v>-0.15919999999999801</v>
      </c>
      <c r="AF2318">
        <v>1.70682614987904</v>
      </c>
      <c r="AG2318">
        <v>-1.120655672841</v>
      </c>
      <c r="AH2318">
        <v>91.548917314699693</v>
      </c>
      <c r="AI2318">
        <v>90.701204128878302</v>
      </c>
      <c r="AJ2318">
        <v>88.931908654708195</v>
      </c>
      <c r="AK2318">
        <v>91.5716844124684</v>
      </c>
      <c r="AL2318">
        <v>80.685132070012898</v>
      </c>
      <c r="AM2318">
        <v>86.796072916956405</v>
      </c>
      <c r="AN2318">
        <v>1.00000000541423</v>
      </c>
    </row>
    <row r="2319" spans="1:40" x14ac:dyDescent="0.25">
      <c r="A2319" t="str">
        <f>"20190303170304153"</f>
        <v>20190303170304153</v>
      </c>
      <c r="B2319" t="str">
        <f>"1551603784147774"</f>
        <v>1551603784147774</v>
      </c>
      <c r="C2319" t="s">
        <v>40</v>
      </c>
      <c r="D2319">
        <v>4.0265599999999999</v>
      </c>
      <c r="E2319">
        <v>0.4658967</v>
      </c>
      <c r="F2319" t="s">
        <v>62</v>
      </c>
      <c r="G2319">
        <v>-398.05250000000001</v>
      </c>
      <c r="H2319" s="1">
        <v>2.7483570000000001E-6</v>
      </c>
      <c r="I2319">
        <v>284.39659999999998</v>
      </c>
      <c r="J2319">
        <v>-297.7636</v>
      </c>
      <c r="K2319">
        <v>1.120644</v>
      </c>
      <c r="L2319">
        <v>284.42669999999998</v>
      </c>
      <c r="M2319">
        <v>-0.99976419999999999</v>
      </c>
      <c r="N2319">
        <v>-7.4952980000000001E-3</v>
      </c>
      <c r="O2319">
        <v>-2.0379700000000001E-2</v>
      </c>
      <c r="P2319">
        <v>-0.98739619999999995</v>
      </c>
      <c r="Q2319">
        <v>0.15428900000000001</v>
      </c>
      <c r="R2319">
        <v>3.5265110000000002E-2</v>
      </c>
      <c r="S2319">
        <v>-3.0437319999999999</v>
      </c>
      <c r="T2319">
        <v>-3.3943180000000003E-2</v>
      </c>
      <c r="U2319">
        <v>-1.037598E-3</v>
      </c>
      <c r="V2319">
        <v>5.5346380000000001E-2</v>
      </c>
      <c r="W2319">
        <v>0.16169049999999999</v>
      </c>
      <c r="X2319">
        <v>0.98528830000000001</v>
      </c>
      <c r="Y2319">
        <v>2.0037220000000001E-2</v>
      </c>
      <c r="Z2319">
        <v>2.613111E-4</v>
      </c>
      <c r="AA2319">
        <v>0.9997992</v>
      </c>
      <c r="AB2319">
        <v>37</v>
      </c>
      <c r="AC2319">
        <v>-100.2889</v>
      </c>
      <c r="AD2319">
        <v>-1.120641251643</v>
      </c>
      <c r="AE2319">
        <v>-3.0100000000004401E-2</v>
      </c>
      <c r="AF2319">
        <v>2.01356997767365</v>
      </c>
      <c r="AG2319">
        <v>-1.120641251643</v>
      </c>
      <c r="AH2319">
        <v>100.256165405788</v>
      </c>
      <c r="AI2319">
        <v>90.640283771185096</v>
      </c>
      <c r="AJ2319">
        <v>88.849411880579794</v>
      </c>
      <c r="AK2319">
        <v>100.282645571118</v>
      </c>
      <c r="AL2319">
        <v>80.694967826335301</v>
      </c>
      <c r="AM2319">
        <v>86.784915716299594</v>
      </c>
      <c r="AN2319">
        <v>1.0000000368431201</v>
      </c>
    </row>
    <row r="2320" spans="1:40" x14ac:dyDescent="0.25">
      <c r="A2320" t="str">
        <f>"20190303170304167"</f>
        <v>20190303170304167</v>
      </c>
      <c r="B2320" t="str">
        <f>"1551603784157535"</f>
        <v>1551603784157535</v>
      </c>
      <c r="C2320" t="s">
        <v>40</v>
      </c>
      <c r="D2320">
        <v>4.0421440000000004</v>
      </c>
      <c r="E2320">
        <v>0.4658967</v>
      </c>
      <c r="F2320" t="s">
        <v>66</v>
      </c>
      <c r="G2320">
        <v>-512.82640000000004</v>
      </c>
      <c r="H2320">
        <v>3.6153970000000002</v>
      </c>
      <c r="I2320">
        <v>270.63839999999999</v>
      </c>
      <c r="J2320">
        <v>-297.97840000000002</v>
      </c>
      <c r="K2320">
        <v>1.1206339999999999</v>
      </c>
      <c r="L2320">
        <v>284.42230000000001</v>
      </c>
      <c r="M2320">
        <v>-0.99976430000000005</v>
      </c>
      <c r="N2320">
        <v>-7.5009119999999898E-3</v>
      </c>
      <c r="O2320">
        <v>-2.0378899999999998E-2</v>
      </c>
      <c r="P2320">
        <v>-0.98740879999999998</v>
      </c>
      <c r="Q2320">
        <v>0.15421899999999999</v>
      </c>
      <c r="R2320">
        <v>3.5226750000000001E-2</v>
      </c>
      <c r="S2320">
        <v>-3.0397340000000002</v>
      </c>
      <c r="T2320">
        <v>3.5262349999999998E-2</v>
      </c>
      <c r="U2320">
        <v>-0.19488530000000001</v>
      </c>
      <c r="V2320">
        <v>5.5312069999999998E-2</v>
      </c>
      <c r="W2320">
        <v>0.16162460000000001</v>
      </c>
      <c r="X2320">
        <v>0.98530099999999998</v>
      </c>
      <c r="Y2320">
        <v>-4.363293E-2</v>
      </c>
      <c r="Z2320">
        <v>-2.9983590000000001E-4</v>
      </c>
      <c r="AA2320">
        <v>0.99904760000000004</v>
      </c>
      <c r="AB2320">
        <v>37</v>
      </c>
      <c r="AC2320">
        <v>-214.84799999999899</v>
      </c>
      <c r="AD2320">
        <v>2.4947629999999998</v>
      </c>
      <c r="AE2320">
        <v>-13.783899999999999</v>
      </c>
      <c r="AF2320">
        <v>-9.40128630682314</v>
      </c>
      <c r="AG2320">
        <v>2.4947629999999998</v>
      </c>
      <c r="AH2320">
        <v>215.05541062922001</v>
      </c>
      <c r="AI2320">
        <v>89.336000847270597</v>
      </c>
      <c r="AJ2320">
        <v>92.503128313432299</v>
      </c>
      <c r="AK2320">
        <v>215.27526023106199</v>
      </c>
      <c r="AL2320">
        <v>80.6987935835607</v>
      </c>
      <c r="AM2320">
        <v>86.786945943299799</v>
      </c>
      <c r="AN2320">
        <v>0.99999999850692201</v>
      </c>
    </row>
    <row r="2321" spans="1:40" x14ac:dyDescent="0.25">
      <c r="A2321" t="str">
        <f>"20190303170304179"</f>
        <v>20190303170304179</v>
      </c>
      <c r="B2321" t="str">
        <f>"1551603784168271"</f>
        <v>1551603784168271</v>
      </c>
      <c r="C2321" t="s">
        <v>40</v>
      </c>
      <c r="D2321">
        <v>4.0143040000000001</v>
      </c>
      <c r="E2321">
        <v>0.45179360000000002</v>
      </c>
      <c r="F2321" t="s">
        <v>66</v>
      </c>
      <c r="G2321">
        <v>-512.82640000000004</v>
      </c>
      <c r="H2321">
        <v>3.5963050000000001</v>
      </c>
      <c r="I2321">
        <v>270.64350000000002</v>
      </c>
      <c r="J2321">
        <v>-298.19260000000003</v>
      </c>
      <c r="K2321">
        <v>1.1206199999999999</v>
      </c>
      <c r="L2321">
        <v>284.41789999999997</v>
      </c>
      <c r="M2321">
        <v>-0.99976430000000005</v>
      </c>
      <c r="N2321">
        <v>-7.5066439999999998E-3</v>
      </c>
      <c r="O2321">
        <v>-2.0376430000000001E-2</v>
      </c>
      <c r="P2321">
        <v>-0.98741400000000001</v>
      </c>
      <c r="Q2321">
        <v>0.15421789999999999</v>
      </c>
      <c r="R2321">
        <v>3.5079630000000001E-2</v>
      </c>
      <c r="S2321">
        <v>-3.0397340000000002</v>
      </c>
      <c r="T2321">
        <v>3.5027620000000002E-2</v>
      </c>
      <c r="U2321">
        <v>-0.19494629999999999</v>
      </c>
      <c r="V2321">
        <v>5.5166859999999998E-2</v>
      </c>
      <c r="W2321">
        <v>0.16162789999999999</v>
      </c>
      <c r="X2321">
        <v>0.98530859999999998</v>
      </c>
      <c r="Y2321">
        <v>-4.3655369999999999E-2</v>
      </c>
      <c r="Z2321">
        <v>-3.0009740000000001E-4</v>
      </c>
      <c r="AA2321">
        <v>0.99904660000000001</v>
      </c>
      <c r="AB2321">
        <v>38</v>
      </c>
      <c r="AC2321">
        <v>-214.63380000000001</v>
      </c>
      <c r="AD2321">
        <v>2.4756849999999999</v>
      </c>
      <c r="AE2321">
        <v>-13.774399999999901</v>
      </c>
      <c r="AF2321">
        <v>-9.3967015579498803</v>
      </c>
      <c r="AG2321">
        <v>2.4756849999999999</v>
      </c>
      <c r="AH2321">
        <v>214.84144991367501</v>
      </c>
      <c r="AI2321">
        <v>89.340422621245494</v>
      </c>
      <c r="AJ2321">
        <v>92.504397639916405</v>
      </c>
      <c r="AK2321">
        <v>215.06109740582701</v>
      </c>
      <c r="AL2321">
        <v>80.698601991785097</v>
      </c>
      <c r="AM2321">
        <v>86.795388191748202</v>
      </c>
      <c r="AN2321">
        <v>0.99999999886731405</v>
      </c>
    </row>
    <row r="2322" spans="1:40" x14ac:dyDescent="0.25">
      <c r="A2322" t="str">
        <f>"20190303170304198"</f>
        <v>20190303170304198</v>
      </c>
      <c r="B2322" t="str">
        <f>"1551603784187790"</f>
        <v>1551603784187790</v>
      </c>
      <c r="C2322" t="s">
        <v>40</v>
      </c>
      <c r="D2322">
        <v>4.0396289999999997</v>
      </c>
      <c r="E2322">
        <v>0.45304699999999998</v>
      </c>
      <c r="F2322" t="s">
        <v>64</v>
      </c>
      <c r="G2322">
        <v>-440.40789999999998</v>
      </c>
      <c r="H2322">
        <v>3.8083999999999998</v>
      </c>
      <c r="I2322">
        <v>270.09070000000003</v>
      </c>
      <c r="J2322">
        <v>-298.50200000000001</v>
      </c>
      <c r="K2322">
        <v>1.120601</v>
      </c>
      <c r="L2322">
        <v>284.41160000000002</v>
      </c>
      <c r="M2322">
        <v>-0.9997644</v>
      </c>
      <c r="N2322">
        <v>-7.515267E-3</v>
      </c>
      <c r="O2322">
        <v>-2.0367840000000002E-2</v>
      </c>
      <c r="P2322">
        <v>-0.98743340000000002</v>
      </c>
      <c r="Q2322">
        <v>0.1542328</v>
      </c>
      <c r="R2322">
        <v>3.446478E-2</v>
      </c>
      <c r="S2322">
        <v>-3.0401609999999999</v>
      </c>
      <c r="T2322">
        <v>5.7457330000000001E-2</v>
      </c>
      <c r="U2322">
        <v>-0.3062744</v>
      </c>
      <c r="V2322">
        <v>5.4550830000000002E-2</v>
      </c>
      <c r="W2322">
        <v>0.16164899999999999</v>
      </c>
      <c r="X2322">
        <v>0.98533939999999998</v>
      </c>
      <c r="Y2322">
        <v>-7.9947399999999905E-2</v>
      </c>
      <c r="Z2322" s="1">
        <v>-8.421589E-5</v>
      </c>
      <c r="AA2322">
        <v>0.99679910000000005</v>
      </c>
      <c r="AB2322">
        <v>38</v>
      </c>
      <c r="AC2322">
        <v>-141.90589999999901</v>
      </c>
      <c r="AD2322">
        <v>2.687799</v>
      </c>
      <c r="AE2322">
        <v>-14.3208999999999</v>
      </c>
      <c r="AF2322">
        <v>-11.4234741325856</v>
      </c>
      <c r="AG2322">
        <v>2.687799</v>
      </c>
      <c r="AH2322">
        <v>142.11768375726501</v>
      </c>
      <c r="AI2322">
        <v>88.920005898672002</v>
      </c>
      <c r="AJ2322">
        <v>94.595576460422294</v>
      </c>
      <c r="AK2322">
        <v>142.601388707306</v>
      </c>
      <c r="AL2322">
        <v>80.697376602261599</v>
      </c>
      <c r="AM2322">
        <v>86.831198538002099</v>
      </c>
      <c r="AN2322">
        <v>0.99999996272352298</v>
      </c>
    </row>
    <row r="2323" spans="1:40" x14ac:dyDescent="0.25">
      <c r="A2323" t="str">
        <f>"20190303170304213"</f>
        <v>20190303170304213</v>
      </c>
      <c r="B2323" t="str">
        <f>"1551603784197550"</f>
        <v>1551603784197550</v>
      </c>
      <c r="C2323" t="s">
        <v>40</v>
      </c>
      <c r="D2323">
        <v>4.0457020000000004</v>
      </c>
      <c r="E2323">
        <v>0.45314989999999999</v>
      </c>
      <c r="F2323" t="s">
        <v>64</v>
      </c>
      <c r="G2323">
        <v>-444.40350000000001</v>
      </c>
      <c r="H2323">
        <v>3.6747890000000001</v>
      </c>
      <c r="I2323">
        <v>270.08569999999997</v>
      </c>
      <c r="J2323">
        <v>-298.7577</v>
      </c>
      <c r="K2323">
        <v>1.1205830000000001</v>
      </c>
      <c r="L2323">
        <v>284.40640000000002</v>
      </c>
      <c r="M2323">
        <v>-0.99976449999999994</v>
      </c>
      <c r="N2323">
        <v>-7.5226950000000002E-3</v>
      </c>
      <c r="O2323">
        <v>-2.0352579999999999E-2</v>
      </c>
      <c r="P2323">
        <v>-0.9873634</v>
      </c>
      <c r="Q2323">
        <v>0.15471409999999999</v>
      </c>
      <c r="R2323">
        <v>3.4303069999999998E-2</v>
      </c>
      <c r="S2323">
        <v>-3.0402830000000001</v>
      </c>
      <c r="T2323">
        <v>5.3224210000000001E-2</v>
      </c>
      <c r="U2323">
        <v>-0.29852289999999998</v>
      </c>
      <c r="V2323">
        <v>5.4378950000000002E-2</v>
      </c>
      <c r="W2323">
        <v>0.1621351</v>
      </c>
      <c r="X2323">
        <v>0.98526910000000001</v>
      </c>
      <c r="Y2323">
        <v>-7.7442929999999993E-2</v>
      </c>
      <c r="Z2323">
        <v>-1.2389289999999999E-4</v>
      </c>
      <c r="AA2323">
        <v>0.99699680000000002</v>
      </c>
      <c r="AB2323">
        <v>38</v>
      </c>
      <c r="AC2323">
        <v>-145.64580000000001</v>
      </c>
      <c r="AD2323">
        <v>2.5542060000000002</v>
      </c>
      <c r="AE2323">
        <v>-14.3207</v>
      </c>
      <c r="AF2323">
        <v>-11.3499244022304</v>
      </c>
      <c r="AG2323">
        <v>2.5542060000000002</v>
      </c>
      <c r="AH2323">
        <v>145.86267084109201</v>
      </c>
      <c r="AI2323">
        <v>88.999817014495903</v>
      </c>
      <c r="AJ2323">
        <v>94.449356590270895</v>
      </c>
      <c r="AK2323">
        <v>146.32588115956699</v>
      </c>
      <c r="AL2323">
        <v>80.669153442171094</v>
      </c>
      <c r="AM2323">
        <v>86.840937688561795</v>
      </c>
      <c r="AN2323">
        <v>1.0000000301349601</v>
      </c>
    </row>
    <row r="2324" spans="1:40" x14ac:dyDescent="0.25">
      <c r="A2324" t="str">
        <f>"20190303170304226"</f>
        <v>20190303170304226</v>
      </c>
      <c r="B2324" t="str">
        <f>"1551603784218047"</f>
        <v>1551603784218047</v>
      </c>
      <c r="C2324" t="s">
        <v>40</v>
      </c>
      <c r="D2324">
        <v>4.0747929999999997</v>
      </c>
      <c r="E2324">
        <v>0.45345279999999999</v>
      </c>
      <c r="F2324" t="s">
        <v>64</v>
      </c>
      <c r="G2324">
        <v>-444.7165</v>
      </c>
      <c r="H2324">
        <v>3.6772960000000001</v>
      </c>
      <c r="I2324">
        <v>270.08569999999997</v>
      </c>
      <c r="J2324">
        <v>-298.98660000000001</v>
      </c>
      <c r="K2324">
        <v>1.120568</v>
      </c>
      <c r="L2324">
        <v>284.40170000000001</v>
      </c>
      <c r="M2324">
        <v>-0.99976500000000001</v>
      </c>
      <c r="N2324">
        <v>-7.5295700000000002E-3</v>
      </c>
      <c r="O2324">
        <v>-2.0328120000000002E-2</v>
      </c>
      <c r="P2324">
        <v>-0.98736939999999995</v>
      </c>
      <c r="Q2324">
        <v>0.15472040000000001</v>
      </c>
      <c r="R2324">
        <v>3.4109159999999999E-2</v>
      </c>
      <c r="S2324">
        <v>-3.0404049999999998</v>
      </c>
      <c r="T2324">
        <v>5.3258060000000003E-2</v>
      </c>
      <c r="U2324">
        <v>-0.2983093</v>
      </c>
      <c r="V2324">
        <v>5.4168029999999999E-2</v>
      </c>
      <c r="W2324">
        <v>0.1621455</v>
      </c>
      <c r="X2324">
        <v>0.98527900000000002</v>
      </c>
      <c r="Y2324">
        <v>-7.7394030000000003E-2</v>
      </c>
      <c r="Z2324">
        <v>-1.2373819999999999E-4</v>
      </c>
      <c r="AA2324">
        <v>0.99700060000000001</v>
      </c>
      <c r="AB2324">
        <v>38</v>
      </c>
      <c r="AC2324">
        <v>-145.72989999999999</v>
      </c>
      <c r="AD2324">
        <v>2.5567279999999899</v>
      </c>
      <c r="AE2324">
        <v>-14.316000000000001</v>
      </c>
      <c r="AF2324">
        <v>-11.3470834337092</v>
      </c>
      <c r="AG2324">
        <v>2.5567279999999899</v>
      </c>
      <c r="AH2324">
        <v>145.946317416645</v>
      </c>
      <c r="AI2324">
        <v>88.999398375485001</v>
      </c>
      <c r="AJ2324">
        <v>94.445708142573494</v>
      </c>
      <c r="AK2324">
        <v>146.40908690377699</v>
      </c>
      <c r="AL2324">
        <v>80.6685495106573</v>
      </c>
      <c r="AM2324">
        <v>86.853197646611804</v>
      </c>
      <c r="AN2324">
        <v>1.00000002324266</v>
      </c>
    </row>
    <row r="2325" spans="1:40" x14ac:dyDescent="0.25">
      <c r="A2325" t="str">
        <f>"20190303170304243"</f>
        <v>20190303170304243</v>
      </c>
      <c r="B2325" t="str">
        <f>"1551603784237567"</f>
        <v>1551603784237567</v>
      </c>
      <c r="C2325" t="s">
        <v>40</v>
      </c>
      <c r="D2325">
        <v>4.063428</v>
      </c>
      <c r="E2325">
        <v>0.45381579999999999</v>
      </c>
      <c r="F2325" t="s">
        <v>64</v>
      </c>
      <c r="G2325">
        <v>-445.75630000000001</v>
      </c>
      <c r="H2325">
        <v>3.634207</v>
      </c>
      <c r="I2325">
        <v>270.08569999999997</v>
      </c>
      <c r="J2325">
        <v>-299.27280000000002</v>
      </c>
      <c r="K2325">
        <v>1.1205430000000001</v>
      </c>
      <c r="L2325">
        <v>284.39589999999998</v>
      </c>
      <c r="M2325">
        <v>-0.99976589999999999</v>
      </c>
      <c r="N2325">
        <v>-7.538398E-3</v>
      </c>
      <c r="O2325">
        <v>-2.0279269999999999E-2</v>
      </c>
      <c r="P2325">
        <v>-0.98718099999999998</v>
      </c>
      <c r="Q2325">
        <v>0.15604860000000001</v>
      </c>
      <c r="R2325">
        <v>3.350152E-2</v>
      </c>
      <c r="S2325">
        <v>-3.0404659999999999</v>
      </c>
      <c r="T2325">
        <v>5.2072529999999999E-2</v>
      </c>
      <c r="U2325">
        <v>-0.29656979999999999</v>
      </c>
      <c r="V2325">
        <v>5.351939E-2</v>
      </c>
      <c r="W2325">
        <v>0.16347779999999901</v>
      </c>
      <c r="X2325">
        <v>0.98509420000000003</v>
      </c>
      <c r="Y2325">
        <v>-7.6876040000000007E-2</v>
      </c>
      <c r="Z2325">
        <v>-1.3266570000000001E-4</v>
      </c>
      <c r="AA2325">
        <v>0.99704060000000005</v>
      </c>
      <c r="AB2325">
        <v>38</v>
      </c>
      <c r="AC2325">
        <v>-146.48349999999999</v>
      </c>
      <c r="AD2325">
        <v>2.5136639999999999</v>
      </c>
      <c r="AE2325">
        <v>-14.3102</v>
      </c>
      <c r="AF2325">
        <v>-11.3332883116754</v>
      </c>
      <c r="AG2325">
        <v>2.5136639999999999</v>
      </c>
      <c r="AH2325">
        <v>146.70079306462</v>
      </c>
      <c r="AI2325">
        <v>89.021269743076104</v>
      </c>
      <c r="AJ2325">
        <v>94.417579171422403</v>
      </c>
      <c r="AK2325">
        <v>147.15938507770699</v>
      </c>
      <c r="AL2325">
        <v>80.591181338157398</v>
      </c>
      <c r="AM2325">
        <v>86.890222809977999</v>
      </c>
      <c r="AN2325">
        <v>0.99999994953622395</v>
      </c>
    </row>
    <row r="2326" spans="1:40" x14ac:dyDescent="0.25">
      <c r="A2326" t="str">
        <f>"20190303170304256"</f>
        <v>20190303170304256</v>
      </c>
      <c r="B2326" t="str">
        <f>"1551603784248303"</f>
        <v>1551603784248303</v>
      </c>
      <c r="C2326" t="s">
        <v>40</v>
      </c>
      <c r="D2326">
        <v>4.0571989999999998</v>
      </c>
      <c r="E2326">
        <v>0.45388539999999999</v>
      </c>
      <c r="F2326" t="s">
        <v>64</v>
      </c>
      <c r="G2326">
        <v>-446.57740000000001</v>
      </c>
      <c r="H2326">
        <v>3.7236799999999999</v>
      </c>
      <c r="I2326">
        <v>270.0856</v>
      </c>
      <c r="J2326">
        <v>-299.47770000000003</v>
      </c>
      <c r="K2326">
        <v>1.120525</v>
      </c>
      <c r="L2326">
        <v>284.39179999999999</v>
      </c>
      <c r="M2326">
        <v>-0.99976690000000001</v>
      </c>
      <c r="N2326">
        <v>-7.544856E-3</v>
      </c>
      <c r="O2326">
        <v>-2.023235E-2</v>
      </c>
      <c r="P2326">
        <v>-0.98719330000000005</v>
      </c>
      <c r="Q2326">
        <v>0.15603210000000001</v>
      </c>
      <c r="R2326">
        <v>3.321988E-2</v>
      </c>
      <c r="S2326">
        <v>-3.040527</v>
      </c>
      <c r="T2326">
        <v>5.3731800000000003E-2</v>
      </c>
      <c r="U2326">
        <v>-0.29537960000000002</v>
      </c>
      <c r="V2326">
        <v>5.3200850000000001E-2</v>
      </c>
      <c r="W2326">
        <v>0.16346469999999999</v>
      </c>
      <c r="X2326">
        <v>0.98511369999999998</v>
      </c>
      <c r="Y2326">
        <v>-7.653401E-2</v>
      </c>
      <c r="Z2326">
        <v>-1.2369759999999999E-4</v>
      </c>
      <c r="AA2326">
        <v>0.99706700000000004</v>
      </c>
      <c r="AB2326">
        <v>38</v>
      </c>
      <c r="AC2326">
        <v>-147.09969999999899</v>
      </c>
      <c r="AD2326">
        <v>2.6031550000000001</v>
      </c>
      <c r="AE2326">
        <v>-14.306199999999899</v>
      </c>
      <c r="AF2326">
        <v>-11.3235013643513</v>
      </c>
      <c r="AG2326">
        <v>2.6031550000000001</v>
      </c>
      <c r="AH2326">
        <v>147.31334253104501</v>
      </c>
      <c r="AI2326">
        <v>88.990616026447398</v>
      </c>
      <c r="AJ2326">
        <v>94.3954983806332</v>
      </c>
      <c r="AK2326">
        <v>147.77083266589401</v>
      </c>
      <c r="AL2326">
        <v>80.591942818629306</v>
      </c>
      <c r="AM2326">
        <v>86.908756840330199</v>
      </c>
      <c r="AN2326">
        <v>1.0000000202572501</v>
      </c>
    </row>
    <row r="2327" spans="1:40" x14ac:dyDescent="0.25">
      <c r="A2327" t="str">
        <f>"20190303170304266"</f>
        <v>20190303170304266</v>
      </c>
      <c r="B2327" t="str">
        <f>"1551603784258062"</f>
        <v>1551603784258062</v>
      </c>
      <c r="C2327" t="s">
        <v>40</v>
      </c>
      <c r="D2327">
        <v>4.0444309999999897</v>
      </c>
      <c r="E2327">
        <v>0.45364670000000001</v>
      </c>
      <c r="F2327" t="s">
        <v>64</v>
      </c>
      <c r="G2327">
        <v>-446.57100000000003</v>
      </c>
      <c r="H2327">
        <v>3.6917870000000002</v>
      </c>
      <c r="I2327">
        <v>270.08569999999997</v>
      </c>
      <c r="J2327">
        <v>-299.67110000000002</v>
      </c>
      <c r="K2327">
        <v>1.120501</v>
      </c>
      <c r="L2327">
        <v>284.3879</v>
      </c>
      <c r="M2327">
        <v>-0.99976830000000005</v>
      </c>
      <c r="N2327">
        <v>-7.5511519999999898E-3</v>
      </c>
      <c r="O2327">
        <v>-2.01636E-2</v>
      </c>
      <c r="P2327">
        <v>-0.98718320000000004</v>
      </c>
      <c r="Q2327">
        <v>0.15613460000000001</v>
      </c>
      <c r="R2327">
        <v>3.3035139999999998E-2</v>
      </c>
      <c r="S2327">
        <v>-3.0404969999999998</v>
      </c>
      <c r="T2327">
        <v>5.3149580000000002E-2</v>
      </c>
      <c r="U2327">
        <v>-0.29571530000000001</v>
      </c>
      <c r="V2327">
        <v>5.2958199999999997E-2</v>
      </c>
      <c r="W2327">
        <v>0.1635701</v>
      </c>
      <c r="X2327">
        <v>0.98510929999999997</v>
      </c>
      <c r="Y2327">
        <v>-7.6712680000000005E-2</v>
      </c>
      <c r="Z2327">
        <v>-1.249131E-4</v>
      </c>
      <c r="AA2327">
        <v>0.99705319999999997</v>
      </c>
      <c r="AB2327">
        <v>38</v>
      </c>
      <c r="AC2327">
        <v>-146.89989999999901</v>
      </c>
      <c r="AD2327">
        <v>2.5712860000000002</v>
      </c>
      <c r="AE2327">
        <v>-14.302199999999999</v>
      </c>
      <c r="AF2327">
        <v>-11.333737394992999</v>
      </c>
      <c r="AG2327">
        <v>2.5712860000000002</v>
      </c>
      <c r="AH2327">
        <v>147.11377547835099</v>
      </c>
      <c r="AI2327">
        <v>89.001631881484897</v>
      </c>
      <c r="AJ2327">
        <v>94.405400757805495</v>
      </c>
      <c r="AK2327">
        <v>147.57211135755699</v>
      </c>
      <c r="AL2327">
        <v>80.585821647476706</v>
      </c>
      <c r="AM2327">
        <v>86.922815177966299</v>
      </c>
      <c r="AN2327">
        <v>1.0000000407538601</v>
      </c>
    </row>
    <row r="2328" spans="1:40" x14ac:dyDescent="0.25">
      <c r="A2328" t="str">
        <f>"20190303170304279"</f>
        <v>20190303170304279</v>
      </c>
      <c r="B2328" t="str">
        <f>"1551603784267824"</f>
        <v>1551603784267824</v>
      </c>
      <c r="C2328" t="s">
        <v>40</v>
      </c>
      <c r="D2328">
        <v>4.0149039999999996</v>
      </c>
      <c r="E2328">
        <v>0.45344259999999997</v>
      </c>
      <c r="F2328" t="s">
        <v>64</v>
      </c>
      <c r="G2328">
        <v>-445.5367</v>
      </c>
      <c r="H2328">
        <v>3.6702919999999999</v>
      </c>
      <c r="I2328">
        <v>270.08569999999997</v>
      </c>
      <c r="J2328">
        <v>-299.87689999999998</v>
      </c>
      <c r="K2328">
        <v>1.120474</v>
      </c>
      <c r="L2328">
        <v>284.38389999999998</v>
      </c>
      <c r="M2328">
        <v>-0.99976989999999999</v>
      </c>
      <c r="N2328">
        <v>-7.5585829999999998E-3</v>
      </c>
      <c r="O2328">
        <v>-2.0081129999999999E-2</v>
      </c>
      <c r="P2328">
        <v>-0.98721080000000005</v>
      </c>
      <c r="Q2328">
        <v>0.1560124</v>
      </c>
      <c r="R2328">
        <v>3.2791910000000001E-2</v>
      </c>
      <c r="S2328">
        <v>-3.040527</v>
      </c>
      <c r="T2328">
        <v>5.314994E-2</v>
      </c>
      <c r="U2328">
        <v>-0.29812620000000001</v>
      </c>
      <c r="V2328">
        <v>5.2645520000000001E-2</v>
      </c>
      <c r="W2328">
        <v>0.16345199999999999</v>
      </c>
      <c r="X2328">
        <v>0.98514559999999995</v>
      </c>
      <c r="Y2328">
        <v>-7.757696E-2</v>
      </c>
      <c r="Z2328">
        <v>-1.190459E-4</v>
      </c>
      <c r="AA2328">
        <v>0.99698640000000005</v>
      </c>
      <c r="AB2328">
        <v>38</v>
      </c>
      <c r="AC2328">
        <v>-145.65979999999999</v>
      </c>
      <c r="AD2328">
        <v>2.5498180000000001</v>
      </c>
      <c r="AE2328">
        <v>-14.2982</v>
      </c>
      <c r="AF2328">
        <v>-11.366770126813</v>
      </c>
      <c r="AG2328">
        <v>2.5498180000000001</v>
      </c>
      <c r="AH2328">
        <v>145.87328463428901</v>
      </c>
      <c r="AI2328">
        <v>89.001616049838901</v>
      </c>
      <c r="AJ2328">
        <v>94.455610904914295</v>
      </c>
      <c r="AK2328">
        <v>146.33769235895801</v>
      </c>
      <c r="AL2328">
        <v>80.592680014418804</v>
      </c>
      <c r="AM2328">
        <v>86.941061630847798</v>
      </c>
      <c r="AN2328">
        <v>0.99999998013971403</v>
      </c>
    </row>
    <row r="2329" spans="1:40" x14ac:dyDescent="0.25">
      <c r="A2329" t="str">
        <f>"20190303170304292"</f>
        <v>20190303170304292</v>
      </c>
      <c r="B2329" t="str">
        <f>"1551603784288318"</f>
        <v>1551603784288318</v>
      </c>
      <c r="C2329" t="s">
        <v>40</v>
      </c>
      <c r="D2329">
        <v>3.9859650000000002</v>
      </c>
      <c r="E2329">
        <v>0.4531154</v>
      </c>
      <c r="F2329" t="s">
        <v>64</v>
      </c>
      <c r="G2329">
        <v>-444.55770000000001</v>
      </c>
      <c r="H2329">
        <v>3.6435810000000002</v>
      </c>
      <c r="I2329">
        <v>270.08569999999997</v>
      </c>
      <c r="J2329">
        <v>-300.10379999999998</v>
      </c>
      <c r="K2329">
        <v>1.1204400000000001</v>
      </c>
      <c r="L2329">
        <v>284.3793</v>
      </c>
      <c r="M2329">
        <v>-0.99977199999999999</v>
      </c>
      <c r="N2329">
        <v>-7.5683759999999999E-3</v>
      </c>
      <c r="O2329">
        <v>-1.9969400000000002E-2</v>
      </c>
      <c r="P2329">
        <v>-0.98725209999999997</v>
      </c>
      <c r="Q2329">
        <v>0.15573890000000001</v>
      </c>
      <c r="R2329">
        <v>3.2850110000000002E-2</v>
      </c>
      <c r="S2329">
        <v>-3.0404659999999999</v>
      </c>
      <c r="T2329">
        <v>5.3023340000000002E-2</v>
      </c>
      <c r="U2329">
        <v>-0.30047610000000002</v>
      </c>
      <c r="V2329">
        <v>5.2607380000000002E-2</v>
      </c>
      <c r="W2329">
        <v>0.16318479999999999</v>
      </c>
      <c r="X2329">
        <v>0.98519190000000001</v>
      </c>
      <c r="Y2329">
        <v>-7.8453330000000002E-2</v>
      </c>
      <c r="Z2329">
        <v>-1.1332679999999999E-4</v>
      </c>
      <c r="AA2329">
        <v>0.99691779999999997</v>
      </c>
      <c r="AB2329">
        <v>38</v>
      </c>
      <c r="AC2329">
        <v>-144.4539</v>
      </c>
      <c r="AD2329">
        <v>2.5231409999999999</v>
      </c>
      <c r="AE2329">
        <v>-14.2936</v>
      </c>
      <c r="AF2329">
        <v>-11.4025643499143</v>
      </c>
      <c r="AG2329">
        <v>2.5231409999999999</v>
      </c>
      <c r="AH2329">
        <v>144.66682770893399</v>
      </c>
      <c r="AI2329">
        <v>89.003891651220798</v>
      </c>
      <c r="AJ2329">
        <v>94.506706390395095</v>
      </c>
      <c r="AK2329">
        <v>145.13743746403301</v>
      </c>
      <c r="AL2329">
        <v>80.608197489590594</v>
      </c>
      <c r="AM2329">
        <v>86.943416911261295</v>
      </c>
      <c r="AN2329">
        <v>0.99999994760355504</v>
      </c>
    </row>
    <row r="2330" spans="1:40" x14ac:dyDescent="0.25">
      <c r="A2330" t="str">
        <f>"20190303170304304"</f>
        <v>20190303170304304</v>
      </c>
      <c r="B2330" t="str">
        <f>"1551603784298078"</f>
        <v>1551603784298078</v>
      </c>
      <c r="C2330" t="s">
        <v>40</v>
      </c>
      <c r="D2330">
        <v>4.0523170000000004</v>
      </c>
      <c r="E2330">
        <v>0.45308799999999999</v>
      </c>
      <c r="F2330" t="s">
        <v>64</v>
      </c>
      <c r="G2330">
        <v>-441.10879999999997</v>
      </c>
      <c r="H2330">
        <v>3.57816</v>
      </c>
      <c r="I2330">
        <v>270.33100000000002</v>
      </c>
      <c r="J2330">
        <v>-300.32229999999998</v>
      </c>
      <c r="K2330">
        <v>1.1204080000000001</v>
      </c>
      <c r="L2330">
        <v>284.37509999999997</v>
      </c>
      <c r="M2330">
        <v>-0.99977459999999996</v>
      </c>
      <c r="N2330">
        <v>-7.5811559999999899E-3</v>
      </c>
      <c r="O2330">
        <v>-1.9836840000000001E-2</v>
      </c>
      <c r="P2330">
        <v>-0.98728110000000002</v>
      </c>
      <c r="Q2330">
        <v>0.1555404</v>
      </c>
      <c r="R2330">
        <v>3.2914649999999997E-2</v>
      </c>
      <c r="S2330">
        <v>-3.0404360000000001</v>
      </c>
      <c r="T2330">
        <v>5.2995199999999999E-2</v>
      </c>
      <c r="U2330">
        <v>-0.30291750000000001</v>
      </c>
      <c r="V2330">
        <v>5.2554610000000002E-2</v>
      </c>
      <c r="W2330">
        <v>0.16299420000000001</v>
      </c>
      <c r="X2330">
        <v>0.9852263</v>
      </c>
      <c r="Y2330">
        <v>-7.9379050000000007E-2</v>
      </c>
      <c r="Z2330">
        <v>-1.064413E-4</v>
      </c>
      <c r="AA2330">
        <v>0.99684450000000002</v>
      </c>
      <c r="AB2330">
        <v>38</v>
      </c>
      <c r="AC2330">
        <v>-140.78649999999999</v>
      </c>
      <c r="AD2330">
        <v>2.4577520000000002</v>
      </c>
      <c r="AE2330">
        <v>-14.0441</v>
      </c>
      <c r="AF2330">
        <v>-11.245103911232301</v>
      </c>
      <c r="AG2330">
        <v>2.4577520000000002</v>
      </c>
      <c r="AH2330">
        <v>140.99484863421301</v>
      </c>
      <c r="AI2330">
        <v>89.004510101499406</v>
      </c>
      <c r="AJ2330">
        <v>94.559996921416797</v>
      </c>
      <c r="AK2330">
        <v>141.46391853844699</v>
      </c>
      <c r="AL2330">
        <v>80.619266561930999</v>
      </c>
      <c r="AM2330">
        <v>86.946583552269203</v>
      </c>
      <c r="AN2330">
        <v>0.99999997923879003</v>
      </c>
    </row>
    <row r="2331" spans="1:40" x14ac:dyDescent="0.25">
      <c r="A2331" t="str">
        <f>"20190303170304320"</f>
        <v>20190303170304320</v>
      </c>
      <c r="B2331" t="str">
        <f>"1551603784307839"</f>
        <v>1551603784307839</v>
      </c>
      <c r="C2331" t="s">
        <v>40</v>
      </c>
      <c r="D2331">
        <v>4.0330059999999897</v>
      </c>
      <c r="E2331">
        <v>0.45300410000000002</v>
      </c>
      <c r="F2331" t="s">
        <v>64</v>
      </c>
      <c r="G2331">
        <v>-440.28820000000002</v>
      </c>
      <c r="H2331">
        <v>3.4932620000000001</v>
      </c>
      <c r="I2331">
        <v>270.42129999999997</v>
      </c>
      <c r="J2331">
        <v>-300.57889999999998</v>
      </c>
      <c r="K2331">
        <v>1.1203719999999999</v>
      </c>
      <c r="L2331">
        <v>284.37009999999998</v>
      </c>
      <c r="M2331">
        <v>-0.9997779</v>
      </c>
      <c r="N2331">
        <v>-7.5983229999999997E-3</v>
      </c>
      <c r="O2331">
        <v>-1.9659900000000001E-2</v>
      </c>
      <c r="P2331">
        <v>-0.98721360000000002</v>
      </c>
      <c r="Q2331">
        <v>0.15583469999999999</v>
      </c>
      <c r="R2331">
        <v>3.3543749999999997E-2</v>
      </c>
      <c r="S2331">
        <v>-3.040619</v>
      </c>
      <c r="T2331">
        <v>5.1548120000000003E-2</v>
      </c>
      <c r="U2331">
        <v>-0.30313109999999999</v>
      </c>
      <c r="V2331">
        <v>5.3022909999999999E-2</v>
      </c>
      <c r="W2331">
        <v>0.1633</v>
      </c>
      <c r="X2331">
        <v>0.98515059999999999</v>
      </c>
      <c r="Y2331">
        <v>-7.9619110000000007E-2</v>
      </c>
      <c r="Z2331">
        <v>-1.114648E-4</v>
      </c>
      <c r="AA2331">
        <v>0.99682530000000003</v>
      </c>
      <c r="AB2331">
        <v>38</v>
      </c>
      <c r="AC2331">
        <v>-139.70930000000001</v>
      </c>
      <c r="AD2331">
        <v>2.3728899999999999</v>
      </c>
      <c r="AE2331">
        <v>-13.9488</v>
      </c>
      <c r="AF2331">
        <v>-11.1961559624397</v>
      </c>
      <c r="AG2331">
        <v>2.3728899999999999</v>
      </c>
      <c r="AH2331">
        <v>139.91657238721399</v>
      </c>
      <c r="AI2331">
        <v>89.031490909031106</v>
      </c>
      <c r="AJ2331">
        <v>94.575072841975299</v>
      </c>
      <c r="AK2331">
        <v>140.383872805511</v>
      </c>
      <c r="AL2331">
        <v>80.601507881936698</v>
      </c>
      <c r="AM2331">
        <v>86.919191295333505</v>
      </c>
      <c r="AN2331">
        <v>1.00000001183261</v>
      </c>
    </row>
    <row r="2332" spans="1:40" x14ac:dyDescent="0.25">
      <c r="A2332" t="str">
        <f>"20190303170304343"</f>
        <v>20190303170304343</v>
      </c>
      <c r="B2332" t="str">
        <f>"1551603784337725"</f>
        <v>1551603784337725</v>
      </c>
      <c r="C2332" t="s">
        <v>40</v>
      </c>
      <c r="D2332">
        <v>3.9847760000000001</v>
      </c>
      <c r="E2332">
        <v>0.45303890000000002</v>
      </c>
      <c r="F2332" t="s">
        <v>64</v>
      </c>
      <c r="G2332">
        <v>-444.27870000000001</v>
      </c>
      <c r="H2332">
        <v>3.5991059999999999</v>
      </c>
      <c r="I2332">
        <v>270.08569999999997</v>
      </c>
      <c r="J2332">
        <v>-300.97739999999999</v>
      </c>
      <c r="K2332">
        <v>1.1203149999999999</v>
      </c>
      <c r="L2332">
        <v>284.36259999999999</v>
      </c>
      <c r="M2332">
        <v>-0.99978420000000001</v>
      </c>
      <c r="N2332">
        <v>-7.62905599999999E-3</v>
      </c>
      <c r="O2332">
        <v>-1.9324890000000001E-2</v>
      </c>
      <c r="P2332">
        <v>-0.98699740000000002</v>
      </c>
      <c r="Q2332">
        <v>0.156922799999999</v>
      </c>
      <c r="R2332">
        <v>3.4805599999999999E-2</v>
      </c>
      <c r="S2332">
        <v>-3.0408629999999999</v>
      </c>
      <c r="T2332">
        <v>5.2453279999999998E-2</v>
      </c>
      <c r="U2332">
        <v>-0.30227659999999901</v>
      </c>
      <c r="V2332">
        <v>5.3973569999999998E-2</v>
      </c>
      <c r="W2332">
        <v>0.16440879999999999</v>
      </c>
      <c r="X2332">
        <v>0.98491450000000003</v>
      </c>
      <c r="Y2332">
        <v>-7.9667619999999995E-2</v>
      </c>
      <c r="Z2332" s="1">
        <v>-9.8787830000000005E-5</v>
      </c>
      <c r="AA2332">
        <v>0.99682150000000003</v>
      </c>
      <c r="AB2332">
        <v>38</v>
      </c>
      <c r="AC2332">
        <v>-143.3013</v>
      </c>
      <c r="AD2332">
        <v>2.4787910000000002</v>
      </c>
      <c r="AE2332">
        <v>-14.276899999999999</v>
      </c>
      <c r="AF2332">
        <v>-11.5014638613261</v>
      </c>
      <c r="AG2332">
        <v>2.4787910000000002</v>
      </c>
      <c r="AH2332">
        <v>143.50792812170701</v>
      </c>
      <c r="AI2332">
        <v>89.013599213967694</v>
      </c>
      <c r="AJ2332">
        <v>94.582184536072702</v>
      </c>
      <c r="AK2332">
        <v>143.989421519639</v>
      </c>
      <c r="AL2332">
        <v>80.537107677018994</v>
      </c>
      <c r="AM2332">
        <v>86.863313809086605</v>
      </c>
      <c r="AN2332">
        <v>0.99999998604311702</v>
      </c>
    </row>
    <row r="2333" spans="1:40" x14ac:dyDescent="0.25">
      <c r="A2333" t="str">
        <f>"20190303170304354"</f>
        <v>20190303170304354</v>
      </c>
      <c r="B2333" t="str">
        <f>"1551603784347485"</f>
        <v>1551603784347485</v>
      </c>
      <c r="C2333" t="s">
        <v>40</v>
      </c>
      <c r="D2333">
        <v>3.89147</v>
      </c>
      <c r="E2333">
        <v>0.4531617</v>
      </c>
      <c r="F2333" t="s">
        <v>64</v>
      </c>
      <c r="G2333">
        <v>-446.60320000000002</v>
      </c>
      <c r="H2333">
        <v>3.8729019999999998</v>
      </c>
      <c r="I2333">
        <v>270.0856</v>
      </c>
      <c r="J2333">
        <v>-301.1696</v>
      </c>
      <c r="K2333">
        <v>1.1202859999999999</v>
      </c>
      <c r="L2333">
        <v>284.35899999999998</v>
      </c>
      <c r="M2333">
        <v>-0.9997876</v>
      </c>
      <c r="N2333">
        <v>-7.6444740000000001E-3</v>
      </c>
      <c r="O2333">
        <v>-1.91459E-2</v>
      </c>
      <c r="P2333">
        <v>-0.98682360000000002</v>
      </c>
      <c r="Q2333">
        <v>0.15786410000000001</v>
      </c>
      <c r="R2333">
        <v>3.5470700000000001E-2</v>
      </c>
      <c r="S2333">
        <v>-3.0408940000000002</v>
      </c>
      <c r="T2333">
        <v>5.7478550000000003E-2</v>
      </c>
      <c r="U2333">
        <v>-0.29812620000000001</v>
      </c>
      <c r="V2333">
        <v>5.4470379999999999E-2</v>
      </c>
      <c r="W2333">
        <v>0.1653597</v>
      </c>
      <c r="X2333">
        <v>0.98472800000000005</v>
      </c>
      <c r="Y2333">
        <v>-7.8496700000000003E-2</v>
      </c>
      <c r="Z2333" s="1">
        <v>-6.7673269999999898E-5</v>
      </c>
      <c r="AA2333">
        <v>0.99691439999999998</v>
      </c>
      <c r="AB2333">
        <v>38</v>
      </c>
      <c r="AC2333">
        <v>-145.43360000000001</v>
      </c>
      <c r="AD2333">
        <v>2.7526160000000002</v>
      </c>
      <c r="AE2333">
        <v>-14.273400000000001</v>
      </c>
      <c r="AF2333">
        <v>-11.482171346708199</v>
      </c>
      <c r="AG2333">
        <v>2.7526160000000002</v>
      </c>
      <c r="AH2333">
        <v>145.628554786856</v>
      </c>
      <c r="AI2333">
        <v>88.920495182841094</v>
      </c>
      <c r="AJ2333">
        <v>94.508193849671699</v>
      </c>
      <c r="AK2333">
        <v>146.10644449505699</v>
      </c>
      <c r="AL2333">
        <v>80.481869612454204</v>
      </c>
      <c r="AM2333">
        <v>86.833901731862696</v>
      </c>
      <c r="AN2333">
        <v>1.0000000433327101</v>
      </c>
    </row>
    <row r="2334" spans="1:40" x14ac:dyDescent="0.25">
      <c r="A2334" t="str">
        <f>"20190303170304367"</f>
        <v>20190303170304367</v>
      </c>
      <c r="B2334" t="str">
        <f>"1551603784358220"</f>
        <v>1551603784358220</v>
      </c>
      <c r="C2334" t="s">
        <v>40</v>
      </c>
      <c r="D2334">
        <v>4.0463339999999999</v>
      </c>
      <c r="E2334">
        <v>0.45325149999999997</v>
      </c>
      <c r="F2334" t="s">
        <v>64</v>
      </c>
      <c r="G2334">
        <v>-448.16730000000001</v>
      </c>
      <c r="H2334">
        <v>4.0212009999999996</v>
      </c>
      <c r="I2334">
        <v>270.08550000000002</v>
      </c>
      <c r="J2334">
        <v>-301.37740000000002</v>
      </c>
      <c r="K2334">
        <v>1.1202589999999999</v>
      </c>
      <c r="L2334">
        <v>284.35520000000002</v>
      </c>
      <c r="M2334">
        <v>-0.9997916</v>
      </c>
      <c r="N2334">
        <v>-7.6630159999999999E-3</v>
      </c>
      <c r="O2334">
        <v>-1.8925440000000002E-2</v>
      </c>
      <c r="P2334">
        <v>-0.98675380000000001</v>
      </c>
      <c r="Q2334">
        <v>0.15807309999999999</v>
      </c>
      <c r="R2334">
        <v>3.6470660000000002E-2</v>
      </c>
      <c r="S2334">
        <v>-3.041077</v>
      </c>
      <c r="T2334">
        <v>6.0014129999999999E-2</v>
      </c>
      <c r="U2334">
        <v>-0.2952881</v>
      </c>
      <c r="V2334">
        <v>5.5262800000000001E-2</v>
      </c>
      <c r="W2334">
        <v>0.1655826</v>
      </c>
      <c r="X2334">
        <v>0.98464629999999997</v>
      </c>
      <c r="Y2334">
        <v>-7.778852E-2</v>
      </c>
      <c r="Z2334" s="1">
        <v>-5.0262320000000003E-5</v>
      </c>
      <c r="AA2334">
        <v>0.99696989999999996</v>
      </c>
      <c r="AB2334">
        <v>38</v>
      </c>
      <c r="AC2334">
        <v>-146.78989999999999</v>
      </c>
      <c r="AD2334">
        <v>2.9009420000000001</v>
      </c>
      <c r="AE2334">
        <v>-14.2697</v>
      </c>
      <c r="AF2334">
        <v>-11.484555895169301</v>
      </c>
      <c r="AG2334">
        <v>2.9009420000000001</v>
      </c>
      <c r="AH2334">
        <v>146.97681072147799</v>
      </c>
      <c r="AI2334">
        <v>88.8727116347075</v>
      </c>
      <c r="AJ2334">
        <v>94.467931104521199</v>
      </c>
      <c r="AK2334">
        <v>147.45336001072999</v>
      </c>
      <c r="AL2334">
        <v>80.468919019797994</v>
      </c>
      <c r="AM2334">
        <v>86.787672007279696</v>
      </c>
      <c r="AN2334">
        <v>0.99999995529514296</v>
      </c>
    </row>
    <row r="2335" spans="1:40" x14ac:dyDescent="0.25">
      <c r="A2335" t="str">
        <f>"20190303170304379"</f>
        <v>20190303170304379</v>
      </c>
      <c r="B2335" t="str">
        <f>"1551603784367981"</f>
        <v>1551603784367981</v>
      </c>
      <c r="C2335" t="s">
        <v>40</v>
      </c>
      <c r="D2335">
        <v>3.9759859999999998</v>
      </c>
      <c r="E2335">
        <v>0.45319320000000002</v>
      </c>
      <c r="F2335" t="s">
        <v>64</v>
      </c>
      <c r="G2335">
        <v>-448.28190000000001</v>
      </c>
      <c r="H2335">
        <v>4.0489560000000004</v>
      </c>
      <c r="I2335">
        <v>270.2749</v>
      </c>
      <c r="J2335">
        <v>-301.58940000000001</v>
      </c>
      <c r="K2335">
        <v>1.120233</v>
      </c>
      <c r="L2335">
        <v>284.35140000000001</v>
      </c>
      <c r="M2335">
        <v>-0.99979580000000001</v>
      </c>
      <c r="N2335">
        <v>-7.6831399999999998E-3</v>
      </c>
      <c r="O2335">
        <v>-1.8690430000000001E-2</v>
      </c>
      <c r="P2335">
        <v>-0.98673679999999997</v>
      </c>
      <c r="Q2335">
        <v>0.1580184</v>
      </c>
      <c r="R2335">
        <v>3.7160100000000001E-2</v>
      </c>
      <c r="S2335">
        <v>-3.0413510000000001</v>
      </c>
      <c r="T2335">
        <v>6.0632709999999999E-2</v>
      </c>
      <c r="U2335">
        <v>-0.29150389999999998</v>
      </c>
      <c r="V2335">
        <v>5.573152E-2</v>
      </c>
      <c r="W2335">
        <v>0.1655431</v>
      </c>
      <c r="X2335">
        <v>0.98462660000000002</v>
      </c>
      <c r="Y2335">
        <v>-7.6785039999999999E-2</v>
      </c>
      <c r="Z2335" s="1">
        <v>-4.7019799999999898E-5</v>
      </c>
      <c r="AA2335">
        <v>0.99704769999999998</v>
      </c>
      <c r="AB2335">
        <v>38</v>
      </c>
      <c r="AC2335">
        <v>-146.6925</v>
      </c>
      <c r="AD2335">
        <v>2.9287230000000002</v>
      </c>
      <c r="AE2335">
        <v>-14.076499999999999</v>
      </c>
      <c r="AF2335">
        <v>-11.327740053914299</v>
      </c>
      <c r="AG2335">
        <v>2.9287230000000002</v>
      </c>
      <c r="AH2335">
        <v>146.87196817287099</v>
      </c>
      <c r="AI2335">
        <v>88.861017830007896</v>
      </c>
      <c r="AJ2335">
        <v>94.410299343876005</v>
      </c>
      <c r="AK2335">
        <v>147.337266664319</v>
      </c>
      <c r="AL2335">
        <v>80.471214600611901</v>
      </c>
      <c r="AM2335">
        <v>86.760419258883502</v>
      </c>
      <c r="AN2335">
        <v>1.0000000308533299</v>
      </c>
    </row>
    <row r="2336" spans="1:40" x14ac:dyDescent="0.25">
      <c r="A2336" t="str">
        <f>"20190303170304392"</f>
        <v>20190303170304392</v>
      </c>
      <c r="B2336" t="str">
        <f>"1551603784388477"</f>
        <v>1551603784388477</v>
      </c>
      <c r="C2336" t="s">
        <v>40</v>
      </c>
      <c r="D2336">
        <v>4.026122</v>
      </c>
      <c r="E2336">
        <v>0.45300210000000002</v>
      </c>
      <c r="F2336" t="s">
        <v>64</v>
      </c>
      <c r="G2336">
        <v>-448.58190000000002</v>
      </c>
      <c r="H2336">
        <v>4.082427</v>
      </c>
      <c r="I2336">
        <v>270.33089999999999</v>
      </c>
      <c r="J2336">
        <v>-301.8134</v>
      </c>
      <c r="K2336">
        <v>1.120201</v>
      </c>
      <c r="L2336">
        <v>284.34739999999999</v>
      </c>
      <c r="M2336">
        <v>-0.99980060000000004</v>
      </c>
      <c r="N2336">
        <v>-7.7068619999999897E-3</v>
      </c>
      <c r="O2336">
        <v>-1.8422040000000001E-2</v>
      </c>
      <c r="P2336">
        <v>-0.98674399999999995</v>
      </c>
      <c r="Q2336">
        <v>0.15780449999999999</v>
      </c>
      <c r="R2336">
        <v>3.7869479999999997E-2</v>
      </c>
      <c r="S2336">
        <v>-3.0414430000000001</v>
      </c>
      <c r="T2336">
        <v>6.1291100000000001E-2</v>
      </c>
      <c r="U2336">
        <v>-0.29010010000000003</v>
      </c>
      <c r="V2336">
        <v>5.6188200000000001E-2</v>
      </c>
      <c r="W2336">
        <v>0.16534799999999999</v>
      </c>
      <c r="X2336">
        <v>0.98463339999999999</v>
      </c>
      <c r="Y2336">
        <v>-7.6593590000000003E-2</v>
      </c>
      <c r="Z2336" s="1">
        <v>-3.7848130000000003E-5</v>
      </c>
      <c r="AA2336">
        <v>0.99706240000000002</v>
      </c>
      <c r="AB2336">
        <v>38</v>
      </c>
      <c r="AC2336">
        <v>-146.76849999999999</v>
      </c>
      <c r="AD2336">
        <v>2.9622259999999998</v>
      </c>
      <c r="AE2336">
        <v>-14.016500000000001</v>
      </c>
      <c r="AF2336">
        <v>-11.3057020025807</v>
      </c>
      <c r="AG2336">
        <v>2.9622259999999998</v>
      </c>
      <c r="AH2336">
        <v>146.94249562887299</v>
      </c>
      <c r="AI2336">
        <v>88.848528275998206</v>
      </c>
      <c r="AJ2336">
        <v>94.399648489969906</v>
      </c>
      <c r="AK2336">
        <v>147.40654904816</v>
      </c>
      <c r="AL2336">
        <v>80.482548948726205</v>
      </c>
      <c r="AM2336">
        <v>86.733952951681303</v>
      </c>
      <c r="AN2336">
        <v>1.0000000036593999</v>
      </c>
    </row>
    <row r="2337" spans="1:40" x14ac:dyDescent="0.25">
      <c r="A2337" t="str">
        <f>"20190303170304407"</f>
        <v>20190303170304407</v>
      </c>
      <c r="B2337" t="str">
        <f>"1551603784398237"</f>
        <v>1551603784398237</v>
      </c>
      <c r="C2337" t="s">
        <v>40</v>
      </c>
      <c r="D2337">
        <v>4.0433680000000001</v>
      </c>
      <c r="E2337">
        <v>0.45291160000000003</v>
      </c>
      <c r="F2337" t="s">
        <v>64</v>
      </c>
      <c r="G2337">
        <v>-451.74560000000002</v>
      </c>
      <c r="H2337">
        <v>4.0921479999999999</v>
      </c>
      <c r="I2337">
        <v>270.08550000000002</v>
      </c>
      <c r="J2337">
        <v>-302.05430000000001</v>
      </c>
      <c r="K2337">
        <v>1.1201779999999999</v>
      </c>
      <c r="L2337">
        <v>284.34320000000002</v>
      </c>
      <c r="M2337">
        <v>-0.99980599999999997</v>
      </c>
      <c r="N2337">
        <v>-7.7343689999999996E-3</v>
      </c>
      <c r="O2337">
        <v>-1.811074E-2</v>
      </c>
      <c r="P2337">
        <v>-0.98678670000000002</v>
      </c>
      <c r="Q2337">
        <v>0.15741369999999999</v>
      </c>
      <c r="R2337">
        <v>3.8377830000000002E-2</v>
      </c>
      <c r="S2337">
        <v>-3.0417480000000001</v>
      </c>
      <c r="T2337">
        <v>6.0293560000000003E-2</v>
      </c>
      <c r="U2337">
        <v>-0.28933720000000002</v>
      </c>
      <c r="V2337">
        <v>5.6402609999999999E-2</v>
      </c>
      <c r="W2337">
        <v>0.16498019999999999</v>
      </c>
      <c r="X2337">
        <v>0.98468290000000003</v>
      </c>
      <c r="Y2337">
        <v>-7.6646889999999995E-2</v>
      </c>
      <c r="Z2337" s="1">
        <v>-3.7068969999999998E-5</v>
      </c>
      <c r="AA2337">
        <v>0.99705829999999995</v>
      </c>
      <c r="AB2337">
        <v>38</v>
      </c>
      <c r="AC2337">
        <v>-149.69130000000001</v>
      </c>
      <c r="AD2337">
        <v>2.9719699999999998</v>
      </c>
      <c r="AE2337">
        <v>-14.2577</v>
      </c>
      <c r="AF2337">
        <v>-11.5397520578681</v>
      </c>
      <c r="AG2337">
        <v>2.9719699999999998</v>
      </c>
      <c r="AH2337">
        <v>149.86642906836701</v>
      </c>
      <c r="AI2337">
        <v>88.867280344538102</v>
      </c>
      <c r="AJ2337">
        <v>94.403100840807497</v>
      </c>
      <c r="AK2337">
        <v>150.33943276779399</v>
      </c>
      <c r="AL2337">
        <v>80.503916395274601</v>
      </c>
      <c r="AM2337">
        <v>86.721681543058907</v>
      </c>
      <c r="AN2337">
        <v>1.0000000671796201</v>
      </c>
    </row>
    <row r="2338" spans="1:40" x14ac:dyDescent="0.25">
      <c r="A2338" t="str">
        <f>"20190303170304421"</f>
        <v>20190303170304421</v>
      </c>
      <c r="B2338" t="str">
        <f>"1551603784407997"</f>
        <v>1551603784407997</v>
      </c>
      <c r="C2338" t="s">
        <v>40</v>
      </c>
      <c r="D2338">
        <v>4.0577170000000002</v>
      </c>
      <c r="E2338">
        <v>0.45283200000000001</v>
      </c>
      <c r="F2338" t="s">
        <v>64</v>
      </c>
      <c r="G2338">
        <v>-452.44319999999999</v>
      </c>
      <c r="H2338">
        <v>4.0518970000000003</v>
      </c>
      <c r="I2338">
        <v>270.08550000000002</v>
      </c>
      <c r="J2338">
        <v>-302.31619999999998</v>
      </c>
      <c r="K2338">
        <v>1.1201449999999999</v>
      </c>
      <c r="L2338">
        <v>284.33870000000002</v>
      </c>
      <c r="M2338">
        <v>-0.99981229999999999</v>
      </c>
      <c r="N2338">
        <v>-7.7650180000000003E-3</v>
      </c>
      <c r="O2338">
        <v>-1.7755090000000001E-2</v>
      </c>
      <c r="P2338">
        <v>-0.98688390000000004</v>
      </c>
      <c r="Q2338">
        <v>0.15652249999999901</v>
      </c>
      <c r="R2338">
        <v>3.9510129999999997E-2</v>
      </c>
      <c r="S2338">
        <v>-3.0419309999999999</v>
      </c>
      <c r="T2338">
        <v>5.930042E-2</v>
      </c>
      <c r="U2338">
        <v>-0.28839110000000001</v>
      </c>
      <c r="V2338">
        <v>5.7198489999999998E-2</v>
      </c>
      <c r="W2338">
        <v>0.16411479999999901</v>
      </c>
      <c r="X2338">
        <v>0.98478160000000003</v>
      </c>
      <c r="Y2338">
        <v>-7.6688709999999993E-2</v>
      </c>
      <c r="Z2338" s="1">
        <v>-3.548583E-5</v>
      </c>
      <c r="AA2338">
        <v>0.99705509999999997</v>
      </c>
      <c r="AB2338">
        <v>38</v>
      </c>
      <c r="AC2338">
        <v>-150.12700000000001</v>
      </c>
      <c r="AD2338">
        <v>2.9317519999999999</v>
      </c>
      <c r="AE2338">
        <v>-14.2531999999999</v>
      </c>
      <c r="AF2338">
        <v>-11.580977463040901</v>
      </c>
      <c r="AG2338">
        <v>2.9317519999999999</v>
      </c>
      <c r="AH2338">
        <v>150.29960146822401</v>
      </c>
      <c r="AI2338">
        <v>88.885828943105594</v>
      </c>
      <c r="AJ2338">
        <v>94.406083659936499</v>
      </c>
      <c r="AK2338">
        <v>150.77361974263201</v>
      </c>
      <c r="AL2338">
        <v>80.554185370339695</v>
      </c>
      <c r="AM2338">
        <v>86.675857679433307</v>
      </c>
      <c r="AN2338">
        <v>1.0000000672679299</v>
      </c>
    </row>
    <row r="2339" spans="1:40" x14ac:dyDescent="0.25">
      <c r="A2339" t="str">
        <f>"20190303170304438"</f>
        <v>20190303170304438</v>
      </c>
      <c r="B2339" t="str">
        <f>"1551603784427578"</f>
        <v>1551603784427578</v>
      </c>
      <c r="C2339" t="s">
        <v>40</v>
      </c>
      <c r="D2339">
        <v>4.0076769999999904</v>
      </c>
      <c r="E2339">
        <v>0.45296409999999998</v>
      </c>
      <c r="F2339" t="s">
        <v>64</v>
      </c>
      <c r="G2339">
        <v>-453.83319999999998</v>
      </c>
      <c r="H2339">
        <v>3.9374389999999999</v>
      </c>
      <c r="I2339">
        <v>270.0856</v>
      </c>
      <c r="J2339">
        <v>-302.60340000000002</v>
      </c>
      <c r="K2339">
        <v>1.1201129999999999</v>
      </c>
      <c r="L2339">
        <v>284.334</v>
      </c>
      <c r="M2339">
        <v>-0.99981920000000002</v>
      </c>
      <c r="N2339">
        <v>-7.7987150000000003E-3</v>
      </c>
      <c r="O2339">
        <v>-1.734376E-2</v>
      </c>
      <c r="P2339">
        <v>-0.98689479999999996</v>
      </c>
      <c r="Q2339">
        <v>0.15636340000000001</v>
      </c>
      <c r="R2339">
        <v>3.9865320000000003E-2</v>
      </c>
      <c r="S2339">
        <v>-3.0423580000000001</v>
      </c>
      <c r="T2339">
        <v>5.6569580000000001E-2</v>
      </c>
      <c r="U2339">
        <v>-0.2861938</v>
      </c>
      <c r="V2339">
        <v>5.716222E-2</v>
      </c>
      <c r="W2339">
        <v>0.16398360000000001</v>
      </c>
      <c r="X2339">
        <v>0.9848055</v>
      </c>
      <c r="Y2339">
        <v>-7.6372549999999997E-2</v>
      </c>
      <c r="Z2339" s="1">
        <v>-4.6722009999999998E-5</v>
      </c>
      <c r="AA2339">
        <v>0.99707939999999995</v>
      </c>
      <c r="AB2339">
        <v>39</v>
      </c>
      <c r="AC2339">
        <v>-151.22979999999899</v>
      </c>
      <c r="AD2339">
        <v>2.817326</v>
      </c>
      <c r="AE2339">
        <v>-14.2484</v>
      </c>
      <c r="AF2339">
        <v>-11.6192866005598</v>
      </c>
      <c r="AG2339">
        <v>2.817326</v>
      </c>
      <c r="AH2339">
        <v>151.40209716358601</v>
      </c>
      <c r="AI2339">
        <v>88.937074485156003</v>
      </c>
      <c r="AJ2339">
        <v>94.388536841910593</v>
      </c>
      <c r="AK2339">
        <v>151.873434715977</v>
      </c>
      <c r="AL2339">
        <v>80.561805239319995</v>
      </c>
      <c r="AM2339">
        <v>86.678041262310202</v>
      </c>
      <c r="AN2339">
        <v>1.0000000066472601</v>
      </c>
    </row>
    <row r="2340" spans="1:40" x14ac:dyDescent="0.25">
      <c r="A2340" t="str">
        <f>"20190303170304456"</f>
        <v>20190303170304456</v>
      </c>
      <c r="B2340" t="str">
        <f>"1551603784448075"</f>
        <v>1551603784448075</v>
      </c>
      <c r="C2340" t="s">
        <v>40</v>
      </c>
      <c r="D2340">
        <v>4.0225749999999998</v>
      </c>
      <c r="E2340">
        <v>0.46901619999999999</v>
      </c>
      <c r="F2340" t="s">
        <v>64</v>
      </c>
      <c r="G2340">
        <v>-455.27879999999999</v>
      </c>
      <c r="H2340">
        <v>3.92313</v>
      </c>
      <c r="I2340">
        <v>270.0856</v>
      </c>
      <c r="J2340">
        <v>-302.91449999999998</v>
      </c>
      <c r="K2340">
        <v>1.1200810000000001</v>
      </c>
      <c r="L2340">
        <v>284.32889999999998</v>
      </c>
      <c r="M2340">
        <v>-0.99982700000000002</v>
      </c>
      <c r="N2340">
        <v>-7.8340570000000002E-3</v>
      </c>
      <c r="O2340">
        <v>-1.6876530000000001E-2</v>
      </c>
      <c r="P2340">
        <v>-0.98672159999999998</v>
      </c>
      <c r="Q2340">
        <v>0.15716830000000001</v>
      </c>
      <c r="R2340">
        <v>4.0974070000000001E-2</v>
      </c>
      <c r="S2340">
        <v>-3.0424500000000001</v>
      </c>
      <c r="T2340">
        <v>5.5857539999999997E-2</v>
      </c>
      <c r="U2340">
        <v>-0.28393550000000001</v>
      </c>
      <c r="V2340">
        <v>5.782234E-2</v>
      </c>
      <c r="W2340">
        <v>0.1648165</v>
      </c>
      <c r="X2340">
        <v>0.9846279</v>
      </c>
      <c r="Y2340">
        <v>-7.6102100000000006E-2</v>
      </c>
      <c r="Z2340" s="1">
        <v>-4.2753409999999997E-5</v>
      </c>
      <c r="AA2340">
        <v>0.99710010000000004</v>
      </c>
      <c r="AB2340">
        <v>39</v>
      </c>
      <c r="AC2340">
        <v>-152.36429999999999</v>
      </c>
      <c r="AD2340">
        <v>2.8030490000000001</v>
      </c>
      <c r="AE2340">
        <v>-14.2432999999999</v>
      </c>
      <c r="AF2340">
        <v>-11.6658979335499</v>
      </c>
      <c r="AG2340">
        <v>2.8030490000000001</v>
      </c>
      <c r="AH2340">
        <v>152.53180675662401</v>
      </c>
      <c r="AI2340">
        <v>88.950269494802598</v>
      </c>
      <c r="AJ2340">
        <v>94.373566491080894</v>
      </c>
      <c r="AK2340">
        <v>153.00294876482801</v>
      </c>
      <c r="AL2340">
        <v>80.513425265192794</v>
      </c>
      <c r="AM2340">
        <v>86.639161361320404</v>
      </c>
      <c r="AN2340">
        <v>1.00000000156686</v>
      </c>
    </row>
    <row r="2341" spans="1:40" x14ac:dyDescent="0.25">
      <c r="A2341" t="str">
        <f>"20190303170304468"</f>
        <v>20190303170304468</v>
      </c>
      <c r="B2341" t="str">
        <f>"1551603784457834"</f>
        <v>1551603784457834</v>
      </c>
      <c r="C2341" t="s">
        <v>40</v>
      </c>
      <c r="D2341">
        <v>4.0456379999999896</v>
      </c>
      <c r="E2341">
        <v>0.46828690000000001</v>
      </c>
      <c r="F2341" t="s">
        <v>66</v>
      </c>
      <c r="G2341">
        <v>-512.82619999999997</v>
      </c>
      <c r="H2341">
        <v>3.1412770000000001</v>
      </c>
      <c r="I2341">
        <v>273.63170000000002</v>
      </c>
      <c r="J2341">
        <v>-303.142</v>
      </c>
      <c r="K2341">
        <v>1.1200639999999999</v>
      </c>
      <c r="L2341">
        <v>284.32530000000003</v>
      </c>
      <c r="M2341">
        <v>-0.99983270000000002</v>
      </c>
      <c r="N2341">
        <v>-7.8585670000000003E-3</v>
      </c>
      <c r="O2341">
        <v>-1.6522619999999998E-2</v>
      </c>
      <c r="P2341">
        <v>-0.98659649999999999</v>
      </c>
      <c r="Q2341">
        <v>0.1577556</v>
      </c>
      <c r="R2341">
        <v>4.1723370000000003E-2</v>
      </c>
      <c r="S2341">
        <v>-3.0421450000000001</v>
      </c>
      <c r="T2341">
        <v>2.9293300000000001E-2</v>
      </c>
      <c r="U2341">
        <v>-0.15502929999999901</v>
      </c>
      <c r="V2341">
        <v>5.8230850000000001E-2</v>
      </c>
      <c r="W2341">
        <v>0.16542319999999999</v>
      </c>
      <c r="X2341">
        <v>0.98450210000000005</v>
      </c>
      <c r="Y2341">
        <v>-3.4388050000000003E-2</v>
      </c>
      <c r="Z2341">
        <v>-2.5850230000000002E-4</v>
      </c>
      <c r="AA2341">
        <v>0.99940850000000003</v>
      </c>
      <c r="AB2341">
        <v>39</v>
      </c>
      <c r="AC2341">
        <v>-209.6842</v>
      </c>
      <c r="AD2341">
        <v>2.0212129999999999</v>
      </c>
      <c r="AE2341">
        <v>-10.6936</v>
      </c>
      <c r="AF2341">
        <v>-7.2268313745595298</v>
      </c>
      <c r="AG2341">
        <v>2.0212129999999999</v>
      </c>
      <c r="AH2341">
        <v>209.81282194037101</v>
      </c>
      <c r="AI2341">
        <v>89.4483904188466</v>
      </c>
      <c r="AJ2341">
        <v>91.972726450815401</v>
      </c>
      <c r="AK2341">
        <v>209.946975792198</v>
      </c>
      <c r="AL2341">
        <v>80.4781803574148</v>
      </c>
      <c r="AM2341">
        <v>86.615040850251603</v>
      </c>
      <c r="AN2341">
        <v>1.00000002594718</v>
      </c>
    </row>
    <row r="2342" spans="1:40" x14ac:dyDescent="0.25">
      <c r="A2342" t="str">
        <f>"20190303170304480"</f>
        <v>20190303170304480</v>
      </c>
      <c r="B2342" t="str">
        <f>"1551603784467594"</f>
        <v>1551603784467594</v>
      </c>
      <c r="C2342" t="s">
        <v>40</v>
      </c>
      <c r="D2342">
        <v>4.0215699999999996</v>
      </c>
      <c r="E2342">
        <v>0.4680898</v>
      </c>
      <c r="F2342" t="s">
        <v>66</v>
      </c>
      <c r="G2342">
        <v>-512.82640000000004</v>
      </c>
      <c r="H2342">
        <v>3.799191</v>
      </c>
      <c r="I2342">
        <v>273.40300000000002</v>
      </c>
      <c r="J2342">
        <v>-303.3381</v>
      </c>
      <c r="K2342">
        <v>1.12005</v>
      </c>
      <c r="L2342">
        <v>284.32229999999998</v>
      </c>
      <c r="M2342">
        <v>-0.99983759999999999</v>
      </c>
      <c r="N2342">
        <v>-7.8800640000000009E-3</v>
      </c>
      <c r="O2342">
        <v>-1.6213439999999999E-2</v>
      </c>
      <c r="P2342">
        <v>-0.98649350000000002</v>
      </c>
      <c r="Q2342">
        <v>0.15823190000000001</v>
      </c>
      <c r="R2342">
        <v>4.2352550000000003E-2</v>
      </c>
      <c r="S2342">
        <v>-3.0412599999999999</v>
      </c>
      <c r="T2342">
        <v>3.8859129999999999E-2</v>
      </c>
      <c r="U2342">
        <v>-0.15841669999999999</v>
      </c>
      <c r="V2342">
        <v>5.8561349999999998E-2</v>
      </c>
      <c r="W2342">
        <v>0.16591700000000001</v>
      </c>
      <c r="X2342">
        <v>0.98439940000000004</v>
      </c>
      <c r="Y2342">
        <v>-3.5822180000000002E-2</v>
      </c>
      <c r="Z2342">
        <v>-2.4722360000000002E-4</v>
      </c>
      <c r="AA2342">
        <v>0.99935819999999997</v>
      </c>
      <c r="AB2342">
        <v>39</v>
      </c>
      <c r="AC2342">
        <v>-209.48830000000001</v>
      </c>
      <c r="AD2342">
        <v>2.679141</v>
      </c>
      <c r="AE2342">
        <v>-10.9192999999999</v>
      </c>
      <c r="AF2342">
        <v>-7.5200068770017703</v>
      </c>
      <c r="AG2342">
        <v>2.679141</v>
      </c>
      <c r="AH2342">
        <v>209.603617250762</v>
      </c>
      <c r="AI2342">
        <v>89.268159427213007</v>
      </c>
      <c r="AJ2342">
        <v>92.054735207410502</v>
      </c>
      <c r="AK2342">
        <v>209.75558315461299</v>
      </c>
      <c r="AL2342">
        <v>80.449491299241402</v>
      </c>
      <c r="AM2342">
        <v>86.595519629581503</v>
      </c>
      <c r="AN2342">
        <v>1.0000000306615899</v>
      </c>
    </row>
    <row r="2343" spans="1:40" x14ac:dyDescent="0.25">
      <c r="A2343" t="str">
        <f>"20190303170304493"</f>
        <v>20190303170304493</v>
      </c>
      <c r="B2343" t="str">
        <f>"1551603784488090"</f>
        <v>1551603784488090</v>
      </c>
      <c r="C2343" t="s">
        <v>40</v>
      </c>
      <c r="D2343">
        <v>4.0450869999999997</v>
      </c>
      <c r="E2343">
        <v>0.46818769999999998</v>
      </c>
      <c r="F2343" t="s">
        <v>66</v>
      </c>
      <c r="G2343">
        <v>-512.82640000000004</v>
      </c>
      <c r="H2343">
        <v>3.8835630000000001</v>
      </c>
      <c r="I2343">
        <v>273.42559999999997</v>
      </c>
      <c r="J2343">
        <v>-303.58229999999998</v>
      </c>
      <c r="K2343">
        <v>1.120034</v>
      </c>
      <c r="L2343">
        <v>284.31869999999998</v>
      </c>
      <c r="M2343">
        <v>-0.9998435</v>
      </c>
      <c r="N2343">
        <v>-7.9073400000000005E-3</v>
      </c>
      <c r="O2343">
        <v>-1.582188E-2</v>
      </c>
      <c r="P2343">
        <v>-0.98638300000000001</v>
      </c>
      <c r="Q2343">
        <v>0.15866359999999999</v>
      </c>
      <c r="R2343">
        <v>4.3292820000000003E-2</v>
      </c>
      <c r="S2343">
        <v>-3.0414430000000001</v>
      </c>
      <c r="T2343">
        <v>4.0122989999999997E-2</v>
      </c>
      <c r="U2343">
        <v>-0.15820310000000001</v>
      </c>
      <c r="V2343">
        <v>5.912282E-2</v>
      </c>
      <c r="W2343">
        <v>0.16637070000000001</v>
      </c>
      <c r="X2343">
        <v>0.98428919999999998</v>
      </c>
      <c r="Y2343">
        <v>-3.6140329999999998E-2</v>
      </c>
      <c r="Z2343">
        <v>-2.3835649999999999E-4</v>
      </c>
      <c r="AA2343">
        <v>0.99934670000000003</v>
      </c>
      <c r="AB2343">
        <v>39</v>
      </c>
      <c r="AC2343">
        <v>-209.2441</v>
      </c>
      <c r="AD2343">
        <v>2.7635290000000001</v>
      </c>
      <c r="AE2343">
        <v>-10.8931</v>
      </c>
      <c r="AF2343">
        <v>-7.5796790919986003</v>
      </c>
      <c r="AG2343">
        <v>2.7635290000000001</v>
      </c>
      <c r="AH2343">
        <v>209.353842278824</v>
      </c>
      <c r="AI2343">
        <v>89.244218807303497</v>
      </c>
      <c r="AJ2343">
        <v>92.073494386167496</v>
      </c>
      <c r="AK2343">
        <v>209.50923584553101</v>
      </c>
      <c r="AL2343">
        <v>80.423129267269601</v>
      </c>
      <c r="AM2343">
        <v>86.562572410149002</v>
      </c>
      <c r="AN2343">
        <v>0.99999997344993996</v>
      </c>
    </row>
    <row r="2344" spans="1:40" x14ac:dyDescent="0.25">
      <c r="A2344" t="str">
        <f>"20190303170304505"</f>
        <v>20190303170304505</v>
      </c>
      <c r="B2344" t="str">
        <f>"1551603784497850"</f>
        <v>1551603784497850</v>
      </c>
      <c r="C2344" t="s">
        <v>40</v>
      </c>
      <c r="D2344">
        <v>4.0492080000000001</v>
      </c>
      <c r="E2344">
        <v>0.46801959999999998</v>
      </c>
      <c r="F2344" t="s">
        <v>66</v>
      </c>
      <c r="G2344">
        <v>-512.82640000000004</v>
      </c>
      <c r="H2344">
        <v>3.7042259999999998</v>
      </c>
      <c r="I2344">
        <v>273.65120000000002</v>
      </c>
      <c r="J2344">
        <v>-303.77859999999998</v>
      </c>
      <c r="K2344">
        <v>1.120023</v>
      </c>
      <c r="L2344">
        <v>284.31580000000002</v>
      </c>
      <c r="M2344">
        <v>-0.99984839999999997</v>
      </c>
      <c r="N2344">
        <v>-7.9298000000000007E-3</v>
      </c>
      <c r="O2344">
        <v>-1.550117E-2</v>
      </c>
      <c r="P2344">
        <v>-0.9864039</v>
      </c>
      <c r="Q2344">
        <v>0.15842300000000001</v>
      </c>
      <c r="R2344">
        <v>4.3700259999999998E-2</v>
      </c>
      <c r="S2344">
        <v>-3.0421450000000001</v>
      </c>
      <c r="T2344">
        <v>3.7572029999999999E-2</v>
      </c>
      <c r="U2344">
        <v>-0.15509029999999999</v>
      </c>
      <c r="V2344">
        <v>5.9219939999999999E-2</v>
      </c>
      <c r="W2344">
        <v>0.16615070000000001</v>
      </c>
      <c r="X2344">
        <v>0.98432059999999999</v>
      </c>
      <c r="Y2344">
        <v>-3.5429019999999999E-2</v>
      </c>
      <c r="Z2344">
        <v>-2.360776E-4</v>
      </c>
      <c r="AA2344">
        <v>0.99937220000000004</v>
      </c>
      <c r="AB2344">
        <v>39</v>
      </c>
      <c r="AC2344">
        <v>-209.0478</v>
      </c>
      <c r="AD2344">
        <v>2.584203</v>
      </c>
      <c r="AE2344">
        <v>-10.6646</v>
      </c>
      <c r="AF2344">
        <v>-7.4215999973481503</v>
      </c>
      <c r="AG2344">
        <v>2.584203</v>
      </c>
      <c r="AH2344">
        <v>209.156121292535</v>
      </c>
      <c r="AI2344">
        <v>89.292570159216098</v>
      </c>
      <c r="AJ2344">
        <v>92.032204576374895</v>
      </c>
      <c r="AK2344">
        <v>209.30370595334301</v>
      </c>
      <c r="AL2344">
        <v>80.435912993855297</v>
      </c>
      <c r="AM2344">
        <v>86.557048952150893</v>
      </c>
      <c r="AN2344">
        <v>1.0000000499942201</v>
      </c>
    </row>
    <row r="2345" spans="1:40" x14ac:dyDescent="0.25">
      <c r="A2345" t="str">
        <f>"20190303170304522"</f>
        <v>20190303170304522</v>
      </c>
      <c r="B2345" t="str">
        <f>"1551603784507611"</f>
        <v>1551603784507611</v>
      </c>
      <c r="C2345" t="s">
        <v>40</v>
      </c>
      <c r="D2345">
        <v>4.0126749999999998</v>
      </c>
      <c r="E2345">
        <v>0.46824159999999998</v>
      </c>
      <c r="F2345" t="s">
        <v>66</v>
      </c>
      <c r="G2345">
        <v>-512.82640000000004</v>
      </c>
      <c r="H2345">
        <v>3.6069619999999998</v>
      </c>
      <c r="I2345">
        <v>273.64049999999997</v>
      </c>
      <c r="J2345">
        <v>-304.05579999999998</v>
      </c>
      <c r="K2345">
        <v>1.120001</v>
      </c>
      <c r="L2345">
        <v>284.31180000000001</v>
      </c>
      <c r="M2345">
        <v>-0.9998551</v>
      </c>
      <c r="N2345">
        <v>-7.96235E-3</v>
      </c>
      <c r="O2345">
        <v>-1.5045040000000001E-2</v>
      </c>
      <c r="P2345">
        <v>-0.98645170000000004</v>
      </c>
      <c r="Q2345">
        <v>0.1579605</v>
      </c>
      <c r="R2345">
        <v>4.4286539999999999E-2</v>
      </c>
      <c r="S2345">
        <v>-3.0424190000000002</v>
      </c>
      <c r="T2345">
        <v>3.6195280000000003E-2</v>
      </c>
      <c r="U2345">
        <v>-0.155365</v>
      </c>
      <c r="V2345">
        <v>5.936408E-2</v>
      </c>
      <c r="W2345">
        <v>0.165718</v>
      </c>
      <c r="X2345">
        <v>0.98438479999999995</v>
      </c>
      <c r="Y2345">
        <v>-3.5970219999999997E-2</v>
      </c>
      <c r="Z2345">
        <v>-2.280506E-4</v>
      </c>
      <c r="AA2345">
        <v>0.99935280000000004</v>
      </c>
      <c r="AB2345">
        <v>39</v>
      </c>
      <c r="AC2345">
        <v>-208.7706</v>
      </c>
      <c r="AD2345">
        <v>2.486961</v>
      </c>
      <c r="AE2345">
        <v>-10.6713</v>
      </c>
      <c r="AF2345">
        <v>-7.5279649959585502</v>
      </c>
      <c r="AG2345">
        <v>2.486961</v>
      </c>
      <c r="AH2345">
        <v>208.87796074916</v>
      </c>
      <c r="AI2345">
        <v>89.318294765710306</v>
      </c>
      <c r="AJ2345">
        <v>92.064047453715503</v>
      </c>
      <c r="AK2345">
        <v>209.02836582321399</v>
      </c>
      <c r="AL2345">
        <v>80.461052844648606</v>
      </c>
      <c r="AM2345">
        <v>86.5489136637634</v>
      </c>
      <c r="AN2345">
        <v>0.99999999199464296</v>
      </c>
    </row>
    <row r="2346" spans="1:40" x14ac:dyDescent="0.25">
      <c r="A2346" t="str">
        <f>"20190303170304532"</f>
        <v>20190303170304532</v>
      </c>
      <c r="B2346" t="str">
        <f>"1551603784518347"</f>
        <v>1551603784518347</v>
      </c>
      <c r="C2346" t="s">
        <v>40</v>
      </c>
      <c r="D2346">
        <v>4.019571</v>
      </c>
      <c r="E2346">
        <v>0.4682229</v>
      </c>
      <c r="F2346" t="s">
        <v>66</v>
      </c>
      <c r="G2346">
        <v>-512.82629999999995</v>
      </c>
      <c r="H2346">
        <v>3.4185759999999998</v>
      </c>
      <c r="I2346">
        <v>273.89440000000002</v>
      </c>
      <c r="J2346">
        <v>-304.24470000000002</v>
      </c>
      <c r="K2346">
        <v>1.119982</v>
      </c>
      <c r="L2346">
        <v>284.30919999999998</v>
      </c>
      <c r="M2346">
        <v>-0.99985970000000002</v>
      </c>
      <c r="N2346">
        <v>-7.9852599999999992E-3</v>
      </c>
      <c r="O2346">
        <v>-1.4731859999999999E-2</v>
      </c>
      <c r="P2346">
        <v>-0.9865022</v>
      </c>
      <c r="Q2346">
        <v>0.15754770000000001</v>
      </c>
      <c r="R2346">
        <v>4.4635889999999998E-2</v>
      </c>
      <c r="S2346">
        <v>-3.0426639999999998</v>
      </c>
      <c r="T2346">
        <v>3.3501030000000001E-2</v>
      </c>
      <c r="U2346">
        <v>-0.15182499999999999</v>
      </c>
      <c r="V2346">
        <v>5.9409419999999998E-2</v>
      </c>
      <c r="W2346">
        <v>0.1653259</v>
      </c>
      <c r="X2346">
        <v>0.98444799999999999</v>
      </c>
      <c r="Y2346">
        <v>-3.5119329999999997E-2</v>
      </c>
      <c r="Z2346">
        <v>-2.267491E-4</v>
      </c>
      <c r="AA2346">
        <v>0.99938309999999997</v>
      </c>
      <c r="AB2346">
        <v>39</v>
      </c>
      <c r="AC2346">
        <v>-208.58159999999901</v>
      </c>
      <c r="AD2346">
        <v>2.298594</v>
      </c>
      <c r="AE2346">
        <v>-10.4147999999999</v>
      </c>
      <c r="AF2346">
        <v>-7.3398879789670204</v>
      </c>
      <c r="AG2346">
        <v>2.298594</v>
      </c>
      <c r="AH2346">
        <v>208.68711702726199</v>
      </c>
      <c r="AI2346">
        <v>89.369328413493903</v>
      </c>
      <c r="AJ2346">
        <v>92.014361625098005</v>
      </c>
      <c r="AK2346">
        <v>208.82880620994499</v>
      </c>
      <c r="AL2346">
        <v>80.483832806606401</v>
      </c>
      <c r="AM2346">
        <v>86.546505421020896</v>
      </c>
      <c r="AN2346">
        <v>0.99999999854977295</v>
      </c>
    </row>
    <row r="2347" spans="1:40" x14ac:dyDescent="0.25">
      <c r="A2347" t="str">
        <f>"20190303170304544"</f>
        <v>20190303170304544</v>
      </c>
      <c r="B2347" t="str">
        <f>"1551603784537867"</f>
        <v>1551603784537867</v>
      </c>
      <c r="C2347" t="s">
        <v>40</v>
      </c>
      <c r="D2347">
        <v>3.9861710000000001</v>
      </c>
      <c r="E2347">
        <v>0.4680665</v>
      </c>
      <c r="F2347" t="s">
        <v>66</v>
      </c>
      <c r="G2347">
        <v>-512.82619999999997</v>
      </c>
      <c r="H2347">
        <v>3.2980499999999999</v>
      </c>
      <c r="I2347">
        <v>273.9665</v>
      </c>
      <c r="J2347">
        <v>-304.44779999999997</v>
      </c>
      <c r="K2347">
        <v>1.1199699999999999</v>
      </c>
      <c r="L2347">
        <v>284.30650000000003</v>
      </c>
      <c r="M2347">
        <v>-0.99986430000000004</v>
      </c>
      <c r="N2347">
        <v>-8.0105780000000008E-3</v>
      </c>
      <c r="O2347">
        <v>-1.439271E-2</v>
      </c>
      <c r="P2347">
        <v>-0.98657150000000005</v>
      </c>
      <c r="Q2347">
        <v>0.15695499999999901</v>
      </c>
      <c r="R2347">
        <v>4.5185889999999999E-2</v>
      </c>
      <c r="S2347">
        <v>-3.042786</v>
      </c>
      <c r="T2347">
        <v>3.1774759999999999E-2</v>
      </c>
      <c r="U2347">
        <v>-0.15087890000000001</v>
      </c>
      <c r="V2347">
        <v>5.9629469999999997E-2</v>
      </c>
      <c r="W2347">
        <v>0.1647573</v>
      </c>
      <c r="X2347">
        <v>0.98453000000000002</v>
      </c>
      <c r="Y2347">
        <v>-3.5146289999999997E-2</v>
      </c>
      <c r="Z2347">
        <v>-2.228853E-4</v>
      </c>
      <c r="AA2347">
        <v>0.99938210000000005</v>
      </c>
      <c r="AB2347">
        <v>39</v>
      </c>
      <c r="AC2347">
        <v>-208.3784</v>
      </c>
      <c r="AD2347">
        <v>2.17808</v>
      </c>
      <c r="AE2347">
        <v>-10.34</v>
      </c>
      <c r="AF2347">
        <v>-7.3389028601952599</v>
      </c>
      <c r="AG2347">
        <v>2.17808</v>
      </c>
      <c r="AH2347">
        <v>208.482918190633</v>
      </c>
      <c r="AI2347">
        <v>89.401807047408198</v>
      </c>
      <c r="AJ2347">
        <v>92.016062568565502</v>
      </c>
      <c r="AK2347">
        <v>208.62341840014</v>
      </c>
      <c r="AL2347">
        <v>80.516863993719795</v>
      </c>
      <c r="AM2347">
        <v>86.534032948175195</v>
      </c>
      <c r="AN2347">
        <v>0.99999998124788503</v>
      </c>
    </row>
    <row r="2348" spans="1:40" x14ac:dyDescent="0.25">
      <c r="A2348" t="str">
        <f>"20190303170304556"</f>
        <v>20190303170304556</v>
      </c>
      <c r="B2348" t="str">
        <f>"1551603784547627"</f>
        <v>1551603784547627</v>
      </c>
      <c r="C2348" t="s">
        <v>40</v>
      </c>
      <c r="D2348">
        <v>4.0234449999999997</v>
      </c>
      <c r="E2348">
        <v>0.4680319</v>
      </c>
      <c r="F2348" t="s">
        <v>66</v>
      </c>
      <c r="G2348">
        <v>-512.82619999999997</v>
      </c>
      <c r="H2348">
        <v>3.2661720000000001</v>
      </c>
      <c r="I2348">
        <v>273.99470000000002</v>
      </c>
      <c r="J2348">
        <v>-304.64929999999998</v>
      </c>
      <c r="K2348">
        <v>1.119961</v>
      </c>
      <c r="L2348">
        <v>284.30380000000002</v>
      </c>
      <c r="M2348">
        <v>-0.99986889999999995</v>
      </c>
      <c r="N2348">
        <v>-8.0358319999999997E-3</v>
      </c>
      <c r="O2348">
        <v>-1.40556E-2</v>
      </c>
      <c r="P2348">
        <v>-0.98656960000000005</v>
      </c>
      <c r="Q2348">
        <v>0.15685370000000001</v>
      </c>
      <c r="R2348">
        <v>4.5574910000000003E-2</v>
      </c>
      <c r="S2348">
        <v>-3.0427550000000001</v>
      </c>
      <c r="T2348">
        <v>3.1340119999999999E-2</v>
      </c>
      <c r="U2348">
        <v>-0.1505737</v>
      </c>
      <c r="V2348">
        <v>5.9689810000000003E-2</v>
      </c>
      <c r="W2348">
        <v>0.1646792</v>
      </c>
      <c r="X2348">
        <v>0.98453939999999995</v>
      </c>
      <c r="Y2348">
        <v>-3.5383690000000002E-2</v>
      </c>
      <c r="Z2348">
        <v>-2.177019E-4</v>
      </c>
      <c r="AA2348">
        <v>0.99937379999999998</v>
      </c>
      <c r="AB2348">
        <v>39</v>
      </c>
      <c r="AC2348">
        <v>-208.17689999999999</v>
      </c>
      <c r="AD2348">
        <v>2.1462110000000001</v>
      </c>
      <c r="AE2348">
        <v>-10.309100000000001</v>
      </c>
      <c r="AF2348">
        <v>-7.3811531655940996</v>
      </c>
      <c r="AG2348">
        <v>2.1462110000000001</v>
      </c>
      <c r="AH2348">
        <v>208.27915602862399</v>
      </c>
      <c r="AI2348">
        <v>89.4099873230886</v>
      </c>
      <c r="AJ2348">
        <v>92.029641473449203</v>
      </c>
      <c r="AK2348">
        <v>208.42095499183</v>
      </c>
      <c r="AL2348">
        <v>80.521400667744402</v>
      </c>
      <c r="AM2348">
        <v>86.5305672886049</v>
      </c>
      <c r="AN2348">
        <v>0.99999997124141704</v>
      </c>
    </row>
    <row r="2349" spans="1:40" x14ac:dyDescent="0.25">
      <c r="A2349" t="str">
        <f>"20190303170304569"</f>
        <v>20190303170304569</v>
      </c>
      <c r="B2349" t="str">
        <f>"1551603784558363"</f>
        <v>1551603784558363</v>
      </c>
      <c r="C2349" t="s">
        <v>40</v>
      </c>
      <c r="D2349">
        <v>4.0195069999999999</v>
      </c>
      <c r="E2349">
        <v>0.46806959999999997</v>
      </c>
      <c r="F2349" t="s">
        <v>45</v>
      </c>
      <c r="G2349">
        <v>-455.32929999999999</v>
      </c>
      <c r="H2349">
        <v>2.6420569999999999</v>
      </c>
      <c r="I2349">
        <v>276.89139999999998</v>
      </c>
      <c r="J2349">
        <v>-304.87909999999999</v>
      </c>
      <c r="K2349">
        <v>1.1199509999999999</v>
      </c>
      <c r="L2349">
        <v>284.30090000000001</v>
      </c>
      <c r="M2349">
        <v>-0.99987409999999999</v>
      </c>
      <c r="N2349">
        <v>-8.0639919999999903E-3</v>
      </c>
      <c r="O2349">
        <v>-1.366962E-2</v>
      </c>
      <c r="P2349">
        <v>-0.98649699999999996</v>
      </c>
      <c r="Q2349">
        <v>0.15713450000000001</v>
      </c>
      <c r="R2349">
        <v>4.6180270000000002E-2</v>
      </c>
      <c r="S2349">
        <v>-3.0428769999999998</v>
      </c>
      <c r="T2349">
        <v>3.0738950000000001E-2</v>
      </c>
      <c r="U2349">
        <v>-0.14968870000000001</v>
      </c>
      <c r="V2349">
        <v>5.991813E-2</v>
      </c>
      <c r="W2349">
        <v>0.16498579999999999</v>
      </c>
      <c r="X2349">
        <v>0.98447419999999997</v>
      </c>
      <c r="Y2349">
        <v>-3.547749E-2</v>
      </c>
      <c r="Z2349">
        <v>-2.1221320000000001E-4</v>
      </c>
      <c r="AA2349">
        <v>0.99937050000000005</v>
      </c>
      <c r="AB2349">
        <v>39</v>
      </c>
      <c r="AC2349">
        <v>-150.4502</v>
      </c>
      <c r="AD2349">
        <v>1.522106</v>
      </c>
      <c r="AE2349">
        <v>-7.4095000000000297</v>
      </c>
      <c r="AF2349">
        <v>-5.3515973981745004</v>
      </c>
      <c r="AG2349">
        <v>1.522106</v>
      </c>
      <c r="AH2349">
        <v>150.52206108013399</v>
      </c>
      <c r="AI2349">
        <v>89.421000382200006</v>
      </c>
      <c r="AJ2349">
        <v>92.036212124549195</v>
      </c>
      <c r="AK2349">
        <v>150.624856093538</v>
      </c>
      <c r="AL2349">
        <v>80.503590182956998</v>
      </c>
      <c r="AM2349">
        <v>86.517098850625899</v>
      </c>
      <c r="AN2349">
        <v>0.99999997348498804</v>
      </c>
    </row>
    <row r="2350" spans="1:40" x14ac:dyDescent="0.25">
      <c r="A2350" t="str">
        <f>"20190303170304580"</f>
        <v>20190303170304580</v>
      </c>
      <c r="B2350" t="str">
        <f>"1551603784568123"</f>
        <v>1551603784568123</v>
      </c>
      <c r="C2350" t="s">
        <v>40</v>
      </c>
      <c r="D2350">
        <v>4.0205199999999897</v>
      </c>
      <c r="E2350">
        <v>0.46815760000000001</v>
      </c>
      <c r="F2350" t="s">
        <v>45</v>
      </c>
      <c r="G2350">
        <v>-455.29300000000001</v>
      </c>
      <c r="H2350">
        <v>2.6815190000000002</v>
      </c>
      <c r="I2350">
        <v>277.01490000000001</v>
      </c>
      <c r="J2350">
        <v>-305.07659999999998</v>
      </c>
      <c r="K2350">
        <v>1.1199460000000001</v>
      </c>
      <c r="L2350">
        <v>284.29840000000002</v>
      </c>
      <c r="M2350">
        <v>-0.99987839999999995</v>
      </c>
      <c r="N2350">
        <v>-8.0884500000000005E-3</v>
      </c>
      <c r="O2350">
        <v>-1.3337760000000001E-2</v>
      </c>
      <c r="P2350">
        <v>-0.98639209999999999</v>
      </c>
      <c r="Q2350">
        <v>0.1575947</v>
      </c>
      <c r="R2350">
        <v>4.6847840000000002E-2</v>
      </c>
      <c r="S2350">
        <v>-3.0429379999999999</v>
      </c>
      <c r="T2350">
        <v>3.1592490000000001E-2</v>
      </c>
      <c r="U2350">
        <v>-0.1473999</v>
      </c>
      <c r="V2350">
        <v>6.0261139999999998E-2</v>
      </c>
      <c r="W2350">
        <v>0.16546739999999999</v>
      </c>
      <c r="X2350">
        <v>0.98437240000000004</v>
      </c>
      <c r="Y2350">
        <v>-3.5058239999999997E-2</v>
      </c>
      <c r="Z2350">
        <v>-2.0619259999999999E-4</v>
      </c>
      <c r="AA2350">
        <v>0.99938519999999997</v>
      </c>
      <c r="AB2350">
        <v>39</v>
      </c>
      <c r="AC2350">
        <v>-150.21639999999999</v>
      </c>
      <c r="AD2350">
        <v>1.5615730000000001</v>
      </c>
      <c r="AE2350">
        <v>-7.2835000000000001</v>
      </c>
      <c r="AF2350">
        <v>-5.2786672693953802</v>
      </c>
      <c r="AG2350">
        <v>1.5615730000000001</v>
      </c>
      <c r="AH2350">
        <v>150.283983315569</v>
      </c>
      <c r="AI2350">
        <v>89.4050384798105</v>
      </c>
      <c r="AJ2350">
        <v>92.011665260655604</v>
      </c>
      <c r="AK2350">
        <v>150.384768110236</v>
      </c>
      <c r="AL2350">
        <v>80.475611705305298</v>
      </c>
      <c r="AM2350">
        <v>86.496848638474702</v>
      </c>
      <c r="AN2350">
        <v>0.999999943669308</v>
      </c>
    </row>
    <row r="2351" spans="1:40" x14ac:dyDescent="0.25">
      <c r="A2351" t="str">
        <f>"20190303170304592"</f>
        <v>20190303170304592</v>
      </c>
      <c r="B2351" t="str">
        <f>"1551603784587643"</f>
        <v>1551603784587643</v>
      </c>
      <c r="C2351" t="s">
        <v>40</v>
      </c>
      <c r="D2351">
        <v>4.0059589999999998</v>
      </c>
      <c r="E2351">
        <v>0.46829920000000003</v>
      </c>
      <c r="F2351" t="s">
        <v>66</v>
      </c>
      <c r="G2351">
        <v>-512.82629999999995</v>
      </c>
      <c r="H2351">
        <v>3.3485849999999999</v>
      </c>
      <c r="I2351">
        <v>274.39800000000002</v>
      </c>
      <c r="J2351">
        <v>-305.29320000000001</v>
      </c>
      <c r="K2351">
        <v>1.1199399999999999</v>
      </c>
      <c r="L2351">
        <v>284.29579999999999</v>
      </c>
      <c r="M2351">
        <v>-0.99988290000000002</v>
      </c>
      <c r="N2351">
        <v>-8.1156049999999997E-3</v>
      </c>
      <c r="O2351">
        <v>-1.297384E-2</v>
      </c>
      <c r="P2351">
        <v>-0.98630660000000003</v>
      </c>
      <c r="Q2351">
        <v>0.15802260000000001</v>
      </c>
      <c r="R2351">
        <v>4.7203290000000002E-2</v>
      </c>
      <c r="S2351">
        <v>-3.043091</v>
      </c>
      <c r="T2351">
        <v>3.2645939999999998E-2</v>
      </c>
      <c r="U2351">
        <v>-0.1450195</v>
      </c>
      <c r="V2351">
        <v>6.0260660000000001E-2</v>
      </c>
      <c r="W2351">
        <v>0.16592029999999999</v>
      </c>
      <c r="X2351">
        <v>0.98429630000000001</v>
      </c>
      <c r="Y2351">
        <v>-3.4639580000000003E-2</v>
      </c>
      <c r="Z2351">
        <v>-1.9927240000000001E-4</v>
      </c>
      <c r="AA2351">
        <v>0.99939979999999995</v>
      </c>
      <c r="AB2351">
        <v>39</v>
      </c>
      <c r="AC2351">
        <v>-207.53309999999999</v>
      </c>
      <c r="AD2351">
        <v>2.2286450000000002</v>
      </c>
      <c r="AE2351">
        <v>-9.8978000000000108</v>
      </c>
      <c r="AF2351">
        <v>-7.20354816578471</v>
      </c>
      <c r="AG2351">
        <v>2.2286450000000002</v>
      </c>
      <c r="AH2351">
        <v>207.620160223862</v>
      </c>
      <c r="AI2351">
        <v>89.385366677296005</v>
      </c>
      <c r="AJ2351">
        <v>91.987125964583697</v>
      </c>
      <c r="AK2351">
        <v>207.75704295184599</v>
      </c>
      <c r="AL2351">
        <v>80.449299748640598</v>
      </c>
      <c r="AM2351">
        <v>86.496606306395606</v>
      </c>
      <c r="AN2351">
        <v>1.0000000496446999</v>
      </c>
    </row>
    <row r="2352" spans="1:40" x14ac:dyDescent="0.25">
      <c r="A2352" t="str">
        <f>"20190303170304608"</f>
        <v>20190303170304608</v>
      </c>
      <c r="B2352" t="str">
        <f>"1551603784598378"</f>
        <v>1551603784598378</v>
      </c>
      <c r="C2352" t="s">
        <v>40</v>
      </c>
      <c r="D2352">
        <v>3.992194</v>
      </c>
      <c r="E2352">
        <v>0.46831050000000002</v>
      </c>
      <c r="F2352" t="s">
        <v>66</v>
      </c>
      <c r="G2352">
        <v>-512.82629999999995</v>
      </c>
      <c r="H2352">
        <v>3.4848319999999999</v>
      </c>
      <c r="I2352">
        <v>274.55500000000001</v>
      </c>
      <c r="J2352">
        <v>-305.55329999999998</v>
      </c>
      <c r="K2352">
        <v>1.119939</v>
      </c>
      <c r="L2352">
        <v>284.29270000000002</v>
      </c>
      <c r="M2352">
        <v>-0.9998882</v>
      </c>
      <c r="N2352">
        <v>-8.1487669999999995E-3</v>
      </c>
      <c r="O2352">
        <v>-1.253603E-2</v>
      </c>
      <c r="P2352">
        <v>-0.98624299999999998</v>
      </c>
      <c r="Q2352">
        <v>0.15826680000000001</v>
      </c>
      <c r="R2352">
        <v>4.7711120000000003E-2</v>
      </c>
      <c r="S2352">
        <v>-3.0429080000000002</v>
      </c>
      <c r="T2352">
        <v>3.4675839999999999E-2</v>
      </c>
      <c r="U2352">
        <v>-0.14282230000000001</v>
      </c>
      <c r="V2352">
        <v>6.0339990000000003E-2</v>
      </c>
      <c r="W2352">
        <v>0.16619529999999999</v>
      </c>
      <c r="X2352">
        <v>0.98424500000000004</v>
      </c>
      <c r="Y2352">
        <v>-3.4359920000000002E-2</v>
      </c>
      <c r="Z2352">
        <v>-1.8927559999999999E-4</v>
      </c>
      <c r="AA2352">
        <v>0.99940949999999995</v>
      </c>
      <c r="AB2352">
        <v>39</v>
      </c>
      <c r="AC2352">
        <v>-207.273</v>
      </c>
      <c r="AD2352">
        <v>2.3648929999999999</v>
      </c>
      <c r="AE2352">
        <v>-9.7377000000000091</v>
      </c>
      <c r="AF2352">
        <v>-7.1375408021617899</v>
      </c>
      <c r="AG2352">
        <v>2.3648929999999999</v>
      </c>
      <c r="AH2352">
        <v>207.35185454377699</v>
      </c>
      <c r="AI2352">
        <v>89.346944259412297</v>
      </c>
      <c r="AJ2352">
        <v>91.971477698273404</v>
      </c>
      <c r="AK2352">
        <v>207.48814132462499</v>
      </c>
      <c r="AL2352">
        <v>80.433321148633993</v>
      </c>
      <c r="AM2352">
        <v>86.491823397807195</v>
      </c>
      <c r="AN2352">
        <v>1.0000000060801399</v>
      </c>
    </row>
    <row r="2353" spans="1:40" x14ac:dyDescent="0.25">
      <c r="A2353" t="str">
        <f>"20190303170304623"</f>
        <v>20190303170304623</v>
      </c>
      <c r="B2353" t="str">
        <f>"1551603784617898"</f>
        <v>1551603784617898</v>
      </c>
      <c r="C2353" t="s">
        <v>40</v>
      </c>
      <c r="D2353">
        <v>3.9770340000000002</v>
      </c>
      <c r="E2353">
        <v>0.46824680000000002</v>
      </c>
      <c r="F2353" t="s">
        <v>66</v>
      </c>
      <c r="G2353">
        <v>-512.82629999999995</v>
      </c>
      <c r="H2353">
        <v>3.5256919999999998</v>
      </c>
      <c r="I2353">
        <v>274.685</v>
      </c>
      <c r="J2353">
        <v>-305.82420000000002</v>
      </c>
      <c r="K2353">
        <v>1.119937</v>
      </c>
      <c r="L2353">
        <v>284.28960000000001</v>
      </c>
      <c r="M2353">
        <v>-0.99989360000000005</v>
      </c>
      <c r="N2353">
        <v>-8.1841520000000001E-3</v>
      </c>
      <c r="O2353">
        <v>-1.2079390000000001E-2</v>
      </c>
      <c r="P2353">
        <v>-0.98625280000000004</v>
      </c>
      <c r="Q2353">
        <v>0.15816659999999999</v>
      </c>
      <c r="R2353">
        <v>4.7844379999999999E-2</v>
      </c>
      <c r="S2353">
        <v>-3.042999</v>
      </c>
      <c r="T2353">
        <v>3.5320280000000003E-2</v>
      </c>
      <c r="U2353">
        <v>-0.14105219999999999</v>
      </c>
      <c r="V2353">
        <v>6.0026839999999998E-2</v>
      </c>
      <c r="W2353">
        <v>0.16612950000000001</v>
      </c>
      <c r="X2353">
        <v>0.98427520000000002</v>
      </c>
      <c r="Y2353">
        <v>-3.4234779999999999E-2</v>
      </c>
      <c r="Z2353">
        <v>-1.80526E-4</v>
      </c>
      <c r="AA2353">
        <v>0.99941380000000002</v>
      </c>
      <c r="AB2353">
        <v>39</v>
      </c>
      <c r="AC2353">
        <v>-207.00210000000001</v>
      </c>
      <c r="AD2353">
        <v>2.4057550000000001</v>
      </c>
      <c r="AE2353">
        <v>-9.6045999999999996</v>
      </c>
      <c r="AF2353">
        <v>-7.1023992555662101</v>
      </c>
      <c r="AG2353">
        <v>2.4057550000000001</v>
      </c>
      <c r="AH2353">
        <v>207.075108827382</v>
      </c>
      <c r="AI2353">
        <v>89.334770784209795</v>
      </c>
      <c r="AJ2353">
        <v>91.964398536753293</v>
      </c>
      <c r="AK2353">
        <v>207.21084051800401</v>
      </c>
      <c r="AL2353">
        <v>80.437143826172701</v>
      </c>
      <c r="AM2353">
        <v>86.5100916880331</v>
      </c>
      <c r="AN2353">
        <v>0.99999995081283599</v>
      </c>
    </row>
    <row r="2354" spans="1:40" x14ac:dyDescent="0.25">
      <c r="A2354" t="str">
        <f>"20190303170304645"</f>
        <v>20190303170304645</v>
      </c>
      <c r="B2354" t="str">
        <f>"1551603784638395"</f>
        <v>1551603784638395</v>
      </c>
      <c r="C2354" t="s">
        <v>40</v>
      </c>
      <c r="D2354">
        <v>4.0336040000000004</v>
      </c>
      <c r="E2354">
        <v>0.46801890000000002</v>
      </c>
      <c r="F2354" t="s">
        <v>66</v>
      </c>
      <c r="G2354">
        <v>-512.82629999999995</v>
      </c>
      <c r="H2354">
        <v>3.5214919999999998</v>
      </c>
      <c r="I2354">
        <v>274.71719999999999</v>
      </c>
      <c r="J2354">
        <v>-306.2122</v>
      </c>
      <c r="K2354">
        <v>1.119926</v>
      </c>
      <c r="L2354">
        <v>284.28550000000001</v>
      </c>
      <c r="M2354">
        <v>-0.99990089999999998</v>
      </c>
      <c r="N2354">
        <v>-8.23623699999999E-3</v>
      </c>
      <c r="O2354">
        <v>-1.142227E-2</v>
      </c>
      <c r="P2354">
        <v>-0.98624029999999996</v>
      </c>
      <c r="Q2354">
        <v>0.15810689999999999</v>
      </c>
      <c r="R2354">
        <v>4.8296550000000001E-2</v>
      </c>
      <c r="S2354">
        <v>-3.0429689999999998</v>
      </c>
      <c r="T2354">
        <v>3.5304429999999998E-2</v>
      </c>
      <c r="U2354">
        <v>-0.1407166</v>
      </c>
      <c r="V2354">
        <v>5.9835840000000001E-2</v>
      </c>
      <c r="W2354">
        <v>0.16611970000000001</v>
      </c>
      <c r="X2354">
        <v>0.98428850000000001</v>
      </c>
      <c r="Y2354">
        <v>-3.4781899999999998E-2</v>
      </c>
      <c r="Z2354">
        <v>-1.681265E-4</v>
      </c>
      <c r="AA2354">
        <v>0.99939489999999997</v>
      </c>
      <c r="AB2354">
        <v>39</v>
      </c>
      <c r="AC2354">
        <v>-206.61409999999901</v>
      </c>
      <c r="AD2354">
        <v>2.4015659999999999</v>
      </c>
      <c r="AE2354">
        <v>-9.5683000000000202</v>
      </c>
      <c r="AF2354">
        <v>-7.20662224370919</v>
      </c>
      <c r="AG2354">
        <v>2.4015659999999999</v>
      </c>
      <c r="AH2354">
        <v>206.68205188951299</v>
      </c>
      <c r="AI2354">
        <v>89.334679310321306</v>
      </c>
      <c r="AJ2354">
        <v>91.996989194891299</v>
      </c>
      <c r="AK2354">
        <v>206.821598235473</v>
      </c>
      <c r="AL2354">
        <v>80.437713391768298</v>
      </c>
      <c r="AM2354">
        <v>86.521215838576694</v>
      </c>
      <c r="AN2354">
        <v>0.99999996685442205</v>
      </c>
    </row>
    <row r="2355" spans="1:40" x14ac:dyDescent="0.25">
      <c r="A2355" t="str">
        <f>"20190303170304665"</f>
        <v>20190303170304665</v>
      </c>
      <c r="B2355" t="str">
        <f>"1551603784657915"</f>
        <v>1551603784657915</v>
      </c>
      <c r="C2355" t="s">
        <v>40</v>
      </c>
      <c r="D2355">
        <v>3.9818470000000001</v>
      </c>
      <c r="E2355">
        <v>0.46799170000000001</v>
      </c>
      <c r="F2355" t="s">
        <v>66</v>
      </c>
      <c r="G2355">
        <v>-512.82629999999995</v>
      </c>
      <c r="H2355">
        <v>3.4966249999999999</v>
      </c>
      <c r="I2355">
        <v>274.71280000000002</v>
      </c>
      <c r="J2355">
        <v>-306.5813</v>
      </c>
      <c r="K2355">
        <v>1.1199170000000001</v>
      </c>
      <c r="L2355">
        <v>284.28179999999998</v>
      </c>
      <c r="M2355">
        <v>-0.99990749999999995</v>
      </c>
      <c r="N2355">
        <v>-8.2855080000000005E-3</v>
      </c>
      <c r="O2355">
        <v>-1.0791500000000001E-2</v>
      </c>
      <c r="P2355">
        <v>-0.98619860000000004</v>
      </c>
      <c r="Q2355">
        <v>0.1582442</v>
      </c>
      <c r="R2355">
        <v>4.8694960000000002E-2</v>
      </c>
      <c r="S2355">
        <v>-3.0431210000000002</v>
      </c>
      <c r="T2355">
        <v>3.50064E-2</v>
      </c>
      <c r="U2355">
        <v>-0.14099120000000001</v>
      </c>
      <c r="V2355">
        <v>5.9616950000000002E-2</v>
      </c>
      <c r="W2355">
        <v>0.16630439999999999</v>
      </c>
      <c r="X2355">
        <v>0.9842706</v>
      </c>
      <c r="Y2355">
        <v>-3.5499929999999999E-2</v>
      </c>
      <c r="Z2355">
        <v>-1.5650819999999999E-4</v>
      </c>
      <c r="AA2355">
        <v>0.99936970000000003</v>
      </c>
      <c r="AB2355">
        <v>39</v>
      </c>
      <c r="AC2355">
        <v>-206.24499999999901</v>
      </c>
      <c r="AD2355">
        <v>2.3767079999999998</v>
      </c>
      <c r="AE2355">
        <v>-9.56899999999996</v>
      </c>
      <c r="AF2355">
        <v>-7.3417007154022702</v>
      </c>
      <c r="AG2355">
        <v>2.3767079999999998</v>
      </c>
      <c r="AH2355">
        <v>206.30891880849401</v>
      </c>
      <c r="AI2355">
        <v>89.340391174612094</v>
      </c>
      <c r="AJ2355">
        <v>92.038065239576696</v>
      </c>
      <c r="AK2355">
        <v>206.45318910165</v>
      </c>
      <c r="AL2355">
        <v>80.426981651867095</v>
      </c>
      <c r="AM2355">
        <v>86.533847878412899</v>
      </c>
      <c r="AN2355">
        <v>0.999999974105511</v>
      </c>
    </row>
    <row r="2356" spans="1:40" x14ac:dyDescent="0.25">
      <c r="A2356" t="str">
        <f>"20190303170304679"</f>
        <v>20190303170304679</v>
      </c>
      <c r="B2356" t="str">
        <f>"1551603784667674"</f>
        <v>1551603784667674</v>
      </c>
      <c r="C2356" t="s">
        <v>40</v>
      </c>
      <c r="D2356">
        <v>3.978202</v>
      </c>
      <c r="E2356">
        <v>0.46793410000000002</v>
      </c>
      <c r="F2356" t="s">
        <v>66</v>
      </c>
      <c r="G2356">
        <v>-512.82629999999995</v>
      </c>
      <c r="H2356">
        <v>3.5249709999999999</v>
      </c>
      <c r="I2356">
        <v>274.75360000000001</v>
      </c>
      <c r="J2356">
        <v>-306.81110000000001</v>
      </c>
      <c r="K2356">
        <v>1.119912</v>
      </c>
      <c r="L2356">
        <v>284.27960000000002</v>
      </c>
      <c r="M2356">
        <v>-0.99991140000000001</v>
      </c>
      <c r="N2356">
        <v>-8.3159429999999993E-3</v>
      </c>
      <c r="O2356">
        <v>-1.0394810000000001E-2</v>
      </c>
      <c r="P2356">
        <v>-0.98615200000000003</v>
      </c>
      <c r="Q2356">
        <v>0.1584565</v>
      </c>
      <c r="R2356">
        <v>4.8950140000000003E-2</v>
      </c>
      <c r="S2356">
        <v>-3.0432739999999998</v>
      </c>
      <c r="T2356">
        <v>3.5489199999999999E-2</v>
      </c>
      <c r="U2356">
        <v>-0.14059449999999901</v>
      </c>
      <c r="V2356">
        <v>5.948432E-2</v>
      </c>
      <c r="W2356">
        <v>0.16654559999999999</v>
      </c>
      <c r="X2356">
        <v>0.98423780000000005</v>
      </c>
      <c r="Y2356">
        <v>-3.5763999999999997E-2</v>
      </c>
      <c r="Z2356">
        <v>-1.4791690000000001E-4</v>
      </c>
      <c r="AA2356">
        <v>0.99936029999999998</v>
      </c>
      <c r="AB2356">
        <v>39</v>
      </c>
      <c r="AC2356">
        <v>-206.01519999999999</v>
      </c>
      <c r="AD2356">
        <v>2.4050590000000001</v>
      </c>
      <c r="AE2356">
        <v>-9.5259999999999998</v>
      </c>
      <c r="AF2356">
        <v>-7.3829183565579299</v>
      </c>
      <c r="AG2356">
        <v>2.4050590000000001</v>
      </c>
      <c r="AH2356">
        <v>206.07506779203001</v>
      </c>
      <c r="AI2356">
        <v>89.331771970748093</v>
      </c>
      <c r="AJ2356">
        <v>92.051821330917605</v>
      </c>
      <c r="AK2356">
        <v>206.22130190099901</v>
      </c>
      <c r="AL2356">
        <v>80.412966067756599</v>
      </c>
      <c r="AM2356">
        <v>86.541425325020199</v>
      </c>
      <c r="AN2356">
        <v>0.99999993407702903</v>
      </c>
    </row>
    <row r="2357" spans="1:40" x14ac:dyDescent="0.25">
      <c r="A2357" t="str">
        <f>"20190303170304691"</f>
        <v>20190303170304691</v>
      </c>
      <c r="B2357" t="str">
        <f>"1551603784678411"</f>
        <v>1551603784678411</v>
      </c>
      <c r="C2357" t="s">
        <v>40</v>
      </c>
      <c r="D2357">
        <v>3.9759880000000001</v>
      </c>
      <c r="E2357">
        <v>0.46789429999999999</v>
      </c>
      <c r="F2357" t="s">
        <v>66</v>
      </c>
      <c r="G2357">
        <v>-512.82640000000004</v>
      </c>
      <c r="H2357">
        <v>3.5714229999999998</v>
      </c>
      <c r="I2357">
        <v>274.7971</v>
      </c>
      <c r="J2357">
        <v>-307.02629999999999</v>
      </c>
      <c r="K2357">
        <v>1.1199079999999999</v>
      </c>
      <c r="L2357">
        <v>284.27760000000001</v>
      </c>
      <c r="M2357">
        <v>-0.9999152</v>
      </c>
      <c r="N2357">
        <v>-8.3447769999999994E-3</v>
      </c>
      <c r="O2357">
        <v>-1.001838E-2</v>
      </c>
      <c r="P2357">
        <v>-0.9861299</v>
      </c>
      <c r="Q2357">
        <v>0.1585674</v>
      </c>
      <c r="R2357">
        <v>4.903594E-2</v>
      </c>
      <c r="S2357">
        <v>-3.0432739999999998</v>
      </c>
      <c r="T2357">
        <v>3.6215070000000002E-2</v>
      </c>
      <c r="U2357">
        <v>-0.1400757</v>
      </c>
      <c r="V2357">
        <v>5.9202440000000002E-2</v>
      </c>
      <c r="W2357">
        <v>0.1666839</v>
      </c>
      <c r="X2357">
        <v>0.98423150000000004</v>
      </c>
      <c r="Y2357">
        <v>-3.5970130000000003E-2</v>
      </c>
      <c r="Z2357">
        <v>-1.3896540000000001E-4</v>
      </c>
      <c r="AA2357">
        <v>0.99935289999999999</v>
      </c>
      <c r="AB2357">
        <v>39</v>
      </c>
      <c r="AC2357">
        <v>-205.80009999999999</v>
      </c>
      <c r="AD2357">
        <v>2.4515150000000001</v>
      </c>
      <c r="AE2357">
        <v>-9.4804999999999993</v>
      </c>
      <c r="AF2357">
        <v>-7.4171189634724204</v>
      </c>
      <c r="AG2357">
        <v>2.4515150000000001</v>
      </c>
      <c r="AH2357">
        <v>205.85560494543401</v>
      </c>
      <c r="AI2357">
        <v>89.318144625433206</v>
      </c>
      <c r="AJ2357">
        <v>92.063513674947203</v>
      </c>
      <c r="AK2357">
        <v>206.00377100180501</v>
      </c>
      <c r="AL2357">
        <v>80.404930837884194</v>
      </c>
      <c r="AM2357">
        <v>86.557753086735403</v>
      </c>
      <c r="AN2357">
        <v>1.0000000485067</v>
      </c>
    </row>
    <row r="2358" spans="1:40" x14ac:dyDescent="0.25">
      <c r="A2358" t="str">
        <f>"20190303170304702"</f>
        <v>20190303170304702</v>
      </c>
      <c r="B2358" t="str">
        <f>"1551603784697930"</f>
        <v>1551603784697930</v>
      </c>
      <c r="C2358" t="s">
        <v>40</v>
      </c>
      <c r="D2358">
        <v>3.9837899999999999</v>
      </c>
      <c r="E2358">
        <v>0.46776990000000002</v>
      </c>
      <c r="F2358" t="s">
        <v>66</v>
      </c>
      <c r="G2358">
        <v>-512.82640000000004</v>
      </c>
      <c r="H2358">
        <v>3.5875119999999998</v>
      </c>
      <c r="I2358">
        <v>274.83600000000001</v>
      </c>
      <c r="J2358">
        <v>-307.22890000000001</v>
      </c>
      <c r="K2358">
        <v>1.1199030000000001</v>
      </c>
      <c r="L2358">
        <v>284.27589999999998</v>
      </c>
      <c r="M2358">
        <v>-0.99991839999999999</v>
      </c>
      <c r="N2358">
        <v>-8.3732189999999995E-3</v>
      </c>
      <c r="O2358">
        <v>-9.6558789999999992E-3</v>
      </c>
      <c r="P2358">
        <v>-0.98610589999999998</v>
      </c>
      <c r="Q2358">
        <v>0.15877349999999901</v>
      </c>
      <c r="R2358">
        <v>4.884981E-2</v>
      </c>
      <c r="S2358">
        <v>-3.0432739999999998</v>
      </c>
      <c r="T2358">
        <v>3.6490920000000003E-2</v>
      </c>
      <c r="U2358">
        <v>-0.13961789999999999</v>
      </c>
      <c r="V2358">
        <v>5.8663350000000003E-2</v>
      </c>
      <c r="W2358">
        <v>0.1669175</v>
      </c>
      <c r="X2358">
        <v>0.98422410000000005</v>
      </c>
      <c r="Y2358">
        <v>-3.6182350000000002E-2</v>
      </c>
      <c r="Z2358">
        <v>-1.312796E-4</v>
      </c>
      <c r="AA2358">
        <v>0.99934520000000004</v>
      </c>
      <c r="AB2358">
        <v>39</v>
      </c>
      <c r="AC2358">
        <v>-205.5975</v>
      </c>
      <c r="AD2358">
        <v>2.4676089999999999</v>
      </c>
      <c r="AE2358">
        <v>-9.4398999999999607</v>
      </c>
      <c r="AF2358">
        <v>-7.4530944938472601</v>
      </c>
      <c r="AG2358">
        <v>2.4676089999999999</v>
      </c>
      <c r="AH2358">
        <v>205.64950653419501</v>
      </c>
      <c r="AI2358">
        <v>89.312986194774794</v>
      </c>
      <c r="AJ2358">
        <v>92.075589920441104</v>
      </c>
      <c r="AK2358">
        <v>205.79931304421001</v>
      </c>
      <c r="AL2358">
        <v>80.391355513665005</v>
      </c>
      <c r="AM2358">
        <v>86.588997824086704</v>
      </c>
      <c r="AN2358">
        <v>0.99999995973014</v>
      </c>
    </row>
    <row r="2359" spans="1:40" x14ac:dyDescent="0.25">
      <c r="A2359" t="str">
        <f>"20190303170304715"</f>
        <v>20190303170304715</v>
      </c>
      <c r="B2359" t="str">
        <f>"1551603784707691"</f>
        <v>1551603784707691</v>
      </c>
      <c r="C2359" t="s">
        <v>40</v>
      </c>
      <c r="D2359">
        <v>3.9332280000000002</v>
      </c>
      <c r="E2359">
        <v>0.46773940000000003</v>
      </c>
      <c r="F2359" t="s">
        <v>66</v>
      </c>
      <c r="G2359">
        <v>-512.82640000000004</v>
      </c>
      <c r="H2359">
        <v>3.6741640000000002</v>
      </c>
      <c r="I2359">
        <v>274.75659999999999</v>
      </c>
      <c r="J2359">
        <v>-307.44639999999998</v>
      </c>
      <c r="K2359">
        <v>1.1198939999999999</v>
      </c>
      <c r="L2359">
        <v>284.274</v>
      </c>
      <c r="M2359">
        <v>-0.99992190000000003</v>
      </c>
      <c r="N2359">
        <v>-8.4044369999999903E-3</v>
      </c>
      <c r="O2359">
        <v>-9.2622610000000008E-3</v>
      </c>
      <c r="P2359">
        <v>-0.98605589999999999</v>
      </c>
      <c r="Q2359">
        <v>0.15914679999999901</v>
      </c>
      <c r="R2359">
        <v>4.8642110000000002E-2</v>
      </c>
      <c r="S2359">
        <v>-3.0431520000000001</v>
      </c>
      <c r="T2359">
        <v>3.7808059999999998E-2</v>
      </c>
      <c r="U2359">
        <v>-0.14089969999999999</v>
      </c>
      <c r="V2359">
        <v>5.8072690000000003E-2</v>
      </c>
      <c r="W2359">
        <v>0.16732089999999999</v>
      </c>
      <c r="X2359">
        <v>0.98419060000000003</v>
      </c>
      <c r="Y2359">
        <v>-3.6997450000000001E-2</v>
      </c>
      <c r="Z2359">
        <v>-1.186679E-4</v>
      </c>
      <c r="AA2359">
        <v>0.99931539999999996</v>
      </c>
      <c r="AB2359">
        <v>39</v>
      </c>
      <c r="AC2359">
        <v>-205.38</v>
      </c>
      <c r="AD2359">
        <v>2.5542699999999998</v>
      </c>
      <c r="AE2359">
        <v>-9.5174000000000092</v>
      </c>
      <c r="AF2359">
        <v>-7.6134665019414003</v>
      </c>
      <c r="AG2359">
        <v>2.5542699999999998</v>
      </c>
      <c r="AH2359">
        <v>205.427638988588</v>
      </c>
      <c r="AI2359">
        <v>89.288114492490294</v>
      </c>
      <c r="AJ2359">
        <v>92.122498901756103</v>
      </c>
      <c r="AK2359">
        <v>205.58454228816601</v>
      </c>
      <c r="AL2359">
        <v>80.367912413207193</v>
      </c>
      <c r="AM2359">
        <v>86.623147422600894</v>
      </c>
      <c r="AN2359">
        <v>0.99999992901449997</v>
      </c>
    </row>
    <row r="2360" spans="1:40" x14ac:dyDescent="0.25">
      <c r="A2360" t="str">
        <f>"20190303170304726"</f>
        <v>20190303170304726</v>
      </c>
      <c r="B2360" t="str">
        <f>"1551603784718427"</f>
        <v>1551603784718427</v>
      </c>
      <c r="C2360" t="s">
        <v>40</v>
      </c>
      <c r="D2360">
        <v>3.9844919999999999</v>
      </c>
      <c r="E2360">
        <v>0.46759810000000002</v>
      </c>
      <c r="F2360" t="s">
        <v>66</v>
      </c>
      <c r="G2360">
        <v>-512.82640000000004</v>
      </c>
      <c r="H2360">
        <v>3.7955640000000002</v>
      </c>
      <c r="I2360">
        <v>274.72739999999999</v>
      </c>
      <c r="J2360">
        <v>-307.65589999999997</v>
      </c>
      <c r="K2360">
        <v>1.11988</v>
      </c>
      <c r="L2360">
        <v>284.2724</v>
      </c>
      <c r="M2360">
        <v>-0.99992510000000001</v>
      </c>
      <c r="N2360">
        <v>-8.4356859999999995E-3</v>
      </c>
      <c r="O2360">
        <v>-8.8653929999999992E-3</v>
      </c>
      <c r="P2360">
        <v>-0.98607959999999995</v>
      </c>
      <c r="Q2360">
        <v>0.15904689999999999</v>
      </c>
      <c r="R2360">
        <v>4.848918E-2</v>
      </c>
      <c r="S2360">
        <v>-3.0430299999999999</v>
      </c>
      <c r="T2360">
        <v>3.9645430000000002E-2</v>
      </c>
      <c r="U2360">
        <v>-0.14144899999999999</v>
      </c>
      <c r="V2360">
        <v>5.7535540000000003E-2</v>
      </c>
      <c r="W2360">
        <v>0.16725039999999999</v>
      </c>
      <c r="X2360">
        <v>0.98423419999999895</v>
      </c>
      <c r="Y2360">
        <v>-3.7575749999999998E-2</v>
      </c>
      <c r="Z2360">
        <v>-1.041206E-4</v>
      </c>
      <c r="AA2360">
        <v>0.99929380000000001</v>
      </c>
      <c r="AB2360">
        <v>39</v>
      </c>
      <c r="AC2360">
        <v>-205.1705</v>
      </c>
      <c r="AD2360">
        <v>2.675684</v>
      </c>
      <c r="AE2360">
        <v>-9.5450000000000106</v>
      </c>
      <c r="AF2360">
        <v>-7.7243321230787299</v>
      </c>
      <c r="AG2360">
        <v>2.675684</v>
      </c>
      <c r="AH2360">
        <v>205.212233706701</v>
      </c>
      <c r="AI2360">
        <v>89.253513099685605</v>
      </c>
      <c r="AJ2360">
        <v>92.155635580805694</v>
      </c>
      <c r="AK2360">
        <v>205.37498741207301</v>
      </c>
      <c r="AL2360">
        <v>80.372010166386303</v>
      </c>
      <c r="AM2360">
        <v>86.654458595890105</v>
      </c>
      <c r="AN2360">
        <v>0.99999999755644498</v>
      </c>
    </row>
    <row r="2361" spans="1:40" x14ac:dyDescent="0.25">
      <c r="A2361" t="str">
        <f>"20190303170304738"</f>
        <v>20190303170304738</v>
      </c>
      <c r="B2361" t="str">
        <f>"1551603784728187"</f>
        <v>1551603784728187</v>
      </c>
      <c r="C2361" t="s">
        <v>40</v>
      </c>
      <c r="D2361">
        <v>3.986046</v>
      </c>
      <c r="E2361">
        <v>0.46758149999999998</v>
      </c>
      <c r="F2361" t="s">
        <v>66</v>
      </c>
      <c r="G2361">
        <v>-512.82640000000004</v>
      </c>
      <c r="H2361">
        <v>3.8395160000000002</v>
      </c>
      <c r="I2361">
        <v>274.62599999999998</v>
      </c>
      <c r="J2361">
        <v>-307.86309999999997</v>
      </c>
      <c r="K2361">
        <v>1.119864</v>
      </c>
      <c r="L2361">
        <v>284.27089999999998</v>
      </c>
      <c r="M2361">
        <v>-0.99992840000000005</v>
      </c>
      <c r="N2361">
        <v>-8.4669059999999997E-3</v>
      </c>
      <c r="O2361">
        <v>-8.4676839999999996E-3</v>
      </c>
      <c r="P2361">
        <v>-0.98610869999999995</v>
      </c>
      <c r="Q2361">
        <v>0.1588388</v>
      </c>
      <c r="R2361">
        <v>4.8579120000000003E-2</v>
      </c>
      <c r="S2361">
        <v>-3.0429080000000002</v>
      </c>
      <c r="T2361">
        <v>4.0336370000000003E-2</v>
      </c>
      <c r="U2361">
        <v>-0.14306640000000001</v>
      </c>
      <c r="V2361">
        <v>5.724009E-2</v>
      </c>
      <c r="W2361">
        <v>0.16707169999999999</v>
      </c>
      <c r="X2361">
        <v>0.98428179999999998</v>
      </c>
      <c r="Y2361">
        <v>-3.8504919999999998E-2</v>
      </c>
      <c r="Z2361" s="1">
        <v>-9.187718E-5</v>
      </c>
      <c r="AA2361">
        <v>0.99925839999999999</v>
      </c>
      <c r="AB2361">
        <v>39</v>
      </c>
      <c r="AC2361">
        <v>-204.9633</v>
      </c>
      <c r="AD2361">
        <v>2.719652</v>
      </c>
      <c r="AE2361">
        <v>-9.6448999999999998</v>
      </c>
      <c r="AF2361">
        <v>-7.90753852222005</v>
      </c>
      <c r="AG2361">
        <v>2.719652</v>
      </c>
      <c r="AH2361">
        <v>205.00161014168501</v>
      </c>
      <c r="AI2361">
        <v>89.240495399627207</v>
      </c>
      <c r="AJ2361">
        <v>92.208978162390906</v>
      </c>
      <c r="AK2361">
        <v>205.17208833845999</v>
      </c>
      <c r="AL2361">
        <v>80.382395272329603</v>
      </c>
      <c r="AM2361">
        <v>86.671760118715696</v>
      </c>
      <c r="AN2361">
        <v>1.0000000213276601</v>
      </c>
    </row>
    <row r="2362" spans="1:40" x14ac:dyDescent="0.25">
      <c r="A2362" t="str">
        <f>"20190303170304757"</f>
        <v>20190303170304757</v>
      </c>
      <c r="B2362" t="str">
        <f>"1551603784747707"</f>
        <v>1551603784747707</v>
      </c>
      <c r="C2362" t="s">
        <v>40</v>
      </c>
      <c r="D2362">
        <v>3.9708969999999999</v>
      </c>
      <c r="E2362">
        <v>0.46754469999999998</v>
      </c>
      <c r="F2362" t="s">
        <v>66</v>
      </c>
      <c r="G2362">
        <v>-512.82640000000004</v>
      </c>
      <c r="H2362">
        <v>3.7725960000000001</v>
      </c>
      <c r="I2362">
        <v>274.65269999999998</v>
      </c>
      <c r="J2362">
        <v>-308.18239999999997</v>
      </c>
      <c r="K2362">
        <v>1.1198380000000001</v>
      </c>
      <c r="L2362">
        <v>284.26859999999999</v>
      </c>
      <c r="M2362">
        <v>-0.99993310000000002</v>
      </c>
      <c r="N2362">
        <v>-8.5161619999999903E-3</v>
      </c>
      <c r="O2362">
        <v>-7.8333120000000003E-3</v>
      </c>
      <c r="P2362">
        <v>-0.98618189999999994</v>
      </c>
      <c r="Q2362">
        <v>0.15824059999999901</v>
      </c>
      <c r="R2362">
        <v>4.9043530000000002E-2</v>
      </c>
      <c r="S2362">
        <v>-3.0429080000000002</v>
      </c>
      <c r="T2362">
        <v>3.9383889999999998E-2</v>
      </c>
      <c r="U2362">
        <v>-0.14279169999999999</v>
      </c>
      <c r="V2362">
        <v>5.7090509999999997E-2</v>
      </c>
      <c r="W2362">
        <v>0.16651930000000001</v>
      </c>
      <c r="X2362">
        <v>0.98438409999999998</v>
      </c>
      <c r="Y2362">
        <v>-3.9048769999999997E-2</v>
      </c>
      <c r="Z2362" s="1">
        <v>-8.1811160000000004E-5</v>
      </c>
      <c r="AA2362">
        <v>0.99923729999999999</v>
      </c>
      <c r="AB2362">
        <v>40</v>
      </c>
      <c r="AC2362">
        <v>-204.64400000000001</v>
      </c>
      <c r="AD2362">
        <v>2.6527579999999999</v>
      </c>
      <c r="AE2362">
        <v>-9.6158999999999999</v>
      </c>
      <c r="AF2362">
        <v>-8.0111634101487699</v>
      </c>
      <c r="AG2362">
        <v>2.6527579999999999</v>
      </c>
      <c r="AH2362">
        <v>204.678730742683</v>
      </c>
      <c r="AI2362">
        <v>89.258022275935204</v>
      </c>
      <c r="AJ2362">
        <v>92.241423297737001</v>
      </c>
      <c r="AK2362">
        <v>204.85262674085101</v>
      </c>
      <c r="AL2362">
        <v>80.4144952147943</v>
      </c>
      <c r="AM2362">
        <v>86.680782218129295</v>
      </c>
      <c r="AN2362">
        <v>1.00000002996867</v>
      </c>
    </row>
    <row r="2363" spans="1:40" x14ac:dyDescent="0.25">
      <c r="A2363" t="str">
        <f>"20190303170304769"</f>
        <v>20190303170304769</v>
      </c>
      <c r="B2363" t="str">
        <f>"1551603784757467"</f>
        <v>1551603784757467</v>
      </c>
      <c r="C2363" t="s">
        <v>40</v>
      </c>
      <c r="D2363">
        <v>3.9832640000000001</v>
      </c>
      <c r="E2363">
        <v>0.4675318</v>
      </c>
      <c r="F2363" t="s">
        <v>66</v>
      </c>
      <c r="G2363">
        <v>-512.82640000000004</v>
      </c>
      <c r="H2363">
        <v>3.624047</v>
      </c>
      <c r="I2363">
        <v>274.74009999999998</v>
      </c>
      <c r="J2363">
        <v>-308.40199999999999</v>
      </c>
      <c r="K2363">
        <v>1.11982</v>
      </c>
      <c r="L2363">
        <v>284.26729999999998</v>
      </c>
      <c r="M2363">
        <v>-0.99993620000000005</v>
      </c>
      <c r="N2363">
        <v>-8.5500590000000005E-3</v>
      </c>
      <c r="O2363">
        <v>-7.3791919999999997E-3</v>
      </c>
      <c r="P2363">
        <v>-0.98614889999999999</v>
      </c>
      <c r="Q2363">
        <v>0.1582896</v>
      </c>
      <c r="R2363">
        <v>4.9544079999999997E-2</v>
      </c>
      <c r="S2363">
        <v>-3.0431520000000001</v>
      </c>
      <c r="T2363">
        <v>3.7239910000000001E-2</v>
      </c>
      <c r="U2363">
        <v>-0.14169309999999999</v>
      </c>
      <c r="V2363">
        <v>5.7151689999999998E-2</v>
      </c>
      <c r="W2363">
        <v>0.16659879999999999</v>
      </c>
      <c r="X2363">
        <v>0.98436710000000005</v>
      </c>
      <c r="Y2363">
        <v>-3.9138880000000001E-2</v>
      </c>
      <c r="Z2363" s="1">
        <v>-8.1380330000000006E-5</v>
      </c>
      <c r="AA2363">
        <v>0.99923379999999995</v>
      </c>
      <c r="AB2363">
        <v>40</v>
      </c>
      <c r="AC2363">
        <v>-204.42439999999999</v>
      </c>
      <c r="AD2363">
        <v>2.5042270000000002</v>
      </c>
      <c r="AE2363">
        <v>-9.5271999999999899</v>
      </c>
      <c r="AF2363">
        <v>-8.0171980193436703</v>
      </c>
      <c r="AG2363">
        <v>2.5042270000000002</v>
      </c>
      <c r="AH2363">
        <v>204.45852367157499</v>
      </c>
      <c r="AI2363">
        <v>89.298809859674293</v>
      </c>
      <c r="AJ2363">
        <v>92.245523397037601</v>
      </c>
      <c r="AK2363">
        <v>204.63097155345</v>
      </c>
      <c r="AL2363">
        <v>80.409875689027999</v>
      </c>
      <c r="AM2363">
        <v>86.677175949256295</v>
      </c>
      <c r="AN2363">
        <v>1.00000003169685</v>
      </c>
    </row>
    <row r="2364" spans="1:40" x14ac:dyDescent="0.25">
      <c r="A2364" t="str">
        <f>"20190303170304780"</f>
        <v>20190303170304780</v>
      </c>
      <c r="B2364" t="str">
        <f>"1551603784768202"</f>
        <v>1551603784768202</v>
      </c>
      <c r="C2364" t="s">
        <v>40</v>
      </c>
      <c r="D2364">
        <v>3.8785539999999998</v>
      </c>
      <c r="E2364">
        <v>0.46758810000000001</v>
      </c>
      <c r="F2364" t="s">
        <v>66</v>
      </c>
      <c r="G2364">
        <v>-512.82640000000004</v>
      </c>
      <c r="H2364">
        <v>3.6210270000000002</v>
      </c>
      <c r="I2364">
        <v>274.84550000000002</v>
      </c>
      <c r="J2364">
        <v>-308.59820000000002</v>
      </c>
      <c r="K2364">
        <v>1.119804</v>
      </c>
      <c r="L2364">
        <v>284.26609999999999</v>
      </c>
      <c r="M2364">
        <v>-0.99993900000000002</v>
      </c>
      <c r="N2364">
        <v>-8.5807069999999999E-3</v>
      </c>
      <c r="O2364">
        <v>-6.9654919999999898E-3</v>
      </c>
      <c r="P2364">
        <v>-0.98610560000000003</v>
      </c>
      <c r="Q2364">
        <v>0.158417899999999</v>
      </c>
      <c r="R2364">
        <v>4.9997519999999997E-2</v>
      </c>
      <c r="S2364">
        <v>-3.0432130000000002</v>
      </c>
      <c r="T2364">
        <v>3.7235980000000002E-2</v>
      </c>
      <c r="U2364">
        <v>-0.14025879999999999</v>
      </c>
      <c r="V2364">
        <v>5.7205249999999999E-2</v>
      </c>
      <c r="W2364">
        <v>0.1667544</v>
      </c>
      <c r="X2364">
        <v>0.98433760000000003</v>
      </c>
      <c r="Y2364">
        <v>-3.9081339999999999E-2</v>
      </c>
      <c r="Z2364" s="1">
        <v>-7.3720609999999994E-5</v>
      </c>
      <c r="AA2364">
        <v>0.99923600000000001</v>
      </c>
      <c r="AB2364">
        <v>40</v>
      </c>
      <c r="AC2364">
        <v>-204.22819999999999</v>
      </c>
      <c r="AD2364">
        <v>2.5012229999999902</v>
      </c>
      <c r="AE2364">
        <v>-9.4205999999999808</v>
      </c>
      <c r="AF2364">
        <v>-7.9965723965249804</v>
      </c>
      <c r="AG2364">
        <v>2.5012229999999902</v>
      </c>
      <c r="AH2364">
        <v>204.25829428719501</v>
      </c>
      <c r="AI2364">
        <v>89.298962722242806</v>
      </c>
      <c r="AJ2364">
        <v>92.241945627144304</v>
      </c>
      <c r="AK2364">
        <v>204.430066457219</v>
      </c>
      <c r="AL2364">
        <v>80.400833589594896</v>
      </c>
      <c r="AM2364">
        <v>86.673969482625495</v>
      </c>
      <c r="AN2364">
        <v>0.99999999066034095</v>
      </c>
    </row>
    <row r="2365" spans="1:40" x14ac:dyDescent="0.25">
      <c r="A2365" t="str">
        <f>"20190303170304800"</f>
        <v>20190303170304800</v>
      </c>
      <c r="B2365" t="str">
        <f>"1551603784787723"</f>
        <v>1551603784787723</v>
      </c>
      <c r="C2365" t="s">
        <v>40</v>
      </c>
      <c r="D2365">
        <v>3.9341599999999999</v>
      </c>
      <c r="E2365">
        <v>0.46766279999999999</v>
      </c>
      <c r="F2365" t="s">
        <v>66</v>
      </c>
      <c r="G2365">
        <v>-512.82640000000004</v>
      </c>
      <c r="H2365">
        <v>3.6125850000000002</v>
      </c>
      <c r="I2365">
        <v>274.99079999999998</v>
      </c>
      <c r="J2365">
        <v>-308.95650000000001</v>
      </c>
      <c r="K2365">
        <v>1.119777</v>
      </c>
      <c r="L2365">
        <v>284.26429999999999</v>
      </c>
      <c r="M2365">
        <v>-0.99994369999999999</v>
      </c>
      <c r="N2365">
        <v>-8.6374639999999992E-3</v>
      </c>
      <c r="O2365">
        <v>-6.1856740000000004E-3</v>
      </c>
      <c r="P2365">
        <v>-0.98596629999999996</v>
      </c>
      <c r="Q2365">
        <v>0.15890190000000001</v>
      </c>
      <c r="R2365">
        <v>5.1195570000000003E-2</v>
      </c>
      <c r="S2365">
        <v>-3.0432429999999999</v>
      </c>
      <c r="T2365">
        <v>3.7146569999999997E-2</v>
      </c>
      <c r="U2365">
        <v>-0.13821410000000001</v>
      </c>
      <c r="V2365">
        <v>5.7648440000000002E-2</v>
      </c>
      <c r="W2365">
        <v>0.16728750000000001</v>
      </c>
      <c r="X2365">
        <v>0.98422129999999997</v>
      </c>
      <c r="Y2365">
        <v>-3.9190040000000002E-2</v>
      </c>
      <c r="Z2365" s="1">
        <v>-5.9153800000000003E-5</v>
      </c>
      <c r="AA2365">
        <v>0.9992318</v>
      </c>
      <c r="AB2365">
        <v>40</v>
      </c>
      <c r="AC2365">
        <v>-203.8699</v>
      </c>
      <c r="AD2365">
        <v>2.4928080000000001</v>
      </c>
      <c r="AE2365">
        <v>-9.2735000000000092</v>
      </c>
      <c r="AF2365">
        <v>-8.0110077023265394</v>
      </c>
      <c r="AG2365">
        <v>2.4928080000000001</v>
      </c>
      <c r="AH2365">
        <v>203.89294318663701</v>
      </c>
      <c r="AI2365">
        <v>89.300073066174207</v>
      </c>
      <c r="AJ2365">
        <v>92.250009019512603</v>
      </c>
      <c r="AK2365">
        <v>204.065486100518</v>
      </c>
      <c r="AL2365">
        <v>80.369854226657196</v>
      </c>
      <c r="AM2365">
        <v>86.647864876086302</v>
      </c>
      <c r="AN2365">
        <v>1.0000000088321801</v>
      </c>
    </row>
    <row r="2366" spans="1:40" x14ac:dyDescent="0.25">
      <c r="A2366" t="str">
        <f>"20190303170304814"</f>
        <v>20190303170304814</v>
      </c>
      <c r="B2366" t="str">
        <f>"1551603784808218"</f>
        <v>1551603784808218</v>
      </c>
      <c r="C2366" t="s">
        <v>40</v>
      </c>
      <c r="D2366">
        <v>4.1068850000000001</v>
      </c>
      <c r="E2366">
        <v>0.46779419999999999</v>
      </c>
      <c r="F2366" t="s">
        <v>66</v>
      </c>
      <c r="G2366">
        <v>-512.82640000000004</v>
      </c>
      <c r="H2366">
        <v>3.6739419999999998</v>
      </c>
      <c r="I2366">
        <v>275.2799</v>
      </c>
      <c r="J2366">
        <v>-309.19760000000002</v>
      </c>
      <c r="K2366">
        <v>1.119761</v>
      </c>
      <c r="L2366">
        <v>284.26319999999998</v>
      </c>
      <c r="M2366">
        <v>-0.99994640000000001</v>
      </c>
      <c r="N2366">
        <v>-8.6756400000000001E-3</v>
      </c>
      <c r="O2366">
        <v>-5.6472850000000002E-3</v>
      </c>
      <c r="P2366">
        <v>-0.9858403</v>
      </c>
      <c r="Q2366">
        <v>0.1593242</v>
      </c>
      <c r="R2366">
        <v>5.2293890000000003E-2</v>
      </c>
      <c r="S2366">
        <v>-3.0435180000000002</v>
      </c>
      <c r="T2366">
        <v>3.813159E-2</v>
      </c>
      <c r="U2366">
        <v>-0.13412479999999999</v>
      </c>
      <c r="V2366">
        <v>5.8225230000000003E-2</v>
      </c>
      <c r="W2366">
        <v>0.16774259999999999</v>
      </c>
      <c r="X2366">
        <v>0.98410989999999998</v>
      </c>
      <c r="Y2366">
        <v>-3.8383880000000002E-2</v>
      </c>
      <c r="Z2366" s="1">
        <v>-4.5946070000000002E-5</v>
      </c>
      <c r="AA2366">
        <v>0.99926300000000001</v>
      </c>
      <c r="AB2366">
        <v>40</v>
      </c>
      <c r="AC2366">
        <v>-203.62880000000001</v>
      </c>
      <c r="AD2366">
        <v>2.5541809999999998</v>
      </c>
      <c r="AE2366">
        <v>-8.9832999999999803</v>
      </c>
      <c r="AF2366">
        <v>-7.8319337296458196</v>
      </c>
      <c r="AG2366">
        <v>2.5541809999999998</v>
      </c>
      <c r="AH2366">
        <v>203.64430773748799</v>
      </c>
      <c r="AI2366">
        <v>89.281943947734902</v>
      </c>
      <c r="AJ2366">
        <v>92.202446555732806</v>
      </c>
      <c r="AK2366">
        <v>203.81086109529801</v>
      </c>
      <c r="AL2366">
        <v>80.343405349632306</v>
      </c>
      <c r="AM2366">
        <v>86.614021031961499</v>
      </c>
      <c r="AN2366">
        <v>1.0000000262706601</v>
      </c>
    </row>
    <row r="2367" spans="1:40" x14ac:dyDescent="0.25">
      <c r="A2367" t="str">
        <f>"20190303170304828"</f>
        <v>20190303170304828</v>
      </c>
      <c r="B2367" t="str">
        <f>"1551603784817980"</f>
        <v>1551603784817980</v>
      </c>
      <c r="C2367" t="s">
        <v>40</v>
      </c>
      <c r="D2367">
        <v>4.0122179999999998</v>
      </c>
      <c r="E2367">
        <v>0.49789309999999998</v>
      </c>
      <c r="F2367" t="s">
        <v>66</v>
      </c>
      <c r="G2367">
        <v>-511.9599</v>
      </c>
      <c r="H2367">
        <v>3.735878</v>
      </c>
      <c r="I2367">
        <v>275.61669999999998</v>
      </c>
      <c r="J2367">
        <v>-309.44720000000001</v>
      </c>
      <c r="K2367">
        <v>1.119748</v>
      </c>
      <c r="L2367">
        <v>284.26229999999998</v>
      </c>
      <c r="M2367">
        <v>-0.99994930000000004</v>
      </c>
      <c r="N2367">
        <v>-8.7135500000000005E-3</v>
      </c>
      <c r="O2367">
        <v>-5.0745809999999999E-3</v>
      </c>
      <c r="P2367">
        <v>-0.98573480000000002</v>
      </c>
      <c r="Q2367">
        <v>0.15967049999999999</v>
      </c>
      <c r="R2367">
        <v>5.3222930000000002E-2</v>
      </c>
      <c r="S2367">
        <v>-3.0436399999999999</v>
      </c>
      <c r="T2367">
        <v>3.9271349999999997E-2</v>
      </c>
      <c r="U2367">
        <v>-0.1297913</v>
      </c>
      <c r="V2367">
        <v>5.859818E-2</v>
      </c>
      <c r="W2367">
        <v>0.16812149999999901</v>
      </c>
      <c r="X2367">
        <v>0.98402310000000004</v>
      </c>
      <c r="Y2367">
        <v>-3.7534169999999999E-2</v>
      </c>
      <c r="Z2367" s="1">
        <v>-3.12186E-5</v>
      </c>
      <c r="AA2367">
        <v>0.99929539999999994</v>
      </c>
      <c r="AB2367">
        <v>40</v>
      </c>
      <c r="AC2367">
        <v>-202.5127</v>
      </c>
      <c r="AD2367">
        <v>2.6161300000000001</v>
      </c>
      <c r="AE2367">
        <v>-8.6456</v>
      </c>
      <c r="AF2367">
        <v>-7.6165139412797398</v>
      </c>
      <c r="AG2367">
        <v>2.6161300000000001</v>
      </c>
      <c r="AH2367">
        <v>202.52023089857201</v>
      </c>
      <c r="AI2367">
        <v>89.260424527141794</v>
      </c>
      <c r="AJ2367">
        <v>92.153802259879001</v>
      </c>
      <c r="AK2367">
        <v>202.68028849398601</v>
      </c>
      <c r="AL2367">
        <v>80.321383205670898</v>
      </c>
      <c r="AM2367">
        <v>86.592083894694198</v>
      </c>
      <c r="AN2367">
        <v>1.0000000233975801</v>
      </c>
    </row>
    <row r="2368" spans="1:40" x14ac:dyDescent="0.25">
      <c r="A2368" t="str">
        <f>"20190303170304846"</f>
        <v>20190303170304846</v>
      </c>
      <c r="B2368" t="str">
        <f>"1551603784837498"</f>
        <v>1551603784837498</v>
      </c>
      <c r="C2368" t="s">
        <v>40</v>
      </c>
      <c r="D2368">
        <v>3.9752420000000002</v>
      </c>
      <c r="E2368">
        <v>0.50777659999999902</v>
      </c>
      <c r="F2368" t="s">
        <v>48</v>
      </c>
      <c r="G2368">
        <v>0</v>
      </c>
      <c r="H2368">
        <v>0</v>
      </c>
      <c r="I2368">
        <v>0</v>
      </c>
      <c r="J2368">
        <v>-309.77449999999999</v>
      </c>
      <c r="K2368">
        <v>1.119737</v>
      </c>
      <c r="L2368">
        <v>284.26119999999997</v>
      </c>
      <c r="M2368">
        <v>-0.99995239999999996</v>
      </c>
      <c r="N2368">
        <v>-8.7611919999999992E-3</v>
      </c>
      <c r="O2368">
        <v>-4.3117479999999998E-3</v>
      </c>
      <c r="P2368">
        <v>-0.98548539999999996</v>
      </c>
      <c r="Q2368">
        <v>0.16063529999999901</v>
      </c>
      <c r="R2368">
        <v>5.4909920000000001E-2</v>
      </c>
      <c r="S2368">
        <v>-3.0354610000000002</v>
      </c>
      <c r="T2368">
        <v>1.214719E-2</v>
      </c>
      <c r="U2368">
        <v>0.1114807</v>
      </c>
      <c r="V2368">
        <v>5.954392E-2</v>
      </c>
      <c r="W2368">
        <v>0.1691259</v>
      </c>
      <c r="X2368">
        <v>0.98379419999999995</v>
      </c>
      <c r="Y2368">
        <v>4.1010079999999997E-2</v>
      </c>
      <c r="Z2368" s="1">
        <v>4.2671569999999998E-5</v>
      </c>
      <c r="AA2368">
        <v>0.99915869999999996</v>
      </c>
      <c r="AB2368">
        <v>40</v>
      </c>
      <c r="AC2368">
        <v>-3.0354610000000002</v>
      </c>
      <c r="AD2368">
        <v>1.214719E-2</v>
      </c>
      <c r="AE2368">
        <v>0.1114807</v>
      </c>
      <c r="AF2368">
        <v>0.12456631575136901</v>
      </c>
      <c r="AG2368">
        <v>1.214719E-2</v>
      </c>
      <c r="AH2368">
        <v>3.03490355046136</v>
      </c>
      <c r="AI2368">
        <v>89.7708680045682</v>
      </c>
      <c r="AJ2368">
        <v>87.649638539960506</v>
      </c>
      <c r="AK2368">
        <v>3.0374831492286001</v>
      </c>
      <c r="AL2368">
        <v>80.262999440588999</v>
      </c>
      <c r="AM2368">
        <v>86.536411192777507</v>
      </c>
      <c r="AN2368">
        <v>1.0000000382067</v>
      </c>
    </row>
    <row r="2369" spans="1:40" x14ac:dyDescent="0.25">
      <c r="A2369" t="str">
        <f>"20190303170304867"</f>
        <v>20190303170304867</v>
      </c>
      <c r="B2369" t="str">
        <f>"1551603784857995"</f>
        <v>1551603784857995</v>
      </c>
      <c r="C2369" t="s">
        <v>40</v>
      </c>
      <c r="D2369">
        <v>3.9676070000000001</v>
      </c>
      <c r="E2369">
        <v>0.51179180000000002</v>
      </c>
      <c r="F2369" t="s">
        <v>67</v>
      </c>
      <c r="G2369">
        <v>-510.95440000000002</v>
      </c>
      <c r="H2369">
        <v>2.5064139999999999</v>
      </c>
      <c r="I2369">
        <v>297.27010000000001</v>
      </c>
      <c r="J2369">
        <v>-310.15230000000003</v>
      </c>
      <c r="K2369">
        <v>1.119723</v>
      </c>
      <c r="L2369">
        <v>284.26029999999997</v>
      </c>
      <c r="M2369">
        <v>-0.99995540000000005</v>
      </c>
      <c r="N2369">
        <v>-8.8125500000000006E-3</v>
      </c>
      <c r="O2369">
        <v>-3.4192430000000002E-3</v>
      </c>
      <c r="P2369">
        <v>-0.9853423</v>
      </c>
      <c r="Q2369">
        <v>0.16108889999999901</v>
      </c>
      <c r="R2369">
        <v>5.6135570000000003E-2</v>
      </c>
      <c r="S2369">
        <v>-3.0299070000000001</v>
      </c>
      <c r="T2369">
        <v>2.0885589999999999E-2</v>
      </c>
      <c r="U2369">
        <v>0.19592290000000001</v>
      </c>
      <c r="V2369">
        <v>5.9899540000000001E-2</v>
      </c>
      <c r="W2369">
        <v>0.1696249</v>
      </c>
      <c r="X2369">
        <v>0.98368659999999997</v>
      </c>
      <c r="Y2369">
        <v>6.7940130000000001E-2</v>
      </c>
      <c r="Z2369" s="1">
        <v>1.212163E-5</v>
      </c>
      <c r="AA2369">
        <v>0.99768939999999995</v>
      </c>
      <c r="AB2369">
        <v>40</v>
      </c>
      <c r="AC2369">
        <v>-200.8021</v>
      </c>
      <c r="AD2369">
        <v>1.3866909999999999</v>
      </c>
      <c r="AE2369">
        <v>13.0098</v>
      </c>
      <c r="AF2369">
        <v>13.6956913170734</v>
      </c>
      <c r="AG2369">
        <v>1.3866909999999999</v>
      </c>
      <c r="AH2369">
        <v>200.74690719878899</v>
      </c>
      <c r="AI2369">
        <v>89.605144464793597</v>
      </c>
      <c r="AJ2369">
        <v>86.0971192666549</v>
      </c>
      <c r="AK2369">
        <v>201.21832824686001</v>
      </c>
      <c r="AL2369">
        <v>80.233988777354497</v>
      </c>
      <c r="AM2369">
        <v>86.515395889771895</v>
      </c>
      <c r="AN2369">
        <v>0.99999994430588901</v>
      </c>
    </row>
    <row r="2370" spans="1:40" x14ac:dyDescent="0.25">
      <c r="A2370" t="str">
        <f>"20190303170304881"</f>
        <v>20190303170304881</v>
      </c>
      <c r="B2370" t="str">
        <f>"1551603784867755"</f>
        <v>1551603784867755</v>
      </c>
      <c r="C2370" t="s">
        <v>40</v>
      </c>
      <c r="D2370">
        <v>3.9365230000000002</v>
      </c>
      <c r="E2370">
        <v>0.51296469999999905</v>
      </c>
      <c r="F2370" t="s">
        <v>67</v>
      </c>
      <c r="G2370">
        <v>-511.82100000000003</v>
      </c>
      <c r="H2370">
        <v>2.5120260000000001</v>
      </c>
      <c r="I2370">
        <v>299.64420000000001</v>
      </c>
      <c r="J2370">
        <v>-310.39690000000002</v>
      </c>
      <c r="K2370">
        <v>1.1197159999999999</v>
      </c>
      <c r="L2370">
        <v>284.25990000000002</v>
      </c>
      <c r="M2370">
        <v>-0.99995690000000004</v>
      </c>
      <c r="N2370">
        <v>-8.8435900000000001E-3</v>
      </c>
      <c r="O2370">
        <v>-2.8394420000000002E-3</v>
      </c>
      <c r="P2370">
        <v>-0.98528839999999995</v>
      </c>
      <c r="Q2370">
        <v>0.1612305</v>
      </c>
      <c r="R2370">
        <v>5.6671880000000001E-2</v>
      </c>
      <c r="S2370">
        <v>-3.0280149999999999</v>
      </c>
      <c r="T2370">
        <v>2.090645E-2</v>
      </c>
      <c r="U2370">
        <v>0.23098750000000001</v>
      </c>
      <c r="V2370">
        <v>5.9869070000000003E-2</v>
      </c>
      <c r="W2370">
        <v>0.16979549999999999</v>
      </c>
      <c r="X2370">
        <v>0.98365910000000001</v>
      </c>
      <c r="Y2370">
        <v>7.8893699999999997E-2</v>
      </c>
      <c r="Z2370" s="1">
        <v>3.275741E-5</v>
      </c>
      <c r="AA2370">
        <v>0.99688299999999996</v>
      </c>
      <c r="AB2370">
        <v>40</v>
      </c>
      <c r="AC2370">
        <v>-201.42409999999899</v>
      </c>
      <c r="AD2370">
        <v>1.3923099999999899</v>
      </c>
      <c r="AE2370">
        <v>15.3842999999999</v>
      </c>
      <c r="AF2370">
        <v>15.955434438160401</v>
      </c>
      <c r="AG2370">
        <v>1.3923099999999899</v>
      </c>
      <c r="AH2370">
        <v>201.37003769468399</v>
      </c>
      <c r="AI2370">
        <v>89.605090266900405</v>
      </c>
      <c r="AJ2370">
        <v>85.469667986970407</v>
      </c>
      <c r="AK2370">
        <v>202.00595658644599</v>
      </c>
      <c r="AL2370">
        <v>80.224070997565207</v>
      </c>
      <c r="AM2370">
        <v>86.517066961997102</v>
      </c>
      <c r="AN2370">
        <v>1.0000000211878599</v>
      </c>
    </row>
    <row r="2371" spans="1:40" x14ac:dyDescent="0.25">
      <c r="A2371" t="str">
        <f>"20190303170304895"</f>
        <v>20190303170304895</v>
      </c>
      <c r="B2371" t="str">
        <f>"1551603784888250"</f>
        <v>1551603784888250</v>
      </c>
      <c r="C2371" t="s">
        <v>40</v>
      </c>
      <c r="D2371">
        <v>3.9618479999999998</v>
      </c>
      <c r="E2371">
        <v>0.51478119999999905</v>
      </c>
      <c r="F2371" t="s">
        <v>67</v>
      </c>
      <c r="G2371">
        <v>-511.82100000000003</v>
      </c>
      <c r="H2371">
        <v>2.4953820000000002</v>
      </c>
      <c r="I2371">
        <v>300.36669999999998</v>
      </c>
      <c r="J2371">
        <v>-310.65550000000002</v>
      </c>
      <c r="K2371">
        <v>1.1197109999999999</v>
      </c>
      <c r="L2371">
        <v>284.2595</v>
      </c>
      <c r="M2371">
        <v>-0.99995820000000002</v>
      </c>
      <c r="N2371">
        <v>-8.8747210000000003E-3</v>
      </c>
      <c r="O2371">
        <v>-2.2281929999999998E-3</v>
      </c>
      <c r="P2371">
        <v>-0.98522149999999997</v>
      </c>
      <c r="Q2371">
        <v>0.16143750000000001</v>
      </c>
      <c r="R2371">
        <v>5.7241720000000003E-2</v>
      </c>
      <c r="S2371">
        <v>-3.0275270000000001</v>
      </c>
      <c r="T2371">
        <v>2.06784E-2</v>
      </c>
      <c r="U2371">
        <v>0.2420959</v>
      </c>
      <c r="V2371">
        <v>5.9839730000000001E-2</v>
      </c>
      <c r="W2371">
        <v>0.170032399999999</v>
      </c>
      <c r="X2371">
        <v>0.98361989999999999</v>
      </c>
      <c r="Y2371">
        <v>8.1931770000000001E-2</v>
      </c>
      <c r="Z2371" s="1">
        <v>4.985544E-5</v>
      </c>
      <c r="AA2371">
        <v>0.99663789999999997</v>
      </c>
      <c r="AB2371">
        <v>40</v>
      </c>
      <c r="AC2371">
        <v>-201.16549999999901</v>
      </c>
      <c r="AD2371">
        <v>1.3756709999999901</v>
      </c>
      <c r="AE2371">
        <v>16.107199999999899</v>
      </c>
      <c r="AF2371">
        <v>16.554643946692799</v>
      </c>
      <c r="AG2371">
        <v>1.3756709999999901</v>
      </c>
      <c r="AH2371">
        <v>201.11976374360799</v>
      </c>
      <c r="AI2371">
        <v>89.609420490701098</v>
      </c>
      <c r="AJ2371">
        <v>85.294456791921604</v>
      </c>
      <c r="AK2371">
        <v>201.80462847810699</v>
      </c>
      <c r="AL2371">
        <v>80.210296728887101</v>
      </c>
      <c r="AM2371">
        <v>86.518631246686397</v>
      </c>
      <c r="AN2371">
        <v>0.99999995900612004</v>
      </c>
    </row>
    <row r="2372" spans="1:40" x14ac:dyDescent="0.25">
      <c r="A2372" t="str">
        <f>"20190303170304906"</f>
        <v>20190303170304906</v>
      </c>
      <c r="B2372" t="str">
        <f>"1551603784898011"</f>
        <v>1551603784898011</v>
      </c>
      <c r="C2372" t="s">
        <v>40</v>
      </c>
      <c r="D2372">
        <v>3.9431769999999999</v>
      </c>
      <c r="E2372">
        <v>0.51520059999999901</v>
      </c>
      <c r="F2372" t="s">
        <v>67</v>
      </c>
      <c r="G2372">
        <v>-511.82100000000003</v>
      </c>
      <c r="H2372">
        <v>2.5639729999999998</v>
      </c>
      <c r="I2372">
        <v>301.41649999999998</v>
      </c>
      <c r="J2372">
        <v>-310.86689999999999</v>
      </c>
      <c r="K2372">
        <v>1.119715</v>
      </c>
      <c r="L2372">
        <v>284.2595</v>
      </c>
      <c r="M2372">
        <v>-0.99995889999999998</v>
      </c>
      <c r="N2372">
        <v>-8.8982360000000003E-3</v>
      </c>
      <c r="O2372">
        <v>-1.7398859999999999E-3</v>
      </c>
      <c r="P2372">
        <v>-0.98520430000000003</v>
      </c>
      <c r="Q2372">
        <v>0.16148119999999999</v>
      </c>
      <c r="R2372">
        <v>5.741218E-2</v>
      </c>
      <c r="S2372">
        <v>-3.0264280000000001</v>
      </c>
      <c r="T2372">
        <v>2.1729470000000001E-2</v>
      </c>
      <c r="U2372">
        <v>0.25811770000000001</v>
      </c>
      <c r="V2372">
        <v>5.9528959999999999E-2</v>
      </c>
      <c r="W2372">
        <v>0.1701</v>
      </c>
      <c r="X2372">
        <v>0.98362709999999998</v>
      </c>
      <c r="Y2372">
        <v>8.6713230000000002E-2</v>
      </c>
      <c r="Z2372" s="1">
        <v>4.7851410000000001E-5</v>
      </c>
      <c r="AA2372">
        <v>0.99623329999999999</v>
      </c>
      <c r="AB2372">
        <v>40</v>
      </c>
      <c r="AC2372">
        <v>-200.95410000000001</v>
      </c>
      <c r="AD2372">
        <v>1.44425799999999</v>
      </c>
      <c r="AE2372">
        <v>17.156999999999901</v>
      </c>
      <c r="AF2372">
        <v>17.505727415305699</v>
      </c>
      <c r="AG2372">
        <v>1.44425799999999</v>
      </c>
      <c r="AH2372">
        <v>200.91364070663499</v>
      </c>
      <c r="AI2372">
        <v>89.589693622945802</v>
      </c>
      <c r="AJ2372">
        <v>85.020359939705301</v>
      </c>
      <c r="AK2372">
        <v>201.680012384729</v>
      </c>
      <c r="AL2372">
        <v>80.206366578987996</v>
      </c>
      <c r="AM2372">
        <v>86.5366924576484</v>
      </c>
      <c r="AN2372">
        <v>0.999999989466545</v>
      </c>
    </row>
    <row r="2373" spans="1:40" x14ac:dyDescent="0.25">
      <c r="A2373" t="str">
        <f>"20190303170304924"</f>
        <v>20190303170304924</v>
      </c>
      <c r="B2373" t="str">
        <f>"1551603784917530"</f>
        <v>1551603784917530</v>
      </c>
      <c r="C2373" t="s">
        <v>40</v>
      </c>
      <c r="D2373">
        <v>3.928302</v>
      </c>
      <c r="E2373">
        <v>0.51585309999999995</v>
      </c>
      <c r="F2373" t="s">
        <v>67</v>
      </c>
      <c r="G2373">
        <v>-511.82100000000003</v>
      </c>
      <c r="H2373">
        <v>2.4927069999999998</v>
      </c>
      <c r="I2373">
        <v>301.6377</v>
      </c>
      <c r="J2373">
        <v>-311.17529999999999</v>
      </c>
      <c r="K2373">
        <v>1.1197220000000001</v>
      </c>
      <c r="L2373">
        <v>284.2595</v>
      </c>
      <c r="M2373">
        <v>-0.99995959999999995</v>
      </c>
      <c r="N2373">
        <v>-8.9309149999999993E-3</v>
      </c>
      <c r="O2373">
        <v>-1.0435220000000001E-3</v>
      </c>
      <c r="P2373">
        <v>-0.98517390000000005</v>
      </c>
      <c r="Q2373">
        <v>0.161443899999999</v>
      </c>
      <c r="R2373">
        <v>5.8038340000000001E-2</v>
      </c>
      <c r="S2373">
        <v>-3.0263979999999999</v>
      </c>
      <c r="T2373">
        <v>2.0678760000000001E-2</v>
      </c>
      <c r="U2373">
        <v>0.26171879999999997</v>
      </c>
      <c r="V2373">
        <v>5.9466159999999997E-2</v>
      </c>
      <c r="W2373">
        <v>0.17009579999999999</v>
      </c>
      <c r="X2373">
        <v>0.98363160000000005</v>
      </c>
      <c r="Y2373">
        <v>8.7197209999999997E-2</v>
      </c>
      <c r="Z2373" s="1">
        <v>7.6346040000000007E-5</v>
      </c>
      <c r="AA2373">
        <v>0.9961911</v>
      </c>
      <c r="AB2373">
        <v>40</v>
      </c>
      <c r="AC2373">
        <v>-200.64570000000001</v>
      </c>
      <c r="AD2373">
        <v>1.3729849999999999</v>
      </c>
      <c r="AE2373">
        <v>17.3781999999999</v>
      </c>
      <c r="AF2373">
        <v>17.586759727335501</v>
      </c>
      <c r="AG2373">
        <v>1.3729849999999999</v>
      </c>
      <c r="AH2373">
        <v>200.618131616309</v>
      </c>
      <c r="AI2373">
        <v>89.609384775707895</v>
      </c>
      <c r="AJ2373">
        <v>84.990095088323898</v>
      </c>
      <c r="AK2373">
        <v>201.392189368743</v>
      </c>
      <c r="AL2373">
        <v>80.206610537405993</v>
      </c>
      <c r="AM2373">
        <v>86.540352979587496</v>
      </c>
      <c r="AN2373">
        <v>0.999999964940672</v>
      </c>
    </row>
    <row r="2374" spans="1:40" x14ac:dyDescent="0.25">
      <c r="A2374" t="str">
        <f>"20190303170304937"</f>
        <v>20190303170304937</v>
      </c>
      <c r="B2374" t="str">
        <f>"1551603784928267"</f>
        <v>1551603784928267</v>
      </c>
      <c r="C2374" t="s">
        <v>40</v>
      </c>
      <c r="D2374">
        <v>3.9406150000000002</v>
      </c>
      <c r="E2374">
        <v>0.51611790000000002</v>
      </c>
      <c r="F2374" t="s">
        <v>67</v>
      </c>
      <c r="G2374">
        <v>-511.82089999999999</v>
      </c>
      <c r="H2374">
        <v>2.3570329999999999</v>
      </c>
      <c r="I2374">
        <v>302.0548</v>
      </c>
      <c r="J2374">
        <v>-311.38350000000003</v>
      </c>
      <c r="K2374">
        <v>1.1197239999999999</v>
      </c>
      <c r="L2374">
        <v>284.2595</v>
      </c>
      <c r="M2374">
        <v>-0.99995990000000001</v>
      </c>
      <c r="N2374">
        <v>-8.9517439999999993E-3</v>
      </c>
      <c r="O2374">
        <v>-5.8459400000000002E-4</v>
      </c>
      <c r="P2374">
        <v>-0.98513260000000002</v>
      </c>
      <c r="Q2374">
        <v>0.1613715</v>
      </c>
      <c r="R2374">
        <v>5.8935340000000003E-2</v>
      </c>
      <c r="S2374">
        <v>-3.0262760000000002</v>
      </c>
      <c r="T2374">
        <v>1.8663289999999999E-2</v>
      </c>
      <c r="U2374">
        <v>0.26840209999999998</v>
      </c>
      <c r="V2374">
        <v>5.9907259999999997E-2</v>
      </c>
      <c r="W2374">
        <v>0.17004459999999999</v>
      </c>
      <c r="X2374">
        <v>0.98361370000000004</v>
      </c>
      <c r="Y2374">
        <v>8.8926809999999995E-2</v>
      </c>
      <c r="Z2374">
        <v>1.163202E-4</v>
      </c>
      <c r="AA2374">
        <v>0.99603810000000004</v>
      </c>
      <c r="AB2374">
        <v>40</v>
      </c>
      <c r="AC2374">
        <v>-200.4374</v>
      </c>
      <c r="AD2374">
        <v>1.237309</v>
      </c>
      <c r="AE2374">
        <v>17.795299999999902</v>
      </c>
      <c r="AF2374">
        <v>17.9117989217042</v>
      </c>
      <c r="AG2374">
        <v>1.237309</v>
      </c>
      <c r="AH2374">
        <v>200.41938475794501</v>
      </c>
      <c r="AI2374">
        <v>89.647687477405498</v>
      </c>
      <c r="AJ2374">
        <v>84.892953428673493</v>
      </c>
      <c r="AK2374">
        <v>201.221999942666</v>
      </c>
      <c r="AL2374">
        <v>80.209587581393194</v>
      </c>
      <c r="AM2374">
        <v>86.5146902361722</v>
      </c>
      <c r="AN2374">
        <v>0.99999997830877796</v>
      </c>
    </row>
    <row r="2375" spans="1:40" x14ac:dyDescent="0.25">
      <c r="A2375" t="str">
        <f>"20190303170304947"</f>
        <v>20190303170304947</v>
      </c>
      <c r="B2375" t="str">
        <f>"1551603784938027"</f>
        <v>1551603784938027</v>
      </c>
      <c r="C2375" t="s">
        <v>40</v>
      </c>
      <c r="D2375">
        <v>3.9274930000000001</v>
      </c>
      <c r="E2375">
        <v>0.51630609999999999</v>
      </c>
      <c r="F2375" t="s">
        <v>67</v>
      </c>
      <c r="G2375">
        <v>-511.82089999999999</v>
      </c>
      <c r="H2375">
        <v>2.2764419999999999</v>
      </c>
      <c r="I2375">
        <v>302.34289999999999</v>
      </c>
      <c r="J2375">
        <v>-311.59750000000003</v>
      </c>
      <c r="K2375">
        <v>1.11974</v>
      </c>
      <c r="L2375">
        <v>284.25979999999998</v>
      </c>
      <c r="M2375">
        <v>-0.99995979999999995</v>
      </c>
      <c r="N2375">
        <v>-8.9698269999999997E-3</v>
      </c>
      <c r="O2375">
        <v>-1.4098910000000001E-4</v>
      </c>
      <c r="P2375">
        <v>-0.98512409999999995</v>
      </c>
      <c r="Q2375">
        <v>0.16116340000000001</v>
      </c>
      <c r="R2375">
        <v>5.9642809999999997E-2</v>
      </c>
      <c r="S2375">
        <v>-3.026062</v>
      </c>
      <c r="T2375">
        <v>1.746464E-2</v>
      </c>
      <c r="U2375">
        <v>0.27301029999999998</v>
      </c>
      <c r="V2375">
        <v>6.0170019999999998E-2</v>
      </c>
      <c r="W2375">
        <v>0.16985620000000001</v>
      </c>
      <c r="X2375">
        <v>0.98363020000000001</v>
      </c>
      <c r="Y2375">
        <v>8.9995950000000005E-2</v>
      </c>
      <c r="Z2375">
        <v>1.4320080000000001E-4</v>
      </c>
      <c r="AA2375">
        <v>0.99594210000000005</v>
      </c>
      <c r="AB2375">
        <v>40</v>
      </c>
      <c r="AC2375">
        <v>-200.2234</v>
      </c>
      <c r="AD2375">
        <v>1.1567019999999999</v>
      </c>
      <c r="AE2375">
        <v>18.083100000000002</v>
      </c>
      <c r="AF2375">
        <v>18.110730727575</v>
      </c>
      <c r="AG2375">
        <v>1.1567019999999999</v>
      </c>
      <c r="AH2375">
        <v>200.214220422827</v>
      </c>
      <c r="AI2375">
        <v>89.670333479463906</v>
      </c>
      <c r="AJ2375">
        <v>84.831276063534403</v>
      </c>
      <c r="AK2375">
        <v>201.03499841202799</v>
      </c>
      <c r="AL2375">
        <v>80.220541326959605</v>
      </c>
      <c r="AM2375">
        <v>86.499499779441194</v>
      </c>
      <c r="AN2375">
        <v>0.99999996516863898</v>
      </c>
    </row>
    <row r="2376" spans="1:40" x14ac:dyDescent="0.25">
      <c r="A2376" t="str">
        <f>"20190303170304959"</f>
        <v>20190303170304959</v>
      </c>
      <c r="B2376" t="str">
        <f>"1551603784947787"</f>
        <v>1551603784947787</v>
      </c>
      <c r="C2376" t="s">
        <v>40</v>
      </c>
      <c r="D2376">
        <v>3.9544329999999999</v>
      </c>
      <c r="E2376">
        <v>0.51642469999999996</v>
      </c>
      <c r="F2376" t="s">
        <v>67</v>
      </c>
      <c r="G2376">
        <v>-511.82089999999999</v>
      </c>
      <c r="H2376">
        <v>2.1896749999999998</v>
      </c>
      <c r="I2376">
        <v>302.54649999999998</v>
      </c>
      <c r="J2376">
        <v>-311.79640000000001</v>
      </c>
      <c r="K2376">
        <v>1.1197569999999999</v>
      </c>
      <c r="L2376">
        <v>284.26</v>
      </c>
      <c r="M2376">
        <v>-0.99995959999999995</v>
      </c>
      <c r="N2376">
        <v>-8.9854029999999994E-3</v>
      </c>
      <c r="O2376">
        <v>2.5838400000000001E-4</v>
      </c>
      <c r="P2376">
        <v>-0.98514919999999995</v>
      </c>
      <c r="Q2376">
        <v>0.1606252</v>
      </c>
      <c r="R2376">
        <v>6.0672240000000002E-2</v>
      </c>
      <c r="S2376">
        <v>-3.02597</v>
      </c>
      <c r="T2376">
        <v>1.617122E-2</v>
      </c>
      <c r="U2376">
        <v>0.27636719999999998</v>
      </c>
      <c r="V2376">
        <v>6.0797039999999997E-2</v>
      </c>
      <c r="W2376">
        <v>0.1693355</v>
      </c>
      <c r="X2376">
        <v>0.98368140000000004</v>
      </c>
      <c r="Y2376">
        <v>9.0696789999999999E-2</v>
      </c>
      <c r="Z2376">
        <v>1.701776E-4</v>
      </c>
      <c r="AA2376">
        <v>0.9958785</v>
      </c>
      <c r="AB2376">
        <v>40</v>
      </c>
      <c r="AC2376">
        <v>-200.02449999999999</v>
      </c>
      <c r="AD2376">
        <v>1.0699179999999999</v>
      </c>
      <c r="AE2376">
        <v>18.286499999999901</v>
      </c>
      <c r="AF2376">
        <v>18.234296793596599</v>
      </c>
      <c r="AG2376">
        <v>1.0699179999999999</v>
      </c>
      <c r="AH2376">
        <v>200.02354299263601</v>
      </c>
      <c r="AI2376">
        <v>89.6947955897231</v>
      </c>
      <c r="AJ2376">
        <v>84.791270432296997</v>
      </c>
      <c r="AK2376">
        <v>200.85579915802899</v>
      </c>
      <c r="AL2376">
        <v>80.250813569944697</v>
      </c>
      <c r="AM2376">
        <v>86.463297500648295</v>
      </c>
      <c r="AN2376">
        <v>0.99999994416948401</v>
      </c>
    </row>
    <row r="2377" spans="1:40" x14ac:dyDescent="0.25">
      <c r="A2377" t="str">
        <f>"20190303170304971"</f>
        <v>20190303170304971</v>
      </c>
      <c r="B2377" t="str">
        <f>"1551603784957547"</f>
        <v>1551603784957547</v>
      </c>
      <c r="C2377" t="s">
        <v>40</v>
      </c>
      <c r="D2377">
        <v>3.9154339999999999</v>
      </c>
      <c r="E2377">
        <v>0.51653329999999997</v>
      </c>
      <c r="F2377" t="s">
        <v>67</v>
      </c>
      <c r="G2377">
        <v>-511.82080000000002</v>
      </c>
      <c r="H2377">
        <v>2.0323090000000001</v>
      </c>
      <c r="I2377">
        <v>302.77839999999998</v>
      </c>
      <c r="J2377">
        <v>-312.02100000000002</v>
      </c>
      <c r="K2377">
        <v>1.1197809999999999</v>
      </c>
      <c r="L2377">
        <v>284.2604</v>
      </c>
      <c r="M2377">
        <v>-0.9999593</v>
      </c>
      <c r="N2377">
        <v>-9.0006719999999995E-3</v>
      </c>
      <c r="O2377">
        <v>6.8552719999999997E-4</v>
      </c>
      <c r="P2377">
        <v>-0.98513010000000001</v>
      </c>
      <c r="Q2377">
        <v>0.1604023</v>
      </c>
      <c r="R2377">
        <v>6.1563300000000001E-2</v>
      </c>
      <c r="S2377">
        <v>-3.0256959999999999</v>
      </c>
      <c r="T2377">
        <v>1.380515E-2</v>
      </c>
      <c r="U2377">
        <v>0.2801208</v>
      </c>
      <c r="V2377">
        <v>6.1255579999999997E-2</v>
      </c>
      <c r="W2377">
        <v>0.16913010000000001</v>
      </c>
      <c r="X2377">
        <v>0.98368840000000002</v>
      </c>
      <c r="Y2377">
        <v>9.1504749999999996E-2</v>
      </c>
      <c r="Z2377">
        <v>2.136602E-4</v>
      </c>
      <c r="AA2377">
        <v>0.99580460000000004</v>
      </c>
      <c r="AB2377">
        <v>40</v>
      </c>
      <c r="AC2377">
        <v>-199.7998</v>
      </c>
      <c r="AD2377">
        <v>0.91252800000000001</v>
      </c>
      <c r="AE2377">
        <v>18.517999999999901</v>
      </c>
      <c r="AF2377">
        <v>18.380641764188901</v>
      </c>
      <c r="AG2377">
        <v>0.91252800000000001</v>
      </c>
      <c r="AH2377">
        <v>199.80831576623399</v>
      </c>
      <c r="AI2377">
        <v>89.739431195470601</v>
      </c>
      <c r="AJ2377">
        <v>84.744075070257395</v>
      </c>
      <c r="AK2377">
        <v>200.65403995024201</v>
      </c>
      <c r="AL2377">
        <v>80.262755422017193</v>
      </c>
      <c r="AM2377">
        <v>86.436716945179796</v>
      </c>
      <c r="AN2377">
        <v>1.0000000525508499</v>
      </c>
    </row>
    <row r="2378" spans="1:40" x14ac:dyDescent="0.25">
      <c r="A2378" t="str">
        <f>"20190303170304984"</f>
        <v>20190303170304984</v>
      </c>
      <c r="B2378" t="str">
        <f>"1551603784968284"</f>
        <v>1551603784968284</v>
      </c>
      <c r="C2378" t="s">
        <v>40</v>
      </c>
      <c r="D2378">
        <v>3.9232969999999998</v>
      </c>
      <c r="E2378">
        <v>0.51657810000000004</v>
      </c>
      <c r="F2378" t="s">
        <v>67</v>
      </c>
      <c r="G2378">
        <v>-511.82080000000002</v>
      </c>
      <c r="H2378">
        <v>1.9885010000000001</v>
      </c>
      <c r="I2378">
        <v>302.97730000000001</v>
      </c>
      <c r="J2378">
        <v>-312.23840000000001</v>
      </c>
      <c r="K2378">
        <v>1.11981</v>
      </c>
      <c r="L2378">
        <v>284.26080000000002</v>
      </c>
      <c r="M2378">
        <v>-0.99995900000000004</v>
      </c>
      <c r="N2378">
        <v>-9.0122689999999998E-3</v>
      </c>
      <c r="O2378">
        <v>1.067583E-3</v>
      </c>
      <c r="P2378">
        <v>-0.98515960000000002</v>
      </c>
      <c r="Q2378">
        <v>0.159858</v>
      </c>
      <c r="R2378">
        <v>6.2500639999999996E-2</v>
      </c>
      <c r="S2378">
        <v>-3.0254210000000001</v>
      </c>
      <c r="T2378">
        <v>1.3155699999999999E-2</v>
      </c>
      <c r="U2378">
        <v>0.28341670000000002</v>
      </c>
      <c r="V2378">
        <v>6.1802570000000001E-2</v>
      </c>
      <c r="W2378">
        <v>0.16860139999999901</v>
      </c>
      <c r="X2378">
        <v>0.98374490000000003</v>
      </c>
      <c r="Y2378">
        <v>9.2208090000000006E-2</v>
      </c>
      <c r="Z2378">
        <v>2.3060929999999999E-4</v>
      </c>
      <c r="AA2378">
        <v>0.99573979999999995</v>
      </c>
      <c r="AB2378">
        <v>40</v>
      </c>
      <c r="AC2378">
        <v>-199.58240000000001</v>
      </c>
      <c r="AD2378">
        <v>0.86869099999999899</v>
      </c>
      <c r="AE2378">
        <v>18.7165</v>
      </c>
      <c r="AF2378">
        <v>18.5030624632101</v>
      </c>
      <c r="AG2378">
        <v>0.86869099999999899</v>
      </c>
      <c r="AH2378">
        <v>199.598520124521</v>
      </c>
      <c r="AI2378">
        <v>89.751703941463404</v>
      </c>
      <c r="AJ2378">
        <v>84.703737585403104</v>
      </c>
      <c r="AK2378">
        <v>200.45619766041099</v>
      </c>
      <c r="AL2378">
        <v>80.293488636615507</v>
      </c>
      <c r="AM2378">
        <v>86.405187138520006</v>
      </c>
      <c r="AN2378">
        <v>1.0000000090082799</v>
      </c>
    </row>
    <row r="2379" spans="1:40" x14ac:dyDescent="0.25">
      <c r="A2379" t="str">
        <f>"20190303170304997"</f>
        <v>20190303170304997</v>
      </c>
      <c r="B2379" t="str">
        <f>"1551603784987803"</f>
        <v>1551603784987803</v>
      </c>
      <c r="C2379" t="s">
        <v>40</v>
      </c>
      <c r="D2379">
        <v>3.8820579999999998</v>
      </c>
      <c r="E2379">
        <v>0.51674609999999999</v>
      </c>
      <c r="F2379" t="s">
        <v>67</v>
      </c>
      <c r="G2379">
        <v>-511.82080000000002</v>
      </c>
      <c r="H2379">
        <v>1.8711850000000001</v>
      </c>
      <c r="I2379">
        <v>303.1866</v>
      </c>
      <c r="J2379">
        <v>-312.47410000000002</v>
      </c>
      <c r="K2379">
        <v>1.119845</v>
      </c>
      <c r="L2379">
        <v>284.26130000000001</v>
      </c>
      <c r="M2379">
        <v>-0.99995829999999997</v>
      </c>
      <c r="N2379">
        <v>-9.0230510000000007E-3</v>
      </c>
      <c r="O2379">
        <v>1.461094E-3</v>
      </c>
      <c r="P2379">
        <v>-0.98518399999999995</v>
      </c>
      <c r="Q2379">
        <v>0.15954989999999999</v>
      </c>
      <c r="R2379">
        <v>6.2900109999999995E-2</v>
      </c>
      <c r="S2379">
        <v>-3.0251459999999999</v>
      </c>
      <c r="T2379">
        <v>1.139021E-2</v>
      </c>
      <c r="U2379">
        <v>0.28686519999999999</v>
      </c>
      <c r="V2379">
        <v>6.1798539999999999E-2</v>
      </c>
      <c r="W2379">
        <v>0.16830989999999901</v>
      </c>
      <c r="X2379">
        <v>0.98379499999999998</v>
      </c>
      <c r="Y2379">
        <v>9.2949710000000005E-2</v>
      </c>
      <c r="Z2379">
        <v>2.6433929999999998E-4</v>
      </c>
      <c r="AA2379">
        <v>0.99567079999999997</v>
      </c>
      <c r="AB2379">
        <v>40</v>
      </c>
      <c r="AC2379">
        <v>-199.3467</v>
      </c>
      <c r="AD2379">
        <v>0.75133999999999901</v>
      </c>
      <c r="AE2379">
        <v>18.9253</v>
      </c>
      <c r="AF2379">
        <v>18.6337413587312</v>
      </c>
      <c r="AG2379">
        <v>0.75133999999999901</v>
      </c>
      <c r="AH2379">
        <v>199.37133310535501</v>
      </c>
      <c r="AI2379">
        <v>89.785016169824203</v>
      </c>
      <c r="AJ2379">
        <v>84.660504943198006</v>
      </c>
      <c r="AK2379">
        <v>200.241627273218</v>
      </c>
      <c r="AL2379">
        <v>80.310431841500801</v>
      </c>
      <c r="AM2379">
        <v>86.405603508076396</v>
      </c>
      <c r="AN2379">
        <v>0.99999994200456899</v>
      </c>
    </row>
    <row r="2380" spans="1:40" x14ac:dyDescent="0.25">
      <c r="A2380" t="str">
        <f>"20190303170305014"</f>
        <v>20190303170305014</v>
      </c>
      <c r="B2380" t="str">
        <f>"1551603784997564"</f>
        <v>1551603784997564</v>
      </c>
      <c r="C2380" t="s">
        <v>40</v>
      </c>
      <c r="D2380">
        <v>3.902765</v>
      </c>
      <c r="E2380">
        <v>0.51683310000000005</v>
      </c>
      <c r="F2380" t="s">
        <v>67</v>
      </c>
      <c r="G2380">
        <v>-511.82069999999999</v>
      </c>
      <c r="H2380">
        <v>1.8172630000000001</v>
      </c>
      <c r="I2380">
        <v>303.34100000000001</v>
      </c>
      <c r="J2380">
        <v>-312.77670000000001</v>
      </c>
      <c r="K2380">
        <v>1.1198969999999999</v>
      </c>
      <c r="L2380">
        <v>284.26209999999998</v>
      </c>
      <c r="M2380">
        <v>-0.99995750000000005</v>
      </c>
      <c r="N2380">
        <v>-9.0331040000000001E-3</v>
      </c>
      <c r="O2380">
        <v>1.9107200000000001E-3</v>
      </c>
      <c r="P2380">
        <v>-0.98518519999999998</v>
      </c>
      <c r="Q2380">
        <v>0.15925719999999999</v>
      </c>
      <c r="R2380">
        <v>6.3620949999999996E-2</v>
      </c>
      <c r="S2380">
        <v>-3.0249329999999999</v>
      </c>
      <c r="T2380">
        <v>1.0584120000000001E-2</v>
      </c>
      <c r="U2380">
        <v>0.28952030000000001</v>
      </c>
      <c r="V2380">
        <v>6.2053770000000001E-2</v>
      </c>
      <c r="W2380">
        <v>0.16803499999999999</v>
      </c>
      <c r="X2380">
        <v>0.98382599999999998</v>
      </c>
      <c r="Y2380">
        <v>9.3374680000000002E-2</v>
      </c>
      <c r="Z2380">
        <v>2.8360640000000002E-4</v>
      </c>
      <c r="AA2380">
        <v>0.99563100000000004</v>
      </c>
      <c r="AB2380">
        <v>40</v>
      </c>
      <c r="AC2380">
        <v>-199.04400000000001</v>
      </c>
      <c r="AD2380">
        <v>0.69736600000000004</v>
      </c>
      <c r="AE2380">
        <v>19.078900000000001</v>
      </c>
      <c r="AF2380">
        <v>18.698304915419001</v>
      </c>
      <c r="AG2380">
        <v>0.69736600000000004</v>
      </c>
      <c r="AH2380">
        <v>199.077671107458</v>
      </c>
      <c r="AI2380">
        <v>89.800174066317595</v>
      </c>
      <c r="AJ2380">
        <v>84.634254357274997</v>
      </c>
      <c r="AK2380">
        <v>199.95507510342799</v>
      </c>
      <c r="AL2380">
        <v>80.326410732338502</v>
      </c>
      <c r="AM2380">
        <v>86.390911115466594</v>
      </c>
      <c r="AN2380">
        <v>1.0000000149360999</v>
      </c>
    </row>
    <row r="2381" spans="1:40" x14ac:dyDescent="0.25">
      <c r="A2381" t="str">
        <f>"20190303170305029"</f>
        <v>20190303170305029</v>
      </c>
      <c r="B2381" t="str">
        <f>"1551603785018059"</f>
        <v>1551603785018059</v>
      </c>
      <c r="C2381" t="s">
        <v>40</v>
      </c>
      <c r="D2381">
        <v>3.8814479999999998</v>
      </c>
      <c r="E2381">
        <v>0.51687399999999994</v>
      </c>
      <c r="F2381" t="s">
        <v>67</v>
      </c>
      <c r="G2381">
        <v>-511.82069999999999</v>
      </c>
      <c r="H2381">
        <v>1.743207</v>
      </c>
      <c r="I2381">
        <v>303.5172</v>
      </c>
      <c r="J2381">
        <v>-313.04750000000001</v>
      </c>
      <c r="K2381">
        <v>1.1199460000000001</v>
      </c>
      <c r="L2381">
        <v>284.2629</v>
      </c>
      <c r="M2381">
        <v>-0.99995659999999997</v>
      </c>
      <c r="N2381">
        <v>-9.0400759999999993E-3</v>
      </c>
      <c r="O2381">
        <v>2.262876E-3</v>
      </c>
      <c r="P2381">
        <v>-0.98509800000000003</v>
      </c>
      <c r="Q2381">
        <v>0.15953870000000001</v>
      </c>
      <c r="R2381">
        <v>6.4262219999999995E-2</v>
      </c>
      <c r="S2381">
        <v>-3.024689</v>
      </c>
      <c r="T2381">
        <v>9.4732050000000002E-3</v>
      </c>
      <c r="U2381">
        <v>0.29260249999999999</v>
      </c>
      <c r="V2381">
        <v>6.2328710000000002E-2</v>
      </c>
      <c r="W2381">
        <v>0.1683297</v>
      </c>
      <c r="X2381">
        <v>0.98375820000000003</v>
      </c>
      <c r="Y2381">
        <v>9.4036919999999996E-2</v>
      </c>
      <c r="Z2381">
        <v>3.0661049999999997E-4</v>
      </c>
      <c r="AA2381">
        <v>0.99556869999999997</v>
      </c>
      <c r="AB2381">
        <v>40</v>
      </c>
      <c r="AC2381">
        <v>-198.7732</v>
      </c>
      <c r="AD2381">
        <v>0.62326099999999995</v>
      </c>
      <c r="AE2381">
        <v>19.254300000000001</v>
      </c>
      <c r="AF2381">
        <v>18.804250067640801</v>
      </c>
      <c r="AG2381">
        <v>0.62326099999999995</v>
      </c>
      <c r="AH2381">
        <v>198.81432641770499</v>
      </c>
      <c r="AI2381">
        <v>89.821182676137198</v>
      </c>
      <c r="AJ2381">
        <v>84.596925729766198</v>
      </c>
      <c r="AK2381">
        <v>199.702590528532</v>
      </c>
      <c r="AL2381">
        <v>80.309281297706704</v>
      </c>
      <c r="AM2381">
        <v>86.374713797077305</v>
      </c>
      <c r="AN2381">
        <v>0.99999997602979596</v>
      </c>
    </row>
    <row r="2382" spans="1:40" x14ac:dyDescent="0.25">
      <c r="A2382" t="str">
        <f>"20190303170305048"</f>
        <v>20190303170305048</v>
      </c>
      <c r="B2382" t="str">
        <f>"1551603785037578"</f>
        <v>1551603785037578</v>
      </c>
      <c r="C2382" t="s">
        <v>40</v>
      </c>
      <c r="D2382">
        <v>3.8883679999999998</v>
      </c>
      <c r="E2382">
        <v>0.51690349999999996</v>
      </c>
      <c r="F2382" t="s">
        <v>67</v>
      </c>
      <c r="G2382">
        <v>-511.82080000000002</v>
      </c>
      <c r="H2382">
        <v>1.839607</v>
      </c>
      <c r="I2382">
        <v>303.6524</v>
      </c>
      <c r="J2382">
        <v>-313.39049999999997</v>
      </c>
      <c r="K2382">
        <v>1.1200079999999999</v>
      </c>
      <c r="L2382">
        <v>284.26389999999998</v>
      </c>
      <c r="M2382">
        <v>-0.99995560000000006</v>
      </c>
      <c r="N2382">
        <v>-9.0477649999999993E-3</v>
      </c>
      <c r="O2382">
        <v>2.657459E-3</v>
      </c>
      <c r="P2382">
        <v>-0.98500010000000005</v>
      </c>
      <c r="Q2382">
        <v>0.15997420000000001</v>
      </c>
      <c r="R2382">
        <v>6.4678139999999995E-2</v>
      </c>
      <c r="S2382">
        <v>-3.0243530000000001</v>
      </c>
      <c r="T2382">
        <v>1.095104E-2</v>
      </c>
      <c r="U2382">
        <v>0.29501339999999998</v>
      </c>
      <c r="V2382">
        <v>6.2331230000000001E-2</v>
      </c>
      <c r="W2382">
        <v>0.1687814</v>
      </c>
      <c r="X2382">
        <v>0.98368069999999996</v>
      </c>
      <c r="Y2382">
        <v>9.4440940000000001E-2</v>
      </c>
      <c r="Z2382">
        <v>2.9126759999999999E-4</v>
      </c>
      <c r="AA2382">
        <v>0.99553040000000004</v>
      </c>
      <c r="AB2382">
        <v>40</v>
      </c>
      <c r="AC2382">
        <v>-198.43029999999999</v>
      </c>
      <c r="AD2382">
        <v>0.71959899999999999</v>
      </c>
      <c r="AE2382">
        <v>19.388500000000001</v>
      </c>
      <c r="AF2382">
        <v>18.860843897305401</v>
      </c>
      <c r="AG2382">
        <v>0.71959899999999999</v>
      </c>
      <c r="AH2382">
        <v>198.47853998005999</v>
      </c>
      <c r="AI2382">
        <v>89.793202316886706</v>
      </c>
      <c r="AJ2382">
        <v>84.571647581699395</v>
      </c>
      <c r="AK2382">
        <v>199.37397043710499</v>
      </c>
      <c r="AL2382">
        <v>80.283025667090897</v>
      </c>
      <c r="AM2382">
        <v>86.374282744310406</v>
      </c>
      <c r="AN2382">
        <v>1.0000000313858799</v>
      </c>
    </row>
    <row r="2383" spans="1:40" x14ac:dyDescent="0.25">
      <c r="A2383" t="str">
        <f>"20190303170305070"</f>
        <v>20190303170305070</v>
      </c>
      <c r="B2383" t="str">
        <f>"1551603785058074"</f>
        <v>1551603785058074</v>
      </c>
      <c r="C2383" t="s">
        <v>40</v>
      </c>
      <c r="D2383">
        <v>3.8756080000000002</v>
      </c>
      <c r="E2383">
        <v>0.51696260000000005</v>
      </c>
      <c r="F2383" t="s">
        <v>67</v>
      </c>
      <c r="G2383">
        <v>-511.82080000000002</v>
      </c>
      <c r="H2383">
        <v>1.925513</v>
      </c>
      <c r="I2383">
        <v>303.72089999999997</v>
      </c>
      <c r="J2383">
        <v>-313.78730000000002</v>
      </c>
      <c r="K2383">
        <v>1.120074</v>
      </c>
      <c r="L2383">
        <v>284.26530000000002</v>
      </c>
      <c r="M2383">
        <v>-0.99995429999999996</v>
      </c>
      <c r="N2383">
        <v>-9.0555859999999991E-3</v>
      </c>
      <c r="O2383">
        <v>3.042313E-3</v>
      </c>
      <c r="P2383">
        <v>-0.9849154</v>
      </c>
      <c r="Q2383">
        <v>0.16032349999999901</v>
      </c>
      <c r="R2383">
        <v>6.5101560000000003E-2</v>
      </c>
      <c r="S2383">
        <v>-3.0242309999999999</v>
      </c>
      <c r="T2383">
        <v>1.227784E-2</v>
      </c>
      <c r="U2383">
        <v>0.29653930000000001</v>
      </c>
      <c r="V2383">
        <v>6.2347960000000001E-2</v>
      </c>
      <c r="W2383">
        <v>0.1691484</v>
      </c>
      <c r="X2383">
        <v>0.98361659999999995</v>
      </c>
      <c r="Y2383">
        <v>9.4559290000000004E-2</v>
      </c>
      <c r="Z2383">
        <v>2.7749509999999998E-4</v>
      </c>
      <c r="AA2383">
        <v>0.99551920000000005</v>
      </c>
      <c r="AB2383">
        <v>40</v>
      </c>
      <c r="AC2383">
        <v>-198.0335</v>
      </c>
      <c r="AD2383">
        <v>0.80543900000000002</v>
      </c>
      <c r="AE2383">
        <v>19.455599999999901</v>
      </c>
      <c r="AF2383">
        <v>18.852696437561701</v>
      </c>
      <c r="AG2383">
        <v>0.80543900000000002</v>
      </c>
      <c r="AH2383">
        <v>198.08853045687201</v>
      </c>
      <c r="AI2383">
        <v>89.768081422700106</v>
      </c>
      <c r="AJ2383">
        <v>84.5633593537314</v>
      </c>
      <c r="AK2383">
        <v>198.985272805584</v>
      </c>
      <c r="AL2383">
        <v>80.261691385168305</v>
      </c>
      <c r="AM2383">
        <v>86.373076469466895</v>
      </c>
      <c r="AN2383">
        <v>1.0000000325671401</v>
      </c>
    </row>
    <row r="2384" spans="1:40" x14ac:dyDescent="0.25">
      <c r="A2384" t="str">
        <f>"20190303170305085"</f>
        <v>20190303170305085</v>
      </c>
      <c r="B2384" t="str">
        <f>"1551603785077595"</f>
        <v>1551603785077595</v>
      </c>
      <c r="C2384" t="s">
        <v>40</v>
      </c>
      <c r="D2384">
        <v>3.938339</v>
      </c>
      <c r="E2384">
        <v>0.5169532</v>
      </c>
      <c r="F2384" t="s">
        <v>67</v>
      </c>
      <c r="G2384">
        <v>-511.82080000000002</v>
      </c>
      <c r="H2384">
        <v>1.965497</v>
      </c>
      <c r="I2384">
        <v>303.76949999999999</v>
      </c>
      <c r="J2384">
        <v>-314.05200000000002</v>
      </c>
      <c r="K2384">
        <v>1.1201159999999999</v>
      </c>
      <c r="L2384">
        <v>284.2663</v>
      </c>
      <c r="M2384">
        <v>-0.9999536</v>
      </c>
      <c r="N2384">
        <v>-9.0604259999999999E-3</v>
      </c>
      <c r="O2384">
        <v>3.2592139999999999E-3</v>
      </c>
      <c r="P2384">
        <v>-0.98493719999999996</v>
      </c>
      <c r="Q2384">
        <v>0.16016629999999901</v>
      </c>
      <c r="R2384">
        <v>6.5159400000000006E-2</v>
      </c>
      <c r="S2384">
        <v>-3.0242</v>
      </c>
      <c r="T2384">
        <v>1.291192E-2</v>
      </c>
      <c r="U2384">
        <v>0.29785159999999899</v>
      </c>
      <c r="V2384">
        <v>6.2174550000000002E-2</v>
      </c>
      <c r="W2384">
        <v>0.16900279999999901</v>
      </c>
      <c r="X2384">
        <v>0.98365259999999999</v>
      </c>
      <c r="Y2384">
        <v>9.4772209999999996E-2</v>
      </c>
      <c r="Z2384">
        <v>2.7189500000000003E-4</v>
      </c>
      <c r="AA2384">
        <v>0.99549900000000002</v>
      </c>
      <c r="AB2384">
        <v>40</v>
      </c>
      <c r="AC2384">
        <v>-197.7688</v>
      </c>
      <c r="AD2384">
        <v>0.84538100000000005</v>
      </c>
      <c r="AE2384">
        <v>19.5032</v>
      </c>
      <c r="AF2384">
        <v>18.858157817705401</v>
      </c>
      <c r="AG2384">
        <v>0.84538100000000005</v>
      </c>
      <c r="AH2384">
        <v>197.82773730730801</v>
      </c>
      <c r="AI2384">
        <v>89.756263264679703</v>
      </c>
      <c r="AJ2384">
        <v>84.554667833368399</v>
      </c>
      <c r="AK2384">
        <v>198.72634056269999</v>
      </c>
      <c r="AL2384">
        <v>80.270155475361406</v>
      </c>
      <c r="AM2384">
        <v>86.383269330889206</v>
      </c>
      <c r="AN2384">
        <v>1.0000000292811499</v>
      </c>
    </row>
    <row r="2385" spans="1:40" x14ac:dyDescent="0.25">
      <c r="A2385" t="str">
        <f>"20190303170305097"</f>
        <v>20190303170305097</v>
      </c>
      <c r="B2385" t="str">
        <f>"1551603785088330"</f>
        <v>1551603785088330</v>
      </c>
      <c r="C2385" t="s">
        <v>40</v>
      </c>
      <c r="D2385">
        <v>3.8639489999999999</v>
      </c>
      <c r="E2385">
        <v>0.5070789</v>
      </c>
      <c r="F2385" t="s">
        <v>67</v>
      </c>
      <c r="G2385">
        <v>-511.82080000000002</v>
      </c>
      <c r="H2385">
        <v>1.928329</v>
      </c>
      <c r="I2385">
        <v>303.7627</v>
      </c>
      <c r="J2385">
        <v>-314.27969999999999</v>
      </c>
      <c r="K2385">
        <v>1.1201509999999999</v>
      </c>
      <c r="L2385">
        <v>284.26710000000003</v>
      </c>
      <c r="M2385">
        <v>-0.99995310000000004</v>
      </c>
      <c r="N2385">
        <v>-9.0641920000000004E-3</v>
      </c>
      <c r="O2385">
        <v>3.4291619999999999E-3</v>
      </c>
      <c r="P2385">
        <v>-0.98494919999999997</v>
      </c>
      <c r="Q2385">
        <v>0.16014300000000001</v>
      </c>
      <c r="R2385">
        <v>6.5035309999999999E-2</v>
      </c>
      <c r="S2385">
        <v>-3.0241389999999999</v>
      </c>
      <c r="T2385">
        <v>1.235998E-2</v>
      </c>
      <c r="U2385">
        <v>0.29812620000000001</v>
      </c>
      <c r="V2385">
        <v>6.1868569999999998E-2</v>
      </c>
      <c r="W2385">
        <v>0.1689891</v>
      </c>
      <c r="X2385">
        <v>0.98367420000000005</v>
      </c>
      <c r="Y2385">
        <v>9.4694529999999999E-2</v>
      </c>
      <c r="Z2385">
        <v>2.8215400000000001E-4</v>
      </c>
      <c r="AA2385">
        <v>0.99550629999999996</v>
      </c>
      <c r="AB2385">
        <v>40</v>
      </c>
      <c r="AC2385">
        <v>-197.5411</v>
      </c>
      <c r="AD2385">
        <v>0.80817799999999995</v>
      </c>
      <c r="AE2385">
        <v>19.4955999999999</v>
      </c>
      <c r="AF2385">
        <v>18.817745212622501</v>
      </c>
      <c r="AG2385">
        <v>0.80817799999999995</v>
      </c>
      <c r="AH2385">
        <v>197.603519206524</v>
      </c>
      <c r="AI2385">
        <v>89.766722844653202</v>
      </c>
      <c r="AJ2385">
        <v>84.560138519745706</v>
      </c>
      <c r="AK2385">
        <v>198.49914732655699</v>
      </c>
      <c r="AL2385">
        <v>80.270951435741907</v>
      </c>
      <c r="AM2385">
        <v>86.401100293601004</v>
      </c>
      <c r="AN2385">
        <v>0.99999998380914701</v>
      </c>
    </row>
    <row r="2386" spans="1:40" x14ac:dyDescent="0.25">
      <c r="A2386" t="str">
        <f>"20190303170305108"</f>
        <v>20190303170305108</v>
      </c>
      <c r="B2386" t="str">
        <f>"1551603785098092"</f>
        <v>1551603785098092</v>
      </c>
      <c r="C2386" t="s">
        <v>40</v>
      </c>
      <c r="D2386">
        <v>3.8792080000000002</v>
      </c>
      <c r="E2386">
        <v>0.50709490000000002</v>
      </c>
      <c r="F2386" t="s">
        <v>67</v>
      </c>
      <c r="G2386">
        <v>-511.82049999999998</v>
      </c>
      <c r="H2386">
        <v>1.0739609999999999</v>
      </c>
      <c r="I2386">
        <v>298.47739999999999</v>
      </c>
      <c r="J2386">
        <v>-314.505</v>
      </c>
      <c r="K2386">
        <v>1.120179</v>
      </c>
      <c r="L2386">
        <v>284.26799999999997</v>
      </c>
      <c r="M2386">
        <v>-0.99995259999999997</v>
      </c>
      <c r="N2386">
        <v>-9.0661230000000006E-3</v>
      </c>
      <c r="O2386">
        <v>3.5749449999999999E-3</v>
      </c>
      <c r="P2386">
        <v>-0.98491930000000005</v>
      </c>
      <c r="Q2386">
        <v>0.16033939999999999</v>
      </c>
      <c r="R2386">
        <v>6.5003210000000006E-2</v>
      </c>
      <c r="S2386">
        <v>-3.031555</v>
      </c>
      <c r="T2386">
        <v>-7.0750710000000005E-4</v>
      </c>
      <c r="U2386">
        <v>0.21807860000000001</v>
      </c>
      <c r="V2386">
        <v>6.1680470000000001E-2</v>
      </c>
      <c r="W2386">
        <v>0.16919210000000001</v>
      </c>
      <c r="X2386">
        <v>0.9836511</v>
      </c>
      <c r="Y2386">
        <v>6.8184540000000002E-2</v>
      </c>
      <c r="Z2386">
        <v>3.4897379999999998E-4</v>
      </c>
      <c r="AA2386">
        <v>0.99767269999999997</v>
      </c>
      <c r="AB2386">
        <v>40</v>
      </c>
      <c r="AC2386">
        <v>-197.31549999999999</v>
      </c>
      <c r="AD2386">
        <v>-4.6217999999999801E-2</v>
      </c>
      <c r="AE2386">
        <v>14.2094</v>
      </c>
      <c r="AF2386">
        <v>13.5038874662922</v>
      </c>
      <c r="AG2386">
        <v>-4.6217999999999801E-2</v>
      </c>
      <c r="AH2386">
        <v>197.36502815772801</v>
      </c>
      <c r="AI2386">
        <v>90.013385955822898</v>
      </c>
      <c r="AJ2386">
        <v>86.085873042878106</v>
      </c>
      <c r="AK2386">
        <v>197.82646802818499</v>
      </c>
      <c r="AL2386">
        <v>80.259150297102494</v>
      </c>
      <c r="AM2386">
        <v>86.411929419105903</v>
      </c>
      <c r="AN2386">
        <v>0.99999996680651904</v>
      </c>
    </row>
    <row r="2387" spans="1:40" x14ac:dyDescent="0.25">
      <c r="A2387" t="str">
        <f>"20190303170305125"</f>
        <v>20190303170305125</v>
      </c>
      <c r="B2387" t="str">
        <f>"1551603785117611"</f>
        <v>1551603785117611</v>
      </c>
      <c r="C2387" t="s">
        <v>40</v>
      </c>
      <c r="D2387">
        <v>3.8834119999999999</v>
      </c>
      <c r="E2387">
        <v>0.50672890000000004</v>
      </c>
      <c r="F2387" t="s">
        <v>67</v>
      </c>
      <c r="G2387">
        <v>-511.82040000000001</v>
      </c>
      <c r="H2387">
        <v>0.90407340000000003</v>
      </c>
      <c r="I2387">
        <v>298.45359999999999</v>
      </c>
      <c r="J2387">
        <v>-314.80099999999999</v>
      </c>
      <c r="K2387">
        <v>1.120215</v>
      </c>
      <c r="L2387">
        <v>284.26920000000001</v>
      </c>
      <c r="M2387">
        <v>-0.9999519</v>
      </c>
      <c r="N2387">
        <v>-9.0670319999999992E-3</v>
      </c>
      <c r="O2387">
        <v>3.7501140000000001E-3</v>
      </c>
      <c r="P2387">
        <v>-0.98496309999999998</v>
      </c>
      <c r="Q2387">
        <v>0.16004289999999999</v>
      </c>
      <c r="R2387">
        <v>6.5071580000000004E-2</v>
      </c>
      <c r="S2387">
        <v>-3.0321039999999999</v>
      </c>
      <c r="T2387">
        <v>-3.3195020000000002E-3</v>
      </c>
      <c r="U2387">
        <v>0.21798709999999999</v>
      </c>
      <c r="V2387">
        <v>6.1560520000000001E-2</v>
      </c>
      <c r="W2387">
        <v>0.1689022</v>
      </c>
      <c r="X2387">
        <v>0.98370849999999999</v>
      </c>
      <c r="Y2387">
        <v>6.7966520000000002E-2</v>
      </c>
      <c r="Z2387">
        <v>3.7554850000000002E-4</v>
      </c>
      <c r="AA2387">
        <v>0.99768749999999995</v>
      </c>
      <c r="AB2387">
        <v>40</v>
      </c>
      <c r="AC2387">
        <v>-197.01939999999999</v>
      </c>
      <c r="AD2387">
        <v>-0.21614159999999999</v>
      </c>
      <c r="AE2387">
        <v>14.184399999999901</v>
      </c>
      <c r="AF2387">
        <v>13.445408598393399</v>
      </c>
      <c r="AG2387">
        <v>-0.21614159999999999</v>
      </c>
      <c r="AH2387">
        <v>197.070973847311</v>
      </c>
      <c r="AI2387">
        <v>90.062694540368696</v>
      </c>
      <c r="AJ2387">
        <v>86.096973716446101</v>
      </c>
      <c r="AK2387">
        <v>197.52922432565899</v>
      </c>
      <c r="AL2387">
        <v>80.276003526199602</v>
      </c>
      <c r="AM2387">
        <v>86.419097379858897</v>
      </c>
      <c r="AN2387">
        <v>1.0000000318798701</v>
      </c>
    </row>
    <row r="2388" spans="1:40" x14ac:dyDescent="0.25">
      <c r="A2388" t="str">
        <f>"20190303170305139"</f>
        <v>20190303170305139</v>
      </c>
      <c r="B2388" t="str">
        <f>"1551603785128347"</f>
        <v>1551603785128347</v>
      </c>
      <c r="C2388" t="s">
        <v>40</v>
      </c>
      <c r="D2388">
        <v>3.84483</v>
      </c>
      <c r="E2388">
        <v>0.50674160000000001</v>
      </c>
      <c r="F2388" t="s">
        <v>67</v>
      </c>
      <c r="G2388">
        <v>-511.82040000000001</v>
      </c>
      <c r="H2388">
        <v>0.72459379999999995</v>
      </c>
      <c r="I2388">
        <v>298.2509</v>
      </c>
      <c r="J2388">
        <v>-315.02760000000001</v>
      </c>
      <c r="K2388">
        <v>1.120241</v>
      </c>
      <c r="L2388">
        <v>284.27010000000001</v>
      </c>
      <c r="M2388">
        <v>-0.99995140000000005</v>
      </c>
      <c r="N2388">
        <v>-9.0668610000000007E-3</v>
      </c>
      <c r="O2388">
        <v>3.873835E-3</v>
      </c>
      <c r="P2388">
        <v>-0.98498289999999999</v>
      </c>
      <c r="Q2388">
        <v>0.15983349999999999</v>
      </c>
      <c r="R2388">
        <v>6.5282530000000005E-2</v>
      </c>
      <c r="S2388">
        <v>-3.032562</v>
      </c>
      <c r="T2388">
        <v>-6.0881379999999999E-3</v>
      </c>
      <c r="U2388">
        <v>0.21521000000000001</v>
      </c>
      <c r="V2388">
        <v>6.1638470000000001E-2</v>
      </c>
      <c r="W2388">
        <v>0.16869719999999999</v>
      </c>
      <c r="X2388">
        <v>0.98373880000000002</v>
      </c>
      <c r="Y2388">
        <v>6.6922899999999994E-2</v>
      </c>
      <c r="Z2388">
        <v>3.9818619999999999E-4</v>
      </c>
      <c r="AA2388">
        <v>0.99775809999999998</v>
      </c>
      <c r="AB2388">
        <v>41</v>
      </c>
      <c r="AC2388">
        <v>-196.7928</v>
      </c>
      <c r="AD2388">
        <v>-0.39564719999999998</v>
      </c>
      <c r="AE2388">
        <v>13.980799999999901</v>
      </c>
      <c r="AF2388">
        <v>13.218267761556</v>
      </c>
      <c r="AG2388">
        <v>-0.39564719999999998</v>
      </c>
      <c r="AH2388">
        <v>196.844693162753</v>
      </c>
      <c r="AI2388">
        <v>90.114902498322195</v>
      </c>
      <c r="AJ2388">
        <v>86.158313143379701</v>
      </c>
      <c r="AK2388">
        <v>197.288398963704</v>
      </c>
      <c r="AL2388">
        <v>80.287920204666307</v>
      </c>
      <c r="AM2388">
        <v>86.414685087227696</v>
      </c>
      <c r="AN2388">
        <v>1.0000000364486099</v>
      </c>
    </row>
    <row r="2389" spans="1:40" x14ac:dyDescent="0.25">
      <c r="A2389" t="str">
        <f>"20190303170305150"</f>
        <v>20190303170305150</v>
      </c>
      <c r="B2389" t="str">
        <f>"1551603785138107"</f>
        <v>1551603785138107</v>
      </c>
      <c r="C2389" t="s">
        <v>40</v>
      </c>
      <c r="D2389">
        <v>3.8791699999999998</v>
      </c>
      <c r="E2389">
        <v>0.50671160000000004</v>
      </c>
      <c r="F2389" t="s">
        <v>67</v>
      </c>
      <c r="G2389">
        <v>-511.82029999999997</v>
      </c>
      <c r="H2389">
        <v>0.58435760000000003</v>
      </c>
      <c r="I2389">
        <v>298.2903</v>
      </c>
      <c r="J2389">
        <v>-315.26179999999999</v>
      </c>
      <c r="K2389">
        <v>1.1202620000000001</v>
      </c>
      <c r="L2389">
        <v>284.27109999999999</v>
      </c>
      <c r="M2389">
        <v>-0.99995089999999998</v>
      </c>
      <c r="N2389">
        <v>-9.0660619999999997E-3</v>
      </c>
      <c r="O2389">
        <v>3.9912039999999999E-3</v>
      </c>
      <c r="P2389">
        <v>-0.98501209999999995</v>
      </c>
      <c r="Q2389">
        <v>0.159607</v>
      </c>
      <c r="R2389">
        <v>6.5399299999999994E-2</v>
      </c>
      <c r="S2389">
        <v>-3.0327760000000001</v>
      </c>
      <c r="T2389">
        <v>-8.2571509999999904E-3</v>
      </c>
      <c r="U2389">
        <v>0.21606449999999999</v>
      </c>
      <c r="V2389">
        <v>6.1629650000000001E-2</v>
      </c>
      <c r="W2389">
        <v>0.16847400000000001</v>
      </c>
      <c r="X2389">
        <v>0.98377760000000003</v>
      </c>
      <c r="Y2389">
        <v>6.7080180000000003E-2</v>
      </c>
      <c r="Z2389">
        <v>4.2096050000000002E-4</v>
      </c>
      <c r="AA2389">
        <v>0.99774750000000001</v>
      </c>
      <c r="AB2389">
        <v>41</v>
      </c>
      <c r="AC2389">
        <v>-196.55850000000001</v>
      </c>
      <c r="AD2389">
        <v>-0.53590439999999995</v>
      </c>
      <c r="AE2389">
        <v>14.0192</v>
      </c>
      <c r="AF2389">
        <v>13.234453106411101</v>
      </c>
      <c r="AG2389">
        <v>-0.53590439999999995</v>
      </c>
      <c r="AH2389">
        <v>196.61143598779901</v>
      </c>
      <c r="AI2389">
        <v>90.155818290973599</v>
      </c>
      <c r="AJ2389">
        <v>86.149073665099294</v>
      </c>
      <c r="AK2389">
        <v>197.05708488591799</v>
      </c>
      <c r="AL2389">
        <v>80.300894299936402</v>
      </c>
      <c r="AM2389">
        <v>86.415337796113803</v>
      </c>
      <c r="AN2389">
        <v>1.0000000343484401</v>
      </c>
    </row>
    <row r="2390" spans="1:40" x14ac:dyDescent="0.25">
      <c r="A2390" t="str">
        <f>"20190303170305162"</f>
        <v>20190303170305162</v>
      </c>
      <c r="B2390" t="str">
        <f>"1551603785147867"</f>
        <v>1551603785147867</v>
      </c>
      <c r="C2390" t="s">
        <v>40</v>
      </c>
      <c r="D2390">
        <v>3.8827020000000001</v>
      </c>
      <c r="E2390">
        <v>0.50669600000000004</v>
      </c>
      <c r="F2390" t="s">
        <v>67</v>
      </c>
      <c r="G2390">
        <v>-511.82029999999997</v>
      </c>
      <c r="H2390">
        <v>0.57958699999999996</v>
      </c>
      <c r="I2390">
        <v>298.28899999999999</v>
      </c>
      <c r="J2390">
        <v>-315.4649</v>
      </c>
      <c r="K2390">
        <v>1.1202799999999999</v>
      </c>
      <c r="L2390">
        <v>284.27199999999999</v>
      </c>
      <c r="M2390">
        <v>-0.99995060000000002</v>
      </c>
      <c r="N2390">
        <v>-9.0653820000000003E-3</v>
      </c>
      <c r="O2390">
        <v>4.088118E-3</v>
      </c>
      <c r="P2390">
        <v>-0.98505830000000005</v>
      </c>
      <c r="Q2390">
        <v>0.1593435</v>
      </c>
      <c r="R2390">
        <v>6.5346210000000002E-2</v>
      </c>
      <c r="S2390">
        <v>-3.032654</v>
      </c>
      <c r="T2390">
        <v>-8.3405969999999999E-3</v>
      </c>
      <c r="U2390">
        <v>0.2162781</v>
      </c>
      <c r="V2390">
        <v>6.1473180000000002E-2</v>
      </c>
      <c r="W2390">
        <v>0.1682131</v>
      </c>
      <c r="X2390">
        <v>0.98383200000000004</v>
      </c>
      <c r="Y2390">
        <v>6.7056240000000003E-2</v>
      </c>
      <c r="Z2390">
        <v>4.2222050000000001E-4</v>
      </c>
      <c r="AA2390">
        <v>0.99774910000000006</v>
      </c>
      <c r="AB2390">
        <v>41</v>
      </c>
      <c r="AC2390">
        <v>-196.3554</v>
      </c>
      <c r="AD2390">
        <v>-0.54069299999999998</v>
      </c>
      <c r="AE2390">
        <v>14.0169999999999</v>
      </c>
      <c r="AF2390">
        <v>13.2140261778405</v>
      </c>
      <c r="AG2390">
        <v>-0.54069299999999998</v>
      </c>
      <c r="AH2390">
        <v>196.40958280875</v>
      </c>
      <c r="AI2390">
        <v>90.157372540081994</v>
      </c>
      <c r="AJ2390">
        <v>86.151059901026898</v>
      </c>
      <c r="AK2390">
        <v>196.85432953292101</v>
      </c>
      <c r="AL2390">
        <v>80.316058875183202</v>
      </c>
      <c r="AM2390">
        <v>86.424612361528801</v>
      </c>
      <c r="AN2390">
        <v>1.0000000015474599</v>
      </c>
    </row>
    <row r="2391" spans="1:40" x14ac:dyDescent="0.25">
      <c r="A2391" t="str">
        <f>"20190303170305173"</f>
        <v>20190303170305173</v>
      </c>
      <c r="B2391" t="str">
        <f>"1551603785168364"</f>
        <v>1551603785168364</v>
      </c>
      <c r="C2391" t="s">
        <v>40</v>
      </c>
      <c r="D2391">
        <v>3.8598880000000002</v>
      </c>
      <c r="E2391">
        <v>0.50666869999999997</v>
      </c>
      <c r="F2391" t="s">
        <v>67</v>
      </c>
      <c r="G2391">
        <v>-511.82029999999997</v>
      </c>
      <c r="H2391">
        <v>0.49215439999999999</v>
      </c>
      <c r="I2391">
        <v>298.26920000000001</v>
      </c>
      <c r="J2391">
        <v>-315.6807</v>
      </c>
      <c r="K2391">
        <v>1.1202890000000001</v>
      </c>
      <c r="L2391">
        <v>284.27289999999999</v>
      </c>
      <c r="M2391">
        <v>-0.99995029999999996</v>
      </c>
      <c r="N2391">
        <v>-9.0646730000000005E-3</v>
      </c>
      <c r="O2391">
        <v>4.1878929999999998E-3</v>
      </c>
      <c r="P2391">
        <v>-0.98507829999999996</v>
      </c>
      <c r="Q2391">
        <v>0.1592924</v>
      </c>
      <c r="R2391">
        <v>6.5169759999999993E-2</v>
      </c>
      <c r="S2391">
        <v>-3.032715</v>
      </c>
      <c r="T2391">
        <v>-9.7000599999999999E-3</v>
      </c>
      <c r="U2391">
        <v>0.2161865</v>
      </c>
      <c r="V2391">
        <v>6.1190679999999997E-2</v>
      </c>
      <c r="W2391">
        <v>0.16816420000000001</v>
      </c>
      <c r="X2391">
        <v>0.98385800000000001</v>
      </c>
      <c r="Y2391">
        <v>6.6925070000000003E-2</v>
      </c>
      <c r="Z2391">
        <v>4.3515250000000002E-4</v>
      </c>
      <c r="AA2391">
        <v>0.99775789999999998</v>
      </c>
      <c r="AB2391">
        <v>41</v>
      </c>
      <c r="AC2391">
        <v>-196.1396</v>
      </c>
      <c r="AD2391">
        <v>-0.62813459999999899</v>
      </c>
      <c r="AE2391">
        <v>13.9963</v>
      </c>
      <c r="AF2391">
        <v>13.1745975396492</v>
      </c>
      <c r="AG2391">
        <v>-0.62813459999999899</v>
      </c>
      <c r="AH2391">
        <v>196.19449530362601</v>
      </c>
      <c r="AI2391">
        <v>90.183024863187001</v>
      </c>
      <c r="AJ2391">
        <v>86.1583157457667</v>
      </c>
      <c r="AK2391">
        <v>196.63734274255199</v>
      </c>
      <c r="AL2391">
        <v>80.3189014133103</v>
      </c>
      <c r="AM2391">
        <v>86.441094537008993</v>
      </c>
      <c r="AN2391">
        <v>1.0000000308222501</v>
      </c>
    </row>
    <row r="2392" spans="1:40" x14ac:dyDescent="0.25">
      <c r="A2392" t="str">
        <f>"20190303170305192"</f>
        <v>20190303170305192</v>
      </c>
      <c r="B2392" t="str">
        <f>"1551603785178123"</f>
        <v>1551603785178123</v>
      </c>
      <c r="C2392" t="s">
        <v>40</v>
      </c>
      <c r="D2392">
        <v>3.8427820000000001</v>
      </c>
      <c r="E2392">
        <v>0.50669310000000001</v>
      </c>
      <c r="F2392" t="s">
        <v>67</v>
      </c>
      <c r="G2392">
        <v>-511.82029999999997</v>
      </c>
      <c r="H2392">
        <v>0.47804200000000002</v>
      </c>
      <c r="I2392">
        <v>298.2131</v>
      </c>
      <c r="J2392">
        <v>-316.00510000000003</v>
      </c>
      <c r="K2392">
        <v>1.1203129999999999</v>
      </c>
      <c r="L2392">
        <v>284.27449999999999</v>
      </c>
      <c r="M2392">
        <v>-0.99994959999999999</v>
      </c>
      <c r="N2392">
        <v>-9.0640400000000006E-3</v>
      </c>
      <c r="O2392">
        <v>4.3323110000000001E-3</v>
      </c>
      <c r="P2392">
        <v>-0.98505500000000001</v>
      </c>
      <c r="Q2392">
        <v>0.1594718</v>
      </c>
      <c r="R2392">
        <v>6.5081349999999996E-2</v>
      </c>
      <c r="S2392">
        <v>-3.0327449999999998</v>
      </c>
      <c r="T2392">
        <v>-9.9291799999999993E-3</v>
      </c>
      <c r="U2392">
        <v>0.21554570000000001</v>
      </c>
      <c r="V2392">
        <v>6.0950219999999999E-2</v>
      </c>
      <c r="W2392">
        <v>0.16834660000000001</v>
      </c>
      <c r="X2392">
        <v>0.98384170000000004</v>
      </c>
      <c r="Y2392">
        <v>6.657043E-2</v>
      </c>
      <c r="Z2392">
        <v>4.3598159999999999E-4</v>
      </c>
      <c r="AA2392">
        <v>0.99778160000000005</v>
      </c>
      <c r="AB2392">
        <v>41</v>
      </c>
      <c r="AC2392">
        <v>-195.8152</v>
      </c>
      <c r="AD2392">
        <v>-0.64227099999999904</v>
      </c>
      <c r="AE2392">
        <v>13.938599999999999</v>
      </c>
      <c r="AF2392">
        <v>13.0899619257948</v>
      </c>
      <c r="AG2392">
        <v>-0.64227099999999904</v>
      </c>
      <c r="AH2392">
        <v>195.871654424403</v>
      </c>
      <c r="AI2392">
        <v>90.187456347503201</v>
      </c>
      <c r="AJ2392">
        <v>86.176649350199796</v>
      </c>
      <c r="AK2392">
        <v>196.30961418689799</v>
      </c>
      <c r="AL2392">
        <v>80.308299204006403</v>
      </c>
      <c r="AM2392">
        <v>86.454985592968498</v>
      </c>
      <c r="AN2392">
        <v>0.99999999885424895</v>
      </c>
    </row>
    <row r="2393" spans="1:40" x14ac:dyDescent="0.25">
      <c r="A2393" t="str">
        <f>"20190303170305206"</f>
        <v>20190303170305206</v>
      </c>
      <c r="B2393" t="str">
        <f>"1551603785197644"</f>
        <v>1551603785197644</v>
      </c>
      <c r="C2393" t="s">
        <v>40</v>
      </c>
      <c r="D2393">
        <v>3.849278</v>
      </c>
      <c r="E2393">
        <v>0.50643839999999996</v>
      </c>
      <c r="F2393" t="s">
        <v>67</v>
      </c>
      <c r="G2393">
        <v>-511.82029999999997</v>
      </c>
      <c r="H2393">
        <v>0.49055929999999998</v>
      </c>
      <c r="I2393">
        <v>298.18889999999999</v>
      </c>
      <c r="J2393">
        <v>-316.26569999999998</v>
      </c>
      <c r="K2393">
        <v>1.1203339999999999</v>
      </c>
      <c r="L2393">
        <v>284.27569999999997</v>
      </c>
      <c r="M2393">
        <v>-0.99994919999999998</v>
      </c>
      <c r="N2393">
        <v>-9.0639480000000005E-3</v>
      </c>
      <c r="O2393">
        <v>4.4451480000000003E-3</v>
      </c>
      <c r="P2393">
        <v>-0.98504959999999997</v>
      </c>
      <c r="Q2393">
        <v>0.15946869999999999</v>
      </c>
      <c r="R2393">
        <v>6.5172499999999994E-2</v>
      </c>
      <c r="S2393">
        <v>-3.0328979999999999</v>
      </c>
      <c r="T2393">
        <v>-9.7526309999999995E-3</v>
      </c>
      <c r="U2393">
        <v>0.21551509999999999</v>
      </c>
      <c r="V2393">
        <v>6.0923320000000003E-2</v>
      </c>
      <c r="W2393">
        <v>0.1683461</v>
      </c>
      <c r="X2393">
        <v>0.98384340000000003</v>
      </c>
      <c r="Y2393">
        <v>6.6444340000000005E-2</v>
      </c>
      <c r="Z2393">
        <v>4.341746E-4</v>
      </c>
      <c r="AA2393">
        <v>0.99778999999999995</v>
      </c>
      <c r="AB2393">
        <v>41</v>
      </c>
      <c r="AC2393">
        <v>-195.55459999999999</v>
      </c>
      <c r="AD2393">
        <v>-0.62977469999999902</v>
      </c>
      <c r="AE2393">
        <v>13.9132</v>
      </c>
      <c r="AF2393">
        <v>13.0436232209612</v>
      </c>
      <c r="AG2393">
        <v>-0.62977469999999902</v>
      </c>
      <c r="AH2393">
        <v>195.612498037835</v>
      </c>
      <c r="AI2393">
        <v>90.184054473405894</v>
      </c>
      <c r="AJ2393">
        <v>86.185111573512998</v>
      </c>
      <c r="AK2393">
        <v>196.04790769479001</v>
      </c>
      <c r="AL2393">
        <v>80.308327769203402</v>
      </c>
      <c r="AM2393">
        <v>86.456552282926694</v>
      </c>
      <c r="AN2393">
        <v>0.99999994801429404</v>
      </c>
    </row>
    <row r="2394" spans="1:40" x14ac:dyDescent="0.25">
      <c r="A2394" t="str">
        <f>"20190303170305219"</f>
        <v>20190303170305219</v>
      </c>
      <c r="B2394" t="str">
        <f>"1551603785208379"</f>
        <v>1551603785208379</v>
      </c>
      <c r="C2394" t="s">
        <v>40</v>
      </c>
      <c r="D2394">
        <v>3.8405680000000002</v>
      </c>
      <c r="E2394">
        <v>0.50629259999999998</v>
      </c>
      <c r="F2394" t="s">
        <v>67</v>
      </c>
      <c r="G2394">
        <v>-511.82040000000001</v>
      </c>
      <c r="H2394">
        <v>0.71921919999999995</v>
      </c>
      <c r="I2394">
        <v>298.07560000000001</v>
      </c>
      <c r="J2394">
        <v>-316.49599999999998</v>
      </c>
      <c r="K2394">
        <v>1.1203449999999999</v>
      </c>
      <c r="L2394">
        <v>284.27679999999998</v>
      </c>
      <c r="M2394">
        <v>-0.99994870000000002</v>
      </c>
      <c r="N2394">
        <v>-9.0640890000000009E-3</v>
      </c>
      <c r="O2394">
        <v>4.5441290000000001E-3</v>
      </c>
      <c r="P2394">
        <v>-0.98503430000000003</v>
      </c>
      <c r="Q2394">
        <v>0.15954279999999901</v>
      </c>
      <c r="R2394">
        <v>6.5220780000000006E-2</v>
      </c>
      <c r="S2394">
        <v>-3.0323790000000002</v>
      </c>
      <c r="T2394">
        <v>-6.2185529999999999E-3</v>
      </c>
      <c r="U2394">
        <v>0.21398929999999999</v>
      </c>
      <c r="V2394">
        <v>6.0868640000000002E-2</v>
      </c>
      <c r="W2394">
        <v>0.1684223</v>
      </c>
      <c r="X2394">
        <v>0.98383379999999998</v>
      </c>
      <c r="Y2394">
        <v>6.5858680000000003E-2</v>
      </c>
      <c r="Z2394">
        <v>3.9813089999999999E-4</v>
      </c>
      <c r="AA2394">
        <v>0.99782890000000002</v>
      </c>
      <c r="AB2394">
        <v>41</v>
      </c>
      <c r="AC2394">
        <v>-195.3244</v>
      </c>
      <c r="AD2394">
        <v>-0.40112579999999998</v>
      </c>
      <c r="AE2394">
        <v>13.7988</v>
      </c>
      <c r="AF2394">
        <v>12.9109876998383</v>
      </c>
      <c r="AG2394">
        <v>-0.40112579999999998</v>
      </c>
      <c r="AH2394">
        <v>195.38426935560901</v>
      </c>
      <c r="AI2394">
        <v>90.117372648095497</v>
      </c>
      <c r="AJ2394">
        <v>86.219392663646701</v>
      </c>
      <c r="AK2394">
        <v>195.81079443411201</v>
      </c>
      <c r="AL2394">
        <v>80.303899138761693</v>
      </c>
      <c r="AM2394">
        <v>86.459690054513302</v>
      </c>
      <c r="AN2394">
        <v>1.0000000042475801</v>
      </c>
    </row>
    <row r="2395" spans="1:40" x14ac:dyDescent="0.25">
      <c r="A2395" t="str">
        <f>"20190303170305233"</f>
        <v>20190303170305233</v>
      </c>
      <c r="B2395" t="str">
        <f>"1551603785227899"</f>
        <v>1551603785227899</v>
      </c>
      <c r="C2395" t="s">
        <v>40</v>
      </c>
      <c r="D2395">
        <v>3.8819029999999999</v>
      </c>
      <c r="E2395">
        <v>0.50612409999999997</v>
      </c>
      <c r="F2395" t="s">
        <v>67</v>
      </c>
      <c r="G2395">
        <v>-511.82040000000001</v>
      </c>
      <c r="H2395">
        <v>0.85243400000000003</v>
      </c>
      <c r="I2395">
        <v>298.01850000000002</v>
      </c>
      <c r="J2395">
        <v>-316.76580000000001</v>
      </c>
      <c r="K2395">
        <v>1.12036</v>
      </c>
      <c r="L2395">
        <v>284.27809999999999</v>
      </c>
      <c r="M2395">
        <v>-0.99994810000000001</v>
      </c>
      <c r="N2395">
        <v>-9.0646219999999996E-3</v>
      </c>
      <c r="O2395">
        <v>4.6586589999999999E-3</v>
      </c>
      <c r="P2395">
        <v>-0.98501760000000005</v>
      </c>
      <c r="Q2395">
        <v>0.159585</v>
      </c>
      <c r="R2395">
        <v>6.5369209999999997E-2</v>
      </c>
      <c r="S2395">
        <v>-3.0321039999999999</v>
      </c>
      <c r="T2395">
        <v>-4.1575429999999997E-3</v>
      </c>
      <c r="U2395">
        <v>0.2133179</v>
      </c>
      <c r="V2395">
        <v>6.0898290000000001E-2</v>
      </c>
      <c r="W2395">
        <v>0.168466899999999</v>
      </c>
      <c r="X2395">
        <v>0.98382429999999998</v>
      </c>
      <c r="Y2395">
        <v>6.5531149999999996E-2</v>
      </c>
      <c r="Z2395">
        <v>3.7805320000000001E-4</v>
      </c>
      <c r="AA2395">
        <v>0.99785049999999997</v>
      </c>
      <c r="AB2395">
        <v>41</v>
      </c>
      <c r="AC2395">
        <v>-195.05459999999999</v>
      </c>
      <c r="AD2395">
        <v>-0.267926</v>
      </c>
      <c r="AE2395">
        <v>13.740399999999999</v>
      </c>
      <c r="AF2395">
        <v>12.8314966225532</v>
      </c>
      <c r="AG2395">
        <v>-0.267926</v>
      </c>
      <c r="AH2395">
        <v>195.11613131534401</v>
      </c>
      <c r="AI2395">
        <v>90.078506740480506</v>
      </c>
      <c r="AJ2395">
        <v>86.237453654640305</v>
      </c>
      <c r="AK2395">
        <v>195.537780976932</v>
      </c>
      <c r="AL2395">
        <v>80.301306424430095</v>
      </c>
      <c r="AM2395">
        <v>86.457935791957695</v>
      </c>
      <c r="AN2395">
        <v>0.99999997569551102</v>
      </c>
    </row>
    <row r="2396" spans="1:40" x14ac:dyDescent="0.25">
      <c r="A2396" t="str">
        <f>"20190303170305248"</f>
        <v>20190303170305248</v>
      </c>
      <c r="B2396" t="str">
        <f>"1551603785237659"</f>
        <v>1551603785237659</v>
      </c>
      <c r="C2396" t="s">
        <v>40</v>
      </c>
      <c r="D2396">
        <v>3.9019050000000002</v>
      </c>
      <c r="E2396">
        <v>0.50609119999999996</v>
      </c>
      <c r="F2396" t="s">
        <v>67</v>
      </c>
      <c r="G2396">
        <v>-511.82049999999998</v>
      </c>
      <c r="H2396">
        <v>0.98236800000000002</v>
      </c>
      <c r="I2396">
        <v>297.98250000000002</v>
      </c>
      <c r="J2396">
        <v>-317.03800000000001</v>
      </c>
      <c r="K2396">
        <v>1.1203799999999999</v>
      </c>
      <c r="L2396">
        <v>284.27949999999998</v>
      </c>
      <c r="M2396">
        <v>-0.99994760000000005</v>
      </c>
      <c r="N2396">
        <v>-9.0656669999999995E-3</v>
      </c>
      <c r="O2396">
        <v>4.7740959999999898E-3</v>
      </c>
      <c r="P2396">
        <v>-0.98488120000000001</v>
      </c>
      <c r="Q2396">
        <v>0.16030059999999999</v>
      </c>
      <c r="R2396">
        <v>6.5674510000000005E-2</v>
      </c>
      <c r="S2396">
        <v>-3.0317989999999999</v>
      </c>
      <c r="T2396">
        <v>-2.1435019999999998E-3</v>
      </c>
      <c r="U2396">
        <v>0.2130127</v>
      </c>
      <c r="V2396">
        <v>6.1085929999999997E-2</v>
      </c>
      <c r="W2396">
        <v>0.1691841</v>
      </c>
      <c r="X2396">
        <v>0.98368960000000005</v>
      </c>
      <c r="Y2396">
        <v>6.5323309999999996E-2</v>
      </c>
      <c r="Z2396">
        <v>3.593933E-4</v>
      </c>
      <c r="AA2396">
        <v>0.99786410000000003</v>
      </c>
      <c r="AB2396">
        <v>41</v>
      </c>
      <c r="AC2396">
        <v>-194.7825</v>
      </c>
      <c r="AD2396">
        <v>-0.138011999999999</v>
      </c>
      <c r="AE2396">
        <v>13.702999999999999</v>
      </c>
      <c r="AF2396">
        <v>12.7728889608745</v>
      </c>
      <c r="AG2396">
        <v>-0.138011999999999</v>
      </c>
      <c r="AH2396">
        <v>194.84560484713899</v>
      </c>
      <c r="AI2396">
        <v>90.040496514482001</v>
      </c>
      <c r="AJ2396">
        <v>86.249404649787607</v>
      </c>
      <c r="AK2396">
        <v>195.26386114170299</v>
      </c>
      <c r="AL2396">
        <v>80.259615594483407</v>
      </c>
      <c r="AM2396">
        <v>86.4465646154094</v>
      </c>
      <c r="AN2396">
        <v>0.99999998984246696</v>
      </c>
    </row>
    <row r="2397" spans="1:40" x14ac:dyDescent="0.25">
      <c r="A2397" t="str">
        <f>"20190303170305271"</f>
        <v>20190303170305271</v>
      </c>
      <c r="B2397" t="str">
        <f>"1551603785258156"</f>
        <v>1551603785258156</v>
      </c>
      <c r="C2397" t="s">
        <v>40</v>
      </c>
      <c r="D2397">
        <v>3.861796</v>
      </c>
      <c r="E2397">
        <v>0.50595939999999995</v>
      </c>
      <c r="F2397" t="s">
        <v>67</v>
      </c>
      <c r="G2397">
        <v>-511.82049999999998</v>
      </c>
      <c r="H2397">
        <v>1.1575</v>
      </c>
      <c r="I2397">
        <v>297.96710000000002</v>
      </c>
      <c r="J2397">
        <v>-317.45760000000001</v>
      </c>
      <c r="K2397">
        <v>1.120395</v>
      </c>
      <c r="L2397">
        <v>284.2817</v>
      </c>
      <c r="M2397">
        <v>-0.99994660000000002</v>
      </c>
      <c r="N2397">
        <v>-9.0729590000000002E-3</v>
      </c>
      <c r="O2397">
        <v>4.9510939999999996E-3</v>
      </c>
      <c r="P2397">
        <v>-0.98489579999999999</v>
      </c>
      <c r="Q2397">
        <v>0.16006239999999999</v>
      </c>
      <c r="R2397">
        <v>6.6034560000000006E-2</v>
      </c>
      <c r="S2397">
        <v>-3.0317379999999998</v>
      </c>
      <c r="T2397">
        <v>5.7911870000000002E-4</v>
      </c>
      <c r="U2397">
        <v>0.21304319999999999</v>
      </c>
      <c r="V2397">
        <v>6.1264310000000002E-2</v>
      </c>
      <c r="W2397">
        <v>0.16895569999999999</v>
      </c>
      <c r="X2397">
        <v>0.98371770000000003</v>
      </c>
      <c r="Y2397">
        <v>6.5158400000000005E-2</v>
      </c>
      <c r="Z2397">
        <v>3.3555750000000001E-4</v>
      </c>
      <c r="AA2397">
        <v>0.99787490000000001</v>
      </c>
      <c r="AB2397">
        <v>41</v>
      </c>
      <c r="AC2397">
        <v>-194.3629</v>
      </c>
      <c r="AD2397">
        <v>3.7104999999999902E-2</v>
      </c>
      <c r="AE2397">
        <v>13.6854</v>
      </c>
      <c r="AF2397">
        <v>12.722883204710801</v>
      </c>
      <c r="AG2397">
        <v>3.7104999999999902E-2</v>
      </c>
      <c r="AH2397">
        <v>194.42827098692999</v>
      </c>
      <c r="AI2397">
        <v>89.989088918551701</v>
      </c>
      <c r="AJ2397">
        <v>86.256050217010198</v>
      </c>
      <c r="AK2397">
        <v>194.844106127922</v>
      </c>
      <c r="AL2397">
        <v>80.272892492867499</v>
      </c>
      <c r="AM2397">
        <v>86.436316297032107</v>
      </c>
      <c r="AN2397">
        <v>0.99999992876777499</v>
      </c>
    </row>
    <row r="2398" spans="1:40" x14ac:dyDescent="0.25">
      <c r="A2398" t="str">
        <f>"20190303170305294"</f>
        <v>20190303170305294</v>
      </c>
      <c r="B2398" t="str">
        <f>"1551603785288412"</f>
        <v>1551603785288412</v>
      </c>
      <c r="C2398" t="s">
        <v>40</v>
      </c>
      <c r="D2398">
        <v>3.85229</v>
      </c>
      <c r="E2398">
        <v>0.5058395</v>
      </c>
      <c r="F2398" t="s">
        <v>67</v>
      </c>
      <c r="G2398">
        <v>-511.82049999999998</v>
      </c>
      <c r="H2398">
        <v>1.1707650000000001</v>
      </c>
      <c r="I2398">
        <v>297.96359999999999</v>
      </c>
      <c r="J2398">
        <v>-317.86470000000003</v>
      </c>
      <c r="K2398">
        <v>1.1204069999999999</v>
      </c>
      <c r="L2398">
        <v>284.28379999999999</v>
      </c>
      <c r="M2398">
        <v>-0.99994559999999999</v>
      </c>
      <c r="N2398">
        <v>-9.0884209999999993E-3</v>
      </c>
      <c r="O2398">
        <v>5.1219580000000002E-3</v>
      </c>
      <c r="P2398">
        <v>-0.98508700000000005</v>
      </c>
      <c r="Q2398">
        <v>0.1590905</v>
      </c>
      <c r="R2398">
        <v>6.552769E-2</v>
      </c>
      <c r="S2398">
        <v>-3.031647</v>
      </c>
      <c r="T2398">
        <v>7.8701970000000004E-4</v>
      </c>
      <c r="U2398">
        <v>0.2134094</v>
      </c>
      <c r="V2398">
        <v>6.0582379999999998E-2</v>
      </c>
      <c r="W2398">
        <v>0.1680035</v>
      </c>
      <c r="X2398">
        <v>0.98392310000000005</v>
      </c>
      <c r="Y2398">
        <v>6.5109990000000006E-2</v>
      </c>
      <c r="Z2398">
        <v>3.3562819999999999E-4</v>
      </c>
      <c r="AA2398">
        <v>0.99787800000000004</v>
      </c>
      <c r="AB2398">
        <v>41</v>
      </c>
      <c r="AC2398">
        <v>-193.95579999999899</v>
      </c>
      <c r="AD2398">
        <v>5.0358000000000097E-2</v>
      </c>
      <c r="AE2398">
        <v>13.6798</v>
      </c>
      <c r="AF2398">
        <v>12.686145217798201</v>
      </c>
      <c r="AG2398">
        <v>5.0358000000000097E-2</v>
      </c>
      <c r="AH2398">
        <v>194.023312850124</v>
      </c>
      <c r="AI2398">
        <v>89.985160788598606</v>
      </c>
      <c r="AJ2398">
        <v>86.259060823345607</v>
      </c>
      <c r="AK2398">
        <v>194.43761659142001</v>
      </c>
      <c r="AL2398">
        <v>80.328241760852805</v>
      </c>
      <c r="AM2398">
        <v>86.476616781727202</v>
      </c>
      <c r="AN2398">
        <v>1.0000000337461601</v>
      </c>
    </row>
    <row r="2399" spans="1:40" x14ac:dyDescent="0.25">
      <c r="A2399" t="str">
        <f>"20190303170305315"</f>
        <v>20190303170305315</v>
      </c>
      <c r="B2399" t="str">
        <f>"1551603785307931"</f>
        <v>1551603785307931</v>
      </c>
      <c r="C2399" t="s">
        <v>40</v>
      </c>
      <c r="D2399">
        <v>3.8755269999999999</v>
      </c>
      <c r="E2399">
        <v>0.50573349999999995</v>
      </c>
      <c r="F2399" t="s">
        <v>67</v>
      </c>
      <c r="G2399">
        <v>-511.82049999999998</v>
      </c>
      <c r="H2399">
        <v>1.0548820000000001</v>
      </c>
      <c r="I2399">
        <v>297.78699999999998</v>
      </c>
      <c r="J2399">
        <v>-318.26080000000002</v>
      </c>
      <c r="K2399">
        <v>1.1204160000000001</v>
      </c>
      <c r="L2399">
        <v>284.28590000000003</v>
      </c>
      <c r="M2399">
        <v>-0.99994459999999996</v>
      </c>
      <c r="N2399">
        <v>-9.1080810000000005E-3</v>
      </c>
      <c r="O2399">
        <v>5.2877050000000002E-3</v>
      </c>
      <c r="P2399">
        <v>-0.98528020000000005</v>
      </c>
      <c r="Q2399">
        <v>0.15817349999999999</v>
      </c>
      <c r="R2399">
        <v>6.4841339999999997E-2</v>
      </c>
      <c r="S2399">
        <v>-3.0315859999999999</v>
      </c>
      <c r="T2399">
        <v>-1.022816E-3</v>
      </c>
      <c r="U2399">
        <v>0.21105960000000001</v>
      </c>
      <c r="V2399">
        <v>5.9727059999999998E-2</v>
      </c>
      <c r="W2399">
        <v>0.1671098</v>
      </c>
      <c r="X2399">
        <v>0.98412750000000004</v>
      </c>
      <c r="Y2399">
        <v>6.4176049999999998E-2</v>
      </c>
      <c r="Z2399">
        <v>3.4975719999999998E-4</v>
      </c>
      <c r="AA2399">
        <v>0.99793849999999995</v>
      </c>
      <c r="AB2399">
        <v>41</v>
      </c>
      <c r="AC2399">
        <v>-193.55969999999999</v>
      </c>
      <c r="AD2399">
        <v>-6.5534000000000203E-2</v>
      </c>
      <c r="AE2399">
        <v>13.501099999999999</v>
      </c>
      <c r="AF2399">
        <v>12.4773808280225</v>
      </c>
      <c r="AG2399">
        <v>-6.5534000000000203E-2</v>
      </c>
      <c r="AH2399">
        <v>193.62836451192601</v>
      </c>
      <c r="AI2399">
        <v>90.019351760482394</v>
      </c>
      <c r="AJ2399">
        <v>86.3129669563221</v>
      </c>
      <c r="AK2399">
        <v>194.029979308859</v>
      </c>
      <c r="AL2399">
        <v>80.380180693478295</v>
      </c>
      <c r="AM2399">
        <v>86.526957993305203</v>
      </c>
      <c r="AN2399">
        <v>0.99999997160426601</v>
      </c>
    </row>
    <row r="2400" spans="1:40" x14ac:dyDescent="0.25">
      <c r="A2400" t="str">
        <f>"20190303170305329"</f>
        <v>20190303170305329</v>
      </c>
      <c r="B2400" t="str">
        <f>"1551603785317691"</f>
        <v>1551603785317691</v>
      </c>
      <c r="C2400" t="s">
        <v>40</v>
      </c>
      <c r="D2400">
        <v>3.879175</v>
      </c>
      <c r="E2400">
        <v>0.50566309999999903</v>
      </c>
      <c r="F2400" t="s">
        <v>67</v>
      </c>
      <c r="G2400">
        <v>-511.82040000000001</v>
      </c>
      <c r="H2400">
        <v>0.87950399999999995</v>
      </c>
      <c r="I2400">
        <v>297.5838</v>
      </c>
      <c r="J2400">
        <v>-318.50830000000002</v>
      </c>
      <c r="K2400">
        <v>1.1204209999999999</v>
      </c>
      <c r="L2400">
        <v>284.28739999999999</v>
      </c>
      <c r="M2400">
        <v>-0.9999439</v>
      </c>
      <c r="N2400">
        <v>-9.1211699999999996E-3</v>
      </c>
      <c r="O2400">
        <v>5.3904740000000001E-3</v>
      </c>
      <c r="P2400">
        <v>-0.9853461</v>
      </c>
      <c r="Q2400">
        <v>0.15791479999999999</v>
      </c>
      <c r="R2400">
        <v>6.4466229999999999E-2</v>
      </c>
      <c r="S2400">
        <v>-3.0317080000000001</v>
      </c>
      <c r="T2400">
        <v>-3.7720200000000001E-3</v>
      </c>
      <c r="U2400">
        <v>0.20828250000000001</v>
      </c>
      <c r="V2400">
        <v>5.9247929999999997E-2</v>
      </c>
      <c r="W2400">
        <v>0.16686529999999899</v>
      </c>
      <c r="X2400">
        <v>0.98419800000000002</v>
      </c>
      <c r="Y2400">
        <v>6.3160549999999996E-2</v>
      </c>
      <c r="Z2400">
        <v>3.7005520000000001E-4</v>
      </c>
      <c r="AA2400">
        <v>0.99800330000000004</v>
      </c>
      <c r="AB2400">
        <v>41</v>
      </c>
      <c r="AC2400">
        <v>-193.31209999999999</v>
      </c>
      <c r="AD2400">
        <v>-0.24091699999999899</v>
      </c>
      <c r="AE2400">
        <v>13.2964</v>
      </c>
      <c r="AF2400">
        <v>12.254100692190301</v>
      </c>
      <c r="AG2400">
        <v>-0.24091699999999899</v>
      </c>
      <c r="AH2400">
        <v>193.3806691318</v>
      </c>
      <c r="AI2400">
        <v>90.071237159389298</v>
      </c>
      <c r="AJ2400">
        <v>86.374142531835602</v>
      </c>
      <c r="AK2400">
        <v>193.768687404952</v>
      </c>
      <c r="AL2400">
        <v>80.394389522675795</v>
      </c>
      <c r="AM2400">
        <v>86.554997524441802</v>
      </c>
      <c r="AN2400">
        <v>1.00000002437868</v>
      </c>
    </row>
    <row r="2401" spans="1:40" x14ac:dyDescent="0.25">
      <c r="A2401" t="str">
        <f>"20190303170305347"</f>
        <v>20190303170305347</v>
      </c>
      <c r="B2401" t="str">
        <f>"1551603785338187"</f>
        <v>1551603785338187</v>
      </c>
      <c r="C2401" t="s">
        <v>40</v>
      </c>
      <c r="D2401">
        <v>3.9309910000000001</v>
      </c>
      <c r="E2401">
        <v>0.50564709999999902</v>
      </c>
      <c r="F2401" t="s">
        <v>67</v>
      </c>
      <c r="G2401">
        <v>-510.95389999999998</v>
      </c>
      <c r="H2401">
        <v>0.83416900000000005</v>
      </c>
      <c r="I2401">
        <v>297.42880000000002</v>
      </c>
      <c r="J2401">
        <v>-318.86169999999998</v>
      </c>
      <c r="K2401">
        <v>1.12043</v>
      </c>
      <c r="L2401">
        <v>284.28930000000003</v>
      </c>
      <c r="M2401">
        <v>-0.99994300000000003</v>
      </c>
      <c r="N2401">
        <v>-9.1395039999999997E-3</v>
      </c>
      <c r="O2401">
        <v>5.5367799999999998E-3</v>
      </c>
      <c r="P2401">
        <v>-0.98532609999999998</v>
      </c>
      <c r="Q2401">
        <v>0.1583358</v>
      </c>
      <c r="R2401">
        <v>6.3736840000000003E-2</v>
      </c>
      <c r="S2401">
        <v>-3.0317989999999999</v>
      </c>
      <c r="T2401">
        <v>-4.5082569999999999E-3</v>
      </c>
      <c r="U2401">
        <v>0.2070313</v>
      </c>
      <c r="V2401">
        <v>5.8372420000000001E-2</v>
      </c>
      <c r="W2401">
        <v>0.16730539999999999</v>
      </c>
      <c r="X2401">
        <v>0.98417560000000004</v>
      </c>
      <c r="Y2401">
        <v>6.2602420000000006E-2</v>
      </c>
      <c r="Z2401">
        <v>3.7523299999999999E-4</v>
      </c>
      <c r="AA2401">
        <v>0.99803850000000005</v>
      </c>
      <c r="AB2401">
        <v>41</v>
      </c>
      <c r="AC2401">
        <v>-192.09219999999999</v>
      </c>
      <c r="AD2401">
        <v>-0.28626099999999999</v>
      </c>
      <c r="AE2401">
        <v>13.1394999999999</v>
      </c>
      <c r="AF2401">
        <v>12.075655314033</v>
      </c>
      <c r="AG2401">
        <v>-0.28626099999999999</v>
      </c>
      <c r="AH2401">
        <v>192.16158414118499</v>
      </c>
      <c r="AI2401">
        <v>90.0851847980597</v>
      </c>
      <c r="AJ2401">
        <v>86.404195527249996</v>
      </c>
      <c r="AK2401">
        <v>192.54084713710299</v>
      </c>
      <c r="AL2401">
        <v>80.368814118612903</v>
      </c>
      <c r="AM2401">
        <v>86.605707540055207</v>
      </c>
      <c r="AN2401">
        <v>1.00000002396058</v>
      </c>
    </row>
    <row r="2402" spans="1:40" x14ac:dyDescent="0.25">
      <c r="A2402" t="str">
        <f>"20190303170305364"</f>
        <v>20190303170305364</v>
      </c>
      <c r="B2402" t="str">
        <f>"1551603785357707"</f>
        <v>1551603785357707</v>
      </c>
      <c r="C2402" t="s">
        <v>40</v>
      </c>
      <c r="D2402">
        <v>3.9312779999999998</v>
      </c>
      <c r="E2402">
        <v>0.50563999999999998</v>
      </c>
      <c r="F2402" t="s">
        <v>67</v>
      </c>
      <c r="G2402">
        <v>-510.95389999999998</v>
      </c>
      <c r="H2402">
        <v>0.93160719999999997</v>
      </c>
      <c r="I2402">
        <v>297.27089999999998</v>
      </c>
      <c r="J2402">
        <v>-319.17090000000002</v>
      </c>
      <c r="K2402">
        <v>1.1204369999999999</v>
      </c>
      <c r="L2402">
        <v>284.2912</v>
      </c>
      <c r="M2402">
        <v>-0.999942</v>
      </c>
      <c r="N2402">
        <v>-9.1567639999999995E-3</v>
      </c>
      <c r="O2402">
        <v>5.6646300000000004E-3</v>
      </c>
      <c r="P2402">
        <v>-0.98531740000000001</v>
      </c>
      <c r="Q2402">
        <v>0.1584516</v>
      </c>
      <c r="R2402">
        <v>6.3582830000000007E-2</v>
      </c>
      <c r="S2402">
        <v>-3.0318909999999999</v>
      </c>
      <c r="T2402">
        <v>-2.9789209999999998E-3</v>
      </c>
      <c r="U2402">
        <v>0.20489499999999999</v>
      </c>
      <c r="V2402">
        <v>5.8090889999999999E-2</v>
      </c>
      <c r="W2402">
        <v>0.1674389</v>
      </c>
      <c r="X2402">
        <v>0.98416950000000003</v>
      </c>
      <c r="Y2402">
        <v>6.1772970000000003E-2</v>
      </c>
      <c r="Z2402">
        <v>3.5971689999999998E-4</v>
      </c>
      <c r="AA2402">
        <v>0.99809009999999998</v>
      </c>
      <c r="AB2402">
        <v>41</v>
      </c>
      <c r="AC2402">
        <v>-191.78299999999999</v>
      </c>
      <c r="AD2402">
        <v>-0.18882979999999999</v>
      </c>
      <c r="AE2402">
        <v>12.9796999999999</v>
      </c>
      <c r="AF2402">
        <v>11.8930549408404</v>
      </c>
      <c r="AG2402">
        <v>-0.18882979999999999</v>
      </c>
      <c r="AH2402">
        <v>191.85326588823199</v>
      </c>
      <c r="AI2402">
        <v>90.056284780122397</v>
      </c>
      <c r="AJ2402">
        <v>86.452752575368905</v>
      </c>
      <c r="AK2402">
        <v>192.22163261324101</v>
      </c>
      <c r="AL2402">
        <v>80.361055172241905</v>
      </c>
      <c r="AM2402">
        <v>86.622019313480095</v>
      </c>
      <c r="AN2402">
        <v>0.99999997073222502</v>
      </c>
    </row>
    <row r="2403" spans="1:40" x14ac:dyDescent="0.25">
      <c r="A2403" t="str">
        <f>"20190303170305378"</f>
        <v>20190303170305378</v>
      </c>
      <c r="B2403" t="str">
        <f>"1551603785367469"</f>
        <v>1551603785367469</v>
      </c>
      <c r="C2403" t="s">
        <v>40</v>
      </c>
      <c r="D2403">
        <v>3.8863490000000001</v>
      </c>
      <c r="E2403">
        <v>0.50557680000000005</v>
      </c>
      <c r="F2403" t="s">
        <v>67</v>
      </c>
      <c r="G2403">
        <v>-510.95389999999998</v>
      </c>
      <c r="H2403">
        <v>0.98588379999999998</v>
      </c>
      <c r="I2403">
        <v>297.2328</v>
      </c>
      <c r="J2403">
        <v>-319.41800000000001</v>
      </c>
      <c r="K2403">
        <v>1.1204400000000001</v>
      </c>
      <c r="L2403">
        <v>284.29270000000002</v>
      </c>
      <c r="M2403">
        <v>-0.99994130000000003</v>
      </c>
      <c r="N2403">
        <v>-9.1718289999999994E-3</v>
      </c>
      <c r="O2403">
        <v>5.7665750000000003E-3</v>
      </c>
      <c r="P2403">
        <v>-0.98525119999999999</v>
      </c>
      <c r="Q2403">
        <v>0.15903599999999901</v>
      </c>
      <c r="R2403">
        <v>6.3148800000000005E-2</v>
      </c>
      <c r="S2403">
        <v>-3.0318299999999998</v>
      </c>
      <c r="T2403">
        <v>-2.1257400000000001E-3</v>
      </c>
      <c r="U2403">
        <v>0.20458979999999999</v>
      </c>
      <c r="V2403">
        <v>5.7555920000000003E-2</v>
      </c>
      <c r="W2403">
        <v>0.16803870000000001</v>
      </c>
      <c r="X2403">
        <v>0.98409869999999999</v>
      </c>
      <c r="Y2403">
        <v>6.1572670000000003E-2</v>
      </c>
      <c r="Z2403">
        <v>3.5305070000000001E-4</v>
      </c>
      <c r="AA2403">
        <v>0.9981025</v>
      </c>
      <c r="AB2403">
        <v>41</v>
      </c>
      <c r="AC2403">
        <v>-191.5359</v>
      </c>
      <c r="AD2403">
        <v>-0.13455619999999899</v>
      </c>
      <c r="AE2403">
        <v>12.9400999999999</v>
      </c>
      <c r="AF2403">
        <v>11.8353264107685</v>
      </c>
      <c r="AG2403">
        <v>-0.13455619999999899</v>
      </c>
      <c r="AH2403">
        <v>191.60724416069201</v>
      </c>
      <c r="AI2403">
        <v>90.040159419816703</v>
      </c>
      <c r="AJ2403">
        <v>86.465406068017899</v>
      </c>
      <c r="AK2403">
        <v>191.972469566538</v>
      </c>
      <c r="AL2403">
        <v>80.326195241022603</v>
      </c>
      <c r="AM2403">
        <v>86.652816484413293</v>
      </c>
      <c r="AN2403">
        <v>0.99999996998321194</v>
      </c>
    </row>
    <row r="2404" spans="1:40" x14ac:dyDescent="0.25">
      <c r="A2404" t="str">
        <f>"20190303170305392"</f>
        <v>20190303170305392</v>
      </c>
      <c r="B2404" t="str">
        <f>"1551603785378204"</f>
        <v>1551603785378204</v>
      </c>
      <c r="C2404" t="s">
        <v>40</v>
      </c>
      <c r="D2404">
        <v>3.948331</v>
      </c>
      <c r="E2404">
        <v>0.50555190000000005</v>
      </c>
      <c r="F2404" t="s">
        <v>67</v>
      </c>
      <c r="G2404">
        <v>-510.95400000000001</v>
      </c>
      <c r="H2404">
        <v>1.113154</v>
      </c>
      <c r="I2404">
        <v>297.13060000000002</v>
      </c>
      <c r="J2404">
        <v>-319.69479999999999</v>
      </c>
      <c r="K2404">
        <v>1.1204459999999901</v>
      </c>
      <c r="L2404">
        <v>284.29430000000002</v>
      </c>
      <c r="M2404">
        <v>-0.99994059999999996</v>
      </c>
      <c r="N2404">
        <v>-9.1904039999999992E-3</v>
      </c>
      <c r="O2404">
        <v>5.8804269999999997E-3</v>
      </c>
      <c r="P2404">
        <v>-0.98537730000000001</v>
      </c>
      <c r="Q2404">
        <v>0.158666</v>
      </c>
      <c r="R2404">
        <v>6.2104079999999999E-2</v>
      </c>
      <c r="S2404">
        <v>-3.0318909999999999</v>
      </c>
      <c r="T2404">
        <v>-1.139641E-4</v>
      </c>
      <c r="U2404">
        <v>0.2032166</v>
      </c>
      <c r="V2404">
        <v>5.6396979999999999E-2</v>
      </c>
      <c r="W2404">
        <v>0.167689</v>
      </c>
      <c r="X2404">
        <v>0.98422549999999998</v>
      </c>
      <c r="Y2404">
        <v>6.1007850000000002E-2</v>
      </c>
      <c r="Z2404">
        <v>3.3557500000000001E-4</v>
      </c>
      <c r="AA2404">
        <v>0.99813719999999995</v>
      </c>
      <c r="AB2404">
        <v>41</v>
      </c>
      <c r="AC2404">
        <v>-191.25919999999999</v>
      </c>
      <c r="AD2404">
        <v>-7.2919999999998498E-3</v>
      </c>
      <c r="AE2404">
        <v>12.8362999999999</v>
      </c>
      <c r="AF2404">
        <v>11.7113449009973</v>
      </c>
      <c r="AG2404">
        <v>-7.2919999999998498E-3</v>
      </c>
      <c r="AH2404">
        <v>191.331378703529</v>
      </c>
      <c r="AI2404">
        <v>90.002179571098694</v>
      </c>
      <c r="AJ2404">
        <v>86.497310015622404</v>
      </c>
      <c r="AK2404">
        <v>191.689467966178</v>
      </c>
      <c r="AL2404">
        <v>80.346520540248804</v>
      </c>
      <c r="AM2404">
        <v>86.720488005075097</v>
      </c>
      <c r="AN2404">
        <v>1.0000000274621801</v>
      </c>
    </row>
    <row r="2405" spans="1:40" x14ac:dyDescent="0.25">
      <c r="A2405" t="str">
        <f>"20190303170305405"</f>
        <v>20190303170305405</v>
      </c>
      <c r="B2405" t="str">
        <f>"1551603785397723"</f>
        <v>1551603785397723</v>
      </c>
      <c r="C2405" t="s">
        <v>40</v>
      </c>
      <c r="D2405">
        <v>3.9189319999999999</v>
      </c>
      <c r="E2405">
        <v>0.50543959999999999</v>
      </c>
      <c r="F2405" t="s">
        <v>67</v>
      </c>
      <c r="G2405">
        <v>-510.95400000000001</v>
      </c>
      <c r="H2405">
        <v>1.048908</v>
      </c>
      <c r="I2405">
        <v>296.94560000000001</v>
      </c>
      <c r="J2405">
        <v>-319.9203</v>
      </c>
      <c r="K2405">
        <v>1.1204510000000001</v>
      </c>
      <c r="L2405">
        <v>284.29570000000001</v>
      </c>
      <c r="M2405">
        <v>-0.99993980000000005</v>
      </c>
      <c r="N2405">
        <v>-9.2060100000000006E-3</v>
      </c>
      <c r="O2405">
        <v>5.9732600000000002E-3</v>
      </c>
      <c r="P2405">
        <v>-0.98542079999999999</v>
      </c>
      <c r="Q2405">
        <v>0.15853039999999999</v>
      </c>
      <c r="R2405">
        <v>6.1757930000000003E-2</v>
      </c>
      <c r="S2405">
        <v>-3.0320429999999998</v>
      </c>
      <c r="T2405">
        <v>-1.132727E-3</v>
      </c>
      <c r="U2405">
        <v>0.2005615</v>
      </c>
      <c r="V2405">
        <v>5.5958130000000002E-2</v>
      </c>
      <c r="W2405">
        <v>0.16756960000000001</v>
      </c>
      <c r="X2405">
        <v>0.98427089999999995</v>
      </c>
      <c r="Y2405">
        <v>6.0041530000000003E-2</v>
      </c>
      <c r="Z2405">
        <v>3.4058740000000002E-4</v>
      </c>
      <c r="AA2405">
        <v>0.99819579999999997</v>
      </c>
      <c r="AB2405">
        <v>41</v>
      </c>
      <c r="AC2405">
        <v>-191.03370000000001</v>
      </c>
      <c r="AD2405">
        <v>-7.1543000000000107E-2</v>
      </c>
      <c r="AE2405">
        <v>12.649900000000001</v>
      </c>
      <c r="AF2405">
        <v>11.5085304019271</v>
      </c>
      <c r="AG2405">
        <v>-7.1543000000000107E-2</v>
      </c>
      <c r="AH2405">
        <v>191.105829311636</v>
      </c>
      <c r="AI2405">
        <v>90.021410645332494</v>
      </c>
      <c r="AJ2405">
        <v>86.553768913360003</v>
      </c>
      <c r="AK2405">
        <v>191.452055061577</v>
      </c>
      <c r="AL2405">
        <v>80.3534600064431</v>
      </c>
      <c r="AM2405">
        <v>86.746102064799203</v>
      </c>
      <c r="AN2405">
        <v>1.00000004387203</v>
      </c>
    </row>
    <row r="2406" spans="1:40" x14ac:dyDescent="0.25">
      <c r="A2406" t="str">
        <f>"20190303170305417"</f>
        <v>20190303170305417</v>
      </c>
      <c r="B2406" t="str">
        <f>"1551603785407483"</f>
        <v>1551603785407483</v>
      </c>
      <c r="C2406" t="s">
        <v>40</v>
      </c>
      <c r="D2406">
        <v>3.941087</v>
      </c>
      <c r="E2406">
        <v>0.50542569999999998</v>
      </c>
      <c r="F2406" t="s">
        <v>67</v>
      </c>
      <c r="G2406">
        <v>-510.95389999999998</v>
      </c>
      <c r="H2406">
        <v>1.0505610000000001</v>
      </c>
      <c r="I2406">
        <v>296.81259999999997</v>
      </c>
      <c r="J2406">
        <v>-320.13170000000002</v>
      </c>
      <c r="K2406">
        <v>1.120455</v>
      </c>
      <c r="L2406">
        <v>284.2971</v>
      </c>
      <c r="M2406">
        <v>-0.99993909999999997</v>
      </c>
      <c r="N2406">
        <v>-9.22071E-3</v>
      </c>
      <c r="O2406">
        <v>6.0604369999999897E-3</v>
      </c>
      <c r="P2406">
        <v>-0.98549120000000001</v>
      </c>
      <c r="Q2406">
        <v>0.1583697</v>
      </c>
      <c r="R2406">
        <v>6.1040770000000001E-2</v>
      </c>
      <c r="S2406">
        <v>-3.0321039999999999</v>
      </c>
      <c r="T2406">
        <v>-1.1079309999999999E-3</v>
      </c>
      <c r="U2406">
        <v>0.1986694</v>
      </c>
      <c r="V2406">
        <v>5.5153670000000002E-2</v>
      </c>
      <c r="W2406">
        <v>0.16742479999999901</v>
      </c>
      <c r="X2406">
        <v>0.98434089999999996</v>
      </c>
      <c r="Y2406">
        <v>5.9332969999999999E-2</v>
      </c>
      <c r="Z2406">
        <v>3.3828759999999998E-4</v>
      </c>
      <c r="AA2406">
        <v>0.99823819999999996</v>
      </c>
      <c r="AB2406">
        <v>41</v>
      </c>
      <c r="AC2406">
        <v>-190.82219999999899</v>
      </c>
      <c r="AD2406">
        <v>-6.9893999999999901E-2</v>
      </c>
      <c r="AE2406">
        <v>12.5154999999999</v>
      </c>
      <c r="AF2406">
        <v>11.358753507511899</v>
      </c>
      <c r="AG2406">
        <v>-6.9893999999999901E-2</v>
      </c>
      <c r="AH2406">
        <v>190.89452245023901</v>
      </c>
      <c r="AI2406">
        <v>90.020941200382595</v>
      </c>
      <c r="AJ2406">
        <v>86.594757273819198</v>
      </c>
      <c r="AK2406">
        <v>191.23217529464199</v>
      </c>
      <c r="AL2406">
        <v>80.361874887136594</v>
      </c>
      <c r="AM2406">
        <v>86.793009682046602</v>
      </c>
      <c r="AN2406">
        <v>0.99999999919115901</v>
      </c>
    </row>
    <row r="2407" spans="1:40" x14ac:dyDescent="0.25">
      <c r="A2407" t="str">
        <f>"20190303170305437"</f>
        <v>20190303170305437</v>
      </c>
      <c r="B2407" t="str">
        <f>"1551603785427979"</f>
        <v>1551603785427979</v>
      </c>
      <c r="C2407" t="s">
        <v>40</v>
      </c>
      <c r="D2407">
        <v>3.972283</v>
      </c>
      <c r="E2407">
        <v>0.50542290000000001</v>
      </c>
      <c r="F2407" t="s">
        <v>67</v>
      </c>
      <c r="G2407">
        <v>-510.95389999999998</v>
      </c>
      <c r="H2407">
        <v>1.035512</v>
      </c>
      <c r="I2407">
        <v>296.69220000000001</v>
      </c>
      <c r="J2407">
        <v>-320.52229999999997</v>
      </c>
      <c r="K2407">
        <v>1.120466</v>
      </c>
      <c r="L2407">
        <v>284.2996</v>
      </c>
      <c r="M2407">
        <v>-0.99993799999999999</v>
      </c>
      <c r="N2407">
        <v>-9.2475860000000003E-3</v>
      </c>
      <c r="O2407">
        <v>6.2209269999999898E-3</v>
      </c>
      <c r="P2407">
        <v>-0.98547229999999997</v>
      </c>
      <c r="Q2407">
        <v>0.1588125</v>
      </c>
      <c r="R2407">
        <v>6.0195350000000002E-2</v>
      </c>
      <c r="S2407">
        <v>-3.0321959999999999</v>
      </c>
      <c r="T2407">
        <v>-1.3483760000000001E-3</v>
      </c>
      <c r="U2407">
        <v>0.19696040000000001</v>
      </c>
      <c r="V2407">
        <v>5.4149719999999998E-2</v>
      </c>
      <c r="W2407">
        <v>0.1678944</v>
      </c>
      <c r="X2407">
        <v>0.98431659999999999</v>
      </c>
      <c r="Y2407">
        <v>5.8610519999999999E-2</v>
      </c>
      <c r="Z2407">
        <v>3.3902139999999998E-4</v>
      </c>
      <c r="AA2407">
        <v>0.99828090000000003</v>
      </c>
      <c r="AB2407">
        <v>41</v>
      </c>
      <c r="AC2407">
        <v>-190.4316</v>
      </c>
      <c r="AD2407">
        <v>-8.4953999999999905E-2</v>
      </c>
      <c r="AE2407">
        <v>12.3926</v>
      </c>
      <c r="AF2407">
        <v>11.207646350844101</v>
      </c>
      <c r="AG2407">
        <v>-8.4953999999999905E-2</v>
      </c>
      <c r="AH2407">
        <v>190.504973799201</v>
      </c>
      <c r="AI2407">
        <v>90.025506439733903</v>
      </c>
      <c r="AJ2407">
        <v>86.633098321882997</v>
      </c>
      <c r="AK2407">
        <v>190.834387876352</v>
      </c>
      <c r="AL2407">
        <v>80.334581937972104</v>
      </c>
      <c r="AM2407">
        <v>86.851189687079895</v>
      </c>
      <c r="AN2407">
        <v>0.99999994538149695</v>
      </c>
    </row>
    <row r="2408" spans="1:40" x14ac:dyDescent="0.25">
      <c r="A2408" t="str">
        <f>"20190303170305451"</f>
        <v>20190303170305451</v>
      </c>
      <c r="B2408" t="str">
        <f>"1551603785437740"</f>
        <v>1551603785437740</v>
      </c>
      <c r="C2408" t="s">
        <v>40</v>
      </c>
      <c r="D2408">
        <v>3.9546790000000001</v>
      </c>
      <c r="E2408">
        <v>0.5054457</v>
      </c>
      <c r="F2408" t="s">
        <v>67</v>
      </c>
      <c r="G2408">
        <v>-510.95400000000001</v>
      </c>
      <c r="H2408">
        <v>1.145707</v>
      </c>
      <c r="I2408">
        <v>296.53480000000002</v>
      </c>
      <c r="J2408">
        <v>-320.78250000000003</v>
      </c>
      <c r="K2408">
        <v>1.120474</v>
      </c>
      <c r="L2408">
        <v>284.30130000000003</v>
      </c>
      <c r="M2408">
        <v>-0.99993719999999997</v>
      </c>
      <c r="N2408">
        <v>-9.2666929999999995E-3</v>
      </c>
      <c r="O2408">
        <v>6.3278769999999896E-3</v>
      </c>
      <c r="P2408">
        <v>-0.98545609999999995</v>
      </c>
      <c r="Q2408">
        <v>0.159082</v>
      </c>
      <c r="R2408">
        <v>5.9745800000000002E-2</v>
      </c>
      <c r="S2408">
        <v>-3.0322879999999999</v>
      </c>
      <c r="T2408">
        <v>4.0328500000000003E-4</v>
      </c>
      <c r="U2408">
        <v>0.1948242</v>
      </c>
      <c r="V2408">
        <v>5.3594399999999903E-2</v>
      </c>
      <c r="W2408">
        <v>0.168183</v>
      </c>
      <c r="X2408">
        <v>0.9842978</v>
      </c>
      <c r="Y2408">
        <v>5.7801619999999998E-2</v>
      </c>
      <c r="Z2408">
        <v>3.2368000000000002E-4</v>
      </c>
      <c r="AA2408">
        <v>0.99832799999999999</v>
      </c>
      <c r="AB2408">
        <v>41</v>
      </c>
      <c r="AC2408">
        <v>-190.17150000000001</v>
      </c>
      <c r="AD2408">
        <v>2.5232999999999998E-2</v>
      </c>
      <c r="AE2408">
        <v>12.2334999999999</v>
      </c>
      <c r="AF2408">
        <v>11.0298215148441</v>
      </c>
      <c r="AG2408">
        <v>2.5232999999999998E-2</v>
      </c>
      <c r="AH2408">
        <v>190.245104269314</v>
      </c>
      <c r="AI2408">
        <v>89.9924133622021</v>
      </c>
      <c r="AJ2408">
        <v>86.681882707754696</v>
      </c>
      <c r="AK2408">
        <v>190.564575138706</v>
      </c>
      <c r="AL2408">
        <v>80.317808585056397</v>
      </c>
      <c r="AM2408">
        <v>86.883358190597804</v>
      </c>
      <c r="AN2408">
        <v>1.00000002014259</v>
      </c>
    </row>
    <row r="2409" spans="1:40" x14ac:dyDescent="0.25">
      <c r="A2409" t="str">
        <f>"20190303170305467"</f>
        <v>20190303170305467</v>
      </c>
      <c r="B2409" t="str">
        <f>"1551603785458235"</f>
        <v>1551603785458235</v>
      </c>
      <c r="C2409" t="s">
        <v>40</v>
      </c>
      <c r="D2409">
        <v>3.9802390000000001</v>
      </c>
      <c r="E2409">
        <v>0.50542010000000004</v>
      </c>
      <c r="F2409" t="s">
        <v>67</v>
      </c>
      <c r="G2409">
        <v>-510.95400000000001</v>
      </c>
      <c r="H2409">
        <v>1.177594</v>
      </c>
      <c r="I2409">
        <v>296.44479999999999</v>
      </c>
      <c r="J2409">
        <v>-321.04379999999998</v>
      </c>
      <c r="K2409">
        <v>1.1204769999999999</v>
      </c>
      <c r="L2409">
        <v>284.303</v>
      </c>
      <c r="M2409">
        <v>-0.9999363</v>
      </c>
      <c r="N2409">
        <v>-9.2867580000000009E-3</v>
      </c>
      <c r="O2409">
        <v>6.4350070000000004E-3</v>
      </c>
      <c r="P2409">
        <v>-0.98540280000000002</v>
      </c>
      <c r="Q2409">
        <v>0.15941830000000001</v>
      </c>
      <c r="R2409">
        <v>5.9728349999999999E-2</v>
      </c>
      <c r="S2409">
        <v>-3.0323790000000002</v>
      </c>
      <c r="T2409">
        <v>9.1218950000000005E-4</v>
      </c>
      <c r="U2409">
        <v>0.193634</v>
      </c>
      <c r="V2409">
        <v>5.3471480000000002E-2</v>
      </c>
      <c r="W2409">
        <v>0.16853879999999999</v>
      </c>
      <c r="X2409">
        <v>0.9842436</v>
      </c>
      <c r="Y2409">
        <v>5.7302550000000001E-2</v>
      </c>
      <c r="Z2409">
        <v>3.1938140000000001E-4</v>
      </c>
      <c r="AA2409">
        <v>0.99835680000000004</v>
      </c>
      <c r="AB2409">
        <v>41</v>
      </c>
      <c r="AC2409">
        <v>-189.9102</v>
      </c>
      <c r="AD2409">
        <v>5.7117000000000001E-2</v>
      </c>
      <c r="AE2409">
        <v>12.1417999999999</v>
      </c>
      <c r="AF2409">
        <v>10.919421589521001</v>
      </c>
      <c r="AG2409">
        <v>5.7117000000000001E-2</v>
      </c>
      <c r="AH2409">
        <v>189.984386407746</v>
      </c>
      <c r="AI2409">
        <v>89.982802950091795</v>
      </c>
      <c r="AJ2409">
        <v>86.710523255398101</v>
      </c>
      <c r="AK2409">
        <v>190.29793511472801</v>
      </c>
      <c r="AL2409">
        <v>80.2971272894669</v>
      </c>
      <c r="AM2409">
        <v>86.890321340028194</v>
      </c>
      <c r="AN2409">
        <v>0.99999999520989502</v>
      </c>
    </row>
    <row r="2410" spans="1:40" x14ac:dyDescent="0.25">
      <c r="A2410" t="str">
        <f>"20190303170305480"</f>
        <v>20190303170305480</v>
      </c>
      <c r="B2410" t="str">
        <f>"1551603785467996"</f>
        <v>1551603785467996</v>
      </c>
      <c r="C2410" t="s">
        <v>40</v>
      </c>
      <c r="D2410">
        <v>3.9903379999999999</v>
      </c>
      <c r="E2410">
        <v>0.50541700000000001</v>
      </c>
      <c r="F2410" t="s">
        <v>67</v>
      </c>
      <c r="G2410">
        <v>-510.95400000000001</v>
      </c>
      <c r="H2410">
        <v>1.246038</v>
      </c>
      <c r="I2410">
        <v>296.42009999999999</v>
      </c>
      <c r="J2410">
        <v>-321.31599999999997</v>
      </c>
      <c r="K2410">
        <v>1.120474</v>
      </c>
      <c r="L2410">
        <v>284.3048</v>
      </c>
      <c r="M2410">
        <v>-0.99993529999999997</v>
      </c>
      <c r="N2410">
        <v>-9.3079470000000004E-3</v>
      </c>
      <c r="O2410">
        <v>6.546662E-3</v>
      </c>
      <c r="P2410">
        <v>-0.9853904</v>
      </c>
      <c r="Q2410">
        <v>0.1595858</v>
      </c>
      <c r="R2410">
        <v>5.9482309999999997E-2</v>
      </c>
      <c r="S2410">
        <v>-3.03241</v>
      </c>
      <c r="T2410">
        <v>2.0062919999999998E-3</v>
      </c>
      <c r="U2410">
        <v>0.1934814</v>
      </c>
      <c r="V2410">
        <v>5.3115320000000001E-2</v>
      </c>
      <c r="W2410">
        <v>0.1687273</v>
      </c>
      <c r="X2410">
        <v>0.98423059999999996</v>
      </c>
      <c r="Y2410">
        <v>5.7140499999999997E-2</v>
      </c>
      <c r="Z2410">
        <v>3.1252800000000001E-4</v>
      </c>
      <c r="AA2410">
        <v>0.99836610000000003</v>
      </c>
      <c r="AB2410">
        <v>41</v>
      </c>
      <c r="AC2410">
        <v>-189.63800000000001</v>
      </c>
      <c r="AD2410">
        <v>0.12556400000000001</v>
      </c>
      <c r="AE2410">
        <v>12.1152999999999</v>
      </c>
      <c r="AF2410">
        <v>10.873485994055599</v>
      </c>
      <c r="AG2410">
        <v>0.12556400000000001</v>
      </c>
      <c r="AH2410">
        <v>189.713171150058</v>
      </c>
      <c r="AI2410">
        <v>89.962140222577702</v>
      </c>
      <c r="AJ2410">
        <v>86.719658460937097</v>
      </c>
      <c r="AK2410">
        <v>190.024566232349</v>
      </c>
      <c r="AL2410">
        <v>80.286170226724906</v>
      </c>
      <c r="AM2410">
        <v>86.910953154133196</v>
      </c>
      <c r="AN2410">
        <v>1.00000000648017</v>
      </c>
    </row>
    <row r="2411" spans="1:40" x14ac:dyDescent="0.25">
      <c r="A2411" t="str">
        <f>"20190303170305493"</f>
        <v>20190303170305493</v>
      </c>
      <c r="B2411" t="str">
        <f>"1551603785487516"</f>
        <v>1551603785487516</v>
      </c>
      <c r="C2411" t="s">
        <v>40</v>
      </c>
      <c r="D2411">
        <v>3.9853070000000002</v>
      </c>
      <c r="E2411">
        <v>0.50539420000000002</v>
      </c>
      <c r="F2411" t="s">
        <v>67</v>
      </c>
      <c r="G2411">
        <v>-510.95400000000001</v>
      </c>
      <c r="H2411">
        <v>1.2687980000000001</v>
      </c>
      <c r="I2411">
        <v>296.387</v>
      </c>
      <c r="J2411">
        <v>-321.56169999999997</v>
      </c>
      <c r="K2411">
        <v>1.1204780000000001</v>
      </c>
      <c r="L2411">
        <v>284.30650000000003</v>
      </c>
      <c r="M2411">
        <v>-0.9999344</v>
      </c>
      <c r="N2411">
        <v>-9.3270690000000003E-3</v>
      </c>
      <c r="O2411">
        <v>6.6473599999999997E-3</v>
      </c>
      <c r="P2411">
        <v>-0.98537220000000003</v>
      </c>
      <c r="Q2411">
        <v>0.15981909999999999</v>
      </c>
      <c r="R2411">
        <v>5.9158950000000002E-2</v>
      </c>
      <c r="S2411">
        <v>-3.0325009999999999</v>
      </c>
      <c r="T2411">
        <v>2.3732190000000002E-3</v>
      </c>
      <c r="U2411">
        <v>0.19320680000000001</v>
      </c>
      <c r="V2411">
        <v>5.2692879999999997E-2</v>
      </c>
      <c r="W2411">
        <v>0.1689792</v>
      </c>
      <c r="X2411">
        <v>0.98421009999999998</v>
      </c>
      <c r="Y2411">
        <v>5.6948020000000002E-2</v>
      </c>
      <c r="Z2411">
        <v>3.1073150000000003E-4</v>
      </c>
      <c r="AA2411">
        <v>0.99837710000000002</v>
      </c>
      <c r="AB2411">
        <v>41</v>
      </c>
      <c r="AC2411">
        <v>-189.39230000000001</v>
      </c>
      <c r="AD2411">
        <v>0.14831999999999901</v>
      </c>
      <c r="AE2411">
        <v>12.080499999999899</v>
      </c>
      <c r="AF2411">
        <v>10.8212128882925</v>
      </c>
      <c r="AG2411">
        <v>0.14831999999999901</v>
      </c>
      <c r="AH2411">
        <v>189.46830640917699</v>
      </c>
      <c r="AI2411">
        <v>89.955220574793202</v>
      </c>
      <c r="AJ2411">
        <v>86.731184193475002</v>
      </c>
      <c r="AK2411">
        <v>189.77713186988001</v>
      </c>
      <c r="AL2411">
        <v>80.271527249659798</v>
      </c>
      <c r="AM2411">
        <v>86.935410425022297</v>
      </c>
      <c r="AN2411">
        <v>1.0000000152886701</v>
      </c>
    </row>
    <row r="2412" spans="1:40" x14ac:dyDescent="0.25">
      <c r="A2412" t="str">
        <f>"20190303170305505"</f>
        <v>20190303170305505</v>
      </c>
      <c r="B2412" t="str">
        <f>"1551603785498251"</f>
        <v>1551603785498251</v>
      </c>
      <c r="C2412" t="s">
        <v>40</v>
      </c>
      <c r="D2412">
        <v>3.961201</v>
      </c>
      <c r="E2412">
        <v>0.505384099999999</v>
      </c>
      <c r="F2412" t="s">
        <v>67</v>
      </c>
      <c r="G2412">
        <v>-510.95400000000001</v>
      </c>
      <c r="H2412">
        <v>1.301126</v>
      </c>
      <c r="I2412">
        <v>296.3023</v>
      </c>
      <c r="J2412">
        <v>-321.76679999999999</v>
      </c>
      <c r="K2412">
        <v>1.120484</v>
      </c>
      <c r="L2412">
        <v>284.30790000000002</v>
      </c>
      <c r="M2412">
        <v>-0.99993379999999998</v>
      </c>
      <c r="N2412">
        <v>-9.3425790000000002E-3</v>
      </c>
      <c r="O2412">
        <v>6.730794E-3</v>
      </c>
      <c r="P2412">
        <v>-0.98532220000000004</v>
      </c>
      <c r="Q2412">
        <v>0.160186</v>
      </c>
      <c r="R2412">
        <v>5.9000379999999998E-2</v>
      </c>
      <c r="S2412">
        <v>-3.032562</v>
      </c>
      <c r="T2412">
        <v>2.8939249999999999E-3</v>
      </c>
      <c r="U2412">
        <v>0.19207759999999999</v>
      </c>
      <c r="V2412">
        <v>5.2452480000000003E-2</v>
      </c>
      <c r="W2412">
        <v>0.16936180000000001</v>
      </c>
      <c r="X2412">
        <v>0.98415710000000001</v>
      </c>
      <c r="Y2412">
        <v>5.6493250000000002E-2</v>
      </c>
      <c r="Z2412">
        <v>3.0647859999999999E-4</v>
      </c>
      <c r="AA2412">
        <v>0.99840300000000004</v>
      </c>
      <c r="AB2412">
        <v>41</v>
      </c>
      <c r="AC2412">
        <v>-189.18719999999999</v>
      </c>
      <c r="AD2412">
        <v>0.180642</v>
      </c>
      <c r="AE2412">
        <v>11.994399999999899</v>
      </c>
      <c r="AF2412">
        <v>10.720683018731799</v>
      </c>
      <c r="AG2412">
        <v>0.180642</v>
      </c>
      <c r="AH2412">
        <v>189.26347763854599</v>
      </c>
      <c r="AI2412">
        <v>89.945401740075695</v>
      </c>
      <c r="AJ2412">
        <v>86.757989413821704</v>
      </c>
      <c r="AK2412">
        <v>189.56695293156099</v>
      </c>
      <c r="AL2412">
        <v>80.249284563007905</v>
      </c>
      <c r="AM2412">
        <v>86.9492015143624</v>
      </c>
      <c r="AN2412">
        <v>0.999999939718898</v>
      </c>
    </row>
    <row r="2413" spans="1:40" x14ac:dyDescent="0.25">
      <c r="A2413" t="str">
        <f>"20190303170305516"</f>
        <v>20190303170305516</v>
      </c>
      <c r="B2413" t="str">
        <f>"1551603785508011"</f>
        <v>1551603785508011</v>
      </c>
      <c r="C2413" t="s">
        <v>40</v>
      </c>
      <c r="D2413">
        <v>3.977741</v>
      </c>
      <c r="E2413">
        <v>0.50538509999999903</v>
      </c>
      <c r="F2413" t="s">
        <v>67</v>
      </c>
      <c r="G2413">
        <v>-510.95409999999998</v>
      </c>
      <c r="H2413">
        <v>1.3503480000000001</v>
      </c>
      <c r="I2413">
        <v>296.26560000000001</v>
      </c>
      <c r="J2413">
        <v>-321.99079999999998</v>
      </c>
      <c r="K2413">
        <v>1.1204829999999999</v>
      </c>
      <c r="L2413">
        <v>284.30939999999998</v>
      </c>
      <c r="M2413">
        <v>-0.99993299999999996</v>
      </c>
      <c r="N2413">
        <v>-9.3595499999999995E-3</v>
      </c>
      <c r="O2413">
        <v>6.8216129999999998E-3</v>
      </c>
      <c r="P2413">
        <v>-0.98524860000000003</v>
      </c>
      <c r="Q2413">
        <v>0.1606891</v>
      </c>
      <c r="R2413">
        <v>5.8859010000000003E-2</v>
      </c>
      <c r="S2413">
        <v>-3.032654</v>
      </c>
      <c r="T2413">
        <v>3.6860700000000001E-3</v>
      </c>
      <c r="U2413">
        <v>0.19168089999999999</v>
      </c>
      <c r="V2413">
        <v>5.2222230000000001E-2</v>
      </c>
      <c r="W2413">
        <v>0.16988059999999999</v>
      </c>
      <c r="X2413">
        <v>0.98407999999999995</v>
      </c>
      <c r="Y2413">
        <v>5.6270670000000002E-2</v>
      </c>
      <c r="Z2413">
        <v>3.0150959999999998E-4</v>
      </c>
      <c r="AA2413">
        <v>0.99841550000000001</v>
      </c>
      <c r="AB2413">
        <v>42</v>
      </c>
      <c r="AC2413">
        <v>-188.9633</v>
      </c>
      <c r="AD2413">
        <v>0.22986500000000001</v>
      </c>
      <c r="AE2413">
        <v>11.956200000000001</v>
      </c>
      <c r="AF2413">
        <v>10.6668151860486</v>
      </c>
      <c r="AG2413">
        <v>0.22986500000000001</v>
      </c>
      <c r="AH2413">
        <v>189.04018843493</v>
      </c>
      <c r="AI2413">
        <v>89.930441397663103</v>
      </c>
      <c r="AJ2413">
        <v>86.770442825938105</v>
      </c>
      <c r="AK2413">
        <v>189.341032604254</v>
      </c>
      <c r="AL2413">
        <v>80.219123164774302</v>
      </c>
      <c r="AM2413">
        <v>86.9623309053828</v>
      </c>
      <c r="AN2413">
        <v>1.0000000129812601</v>
      </c>
    </row>
    <row r="2414" spans="1:40" x14ac:dyDescent="0.25">
      <c r="A2414" t="str">
        <f>"20190303170305528"</f>
        <v>20190303170305528</v>
      </c>
      <c r="B2414" t="str">
        <f>"1551603785517771"</f>
        <v>1551603785517771</v>
      </c>
      <c r="C2414" t="s">
        <v>40</v>
      </c>
      <c r="D2414">
        <v>3.979155</v>
      </c>
      <c r="E2414">
        <v>0.50537940000000003</v>
      </c>
      <c r="F2414" t="s">
        <v>67</v>
      </c>
      <c r="G2414">
        <v>-510.95409999999998</v>
      </c>
      <c r="H2414">
        <v>1.427251</v>
      </c>
      <c r="I2414">
        <v>296.23590000000002</v>
      </c>
      <c r="J2414">
        <v>-322.22089999999997</v>
      </c>
      <c r="K2414">
        <v>1.120484</v>
      </c>
      <c r="L2414">
        <v>284.31110000000001</v>
      </c>
      <c r="M2414">
        <v>-0.99993220000000005</v>
      </c>
      <c r="N2414">
        <v>-9.3777909999999999E-3</v>
      </c>
      <c r="O2414">
        <v>6.9152869999999896E-3</v>
      </c>
      <c r="P2414">
        <v>-0.98515339999999996</v>
      </c>
      <c r="Q2414">
        <v>0.16122779999999901</v>
      </c>
      <c r="R2414">
        <v>5.8980079999999997E-2</v>
      </c>
      <c r="S2414">
        <v>-3.032654</v>
      </c>
      <c r="T2414">
        <v>4.924655E-3</v>
      </c>
      <c r="U2414">
        <v>0.1914063</v>
      </c>
      <c r="V2414">
        <v>5.2251939999999997E-2</v>
      </c>
      <c r="W2414">
        <v>0.17043649999999999</v>
      </c>
      <c r="X2414">
        <v>0.98398229999999998</v>
      </c>
      <c r="Y2414">
        <v>5.6087169999999999E-2</v>
      </c>
      <c r="Z2414">
        <v>2.937676E-4</v>
      </c>
      <c r="AA2414">
        <v>0.99842580000000003</v>
      </c>
      <c r="AB2414">
        <v>42</v>
      </c>
      <c r="AC2414">
        <v>-188.73320000000001</v>
      </c>
      <c r="AD2414">
        <v>0.30676700000000001</v>
      </c>
      <c r="AE2414">
        <v>11.924799999999999</v>
      </c>
      <c r="AF2414">
        <v>10.6192853714593</v>
      </c>
      <c r="AG2414">
        <v>0.30676700000000001</v>
      </c>
      <c r="AH2414">
        <v>188.81065701977101</v>
      </c>
      <c r="AI2414">
        <v>89.907056596069907</v>
      </c>
      <c r="AJ2414">
        <v>86.780902613175201</v>
      </c>
      <c r="AK2414">
        <v>189.10930049056401</v>
      </c>
      <c r="AL2414">
        <v>80.186801110435894</v>
      </c>
      <c r="AM2414">
        <v>86.960304753053606</v>
      </c>
      <c r="AN2414">
        <v>1.0000000162396501</v>
      </c>
    </row>
    <row r="2415" spans="1:40" x14ac:dyDescent="0.25">
      <c r="A2415" t="str">
        <f>"20190303170305542"</f>
        <v>20190303170305542</v>
      </c>
      <c r="B2415" t="str">
        <f>"1551603785527531"</f>
        <v>1551603785527531</v>
      </c>
      <c r="C2415" t="s">
        <v>40</v>
      </c>
      <c r="D2415">
        <v>3.9732430000000001</v>
      </c>
      <c r="E2415">
        <v>0.50538149999999904</v>
      </c>
      <c r="F2415" t="s">
        <v>67</v>
      </c>
      <c r="G2415">
        <v>-510.95409999999998</v>
      </c>
      <c r="H2415">
        <v>1.526268</v>
      </c>
      <c r="I2415">
        <v>296.24979999999999</v>
      </c>
      <c r="J2415">
        <v>-322.45909999999998</v>
      </c>
      <c r="K2415">
        <v>1.120485</v>
      </c>
      <c r="L2415">
        <v>284.31279999999998</v>
      </c>
      <c r="M2415">
        <v>-0.99993129999999997</v>
      </c>
      <c r="N2415">
        <v>-9.3971590000000004E-3</v>
      </c>
      <c r="O2415">
        <v>7.0118169999999896E-3</v>
      </c>
      <c r="P2415">
        <v>-0.98514219999999997</v>
      </c>
      <c r="Q2415">
        <v>0.16127540000000001</v>
      </c>
      <c r="R2415">
        <v>5.9038359999999998E-2</v>
      </c>
      <c r="S2415">
        <v>-3.0325929999999999</v>
      </c>
      <c r="T2415">
        <v>6.5215830000000001E-3</v>
      </c>
      <c r="U2415">
        <v>0.19183349999999999</v>
      </c>
      <c r="V2415">
        <v>5.2215169999999998E-2</v>
      </c>
      <c r="W2415">
        <v>0.17050319999999999</v>
      </c>
      <c r="X2415">
        <v>0.98397270000000003</v>
      </c>
      <c r="Y2415">
        <v>5.613228E-2</v>
      </c>
      <c r="Z2415">
        <v>2.846077E-4</v>
      </c>
      <c r="AA2415">
        <v>0.99842330000000001</v>
      </c>
      <c r="AB2415">
        <v>42</v>
      </c>
      <c r="AC2415">
        <v>-188.495</v>
      </c>
      <c r="AD2415">
        <v>0.405783</v>
      </c>
      <c r="AE2415">
        <v>11.936999999999999</v>
      </c>
      <c r="AF2415">
        <v>10.614906773605099</v>
      </c>
      <c r="AG2415">
        <v>0.405783</v>
      </c>
      <c r="AH2415">
        <v>188.573199131747</v>
      </c>
      <c r="AI2415">
        <v>89.876902602570198</v>
      </c>
      <c r="AJ2415">
        <v>86.7781837379151</v>
      </c>
      <c r="AK2415">
        <v>188.87215871175101</v>
      </c>
      <c r="AL2415">
        <v>80.182922748462602</v>
      </c>
      <c r="AM2415">
        <v>86.962410217349401</v>
      </c>
      <c r="AN2415">
        <v>1.00000001976682</v>
      </c>
    </row>
    <row r="2416" spans="1:40" x14ac:dyDescent="0.25">
      <c r="A2416" t="str">
        <f>"20190303170305553"</f>
        <v>20190303170305553</v>
      </c>
      <c r="B2416" t="str">
        <f>"1551603785548027"</f>
        <v>1551603785548027</v>
      </c>
      <c r="C2416" t="s">
        <v>40</v>
      </c>
      <c r="D2416">
        <v>3.929036</v>
      </c>
      <c r="E2416">
        <v>0.50538050000000001</v>
      </c>
      <c r="F2416" t="s">
        <v>67</v>
      </c>
      <c r="G2416">
        <v>-510.95409999999998</v>
      </c>
      <c r="H2416">
        <v>1.534322</v>
      </c>
      <c r="I2416">
        <v>296.25889999999998</v>
      </c>
      <c r="J2416">
        <v>-322.69659999999999</v>
      </c>
      <c r="K2416">
        <v>1.120487</v>
      </c>
      <c r="L2416">
        <v>284.31450000000001</v>
      </c>
      <c r="M2416">
        <v>-0.9999304</v>
      </c>
      <c r="N2416">
        <v>-9.4168970000000005E-3</v>
      </c>
      <c r="O2416">
        <v>7.1081089999999996E-3</v>
      </c>
      <c r="P2416">
        <v>-0.98516060000000005</v>
      </c>
      <c r="Q2416">
        <v>0.16117490000000001</v>
      </c>
      <c r="R2416">
        <v>5.9000480000000001E-2</v>
      </c>
      <c r="S2416">
        <v>-3.032654</v>
      </c>
      <c r="T2416">
        <v>6.6595079999999997E-3</v>
      </c>
      <c r="U2416">
        <v>0.1921997</v>
      </c>
      <c r="V2416">
        <v>5.2082110000000001E-2</v>
      </c>
      <c r="W2416">
        <v>0.1704224</v>
      </c>
      <c r="X2416">
        <v>0.98399369999999997</v>
      </c>
      <c r="Y2416">
        <v>5.6154969999999998E-2</v>
      </c>
      <c r="Z2416">
        <v>2.85545E-4</v>
      </c>
      <c r="AA2416">
        <v>0.99842200000000003</v>
      </c>
      <c r="AB2416">
        <v>42</v>
      </c>
      <c r="AC2416">
        <v>-188.25749999999999</v>
      </c>
      <c r="AD2416">
        <v>0.41383500000000001</v>
      </c>
      <c r="AE2416">
        <v>11.9443999999999</v>
      </c>
      <c r="AF2416">
        <v>10.605833017070401</v>
      </c>
      <c r="AG2416">
        <v>0.41383500000000001</v>
      </c>
      <c r="AH2416">
        <v>188.336743062213</v>
      </c>
      <c r="AI2416">
        <v>89.8743025182807</v>
      </c>
      <c r="AJ2416">
        <v>86.776898980606703</v>
      </c>
      <c r="AK2416">
        <v>188.6355845027</v>
      </c>
      <c r="AL2416">
        <v>80.187620528545395</v>
      </c>
      <c r="AM2416">
        <v>86.970201012767006</v>
      </c>
      <c r="AN2416">
        <v>0.99999997112174999</v>
      </c>
    </row>
    <row r="2417" spans="1:40" x14ac:dyDescent="0.25">
      <c r="A2417" t="str">
        <f>"20190303170305565"</f>
        <v>20190303170305565</v>
      </c>
      <c r="B2417" t="str">
        <f>"1551603785557788"</f>
        <v>1551603785557788</v>
      </c>
      <c r="C2417" t="s">
        <v>40</v>
      </c>
      <c r="D2417">
        <v>3.9551780000000001</v>
      </c>
      <c r="E2417">
        <v>0.50537200000000004</v>
      </c>
      <c r="F2417" t="s">
        <v>67</v>
      </c>
      <c r="G2417">
        <v>-510.95409999999998</v>
      </c>
      <c r="H2417">
        <v>1.50637</v>
      </c>
      <c r="I2417">
        <v>296.22840000000002</v>
      </c>
      <c r="J2417">
        <v>-322.90350000000001</v>
      </c>
      <c r="K2417">
        <v>1.120487</v>
      </c>
      <c r="L2417">
        <v>284.31599999999997</v>
      </c>
      <c r="M2417">
        <v>-0.99992950000000003</v>
      </c>
      <c r="N2417">
        <v>-9.4340129999999998E-3</v>
      </c>
      <c r="O2417">
        <v>7.1921909999999997E-3</v>
      </c>
      <c r="P2417">
        <v>-0.98520839999999998</v>
      </c>
      <c r="Q2417">
        <v>0.16087309999999999</v>
      </c>
      <c r="R2417">
        <v>5.9026309999999999E-2</v>
      </c>
      <c r="S2417">
        <v>-3.032715</v>
      </c>
      <c r="T2417">
        <v>6.2177179999999997E-3</v>
      </c>
      <c r="U2417">
        <v>0.19192500000000001</v>
      </c>
      <c r="V2417">
        <v>5.2024639999999997E-2</v>
      </c>
      <c r="W2417">
        <v>0.17013809999999999</v>
      </c>
      <c r="X2417">
        <v>0.98404599999999998</v>
      </c>
      <c r="Y2417">
        <v>5.5979649999999999E-2</v>
      </c>
      <c r="Z2417">
        <v>2.895161E-4</v>
      </c>
      <c r="AA2417">
        <v>0.99843190000000004</v>
      </c>
      <c r="AB2417">
        <v>42</v>
      </c>
      <c r="AC2417">
        <v>-188.0506</v>
      </c>
      <c r="AD2417">
        <v>0.38588299999999998</v>
      </c>
      <c r="AE2417">
        <v>11.9124</v>
      </c>
      <c r="AF2417">
        <v>10.559491378786401</v>
      </c>
      <c r="AG2417">
        <v>0.38588299999999998</v>
      </c>
      <c r="AH2417">
        <v>188.13062686983</v>
      </c>
      <c r="AI2417">
        <v>89.882662956425506</v>
      </c>
      <c r="AJ2417">
        <v>86.787444178741794</v>
      </c>
      <c r="AK2417">
        <v>188.42713321149799</v>
      </c>
      <c r="AL2417">
        <v>80.204151751473205</v>
      </c>
      <c r="AM2417">
        <v>86.973698576706099</v>
      </c>
      <c r="AN2417">
        <v>1.00000003317736</v>
      </c>
    </row>
    <row r="2418" spans="1:40" x14ac:dyDescent="0.25">
      <c r="A2418" t="str">
        <f>"20190303170305577"</f>
        <v>20190303170305577</v>
      </c>
      <c r="B2418" t="str">
        <f>"1551603785567548"</f>
        <v>1551603785567548</v>
      </c>
      <c r="C2418" t="s">
        <v>40</v>
      </c>
      <c r="D2418">
        <v>3.9632149999999999</v>
      </c>
      <c r="E2418">
        <v>0.50536669999999995</v>
      </c>
      <c r="F2418" t="s">
        <v>67</v>
      </c>
      <c r="G2418">
        <v>-510.95409999999998</v>
      </c>
      <c r="H2418">
        <v>1.4544490000000001</v>
      </c>
      <c r="I2418">
        <v>296.21710000000002</v>
      </c>
      <c r="J2418">
        <v>-323.12560000000002</v>
      </c>
      <c r="K2418">
        <v>1.120482</v>
      </c>
      <c r="L2418">
        <v>284.3177</v>
      </c>
      <c r="M2418">
        <v>-0.99992879999999995</v>
      </c>
      <c r="N2418">
        <v>-9.4525890000000008E-3</v>
      </c>
      <c r="O2418">
        <v>7.2821680000000003E-3</v>
      </c>
      <c r="P2418">
        <v>-0.98528300000000002</v>
      </c>
      <c r="Q2418">
        <v>0.16048850000000001</v>
      </c>
      <c r="R2418">
        <v>5.8831910000000001E-2</v>
      </c>
      <c r="S2418">
        <v>-3.0326230000000001</v>
      </c>
      <c r="T2418">
        <v>5.3870680000000001E-3</v>
      </c>
      <c r="U2418">
        <v>0.19192500000000001</v>
      </c>
      <c r="V2418">
        <v>5.1740990000000001E-2</v>
      </c>
      <c r="W2418">
        <v>0.16977249999999999</v>
      </c>
      <c r="X2418">
        <v>0.98412409999999995</v>
      </c>
      <c r="Y2418">
        <v>5.5891660000000003E-2</v>
      </c>
      <c r="Z2418">
        <v>2.9653109999999998E-4</v>
      </c>
      <c r="AA2418">
        <v>0.99843680000000001</v>
      </c>
      <c r="AB2418">
        <v>42</v>
      </c>
      <c r="AC2418">
        <v>-187.82849999999999</v>
      </c>
      <c r="AD2418">
        <v>0.33396699999999901</v>
      </c>
      <c r="AE2418">
        <v>11.8994</v>
      </c>
      <c r="AF2418">
        <v>10.5311914817022</v>
      </c>
      <c r="AG2418">
        <v>0.33396699999999901</v>
      </c>
      <c r="AH2418">
        <v>187.909584831974</v>
      </c>
      <c r="AI2418">
        <v>89.898329297290999</v>
      </c>
      <c r="AJ2418">
        <v>86.792274981821507</v>
      </c>
      <c r="AK2418">
        <v>188.20475445563599</v>
      </c>
      <c r="AL2418">
        <v>80.225408381086197</v>
      </c>
      <c r="AM2418">
        <v>86.990406649919805</v>
      </c>
      <c r="AN2418">
        <v>1.0000000380016101</v>
      </c>
    </row>
    <row r="2419" spans="1:40" x14ac:dyDescent="0.25">
      <c r="A2419" t="str">
        <f>"20190303170305593"</f>
        <v>20190303170305593</v>
      </c>
      <c r="B2419" t="str">
        <f>"1551603785588044"</f>
        <v>1551603785588044</v>
      </c>
      <c r="C2419" t="s">
        <v>40</v>
      </c>
      <c r="D2419">
        <v>3.9609009999999998</v>
      </c>
      <c r="E2419">
        <v>0.5054341</v>
      </c>
      <c r="F2419" t="s">
        <v>67</v>
      </c>
      <c r="G2419">
        <v>-510.95409999999998</v>
      </c>
      <c r="H2419">
        <v>1.384789</v>
      </c>
      <c r="I2419">
        <v>296.178</v>
      </c>
      <c r="J2419">
        <v>-323.43150000000003</v>
      </c>
      <c r="K2419">
        <v>1.1204809999999901</v>
      </c>
      <c r="L2419">
        <v>284.32</v>
      </c>
      <c r="M2419">
        <v>-0.99992780000000003</v>
      </c>
      <c r="N2419">
        <v>-9.4792299999999999E-3</v>
      </c>
      <c r="O2419">
        <v>7.4058459999999998E-3</v>
      </c>
      <c r="P2419">
        <v>-0.9853864</v>
      </c>
      <c r="Q2419">
        <v>0.16011020000000001</v>
      </c>
      <c r="R2419">
        <v>5.8126030000000002E-2</v>
      </c>
      <c r="S2419">
        <v>-3.0326840000000002</v>
      </c>
      <c r="T2419">
        <v>4.268885E-3</v>
      </c>
      <c r="U2419">
        <v>0.1914978</v>
      </c>
      <c r="V2419">
        <v>5.0912289999999999E-2</v>
      </c>
      <c r="W2419">
        <v>0.16942189999999999</v>
      </c>
      <c r="X2419">
        <v>0.98422770000000004</v>
      </c>
      <c r="Y2419">
        <v>5.5626710000000003E-2</v>
      </c>
      <c r="Z2419">
        <v>3.0535609999999999E-4</v>
      </c>
      <c r="AA2419">
        <v>0.99845159999999999</v>
      </c>
      <c r="AB2419">
        <v>42</v>
      </c>
      <c r="AC2419">
        <v>-187.52259999999899</v>
      </c>
      <c r="AD2419">
        <v>0.26430799999999999</v>
      </c>
      <c r="AE2419">
        <v>11.858000000000001</v>
      </c>
      <c r="AF2419">
        <v>10.4688283845546</v>
      </c>
      <c r="AG2419">
        <v>0.26430799999999999</v>
      </c>
      <c r="AH2419">
        <v>187.60490822468199</v>
      </c>
      <c r="AI2419">
        <v>89.919404029557398</v>
      </c>
      <c r="AJ2419">
        <v>86.806063061396699</v>
      </c>
      <c r="AK2419">
        <v>187.896960636556</v>
      </c>
      <c r="AL2419">
        <v>80.245791222161898</v>
      </c>
      <c r="AM2419">
        <v>87.038833913715806</v>
      </c>
      <c r="AN2419">
        <v>1.0000000034599701</v>
      </c>
    </row>
    <row r="2420" spans="1:40" x14ac:dyDescent="0.25">
      <c r="A2420" t="str">
        <f>"20190303170305609"</f>
        <v>20190303170305609</v>
      </c>
      <c r="B2420" t="str">
        <f>"1551603785597803"</f>
        <v>1551603785597803</v>
      </c>
      <c r="C2420" t="s">
        <v>40</v>
      </c>
      <c r="D2420">
        <v>3.9203920000000001</v>
      </c>
      <c r="E2420">
        <v>0.50546389999999997</v>
      </c>
      <c r="F2420" t="s">
        <v>67</v>
      </c>
      <c r="G2420">
        <v>-510.95400000000001</v>
      </c>
      <c r="H2420">
        <v>1.3000529999999999</v>
      </c>
      <c r="I2420">
        <v>296.07380000000001</v>
      </c>
      <c r="J2420">
        <v>-323.70650000000001</v>
      </c>
      <c r="K2420">
        <v>1.1204860000000001</v>
      </c>
      <c r="L2420">
        <v>284.32209999999998</v>
      </c>
      <c r="M2420">
        <v>-0.9999266</v>
      </c>
      <c r="N2420">
        <v>-9.5039760000000008E-3</v>
      </c>
      <c r="O2420">
        <v>7.5175490000000001E-3</v>
      </c>
      <c r="P2420">
        <v>-0.98539880000000002</v>
      </c>
      <c r="Q2420">
        <v>0.16005739999999999</v>
      </c>
      <c r="R2420">
        <v>5.8061979999999999E-2</v>
      </c>
      <c r="S2420">
        <v>-3.0328059999999999</v>
      </c>
      <c r="T2420">
        <v>2.9056070000000002E-3</v>
      </c>
      <c r="U2420">
        <v>0.19009400000000001</v>
      </c>
      <c r="V2420">
        <v>5.0737850000000001E-2</v>
      </c>
      <c r="W2420">
        <v>0.16939370000000001</v>
      </c>
      <c r="X2420">
        <v>0.98424149999999999</v>
      </c>
      <c r="Y2420">
        <v>5.5052179999999999E-2</v>
      </c>
      <c r="Z2420">
        <v>3.1410070000000001E-4</v>
      </c>
      <c r="AA2420">
        <v>0.99848340000000002</v>
      </c>
      <c r="AB2420">
        <v>42</v>
      </c>
      <c r="AC2420">
        <v>-187.2475</v>
      </c>
      <c r="AD2420">
        <v>0.179567</v>
      </c>
      <c r="AE2420">
        <v>11.7517</v>
      </c>
      <c r="AF2420">
        <v>10.3436526226354</v>
      </c>
      <c r="AG2420">
        <v>0.179567</v>
      </c>
      <c r="AH2420">
        <v>187.33038480459001</v>
      </c>
      <c r="AI2420">
        <v>89.945162232427293</v>
      </c>
      <c r="AJ2420">
        <v>86.839559964858296</v>
      </c>
      <c r="AK2420">
        <v>187.61582146749001</v>
      </c>
      <c r="AL2420">
        <v>80.247430060871096</v>
      </c>
      <c r="AM2420">
        <v>87.049003050576204</v>
      </c>
      <c r="AN2420">
        <v>0.99999994267227899</v>
      </c>
    </row>
    <row r="2421" spans="1:40" x14ac:dyDescent="0.25">
      <c r="A2421" t="str">
        <f>"20190303170305622"</f>
        <v>20190303170305622</v>
      </c>
      <c r="B2421" t="str">
        <f>"1551603785607563"</f>
        <v>1551603785607563</v>
      </c>
      <c r="C2421" t="s">
        <v>40</v>
      </c>
      <c r="D2421">
        <v>3.9284699999999999</v>
      </c>
      <c r="E2421">
        <v>0.50548249999999995</v>
      </c>
      <c r="F2421" t="s">
        <v>67</v>
      </c>
      <c r="G2421">
        <v>-510.95400000000001</v>
      </c>
      <c r="H2421">
        <v>1.2894890000000001</v>
      </c>
      <c r="I2421">
        <v>296.06420000000003</v>
      </c>
      <c r="J2421">
        <v>-323.94200000000001</v>
      </c>
      <c r="K2421">
        <v>1.120492</v>
      </c>
      <c r="L2421">
        <v>284.32400000000001</v>
      </c>
      <c r="M2421">
        <v>-0.99992570000000003</v>
      </c>
      <c r="N2421">
        <v>-9.5260329999999997E-3</v>
      </c>
      <c r="O2421">
        <v>7.6130540000000002E-3</v>
      </c>
      <c r="P2421">
        <v>-0.98536990000000002</v>
      </c>
      <c r="Q2421">
        <v>0.16026589999999999</v>
      </c>
      <c r="R2421">
        <v>5.7977180000000003E-2</v>
      </c>
      <c r="S2421">
        <v>-3.0328369999999998</v>
      </c>
      <c r="T2421">
        <v>2.7387140000000002E-3</v>
      </c>
      <c r="U2421">
        <v>0.19018550000000001</v>
      </c>
      <c r="V2421">
        <v>5.0559350000000003E-2</v>
      </c>
      <c r="W2421">
        <v>0.16962360000000001</v>
      </c>
      <c r="X2421">
        <v>0.98421110000000001</v>
      </c>
      <c r="Y2421">
        <v>5.4986199999999999E-2</v>
      </c>
      <c r="Z2421">
        <v>3.1668499999999998E-4</v>
      </c>
      <c r="AA2421">
        <v>0.99848709999999996</v>
      </c>
      <c r="AB2421">
        <v>42</v>
      </c>
      <c r="AC2421">
        <v>-187.012</v>
      </c>
      <c r="AD2421">
        <v>0.16899699999999901</v>
      </c>
      <c r="AE2421">
        <v>11.7402</v>
      </c>
      <c r="AF2421">
        <v>10.316054370634401</v>
      </c>
      <c r="AG2421">
        <v>0.16899699999999901</v>
      </c>
      <c r="AH2421">
        <v>187.095810595426</v>
      </c>
      <c r="AI2421">
        <v>89.948325262173697</v>
      </c>
      <c r="AJ2421">
        <v>86.844031501572104</v>
      </c>
      <c r="AK2421">
        <v>187.38007332724499</v>
      </c>
      <c r="AL2421">
        <v>80.234064427627402</v>
      </c>
      <c r="AM2421">
        <v>87.059275980864101</v>
      </c>
      <c r="AN2421">
        <v>0.99999995145629506</v>
      </c>
    </row>
    <row r="2422" spans="1:40" x14ac:dyDescent="0.25">
      <c r="A2422" t="str">
        <f>"20190303170305634"</f>
        <v>20190303170305634</v>
      </c>
      <c r="B2422" t="str">
        <f>"1551603785628059"</f>
        <v>1551603785628059</v>
      </c>
      <c r="C2422" t="s">
        <v>40</v>
      </c>
      <c r="D2422">
        <v>3.8881860000000001</v>
      </c>
      <c r="E2422">
        <v>0.50552549999999996</v>
      </c>
      <c r="F2422" t="s">
        <v>67</v>
      </c>
      <c r="G2422">
        <v>-510.95400000000001</v>
      </c>
      <c r="H2422">
        <v>1.325609</v>
      </c>
      <c r="I2422">
        <v>296.04000000000002</v>
      </c>
      <c r="J2422">
        <v>-324.19009999999997</v>
      </c>
      <c r="K2422">
        <v>1.1204959999999999</v>
      </c>
      <c r="L2422">
        <v>284.32589999999999</v>
      </c>
      <c r="M2422">
        <v>-0.9999247</v>
      </c>
      <c r="N2422">
        <v>-9.5501360000000007E-3</v>
      </c>
      <c r="O2422">
        <v>7.71337699999999E-3</v>
      </c>
      <c r="P2422">
        <v>-0.98532580000000003</v>
      </c>
      <c r="Q2422">
        <v>0.16063339999999901</v>
      </c>
      <c r="R2422">
        <v>5.7709179999999999E-2</v>
      </c>
      <c r="S2422">
        <v>-3.0328369999999998</v>
      </c>
      <c r="T2422">
        <v>3.3278470000000001E-3</v>
      </c>
      <c r="U2422">
        <v>0.19000239999999999</v>
      </c>
      <c r="V2422">
        <v>5.0193199999999903E-2</v>
      </c>
      <c r="W2422">
        <v>0.17001450000000001</v>
      </c>
      <c r="X2422">
        <v>0.98416239999999999</v>
      </c>
      <c r="Y2422">
        <v>5.4826029999999998E-2</v>
      </c>
      <c r="Z2422">
        <v>3.1406259999999998E-4</v>
      </c>
      <c r="AA2422">
        <v>0.99849589999999999</v>
      </c>
      <c r="AB2422">
        <v>42</v>
      </c>
      <c r="AC2422">
        <v>-186.76390000000001</v>
      </c>
      <c r="AD2422">
        <v>0.20511299999999999</v>
      </c>
      <c r="AE2422">
        <v>11.7141</v>
      </c>
      <c r="AF2422">
        <v>10.2730931563515</v>
      </c>
      <c r="AG2422">
        <v>0.20511299999999999</v>
      </c>
      <c r="AH2422">
        <v>186.848478443061</v>
      </c>
      <c r="AI2422">
        <v>89.937198407581505</v>
      </c>
      <c r="AJ2422">
        <v>86.852996281057798</v>
      </c>
      <c r="AK2422">
        <v>187.13078958532901</v>
      </c>
      <c r="AL2422">
        <v>80.211337472195694</v>
      </c>
      <c r="AM2422">
        <v>87.080391463874804</v>
      </c>
      <c r="AN2422">
        <v>0.99999995855512402</v>
      </c>
    </row>
    <row r="2423" spans="1:40" x14ac:dyDescent="0.25">
      <c r="A2423" t="str">
        <f>"20190303170305650"</f>
        <v>20190303170305650</v>
      </c>
      <c r="B2423" t="str">
        <f>"1551603785637819"</f>
        <v>1551603785637819</v>
      </c>
      <c r="C2423" t="s">
        <v>40</v>
      </c>
      <c r="D2423">
        <v>3.907375</v>
      </c>
      <c r="E2423">
        <v>0.50556619999999997</v>
      </c>
      <c r="F2423" t="s">
        <v>45</v>
      </c>
      <c r="G2423">
        <v>-476.3768</v>
      </c>
      <c r="H2423">
        <v>1.335377</v>
      </c>
      <c r="I2423">
        <v>293.84019999999998</v>
      </c>
      <c r="J2423">
        <v>-324.46839999999997</v>
      </c>
      <c r="K2423">
        <v>1.1204940000000001</v>
      </c>
      <c r="L2423">
        <v>284.32819999999998</v>
      </c>
      <c r="M2423">
        <v>-0.99992360000000002</v>
      </c>
      <c r="N2423">
        <v>-9.5782109999999997E-3</v>
      </c>
      <c r="O2423">
        <v>7.8262569999999997E-3</v>
      </c>
      <c r="P2423">
        <v>-0.98521610000000004</v>
      </c>
      <c r="Q2423">
        <v>0.16134699999999999</v>
      </c>
      <c r="R2423">
        <v>5.758771E-2</v>
      </c>
      <c r="S2423">
        <v>-3.0328369999999998</v>
      </c>
      <c r="T2423">
        <v>4.282236E-3</v>
      </c>
      <c r="U2423">
        <v>0.18960569999999999</v>
      </c>
      <c r="V2423">
        <v>4.9961520000000002E-2</v>
      </c>
      <c r="W2423">
        <v>0.17075499999999999</v>
      </c>
      <c r="X2423">
        <v>0.98404599999999998</v>
      </c>
      <c r="Y2423">
        <v>5.4583300000000001E-2</v>
      </c>
      <c r="Z2423">
        <v>3.0910209999999999E-4</v>
      </c>
      <c r="AA2423">
        <v>0.99850919999999999</v>
      </c>
      <c r="AB2423">
        <v>42</v>
      </c>
      <c r="AC2423">
        <v>-151.9084</v>
      </c>
      <c r="AD2423">
        <v>0.21488299999999999</v>
      </c>
      <c r="AE2423">
        <v>9.5120000000000005</v>
      </c>
      <c r="AF2423">
        <v>8.3227634742274894</v>
      </c>
      <c r="AG2423">
        <v>0.21488299999999999</v>
      </c>
      <c r="AH2423">
        <v>151.97789113414001</v>
      </c>
      <c r="AI2423">
        <v>89.9191102036865</v>
      </c>
      <c r="AJ2423">
        <v>86.865442891260301</v>
      </c>
      <c r="AK2423">
        <v>152.20576191502201</v>
      </c>
      <c r="AL2423">
        <v>80.168280527810197</v>
      </c>
      <c r="AM2423">
        <v>87.093501363170404</v>
      </c>
      <c r="AN2423">
        <v>0.99999997681085495</v>
      </c>
    </row>
    <row r="2424" spans="1:40" x14ac:dyDescent="0.25">
      <c r="A2424" t="str">
        <f>"20190303170305665"</f>
        <v>20190303170305665</v>
      </c>
      <c r="B2424" t="str">
        <f>"1551603785647579"</f>
        <v>1551603785647579</v>
      </c>
      <c r="C2424" t="s">
        <v>40</v>
      </c>
      <c r="D2424">
        <v>3.8938009999999998</v>
      </c>
      <c r="E2424">
        <v>0.50559719999999997</v>
      </c>
      <c r="F2424" t="s">
        <v>45</v>
      </c>
      <c r="G2424">
        <v>-476.35489999999999</v>
      </c>
      <c r="H2424">
        <v>1.4343980000000001</v>
      </c>
      <c r="I2424">
        <v>293.81270000000001</v>
      </c>
      <c r="J2424">
        <v>-324.7423</v>
      </c>
      <c r="K2424">
        <v>1.1204959999999999</v>
      </c>
      <c r="L2424">
        <v>284.3304</v>
      </c>
      <c r="M2424">
        <v>-0.99992250000000005</v>
      </c>
      <c r="N2424">
        <v>-9.6070470000000005E-3</v>
      </c>
      <c r="O2424">
        <v>7.937286E-3</v>
      </c>
      <c r="P2424">
        <v>-0.9852571</v>
      </c>
      <c r="Q2424">
        <v>0.16126589999999999</v>
      </c>
      <c r="R2424">
        <v>5.711633E-2</v>
      </c>
      <c r="S2424">
        <v>-3.0329280000000001</v>
      </c>
      <c r="T2424">
        <v>6.2681439999999998E-3</v>
      </c>
      <c r="U2424">
        <v>0.18939210000000001</v>
      </c>
      <c r="V2424">
        <v>4.9380449999999999E-2</v>
      </c>
      <c r="W2424">
        <v>0.17070339999999901</v>
      </c>
      <c r="X2424">
        <v>0.98408430000000002</v>
      </c>
      <c r="Y2424">
        <v>5.4400669999999998E-2</v>
      </c>
      <c r="Z2424">
        <v>2.9798710000000003E-4</v>
      </c>
      <c r="AA2424">
        <v>0.99851909999999999</v>
      </c>
      <c r="AB2424">
        <v>42</v>
      </c>
      <c r="AC2424">
        <v>-151.61259999999999</v>
      </c>
      <c r="AD2424">
        <v>0.31390200000000001</v>
      </c>
      <c r="AE2424">
        <v>9.4823000000000093</v>
      </c>
      <c r="AF2424">
        <v>8.2785180007885106</v>
      </c>
      <c r="AG2424">
        <v>0.31390200000000001</v>
      </c>
      <c r="AH2424">
        <v>151.68244316364201</v>
      </c>
      <c r="AI2424">
        <v>89.881604576554494</v>
      </c>
      <c r="AJ2424">
        <v>86.876012759069198</v>
      </c>
      <c r="AK2424">
        <v>151.90851180512101</v>
      </c>
      <c r="AL2424">
        <v>80.171281219894496</v>
      </c>
      <c r="AM2424">
        <v>87.127359623527099</v>
      </c>
      <c r="AN2424">
        <v>0.999999994560126</v>
      </c>
    </row>
    <row r="2425" spans="1:40" x14ac:dyDescent="0.25">
      <c r="A2425" t="str">
        <f>"20190303170305683"</f>
        <v>20190303170305683</v>
      </c>
      <c r="B2425" t="str">
        <f>"1551603785677836"</f>
        <v>1551603785677836</v>
      </c>
      <c r="C2425" t="s">
        <v>40</v>
      </c>
      <c r="D2425">
        <v>3.8719489999999999</v>
      </c>
      <c r="E2425">
        <v>0.5052217</v>
      </c>
      <c r="F2425" t="s">
        <v>45</v>
      </c>
      <c r="G2425">
        <v>-476.33839999999998</v>
      </c>
      <c r="H2425">
        <v>1.414137</v>
      </c>
      <c r="I2425">
        <v>293.72480000000002</v>
      </c>
      <c r="J2425">
        <v>-325.09910000000002</v>
      </c>
      <c r="K2425">
        <v>1.120503</v>
      </c>
      <c r="L2425">
        <v>284.33330000000001</v>
      </c>
      <c r="M2425">
        <v>-0.99992080000000005</v>
      </c>
      <c r="N2425">
        <v>-9.6458550000000001E-3</v>
      </c>
      <c r="O2425">
        <v>8.0823010000000001E-3</v>
      </c>
      <c r="P2425">
        <v>-0.9853499</v>
      </c>
      <c r="Q2425">
        <v>0.16081400000000001</v>
      </c>
      <c r="R2425">
        <v>5.6788239999999997E-2</v>
      </c>
      <c r="S2425">
        <v>-3.0330509999999999</v>
      </c>
      <c r="T2425">
        <v>5.8749910000000004E-3</v>
      </c>
      <c r="U2425">
        <v>0.18795780000000001</v>
      </c>
      <c r="V2425">
        <v>4.890862E-2</v>
      </c>
      <c r="W2425">
        <v>0.17029029999999901</v>
      </c>
      <c r="X2425">
        <v>0.98417940000000004</v>
      </c>
      <c r="Y2425">
        <v>5.3782950000000003E-2</v>
      </c>
      <c r="Z2425">
        <v>3.0113839999999998E-4</v>
      </c>
      <c r="AA2425">
        <v>0.99855260000000001</v>
      </c>
      <c r="AB2425">
        <v>42</v>
      </c>
      <c r="AC2425">
        <v>-151.23929999999899</v>
      </c>
      <c r="AD2425">
        <v>0.29363399999999901</v>
      </c>
      <c r="AE2425">
        <v>9.3915000000000006</v>
      </c>
      <c r="AF2425">
        <v>8.1687441171392692</v>
      </c>
      <c r="AG2425">
        <v>0.29363399999999901</v>
      </c>
      <c r="AH2425">
        <v>151.30970000435499</v>
      </c>
      <c r="AI2425">
        <v>89.888972723714801</v>
      </c>
      <c r="AJ2425">
        <v>86.909777455300201</v>
      </c>
      <c r="AK2425">
        <v>151.53032672302001</v>
      </c>
      <c r="AL2425">
        <v>80.195301522027705</v>
      </c>
      <c r="AM2425">
        <v>87.155036851468694</v>
      </c>
      <c r="AN2425">
        <v>0.99999996538437597</v>
      </c>
    </row>
    <row r="2426" spans="1:40" x14ac:dyDescent="0.25">
      <c r="A2426" t="str">
        <f>"20190303170305705"</f>
        <v>20190303170305705</v>
      </c>
      <c r="B2426" t="str">
        <f>"1551603785698331"</f>
        <v>1551603785698331</v>
      </c>
      <c r="C2426" t="s">
        <v>40</v>
      </c>
      <c r="D2426">
        <v>3.8871259999999999</v>
      </c>
      <c r="E2426">
        <v>0.47045880000000001</v>
      </c>
      <c r="F2426" t="s">
        <v>67</v>
      </c>
      <c r="G2426">
        <v>-510.95409999999998</v>
      </c>
      <c r="H2426">
        <v>1.3909579999999999</v>
      </c>
      <c r="I2426">
        <v>295.59370000000001</v>
      </c>
      <c r="J2426">
        <v>-325.5129</v>
      </c>
      <c r="K2426">
        <v>1.120501</v>
      </c>
      <c r="L2426">
        <v>284.33679999999998</v>
      </c>
      <c r="M2426">
        <v>-0.99991920000000001</v>
      </c>
      <c r="N2426">
        <v>-9.6909909999999995E-3</v>
      </c>
      <c r="O2426">
        <v>8.2501740000000007E-3</v>
      </c>
      <c r="P2426">
        <v>-0.98548910000000001</v>
      </c>
      <c r="Q2426">
        <v>0.16006699999999999</v>
      </c>
      <c r="R2426">
        <v>5.648036E-2</v>
      </c>
      <c r="S2426">
        <v>-3.033264</v>
      </c>
      <c r="T2426">
        <v>4.4153930000000001E-3</v>
      </c>
      <c r="U2426">
        <v>0.18377689999999999</v>
      </c>
      <c r="V2426">
        <v>4.8433459999999998E-2</v>
      </c>
      <c r="W2426">
        <v>0.1695892</v>
      </c>
      <c r="X2426">
        <v>0.98432399999999998</v>
      </c>
      <c r="Y2426">
        <v>5.2239569999999999E-2</v>
      </c>
      <c r="Z2426">
        <v>3.0726089999999999E-4</v>
      </c>
      <c r="AA2426">
        <v>0.99863449999999998</v>
      </c>
      <c r="AB2426">
        <v>42</v>
      </c>
      <c r="AC2426">
        <v>-185.44120000000001</v>
      </c>
      <c r="AD2426">
        <v>0.270456999999999</v>
      </c>
      <c r="AE2426">
        <v>11.2569</v>
      </c>
      <c r="AF2426">
        <v>9.7265025248630206</v>
      </c>
      <c r="AG2426">
        <v>0.270456999999999</v>
      </c>
      <c r="AH2426">
        <v>185.52737078439699</v>
      </c>
      <c r="AI2426">
        <v>89.9165903019138</v>
      </c>
      <c r="AJ2426">
        <v>86.998945159278307</v>
      </c>
      <c r="AK2426">
        <v>185.78235467483501</v>
      </c>
      <c r="AL2426">
        <v>80.236065023208397</v>
      </c>
      <c r="AM2426">
        <v>87.183044873418794</v>
      </c>
      <c r="AN2426">
        <v>1.0000000168901</v>
      </c>
    </row>
    <row r="2427" spans="1:40" x14ac:dyDescent="0.25">
      <c r="A2427" t="str">
        <f>"20190303170305717"</f>
        <v>20190303170305717</v>
      </c>
      <c r="B2427" t="str">
        <f>"1551603785708091"</f>
        <v>1551603785708091</v>
      </c>
      <c r="C2427" t="s">
        <v>40</v>
      </c>
      <c r="D2427">
        <v>3.8879419999999998</v>
      </c>
      <c r="E2427">
        <v>0.4693058</v>
      </c>
      <c r="F2427" t="s">
        <v>66</v>
      </c>
      <c r="G2427">
        <v>-511.95940000000002</v>
      </c>
      <c r="H2427">
        <v>2.23658</v>
      </c>
      <c r="I2427">
        <v>278.61070000000001</v>
      </c>
      <c r="J2427">
        <v>-325.73520000000002</v>
      </c>
      <c r="K2427">
        <v>1.1204989999999999</v>
      </c>
      <c r="L2427">
        <v>284.33870000000002</v>
      </c>
      <c r="M2427">
        <v>-0.99991799999999997</v>
      </c>
      <c r="N2427">
        <v>-9.7150450000000003E-3</v>
      </c>
      <c r="O2427">
        <v>8.3405400000000005E-3</v>
      </c>
      <c r="P2427">
        <v>-0.98545530000000003</v>
      </c>
      <c r="Q2427">
        <v>0.1602305</v>
      </c>
      <c r="R2427">
        <v>5.660569E-2</v>
      </c>
      <c r="S2427">
        <v>-3.0466000000000002</v>
      </c>
      <c r="T2427">
        <v>1.823843E-2</v>
      </c>
      <c r="U2427">
        <v>-9.356689E-2</v>
      </c>
      <c r="V2427">
        <v>4.8470199999999998E-2</v>
      </c>
      <c r="W2427">
        <v>0.16977629999999999</v>
      </c>
      <c r="X2427">
        <v>0.98428990000000005</v>
      </c>
      <c r="Y2427">
        <v>-3.9032770000000001E-2</v>
      </c>
      <c r="Z2427" s="1">
        <v>5.808243E-5</v>
      </c>
      <c r="AA2427">
        <v>0.99923799999999996</v>
      </c>
      <c r="AB2427">
        <v>42</v>
      </c>
      <c r="AC2427">
        <v>-186.2242</v>
      </c>
      <c r="AD2427">
        <v>1.1160809999999901</v>
      </c>
      <c r="AE2427">
        <v>-5.7279999999999998</v>
      </c>
      <c r="AF2427">
        <v>-7.2808232030728197</v>
      </c>
      <c r="AG2427">
        <v>1.1160809999999901</v>
      </c>
      <c r="AH2427">
        <v>186.163264699617</v>
      </c>
      <c r="AI2427">
        <v>89.656768392172594</v>
      </c>
      <c r="AJ2427">
        <v>92.239689676486194</v>
      </c>
      <c r="AK2427">
        <v>186.30892932689099</v>
      </c>
      <c r="AL2427">
        <v>80.225186875230094</v>
      </c>
      <c r="AM2427">
        <v>87.180813963667404</v>
      </c>
      <c r="AN2427">
        <v>0.99999997978586896</v>
      </c>
    </row>
    <row r="2428" spans="1:40" x14ac:dyDescent="0.25">
      <c r="A2428" t="str">
        <f>"20190303170305728"</f>
        <v>20190303170305728</v>
      </c>
      <c r="B2428" t="str">
        <f>"1551603785717851"</f>
        <v>1551603785717851</v>
      </c>
      <c r="C2428" t="s">
        <v>40</v>
      </c>
      <c r="D2428">
        <v>3.8431069999999998</v>
      </c>
      <c r="E2428">
        <v>0.46916609999999997</v>
      </c>
      <c r="F2428" t="s">
        <v>66</v>
      </c>
      <c r="G2428">
        <v>-511.95940000000002</v>
      </c>
      <c r="H2428">
        <v>2.2697080000000001</v>
      </c>
      <c r="I2428">
        <v>278.072</v>
      </c>
      <c r="J2428">
        <v>-325.9597</v>
      </c>
      <c r="K2428">
        <v>1.120501</v>
      </c>
      <c r="L2428">
        <v>284.34059999999999</v>
      </c>
      <c r="M2428">
        <v>-0.9999171</v>
      </c>
      <c r="N2428">
        <v>-9.7396830000000007E-3</v>
      </c>
      <c r="O2428">
        <v>8.4317369999999999E-3</v>
      </c>
      <c r="P2428">
        <v>-0.98545070000000001</v>
      </c>
      <c r="Q2428">
        <v>0.1601784</v>
      </c>
      <c r="R2428">
        <v>5.6830230000000002E-2</v>
      </c>
      <c r="S2428">
        <v>-3.0471189999999999</v>
      </c>
      <c r="T2428">
        <v>1.880538E-2</v>
      </c>
      <c r="U2428">
        <v>-0.10253909999999999</v>
      </c>
      <c r="V2428">
        <v>4.860457E-2</v>
      </c>
      <c r="W2428">
        <v>0.1697485</v>
      </c>
      <c r="X2428">
        <v>0.9842881</v>
      </c>
      <c r="Y2428">
        <v>-4.2057690000000002E-2</v>
      </c>
      <c r="Z2428" s="1">
        <v>5.8986130000000003E-5</v>
      </c>
      <c r="AA2428">
        <v>0.99911519999999998</v>
      </c>
      <c r="AB2428">
        <v>42</v>
      </c>
      <c r="AC2428">
        <v>-185.99969999999999</v>
      </c>
      <c r="AD2428">
        <v>1.1492069999999901</v>
      </c>
      <c r="AE2428">
        <v>-6.2685999999999904</v>
      </c>
      <c r="AF2428">
        <v>-7.8364531480020503</v>
      </c>
      <c r="AG2428">
        <v>1.1492069999999901</v>
      </c>
      <c r="AH2428">
        <v>185.933139987793</v>
      </c>
      <c r="AI2428">
        <v>89.646187488350407</v>
      </c>
      <c r="AJ2428">
        <v>92.413395045104096</v>
      </c>
      <c r="AK2428">
        <v>186.10175501695201</v>
      </c>
      <c r="AL2428">
        <v>80.226803462743305</v>
      </c>
      <c r="AM2428">
        <v>87.173006062237903</v>
      </c>
      <c r="AN2428">
        <v>1.0000000106393701</v>
      </c>
    </row>
    <row r="2429" spans="1:40" x14ac:dyDescent="0.25">
      <c r="A2429" t="str">
        <f>"20190303170305741"</f>
        <v>20190303170305741</v>
      </c>
      <c r="B2429" t="str">
        <f>"1551603785727612"</f>
        <v>1551603785727612</v>
      </c>
      <c r="C2429" t="s">
        <v>40</v>
      </c>
      <c r="D2429">
        <v>3.8343609999999999</v>
      </c>
      <c r="E2429">
        <v>0.4689297</v>
      </c>
      <c r="F2429" t="s">
        <v>66</v>
      </c>
      <c r="G2429">
        <v>-511.95929999999998</v>
      </c>
      <c r="H2429">
        <v>2.1501060000000001</v>
      </c>
      <c r="I2429">
        <v>278.05250000000001</v>
      </c>
      <c r="J2429">
        <v>-326.18</v>
      </c>
      <c r="K2429">
        <v>1.120506</v>
      </c>
      <c r="L2429">
        <v>284.3426</v>
      </c>
      <c r="M2429">
        <v>-0.99991629999999998</v>
      </c>
      <c r="N2429">
        <v>-9.7647830000000008E-3</v>
      </c>
      <c r="O2429">
        <v>8.5211450000000008E-3</v>
      </c>
      <c r="P2429">
        <v>-0.98541800000000002</v>
      </c>
      <c r="Q2429">
        <v>0.1603851</v>
      </c>
      <c r="R2429">
        <v>5.6818399999999998E-2</v>
      </c>
      <c r="S2429">
        <v>-3.047485</v>
      </c>
      <c r="T2429">
        <v>1.6870739999999999E-2</v>
      </c>
      <c r="U2429">
        <v>-0.1030273</v>
      </c>
      <c r="V2429">
        <v>4.8505260000000001E-2</v>
      </c>
      <c r="W2429">
        <v>0.1699793</v>
      </c>
      <c r="X2429">
        <v>0.98425320000000005</v>
      </c>
      <c r="Y2429">
        <v>-4.2302979999999997E-2</v>
      </c>
      <c r="Z2429" s="1">
        <v>4.0798360000000003E-5</v>
      </c>
      <c r="AA2429">
        <v>0.99910480000000002</v>
      </c>
      <c r="AB2429">
        <v>42</v>
      </c>
      <c r="AC2429">
        <v>-185.77930000000001</v>
      </c>
      <c r="AD2429">
        <v>1.0296000000000001</v>
      </c>
      <c r="AE2429">
        <v>-6.29009999999999</v>
      </c>
      <c r="AF2429">
        <v>-7.8727574639682603</v>
      </c>
      <c r="AG2429">
        <v>1.0296000000000001</v>
      </c>
      <c r="AH2429">
        <v>185.713255589515</v>
      </c>
      <c r="AI2429">
        <v>89.682638719141295</v>
      </c>
      <c r="AJ2429">
        <v>92.427429634006899</v>
      </c>
      <c r="AK2429">
        <v>185.88290316191799</v>
      </c>
      <c r="AL2429">
        <v>80.213384899405398</v>
      </c>
      <c r="AM2429">
        <v>87.178673026837799</v>
      </c>
      <c r="AN2429">
        <v>1.0000000421931901</v>
      </c>
    </row>
    <row r="2430" spans="1:40" x14ac:dyDescent="0.25">
      <c r="A2430" t="str">
        <f>"20190303170305753"</f>
        <v>20190303170305753</v>
      </c>
      <c r="B2430" t="str">
        <f>"1551603785748108"</f>
        <v>1551603785748108</v>
      </c>
      <c r="C2430" t="s">
        <v>40</v>
      </c>
      <c r="D2430">
        <v>3.8227440000000001</v>
      </c>
      <c r="E2430">
        <v>0.46863189999999999</v>
      </c>
      <c r="F2430" t="s">
        <v>66</v>
      </c>
      <c r="G2430">
        <v>-511.95929999999998</v>
      </c>
      <c r="H2430">
        <v>2.0945809999999998</v>
      </c>
      <c r="I2430">
        <v>277.93430000000001</v>
      </c>
      <c r="J2430">
        <v>-326.43110000000001</v>
      </c>
      <c r="K2430">
        <v>1.120512</v>
      </c>
      <c r="L2430">
        <v>284.34480000000002</v>
      </c>
      <c r="M2430">
        <v>-0.99991490000000005</v>
      </c>
      <c r="N2430">
        <v>-9.7945240000000006E-3</v>
      </c>
      <c r="O2430">
        <v>8.6230490000000007E-3</v>
      </c>
      <c r="P2430">
        <v>-0.98539200000000005</v>
      </c>
      <c r="Q2430">
        <v>0.1603889</v>
      </c>
      <c r="R2430">
        <v>5.725649E-2</v>
      </c>
      <c r="S2430">
        <v>-3.047882</v>
      </c>
      <c r="T2430">
        <v>1.5981909999999998E-2</v>
      </c>
      <c r="U2430">
        <v>-0.10513309999999999</v>
      </c>
      <c r="V2430">
        <v>4.8843190000000002E-2</v>
      </c>
      <c r="W2430">
        <v>0.17001260000000001</v>
      </c>
      <c r="X2430">
        <v>0.98423070000000001</v>
      </c>
      <c r="Y2430">
        <v>-4.30899E-2</v>
      </c>
      <c r="Z2430" s="1">
        <v>3.1484959999999998E-5</v>
      </c>
      <c r="AA2430">
        <v>0.99907120000000005</v>
      </c>
      <c r="AB2430">
        <v>42</v>
      </c>
      <c r="AC2430">
        <v>-185.5282</v>
      </c>
      <c r="AD2430">
        <v>0.97406899999999996</v>
      </c>
      <c r="AE2430">
        <v>-6.4105000000000096</v>
      </c>
      <c r="AF2430">
        <v>-8.0099365335528905</v>
      </c>
      <c r="AG2430">
        <v>0.97406899999999996</v>
      </c>
      <c r="AH2430">
        <v>185.460914695659</v>
      </c>
      <c r="AI2430">
        <v>89.699356859512804</v>
      </c>
      <c r="AJ2430">
        <v>92.473030629320803</v>
      </c>
      <c r="AK2430">
        <v>185.63636166828601</v>
      </c>
      <c r="AL2430">
        <v>80.2114484123681</v>
      </c>
      <c r="AM2430">
        <v>87.158984450031696</v>
      </c>
      <c r="AN2430">
        <v>1.00000000609531</v>
      </c>
    </row>
    <row r="2431" spans="1:40" x14ac:dyDescent="0.25">
      <c r="A2431" t="str">
        <f>"20190303170305765"</f>
        <v>20190303170305765</v>
      </c>
      <c r="B2431" t="str">
        <f>"1551603785757867"</f>
        <v>1551603785757867</v>
      </c>
      <c r="C2431" t="s">
        <v>40</v>
      </c>
      <c r="D2431">
        <v>3.8863810000000001</v>
      </c>
      <c r="E2431">
        <v>0.4685878</v>
      </c>
      <c r="F2431" t="s">
        <v>66</v>
      </c>
      <c r="G2431">
        <v>-511.95929999999998</v>
      </c>
      <c r="H2431">
        <v>2.1453470000000001</v>
      </c>
      <c r="I2431">
        <v>277.88580000000002</v>
      </c>
      <c r="J2431">
        <v>-326.64999999999998</v>
      </c>
      <c r="K2431">
        <v>1.1205160000000001</v>
      </c>
      <c r="L2431">
        <v>284.3467</v>
      </c>
      <c r="M2431">
        <v>-0.99991379999999996</v>
      </c>
      <c r="N2431">
        <v>-9.823053E-3</v>
      </c>
      <c r="O2431">
        <v>8.7120229999999993E-3</v>
      </c>
      <c r="P2431">
        <v>-0.98534699999999997</v>
      </c>
      <c r="Q2431">
        <v>0.16068270000000001</v>
      </c>
      <c r="R2431">
        <v>5.7205699999999998E-2</v>
      </c>
      <c r="S2431">
        <v>-3.0479129999999999</v>
      </c>
      <c r="T2431">
        <v>1.6837599999999901E-2</v>
      </c>
      <c r="U2431">
        <v>-0.1061096</v>
      </c>
      <c r="V2431">
        <v>4.8705270000000002E-2</v>
      </c>
      <c r="W2431">
        <v>0.1703336</v>
      </c>
      <c r="X2431">
        <v>0.98418209999999995</v>
      </c>
      <c r="Y2431">
        <v>-4.3498139999999998E-2</v>
      </c>
      <c r="Z2431" s="1">
        <v>4.0065289999999997E-5</v>
      </c>
      <c r="AA2431">
        <v>0.99905350000000004</v>
      </c>
      <c r="AB2431">
        <v>42</v>
      </c>
      <c r="AC2431">
        <v>-185.30930000000001</v>
      </c>
      <c r="AD2431">
        <v>1.024831</v>
      </c>
      <c r="AE2431">
        <v>-6.4608999999999801</v>
      </c>
      <c r="AF2431">
        <v>-8.0749048902241007</v>
      </c>
      <c r="AG2431">
        <v>1.024831</v>
      </c>
      <c r="AH2431">
        <v>185.24031781824499</v>
      </c>
      <c r="AI2431">
        <v>89.683318487545705</v>
      </c>
      <c r="AJ2431">
        <v>92.496029259209806</v>
      </c>
      <c r="AK2431">
        <v>185.41906512807401</v>
      </c>
      <c r="AL2431">
        <v>80.192784890509103</v>
      </c>
      <c r="AM2431">
        <v>87.1668539554408</v>
      </c>
      <c r="AN2431">
        <v>1.0000000722875599</v>
      </c>
    </row>
    <row r="2432" spans="1:40" x14ac:dyDescent="0.25">
      <c r="A2432" t="str">
        <f>"20190303170305777"</f>
        <v>20190303170305777</v>
      </c>
      <c r="B2432" t="str">
        <f>"1551603785767627"</f>
        <v>1551603785767627</v>
      </c>
      <c r="C2432" t="s">
        <v>40</v>
      </c>
      <c r="D2432">
        <v>3.8268439999999999</v>
      </c>
      <c r="E2432">
        <v>0.4686497</v>
      </c>
      <c r="F2432" t="s">
        <v>66</v>
      </c>
      <c r="G2432">
        <v>-511.95940000000002</v>
      </c>
      <c r="H2432">
        <v>2.2379039999999999</v>
      </c>
      <c r="I2432">
        <v>277.86739999999998</v>
      </c>
      <c r="J2432">
        <v>-326.86169999999998</v>
      </c>
      <c r="K2432">
        <v>1.1205160000000001</v>
      </c>
      <c r="L2432">
        <v>284.34859999999998</v>
      </c>
      <c r="M2432">
        <v>-0.99991289999999999</v>
      </c>
      <c r="N2432">
        <v>-9.8516379999999994E-3</v>
      </c>
      <c r="O2432">
        <v>8.7976579999999999E-3</v>
      </c>
      <c r="P2432">
        <v>-0.98538709999999996</v>
      </c>
      <c r="Q2432">
        <v>0.16047259999999999</v>
      </c>
      <c r="R2432">
        <v>5.7106089999999998E-2</v>
      </c>
      <c r="S2432">
        <v>-3.0478209999999999</v>
      </c>
      <c r="T2432">
        <v>1.837921E-2</v>
      </c>
      <c r="U2432">
        <v>-0.10656740000000001</v>
      </c>
      <c r="V2432">
        <v>4.852091E-2</v>
      </c>
      <c r="W2432">
        <v>0.17015259999999999</v>
      </c>
      <c r="X2432">
        <v>0.98422240000000005</v>
      </c>
      <c r="Y2432">
        <v>-4.3734519999999999E-2</v>
      </c>
      <c r="Z2432" s="1">
        <v>5.6005779999999997E-5</v>
      </c>
      <c r="AA2432">
        <v>0.99904320000000002</v>
      </c>
      <c r="AB2432">
        <v>42</v>
      </c>
      <c r="AC2432">
        <v>-185.0977</v>
      </c>
      <c r="AD2432">
        <v>1.1173879999999901</v>
      </c>
      <c r="AE2432">
        <v>-6.4812000000000003</v>
      </c>
      <c r="AF2432">
        <v>-8.1091590752524105</v>
      </c>
      <c r="AG2432">
        <v>1.1173879999999901</v>
      </c>
      <c r="AH2432">
        <v>185.02677931116901</v>
      </c>
      <c r="AI2432">
        <v>89.654323321701696</v>
      </c>
      <c r="AJ2432">
        <v>92.509493237793194</v>
      </c>
      <c r="AK2432">
        <v>185.20776462965699</v>
      </c>
      <c r="AL2432">
        <v>80.2033079390891</v>
      </c>
      <c r="AM2432">
        <v>87.177676034551197</v>
      </c>
      <c r="AN2432">
        <v>0.999999959327873</v>
      </c>
    </row>
    <row r="2433" spans="1:40" x14ac:dyDescent="0.25">
      <c r="A2433" t="str">
        <f>"20190303170305787"</f>
        <v>20190303170305787</v>
      </c>
      <c r="B2433" t="str">
        <f>"1551603785778364"</f>
        <v>1551603785778364</v>
      </c>
      <c r="C2433" t="s">
        <v>40</v>
      </c>
      <c r="D2433">
        <v>3.8405070000000001</v>
      </c>
      <c r="E2433">
        <v>0.46873860000000001</v>
      </c>
      <c r="F2433" t="s">
        <v>66</v>
      </c>
      <c r="G2433">
        <v>-511.95940000000002</v>
      </c>
      <c r="H2433">
        <v>2.2096520000000002</v>
      </c>
      <c r="I2433">
        <v>277.8931</v>
      </c>
      <c r="J2433">
        <v>-327.07339999999999</v>
      </c>
      <c r="K2433">
        <v>1.12052</v>
      </c>
      <c r="L2433">
        <v>284.35059999999999</v>
      </c>
      <c r="M2433">
        <v>-0.99991180000000002</v>
      </c>
      <c r="N2433">
        <v>-9.8840239999999999E-3</v>
      </c>
      <c r="O2433">
        <v>8.8832770000000002E-3</v>
      </c>
      <c r="P2433">
        <v>-0.98538040000000005</v>
      </c>
      <c r="Q2433">
        <v>0.16053319999999999</v>
      </c>
      <c r="R2433">
        <v>5.7050910000000003E-2</v>
      </c>
      <c r="S2433">
        <v>-3.0476990000000002</v>
      </c>
      <c r="T2433">
        <v>1.793432E-2</v>
      </c>
      <c r="U2433">
        <v>-0.1062927</v>
      </c>
      <c r="V2433">
        <v>4.8381359999999998E-2</v>
      </c>
      <c r="W2433">
        <v>0.17024520000000001</v>
      </c>
      <c r="X2433">
        <v>0.98421329999999996</v>
      </c>
      <c r="Y2433">
        <v>-4.3731550000000001E-2</v>
      </c>
      <c r="Z2433" s="1">
        <v>5.2471150000000003E-5</v>
      </c>
      <c r="AA2433">
        <v>0.99904329999999997</v>
      </c>
      <c r="AB2433">
        <v>42</v>
      </c>
      <c r="AC2433">
        <v>-184.886</v>
      </c>
      <c r="AD2433">
        <v>1.089132</v>
      </c>
      <c r="AE2433">
        <v>-6.45749999999998</v>
      </c>
      <c r="AF2433">
        <v>-8.0994380649963702</v>
      </c>
      <c r="AG2433">
        <v>1.089132</v>
      </c>
      <c r="AH2433">
        <v>184.81493205796201</v>
      </c>
      <c r="AI2433">
        <v>89.662678188292105</v>
      </c>
      <c r="AJ2433">
        <v>92.509358208290195</v>
      </c>
      <c r="AK2433">
        <v>184.99553026241301</v>
      </c>
      <c r="AL2433">
        <v>80.197924216020994</v>
      </c>
      <c r="AM2433">
        <v>87.185754216837907</v>
      </c>
      <c r="AN2433">
        <v>1.00000000200768</v>
      </c>
    </row>
    <row r="2434" spans="1:40" x14ac:dyDescent="0.25">
      <c r="A2434" t="str">
        <f>"20190303170305799"</f>
        <v>20190303170305799</v>
      </c>
      <c r="B2434" t="str">
        <f>"1551603785788124"</f>
        <v>1551603785788124</v>
      </c>
      <c r="C2434" t="s">
        <v>40</v>
      </c>
      <c r="D2434">
        <v>3.8111899999999999</v>
      </c>
      <c r="E2434">
        <v>0.46884680000000001</v>
      </c>
      <c r="F2434" t="s">
        <v>66</v>
      </c>
      <c r="G2434">
        <v>-511.95940000000002</v>
      </c>
      <c r="H2434">
        <v>2.1983540000000001</v>
      </c>
      <c r="I2434">
        <v>277.9452</v>
      </c>
      <c r="J2434">
        <v>-327.29090000000002</v>
      </c>
      <c r="K2434">
        <v>1.1205259999999999</v>
      </c>
      <c r="L2434">
        <v>284.3526</v>
      </c>
      <c r="M2434">
        <v>-0.99991059999999998</v>
      </c>
      <c r="N2434">
        <v>-9.9183959999999995E-3</v>
      </c>
      <c r="O2434">
        <v>8.9712100000000003E-3</v>
      </c>
      <c r="P2434">
        <v>-0.98540130000000004</v>
      </c>
      <c r="Q2434">
        <v>0.160405399999999</v>
      </c>
      <c r="R2434">
        <v>5.704973E-2</v>
      </c>
      <c r="S2434">
        <v>-3.0477910000000001</v>
      </c>
      <c r="T2434">
        <v>1.7769099999999899E-2</v>
      </c>
      <c r="U2434">
        <v>-0.1055908</v>
      </c>
      <c r="V2434">
        <v>4.8293429999999998E-2</v>
      </c>
      <c r="W2434">
        <v>0.1701512</v>
      </c>
      <c r="X2434">
        <v>0.98423389999999999</v>
      </c>
      <c r="Y2434">
        <v>-4.3588559999999998E-2</v>
      </c>
      <c r="Z2434" s="1">
        <v>5.2031599999999998E-5</v>
      </c>
      <c r="AA2434">
        <v>0.99904950000000003</v>
      </c>
      <c r="AB2434">
        <v>42</v>
      </c>
      <c r="AC2434">
        <v>-184.66849999999999</v>
      </c>
      <c r="AD2434">
        <v>1.077828</v>
      </c>
      <c r="AE2434">
        <v>-6.4073999999999902</v>
      </c>
      <c r="AF2434">
        <v>-8.0636491007974094</v>
      </c>
      <c r="AG2434">
        <v>1.077828</v>
      </c>
      <c r="AH2434">
        <v>184.597302045204</v>
      </c>
      <c r="AI2434">
        <v>89.665783517510803</v>
      </c>
      <c r="AJ2434">
        <v>92.501225794687798</v>
      </c>
      <c r="AK2434">
        <v>184.776481383283</v>
      </c>
      <c r="AL2434">
        <v>80.203390020325799</v>
      </c>
      <c r="AM2434">
        <v>87.1909194279784</v>
      </c>
      <c r="AN2434">
        <v>1.0000000280759</v>
      </c>
    </row>
    <row r="2435" spans="1:40" x14ac:dyDescent="0.25">
      <c r="A2435" t="str">
        <f>"20190303170305812"</f>
        <v>20190303170305812</v>
      </c>
      <c r="B2435" t="str">
        <f>"1551603785807643"</f>
        <v>1551603785807643</v>
      </c>
      <c r="C2435" t="s">
        <v>40</v>
      </c>
      <c r="D2435">
        <v>3.8566760000000002</v>
      </c>
      <c r="E2435">
        <v>0.46874569999999999</v>
      </c>
      <c r="F2435" t="s">
        <v>66</v>
      </c>
      <c r="G2435">
        <v>-511.95929999999998</v>
      </c>
      <c r="H2435">
        <v>2.0972650000000002</v>
      </c>
      <c r="I2435">
        <v>278.02330000000001</v>
      </c>
      <c r="J2435">
        <v>-327.52289999999999</v>
      </c>
      <c r="K2435">
        <v>1.1205320000000001</v>
      </c>
      <c r="L2435">
        <v>284.35469999999998</v>
      </c>
      <c r="M2435">
        <v>-0.9999093</v>
      </c>
      <c r="N2435">
        <v>-9.9568069999999998E-3</v>
      </c>
      <c r="O2435">
        <v>9.0652010000000002E-3</v>
      </c>
      <c r="P2435">
        <v>-0.98536449999999998</v>
      </c>
      <c r="Q2435">
        <v>0.1606532</v>
      </c>
      <c r="R2435">
        <v>5.6986639999999998E-2</v>
      </c>
      <c r="S2435">
        <v>-3.0478519999999998</v>
      </c>
      <c r="T2435">
        <v>1.6121859999999998E-2</v>
      </c>
      <c r="U2435">
        <v>-0.1044617</v>
      </c>
      <c r="V2435">
        <v>4.8138109999999998E-2</v>
      </c>
      <c r="W2435">
        <v>0.17043649999999999</v>
      </c>
      <c r="X2435">
        <v>0.98419210000000001</v>
      </c>
      <c r="Y2435">
        <v>-4.3312169999999997E-2</v>
      </c>
      <c r="Z2435" s="1">
        <v>3.6994399999999999E-5</v>
      </c>
      <c r="AA2435">
        <v>0.99906159999999999</v>
      </c>
      <c r="AB2435">
        <v>42</v>
      </c>
      <c r="AC2435">
        <v>-184.43639999999999</v>
      </c>
      <c r="AD2435">
        <v>0.97673299999999996</v>
      </c>
      <c r="AE2435">
        <v>-6.3313999999999702</v>
      </c>
      <c r="AF2435">
        <v>-8.0029516225945407</v>
      </c>
      <c r="AG2435">
        <v>0.97673299999999996</v>
      </c>
      <c r="AH2435">
        <v>184.36625803467399</v>
      </c>
      <c r="AI2435">
        <v>89.696747616349001</v>
      </c>
      <c r="AJ2435">
        <v>92.485528989581596</v>
      </c>
      <c r="AK2435">
        <v>184.542456751109</v>
      </c>
      <c r="AL2435">
        <v>80.186800790282504</v>
      </c>
      <c r="AM2435">
        <v>87.199820781404696</v>
      </c>
      <c r="AN2435">
        <v>0.99999998393451495</v>
      </c>
    </row>
    <row r="2436" spans="1:40" x14ac:dyDescent="0.25">
      <c r="A2436" t="str">
        <f>"20190303170305828"</f>
        <v>20190303170305828</v>
      </c>
      <c r="B2436" t="str">
        <f>"1551603785818381"</f>
        <v>1551603785818381</v>
      </c>
      <c r="C2436" t="s">
        <v>40</v>
      </c>
      <c r="D2436">
        <v>3.842349</v>
      </c>
      <c r="E2436">
        <v>0.4686902</v>
      </c>
      <c r="F2436" t="s">
        <v>66</v>
      </c>
      <c r="G2436">
        <v>-511.95929999999998</v>
      </c>
      <c r="H2436">
        <v>2.0857899999999998</v>
      </c>
      <c r="I2436">
        <v>277.9599</v>
      </c>
      <c r="J2436">
        <v>-327.81699999999898</v>
      </c>
      <c r="K2436">
        <v>1.1205400000000001</v>
      </c>
      <c r="L2436">
        <v>284.35750000000002</v>
      </c>
      <c r="M2436">
        <v>-0.99990780000000001</v>
      </c>
      <c r="N2436">
        <v>-1.0007189999999999E-2</v>
      </c>
      <c r="O2436">
        <v>9.1839309999999993E-3</v>
      </c>
      <c r="P2436">
        <v>-0.98547169999999895</v>
      </c>
      <c r="Q2436">
        <v>0.15982299999999999</v>
      </c>
      <c r="R2436">
        <v>5.7467150000000002E-2</v>
      </c>
      <c r="S2436">
        <v>-3.0480649999999998</v>
      </c>
      <c r="T2436">
        <v>1.5953539999999999E-2</v>
      </c>
      <c r="U2436">
        <v>-0.105682399999999</v>
      </c>
      <c r="V2436">
        <v>4.8500380000000003E-2</v>
      </c>
      <c r="W2436">
        <v>0.16965740000000001</v>
      </c>
      <c r="X2436">
        <v>0.98430899999999999</v>
      </c>
      <c r="Y2436">
        <v>-4.3828039999999999E-2</v>
      </c>
      <c r="Z2436" s="1">
        <v>3.5225559999999899E-5</v>
      </c>
      <c r="AA2436">
        <v>0.99903909999999996</v>
      </c>
      <c r="AB2436">
        <v>42</v>
      </c>
      <c r="AC2436">
        <v>-184.14230000000001</v>
      </c>
      <c r="AD2436">
        <v>0.96525000000000005</v>
      </c>
      <c r="AE2436">
        <v>-6.3976000000000104</v>
      </c>
      <c r="AF2436">
        <v>-8.0883429696602001</v>
      </c>
      <c r="AG2436">
        <v>0.96525000000000005</v>
      </c>
      <c r="AH2436">
        <v>184.070723648919</v>
      </c>
      <c r="AI2436">
        <v>89.699838577883696</v>
      </c>
      <c r="AJ2436">
        <v>92.516043728171297</v>
      </c>
      <c r="AK2436">
        <v>184.25087327932599</v>
      </c>
      <c r="AL2436">
        <v>80.232100457038499</v>
      </c>
      <c r="AM2436">
        <v>87.179116080639005</v>
      </c>
      <c r="AN2436">
        <v>1.00000006385795</v>
      </c>
    </row>
    <row r="2437" spans="1:40" x14ac:dyDescent="0.25">
      <c r="A2437" t="str">
        <f>"20190303170305840"</f>
        <v>20190303170305840</v>
      </c>
      <c r="B2437" t="str">
        <f>"1551603785828141"</f>
        <v>1551603785828141</v>
      </c>
      <c r="C2437" t="s">
        <v>40</v>
      </c>
      <c r="D2437">
        <v>3.867111</v>
      </c>
      <c r="E2437">
        <v>0.4686343</v>
      </c>
      <c r="F2437" t="s">
        <v>66</v>
      </c>
      <c r="G2437">
        <v>-511.95929999999998</v>
      </c>
      <c r="H2437">
        <v>1.925786</v>
      </c>
      <c r="I2437">
        <v>277.98430000000002</v>
      </c>
      <c r="J2437">
        <v>-328.05509999999998</v>
      </c>
      <c r="K2437">
        <v>1.1205419999999999</v>
      </c>
      <c r="L2437">
        <v>284.35969999999998</v>
      </c>
      <c r="M2437">
        <v>-0.99990639999999997</v>
      </c>
      <c r="N2437">
        <v>-1.004907E-2</v>
      </c>
      <c r="O2437">
        <v>9.2802300000000004E-3</v>
      </c>
      <c r="P2437">
        <v>-0.98554299999999995</v>
      </c>
      <c r="Q2437">
        <v>0.15927829999999901</v>
      </c>
      <c r="R2437">
        <v>5.7755830000000001E-2</v>
      </c>
      <c r="S2437">
        <v>-3.0482179999999999</v>
      </c>
      <c r="T2437">
        <v>1.333106E-2</v>
      </c>
      <c r="U2437">
        <v>-0.1054993</v>
      </c>
      <c r="V2437">
        <v>4.8693170000000001E-2</v>
      </c>
      <c r="W2437">
        <v>0.1691541</v>
      </c>
      <c r="X2437">
        <v>0.98438599999999998</v>
      </c>
      <c r="Y2437">
        <v>-4.3862680000000001E-2</v>
      </c>
      <c r="Z2437" s="1">
        <v>9.2284749999999998E-6</v>
      </c>
      <c r="AA2437">
        <v>0.99903759999999997</v>
      </c>
      <c r="AB2437">
        <v>42</v>
      </c>
      <c r="AC2437">
        <v>-183.9042</v>
      </c>
      <c r="AD2437">
        <v>0.80524399999999996</v>
      </c>
      <c r="AE2437">
        <v>-6.3753999999999502</v>
      </c>
      <c r="AF2437">
        <v>-8.0817302006548708</v>
      </c>
      <c r="AG2437">
        <v>0.80524399999999996</v>
      </c>
      <c r="AH2437">
        <v>183.833591438599</v>
      </c>
      <c r="AI2437">
        <v>89.749271780999095</v>
      </c>
      <c r="AJ2437">
        <v>92.517228030171594</v>
      </c>
      <c r="AK2437">
        <v>184.012912922298</v>
      </c>
      <c r="AL2437">
        <v>80.261359366563795</v>
      </c>
      <c r="AM2437">
        <v>87.168142397064997</v>
      </c>
      <c r="AN2437">
        <v>0.99999996567372795</v>
      </c>
    </row>
    <row r="2438" spans="1:40" x14ac:dyDescent="0.25">
      <c r="A2438" t="str">
        <f>"20190303170305854"</f>
        <v>20190303170305854</v>
      </c>
      <c r="B2438" t="str">
        <f>"1551603785847659"</f>
        <v>1551603785847659</v>
      </c>
      <c r="C2438" t="s">
        <v>40</v>
      </c>
      <c r="D2438">
        <v>3.7799909999999999</v>
      </c>
      <c r="E2438">
        <v>0.46854990000000002</v>
      </c>
      <c r="F2438" t="s">
        <v>66</v>
      </c>
      <c r="G2438">
        <v>-511.95920000000001</v>
      </c>
      <c r="H2438">
        <v>1.775593</v>
      </c>
      <c r="I2438">
        <v>278.02640000000002</v>
      </c>
      <c r="J2438">
        <v>-328.33229999999998</v>
      </c>
      <c r="K2438">
        <v>1.120544</v>
      </c>
      <c r="L2438">
        <v>284.36239999999998</v>
      </c>
      <c r="M2438">
        <v>-0.99990489999999999</v>
      </c>
      <c r="N2438">
        <v>-1.00991E-2</v>
      </c>
      <c r="O2438">
        <v>9.3922220000000004E-3</v>
      </c>
      <c r="P2438">
        <v>-0.98561410000000005</v>
      </c>
      <c r="Q2438">
        <v>0.15879299999999999</v>
      </c>
      <c r="R2438">
        <v>5.7877329999999998E-2</v>
      </c>
      <c r="S2438">
        <v>-3.0483699999999998</v>
      </c>
      <c r="T2438">
        <v>1.085937E-2</v>
      </c>
      <c r="U2438">
        <v>-0.1049805</v>
      </c>
      <c r="V2438">
        <v>4.8703290000000003E-2</v>
      </c>
      <c r="W2438">
        <v>0.168718799999999</v>
      </c>
      <c r="X2438">
        <v>0.98446020000000001</v>
      </c>
      <c r="Y2438">
        <v>-4.3803090000000003E-2</v>
      </c>
      <c r="Z2438" s="1">
        <v>-1.49853E-5</v>
      </c>
      <c r="AA2438">
        <v>0.99904020000000004</v>
      </c>
      <c r="AB2438">
        <v>42</v>
      </c>
      <c r="AC2438">
        <v>-183.62690000000001</v>
      </c>
      <c r="AD2438">
        <v>0.65504899999999999</v>
      </c>
      <c r="AE2438">
        <v>-6.3359999999999497</v>
      </c>
      <c r="AF2438">
        <v>-8.0603706084735798</v>
      </c>
      <c r="AG2438">
        <v>0.65504899999999999</v>
      </c>
      <c r="AH2438">
        <v>183.556954548828</v>
      </c>
      <c r="AI2438">
        <v>89.795729608632797</v>
      </c>
      <c r="AJ2438">
        <v>92.514362475133595</v>
      </c>
      <c r="AK2438">
        <v>183.735010890083</v>
      </c>
      <c r="AL2438">
        <v>80.286663914302594</v>
      </c>
      <c r="AM2438">
        <v>87.167767942034402</v>
      </c>
      <c r="AN2438">
        <v>0.99999996465715102</v>
      </c>
    </row>
    <row r="2439" spans="1:40" x14ac:dyDescent="0.25">
      <c r="A2439" t="str">
        <f>"20190303170305874"</f>
        <v>20190303170305874</v>
      </c>
      <c r="B2439" t="str">
        <f>"1551603785868155"</f>
        <v>1551603785868155</v>
      </c>
      <c r="C2439" t="s">
        <v>40</v>
      </c>
      <c r="D2439">
        <v>3.7956970000000001</v>
      </c>
      <c r="E2439">
        <v>0.46858250000000001</v>
      </c>
      <c r="F2439" t="s">
        <v>66</v>
      </c>
      <c r="G2439">
        <v>-511.95920000000001</v>
      </c>
      <c r="H2439">
        <v>1.7050689999999999</v>
      </c>
      <c r="I2439">
        <v>278.03129999999999</v>
      </c>
      <c r="J2439">
        <v>-328.69049999999999</v>
      </c>
      <c r="K2439">
        <v>1.1205430000000001</v>
      </c>
      <c r="L2439">
        <v>284.36590000000001</v>
      </c>
      <c r="M2439">
        <v>-0.99990299999999999</v>
      </c>
      <c r="N2439">
        <v>-1.0164019999999999E-2</v>
      </c>
      <c r="O2439">
        <v>9.5363889999999993E-3</v>
      </c>
      <c r="P2439">
        <v>-0.98565009999999997</v>
      </c>
      <c r="Q2439">
        <v>0.15847839999999999</v>
      </c>
      <c r="R2439">
        <v>5.8128810000000003E-2</v>
      </c>
      <c r="S2439">
        <v>-3.0484010000000001</v>
      </c>
      <c r="T2439">
        <v>9.7050669999999995E-3</v>
      </c>
      <c r="U2439">
        <v>-0.1051025</v>
      </c>
      <c r="V2439">
        <v>4.8812410000000001E-2</v>
      </c>
      <c r="W2439">
        <v>0.168468799999999</v>
      </c>
      <c r="X2439">
        <v>0.98449770000000003</v>
      </c>
      <c r="Y2439">
        <v>-4.3986749999999998E-2</v>
      </c>
      <c r="Z2439" s="1">
        <v>-2.6363330000000001E-5</v>
      </c>
      <c r="AA2439">
        <v>0.99903209999999998</v>
      </c>
      <c r="AB2439">
        <v>42</v>
      </c>
      <c r="AC2439">
        <v>-183.2687</v>
      </c>
      <c r="AD2439">
        <v>0.58452599999999899</v>
      </c>
      <c r="AE2439">
        <v>-6.3346000000000204</v>
      </c>
      <c r="AF2439">
        <v>-8.0820414749880296</v>
      </c>
      <c r="AG2439">
        <v>0.58452599999999899</v>
      </c>
      <c r="AH2439">
        <v>183.19809177928499</v>
      </c>
      <c r="AI2439">
        <v>89.817365913915495</v>
      </c>
      <c r="AJ2439">
        <v>92.526045967170703</v>
      </c>
      <c r="AK2439">
        <v>183.37721204288101</v>
      </c>
      <c r="AL2439">
        <v>80.301196756848796</v>
      </c>
      <c r="AM2439">
        <v>87.161540622162406</v>
      </c>
      <c r="AN2439">
        <v>1.0000000546243599</v>
      </c>
    </row>
    <row r="2440" spans="1:40" x14ac:dyDescent="0.25">
      <c r="A2440" t="str">
        <f>"20190303170305888"</f>
        <v>20190303170305888</v>
      </c>
      <c r="B2440" t="str">
        <f>"1551603785877916"</f>
        <v>1551603785877916</v>
      </c>
      <c r="C2440" t="s">
        <v>40</v>
      </c>
      <c r="D2440">
        <v>3.8957099999999998</v>
      </c>
      <c r="E2440">
        <v>0.46865649999999998</v>
      </c>
      <c r="F2440" t="s">
        <v>66</v>
      </c>
      <c r="G2440">
        <v>-511.95909999999998</v>
      </c>
      <c r="H2440">
        <v>1.5746089999999999</v>
      </c>
      <c r="I2440">
        <v>278.08800000000002</v>
      </c>
      <c r="J2440">
        <v>-328.96069999999997</v>
      </c>
      <c r="K2440">
        <v>1.1205499999999999</v>
      </c>
      <c r="L2440">
        <v>284.36860000000001</v>
      </c>
      <c r="M2440">
        <v>-0.99990140000000005</v>
      </c>
      <c r="N2440">
        <v>-1.021303E-2</v>
      </c>
      <c r="O2440">
        <v>9.6455229999999996E-3</v>
      </c>
      <c r="P2440">
        <v>-0.98564549999999995</v>
      </c>
      <c r="Q2440">
        <v>0.1582905</v>
      </c>
      <c r="R2440">
        <v>5.8713120000000001E-2</v>
      </c>
      <c r="S2440">
        <v>-3.048645</v>
      </c>
      <c r="T2440">
        <v>7.5546500000000004E-3</v>
      </c>
      <c r="U2440">
        <v>-0.1044312</v>
      </c>
      <c r="V2440">
        <v>4.9289039999999999E-2</v>
      </c>
      <c r="W2440">
        <v>0.16832920000000001</v>
      </c>
      <c r="X2440">
        <v>0.98449779999999998</v>
      </c>
      <c r="Y2440">
        <v>-4.3873290000000002E-2</v>
      </c>
      <c r="Z2440" s="1">
        <v>-4.7390730000000002E-5</v>
      </c>
      <c r="AA2440">
        <v>0.99903710000000001</v>
      </c>
      <c r="AB2440">
        <v>42</v>
      </c>
      <c r="AC2440">
        <v>-182.9984</v>
      </c>
      <c r="AD2440">
        <v>0.45405899999999999</v>
      </c>
      <c r="AE2440">
        <v>-6.2806000000000397</v>
      </c>
      <c r="AF2440">
        <v>-8.0454655336684908</v>
      </c>
      <c r="AG2440">
        <v>0.45405899999999999</v>
      </c>
      <c r="AH2440">
        <v>182.92817849614801</v>
      </c>
      <c r="AI2440">
        <v>89.857919727387099</v>
      </c>
      <c r="AJ2440">
        <v>92.518334446130396</v>
      </c>
      <c r="AK2440">
        <v>183.10558203710701</v>
      </c>
      <c r="AL2440">
        <v>80.309310825935498</v>
      </c>
      <c r="AM2440">
        <v>87.1338706960492</v>
      </c>
      <c r="AN2440">
        <v>1.0000000236208</v>
      </c>
    </row>
    <row r="2441" spans="1:40" x14ac:dyDescent="0.25">
      <c r="A2441" t="str">
        <f>"20190303170305906"</f>
        <v>20190303170305906</v>
      </c>
      <c r="B2441" t="str">
        <f>"1551603785897435"</f>
        <v>1551603785897435</v>
      </c>
      <c r="C2441" t="s">
        <v>40</v>
      </c>
      <c r="D2441">
        <v>3.9073739999999999</v>
      </c>
      <c r="E2441">
        <v>0.4685107</v>
      </c>
      <c r="F2441" t="s">
        <v>66</v>
      </c>
      <c r="G2441">
        <v>-511.95909999999998</v>
      </c>
      <c r="H2441">
        <v>1.497136</v>
      </c>
      <c r="I2441">
        <v>278.24119999999999</v>
      </c>
      <c r="J2441">
        <v>-329.29919999999998</v>
      </c>
      <c r="K2441">
        <v>1.1205620000000001</v>
      </c>
      <c r="L2441">
        <v>284.37189999999998</v>
      </c>
      <c r="M2441">
        <v>-0.99989939999999999</v>
      </c>
      <c r="N2441">
        <v>-1.0275390000000001E-2</v>
      </c>
      <c r="O2441">
        <v>9.7819469999999992E-3</v>
      </c>
      <c r="P2441">
        <v>-0.98567009999999999</v>
      </c>
      <c r="Q2441">
        <v>0.15804760000000001</v>
      </c>
      <c r="R2441">
        <v>5.8955430000000003E-2</v>
      </c>
      <c r="S2441">
        <v>-3.0487669999999998</v>
      </c>
      <c r="T2441">
        <v>6.2752959999999997E-3</v>
      </c>
      <c r="U2441">
        <v>-0.1020813</v>
      </c>
      <c r="V2441">
        <v>4.9396540000000003E-2</v>
      </c>
      <c r="W2441">
        <v>0.16814779999999999</v>
      </c>
      <c r="X2441">
        <v>0.98452340000000005</v>
      </c>
      <c r="Y2441">
        <v>-4.3239069999999998E-2</v>
      </c>
      <c r="Z2441" s="1">
        <v>-5.711571E-5</v>
      </c>
      <c r="AA2441">
        <v>0.99906470000000003</v>
      </c>
      <c r="AB2441">
        <v>42</v>
      </c>
      <c r="AC2441">
        <v>-182.65989999999999</v>
      </c>
      <c r="AD2441">
        <v>0.37657400000000002</v>
      </c>
      <c r="AE2441">
        <v>-6.1306999999999903</v>
      </c>
      <c r="AF2441">
        <v>-7.9172367605115896</v>
      </c>
      <c r="AG2441">
        <v>0.37657400000000002</v>
      </c>
      <c r="AH2441">
        <v>182.59041129924901</v>
      </c>
      <c r="AI2441">
        <v>89.881944425919798</v>
      </c>
      <c r="AJ2441">
        <v>92.482826319959202</v>
      </c>
      <c r="AK2441">
        <v>182.762366871105</v>
      </c>
      <c r="AL2441">
        <v>80.319854463204607</v>
      </c>
      <c r="AM2441">
        <v>87.127704653478403</v>
      </c>
      <c r="AN2441">
        <v>1.0000000129781801</v>
      </c>
    </row>
    <row r="2442" spans="1:40" x14ac:dyDescent="0.25">
      <c r="A2442" t="str">
        <f>"20190303170305927"</f>
        <v>20190303170305927</v>
      </c>
      <c r="B2442" t="str">
        <f>"1551603785917932"</f>
        <v>1551603785917932</v>
      </c>
      <c r="C2442" t="s">
        <v>40</v>
      </c>
      <c r="D2442">
        <v>3.8925550000000002</v>
      </c>
      <c r="E2442">
        <v>0.46831909999999999</v>
      </c>
      <c r="F2442" t="s">
        <v>66</v>
      </c>
      <c r="G2442">
        <v>-511.95909999999998</v>
      </c>
      <c r="H2442">
        <v>1.4417439999999999</v>
      </c>
      <c r="I2442">
        <v>278.25069999999999</v>
      </c>
      <c r="J2442">
        <v>-329.70909999999998</v>
      </c>
      <c r="K2442">
        <v>1.120571</v>
      </c>
      <c r="L2442">
        <v>284.37610000000001</v>
      </c>
      <c r="M2442">
        <v>-0.99989700000000004</v>
      </c>
      <c r="N2442">
        <v>-1.035351E-2</v>
      </c>
      <c r="O2442">
        <v>9.9473180000000001E-3</v>
      </c>
      <c r="P2442">
        <v>-0.98554470000000005</v>
      </c>
      <c r="Q2442">
        <v>0.15870229999999999</v>
      </c>
      <c r="R2442">
        <v>5.9289920000000003E-2</v>
      </c>
      <c r="S2442">
        <v>-3.048889</v>
      </c>
      <c r="T2442">
        <v>5.3623909999999898E-3</v>
      </c>
      <c r="U2442">
        <v>-0.1021729</v>
      </c>
      <c r="V2442">
        <v>4.9569559999999999E-2</v>
      </c>
      <c r="W2442">
        <v>0.16887820000000001</v>
      </c>
      <c r="X2442">
        <v>0.98438970000000003</v>
      </c>
      <c r="Y2442">
        <v>-4.343292E-2</v>
      </c>
      <c r="Z2442" s="1">
        <v>-6.6274659999999907E-5</v>
      </c>
      <c r="AA2442">
        <v>0.99905630000000001</v>
      </c>
      <c r="AB2442">
        <v>42</v>
      </c>
      <c r="AC2442">
        <v>-182.25</v>
      </c>
      <c r="AD2442">
        <v>0.32117299999999999</v>
      </c>
      <c r="AE2442">
        <v>-6.1254000000000097</v>
      </c>
      <c r="AF2442">
        <v>-7.9380680238989099</v>
      </c>
      <c r="AG2442">
        <v>0.32117299999999999</v>
      </c>
      <c r="AH2442">
        <v>182.179482373773</v>
      </c>
      <c r="AI2442">
        <v>89.899086361386907</v>
      </c>
      <c r="AJ2442">
        <v>92.494958705536803</v>
      </c>
      <c r="AK2442">
        <v>182.352625081253</v>
      </c>
      <c r="AL2442">
        <v>80.277398692833202</v>
      </c>
      <c r="AM2442">
        <v>87.117270054114201</v>
      </c>
      <c r="AN2442">
        <v>1.00000003458996</v>
      </c>
    </row>
    <row r="2443" spans="1:40" x14ac:dyDescent="0.25">
      <c r="A2443" t="str">
        <f>"20190303170305939"</f>
        <v>20190303170305939</v>
      </c>
      <c r="B2443" t="str">
        <f>"1551603785927692"</f>
        <v>1551603785927692</v>
      </c>
      <c r="C2443" t="s">
        <v>40</v>
      </c>
      <c r="D2443">
        <v>3.8823340000000002</v>
      </c>
      <c r="E2443">
        <v>0.46831909999999999</v>
      </c>
      <c r="F2443" t="s">
        <v>66</v>
      </c>
      <c r="G2443">
        <v>-511.95909999999998</v>
      </c>
      <c r="H2443">
        <v>1.5307820000000001</v>
      </c>
      <c r="I2443">
        <v>278.24889999999999</v>
      </c>
      <c r="J2443">
        <v>-329.92720000000003</v>
      </c>
      <c r="K2443">
        <v>1.1205769999999999</v>
      </c>
      <c r="L2443">
        <v>284.37830000000002</v>
      </c>
      <c r="M2443">
        <v>-0.99989570000000005</v>
      </c>
      <c r="N2443">
        <v>-1.039638E-2</v>
      </c>
      <c r="O2443">
        <v>1.003532E-2</v>
      </c>
      <c r="P2443">
        <v>-0.98553279999999999</v>
      </c>
      <c r="Q2443">
        <v>0.158723799999999</v>
      </c>
      <c r="R2443">
        <v>5.9432850000000002E-2</v>
      </c>
      <c r="S2443">
        <v>-3.0491030000000001</v>
      </c>
      <c r="T2443">
        <v>6.8643089999999999E-3</v>
      </c>
      <c r="U2443">
        <v>-0.1025085</v>
      </c>
      <c r="V2443">
        <v>4.9625809999999999E-2</v>
      </c>
      <c r="W2443">
        <v>0.1689416</v>
      </c>
      <c r="X2443">
        <v>0.98437600000000003</v>
      </c>
      <c r="Y2443">
        <v>-4.3628359999999998E-2</v>
      </c>
      <c r="Z2443" s="1">
        <v>-5.0875470000000002E-5</v>
      </c>
      <c r="AA2443">
        <v>0.99904780000000004</v>
      </c>
      <c r="AB2443">
        <v>42</v>
      </c>
      <c r="AC2443">
        <v>-182.03189999999901</v>
      </c>
      <c r="AD2443">
        <v>0.41020499999999899</v>
      </c>
      <c r="AE2443">
        <v>-6.1294000000000297</v>
      </c>
      <c r="AF2443">
        <v>-7.9558978754201197</v>
      </c>
      <c r="AG2443">
        <v>0.41020499999999899</v>
      </c>
      <c r="AH2443">
        <v>181.96029599130199</v>
      </c>
      <c r="AI2443">
        <v>89.8709578816093</v>
      </c>
      <c r="AJ2443">
        <v>92.503563874228604</v>
      </c>
      <c r="AK2443">
        <v>182.13460378628901</v>
      </c>
      <c r="AL2443">
        <v>80.273713310156694</v>
      </c>
      <c r="AM2443">
        <v>87.113964250891797</v>
      </c>
      <c r="AN2443">
        <v>1.00000004730235</v>
      </c>
    </row>
    <row r="2444" spans="1:40" x14ac:dyDescent="0.25">
      <c r="A2444" t="str">
        <f>"20190303170305950"</f>
        <v>20190303170305950</v>
      </c>
      <c r="B2444" t="str">
        <f>"1551603785938428"</f>
        <v>1551603785938428</v>
      </c>
      <c r="C2444" t="s">
        <v>40</v>
      </c>
      <c r="D2444">
        <v>3.8262930000000002</v>
      </c>
      <c r="E2444">
        <v>0.45407360000000002</v>
      </c>
      <c r="F2444" t="s">
        <v>66</v>
      </c>
      <c r="G2444">
        <v>-511.95909999999998</v>
      </c>
      <c r="H2444">
        <v>1.530122</v>
      </c>
      <c r="I2444">
        <v>278.28039999999999</v>
      </c>
      <c r="J2444">
        <v>-330.1438</v>
      </c>
      <c r="K2444">
        <v>1.120579</v>
      </c>
      <c r="L2444">
        <v>284.38060000000002</v>
      </c>
      <c r="M2444">
        <v>-0.99989430000000001</v>
      </c>
      <c r="N2444">
        <v>-1.043995E-2</v>
      </c>
      <c r="O2444">
        <v>1.012266E-2</v>
      </c>
      <c r="P2444">
        <v>-0.98549140000000002</v>
      </c>
      <c r="Q2444">
        <v>0.15896729999999901</v>
      </c>
      <c r="R2444">
        <v>5.9466579999999998E-2</v>
      </c>
      <c r="S2444">
        <v>-3.0491329999999999</v>
      </c>
      <c r="T2444">
        <v>6.861448E-3</v>
      </c>
      <c r="U2444">
        <v>-0.10214230000000001</v>
      </c>
      <c r="V2444">
        <v>4.9574E-2</v>
      </c>
      <c r="W2444">
        <v>0.16922789999999999</v>
      </c>
      <c r="X2444">
        <v>0.98432940000000002</v>
      </c>
      <c r="Y2444">
        <v>-4.3595450000000001E-2</v>
      </c>
      <c r="Z2444" s="1">
        <v>-5.017588E-5</v>
      </c>
      <c r="AA2444">
        <v>0.99904919999999997</v>
      </c>
      <c r="AB2444">
        <v>42</v>
      </c>
      <c r="AC2444">
        <v>-181.81530000000001</v>
      </c>
      <c r="AD2444">
        <v>0.40954299999999999</v>
      </c>
      <c r="AE2444">
        <v>-6.1002000000000196</v>
      </c>
      <c r="AF2444">
        <v>-7.9404018809672401</v>
      </c>
      <c r="AG2444">
        <v>0.40954299999999999</v>
      </c>
      <c r="AH2444">
        <v>181.74330888291601</v>
      </c>
      <c r="AI2444">
        <v>89.871012129653295</v>
      </c>
      <c r="AJ2444">
        <v>92.5016732318458</v>
      </c>
      <c r="AK2444">
        <v>181.91714606163799</v>
      </c>
      <c r="AL2444">
        <v>80.257069577877203</v>
      </c>
      <c r="AM2444">
        <v>87.1168359666257</v>
      </c>
      <c r="AN2444">
        <v>1.00000001565938</v>
      </c>
    </row>
    <row r="2445" spans="1:40" x14ac:dyDescent="0.25">
      <c r="A2445" t="str">
        <f>"20190303170305961"</f>
        <v>20190303170305961</v>
      </c>
      <c r="B2445" t="str">
        <f>"1551603785948187"</f>
        <v>1551603785948187</v>
      </c>
      <c r="C2445" t="s">
        <v>40</v>
      </c>
      <c r="D2445">
        <v>3.9602680000000001</v>
      </c>
      <c r="E2445">
        <v>0.45306869999999999</v>
      </c>
      <c r="F2445" t="s">
        <v>66</v>
      </c>
      <c r="G2445">
        <v>-512.82600000000002</v>
      </c>
      <c r="H2445">
        <v>2.73597</v>
      </c>
      <c r="I2445">
        <v>271.54050000000001</v>
      </c>
      <c r="J2445">
        <v>-330.35059999999999</v>
      </c>
      <c r="K2445">
        <v>1.1205780000000001</v>
      </c>
      <c r="L2445">
        <v>284.3827</v>
      </c>
      <c r="M2445">
        <v>-0.99989300000000003</v>
      </c>
      <c r="N2445">
        <v>-1.048233E-2</v>
      </c>
      <c r="O2445">
        <v>1.020595E-2</v>
      </c>
      <c r="P2445">
        <v>-0.98549450000000005</v>
      </c>
      <c r="Q2445">
        <v>0.15889790000000001</v>
      </c>
      <c r="R2445">
        <v>5.9599449999999998E-2</v>
      </c>
      <c r="S2445">
        <v>-3.0527950000000001</v>
      </c>
      <c r="T2445">
        <v>2.6996019999999999E-2</v>
      </c>
      <c r="U2445">
        <v>-0.21456910000000001</v>
      </c>
      <c r="V2445">
        <v>4.9624689999999999E-2</v>
      </c>
      <c r="W2445">
        <v>0.16920009999999999</v>
      </c>
      <c r="X2445">
        <v>0.98433159999999997</v>
      </c>
      <c r="Y2445">
        <v>-8.0289570000000005E-2</v>
      </c>
      <c r="Z2445">
        <v>1.302048E-4</v>
      </c>
      <c r="AA2445">
        <v>0.99677159999999998</v>
      </c>
      <c r="AB2445">
        <v>42</v>
      </c>
      <c r="AC2445">
        <v>-182.47540000000001</v>
      </c>
      <c r="AD2445">
        <v>1.6153919999999999</v>
      </c>
      <c r="AE2445">
        <v>-12.842199999999901</v>
      </c>
      <c r="AF2445">
        <v>-14.7028215886361</v>
      </c>
      <c r="AG2445">
        <v>1.6153919999999999</v>
      </c>
      <c r="AH2445">
        <v>182.32060325462899</v>
      </c>
      <c r="AI2445">
        <v>89.494005342406595</v>
      </c>
      <c r="AJ2445">
        <v>94.610507920857799</v>
      </c>
      <c r="AK2445">
        <v>182.91961301378501</v>
      </c>
      <c r="AL2445">
        <v>80.258685465856502</v>
      </c>
      <c r="AM2445">
        <v>87.113899318755799</v>
      </c>
      <c r="AN2445">
        <v>0.99999999122808203</v>
      </c>
    </row>
    <row r="2446" spans="1:40" x14ac:dyDescent="0.25">
      <c r="A2446" t="str">
        <f>"20190303170305973"</f>
        <v>20190303170305973</v>
      </c>
      <c r="B2446" t="str">
        <f>"1551603785967707"</f>
        <v>1551603785967707</v>
      </c>
      <c r="C2446" t="s">
        <v>40</v>
      </c>
      <c r="D2446">
        <v>3.952944</v>
      </c>
      <c r="E2446">
        <v>0.446131</v>
      </c>
      <c r="F2446" t="s">
        <v>66</v>
      </c>
      <c r="G2446">
        <v>-512.82600000000002</v>
      </c>
      <c r="H2446">
        <v>2.6762000000000001</v>
      </c>
      <c r="I2446">
        <v>271.09269999999998</v>
      </c>
      <c r="J2446">
        <v>-330.57589999999999</v>
      </c>
      <c r="K2446">
        <v>1.120582</v>
      </c>
      <c r="L2446">
        <v>284.38510000000002</v>
      </c>
      <c r="M2446">
        <v>-0.99989159999999999</v>
      </c>
      <c r="N2446">
        <v>-1.052911E-2</v>
      </c>
      <c r="O2446">
        <v>1.0296970000000001E-2</v>
      </c>
      <c r="P2446">
        <v>-0.98549140000000002</v>
      </c>
      <c r="Q2446">
        <v>0.15900220000000001</v>
      </c>
      <c r="R2446">
        <v>5.9373620000000002E-2</v>
      </c>
      <c r="S2446">
        <v>-3.053375</v>
      </c>
      <c r="T2446">
        <v>2.603161E-2</v>
      </c>
      <c r="U2446">
        <v>-0.22238160000000001</v>
      </c>
      <c r="V2446">
        <v>4.9309350000000002E-2</v>
      </c>
      <c r="W2446">
        <v>0.16935049999999999</v>
      </c>
      <c r="X2446">
        <v>0.98432160000000002</v>
      </c>
      <c r="Y2446">
        <v>-8.2904350000000002E-2</v>
      </c>
      <c r="Z2446">
        <v>1.118263E-4</v>
      </c>
      <c r="AA2446">
        <v>0.99655749999999999</v>
      </c>
      <c r="AB2446">
        <v>42</v>
      </c>
      <c r="AC2446">
        <v>-182.2501</v>
      </c>
      <c r="AD2446">
        <v>1.5556179999999999</v>
      </c>
      <c r="AE2446">
        <v>-13.292400000000001</v>
      </c>
      <c r="AF2446">
        <v>-15.1673237753572</v>
      </c>
      <c r="AG2446">
        <v>1.5556179999999999</v>
      </c>
      <c r="AH2446">
        <v>182.09036154782899</v>
      </c>
      <c r="AI2446">
        <v>89.512216907614004</v>
      </c>
      <c r="AJ2446">
        <v>94.761493963380303</v>
      </c>
      <c r="AK2446">
        <v>182.72757708262799</v>
      </c>
      <c r="AL2446">
        <v>80.249942167402395</v>
      </c>
      <c r="AM2446">
        <v>87.132179241484806</v>
      </c>
      <c r="AN2446">
        <v>1.0000000080371101</v>
      </c>
    </row>
    <row r="2447" spans="1:40" x14ac:dyDescent="0.25">
      <c r="A2447" t="str">
        <f>"20190303170305986"</f>
        <v>20190303170305986</v>
      </c>
      <c r="B2447" t="str">
        <f>"1551603785977686"</f>
        <v>1551603785977686</v>
      </c>
      <c r="C2447" t="s">
        <v>40</v>
      </c>
      <c r="D2447">
        <v>3.9531010000000002</v>
      </c>
      <c r="E2447">
        <v>0.44688689999999998</v>
      </c>
      <c r="F2447" t="s">
        <v>66</v>
      </c>
      <c r="G2447">
        <v>-512.8261</v>
      </c>
      <c r="H2447">
        <v>2.9214739999999999</v>
      </c>
      <c r="I2447">
        <v>267.78539999999998</v>
      </c>
      <c r="J2447">
        <v>-330.80869999999999</v>
      </c>
      <c r="K2447">
        <v>1.120587</v>
      </c>
      <c r="L2447">
        <v>284.38749999999999</v>
      </c>
      <c r="M2447">
        <v>-0.9998901</v>
      </c>
      <c r="N2447">
        <v>-1.0577100000000001E-2</v>
      </c>
      <c r="O2447">
        <v>1.03903E-2</v>
      </c>
      <c r="P2447">
        <v>-0.98548910000000001</v>
      </c>
      <c r="Q2447">
        <v>0.15904360000000001</v>
      </c>
      <c r="R2447">
        <v>5.9297540000000003E-2</v>
      </c>
      <c r="S2447">
        <v>-3.0560610000000001</v>
      </c>
      <c r="T2447">
        <v>3.0199529999999999E-2</v>
      </c>
      <c r="U2447">
        <v>-0.27835079999999901</v>
      </c>
      <c r="V2447">
        <v>4.9141310000000001E-2</v>
      </c>
      <c r="W2447">
        <v>0.16943929999999999</v>
      </c>
      <c r="X2447">
        <v>0.98431469999999999</v>
      </c>
      <c r="Y2447">
        <v>-0.1010475</v>
      </c>
      <c r="Z2447">
        <v>1.7484209999999901E-4</v>
      </c>
      <c r="AA2447">
        <v>0.99488160000000003</v>
      </c>
      <c r="AB2447">
        <v>42</v>
      </c>
      <c r="AC2447">
        <v>-182.01740000000001</v>
      </c>
      <c r="AD2447">
        <v>1.8008869999999999</v>
      </c>
      <c r="AE2447">
        <v>-16.6021</v>
      </c>
      <c r="AF2447">
        <v>-18.490729695843999</v>
      </c>
      <c r="AG2447">
        <v>1.8008869999999999</v>
      </c>
      <c r="AH2447">
        <v>181.81741142965001</v>
      </c>
      <c r="AI2447">
        <v>89.435420378666194</v>
      </c>
      <c r="AJ2447">
        <v>95.8069837411187</v>
      </c>
      <c r="AK2447">
        <v>182.764114031312</v>
      </c>
      <c r="AL2447">
        <v>80.244779485172003</v>
      </c>
      <c r="AM2447">
        <v>87.141916176801502</v>
      </c>
      <c r="AN2447">
        <v>0.99999998668454704</v>
      </c>
    </row>
    <row r="2448" spans="1:40" x14ac:dyDescent="0.25">
      <c r="A2448" t="str">
        <f>"20190303170306006"</f>
        <v>20190303170306006</v>
      </c>
      <c r="B2448" t="str">
        <f>"1551603785998181"</f>
        <v>1551603785998181</v>
      </c>
      <c r="C2448" t="s">
        <v>40</v>
      </c>
      <c r="D2448">
        <v>3.8747060000000002</v>
      </c>
      <c r="E2448">
        <v>0.44774239999999998</v>
      </c>
      <c r="F2448" t="s">
        <v>66</v>
      </c>
      <c r="G2448">
        <v>-512.82619999999997</v>
      </c>
      <c r="H2448">
        <v>3.0482170000000002</v>
      </c>
      <c r="I2448">
        <v>268.15780000000001</v>
      </c>
      <c r="J2448">
        <v>-331.20909999999998</v>
      </c>
      <c r="K2448">
        <v>1.120598</v>
      </c>
      <c r="L2448">
        <v>284.39179999999999</v>
      </c>
      <c r="M2448">
        <v>-0.99988759999999999</v>
      </c>
      <c r="N2448">
        <v>-1.06573E-2</v>
      </c>
      <c r="O2448">
        <v>1.0551069999999999E-2</v>
      </c>
      <c r="P2448">
        <v>-0.9854231</v>
      </c>
      <c r="Q2448">
        <v>0.15967509999999999</v>
      </c>
      <c r="R2448">
        <v>5.869858E-2</v>
      </c>
      <c r="S2448">
        <v>-3.0553279999999998</v>
      </c>
      <c r="T2448">
        <v>3.2358289999999998E-2</v>
      </c>
      <c r="U2448">
        <v>-0.27243040000000002</v>
      </c>
      <c r="V2448">
        <v>4.8385119999999997E-2</v>
      </c>
      <c r="W2448">
        <v>0.17014889999999999</v>
      </c>
      <c r="X2448">
        <v>0.98422969999999999</v>
      </c>
      <c r="Y2448">
        <v>-9.9316050000000003E-2</v>
      </c>
      <c r="Z2448">
        <v>2.1831739999999999E-4</v>
      </c>
      <c r="AA2448">
        <v>0.99505589999999999</v>
      </c>
      <c r="AB2448">
        <v>42</v>
      </c>
      <c r="AC2448">
        <v>-181.61709999999999</v>
      </c>
      <c r="AD2448">
        <v>1.927619</v>
      </c>
      <c r="AE2448">
        <v>-16.233999999999899</v>
      </c>
      <c r="AF2448">
        <v>-18.147431609169001</v>
      </c>
      <c r="AG2448">
        <v>1.927619</v>
      </c>
      <c r="AH2448">
        <v>181.41541916265601</v>
      </c>
      <c r="AI2448">
        <v>89.394252863428505</v>
      </c>
      <c r="AJ2448">
        <v>95.712434835075996</v>
      </c>
      <c r="AK2448">
        <v>182.33101573506599</v>
      </c>
      <c r="AL2448">
        <v>80.2035228316755</v>
      </c>
      <c r="AM2448">
        <v>87.185582678277399</v>
      </c>
      <c r="AN2448">
        <v>0.99999993518535502</v>
      </c>
    </row>
    <row r="2449" spans="1:40" x14ac:dyDescent="0.25">
      <c r="A2449" t="str">
        <f>"20190303170306020"</f>
        <v>20190303170306020</v>
      </c>
      <c r="B2449" t="str">
        <f>"1551603786007942"</f>
        <v>1551603786007942</v>
      </c>
      <c r="C2449" t="s">
        <v>40</v>
      </c>
      <c r="D2449">
        <v>3.94171</v>
      </c>
      <c r="E2449">
        <v>0.44824380000000003</v>
      </c>
      <c r="F2449" t="s">
        <v>66</v>
      </c>
      <c r="G2449">
        <v>-512.82619999999997</v>
      </c>
      <c r="H2449">
        <v>3.063399</v>
      </c>
      <c r="I2449">
        <v>268.52089999999998</v>
      </c>
      <c r="J2449">
        <v>-331.46589999999998</v>
      </c>
      <c r="K2449">
        <v>1.1206050000000001</v>
      </c>
      <c r="L2449">
        <v>284.39460000000003</v>
      </c>
      <c r="M2449">
        <v>-0.9998861</v>
      </c>
      <c r="N2449">
        <v>-1.070598E-2</v>
      </c>
      <c r="O2449">
        <v>1.065411E-2</v>
      </c>
      <c r="P2449">
        <v>-0.98534100000000002</v>
      </c>
      <c r="Q2449">
        <v>0.16027629999999901</v>
      </c>
      <c r="R2449">
        <v>5.8437379999999997E-2</v>
      </c>
      <c r="S2449">
        <v>-3.0550229999999998</v>
      </c>
      <c r="T2449">
        <v>3.2681580000000002E-2</v>
      </c>
      <c r="U2449">
        <v>-0.26696779999999998</v>
      </c>
      <c r="V2449">
        <v>4.802356E-2</v>
      </c>
      <c r="W2449">
        <v>0.170797799999999</v>
      </c>
      <c r="X2449">
        <v>0.98413510000000004</v>
      </c>
      <c r="Y2449">
        <v>-9.7661680000000001E-2</v>
      </c>
      <c r="Z2449">
        <v>2.2517279999999999E-4</v>
      </c>
      <c r="AA2449">
        <v>0.99521959999999998</v>
      </c>
      <c r="AB2449">
        <v>42</v>
      </c>
      <c r="AC2449">
        <v>-181.3603</v>
      </c>
      <c r="AD2449">
        <v>1.9427939999999999</v>
      </c>
      <c r="AE2449">
        <v>-15.873699999999999</v>
      </c>
      <c r="AF2449">
        <v>-17.803114506750401</v>
      </c>
      <c r="AG2449">
        <v>1.9427939999999999</v>
      </c>
      <c r="AH2449">
        <v>181.16024473905699</v>
      </c>
      <c r="AI2449">
        <v>89.388519019338403</v>
      </c>
      <c r="AJ2449">
        <v>95.612591888487003</v>
      </c>
      <c r="AK2449">
        <v>182.04329047944</v>
      </c>
      <c r="AL2449">
        <v>80.165792165151203</v>
      </c>
      <c r="AM2449">
        <v>87.206312011001799</v>
      </c>
      <c r="AN2449">
        <v>1.00000002292596</v>
      </c>
    </row>
    <row r="2450" spans="1:40" x14ac:dyDescent="0.25">
      <c r="A2450" t="str">
        <f>"20190303170306033"</f>
        <v>20190303170306033</v>
      </c>
      <c r="B2450" t="str">
        <f>"1551603786028438"</f>
        <v>1551603786028438</v>
      </c>
      <c r="C2450" t="s">
        <v>40</v>
      </c>
      <c r="D2450">
        <v>3.9317389999999999</v>
      </c>
      <c r="E2450">
        <v>0.44900380000000001</v>
      </c>
      <c r="F2450" t="s">
        <v>66</v>
      </c>
      <c r="G2450">
        <v>-512.82619999999997</v>
      </c>
      <c r="H2450">
        <v>3.1378140000000001</v>
      </c>
      <c r="I2450">
        <v>268.72390000000001</v>
      </c>
      <c r="J2450">
        <v>-331.71839999999997</v>
      </c>
      <c r="K2450">
        <v>1.1206179999999999</v>
      </c>
      <c r="L2450">
        <v>284.39729999999997</v>
      </c>
      <c r="M2450">
        <v>-0.99988440000000001</v>
      </c>
      <c r="N2450">
        <v>-1.0751409999999999E-2</v>
      </c>
      <c r="O2450">
        <v>1.075514E-2</v>
      </c>
      <c r="P2450">
        <v>-0.98523899999999998</v>
      </c>
      <c r="Q2450">
        <v>0.16086929999999999</v>
      </c>
      <c r="R2450">
        <v>5.8525199999999902E-2</v>
      </c>
      <c r="S2450">
        <v>-3.0547179999999998</v>
      </c>
      <c r="T2450">
        <v>3.397787E-2</v>
      </c>
      <c r="U2450">
        <v>-0.26394649999999997</v>
      </c>
      <c r="V2450">
        <v>4.8013199999999902E-2</v>
      </c>
      <c r="W2450">
        <v>0.17143429999999901</v>
      </c>
      <c r="X2450">
        <v>0.98402489999999998</v>
      </c>
      <c r="Y2450">
        <v>-9.6793550000000006E-2</v>
      </c>
      <c r="Z2450">
        <v>2.508058E-4</v>
      </c>
      <c r="AA2450">
        <v>0.99530450000000004</v>
      </c>
      <c r="AB2450">
        <v>42</v>
      </c>
      <c r="AC2450">
        <v>-181.1078</v>
      </c>
      <c r="AD2450">
        <v>2.01719599999999</v>
      </c>
      <c r="AE2450">
        <v>-15.6733999999999</v>
      </c>
      <c r="AF2450">
        <v>-17.618276203316299</v>
      </c>
      <c r="AG2450">
        <v>2.01719599999999</v>
      </c>
      <c r="AH2450">
        <v>180.90646858393399</v>
      </c>
      <c r="AI2450">
        <v>89.364158370443903</v>
      </c>
      <c r="AJ2450">
        <v>95.5624295801899</v>
      </c>
      <c r="AK2450">
        <v>181.77354898771301</v>
      </c>
      <c r="AL2450">
        <v>80.1287771910836</v>
      </c>
      <c r="AM2450">
        <v>87.206601432087893</v>
      </c>
      <c r="AN2450">
        <v>0.99999999520536997</v>
      </c>
    </row>
    <row r="2451" spans="1:40" x14ac:dyDescent="0.25">
      <c r="A2451" t="str">
        <f>"20190303170306046"</f>
        <v>20190303170306046</v>
      </c>
      <c r="B2451" t="str">
        <f>"1551603786037943"</f>
        <v>1551603786037943</v>
      </c>
      <c r="C2451" t="s">
        <v>40</v>
      </c>
      <c r="D2451">
        <v>3.897599</v>
      </c>
      <c r="E2451">
        <v>0.44912760000000002</v>
      </c>
      <c r="F2451" t="s">
        <v>66</v>
      </c>
      <c r="G2451">
        <v>-512.82619999999997</v>
      </c>
      <c r="H2451">
        <v>3.2312859999999999</v>
      </c>
      <c r="I2451">
        <v>269.11259999999999</v>
      </c>
      <c r="J2451">
        <v>-331.94880000000001</v>
      </c>
      <c r="K2451">
        <v>1.1206229999999999</v>
      </c>
      <c r="L2451">
        <v>284.3999</v>
      </c>
      <c r="M2451">
        <v>-0.99988299999999997</v>
      </c>
      <c r="N2451">
        <v>-1.0791530000000001E-2</v>
      </c>
      <c r="O2451">
        <v>1.084768E-2</v>
      </c>
      <c r="P2451">
        <v>-0.98517189999999999</v>
      </c>
      <c r="Q2451">
        <v>0.16122400000000001</v>
      </c>
      <c r="R2451">
        <v>5.8680089999999997E-2</v>
      </c>
      <c r="S2451">
        <v>-3.054443</v>
      </c>
      <c r="T2451">
        <v>3.5598400000000002E-2</v>
      </c>
      <c r="U2451">
        <v>-0.25778200000000001</v>
      </c>
      <c r="V2451">
        <v>4.8077990000000001E-2</v>
      </c>
      <c r="W2451">
        <v>0.17182800000000001</v>
      </c>
      <c r="X2451">
        <v>0.98395310000000002</v>
      </c>
      <c r="Y2451">
        <v>-9.4898540000000003E-2</v>
      </c>
      <c r="Z2451">
        <v>2.8207770000000001E-4</v>
      </c>
      <c r="AA2451">
        <v>0.99548689999999995</v>
      </c>
      <c r="AB2451">
        <v>42</v>
      </c>
      <c r="AC2451">
        <v>-180.87739999999999</v>
      </c>
      <c r="AD2451">
        <v>2.1106630000000002</v>
      </c>
      <c r="AE2451">
        <v>-15.2873</v>
      </c>
      <c r="AF2451">
        <v>-17.246282994235901</v>
      </c>
      <c r="AG2451">
        <v>2.1106630000000002</v>
      </c>
      <c r="AH2451">
        <v>180.67648741582201</v>
      </c>
      <c r="AI2451">
        <v>89.333729252284996</v>
      </c>
      <c r="AJ2451">
        <v>95.452587738330905</v>
      </c>
      <c r="AK2451">
        <v>181.51000600610601</v>
      </c>
      <c r="AL2451">
        <v>80.105880414844506</v>
      </c>
      <c r="AM2451">
        <v>87.202634157647097</v>
      </c>
      <c r="AN2451">
        <v>1.00000002885302</v>
      </c>
    </row>
    <row r="2452" spans="1:40" x14ac:dyDescent="0.25">
      <c r="A2452" t="str">
        <f>"20190303170306064"</f>
        <v>20190303170306064</v>
      </c>
      <c r="B2452" t="str">
        <f>"1551603786058439"</f>
        <v>1551603786058439</v>
      </c>
      <c r="C2452" t="s">
        <v>40</v>
      </c>
      <c r="D2452">
        <v>3.9806059999999999</v>
      </c>
      <c r="E2452">
        <v>0.4491985</v>
      </c>
      <c r="F2452" t="s">
        <v>66</v>
      </c>
      <c r="G2452">
        <v>-512.82619999999997</v>
      </c>
      <c r="H2452">
        <v>3.3307169999999999</v>
      </c>
      <c r="I2452">
        <v>269.20069999999998</v>
      </c>
      <c r="J2452">
        <v>-332.29020000000003</v>
      </c>
      <c r="K2452">
        <v>1.120633</v>
      </c>
      <c r="L2452">
        <v>284.40370000000001</v>
      </c>
      <c r="M2452">
        <v>-0.99988089999999996</v>
      </c>
      <c r="N2452">
        <v>-1.0849610000000001E-2</v>
      </c>
      <c r="O2452">
        <v>1.0984529999999999E-2</v>
      </c>
      <c r="P2452">
        <v>-0.98515399999999997</v>
      </c>
      <c r="Q2452">
        <v>0.1612797</v>
      </c>
      <c r="R2452">
        <v>5.882619E-2</v>
      </c>
      <c r="S2452">
        <v>-3.0542910000000001</v>
      </c>
      <c r="T2452">
        <v>3.7320850000000003E-2</v>
      </c>
      <c r="U2452">
        <v>-0.25665280000000001</v>
      </c>
      <c r="V2452">
        <v>4.808933E-2</v>
      </c>
      <c r="W2452">
        <v>0.1719407</v>
      </c>
      <c r="X2452">
        <v>0.98393280000000005</v>
      </c>
      <c r="Y2452">
        <v>-9.4673019999999997E-2</v>
      </c>
      <c r="Z2452">
        <v>3.1581509999999998E-4</v>
      </c>
      <c r="AA2452">
        <v>0.99550839999999996</v>
      </c>
      <c r="AB2452">
        <v>42</v>
      </c>
      <c r="AC2452">
        <v>-180.53599999999901</v>
      </c>
      <c r="AD2452">
        <v>2.2100840000000002</v>
      </c>
      <c r="AE2452">
        <v>-15.202999999999999</v>
      </c>
      <c r="AF2452">
        <v>-17.182745420465402</v>
      </c>
      <c r="AG2452">
        <v>2.2100840000000002</v>
      </c>
      <c r="AH2452">
        <v>180.33126462798299</v>
      </c>
      <c r="AI2452">
        <v>89.301001520708695</v>
      </c>
      <c r="AJ2452">
        <v>95.442957797385603</v>
      </c>
      <c r="AK2452">
        <v>181.16151968284899</v>
      </c>
      <c r="AL2452">
        <v>80.099325052562705</v>
      </c>
      <c r="AM2452">
        <v>87.201917764728904</v>
      </c>
      <c r="AN2452">
        <v>0.99999997144608899</v>
      </c>
    </row>
    <row r="2453" spans="1:40" x14ac:dyDescent="0.25">
      <c r="A2453" t="str">
        <f>"20190303170306085"</f>
        <v>20190303170306085</v>
      </c>
      <c r="B2453" t="str">
        <f>"1551603786077959"</f>
        <v>1551603786077959</v>
      </c>
      <c r="C2453" t="s">
        <v>40</v>
      </c>
      <c r="D2453">
        <v>3.9962019999999998</v>
      </c>
      <c r="E2453">
        <v>0.44907780000000003</v>
      </c>
      <c r="F2453" t="s">
        <v>66</v>
      </c>
      <c r="G2453">
        <v>-512.82619999999997</v>
      </c>
      <c r="H2453">
        <v>3.3045460000000002</v>
      </c>
      <c r="I2453">
        <v>269.2808</v>
      </c>
      <c r="J2453">
        <v>-332.69580000000002</v>
      </c>
      <c r="K2453">
        <v>1.120638</v>
      </c>
      <c r="L2453">
        <v>284.4083</v>
      </c>
      <c r="M2453">
        <v>-0.99987820000000005</v>
      </c>
      <c r="N2453">
        <v>-1.0914989999999999E-2</v>
      </c>
      <c r="O2453">
        <v>1.1147260000000001E-2</v>
      </c>
      <c r="P2453">
        <v>-0.98523640000000001</v>
      </c>
      <c r="Q2453">
        <v>0.1608096</v>
      </c>
      <c r="R2453">
        <v>5.8732970000000002E-2</v>
      </c>
      <c r="S2453">
        <v>-3.054443</v>
      </c>
      <c r="T2453">
        <v>3.695035E-2</v>
      </c>
      <c r="U2453">
        <v>-0.25585940000000001</v>
      </c>
      <c r="V2453">
        <v>4.7834750000000002E-2</v>
      </c>
      <c r="W2453">
        <v>0.1715354</v>
      </c>
      <c r="X2453">
        <v>0.984016</v>
      </c>
      <c r="Y2453">
        <v>-9.4574179999999994E-2</v>
      </c>
      <c r="Z2453">
        <v>3.1003170000000002E-4</v>
      </c>
      <c r="AA2453">
        <v>0.99551780000000001</v>
      </c>
      <c r="AB2453">
        <v>42</v>
      </c>
      <c r="AC2453">
        <v>-180.13039999999901</v>
      </c>
      <c r="AD2453">
        <v>2.1839080000000002</v>
      </c>
      <c r="AE2453">
        <v>-15.1274999999999</v>
      </c>
      <c r="AF2453">
        <v>-17.1321395321423</v>
      </c>
      <c r="AG2453">
        <v>2.1839080000000002</v>
      </c>
      <c r="AH2453">
        <v>179.924304181618</v>
      </c>
      <c r="AI2453">
        <v>89.307713132708898</v>
      </c>
      <c r="AJ2453">
        <v>95.439224816360294</v>
      </c>
      <c r="AK2453">
        <v>180.75130675693799</v>
      </c>
      <c r="AL2453">
        <v>80.122897762685099</v>
      </c>
      <c r="AM2453">
        <v>87.2169421335973</v>
      </c>
      <c r="AN2453">
        <v>1.0000000225083601</v>
      </c>
    </row>
    <row r="2454" spans="1:40" x14ac:dyDescent="0.25">
      <c r="A2454" t="str">
        <f>"20190303170306098"</f>
        <v>20190303170306098</v>
      </c>
      <c r="B2454" t="str">
        <f>"1551603786087719"</f>
        <v>1551603786087719</v>
      </c>
      <c r="C2454" t="s">
        <v>40</v>
      </c>
      <c r="D2454">
        <v>3.9962840000000002</v>
      </c>
      <c r="E2454">
        <v>0.4489631</v>
      </c>
      <c r="F2454" t="s">
        <v>66</v>
      </c>
      <c r="G2454">
        <v>-512.82619999999997</v>
      </c>
      <c r="H2454">
        <v>3.1002909999999999</v>
      </c>
      <c r="I2454">
        <v>269.28519999999997</v>
      </c>
      <c r="J2454">
        <v>-332.94490000000002</v>
      </c>
      <c r="K2454">
        <v>1.1206370000000001</v>
      </c>
      <c r="L2454">
        <v>284.41109999999998</v>
      </c>
      <c r="M2454">
        <v>-0.99987689999999996</v>
      </c>
      <c r="N2454">
        <v>-1.0953360000000001E-2</v>
      </c>
      <c r="O2454">
        <v>1.124701E-2</v>
      </c>
      <c r="P2454">
        <v>-0.98527160000000003</v>
      </c>
      <c r="Q2454">
        <v>0.1606815</v>
      </c>
      <c r="R2454">
        <v>5.8494850000000001E-2</v>
      </c>
      <c r="S2454">
        <v>-3.0548099999999998</v>
      </c>
      <c r="T2454">
        <v>3.3573989999999998E-2</v>
      </c>
      <c r="U2454">
        <v>-0.25646970000000002</v>
      </c>
      <c r="V2454">
        <v>4.7497739999999997E-2</v>
      </c>
      <c r="W2454">
        <v>0.1714456</v>
      </c>
      <c r="X2454">
        <v>0.98404789999999998</v>
      </c>
      <c r="Y2454">
        <v>-9.4861979999999999E-2</v>
      </c>
      <c r="Z2454">
        <v>2.462664E-4</v>
      </c>
      <c r="AA2454">
        <v>0.9954904</v>
      </c>
      <c r="AB2454">
        <v>42</v>
      </c>
      <c r="AC2454">
        <v>-179.88129999999899</v>
      </c>
      <c r="AD2454">
        <v>1.979654</v>
      </c>
      <c r="AE2454">
        <v>-15.1259</v>
      </c>
      <c r="AF2454">
        <v>-17.146128928759101</v>
      </c>
      <c r="AG2454">
        <v>1.979654</v>
      </c>
      <c r="AH2454">
        <v>179.67818052591201</v>
      </c>
      <c r="AI2454">
        <v>89.371607905655793</v>
      </c>
      <c r="AJ2454">
        <v>95.451051421628705</v>
      </c>
      <c r="AK2454">
        <v>180.50528336950001</v>
      </c>
      <c r="AL2454">
        <v>80.128119561142796</v>
      </c>
      <c r="AM2454">
        <v>87.236608544744598</v>
      </c>
      <c r="AN2454">
        <v>0.99999994927943703</v>
      </c>
    </row>
    <row r="2455" spans="1:40" x14ac:dyDescent="0.25">
      <c r="A2455" t="str">
        <f>"20190303170306112"</f>
        <v>20190303170306112</v>
      </c>
      <c r="B2455" t="str">
        <f>"1551603786098456"</f>
        <v>1551603786098456</v>
      </c>
      <c r="C2455" t="s">
        <v>40</v>
      </c>
      <c r="D2455">
        <v>3.9871240000000001</v>
      </c>
      <c r="E2455">
        <v>0.44897769999999998</v>
      </c>
      <c r="F2455" t="s">
        <v>66</v>
      </c>
      <c r="G2455">
        <v>-512.82619999999997</v>
      </c>
      <c r="H2455">
        <v>3.039364</v>
      </c>
      <c r="I2455">
        <v>269.20859999999999</v>
      </c>
      <c r="J2455">
        <v>-333.19670000000002</v>
      </c>
      <c r="K2455">
        <v>1.1206400000000001</v>
      </c>
      <c r="L2455">
        <v>284.41399999999999</v>
      </c>
      <c r="M2455">
        <v>-0.99987519999999996</v>
      </c>
      <c r="N2455">
        <v>-1.0991280000000001E-2</v>
      </c>
      <c r="O2455">
        <v>1.1347899999999999E-2</v>
      </c>
      <c r="P2455">
        <v>-0.98526279999999999</v>
      </c>
      <c r="Q2455">
        <v>0.16057729999999901</v>
      </c>
      <c r="R2455">
        <v>5.8925110000000003E-2</v>
      </c>
      <c r="S2455">
        <v>-3.0548709999999999</v>
      </c>
      <c r="T2455">
        <v>3.2586459999999998E-2</v>
      </c>
      <c r="U2455">
        <v>-0.25817869999999998</v>
      </c>
      <c r="V2455">
        <v>4.7828610000000001E-2</v>
      </c>
      <c r="W2455">
        <v>0.1713789</v>
      </c>
      <c r="X2455">
        <v>0.98404349999999996</v>
      </c>
      <c r="Y2455">
        <v>-9.5513979999999998E-2</v>
      </c>
      <c r="Z2455">
        <v>2.2797790000000001E-4</v>
      </c>
      <c r="AA2455">
        <v>0.99542810000000004</v>
      </c>
      <c r="AB2455">
        <v>42</v>
      </c>
      <c r="AC2455">
        <v>-179.62949999999901</v>
      </c>
      <c r="AD2455">
        <v>1.9187240000000001</v>
      </c>
      <c r="AE2455">
        <v>-15.2053999999999</v>
      </c>
      <c r="AF2455">
        <v>-17.241008426309499</v>
      </c>
      <c r="AG2455">
        <v>1.9187240000000001</v>
      </c>
      <c r="AH2455">
        <v>179.42504656612201</v>
      </c>
      <c r="AI2455">
        <v>89.390126344009104</v>
      </c>
      <c r="AJ2455">
        <v>95.488717555936503</v>
      </c>
      <c r="AK2455">
        <v>180.26170200183799</v>
      </c>
      <c r="AL2455">
        <v>80.1319986749251</v>
      </c>
      <c r="AM2455">
        <v>87.217376444315093</v>
      </c>
      <c r="AN2455">
        <v>0.99999995659599505</v>
      </c>
    </row>
    <row r="2456" spans="1:40" x14ac:dyDescent="0.25">
      <c r="A2456" t="str">
        <f>"20190303170306123"</f>
        <v>20190303170306123</v>
      </c>
      <c r="B2456" t="str">
        <f>"1551603786117976"</f>
        <v>1551603786117976</v>
      </c>
      <c r="C2456" t="s">
        <v>40</v>
      </c>
      <c r="D2456">
        <v>3.9341750000000002</v>
      </c>
      <c r="E2456">
        <v>0.4488972</v>
      </c>
      <c r="F2456" t="s">
        <v>66</v>
      </c>
      <c r="G2456">
        <v>-512.82619999999997</v>
      </c>
      <c r="H2456">
        <v>2.9961600000000002</v>
      </c>
      <c r="I2456">
        <v>269.34109999999998</v>
      </c>
      <c r="J2456">
        <v>-333.42200000000003</v>
      </c>
      <c r="K2456">
        <v>1.1206419999999999</v>
      </c>
      <c r="L2456">
        <v>284.41669999999999</v>
      </c>
      <c r="M2456">
        <v>-0.99987389999999998</v>
      </c>
      <c r="N2456">
        <v>-1.1024320000000001E-2</v>
      </c>
      <c r="O2456">
        <v>1.143838E-2</v>
      </c>
      <c r="P2456">
        <v>-0.98518300000000003</v>
      </c>
      <c r="Q2456">
        <v>0.16096450000000001</v>
      </c>
      <c r="R2456">
        <v>5.9203409999999998E-2</v>
      </c>
      <c r="S2456">
        <v>-3.0549930000000001</v>
      </c>
      <c r="T2456">
        <v>3.1898620000000003E-2</v>
      </c>
      <c r="U2456">
        <v>-0.25634770000000001</v>
      </c>
      <c r="V2456">
        <v>4.8018859999999997E-2</v>
      </c>
      <c r="W2456">
        <v>0.1717979</v>
      </c>
      <c r="X2456">
        <v>0.98396119999999998</v>
      </c>
      <c r="Y2456">
        <v>-9.500844E-2</v>
      </c>
      <c r="Z2456">
        <v>2.1559119999999999E-4</v>
      </c>
      <c r="AA2456">
        <v>0.99547640000000004</v>
      </c>
      <c r="AB2456">
        <v>42</v>
      </c>
      <c r="AC2456">
        <v>-179.4042</v>
      </c>
      <c r="AD2456">
        <v>1.875518</v>
      </c>
      <c r="AE2456">
        <v>-15.0756</v>
      </c>
      <c r="AF2456">
        <v>-17.124973109579699</v>
      </c>
      <c r="AG2456">
        <v>1.875518</v>
      </c>
      <c r="AH2456">
        <v>179.20056361101001</v>
      </c>
      <c r="AI2456">
        <v>89.403081928525907</v>
      </c>
      <c r="AJ2456">
        <v>95.458789198339403</v>
      </c>
      <c r="AK2456">
        <v>180.026732099085</v>
      </c>
      <c r="AL2456">
        <v>80.107630624569296</v>
      </c>
      <c r="AM2456">
        <v>87.206092081386899</v>
      </c>
      <c r="AN2456">
        <v>0.99999998623277397</v>
      </c>
    </row>
    <row r="2457" spans="1:40" x14ac:dyDescent="0.25">
      <c r="A2457" t="str">
        <f>"20190303170306136"</f>
        <v>20190303170306136</v>
      </c>
      <c r="B2457" t="str">
        <f>"1551603786128711"</f>
        <v>1551603786128711</v>
      </c>
      <c r="C2457" t="s">
        <v>40</v>
      </c>
      <c r="D2457">
        <v>3.9297420000000001</v>
      </c>
      <c r="E2457">
        <v>0.44890639999999998</v>
      </c>
      <c r="F2457" t="s">
        <v>66</v>
      </c>
      <c r="G2457">
        <v>-512.82619999999997</v>
      </c>
      <c r="H2457">
        <v>3.099923</v>
      </c>
      <c r="I2457">
        <v>269.37860000000001</v>
      </c>
      <c r="J2457">
        <v>-333.66230000000002</v>
      </c>
      <c r="K2457">
        <v>1.1206510000000001</v>
      </c>
      <c r="L2457">
        <v>284.41950000000003</v>
      </c>
      <c r="M2457">
        <v>-0.99987239999999999</v>
      </c>
      <c r="N2457">
        <v>-1.105914E-2</v>
      </c>
      <c r="O2457">
        <v>1.1534930000000001E-2</v>
      </c>
      <c r="P2457">
        <v>-0.98509659999999999</v>
      </c>
      <c r="Q2457">
        <v>0.1613724</v>
      </c>
      <c r="R2457">
        <v>5.9530260000000002E-2</v>
      </c>
      <c r="S2457">
        <v>-3.0549620000000002</v>
      </c>
      <c r="T2457">
        <v>3.3705230000000003E-2</v>
      </c>
      <c r="U2457">
        <v>-0.256073</v>
      </c>
      <c r="V2457">
        <v>4.8251700000000002E-2</v>
      </c>
      <c r="W2457">
        <v>0.17223849999999999</v>
      </c>
      <c r="X2457">
        <v>0.98387279999999999</v>
      </c>
      <c r="Y2457">
        <v>-9.5016059999999999E-2</v>
      </c>
      <c r="Z2457">
        <v>2.512635E-4</v>
      </c>
      <c r="AA2457">
        <v>0.99547569999999996</v>
      </c>
      <c r="AB2457">
        <v>42</v>
      </c>
      <c r="AC2457">
        <v>-179.16389999999899</v>
      </c>
      <c r="AD2457">
        <v>1.9792719999999999</v>
      </c>
      <c r="AE2457">
        <v>-15.040900000000001</v>
      </c>
      <c r="AF2457">
        <v>-17.104595596039701</v>
      </c>
      <c r="AG2457">
        <v>1.9792719999999999</v>
      </c>
      <c r="AH2457">
        <v>178.956785102591</v>
      </c>
      <c r="AI2457">
        <v>89.369205833176295</v>
      </c>
      <c r="AJ2457">
        <v>95.459715217462701</v>
      </c>
      <c r="AK2457">
        <v>179.78324627842599</v>
      </c>
      <c r="AL2457">
        <v>80.082004316958106</v>
      </c>
      <c r="AM2457">
        <v>87.192314402676104</v>
      </c>
      <c r="AN2457">
        <v>1.0000000070074899</v>
      </c>
    </row>
    <row r="2458" spans="1:40" x14ac:dyDescent="0.25">
      <c r="A2458" t="str">
        <f>"20190303170306146"</f>
        <v>20190303170306146</v>
      </c>
      <c r="B2458" t="str">
        <f>"1551603786138203"</f>
        <v>1551603786138203</v>
      </c>
      <c r="C2458" t="s">
        <v>40</v>
      </c>
      <c r="D2458">
        <v>3.9982679999999999</v>
      </c>
      <c r="E2458">
        <v>0.44880120000000001</v>
      </c>
      <c r="F2458" t="s">
        <v>66</v>
      </c>
      <c r="G2458">
        <v>-512.82619999999997</v>
      </c>
      <c r="H2458">
        <v>3.2307250000000001</v>
      </c>
      <c r="I2458">
        <v>269.44049999999999</v>
      </c>
      <c r="J2458">
        <v>-333.8793</v>
      </c>
      <c r="K2458">
        <v>1.1206560000000001</v>
      </c>
      <c r="L2458">
        <v>284.42200000000003</v>
      </c>
      <c r="M2458">
        <v>-0.99987099999999995</v>
      </c>
      <c r="N2458">
        <v>-1.109041E-2</v>
      </c>
      <c r="O2458">
        <v>1.162172E-2</v>
      </c>
      <c r="P2458">
        <v>-0.98498960000000002</v>
      </c>
      <c r="Q2458">
        <v>0.16184079999999901</v>
      </c>
      <c r="R2458">
        <v>6.00254E-2</v>
      </c>
      <c r="S2458">
        <v>-3.0548709999999999</v>
      </c>
      <c r="T2458">
        <v>3.5979509999999999E-2</v>
      </c>
      <c r="U2458">
        <v>-0.25540160000000001</v>
      </c>
      <c r="V2458">
        <v>4.8662730000000001E-2</v>
      </c>
      <c r="W2458">
        <v>0.17273640000000001</v>
      </c>
      <c r="X2458">
        <v>0.98376520000000001</v>
      </c>
      <c r="Y2458">
        <v>-9.4887089999999993E-2</v>
      </c>
      <c r="Z2458">
        <v>2.9598029999999999E-4</v>
      </c>
      <c r="AA2458">
        <v>0.99548800000000004</v>
      </c>
      <c r="AB2458">
        <v>42</v>
      </c>
      <c r="AC2458">
        <v>-178.946899999999</v>
      </c>
      <c r="AD2458">
        <v>2.11006899999999</v>
      </c>
      <c r="AE2458">
        <v>-14.9815</v>
      </c>
      <c r="AF2458">
        <v>-17.057931446987201</v>
      </c>
      <c r="AG2458">
        <v>2.11006899999999</v>
      </c>
      <c r="AH2458">
        <v>178.736013153974</v>
      </c>
      <c r="AI2458">
        <v>89.326684858825303</v>
      </c>
      <c r="AJ2458">
        <v>95.451594828993606</v>
      </c>
      <c r="AK2458">
        <v>179.56054080619299</v>
      </c>
      <c r="AL2458">
        <v>80.053042059269302</v>
      </c>
      <c r="AM2458">
        <v>87.168126815003006</v>
      </c>
      <c r="AN2458">
        <v>0.99999994695352501</v>
      </c>
    </row>
    <row r="2459" spans="1:40" x14ac:dyDescent="0.25">
      <c r="A2459" t="str">
        <f>"20190303170306163"</f>
        <v>20190303170306163</v>
      </c>
      <c r="B2459" t="str">
        <f>"1551603786157723"</f>
        <v>1551603786157723</v>
      </c>
      <c r="C2459" t="s">
        <v>40</v>
      </c>
      <c r="D2459">
        <v>4.0490079999999997</v>
      </c>
      <c r="E2459">
        <v>0.44891170000000002</v>
      </c>
      <c r="F2459" t="s">
        <v>66</v>
      </c>
      <c r="G2459">
        <v>-512.82619999999997</v>
      </c>
      <c r="H2459">
        <v>3.3039320000000001</v>
      </c>
      <c r="I2459">
        <v>269.49459999999999</v>
      </c>
      <c r="J2459">
        <v>-334.18799999999999</v>
      </c>
      <c r="K2459">
        <v>1.120655</v>
      </c>
      <c r="L2459">
        <v>284.42570000000001</v>
      </c>
      <c r="M2459">
        <v>-0.99986920000000001</v>
      </c>
      <c r="N2459">
        <v>-1.113425E-2</v>
      </c>
      <c r="O2459">
        <v>1.174534E-2</v>
      </c>
      <c r="P2459">
        <v>-0.98482950000000002</v>
      </c>
      <c r="Q2459">
        <v>0.16258059999999999</v>
      </c>
      <c r="R2459">
        <v>6.06504E-2</v>
      </c>
      <c r="S2459">
        <v>-3.0551149999999998</v>
      </c>
      <c r="T2459">
        <v>3.7275790000000003E-2</v>
      </c>
      <c r="U2459">
        <v>-0.25485229999999998</v>
      </c>
      <c r="V2459">
        <v>4.9168209999999997E-2</v>
      </c>
      <c r="W2459">
        <v>0.17351739999999999</v>
      </c>
      <c r="X2459">
        <v>0.98360259999999999</v>
      </c>
      <c r="Y2459">
        <v>-9.4825419999999994E-2</v>
      </c>
      <c r="Z2459">
        <v>3.222225E-4</v>
      </c>
      <c r="AA2459">
        <v>0.99549390000000004</v>
      </c>
      <c r="AB2459">
        <v>42</v>
      </c>
      <c r="AC2459">
        <v>-178.63819999999899</v>
      </c>
      <c r="AD2459">
        <v>2.1832769999999999</v>
      </c>
      <c r="AE2459">
        <v>-14.931100000000001</v>
      </c>
      <c r="AF2459">
        <v>-17.025840508973499</v>
      </c>
      <c r="AG2459">
        <v>2.1832769999999999</v>
      </c>
      <c r="AH2459">
        <v>178.424027881028</v>
      </c>
      <c r="AI2459">
        <v>89.302107811242905</v>
      </c>
      <c r="AJ2459">
        <v>95.450857769601797</v>
      </c>
      <c r="AK2459">
        <v>179.24781635709101</v>
      </c>
      <c r="AL2459">
        <v>80.007607883666793</v>
      </c>
      <c r="AM2459">
        <v>87.138287394004493</v>
      </c>
      <c r="AN2459">
        <v>0.99999993785205998</v>
      </c>
    </row>
    <row r="2460" spans="1:40" x14ac:dyDescent="0.25">
      <c r="A2460" t="str">
        <f>"20190303170306176"</f>
        <v>20190303170306176</v>
      </c>
      <c r="B2460" t="str">
        <f>"1551603786168460"</f>
        <v>1551603786168460</v>
      </c>
      <c r="C2460" t="s">
        <v>40</v>
      </c>
      <c r="D2460">
        <v>4.0173670000000001</v>
      </c>
      <c r="E2460">
        <v>0.4490092</v>
      </c>
      <c r="F2460" t="s">
        <v>66</v>
      </c>
      <c r="G2460">
        <v>-512.82629999999995</v>
      </c>
      <c r="H2460">
        <v>3.362771</v>
      </c>
      <c r="I2460">
        <v>269.6825</v>
      </c>
      <c r="J2460">
        <v>-334.41539999999998</v>
      </c>
      <c r="K2460">
        <v>1.1206579999999999</v>
      </c>
      <c r="L2460">
        <v>284.42840000000001</v>
      </c>
      <c r="M2460">
        <v>-0.99986770000000003</v>
      </c>
      <c r="N2460">
        <v>-1.116616E-2</v>
      </c>
      <c r="O2460">
        <v>1.1836299999999999E-2</v>
      </c>
      <c r="P2460">
        <v>-0.98490169999999999</v>
      </c>
      <c r="Q2460">
        <v>0.16209899999999999</v>
      </c>
      <c r="R2460">
        <v>6.0769249999999997E-2</v>
      </c>
      <c r="S2460">
        <v>-3.0554199999999998</v>
      </c>
      <c r="T2460">
        <v>3.8350339999999997E-2</v>
      </c>
      <c r="U2460">
        <v>-0.25216670000000002</v>
      </c>
      <c r="V2460">
        <v>4.919635E-2</v>
      </c>
      <c r="W2460">
        <v>0.173068</v>
      </c>
      <c r="X2460">
        <v>0.98368040000000001</v>
      </c>
      <c r="Y2460">
        <v>-9.4038399999999994E-2</v>
      </c>
      <c r="Z2460">
        <v>3.4345129999999998E-4</v>
      </c>
      <c r="AA2460">
        <v>0.99556849999999997</v>
      </c>
      <c r="AB2460">
        <v>42</v>
      </c>
      <c r="AC2460">
        <v>-178.410899999999</v>
      </c>
      <c r="AD2460">
        <v>2.2421129999999998</v>
      </c>
      <c r="AE2460">
        <v>-14.745900000000001</v>
      </c>
      <c r="AF2460">
        <v>-16.854079534939999</v>
      </c>
      <c r="AG2460">
        <v>2.2421129999999998</v>
      </c>
      <c r="AH2460">
        <v>178.19590071716701</v>
      </c>
      <c r="AI2460">
        <v>89.282328321292795</v>
      </c>
      <c r="AJ2460">
        <v>95.403061754728398</v>
      </c>
      <c r="AK2460">
        <v>179.00521249415499</v>
      </c>
      <c r="AL2460">
        <v>80.033752500077497</v>
      </c>
      <c r="AM2460">
        <v>87.136878387973894</v>
      </c>
      <c r="AN2460">
        <v>0.99999997141074004</v>
      </c>
    </row>
    <row r="2461" spans="1:40" x14ac:dyDescent="0.25">
      <c r="A2461" t="str">
        <f>"20190303170306188"</f>
        <v>20190303170306188</v>
      </c>
      <c r="B2461" t="str">
        <f>"1551603786178221"</f>
        <v>1551603786178221</v>
      </c>
      <c r="C2461" t="s">
        <v>40</v>
      </c>
      <c r="D2461">
        <v>3.8445610000000001</v>
      </c>
      <c r="E2461">
        <v>0.44908949999999997</v>
      </c>
      <c r="F2461" t="s">
        <v>66</v>
      </c>
      <c r="G2461">
        <v>-512.82619999999997</v>
      </c>
      <c r="H2461">
        <v>3.2460680000000002</v>
      </c>
      <c r="I2461">
        <v>269.78429999999997</v>
      </c>
      <c r="J2461">
        <v>-334.66030000000001</v>
      </c>
      <c r="K2461">
        <v>1.12066</v>
      </c>
      <c r="L2461">
        <v>284.4314</v>
      </c>
      <c r="M2461">
        <v>-0.99986609999999998</v>
      </c>
      <c r="N2461">
        <v>-1.120057E-2</v>
      </c>
      <c r="O2461">
        <v>1.193399E-2</v>
      </c>
      <c r="P2461">
        <v>-0.9849272</v>
      </c>
      <c r="Q2461">
        <v>0.16182739999999901</v>
      </c>
      <c r="R2461">
        <v>6.1078880000000002E-2</v>
      </c>
      <c r="S2461">
        <v>-3.05545</v>
      </c>
      <c r="T2461">
        <v>3.6400910000000002E-2</v>
      </c>
      <c r="U2461">
        <v>-0.2507935</v>
      </c>
      <c r="V2461">
        <v>4.9409210000000002E-2</v>
      </c>
      <c r="W2461">
        <v>0.17283080000000001</v>
      </c>
      <c r="X2461">
        <v>0.98371149999999996</v>
      </c>
      <c r="Y2461">
        <v>-9.3690949999999995E-2</v>
      </c>
      <c r="Z2461">
        <v>3.0690980000000001E-4</v>
      </c>
      <c r="AA2461">
        <v>0.99560130000000002</v>
      </c>
      <c r="AB2461">
        <v>43</v>
      </c>
      <c r="AC2461">
        <v>-178.165899999999</v>
      </c>
      <c r="AD2461">
        <v>2.1254080000000002</v>
      </c>
      <c r="AE2461">
        <v>-14.6471</v>
      </c>
      <c r="AF2461">
        <v>-16.770049642274898</v>
      </c>
      <c r="AG2461">
        <v>2.1254080000000002</v>
      </c>
      <c r="AH2461">
        <v>177.95324693067801</v>
      </c>
      <c r="AI2461">
        <v>89.318731028251605</v>
      </c>
      <c r="AJ2461">
        <v>95.383569739563299</v>
      </c>
      <c r="AK2461">
        <v>178.754328667425</v>
      </c>
      <c r="AL2461">
        <v>80.0475516356924</v>
      </c>
      <c r="AM2461">
        <v>87.124601896361597</v>
      </c>
      <c r="AN2461">
        <v>1.0000000353468499</v>
      </c>
    </row>
    <row r="2462" spans="1:40" x14ac:dyDescent="0.25">
      <c r="A2462" t="str">
        <f>"20190303170306201"</f>
        <v>20190303170306201</v>
      </c>
      <c r="B2462" t="str">
        <f>"1551603786197738"</f>
        <v>1551603786197738</v>
      </c>
      <c r="C2462" t="s">
        <v>40</v>
      </c>
      <c r="D2462">
        <v>4.028505</v>
      </c>
      <c r="E2462">
        <v>0.44905299999999998</v>
      </c>
      <c r="F2462" t="s">
        <v>66</v>
      </c>
      <c r="G2462">
        <v>-512.82619999999997</v>
      </c>
      <c r="H2462">
        <v>3.166795</v>
      </c>
      <c r="I2462">
        <v>269.89870000000002</v>
      </c>
      <c r="J2462">
        <v>-334.89370000000002</v>
      </c>
      <c r="K2462">
        <v>1.1206670000000001</v>
      </c>
      <c r="L2462">
        <v>284.43430000000001</v>
      </c>
      <c r="M2462">
        <v>-0.99986459999999999</v>
      </c>
      <c r="N2462">
        <v>-1.1234009999999999E-2</v>
      </c>
      <c r="O2462">
        <v>1.202696E-2</v>
      </c>
      <c r="P2462">
        <v>-0.98497590000000002</v>
      </c>
      <c r="Q2462">
        <v>0.1614805</v>
      </c>
      <c r="R2462">
        <v>6.1210239999999999E-2</v>
      </c>
      <c r="S2462">
        <v>-3.0555729999999999</v>
      </c>
      <c r="T2462">
        <v>3.5092829999999998E-2</v>
      </c>
      <c r="U2462">
        <v>-0.24923709999999999</v>
      </c>
      <c r="V2462">
        <v>4.9448249999999999E-2</v>
      </c>
      <c r="W2462">
        <v>0.17251710000000001</v>
      </c>
      <c r="X2462">
        <v>0.98376459999999999</v>
      </c>
      <c r="Y2462">
        <v>-9.3276869999999998E-2</v>
      </c>
      <c r="Z2462">
        <v>2.826859E-4</v>
      </c>
      <c r="AA2462">
        <v>0.99564019999999998</v>
      </c>
      <c r="AB2462">
        <v>43</v>
      </c>
      <c r="AC2462">
        <v>-177.93249999999901</v>
      </c>
      <c r="AD2462">
        <v>2.0461279999999999</v>
      </c>
      <c r="AE2462">
        <v>-14.535599999999899</v>
      </c>
      <c r="AF2462">
        <v>-16.672480480324001</v>
      </c>
      <c r="AG2462">
        <v>2.0461279999999999</v>
      </c>
      <c r="AH2462">
        <v>177.72145337086499</v>
      </c>
      <c r="AI2462">
        <v>89.343259420865706</v>
      </c>
      <c r="AJ2462">
        <v>95.359370538297995</v>
      </c>
      <c r="AK2462">
        <v>178.51350994648001</v>
      </c>
      <c r="AL2462">
        <v>80.065799404061593</v>
      </c>
      <c r="AM2462">
        <v>87.122488822625996</v>
      </c>
      <c r="AN2462">
        <v>1.00000003371681</v>
      </c>
    </row>
    <row r="2463" spans="1:40" x14ac:dyDescent="0.25">
      <c r="A2463" t="str">
        <f>"20190303170306213"</f>
        <v>20190303170306213</v>
      </c>
      <c r="B2463" t="str">
        <f>"1551603786208476"</f>
        <v>1551603786208476</v>
      </c>
      <c r="C2463" t="s">
        <v>40</v>
      </c>
      <c r="D2463">
        <v>4.0048909999999998</v>
      </c>
      <c r="E2463">
        <v>0.44898519999999997</v>
      </c>
      <c r="F2463" t="s">
        <v>66</v>
      </c>
      <c r="G2463">
        <v>-512.82619999999997</v>
      </c>
      <c r="H2463">
        <v>3.0496340000000002</v>
      </c>
      <c r="I2463">
        <v>269.92720000000003</v>
      </c>
      <c r="J2463">
        <v>-335.12639999999999</v>
      </c>
      <c r="K2463">
        <v>1.120668</v>
      </c>
      <c r="L2463">
        <v>284.43720000000002</v>
      </c>
      <c r="M2463">
        <v>-0.99986319999999995</v>
      </c>
      <c r="N2463">
        <v>-1.126799E-2</v>
      </c>
      <c r="O2463">
        <v>1.211946E-2</v>
      </c>
      <c r="P2463">
        <v>-0.98498280000000005</v>
      </c>
      <c r="Q2463">
        <v>0.1612789</v>
      </c>
      <c r="R2463">
        <v>6.1628229999999999E-2</v>
      </c>
      <c r="S2463">
        <v>-3.0558169999999998</v>
      </c>
      <c r="T2463">
        <v>3.3129449999999998E-2</v>
      </c>
      <c r="U2463">
        <v>-0.24914549999999999</v>
      </c>
      <c r="V2463">
        <v>4.977467E-2</v>
      </c>
      <c r="W2463">
        <v>0.17234940000000001</v>
      </c>
      <c r="X2463">
        <v>0.98377749999999997</v>
      </c>
      <c r="Y2463">
        <v>-9.3333390000000002E-2</v>
      </c>
      <c r="Z2463">
        <v>2.4585710000000002E-4</v>
      </c>
      <c r="AA2463">
        <v>0.99563489999999999</v>
      </c>
      <c r="AB2463">
        <v>43</v>
      </c>
      <c r="AC2463">
        <v>-177.69979999999899</v>
      </c>
      <c r="AD2463">
        <v>1.928966</v>
      </c>
      <c r="AE2463">
        <v>-14.5099999999999</v>
      </c>
      <c r="AF2463">
        <v>-16.660746044821501</v>
      </c>
      <c r="AG2463">
        <v>1.928966</v>
      </c>
      <c r="AH2463">
        <v>177.49010690193001</v>
      </c>
      <c r="AI2463">
        <v>89.3800578944617</v>
      </c>
      <c r="AJ2463">
        <v>95.362560467004002</v>
      </c>
      <c r="AK2463">
        <v>178.28078813113299</v>
      </c>
      <c r="AL2463">
        <v>80.075553695162299</v>
      </c>
      <c r="AM2463">
        <v>87.103563823549507</v>
      </c>
      <c r="AN2463">
        <v>1.0000000014801</v>
      </c>
    </row>
    <row r="2464" spans="1:40" x14ac:dyDescent="0.25">
      <c r="A2464" t="str">
        <f>"20190303170306225"</f>
        <v>20190303170306225</v>
      </c>
      <c r="B2464" t="str">
        <f>"1551603786218235"</f>
        <v>1551603786218235</v>
      </c>
      <c r="C2464" t="s">
        <v>40</v>
      </c>
      <c r="D2464">
        <v>4.0563140000000004</v>
      </c>
      <c r="E2464">
        <v>0.44893179999999999</v>
      </c>
      <c r="F2464" t="s">
        <v>66</v>
      </c>
      <c r="G2464">
        <v>-512.82619999999997</v>
      </c>
      <c r="H2464">
        <v>3.015857</v>
      </c>
      <c r="I2464">
        <v>269.9975</v>
      </c>
      <c r="J2464">
        <v>-335.35860000000002</v>
      </c>
      <c r="K2464">
        <v>1.1206739999999999</v>
      </c>
      <c r="L2464">
        <v>284.44009999999997</v>
      </c>
      <c r="M2464">
        <v>-0.99986149999999996</v>
      </c>
      <c r="N2464">
        <v>-1.1306719999999999E-2</v>
      </c>
      <c r="O2464">
        <v>1.2210550000000001E-2</v>
      </c>
      <c r="P2464">
        <v>-0.98494570000000004</v>
      </c>
      <c r="Q2464">
        <v>0.16133979999999901</v>
      </c>
      <c r="R2464">
        <v>6.2061249999999998E-2</v>
      </c>
      <c r="S2464">
        <v>-3.055939</v>
      </c>
      <c r="T2464">
        <v>3.2593249999999997E-2</v>
      </c>
      <c r="U2464">
        <v>-0.2483215</v>
      </c>
      <c r="V2464">
        <v>5.0118059999999999E-2</v>
      </c>
      <c r="W2464">
        <v>0.17244809999999999</v>
      </c>
      <c r="X2464">
        <v>0.98374280000000003</v>
      </c>
      <c r="Y2464">
        <v>-9.3154319999999999E-2</v>
      </c>
      <c r="Z2464">
        <v>2.362659E-4</v>
      </c>
      <c r="AA2464">
        <v>0.99565170000000003</v>
      </c>
      <c r="AB2464">
        <v>43</v>
      </c>
      <c r="AC2464">
        <v>-177.46759999999901</v>
      </c>
      <c r="AD2464">
        <v>1.8951830000000001</v>
      </c>
      <c r="AE2464">
        <v>-14.442599999999899</v>
      </c>
      <c r="AF2464">
        <v>-16.6067573162839</v>
      </c>
      <c r="AG2464">
        <v>1.8951830000000001</v>
      </c>
      <c r="AH2464">
        <v>177.257922641839</v>
      </c>
      <c r="AI2464">
        <v>89.390106385567904</v>
      </c>
      <c r="AJ2464">
        <v>95.3522450159752</v>
      </c>
      <c r="AK2464">
        <v>178.04422834359301</v>
      </c>
      <c r="AL2464">
        <v>80.069812946899006</v>
      </c>
      <c r="AM2464">
        <v>87.083513312425495</v>
      </c>
      <c r="AN2464">
        <v>1.0000000318418001</v>
      </c>
    </row>
    <row r="2465" spans="1:40" x14ac:dyDescent="0.25">
      <c r="A2465" t="str">
        <f>"20190303170306237"</f>
        <v>20190303170306237</v>
      </c>
      <c r="B2465" t="str">
        <f>"1551603786227995"</f>
        <v>1551603786227995</v>
      </c>
      <c r="C2465" t="s">
        <v>40</v>
      </c>
      <c r="D2465">
        <v>4.0103239999999998</v>
      </c>
      <c r="E2465">
        <v>0.44887100000000002</v>
      </c>
      <c r="F2465" t="s">
        <v>66</v>
      </c>
      <c r="G2465">
        <v>-512.82619999999997</v>
      </c>
      <c r="H2465">
        <v>3.0119829999999999</v>
      </c>
      <c r="I2465">
        <v>270.0625</v>
      </c>
      <c r="J2465">
        <v>-335.57769999999999</v>
      </c>
      <c r="K2465">
        <v>1.120684</v>
      </c>
      <c r="L2465">
        <v>284.44279999999998</v>
      </c>
      <c r="M2465">
        <v>-0.99986019999999998</v>
      </c>
      <c r="N2465">
        <v>-1.1346439999999999E-2</v>
      </c>
      <c r="O2465">
        <v>1.229543E-2</v>
      </c>
      <c r="P2465">
        <v>-0.98488209999999998</v>
      </c>
      <c r="Q2465">
        <v>0.16151650000000001</v>
      </c>
      <c r="R2465">
        <v>6.2609310000000001E-2</v>
      </c>
      <c r="S2465">
        <v>-3.0560909999999999</v>
      </c>
      <c r="T2465">
        <v>3.2570719999999997E-2</v>
      </c>
      <c r="U2465">
        <v>-0.24758910000000001</v>
      </c>
      <c r="V2465">
        <v>5.0582830000000002E-2</v>
      </c>
      <c r="W2465">
        <v>0.17266319999999999</v>
      </c>
      <c r="X2465">
        <v>0.98368129999999998</v>
      </c>
      <c r="Y2465">
        <v>-9.2997750000000004E-2</v>
      </c>
      <c r="Z2465">
        <v>2.363671E-4</v>
      </c>
      <c r="AA2465">
        <v>0.9956663</v>
      </c>
      <c r="AB2465">
        <v>43</v>
      </c>
      <c r="AC2465">
        <v>-177.24849999999901</v>
      </c>
      <c r="AD2465">
        <v>1.8912990000000001</v>
      </c>
      <c r="AE2465">
        <v>-14.380299999999901</v>
      </c>
      <c r="AF2465">
        <v>-16.556826520473901</v>
      </c>
      <c r="AG2465">
        <v>1.8912990000000001</v>
      </c>
      <c r="AH2465">
        <v>177.038251419614</v>
      </c>
      <c r="AI2465">
        <v>89.390591681515403</v>
      </c>
      <c r="AJ2465">
        <v>95.3428286807261</v>
      </c>
      <c r="AK2465">
        <v>177.82083112518299</v>
      </c>
      <c r="AL2465">
        <v>80.057301141080899</v>
      </c>
      <c r="AM2465">
        <v>87.0563309037056</v>
      </c>
      <c r="AN2465">
        <v>1.0000000516473599</v>
      </c>
    </row>
    <row r="2466" spans="1:40" x14ac:dyDescent="0.25">
      <c r="A2466" t="str">
        <f>"20190303170306249"</f>
        <v>20190303170306249</v>
      </c>
      <c r="B2466" t="str">
        <f>"1551603786237653"</f>
        <v>1551603786237653</v>
      </c>
      <c r="C2466" t="s">
        <v>40</v>
      </c>
      <c r="D2466">
        <v>4.0564369999999998</v>
      </c>
      <c r="E2466">
        <v>0.44878010000000002</v>
      </c>
      <c r="F2466" t="s">
        <v>66</v>
      </c>
      <c r="G2466">
        <v>-512.82619999999997</v>
      </c>
      <c r="H2466">
        <v>3.0481039999999999</v>
      </c>
      <c r="I2466">
        <v>270.13709999999998</v>
      </c>
      <c r="J2466">
        <v>-335.82459999999998</v>
      </c>
      <c r="K2466">
        <v>1.1206969999999901</v>
      </c>
      <c r="L2466">
        <v>284.44589999999999</v>
      </c>
      <c r="M2466">
        <v>-0.99985829999999998</v>
      </c>
      <c r="N2466">
        <v>-1.1404600000000001E-2</v>
      </c>
      <c r="O2466">
        <v>1.2388059999999999E-2</v>
      </c>
      <c r="P2466">
        <v>-0.98477230000000004</v>
      </c>
      <c r="Q2466">
        <v>0.1619226</v>
      </c>
      <c r="R2466">
        <v>6.3285019999999997E-2</v>
      </c>
      <c r="S2466">
        <v>-3.056305</v>
      </c>
      <c r="T2466">
        <v>3.323591E-2</v>
      </c>
      <c r="U2466">
        <v>-0.24667359999999999</v>
      </c>
      <c r="V2466">
        <v>5.1167940000000002E-2</v>
      </c>
      <c r="W2466">
        <v>0.17312529999999901</v>
      </c>
      <c r="X2466">
        <v>0.98356969999999999</v>
      </c>
      <c r="Y2466">
        <v>-9.2787919999999996E-2</v>
      </c>
      <c r="Z2466">
        <v>2.492382E-4</v>
      </c>
      <c r="AA2466">
        <v>0.99568590000000001</v>
      </c>
      <c r="AB2466">
        <v>43</v>
      </c>
      <c r="AC2466">
        <v>-177.0016</v>
      </c>
      <c r="AD2466">
        <v>1.9274069999999901</v>
      </c>
      <c r="AE2466">
        <v>-14.3088</v>
      </c>
      <c r="AF2466">
        <v>-16.498607142957098</v>
      </c>
      <c r="AG2466">
        <v>1.9274069999999901</v>
      </c>
      <c r="AH2466">
        <v>176.789919507728</v>
      </c>
      <c r="AI2466">
        <v>89.378074287262606</v>
      </c>
      <c r="AJ2466">
        <v>95.331585266330606</v>
      </c>
      <c r="AK2466">
        <v>177.568563025526</v>
      </c>
      <c r="AL2466">
        <v>80.030418829574501</v>
      </c>
      <c r="AM2466">
        <v>87.022004090758003</v>
      </c>
      <c r="AN2466">
        <v>0.99999994117100999</v>
      </c>
    </row>
    <row r="2467" spans="1:40" x14ac:dyDescent="0.25">
      <c r="A2467" t="str">
        <f>"20190303170306264"</f>
        <v>20190303170306264</v>
      </c>
      <c r="B2467" t="str">
        <f>"1551603786258149"</f>
        <v>1551603786258149</v>
      </c>
      <c r="C2467" t="s">
        <v>40</v>
      </c>
      <c r="D2467">
        <v>4.0810000000000004</v>
      </c>
      <c r="E2467">
        <v>0.44854830000000001</v>
      </c>
      <c r="F2467" t="s">
        <v>66</v>
      </c>
      <c r="G2467">
        <v>-512.82619999999997</v>
      </c>
      <c r="H2467">
        <v>3.0940699999999999</v>
      </c>
      <c r="I2467">
        <v>270.24610000000001</v>
      </c>
      <c r="J2467">
        <v>-336.09949999999998</v>
      </c>
      <c r="K2467">
        <v>1.1207149999999999</v>
      </c>
      <c r="L2467">
        <v>284.44940000000003</v>
      </c>
      <c r="M2467">
        <v>-0.99985610000000003</v>
      </c>
      <c r="N2467">
        <v>-1.1482249999999999E-2</v>
      </c>
      <c r="O2467">
        <v>1.248647E-2</v>
      </c>
      <c r="P2467">
        <v>-0.98461779999999999</v>
      </c>
      <c r="Q2467">
        <v>0.16266050000000001</v>
      </c>
      <c r="R2467">
        <v>6.3792669999999996E-2</v>
      </c>
      <c r="S2467">
        <v>-3.056549</v>
      </c>
      <c r="T2467">
        <v>3.4078480000000001E-2</v>
      </c>
      <c r="U2467">
        <v>-0.2452087</v>
      </c>
      <c r="V2467">
        <v>5.1579640000000003E-2</v>
      </c>
      <c r="W2467">
        <v>0.1739377</v>
      </c>
      <c r="X2467">
        <v>0.98340490000000003</v>
      </c>
      <c r="Y2467">
        <v>-9.2405210000000002E-2</v>
      </c>
      <c r="Z2467">
        <v>2.65035E-4</v>
      </c>
      <c r="AA2467">
        <v>0.99572150000000004</v>
      </c>
      <c r="AB2467">
        <v>43</v>
      </c>
      <c r="AC2467">
        <v>-176.72669999999999</v>
      </c>
      <c r="AD2467">
        <v>1.973355</v>
      </c>
      <c r="AE2467">
        <v>-14.2033</v>
      </c>
      <c r="AF2467">
        <v>-16.406998186379401</v>
      </c>
      <c r="AG2467">
        <v>1.973355</v>
      </c>
      <c r="AH2467">
        <v>176.51369301384099</v>
      </c>
      <c r="AI2467">
        <v>89.362230900831605</v>
      </c>
      <c r="AJ2467">
        <v>95.3104006276658</v>
      </c>
      <c r="AK2467">
        <v>177.28555367211499</v>
      </c>
      <c r="AL2467">
        <v>79.983155151700601</v>
      </c>
      <c r="AM2467">
        <v>86.9975844832327</v>
      </c>
      <c r="AN2467">
        <v>0.99999999004391404</v>
      </c>
    </row>
    <row r="2468" spans="1:40" x14ac:dyDescent="0.25">
      <c r="A2468" t="str">
        <f>"20190303170306287"</f>
        <v>20190303170306287</v>
      </c>
      <c r="B2468" t="str">
        <f>"1551603786277668"</f>
        <v>1551603786277668</v>
      </c>
      <c r="C2468" t="s">
        <v>40</v>
      </c>
      <c r="D2468">
        <v>4.1244360000000002</v>
      </c>
      <c r="E2468">
        <v>0.44859729999999998</v>
      </c>
      <c r="F2468" t="s">
        <v>66</v>
      </c>
      <c r="G2468">
        <v>-512.82619999999997</v>
      </c>
      <c r="H2468">
        <v>3.2299060000000002</v>
      </c>
      <c r="I2468">
        <v>270.24090000000001</v>
      </c>
      <c r="J2468">
        <v>-336.5292</v>
      </c>
      <c r="K2468">
        <v>1.120752</v>
      </c>
      <c r="L2468">
        <v>284.45490000000001</v>
      </c>
      <c r="M2468">
        <v>-0.99985270000000004</v>
      </c>
      <c r="N2468">
        <v>-1.163228E-2</v>
      </c>
      <c r="O2468">
        <v>1.262137E-2</v>
      </c>
      <c r="P2468">
        <v>-0.98474600000000001</v>
      </c>
      <c r="Q2468">
        <v>0.1617574</v>
      </c>
      <c r="R2468">
        <v>6.4106679999999999E-2</v>
      </c>
      <c r="S2468">
        <v>-3.0567630000000001</v>
      </c>
      <c r="T2468">
        <v>3.6483050000000003E-2</v>
      </c>
      <c r="U2468">
        <v>-0.24575810000000001</v>
      </c>
      <c r="V2468">
        <v>5.175565E-2</v>
      </c>
      <c r="W2468">
        <v>0.17318499999999901</v>
      </c>
      <c r="X2468">
        <v>0.98352850000000003</v>
      </c>
      <c r="Y2468">
        <v>-9.2711189999999999E-2</v>
      </c>
      <c r="Z2468">
        <v>3.0920809999999998E-4</v>
      </c>
      <c r="AA2468">
        <v>0.99569300000000005</v>
      </c>
      <c r="AB2468">
        <v>43</v>
      </c>
      <c r="AC2468">
        <v>-176.296999999999</v>
      </c>
      <c r="AD2468">
        <v>2.1091540000000002</v>
      </c>
      <c r="AE2468">
        <v>-14.214</v>
      </c>
      <c r="AF2468">
        <v>-16.435790611379499</v>
      </c>
      <c r="AG2468">
        <v>2.1091540000000002</v>
      </c>
      <c r="AH2468">
        <v>176.07850416285399</v>
      </c>
      <c r="AI2468">
        <v>89.3166862183527</v>
      </c>
      <c r="AJ2468">
        <v>95.332738537814393</v>
      </c>
      <c r="AK2468">
        <v>176.85650503118401</v>
      </c>
      <c r="AL2468">
        <v>80.026946411830494</v>
      </c>
      <c r="AM2468">
        <v>86.987735804361193</v>
      </c>
      <c r="AN2468">
        <v>1.00000000092208</v>
      </c>
    </row>
    <row r="2469" spans="1:40" x14ac:dyDescent="0.25">
      <c r="A2469" t="str">
        <f>"20190303170306307"</f>
        <v>20190303170306307</v>
      </c>
      <c r="B2469" t="str">
        <f>"1551603786298164"</f>
        <v>1551603786298164</v>
      </c>
      <c r="C2469" t="s">
        <v>40</v>
      </c>
      <c r="D2469">
        <v>4.058821</v>
      </c>
      <c r="E2469">
        <v>0.4737229</v>
      </c>
      <c r="F2469" t="s">
        <v>66</v>
      </c>
      <c r="G2469">
        <v>-512.82619999999997</v>
      </c>
      <c r="H2469">
        <v>3.0308639999999998</v>
      </c>
      <c r="I2469">
        <v>270.35230000000001</v>
      </c>
      <c r="J2469">
        <v>-336.9239</v>
      </c>
      <c r="K2469">
        <v>1.120789</v>
      </c>
      <c r="L2469">
        <v>284.45999999999998</v>
      </c>
      <c r="M2469">
        <v>-0.9998494</v>
      </c>
      <c r="N2469">
        <v>-1.1802190000000001E-2</v>
      </c>
      <c r="O2469">
        <v>1.2719889999999999E-2</v>
      </c>
      <c r="P2469">
        <v>-0.98491969999999995</v>
      </c>
      <c r="Q2469">
        <v>0.16055949999999999</v>
      </c>
      <c r="R2469">
        <v>6.4451820000000007E-2</v>
      </c>
      <c r="S2469">
        <v>-3.0569760000000001</v>
      </c>
      <c r="T2469">
        <v>3.3122539999999999E-2</v>
      </c>
      <c r="U2469">
        <v>-0.24453739999999999</v>
      </c>
      <c r="V2469">
        <v>5.1995800000000002E-2</v>
      </c>
      <c r="W2469">
        <v>0.1721578</v>
      </c>
      <c r="X2469">
        <v>0.98369620000000002</v>
      </c>
      <c r="Y2469">
        <v>-9.2409599999999995E-2</v>
      </c>
      <c r="Z2469">
        <v>2.410894E-4</v>
      </c>
      <c r="AA2469">
        <v>0.99572099999999997</v>
      </c>
      <c r="AB2469">
        <v>43</v>
      </c>
      <c r="AC2469">
        <v>-175.902299999999</v>
      </c>
      <c r="AD2469">
        <v>1.910075</v>
      </c>
      <c r="AE2469">
        <v>-14.1076999999999</v>
      </c>
      <c r="AF2469">
        <v>-16.342257734405599</v>
      </c>
      <c r="AG2469">
        <v>1.910075</v>
      </c>
      <c r="AH2469">
        <v>175.688023114347</v>
      </c>
      <c r="AI2469">
        <v>89.379783727871498</v>
      </c>
      <c r="AJ2469">
        <v>95.314282424491907</v>
      </c>
      <c r="AK2469">
        <v>176.45679142552299</v>
      </c>
      <c r="AL2469">
        <v>80.086698558498995</v>
      </c>
      <c r="AM2469">
        <v>86.974299547293001</v>
      </c>
      <c r="AN2469">
        <v>1.0000000426064499</v>
      </c>
    </row>
    <row r="2470" spans="1:40" x14ac:dyDescent="0.25">
      <c r="A2470" t="str">
        <f>"20190303170306320"</f>
        <v>20190303170306320</v>
      </c>
      <c r="B2470" t="str">
        <f>"1551603786307926"</f>
        <v>1551603786307926</v>
      </c>
      <c r="C2470" t="s">
        <v>40</v>
      </c>
      <c r="D2470">
        <v>4.0419799999999997</v>
      </c>
      <c r="E2470">
        <v>0.47696860000000002</v>
      </c>
      <c r="F2470" t="s">
        <v>48</v>
      </c>
      <c r="G2470">
        <v>0</v>
      </c>
      <c r="H2470">
        <v>0</v>
      </c>
      <c r="I2470">
        <v>0</v>
      </c>
      <c r="J2470">
        <v>-337.1651</v>
      </c>
      <c r="K2470">
        <v>1.1208209999999901</v>
      </c>
      <c r="L2470">
        <v>284.4631</v>
      </c>
      <c r="M2470">
        <v>-0.9998475</v>
      </c>
      <c r="N2470">
        <v>-1.192207E-2</v>
      </c>
      <c r="O2470">
        <v>1.2770480000000001E-2</v>
      </c>
      <c r="P2470">
        <v>-0.98496689999999998</v>
      </c>
      <c r="Q2470">
        <v>0.16027369999999999</v>
      </c>
      <c r="R2470">
        <v>6.4444169999999995E-2</v>
      </c>
      <c r="S2470">
        <v>-3.0494080000000001</v>
      </c>
      <c r="T2470">
        <v>-3.2963749999999998E-3</v>
      </c>
      <c r="U2470">
        <v>-4.4799800000000001E-2</v>
      </c>
      <c r="V2470">
        <v>5.1933E-2</v>
      </c>
      <c r="W2470">
        <v>0.17199200000000001</v>
      </c>
      <c r="X2470">
        <v>0.98372850000000001</v>
      </c>
      <c r="Y2470">
        <v>-2.745759E-2</v>
      </c>
      <c r="Z2470" s="1">
        <v>-4.0087109999999998E-5</v>
      </c>
      <c r="AA2470">
        <v>0.99962289999999998</v>
      </c>
      <c r="AB2470">
        <v>43</v>
      </c>
      <c r="AC2470">
        <v>-3.0494080000000001</v>
      </c>
      <c r="AD2470">
        <v>-3.2963749999999998E-3</v>
      </c>
      <c r="AE2470">
        <v>-4.4799800000000001E-2</v>
      </c>
      <c r="AF2470">
        <v>-8.3741215377383299E-2</v>
      </c>
      <c r="AG2470">
        <v>-3.2963749999999998E-3</v>
      </c>
      <c r="AH2470">
        <v>3.04858358082125</v>
      </c>
      <c r="AI2470">
        <v>90.061929444472696</v>
      </c>
      <c r="AJ2470">
        <v>91.573455956061494</v>
      </c>
      <c r="AK2470">
        <v>3.0497352846589698</v>
      </c>
      <c r="AL2470">
        <v>80.096341846992303</v>
      </c>
      <c r="AM2470">
        <v>86.978046222520007</v>
      </c>
      <c r="AN2470">
        <v>1.00000002313262</v>
      </c>
    </row>
    <row r="2471" spans="1:40" x14ac:dyDescent="0.25">
      <c r="A2471" t="str">
        <f>"20190303170306343"</f>
        <v>20190303170306343</v>
      </c>
      <c r="B2471" t="str">
        <f>"1551603786338181"</f>
        <v>1551603786338181</v>
      </c>
      <c r="C2471" t="s">
        <v>40</v>
      </c>
      <c r="D2471">
        <v>4.1070310000000001</v>
      </c>
      <c r="E2471">
        <v>0.48018319999999998</v>
      </c>
      <c r="F2471" t="s">
        <v>48</v>
      </c>
      <c r="G2471">
        <v>0</v>
      </c>
      <c r="H2471">
        <v>0</v>
      </c>
      <c r="I2471">
        <v>0</v>
      </c>
      <c r="J2471">
        <v>-337.58449999999999</v>
      </c>
      <c r="K2471">
        <v>1.120895</v>
      </c>
      <c r="L2471">
        <v>284.46850000000001</v>
      </c>
      <c r="M2471">
        <v>-0.99984360000000005</v>
      </c>
      <c r="N2471">
        <v>-1.2167610000000001E-2</v>
      </c>
      <c r="O2471">
        <v>1.284369E-2</v>
      </c>
      <c r="P2471">
        <v>-0.98490259999999996</v>
      </c>
      <c r="Q2471">
        <v>0.16052359999999999</v>
      </c>
      <c r="R2471">
        <v>6.4803559999999996E-2</v>
      </c>
      <c r="S2471">
        <v>-3.0472109999999999</v>
      </c>
      <c r="T2471">
        <v>-1.062512E-3</v>
      </c>
      <c r="U2471">
        <v>-1.8646240000000001E-2</v>
      </c>
      <c r="V2471">
        <v>5.2209899999999997E-2</v>
      </c>
      <c r="W2471">
        <v>0.17248559999999999</v>
      </c>
      <c r="X2471">
        <v>0.98362740000000004</v>
      </c>
      <c r="Y2471">
        <v>-1.896196E-2</v>
      </c>
      <c r="Z2471" s="1">
        <v>3.3132710000000003E-5</v>
      </c>
      <c r="AA2471">
        <v>0.99982020000000005</v>
      </c>
      <c r="AB2471">
        <v>42</v>
      </c>
      <c r="AC2471">
        <v>-3.0472109999999999</v>
      </c>
      <c r="AD2471">
        <v>-1.062512E-3</v>
      </c>
      <c r="AE2471">
        <v>-1.8646240000000001E-2</v>
      </c>
      <c r="AF2471">
        <v>-5.7785021061004201E-2</v>
      </c>
      <c r="AG2471">
        <v>-1.062512E-3</v>
      </c>
      <c r="AH2471">
        <v>3.0467197433083699</v>
      </c>
      <c r="AI2471">
        <v>90.019977716840998</v>
      </c>
      <c r="AJ2471">
        <v>91.086559053028694</v>
      </c>
      <c r="AK2471">
        <v>3.0472678634894801</v>
      </c>
      <c r="AL2471">
        <v>80.067631439804799</v>
      </c>
      <c r="AM2471">
        <v>86.961651989101398</v>
      </c>
      <c r="AN2471">
        <v>1.0000000089480601</v>
      </c>
    </row>
    <row r="2472" spans="1:40" x14ac:dyDescent="0.25">
      <c r="A2472" t="str">
        <f>"20190303170306353"</f>
        <v>20190303170306353</v>
      </c>
      <c r="B2472" t="str">
        <f>"1551603786347941"</f>
        <v>1551603786347941</v>
      </c>
      <c r="C2472" t="s">
        <v>40</v>
      </c>
      <c r="D2472">
        <v>4.0995119999999998</v>
      </c>
      <c r="E2472">
        <v>0.48058129999999999</v>
      </c>
      <c r="F2472" t="s">
        <v>48</v>
      </c>
      <c r="G2472">
        <v>0</v>
      </c>
      <c r="H2472">
        <v>0</v>
      </c>
      <c r="I2472">
        <v>0</v>
      </c>
      <c r="J2472">
        <v>-337.8075</v>
      </c>
      <c r="K2472">
        <v>1.120935</v>
      </c>
      <c r="L2472">
        <v>284.47140000000002</v>
      </c>
      <c r="M2472">
        <v>-0.99984130000000004</v>
      </c>
      <c r="N2472">
        <v>-1.231401E-2</v>
      </c>
      <c r="O2472">
        <v>1.2877929999999999E-2</v>
      </c>
      <c r="P2472">
        <v>-0.9848517</v>
      </c>
      <c r="Q2472">
        <v>0.16082249999999901</v>
      </c>
      <c r="R2472">
        <v>6.4835439999999994E-2</v>
      </c>
      <c r="S2472">
        <v>-3.0460820000000002</v>
      </c>
      <c r="T2472">
        <v>-3.8747790000000001E-3</v>
      </c>
      <c r="U2472">
        <v>7.7209469999999997E-3</v>
      </c>
      <c r="V2472">
        <v>5.2202230000000002E-2</v>
      </c>
      <c r="W2472">
        <v>0.1729299</v>
      </c>
      <c r="X2472">
        <v>0.98354980000000003</v>
      </c>
      <c r="Y2472">
        <v>-1.034349E-2</v>
      </c>
      <c r="Z2472" s="1">
        <v>7.1941769999999994E-5</v>
      </c>
      <c r="AA2472">
        <v>0.99994649999999996</v>
      </c>
      <c r="AB2472">
        <v>42</v>
      </c>
      <c r="AC2472">
        <v>-3.0460820000000002</v>
      </c>
      <c r="AD2472">
        <v>-3.8747790000000001E-3</v>
      </c>
      <c r="AE2472">
        <v>7.7209469999999997E-3</v>
      </c>
      <c r="AF2472">
        <v>-3.1509845594750001E-2</v>
      </c>
      <c r="AG2472">
        <v>-3.8747790000000001E-3</v>
      </c>
      <c r="AH2472">
        <v>3.04592387718824</v>
      </c>
      <c r="AI2472">
        <v>90.072883136291097</v>
      </c>
      <c r="AJ2472">
        <v>90.5926992401007</v>
      </c>
      <c r="AK2472">
        <v>3.04608932073686</v>
      </c>
      <c r="AL2472">
        <v>80.041786628828802</v>
      </c>
      <c r="AM2472">
        <v>86.961858272492805</v>
      </c>
      <c r="AN2472">
        <v>1.00000001610551</v>
      </c>
    </row>
    <row r="2473" spans="1:40" x14ac:dyDescent="0.25">
      <c r="A2473" t="str">
        <f>"20190303170306364"</f>
        <v>20190303170306364</v>
      </c>
      <c r="B2473" t="str">
        <f>"1551603786357701"</f>
        <v>1551603786357701</v>
      </c>
      <c r="C2473" t="s">
        <v>40</v>
      </c>
      <c r="D2473">
        <v>4.2119200000000001</v>
      </c>
      <c r="E2473">
        <v>0.4810412</v>
      </c>
      <c r="F2473" t="s">
        <v>48</v>
      </c>
      <c r="G2473">
        <v>0</v>
      </c>
      <c r="H2473">
        <v>0</v>
      </c>
      <c r="I2473">
        <v>0</v>
      </c>
      <c r="J2473">
        <v>-338.00529999999998</v>
      </c>
      <c r="K2473">
        <v>1.120976</v>
      </c>
      <c r="L2473">
        <v>284.47399999999999</v>
      </c>
      <c r="M2473">
        <v>-0.99983929999999999</v>
      </c>
      <c r="N2473">
        <v>-1.2455020000000001E-2</v>
      </c>
      <c r="O2473">
        <v>1.290232E-2</v>
      </c>
      <c r="P2473">
        <v>-0.98489119999999997</v>
      </c>
      <c r="Q2473">
        <v>0.16069530000000001</v>
      </c>
      <c r="R2473">
        <v>6.4549229999999999E-2</v>
      </c>
      <c r="S2473">
        <v>-3.0460509999999998</v>
      </c>
      <c r="T2473">
        <v>-3.6675929999999998E-3</v>
      </c>
      <c r="U2473">
        <v>1.0589599999999999E-2</v>
      </c>
      <c r="V2473">
        <v>5.188595E-2</v>
      </c>
      <c r="W2473">
        <v>0.1729435</v>
      </c>
      <c r="X2473">
        <v>0.98356410000000005</v>
      </c>
      <c r="Y2473">
        <v>-9.4261569999999992E-3</v>
      </c>
      <c r="Z2473" s="1">
        <v>8.0795709999999997E-5</v>
      </c>
      <c r="AA2473">
        <v>0.99995560000000006</v>
      </c>
      <c r="AB2473">
        <v>42</v>
      </c>
      <c r="AC2473">
        <v>-3.0460509999999998</v>
      </c>
      <c r="AD2473">
        <v>-3.6675929999999998E-3</v>
      </c>
      <c r="AE2473">
        <v>1.0589599999999999E-2</v>
      </c>
      <c r="AF2473">
        <v>-2.8715409017606101E-2</v>
      </c>
      <c r="AG2473">
        <v>-3.6675929999999998E-3</v>
      </c>
      <c r="AH2473">
        <v>3.0459296375812399</v>
      </c>
      <c r="AI2473">
        <v>90.068986544580795</v>
      </c>
      <c r="AJ2473">
        <v>90.540138217123598</v>
      </c>
      <c r="AK2473">
        <v>3.0460671993653099</v>
      </c>
      <c r="AL2473">
        <v>80.040995046387195</v>
      </c>
      <c r="AM2473">
        <v>86.980275248939293</v>
      </c>
      <c r="AN2473">
        <v>0.999999972404231</v>
      </c>
    </row>
    <row r="2474" spans="1:40" x14ac:dyDescent="0.25">
      <c r="A2474" t="str">
        <f>"20190303170306376"</f>
        <v>20190303170306376</v>
      </c>
      <c r="B2474" t="str">
        <f>"1551603786368438"</f>
        <v>1551603786368438</v>
      </c>
      <c r="C2474" t="s">
        <v>40</v>
      </c>
      <c r="D2474">
        <v>4.0579140000000002</v>
      </c>
      <c r="E2474">
        <v>0.48127989999999998</v>
      </c>
      <c r="F2474" t="s">
        <v>48</v>
      </c>
      <c r="G2474">
        <v>0</v>
      </c>
      <c r="H2474">
        <v>0</v>
      </c>
      <c r="I2474">
        <v>0</v>
      </c>
      <c r="J2474">
        <v>-338.2285</v>
      </c>
      <c r="K2474">
        <v>1.1210180000000001</v>
      </c>
      <c r="L2474">
        <v>284.4769</v>
      </c>
      <c r="M2474">
        <v>-0.99983690000000003</v>
      </c>
      <c r="N2474">
        <v>-1.261499E-2</v>
      </c>
      <c r="O2474">
        <v>1.292859E-2</v>
      </c>
      <c r="P2474">
        <v>-0.98488710000000002</v>
      </c>
      <c r="Q2474">
        <v>0.160656299999999</v>
      </c>
      <c r="R2474">
        <v>6.4707520000000004E-2</v>
      </c>
      <c r="S2474">
        <v>-3.0462340000000001</v>
      </c>
      <c r="T2474">
        <v>-6.8603750000000002E-3</v>
      </c>
      <c r="U2474">
        <v>1.2908940000000001E-2</v>
      </c>
      <c r="V2474">
        <v>5.2012419999999997E-2</v>
      </c>
      <c r="W2474">
        <v>0.17306379999999999</v>
      </c>
      <c r="X2474">
        <v>0.98353630000000003</v>
      </c>
      <c r="Y2474">
        <v>-8.6913879999999995E-3</v>
      </c>
      <c r="Z2474" s="1">
        <v>6.9379440000000005E-5</v>
      </c>
      <c r="AA2474">
        <v>0.99996220000000002</v>
      </c>
      <c r="AB2474">
        <v>42</v>
      </c>
      <c r="AC2474">
        <v>-3.0462340000000001</v>
      </c>
      <c r="AD2474">
        <v>-6.8603750000000002E-3</v>
      </c>
      <c r="AE2474">
        <v>1.2908940000000001E-2</v>
      </c>
      <c r="AF2474">
        <v>-2.6478647061266201E-2</v>
      </c>
      <c r="AG2474">
        <v>-6.8603750000000002E-3</v>
      </c>
      <c r="AH2474">
        <v>3.0461308205596702</v>
      </c>
      <c r="AI2474">
        <v>90.129034188804596</v>
      </c>
      <c r="AJ2474">
        <v>90.498033933419507</v>
      </c>
      <c r="AK2474">
        <v>3.0462536269094298</v>
      </c>
      <c r="AL2474">
        <v>80.033997238483295</v>
      </c>
      <c r="AM2474">
        <v>86.972843056728905</v>
      </c>
      <c r="AN2474">
        <v>1.00000001206119</v>
      </c>
    </row>
    <row r="2475" spans="1:40" x14ac:dyDescent="0.25">
      <c r="A2475" t="str">
        <f>"20190303170306388"</f>
        <v>20190303170306388</v>
      </c>
      <c r="B2475" t="str">
        <f>"1551603786378197"</f>
        <v>1551603786378197</v>
      </c>
      <c r="C2475" t="s">
        <v>40</v>
      </c>
      <c r="D2475">
        <v>4.1204739999999997</v>
      </c>
      <c r="E2475">
        <v>0.48146689999999998</v>
      </c>
      <c r="F2475" t="s">
        <v>48</v>
      </c>
      <c r="G2475">
        <v>0</v>
      </c>
      <c r="H2475">
        <v>0</v>
      </c>
      <c r="I2475">
        <v>0</v>
      </c>
      <c r="J2475">
        <v>-338.45979999999997</v>
      </c>
      <c r="K2475">
        <v>1.121059</v>
      </c>
      <c r="L2475">
        <v>284.47989999999999</v>
      </c>
      <c r="M2475">
        <v>-0.99983460000000002</v>
      </c>
      <c r="N2475">
        <v>-1.2780720000000001E-2</v>
      </c>
      <c r="O2475">
        <v>1.294876E-2</v>
      </c>
      <c r="P2475">
        <v>-0.98499539999999997</v>
      </c>
      <c r="Q2475">
        <v>0.1599621</v>
      </c>
      <c r="R2475">
        <v>6.4780340000000006E-2</v>
      </c>
      <c r="S2475">
        <v>-3.046265</v>
      </c>
      <c r="T2475">
        <v>-7.6037650000000002E-3</v>
      </c>
      <c r="U2475">
        <v>1.538086E-2</v>
      </c>
      <c r="V2475">
        <v>5.2058569999999998E-2</v>
      </c>
      <c r="W2475">
        <v>0.17253589999999999</v>
      </c>
      <c r="X2475">
        <v>0.98362660000000002</v>
      </c>
      <c r="Y2475">
        <v>-7.9002139999999992E-3</v>
      </c>
      <c r="Z2475" s="1">
        <v>7.2838100000000003E-5</v>
      </c>
      <c r="AA2475">
        <v>0.99996879999999999</v>
      </c>
      <c r="AB2475">
        <v>42</v>
      </c>
      <c r="AC2475">
        <v>-3.046265</v>
      </c>
      <c r="AD2475">
        <v>-7.6037650000000002E-3</v>
      </c>
      <c r="AE2475">
        <v>1.538086E-2</v>
      </c>
      <c r="AF2475">
        <v>-2.4068851353060899E-2</v>
      </c>
      <c r="AG2475">
        <v>-7.6037650000000002E-3</v>
      </c>
      <c r="AH2475">
        <v>3.0461897639625399</v>
      </c>
      <c r="AI2475">
        <v>90.143014445322606</v>
      </c>
      <c r="AJ2475">
        <v>90.452701574773698</v>
      </c>
      <c r="AK2475">
        <v>3.0462943398361602</v>
      </c>
      <c r="AL2475">
        <v>80.064705606002093</v>
      </c>
      <c r="AM2475">
        <v>86.970439729166898</v>
      </c>
      <c r="AN2475">
        <v>1.0000000098634001</v>
      </c>
    </row>
    <row r="2476" spans="1:40" x14ac:dyDescent="0.25">
      <c r="A2476" t="str">
        <f>"20190303170306400"</f>
        <v>20190303170306400</v>
      </c>
      <c r="B2476" t="str">
        <f>"1551603786387958"</f>
        <v>1551603786387958</v>
      </c>
      <c r="C2476" t="s">
        <v>40</v>
      </c>
      <c r="D2476">
        <v>4.0620979999999998</v>
      </c>
      <c r="E2476">
        <v>0.48161880000000001</v>
      </c>
      <c r="F2476" t="s">
        <v>48</v>
      </c>
      <c r="G2476">
        <v>0</v>
      </c>
      <c r="H2476">
        <v>0</v>
      </c>
      <c r="I2476">
        <v>0</v>
      </c>
      <c r="J2476">
        <v>-338.68119999999999</v>
      </c>
      <c r="K2476">
        <v>1.121092</v>
      </c>
      <c r="L2476">
        <v>284.4828</v>
      </c>
      <c r="M2476">
        <v>-0.99983219999999995</v>
      </c>
      <c r="N2476">
        <v>-1.29351E-2</v>
      </c>
      <c r="O2476">
        <v>1.2964720000000001E-2</v>
      </c>
      <c r="P2476">
        <v>-0.985043</v>
      </c>
      <c r="Q2476">
        <v>0.15982270000000001</v>
      </c>
      <c r="R2476">
        <v>6.4397250000000003E-2</v>
      </c>
      <c r="S2476">
        <v>-3.0464169999999999</v>
      </c>
      <c r="T2476">
        <v>-1.1401649999999999E-2</v>
      </c>
      <c r="U2476">
        <v>1.724243E-2</v>
      </c>
      <c r="V2476">
        <v>5.1654949999999998E-2</v>
      </c>
      <c r="W2476">
        <v>0.17255039999999999</v>
      </c>
      <c r="X2476">
        <v>0.98364529999999994</v>
      </c>
      <c r="Y2476">
        <v>-7.3054849999999996E-3</v>
      </c>
      <c r="Z2476" s="1">
        <v>5.8269410000000002E-5</v>
      </c>
      <c r="AA2476">
        <v>0.99997329999999995</v>
      </c>
      <c r="AB2476">
        <v>42</v>
      </c>
      <c r="AC2476">
        <v>-3.0464169999999999</v>
      </c>
      <c r="AD2476">
        <v>-1.1401649999999999E-2</v>
      </c>
      <c r="AE2476">
        <v>1.724243E-2</v>
      </c>
      <c r="AF2476">
        <v>-2.2257958995765499E-2</v>
      </c>
      <c r="AG2476">
        <v>-1.1401649999999999E-2</v>
      </c>
      <c r="AH2476">
        <v>3.0463418115437499</v>
      </c>
      <c r="AI2476">
        <v>90.2144361921453</v>
      </c>
      <c r="AJ2476">
        <v>90.418621578674305</v>
      </c>
      <c r="AK2476">
        <v>3.0464444598779501</v>
      </c>
      <c r="AL2476">
        <v>80.063861820427505</v>
      </c>
      <c r="AM2476">
        <v>86.993942280872403</v>
      </c>
      <c r="AN2476">
        <v>0.99999997530587603</v>
      </c>
    </row>
    <row r="2477" spans="1:40" x14ac:dyDescent="0.25">
      <c r="A2477" t="str">
        <f>"20190303170306412"</f>
        <v>20190303170306412</v>
      </c>
      <c r="B2477" t="str">
        <f>"1551603786397718"</f>
        <v>1551603786397718</v>
      </c>
      <c r="C2477" t="s">
        <v>40</v>
      </c>
      <c r="D2477">
        <v>4.0651419999999998</v>
      </c>
      <c r="E2477">
        <v>0.48173830000000001</v>
      </c>
      <c r="F2477" t="s">
        <v>48</v>
      </c>
      <c r="G2477">
        <v>0</v>
      </c>
      <c r="H2477">
        <v>0</v>
      </c>
      <c r="I2477">
        <v>0</v>
      </c>
      <c r="J2477">
        <v>-338.89949999999999</v>
      </c>
      <c r="K2477">
        <v>1.1211180000000001</v>
      </c>
      <c r="L2477">
        <v>284.48559999999998</v>
      </c>
      <c r="M2477">
        <v>-0.9998302</v>
      </c>
      <c r="N2477">
        <v>-1.308249E-2</v>
      </c>
      <c r="O2477">
        <v>1.2975860000000001E-2</v>
      </c>
      <c r="P2477">
        <v>-0.98512630000000001</v>
      </c>
      <c r="Q2477">
        <v>0.1594991</v>
      </c>
      <c r="R2477">
        <v>6.3922060000000003E-2</v>
      </c>
      <c r="S2477">
        <v>-3.0465089999999999</v>
      </c>
      <c r="T2477">
        <v>-1.285124E-2</v>
      </c>
      <c r="U2477">
        <v>1.7456050000000001E-2</v>
      </c>
      <c r="V2477">
        <v>5.116412E-2</v>
      </c>
      <c r="W2477">
        <v>0.17237379999999999</v>
      </c>
      <c r="X2477">
        <v>0.98370190000000002</v>
      </c>
      <c r="Y2477">
        <v>-7.2467009999999899E-3</v>
      </c>
      <c r="Z2477" s="1">
        <v>5.2344749999999997E-5</v>
      </c>
      <c r="AA2477">
        <v>0.99997369999999997</v>
      </c>
      <c r="AB2477">
        <v>42</v>
      </c>
      <c r="AC2477">
        <v>-3.0465089999999999</v>
      </c>
      <c r="AD2477">
        <v>-1.285124E-2</v>
      </c>
      <c r="AE2477">
        <v>1.7456050000000001E-2</v>
      </c>
      <c r="AF2477">
        <v>-2.2079485529010401E-2</v>
      </c>
      <c r="AG2477">
        <v>-1.285124E-2</v>
      </c>
      <c r="AH2477">
        <v>3.0464247893487002</v>
      </c>
      <c r="AI2477">
        <v>90.241692527739602</v>
      </c>
      <c r="AJ2477">
        <v>90.415253706266199</v>
      </c>
      <c r="AK2477">
        <v>3.0465319061531302</v>
      </c>
      <c r="AL2477">
        <v>80.074134032128001</v>
      </c>
      <c r="AM2477">
        <v>87.022625480112396</v>
      </c>
      <c r="AN2477">
        <v>0.99999996108271105</v>
      </c>
    </row>
    <row r="2478" spans="1:40" x14ac:dyDescent="0.25">
      <c r="A2478" t="str">
        <f>"20190303170306431"</f>
        <v>20190303170306431</v>
      </c>
      <c r="B2478" t="str">
        <f>"1551603786418214"</f>
        <v>1551603786418214</v>
      </c>
      <c r="C2478" t="s">
        <v>40</v>
      </c>
      <c r="D2478">
        <v>4.1016690000000002</v>
      </c>
      <c r="E2478">
        <v>0.48210629999999999</v>
      </c>
      <c r="F2478" t="s">
        <v>48</v>
      </c>
      <c r="G2478">
        <v>0</v>
      </c>
      <c r="H2478">
        <v>0</v>
      </c>
      <c r="I2478">
        <v>0</v>
      </c>
      <c r="J2478">
        <v>-339.25450000000001</v>
      </c>
      <c r="K2478">
        <v>1.12114</v>
      </c>
      <c r="L2478">
        <v>284.49020000000002</v>
      </c>
      <c r="M2478">
        <v>-0.99982709999999997</v>
      </c>
      <c r="N2478">
        <v>-1.3306749999999999E-2</v>
      </c>
      <c r="O2478">
        <v>1.2985139999999999E-2</v>
      </c>
      <c r="P2478">
        <v>-0.98528009999999999</v>
      </c>
      <c r="Q2478">
        <v>0.15868950000000001</v>
      </c>
      <c r="R2478">
        <v>6.3568369999999999E-2</v>
      </c>
      <c r="S2478">
        <v>-3.0466609999999998</v>
      </c>
      <c r="T2478">
        <v>-1.517451E-2</v>
      </c>
      <c r="U2478">
        <v>1.7028809999999998E-2</v>
      </c>
      <c r="V2478">
        <v>5.0795460000000001E-2</v>
      </c>
      <c r="W2478">
        <v>0.1717881</v>
      </c>
      <c r="X2478">
        <v>0.98382349999999996</v>
      </c>
      <c r="Y2478">
        <v>-7.3965189999999998E-3</v>
      </c>
      <c r="Z2478" s="1">
        <v>4.049591E-5</v>
      </c>
      <c r="AA2478">
        <v>0.99997259999999999</v>
      </c>
      <c r="AB2478">
        <v>42</v>
      </c>
      <c r="AC2478">
        <v>-3.0466609999999998</v>
      </c>
      <c r="AD2478">
        <v>-1.517451E-2</v>
      </c>
      <c r="AE2478">
        <v>1.7028809999999998E-2</v>
      </c>
      <c r="AF2478">
        <v>-2.2536891248244199E-2</v>
      </c>
      <c r="AG2478">
        <v>-1.517451E-2</v>
      </c>
      <c r="AH2478">
        <v>3.0465496555041001</v>
      </c>
      <c r="AI2478">
        <v>90.285373455225994</v>
      </c>
      <c r="AJ2478">
        <v>90.423838553292697</v>
      </c>
      <c r="AK2478">
        <v>3.0466708028063998</v>
      </c>
      <c r="AL2478">
        <v>80.108200780520306</v>
      </c>
      <c r="AM2478">
        <v>87.044405295833997</v>
      </c>
      <c r="AN2478">
        <v>1.00000000460523</v>
      </c>
    </row>
    <row r="2479" spans="1:40" x14ac:dyDescent="0.25">
      <c r="A2479" t="str">
        <f>"20190303170306443"</f>
        <v>20190303170306443</v>
      </c>
      <c r="B2479" t="str">
        <f>"1551603786437734"</f>
        <v>1551603786437734</v>
      </c>
      <c r="C2479" t="s">
        <v>40</v>
      </c>
      <c r="D2479">
        <v>4.0589589999999998</v>
      </c>
      <c r="E2479">
        <v>0.48236590000000001</v>
      </c>
      <c r="F2479" t="s">
        <v>44</v>
      </c>
      <c r="G2479">
        <v>-526.44510000000002</v>
      </c>
      <c r="H2479">
        <v>-0.05</v>
      </c>
      <c r="I2479">
        <v>285.65269999999998</v>
      </c>
      <c r="J2479">
        <v>-339.49579999999997</v>
      </c>
      <c r="K2479">
        <v>1.121157</v>
      </c>
      <c r="L2479">
        <v>284.49329999999998</v>
      </c>
      <c r="M2479">
        <v>-0.99982530000000003</v>
      </c>
      <c r="N2479">
        <v>-1.344832E-2</v>
      </c>
      <c r="O2479">
        <v>1.298709E-2</v>
      </c>
      <c r="P2479">
        <v>-0.98532620000000004</v>
      </c>
      <c r="Q2479">
        <v>0.15839439999999999</v>
      </c>
      <c r="R2479">
        <v>6.3591850000000005E-2</v>
      </c>
      <c r="S2479">
        <v>-3.0466310000000001</v>
      </c>
      <c r="T2479">
        <v>-1.906097E-2</v>
      </c>
      <c r="U2479">
        <v>1.8920900000000001E-2</v>
      </c>
      <c r="V2479">
        <v>5.081434E-2</v>
      </c>
      <c r="W2479">
        <v>0.1716336</v>
      </c>
      <c r="X2479">
        <v>0.98384950000000004</v>
      </c>
      <c r="Y2479">
        <v>-6.7774699999999998E-3</v>
      </c>
      <c r="Z2479" s="1">
        <v>2.664214E-5</v>
      </c>
      <c r="AA2479">
        <v>0.99997709999999995</v>
      </c>
      <c r="AB2479">
        <v>42</v>
      </c>
      <c r="AC2479">
        <v>-186.94929999999999</v>
      </c>
      <c r="AD2479">
        <v>-1.171157</v>
      </c>
      <c r="AE2479">
        <v>1.1594</v>
      </c>
      <c r="AF2479">
        <v>-1.2687947884275601</v>
      </c>
      <c r="AG2479">
        <v>-1.171157</v>
      </c>
      <c r="AH2479">
        <v>186.94125302529801</v>
      </c>
      <c r="AI2479">
        <v>90.358935916356202</v>
      </c>
      <c r="AJ2479">
        <v>90.388867994837</v>
      </c>
      <c r="AK2479">
        <v>186.949227148983</v>
      </c>
      <c r="AL2479">
        <v>80.117186534902899</v>
      </c>
      <c r="AM2479">
        <v>87.043386686565697</v>
      </c>
      <c r="AN2479">
        <v>1.0000000142244201</v>
      </c>
    </row>
    <row r="2480" spans="1:40" x14ac:dyDescent="0.25">
      <c r="A2480" t="str">
        <f>"20190303170306456"</f>
        <v>20190303170306456</v>
      </c>
      <c r="B2480" t="str">
        <f>"1551603786448469"</f>
        <v>1551603786448469</v>
      </c>
      <c r="C2480" t="s">
        <v>40</v>
      </c>
      <c r="D2480">
        <v>4.1259059999999996</v>
      </c>
      <c r="E2480">
        <v>0.48245929999999998</v>
      </c>
      <c r="F2480" t="s">
        <v>57</v>
      </c>
      <c r="G2480">
        <v>-495.84570000000002</v>
      </c>
      <c r="H2480" s="1">
        <v>3.0115260000000002E-6</v>
      </c>
      <c r="I2480">
        <v>285.5754</v>
      </c>
      <c r="J2480">
        <v>-339.73099999999999</v>
      </c>
      <c r="K2480">
        <v>1.1211739999999999</v>
      </c>
      <c r="L2480">
        <v>284.49639999999999</v>
      </c>
      <c r="M2480">
        <v>-0.99982340000000003</v>
      </c>
      <c r="N2480">
        <v>-1.358111E-2</v>
      </c>
      <c r="O2480">
        <v>1.2987490000000001E-2</v>
      </c>
      <c r="P2480">
        <v>-0.98541270000000003</v>
      </c>
      <c r="Q2480">
        <v>0.15792039999999999</v>
      </c>
      <c r="R2480">
        <v>6.3427839999999999E-2</v>
      </c>
      <c r="S2480">
        <v>-3.0468440000000001</v>
      </c>
      <c r="T2480">
        <v>-2.1848320000000001E-2</v>
      </c>
      <c r="U2480">
        <v>2.1087649999999999E-2</v>
      </c>
      <c r="V2480">
        <v>5.0647129999999999E-2</v>
      </c>
      <c r="W2480">
        <v>0.171292</v>
      </c>
      <c r="X2480">
        <v>0.98391770000000001</v>
      </c>
      <c r="Y2480">
        <v>-6.0672690000000001E-3</v>
      </c>
      <c r="Z2480" s="1">
        <v>2.0315780000000002E-5</v>
      </c>
      <c r="AA2480">
        <v>0.99998160000000003</v>
      </c>
      <c r="AB2480">
        <v>42</v>
      </c>
      <c r="AC2480">
        <v>-156.1147</v>
      </c>
      <c r="AD2480">
        <v>-1.121170988474</v>
      </c>
      <c r="AE2480">
        <v>1.079</v>
      </c>
      <c r="AF2480">
        <v>-0.94876725371291404</v>
      </c>
      <c r="AG2480">
        <v>-1.121170988474</v>
      </c>
      <c r="AH2480">
        <v>156.107494322007</v>
      </c>
      <c r="AI2480">
        <v>90.411486170062602</v>
      </c>
      <c r="AJ2480">
        <v>90.348219605408602</v>
      </c>
      <c r="AK2480">
        <v>156.114403458433</v>
      </c>
      <c r="AL2480">
        <v>80.137053446327798</v>
      </c>
      <c r="AM2480">
        <v>87.053302464305602</v>
      </c>
      <c r="AN2480">
        <v>1.0000000607072601</v>
      </c>
    </row>
    <row r="2481" spans="1:40" x14ac:dyDescent="0.25">
      <c r="A2481" t="str">
        <f>"20190303170306468"</f>
        <v>20190303170306468</v>
      </c>
      <c r="B2481" t="str">
        <f>"1551603786458229"</f>
        <v>1551603786458229</v>
      </c>
      <c r="C2481" t="s">
        <v>40</v>
      </c>
      <c r="D2481">
        <v>4.1494790000000004</v>
      </c>
      <c r="E2481">
        <v>0.48254780000000003</v>
      </c>
      <c r="F2481" t="s">
        <v>57</v>
      </c>
      <c r="G2481">
        <v>-479.3186</v>
      </c>
      <c r="H2481" s="1">
        <v>2.5560199999999999E-6</v>
      </c>
      <c r="I2481">
        <v>285.46660000000003</v>
      </c>
      <c r="J2481">
        <v>-339.98289999999997</v>
      </c>
      <c r="K2481">
        <v>1.121194</v>
      </c>
      <c r="L2481">
        <v>284.49959999999999</v>
      </c>
      <c r="M2481">
        <v>-0.99982179999999998</v>
      </c>
      <c r="N2481">
        <v>-1.371124E-2</v>
      </c>
      <c r="O2481">
        <v>1.2985699999999999E-2</v>
      </c>
      <c r="P2481">
        <v>-0.98541429999999997</v>
      </c>
      <c r="Q2481">
        <v>0.15811900000000001</v>
      </c>
      <c r="R2481">
        <v>6.2909049999999994E-2</v>
      </c>
      <c r="S2481">
        <v>-3.0469360000000001</v>
      </c>
      <c r="T2481">
        <v>-2.447307E-2</v>
      </c>
      <c r="U2481">
        <v>2.1179199999999999E-2</v>
      </c>
      <c r="V2481">
        <v>5.0128590000000001E-2</v>
      </c>
      <c r="W2481">
        <v>0.17161899999999999</v>
      </c>
      <c r="X2481">
        <v>0.98388719999999996</v>
      </c>
      <c r="Y2481">
        <v>-6.0356450000000001E-3</v>
      </c>
      <c r="Z2481" s="1">
        <v>8.1480319999999998E-6</v>
      </c>
      <c r="AA2481">
        <v>0.99998180000000003</v>
      </c>
      <c r="AB2481">
        <v>42</v>
      </c>
      <c r="AC2481">
        <v>-139.3357</v>
      </c>
      <c r="AD2481">
        <v>-1.1211914439799999</v>
      </c>
      <c r="AE2481">
        <v>0.96700000000004105</v>
      </c>
      <c r="AF2481">
        <v>-0.842568466509514</v>
      </c>
      <c r="AG2481">
        <v>-1.1211914439799999</v>
      </c>
      <c r="AH2481">
        <v>139.327486755167</v>
      </c>
      <c r="AI2481">
        <v>90.461050278890994</v>
      </c>
      <c r="AJ2481">
        <v>90.346486036052099</v>
      </c>
      <c r="AK2481">
        <v>139.334545455842</v>
      </c>
      <c r="AL2481">
        <v>80.118035405693405</v>
      </c>
      <c r="AM2481">
        <v>87.083328993485296</v>
      </c>
      <c r="AN2481">
        <v>0.99999998951011404</v>
      </c>
    </row>
    <row r="2482" spans="1:40" x14ac:dyDescent="0.25">
      <c r="A2482" t="str">
        <f>"20190303170306488"</f>
        <v>20190303170306488</v>
      </c>
      <c r="B2482" t="str">
        <f>"1551603786477749"</f>
        <v>1551603786477749</v>
      </c>
      <c r="C2482" t="s">
        <v>40</v>
      </c>
      <c r="D2482">
        <v>4.1148819999999997</v>
      </c>
      <c r="E2482">
        <v>0.48273490000000002</v>
      </c>
      <c r="F2482" t="s">
        <v>57</v>
      </c>
      <c r="G2482">
        <v>-480.7912</v>
      </c>
      <c r="H2482" s="1">
        <v>2.4194920000000001E-6</v>
      </c>
      <c r="I2482">
        <v>285.45580000000001</v>
      </c>
      <c r="J2482">
        <v>-340.32380000000001</v>
      </c>
      <c r="K2482">
        <v>1.121219</v>
      </c>
      <c r="L2482">
        <v>284.50409999999999</v>
      </c>
      <c r="M2482">
        <v>-0.99981949999999997</v>
      </c>
      <c r="N2482">
        <v>-1.387528E-2</v>
      </c>
      <c r="O2482">
        <v>1.2983649999999999E-2</v>
      </c>
      <c r="P2482">
        <v>-0.98536069999999998</v>
      </c>
      <c r="Q2482">
        <v>0.1585241</v>
      </c>
      <c r="R2482">
        <v>6.2727350000000001E-2</v>
      </c>
      <c r="S2482">
        <v>-3.046967</v>
      </c>
      <c r="T2482">
        <v>-2.426159E-2</v>
      </c>
      <c r="U2482">
        <v>2.0690920000000002E-2</v>
      </c>
      <c r="V2482">
        <v>4.9947369999999998E-2</v>
      </c>
      <c r="W2482">
        <v>0.17218549999999999</v>
      </c>
      <c r="X2482">
        <v>0.98379740000000004</v>
      </c>
      <c r="Y2482">
        <v>-6.1938999999999996E-3</v>
      </c>
      <c r="Z2482" s="1">
        <v>9.1552169999999999E-6</v>
      </c>
      <c r="AA2482">
        <v>0.9999808</v>
      </c>
      <c r="AB2482">
        <v>42</v>
      </c>
      <c r="AC2482">
        <v>-140.4674</v>
      </c>
      <c r="AD2482">
        <v>-1.1212165805080001</v>
      </c>
      <c r="AE2482">
        <v>0.95170000000001598</v>
      </c>
      <c r="AF2482">
        <v>-0.87227968617990004</v>
      </c>
      <c r="AG2482">
        <v>-1.1212165805080001</v>
      </c>
      <c r="AH2482">
        <v>140.45896664439999</v>
      </c>
      <c r="AI2482">
        <v>90.457346201608203</v>
      </c>
      <c r="AJ2482">
        <v>90.355814251571005</v>
      </c>
      <c r="AK2482">
        <v>140.46615004791701</v>
      </c>
      <c r="AL2482">
        <v>80.085086530830495</v>
      </c>
      <c r="AM2482">
        <v>87.093590135687094</v>
      </c>
      <c r="AN2482">
        <v>0.99999995521346197</v>
      </c>
    </row>
    <row r="2483" spans="1:40" x14ac:dyDescent="0.25">
      <c r="A2483" t="str">
        <f>"20190303170306502"</f>
        <v>20190303170306502</v>
      </c>
      <c r="B2483" t="str">
        <f>"1551603786488486"</f>
        <v>1551603786488486</v>
      </c>
      <c r="C2483" t="s">
        <v>40</v>
      </c>
      <c r="D2483">
        <v>4.0850289999999996</v>
      </c>
      <c r="E2483">
        <v>0.4827745</v>
      </c>
      <c r="F2483" t="s">
        <v>57</v>
      </c>
      <c r="G2483">
        <v>-475.29770000000002</v>
      </c>
      <c r="H2483" s="1">
        <v>4.3403230000000002E-6</v>
      </c>
      <c r="I2483">
        <v>285.48</v>
      </c>
      <c r="J2483">
        <v>-340.58969999999999</v>
      </c>
      <c r="K2483">
        <v>1.121224</v>
      </c>
      <c r="L2483">
        <v>284.50749999999999</v>
      </c>
      <c r="M2483">
        <v>-0.99981779999999998</v>
      </c>
      <c r="N2483">
        <v>-1.399298E-2</v>
      </c>
      <c r="O2483">
        <v>1.2982759999999999E-2</v>
      </c>
      <c r="P2483">
        <v>-0.9853227</v>
      </c>
      <c r="Q2483">
        <v>0.15875410000000001</v>
      </c>
      <c r="R2483">
        <v>6.2739439999999994E-2</v>
      </c>
      <c r="S2483">
        <v>-3.0472410000000001</v>
      </c>
      <c r="T2483">
        <v>-2.5313140000000001E-2</v>
      </c>
      <c r="U2483">
        <v>2.2033690000000002E-2</v>
      </c>
      <c r="V2483">
        <v>4.9959009999999998E-2</v>
      </c>
      <c r="W2483">
        <v>0.1725312</v>
      </c>
      <c r="X2483">
        <v>0.98373630000000001</v>
      </c>
      <c r="Y2483">
        <v>-5.7530439999999997E-3</v>
      </c>
      <c r="Z2483" s="1">
        <v>9.6926320000000002E-6</v>
      </c>
      <c r="AA2483">
        <v>0.99998339999999997</v>
      </c>
      <c r="AB2483">
        <v>42</v>
      </c>
      <c r="AC2483">
        <v>-134.708</v>
      </c>
      <c r="AD2483">
        <v>-1.1212196596770001</v>
      </c>
      <c r="AE2483">
        <v>0.97250000000002501</v>
      </c>
      <c r="AF2483">
        <v>-0.77658106849061304</v>
      </c>
      <c r="AG2483">
        <v>-1.1212196596770001</v>
      </c>
      <c r="AH2483">
        <v>134.69994037222301</v>
      </c>
      <c r="AI2483">
        <v>90.476901497382201</v>
      </c>
      <c r="AJ2483">
        <v>90.330321784729804</v>
      </c>
      <c r="AK2483">
        <v>134.706845215681</v>
      </c>
      <c r="AL2483">
        <v>80.064979025445197</v>
      </c>
      <c r="AM2483">
        <v>87.092733722472104</v>
      </c>
      <c r="AN2483">
        <v>1.0000000127956501</v>
      </c>
    </row>
    <row r="2484" spans="1:40" x14ac:dyDescent="0.25">
      <c r="A2484" t="str">
        <f>"20190303170306515"</f>
        <v>20190303170306515</v>
      </c>
      <c r="B2484" t="str">
        <f>"1551603786508007"</f>
        <v>1551603786508007</v>
      </c>
      <c r="C2484" t="s">
        <v>40</v>
      </c>
      <c r="D2484">
        <v>4.1049879999999996</v>
      </c>
      <c r="E2484">
        <v>0.48272009999999999</v>
      </c>
      <c r="F2484" t="s">
        <v>57</v>
      </c>
      <c r="G2484">
        <v>-478.10169999999999</v>
      </c>
      <c r="H2484" s="1">
        <v>3.0997440000000001E-6</v>
      </c>
      <c r="I2484">
        <v>285.51280000000003</v>
      </c>
      <c r="J2484">
        <v>-340.85169999999999</v>
      </c>
      <c r="K2484">
        <v>1.121235</v>
      </c>
      <c r="L2484">
        <v>284.51089999999999</v>
      </c>
      <c r="M2484">
        <v>-0.99981620000000004</v>
      </c>
      <c r="N2484">
        <v>-1.410168E-2</v>
      </c>
      <c r="O2484">
        <v>1.2982399999999899E-2</v>
      </c>
      <c r="P2484">
        <v>-0.98528680000000002</v>
      </c>
      <c r="Q2484">
        <v>0.1589169</v>
      </c>
      <c r="R2484">
        <v>6.2890619999999994E-2</v>
      </c>
      <c r="S2484">
        <v>-3.0472410000000001</v>
      </c>
      <c r="T2484">
        <v>-2.484608E-2</v>
      </c>
      <c r="U2484">
        <v>2.2277829999999998E-2</v>
      </c>
      <c r="V2484">
        <v>5.0109470000000003E-2</v>
      </c>
      <c r="W2484">
        <v>0.17280119999999999</v>
      </c>
      <c r="X2484">
        <v>0.98368129999999998</v>
      </c>
      <c r="Y2484">
        <v>-5.6725949999999999E-3</v>
      </c>
      <c r="Z2484" s="1">
        <v>1.4115289999999999E-5</v>
      </c>
      <c r="AA2484">
        <v>0.99998390000000004</v>
      </c>
      <c r="AB2484">
        <v>42</v>
      </c>
      <c r="AC2484">
        <v>-137.25</v>
      </c>
      <c r="AD2484">
        <v>-1.1212319002560001</v>
      </c>
      <c r="AE2484">
        <v>1.00190000000003</v>
      </c>
      <c r="AF2484">
        <v>-0.78014413012957895</v>
      </c>
      <c r="AG2484">
        <v>-1.1212319002560001</v>
      </c>
      <c r="AH2484">
        <v>137.24228068805601</v>
      </c>
      <c r="AI2484">
        <v>90.468072873696997</v>
      </c>
      <c r="AJ2484">
        <v>90.3256903368613</v>
      </c>
      <c r="AK2484">
        <v>137.24907793605399</v>
      </c>
      <c r="AL2484">
        <v>80.049273713644894</v>
      </c>
      <c r="AM2484">
        <v>87.083830328143705</v>
      </c>
      <c r="AN2484">
        <v>1.0000000568373999</v>
      </c>
    </row>
    <row r="2485" spans="1:40" x14ac:dyDescent="0.25">
      <c r="A2485" t="str">
        <f>"20190303170306527"</f>
        <v>20190303170306527</v>
      </c>
      <c r="B2485" t="str">
        <f>"1551603786517766"</f>
        <v>1551603786517766</v>
      </c>
      <c r="C2485" t="s">
        <v>40</v>
      </c>
      <c r="D2485">
        <v>4.1165190000000003</v>
      </c>
      <c r="E2485">
        <v>0.48273830000000001</v>
      </c>
      <c r="F2485" t="s">
        <v>57</v>
      </c>
      <c r="G2485">
        <v>-481.85599999999999</v>
      </c>
      <c r="H2485" s="1">
        <v>2.6145140000000001E-6</v>
      </c>
      <c r="I2485">
        <v>285.52620000000002</v>
      </c>
      <c r="J2485">
        <v>-341.08319999999998</v>
      </c>
      <c r="K2485">
        <v>1.1212420000000001</v>
      </c>
      <c r="L2485">
        <v>284.51389999999998</v>
      </c>
      <c r="M2485">
        <v>-0.99981509999999996</v>
      </c>
      <c r="N2485">
        <v>-1.418786E-2</v>
      </c>
      <c r="O2485">
        <v>1.298293E-2</v>
      </c>
      <c r="P2485">
        <v>-0.98526270000000005</v>
      </c>
      <c r="Q2485">
        <v>0.15904289999999999</v>
      </c>
      <c r="R2485">
        <v>6.2949950000000005E-2</v>
      </c>
      <c r="S2485">
        <v>-3.0473330000000001</v>
      </c>
      <c r="T2485">
        <v>-2.423167E-2</v>
      </c>
      <c r="U2485">
        <v>2.1942139999999999E-2</v>
      </c>
      <c r="V2485">
        <v>5.016727E-2</v>
      </c>
      <c r="W2485">
        <v>0.1730121</v>
      </c>
      <c r="X2485">
        <v>0.98364119999999999</v>
      </c>
      <c r="Y2485">
        <v>-5.7834870000000003E-3</v>
      </c>
      <c r="Z2485" s="1">
        <v>1.69585E-5</v>
      </c>
      <c r="AA2485">
        <v>0.99998330000000002</v>
      </c>
      <c r="AB2485">
        <v>42</v>
      </c>
      <c r="AC2485">
        <v>-140.77279999999999</v>
      </c>
      <c r="AD2485">
        <v>-1.1212393854860001</v>
      </c>
      <c r="AE2485">
        <v>1.01230000000003</v>
      </c>
      <c r="AF2485">
        <v>-0.81556090510872603</v>
      </c>
      <c r="AG2485">
        <v>-1.1212393854860001</v>
      </c>
      <c r="AH2485">
        <v>140.7651473741</v>
      </c>
      <c r="AI2485">
        <v>90.456361884153793</v>
      </c>
      <c r="AJ2485">
        <v>90.331954861178204</v>
      </c>
      <c r="AK2485">
        <v>140.77197530972401</v>
      </c>
      <c r="AL2485">
        <v>80.037004436195701</v>
      </c>
      <c r="AM2485">
        <v>87.080353602525193</v>
      </c>
      <c r="AN2485">
        <v>0.999999976031551</v>
      </c>
    </row>
    <row r="2486" spans="1:40" x14ac:dyDescent="0.25">
      <c r="A2486" t="str">
        <f>"20190303170306543"</f>
        <v>20190303170306543</v>
      </c>
      <c r="B2486" t="str">
        <f>"1551603786538262"</f>
        <v>1551603786538262</v>
      </c>
      <c r="C2486" t="s">
        <v>40</v>
      </c>
      <c r="D2486">
        <v>4.128431</v>
      </c>
      <c r="E2486">
        <v>0.48273060000000001</v>
      </c>
      <c r="F2486" t="s">
        <v>57</v>
      </c>
      <c r="G2486">
        <v>-483.53190000000001</v>
      </c>
      <c r="H2486" s="1">
        <v>2.9159599999999999E-6</v>
      </c>
      <c r="I2486">
        <v>285.57389999999998</v>
      </c>
      <c r="J2486">
        <v>-341.36419999999998</v>
      </c>
      <c r="K2486">
        <v>1.1212610000000001</v>
      </c>
      <c r="L2486">
        <v>284.51760000000002</v>
      </c>
      <c r="M2486">
        <v>-0.99981370000000003</v>
      </c>
      <c r="N2486">
        <v>-1.428595E-2</v>
      </c>
      <c r="O2486">
        <v>1.298419E-2</v>
      </c>
      <c r="P2486">
        <v>-0.98530169999999995</v>
      </c>
      <c r="Q2486">
        <v>0.1587529</v>
      </c>
      <c r="R2486">
        <v>6.3070979999999999E-2</v>
      </c>
      <c r="S2486">
        <v>-3.0473629999999998</v>
      </c>
      <c r="T2486">
        <v>-2.3986339999999998E-2</v>
      </c>
      <c r="U2486">
        <v>2.267456E-2</v>
      </c>
      <c r="V2486">
        <v>5.0285000000000003E-2</v>
      </c>
      <c r="W2486">
        <v>0.17281949999999999</v>
      </c>
      <c r="X2486">
        <v>0.98366900000000002</v>
      </c>
      <c r="Y2486">
        <v>-5.5445210000000002E-3</v>
      </c>
      <c r="Z2486" s="1">
        <v>2.1883400000000001E-5</v>
      </c>
      <c r="AA2486">
        <v>0.9999846</v>
      </c>
      <c r="AB2486">
        <v>42</v>
      </c>
      <c r="AC2486">
        <v>-142.1677</v>
      </c>
      <c r="AD2486">
        <v>-1.1212580840399999</v>
      </c>
      <c r="AE2486">
        <v>1.05629999999996</v>
      </c>
      <c r="AF2486">
        <v>-0.78986065406060502</v>
      </c>
      <c r="AG2486">
        <v>-1.1212580840399999</v>
      </c>
      <c r="AH2486">
        <v>142.160587394397</v>
      </c>
      <c r="AI2486">
        <v>90.451890594237796</v>
      </c>
      <c r="AJ2486">
        <v>90.318338697327405</v>
      </c>
      <c r="AK2486">
        <v>142.16720334825399</v>
      </c>
      <c r="AL2486">
        <v>80.048207922022002</v>
      </c>
      <c r="AM2486">
        <v>87.073596384466697</v>
      </c>
      <c r="AN2486">
        <v>0.99999993118312203</v>
      </c>
    </row>
    <row r="2487" spans="1:40" x14ac:dyDescent="0.25">
      <c r="A2487" t="str">
        <f>"20190303170306554"</f>
        <v>20190303170306554</v>
      </c>
      <c r="B2487" t="str">
        <f>"1551603786548022"</f>
        <v>1551603786548022</v>
      </c>
      <c r="C2487" t="s">
        <v>40</v>
      </c>
      <c r="D2487">
        <v>4.0926039999999997</v>
      </c>
      <c r="E2487">
        <v>0.4827631</v>
      </c>
      <c r="F2487" t="s">
        <v>57</v>
      </c>
      <c r="G2487">
        <v>-475.95429999999999</v>
      </c>
      <c r="H2487" s="1">
        <v>4.0536340000000001E-6</v>
      </c>
      <c r="I2487">
        <v>285.53120000000001</v>
      </c>
      <c r="J2487">
        <v>-341.59179999999998</v>
      </c>
      <c r="K2487">
        <v>1.121267</v>
      </c>
      <c r="L2487">
        <v>284.5206</v>
      </c>
      <c r="M2487">
        <v>-0.99981260000000005</v>
      </c>
      <c r="N2487">
        <v>-1.436071E-2</v>
      </c>
      <c r="O2487">
        <v>1.298527E-2</v>
      </c>
      <c r="P2487">
        <v>-0.98527969999999998</v>
      </c>
      <c r="Q2487">
        <v>0.15890979999999999</v>
      </c>
      <c r="R2487">
        <v>6.3023239999999994E-2</v>
      </c>
      <c r="S2487">
        <v>-3.0473330000000001</v>
      </c>
      <c r="T2487">
        <v>-2.5387050000000001E-2</v>
      </c>
      <c r="U2487">
        <v>2.2949219999999999E-2</v>
      </c>
      <c r="V2487">
        <v>5.0235599999999998E-2</v>
      </c>
      <c r="W2487">
        <v>0.1730497</v>
      </c>
      <c r="X2487">
        <v>0.98363109999999998</v>
      </c>
      <c r="Y2487">
        <v>-5.4554190000000004E-3</v>
      </c>
      <c r="Z2487" s="1">
        <v>1.6421289999999899E-5</v>
      </c>
      <c r="AA2487">
        <v>0.99998509999999996</v>
      </c>
      <c r="AB2487">
        <v>42</v>
      </c>
      <c r="AC2487">
        <v>-134.36250000000001</v>
      </c>
      <c r="AD2487">
        <v>-1.121262946366</v>
      </c>
      <c r="AE2487">
        <v>1.0106000000000099</v>
      </c>
      <c r="AF2487">
        <v>-0.734347290913963</v>
      </c>
      <c r="AG2487">
        <v>-1.121262946366</v>
      </c>
      <c r="AH2487">
        <v>134.35493758733901</v>
      </c>
      <c r="AI2487">
        <v>90.478145312454998</v>
      </c>
      <c r="AJ2487">
        <v>90.313159919867203</v>
      </c>
      <c r="AK2487">
        <v>134.36162305746501</v>
      </c>
      <c r="AL2487">
        <v>80.034817137364101</v>
      </c>
      <c r="AM2487">
        <v>87.0763538440562</v>
      </c>
      <c r="AN2487">
        <v>0.99999997753232905</v>
      </c>
    </row>
    <row r="2488" spans="1:40" x14ac:dyDescent="0.25">
      <c r="A2488" t="str">
        <f>"20190303170306567"</f>
        <v>20190303170306567</v>
      </c>
      <c r="B2488" t="str">
        <f>"1551603786557782"</f>
        <v>1551603786557782</v>
      </c>
      <c r="C2488" t="s">
        <v>40</v>
      </c>
      <c r="D2488">
        <v>4.1301449999999997</v>
      </c>
      <c r="E2488">
        <v>0.4827437</v>
      </c>
      <c r="F2488" t="s">
        <v>57</v>
      </c>
      <c r="G2488">
        <v>-480.26609999999999</v>
      </c>
      <c r="H2488" s="1">
        <v>2.3360059999999999E-6</v>
      </c>
      <c r="I2488">
        <v>285.56630000000001</v>
      </c>
      <c r="J2488">
        <v>-341.8177</v>
      </c>
      <c r="K2488">
        <v>1.1212690000000001</v>
      </c>
      <c r="L2488">
        <v>284.52350000000001</v>
      </c>
      <c r="M2488">
        <v>-0.99981169999999997</v>
      </c>
      <c r="N2488">
        <v>-1.4426329999999999E-2</v>
      </c>
      <c r="O2488">
        <v>1.298672E-2</v>
      </c>
      <c r="P2488">
        <v>-0.98526809999999998</v>
      </c>
      <c r="Q2488">
        <v>0.15897809999999901</v>
      </c>
      <c r="R2488">
        <v>6.3031470000000006E-2</v>
      </c>
      <c r="S2488">
        <v>-3.0473020000000002</v>
      </c>
      <c r="T2488">
        <v>-2.4639250000000001E-2</v>
      </c>
      <c r="U2488">
        <v>2.2979739999999999E-2</v>
      </c>
      <c r="V2488">
        <v>5.0241439999999998E-2</v>
      </c>
      <c r="W2488">
        <v>0.17318259999999999</v>
      </c>
      <c r="X2488">
        <v>0.98360740000000002</v>
      </c>
      <c r="Y2488">
        <v>-5.4467869999999998E-3</v>
      </c>
      <c r="Z2488" s="1">
        <v>2.105523E-5</v>
      </c>
      <c r="AA2488">
        <v>0.99998520000000002</v>
      </c>
      <c r="AB2488">
        <v>42</v>
      </c>
      <c r="AC2488">
        <v>-138.44839999999999</v>
      </c>
      <c r="AD2488">
        <v>-1.1212666639939901</v>
      </c>
      <c r="AE2488">
        <v>1.04279999999999</v>
      </c>
      <c r="AF2488">
        <v>-0.75541595744002599</v>
      </c>
      <c r="AG2488">
        <v>-1.1212666639939901</v>
      </c>
      <c r="AH2488">
        <v>138.44118610666899</v>
      </c>
      <c r="AI2488">
        <v>90.464034499765106</v>
      </c>
      <c r="AJ2488">
        <v>90.312636129447398</v>
      </c>
      <c r="AK2488">
        <v>138.44778764148501</v>
      </c>
      <c r="AL2488">
        <v>80.027085682459798</v>
      </c>
      <c r="AM2488">
        <v>87.075944222376293</v>
      </c>
      <c r="AN2488">
        <v>0.999999966285396</v>
      </c>
    </row>
    <row r="2489" spans="1:40" x14ac:dyDescent="0.25">
      <c r="A2489" t="str">
        <f>"20190303170306579"</f>
        <v>20190303170306579</v>
      </c>
      <c r="B2489" t="str">
        <f>"1551603786567541"</f>
        <v>1551603786567541</v>
      </c>
      <c r="C2489" t="s">
        <v>40</v>
      </c>
      <c r="D2489">
        <v>4.0990399999999996</v>
      </c>
      <c r="E2489">
        <v>0.4827709</v>
      </c>
      <c r="F2489" t="s">
        <v>57</v>
      </c>
      <c r="G2489">
        <v>-481.53410000000002</v>
      </c>
      <c r="H2489" s="1">
        <v>2.5615069999999902E-6</v>
      </c>
      <c r="I2489">
        <v>285.5729</v>
      </c>
      <c r="J2489">
        <v>-342.03640000000001</v>
      </c>
      <c r="K2489">
        <v>1.1212770000000001</v>
      </c>
      <c r="L2489">
        <v>284.52629999999999</v>
      </c>
      <c r="M2489">
        <v>-0.9998108</v>
      </c>
      <c r="N2489">
        <v>-1.448734E-2</v>
      </c>
      <c r="O2489">
        <v>1.2988090000000001E-2</v>
      </c>
      <c r="P2489">
        <v>-0.9852128</v>
      </c>
      <c r="Q2489">
        <v>0.1593657</v>
      </c>
      <c r="R2489">
        <v>6.2917810000000005E-2</v>
      </c>
      <c r="S2489">
        <v>-3.0473629999999998</v>
      </c>
      <c r="T2489">
        <v>-2.4456019999999998E-2</v>
      </c>
      <c r="U2489">
        <v>2.2888180000000001E-2</v>
      </c>
      <c r="V2489">
        <v>5.0126469999999999E-2</v>
      </c>
      <c r="W2489">
        <v>0.17362920000000001</v>
      </c>
      <c r="X2489">
        <v>0.98353460000000004</v>
      </c>
      <c r="Y2489">
        <v>-5.4783519999999997E-3</v>
      </c>
      <c r="Z2489" s="1">
        <v>2.2282209999999999E-5</v>
      </c>
      <c r="AA2489">
        <v>0.99998500000000001</v>
      </c>
      <c r="AB2489">
        <v>42</v>
      </c>
      <c r="AC2489">
        <v>-139.49770000000001</v>
      </c>
      <c r="AD2489">
        <v>-1.121274438493</v>
      </c>
      <c r="AE2489">
        <v>1.04660000000001</v>
      </c>
      <c r="AF2489">
        <v>-0.76543750357360796</v>
      </c>
      <c r="AG2489">
        <v>-1.121274438493</v>
      </c>
      <c r="AH2489">
        <v>139.490514061705</v>
      </c>
      <c r="AI2489">
        <v>90.460547031545701</v>
      </c>
      <c r="AJ2489">
        <v>90.314400578044001</v>
      </c>
      <c r="AK2489">
        <v>139.497120630274</v>
      </c>
      <c r="AL2489">
        <v>80.001104473375506</v>
      </c>
      <c r="AM2489">
        <v>87.082408345505598</v>
      </c>
      <c r="AN2489">
        <v>1.0000000357422201</v>
      </c>
    </row>
    <row r="2490" spans="1:40" x14ac:dyDescent="0.25">
      <c r="A2490" t="str">
        <f>"20190303170306590"</f>
        <v>20190303170306590</v>
      </c>
      <c r="B2490" t="str">
        <f>"1551603786578278"</f>
        <v>1551603786578278</v>
      </c>
      <c r="C2490" t="s">
        <v>40</v>
      </c>
      <c r="D2490">
        <v>4.1387150000000004</v>
      </c>
      <c r="E2490">
        <v>0.48278140000000003</v>
      </c>
      <c r="F2490" t="s">
        <v>57</v>
      </c>
      <c r="G2490">
        <v>-489.90629999999999</v>
      </c>
      <c r="H2490" s="1">
        <v>4.0502429999999999E-6</v>
      </c>
      <c r="I2490">
        <v>285.61470000000003</v>
      </c>
      <c r="J2490">
        <v>-342.25810000000001</v>
      </c>
      <c r="K2490">
        <v>1.1212839999999999</v>
      </c>
      <c r="L2490">
        <v>284.5292</v>
      </c>
      <c r="M2490">
        <v>-0.99980999999999998</v>
      </c>
      <c r="N2490">
        <v>-1.454427E-2</v>
      </c>
      <c r="O2490">
        <v>1.298902E-2</v>
      </c>
      <c r="P2490">
        <v>-0.98513910000000005</v>
      </c>
      <c r="Q2490">
        <v>0.1598157</v>
      </c>
      <c r="R2490">
        <v>6.2932409999999994E-2</v>
      </c>
      <c r="S2490">
        <v>-3.0473629999999998</v>
      </c>
      <c r="T2490">
        <v>-2.310765E-2</v>
      </c>
      <c r="U2490">
        <v>2.243042E-2</v>
      </c>
      <c r="V2490">
        <v>5.0140419999999998E-2</v>
      </c>
      <c r="W2490">
        <v>0.1741345</v>
      </c>
      <c r="X2490">
        <v>0.98344450000000005</v>
      </c>
      <c r="Y2490">
        <v>-5.6294730000000003E-3</v>
      </c>
      <c r="Z2490" s="1">
        <v>2.8158509999999901E-5</v>
      </c>
      <c r="AA2490">
        <v>0.99998410000000004</v>
      </c>
      <c r="AB2490">
        <v>42</v>
      </c>
      <c r="AC2490">
        <v>-147.64819999999901</v>
      </c>
      <c r="AD2490">
        <v>-1.1212799497569901</v>
      </c>
      <c r="AE2490">
        <v>1.0855000000000199</v>
      </c>
      <c r="AF2490">
        <v>-0.83255160236384196</v>
      </c>
      <c r="AG2490">
        <v>-1.1212799497569901</v>
      </c>
      <c r="AH2490">
        <v>147.64132826336399</v>
      </c>
      <c r="AI2490">
        <v>90.4351244535803</v>
      </c>
      <c r="AJ2490">
        <v>90.323088311377106</v>
      </c>
      <c r="AK2490">
        <v>147.64793334912201</v>
      </c>
      <c r="AL2490">
        <v>79.971704549250902</v>
      </c>
      <c r="AM2490">
        <v>87.081330882375298</v>
      </c>
      <c r="AN2490">
        <v>0.99999998519413802</v>
      </c>
    </row>
    <row r="2491" spans="1:40" x14ac:dyDescent="0.25">
      <c r="A2491" t="str">
        <f>"20190303170306603"</f>
        <v>20190303170306603</v>
      </c>
      <c r="B2491" t="str">
        <f>"1551603786597797"</f>
        <v>1551603786597797</v>
      </c>
      <c r="C2491" t="s">
        <v>40</v>
      </c>
      <c r="D2491">
        <v>4.1187820000000004</v>
      </c>
      <c r="E2491">
        <v>0.48281839999999998</v>
      </c>
      <c r="F2491" t="s">
        <v>57</v>
      </c>
      <c r="G2491">
        <v>-499.95780000000002</v>
      </c>
      <c r="H2491">
        <v>1.4825789999999999E-3</v>
      </c>
      <c r="I2491">
        <v>285.6979</v>
      </c>
      <c r="J2491">
        <v>-342.49329999999998</v>
      </c>
      <c r="K2491">
        <v>1.1212949999999999</v>
      </c>
      <c r="L2491">
        <v>284.53230000000002</v>
      </c>
      <c r="M2491">
        <v>-0.99980899999999995</v>
      </c>
      <c r="N2491">
        <v>-1.459971E-2</v>
      </c>
      <c r="O2491">
        <v>1.29899E-2</v>
      </c>
      <c r="P2491">
        <v>-0.98511660000000001</v>
      </c>
      <c r="Q2491">
        <v>0.1599391</v>
      </c>
      <c r="R2491">
        <v>6.2965800000000002E-2</v>
      </c>
      <c r="S2491">
        <v>-3.0473629999999998</v>
      </c>
      <c r="T2491">
        <v>-2.1638870000000001E-2</v>
      </c>
      <c r="U2491">
        <v>2.2583010000000001E-2</v>
      </c>
      <c r="V2491">
        <v>5.0172630000000003E-2</v>
      </c>
      <c r="W2491">
        <v>0.17431240000000001</v>
      </c>
      <c r="X2491">
        <v>0.98341140000000005</v>
      </c>
      <c r="Y2491">
        <v>-5.5802909999999898E-3</v>
      </c>
      <c r="Z2491" s="1">
        <v>3.6879760000000003E-5</v>
      </c>
      <c r="AA2491">
        <v>0.9999844</v>
      </c>
      <c r="AB2491">
        <v>42</v>
      </c>
      <c r="AC2491">
        <v>-157.46449999999999</v>
      </c>
      <c r="AD2491">
        <v>-1.119812421</v>
      </c>
      <c r="AE2491">
        <v>1.16559999999998</v>
      </c>
      <c r="AF2491">
        <v>-0.88012007160400996</v>
      </c>
      <c r="AG2491">
        <v>-1.119812421</v>
      </c>
      <c r="AH2491">
        <v>157.45839133810901</v>
      </c>
      <c r="AI2491">
        <v>90.407462829716195</v>
      </c>
      <c r="AJ2491">
        <v>90.320253750748094</v>
      </c>
      <c r="AK2491">
        <v>157.464832880183</v>
      </c>
      <c r="AL2491">
        <v>79.961353912304702</v>
      </c>
      <c r="AM2491">
        <v>87.079361055924394</v>
      </c>
      <c r="AN2491">
        <v>1.0000000436224099</v>
      </c>
    </row>
    <row r="2492" spans="1:40" x14ac:dyDescent="0.25">
      <c r="A2492" t="str">
        <f>"20190303170306615"</f>
        <v>20190303170306615</v>
      </c>
      <c r="B2492" t="str">
        <f>"1551603786607557"</f>
        <v>1551603786607557</v>
      </c>
      <c r="C2492" t="s">
        <v>40</v>
      </c>
      <c r="D2492">
        <v>4.146674</v>
      </c>
      <c r="E2492">
        <v>0.48278890000000002</v>
      </c>
      <c r="F2492" t="s">
        <v>57</v>
      </c>
      <c r="G2492">
        <v>-499.95780000000002</v>
      </c>
      <c r="H2492">
        <v>9.0046229999999998E-3</v>
      </c>
      <c r="I2492">
        <v>285.71019999999999</v>
      </c>
      <c r="J2492">
        <v>-342.7217</v>
      </c>
      <c r="K2492">
        <v>1.121302</v>
      </c>
      <c r="L2492">
        <v>284.53519999999997</v>
      </c>
      <c r="M2492">
        <v>-0.99980840000000004</v>
      </c>
      <c r="N2492">
        <v>-1.465083E-2</v>
      </c>
      <c r="O2492">
        <v>1.299034E-2</v>
      </c>
      <c r="P2492">
        <v>-0.98501249999999996</v>
      </c>
      <c r="Q2492">
        <v>0.16051099999999999</v>
      </c>
      <c r="R2492">
        <v>6.3140689999999999E-2</v>
      </c>
      <c r="S2492">
        <v>-3.0473330000000001</v>
      </c>
      <c r="T2492">
        <v>-2.1525619999999999E-2</v>
      </c>
      <c r="U2492">
        <v>2.2796629999999998E-2</v>
      </c>
      <c r="V2492">
        <v>5.0347910000000003E-2</v>
      </c>
      <c r="W2492">
        <v>0.17493310000000001</v>
      </c>
      <c r="X2492">
        <v>0.98329219999999895</v>
      </c>
      <c r="Y2492">
        <v>-5.5105659999999997E-3</v>
      </c>
      <c r="Z2492" s="1">
        <v>3.8746930000000002E-5</v>
      </c>
      <c r="AA2492">
        <v>0.99998480000000001</v>
      </c>
      <c r="AB2492">
        <v>42</v>
      </c>
      <c r="AC2492">
        <v>-157.23609999999999</v>
      </c>
      <c r="AD2492">
        <v>-1.112297377</v>
      </c>
      <c r="AE2492">
        <v>1.17500000000001</v>
      </c>
      <c r="AF2492">
        <v>-0.86782515045761</v>
      </c>
      <c r="AG2492">
        <v>-1.112297377</v>
      </c>
      <c r="AH2492">
        <v>157.23022744537201</v>
      </c>
      <c r="AI2492">
        <v>90.405315902120805</v>
      </c>
      <c r="AJ2492">
        <v>90.316238260095702</v>
      </c>
      <c r="AK2492">
        <v>157.23655665420199</v>
      </c>
      <c r="AL2492">
        <v>79.925235299170197</v>
      </c>
      <c r="AM2492">
        <v>87.068820779755697</v>
      </c>
      <c r="AN2492">
        <v>1.0000000260488999</v>
      </c>
    </row>
    <row r="2493" spans="1:40" x14ac:dyDescent="0.25">
      <c r="A2493" t="str">
        <f>"20190303170306627"</f>
        <v>20190303170306627</v>
      </c>
      <c r="B2493" t="str">
        <f>"1551603786618294"</f>
        <v>1551603786618294</v>
      </c>
      <c r="C2493" t="s">
        <v>40</v>
      </c>
      <c r="D2493">
        <v>4.1305239999999896</v>
      </c>
      <c r="E2493">
        <v>0.48279369999999999</v>
      </c>
      <c r="F2493" t="s">
        <v>57</v>
      </c>
      <c r="G2493">
        <v>-503.83609999999999</v>
      </c>
      <c r="H2493">
        <v>7.9982010000000006E-2</v>
      </c>
      <c r="I2493">
        <v>285.73410000000001</v>
      </c>
      <c r="J2493">
        <v>-342.94029999999998</v>
      </c>
      <c r="K2493">
        <v>1.121308</v>
      </c>
      <c r="L2493">
        <v>284.53809999999999</v>
      </c>
      <c r="M2493">
        <v>-0.99980780000000002</v>
      </c>
      <c r="N2493">
        <v>-1.469383E-2</v>
      </c>
      <c r="O2493">
        <v>1.299019E-2</v>
      </c>
      <c r="P2493">
        <v>-0.98500679999999996</v>
      </c>
      <c r="Q2493">
        <v>0.16057299999999999</v>
      </c>
      <c r="R2493">
        <v>6.3073599999999994E-2</v>
      </c>
      <c r="S2493">
        <v>-3.0473330000000001</v>
      </c>
      <c r="T2493">
        <v>-1.969564E-2</v>
      </c>
      <c r="U2493">
        <v>2.267456E-2</v>
      </c>
      <c r="V2493">
        <v>5.0280909999999998E-2</v>
      </c>
      <c r="W2493">
        <v>0.17503779999999999</v>
      </c>
      <c r="X2493">
        <v>0.98327699999999996</v>
      </c>
      <c r="Y2493">
        <v>-5.5504539999999998E-3</v>
      </c>
      <c r="Z2493" s="1">
        <v>4.82189E-5</v>
      </c>
      <c r="AA2493">
        <v>0.9999846</v>
      </c>
      <c r="AB2493">
        <v>42</v>
      </c>
      <c r="AC2493">
        <v>-160.89580000000001</v>
      </c>
      <c r="AD2493">
        <v>-1.04132599</v>
      </c>
      <c r="AE2493">
        <v>1.1960000000000199</v>
      </c>
      <c r="AF2493">
        <v>-0.89435585203613299</v>
      </c>
      <c r="AG2493">
        <v>-1.04132599</v>
      </c>
      <c r="AH2493">
        <v>160.891020314569</v>
      </c>
      <c r="AI2493">
        <v>90.370821375783805</v>
      </c>
      <c r="AJ2493">
        <v>90.318490664145003</v>
      </c>
      <c r="AK2493">
        <v>160.896875824456</v>
      </c>
      <c r="AL2493">
        <v>79.919142464960501</v>
      </c>
      <c r="AM2493">
        <v>87.072669456945306</v>
      </c>
      <c r="AN2493">
        <v>1.0000000300341301</v>
      </c>
    </row>
    <row r="2494" spans="1:40" x14ac:dyDescent="0.25">
      <c r="A2494" t="str">
        <f>"20190303170306639"</f>
        <v>20190303170306639</v>
      </c>
      <c r="B2494" t="str">
        <f>"1551603786628054"</f>
        <v>1551603786628054</v>
      </c>
      <c r="C2494" t="s">
        <v>40</v>
      </c>
      <c r="D2494">
        <v>4.1446370000000003</v>
      </c>
      <c r="E2494">
        <v>0.48272979999999999</v>
      </c>
      <c r="F2494" t="s">
        <v>44</v>
      </c>
      <c r="G2494">
        <v>-525.7953</v>
      </c>
      <c r="H2494">
        <v>-0.05</v>
      </c>
      <c r="I2494">
        <v>285.89319999999998</v>
      </c>
      <c r="J2494">
        <v>-343.15890000000002</v>
      </c>
      <c r="K2494">
        <v>1.1213150000000001</v>
      </c>
      <c r="L2494">
        <v>284.54090000000002</v>
      </c>
      <c r="M2494">
        <v>-0.99980709999999995</v>
      </c>
      <c r="N2494">
        <v>-1.473502E-2</v>
      </c>
      <c r="O2494">
        <v>1.299023E-2</v>
      </c>
      <c r="P2494">
        <v>-0.98496249999999996</v>
      </c>
      <c r="Q2494">
        <v>0.160832</v>
      </c>
      <c r="R2494">
        <v>6.3102920000000007E-2</v>
      </c>
      <c r="S2494">
        <v>-3.0473629999999998</v>
      </c>
      <c r="T2494">
        <v>-1.95204E-2</v>
      </c>
      <c r="U2494">
        <v>2.2583010000000001E-2</v>
      </c>
      <c r="V2494">
        <v>5.0310420000000002E-2</v>
      </c>
      <c r="W2494">
        <v>0.1753364</v>
      </c>
      <c r="X2494">
        <v>0.98322220000000005</v>
      </c>
      <c r="Y2494">
        <v>-5.5806120000000004E-3</v>
      </c>
      <c r="Z2494" s="1">
        <v>4.9228809999999898E-5</v>
      </c>
      <c r="AA2494">
        <v>0.9999844</v>
      </c>
      <c r="AB2494">
        <v>42</v>
      </c>
      <c r="AC2494">
        <v>-182.63640000000001</v>
      </c>
      <c r="AD2494">
        <v>-1.1713149999999899</v>
      </c>
      <c r="AE2494">
        <v>1.3522999999999501</v>
      </c>
      <c r="AF2494">
        <v>-1.0205184734089601</v>
      </c>
      <c r="AG2494">
        <v>-1.1713149999999899</v>
      </c>
      <c r="AH2494">
        <v>182.631043565743</v>
      </c>
      <c r="AI2494">
        <v>90.367459095816599</v>
      </c>
      <c r="AJ2494">
        <v>90.320158017691298</v>
      </c>
      <c r="AK2494">
        <v>182.63765085736301</v>
      </c>
      <c r="AL2494">
        <v>79.901764321560194</v>
      </c>
      <c r="AM2494">
        <v>87.070791423351906</v>
      </c>
      <c r="AN2494">
        <v>0.99999994304918605</v>
      </c>
    </row>
    <row r="2495" spans="1:40" x14ac:dyDescent="0.25">
      <c r="A2495" t="str">
        <f>"20190303170306654"</f>
        <v>20190303170306654</v>
      </c>
      <c r="B2495" t="str">
        <f>"1551603786647574"</f>
        <v>1551603786647574</v>
      </c>
      <c r="C2495" t="s">
        <v>40</v>
      </c>
      <c r="D2495">
        <v>4.2022940000000002</v>
      </c>
      <c r="E2495">
        <v>0.48279490000000003</v>
      </c>
      <c r="F2495" t="s">
        <v>44</v>
      </c>
      <c r="G2495">
        <v>-530.99180000000001</v>
      </c>
      <c r="H2495">
        <v>-0.05</v>
      </c>
      <c r="I2495">
        <v>285.90649999999999</v>
      </c>
      <c r="J2495">
        <v>-343.45249999999999</v>
      </c>
      <c r="K2495">
        <v>1.121324</v>
      </c>
      <c r="L2495">
        <v>284.54469999999998</v>
      </c>
      <c r="M2495">
        <v>-0.99980630000000004</v>
      </c>
      <c r="N2495">
        <v>-1.4785710000000001E-2</v>
      </c>
      <c r="O2495">
        <v>1.299001E-2</v>
      </c>
      <c r="P2495">
        <v>-0.98496119999999998</v>
      </c>
      <c r="Q2495">
        <v>0.16081010000000001</v>
      </c>
      <c r="R2495">
        <v>6.3179609999999997E-2</v>
      </c>
      <c r="S2495">
        <v>-3.0474549999999998</v>
      </c>
      <c r="T2495">
        <v>-1.900375E-2</v>
      </c>
      <c r="U2495">
        <v>2.215576E-2</v>
      </c>
      <c r="V2495">
        <v>5.0386979999999998E-2</v>
      </c>
      <c r="W2495">
        <v>0.17536409999999999</v>
      </c>
      <c r="X2495">
        <v>0.98321340000000002</v>
      </c>
      <c r="Y2495">
        <v>-5.7207959999999898E-3</v>
      </c>
      <c r="Z2495" s="1">
        <v>5.0948849999999999E-5</v>
      </c>
      <c r="AA2495">
        <v>0.99998359999999997</v>
      </c>
      <c r="AB2495">
        <v>42</v>
      </c>
      <c r="AC2495">
        <v>-187.5393</v>
      </c>
      <c r="AD2495">
        <v>-1.171324</v>
      </c>
      <c r="AE2495">
        <v>1.3618000000000099</v>
      </c>
      <c r="AF2495">
        <v>-1.07467672780308</v>
      </c>
      <c r="AG2495">
        <v>-1.171324</v>
      </c>
      <c r="AH2495">
        <v>187.53384967621301</v>
      </c>
      <c r="AI2495">
        <v>90.357855113473306</v>
      </c>
      <c r="AJ2495">
        <v>90.328334148417994</v>
      </c>
      <c r="AK2495">
        <v>187.54058681886099</v>
      </c>
      <c r="AL2495">
        <v>79.900152859218196</v>
      </c>
      <c r="AM2495">
        <v>87.066315462941105</v>
      </c>
      <c r="AN2495">
        <v>1.0000000026309399</v>
      </c>
    </row>
    <row r="2496" spans="1:40" x14ac:dyDescent="0.25">
      <c r="A2496" t="str">
        <f>"20190303170306667"</f>
        <v>20190303170306667</v>
      </c>
      <c r="B2496" t="str">
        <f>"1551603786658309"</f>
        <v>1551603786658309</v>
      </c>
      <c r="C2496" t="s">
        <v>40</v>
      </c>
      <c r="D2496">
        <v>4.1372809999999998</v>
      </c>
      <c r="E2496">
        <v>0.48283229999999999</v>
      </c>
      <c r="F2496" t="s">
        <v>57</v>
      </c>
      <c r="G2496">
        <v>-503.10789999999997</v>
      </c>
      <c r="H2496">
        <v>7.9981979999999994E-2</v>
      </c>
      <c r="I2496">
        <v>285.73579999999998</v>
      </c>
      <c r="J2496">
        <v>-343.66699999999997</v>
      </c>
      <c r="K2496">
        <v>1.121327</v>
      </c>
      <c r="L2496">
        <v>284.54750000000001</v>
      </c>
      <c r="M2496">
        <v>-0.99980590000000003</v>
      </c>
      <c r="N2496">
        <v>-1.481793E-2</v>
      </c>
      <c r="O2496">
        <v>1.2989880000000001E-2</v>
      </c>
      <c r="P2496">
        <v>-0.98493459999999999</v>
      </c>
      <c r="Q2496">
        <v>0.16098709999999999</v>
      </c>
      <c r="R2496">
        <v>6.3141649999999994E-2</v>
      </c>
      <c r="S2496">
        <v>-3.0476380000000001</v>
      </c>
      <c r="T2496">
        <v>-1.9878030000000001E-2</v>
      </c>
      <c r="U2496">
        <v>2.2735600000000002E-2</v>
      </c>
      <c r="V2496">
        <v>5.0349110000000002E-2</v>
      </c>
      <c r="W2496">
        <v>0.17557249999999999</v>
      </c>
      <c r="X2496">
        <v>0.98317810000000005</v>
      </c>
      <c r="Y2496">
        <v>-5.5308830000000003E-3</v>
      </c>
      <c r="Z2496" s="1">
        <v>4.875989E-5</v>
      </c>
      <c r="AA2496">
        <v>0.99998469999999995</v>
      </c>
      <c r="AB2496">
        <v>42</v>
      </c>
      <c r="AC2496">
        <v>-159.4409</v>
      </c>
      <c r="AD2496">
        <v>-1.0413450200000001</v>
      </c>
      <c r="AE2496">
        <v>1.1882999999999599</v>
      </c>
      <c r="AF2496">
        <v>-0.88310803610798205</v>
      </c>
      <c r="AG2496">
        <v>-1.0413450200000001</v>
      </c>
      <c r="AH2496">
        <v>159.436081580522</v>
      </c>
      <c r="AI2496">
        <v>90.374212101030096</v>
      </c>
      <c r="AJ2496">
        <v>90.317355051500797</v>
      </c>
      <c r="AK2496">
        <v>159.441927951857</v>
      </c>
      <c r="AL2496">
        <v>79.888023767578503</v>
      </c>
      <c r="AM2496">
        <v>87.068411454827199</v>
      </c>
      <c r="AN2496">
        <v>0.99999995597682501</v>
      </c>
    </row>
    <row r="2497" spans="1:40" x14ac:dyDescent="0.25">
      <c r="A2497" t="str">
        <f>"20190303170306688"</f>
        <v>20190303170306688</v>
      </c>
      <c r="B2497" t="str">
        <f>"1551603786677829"</f>
        <v>1551603786677829</v>
      </c>
      <c r="C2497" t="s">
        <v>40</v>
      </c>
      <c r="D2497">
        <v>4.1543590000000004</v>
      </c>
      <c r="E2497">
        <v>0.48288950000000003</v>
      </c>
      <c r="F2497" t="s">
        <v>57</v>
      </c>
      <c r="G2497">
        <v>-503.22649999999999</v>
      </c>
      <c r="H2497">
        <v>7.9981979999999994E-2</v>
      </c>
      <c r="I2497">
        <v>285.75540000000001</v>
      </c>
      <c r="J2497">
        <v>-344.07049999999998</v>
      </c>
      <c r="K2497">
        <v>1.1213379999999999</v>
      </c>
      <c r="L2497">
        <v>284.55279999999999</v>
      </c>
      <c r="M2497">
        <v>-0.9998051</v>
      </c>
      <c r="N2497">
        <v>-1.487379E-2</v>
      </c>
      <c r="O2497">
        <v>1.298998E-2</v>
      </c>
      <c r="P2497">
        <v>-0.98486050000000003</v>
      </c>
      <c r="Q2497">
        <v>0.16146849999999999</v>
      </c>
      <c r="R2497">
        <v>6.3069719999999996E-2</v>
      </c>
      <c r="S2497">
        <v>-3.0476990000000002</v>
      </c>
      <c r="T2497">
        <v>-1.9890430000000001E-2</v>
      </c>
      <c r="U2497">
        <v>2.3071290000000001E-2</v>
      </c>
      <c r="V2497">
        <v>5.0277719999999998E-2</v>
      </c>
      <c r="W2497">
        <v>0.1761076</v>
      </c>
      <c r="X2497">
        <v>0.98308609999999996</v>
      </c>
      <c r="Y2497">
        <v>-5.4209979999999998E-3</v>
      </c>
      <c r="Z2497" s="1">
        <v>5.0445709999999998E-5</v>
      </c>
      <c r="AA2497">
        <v>0.99998529999999997</v>
      </c>
      <c r="AB2497">
        <v>42</v>
      </c>
      <c r="AC2497">
        <v>-159.15600000000001</v>
      </c>
      <c r="AD2497">
        <v>-1.04135602</v>
      </c>
      <c r="AE2497">
        <v>1.2026000000000101</v>
      </c>
      <c r="AF2497">
        <v>-0.86512622459444499</v>
      </c>
      <c r="AG2497">
        <v>-1.04135602</v>
      </c>
      <c r="AH2497">
        <v>159.151378988413</v>
      </c>
      <c r="AI2497">
        <v>90.374885674078499</v>
      </c>
      <c r="AJ2497">
        <v>90.31144934788</v>
      </c>
      <c r="AK2497">
        <v>159.15713713075601</v>
      </c>
      <c r="AL2497">
        <v>79.856880060841306</v>
      </c>
      <c r="AM2497">
        <v>87.072287437057199</v>
      </c>
      <c r="AN2497">
        <v>1.00000000795968</v>
      </c>
    </row>
    <row r="2498" spans="1:40" x14ac:dyDescent="0.25">
      <c r="A2498" t="str">
        <f>"20190303170306710"</f>
        <v>20190303170306710</v>
      </c>
      <c r="B2498" t="str">
        <f>"1551603786698327"</f>
        <v>1551603786698327</v>
      </c>
      <c r="C2498" t="s">
        <v>40</v>
      </c>
      <c r="D2498">
        <v>4.0904569999999998</v>
      </c>
      <c r="E2498">
        <v>0.48294510000000002</v>
      </c>
      <c r="F2498" t="s">
        <v>44</v>
      </c>
      <c r="G2498">
        <v>-526.42150000000004</v>
      </c>
      <c r="H2498">
        <v>-0.05</v>
      </c>
      <c r="I2498">
        <v>285.94409999999999</v>
      </c>
      <c r="J2498">
        <v>-344.4751</v>
      </c>
      <c r="K2498">
        <v>1.1213420000000001</v>
      </c>
      <c r="L2498">
        <v>284.55810000000002</v>
      </c>
      <c r="M2498">
        <v>-0.99980440000000004</v>
      </c>
      <c r="N2498">
        <v>-1.4921800000000001E-2</v>
      </c>
      <c r="O2498">
        <v>1.299026E-2</v>
      </c>
      <c r="P2498">
        <v>-0.98479470000000002</v>
      </c>
      <c r="Q2498">
        <v>0.16174189999999999</v>
      </c>
      <c r="R2498">
        <v>6.3397919999999996E-2</v>
      </c>
      <c r="S2498">
        <v>-3.0478519999999998</v>
      </c>
      <c r="T2498">
        <v>-1.9577979999999998E-2</v>
      </c>
      <c r="U2498">
        <v>2.325439E-2</v>
      </c>
      <c r="V2498">
        <v>5.0606180000000001E-2</v>
      </c>
      <c r="W2498">
        <v>0.17642769999999999</v>
      </c>
      <c r="X2498">
        <v>0.98301179999999999</v>
      </c>
      <c r="Y2498">
        <v>-5.3615859999999998E-3</v>
      </c>
      <c r="Z2498" s="1">
        <v>5.3190419999999898E-5</v>
      </c>
      <c r="AA2498">
        <v>0.99998560000000003</v>
      </c>
      <c r="AB2498">
        <v>42</v>
      </c>
      <c r="AC2498">
        <v>-181.94640000000001</v>
      </c>
      <c r="AD2498">
        <v>-1.1713420000000001</v>
      </c>
      <c r="AE2498">
        <v>1.3859999999999599</v>
      </c>
      <c r="AF2498">
        <v>-0.97787037441675595</v>
      </c>
      <c r="AG2498">
        <v>-1.1713420000000001</v>
      </c>
      <c r="AH2498">
        <v>181.941510725028</v>
      </c>
      <c r="AI2498">
        <v>90.368860609169801</v>
      </c>
      <c r="AJ2498">
        <v>90.307941303022105</v>
      </c>
      <c r="AK2498">
        <v>181.94790902193901</v>
      </c>
      <c r="AL2498">
        <v>79.838247441118995</v>
      </c>
      <c r="AM2498">
        <v>87.052972206979405</v>
      </c>
      <c r="AN2498">
        <v>0.99999995886035997</v>
      </c>
    </row>
    <row r="2499" spans="1:40" x14ac:dyDescent="0.25">
      <c r="A2499" t="str">
        <f>"20190303170306721"</f>
        <v>20190303170306721</v>
      </c>
      <c r="B2499" t="str">
        <f>"1551603786708086"</f>
        <v>1551603786708086</v>
      </c>
      <c r="C2499" t="s">
        <v>40</v>
      </c>
      <c r="D2499">
        <v>4.0820540000000003</v>
      </c>
      <c r="E2499">
        <v>0.48295909999999898</v>
      </c>
      <c r="F2499" t="s">
        <v>44</v>
      </c>
      <c r="G2499">
        <v>-526.56610000000001</v>
      </c>
      <c r="H2499">
        <v>-0.05</v>
      </c>
      <c r="I2499">
        <v>286.03300000000002</v>
      </c>
      <c r="J2499">
        <v>-344.69510000000002</v>
      </c>
      <c r="K2499">
        <v>1.121345</v>
      </c>
      <c r="L2499">
        <v>284.5609</v>
      </c>
      <c r="M2499">
        <v>-0.99980389999999997</v>
      </c>
      <c r="N2499">
        <v>-1.4944789999999999E-2</v>
      </c>
      <c r="O2499">
        <v>1.299055E-2</v>
      </c>
      <c r="P2499">
        <v>-0.98482789999999998</v>
      </c>
      <c r="Q2499">
        <v>0.16147549999999999</v>
      </c>
      <c r="R2499">
        <v>6.3556249999999995E-2</v>
      </c>
      <c r="S2499">
        <v>-3.0479430000000001</v>
      </c>
      <c r="T2499">
        <v>-1.960659E-2</v>
      </c>
      <c r="U2499">
        <v>2.4688720000000001E-2</v>
      </c>
      <c r="V2499">
        <v>5.0763320000000001E-2</v>
      </c>
      <c r="W2499">
        <v>0.17618410000000001</v>
      </c>
      <c r="X2499">
        <v>0.98304740000000002</v>
      </c>
      <c r="Y2499">
        <v>-4.891594E-3</v>
      </c>
      <c r="Z2499" s="1">
        <v>5.8309900000000002E-5</v>
      </c>
      <c r="AA2499">
        <v>0.99998799999999999</v>
      </c>
      <c r="AB2499">
        <v>42</v>
      </c>
      <c r="AC2499">
        <v>-181.87100000000001</v>
      </c>
      <c r="AD2499">
        <v>-1.1713450000000001</v>
      </c>
      <c r="AE2499">
        <v>1.47210000000001</v>
      </c>
      <c r="AF2499">
        <v>-0.89085556869214999</v>
      </c>
      <c r="AG2499">
        <v>-1.1713450000000001</v>
      </c>
      <c r="AH2499">
        <v>181.867232255473</v>
      </c>
      <c r="AI2499">
        <v>90.369013103310905</v>
      </c>
      <c r="AJ2499">
        <v>90.280654493807205</v>
      </c>
      <c r="AK2499">
        <v>181.87318615183401</v>
      </c>
      <c r="AL2499">
        <v>79.852426933909101</v>
      </c>
      <c r="AM2499">
        <v>87.043944301526096</v>
      </c>
      <c r="AN2499">
        <v>0.99999997119849504</v>
      </c>
    </row>
    <row r="2500" spans="1:40" x14ac:dyDescent="0.25">
      <c r="A2500" t="str">
        <f>"20190303170306733"</f>
        <v>20190303170306733</v>
      </c>
      <c r="B2500" t="str">
        <f>"1551603786717846"</f>
        <v>1551603786717846</v>
      </c>
      <c r="C2500" t="s">
        <v>40</v>
      </c>
      <c r="D2500">
        <v>4.1253029999999997</v>
      </c>
      <c r="E2500">
        <v>0.48295719999999998</v>
      </c>
      <c r="F2500" t="s">
        <v>57</v>
      </c>
      <c r="G2500">
        <v>-499.96890000000002</v>
      </c>
      <c r="H2500">
        <v>6.1110320000000003E-2</v>
      </c>
      <c r="I2500">
        <v>285.84039999999999</v>
      </c>
      <c r="J2500">
        <v>-344.91109999999998</v>
      </c>
      <c r="K2500">
        <v>1.1213470000000001</v>
      </c>
      <c r="L2500">
        <v>284.56380000000001</v>
      </c>
      <c r="M2500">
        <v>-0.99980369999999996</v>
      </c>
      <c r="N2500">
        <v>-1.4965900000000001E-2</v>
      </c>
      <c r="O2500">
        <v>1.2990740000000001E-2</v>
      </c>
      <c r="P2500">
        <v>-0.98485129999999999</v>
      </c>
      <c r="Q2500">
        <v>0.1612644</v>
      </c>
      <c r="R2500">
        <v>6.3733639999999994E-2</v>
      </c>
      <c r="S2500">
        <v>-3.0480040000000002</v>
      </c>
      <c r="T2500">
        <v>-2.0812270000000001E-2</v>
      </c>
      <c r="U2500">
        <v>2.5115970000000001E-2</v>
      </c>
      <c r="V2500">
        <v>5.0940329999999999E-2</v>
      </c>
      <c r="W2500">
        <v>0.1759945</v>
      </c>
      <c r="X2500">
        <v>0.98307219999999995</v>
      </c>
      <c r="Y2500">
        <v>-4.751814E-3</v>
      </c>
      <c r="Z2500" s="1">
        <v>5.3953699999999998E-5</v>
      </c>
      <c r="AA2500">
        <v>0.99998869999999895</v>
      </c>
      <c r="AB2500">
        <v>42</v>
      </c>
      <c r="AC2500">
        <v>-155.05779999999999</v>
      </c>
      <c r="AD2500">
        <v>-1.0602366799999901</v>
      </c>
      <c r="AE2500">
        <v>1.27659999999997</v>
      </c>
      <c r="AF2500">
        <v>-0.738014251667784</v>
      </c>
      <c r="AG2500">
        <v>-1.0602366799999901</v>
      </c>
      <c r="AH2500">
        <v>155.054049729045</v>
      </c>
      <c r="AI2500">
        <v>90.391769530341506</v>
      </c>
      <c r="AJ2500">
        <v>90.272709952412598</v>
      </c>
      <c r="AK2500">
        <v>155.05943087806801</v>
      </c>
      <c r="AL2500">
        <v>79.8634626010993</v>
      </c>
      <c r="AM2500">
        <v>87.033729709855294</v>
      </c>
      <c r="AN2500">
        <v>0.99999996583179795</v>
      </c>
    </row>
    <row r="2501" spans="1:40" x14ac:dyDescent="0.25">
      <c r="A2501" t="str">
        <f>"20190303170306745"</f>
        <v>20190303170306745</v>
      </c>
      <c r="B2501" t="str">
        <f>"1551603786738342"</f>
        <v>1551603786738342</v>
      </c>
      <c r="C2501" t="s">
        <v>40</v>
      </c>
      <c r="D2501">
        <v>4.1557430000000002</v>
      </c>
      <c r="E2501">
        <v>0.48296800000000001</v>
      </c>
      <c r="F2501" t="s">
        <v>57</v>
      </c>
      <c r="G2501">
        <v>-499.95780000000002</v>
      </c>
      <c r="H2501">
        <v>6.2302750000000004E-3</v>
      </c>
      <c r="I2501">
        <v>285.86309999999997</v>
      </c>
      <c r="J2501">
        <v>-345.12860000000001</v>
      </c>
      <c r="K2501">
        <v>1.1213489999999999</v>
      </c>
      <c r="L2501">
        <v>284.56659999999999</v>
      </c>
      <c r="M2501">
        <v>-0.99980340000000001</v>
      </c>
      <c r="N2501">
        <v>-1.498465E-2</v>
      </c>
      <c r="O2501">
        <v>1.2990959999999999E-2</v>
      </c>
      <c r="P2501">
        <v>-0.98484349999999998</v>
      </c>
      <c r="Q2501">
        <v>0.16120680000000001</v>
      </c>
      <c r="R2501">
        <v>6.3998239999999998E-2</v>
      </c>
      <c r="S2501">
        <v>-3.0480649999999998</v>
      </c>
      <c r="T2501">
        <v>-2.1922110000000002E-2</v>
      </c>
      <c r="U2501">
        <v>2.554321E-2</v>
      </c>
      <c r="V2501">
        <v>5.1204600000000003E-2</v>
      </c>
      <c r="W2501">
        <v>0.1759551</v>
      </c>
      <c r="X2501">
        <v>0.98306550000000004</v>
      </c>
      <c r="Y2501">
        <v>-4.6120570000000001E-3</v>
      </c>
      <c r="Z2501" s="1">
        <v>5.011156E-5</v>
      </c>
      <c r="AA2501">
        <v>0.99998940000000003</v>
      </c>
      <c r="AB2501">
        <v>42</v>
      </c>
      <c r="AC2501">
        <v>-154.82919999999999</v>
      </c>
      <c r="AD2501">
        <v>-1.1151187250000001</v>
      </c>
      <c r="AE2501">
        <v>1.29649999999998</v>
      </c>
      <c r="AF2501">
        <v>-0.71517799083691502</v>
      </c>
      <c r="AG2501">
        <v>-1.1151187250000001</v>
      </c>
      <c r="AH2501">
        <v>154.824945726685</v>
      </c>
      <c r="AI2501">
        <v>90.412658373193196</v>
      </c>
      <c r="AJ2501">
        <v>90.264662705602305</v>
      </c>
      <c r="AK2501">
        <v>154.83061321521799</v>
      </c>
      <c r="AL2501">
        <v>79.865755605621999</v>
      </c>
      <c r="AM2501">
        <v>87.018348602006597</v>
      </c>
      <c r="AN2501">
        <v>0.99999994278370796</v>
      </c>
    </row>
    <row r="2502" spans="1:40" x14ac:dyDescent="0.25">
      <c r="A2502" t="str">
        <f>"20190303170306758"</f>
        <v>20190303170306758</v>
      </c>
      <c r="B2502" t="str">
        <f>"1551603786748101"</f>
        <v>1551603786748101</v>
      </c>
      <c r="C2502" t="s">
        <v>40</v>
      </c>
      <c r="D2502">
        <v>4.1635519999999904</v>
      </c>
      <c r="E2502">
        <v>0.48296800000000001</v>
      </c>
      <c r="F2502" t="s">
        <v>57</v>
      </c>
      <c r="G2502">
        <v>-492.22390000000001</v>
      </c>
      <c r="H2502" s="1">
        <v>3.6768710000000002E-6</v>
      </c>
      <c r="I2502">
        <v>285.83749999999998</v>
      </c>
      <c r="J2502">
        <v>-345.37959999999998</v>
      </c>
      <c r="K2502">
        <v>1.121354</v>
      </c>
      <c r="L2502">
        <v>284.56990000000002</v>
      </c>
      <c r="M2502">
        <v>-0.99980309999999994</v>
      </c>
      <c r="N2502">
        <v>-1.5004999999999999E-2</v>
      </c>
      <c r="O2502">
        <v>1.299062E-2</v>
      </c>
      <c r="P2502">
        <v>-0.98487959999999997</v>
      </c>
      <c r="Q2502">
        <v>0.16093869999999999</v>
      </c>
      <c r="R2502">
        <v>6.4119499999999996E-2</v>
      </c>
      <c r="S2502">
        <v>-3.0482480000000001</v>
      </c>
      <c r="T2502">
        <v>-2.3237589999999999E-2</v>
      </c>
      <c r="U2502">
        <v>2.633667E-2</v>
      </c>
      <c r="V2502">
        <v>5.1325610000000001E-2</v>
      </c>
      <c r="W2502">
        <v>0.17570769999999999</v>
      </c>
      <c r="X2502">
        <v>0.98310350000000002</v>
      </c>
      <c r="Y2502">
        <v>-4.3519810000000004E-3</v>
      </c>
      <c r="Z2502" s="1">
        <v>4.6674849999999999E-5</v>
      </c>
      <c r="AA2502">
        <v>0.9999905</v>
      </c>
      <c r="AB2502">
        <v>41</v>
      </c>
      <c r="AC2502">
        <v>-146.8443</v>
      </c>
      <c r="AD2502">
        <v>-1.1213503231290001</v>
      </c>
      <c r="AE2502">
        <v>1.2675999999999501</v>
      </c>
      <c r="AF2502">
        <v>-0.64028279829027201</v>
      </c>
      <c r="AG2502">
        <v>-1.1213503231290001</v>
      </c>
      <c r="AH2502">
        <v>146.83981291541701</v>
      </c>
      <c r="AI2502">
        <v>90.437529713279503</v>
      </c>
      <c r="AJ2502">
        <v>90.249831900543697</v>
      </c>
      <c r="AK2502">
        <v>146.845490382387</v>
      </c>
      <c r="AL2502">
        <v>79.880155534140798</v>
      </c>
      <c r="AM2502">
        <v>87.011430244269604</v>
      </c>
      <c r="AN2502">
        <v>1.0000000028967</v>
      </c>
    </row>
    <row r="2503" spans="1:40" x14ac:dyDescent="0.25">
      <c r="A2503" t="str">
        <f>"20190303170306772"</f>
        <v>20190303170306772</v>
      </c>
      <c r="B2503" t="str">
        <f>"1551603786757862"</f>
        <v>1551603786757862</v>
      </c>
      <c r="C2503" t="s">
        <v>40</v>
      </c>
      <c r="D2503">
        <v>4.1274730000000002</v>
      </c>
      <c r="E2503">
        <v>0.50620329999999902</v>
      </c>
      <c r="F2503" t="s">
        <v>57</v>
      </c>
      <c r="G2503">
        <v>-487.06479999999999</v>
      </c>
      <c r="H2503" s="1">
        <v>3.5649949999999998E-6</v>
      </c>
      <c r="I2503">
        <v>285.8295</v>
      </c>
      <c r="J2503">
        <v>-345.63869999999997</v>
      </c>
      <c r="K2503">
        <v>1.1213649999999999</v>
      </c>
      <c r="L2503">
        <v>284.57319999999999</v>
      </c>
      <c r="M2503">
        <v>-0.99980279999999999</v>
      </c>
      <c r="N2503">
        <v>-1.5023699999999999E-2</v>
      </c>
      <c r="O2503">
        <v>1.298945E-2</v>
      </c>
      <c r="P2503">
        <v>-0.98483549999999997</v>
      </c>
      <c r="Q2503">
        <v>0.16124150000000001</v>
      </c>
      <c r="R2503">
        <v>6.4034229999999998E-2</v>
      </c>
      <c r="S2503">
        <v>-3.0482179999999999</v>
      </c>
      <c r="T2503">
        <v>-2.4124739999999999E-2</v>
      </c>
      <c r="U2503">
        <v>2.709961E-2</v>
      </c>
      <c r="V2503">
        <v>5.124182E-2</v>
      </c>
      <c r="W2503">
        <v>0.17602880000000001</v>
      </c>
      <c r="X2503">
        <v>0.98305039999999999</v>
      </c>
      <c r="Y2503">
        <v>-4.1004939999999997E-3</v>
      </c>
      <c r="Z2503" s="1">
        <v>4.53385E-5</v>
      </c>
      <c r="AA2503">
        <v>0.99999159999999998</v>
      </c>
      <c r="AB2503">
        <v>41</v>
      </c>
      <c r="AC2503">
        <v>-141.42609999999999</v>
      </c>
      <c r="AD2503">
        <v>-1.1213614350050001</v>
      </c>
      <c r="AE2503">
        <v>1.25630000000001</v>
      </c>
      <c r="AF2503">
        <v>-0.58102402944657805</v>
      </c>
      <c r="AG2503">
        <v>-1.1213614350050001</v>
      </c>
      <c r="AH2503">
        <v>141.421595932744</v>
      </c>
      <c r="AI2503">
        <v>90.454296873522097</v>
      </c>
      <c r="AJ2503">
        <v>90.235395712791103</v>
      </c>
      <c r="AK2503">
        <v>141.42723513013701</v>
      </c>
      <c r="AL2503">
        <v>79.861466289507206</v>
      </c>
      <c r="AM2503">
        <v>87.016139441365894</v>
      </c>
      <c r="AN2503">
        <v>0.99999997574325505</v>
      </c>
    </row>
    <row r="2504" spans="1:40" x14ac:dyDescent="0.25">
      <c r="A2504" t="str">
        <f>"20190303170306785"</f>
        <v>20190303170306785</v>
      </c>
      <c r="B2504" t="str">
        <f>"1551603786778357"</f>
        <v>1551603786778357</v>
      </c>
      <c r="C2504" t="s">
        <v>40</v>
      </c>
      <c r="D2504">
        <v>4.1665700000000001</v>
      </c>
      <c r="E2504">
        <v>0.51831190000000005</v>
      </c>
      <c r="F2504" t="s">
        <v>62</v>
      </c>
      <c r="G2504">
        <v>-362.44619999999998</v>
      </c>
      <c r="H2504" s="1">
        <v>-2.3502930000000001E-7</v>
      </c>
      <c r="I2504">
        <v>285.67700000000002</v>
      </c>
      <c r="J2504">
        <v>-345.8809</v>
      </c>
      <c r="K2504">
        <v>1.121373</v>
      </c>
      <c r="L2504">
        <v>284.57639999999998</v>
      </c>
      <c r="M2504">
        <v>-0.99980259999999999</v>
      </c>
      <c r="N2504">
        <v>-1.5039220000000001E-2</v>
      </c>
      <c r="O2504">
        <v>1.2985969999999999E-2</v>
      </c>
      <c r="P2504">
        <v>-0.98483929999999997</v>
      </c>
      <c r="Q2504">
        <v>0.1612246</v>
      </c>
      <c r="R2504">
        <v>6.4018950000000005E-2</v>
      </c>
      <c r="S2504">
        <v>-3.0666199999999999</v>
      </c>
      <c r="T2504">
        <v>-0.20459849999999999</v>
      </c>
      <c r="U2504">
        <v>0.2013855</v>
      </c>
      <c r="V2504">
        <v>5.1229280000000002E-2</v>
      </c>
      <c r="W2504">
        <v>0.17602689999999999</v>
      </c>
      <c r="X2504">
        <v>0.98305140000000002</v>
      </c>
      <c r="Y2504">
        <v>5.2438850000000002E-2</v>
      </c>
      <c r="Z2504">
        <v>1.471352E-3</v>
      </c>
      <c r="AA2504">
        <v>0.99862309999999999</v>
      </c>
      <c r="AB2504">
        <v>41</v>
      </c>
      <c r="AC2504">
        <v>-16.565299999999901</v>
      </c>
      <c r="AD2504">
        <v>-1.1213732350293</v>
      </c>
      <c r="AE2504">
        <v>1.10060000000004</v>
      </c>
      <c r="AF2504">
        <v>0.88134535181359497</v>
      </c>
      <c r="AG2504">
        <v>-1.1213732350293</v>
      </c>
      <c r="AH2504">
        <v>16.502904775424799</v>
      </c>
      <c r="AI2504">
        <v>93.881760966368404</v>
      </c>
      <c r="AJ2504">
        <v>86.9429962155764</v>
      </c>
      <c r="AK2504">
        <v>16.564423128746199</v>
      </c>
      <c r="AL2504">
        <v>79.861576940855599</v>
      </c>
      <c r="AM2504">
        <v>87.016871367633499</v>
      </c>
      <c r="AN2504">
        <v>0.99999998184744399</v>
      </c>
    </row>
    <row r="2505" spans="1:40" x14ac:dyDescent="0.25">
      <c r="A2505" t="str">
        <f>"20190303170306799"</f>
        <v>20190303170306799</v>
      </c>
      <c r="B2505" t="str">
        <f>"1551603786788117"</f>
        <v>1551603786788117</v>
      </c>
      <c r="C2505" t="s">
        <v>40</v>
      </c>
      <c r="D2505">
        <v>4.222677</v>
      </c>
      <c r="E2505">
        <v>0.5217195</v>
      </c>
      <c r="F2505" t="s">
        <v>43</v>
      </c>
      <c r="G2505">
        <v>-346.7724</v>
      </c>
      <c r="H2505">
        <v>1.0229820000000001</v>
      </c>
      <c r="I2505">
        <v>284.66039999999998</v>
      </c>
      <c r="J2505">
        <v>-346.14069999999998</v>
      </c>
      <c r="K2505">
        <v>1.121375</v>
      </c>
      <c r="L2505">
        <v>284.57979999999998</v>
      </c>
      <c r="M2505">
        <v>-0.99980250000000004</v>
      </c>
      <c r="N2505">
        <v>-1.505459E-2</v>
      </c>
      <c r="O2505">
        <v>1.297823E-2</v>
      </c>
      <c r="P2505">
        <v>-0.98478529999999997</v>
      </c>
      <c r="Q2505">
        <v>0.1616562</v>
      </c>
      <c r="R2505">
        <v>6.3758780000000001E-2</v>
      </c>
      <c r="S2505">
        <v>-3.0830690000000001</v>
      </c>
      <c r="T2505">
        <v>-0.34022529999999901</v>
      </c>
      <c r="U2505">
        <v>0.28997800000000001</v>
      </c>
      <c r="V2505">
        <v>5.0976059999999997E-2</v>
      </c>
      <c r="W2505">
        <v>0.1764733</v>
      </c>
      <c r="X2505">
        <v>0.98298450000000004</v>
      </c>
      <c r="Y2505">
        <v>8.0220070000000004E-2</v>
      </c>
      <c r="Z2505">
        <v>3.7805009999999999E-3</v>
      </c>
      <c r="AA2505">
        <v>0.99677000000000004</v>
      </c>
      <c r="AB2505">
        <v>41</v>
      </c>
      <c r="AC2505">
        <v>-0.63170000000002302</v>
      </c>
      <c r="AD2505">
        <v>-9.8392999999999897E-2</v>
      </c>
      <c r="AE2505">
        <v>8.0600000000004002E-2</v>
      </c>
      <c r="AF2505">
        <v>7.0706021759195298E-2</v>
      </c>
      <c r="AG2505">
        <v>-9.8392999999999897E-2</v>
      </c>
      <c r="AH2505">
        <v>0.61794129980119605</v>
      </c>
      <c r="AI2505">
        <v>98.989405165779402</v>
      </c>
      <c r="AJ2505">
        <v>83.472495721496898</v>
      </c>
      <c r="AK2505">
        <v>0.62970784810259695</v>
      </c>
      <c r="AL2505">
        <v>79.835593073937602</v>
      </c>
      <c r="AM2505">
        <v>87.031388504484994</v>
      </c>
      <c r="AN2505">
        <v>0.99999995577312994</v>
      </c>
    </row>
    <row r="2506" spans="1:40" x14ac:dyDescent="0.25">
      <c r="A2506" t="str">
        <f>"20190303170306823"</f>
        <v>20190303170306823</v>
      </c>
      <c r="B2506" t="str">
        <f>"1551603786807637"</f>
        <v>1551603786807637</v>
      </c>
      <c r="C2506" t="s">
        <v>40</v>
      </c>
      <c r="D2506">
        <v>4.210769</v>
      </c>
      <c r="E2506">
        <v>0.52543530000000005</v>
      </c>
      <c r="F2506" t="s">
        <v>43</v>
      </c>
      <c r="G2506">
        <v>-347.12689999999998</v>
      </c>
      <c r="H2506">
        <v>0.99322440000000001</v>
      </c>
      <c r="I2506">
        <v>284.67989999999998</v>
      </c>
      <c r="J2506">
        <v>-346.56299999999999</v>
      </c>
      <c r="K2506">
        <v>1.1213879999999901</v>
      </c>
      <c r="L2506">
        <v>284.58519999999999</v>
      </c>
      <c r="M2506">
        <v>-0.99980250000000004</v>
      </c>
      <c r="N2506">
        <v>-1.507592E-2</v>
      </c>
      <c r="O2506">
        <v>1.294758E-2</v>
      </c>
      <c r="P2506">
        <v>-0.98485489999999998</v>
      </c>
      <c r="Q2506">
        <v>0.1610954</v>
      </c>
      <c r="R2506">
        <v>6.410486E-2</v>
      </c>
      <c r="S2506">
        <v>-3.0921020000000001</v>
      </c>
      <c r="T2506">
        <v>-0.40203650000000002</v>
      </c>
      <c r="U2506">
        <v>0.31262210000000001</v>
      </c>
      <c r="V2506">
        <v>5.1346889999999999E-2</v>
      </c>
      <c r="W2506">
        <v>0.1759358</v>
      </c>
      <c r="X2506">
        <v>0.98306159999999998</v>
      </c>
      <c r="Y2506">
        <v>8.6973170000000002E-2</v>
      </c>
      <c r="Z2506">
        <v>4.798811E-3</v>
      </c>
      <c r="AA2506">
        <v>0.9961991</v>
      </c>
      <c r="AB2506">
        <v>41</v>
      </c>
      <c r="AC2506">
        <v>-0.56389999999993201</v>
      </c>
      <c r="AD2506">
        <v>-0.12816359999999899</v>
      </c>
      <c r="AE2506">
        <v>9.4699999999988904E-2</v>
      </c>
      <c r="AF2506">
        <v>8.3209667847653698E-2</v>
      </c>
      <c r="AG2506">
        <v>-0.12816359999999899</v>
      </c>
      <c r="AH2506">
        <v>0.53804768629431399</v>
      </c>
      <c r="AI2506">
        <v>103.24641827488701</v>
      </c>
      <c r="AJ2506">
        <v>81.208789401628195</v>
      </c>
      <c r="AK2506">
        <v>0.55932554913479704</v>
      </c>
      <c r="AL2506">
        <v>79.866879617547795</v>
      </c>
      <c r="AM2506">
        <v>87.010066207299005</v>
      </c>
      <c r="AN2506">
        <v>1.0000000091144301</v>
      </c>
    </row>
    <row r="2507" spans="1:40" x14ac:dyDescent="0.25">
      <c r="A2507" t="str">
        <f>"20190303170306834"</f>
        <v>20190303170306834</v>
      </c>
      <c r="B2507" t="str">
        <f>"1551603786828134"</f>
        <v>1551603786828134</v>
      </c>
      <c r="C2507" t="s">
        <v>40</v>
      </c>
      <c r="D2507">
        <v>4.1338010000000001</v>
      </c>
      <c r="E2507">
        <v>0.526559</v>
      </c>
      <c r="F2507" t="s">
        <v>43</v>
      </c>
      <c r="G2507">
        <v>-347.48509999999999</v>
      </c>
      <c r="H2507">
        <v>0.97159700000000004</v>
      </c>
      <c r="I2507">
        <v>284.68529999999998</v>
      </c>
      <c r="J2507">
        <v>-346.79410000000001</v>
      </c>
      <c r="K2507">
        <v>1.1213949999999999</v>
      </c>
      <c r="L2507">
        <v>284.58819999999997</v>
      </c>
      <c r="M2507">
        <v>-0.99980259999999999</v>
      </c>
      <c r="N2507">
        <v>-1.508636E-2</v>
      </c>
      <c r="O2507">
        <v>1.292188E-2</v>
      </c>
      <c r="P2507">
        <v>-0.98491499999999998</v>
      </c>
      <c r="Q2507">
        <v>0.16067039999999999</v>
      </c>
      <c r="R2507">
        <v>6.4245479999999994E-2</v>
      </c>
      <c r="S2507">
        <v>-3.1067809999999998</v>
      </c>
      <c r="T2507">
        <v>-0.50473789999999996</v>
      </c>
      <c r="U2507">
        <v>0.33636470000000002</v>
      </c>
      <c r="V2507">
        <v>5.1507869999999997E-2</v>
      </c>
      <c r="W2507">
        <v>0.1755237</v>
      </c>
      <c r="X2507">
        <v>0.98312679999999997</v>
      </c>
      <c r="Y2507">
        <v>9.3591649999999998E-2</v>
      </c>
      <c r="Z2507">
        <v>6.3585530000000003E-3</v>
      </c>
      <c r="AA2507">
        <v>0.99559039999999999</v>
      </c>
      <c r="AB2507">
        <v>41</v>
      </c>
      <c r="AC2507">
        <v>-0.69099999999997397</v>
      </c>
      <c r="AD2507">
        <v>-0.14979799999999999</v>
      </c>
      <c r="AE2507">
        <v>9.7100000000011705E-2</v>
      </c>
      <c r="AF2507">
        <v>8.4277871092249795E-2</v>
      </c>
      <c r="AG2507">
        <v>-0.14979799999999999</v>
      </c>
      <c r="AH2507">
        <v>0.66170230164250599</v>
      </c>
      <c r="AI2507">
        <v>102.656856703353</v>
      </c>
      <c r="AJ2507">
        <v>82.741589467352597</v>
      </c>
      <c r="AK2507">
        <v>0.68366083430223801</v>
      </c>
      <c r="AL2507">
        <v>79.890864023429998</v>
      </c>
      <c r="AM2507">
        <v>87.000907963523602</v>
      </c>
      <c r="AN2507">
        <v>0.999999967405932</v>
      </c>
    </row>
    <row r="2508" spans="1:40" x14ac:dyDescent="0.25">
      <c r="A2508" t="str">
        <f>"20190303170306846"</f>
        <v>20190303170306846</v>
      </c>
      <c r="B2508" t="str">
        <f>"1551603786837894"</f>
        <v>1551603786837894</v>
      </c>
      <c r="C2508" t="s">
        <v>40</v>
      </c>
      <c r="D2508">
        <v>4.1484550000000002</v>
      </c>
      <c r="E2508">
        <v>0.52691319999999997</v>
      </c>
      <c r="F2508" t="s">
        <v>43</v>
      </c>
      <c r="G2508">
        <v>-347.83479999999997</v>
      </c>
      <c r="H2508">
        <v>0.93255900000000003</v>
      </c>
      <c r="I2508">
        <v>284.70240000000001</v>
      </c>
      <c r="J2508">
        <v>-347.01620000000003</v>
      </c>
      <c r="K2508">
        <v>1.12141</v>
      </c>
      <c r="L2508">
        <v>284.59100000000001</v>
      </c>
      <c r="M2508">
        <v>-0.999803</v>
      </c>
      <c r="N2508">
        <v>-1.509489E-2</v>
      </c>
      <c r="O2508">
        <v>1.2881699999999999E-2</v>
      </c>
      <c r="P2508">
        <v>-0.98491280000000003</v>
      </c>
      <c r="Q2508">
        <v>0.1605943</v>
      </c>
      <c r="R2508">
        <v>6.4468250000000005E-2</v>
      </c>
      <c r="S2508">
        <v>-3.115875</v>
      </c>
      <c r="T2508">
        <v>-0.56538869999999997</v>
      </c>
      <c r="U2508">
        <v>0.34173579999999998</v>
      </c>
      <c r="V2508">
        <v>5.1764600000000001E-2</v>
      </c>
      <c r="W2508">
        <v>0.175457</v>
      </c>
      <c r="X2508">
        <v>0.98312529999999998</v>
      </c>
      <c r="Y2508">
        <v>9.4722689999999998E-2</v>
      </c>
      <c r="Z2508">
        <v>7.1039469999999898E-3</v>
      </c>
      <c r="AA2508">
        <v>0.99547830000000004</v>
      </c>
      <c r="AB2508">
        <v>41</v>
      </c>
      <c r="AC2508">
        <v>-0.81859999999994604</v>
      </c>
      <c r="AD2508">
        <v>-0.18885099999999999</v>
      </c>
      <c r="AE2508">
        <v>0.111400000000003</v>
      </c>
      <c r="AF2508">
        <v>9.5836671184170094E-2</v>
      </c>
      <c r="AG2508">
        <v>-0.18885099999999999</v>
      </c>
      <c r="AH2508">
        <v>0.779247845230434</v>
      </c>
      <c r="AI2508">
        <v>103.524878901999</v>
      </c>
      <c r="AJ2508">
        <v>82.988623153657301</v>
      </c>
      <c r="AK2508">
        <v>0.80751258320903996</v>
      </c>
      <c r="AL2508">
        <v>79.894746677176201</v>
      </c>
      <c r="AM2508">
        <v>86.985982531894507</v>
      </c>
      <c r="AN2508">
        <v>1.0000000440811201</v>
      </c>
    </row>
    <row r="2509" spans="1:40" x14ac:dyDescent="0.25">
      <c r="A2509" t="str">
        <f>"20190303170306860"</f>
        <v>20190303170306860</v>
      </c>
      <c r="B2509" t="str">
        <f>"1551603786847654"</f>
        <v>1551603786847654</v>
      </c>
      <c r="C2509" t="s">
        <v>40</v>
      </c>
      <c r="D2509">
        <v>4.1321729999999999</v>
      </c>
      <c r="E2509">
        <v>0.52717809999999998</v>
      </c>
      <c r="F2509" t="s">
        <v>43</v>
      </c>
      <c r="G2509">
        <v>-347.85019999999997</v>
      </c>
      <c r="H2509">
        <v>0.96455219999999997</v>
      </c>
      <c r="I2509">
        <v>284.68299999999999</v>
      </c>
      <c r="J2509">
        <v>-347.24360000000001</v>
      </c>
      <c r="K2509">
        <v>1.121427</v>
      </c>
      <c r="L2509">
        <v>284.59390000000002</v>
      </c>
      <c r="M2509">
        <v>-0.99980360000000001</v>
      </c>
      <c r="N2509">
        <v>-1.5103129999999999E-2</v>
      </c>
      <c r="O2509">
        <v>1.2832299999999901E-2</v>
      </c>
      <c r="P2509">
        <v>-0.98487729999999996</v>
      </c>
      <c r="Q2509">
        <v>0.16077849999999999</v>
      </c>
      <c r="R2509">
        <v>6.4555319999999999E-2</v>
      </c>
      <c r="S2509">
        <v>-3.1191710000000001</v>
      </c>
      <c r="T2509">
        <v>-0.58663540000000003</v>
      </c>
      <c r="U2509">
        <v>0.34335329999999997</v>
      </c>
      <c r="V2509">
        <v>5.1894429999999998E-2</v>
      </c>
      <c r="W2509">
        <v>0.1756509</v>
      </c>
      <c r="X2509">
        <v>0.98308379999999995</v>
      </c>
      <c r="Y2509">
        <v>9.5057569999999994E-2</v>
      </c>
      <c r="Z2509">
        <v>7.368744E-3</v>
      </c>
      <c r="AA2509">
        <v>0.99544449999999995</v>
      </c>
      <c r="AB2509">
        <v>41</v>
      </c>
      <c r="AC2509">
        <v>-0.60659999999995695</v>
      </c>
      <c r="AD2509">
        <v>-0.15687480000000001</v>
      </c>
      <c r="AE2509">
        <v>8.9099999999973506E-2</v>
      </c>
      <c r="AF2509">
        <v>7.6311700871444593E-2</v>
      </c>
      <c r="AG2509">
        <v>-0.15687480000000001</v>
      </c>
      <c r="AH2509">
        <v>0.57035344013554101</v>
      </c>
      <c r="AI2509">
        <v>105.24934715462</v>
      </c>
      <c r="AJ2509">
        <v>82.379244108153102</v>
      </c>
      <c r="AK2509">
        <v>0.59643627089520501</v>
      </c>
      <c r="AL2509">
        <v>79.883461463584396</v>
      </c>
      <c r="AM2509">
        <v>86.9783097951141</v>
      </c>
      <c r="AN2509">
        <v>1.0000000141791301</v>
      </c>
    </row>
    <row r="2510" spans="1:40" x14ac:dyDescent="0.25">
      <c r="A2510" t="str">
        <f>"20190303170306873"</f>
        <v>20190303170306873</v>
      </c>
      <c r="B2510" t="str">
        <f>"1551603786868150"</f>
        <v>1551603786868150</v>
      </c>
      <c r="C2510" t="s">
        <v>40</v>
      </c>
      <c r="D2510">
        <v>4.1096309999999896</v>
      </c>
      <c r="E2510">
        <v>0.52805570000000002</v>
      </c>
      <c r="F2510" t="s">
        <v>43</v>
      </c>
      <c r="G2510">
        <v>-348.2045</v>
      </c>
      <c r="H2510">
        <v>0.93628310000000003</v>
      </c>
      <c r="I2510">
        <v>284.7004</v>
      </c>
      <c r="J2510">
        <v>-347.48340000000002</v>
      </c>
      <c r="K2510">
        <v>1.121451</v>
      </c>
      <c r="L2510">
        <v>284.59699999999998</v>
      </c>
      <c r="M2510">
        <v>-0.99980440000000004</v>
      </c>
      <c r="N2510">
        <v>-1.511088E-2</v>
      </c>
      <c r="O2510">
        <v>1.2766019999999999E-2</v>
      </c>
      <c r="P2510">
        <v>-0.98480500000000004</v>
      </c>
      <c r="Q2510">
        <v>0.16108800000000001</v>
      </c>
      <c r="R2510">
        <v>6.4883850000000007E-2</v>
      </c>
      <c r="S2510">
        <v>-3.1216430000000002</v>
      </c>
      <c r="T2510">
        <v>-0.60153809999999996</v>
      </c>
      <c r="U2510">
        <v>0.3450317</v>
      </c>
      <c r="V2510">
        <v>5.2280760000000003E-2</v>
      </c>
      <c r="W2510">
        <v>0.17596919999999999</v>
      </c>
      <c r="X2510">
        <v>0.98300639999999995</v>
      </c>
      <c r="Y2510">
        <v>9.5482719999999993E-2</v>
      </c>
      <c r="Z2510">
        <v>7.5804679999999999E-3</v>
      </c>
      <c r="AA2510">
        <v>0.99540220000000001</v>
      </c>
      <c r="AB2510">
        <v>41</v>
      </c>
      <c r="AC2510">
        <v>-0.72109999999997798</v>
      </c>
      <c r="AD2510">
        <v>-0.185167899999999</v>
      </c>
      <c r="AE2510">
        <v>0.103400000000021</v>
      </c>
      <c r="AF2510">
        <v>8.8468945202977697E-2</v>
      </c>
      <c r="AG2510">
        <v>-0.185167899999999</v>
      </c>
      <c r="AH2510">
        <v>0.678521920774251</v>
      </c>
      <c r="AI2510">
        <v>105.142061245145</v>
      </c>
      <c r="AJ2510">
        <v>82.571407909906995</v>
      </c>
      <c r="AK2510">
        <v>0.70887650717661399</v>
      </c>
      <c r="AL2510">
        <v>79.864935616701004</v>
      </c>
      <c r="AM2510">
        <v>86.955617625286905</v>
      </c>
      <c r="AN2510">
        <v>1.0000000098278801</v>
      </c>
    </row>
    <row r="2511" spans="1:40" x14ac:dyDescent="0.25">
      <c r="A2511" t="str">
        <f>"20190303170306886"</f>
        <v>20190303170306886</v>
      </c>
      <c r="B2511" t="str">
        <f>"1551603786877909"</f>
        <v>1551603786877909</v>
      </c>
      <c r="C2511" t="s">
        <v>40</v>
      </c>
      <c r="D2511">
        <v>4.1418879999999998</v>
      </c>
      <c r="E2511">
        <v>0.52838980000000002</v>
      </c>
      <c r="F2511" t="s">
        <v>43</v>
      </c>
      <c r="G2511">
        <v>-348.22300000000001</v>
      </c>
      <c r="H2511">
        <v>0.97389950000000003</v>
      </c>
      <c r="I2511">
        <v>284.68049999999999</v>
      </c>
      <c r="J2511">
        <v>-347.74110000000002</v>
      </c>
      <c r="K2511">
        <v>1.121481</v>
      </c>
      <c r="L2511">
        <v>284.60019999999997</v>
      </c>
      <c r="M2511">
        <v>-0.99980550000000001</v>
      </c>
      <c r="N2511">
        <v>-1.5118059999999999E-2</v>
      </c>
      <c r="O2511">
        <v>1.2668159999999999E-2</v>
      </c>
      <c r="P2511">
        <v>-0.98483529999999997</v>
      </c>
      <c r="Q2511">
        <v>0.16097600000000001</v>
      </c>
      <c r="R2511">
        <v>6.4701549999999997E-2</v>
      </c>
      <c r="S2511">
        <v>-3.1251220000000002</v>
      </c>
      <c r="T2511">
        <v>-0.6235735</v>
      </c>
      <c r="U2511">
        <v>0.35159299999999999</v>
      </c>
      <c r="V2511">
        <v>5.2183350000000003E-2</v>
      </c>
      <c r="W2511">
        <v>0.1758682</v>
      </c>
      <c r="X2511">
        <v>0.98302970000000001</v>
      </c>
      <c r="Y2511">
        <v>9.7368529999999995E-2</v>
      </c>
      <c r="Z2511">
        <v>8.0303900000000001E-3</v>
      </c>
      <c r="AA2511">
        <v>0.99521599999999999</v>
      </c>
      <c r="AB2511">
        <v>41</v>
      </c>
      <c r="AC2511">
        <v>-0.481899999999996</v>
      </c>
      <c r="AD2511">
        <v>-0.14758149999999901</v>
      </c>
      <c r="AE2511">
        <v>8.0300000000022395E-2</v>
      </c>
      <c r="AF2511">
        <v>6.7984188703401602E-2</v>
      </c>
      <c r="AG2511">
        <v>-0.14758149999999901</v>
      </c>
      <c r="AH2511">
        <v>0.44249857919029401</v>
      </c>
      <c r="AI2511">
        <v>108.244839116036</v>
      </c>
      <c r="AJ2511">
        <v>81.265540296551805</v>
      </c>
      <c r="AK2511">
        <v>0.47138852514814</v>
      </c>
      <c r="AL2511">
        <v>79.870814665704103</v>
      </c>
      <c r="AM2511">
        <v>86.961351195847598</v>
      </c>
      <c r="AN2511">
        <v>1.00000005843527</v>
      </c>
    </row>
    <row r="2512" spans="1:40" x14ac:dyDescent="0.25">
      <c r="A2512" t="str">
        <f>"20190303170306901"</f>
        <v>20190303170306901</v>
      </c>
      <c r="B2512" t="str">
        <f>"1551603786887670"</f>
        <v>1551603786887670</v>
      </c>
      <c r="C2512" t="s">
        <v>40</v>
      </c>
      <c r="D2512">
        <v>4.1488870000000002</v>
      </c>
      <c r="E2512">
        <v>0.52861639999999999</v>
      </c>
      <c r="F2512" t="s">
        <v>43</v>
      </c>
      <c r="G2512">
        <v>-348.57960000000003</v>
      </c>
      <c r="H2512">
        <v>0.95167919999999995</v>
      </c>
      <c r="I2512">
        <v>284.6952</v>
      </c>
      <c r="J2512">
        <v>-347.9966</v>
      </c>
      <c r="K2512">
        <v>1.1215219999999999</v>
      </c>
      <c r="L2512">
        <v>284.60329999999999</v>
      </c>
      <c r="M2512">
        <v>-0.99980690000000005</v>
      </c>
      <c r="N2512">
        <v>-1.5124459999999999E-2</v>
      </c>
      <c r="O2512">
        <v>1.2550499999999999E-2</v>
      </c>
      <c r="P2512">
        <v>-0.98477510000000001</v>
      </c>
      <c r="Q2512">
        <v>0.1613907</v>
      </c>
      <c r="R2512">
        <v>6.4583619999999994E-2</v>
      </c>
      <c r="S2512">
        <v>-3.1264949999999998</v>
      </c>
      <c r="T2512">
        <v>-0.63322259999999997</v>
      </c>
      <c r="U2512">
        <v>0.35308840000000002</v>
      </c>
      <c r="V2512">
        <v>5.2169449999999999E-2</v>
      </c>
      <c r="W2512">
        <v>0.17629159999999999</v>
      </c>
      <c r="X2512">
        <v>0.98295460000000001</v>
      </c>
      <c r="Y2512">
        <v>9.7842600000000002E-2</v>
      </c>
      <c r="Z2512">
        <v>8.2080999999999994E-3</v>
      </c>
      <c r="AA2512">
        <v>0.99516800000000005</v>
      </c>
      <c r="AB2512">
        <v>41</v>
      </c>
      <c r="AC2512">
        <v>-0.58300000000002605</v>
      </c>
      <c r="AD2512">
        <v>-0.16984279999999899</v>
      </c>
      <c r="AE2512">
        <v>9.1900000000009599E-2</v>
      </c>
      <c r="AF2512">
        <v>7.8106741383224904E-2</v>
      </c>
      <c r="AG2512">
        <v>-0.16984279999999899</v>
      </c>
      <c r="AH2512">
        <v>0.53943541838940101</v>
      </c>
      <c r="AI2512">
        <v>107.30721300642099</v>
      </c>
      <c r="AJ2512">
        <v>81.761201143202996</v>
      </c>
      <c r="AK2512">
        <v>0.57090963415788898</v>
      </c>
      <c r="AL2512">
        <v>79.846170635684004</v>
      </c>
      <c r="AM2512">
        <v>86.961927416608006</v>
      </c>
      <c r="AN2512">
        <v>1.0000000627025001</v>
      </c>
    </row>
    <row r="2513" spans="1:40" x14ac:dyDescent="0.25">
      <c r="A2513" t="str">
        <f>"20190303170306914"</f>
        <v>20190303170306914</v>
      </c>
      <c r="B2513" t="str">
        <f>"1551603786908166"</f>
        <v>1551603786908166</v>
      </c>
      <c r="C2513" t="s">
        <v>40</v>
      </c>
      <c r="D2513">
        <v>4.1379710000000003</v>
      </c>
      <c r="E2513">
        <v>0.52910159999999995</v>
      </c>
      <c r="F2513" t="s">
        <v>43</v>
      </c>
      <c r="G2513">
        <v>-348.93619999999999</v>
      </c>
      <c r="H2513">
        <v>0.92956609999999995</v>
      </c>
      <c r="I2513">
        <v>284.7099</v>
      </c>
      <c r="J2513">
        <v>-348.26199999999898</v>
      </c>
      <c r="K2513">
        <v>1.121561</v>
      </c>
      <c r="L2513">
        <v>284.60660000000001</v>
      </c>
      <c r="M2513">
        <v>-0.99980869999999999</v>
      </c>
      <c r="N2513">
        <v>-1.5130340000000001E-2</v>
      </c>
      <c r="O2513">
        <v>1.240408E-2</v>
      </c>
      <c r="P2513">
        <v>-0.9847323</v>
      </c>
      <c r="Q2513">
        <v>0.1617458</v>
      </c>
      <c r="R2513">
        <v>6.4347039999999994E-2</v>
      </c>
      <c r="S2513">
        <v>-3.127869</v>
      </c>
      <c r="T2513">
        <v>-0.63903140000000003</v>
      </c>
      <c r="U2513">
        <v>0.35421750000000002</v>
      </c>
      <c r="V2513">
        <v>5.2062709999999998E-2</v>
      </c>
      <c r="W2513">
        <v>0.17665629999999999</v>
      </c>
      <c r="X2513">
        <v>0.98289470000000001</v>
      </c>
      <c r="Y2513">
        <v>9.8251430000000001E-2</v>
      </c>
      <c r="Z2513">
        <v>8.3423170000000001E-3</v>
      </c>
      <c r="AA2513">
        <v>0.99512670000000003</v>
      </c>
      <c r="AB2513">
        <v>41</v>
      </c>
      <c r="AC2513">
        <v>-0.67420000000004099</v>
      </c>
      <c r="AD2513">
        <v>-0.1919949</v>
      </c>
      <c r="AE2513">
        <v>0.10329999999999</v>
      </c>
      <c r="AF2513">
        <v>8.7958737844438195E-2</v>
      </c>
      <c r="AG2513">
        <v>-0.1919949</v>
      </c>
      <c r="AH2513">
        <v>0.62584032865928696</v>
      </c>
      <c r="AI2513">
        <v>106.898447695803</v>
      </c>
      <c r="AJ2513">
        <v>81.999765173890296</v>
      </c>
      <c r="AK2513">
        <v>0.66051108860151697</v>
      </c>
      <c r="AL2513">
        <v>79.824940861577502</v>
      </c>
      <c r="AM2513">
        <v>86.967947355470997</v>
      </c>
      <c r="AN2513">
        <v>0.99999998269516099</v>
      </c>
    </row>
    <row r="2514" spans="1:40" x14ac:dyDescent="0.25">
      <c r="A2514" t="str">
        <f>"20190303170306934"</f>
        <v>20190303170306934</v>
      </c>
      <c r="B2514" t="str">
        <f>"1551603786927687"</f>
        <v>1551603786927687</v>
      </c>
      <c r="C2514" t="s">
        <v>40</v>
      </c>
      <c r="D2514">
        <v>4.1389620000000003</v>
      </c>
      <c r="E2514">
        <v>0.52959350000000005</v>
      </c>
      <c r="F2514" t="s">
        <v>43</v>
      </c>
      <c r="G2514">
        <v>-348.95940000000002</v>
      </c>
      <c r="H2514">
        <v>0.97682800000000003</v>
      </c>
      <c r="I2514">
        <v>284.68610000000001</v>
      </c>
      <c r="J2514">
        <v>-348.61309999999997</v>
      </c>
      <c r="K2514">
        <v>1.121621</v>
      </c>
      <c r="L2514">
        <v>284.61070000000001</v>
      </c>
      <c r="M2514">
        <v>-0.99981160000000002</v>
      </c>
      <c r="N2514">
        <v>-1.5136719999999999E-2</v>
      </c>
      <c r="O2514">
        <v>1.215624E-2</v>
      </c>
      <c r="P2514">
        <v>-0.98478900000000003</v>
      </c>
      <c r="Q2514">
        <v>0.16135579999999999</v>
      </c>
      <c r="R2514">
        <v>6.4458970000000004E-2</v>
      </c>
      <c r="S2514">
        <v>-3.1299440000000001</v>
      </c>
      <c r="T2514">
        <v>-0.64960309999999999</v>
      </c>
      <c r="U2514">
        <v>0.35626219999999997</v>
      </c>
      <c r="V2514">
        <v>5.2396230000000002E-2</v>
      </c>
      <c r="W2514">
        <v>0.17627989999999999</v>
      </c>
      <c r="X2514">
        <v>0.9829445</v>
      </c>
      <c r="Y2514">
        <v>9.8986539999999998E-2</v>
      </c>
      <c r="Z2514">
        <v>8.5856549999999993E-3</v>
      </c>
      <c r="AA2514">
        <v>0.99505169999999998</v>
      </c>
      <c r="AB2514">
        <v>41</v>
      </c>
      <c r="AC2514">
        <v>-0.34630000000004202</v>
      </c>
      <c r="AD2514">
        <v>-0.14479299999999901</v>
      </c>
      <c r="AE2514">
        <v>7.5400000000001896E-2</v>
      </c>
      <c r="AF2514">
        <v>6.1002488991868498E-2</v>
      </c>
      <c r="AG2514">
        <v>-0.14479299999999901</v>
      </c>
      <c r="AH2514">
        <v>0.29753103925003499</v>
      </c>
      <c r="AI2514">
        <v>115.48860276535299</v>
      </c>
      <c r="AJ2514">
        <v>78.413279671873795</v>
      </c>
      <c r="AK2514">
        <v>0.33646847672465302</v>
      </c>
      <c r="AL2514">
        <v>79.846850290626605</v>
      </c>
      <c r="AM2514">
        <v>86.948714558154407</v>
      </c>
      <c r="AN2514">
        <v>0.99999992907123303</v>
      </c>
    </row>
    <row r="2515" spans="1:40" x14ac:dyDescent="0.25">
      <c r="A2515" t="str">
        <f>"20190303170306946"</f>
        <v>20190303170306946</v>
      </c>
      <c r="B2515" t="str">
        <f>"1551603786938422"</f>
        <v>1551603786938422</v>
      </c>
      <c r="C2515" t="s">
        <v>40</v>
      </c>
      <c r="D2515">
        <v>4.1386539999999998</v>
      </c>
      <c r="E2515">
        <v>0.52973249999999905</v>
      </c>
      <c r="F2515" t="s">
        <v>43</v>
      </c>
      <c r="G2515">
        <v>-349.32369999999997</v>
      </c>
      <c r="H2515">
        <v>0.97172760000000002</v>
      </c>
      <c r="I2515">
        <v>284.69209999999998</v>
      </c>
      <c r="J2515">
        <v>-348.83</v>
      </c>
      <c r="K2515">
        <v>1.121656</v>
      </c>
      <c r="L2515">
        <v>284.61320000000001</v>
      </c>
      <c r="M2515">
        <v>-0.99981379999999997</v>
      </c>
      <c r="N2515">
        <v>-1.513981E-2</v>
      </c>
      <c r="O2515">
        <v>1.1969240000000001E-2</v>
      </c>
      <c r="P2515">
        <v>-0.98477329999999996</v>
      </c>
      <c r="Q2515">
        <v>0.16128229999999999</v>
      </c>
      <c r="R2515">
        <v>6.4882040000000002E-2</v>
      </c>
      <c r="S2515">
        <v>-3.131256</v>
      </c>
      <c r="T2515">
        <v>-0.66066630000000004</v>
      </c>
      <c r="U2515">
        <v>0.35717769999999999</v>
      </c>
      <c r="V2515">
        <v>5.2988840000000002E-2</v>
      </c>
      <c r="W2515">
        <v>0.17621419999999999</v>
      </c>
      <c r="X2515">
        <v>0.98292460000000004</v>
      </c>
      <c r="Y2515">
        <v>9.9337519999999999E-2</v>
      </c>
      <c r="Z2515">
        <v>8.7854919999999902E-3</v>
      </c>
      <c r="AA2515">
        <v>0.99501499999999998</v>
      </c>
      <c r="AB2515">
        <v>41</v>
      </c>
      <c r="AC2515">
        <v>-0.49369999999998898</v>
      </c>
      <c r="AD2515">
        <v>-0.14992839999999899</v>
      </c>
      <c r="AE2515">
        <v>7.8899999999975906E-2</v>
      </c>
      <c r="AF2515">
        <v>6.6962717970280097E-2</v>
      </c>
      <c r="AG2515">
        <v>-0.14992839999999899</v>
      </c>
      <c r="AH2515">
        <v>0.45380032947675703</v>
      </c>
      <c r="AI2515">
        <v>108.099715497963</v>
      </c>
      <c r="AJ2515">
        <v>81.606015715925395</v>
      </c>
      <c r="AK2515">
        <v>0.48259431177515999</v>
      </c>
      <c r="AL2515">
        <v>79.850675372842602</v>
      </c>
      <c r="AM2515">
        <v>86.9142079857222</v>
      </c>
      <c r="AN2515">
        <v>1.0000000153656701</v>
      </c>
    </row>
    <row r="2516" spans="1:40" x14ac:dyDescent="0.25">
      <c r="A2516" t="str">
        <f>"20190303170306958"</f>
        <v>20190303170306958</v>
      </c>
      <c r="B2516" t="str">
        <f>"1551603786948183"</f>
        <v>1551603786948183</v>
      </c>
      <c r="C2516" t="s">
        <v>40</v>
      </c>
      <c r="D2516">
        <v>4.1515940000000002</v>
      </c>
      <c r="E2516">
        <v>0.53038079999999999</v>
      </c>
      <c r="F2516" t="s">
        <v>43</v>
      </c>
      <c r="G2516">
        <v>-349.67540000000002</v>
      </c>
      <c r="H2516">
        <v>0.94216949999999999</v>
      </c>
      <c r="I2516">
        <v>284.71019999999999</v>
      </c>
      <c r="J2516">
        <v>-349.06180000000001</v>
      </c>
      <c r="K2516">
        <v>1.1216969999999999</v>
      </c>
      <c r="L2516">
        <v>284.61579999999998</v>
      </c>
      <c r="M2516">
        <v>-0.99981640000000005</v>
      </c>
      <c r="N2516">
        <v>-1.5142869999999999E-2</v>
      </c>
      <c r="O2516">
        <v>1.1754819999999999E-2</v>
      </c>
      <c r="P2516">
        <v>-0.98478140000000003</v>
      </c>
      <c r="Q2516">
        <v>0.16119600000000001</v>
      </c>
      <c r="R2516">
        <v>6.4973470000000005E-2</v>
      </c>
      <c r="S2516">
        <v>-3.1316220000000001</v>
      </c>
      <c r="T2516">
        <v>-0.66483329999999996</v>
      </c>
      <c r="U2516">
        <v>0.35903930000000001</v>
      </c>
      <c r="V2516">
        <v>5.327523E-2</v>
      </c>
      <c r="W2516">
        <v>0.17613579999999901</v>
      </c>
      <c r="X2516">
        <v>0.9829232</v>
      </c>
      <c r="Y2516">
        <v>0.1000756</v>
      </c>
      <c r="Z2516">
        <v>8.9576020000000003E-3</v>
      </c>
      <c r="AA2516">
        <v>0.99493949999999998</v>
      </c>
      <c r="AB2516">
        <v>41</v>
      </c>
      <c r="AC2516">
        <v>-0.61360000000001902</v>
      </c>
      <c r="AD2516">
        <v>-0.17952749999999901</v>
      </c>
      <c r="AE2516">
        <v>9.4400000000007298E-2</v>
      </c>
      <c r="AF2516">
        <v>8.0452148049657293E-2</v>
      </c>
      <c r="AG2516">
        <v>-0.17952749999999901</v>
      </c>
      <c r="AH2516">
        <v>0.56723298593462401</v>
      </c>
      <c r="AI2516">
        <v>107.398944120091</v>
      </c>
      <c r="AJ2516">
        <v>81.927431954920095</v>
      </c>
      <c r="AK2516">
        <v>0.60037982287412295</v>
      </c>
      <c r="AL2516">
        <v>79.855239027939902</v>
      </c>
      <c r="AM2516">
        <v>86.897558217533799</v>
      </c>
      <c r="AN2516">
        <v>1.0000000436357099</v>
      </c>
    </row>
    <row r="2517" spans="1:40" x14ac:dyDescent="0.25">
      <c r="A2517" t="str">
        <f>"20190303170306970"</f>
        <v>20190303170306970</v>
      </c>
      <c r="B2517" t="str">
        <f>"1551603786957942"</f>
        <v>1551603786957942</v>
      </c>
      <c r="C2517" t="s">
        <v>40</v>
      </c>
      <c r="D2517">
        <v>4.142817</v>
      </c>
      <c r="E2517">
        <v>0.53097469999999902</v>
      </c>
      <c r="F2517" t="s">
        <v>43</v>
      </c>
      <c r="G2517">
        <v>-350.02890000000002</v>
      </c>
      <c r="H2517">
        <v>0.91539809999999999</v>
      </c>
      <c r="I2517">
        <v>284.72859999999997</v>
      </c>
      <c r="J2517">
        <v>-349.28910000000002</v>
      </c>
      <c r="K2517">
        <v>1.121742</v>
      </c>
      <c r="L2517">
        <v>284.61829999999998</v>
      </c>
      <c r="M2517">
        <v>-0.99981900000000001</v>
      </c>
      <c r="N2517">
        <v>-1.5145469999999999E-2</v>
      </c>
      <c r="O2517">
        <v>1.1516240000000001E-2</v>
      </c>
      <c r="P2517">
        <v>-0.98482829999999999</v>
      </c>
      <c r="Q2517">
        <v>0.16092300000000001</v>
      </c>
      <c r="R2517">
        <v>6.4940639999999994E-2</v>
      </c>
      <c r="S2517">
        <v>-3.131653</v>
      </c>
      <c r="T2517">
        <v>-0.66819689999999998</v>
      </c>
      <c r="U2517">
        <v>0.364624</v>
      </c>
      <c r="V2517">
        <v>5.3460779999999999E-2</v>
      </c>
      <c r="W2517">
        <v>0.17587059999999999</v>
      </c>
      <c r="X2517">
        <v>0.98296059999999996</v>
      </c>
      <c r="Y2517">
        <v>0.1019924</v>
      </c>
      <c r="Z2517">
        <v>9.2595539999999997E-3</v>
      </c>
      <c r="AA2517">
        <v>0.99474209999999996</v>
      </c>
      <c r="AB2517">
        <v>41</v>
      </c>
      <c r="AC2517">
        <v>-0.73980000000000201</v>
      </c>
      <c r="AD2517">
        <v>-0.2063439</v>
      </c>
      <c r="AE2517">
        <v>0.110299999999995</v>
      </c>
      <c r="AF2517">
        <v>9.4574512252048604E-2</v>
      </c>
      <c r="AG2517">
        <v>-0.2063439</v>
      </c>
      <c r="AH2517">
        <v>0.68861508884783496</v>
      </c>
      <c r="AI2517">
        <v>106.53425195664499</v>
      </c>
      <c r="AJ2517">
        <v>82.179911436234605</v>
      </c>
      <c r="AK2517">
        <v>0.72506060713835097</v>
      </c>
      <c r="AL2517">
        <v>79.870674708499095</v>
      </c>
      <c r="AM2517">
        <v>86.886892295471995</v>
      </c>
      <c r="AN2517">
        <v>1.00000003204746</v>
      </c>
    </row>
    <row r="2518" spans="1:40" x14ac:dyDescent="0.25">
      <c r="A2518" t="str">
        <f>"20190303170306984"</f>
        <v>20190303170306984</v>
      </c>
      <c r="B2518" t="str">
        <f>"1551603786978438"</f>
        <v>1551603786978438</v>
      </c>
      <c r="C2518" t="s">
        <v>40</v>
      </c>
      <c r="D2518">
        <v>4.1311439999999999</v>
      </c>
      <c r="E2518">
        <v>0.53242500000000004</v>
      </c>
      <c r="F2518" t="s">
        <v>43</v>
      </c>
      <c r="G2518">
        <v>-350.0496</v>
      </c>
      <c r="H2518">
        <v>0.95875549999999998</v>
      </c>
      <c r="I2518">
        <v>284.70830000000001</v>
      </c>
      <c r="J2518">
        <v>-349.53309999999999</v>
      </c>
      <c r="K2518">
        <v>1.121785</v>
      </c>
      <c r="L2518">
        <v>284.62079999999997</v>
      </c>
      <c r="M2518">
        <v>-0.99982230000000005</v>
      </c>
      <c r="N2518">
        <v>-1.514798E-2</v>
      </c>
      <c r="O2518">
        <v>1.1232000000000001E-2</v>
      </c>
      <c r="P2518">
        <v>-0.98478659999999996</v>
      </c>
      <c r="Q2518">
        <v>0.16133110000000001</v>
      </c>
      <c r="R2518">
        <v>6.4560469999999995E-2</v>
      </c>
      <c r="S2518">
        <v>-3.131561</v>
      </c>
      <c r="T2518">
        <v>-0.67130679999999998</v>
      </c>
      <c r="U2518">
        <v>0.36953740000000002</v>
      </c>
      <c r="V2518">
        <v>5.3342859999999999E-2</v>
      </c>
      <c r="W2518">
        <v>0.176286</v>
      </c>
      <c r="X2518">
        <v>0.98289260000000001</v>
      </c>
      <c r="Y2518">
        <v>0.10375089999999999</v>
      </c>
      <c r="Z2518">
        <v>9.5521830000000005E-3</v>
      </c>
      <c r="AA2518">
        <v>0.99455740000000004</v>
      </c>
      <c r="AB2518">
        <v>41</v>
      </c>
      <c r="AC2518">
        <v>-0.51650000000000695</v>
      </c>
      <c r="AD2518">
        <v>-0.16302949999999999</v>
      </c>
      <c r="AE2518">
        <v>8.7500000000034106E-2</v>
      </c>
      <c r="AF2518">
        <v>7.4479123955061996E-2</v>
      </c>
      <c r="AG2518">
        <v>-0.16302949999999999</v>
      </c>
      <c r="AH2518">
        <v>0.47175999430357601</v>
      </c>
      <c r="AI2518">
        <v>108.847308164967</v>
      </c>
      <c r="AJ2518">
        <v>81.028474959138094</v>
      </c>
      <c r="AK2518">
        <v>0.50466152022982103</v>
      </c>
      <c r="AL2518">
        <v>79.846496352034094</v>
      </c>
      <c r="AM2518">
        <v>86.893531025093594</v>
      </c>
      <c r="AN2518">
        <v>1.0000000388218599</v>
      </c>
    </row>
    <row r="2519" spans="1:40" x14ac:dyDescent="0.25">
      <c r="A2519" t="str">
        <f>"20190303170306997"</f>
        <v>20190303170306997</v>
      </c>
      <c r="B2519" t="str">
        <f>"1551603786988197"</f>
        <v>1551603786988197</v>
      </c>
      <c r="C2519" t="s">
        <v>40</v>
      </c>
      <c r="D2519">
        <v>4.163316</v>
      </c>
      <c r="E2519">
        <v>0.53296709999999903</v>
      </c>
      <c r="F2519" t="s">
        <v>43</v>
      </c>
      <c r="G2519">
        <v>-350.40350000000001</v>
      </c>
      <c r="H2519">
        <v>0.93488870000000002</v>
      </c>
      <c r="I2519">
        <v>284.72669999999999</v>
      </c>
      <c r="J2519">
        <v>-349.77870000000001</v>
      </c>
      <c r="K2519">
        <v>1.1218300000000001</v>
      </c>
      <c r="L2519">
        <v>284.6234</v>
      </c>
      <c r="M2519">
        <v>-0.99982570000000004</v>
      </c>
      <c r="N2519">
        <v>-1.5150240000000001E-2</v>
      </c>
      <c r="O2519">
        <v>1.0925399999999899E-2</v>
      </c>
      <c r="P2519">
        <v>-0.98479570000000005</v>
      </c>
      <c r="Q2519">
        <v>0.1612951</v>
      </c>
      <c r="R2519">
        <v>6.4509510000000006E-2</v>
      </c>
      <c r="S2519">
        <v>-3.1316220000000001</v>
      </c>
      <c r="T2519">
        <v>-0.67247990000000002</v>
      </c>
      <c r="U2519">
        <v>0.38027949999999999</v>
      </c>
      <c r="V2519">
        <v>5.3575940000000002E-2</v>
      </c>
      <c r="W2519">
        <v>0.17625779999999999</v>
      </c>
      <c r="X2519">
        <v>0.98288489999999995</v>
      </c>
      <c r="Y2519">
        <v>0.1073178</v>
      </c>
      <c r="Z2519">
        <v>1.003033E-2</v>
      </c>
      <c r="AA2519">
        <v>0.99417420000000001</v>
      </c>
      <c r="AB2519">
        <v>41</v>
      </c>
      <c r="AC2519">
        <v>-0.62479999999999303</v>
      </c>
      <c r="AD2519">
        <v>-0.1869413</v>
      </c>
      <c r="AE2519">
        <v>0.10329999999999</v>
      </c>
      <c r="AF2519">
        <v>8.8734552485077695E-2</v>
      </c>
      <c r="AG2519">
        <v>-0.1869413</v>
      </c>
      <c r="AH2519">
        <v>0.57572305053637096</v>
      </c>
      <c r="AI2519">
        <v>107.792351848584</v>
      </c>
      <c r="AJ2519">
        <v>81.238110807193493</v>
      </c>
      <c r="AK2519">
        <v>0.61178256053055402</v>
      </c>
      <c r="AL2519">
        <v>79.848136987086704</v>
      </c>
      <c r="AM2519">
        <v>86.879959768639793</v>
      </c>
      <c r="AN2519">
        <v>0.99999996002786495</v>
      </c>
    </row>
    <row r="2520" spans="1:40" x14ac:dyDescent="0.25">
      <c r="A2520" t="str">
        <f>"20190303170307011"</f>
        <v>20190303170307011</v>
      </c>
      <c r="B2520" t="str">
        <f>"1551603786997959"</f>
        <v>1551603786997959</v>
      </c>
      <c r="C2520" t="s">
        <v>40</v>
      </c>
      <c r="D2520">
        <v>4.1289730000000002</v>
      </c>
      <c r="E2520">
        <v>0.5336263</v>
      </c>
      <c r="F2520" t="s">
        <v>43</v>
      </c>
      <c r="G2520">
        <v>-350.75790000000001</v>
      </c>
      <c r="H2520">
        <v>0.91108690000000003</v>
      </c>
      <c r="I2520">
        <v>284.74380000000002</v>
      </c>
      <c r="J2520">
        <v>-350.03519999999997</v>
      </c>
      <c r="K2520">
        <v>1.1218709999999901</v>
      </c>
      <c r="L2520">
        <v>284.6259</v>
      </c>
      <c r="M2520">
        <v>-0.99982930000000003</v>
      </c>
      <c r="N2520">
        <v>-1.515201E-2</v>
      </c>
      <c r="O2520">
        <v>1.057137E-2</v>
      </c>
      <c r="P2520">
        <v>-0.98485429999999996</v>
      </c>
      <c r="Q2520">
        <v>0.16085739999999901</v>
      </c>
      <c r="R2520">
        <v>6.4705499999999999E-2</v>
      </c>
      <c r="S2520">
        <v>-3.131561</v>
      </c>
      <c r="T2520">
        <v>-0.67408259999999998</v>
      </c>
      <c r="U2520">
        <v>0.38467410000000002</v>
      </c>
      <c r="V2520">
        <v>5.4101419999999997E-2</v>
      </c>
      <c r="W2520">
        <v>0.17582879999999901</v>
      </c>
      <c r="X2520">
        <v>0.98293299999999995</v>
      </c>
      <c r="Y2520">
        <v>0.1089888</v>
      </c>
      <c r="Z2520">
        <v>1.031081E-2</v>
      </c>
      <c r="AA2520">
        <v>0.99398949999999997</v>
      </c>
      <c r="AB2520">
        <v>41</v>
      </c>
      <c r="AC2520">
        <v>-0.72270000000003098</v>
      </c>
      <c r="AD2520">
        <v>-0.210784099999999</v>
      </c>
      <c r="AE2520">
        <v>0.11790000000002</v>
      </c>
      <c r="AF2520">
        <v>0.101815986839947</v>
      </c>
      <c r="AG2520">
        <v>-0.210784099999999</v>
      </c>
      <c r="AH2520">
        <v>0.66851224170201695</v>
      </c>
      <c r="AI2520">
        <v>107.312716124517</v>
      </c>
      <c r="AJ2520">
        <v>81.340265883779693</v>
      </c>
      <c r="AK2520">
        <v>0.70831140700574502</v>
      </c>
      <c r="AL2520">
        <v>79.873107322210998</v>
      </c>
      <c r="AM2520">
        <v>86.849573210465394</v>
      </c>
      <c r="AN2520">
        <v>1.0000000065222201</v>
      </c>
    </row>
    <row r="2521" spans="1:40" x14ac:dyDescent="0.25">
      <c r="A2521" t="str">
        <f>"20190303170307026"</f>
        <v>20190303170307026</v>
      </c>
      <c r="B2521" t="str">
        <f>"1551603787018455"</f>
        <v>1551603787018455</v>
      </c>
      <c r="C2521" t="s">
        <v>40</v>
      </c>
      <c r="D2521">
        <v>4.1368679999999998</v>
      </c>
      <c r="E2521">
        <v>0.5348233</v>
      </c>
      <c r="F2521" t="s">
        <v>43</v>
      </c>
      <c r="G2521">
        <v>-350.78120000000001</v>
      </c>
      <c r="H2521">
        <v>0.96068500000000001</v>
      </c>
      <c r="I2521">
        <v>284.71890000000002</v>
      </c>
      <c r="J2521">
        <v>-350.28719999999998</v>
      </c>
      <c r="K2521">
        <v>1.1219170000000001</v>
      </c>
      <c r="L2521">
        <v>284.62819999999999</v>
      </c>
      <c r="M2521">
        <v>-0.99983330000000004</v>
      </c>
      <c r="N2521">
        <v>-1.5153440000000001E-2</v>
      </c>
      <c r="O2521">
        <v>1.0192690000000001E-2</v>
      </c>
      <c r="P2521">
        <v>-0.98492000000000002</v>
      </c>
      <c r="Q2521">
        <v>0.16048319999999999</v>
      </c>
      <c r="R2521">
        <v>6.4635360000000003E-2</v>
      </c>
      <c r="S2521">
        <v>-3.1310120000000001</v>
      </c>
      <c r="T2521">
        <v>-0.6766219</v>
      </c>
      <c r="U2521">
        <v>0.38955689999999998</v>
      </c>
      <c r="V2521">
        <v>5.4385679999999999E-2</v>
      </c>
      <c r="W2521">
        <v>0.1754627</v>
      </c>
      <c r="X2521">
        <v>0.98298280000000005</v>
      </c>
      <c r="Y2521">
        <v>0.1108426</v>
      </c>
      <c r="Z2521">
        <v>1.0632529999999999E-2</v>
      </c>
      <c r="AA2521">
        <v>0.99378109999999997</v>
      </c>
      <c r="AB2521">
        <v>41</v>
      </c>
      <c r="AC2521">
        <v>-0.49400000000002797</v>
      </c>
      <c r="AD2521">
        <v>-0.16123199999999999</v>
      </c>
      <c r="AE2521">
        <v>9.0700000000026607E-2</v>
      </c>
      <c r="AF2521">
        <v>7.7656939689670898E-2</v>
      </c>
      <c r="AG2521">
        <v>-0.16123199999999999</v>
      </c>
      <c r="AH2521">
        <v>0.448663907318128</v>
      </c>
      <c r="AI2521">
        <v>109.498819623372</v>
      </c>
      <c r="AJ2521">
        <v>80.1802565829842</v>
      </c>
      <c r="AK2521">
        <v>0.48303794864993299</v>
      </c>
      <c r="AL2521">
        <v>79.894415242180401</v>
      </c>
      <c r="AM2521">
        <v>86.833213943606395</v>
      </c>
      <c r="AN2521">
        <v>1.00000007318809</v>
      </c>
    </row>
    <row r="2522" spans="1:40" x14ac:dyDescent="0.25">
      <c r="A2522" t="str">
        <f>"20190303170307045"</f>
        <v>20190303170307045</v>
      </c>
      <c r="B2522" t="str">
        <f>"1551603787037974"</f>
        <v>1551603787037974</v>
      </c>
      <c r="C2522" t="s">
        <v>40</v>
      </c>
      <c r="D2522">
        <v>4.1136569999999999</v>
      </c>
      <c r="E2522">
        <v>0.53577730000000001</v>
      </c>
      <c r="F2522" t="s">
        <v>43</v>
      </c>
      <c r="G2522">
        <v>-351.13490000000002</v>
      </c>
      <c r="H2522">
        <v>0.93794440000000001</v>
      </c>
      <c r="I2522">
        <v>284.73610000000002</v>
      </c>
      <c r="J2522">
        <v>-350.6463</v>
      </c>
      <c r="K2522">
        <v>1.1219779999999999</v>
      </c>
      <c r="L2522">
        <v>284.63139999999999</v>
      </c>
      <c r="M2522">
        <v>-0.99983909999999998</v>
      </c>
      <c r="N2522">
        <v>-1.515505E-2</v>
      </c>
      <c r="O2522">
        <v>9.6115839999999994E-3</v>
      </c>
      <c r="P2522">
        <v>-0.98495929999999998</v>
      </c>
      <c r="Q2522">
        <v>0.16034709999999999</v>
      </c>
      <c r="R2522">
        <v>6.4376719999999998E-2</v>
      </c>
      <c r="S2522">
        <v>-3.1305239999999999</v>
      </c>
      <c r="T2522">
        <v>-0.67947279999999999</v>
      </c>
      <c r="U2522">
        <v>0.39822390000000002</v>
      </c>
      <c r="V2522">
        <v>5.4673520000000003E-2</v>
      </c>
      <c r="W2522">
        <v>0.17533689999999999</v>
      </c>
      <c r="X2522">
        <v>0.98298920000000001</v>
      </c>
      <c r="Y2522">
        <v>0.114037</v>
      </c>
      <c r="Z2522">
        <v>1.115376E-2</v>
      </c>
      <c r="AA2522">
        <v>0.99341389999999996</v>
      </c>
      <c r="AB2522">
        <v>41</v>
      </c>
      <c r="AC2522">
        <v>-0.48860000000001902</v>
      </c>
      <c r="AD2522">
        <v>-0.18403359999999999</v>
      </c>
      <c r="AE2522">
        <v>0.104700000000036</v>
      </c>
      <c r="AF2522">
        <v>8.8054626312617998E-2</v>
      </c>
      <c r="AG2522">
        <v>-0.18403359999999999</v>
      </c>
      <c r="AH2522">
        <v>0.43110813132485098</v>
      </c>
      <c r="AI2522">
        <v>112.697106036235</v>
      </c>
      <c r="AJ2522">
        <v>78.456017777321094</v>
      </c>
      <c r="AK2522">
        <v>0.47694465511044298</v>
      </c>
      <c r="AL2522">
        <v>79.901735750998398</v>
      </c>
      <c r="AM2522">
        <v>86.816508575932403</v>
      </c>
      <c r="AN2522">
        <v>0.99999999480372004</v>
      </c>
    </row>
    <row r="2523" spans="1:40" x14ac:dyDescent="0.25">
      <c r="A2523" t="str">
        <f>"20190303170307059"</f>
        <v>20190303170307059</v>
      </c>
      <c r="B2523" t="str">
        <f>"1551603787047734"</f>
        <v>1551603787047734</v>
      </c>
      <c r="C2523" t="s">
        <v>40</v>
      </c>
      <c r="D2523">
        <v>4.1444279999999996</v>
      </c>
      <c r="E2523">
        <v>0.53621319999999995</v>
      </c>
      <c r="F2523" t="s">
        <v>43</v>
      </c>
      <c r="G2523">
        <v>-351.4984</v>
      </c>
      <c r="H2523">
        <v>0.93642440000000005</v>
      </c>
      <c r="I2523">
        <v>284.74209999999999</v>
      </c>
      <c r="J2523">
        <v>-350.90019999999998</v>
      </c>
      <c r="K2523">
        <v>1.122023</v>
      </c>
      <c r="L2523">
        <v>284.63350000000003</v>
      </c>
      <c r="M2523">
        <v>-0.99984309999999998</v>
      </c>
      <c r="N2523">
        <v>-1.515585E-2</v>
      </c>
      <c r="O2523">
        <v>9.1721679999999996E-3</v>
      </c>
      <c r="P2523">
        <v>-0.98498739999999996</v>
      </c>
      <c r="Q2523">
        <v>0.16046289999999999</v>
      </c>
      <c r="R2523">
        <v>6.3652509999999995E-2</v>
      </c>
      <c r="S2523">
        <v>-3.13028</v>
      </c>
      <c r="T2523">
        <v>-0.68172670000000002</v>
      </c>
      <c r="U2523">
        <v>0.40551759999999998</v>
      </c>
      <c r="V2523">
        <v>5.4363559999999998E-2</v>
      </c>
      <c r="W2523">
        <v>0.17545839999999999</v>
      </c>
      <c r="X2523">
        <v>0.98298470000000004</v>
      </c>
      <c r="Y2523">
        <v>0.1166701</v>
      </c>
      <c r="Z2523">
        <v>1.1576299999999999E-2</v>
      </c>
      <c r="AA2523">
        <v>0.99310330000000002</v>
      </c>
      <c r="AB2523">
        <v>41</v>
      </c>
      <c r="AC2523">
        <v>-0.59820000000001905</v>
      </c>
      <c r="AD2523">
        <v>-0.185598599999999</v>
      </c>
      <c r="AE2523">
        <v>0.108599999999967</v>
      </c>
      <c r="AF2523">
        <v>9.4318389695036906E-2</v>
      </c>
      <c r="AG2523">
        <v>-0.185598599999999</v>
      </c>
      <c r="AH2523">
        <v>0.54809367464363201</v>
      </c>
      <c r="AI2523">
        <v>108.454911239586</v>
      </c>
      <c r="AJ2523">
        <v>80.235920101897506</v>
      </c>
      <c r="AK2523">
        <v>0.58630152237648603</v>
      </c>
      <c r="AL2523">
        <v>79.894664581622607</v>
      </c>
      <c r="AM2523">
        <v>86.834505439933395</v>
      </c>
      <c r="AN2523">
        <v>0.99999998361026099</v>
      </c>
    </row>
    <row r="2524" spans="1:40" x14ac:dyDescent="0.25">
      <c r="A2524" t="str">
        <f>"20190303170307074"</f>
        <v>20190303170307074</v>
      </c>
      <c r="B2524" t="str">
        <f>"1551603787068231"</f>
        <v>1551603787068231</v>
      </c>
      <c r="C2524" t="s">
        <v>40</v>
      </c>
      <c r="D2524">
        <v>4.1578010000000001</v>
      </c>
      <c r="E2524">
        <v>0.53673309999999996</v>
      </c>
      <c r="F2524" t="s">
        <v>43</v>
      </c>
      <c r="G2524">
        <v>-351.85250000000002</v>
      </c>
      <c r="H2524">
        <v>0.91449689999999995</v>
      </c>
      <c r="I2524">
        <v>284.75729999999999</v>
      </c>
      <c r="J2524">
        <v>-351.16329999999999</v>
      </c>
      <c r="K2524">
        <v>1.122069</v>
      </c>
      <c r="L2524">
        <v>284.63549999999998</v>
      </c>
      <c r="M2524">
        <v>-0.9998475</v>
      </c>
      <c r="N2524">
        <v>-1.5156309999999999E-2</v>
      </c>
      <c r="O2524">
        <v>8.6925100000000005E-3</v>
      </c>
      <c r="P2524">
        <v>-0.98501000000000005</v>
      </c>
      <c r="Q2524">
        <v>0.16062950000000001</v>
      </c>
      <c r="R2524">
        <v>6.2880329999999998E-2</v>
      </c>
      <c r="S2524">
        <v>-3.130493</v>
      </c>
      <c r="T2524">
        <v>-0.68217380000000005</v>
      </c>
      <c r="U2524">
        <v>0.40707399999999999</v>
      </c>
      <c r="V2524">
        <v>5.4045259999999998E-2</v>
      </c>
      <c r="W2524">
        <v>0.17563119999999999</v>
      </c>
      <c r="X2524">
        <v>0.98297140000000005</v>
      </c>
      <c r="Y2524">
        <v>0.1175881</v>
      </c>
      <c r="Z2524">
        <v>1.178333E-2</v>
      </c>
      <c r="AA2524">
        <v>0.99299249999999994</v>
      </c>
      <c r="AB2524">
        <v>41</v>
      </c>
      <c r="AC2524">
        <v>-0.68920000000002801</v>
      </c>
      <c r="AD2524">
        <v>-0.20757209999999901</v>
      </c>
      <c r="AE2524">
        <v>0.121800000000007</v>
      </c>
      <c r="AF2524">
        <v>0.1064411461641</v>
      </c>
      <c r="AG2524">
        <v>-0.20757209999999901</v>
      </c>
      <c r="AH2524">
        <v>0.63442782239712403</v>
      </c>
      <c r="AI2524">
        <v>107.88334342495</v>
      </c>
      <c r="AJ2524">
        <v>80.475900784938602</v>
      </c>
      <c r="AK2524">
        <v>0.675954551820383</v>
      </c>
      <c r="AL2524">
        <v>79.884607776226503</v>
      </c>
      <c r="AM2524">
        <v>86.852959632348103</v>
      </c>
      <c r="AN2524">
        <v>0.99999999087993297</v>
      </c>
    </row>
    <row r="2525" spans="1:40" x14ac:dyDescent="0.25">
      <c r="A2525" t="str">
        <f>"20190303170307090"</f>
        <v>20190303170307090</v>
      </c>
      <c r="B2525" t="str">
        <f>"1551603787077990"</f>
        <v>1551603787077990</v>
      </c>
      <c r="C2525" t="s">
        <v>40</v>
      </c>
      <c r="D2525">
        <v>4.1477019999999998</v>
      </c>
      <c r="E2525">
        <v>0.53708540000000005</v>
      </c>
      <c r="F2525" t="s">
        <v>43</v>
      </c>
      <c r="G2525">
        <v>-351.8768</v>
      </c>
      <c r="H2525">
        <v>0.96642760000000005</v>
      </c>
      <c r="I2525">
        <v>284.7287</v>
      </c>
      <c r="J2525">
        <v>-351.46640000000002</v>
      </c>
      <c r="K2525">
        <v>1.1221219999999901</v>
      </c>
      <c r="L2525">
        <v>284.6377</v>
      </c>
      <c r="M2525">
        <v>-0.99985239999999997</v>
      </c>
      <c r="N2525">
        <v>-1.5156289999999999E-2</v>
      </c>
      <c r="O2525">
        <v>8.1101060000000006E-3</v>
      </c>
      <c r="P2525">
        <v>-0.98494950000000003</v>
      </c>
      <c r="Q2525">
        <v>0.16152659999999999</v>
      </c>
      <c r="R2525">
        <v>6.1513829999999999E-2</v>
      </c>
      <c r="S2525">
        <v>-3.1309200000000001</v>
      </c>
      <c r="T2525">
        <v>-0.68292929999999996</v>
      </c>
      <c r="U2525">
        <v>0.40908810000000001</v>
      </c>
      <c r="V2525">
        <v>5.3232260000000003E-2</v>
      </c>
      <c r="W2525">
        <v>0.17653150000000001</v>
      </c>
      <c r="X2525">
        <v>0.98285449999999996</v>
      </c>
      <c r="Y2525">
        <v>0.1187323</v>
      </c>
      <c r="Z2525">
        <v>1.2041110000000001E-2</v>
      </c>
      <c r="AA2525">
        <v>0.99285330000000005</v>
      </c>
      <c r="AB2525">
        <v>41</v>
      </c>
      <c r="AC2525">
        <v>-0.410399999999981</v>
      </c>
      <c r="AD2525">
        <v>-0.15569439999999901</v>
      </c>
      <c r="AE2525">
        <v>9.1000000000008199E-2</v>
      </c>
      <c r="AF2525">
        <v>7.7092748388672402E-2</v>
      </c>
      <c r="AG2525">
        <v>-0.15569439999999901</v>
      </c>
      <c r="AH2525">
        <v>0.36153031788653001</v>
      </c>
      <c r="AI2525">
        <v>112.840063396432</v>
      </c>
      <c r="AJ2525">
        <v>77.962536231689697</v>
      </c>
      <c r="AK2525">
        <v>0.40110872440850098</v>
      </c>
      <c r="AL2525">
        <v>79.832205788616406</v>
      </c>
      <c r="AM2525">
        <v>86.899839401168904</v>
      </c>
      <c r="AN2525">
        <v>1.0000000060836001</v>
      </c>
    </row>
    <row r="2526" spans="1:40" x14ac:dyDescent="0.25">
      <c r="A2526" t="str">
        <f>"20190303170307114"</f>
        <v>20190303170307114</v>
      </c>
      <c r="B2526" t="str">
        <f>"1551603787108245"</f>
        <v>1551603787108245</v>
      </c>
      <c r="C2526" t="s">
        <v>40</v>
      </c>
      <c r="D2526">
        <v>4.15754</v>
      </c>
      <c r="E2526">
        <v>0.5378811</v>
      </c>
      <c r="F2526" t="s">
        <v>43</v>
      </c>
      <c r="G2526">
        <v>-352.23480000000001</v>
      </c>
      <c r="H2526">
        <v>0.95531089999999996</v>
      </c>
      <c r="I2526">
        <v>284.73809999999997</v>
      </c>
      <c r="J2526">
        <v>-351.88170000000002</v>
      </c>
      <c r="K2526">
        <v>1.1221829999999999</v>
      </c>
      <c r="L2526">
        <v>284.64030000000002</v>
      </c>
      <c r="M2526">
        <v>-0.99985869999999999</v>
      </c>
      <c r="N2526">
        <v>-1.5155699999999999E-2</v>
      </c>
      <c r="O2526">
        <v>7.2824150000000004E-3</v>
      </c>
      <c r="P2526">
        <v>-0.98503479999999999</v>
      </c>
      <c r="Q2526">
        <v>0.16169129999999901</v>
      </c>
      <c r="R2526">
        <v>5.9686530000000002E-2</v>
      </c>
      <c r="S2526">
        <v>-3.131866</v>
      </c>
      <c r="T2526">
        <v>-0.6801007</v>
      </c>
      <c r="U2526">
        <v>0.40829470000000001</v>
      </c>
      <c r="V2526">
        <v>5.2195819999999997E-2</v>
      </c>
      <c r="W2526">
        <v>0.17670139999999901</v>
      </c>
      <c r="X2526">
        <v>0.98287959999999996</v>
      </c>
      <c r="Y2526">
        <v>0.1192619</v>
      </c>
      <c r="Z2526">
        <v>1.22186E-2</v>
      </c>
      <c r="AA2526">
        <v>0.99278770000000005</v>
      </c>
      <c r="AB2526">
        <v>41</v>
      </c>
      <c r="AC2526">
        <v>-0.35309999999998298</v>
      </c>
      <c r="AD2526">
        <v>-0.166872099999999</v>
      </c>
      <c r="AE2526">
        <v>9.7799999999949705E-2</v>
      </c>
      <c r="AF2526">
        <v>7.8866441000570997E-2</v>
      </c>
      <c r="AG2526">
        <v>-0.166872099999999</v>
      </c>
      <c r="AH2526">
        <v>0.29302154063905</v>
      </c>
      <c r="AI2526">
        <v>118.80715932461101</v>
      </c>
      <c r="AJ2526">
        <v>74.935882805552396</v>
      </c>
      <c r="AK2526">
        <v>0.34630598688585901</v>
      </c>
      <c r="AL2526">
        <v>79.822316195694995</v>
      </c>
      <c r="AM2526">
        <v>86.960163140035306</v>
      </c>
      <c r="AN2526">
        <v>1.0000000482417899</v>
      </c>
    </row>
    <row r="2527" spans="1:40" x14ac:dyDescent="0.25">
      <c r="A2527" t="str">
        <f>"20190303170307134"</f>
        <v>20190303170307134</v>
      </c>
      <c r="B2527" t="str">
        <f>"1551603787127767"</f>
        <v>1551603787127767</v>
      </c>
      <c r="C2527" t="s">
        <v>40</v>
      </c>
      <c r="D2527">
        <v>4.1553750000000003</v>
      </c>
      <c r="E2527">
        <v>0.53837829999999998</v>
      </c>
      <c r="F2527" t="s">
        <v>43</v>
      </c>
      <c r="G2527">
        <v>-352.6028</v>
      </c>
      <c r="H2527">
        <v>0.96544770000000002</v>
      </c>
      <c r="I2527">
        <v>284.73480000000001</v>
      </c>
      <c r="J2527">
        <v>-352.2688</v>
      </c>
      <c r="K2527">
        <v>1.122228</v>
      </c>
      <c r="L2527">
        <v>284.64249999999998</v>
      </c>
      <c r="M2527">
        <v>-0.99986419999999998</v>
      </c>
      <c r="N2527">
        <v>-1.515466E-2</v>
      </c>
      <c r="O2527">
        <v>6.4822459999999997E-3</v>
      </c>
      <c r="P2527">
        <v>-0.98517449999999995</v>
      </c>
      <c r="Q2527">
        <v>0.16161639999999999</v>
      </c>
      <c r="R2527">
        <v>5.75465E-2</v>
      </c>
      <c r="S2527">
        <v>-3.1325379999999998</v>
      </c>
      <c r="T2527">
        <v>-0.68098570000000003</v>
      </c>
      <c r="U2527">
        <v>0.40982059999999998</v>
      </c>
      <c r="V2527">
        <v>5.082569E-2</v>
      </c>
      <c r="W2527">
        <v>0.1766296</v>
      </c>
      <c r="X2527">
        <v>0.98296430000000001</v>
      </c>
      <c r="Y2527">
        <v>0.1204534</v>
      </c>
      <c r="Z2527">
        <v>1.252606E-2</v>
      </c>
      <c r="AA2527">
        <v>0.99263999999999997</v>
      </c>
      <c r="AB2527">
        <v>41</v>
      </c>
      <c r="AC2527">
        <v>-0.33400000000000302</v>
      </c>
      <c r="AD2527">
        <v>-0.15678030000000001</v>
      </c>
      <c r="AE2527">
        <v>9.2300000000022905E-2</v>
      </c>
      <c r="AF2527">
        <v>7.4817245982468306E-2</v>
      </c>
      <c r="AG2527">
        <v>-0.15678030000000001</v>
      </c>
      <c r="AH2527">
        <v>0.27773707660267299</v>
      </c>
      <c r="AI2527">
        <v>118.59310215929101</v>
      </c>
      <c r="AJ2527">
        <v>74.923456582653202</v>
      </c>
      <c r="AK2527">
        <v>0.32759054700080997</v>
      </c>
      <c r="AL2527">
        <v>79.826495695883494</v>
      </c>
      <c r="AM2527">
        <v>87.040069050616395</v>
      </c>
      <c r="AN2527">
        <v>1.00000004071731</v>
      </c>
    </row>
    <row r="2528" spans="1:40" x14ac:dyDescent="0.25">
      <c r="A2528" t="str">
        <f>"20190303170307146"</f>
        <v>20190303170307146</v>
      </c>
      <c r="B2528" t="str">
        <f>"1551603787138502"</f>
        <v>1551603787138502</v>
      </c>
      <c r="C2528" t="s">
        <v>40</v>
      </c>
      <c r="D2528">
        <v>4.1594879999999996</v>
      </c>
      <c r="E2528">
        <v>0.53859199999999996</v>
      </c>
      <c r="F2528" t="s">
        <v>43</v>
      </c>
      <c r="G2528">
        <v>-352.96769999999998</v>
      </c>
      <c r="H2528">
        <v>0.97013320000000003</v>
      </c>
      <c r="I2528">
        <v>284.7337</v>
      </c>
      <c r="J2528">
        <v>-352.4794</v>
      </c>
      <c r="K2528">
        <v>1.122247</v>
      </c>
      <c r="L2528">
        <v>284.64350000000002</v>
      </c>
      <c r="M2528">
        <v>-0.99986699999999995</v>
      </c>
      <c r="N2528">
        <v>-1.515387E-2</v>
      </c>
      <c r="O2528">
        <v>6.0376090000000002E-3</v>
      </c>
      <c r="P2528">
        <v>-0.98527180000000003</v>
      </c>
      <c r="Q2528">
        <v>0.16128129999999999</v>
      </c>
      <c r="R2528">
        <v>5.6814070000000001E-2</v>
      </c>
      <c r="S2528">
        <v>-3.13327</v>
      </c>
      <c r="T2528">
        <v>-0.682071599999999</v>
      </c>
      <c r="U2528">
        <v>0.40756229999999999</v>
      </c>
      <c r="V2528">
        <v>5.0523770000000003E-2</v>
      </c>
      <c r="W2528">
        <v>0.17629629999999999</v>
      </c>
      <c r="X2528">
        <v>0.98303969999999896</v>
      </c>
      <c r="Y2528">
        <v>0.1201523</v>
      </c>
      <c r="Z2528">
        <v>1.259587E-2</v>
      </c>
      <c r="AA2528">
        <v>0.99267550000000004</v>
      </c>
      <c r="AB2528">
        <v>41</v>
      </c>
      <c r="AC2528">
        <v>-0.48829999999998103</v>
      </c>
      <c r="AD2528">
        <v>-0.15211379999999899</v>
      </c>
      <c r="AE2528">
        <v>9.01999999999816E-2</v>
      </c>
      <c r="AF2528">
        <v>7.9764669960468798E-2</v>
      </c>
      <c r="AG2528">
        <v>-0.15211379999999899</v>
      </c>
      <c r="AH2528">
        <v>0.44689843334014401</v>
      </c>
      <c r="AI2528">
        <v>108.525031785553</v>
      </c>
      <c r="AJ2528">
        <v>79.880126997143606</v>
      </c>
      <c r="AK2528">
        <v>0.47876844136410901</v>
      </c>
      <c r="AL2528">
        <v>79.845896871356601</v>
      </c>
      <c r="AM2528">
        <v>87.057846234434393</v>
      </c>
      <c r="AN2528">
        <v>1.00000004425239</v>
      </c>
    </row>
    <row r="2529" spans="1:40" x14ac:dyDescent="0.25">
      <c r="A2529" t="str">
        <f>"20190303170307158"</f>
        <v>20190303170307158</v>
      </c>
      <c r="B2529" t="str">
        <f>"1551603787148262"</f>
        <v>1551603787148262</v>
      </c>
      <c r="C2529" t="s">
        <v>40</v>
      </c>
      <c r="D2529">
        <v>4.164193</v>
      </c>
      <c r="E2529">
        <v>0.53879589999999999</v>
      </c>
      <c r="F2529" t="s">
        <v>43</v>
      </c>
      <c r="G2529">
        <v>-353.31540000000001</v>
      </c>
      <c r="H2529">
        <v>0.93991579999999997</v>
      </c>
      <c r="I2529">
        <v>284.75229999999999</v>
      </c>
      <c r="J2529">
        <v>-352.70339999999999</v>
      </c>
      <c r="K2529">
        <v>1.122266</v>
      </c>
      <c r="L2529">
        <v>284.64440000000002</v>
      </c>
      <c r="M2529">
        <v>-0.99986980000000003</v>
      </c>
      <c r="N2529">
        <v>-1.515295E-2</v>
      </c>
      <c r="O2529">
        <v>5.5625789999999998E-3</v>
      </c>
      <c r="P2529">
        <v>-0.98530019999999996</v>
      </c>
      <c r="Q2529">
        <v>0.16135769999999999</v>
      </c>
      <c r="R2529">
        <v>5.6099700000000002E-2</v>
      </c>
      <c r="S2529">
        <v>-3.1332089999999999</v>
      </c>
      <c r="T2529">
        <v>-0.6834673</v>
      </c>
      <c r="U2529">
        <v>0.40707399999999999</v>
      </c>
      <c r="V2529">
        <v>5.0269519999999998E-2</v>
      </c>
      <c r="W2529">
        <v>0.17637369999999999</v>
      </c>
      <c r="X2529">
        <v>0.98303879999999999</v>
      </c>
      <c r="Y2529">
        <v>0.120446</v>
      </c>
      <c r="Z2529">
        <v>1.2748010000000001E-2</v>
      </c>
      <c r="AA2529">
        <v>0.99263809999999997</v>
      </c>
      <c r="AB2529">
        <v>41</v>
      </c>
      <c r="AC2529">
        <v>-0.61200000000002297</v>
      </c>
      <c r="AD2529">
        <v>-0.18235019999999899</v>
      </c>
      <c r="AE2529">
        <v>0.107899999999972</v>
      </c>
      <c r="AF2529">
        <v>9.62097465703384E-2</v>
      </c>
      <c r="AG2529">
        <v>-0.18235019999999899</v>
      </c>
      <c r="AH2529">
        <v>0.56402671907982704</v>
      </c>
      <c r="AI2529">
        <v>107.676946012911</v>
      </c>
      <c r="AJ2529">
        <v>80.319850274423203</v>
      </c>
      <c r="AK2529">
        <v>0.600528143063356</v>
      </c>
      <c r="AL2529">
        <v>79.841391070498702</v>
      </c>
      <c r="AM2529">
        <v>87.072623496989294</v>
      </c>
      <c r="AN2529">
        <v>0.99999999449907995</v>
      </c>
    </row>
    <row r="2530" spans="1:40" x14ac:dyDescent="0.25">
      <c r="A2530" t="str">
        <f>"20190303170307170"</f>
        <v>20190303170307170</v>
      </c>
      <c r="B2530" t="str">
        <f>"1551603787158023"</f>
        <v>1551603787158023</v>
      </c>
      <c r="C2530" t="s">
        <v>40</v>
      </c>
      <c r="D2530">
        <v>4.1363370000000002</v>
      </c>
      <c r="E2530">
        <v>0.53902839999999996</v>
      </c>
      <c r="F2530" t="s">
        <v>43</v>
      </c>
      <c r="G2530">
        <v>-353.66500000000002</v>
      </c>
      <c r="H2530">
        <v>0.91245960000000004</v>
      </c>
      <c r="I2530">
        <v>284.76949999999999</v>
      </c>
      <c r="J2530">
        <v>-352.92410000000001</v>
      </c>
      <c r="K2530">
        <v>1.122282</v>
      </c>
      <c r="L2530">
        <v>284.64530000000002</v>
      </c>
      <c r="M2530">
        <v>-0.99987230000000005</v>
      </c>
      <c r="N2530">
        <v>-1.515188E-2</v>
      </c>
      <c r="O2530">
        <v>5.0896980000000001E-3</v>
      </c>
      <c r="P2530">
        <v>-0.98537569999999997</v>
      </c>
      <c r="Q2530">
        <v>0.16117609999999999</v>
      </c>
      <c r="R2530">
        <v>5.5290390000000002E-2</v>
      </c>
      <c r="S2530">
        <v>-3.1336059999999999</v>
      </c>
      <c r="T2530">
        <v>-0.68376870000000001</v>
      </c>
      <c r="U2530">
        <v>0.40686040000000001</v>
      </c>
      <c r="V2530">
        <v>4.9919949999999998E-2</v>
      </c>
      <c r="W2530">
        <v>0.1761926</v>
      </c>
      <c r="X2530">
        <v>0.98308910000000005</v>
      </c>
      <c r="Y2530">
        <v>0.1208124</v>
      </c>
      <c r="Z2530">
        <v>1.288828E-2</v>
      </c>
      <c r="AA2530">
        <v>0.99259169999999997</v>
      </c>
      <c r="AB2530">
        <v>41</v>
      </c>
      <c r="AC2530">
        <v>-0.74090000000001</v>
      </c>
      <c r="AD2530">
        <v>-0.20982239999999999</v>
      </c>
      <c r="AE2530">
        <v>0.124199999999973</v>
      </c>
      <c r="AF2530">
        <v>0.111712352586536</v>
      </c>
      <c r="AG2530">
        <v>-0.20982239999999999</v>
      </c>
      <c r="AH2530">
        <v>0.687862647933422</v>
      </c>
      <c r="AI2530">
        <v>106.756547419632</v>
      </c>
      <c r="AJ2530">
        <v>80.775415338868896</v>
      </c>
      <c r="AK2530">
        <v>0.72777751523673595</v>
      </c>
      <c r="AL2530">
        <v>79.851932538220296</v>
      </c>
      <c r="AM2530">
        <v>87.093093670908701</v>
      </c>
      <c r="AN2530">
        <v>1.0000000061207801</v>
      </c>
    </row>
    <row r="2531" spans="1:40" x14ac:dyDescent="0.25">
      <c r="A2531" t="str">
        <f>"20190303170307183"</f>
        <v>20190303170307183</v>
      </c>
      <c r="B2531" t="str">
        <f>"1551603787178517"</f>
        <v>1551603787178517</v>
      </c>
      <c r="C2531" t="s">
        <v>40</v>
      </c>
      <c r="D2531">
        <v>4.1534680000000002</v>
      </c>
      <c r="E2531">
        <v>0.53947230000000002</v>
      </c>
      <c r="F2531" t="s">
        <v>43</v>
      </c>
      <c r="G2531">
        <v>-353.6848</v>
      </c>
      <c r="H2531">
        <v>0.95601619999999998</v>
      </c>
      <c r="I2531">
        <v>284.74400000000003</v>
      </c>
      <c r="J2531">
        <v>-353.14569999999998</v>
      </c>
      <c r="K2531">
        <v>1.122295</v>
      </c>
      <c r="L2531">
        <v>284.64600000000002</v>
      </c>
      <c r="M2531">
        <v>-0.99987459999999995</v>
      </c>
      <c r="N2531">
        <v>-1.515066E-2</v>
      </c>
      <c r="O2531">
        <v>4.612685E-3</v>
      </c>
      <c r="P2531">
        <v>-0.98538829999999999</v>
      </c>
      <c r="Q2531">
        <v>0.16137760000000001</v>
      </c>
      <c r="R2531">
        <v>5.4474420000000003E-2</v>
      </c>
      <c r="S2531">
        <v>-3.1337890000000002</v>
      </c>
      <c r="T2531">
        <v>-0.68503939999999997</v>
      </c>
      <c r="U2531">
        <v>0.40606690000000001</v>
      </c>
      <c r="V2531">
        <v>4.9568300000000003E-2</v>
      </c>
      <c r="W2531">
        <v>0.17639349999999901</v>
      </c>
      <c r="X2531">
        <v>0.98307089999999997</v>
      </c>
      <c r="Y2531">
        <v>0.12100669999999999</v>
      </c>
      <c r="Z2531">
        <v>1.3027220000000001E-2</v>
      </c>
      <c r="AA2531">
        <v>0.99256619999999995</v>
      </c>
      <c r="AB2531">
        <v>41</v>
      </c>
      <c r="AC2531">
        <v>-0.53910000000001901</v>
      </c>
      <c r="AD2531">
        <v>-0.1662788</v>
      </c>
      <c r="AE2531">
        <v>9.8000000000070003E-2</v>
      </c>
      <c r="AF2531">
        <v>8.74579156297908E-2</v>
      </c>
      <c r="AG2531">
        <v>-0.1662788</v>
      </c>
      <c r="AH2531">
        <v>0.49404905237895202</v>
      </c>
      <c r="AI2531">
        <v>108.335747829502</v>
      </c>
      <c r="AJ2531">
        <v>79.961342731321906</v>
      </c>
      <c r="AK2531">
        <v>0.52856597742598599</v>
      </c>
      <c r="AL2531">
        <v>79.840238999218499</v>
      </c>
      <c r="AM2531">
        <v>87.113482627222993</v>
      </c>
      <c r="AN2531">
        <v>1.0000000388169701</v>
      </c>
    </row>
    <row r="2532" spans="1:40" x14ac:dyDescent="0.25">
      <c r="A2532" t="str">
        <f>"20190303170307196"</f>
        <v>20190303170307196</v>
      </c>
      <c r="B2532" t="str">
        <f>"1551603787188278"</f>
        <v>1551603787188278</v>
      </c>
      <c r="C2532" t="s">
        <v>40</v>
      </c>
      <c r="D2532">
        <v>4.2031720000000004</v>
      </c>
      <c r="E2532">
        <v>0.53969250000000002</v>
      </c>
      <c r="F2532" t="s">
        <v>43</v>
      </c>
      <c r="G2532">
        <v>-354.03320000000002</v>
      </c>
      <c r="H2532">
        <v>0.92822720000000003</v>
      </c>
      <c r="I2532">
        <v>284.76139999999998</v>
      </c>
      <c r="J2532">
        <v>-353.37599999999998</v>
      </c>
      <c r="K2532">
        <v>1.122306</v>
      </c>
      <c r="L2532">
        <v>284.64670000000001</v>
      </c>
      <c r="M2532">
        <v>-0.99987669999999995</v>
      </c>
      <c r="N2532">
        <v>-1.5149289999999999E-2</v>
      </c>
      <c r="O2532">
        <v>4.11554E-3</v>
      </c>
      <c r="P2532">
        <v>-0.98529420000000001</v>
      </c>
      <c r="Q2532">
        <v>0.16209660000000001</v>
      </c>
      <c r="R2532">
        <v>5.4037479999999999E-2</v>
      </c>
      <c r="S2532">
        <v>-3.1342469999999998</v>
      </c>
      <c r="T2532">
        <v>-0.685365</v>
      </c>
      <c r="U2532">
        <v>0.40740969999999999</v>
      </c>
      <c r="V2532">
        <v>4.9614819999999997E-2</v>
      </c>
      <c r="W2532">
        <v>0.17711060000000001</v>
      </c>
      <c r="X2532">
        <v>0.98293949999999997</v>
      </c>
      <c r="Y2532">
        <v>0.12186660000000001</v>
      </c>
      <c r="Z2532">
        <v>1.322945E-2</v>
      </c>
      <c r="AA2532">
        <v>0.99245830000000002</v>
      </c>
      <c r="AB2532">
        <v>40</v>
      </c>
      <c r="AC2532">
        <v>-0.65720000000004497</v>
      </c>
      <c r="AD2532">
        <v>-0.1940788</v>
      </c>
      <c r="AE2532">
        <v>0.11469999999997001</v>
      </c>
      <c r="AF2532">
        <v>0.103255371081691</v>
      </c>
      <c r="AG2532">
        <v>-0.1940788</v>
      </c>
      <c r="AH2532">
        <v>0.60635044520395798</v>
      </c>
      <c r="AI2532">
        <v>107.512288602387</v>
      </c>
      <c r="AJ2532">
        <v>80.335810635573395</v>
      </c>
      <c r="AK2532">
        <v>0.64497218131148504</v>
      </c>
      <c r="AL2532">
        <v>79.798493809137796</v>
      </c>
      <c r="AM2532">
        <v>87.110392631251997</v>
      </c>
      <c r="AN2532">
        <v>0.99999992782811797</v>
      </c>
    </row>
    <row r="2533" spans="1:40" x14ac:dyDescent="0.25">
      <c r="A2533" t="str">
        <f>"20190303170307207"</f>
        <v>20190303170307207</v>
      </c>
      <c r="B2533" t="str">
        <f>"1551603787198038"</f>
        <v>1551603787198038</v>
      </c>
      <c r="C2533" t="s">
        <v>40</v>
      </c>
      <c r="D2533">
        <v>4.1907740000000002</v>
      </c>
      <c r="E2533">
        <v>0.53987419999999997</v>
      </c>
      <c r="F2533" t="s">
        <v>43</v>
      </c>
      <c r="G2533">
        <v>-354.38350000000003</v>
      </c>
      <c r="H2533">
        <v>0.90271219999999996</v>
      </c>
      <c r="I2533">
        <v>284.77800000000002</v>
      </c>
      <c r="J2533">
        <v>-353.59199999999998</v>
      </c>
      <c r="K2533">
        <v>1.12232</v>
      </c>
      <c r="L2533">
        <v>284.6472</v>
      </c>
      <c r="M2533">
        <v>-0.99987870000000001</v>
      </c>
      <c r="N2533">
        <v>-1.5147890000000001E-2</v>
      </c>
      <c r="O2533">
        <v>3.6478359999999998E-3</v>
      </c>
      <c r="P2533">
        <v>-0.98529339999999999</v>
      </c>
      <c r="Q2533">
        <v>0.1622661</v>
      </c>
      <c r="R2533">
        <v>5.3541800000000001E-2</v>
      </c>
      <c r="S2533">
        <v>-3.1348569999999998</v>
      </c>
      <c r="T2533">
        <v>-0.68329969999999995</v>
      </c>
      <c r="U2533">
        <v>0.40795900000000002</v>
      </c>
      <c r="V2533">
        <v>4.9575649999999999E-2</v>
      </c>
      <c r="W2533">
        <v>0.17727960000000001</v>
      </c>
      <c r="X2533">
        <v>0.98291110000000004</v>
      </c>
      <c r="Y2533">
        <v>0.1224708</v>
      </c>
      <c r="Z2533">
        <v>1.335368E-2</v>
      </c>
      <c r="AA2533">
        <v>0.99238230000000005</v>
      </c>
      <c r="AB2533">
        <v>40</v>
      </c>
      <c r="AC2533">
        <v>-0.79150000000004095</v>
      </c>
      <c r="AD2533">
        <v>-0.21960779999999999</v>
      </c>
      <c r="AE2533">
        <v>0.13080000000002101</v>
      </c>
      <c r="AF2533">
        <v>0.11899452413018601</v>
      </c>
      <c r="AG2533">
        <v>-0.21960779999999999</v>
      </c>
      <c r="AH2533">
        <v>0.73676171037461802</v>
      </c>
      <c r="AI2533">
        <v>106.396964683487</v>
      </c>
      <c r="AJ2533">
        <v>80.825375289287393</v>
      </c>
      <c r="AK2533">
        <v>0.77794929170733296</v>
      </c>
      <c r="AL2533">
        <v>79.788656042720604</v>
      </c>
      <c r="AM2533">
        <v>87.112586777396203</v>
      </c>
      <c r="AN2533">
        <v>1.00000001607614</v>
      </c>
    </row>
    <row r="2534" spans="1:40" x14ac:dyDescent="0.25">
      <c r="A2534" t="str">
        <f>"20190303170307219"</f>
        <v>20190303170307219</v>
      </c>
      <c r="B2534" t="str">
        <f>"1551603787207798"</f>
        <v>1551603787207798</v>
      </c>
      <c r="C2534" t="s">
        <v>40</v>
      </c>
      <c r="D2534">
        <v>4.1895319999999998</v>
      </c>
      <c r="E2534">
        <v>0.54009969999999996</v>
      </c>
      <c r="F2534" t="s">
        <v>43</v>
      </c>
      <c r="G2534">
        <v>-354.40230000000003</v>
      </c>
      <c r="H2534">
        <v>0.94569990000000004</v>
      </c>
      <c r="I2534">
        <v>284.75279999999998</v>
      </c>
      <c r="J2534">
        <v>-353.79730000000001</v>
      </c>
      <c r="K2534">
        <v>1.1223270000000001</v>
      </c>
      <c r="L2534">
        <v>284.64760000000001</v>
      </c>
      <c r="M2534">
        <v>-0.99988030000000006</v>
      </c>
      <c r="N2534">
        <v>-1.514651E-2</v>
      </c>
      <c r="O2534">
        <v>3.2030420000000001E-3</v>
      </c>
      <c r="P2534">
        <v>-0.98527929999999997</v>
      </c>
      <c r="Q2534">
        <v>0.16248460000000001</v>
      </c>
      <c r="R2534">
        <v>5.3137520000000001E-2</v>
      </c>
      <c r="S2534">
        <v>-3.1351619999999998</v>
      </c>
      <c r="T2534">
        <v>-0.68339499999999997</v>
      </c>
      <c r="U2534">
        <v>0.4078369</v>
      </c>
      <c r="V2534">
        <v>4.9605580000000003E-2</v>
      </c>
      <c r="W2534">
        <v>0.17749779999999901</v>
      </c>
      <c r="X2534">
        <v>0.98287020000000003</v>
      </c>
      <c r="Y2534">
        <v>0.12284340000000001</v>
      </c>
      <c r="Z2534">
        <v>1.3485769999999999E-2</v>
      </c>
      <c r="AA2534">
        <v>0.99233439999999995</v>
      </c>
      <c r="AB2534">
        <v>40</v>
      </c>
      <c r="AC2534">
        <v>-0.60500000000001797</v>
      </c>
      <c r="AD2534">
        <v>-0.17662710000000001</v>
      </c>
      <c r="AE2534">
        <v>0.105199999999968</v>
      </c>
      <c r="AF2534">
        <v>9.5371255880897704E-2</v>
      </c>
      <c r="AG2534">
        <v>-0.17662710000000001</v>
      </c>
      <c r="AH2534">
        <v>0.55908069213445799</v>
      </c>
      <c r="AI2534">
        <v>107.29791980606799</v>
      </c>
      <c r="AJ2534">
        <v>80.319333864224305</v>
      </c>
      <c r="AK2534">
        <v>0.59402359315119302</v>
      </c>
      <c r="AL2534">
        <v>79.775952537935297</v>
      </c>
      <c r="AM2534">
        <v>87.110726507760404</v>
      </c>
      <c r="AN2534">
        <v>1.0000000063100001</v>
      </c>
    </row>
    <row r="2535" spans="1:40" x14ac:dyDescent="0.25">
      <c r="A2535" t="str">
        <f>"20190303170307233"</f>
        <v>20190303170307233</v>
      </c>
      <c r="B2535" t="str">
        <f>"1551603787228294"</f>
        <v>1551603787228294</v>
      </c>
      <c r="C2535" t="s">
        <v>40</v>
      </c>
      <c r="D2535">
        <v>4.2202599999999997</v>
      </c>
      <c r="E2535">
        <v>0.54045609999999999</v>
      </c>
      <c r="F2535" t="s">
        <v>43</v>
      </c>
      <c r="G2535">
        <v>-354.74919999999997</v>
      </c>
      <c r="H2535">
        <v>0.91496750000000004</v>
      </c>
      <c r="I2535">
        <v>284.77170000000001</v>
      </c>
      <c r="J2535">
        <v>-354.05029999999999</v>
      </c>
      <c r="K2535">
        <v>1.1223369999999999</v>
      </c>
      <c r="L2535">
        <v>284.64789999999999</v>
      </c>
      <c r="M2535">
        <v>-0.99988189999999999</v>
      </c>
      <c r="N2535">
        <v>-1.514472E-2</v>
      </c>
      <c r="O2535">
        <v>2.6546510000000001E-3</v>
      </c>
      <c r="P2535">
        <v>-0.98539049999999995</v>
      </c>
      <c r="Q2535">
        <v>0.16200100000000001</v>
      </c>
      <c r="R2535">
        <v>5.2547679999999999E-2</v>
      </c>
      <c r="S2535">
        <v>-3.135437</v>
      </c>
      <c r="T2535">
        <v>-0.68312010000000001</v>
      </c>
      <c r="U2535">
        <v>0.40814210000000001</v>
      </c>
      <c r="V2535">
        <v>4.9552989999999998E-2</v>
      </c>
      <c r="W2535">
        <v>0.17701439999999999</v>
      </c>
      <c r="X2535">
        <v>0.98295999999999994</v>
      </c>
      <c r="Y2535">
        <v>0.12344819999999999</v>
      </c>
      <c r="Z2535">
        <v>1.365853E-2</v>
      </c>
      <c r="AA2535">
        <v>0.99225699999999994</v>
      </c>
      <c r="AB2535">
        <v>40</v>
      </c>
      <c r="AC2535">
        <v>-0.69889999999997998</v>
      </c>
      <c r="AD2535">
        <v>-0.20736950000000001</v>
      </c>
      <c r="AE2535">
        <v>0.12380000000001699</v>
      </c>
      <c r="AF2535">
        <v>0.112353766555778</v>
      </c>
      <c r="AG2535">
        <v>-0.20736950000000001</v>
      </c>
      <c r="AH2535">
        <v>0.64423579296871503</v>
      </c>
      <c r="AI2535">
        <v>107.593735252634</v>
      </c>
      <c r="AJ2535">
        <v>80.107196320799801</v>
      </c>
      <c r="AK2535">
        <v>0.68605046121371405</v>
      </c>
      <c r="AL2535">
        <v>79.804094679613698</v>
      </c>
      <c r="AM2535">
        <v>87.114047656066603</v>
      </c>
      <c r="AN2535">
        <v>0.99999997911264904</v>
      </c>
    </row>
    <row r="2536" spans="1:40" x14ac:dyDescent="0.25">
      <c r="A2536" t="str">
        <f>"20190303170307245"</f>
        <v>20190303170307245</v>
      </c>
      <c r="B2536" t="str">
        <f>"1551603787238054"</f>
        <v>1551603787238054</v>
      </c>
      <c r="C2536" t="s">
        <v>40</v>
      </c>
      <c r="D2536">
        <v>4.2302609999999996</v>
      </c>
      <c r="E2536">
        <v>0.54064699999999999</v>
      </c>
      <c r="F2536" t="s">
        <v>43</v>
      </c>
      <c r="G2536">
        <v>-354.77190000000002</v>
      </c>
      <c r="H2536">
        <v>0.96452559999999998</v>
      </c>
      <c r="I2536">
        <v>284.7423</v>
      </c>
      <c r="J2536">
        <v>-354.27850000000001</v>
      </c>
      <c r="K2536">
        <v>1.1223430000000001</v>
      </c>
      <c r="L2536">
        <v>284.6481</v>
      </c>
      <c r="M2536">
        <v>-0.99988290000000002</v>
      </c>
      <c r="N2536">
        <v>-1.514301E-2</v>
      </c>
      <c r="O2536">
        <v>2.160833E-3</v>
      </c>
      <c r="P2536">
        <v>-0.98550530000000003</v>
      </c>
      <c r="Q2536">
        <v>0.16139709999999999</v>
      </c>
      <c r="R2536">
        <v>5.2252270000000003E-2</v>
      </c>
      <c r="S2536">
        <v>-3.1353759999999999</v>
      </c>
      <c r="T2536">
        <v>-0.68585850000000004</v>
      </c>
      <c r="U2536">
        <v>0.40908810000000001</v>
      </c>
      <c r="V2536">
        <v>4.9742160000000001E-2</v>
      </c>
      <c r="W2536">
        <v>0.17641129999999999</v>
      </c>
      <c r="X2536">
        <v>0.98305889999999996</v>
      </c>
      <c r="Y2536">
        <v>0.12418369999999999</v>
      </c>
      <c r="Z2536">
        <v>1.389194E-2</v>
      </c>
      <c r="AA2536">
        <v>0.99216199999999999</v>
      </c>
      <c r="AB2536">
        <v>40</v>
      </c>
      <c r="AC2536">
        <v>-0.493400000000008</v>
      </c>
      <c r="AD2536">
        <v>-0.1578174</v>
      </c>
      <c r="AE2536">
        <v>9.42000000000007E-2</v>
      </c>
      <c r="AF2536">
        <v>8.4766197402889695E-2</v>
      </c>
      <c r="AG2536">
        <v>-0.1578174</v>
      </c>
      <c r="AH2536">
        <v>0.44925616583554401</v>
      </c>
      <c r="AI2536">
        <v>109.04442597843</v>
      </c>
      <c r="AJ2536">
        <v>79.314978846425703</v>
      </c>
      <c r="AK2536">
        <v>0.483655603199384</v>
      </c>
      <c r="AL2536">
        <v>79.839202642239897</v>
      </c>
      <c r="AM2536">
        <v>87.1033401288189</v>
      </c>
      <c r="AN2536">
        <v>1.0000000150591799</v>
      </c>
    </row>
    <row r="2537" spans="1:40" x14ac:dyDescent="0.25">
      <c r="A2537" t="str">
        <f>"20190303170307258"</f>
        <v>20190303170307258</v>
      </c>
      <c r="B2537" t="str">
        <f>"1551603787247814"</f>
        <v>1551603787247814</v>
      </c>
      <c r="C2537" t="s">
        <v>40</v>
      </c>
      <c r="D2537">
        <v>4.2109779999999999</v>
      </c>
      <c r="E2537">
        <v>0.54083139999999996</v>
      </c>
      <c r="F2537" t="s">
        <v>43</v>
      </c>
      <c r="G2537">
        <v>-355.11939999999998</v>
      </c>
      <c r="H2537">
        <v>0.9377183</v>
      </c>
      <c r="I2537">
        <v>284.75830000000002</v>
      </c>
      <c r="J2537">
        <v>-354.51119999999997</v>
      </c>
      <c r="K2537">
        <v>1.1223510000000001</v>
      </c>
      <c r="L2537">
        <v>284.64830000000001</v>
      </c>
      <c r="M2537">
        <v>-0.99988410000000005</v>
      </c>
      <c r="N2537">
        <v>-1.5141190000000001E-2</v>
      </c>
      <c r="O2537">
        <v>1.6571349999999999E-3</v>
      </c>
      <c r="P2537">
        <v>-0.98558469999999998</v>
      </c>
      <c r="Q2537">
        <v>0.16103390000000001</v>
      </c>
      <c r="R2537">
        <v>5.1878519999999997E-2</v>
      </c>
      <c r="S2537">
        <v>-3.135132</v>
      </c>
      <c r="T2537">
        <v>-0.68836280000000005</v>
      </c>
      <c r="U2537">
        <v>0.40948489999999999</v>
      </c>
      <c r="V2537">
        <v>4.9862770000000001E-2</v>
      </c>
      <c r="W2537">
        <v>0.1760485</v>
      </c>
      <c r="X2537">
        <v>0.98311780000000004</v>
      </c>
      <c r="Y2537">
        <v>0.12477000000000001</v>
      </c>
      <c r="Z2537">
        <v>1.4108000000000001E-2</v>
      </c>
      <c r="AA2537">
        <v>0.99208540000000001</v>
      </c>
      <c r="AB2537">
        <v>40</v>
      </c>
      <c r="AC2537">
        <v>-0.60820000000000995</v>
      </c>
      <c r="AD2537">
        <v>-0.18463270000000001</v>
      </c>
      <c r="AE2537">
        <v>0.110000000000013</v>
      </c>
      <c r="AF2537">
        <v>0.10006256662292599</v>
      </c>
      <c r="AG2537">
        <v>-0.18463270000000001</v>
      </c>
      <c r="AH2537">
        <v>0.55853904314523695</v>
      </c>
      <c r="AI2537">
        <v>108.024022994962</v>
      </c>
      <c r="AJ2537">
        <v>79.843176743146003</v>
      </c>
      <c r="AK2537">
        <v>0.59671401346545805</v>
      </c>
      <c r="AL2537">
        <v>79.860319796191405</v>
      </c>
      <c r="AM2537">
        <v>87.096502257464294</v>
      </c>
      <c r="AN2537">
        <v>0.99999998943058099</v>
      </c>
    </row>
    <row r="2538" spans="1:40" x14ac:dyDescent="0.25">
      <c r="A2538" t="str">
        <f>"20190303170307272"</f>
        <v>20190303170307272</v>
      </c>
      <c r="B2538" t="str">
        <f>"1551603787258550"</f>
        <v>1551603787258550</v>
      </c>
      <c r="C2538" t="s">
        <v>40</v>
      </c>
      <c r="D2538">
        <v>4.2294340000000004</v>
      </c>
      <c r="E2538">
        <v>0.54081089999999998</v>
      </c>
      <c r="F2538" t="s">
        <v>43</v>
      </c>
      <c r="G2538">
        <v>-355.46789999999999</v>
      </c>
      <c r="H2538">
        <v>0.91180749999999999</v>
      </c>
      <c r="I2538">
        <v>284.77330000000001</v>
      </c>
      <c r="J2538">
        <v>-354.74349999999998</v>
      </c>
      <c r="K2538">
        <v>1.12236</v>
      </c>
      <c r="L2538">
        <v>284.64819999999997</v>
      </c>
      <c r="M2538">
        <v>-0.99988480000000002</v>
      </c>
      <c r="N2538">
        <v>-1.513922E-2</v>
      </c>
      <c r="O2538">
        <v>1.1550779999999999E-3</v>
      </c>
      <c r="P2538">
        <v>-0.98566359999999997</v>
      </c>
      <c r="Q2538">
        <v>0.160668899999999</v>
      </c>
      <c r="R2538">
        <v>5.1506070000000001E-2</v>
      </c>
      <c r="S2538">
        <v>-3.1350709999999999</v>
      </c>
      <c r="T2538">
        <v>-0.68996659999999999</v>
      </c>
      <c r="U2538">
        <v>0.40969850000000002</v>
      </c>
      <c r="V2538">
        <v>4.9983619999999999E-2</v>
      </c>
      <c r="W2538">
        <v>0.17568329999999999</v>
      </c>
      <c r="X2538">
        <v>0.98317699999999997</v>
      </c>
      <c r="Y2538">
        <v>0.12529940000000001</v>
      </c>
      <c r="Z2538">
        <v>1.430065E-2</v>
      </c>
      <c r="AA2538">
        <v>0.99201589999999995</v>
      </c>
      <c r="AB2538">
        <v>40</v>
      </c>
      <c r="AC2538">
        <v>-0.72440000000000204</v>
      </c>
      <c r="AD2538">
        <v>-0.210552499999999</v>
      </c>
      <c r="AE2538">
        <v>0.12510000000003099</v>
      </c>
      <c r="AF2538">
        <v>0.114841977866907</v>
      </c>
      <c r="AG2538">
        <v>-0.210552499999999</v>
      </c>
      <c r="AH2538">
        <v>0.669612151851677</v>
      </c>
      <c r="AI2538">
        <v>107.21897187702901</v>
      </c>
      <c r="AJ2538">
        <v>80.268155368255606</v>
      </c>
      <c r="AK2538">
        <v>0.71126750877856504</v>
      </c>
      <c r="AL2538">
        <v>79.881575599133498</v>
      </c>
      <c r="AM2538">
        <v>87.089652224447505</v>
      </c>
      <c r="AN2538">
        <v>0.99999999874809697</v>
      </c>
    </row>
    <row r="2539" spans="1:40" x14ac:dyDescent="0.25">
      <c r="A2539" t="str">
        <f>"20190303170307283"</f>
        <v>20190303170307283</v>
      </c>
      <c r="B2539" t="str">
        <f>"1551603787278071"</f>
        <v>1551603787278071</v>
      </c>
      <c r="C2539" t="s">
        <v>40</v>
      </c>
      <c r="D2539">
        <v>4.2343489999999999</v>
      </c>
      <c r="E2539">
        <v>0.52742009999999995</v>
      </c>
      <c r="F2539" t="s">
        <v>43</v>
      </c>
      <c r="G2539">
        <v>-355.48869999999999</v>
      </c>
      <c r="H2539">
        <v>0.95795249999999998</v>
      </c>
      <c r="I2539">
        <v>284.74529999999999</v>
      </c>
      <c r="J2539">
        <v>-354.95179999999999</v>
      </c>
      <c r="K2539">
        <v>1.122366</v>
      </c>
      <c r="L2539">
        <v>284.6481</v>
      </c>
      <c r="M2539">
        <v>-0.99988509999999997</v>
      </c>
      <c r="N2539">
        <v>-1.513745E-2</v>
      </c>
      <c r="O2539">
        <v>7.0682639999999897E-4</v>
      </c>
      <c r="P2539">
        <v>-0.98563190000000001</v>
      </c>
      <c r="Q2539">
        <v>0.1609631</v>
      </c>
      <c r="R2539">
        <v>5.119493E-2</v>
      </c>
      <c r="S2539">
        <v>-3.1350709999999999</v>
      </c>
      <c r="T2539">
        <v>-0.6917681</v>
      </c>
      <c r="U2539">
        <v>0.40823359999999997</v>
      </c>
      <c r="V2539">
        <v>5.011256E-2</v>
      </c>
      <c r="W2539">
        <v>0.17597579999999999</v>
      </c>
      <c r="X2539">
        <v>0.98311809999999999</v>
      </c>
      <c r="Y2539">
        <v>0.12526399999999999</v>
      </c>
      <c r="Z2539">
        <v>1.4421460000000001E-2</v>
      </c>
      <c r="AA2539">
        <v>0.99201859999999997</v>
      </c>
      <c r="AB2539">
        <v>40</v>
      </c>
      <c r="AC2539">
        <v>-0.53690000000000204</v>
      </c>
      <c r="AD2539">
        <v>-0.16441349999999999</v>
      </c>
      <c r="AE2539">
        <v>9.7199999999986603E-2</v>
      </c>
      <c r="AF2539">
        <v>8.8761003321049303E-2</v>
      </c>
      <c r="AG2539">
        <v>-0.16441349999999999</v>
      </c>
      <c r="AH2539">
        <v>0.49227075495561401</v>
      </c>
      <c r="AI2539">
        <v>108.19515795244899</v>
      </c>
      <c r="AJ2539">
        <v>79.778860868233096</v>
      </c>
      <c r="AK2539">
        <v>0.52653661874306501</v>
      </c>
      <c r="AL2539">
        <v>79.864551110199997</v>
      </c>
      <c r="AM2539">
        <v>87.081983007267297</v>
      </c>
      <c r="AN2539">
        <v>0.99999997470150104</v>
      </c>
    </row>
    <row r="2540" spans="1:40" x14ac:dyDescent="0.25">
      <c r="A2540" t="str">
        <f>"20190303170307298"</f>
        <v>20190303170307298</v>
      </c>
      <c r="B2540" t="str">
        <f>"1551603787287832"</f>
        <v>1551603787287832</v>
      </c>
      <c r="C2540" t="s">
        <v>40</v>
      </c>
      <c r="D2540">
        <v>4.2080129999999896</v>
      </c>
      <c r="E2540">
        <v>0.52742009999999995</v>
      </c>
      <c r="F2540" t="s">
        <v>43</v>
      </c>
      <c r="G2540">
        <v>-355.85219999999998</v>
      </c>
      <c r="H2540">
        <v>0.96672049999999998</v>
      </c>
      <c r="I2540">
        <v>284.73820000000001</v>
      </c>
      <c r="J2540">
        <v>-355.21280000000002</v>
      </c>
      <c r="K2540">
        <v>1.1223719999999999</v>
      </c>
      <c r="L2540">
        <v>284.64780000000002</v>
      </c>
      <c r="M2540">
        <v>-0.99988560000000004</v>
      </c>
      <c r="N2540">
        <v>-1.51352E-2</v>
      </c>
      <c r="O2540">
        <v>1.464224E-4</v>
      </c>
      <c r="P2540">
        <v>-0.98554949999999997</v>
      </c>
      <c r="Q2540">
        <v>0.1615249</v>
      </c>
      <c r="R2540">
        <v>5.1011939999999999E-2</v>
      </c>
      <c r="S2540">
        <v>-3.1156619999999999</v>
      </c>
      <c r="T2540">
        <v>-0.53876610000000003</v>
      </c>
      <c r="U2540">
        <v>0.30990600000000001</v>
      </c>
      <c r="V2540">
        <v>5.0479669999999997E-2</v>
      </c>
      <c r="W2540">
        <v>0.17653479999999999</v>
      </c>
      <c r="X2540">
        <v>0.98299910000000001</v>
      </c>
      <c r="Y2540">
        <v>9.7277130000000003E-2</v>
      </c>
      <c r="Z2540">
        <v>9.049606E-3</v>
      </c>
      <c r="AA2540">
        <v>0.9952162</v>
      </c>
      <c r="AB2540">
        <v>40</v>
      </c>
      <c r="AC2540">
        <v>-0.639399999999966</v>
      </c>
      <c r="AD2540">
        <v>-0.155651499999999</v>
      </c>
      <c r="AE2540">
        <v>9.0399999999988198E-2</v>
      </c>
      <c r="AF2540">
        <v>8.5347777285108298E-2</v>
      </c>
      <c r="AG2540">
        <v>-0.155651499999999</v>
      </c>
      <c r="AH2540">
        <v>0.60430399947122004</v>
      </c>
      <c r="AI2540">
        <v>104.307728359384</v>
      </c>
      <c r="AJ2540">
        <v>81.961103435416206</v>
      </c>
      <c r="AK2540">
        <v>0.62983724589505796</v>
      </c>
      <c r="AL2540">
        <v>79.832013444560005</v>
      </c>
      <c r="AM2540">
        <v>87.060288607752895</v>
      </c>
      <c r="AN2540">
        <v>0.99999998164757897</v>
      </c>
    </row>
    <row r="2541" spans="1:40" x14ac:dyDescent="0.25">
      <c r="A2541" t="str">
        <f>"20190303170307314"</f>
        <v>20190303170307314</v>
      </c>
      <c r="B2541" t="str">
        <f>"1551603787308325"</f>
        <v>1551603787308325</v>
      </c>
      <c r="C2541" t="s">
        <v>40</v>
      </c>
      <c r="D2541">
        <v>4.2695809999999996</v>
      </c>
      <c r="E2541">
        <v>0.50152070000000004</v>
      </c>
      <c r="F2541" t="s">
        <v>43</v>
      </c>
      <c r="G2541">
        <v>-356.20389999999998</v>
      </c>
      <c r="H2541">
        <v>0.95159079999999996</v>
      </c>
      <c r="I2541">
        <v>284.74630000000002</v>
      </c>
      <c r="J2541">
        <v>-355.50229999999999</v>
      </c>
      <c r="K2541">
        <v>1.122368</v>
      </c>
      <c r="L2541">
        <v>284.64729999999997</v>
      </c>
      <c r="M2541">
        <v>-0.99988540000000004</v>
      </c>
      <c r="N2541">
        <v>-1.513259E-2</v>
      </c>
      <c r="O2541">
        <v>-4.6989470000000002E-4</v>
      </c>
      <c r="P2541">
        <v>-0.98538990000000004</v>
      </c>
      <c r="Q2541">
        <v>0.1625443</v>
      </c>
      <c r="R2541">
        <v>5.0853870000000002E-2</v>
      </c>
      <c r="S2541">
        <v>-3.1159970000000001</v>
      </c>
      <c r="T2541">
        <v>-0.53700029999999999</v>
      </c>
      <c r="U2541">
        <v>0.309143099999999</v>
      </c>
      <c r="V2541">
        <v>5.092667E-2</v>
      </c>
      <c r="W2541">
        <v>0.1775494</v>
      </c>
      <c r="X2541">
        <v>0.98279329999999998</v>
      </c>
      <c r="Y2541">
        <v>9.7635449999999999E-2</v>
      </c>
      <c r="Z2541">
        <v>9.1510900000000006E-3</v>
      </c>
      <c r="AA2541">
        <v>0.99518019999999996</v>
      </c>
      <c r="AB2541">
        <v>40</v>
      </c>
      <c r="AC2541">
        <v>-0.70159999999998401</v>
      </c>
      <c r="AD2541">
        <v>-0.17077719999999899</v>
      </c>
      <c r="AE2541">
        <v>9.9000000000046301E-2</v>
      </c>
      <c r="AF2541">
        <v>9.3876221744219404E-2</v>
      </c>
      <c r="AG2541">
        <v>-0.17077719999999899</v>
      </c>
      <c r="AH2541">
        <v>0.66303612158629199</v>
      </c>
      <c r="AI2541">
        <v>104.30689600466199</v>
      </c>
      <c r="AJ2541">
        <v>81.941319592996393</v>
      </c>
      <c r="AK2541">
        <v>0.69108211927165497</v>
      </c>
      <c r="AL2541">
        <v>79.772948219758803</v>
      </c>
      <c r="AM2541">
        <v>87.033683666760595</v>
      </c>
      <c r="AN2541">
        <v>0.99999999284126895</v>
      </c>
    </row>
    <row r="2542" spans="1:40" x14ac:dyDescent="0.25">
      <c r="A2542" t="str">
        <f>"20190303170307336"</f>
        <v>20190303170307336</v>
      </c>
      <c r="B2542" t="str">
        <f>"1551603787327845"</f>
        <v>1551603787327845</v>
      </c>
      <c r="C2542" t="s">
        <v>40</v>
      </c>
      <c r="D2542">
        <v>4.4345569999999999</v>
      </c>
      <c r="E2542">
        <v>0.49620069999999999</v>
      </c>
      <c r="F2542" t="s">
        <v>62</v>
      </c>
      <c r="G2542">
        <v>-379.29939999999999</v>
      </c>
      <c r="H2542" s="1">
        <v>3.4119060000000001E-6</v>
      </c>
      <c r="I2542">
        <v>285.62290000000002</v>
      </c>
      <c r="J2542">
        <v>-355.88889999999998</v>
      </c>
      <c r="K2542">
        <v>1.1223639999999999</v>
      </c>
      <c r="L2542">
        <v>284.64640000000003</v>
      </c>
      <c r="M2542">
        <v>-0.99988480000000002</v>
      </c>
      <c r="N2542">
        <v>-1.512898E-2</v>
      </c>
      <c r="O2542">
        <v>-1.2848849999999999E-3</v>
      </c>
      <c r="P2542">
        <v>-0.98548849999999999</v>
      </c>
      <c r="Q2542">
        <v>0.16207089999999999</v>
      </c>
      <c r="R2542">
        <v>5.045384E-2</v>
      </c>
      <c r="S2542">
        <v>-3.0618289999999999</v>
      </c>
      <c r="T2542">
        <v>-0.1444076</v>
      </c>
      <c r="U2542">
        <v>0.12551880000000001</v>
      </c>
      <c r="V2542">
        <v>5.1332669999999997E-2</v>
      </c>
      <c r="W2542">
        <v>0.17707349999999999</v>
      </c>
      <c r="X2542">
        <v>0.98285809999999996</v>
      </c>
      <c r="Y2542">
        <v>4.2181719999999999E-2</v>
      </c>
      <c r="Z2542">
        <v>1.3543429999999901E-3</v>
      </c>
      <c r="AA2542">
        <v>0.99910900000000002</v>
      </c>
      <c r="AB2542">
        <v>40</v>
      </c>
      <c r="AC2542">
        <v>-23.410499999999999</v>
      </c>
      <c r="AD2542">
        <v>-1.122360588094</v>
      </c>
      <c r="AE2542">
        <v>0.97649999999998705</v>
      </c>
      <c r="AF2542">
        <v>1.0042781165097501</v>
      </c>
      <c r="AG2542">
        <v>-1.122360588094</v>
      </c>
      <c r="AH2542">
        <v>23.355636279925399</v>
      </c>
      <c r="AI2542">
        <v>92.748709588912902</v>
      </c>
      <c r="AJ2542">
        <v>87.537833147983406</v>
      </c>
      <c r="AK2542">
        <v>23.404145228253402</v>
      </c>
      <c r="AL2542">
        <v>79.800654942069002</v>
      </c>
      <c r="AM2542">
        <v>87.010274967668593</v>
      </c>
      <c r="AN2542">
        <v>1.00000005607359</v>
      </c>
    </row>
    <row r="2543" spans="1:40" x14ac:dyDescent="0.25">
      <c r="A2543" t="str">
        <f>"20190303170307348"</f>
        <v>20190303170307348</v>
      </c>
      <c r="B2543" t="str">
        <f>"1551603787338582"</f>
        <v>1551603787338582</v>
      </c>
      <c r="C2543" t="s">
        <v>40</v>
      </c>
      <c r="D2543">
        <v>4.2892929999999998</v>
      </c>
      <c r="E2543">
        <v>0.49515749999999997</v>
      </c>
      <c r="F2543" t="s">
        <v>62</v>
      </c>
      <c r="G2543">
        <v>-389.60129999999998</v>
      </c>
      <c r="H2543" s="1">
        <v>3.5725410000000002E-6</v>
      </c>
      <c r="I2543">
        <v>285.57639999999998</v>
      </c>
      <c r="J2543">
        <v>-356.12699999999899</v>
      </c>
      <c r="K2543">
        <v>1.1223559999999999</v>
      </c>
      <c r="L2543">
        <v>284.64569999999998</v>
      </c>
      <c r="M2543">
        <v>-0.99988410000000005</v>
      </c>
      <c r="N2543">
        <v>-1.512674E-2</v>
      </c>
      <c r="O2543">
        <v>-1.7784890000000001E-3</v>
      </c>
      <c r="P2543">
        <v>-0.98563190000000001</v>
      </c>
      <c r="Q2543">
        <v>0.16128110000000001</v>
      </c>
      <c r="R2543">
        <v>5.0180429999999998E-2</v>
      </c>
      <c r="S2543">
        <v>-3.05661</v>
      </c>
      <c r="T2543">
        <v>-0.1017612</v>
      </c>
      <c r="U2543">
        <v>8.4320069999999997E-2</v>
      </c>
      <c r="V2543">
        <v>5.1549909999999997E-2</v>
      </c>
      <c r="W2543">
        <v>0.17628360000000001</v>
      </c>
      <c r="X2543">
        <v>0.98298869999999905</v>
      </c>
      <c r="Y2543">
        <v>2.93297E-2</v>
      </c>
      <c r="Z2543">
        <v>7.4226000000000001E-4</v>
      </c>
      <c r="AA2543">
        <v>0.9995695</v>
      </c>
      <c r="AB2543">
        <v>40</v>
      </c>
      <c r="AC2543">
        <v>-33.474299999999999</v>
      </c>
      <c r="AD2543">
        <v>-1.122352427459</v>
      </c>
      <c r="AE2543">
        <v>0.93070000000000097</v>
      </c>
      <c r="AF2543">
        <v>0.98912791067400996</v>
      </c>
      <c r="AG2543">
        <v>-1.122352427459</v>
      </c>
      <c r="AH2543">
        <v>33.435033687489899</v>
      </c>
      <c r="AI2543">
        <v>91.921751611768201</v>
      </c>
      <c r="AJ2543">
        <v>88.305480091604196</v>
      </c>
      <c r="AK2543">
        <v>33.468485574920798</v>
      </c>
      <c r="AL2543">
        <v>79.846636088328395</v>
      </c>
      <c r="AM2543">
        <v>86.998043706709396</v>
      </c>
      <c r="AN2543">
        <v>1.00000004258882</v>
      </c>
    </row>
    <row r="2544" spans="1:40" x14ac:dyDescent="0.25">
      <c r="A2544" t="str">
        <f>"20190303170307361"</f>
        <v>20190303170307361</v>
      </c>
      <c r="B2544" t="str">
        <f>"1551603787347873"</f>
        <v>1551603787347873</v>
      </c>
      <c r="C2544" t="s">
        <v>40</v>
      </c>
      <c r="D2544">
        <v>4.3927849999999999</v>
      </c>
      <c r="E2544">
        <v>0.4943573</v>
      </c>
      <c r="F2544" t="s">
        <v>62</v>
      </c>
      <c r="G2544">
        <v>-392.50170000000003</v>
      </c>
      <c r="H2544" s="1">
        <v>-2.055102E-7</v>
      </c>
      <c r="I2544">
        <v>285.54820000000001</v>
      </c>
      <c r="J2544">
        <v>-356.34480000000002</v>
      </c>
      <c r="K2544">
        <v>1.1223479999999999</v>
      </c>
      <c r="L2544">
        <v>284.64490000000001</v>
      </c>
      <c r="M2544">
        <v>-0.99988319999999997</v>
      </c>
      <c r="N2544">
        <v>-1.512464E-2</v>
      </c>
      <c r="O2544">
        <v>-2.2264350000000001E-3</v>
      </c>
      <c r="P2544">
        <v>-0.98572530000000003</v>
      </c>
      <c r="Q2544">
        <v>0.1608444</v>
      </c>
      <c r="R2544">
        <v>4.9744429999999999E-2</v>
      </c>
      <c r="S2544">
        <v>-3.0553279999999998</v>
      </c>
      <c r="T2544">
        <v>-9.4273570000000001E-2</v>
      </c>
      <c r="U2544">
        <v>7.5805659999999997E-2</v>
      </c>
      <c r="V2544">
        <v>5.1559019999999997E-2</v>
      </c>
      <c r="W2544">
        <v>0.17584530000000001</v>
      </c>
      <c r="X2544">
        <v>0.98306669999999996</v>
      </c>
      <c r="Y2544">
        <v>2.700986E-2</v>
      </c>
      <c r="Z2544">
        <v>6.5591499999999997E-4</v>
      </c>
      <c r="AA2544">
        <v>0.99963500000000005</v>
      </c>
      <c r="AB2544">
        <v>40</v>
      </c>
      <c r="AC2544">
        <v>-36.1569</v>
      </c>
      <c r="AD2544">
        <v>-1.1223482055102001</v>
      </c>
      <c r="AE2544">
        <v>0.90330000000000099</v>
      </c>
      <c r="AF2544">
        <v>0.98286150987894805</v>
      </c>
      <c r="AG2544">
        <v>-1.1223482055102001</v>
      </c>
      <c r="AH2544">
        <v>36.1200173735579</v>
      </c>
      <c r="AI2544">
        <v>91.779106567508194</v>
      </c>
      <c r="AJ2544">
        <v>88.4413096210275</v>
      </c>
      <c r="AK2544">
        <v>36.150813784867097</v>
      </c>
      <c r="AL2544">
        <v>79.872147110436003</v>
      </c>
      <c r="AM2544">
        <v>86.997751957820796</v>
      </c>
      <c r="AN2544">
        <v>1.0000000193621701</v>
      </c>
    </row>
    <row r="2545" spans="1:40" x14ac:dyDescent="0.25">
      <c r="A2545" t="str">
        <f>"20190303170307373"</f>
        <v>20190303170307373</v>
      </c>
      <c r="B2545" t="str">
        <f>"1551603787368370"</f>
        <v>1551603787368370</v>
      </c>
      <c r="C2545" t="s">
        <v>40</v>
      </c>
      <c r="D2545">
        <v>4.3924830000000004</v>
      </c>
      <c r="E2545">
        <v>0.49284850000000002</v>
      </c>
      <c r="F2545" t="s">
        <v>62</v>
      </c>
      <c r="G2545">
        <v>-394.64510000000001</v>
      </c>
      <c r="H2545" s="1">
        <v>9.3512650000000005E-7</v>
      </c>
      <c r="I2545">
        <v>285.5043</v>
      </c>
      <c r="J2545">
        <v>-356.565</v>
      </c>
      <c r="K2545">
        <v>1.1223379999999901</v>
      </c>
      <c r="L2545">
        <v>284.64400000000001</v>
      </c>
      <c r="M2545">
        <v>-0.99988220000000005</v>
      </c>
      <c r="N2545">
        <v>-1.5122450000000001E-2</v>
      </c>
      <c r="O2545">
        <v>-2.676033E-3</v>
      </c>
      <c r="P2545">
        <v>-0.9858479</v>
      </c>
      <c r="Q2545">
        <v>0.16018669999999999</v>
      </c>
      <c r="R2545">
        <v>4.9439400000000001E-2</v>
      </c>
      <c r="S2545">
        <v>-3.0546570000000002</v>
      </c>
      <c r="T2545">
        <v>-8.9513179999999998E-2</v>
      </c>
      <c r="U2545">
        <v>6.8542480000000003E-2</v>
      </c>
      <c r="V2545">
        <v>5.1701740000000003E-2</v>
      </c>
      <c r="W2545">
        <v>0.17518610000000001</v>
      </c>
      <c r="X2545">
        <v>0.98317690000000002</v>
      </c>
      <c r="Y2545">
        <v>2.5092030000000001E-2</v>
      </c>
      <c r="Z2545">
        <v>5.9527509999999996E-4</v>
      </c>
      <c r="AA2545">
        <v>0.99968500000000005</v>
      </c>
      <c r="AB2545">
        <v>40</v>
      </c>
      <c r="AC2545">
        <v>-38.080100000000002</v>
      </c>
      <c r="AD2545">
        <v>-1.1223370648734901</v>
      </c>
      <c r="AE2545">
        <v>0.86029999999999496</v>
      </c>
      <c r="AF2545">
        <v>0.96137747847237698</v>
      </c>
      <c r="AG2545">
        <v>-1.1223370648734901</v>
      </c>
      <c r="AH2545">
        <v>38.044630128359003</v>
      </c>
      <c r="AI2545">
        <v>91.689227318566196</v>
      </c>
      <c r="AJ2545">
        <v>88.552459262143003</v>
      </c>
      <c r="AK2545">
        <v>38.073320957685603</v>
      </c>
      <c r="AL2545">
        <v>79.910512130563305</v>
      </c>
      <c r="AM2545">
        <v>86.989793550074495</v>
      </c>
      <c r="AN2545">
        <v>1.00000002812292</v>
      </c>
    </row>
    <row r="2546" spans="1:40" x14ac:dyDescent="0.25">
      <c r="A2546" t="str">
        <f>"20190303170307384"</f>
        <v>20190303170307384</v>
      </c>
      <c r="B2546" t="str">
        <f>"1551603787378130"</f>
        <v>1551603787378130</v>
      </c>
      <c r="C2546" t="s">
        <v>40</v>
      </c>
      <c r="D2546">
        <v>4.4511719999999997</v>
      </c>
      <c r="E2546">
        <v>0.49253140000000001</v>
      </c>
      <c r="F2546" t="s">
        <v>62</v>
      </c>
      <c r="G2546">
        <v>-398.39499999999998</v>
      </c>
      <c r="H2546" s="1">
        <v>2.9305979999999999E-6</v>
      </c>
      <c r="I2546">
        <v>285.4153</v>
      </c>
      <c r="J2546">
        <v>-356.7715</v>
      </c>
      <c r="K2546">
        <v>1.1223299999999901</v>
      </c>
      <c r="L2546">
        <v>284.6431</v>
      </c>
      <c r="M2546">
        <v>-0.99988100000000002</v>
      </c>
      <c r="N2546">
        <v>-1.5120339999999999E-2</v>
      </c>
      <c r="O2546">
        <v>-3.0899640000000002E-3</v>
      </c>
      <c r="P2546">
        <v>-0.98596439999999996</v>
      </c>
      <c r="Q2546">
        <v>0.1595992</v>
      </c>
      <c r="R2546">
        <v>4.9017980000000003E-2</v>
      </c>
      <c r="S2546">
        <v>-3.0535890000000001</v>
      </c>
      <c r="T2546">
        <v>-8.1930520000000007E-2</v>
      </c>
      <c r="U2546">
        <v>5.6304930000000003E-2</v>
      </c>
      <c r="V2546">
        <v>5.1693349999999999E-2</v>
      </c>
      <c r="W2546">
        <v>0.174597</v>
      </c>
      <c r="X2546">
        <v>0.98328210000000005</v>
      </c>
      <c r="Y2546">
        <v>2.1513190000000001E-2</v>
      </c>
      <c r="Z2546">
        <v>4.874139E-4</v>
      </c>
      <c r="AA2546">
        <v>0.9997684</v>
      </c>
      <c r="AB2546">
        <v>40</v>
      </c>
      <c r="AC2546">
        <v>-41.6234999999999</v>
      </c>
      <c r="AD2546">
        <v>-1.12232706940199</v>
      </c>
      <c r="AE2546">
        <v>0.772199999999997</v>
      </c>
      <c r="AF2546">
        <v>0.90017188119178604</v>
      </c>
      <c r="AG2546">
        <v>-1.12232706940199</v>
      </c>
      <c r="AH2546">
        <v>41.590686978794203</v>
      </c>
      <c r="AI2546">
        <v>91.5453930127657</v>
      </c>
      <c r="AJ2546">
        <v>88.760107078733697</v>
      </c>
      <c r="AK2546">
        <v>41.615564045612103</v>
      </c>
      <c r="AL2546">
        <v>79.944793156998003</v>
      </c>
      <c r="AM2546">
        <v>86.990602552729499</v>
      </c>
      <c r="AN2546">
        <v>1.00000000151181</v>
      </c>
    </row>
    <row r="2547" spans="1:40" x14ac:dyDescent="0.25">
      <c r="A2547" t="str">
        <f>"20190303170307403"</f>
        <v>20190303170307403</v>
      </c>
      <c r="B2547" t="str">
        <f>"1551603787397650"</f>
        <v>1551603787397650</v>
      </c>
      <c r="C2547" t="s">
        <v>40</v>
      </c>
      <c r="D2547">
        <v>4.3735030000000004</v>
      </c>
      <c r="E2547">
        <v>0.49197039999999997</v>
      </c>
      <c r="F2547" t="s">
        <v>62</v>
      </c>
      <c r="G2547">
        <v>-399.00990000000002</v>
      </c>
      <c r="H2547" s="1">
        <v>3.2578049999999999E-6</v>
      </c>
      <c r="I2547">
        <v>285.37479999999999</v>
      </c>
      <c r="J2547">
        <v>-357.10109999999997</v>
      </c>
      <c r="K2547">
        <v>1.1223259999999999</v>
      </c>
      <c r="L2547">
        <v>284.64159999999998</v>
      </c>
      <c r="M2547">
        <v>-0.99987890000000001</v>
      </c>
      <c r="N2547">
        <v>-1.5116940000000001E-2</v>
      </c>
      <c r="O2547">
        <v>-3.740616E-3</v>
      </c>
      <c r="P2547">
        <v>-0.98598790000000003</v>
      </c>
      <c r="Q2547">
        <v>0.15962209999999999</v>
      </c>
      <c r="R2547">
        <v>4.8467709999999997E-2</v>
      </c>
      <c r="S2547">
        <v>-3.0532530000000002</v>
      </c>
      <c r="T2547">
        <v>-8.1128839999999994E-2</v>
      </c>
      <c r="U2547">
        <v>5.2886959999999997E-2</v>
      </c>
      <c r="V2547">
        <v>5.1790410000000002E-2</v>
      </c>
      <c r="W2547">
        <v>0.17461479999999999</v>
      </c>
      <c r="X2547">
        <v>0.98327379999999998</v>
      </c>
      <c r="Y2547">
        <v>2.1047380000000001E-2</v>
      </c>
      <c r="Z2547">
        <v>4.8153619999999998E-4</v>
      </c>
      <c r="AA2547">
        <v>0.99977839999999996</v>
      </c>
      <c r="AB2547">
        <v>40</v>
      </c>
      <c r="AC2547">
        <v>-41.908799999999999</v>
      </c>
      <c r="AD2547">
        <v>-1.1223227421949999</v>
      </c>
      <c r="AE2547">
        <v>0.73320000000000995</v>
      </c>
      <c r="AF2547">
        <v>0.88933986940560705</v>
      </c>
      <c r="AG2547">
        <v>-1.1223227421949999</v>
      </c>
      <c r="AH2547">
        <v>41.8757407607674</v>
      </c>
      <c r="AI2547">
        <v>91.534885798145595</v>
      </c>
      <c r="AJ2547">
        <v>88.783358543180995</v>
      </c>
      <c r="AK2547">
        <v>41.900217159389001</v>
      </c>
      <c r="AL2547">
        <v>79.943757064386901</v>
      </c>
      <c r="AM2547">
        <v>86.984937087265706</v>
      </c>
      <c r="AN2547">
        <v>0.99999997035672294</v>
      </c>
    </row>
    <row r="2548" spans="1:40" x14ac:dyDescent="0.25">
      <c r="A2548" t="str">
        <f>"20190303170307416"</f>
        <v>20190303170307416</v>
      </c>
      <c r="B2548" t="str">
        <f>"1551603787408385"</f>
        <v>1551603787408385</v>
      </c>
      <c r="C2548" t="s">
        <v>40</v>
      </c>
      <c r="D2548">
        <v>4.3894260000000003</v>
      </c>
      <c r="E2548">
        <v>0.49167070000000002</v>
      </c>
      <c r="F2548" t="s">
        <v>63</v>
      </c>
      <c r="G2548">
        <v>-401.60180000000003</v>
      </c>
      <c r="H2548" s="1">
        <v>7.54467599999999E-6</v>
      </c>
      <c r="I2548">
        <v>285.32889999999998</v>
      </c>
      <c r="J2548">
        <v>-357.32139999999998</v>
      </c>
      <c r="K2548">
        <v>1.122317</v>
      </c>
      <c r="L2548">
        <v>284.6404</v>
      </c>
      <c r="M2548">
        <v>-0.99987720000000002</v>
      </c>
      <c r="N2548">
        <v>-1.511464E-2</v>
      </c>
      <c r="O2548">
        <v>-4.1685639999999996E-3</v>
      </c>
      <c r="P2548">
        <v>-0.98591300000000004</v>
      </c>
      <c r="Q2548">
        <v>0.1601969</v>
      </c>
      <c r="R2548">
        <v>4.8089159999999999E-2</v>
      </c>
      <c r="S2548">
        <v>-3.0527950000000001</v>
      </c>
      <c r="T2548">
        <v>-7.6992149999999995E-2</v>
      </c>
      <c r="U2548">
        <v>4.7149660000000003E-2</v>
      </c>
      <c r="V2548">
        <v>5.1836189999999997E-2</v>
      </c>
      <c r="W2548">
        <v>0.1751848</v>
      </c>
      <c r="X2548">
        <v>0.98316999999999999</v>
      </c>
      <c r="Y2548">
        <v>1.960114E-2</v>
      </c>
      <c r="Z2548">
        <v>4.3741329999999999E-4</v>
      </c>
      <c r="AA2548">
        <v>0.99980780000000002</v>
      </c>
      <c r="AB2548">
        <v>40</v>
      </c>
      <c r="AC2548">
        <v>-44.2804</v>
      </c>
      <c r="AD2548">
        <v>-1.1223094553240001</v>
      </c>
      <c r="AE2548">
        <v>0.68849999999997602</v>
      </c>
      <c r="AF2548">
        <v>0.87254038338808304</v>
      </c>
      <c r="AG2548">
        <v>-1.1223094553240001</v>
      </c>
      <c r="AH2548">
        <v>44.2487265064211</v>
      </c>
      <c r="AI2548">
        <v>91.452636632745097</v>
      </c>
      <c r="AJ2548">
        <v>88.870331257917201</v>
      </c>
      <c r="AK2548">
        <v>44.2715563615535</v>
      </c>
      <c r="AL2548">
        <v>79.910587262027093</v>
      </c>
      <c r="AM2548">
        <v>86.981958841330496</v>
      </c>
      <c r="AN2548">
        <v>0.99999997682237696</v>
      </c>
    </row>
    <row r="2549" spans="1:40" x14ac:dyDescent="0.25">
      <c r="A2549" t="str">
        <f>"20190303170307427"</f>
        <v>20190303170307427</v>
      </c>
      <c r="B2549" t="str">
        <f>"1551603787418146"</f>
        <v>1551603787418146</v>
      </c>
      <c r="C2549" t="s">
        <v>40</v>
      </c>
      <c r="D2549">
        <v>4.4441810000000004</v>
      </c>
      <c r="E2549">
        <v>0.49135000000000001</v>
      </c>
      <c r="F2549" t="s">
        <v>63</v>
      </c>
      <c r="G2549">
        <v>-403.98599999999999</v>
      </c>
      <c r="H2549" s="1">
        <v>6.492096E-6</v>
      </c>
      <c r="I2549">
        <v>285.30619999999999</v>
      </c>
      <c r="J2549">
        <v>-357.53969999999998</v>
      </c>
      <c r="K2549">
        <v>1.1223099999999999</v>
      </c>
      <c r="L2549">
        <v>284.63909999999998</v>
      </c>
      <c r="M2549">
        <v>-0.99987530000000002</v>
      </c>
      <c r="N2549">
        <v>-1.511232E-2</v>
      </c>
      <c r="O2549">
        <v>-4.5823110000000004E-3</v>
      </c>
      <c r="P2549">
        <v>-0.98585290000000003</v>
      </c>
      <c r="Q2549">
        <v>0.16069330000000001</v>
      </c>
      <c r="R2549">
        <v>4.7667189999999998E-2</v>
      </c>
      <c r="S2549">
        <v>-3.0527039999999999</v>
      </c>
      <c r="T2549">
        <v>-7.3419330000000005E-2</v>
      </c>
      <c r="U2549">
        <v>4.3548580000000003E-2</v>
      </c>
      <c r="V2549">
        <v>5.182573E-2</v>
      </c>
      <c r="W2549">
        <v>0.1756762</v>
      </c>
      <c r="X2549">
        <v>0.98308289999999998</v>
      </c>
      <c r="Y2549">
        <v>1.8837300000000001E-2</v>
      </c>
      <c r="Z2549">
        <v>4.0980699999999999E-4</v>
      </c>
      <c r="AA2549">
        <v>0.99982249999999995</v>
      </c>
      <c r="AB2549">
        <v>40</v>
      </c>
      <c r="AC2549">
        <v>-46.446300000000001</v>
      </c>
      <c r="AD2549">
        <v>-1.122303507904</v>
      </c>
      <c r="AE2549">
        <v>0.66710000000000402</v>
      </c>
      <c r="AF2549">
        <v>0.87943532149591597</v>
      </c>
      <c r="AG2549">
        <v>-1.122303507904</v>
      </c>
      <c r="AH2549">
        <v>46.415659786274901</v>
      </c>
      <c r="AI2549">
        <v>91.384860095705605</v>
      </c>
      <c r="AJ2549">
        <v>88.914549437219193</v>
      </c>
      <c r="AK2549">
        <v>46.437554253467802</v>
      </c>
      <c r="AL2549">
        <v>79.881988950224496</v>
      </c>
      <c r="AM2549">
        <v>86.982299877894903</v>
      </c>
      <c r="AN2549">
        <v>1.00000001090444</v>
      </c>
    </row>
    <row r="2550" spans="1:40" x14ac:dyDescent="0.25">
      <c r="A2550" t="str">
        <f>"20190303170307446"</f>
        <v>20190303170307446</v>
      </c>
      <c r="B2550" t="str">
        <f>"1551603787437666"</f>
        <v>1551603787437666</v>
      </c>
      <c r="C2550" t="s">
        <v>40</v>
      </c>
      <c r="D2550">
        <v>4.4416739999999999</v>
      </c>
      <c r="E2550">
        <v>0.4909328</v>
      </c>
      <c r="F2550" t="s">
        <v>63</v>
      </c>
      <c r="G2550">
        <v>-406.53399999999999</v>
      </c>
      <c r="H2550" s="1">
        <v>5.3684320000000002E-6</v>
      </c>
      <c r="I2550">
        <v>285.27589999999998</v>
      </c>
      <c r="J2550">
        <v>-357.87040000000002</v>
      </c>
      <c r="K2550">
        <v>1.1223000000000001</v>
      </c>
      <c r="L2550">
        <v>284.63709999999998</v>
      </c>
      <c r="M2550">
        <v>-0.99987239999999999</v>
      </c>
      <c r="N2550">
        <v>-1.51088E-2</v>
      </c>
      <c r="O2550">
        <v>-5.1992879999999998E-3</v>
      </c>
      <c r="P2550">
        <v>-0.9858614</v>
      </c>
      <c r="Q2550">
        <v>0.16099720000000001</v>
      </c>
      <c r="R2550">
        <v>4.6447189999999999E-2</v>
      </c>
      <c r="S2550">
        <v>-3.0524900000000001</v>
      </c>
      <c r="T2550">
        <v>-6.992292E-2</v>
      </c>
      <c r="U2550">
        <v>3.9672850000000003E-2</v>
      </c>
      <c r="V2550">
        <v>5.1220210000000002E-2</v>
      </c>
      <c r="W2550">
        <v>0.17597289999999999</v>
      </c>
      <c r="X2550">
        <v>0.98306159999999998</v>
      </c>
      <c r="Y2550">
        <v>1.8186979999999998E-2</v>
      </c>
      <c r="Z2550">
        <v>3.8622930000000003E-4</v>
      </c>
      <c r="AA2550">
        <v>0.99983449999999996</v>
      </c>
      <c r="AB2550">
        <v>40</v>
      </c>
      <c r="AC2550">
        <v>-48.663599999999903</v>
      </c>
      <c r="AD2550">
        <v>-1.122294631568</v>
      </c>
      <c r="AE2550">
        <v>0.63880000000000303</v>
      </c>
      <c r="AF2550">
        <v>0.89136229618950602</v>
      </c>
      <c r="AG2550">
        <v>-1.122294631568</v>
      </c>
      <c r="AH2550">
        <v>48.633758040571898</v>
      </c>
      <c r="AI2550">
        <v>91.321726842063796</v>
      </c>
      <c r="AJ2550">
        <v>88.949997240300704</v>
      </c>
      <c r="AK2550">
        <v>48.654871216888502</v>
      </c>
      <c r="AL2550">
        <v>79.864720575120998</v>
      </c>
      <c r="AM2550">
        <v>87.017429459304196</v>
      </c>
      <c r="AN2550">
        <v>1.0000000404206999</v>
      </c>
    </row>
    <row r="2551" spans="1:40" x14ac:dyDescent="0.25">
      <c r="A2551" t="str">
        <f>"20190303170307461"</f>
        <v>20190303170307461</v>
      </c>
      <c r="B2551" t="str">
        <f>"1551603787448402"</f>
        <v>1551603787448402</v>
      </c>
      <c r="C2551" t="s">
        <v>40</v>
      </c>
      <c r="D2551">
        <v>4.3608370000000001</v>
      </c>
      <c r="E2551">
        <v>0.49075020000000003</v>
      </c>
      <c r="F2551" t="s">
        <v>63</v>
      </c>
      <c r="G2551">
        <v>-409.50790000000001</v>
      </c>
      <c r="H2551" s="1">
        <v>4.0659469999999997E-6</v>
      </c>
      <c r="I2551">
        <v>285.19670000000002</v>
      </c>
      <c r="J2551">
        <v>-358.11489999999998</v>
      </c>
      <c r="K2551">
        <v>1.122287</v>
      </c>
      <c r="L2551">
        <v>284.6354</v>
      </c>
      <c r="M2551">
        <v>-0.99987009999999998</v>
      </c>
      <c r="N2551">
        <v>-1.510616E-2</v>
      </c>
      <c r="O2551">
        <v>-5.6457679999999998E-3</v>
      </c>
      <c r="P2551">
        <v>-0.98590230000000001</v>
      </c>
      <c r="Q2551">
        <v>0.16091929999999999</v>
      </c>
      <c r="R2551">
        <v>4.5844759999999998E-2</v>
      </c>
      <c r="S2551">
        <v>-3.0522770000000001</v>
      </c>
      <c r="T2551">
        <v>-6.6338419999999995E-2</v>
      </c>
      <c r="U2551">
        <v>3.3081050000000001E-2</v>
      </c>
      <c r="V2551">
        <v>5.106376E-2</v>
      </c>
      <c r="W2551">
        <v>0.1758912</v>
      </c>
      <c r="X2551">
        <v>0.98308430000000002</v>
      </c>
      <c r="Y2551">
        <v>1.6476709999999999E-2</v>
      </c>
      <c r="Z2551">
        <v>3.4091530000000001E-4</v>
      </c>
      <c r="AA2551">
        <v>0.99986419999999998</v>
      </c>
      <c r="AB2551">
        <v>40</v>
      </c>
      <c r="AC2551">
        <v>-51.393000000000001</v>
      </c>
      <c r="AD2551">
        <v>-1.1222829340530001</v>
      </c>
      <c r="AE2551">
        <v>0.56130000000001701</v>
      </c>
      <c r="AF2551">
        <v>0.85107127794227999</v>
      </c>
      <c r="AG2551">
        <v>-1.1222829340530001</v>
      </c>
      <c r="AH2551">
        <v>51.364520312266002</v>
      </c>
      <c r="AI2551">
        <v>91.251506387305795</v>
      </c>
      <c r="AJ2551">
        <v>89.050739103837699</v>
      </c>
      <c r="AK2551">
        <v>51.3838280805682</v>
      </c>
      <c r="AL2551">
        <v>79.869475206208904</v>
      </c>
      <c r="AM2551">
        <v>87.026591759354602</v>
      </c>
      <c r="AN2551">
        <v>0.99999998136463297</v>
      </c>
    </row>
    <row r="2552" spans="1:40" x14ac:dyDescent="0.25">
      <c r="A2552" t="str">
        <f>"20190303170307472"</f>
        <v>20190303170307472</v>
      </c>
      <c r="B2552" t="str">
        <f>"1551603787458162"</f>
        <v>1551603787458162</v>
      </c>
      <c r="C2552" t="s">
        <v>40</v>
      </c>
      <c r="D2552">
        <v>4.3710389999999997</v>
      </c>
      <c r="E2552">
        <v>0.49061440000000001</v>
      </c>
      <c r="F2552" t="s">
        <v>63</v>
      </c>
      <c r="G2552">
        <v>-410.19189999999998</v>
      </c>
      <c r="H2552" s="1">
        <v>2.193605E-6</v>
      </c>
      <c r="I2552">
        <v>285.1447</v>
      </c>
      <c r="J2552">
        <v>-358.33620000000002</v>
      </c>
      <c r="K2552">
        <v>1.1222780000000001</v>
      </c>
      <c r="L2552">
        <v>284.63380000000001</v>
      </c>
      <c r="M2552">
        <v>-0.99986770000000003</v>
      </c>
      <c r="N2552">
        <v>-1.5103760000000001E-2</v>
      </c>
      <c r="O2552">
        <v>-6.0420730000000002E-3</v>
      </c>
      <c r="P2552">
        <v>-0.98598240000000004</v>
      </c>
      <c r="Q2552">
        <v>0.16064579999999901</v>
      </c>
      <c r="R2552">
        <v>4.5073549999999997E-2</v>
      </c>
      <c r="S2552">
        <v>-3.0522459999999998</v>
      </c>
      <c r="T2552">
        <v>-6.5777420000000003E-2</v>
      </c>
      <c r="U2552">
        <v>2.9846190000000002E-2</v>
      </c>
      <c r="V2552">
        <v>5.0689739999999997E-2</v>
      </c>
      <c r="W2552">
        <v>0.17561379999999999</v>
      </c>
      <c r="X2552">
        <v>0.98315330000000001</v>
      </c>
      <c r="Y2552">
        <v>1.5813899999999999E-2</v>
      </c>
      <c r="Z2552">
        <v>3.2876690000000001E-4</v>
      </c>
      <c r="AA2552">
        <v>0.99987490000000001</v>
      </c>
      <c r="AB2552">
        <v>40</v>
      </c>
      <c r="AC2552">
        <v>-51.855699999999899</v>
      </c>
      <c r="AD2552">
        <v>-1.122275806395</v>
      </c>
      <c r="AE2552">
        <v>0.51089999999999203</v>
      </c>
      <c r="AF2552">
        <v>0.82385648561385305</v>
      </c>
      <c r="AG2552">
        <v>-1.122275806395</v>
      </c>
      <c r="AH2552">
        <v>51.827392992062698</v>
      </c>
      <c r="AI2552">
        <v>91.240338306353095</v>
      </c>
      <c r="AJ2552">
        <v>89.089293875099003</v>
      </c>
      <c r="AK2552">
        <v>51.846088635963802</v>
      </c>
      <c r="AL2552">
        <v>79.885620902047904</v>
      </c>
      <c r="AM2552">
        <v>87.048538825478801</v>
      </c>
      <c r="AN2552">
        <v>1.00000003389629</v>
      </c>
    </row>
    <row r="2553" spans="1:40" x14ac:dyDescent="0.25">
      <c r="A2553" t="str">
        <f>"20190303170307485"</f>
        <v>20190303170307485</v>
      </c>
      <c r="B2553" t="str">
        <f>"1551603787477682"</f>
        <v>1551603787477682</v>
      </c>
      <c r="C2553" t="s">
        <v>40</v>
      </c>
      <c r="D2553">
        <v>4.443174</v>
      </c>
      <c r="E2553">
        <v>0.49041600000000002</v>
      </c>
      <c r="F2553" t="s">
        <v>63</v>
      </c>
      <c r="G2553">
        <v>-410.08749999999998</v>
      </c>
      <c r="H2553" s="1">
        <v>2.1802490000000002E-6</v>
      </c>
      <c r="I2553">
        <v>285.08550000000002</v>
      </c>
      <c r="J2553">
        <v>-358.55430000000001</v>
      </c>
      <c r="K2553">
        <v>1.1222650000000001</v>
      </c>
      <c r="L2553">
        <v>284.63220000000001</v>
      </c>
      <c r="M2553">
        <v>-0.99986540000000002</v>
      </c>
      <c r="N2553">
        <v>-1.510134E-2</v>
      </c>
      <c r="O2553">
        <v>-6.4202419999999996E-3</v>
      </c>
      <c r="P2553">
        <v>-0.98606119999999997</v>
      </c>
      <c r="Q2553">
        <v>0.160459299999999</v>
      </c>
      <c r="R2553">
        <v>4.4002729999999997E-2</v>
      </c>
      <c r="S2553">
        <v>-3.052216</v>
      </c>
      <c r="T2553">
        <v>-6.6190239999999997E-2</v>
      </c>
      <c r="U2553">
        <v>2.6641850000000002E-2</v>
      </c>
      <c r="V2553">
        <v>4.9998460000000002E-2</v>
      </c>
      <c r="W2553">
        <v>0.1754232</v>
      </c>
      <c r="X2553">
        <v>0.98322270000000001</v>
      </c>
      <c r="Y2553">
        <v>1.514273E-2</v>
      </c>
      <c r="Z2553">
        <v>3.2079530000000001E-4</v>
      </c>
      <c r="AA2553">
        <v>0.99988529999999998</v>
      </c>
      <c r="AB2553">
        <v>40</v>
      </c>
      <c r="AC2553">
        <v>-51.533199999999901</v>
      </c>
      <c r="AD2553">
        <v>-1.1222628197510001</v>
      </c>
      <c r="AE2553">
        <v>0.45330000000001203</v>
      </c>
      <c r="AF2553">
        <v>0.78381228745909803</v>
      </c>
      <c r="AG2553">
        <v>-1.1222628197510001</v>
      </c>
      <c r="AH2553">
        <v>51.5048023433895</v>
      </c>
      <c r="AI2553">
        <v>91.248103200148194</v>
      </c>
      <c r="AJ2553">
        <v>89.128126552594594</v>
      </c>
      <c r="AK2553">
        <v>51.522990013878101</v>
      </c>
      <c r="AL2553">
        <v>79.896713450889706</v>
      </c>
      <c r="AM2553">
        <v>87.088924716082701</v>
      </c>
      <c r="AN2553">
        <v>1.0000000114479499</v>
      </c>
    </row>
    <row r="2554" spans="1:40" x14ac:dyDescent="0.25">
      <c r="A2554" t="str">
        <f>"20190303170307500"</f>
        <v>20190303170307500</v>
      </c>
      <c r="B2554" t="str">
        <f>"1551603787488418"</f>
        <v>1551603787488418</v>
      </c>
      <c r="C2554" t="s">
        <v>40</v>
      </c>
      <c r="D2554">
        <v>4.5007590000000004</v>
      </c>
      <c r="E2554">
        <v>0.49033569999999999</v>
      </c>
      <c r="F2554" t="s">
        <v>63</v>
      </c>
      <c r="G2554">
        <v>-410.26249999999999</v>
      </c>
      <c r="H2554" s="1">
        <v>2.218799E-6</v>
      </c>
      <c r="I2554">
        <v>284.99979999999999</v>
      </c>
      <c r="J2554">
        <v>-358.81509999999997</v>
      </c>
      <c r="K2554">
        <v>1.1222479999999999</v>
      </c>
      <c r="L2554">
        <v>284.63010000000003</v>
      </c>
      <c r="M2554">
        <v>-0.99986260000000005</v>
      </c>
      <c r="N2554">
        <v>-1.509836E-2</v>
      </c>
      <c r="O2554">
        <v>-6.8629269999999996E-3</v>
      </c>
      <c r="P2554">
        <v>-0.98603810000000003</v>
      </c>
      <c r="Q2554">
        <v>0.16088229999999901</v>
      </c>
      <c r="R2554">
        <v>4.2963340000000003E-2</v>
      </c>
      <c r="S2554">
        <v>-3.052216</v>
      </c>
      <c r="T2554">
        <v>-6.6244479999999994E-2</v>
      </c>
      <c r="U2554">
        <v>2.1697999999999999E-2</v>
      </c>
      <c r="V2554">
        <v>4.9402000000000001E-2</v>
      </c>
      <c r="W2554">
        <v>0.1758391</v>
      </c>
      <c r="X2554">
        <v>0.98317860000000001</v>
      </c>
      <c r="Y2554">
        <v>1.39664E-2</v>
      </c>
      <c r="Z2554">
        <v>3.0231689999999999E-4</v>
      </c>
      <c r="AA2554">
        <v>0.99990239999999997</v>
      </c>
      <c r="AB2554">
        <v>40</v>
      </c>
      <c r="AC2554">
        <v>-51.447400000000002</v>
      </c>
      <c r="AD2554">
        <v>-1.1222457812009901</v>
      </c>
      <c r="AE2554">
        <v>0.369699999999966</v>
      </c>
      <c r="AF2554">
        <v>0.72246749196277904</v>
      </c>
      <c r="AG2554">
        <v>-1.1222457812009901</v>
      </c>
      <c r="AH2554">
        <v>51.419185242222802</v>
      </c>
      <c r="AI2554">
        <v>91.250183111461496</v>
      </c>
      <c r="AJ2554">
        <v>89.195016135322405</v>
      </c>
      <c r="AK2554">
        <v>51.43650460368</v>
      </c>
      <c r="AL2554">
        <v>79.872508312232299</v>
      </c>
      <c r="AM2554">
        <v>87.123465109998904</v>
      </c>
      <c r="AN2554">
        <v>1.0000000530953801</v>
      </c>
    </row>
    <row r="2555" spans="1:40" x14ac:dyDescent="0.25">
      <c r="A2555" t="str">
        <f>"20190303170307515"</f>
        <v>20190303170307515</v>
      </c>
      <c r="B2555" t="str">
        <f>"1551603787507938"</f>
        <v>1551603787507938</v>
      </c>
      <c r="C2555" t="s">
        <v>40</v>
      </c>
      <c r="D2555">
        <v>4.4975120000000004</v>
      </c>
      <c r="E2555">
        <v>0.49028450000000001</v>
      </c>
      <c r="F2555" t="s">
        <v>63</v>
      </c>
      <c r="G2555">
        <v>-411.834</v>
      </c>
      <c r="H2555" s="1">
        <v>2.5022400000000002E-6</v>
      </c>
      <c r="I2555">
        <v>284.94600000000003</v>
      </c>
      <c r="J2555">
        <v>-359.08749999999998</v>
      </c>
      <c r="K2555">
        <v>1.1222350000000001</v>
      </c>
      <c r="L2555">
        <v>284.62790000000001</v>
      </c>
      <c r="M2555">
        <v>-0.99985930000000001</v>
      </c>
      <c r="N2555">
        <v>-1.5095030000000001E-2</v>
      </c>
      <c r="O2555">
        <v>-7.3103029999999998E-3</v>
      </c>
      <c r="P2555">
        <v>-0.98593600000000003</v>
      </c>
      <c r="Q2555">
        <v>0.16180739999999999</v>
      </c>
      <c r="R2555">
        <v>4.1816819999999998E-2</v>
      </c>
      <c r="S2555">
        <v>-3.052216</v>
      </c>
      <c r="T2555">
        <v>-6.4605949999999995E-2</v>
      </c>
      <c r="U2555">
        <v>1.818848E-2</v>
      </c>
      <c r="V2555">
        <v>4.8703160000000002E-2</v>
      </c>
      <c r="W2555">
        <v>0.176755299999999</v>
      </c>
      <c r="X2555">
        <v>0.98304910000000001</v>
      </c>
      <c r="Y2555">
        <v>1.326462E-2</v>
      </c>
      <c r="Z2555">
        <v>2.8487569999999999E-4</v>
      </c>
      <c r="AA2555">
        <v>0.99991200000000002</v>
      </c>
      <c r="AB2555">
        <v>40</v>
      </c>
      <c r="AC2555">
        <v>-52.746499999999997</v>
      </c>
      <c r="AD2555">
        <v>-1.12223249776</v>
      </c>
      <c r="AE2555">
        <v>0.31809999999995803</v>
      </c>
      <c r="AF2555">
        <v>0.70340995033180098</v>
      </c>
      <c r="AG2555">
        <v>-1.12223249776</v>
      </c>
      <c r="AH2555">
        <v>52.718901372491402</v>
      </c>
      <c r="AI2555">
        <v>91.219368279885998</v>
      </c>
      <c r="AJ2555">
        <v>89.235567718661699</v>
      </c>
      <c r="AK2555">
        <v>52.735535962572001</v>
      </c>
      <c r="AL2555">
        <v>79.8191778992406</v>
      </c>
      <c r="AM2555">
        <v>87.163716657889694</v>
      </c>
      <c r="AN2555">
        <v>0.99999998344144203</v>
      </c>
    </row>
    <row r="2556" spans="1:40" x14ac:dyDescent="0.25">
      <c r="A2556" t="str">
        <f>"20190303170307536"</f>
        <v>20190303170307536</v>
      </c>
      <c r="B2556" t="str">
        <f>"1551603787528434"</f>
        <v>1551603787528434</v>
      </c>
      <c r="C2556" t="s">
        <v>40</v>
      </c>
      <c r="D2556">
        <v>4.5058109999999996</v>
      </c>
      <c r="E2556">
        <v>0.49017739999999999</v>
      </c>
      <c r="F2556" t="s">
        <v>63</v>
      </c>
      <c r="G2556">
        <v>-414.58350000000002</v>
      </c>
      <c r="H2556" s="1">
        <v>2.9961410000000001E-6</v>
      </c>
      <c r="I2556">
        <v>284.87529999999998</v>
      </c>
      <c r="J2556">
        <v>-359.46449999999999</v>
      </c>
      <c r="K2556">
        <v>1.1222049999999999</v>
      </c>
      <c r="L2556">
        <v>284.62450000000001</v>
      </c>
      <c r="M2556">
        <v>-0.99985500000000005</v>
      </c>
      <c r="N2556">
        <v>-1.509043E-2</v>
      </c>
      <c r="O2556">
        <v>-7.8943750000000004E-3</v>
      </c>
      <c r="P2556">
        <v>-0.98586459999999998</v>
      </c>
      <c r="Q2556">
        <v>0.16244220000000001</v>
      </c>
      <c r="R2556">
        <v>4.1032310000000002E-2</v>
      </c>
      <c r="S2556">
        <v>-3.052368</v>
      </c>
      <c r="T2556">
        <v>-6.1724540000000001E-2</v>
      </c>
      <c r="U2556">
        <v>1.3610840000000001E-2</v>
      </c>
      <c r="V2556">
        <v>4.8507439999999999E-2</v>
      </c>
      <c r="W2556">
        <v>0.1773795</v>
      </c>
      <c r="X2556">
        <v>0.98294630000000005</v>
      </c>
      <c r="Y2556">
        <v>1.234961E-2</v>
      </c>
      <c r="Z2556">
        <v>2.5854369999999999E-4</v>
      </c>
      <c r="AA2556">
        <v>0.99992369999999997</v>
      </c>
      <c r="AB2556">
        <v>40</v>
      </c>
      <c r="AC2556">
        <v>-55.119</v>
      </c>
      <c r="AD2556">
        <v>-1.1222020038589999</v>
      </c>
      <c r="AE2556">
        <v>0.25079999999996899</v>
      </c>
      <c r="AF2556">
        <v>0.68568755613953403</v>
      </c>
      <c r="AG2556">
        <v>-1.1222020038589999</v>
      </c>
      <c r="AH2556">
        <v>55.092465770580702</v>
      </c>
      <c r="AI2556">
        <v>91.166830525457499</v>
      </c>
      <c r="AJ2556">
        <v>89.286926550235805</v>
      </c>
      <c r="AK2556">
        <v>55.108159917064199</v>
      </c>
      <c r="AL2556">
        <v>79.782839272142894</v>
      </c>
      <c r="AM2556">
        <v>87.174801173061596</v>
      </c>
      <c r="AN2556">
        <v>0.99999994371964496</v>
      </c>
    </row>
    <row r="2557" spans="1:40" x14ac:dyDescent="0.25">
      <c r="A2557" t="str">
        <f>"20190303170307548"</f>
        <v>20190303170307548</v>
      </c>
      <c r="B2557" t="str">
        <f>"1551603787538194"</f>
        <v>1551603787538194</v>
      </c>
      <c r="C2557" t="s">
        <v>40</v>
      </c>
      <c r="D2557">
        <v>4.499193</v>
      </c>
      <c r="E2557">
        <v>0.49014219999999997</v>
      </c>
      <c r="F2557" t="s">
        <v>63</v>
      </c>
      <c r="G2557">
        <v>-417.66500000000002</v>
      </c>
      <c r="H2557" s="1">
        <v>3.5485029999999999E-6</v>
      </c>
      <c r="I2557">
        <v>284.80959999999999</v>
      </c>
      <c r="J2557">
        <v>-359.68560000000002</v>
      </c>
      <c r="K2557">
        <v>1.1221829999999999</v>
      </c>
      <c r="L2557">
        <v>284.6225</v>
      </c>
      <c r="M2557">
        <v>-0.99985239999999997</v>
      </c>
      <c r="N2557">
        <v>-1.5087990000000001E-2</v>
      </c>
      <c r="O2557">
        <v>-8.2176639999999995E-3</v>
      </c>
      <c r="P2557">
        <v>-0.98587119999999995</v>
      </c>
      <c r="Q2557">
        <v>0.16248209999999999</v>
      </c>
      <c r="R2557">
        <v>4.0712829999999998E-2</v>
      </c>
      <c r="S2557">
        <v>-3.0523069999999999</v>
      </c>
      <c r="T2557">
        <v>-5.8853509999999998E-2</v>
      </c>
      <c r="U2557">
        <v>9.7045900000000008E-3</v>
      </c>
      <c r="V2557">
        <v>4.8516040000000003E-2</v>
      </c>
      <c r="W2557">
        <v>0.17741470000000001</v>
      </c>
      <c r="X2557">
        <v>0.98293960000000002</v>
      </c>
      <c r="Y2557">
        <v>1.1394019999999999E-2</v>
      </c>
      <c r="Z2557">
        <v>2.3025420000000001E-4</v>
      </c>
      <c r="AA2557">
        <v>0.99993500000000002</v>
      </c>
      <c r="AB2557">
        <v>40</v>
      </c>
      <c r="AC2557">
        <v>-57.979399999999998</v>
      </c>
      <c r="AD2557">
        <v>-1.1221794514969901</v>
      </c>
      <c r="AE2557">
        <v>0.187099999999986</v>
      </c>
      <c r="AF2557">
        <v>0.66335465504190505</v>
      </c>
      <c r="AG2557">
        <v>-1.1221794514969901</v>
      </c>
      <c r="AH2557">
        <v>57.954194260853498</v>
      </c>
      <c r="AI2557">
        <v>91.109219160994002</v>
      </c>
      <c r="AJ2557">
        <v>89.344210323015602</v>
      </c>
      <c r="AK2557">
        <v>57.968853348539497</v>
      </c>
      <c r="AL2557">
        <v>79.780790740694897</v>
      </c>
      <c r="AM2557">
        <v>87.174281868961899</v>
      </c>
      <c r="AN2557">
        <v>1.0000000195807599</v>
      </c>
    </row>
    <row r="2558" spans="1:40" x14ac:dyDescent="0.25">
      <c r="A2558" t="str">
        <f>"20190303170307562"</f>
        <v>20190303170307562</v>
      </c>
      <c r="B2558" t="str">
        <f>"1551603787548930"</f>
        <v>1551603787548930</v>
      </c>
      <c r="C2558" t="s">
        <v>40</v>
      </c>
      <c r="D2558">
        <v>4.5545679999999997</v>
      </c>
      <c r="E2558">
        <v>0.49014419999999997</v>
      </c>
      <c r="F2558" t="s">
        <v>63</v>
      </c>
      <c r="G2558">
        <v>-417.81740000000002</v>
      </c>
      <c r="H2558" s="1">
        <v>3.5775090000000001E-6</v>
      </c>
      <c r="I2558">
        <v>284.78699999999998</v>
      </c>
      <c r="J2558">
        <v>-359.92469999999997</v>
      </c>
      <c r="K2558">
        <v>1.122158</v>
      </c>
      <c r="L2558">
        <v>284.62020000000001</v>
      </c>
      <c r="M2558">
        <v>-0.99984980000000001</v>
      </c>
      <c r="N2558">
        <v>-1.508545E-2</v>
      </c>
      <c r="O2558">
        <v>-8.5546059999999993E-3</v>
      </c>
      <c r="P2558">
        <v>-0.98596510000000004</v>
      </c>
      <c r="Q2558">
        <v>0.1619968</v>
      </c>
      <c r="R2558">
        <v>4.0373569999999998E-2</v>
      </c>
      <c r="S2558">
        <v>-3.0523069999999999</v>
      </c>
      <c r="T2558">
        <v>-5.8921929999999997E-2</v>
      </c>
      <c r="U2558">
        <v>8.6364749999999994E-3</v>
      </c>
      <c r="V2558">
        <v>4.8521130000000003E-2</v>
      </c>
      <c r="W2558">
        <v>0.1769252</v>
      </c>
      <c r="X2558">
        <v>0.9830276</v>
      </c>
      <c r="Y2558">
        <v>1.138107E-2</v>
      </c>
      <c r="Z2558">
        <v>2.317702E-4</v>
      </c>
      <c r="AA2558">
        <v>0.99993520000000002</v>
      </c>
      <c r="AB2558">
        <v>40</v>
      </c>
      <c r="AC2558">
        <v>-57.892699999999998</v>
      </c>
      <c r="AD2558">
        <v>-1.1221544224910001</v>
      </c>
      <c r="AE2558">
        <v>0.16680000000002301</v>
      </c>
      <c r="AF2558">
        <v>0.66185073823366003</v>
      </c>
      <c r="AG2558">
        <v>-1.1221544224910001</v>
      </c>
      <c r="AH2558">
        <v>57.867412648609999</v>
      </c>
      <c r="AI2558">
        <v>91.110857540571203</v>
      </c>
      <c r="AJ2558">
        <v>89.344715811067502</v>
      </c>
      <c r="AK2558">
        <v>57.882076013150503</v>
      </c>
      <c r="AL2558">
        <v>79.809288096570896</v>
      </c>
      <c r="AM2558">
        <v>87.174238465731605</v>
      </c>
      <c r="AN2558">
        <v>1.0000000444066299</v>
      </c>
    </row>
    <row r="2559" spans="1:40" x14ac:dyDescent="0.25">
      <c r="A2559" t="str">
        <f>"20190303170307574"</f>
        <v>20190303170307574</v>
      </c>
      <c r="B2559" t="str">
        <f>"1551603787568450"</f>
        <v>1551603787568450</v>
      </c>
      <c r="C2559" t="s">
        <v>40</v>
      </c>
      <c r="D2559">
        <v>4.5501319999999996</v>
      </c>
      <c r="E2559">
        <v>0.49013489999999998</v>
      </c>
      <c r="F2559" t="s">
        <v>63</v>
      </c>
      <c r="G2559">
        <v>-416.73739999999998</v>
      </c>
      <c r="H2559" s="1">
        <v>3.387754E-6</v>
      </c>
      <c r="I2559">
        <v>284.76620000000003</v>
      </c>
      <c r="J2559">
        <v>-360.14769999999999</v>
      </c>
      <c r="K2559">
        <v>1.122128</v>
      </c>
      <c r="L2559">
        <v>284.61810000000003</v>
      </c>
      <c r="M2559">
        <v>-0.99984709999999999</v>
      </c>
      <c r="N2559">
        <v>-1.508314E-2</v>
      </c>
      <c r="O2559">
        <v>-8.8586669999999902E-3</v>
      </c>
      <c r="P2559">
        <v>-0.98606340000000003</v>
      </c>
      <c r="Q2559">
        <v>0.161463299999999</v>
      </c>
      <c r="R2559">
        <v>4.0111609999999999E-2</v>
      </c>
      <c r="S2559">
        <v>-3.0523069999999999</v>
      </c>
      <c r="T2559">
        <v>-6.0288550000000003E-2</v>
      </c>
      <c r="U2559">
        <v>7.8430180000000002E-3</v>
      </c>
      <c r="V2559">
        <v>4.8570750000000003E-2</v>
      </c>
      <c r="W2559">
        <v>0.176388299999999</v>
      </c>
      <c r="X2559">
        <v>0.98312160000000004</v>
      </c>
      <c r="Y2559">
        <v>1.1425050000000001E-2</v>
      </c>
      <c r="Z2559">
        <v>2.4033830000000001E-4</v>
      </c>
      <c r="AA2559">
        <v>0.99993469999999995</v>
      </c>
      <c r="AB2559">
        <v>40</v>
      </c>
      <c r="AC2559">
        <v>-56.589699999999901</v>
      </c>
      <c r="AD2559">
        <v>-1.122124612246</v>
      </c>
      <c r="AE2559">
        <v>0.14809999999999901</v>
      </c>
      <c r="AF2559">
        <v>0.64920521687810995</v>
      </c>
      <c r="AG2559">
        <v>-1.122124612246</v>
      </c>
      <c r="AH2559">
        <v>56.5639263974454</v>
      </c>
      <c r="AI2559">
        <v>91.136419333762703</v>
      </c>
      <c r="AJ2559">
        <v>89.342423905936201</v>
      </c>
      <c r="AK2559">
        <v>56.578780479563598</v>
      </c>
      <c r="AL2559">
        <v>79.840541441415297</v>
      </c>
      <c r="AM2559">
        <v>87.171623417792901</v>
      </c>
      <c r="AN2559">
        <v>1.0000000152595001</v>
      </c>
    </row>
    <row r="2560" spans="1:40" x14ac:dyDescent="0.25">
      <c r="A2560" t="str">
        <f>"20190303170307586"</f>
        <v>20190303170307586</v>
      </c>
      <c r="B2560" t="str">
        <f>"1551603787578210"</f>
        <v>1551603787578210</v>
      </c>
      <c r="C2560" t="s">
        <v>40</v>
      </c>
      <c r="D2560">
        <v>4.4096299999999999</v>
      </c>
      <c r="E2560">
        <v>0.49013279999999998</v>
      </c>
      <c r="F2560" t="s">
        <v>63</v>
      </c>
      <c r="G2560">
        <v>-415.15089999999998</v>
      </c>
      <c r="H2560" s="1">
        <v>3.108325E-6</v>
      </c>
      <c r="I2560">
        <v>284.74340000000001</v>
      </c>
      <c r="J2560">
        <v>-360.35860000000002</v>
      </c>
      <c r="K2560">
        <v>1.1221000000000001</v>
      </c>
      <c r="L2560">
        <v>284.61599999999999</v>
      </c>
      <c r="M2560">
        <v>-0.99984479999999998</v>
      </c>
      <c r="N2560">
        <v>-1.5080919999999999E-2</v>
      </c>
      <c r="O2560">
        <v>-9.1188160000000001E-3</v>
      </c>
      <c r="P2560">
        <v>-0.98615830000000004</v>
      </c>
      <c r="Q2560">
        <v>0.1609274</v>
      </c>
      <c r="R2560">
        <v>3.9932530000000001E-2</v>
      </c>
      <c r="S2560">
        <v>-3.0522770000000001</v>
      </c>
      <c r="T2560">
        <v>-6.2269690000000003E-2</v>
      </c>
      <c r="U2560">
        <v>6.9580079999999999E-3</v>
      </c>
      <c r="V2560">
        <v>4.866111E-2</v>
      </c>
      <c r="W2560">
        <v>0.17584810000000001</v>
      </c>
      <c r="X2560">
        <v>0.98321389999999997</v>
      </c>
      <c r="Y2560">
        <v>1.139509E-2</v>
      </c>
      <c r="Z2560">
        <v>2.506559E-4</v>
      </c>
      <c r="AA2560">
        <v>0.99993500000000002</v>
      </c>
      <c r="AB2560">
        <v>40</v>
      </c>
      <c r="AC2560">
        <v>-54.792299999999898</v>
      </c>
      <c r="AD2560">
        <v>-1.122096891675</v>
      </c>
      <c r="AE2560">
        <v>0.127400000000022</v>
      </c>
      <c r="AF2560">
        <v>0.62682949165420099</v>
      </c>
      <c r="AG2560">
        <v>-1.122096891675</v>
      </c>
      <c r="AH2560">
        <v>54.7658911664236</v>
      </c>
      <c r="AI2560">
        <v>91.173690622880002</v>
      </c>
      <c r="AJ2560">
        <v>89.344243005932498</v>
      </c>
      <c r="AK2560">
        <v>54.780971622438997</v>
      </c>
      <c r="AL2560">
        <v>79.871984103567797</v>
      </c>
      <c r="AM2560">
        <v>87.166635709283099</v>
      </c>
      <c r="AN2560">
        <v>1.00000001552662</v>
      </c>
    </row>
    <row r="2561" spans="1:40" x14ac:dyDescent="0.25">
      <c r="A2561" t="str">
        <f>"20190303170307597"</f>
        <v>20190303170307597</v>
      </c>
      <c r="B2561" t="str">
        <f>"1551603787587970"</f>
        <v>1551603787587970</v>
      </c>
      <c r="C2561" t="s">
        <v>40</v>
      </c>
      <c r="D2561">
        <v>4.4924249999999999</v>
      </c>
      <c r="E2561">
        <v>0.49015419999999998</v>
      </c>
      <c r="F2561" t="s">
        <v>63</v>
      </c>
      <c r="G2561">
        <v>-413.91879999999998</v>
      </c>
      <c r="H2561" s="1">
        <v>2.8909830000000001E-6</v>
      </c>
      <c r="I2561">
        <v>284.72949999999997</v>
      </c>
      <c r="J2561">
        <v>-360.55829999999997</v>
      </c>
      <c r="K2561">
        <v>1.122074</v>
      </c>
      <c r="L2561">
        <v>284.61399999999998</v>
      </c>
      <c r="M2561">
        <v>-0.99984249999999997</v>
      </c>
      <c r="N2561">
        <v>-1.507881E-2</v>
      </c>
      <c r="O2561">
        <v>-9.3556070000000002E-3</v>
      </c>
      <c r="P2561">
        <v>-0.98615430000000004</v>
      </c>
      <c r="Q2561">
        <v>0.16092049999999999</v>
      </c>
      <c r="R2561">
        <v>4.005616E-2</v>
      </c>
      <c r="S2561">
        <v>-3.0522770000000001</v>
      </c>
      <c r="T2561">
        <v>-6.3945890000000005E-2</v>
      </c>
      <c r="U2561">
        <v>6.4697269999999998E-3</v>
      </c>
      <c r="V2561">
        <v>4.9029370000000003E-2</v>
      </c>
      <c r="W2561">
        <v>0.17583679999999999</v>
      </c>
      <c r="X2561">
        <v>0.9831976</v>
      </c>
      <c r="Y2561">
        <v>1.14717E-2</v>
      </c>
      <c r="Z2561">
        <v>2.6156779999999999E-4</v>
      </c>
      <c r="AA2561">
        <v>0.99993410000000005</v>
      </c>
      <c r="AB2561">
        <v>40</v>
      </c>
      <c r="AC2561">
        <v>-53.360500000000002</v>
      </c>
      <c r="AD2561">
        <v>-1.1220711090169999</v>
      </c>
      <c r="AE2561">
        <v>0.11549999999994</v>
      </c>
      <c r="AF2561">
        <v>0.61449987481545998</v>
      </c>
      <c r="AG2561">
        <v>-1.1220711090169999</v>
      </c>
      <c r="AH2561">
        <v>53.333500470561702</v>
      </c>
      <c r="AI2561">
        <v>91.205174800937996</v>
      </c>
      <c r="AJ2561">
        <v>89.3398766037336</v>
      </c>
      <c r="AK2561">
        <v>53.348841844160397</v>
      </c>
      <c r="AL2561">
        <v>79.872641532552706</v>
      </c>
      <c r="AM2561">
        <v>87.145181320032805</v>
      </c>
      <c r="AN2561">
        <v>0.99999999000129802</v>
      </c>
    </row>
    <row r="2562" spans="1:40" x14ac:dyDescent="0.25">
      <c r="A2562" t="str">
        <f>"20190303170307611"</f>
        <v>20190303170307611</v>
      </c>
      <c r="B2562" t="str">
        <f>"1551603787597730"</f>
        <v>1551603787597730</v>
      </c>
      <c r="C2562" t="s">
        <v>40</v>
      </c>
      <c r="D2562">
        <v>4.492337</v>
      </c>
      <c r="E2562">
        <v>0.49015439999999999</v>
      </c>
      <c r="F2562" t="s">
        <v>63</v>
      </c>
      <c r="G2562">
        <v>-414.02460000000002</v>
      </c>
      <c r="H2562" s="1">
        <v>2.9092960000000001E-6</v>
      </c>
      <c r="I2562">
        <v>284.73480000000001</v>
      </c>
      <c r="J2562">
        <v>-360.7946</v>
      </c>
      <c r="K2562">
        <v>1.122042</v>
      </c>
      <c r="L2562">
        <v>284.61149999999998</v>
      </c>
      <c r="M2562">
        <v>-0.99984030000000002</v>
      </c>
      <c r="N2562">
        <v>-1.5076279999999999E-2</v>
      </c>
      <c r="O2562">
        <v>-9.6091530000000005E-3</v>
      </c>
      <c r="P2562">
        <v>-0.98614760000000001</v>
      </c>
      <c r="Q2562">
        <v>0.160892799999999</v>
      </c>
      <c r="R2562">
        <v>4.0331369999999998E-2</v>
      </c>
      <c r="S2562">
        <v>-3.0523069999999999</v>
      </c>
      <c r="T2562">
        <v>-6.4057230000000007E-2</v>
      </c>
      <c r="U2562">
        <v>6.8969729999999998E-3</v>
      </c>
      <c r="V2562">
        <v>4.956936E-2</v>
      </c>
      <c r="W2562">
        <v>0.1758025</v>
      </c>
      <c r="X2562">
        <v>0.98317659999999996</v>
      </c>
      <c r="Y2562">
        <v>1.186505E-2</v>
      </c>
      <c r="Z2562">
        <v>2.7071469999999999E-4</v>
      </c>
      <c r="AA2562">
        <v>0.99992950000000003</v>
      </c>
      <c r="AB2562">
        <v>40</v>
      </c>
      <c r="AC2562">
        <v>-53.23</v>
      </c>
      <c r="AD2562">
        <v>-1.1220390907040001</v>
      </c>
      <c r="AE2562">
        <v>0.123300000000028</v>
      </c>
      <c r="AF2562">
        <v>0.634565641394646</v>
      </c>
      <c r="AG2562">
        <v>-1.1220390907040001</v>
      </c>
      <c r="AH2562">
        <v>53.202717628694998</v>
      </c>
      <c r="AI2562">
        <v>91.208096277991004</v>
      </c>
      <c r="AJ2562">
        <v>89.316647518402604</v>
      </c>
      <c r="AK2562">
        <v>53.218331506661897</v>
      </c>
      <c r="AL2562">
        <v>79.874637299186602</v>
      </c>
      <c r="AM2562">
        <v>87.113730811973994</v>
      </c>
      <c r="AN2562">
        <v>0.99999993362230699</v>
      </c>
    </row>
    <row r="2563" spans="1:40" x14ac:dyDescent="0.25">
      <c r="A2563" t="str">
        <f>"20190303170307625"</f>
        <v>20190303170307625</v>
      </c>
      <c r="B2563" t="str">
        <f>"1551603787618227"</f>
        <v>1551603787618227</v>
      </c>
      <c r="C2563" t="s">
        <v>40</v>
      </c>
      <c r="D2563">
        <v>4.4943429999999998</v>
      </c>
      <c r="E2563">
        <v>0.49020390000000003</v>
      </c>
      <c r="F2563" t="s">
        <v>63</v>
      </c>
      <c r="G2563">
        <v>-414.09609999999998</v>
      </c>
      <c r="H2563" s="1">
        <v>2.9213930000000001E-6</v>
      </c>
      <c r="I2563">
        <v>284.74149999999997</v>
      </c>
      <c r="J2563">
        <v>-361.04109999999997</v>
      </c>
      <c r="K2563">
        <v>1.12201</v>
      </c>
      <c r="L2563">
        <v>284.60890000000001</v>
      </c>
      <c r="M2563">
        <v>-0.999838</v>
      </c>
      <c r="N2563">
        <v>-1.5073619999999999E-2</v>
      </c>
      <c r="O2563">
        <v>-9.8453369999999991E-3</v>
      </c>
      <c r="P2563">
        <v>-0.98598589999999997</v>
      </c>
      <c r="Q2563">
        <v>0.16161439999999999</v>
      </c>
      <c r="R2563">
        <v>4.1388590000000003E-2</v>
      </c>
      <c r="S2563">
        <v>-3.0522770000000001</v>
      </c>
      <c r="T2563">
        <v>-6.4252729999999994E-2</v>
      </c>
      <c r="U2563">
        <v>7.446289E-3</v>
      </c>
      <c r="V2563">
        <v>5.087332E-2</v>
      </c>
      <c r="W2563">
        <v>0.17651549999999999</v>
      </c>
      <c r="X2563">
        <v>0.98298229999999998</v>
      </c>
      <c r="Y2563">
        <v>1.228104E-2</v>
      </c>
      <c r="Z2563">
        <v>2.8064790000000001E-4</v>
      </c>
      <c r="AA2563">
        <v>0.99992449999999999</v>
      </c>
      <c r="AB2563">
        <v>40</v>
      </c>
      <c r="AC2563">
        <v>-53.055</v>
      </c>
      <c r="AD2563">
        <v>-1.122007078607</v>
      </c>
      <c r="AE2563">
        <v>0.13259999999996799</v>
      </c>
      <c r="AF2563">
        <v>0.65470442708102405</v>
      </c>
      <c r="AG2563">
        <v>-1.122007078607</v>
      </c>
      <c r="AH2563">
        <v>53.0274066702315</v>
      </c>
      <c r="AI2563">
        <v>91.212048373256593</v>
      </c>
      <c r="AJ2563">
        <v>89.292631924309603</v>
      </c>
      <c r="AK2563">
        <v>53.043316223077497</v>
      </c>
      <c r="AL2563">
        <v>79.833137179481099</v>
      </c>
      <c r="AM2563">
        <v>87.0373543214492</v>
      </c>
      <c r="AN2563">
        <v>1.00000000927068</v>
      </c>
    </row>
    <row r="2564" spans="1:40" x14ac:dyDescent="0.25">
      <c r="A2564" t="str">
        <f>"20190303170307638"</f>
        <v>20190303170307638</v>
      </c>
      <c r="B2564" t="str">
        <f>"1551603787627986"</f>
        <v>1551603787627986</v>
      </c>
      <c r="C2564" t="s">
        <v>40</v>
      </c>
      <c r="D2564">
        <v>4.4367159999999997</v>
      </c>
      <c r="E2564">
        <v>0.4902319</v>
      </c>
      <c r="F2564" t="s">
        <v>63</v>
      </c>
      <c r="G2564">
        <v>-416.4153</v>
      </c>
      <c r="H2564" s="1">
        <v>3.3271810000000002E-6</v>
      </c>
      <c r="I2564">
        <v>284.80549999999999</v>
      </c>
      <c r="J2564">
        <v>-361.274</v>
      </c>
      <c r="K2564">
        <v>1.121974</v>
      </c>
      <c r="L2564">
        <v>284.60640000000001</v>
      </c>
      <c r="M2564">
        <v>-0.99983599999999995</v>
      </c>
      <c r="N2564">
        <v>-1.50711E-2</v>
      </c>
      <c r="O2564">
        <v>-1.004888E-2</v>
      </c>
      <c r="P2564">
        <v>-0.98583920000000003</v>
      </c>
      <c r="Q2564">
        <v>0.162438</v>
      </c>
      <c r="R2564">
        <v>4.1655369999999997E-2</v>
      </c>
      <c r="S2564">
        <v>-3.0523380000000002</v>
      </c>
      <c r="T2564">
        <v>-6.1847329999999999E-2</v>
      </c>
      <c r="U2564">
        <v>1.083374E-2</v>
      </c>
      <c r="V2564">
        <v>5.1354490000000003E-2</v>
      </c>
      <c r="W2564">
        <v>0.17733019999999999</v>
      </c>
      <c r="X2564">
        <v>0.98281059999999998</v>
      </c>
      <c r="Y2564">
        <v>1.359408E-2</v>
      </c>
      <c r="Z2564">
        <v>2.9230929999999998E-4</v>
      </c>
      <c r="AA2564">
        <v>0.99990760000000001</v>
      </c>
      <c r="AB2564">
        <v>40</v>
      </c>
      <c r="AC2564">
        <v>-55.141300000000001</v>
      </c>
      <c r="AD2564">
        <v>-1.121970672819</v>
      </c>
      <c r="AE2564">
        <v>0.19909999999998701</v>
      </c>
      <c r="AF2564">
        <v>0.75294942852294799</v>
      </c>
      <c r="AG2564">
        <v>-1.121970672819</v>
      </c>
      <c r="AH2564">
        <v>55.113697026031303</v>
      </c>
      <c r="AI2564">
        <v>91.166122287178396</v>
      </c>
      <c r="AJ2564">
        <v>89.217288204443904</v>
      </c>
      <c r="AK2564">
        <v>55.130258034130001</v>
      </c>
      <c r="AL2564">
        <v>79.785709824461506</v>
      </c>
      <c r="AM2564">
        <v>87.008862136480502</v>
      </c>
      <c r="AN2564">
        <v>0.99999997947377905</v>
      </c>
    </row>
    <row r="2565" spans="1:40" x14ac:dyDescent="0.25">
      <c r="A2565" t="str">
        <f>"20190303170307652"</f>
        <v>20190303170307652</v>
      </c>
      <c r="B2565" t="str">
        <f>"1551603787648482"</f>
        <v>1551603787648482</v>
      </c>
      <c r="C2565" t="s">
        <v>40</v>
      </c>
      <c r="D2565">
        <v>4.4943689999999998</v>
      </c>
      <c r="E2565">
        <v>0.49005789999999999</v>
      </c>
      <c r="F2565" t="s">
        <v>63</v>
      </c>
      <c r="G2565">
        <v>-419.01100000000002</v>
      </c>
      <c r="H2565" s="1">
        <v>3.7855329999999999E-6</v>
      </c>
      <c r="I2565">
        <v>284.82929999999999</v>
      </c>
      <c r="J2565">
        <v>-361.49270000000001</v>
      </c>
      <c r="K2565">
        <v>1.121937</v>
      </c>
      <c r="L2565">
        <v>284.60410000000002</v>
      </c>
      <c r="M2565">
        <v>-0.99983429999999995</v>
      </c>
      <c r="N2565">
        <v>-1.5068720000000001E-2</v>
      </c>
      <c r="O2565">
        <v>-1.0214880000000001E-2</v>
      </c>
      <c r="P2565">
        <v>-0.98573350000000004</v>
      </c>
      <c r="Q2565">
        <v>0.16305020000000001</v>
      </c>
      <c r="R2565">
        <v>4.1761930000000003E-2</v>
      </c>
      <c r="S2565">
        <v>-3.052368</v>
      </c>
      <c r="T2565">
        <v>-5.9314970000000002E-2</v>
      </c>
      <c r="U2565">
        <v>1.177979E-2</v>
      </c>
      <c r="V2565">
        <v>5.1638910000000003E-2</v>
      </c>
      <c r="W2565">
        <v>0.1779337</v>
      </c>
      <c r="X2565">
        <v>0.98268659999999997</v>
      </c>
      <c r="Y2565">
        <v>1.407015E-2</v>
      </c>
      <c r="Z2565">
        <v>2.8727679999999999E-4</v>
      </c>
      <c r="AA2565">
        <v>0.99990100000000004</v>
      </c>
      <c r="AB2565">
        <v>39</v>
      </c>
      <c r="AC2565">
        <v>-57.518299999999897</v>
      </c>
      <c r="AD2565">
        <v>-1.121933214467</v>
      </c>
      <c r="AE2565">
        <v>0.22519999999997201</v>
      </c>
      <c r="AF2565">
        <v>0.81248836232536903</v>
      </c>
      <c r="AG2565">
        <v>-1.121933214467</v>
      </c>
      <c r="AH2565">
        <v>57.491124361085902</v>
      </c>
      <c r="AI2565">
        <v>91.117867575190502</v>
      </c>
      <c r="AJ2565">
        <v>89.190326233103704</v>
      </c>
      <c r="AK2565">
        <v>57.507810354581302</v>
      </c>
      <c r="AL2565">
        <v>79.750572902334596</v>
      </c>
      <c r="AM2565">
        <v>86.991947625188502</v>
      </c>
      <c r="AN2565">
        <v>0.99999996622061804</v>
      </c>
    </row>
    <row r="2566" spans="1:40" x14ac:dyDescent="0.25">
      <c r="A2566" t="str">
        <f>"20190303170307666"</f>
        <v>20190303170307666</v>
      </c>
      <c r="B2566" t="str">
        <f>"1551603787658241"</f>
        <v>1551603787658241</v>
      </c>
      <c r="C2566" t="s">
        <v>40</v>
      </c>
      <c r="D2566">
        <v>4.4967169999999896</v>
      </c>
      <c r="E2566">
        <v>0.4612542</v>
      </c>
      <c r="F2566" t="s">
        <v>63</v>
      </c>
      <c r="G2566">
        <v>-421.52260000000001</v>
      </c>
      <c r="H2566" s="1">
        <v>3.6771260000000002E-6</v>
      </c>
      <c r="I2566">
        <v>284.81540000000001</v>
      </c>
      <c r="J2566">
        <v>-361.75080000000003</v>
      </c>
      <c r="K2566">
        <v>1.1218939999999999</v>
      </c>
      <c r="L2566">
        <v>284.60129999999998</v>
      </c>
      <c r="M2566">
        <v>-0.99983270000000002</v>
      </c>
      <c r="N2566">
        <v>-1.5065830000000001E-2</v>
      </c>
      <c r="O2566">
        <v>-1.038147E-2</v>
      </c>
      <c r="P2566">
        <v>-0.98567800000000005</v>
      </c>
      <c r="Q2566">
        <v>0.16330720000000001</v>
      </c>
      <c r="R2566">
        <v>4.2068099999999997E-2</v>
      </c>
      <c r="S2566">
        <v>-3.0523989999999999</v>
      </c>
      <c r="T2566">
        <v>-5.7048080000000001E-2</v>
      </c>
      <c r="U2566">
        <v>1.074219E-2</v>
      </c>
      <c r="V2566">
        <v>5.2127939999999998E-2</v>
      </c>
      <c r="W2566">
        <v>0.17818139999999999</v>
      </c>
      <c r="X2566">
        <v>0.98261589999999999</v>
      </c>
      <c r="Y2566">
        <v>1.389718E-2</v>
      </c>
      <c r="Z2566">
        <v>2.7215710000000001E-4</v>
      </c>
      <c r="AA2566">
        <v>0.9999034</v>
      </c>
      <c r="AB2566">
        <v>39</v>
      </c>
      <c r="AC2566">
        <v>-59.771799999999899</v>
      </c>
      <c r="AD2566">
        <v>-1.121890322874</v>
      </c>
      <c r="AE2566">
        <v>0.21410000000002999</v>
      </c>
      <c r="AF2566">
        <v>0.83438403957895801</v>
      </c>
      <c r="AG2566">
        <v>-1.121890322874</v>
      </c>
      <c r="AH2566">
        <v>59.745307523941399</v>
      </c>
      <c r="AI2566">
        <v>91.075662076688801</v>
      </c>
      <c r="AJ2566">
        <v>89.1998773087129</v>
      </c>
      <c r="AK2566">
        <v>59.7616650182405</v>
      </c>
      <c r="AL2566">
        <v>79.736150305666598</v>
      </c>
      <c r="AM2566">
        <v>86.9632958061501</v>
      </c>
      <c r="AN2566">
        <v>0.99999997018370601</v>
      </c>
    </row>
    <row r="2567" spans="1:40" x14ac:dyDescent="0.25">
      <c r="A2567" t="str">
        <f>"20190303170307678"</f>
        <v>20190303170307678</v>
      </c>
      <c r="B2567" t="str">
        <f>"1551603787668002"</f>
        <v>1551603787668002</v>
      </c>
      <c r="C2567" t="s">
        <v>40</v>
      </c>
      <c r="D2567">
        <v>4.4718429999999998</v>
      </c>
      <c r="E2567">
        <v>0.45381700000000003</v>
      </c>
      <c r="F2567" t="s">
        <v>63</v>
      </c>
      <c r="G2567">
        <v>-432.88839999999999</v>
      </c>
      <c r="H2567">
        <v>6.2238950000000001E-2</v>
      </c>
      <c r="I2567">
        <v>279.53930000000003</v>
      </c>
      <c r="J2567">
        <v>-361.97370000000001</v>
      </c>
      <c r="K2567">
        <v>1.1218549999999901</v>
      </c>
      <c r="L2567">
        <v>284.59890000000001</v>
      </c>
      <c r="M2567">
        <v>-0.99983149999999998</v>
      </c>
      <c r="N2567">
        <v>-1.506333E-2</v>
      </c>
      <c r="O2567">
        <v>-1.0506690000000001E-2</v>
      </c>
      <c r="P2567">
        <v>-0.98564209999999997</v>
      </c>
      <c r="Q2567">
        <v>0.16347130000000001</v>
      </c>
      <c r="R2567">
        <v>4.2271309999999999E-2</v>
      </c>
      <c r="S2567">
        <v>-3.060425</v>
      </c>
      <c r="T2567">
        <v>-4.5587660000000002E-2</v>
      </c>
      <c r="U2567">
        <v>-0.21777340000000001</v>
      </c>
      <c r="V2567">
        <v>5.2470469999999998E-2</v>
      </c>
      <c r="W2567">
        <v>0.1783382</v>
      </c>
      <c r="X2567">
        <v>0.98256929999999998</v>
      </c>
      <c r="Y2567">
        <v>-6.0479690000000003E-2</v>
      </c>
      <c r="Z2567">
        <v>-9.0782809999999999E-4</v>
      </c>
      <c r="AA2567">
        <v>0.99816899999999997</v>
      </c>
      <c r="AB2567">
        <v>39</v>
      </c>
      <c r="AC2567">
        <v>-70.914699999999897</v>
      </c>
      <c r="AD2567">
        <v>-1.05961604999999</v>
      </c>
      <c r="AE2567">
        <v>-5.0595999999999801</v>
      </c>
      <c r="AF2567">
        <v>-4.3131993512182998</v>
      </c>
      <c r="AG2567">
        <v>-1.05961604999999</v>
      </c>
      <c r="AH2567">
        <v>70.948190359392797</v>
      </c>
      <c r="AI2567">
        <v>90.854076162931804</v>
      </c>
      <c r="AJ2567">
        <v>93.478937802040605</v>
      </c>
      <c r="AK2567">
        <v>71.087074704825199</v>
      </c>
      <c r="AL2567">
        <v>79.727020885748601</v>
      </c>
      <c r="AM2567">
        <v>86.943234804378804</v>
      </c>
      <c r="AN2567">
        <v>1.0000000465518699</v>
      </c>
    </row>
    <row r="2568" spans="1:40" x14ac:dyDescent="0.25">
      <c r="A2568" t="str">
        <f>"20190303170307693"</f>
        <v>20190303170307693</v>
      </c>
      <c r="B2568" t="str">
        <f>"1551603787688498"</f>
        <v>1551603787688498</v>
      </c>
      <c r="C2568" t="s">
        <v>40</v>
      </c>
      <c r="D2568">
        <v>4.4718939999999998</v>
      </c>
      <c r="E2568">
        <v>0.44794820000000002</v>
      </c>
      <c r="F2568" t="s">
        <v>62</v>
      </c>
      <c r="G2568">
        <v>-453.72789999999998</v>
      </c>
      <c r="H2568">
        <v>8.0000730000000006E-2</v>
      </c>
      <c r="I2568">
        <v>276.32830000000001</v>
      </c>
      <c r="J2568">
        <v>-362.23149999999998</v>
      </c>
      <c r="K2568">
        <v>1.121812</v>
      </c>
      <c r="L2568">
        <v>284.59609999999998</v>
      </c>
      <c r="M2568">
        <v>-0.99983029999999995</v>
      </c>
      <c r="N2568">
        <v>-1.5060489999999999E-2</v>
      </c>
      <c r="O2568">
        <v>-1.062156E-2</v>
      </c>
      <c r="P2568">
        <v>-0.98568299999999998</v>
      </c>
      <c r="Q2568">
        <v>0.16318070000000001</v>
      </c>
      <c r="R2568">
        <v>4.2445099999999999E-2</v>
      </c>
      <c r="S2568">
        <v>-3.0613100000000002</v>
      </c>
      <c r="T2568">
        <v>-3.476071E-2</v>
      </c>
      <c r="U2568">
        <v>-0.27593990000000002</v>
      </c>
      <c r="V2568">
        <v>5.2777690000000002E-2</v>
      </c>
      <c r="W2568">
        <v>0.1780398</v>
      </c>
      <c r="X2568">
        <v>0.98260689999999995</v>
      </c>
      <c r="Y2568">
        <v>-7.9177220000000006E-2</v>
      </c>
      <c r="Z2568">
        <v>-1.0854389999999999E-3</v>
      </c>
      <c r="AA2568">
        <v>0.99685999999999997</v>
      </c>
      <c r="AB2568">
        <v>39</v>
      </c>
      <c r="AC2568">
        <v>-91.496399999999994</v>
      </c>
      <c r="AD2568">
        <v>-1.04181127</v>
      </c>
      <c r="AE2568">
        <v>-8.2677999999999603</v>
      </c>
      <c r="AF2568">
        <v>-7.2944508366019898</v>
      </c>
      <c r="AG2568">
        <v>-1.04181127</v>
      </c>
      <c r="AH2568">
        <v>91.567288886422205</v>
      </c>
      <c r="AI2568">
        <v>90.649798988635993</v>
      </c>
      <c r="AJ2568">
        <v>94.554688786198199</v>
      </c>
      <c r="AK2568">
        <v>91.863283077295904</v>
      </c>
      <c r="AL2568">
        <v>79.744395399433401</v>
      </c>
      <c r="AM2568">
        <v>86.925488796296804</v>
      </c>
      <c r="AN2568">
        <v>0.99999998743669205</v>
      </c>
    </row>
    <row r="2569" spans="1:40" x14ac:dyDescent="0.25">
      <c r="A2569" t="str">
        <f>"20190303170307716"</f>
        <v>20190303170307716</v>
      </c>
      <c r="B2569" t="str">
        <f>"1551603787708018"</f>
        <v>1551603787708018</v>
      </c>
      <c r="C2569" t="s">
        <v>40</v>
      </c>
      <c r="D2569">
        <v>4.4768140000000001</v>
      </c>
      <c r="E2569">
        <v>0.44536910000000002</v>
      </c>
      <c r="F2569" t="s">
        <v>57</v>
      </c>
      <c r="G2569">
        <v>-499.95780000000002</v>
      </c>
      <c r="H2569">
        <v>3.5067889999999997E-2</v>
      </c>
      <c r="I2569">
        <v>270.11610000000002</v>
      </c>
      <c r="J2569">
        <v>-362.63159999999999</v>
      </c>
      <c r="K2569">
        <v>1.12175</v>
      </c>
      <c r="L2569">
        <v>284.5917</v>
      </c>
      <c r="M2569">
        <v>-0.99982899999999997</v>
      </c>
      <c r="N2569">
        <v>-1.505607E-2</v>
      </c>
      <c r="O2569">
        <v>-1.074686E-2</v>
      </c>
      <c r="P2569">
        <v>-0.98564739999999995</v>
      </c>
      <c r="Q2569">
        <v>0.1633964</v>
      </c>
      <c r="R2569">
        <v>4.2436290000000002E-2</v>
      </c>
      <c r="S2569">
        <v>-3.0614620000000001</v>
      </c>
      <c r="T2569">
        <v>-2.4156810000000001E-2</v>
      </c>
      <c r="U2569">
        <v>-0.32186890000000001</v>
      </c>
      <c r="V2569">
        <v>5.2919889999999997E-2</v>
      </c>
      <c r="W2569">
        <v>0.1782425</v>
      </c>
      <c r="X2569">
        <v>0.98256250000000001</v>
      </c>
      <c r="Y2569">
        <v>-9.3855980000000006E-2</v>
      </c>
      <c r="Z2569">
        <v>-1.1546779999999999E-3</v>
      </c>
      <c r="AA2569">
        <v>0.9955851</v>
      </c>
      <c r="AB2569">
        <v>39</v>
      </c>
      <c r="AC2569">
        <v>-137.3262</v>
      </c>
      <c r="AD2569">
        <v>-1.0866821099999999</v>
      </c>
      <c r="AE2569">
        <v>-14.475599999999901</v>
      </c>
      <c r="AF2569">
        <v>-12.997966302653101</v>
      </c>
      <c r="AG2569">
        <v>-1.0866821099999999</v>
      </c>
      <c r="AH2569">
        <v>137.46533940290101</v>
      </c>
      <c r="AI2569">
        <v>90.450910331033697</v>
      </c>
      <c r="AJ2569">
        <v>95.401514419953898</v>
      </c>
      <c r="AK2569">
        <v>138.08275613981601</v>
      </c>
      <c r="AL2569">
        <v>79.732592735448705</v>
      </c>
      <c r="AM2569">
        <v>86.917081999231996</v>
      </c>
      <c r="AN2569">
        <v>0.99999998498505505</v>
      </c>
    </row>
    <row r="2570" spans="1:40" x14ac:dyDescent="0.25">
      <c r="A2570" t="str">
        <f>"20190303170307738"</f>
        <v>20190303170307738</v>
      </c>
      <c r="B2570" t="str">
        <f>"1551603787728514"</f>
        <v>1551603787728514</v>
      </c>
      <c r="C2570" t="s">
        <v>40</v>
      </c>
      <c r="D2570">
        <v>4.457281</v>
      </c>
      <c r="E2570">
        <v>0.44393919999999998</v>
      </c>
      <c r="F2570" t="s">
        <v>66</v>
      </c>
      <c r="G2570">
        <v>-512.8252</v>
      </c>
      <c r="H2570">
        <v>0.1677971</v>
      </c>
      <c r="I2570">
        <v>267.7826</v>
      </c>
      <c r="J2570">
        <v>-363.01</v>
      </c>
      <c r="K2570">
        <v>1.1217060000000001</v>
      </c>
      <c r="L2570">
        <v>284.58749999999998</v>
      </c>
      <c r="M2570">
        <v>-0.99982819999999994</v>
      </c>
      <c r="N2570">
        <v>-1.505186E-2</v>
      </c>
      <c r="O2570">
        <v>-1.081769E-2</v>
      </c>
      <c r="P2570">
        <v>-0.98541970000000001</v>
      </c>
      <c r="Q2570">
        <v>0.1646571</v>
      </c>
      <c r="R2570">
        <v>4.2851880000000002E-2</v>
      </c>
      <c r="S2570">
        <v>-3.0616759999999998</v>
      </c>
      <c r="T2570">
        <v>-1.944458E-2</v>
      </c>
      <c r="U2570">
        <v>-0.34265139999999999</v>
      </c>
      <c r="V2570">
        <v>5.342558E-2</v>
      </c>
      <c r="W2570">
        <v>0.1794885</v>
      </c>
      <c r="X2570">
        <v>0.98230830000000002</v>
      </c>
      <c r="Y2570">
        <v>-0.1004572</v>
      </c>
      <c r="Z2570">
        <v>-1.17034E-3</v>
      </c>
      <c r="AA2570">
        <v>0.99494070000000001</v>
      </c>
      <c r="AB2570">
        <v>39</v>
      </c>
      <c r="AC2570">
        <v>-149.8152</v>
      </c>
      <c r="AD2570">
        <v>-0.95390889999999895</v>
      </c>
      <c r="AE2570">
        <v>-16.8048999999999</v>
      </c>
      <c r="AF2570">
        <v>-15.182470598426001</v>
      </c>
      <c r="AG2570">
        <v>-0.95390889999999895</v>
      </c>
      <c r="AH2570">
        <v>149.982237703301</v>
      </c>
      <c r="AI2570">
        <v>90.362551811975806</v>
      </c>
      <c r="AJ2570">
        <v>95.780273181432406</v>
      </c>
      <c r="AK2570">
        <v>150.75174619934299</v>
      </c>
      <c r="AL2570">
        <v>79.660032252051593</v>
      </c>
      <c r="AM2570">
        <v>86.886876187913998</v>
      </c>
      <c r="AN2570">
        <v>1.00000000523973</v>
      </c>
    </row>
    <row r="2571" spans="1:40" x14ac:dyDescent="0.25">
      <c r="A2571" t="str">
        <f>"20190303170307749"</f>
        <v>20190303170307749</v>
      </c>
      <c r="B2571" t="str">
        <f>"1551603787738273"</f>
        <v>1551603787738273</v>
      </c>
      <c r="C2571" t="s">
        <v>40</v>
      </c>
      <c r="D2571">
        <v>4.4462169999999999</v>
      </c>
      <c r="E2571">
        <v>0.4434611</v>
      </c>
      <c r="F2571" t="s">
        <v>66</v>
      </c>
      <c r="G2571">
        <v>-512.82529999999997</v>
      </c>
      <c r="H2571">
        <v>0.53098080000000003</v>
      </c>
      <c r="I2571">
        <v>267.30599999999998</v>
      </c>
      <c r="J2571">
        <v>-363.23239999999998</v>
      </c>
      <c r="K2571">
        <v>1.121685</v>
      </c>
      <c r="L2571">
        <v>284.58510000000001</v>
      </c>
      <c r="M2571">
        <v>-0.99982800000000005</v>
      </c>
      <c r="N2571">
        <v>-1.504935E-2</v>
      </c>
      <c r="O2571">
        <v>-1.0843749999999999E-2</v>
      </c>
      <c r="P2571">
        <v>-0.98532019999999998</v>
      </c>
      <c r="Q2571">
        <v>0.16519139999999999</v>
      </c>
      <c r="R2571">
        <v>4.3085310000000002E-2</v>
      </c>
      <c r="S2571">
        <v>-3.0617679999999998</v>
      </c>
      <c r="T2571">
        <v>-1.207101E-2</v>
      </c>
      <c r="U2571">
        <v>-0.35317989999999999</v>
      </c>
      <c r="V2571">
        <v>5.3695180000000002E-2</v>
      </c>
      <c r="W2571">
        <v>0.18001529999999999</v>
      </c>
      <c r="X2571">
        <v>0.98219719999999999</v>
      </c>
      <c r="Y2571">
        <v>-0.10380830000000001</v>
      </c>
      <c r="Z2571">
        <v>-1.1078069999999999E-3</v>
      </c>
      <c r="AA2571">
        <v>0.9945967</v>
      </c>
      <c r="AB2571">
        <v>39</v>
      </c>
      <c r="AC2571">
        <v>-149.59289999999999</v>
      </c>
      <c r="AD2571">
        <v>-0.59070419999999901</v>
      </c>
      <c r="AE2571">
        <v>-17.2791</v>
      </c>
      <c r="AF2571">
        <v>-15.6555112918509</v>
      </c>
      <c r="AG2571">
        <v>-0.59070419999999901</v>
      </c>
      <c r="AH2571">
        <v>149.76918957720801</v>
      </c>
      <c r="AI2571">
        <v>90.224754371428801</v>
      </c>
      <c r="AJ2571">
        <v>95.967508476246806</v>
      </c>
      <c r="AK2571">
        <v>150.586367616312</v>
      </c>
      <c r="AL2571">
        <v>79.629349118120999</v>
      </c>
      <c r="AM2571">
        <v>86.870844445952102</v>
      </c>
      <c r="AN2571">
        <v>1.00000001013858</v>
      </c>
    </row>
    <row r="2572" spans="1:40" x14ac:dyDescent="0.25">
      <c r="A2572" t="str">
        <f>"20190303170307761"</f>
        <v>20190303170307761</v>
      </c>
      <c r="B2572" t="str">
        <f>"1551603787747648"</f>
        <v>1551603787747648</v>
      </c>
      <c r="C2572" t="s">
        <v>40</v>
      </c>
      <c r="D2572">
        <v>4.4430949999999996</v>
      </c>
      <c r="E2572">
        <v>0.44308330000000001</v>
      </c>
      <c r="F2572" t="s">
        <v>66</v>
      </c>
      <c r="G2572">
        <v>-512.82539999999995</v>
      </c>
      <c r="H2572">
        <v>0.64346689999999995</v>
      </c>
      <c r="I2572">
        <v>267.16759999999999</v>
      </c>
      <c r="J2572">
        <v>-363.42669999999998</v>
      </c>
      <c r="K2572">
        <v>1.121664</v>
      </c>
      <c r="L2572">
        <v>284.58300000000003</v>
      </c>
      <c r="M2572">
        <v>-0.99982789999999999</v>
      </c>
      <c r="N2572">
        <v>-1.504715E-2</v>
      </c>
      <c r="O2572">
        <v>-1.086062E-2</v>
      </c>
      <c r="P2572">
        <v>-0.98522390000000004</v>
      </c>
      <c r="Q2572">
        <v>0.16569700000000001</v>
      </c>
      <c r="R2572">
        <v>4.3343069999999997E-2</v>
      </c>
      <c r="S2572">
        <v>-3.0619200000000002</v>
      </c>
      <c r="T2572">
        <v>-9.7867249999999996E-3</v>
      </c>
      <c r="U2572">
        <v>-0.3565063</v>
      </c>
      <c r="V2572">
        <v>5.3977440000000002E-2</v>
      </c>
      <c r="W2572">
        <v>0.18051429999999999</v>
      </c>
      <c r="X2572">
        <v>0.98209009999999997</v>
      </c>
      <c r="Y2572">
        <v>-0.1048529</v>
      </c>
      <c r="Z2572">
        <v>-1.086905E-3</v>
      </c>
      <c r="AA2572">
        <v>0.99448720000000002</v>
      </c>
      <c r="AB2572">
        <v>39</v>
      </c>
      <c r="AC2572">
        <v>-149.398699999999</v>
      </c>
      <c r="AD2572">
        <v>-0.47819709999999899</v>
      </c>
      <c r="AE2572">
        <v>-17.415399999999899</v>
      </c>
      <c r="AF2572">
        <v>-15.791466953484299</v>
      </c>
      <c r="AG2572">
        <v>-0.47819709999999899</v>
      </c>
      <c r="AH2572">
        <v>149.57753826129101</v>
      </c>
      <c r="AI2572">
        <v>90.182160759969307</v>
      </c>
      <c r="AJ2572">
        <v>96.026608000838706</v>
      </c>
      <c r="AK2572">
        <v>150.40957101633299</v>
      </c>
      <c r="AL2572">
        <v>79.600281939286504</v>
      </c>
      <c r="AM2572">
        <v>86.854085983056095</v>
      </c>
      <c r="AN2572">
        <v>0.99999997052572598</v>
      </c>
    </row>
    <row r="2573" spans="1:40" x14ac:dyDescent="0.25">
      <c r="A2573" t="str">
        <f>"20190303170307774"</f>
        <v>20190303170307774</v>
      </c>
      <c r="B2573" t="str">
        <f>"1551603787768145"</f>
        <v>1551603787768145</v>
      </c>
      <c r="C2573" t="s">
        <v>40</v>
      </c>
      <c r="D2573">
        <v>4.4201499999999996</v>
      </c>
      <c r="E2573">
        <v>0.4424863</v>
      </c>
      <c r="F2573" t="s">
        <v>66</v>
      </c>
      <c r="G2573">
        <v>-512.82539999999995</v>
      </c>
      <c r="H2573">
        <v>0.71255609999999903</v>
      </c>
      <c r="I2573">
        <v>267.06479999999999</v>
      </c>
      <c r="J2573">
        <v>-363.64690000000002</v>
      </c>
      <c r="K2573">
        <v>1.1216459999999999</v>
      </c>
      <c r="L2573">
        <v>284.5806</v>
      </c>
      <c r="M2573">
        <v>-0.99982769999999999</v>
      </c>
      <c r="N2573">
        <v>-1.504465E-2</v>
      </c>
      <c r="O2573">
        <v>-1.087403E-2</v>
      </c>
      <c r="P2573">
        <v>-0.98510220000000004</v>
      </c>
      <c r="Q2573">
        <v>0.16636809999999999</v>
      </c>
      <c r="R2573">
        <v>4.3532670000000002E-2</v>
      </c>
      <c r="S2573">
        <v>-3.0622250000000002</v>
      </c>
      <c r="T2573">
        <v>-8.3838699999999999E-3</v>
      </c>
      <c r="U2573">
        <v>-0.35906979999999999</v>
      </c>
      <c r="V2573">
        <v>5.4188100000000003E-2</v>
      </c>
      <c r="W2573">
        <v>0.1811789</v>
      </c>
      <c r="X2573">
        <v>0.9819561</v>
      </c>
      <c r="Y2573">
        <v>-0.10564999999999999</v>
      </c>
      <c r="Z2573">
        <v>-1.0750460000000001E-3</v>
      </c>
      <c r="AA2573">
        <v>0.99440280000000003</v>
      </c>
      <c r="AB2573">
        <v>39</v>
      </c>
      <c r="AC2573">
        <v>-149.17849999999899</v>
      </c>
      <c r="AD2573">
        <v>-0.40908990000000001</v>
      </c>
      <c r="AE2573">
        <v>-17.515799999999999</v>
      </c>
      <c r="AF2573">
        <v>-15.892291189258399</v>
      </c>
      <c r="AG2573">
        <v>-0.40908990000000001</v>
      </c>
      <c r="AH2573">
        <v>149.35905893944701</v>
      </c>
      <c r="AI2573">
        <v>90.156050115374597</v>
      </c>
      <c r="AJ2573">
        <v>96.073605586971794</v>
      </c>
      <c r="AK2573">
        <v>150.202732202406</v>
      </c>
      <c r="AL2573">
        <v>79.561564689236405</v>
      </c>
      <c r="AM2573">
        <v>86.841403000686398</v>
      </c>
      <c r="AN2573">
        <v>0.999999963157014</v>
      </c>
    </row>
    <row r="2574" spans="1:40" x14ac:dyDescent="0.25">
      <c r="A2574" t="str">
        <f>"20190303170307785"</f>
        <v>20190303170307785</v>
      </c>
      <c r="B2574" t="str">
        <f>"1551603787777904"</f>
        <v>1551603787777904</v>
      </c>
      <c r="C2574" t="s">
        <v>40</v>
      </c>
      <c r="D2574">
        <v>4.4213009999999997</v>
      </c>
      <c r="E2574">
        <v>0.44230969999999997</v>
      </c>
      <c r="F2574" t="s">
        <v>66</v>
      </c>
      <c r="G2574">
        <v>-512.82539999999995</v>
      </c>
      <c r="H2574">
        <v>0.89849290000000004</v>
      </c>
      <c r="I2574">
        <v>266.89179999999999</v>
      </c>
      <c r="J2574">
        <v>-363.85230000000001</v>
      </c>
      <c r="K2574">
        <v>1.1216280000000001</v>
      </c>
      <c r="L2574">
        <v>284.57830000000001</v>
      </c>
      <c r="M2574">
        <v>-0.99982789999999999</v>
      </c>
      <c r="N2574">
        <v>-1.504227E-2</v>
      </c>
      <c r="O2574">
        <v>-1.087689E-2</v>
      </c>
      <c r="P2574">
        <v>-0.98494700000000002</v>
      </c>
      <c r="Q2574">
        <v>0.16716710000000001</v>
      </c>
      <c r="R2574">
        <v>4.3988449999999998E-2</v>
      </c>
      <c r="S2574">
        <v>-3.062195</v>
      </c>
      <c r="T2574">
        <v>-4.579067E-3</v>
      </c>
      <c r="U2574">
        <v>-0.36309809999999998</v>
      </c>
      <c r="V2574">
        <v>5.465275E-2</v>
      </c>
      <c r="W2574">
        <v>0.1819704</v>
      </c>
      <c r="X2574">
        <v>0.98178399999999999</v>
      </c>
      <c r="Y2574">
        <v>-0.1069398</v>
      </c>
      <c r="Z2574">
        <v>-1.0337199999999999E-3</v>
      </c>
      <c r="AA2574">
        <v>0.99426499999999995</v>
      </c>
      <c r="AB2574">
        <v>39</v>
      </c>
      <c r="AC2574">
        <v>-148.97309999999899</v>
      </c>
      <c r="AD2574">
        <v>-0.2231351</v>
      </c>
      <c r="AE2574">
        <v>-17.686499999999999</v>
      </c>
      <c r="AF2574">
        <v>-16.064870933216898</v>
      </c>
      <c r="AG2574">
        <v>-0.2231351</v>
      </c>
      <c r="AH2574">
        <v>149.15635135502501</v>
      </c>
      <c r="AI2574">
        <v>90.085220478428496</v>
      </c>
      <c r="AJ2574">
        <v>96.147339262836297</v>
      </c>
      <c r="AK2574">
        <v>150.019155499947</v>
      </c>
      <c r="AL2574">
        <v>79.515448738078206</v>
      </c>
      <c r="AM2574">
        <v>86.813817065295595</v>
      </c>
      <c r="AN2574">
        <v>0.99999998610736096</v>
      </c>
    </row>
    <row r="2575" spans="1:40" x14ac:dyDescent="0.25">
      <c r="A2575" t="str">
        <f>"20190303170307798"</f>
        <v>20190303170307798</v>
      </c>
      <c r="B2575" t="str">
        <f>"1551603787787664"</f>
        <v>1551603787787664</v>
      </c>
      <c r="C2575" t="s">
        <v>40</v>
      </c>
      <c r="D2575">
        <v>4.3963080000000003</v>
      </c>
      <c r="E2575">
        <v>0.44209739999999997</v>
      </c>
      <c r="F2575" t="s">
        <v>66</v>
      </c>
      <c r="G2575">
        <v>-512.82550000000003</v>
      </c>
      <c r="H2575">
        <v>1.0602279999999999</v>
      </c>
      <c r="I2575">
        <v>266.89800000000002</v>
      </c>
      <c r="J2575">
        <v>-364.06549999999999</v>
      </c>
      <c r="K2575">
        <v>1.121618</v>
      </c>
      <c r="L2575">
        <v>284.57600000000002</v>
      </c>
      <c r="M2575">
        <v>-0.99982769999999999</v>
      </c>
      <c r="N2575">
        <v>-1.5039780000000001E-2</v>
      </c>
      <c r="O2575">
        <v>-1.0875940000000001E-2</v>
      </c>
      <c r="P2575">
        <v>-0.98493330000000001</v>
      </c>
      <c r="Q2575">
        <v>0.16724149999999999</v>
      </c>
      <c r="R2575">
        <v>4.4008690000000003E-2</v>
      </c>
      <c r="S2575">
        <v>-3.0622859999999998</v>
      </c>
      <c r="T2575">
        <v>-1.2605190000000001E-3</v>
      </c>
      <c r="U2575">
        <v>-0.36343379999999997</v>
      </c>
      <c r="V2575">
        <v>5.4679770000000003E-2</v>
      </c>
      <c r="W2575">
        <v>0.1820398</v>
      </c>
      <c r="X2575">
        <v>0.98176969999999997</v>
      </c>
      <c r="Y2575">
        <v>-0.1070459</v>
      </c>
      <c r="Z2575">
        <v>-9.8836759999999997E-4</v>
      </c>
      <c r="AA2575">
        <v>0.99425359999999996</v>
      </c>
      <c r="AB2575">
        <v>39</v>
      </c>
      <c r="AC2575">
        <v>-148.76</v>
      </c>
      <c r="AD2575">
        <v>-6.1389999999999799E-2</v>
      </c>
      <c r="AE2575">
        <v>-17.677999999999901</v>
      </c>
      <c r="AF2575">
        <v>-16.0588635863955</v>
      </c>
      <c r="AG2575">
        <v>-6.1389999999999799E-2</v>
      </c>
      <c r="AH2575">
        <v>148.943461242349</v>
      </c>
      <c r="AI2575">
        <v>90.023479511581897</v>
      </c>
      <c r="AJ2575">
        <v>96.1537741021302</v>
      </c>
      <c r="AK2575">
        <v>149.806693826643</v>
      </c>
      <c r="AL2575">
        <v>79.511405598616193</v>
      </c>
      <c r="AM2575">
        <v>86.812198747383903</v>
      </c>
      <c r="AN2575">
        <v>1.0000000549346899</v>
      </c>
    </row>
    <row r="2576" spans="1:40" x14ac:dyDescent="0.25">
      <c r="A2576" t="str">
        <f>"20190303170307810"</f>
        <v>20190303170307810</v>
      </c>
      <c r="B2576" t="str">
        <f>"1551603787798400"</f>
        <v>1551603787798400</v>
      </c>
      <c r="C2576" t="s">
        <v>40</v>
      </c>
      <c r="D2576">
        <v>4.3831850000000001</v>
      </c>
      <c r="E2576">
        <v>0.44194749999999999</v>
      </c>
      <c r="F2576" t="s">
        <v>66</v>
      </c>
      <c r="G2576">
        <v>-512.82550000000003</v>
      </c>
      <c r="H2576">
        <v>1.0600769999999999</v>
      </c>
      <c r="I2576">
        <v>266.83999999999997</v>
      </c>
      <c r="J2576">
        <v>-364.27609999999999</v>
      </c>
      <c r="K2576">
        <v>1.1215999999999999</v>
      </c>
      <c r="L2576">
        <v>284.57369999999997</v>
      </c>
      <c r="M2576">
        <v>-0.99982800000000005</v>
      </c>
      <c r="N2576">
        <v>-1.503732E-2</v>
      </c>
      <c r="O2576">
        <v>-1.086642E-2</v>
      </c>
      <c r="P2576">
        <v>-0.98491719999999905</v>
      </c>
      <c r="Q2576">
        <v>0.1672749</v>
      </c>
      <c r="R2576">
        <v>4.4246420000000002E-2</v>
      </c>
      <c r="S2576">
        <v>-3.0623779999999998</v>
      </c>
      <c r="T2576">
        <v>-1.2652869999999999E-3</v>
      </c>
      <c r="U2576">
        <v>-0.3651123</v>
      </c>
      <c r="V2576">
        <v>5.4915819999999997E-2</v>
      </c>
      <c r="W2576">
        <v>0.1820679</v>
      </c>
      <c r="X2576">
        <v>0.98175129999999999</v>
      </c>
      <c r="Y2576">
        <v>-0.1075892</v>
      </c>
      <c r="Z2576">
        <v>-9.9236680000000001E-4</v>
      </c>
      <c r="AA2576">
        <v>0.99419489999999999</v>
      </c>
      <c r="AB2576">
        <v>39</v>
      </c>
      <c r="AC2576">
        <v>-148.54939999999999</v>
      </c>
      <c r="AD2576">
        <v>-6.1523000000000001E-2</v>
      </c>
      <c r="AE2576">
        <v>-17.733699999999999</v>
      </c>
      <c r="AF2576">
        <v>-16.118267498164901</v>
      </c>
      <c r="AG2576">
        <v>-6.1523000000000001E-2</v>
      </c>
      <c r="AH2576">
        <v>148.73332591840401</v>
      </c>
      <c r="AI2576">
        <v>90.023562234844604</v>
      </c>
      <c r="AJ2576">
        <v>96.185020709131706</v>
      </c>
      <c r="AK2576">
        <v>149.60415960451201</v>
      </c>
      <c r="AL2576">
        <v>79.509768079500802</v>
      </c>
      <c r="AM2576">
        <v>86.798405846413203</v>
      </c>
      <c r="AN2576">
        <v>1.0000000412741801</v>
      </c>
    </row>
    <row r="2577" spans="1:40" x14ac:dyDescent="0.25">
      <c r="A2577" t="str">
        <f>"20190303170307826"</f>
        <v>20190303170307826</v>
      </c>
      <c r="B2577" t="str">
        <f>"1551603787817920"</f>
        <v>1551603787817920</v>
      </c>
      <c r="C2577" t="s">
        <v>40</v>
      </c>
      <c r="D2577">
        <v>4.405278</v>
      </c>
      <c r="E2577">
        <v>0.44164629999999999</v>
      </c>
      <c r="F2577" t="s">
        <v>66</v>
      </c>
      <c r="G2577">
        <v>-512.82550000000003</v>
      </c>
      <c r="H2577">
        <v>1.0851679999999999</v>
      </c>
      <c r="I2577">
        <v>266.84719999999999</v>
      </c>
      <c r="J2577">
        <v>-364.57580000000002</v>
      </c>
      <c r="K2577">
        <v>1.121575</v>
      </c>
      <c r="L2577">
        <v>284.57040000000001</v>
      </c>
      <c r="M2577">
        <v>-0.9998283</v>
      </c>
      <c r="N2577">
        <v>-1.503383E-2</v>
      </c>
      <c r="O2577">
        <v>-1.0842569999999999E-2</v>
      </c>
      <c r="P2577">
        <v>-0.98493129999999995</v>
      </c>
      <c r="Q2577">
        <v>0.16716520000000001</v>
      </c>
      <c r="R2577">
        <v>4.4342729999999997E-2</v>
      </c>
      <c r="S2577">
        <v>-3.0625</v>
      </c>
      <c r="T2577">
        <v>-7.4946880000000004E-4</v>
      </c>
      <c r="U2577">
        <v>-0.365448</v>
      </c>
      <c r="V2577">
        <v>5.499975E-2</v>
      </c>
      <c r="W2577">
        <v>0.18195159999999999</v>
      </c>
      <c r="X2577">
        <v>0.98176810000000003</v>
      </c>
      <c r="Y2577">
        <v>-0.1077159</v>
      </c>
      <c r="Z2577">
        <v>-9.8555699999999997E-4</v>
      </c>
      <c r="AA2577">
        <v>0.99418119999999999</v>
      </c>
      <c r="AB2577">
        <v>39</v>
      </c>
      <c r="AC2577">
        <v>-148.24969999999999</v>
      </c>
      <c r="AD2577">
        <v>-3.6406999999999801E-2</v>
      </c>
      <c r="AE2577">
        <v>-17.723199999999999</v>
      </c>
      <c r="AF2577">
        <v>-16.114567730283898</v>
      </c>
      <c r="AG2577">
        <v>-3.6406999999999801E-2</v>
      </c>
      <c r="AH2577">
        <v>148.433161470936</v>
      </c>
      <c r="AI2577">
        <v>90.013971151261202</v>
      </c>
      <c r="AJ2577">
        <v>96.196019462772199</v>
      </c>
      <c r="AK2577">
        <v>149.305338293245</v>
      </c>
      <c r="AL2577">
        <v>79.516544118615499</v>
      </c>
      <c r="AM2577">
        <v>86.793577681708101</v>
      </c>
      <c r="AN2577">
        <v>0.999999979710116</v>
      </c>
    </row>
    <row r="2578" spans="1:40" x14ac:dyDescent="0.25">
      <c r="A2578" t="str">
        <f>"20190303170307838"</f>
        <v>20190303170307838</v>
      </c>
      <c r="B2578" t="str">
        <f>"1551603787827680"</f>
        <v>1551603787827680</v>
      </c>
      <c r="C2578" t="s">
        <v>40</v>
      </c>
      <c r="D2578">
        <v>4.4023440000000003</v>
      </c>
      <c r="E2578">
        <v>0.44147550000000002</v>
      </c>
      <c r="F2578" t="s">
        <v>66</v>
      </c>
      <c r="G2578">
        <v>-512.82550000000003</v>
      </c>
      <c r="H2578">
        <v>1.062813</v>
      </c>
      <c r="I2578">
        <v>266.76409999999998</v>
      </c>
      <c r="J2578">
        <v>-364.77609999999999</v>
      </c>
      <c r="K2578">
        <v>1.1215630000000001</v>
      </c>
      <c r="L2578">
        <v>284.56830000000002</v>
      </c>
      <c r="M2578">
        <v>-0.99982850000000001</v>
      </c>
      <c r="N2578">
        <v>-1.503149E-2</v>
      </c>
      <c r="O2578">
        <v>-1.0821030000000001E-2</v>
      </c>
      <c r="P2578">
        <v>-0.98479910000000004</v>
      </c>
      <c r="Q2578">
        <v>0.16777429999999999</v>
      </c>
      <c r="R2578">
        <v>4.497516E-2</v>
      </c>
      <c r="S2578">
        <v>-3.0626829999999998</v>
      </c>
      <c r="T2578">
        <v>-1.212358E-3</v>
      </c>
      <c r="U2578">
        <v>-0.36785889999999999</v>
      </c>
      <c r="V2578">
        <v>5.5616890000000002E-2</v>
      </c>
      <c r="W2578">
        <v>0.18255460000000001</v>
      </c>
      <c r="X2578">
        <v>0.98162139999999998</v>
      </c>
      <c r="Y2578">
        <v>-0.1085016</v>
      </c>
      <c r="Z2578">
        <v>-9.9768110000000008E-4</v>
      </c>
      <c r="AA2578">
        <v>0.99409570000000003</v>
      </c>
      <c r="AB2578">
        <v>39</v>
      </c>
      <c r="AC2578">
        <v>-148.04939999999999</v>
      </c>
      <c r="AD2578">
        <v>-5.8749999999999802E-2</v>
      </c>
      <c r="AE2578">
        <v>-17.804200000000002</v>
      </c>
      <c r="AF2578">
        <v>-16.2009268690658</v>
      </c>
      <c r="AG2578">
        <v>-5.8749999999999802E-2</v>
      </c>
      <c r="AH2578">
        <v>148.23338842332299</v>
      </c>
      <c r="AI2578">
        <v>90.022573868014106</v>
      </c>
      <c r="AJ2578">
        <v>96.237292657094798</v>
      </c>
      <c r="AK2578">
        <v>149.11609881712599</v>
      </c>
      <c r="AL2578">
        <v>79.481406441714697</v>
      </c>
      <c r="AM2578">
        <v>86.757191944210902</v>
      </c>
      <c r="AN2578">
        <v>0.99999999668619599</v>
      </c>
    </row>
    <row r="2579" spans="1:40" x14ac:dyDescent="0.25">
      <c r="A2579" t="str">
        <f>"20190303170307850"</f>
        <v>20190303170307850</v>
      </c>
      <c r="B2579" t="str">
        <f>"1551603787838417"</f>
        <v>1551603787838417</v>
      </c>
      <c r="C2579" t="s">
        <v>40</v>
      </c>
      <c r="D2579">
        <v>4.3704519999999896</v>
      </c>
      <c r="E2579">
        <v>0.44138820000000001</v>
      </c>
      <c r="F2579" t="s">
        <v>66</v>
      </c>
      <c r="G2579">
        <v>-512.82560000000001</v>
      </c>
      <c r="H2579">
        <v>1.1689929999999999</v>
      </c>
      <c r="I2579">
        <v>266.81709999999998</v>
      </c>
      <c r="J2579">
        <v>-364.98939999999999</v>
      </c>
      <c r="K2579">
        <v>1.121551</v>
      </c>
      <c r="L2579">
        <v>284.5659</v>
      </c>
      <c r="M2579">
        <v>-0.99982879999999996</v>
      </c>
      <c r="N2579">
        <v>-1.5029010000000001E-2</v>
      </c>
      <c r="O2579">
        <v>-1.079244E-2</v>
      </c>
      <c r="P2579">
        <v>-0.98474200000000001</v>
      </c>
      <c r="Q2579">
        <v>0.16806769999999999</v>
      </c>
      <c r="R2579">
        <v>4.5126550000000001E-2</v>
      </c>
      <c r="S2579">
        <v>-3.0629580000000001</v>
      </c>
      <c r="T2579">
        <v>9.8288059999999998E-4</v>
      </c>
      <c r="U2579">
        <v>-0.36724849999999998</v>
      </c>
      <c r="V2579">
        <v>5.5747140000000001E-2</v>
      </c>
      <c r="W2579">
        <v>0.1828419</v>
      </c>
      <c r="X2579">
        <v>0.98156049999999995</v>
      </c>
      <c r="Y2579">
        <v>-0.1083249</v>
      </c>
      <c r="Z2579">
        <v>-9.6474880000000003E-4</v>
      </c>
      <c r="AA2579">
        <v>0.99411510000000003</v>
      </c>
      <c r="AB2579">
        <v>39</v>
      </c>
      <c r="AC2579">
        <v>-147.83619999999999</v>
      </c>
      <c r="AD2579">
        <v>4.7441999999999901E-2</v>
      </c>
      <c r="AE2579">
        <v>-17.748799999999999</v>
      </c>
      <c r="AF2579">
        <v>-16.1520708779648</v>
      </c>
      <c r="AG2579">
        <v>4.7441999999999901E-2</v>
      </c>
      <c r="AH2579">
        <v>148.019147534186</v>
      </c>
      <c r="AI2579">
        <v>89.981744350009293</v>
      </c>
      <c r="AJ2579">
        <v>96.227560972458605</v>
      </c>
      <c r="AK2579">
        <v>148.897816240324</v>
      </c>
      <c r="AL2579">
        <v>79.464663170039401</v>
      </c>
      <c r="AM2579">
        <v>86.749412594836102</v>
      </c>
      <c r="AN2579">
        <v>0.99999995958701804</v>
      </c>
    </row>
    <row r="2580" spans="1:40" x14ac:dyDescent="0.25">
      <c r="A2580" t="str">
        <f>"20190303170307872"</f>
        <v>20190303170307872</v>
      </c>
      <c r="B2580" t="str">
        <f>"1551603787868356"</f>
        <v>1551603787868356</v>
      </c>
      <c r="C2580" t="s">
        <v>40</v>
      </c>
      <c r="D2580">
        <v>4.3524260000000004</v>
      </c>
      <c r="E2580">
        <v>0.44097209999999998</v>
      </c>
      <c r="F2580" t="s">
        <v>66</v>
      </c>
      <c r="G2580">
        <v>-512.82560000000001</v>
      </c>
      <c r="H2580">
        <v>1.201651</v>
      </c>
      <c r="I2580">
        <v>266.82139999999998</v>
      </c>
      <c r="J2580">
        <v>-365.35149999999999</v>
      </c>
      <c r="K2580">
        <v>1.1215299999999999</v>
      </c>
      <c r="L2580">
        <v>284.56209999999999</v>
      </c>
      <c r="M2580">
        <v>-0.99982950000000004</v>
      </c>
      <c r="N2580">
        <v>-1.5024819999999999E-2</v>
      </c>
      <c r="O2580">
        <v>-1.073348E-2</v>
      </c>
      <c r="P2580">
        <v>-0.98451569999999999</v>
      </c>
      <c r="Q2580">
        <v>0.16935720000000001</v>
      </c>
      <c r="R2580">
        <v>4.5242150000000002E-2</v>
      </c>
      <c r="S2580">
        <v>-3.0629879999999998</v>
      </c>
      <c r="T2580">
        <v>1.6611810000000001E-3</v>
      </c>
      <c r="U2580">
        <v>-0.36764530000000001</v>
      </c>
      <c r="V2580">
        <v>5.5814950000000002E-2</v>
      </c>
      <c r="W2580">
        <v>0.18412020000000001</v>
      </c>
      <c r="X2580">
        <v>0.98131769999999996</v>
      </c>
      <c r="Y2580">
        <v>-0.10850949999999999</v>
      </c>
      <c r="Z2580">
        <v>-9.5533670000000001E-4</v>
      </c>
      <c r="AA2580">
        <v>0.99409499999999995</v>
      </c>
      <c r="AB2580">
        <v>39</v>
      </c>
      <c r="AC2580">
        <v>-147.47409999999999</v>
      </c>
      <c r="AD2580">
        <v>8.0121000000000095E-2</v>
      </c>
      <c r="AE2580">
        <v>-17.7407</v>
      </c>
      <c r="AF2580">
        <v>-16.1565840926372</v>
      </c>
      <c r="AG2580">
        <v>8.0121000000000095E-2</v>
      </c>
      <c r="AH2580">
        <v>147.65600075518</v>
      </c>
      <c r="AI2580">
        <v>89.969094667290193</v>
      </c>
      <c r="AJ2580">
        <v>96.244486894028498</v>
      </c>
      <c r="AK2580">
        <v>148.53732254194799</v>
      </c>
      <c r="AL2580">
        <v>79.390157448481204</v>
      </c>
      <c r="AM2580">
        <v>86.744663609757794</v>
      </c>
      <c r="AN2580">
        <v>0.999999992512416</v>
      </c>
    </row>
    <row r="2581" spans="1:40" x14ac:dyDescent="0.25">
      <c r="A2581" t="str">
        <f>"20190303170307884"</f>
        <v>20190303170307884</v>
      </c>
      <c r="B2581" t="str">
        <f>"1551603787878115"</f>
        <v>1551603787878115</v>
      </c>
      <c r="C2581" t="s">
        <v>40</v>
      </c>
      <c r="D2581">
        <v>4.3720970000000001</v>
      </c>
      <c r="E2581">
        <v>0.44087589999999999</v>
      </c>
      <c r="F2581" t="s">
        <v>66</v>
      </c>
      <c r="G2581">
        <v>-512.82560000000001</v>
      </c>
      <c r="H2581">
        <v>1.4162999999999999</v>
      </c>
      <c r="I2581">
        <v>266.70479999999998</v>
      </c>
      <c r="J2581">
        <v>-365.56909999999999</v>
      </c>
      <c r="K2581">
        <v>1.121518</v>
      </c>
      <c r="L2581">
        <v>284.5598</v>
      </c>
      <c r="M2581">
        <v>-0.99983010000000005</v>
      </c>
      <c r="N2581">
        <v>-1.5022310000000001E-2</v>
      </c>
      <c r="O2581">
        <v>-1.0690760000000001E-2</v>
      </c>
      <c r="P2581">
        <v>-0.98448119999999995</v>
      </c>
      <c r="Q2581">
        <v>0.16953219999999999</v>
      </c>
      <c r="R2581">
        <v>4.5340449999999997E-2</v>
      </c>
      <c r="S2581">
        <v>-3.0631710000000001</v>
      </c>
      <c r="T2581">
        <v>6.1242579999999996E-3</v>
      </c>
      <c r="U2581">
        <v>-0.37091059999999998</v>
      </c>
      <c r="V2581">
        <v>5.5877570000000001E-2</v>
      </c>
      <c r="W2581">
        <v>0.18429029999999999</v>
      </c>
      <c r="X2581">
        <v>0.98128219999999999</v>
      </c>
      <c r="Y2581">
        <v>-0.1095907</v>
      </c>
      <c r="Z2581">
        <v>-8.9837869999999896E-4</v>
      </c>
      <c r="AA2581">
        <v>0.99397639999999998</v>
      </c>
      <c r="AB2581">
        <v>39</v>
      </c>
      <c r="AC2581">
        <v>-147.25649999999999</v>
      </c>
      <c r="AD2581">
        <v>0.29478199999999899</v>
      </c>
      <c r="AE2581">
        <v>-17.855</v>
      </c>
      <c r="AF2581">
        <v>-16.279453690374101</v>
      </c>
      <c r="AG2581">
        <v>0.29478199999999899</v>
      </c>
      <c r="AH2581">
        <v>147.438405488418</v>
      </c>
      <c r="AI2581">
        <v>89.886137413302095</v>
      </c>
      <c r="AJ2581">
        <v>96.300807088016697</v>
      </c>
      <c r="AK2581">
        <v>148.33472594727101</v>
      </c>
      <c r="AL2581">
        <v>79.380241695302601</v>
      </c>
      <c r="AM2581">
        <v>86.7409015988748</v>
      </c>
      <c r="AN2581">
        <v>0.999999986770017</v>
      </c>
    </row>
    <row r="2582" spans="1:40" x14ac:dyDescent="0.25">
      <c r="A2582" t="str">
        <f>"20190303170307899"</f>
        <v>20190303170307899</v>
      </c>
      <c r="B2582" t="str">
        <f>"1551603787887874"</f>
        <v>1551603787887874</v>
      </c>
      <c r="C2582" t="s">
        <v>40</v>
      </c>
      <c r="D2582">
        <v>4.3339420000000004</v>
      </c>
      <c r="E2582">
        <v>0.44080730000000001</v>
      </c>
      <c r="F2582" t="s">
        <v>66</v>
      </c>
      <c r="G2582">
        <v>-512.82560000000001</v>
      </c>
      <c r="H2582">
        <v>1.438045</v>
      </c>
      <c r="I2582">
        <v>266.70440000000002</v>
      </c>
      <c r="J2582">
        <v>-365.82209999999998</v>
      </c>
      <c r="K2582">
        <v>1.1215029999999999</v>
      </c>
      <c r="L2582">
        <v>284.55709999999999</v>
      </c>
      <c r="M2582">
        <v>-0.99983069999999996</v>
      </c>
      <c r="N2582">
        <v>-1.5019380000000001E-2</v>
      </c>
      <c r="O2582">
        <v>-1.063596E-2</v>
      </c>
      <c r="P2582">
        <v>-0.9844463</v>
      </c>
      <c r="Q2582">
        <v>0.16973150000000001</v>
      </c>
      <c r="R2582">
        <v>4.5353839999999999E-2</v>
      </c>
      <c r="S2582">
        <v>-3.0632630000000001</v>
      </c>
      <c r="T2582">
        <v>6.5860750000000003E-3</v>
      </c>
      <c r="U2582">
        <v>-0.37142940000000002</v>
      </c>
      <c r="V2582">
        <v>5.5844049999999999E-2</v>
      </c>
      <c r="W2582">
        <v>0.18448390000000001</v>
      </c>
      <c r="X2582">
        <v>0.98124769999999994</v>
      </c>
      <c r="Y2582">
        <v>-0.10980760000000001</v>
      </c>
      <c r="Z2582">
        <v>-8.9203649999999998E-4</v>
      </c>
      <c r="AA2582">
        <v>0.99395250000000002</v>
      </c>
      <c r="AB2582">
        <v>39</v>
      </c>
      <c r="AC2582">
        <v>-147.0035</v>
      </c>
      <c r="AD2582">
        <v>0.31654199999999899</v>
      </c>
      <c r="AE2582">
        <v>-17.852699999999899</v>
      </c>
      <c r="AF2582">
        <v>-16.287915916209499</v>
      </c>
      <c r="AG2582">
        <v>0.31654199999999899</v>
      </c>
      <c r="AH2582">
        <v>147.18441258619899</v>
      </c>
      <c r="AI2582">
        <v>89.877524737237593</v>
      </c>
      <c r="AJ2582">
        <v>96.314846910078899</v>
      </c>
      <c r="AK2582">
        <v>148.08324588580399</v>
      </c>
      <c r="AL2582">
        <v>79.3689554102736</v>
      </c>
      <c r="AM2582">
        <v>86.742738193170197</v>
      </c>
      <c r="AN2582">
        <v>0.99999995801745001</v>
      </c>
    </row>
    <row r="2583" spans="1:40" x14ac:dyDescent="0.25">
      <c r="A2583" t="str">
        <f>"20190303170307917"</f>
        <v>20190303170307917</v>
      </c>
      <c r="B2583" t="str">
        <f>"1551603787908372"</f>
        <v>1551603787908372</v>
      </c>
      <c r="C2583" t="s">
        <v>40</v>
      </c>
      <c r="D2583">
        <v>4.0920560000000004</v>
      </c>
      <c r="E2583">
        <v>0.44082139999999997</v>
      </c>
      <c r="F2583" t="s">
        <v>66</v>
      </c>
      <c r="G2583">
        <v>-512.82560000000001</v>
      </c>
      <c r="H2583">
        <v>1.475544</v>
      </c>
      <c r="I2583">
        <v>266.71179999999998</v>
      </c>
      <c r="J2583">
        <v>-366.1336</v>
      </c>
      <c r="K2583">
        <v>1.1214820000000001</v>
      </c>
      <c r="L2583">
        <v>284.55380000000002</v>
      </c>
      <c r="M2583">
        <v>-0.99983140000000004</v>
      </c>
      <c r="N2583">
        <v>-1.5015779999999999E-2</v>
      </c>
      <c r="O2583">
        <v>-1.055993E-2</v>
      </c>
      <c r="P2583">
        <v>-0.98441480000000003</v>
      </c>
      <c r="Q2583">
        <v>0.1698453</v>
      </c>
      <c r="R2583">
        <v>4.5606899999999999E-2</v>
      </c>
      <c r="S2583">
        <v>-3.0632320000000002</v>
      </c>
      <c r="T2583">
        <v>7.3790549999999998E-3</v>
      </c>
      <c r="U2583">
        <v>-0.37185669999999998</v>
      </c>
      <c r="V2583">
        <v>5.6029700000000002E-2</v>
      </c>
      <c r="W2583">
        <v>0.18459120000000001</v>
      </c>
      <c r="X2583">
        <v>0.98121700000000001</v>
      </c>
      <c r="Y2583">
        <v>-0.1100212</v>
      </c>
      <c r="Z2583">
        <v>-8.8041879999999995E-4</v>
      </c>
      <c r="AA2583">
        <v>0.99392879999999995</v>
      </c>
      <c r="AB2583">
        <v>39</v>
      </c>
      <c r="AC2583">
        <v>-146.69200000000001</v>
      </c>
      <c r="AD2583">
        <v>0.35406199999999999</v>
      </c>
      <c r="AE2583">
        <v>-17.841999999999999</v>
      </c>
      <c r="AF2583">
        <v>-16.291679360894801</v>
      </c>
      <c r="AG2583">
        <v>0.35406199999999999</v>
      </c>
      <c r="AH2583">
        <v>146.87140733975701</v>
      </c>
      <c r="AI2583">
        <v>89.862719668035496</v>
      </c>
      <c r="AJ2583">
        <v>96.329646052522094</v>
      </c>
      <c r="AK2583">
        <v>147.77264452617399</v>
      </c>
      <c r="AL2583">
        <v>79.3627008057789</v>
      </c>
      <c r="AM2583">
        <v>86.731831036790894</v>
      </c>
      <c r="AN2583">
        <v>1.00000001974426</v>
      </c>
    </row>
    <row r="2584" spans="1:40" x14ac:dyDescent="0.25">
      <c r="A2584" t="str">
        <f>"20190303170307938"</f>
        <v>20190303170307938</v>
      </c>
      <c r="B2584" t="str">
        <f>"1551603787927891"</f>
        <v>1551603787927891</v>
      </c>
      <c r="C2584" t="s">
        <v>40</v>
      </c>
      <c r="D2584">
        <v>4.3109229999999998</v>
      </c>
      <c r="E2584">
        <v>0.44070330000000002</v>
      </c>
      <c r="F2584" t="s">
        <v>66</v>
      </c>
      <c r="G2584">
        <v>-512.82560000000001</v>
      </c>
      <c r="H2584">
        <v>1.473374</v>
      </c>
      <c r="I2584">
        <v>266.7867</v>
      </c>
      <c r="J2584">
        <v>-366.50709999999998</v>
      </c>
      <c r="K2584">
        <v>1.1214660000000001</v>
      </c>
      <c r="L2584">
        <v>284.55</v>
      </c>
      <c r="M2584">
        <v>-0.99983270000000002</v>
      </c>
      <c r="N2584">
        <v>-1.5011500000000001E-2</v>
      </c>
      <c r="O2584">
        <v>-1.0457899999999999E-2</v>
      </c>
      <c r="P2584">
        <v>-0.98433899999999996</v>
      </c>
      <c r="Q2584">
        <v>0.17031579999999999</v>
      </c>
      <c r="R2584">
        <v>4.5491990000000003E-2</v>
      </c>
      <c r="S2584">
        <v>-3.0633849999999998</v>
      </c>
      <c r="T2584">
        <v>7.3502059999999998E-3</v>
      </c>
      <c r="U2584">
        <v>-0.37103269999999999</v>
      </c>
      <c r="V2584">
        <v>5.5821490000000001E-2</v>
      </c>
      <c r="W2584">
        <v>0.1850542</v>
      </c>
      <c r="X2584">
        <v>0.98114159999999995</v>
      </c>
      <c r="Y2584">
        <v>-0.1098532</v>
      </c>
      <c r="Z2584">
        <v>-8.7771170000000001E-4</v>
      </c>
      <c r="AA2584">
        <v>0.99394740000000004</v>
      </c>
      <c r="AB2584">
        <v>39</v>
      </c>
      <c r="AC2584">
        <v>-146.3185</v>
      </c>
      <c r="AD2584">
        <v>0.351907999999999</v>
      </c>
      <c r="AE2584">
        <v>-17.763300000000001</v>
      </c>
      <c r="AF2584">
        <v>-16.231879288623599</v>
      </c>
      <c r="AG2584">
        <v>0.351907999999999</v>
      </c>
      <c r="AH2584">
        <v>146.49544937484001</v>
      </c>
      <c r="AI2584">
        <v>89.863202819676999</v>
      </c>
      <c r="AJ2584">
        <v>96.322654071329794</v>
      </c>
      <c r="AK2584">
        <v>147.39238254406899</v>
      </c>
      <c r="AL2584">
        <v>79.335707257759495</v>
      </c>
      <c r="AM2584">
        <v>86.743699898696804</v>
      </c>
      <c r="AN2584">
        <v>0.99999996746700903</v>
      </c>
    </row>
    <row r="2585" spans="1:40" x14ac:dyDescent="0.25">
      <c r="A2585" t="str">
        <f>"20190303170307950"</f>
        <v>20190303170307950</v>
      </c>
      <c r="B2585" t="str">
        <f>"1551603787937651"</f>
        <v>1551603787937651</v>
      </c>
      <c r="C2585" t="s">
        <v>40</v>
      </c>
      <c r="D2585">
        <v>4.2872789999999998</v>
      </c>
      <c r="E2585">
        <v>0.44065900000000002</v>
      </c>
      <c r="F2585" t="s">
        <v>66</v>
      </c>
      <c r="G2585">
        <v>-512.82569999999998</v>
      </c>
      <c r="H2585">
        <v>1.5055810000000001</v>
      </c>
      <c r="I2585">
        <v>266.77940000000001</v>
      </c>
      <c r="J2585">
        <v>-366.72489999999999</v>
      </c>
      <c r="K2585">
        <v>1.121461</v>
      </c>
      <c r="L2585">
        <v>284.54770000000002</v>
      </c>
      <c r="M2585">
        <v>-0.99983339999999998</v>
      </c>
      <c r="N2585">
        <v>-1.500899E-2</v>
      </c>
      <c r="O2585">
        <v>-1.039431E-2</v>
      </c>
      <c r="P2585">
        <v>-0.98438610000000004</v>
      </c>
      <c r="Q2585">
        <v>0.17015329999999901</v>
      </c>
      <c r="R2585">
        <v>4.5078239999999999E-2</v>
      </c>
      <c r="S2585">
        <v>-3.0635379999999999</v>
      </c>
      <c r="T2585">
        <v>8.0440040000000004E-3</v>
      </c>
      <c r="U2585">
        <v>-0.37207030000000002</v>
      </c>
      <c r="V2585">
        <v>5.5349719999999998E-2</v>
      </c>
      <c r="W2585">
        <v>0.18488879999999999</v>
      </c>
      <c r="X2585">
        <v>0.98119959999999995</v>
      </c>
      <c r="Y2585">
        <v>-0.1102424</v>
      </c>
      <c r="Z2585">
        <v>-8.6883830000000003E-4</v>
      </c>
      <c r="AA2585">
        <v>0.99390440000000002</v>
      </c>
      <c r="AB2585">
        <v>39</v>
      </c>
      <c r="AC2585">
        <v>-146.10079999999999</v>
      </c>
      <c r="AD2585">
        <v>0.38411999999999902</v>
      </c>
      <c r="AE2585">
        <v>-17.7683</v>
      </c>
      <c r="AF2585">
        <v>-16.248441241891001</v>
      </c>
      <c r="AG2585">
        <v>0.38411999999999902</v>
      </c>
      <c r="AH2585">
        <v>146.27661914812299</v>
      </c>
      <c r="AI2585">
        <v>89.850462296329994</v>
      </c>
      <c r="AJ2585">
        <v>96.338444247777801</v>
      </c>
      <c r="AK2585">
        <v>147.176794028035</v>
      </c>
      <c r="AL2585">
        <v>79.3453513528911</v>
      </c>
      <c r="AM2585">
        <v>86.771352190065201</v>
      </c>
      <c r="AN2585">
        <v>1.00000005745483</v>
      </c>
    </row>
    <row r="2586" spans="1:40" x14ac:dyDescent="0.25">
      <c r="A2586" t="str">
        <f>"20190303170307962"</f>
        <v>20190303170307962</v>
      </c>
      <c r="B2586" t="str">
        <f>"1551603787957784"</f>
        <v>1551603787957784</v>
      </c>
      <c r="C2586" t="s">
        <v>40</v>
      </c>
      <c r="D2586">
        <v>4.3021419999999999</v>
      </c>
      <c r="E2586">
        <v>0.44060050000000001</v>
      </c>
      <c r="F2586" t="s">
        <v>66</v>
      </c>
      <c r="G2586">
        <v>-512.82560000000001</v>
      </c>
      <c r="H2586">
        <v>1.4636119999999999</v>
      </c>
      <c r="I2586">
        <v>266.72899999999998</v>
      </c>
      <c r="J2586">
        <v>-366.9205</v>
      </c>
      <c r="K2586">
        <v>1.121453</v>
      </c>
      <c r="L2586">
        <v>284.54570000000001</v>
      </c>
      <c r="M2586">
        <v>-0.99983409999999995</v>
      </c>
      <c r="N2586">
        <v>-1.5006739999999999E-2</v>
      </c>
      <c r="O2586">
        <v>-1.033541E-2</v>
      </c>
      <c r="P2586">
        <v>-0.98434350000000004</v>
      </c>
      <c r="Q2586">
        <v>0.17044599999999999</v>
      </c>
      <c r="R2586">
        <v>4.4903289999999998E-2</v>
      </c>
      <c r="S2586">
        <v>-3.0634769999999998</v>
      </c>
      <c r="T2586">
        <v>7.1759220000000004E-3</v>
      </c>
      <c r="U2586">
        <v>-0.37362669999999998</v>
      </c>
      <c r="V2586">
        <v>5.5119359999999999E-2</v>
      </c>
      <c r="W2586">
        <v>0.18517790000000001</v>
      </c>
      <c r="X2586">
        <v>0.98115799999999997</v>
      </c>
      <c r="Y2586">
        <v>-0.1108007</v>
      </c>
      <c r="Z2586">
        <v>-8.8387509999999895E-4</v>
      </c>
      <c r="AA2586">
        <v>0.99384220000000001</v>
      </c>
      <c r="AB2586">
        <v>39</v>
      </c>
      <c r="AC2586">
        <v>-145.9051</v>
      </c>
      <c r="AD2586">
        <v>0.34215899999999999</v>
      </c>
      <c r="AE2586">
        <v>-17.816699999999901</v>
      </c>
      <c r="AF2586">
        <v>-16.3075011298702</v>
      </c>
      <c r="AG2586">
        <v>0.34215899999999999</v>
      </c>
      <c r="AH2586">
        <v>146.08067725794399</v>
      </c>
      <c r="AI2586">
        <v>89.866627077777096</v>
      </c>
      <c r="AJ2586">
        <v>96.369757208146595</v>
      </c>
      <c r="AK2586">
        <v>146.98848912082099</v>
      </c>
      <c r="AL2586">
        <v>79.328495576103606</v>
      </c>
      <c r="AM2586">
        <v>86.784625212016707</v>
      </c>
      <c r="AN2586">
        <v>1.0000000097296</v>
      </c>
    </row>
    <row r="2587" spans="1:40" x14ac:dyDescent="0.25">
      <c r="A2587" t="str">
        <f>"20190303170307973"</f>
        <v>20190303170307973</v>
      </c>
      <c r="B2587" t="str">
        <f>"1551603787968521"</f>
        <v>1551603787968521</v>
      </c>
      <c r="C2587" t="s">
        <v>40</v>
      </c>
      <c r="D2587">
        <v>4.2869000000000002</v>
      </c>
      <c r="E2587">
        <v>0.44058550000000002</v>
      </c>
      <c r="F2587" t="s">
        <v>66</v>
      </c>
      <c r="G2587">
        <v>-512.82560000000001</v>
      </c>
      <c r="H2587">
        <v>1.4911490000000001</v>
      </c>
      <c r="I2587">
        <v>266.70979999999997</v>
      </c>
      <c r="J2587">
        <v>-367.12810000000002</v>
      </c>
      <c r="K2587">
        <v>1.1214470000000001</v>
      </c>
      <c r="L2587">
        <v>284.54360000000003</v>
      </c>
      <c r="M2587">
        <v>-0.99983469999999997</v>
      </c>
      <c r="N2587">
        <v>-1.500434E-2</v>
      </c>
      <c r="O2587">
        <v>-1.027138E-2</v>
      </c>
      <c r="P2587">
        <v>-0.98434149999999998</v>
      </c>
      <c r="Q2587">
        <v>0.17048550000000001</v>
      </c>
      <c r="R2587">
        <v>4.4794100000000003E-2</v>
      </c>
      <c r="S2587">
        <v>-3.0634160000000001</v>
      </c>
      <c r="T2587">
        <v>7.763743E-3</v>
      </c>
      <c r="U2587">
        <v>-0.37448120000000001</v>
      </c>
      <c r="V2587">
        <v>5.4950069999999997E-2</v>
      </c>
      <c r="W2587">
        <v>0.18521399999999999</v>
      </c>
      <c r="X2587">
        <v>0.98116060000000005</v>
      </c>
      <c r="Y2587">
        <v>-0.11114</v>
      </c>
      <c r="Z2587">
        <v>-8.7611969999999999E-4</v>
      </c>
      <c r="AA2587">
        <v>0.99380440000000003</v>
      </c>
      <c r="AB2587">
        <v>39</v>
      </c>
      <c r="AC2587">
        <v>-145.69749999999999</v>
      </c>
      <c r="AD2587">
        <v>0.36970199999999998</v>
      </c>
      <c r="AE2587">
        <v>-17.8338</v>
      </c>
      <c r="AF2587">
        <v>-16.336072561304299</v>
      </c>
      <c r="AG2587">
        <v>0.36970199999999998</v>
      </c>
      <c r="AH2587">
        <v>145.872085422212</v>
      </c>
      <c r="AI2587">
        <v>89.855690508211097</v>
      </c>
      <c r="AJ2587">
        <v>96.389874259710197</v>
      </c>
      <c r="AK2587">
        <v>146.78443123070701</v>
      </c>
      <c r="AL2587">
        <v>79.326389922577206</v>
      </c>
      <c r="AM2587">
        <v>86.794488554737796</v>
      </c>
      <c r="AN2587">
        <v>0.99999992949067995</v>
      </c>
    </row>
    <row r="2588" spans="1:40" x14ac:dyDescent="0.25">
      <c r="A2588" t="str">
        <f>"20190303170307987"</f>
        <v>20190303170307987</v>
      </c>
      <c r="B2588" t="str">
        <f>"1551603787978281"</f>
        <v>1551603787978281</v>
      </c>
      <c r="C2588" t="s">
        <v>40</v>
      </c>
      <c r="D2588">
        <v>4.3275930000000002</v>
      </c>
      <c r="E2588">
        <v>0.4405347</v>
      </c>
      <c r="F2588" t="s">
        <v>66</v>
      </c>
      <c r="G2588">
        <v>-512.82560000000001</v>
      </c>
      <c r="H2588">
        <v>1.4712479999999999</v>
      </c>
      <c r="I2588">
        <v>266.73200000000003</v>
      </c>
      <c r="J2588">
        <v>-367.33960000000002</v>
      </c>
      <c r="K2588">
        <v>1.121442</v>
      </c>
      <c r="L2588">
        <v>284.54149999999998</v>
      </c>
      <c r="M2588">
        <v>-0.99983560000000005</v>
      </c>
      <c r="N2588">
        <v>-1.500189E-2</v>
      </c>
      <c r="O2588">
        <v>-1.020487E-2</v>
      </c>
      <c r="P2588">
        <v>-0.9843729</v>
      </c>
      <c r="Q2588">
        <v>0.170431</v>
      </c>
      <c r="R2588">
        <v>4.4314760000000002E-2</v>
      </c>
      <c r="S2588">
        <v>-3.0634769999999998</v>
      </c>
      <c r="T2588">
        <v>7.3566439999999999E-3</v>
      </c>
      <c r="U2588">
        <v>-0.3745117</v>
      </c>
      <c r="V2588">
        <v>5.4408239999999997E-2</v>
      </c>
      <c r="W2588">
        <v>0.1851573</v>
      </c>
      <c r="X2588">
        <v>0.98120160000000001</v>
      </c>
      <c r="Y2588">
        <v>-0.1112134</v>
      </c>
      <c r="Z2588">
        <v>-8.8126990000000004E-4</v>
      </c>
      <c r="AA2588">
        <v>0.99379620000000002</v>
      </c>
      <c r="AB2588">
        <v>39</v>
      </c>
      <c r="AC2588">
        <v>-145.48599999999999</v>
      </c>
      <c r="AD2588">
        <v>0.34980599999999901</v>
      </c>
      <c r="AE2588">
        <v>-17.8094999999999</v>
      </c>
      <c r="AF2588">
        <v>-16.3236469588627</v>
      </c>
      <c r="AG2588">
        <v>0.34980599999999901</v>
      </c>
      <c r="AH2588">
        <v>145.65935709671299</v>
      </c>
      <c r="AI2588">
        <v>89.863258453100997</v>
      </c>
      <c r="AJ2588">
        <v>96.394302002535198</v>
      </c>
      <c r="AK2588">
        <v>146.571593851275</v>
      </c>
      <c r="AL2588">
        <v>79.329696869704307</v>
      </c>
      <c r="AM2588">
        <v>86.826163608960599</v>
      </c>
      <c r="AN2588">
        <v>1.0000000310828701</v>
      </c>
    </row>
    <row r="2589" spans="1:40" x14ac:dyDescent="0.25">
      <c r="A2589" t="str">
        <f>"20190303170308000"</f>
        <v>20190303170308000</v>
      </c>
      <c r="B2589" t="str">
        <f>"1551603787988041"</f>
        <v>1551603787988041</v>
      </c>
      <c r="C2589" t="s">
        <v>40</v>
      </c>
      <c r="D2589">
        <v>4.2661680000000004</v>
      </c>
      <c r="E2589">
        <v>0.44050119999999998</v>
      </c>
      <c r="F2589" t="s">
        <v>66</v>
      </c>
      <c r="G2589">
        <v>-512.82560000000001</v>
      </c>
      <c r="H2589">
        <v>1.455913</v>
      </c>
      <c r="I2589">
        <v>266.65949999999998</v>
      </c>
      <c r="J2589">
        <v>-367.56720000000001</v>
      </c>
      <c r="K2589">
        <v>1.1214390000000001</v>
      </c>
      <c r="L2589">
        <v>284.53919999999999</v>
      </c>
      <c r="M2589">
        <v>-0.99983619999999995</v>
      </c>
      <c r="N2589">
        <v>-1.499926E-2</v>
      </c>
      <c r="O2589">
        <v>-1.0132510000000001E-2</v>
      </c>
      <c r="P2589">
        <v>-0.98435399999999995</v>
      </c>
      <c r="Q2589">
        <v>0.170542</v>
      </c>
      <c r="R2589">
        <v>4.4306860000000003E-2</v>
      </c>
      <c r="S2589">
        <v>-3.0633849999999998</v>
      </c>
      <c r="T2589">
        <v>7.0443149999999998E-3</v>
      </c>
      <c r="U2589">
        <v>-0.37652590000000002</v>
      </c>
      <c r="V2589">
        <v>5.4331549999999999E-2</v>
      </c>
      <c r="W2589">
        <v>0.18526509999999999</v>
      </c>
      <c r="X2589">
        <v>0.98118550000000004</v>
      </c>
      <c r="Y2589">
        <v>-0.1119325</v>
      </c>
      <c r="Z2589">
        <v>-8.8907959999999996E-4</v>
      </c>
      <c r="AA2589">
        <v>0.99371540000000003</v>
      </c>
      <c r="AB2589">
        <v>39</v>
      </c>
      <c r="AC2589">
        <v>-145.25839999999999</v>
      </c>
      <c r="AD2589">
        <v>0.33447399999999999</v>
      </c>
      <c r="AE2589">
        <v>-17.8797</v>
      </c>
      <c r="AF2589">
        <v>-16.406698515046699</v>
      </c>
      <c r="AG2589">
        <v>0.33447399999999999</v>
      </c>
      <c r="AH2589">
        <v>145.43136849567799</v>
      </c>
      <c r="AI2589">
        <v>89.869057703312293</v>
      </c>
      <c r="AJ2589">
        <v>96.436553732189395</v>
      </c>
      <c r="AK2589">
        <v>146.35427759907199</v>
      </c>
      <c r="AL2589">
        <v>79.323411630888003</v>
      </c>
      <c r="AM2589">
        <v>86.830576197955494</v>
      </c>
      <c r="AN2589">
        <v>1.0000000300068299</v>
      </c>
    </row>
    <row r="2590" spans="1:40" x14ac:dyDescent="0.25">
      <c r="A2590" t="str">
        <f>"20190303170308013"</f>
        <v>20190303170308013</v>
      </c>
      <c r="B2590" t="str">
        <f>"1551603788008537"</f>
        <v>1551603788008537</v>
      </c>
      <c r="C2590" t="s">
        <v>40</v>
      </c>
      <c r="D2590">
        <v>4.0797699999999999</v>
      </c>
      <c r="E2590">
        <v>0.44048039999999999</v>
      </c>
      <c r="F2590" t="s">
        <v>66</v>
      </c>
      <c r="G2590">
        <v>-512.82560000000001</v>
      </c>
      <c r="H2590">
        <v>1.463147</v>
      </c>
      <c r="I2590">
        <v>266.6737</v>
      </c>
      <c r="J2590">
        <v>-367.815</v>
      </c>
      <c r="K2590">
        <v>1.121434</v>
      </c>
      <c r="L2590">
        <v>284.53680000000003</v>
      </c>
      <c r="M2590">
        <v>-0.99983699999999998</v>
      </c>
      <c r="N2590">
        <v>-1.499642E-2</v>
      </c>
      <c r="O2590">
        <v>-1.0052780000000001E-2</v>
      </c>
      <c r="P2590">
        <v>-0.984398</v>
      </c>
      <c r="Q2590">
        <v>0.17036080000000001</v>
      </c>
      <c r="R2590">
        <v>4.4023090000000001E-2</v>
      </c>
      <c r="S2590">
        <v>-3.0633849999999998</v>
      </c>
      <c r="T2590">
        <v>7.2079900000000001E-3</v>
      </c>
      <c r="U2590">
        <v>-0.37676999999999999</v>
      </c>
      <c r="V2590">
        <v>5.3971869999999998E-2</v>
      </c>
      <c r="W2590">
        <v>0.18508140000000001</v>
      </c>
      <c r="X2590">
        <v>0.98124</v>
      </c>
      <c r="Y2590">
        <v>-0.1120898</v>
      </c>
      <c r="Z2590">
        <v>-8.8607639999999999E-4</v>
      </c>
      <c r="AA2590">
        <v>0.99369770000000002</v>
      </c>
      <c r="AB2590">
        <v>39</v>
      </c>
      <c r="AC2590">
        <v>-145.01060000000001</v>
      </c>
      <c r="AD2590">
        <v>0.34171299999999899</v>
      </c>
      <c r="AE2590">
        <v>-17.863099999999999</v>
      </c>
      <c r="AF2590">
        <v>-16.404183812985199</v>
      </c>
      <c r="AG2590">
        <v>0.34171299999999899</v>
      </c>
      <c r="AH2590">
        <v>145.18207077241701</v>
      </c>
      <c r="AI2590">
        <v>89.865996661151897</v>
      </c>
      <c r="AJ2590">
        <v>96.446533286468494</v>
      </c>
      <c r="AK2590">
        <v>146.10628900944599</v>
      </c>
      <c r="AL2590">
        <v>79.334121904144993</v>
      </c>
      <c r="AM2590">
        <v>86.851690251072398</v>
      </c>
      <c r="AN2590">
        <v>1.0000000124886199</v>
      </c>
    </row>
    <row r="2591" spans="1:40" x14ac:dyDescent="0.25">
      <c r="A2591" t="str">
        <f>"20190303170308028"</f>
        <v>20190303170308028</v>
      </c>
      <c r="B2591" t="str">
        <f>"1551603788018298"</f>
        <v>1551603788018298</v>
      </c>
      <c r="C2591" t="s">
        <v>40</v>
      </c>
      <c r="D2591">
        <v>4.2754779999999997</v>
      </c>
      <c r="E2591">
        <v>0.4405597</v>
      </c>
      <c r="F2591" t="s">
        <v>66</v>
      </c>
      <c r="G2591">
        <v>-512.82560000000001</v>
      </c>
      <c r="H2591">
        <v>1.4319440000000001</v>
      </c>
      <c r="I2591">
        <v>266.6549</v>
      </c>
      <c r="J2591">
        <v>-368.05560000000003</v>
      </c>
      <c r="K2591">
        <v>1.121427</v>
      </c>
      <c r="L2591">
        <v>284.53440000000001</v>
      </c>
      <c r="M2591">
        <v>-0.9998378</v>
      </c>
      <c r="N2591">
        <v>-1.4993650000000001E-2</v>
      </c>
      <c r="O2591">
        <v>-9.9754389999999991E-3</v>
      </c>
      <c r="P2591">
        <v>-0.98443159999999996</v>
      </c>
      <c r="Q2591">
        <v>0.17035739999999999</v>
      </c>
      <c r="R2591">
        <v>4.327611E-2</v>
      </c>
      <c r="S2591">
        <v>-3.0632929999999998</v>
      </c>
      <c r="T2591">
        <v>6.5610410000000001E-3</v>
      </c>
      <c r="U2591">
        <v>-0.37774659999999999</v>
      </c>
      <c r="V2591">
        <v>5.3150879999999998E-2</v>
      </c>
      <c r="W2591">
        <v>0.1850753</v>
      </c>
      <c r="X2591">
        <v>0.98128590000000004</v>
      </c>
      <c r="Y2591">
        <v>-0.1124822</v>
      </c>
      <c r="Z2591">
        <v>-8.9679590000000002E-4</v>
      </c>
      <c r="AA2591">
        <v>0.99365340000000002</v>
      </c>
      <c r="AB2591">
        <v>39</v>
      </c>
      <c r="AC2591">
        <v>-144.76999999999899</v>
      </c>
      <c r="AD2591">
        <v>0.31051699999999999</v>
      </c>
      <c r="AE2591">
        <v>-17.8795</v>
      </c>
      <c r="AF2591">
        <v>-16.434229017836198</v>
      </c>
      <c r="AG2591">
        <v>0.31051699999999999</v>
      </c>
      <c r="AH2591">
        <v>144.94051433790099</v>
      </c>
      <c r="AI2591">
        <v>89.878032640005202</v>
      </c>
      <c r="AJ2591">
        <v>96.468912897683694</v>
      </c>
      <c r="AK2591">
        <v>145.869575308744</v>
      </c>
      <c r="AL2591">
        <v>79.334476879750298</v>
      </c>
      <c r="AM2591">
        <v>86.899631171142005</v>
      </c>
      <c r="AN2591">
        <v>0.99999995012683596</v>
      </c>
    </row>
    <row r="2592" spans="1:40" x14ac:dyDescent="0.25">
      <c r="A2592" t="str">
        <f>"20190303170308042"</f>
        <v>20190303170308042</v>
      </c>
      <c r="B2592" t="str">
        <f>"1551603788037817"</f>
        <v>1551603788037817</v>
      </c>
      <c r="C2592" t="s">
        <v>40</v>
      </c>
      <c r="D2592">
        <v>4.2461580000000003</v>
      </c>
      <c r="E2592">
        <v>0.44066490000000003</v>
      </c>
      <c r="F2592" t="s">
        <v>66</v>
      </c>
      <c r="G2592">
        <v>-512.82560000000001</v>
      </c>
      <c r="H2592">
        <v>1.3950689999999999</v>
      </c>
      <c r="I2592">
        <v>266.62040000000002</v>
      </c>
      <c r="J2592">
        <v>-368.30560000000003</v>
      </c>
      <c r="K2592">
        <v>1.121424</v>
      </c>
      <c r="L2592">
        <v>284.53199999999998</v>
      </c>
      <c r="M2592">
        <v>-0.99983869999999997</v>
      </c>
      <c r="N2592">
        <v>-1.499077E-2</v>
      </c>
      <c r="O2592">
        <v>-9.8951249999999994E-3</v>
      </c>
      <c r="P2592">
        <v>-0.9844811</v>
      </c>
      <c r="Q2592">
        <v>0.1701442</v>
      </c>
      <c r="R2592">
        <v>4.2987619999999997E-2</v>
      </c>
      <c r="S2592">
        <v>-3.0630799999999998</v>
      </c>
      <c r="T2592">
        <v>5.7914259999999997E-3</v>
      </c>
      <c r="U2592">
        <v>-0.37902829999999998</v>
      </c>
      <c r="V2592">
        <v>5.2785569999999997E-2</v>
      </c>
      <c r="W2592">
        <v>0.18485969999999999</v>
      </c>
      <c r="X2592">
        <v>0.9813463</v>
      </c>
      <c r="Y2592">
        <v>-0.1129797</v>
      </c>
      <c r="Z2592">
        <v>-9.1012419999999996E-4</v>
      </c>
      <c r="AA2592">
        <v>0.99359690000000001</v>
      </c>
      <c r="AB2592">
        <v>39</v>
      </c>
      <c r="AC2592">
        <v>-144.51999999999899</v>
      </c>
      <c r="AD2592">
        <v>0.27364500000000003</v>
      </c>
      <c r="AE2592">
        <v>-17.9115999999999</v>
      </c>
      <c r="AF2592">
        <v>-16.480460565919898</v>
      </c>
      <c r="AG2592">
        <v>0.27364500000000003</v>
      </c>
      <c r="AH2592">
        <v>144.68966954042099</v>
      </c>
      <c r="AI2592">
        <v>89.892335375485999</v>
      </c>
      <c r="AJ2592">
        <v>96.498106024149195</v>
      </c>
      <c r="AK2592">
        <v>145.62548174604299</v>
      </c>
      <c r="AL2592">
        <v>79.347047208054803</v>
      </c>
      <c r="AM2592">
        <v>86.921088242381103</v>
      </c>
      <c r="AN2592">
        <v>0.99999999280400198</v>
      </c>
    </row>
    <row r="2593" spans="1:40" x14ac:dyDescent="0.25">
      <c r="A2593" t="str">
        <f>"20190303170308056"</f>
        <v>20190303170308056</v>
      </c>
      <c r="B2593" t="str">
        <f>"1551603788047788"</f>
        <v>1551603788047788</v>
      </c>
      <c r="C2593" t="s">
        <v>40</v>
      </c>
      <c r="D2593">
        <v>4.2704219999999999</v>
      </c>
      <c r="E2593">
        <v>0.44071159999999998</v>
      </c>
      <c r="F2593" t="s">
        <v>66</v>
      </c>
      <c r="G2593">
        <v>-512.82560000000001</v>
      </c>
      <c r="H2593">
        <v>1.323844</v>
      </c>
      <c r="I2593">
        <v>266.65469999999999</v>
      </c>
      <c r="J2593">
        <v>-368.5566</v>
      </c>
      <c r="K2593">
        <v>1.1214219999999999</v>
      </c>
      <c r="L2593">
        <v>284.52949999999998</v>
      </c>
      <c r="M2593">
        <v>-0.99983960000000005</v>
      </c>
      <c r="N2593">
        <v>-1.498788E-2</v>
      </c>
      <c r="O2593">
        <v>-9.8143459999999998E-3</v>
      </c>
      <c r="P2593">
        <v>-0.98450260000000001</v>
      </c>
      <c r="Q2593">
        <v>0.16999359999999999</v>
      </c>
      <c r="R2593">
        <v>4.3095609999999999E-2</v>
      </c>
      <c r="S2593">
        <v>-3.0630799999999998</v>
      </c>
      <c r="T2593">
        <v>4.2918920000000003E-3</v>
      </c>
      <c r="U2593">
        <v>-0.37890629999999997</v>
      </c>
      <c r="V2593">
        <v>5.2815809999999998E-2</v>
      </c>
      <c r="W2593">
        <v>0.1847065</v>
      </c>
      <c r="X2593">
        <v>0.98137350000000001</v>
      </c>
      <c r="Y2593">
        <v>-0.1130206</v>
      </c>
      <c r="Z2593">
        <v>-9.3161549999999996E-4</v>
      </c>
      <c r="AA2593">
        <v>0.99359219999999904</v>
      </c>
      <c r="AB2593">
        <v>39</v>
      </c>
      <c r="AC2593">
        <v>-144.26900000000001</v>
      </c>
      <c r="AD2593">
        <v>0.20242199999999999</v>
      </c>
      <c r="AE2593">
        <v>-17.874799999999901</v>
      </c>
      <c r="AF2593">
        <v>-16.4578422013705</v>
      </c>
      <c r="AG2593">
        <v>0.20242199999999999</v>
      </c>
      <c r="AH2593">
        <v>144.43721929274599</v>
      </c>
      <c r="AI2593">
        <v>89.920218942999796</v>
      </c>
      <c r="AJ2593">
        <v>96.500508984731297</v>
      </c>
      <c r="AK2593">
        <v>145.371977566559</v>
      </c>
      <c r="AL2593">
        <v>79.355978522788504</v>
      </c>
      <c r="AM2593">
        <v>86.919413000423802</v>
      </c>
      <c r="AN2593">
        <v>0.99999997371522698</v>
      </c>
    </row>
    <row r="2594" spans="1:40" x14ac:dyDescent="0.25">
      <c r="A2594" t="str">
        <f>"20190303170308069"</f>
        <v>20190303170308069</v>
      </c>
      <c r="B2594" t="str">
        <f>"1551603788058525"</f>
        <v>1551603788058525</v>
      </c>
      <c r="C2594" t="s">
        <v>40</v>
      </c>
      <c r="D2594">
        <v>4.2361890000000004</v>
      </c>
      <c r="E2594">
        <v>0.44077159999999899</v>
      </c>
      <c r="F2594" t="s">
        <v>66</v>
      </c>
      <c r="G2594">
        <v>-512.82560000000001</v>
      </c>
      <c r="H2594">
        <v>1.2751859999999999</v>
      </c>
      <c r="I2594">
        <v>266.72710000000001</v>
      </c>
      <c r="J2594">
        <v>-368.77820000000003</v>
      </c>
      <c r="K2594">
        <v>1.1214120000000001</v>
      </c>
      <c r="L2594">
        <v>284.5274</v>
      </c>
      <c r="M2594">
        <v>-0.99984039999999996</v>
      </c>
      <c r="N2594">
        <v>-1.498534E-2</v>
      </c>
      <c r="O2594">
        <v>-9.7427650000000005E-3</v>
      </c>
      <c r="P2594">
        <v>-0.98450059999999995</v>
      </c>
      <c r="Q2594">
        <v>0.17005309999999901</v>
      </c>
      <c r="R2594">
        <v>4.2904820000000003E-2</v>
      </c>
      <c r="S2594">
        <v>-3.063202</v>
      </c>
      <c r="T2594">
        <v>3.2664539999999998E-3</v>
      </c>
      <c r="U2594">
        <v>-0.37799070000000001</v>
      </c>
      <c r="V2594">
        <v>5.2555570000000003E-2</v>
      </c>
      <c r="W2594">
        <v>0.1847627</v>
      </c>
      <c r="X2594">
        <v>0.9813769</v>
      </c>
      <c r="Y2594">
        <v>-0.11279409999999999</v>
      </c>
      <c r="Z2594">
        <v>-9.4428079999999998E-4</v>
      </c>
      <c r="AA2594">
        <v>0.993618</v>
      </c>
      <c r="AB2594">
        <v>39</v>
      </c>
      <c r="AC2594">
        <v>-144.04739999999899</v>
      </c>
      <c r="AD2594">
        <v>0.15377399999999999</v>
      </c>
      <c r="AE2594">
        <v>-17.800299999999901</v>
      </c>
      <c r="AF2594">
        <v>-16.395859217184299</v>
      </c>
      <c r="AG2594">
        <v>0.15377399999999999</v>
      </c>
      <c r="AH2594">
        <v>144.21384342209899</v>
      </c>
      <c r="AI2594">
        <v>89.939297073012995</v>
      </c>
      <c r="AJ2594">
        <v>96.4861811208972</v>
      </c>
      <c r="AK2594">
        <v>145.142965659678</v>
      </c>
      <c r="AL2594">
        <v>79.352702192101702</v>
      </c>
      <c r="AM2594">
        <v>86.934573594121204</v>
      </c>
      <c r="AN2594">
        <v>0.99999998155146197</v>
      </c>
    </row>
    <row r="2595" spans="1:40" x14ac:dyDescent="0.25">
      <c r="A2595" t="str">
        <f>"20190303170308083"</f>
        <v>20190303170308083</v>
      </c>
      <c r="B2595" t="str">
        <f>"1551603788078045"</f>
        <v>1551603788078045</v>
      </c>
      <c r="C2595" t="s">
        <v>40</v>
      </c>
      <c r="D2595">
        <v>4.2450269999999897</v>
      </c>
      <c r="E2595">
        <v>0.4408822</v>
      </c>
      <c r="F2595" t="s">
        <v>66</v>
      </c>
      <c r="G2595">
        <v>-512.82560000000001</v>
      </c>
      <c r="H2595">
        <v>1.2662530000000001</v>
      </c>
      <c r="I2595">
        <v>266.7491</v>
      </c>
      <c r="J2595">
        <v>-369.02510000000001</v>
      </c>
      <c r="K2595">
        <v>1.121413</v>
      </c>
      <c r="L2595">
        <v>284.52510000000001</v>
      </c>
      <c r="M2595">
        <v>-0.99984110000000004</v>
      </c>
      <c r="N2595">
        <v>-1.498236E-2</v>
      </c>
      <c r="O2595">
        <v>-9.6631949999999994E-3</v>
      </c>
      <c r="P2595">
        <v>-0.98451270000000002</v>
      </c>
      <c r="Q2595">
        <v>0.16995669999999999</v>
      </c>
      <c r="R2595">
        <v>4.3003880000000001E-2</v>
      </c>
      <c r="S2595">
        <v>-3.0631409999999999</v>
      </c>
      <c r="T2595">
        <v>3.0816789999999999E-3</v>
      </c>
      <c r="U2595">
        <v>-0.37805179999999999</v>
      </c>
      <c r="V2595">
        <v>5.2577220000000001E-2</v>
      </c>
      <c r="W2595">
        <v>0.18466389999999999</v>
      </c>
      <c r="X2595">
        <v>0.9813944</v>
      </c>
      <c r="Y2595">
        <v>-0.112895</v>
      </c>
      <c r="Z2595">
        <v>-9.4632790000000004E-4</v>
      </c>
      <c r="AA2595">
        <v>0.9936064</v>
      </c>
      <c r="AB2595">
        <v>39</v>
      </c>
      <c r="AC2595">
        <v>-143.8005</v>
      </c>
      <c r="AD2595">
        <v>0.14484</v>
      </c>
      <c r="AE2595">
        <v>-17.776</v>
      </c>
      <c r="AF2595">
        <v>-16.385425276527201</v>
      </c>
      <c r="AG2595">
        <v>0.14484</v>
      </c>
      <c r="AH2595">
        <v>143.965432856533</v>
      </c>
      <c r="AI2595">
        <v>89.942725943173798</v>
      </c>
      <c r="AJ2595">
        <v>96.493177934382203</v>
      </c>
      <c r="AK2595">
        <v>144.894958496447</v>
      </c>
      <c r="AL2595">
        <v>79.358462803979094</v>
      </c>
      <c r="AM2595">
        <v>86.933367797243093</v>
      </c>
      <c r="AN2595">
        <v>1.00000004418874</v>
      </c>
    </row>
    <row r="2596" spans="1:40" x14ac:dyDescent="0.25">
      <c r="A2596" t="str">
        <f>"20190303170308097"</f>
        <v>20190303170308097</v>
      </c>
      <c r="B2596" t="str">
        <f>"1551603788087804"</f>
        <v>1551603788087804</v>
      </c>
      <c r="C2596" t="s">
        <v>40</v>
      </c>
      <c r="D2596">
        <v>4.2560609999999999</v>
      </c>
      <c r="E2596">
        <v>0.44093700000000002</v>
      </c>
      <c r="F2596" t="s">
        <v>66</v>
      </c>
      <c r="G2596">
        <v>-512.82560000000001</v>
      </c>
      <c r="H2596">
        <v>1.1962930000000001</v>
      </c>
      <c r="I2596">
        <v>266.85300000000001</v>
      </c>
      <c r="J2596">
        <v>-369.24849999999998</v>
      </c>
      <c r="K2596">
        <v>1.121416</v>
      </c>
      <c r="L2596">
        <v>284.52300000000002</v>
      </c>
      <c r="M2596">
        <v>-0.99984189999999995</v>
      </c>
      <c r="N2596">
        <v>-1.4979599999999999E-2</v>
      </c>
      <c r="O2596">
        <v>-9.5909089999999999E-3</v>
      </c>
      <c r="P2596">
        <v>-0.98438159999999997</v>
      </c>
      <c r="Q2596">
        <v>0.17068720000000001</v>
      </c>
      <c r="R2596">
        <v>4.3114340000000001E-2</v>
      </c>
      <c r="S2596">
        <v>-3.0633539999999999</v>
      </c>
      <c r="T2596">
        <v>1.5968079999999999E-3</v>
      </c>
      <c r="U2596">
        <v>-0.37646479999999999</v>
      </c>
      <c r="V2596">
        <v>5.2616379999999997E-2</v>
      </c>
      <c r="W2596">
        <v>0.18538969999999999</v>
      </c>
      <c r="X2596">
        <v>0.9812554</v>
      </c>
      <c r="Y2596">
        <v>-0.11245090000000001</v>
      </c>
      <c r="Z2596">
        <v>-9.6437910000000005E-4</v>
      </c>
      <c r="AA2596">
        <v>0.99365680000000001</v>
      </c>
      <c r="AB2596">
        <v>38</v>
      </c>
      <c r="AC2596">
        <v>-143.5771</v>
      </c>
      <c r="AD2596">
        <v>7.4876999999999999E-2</v>
      </c>
      <c r="AE2596">
        <v>-17.669999999999899</v>
      </c>
      <c r="AF2596">
        <v>-16.291993457075101</v>
      </c>
      <c r="AG2596">
        <v>7.4876999999999999E-2</v>
      </c>
      <c r="AH2596">
        <v>143.739946710992</v>
      </c>
      <c r="AI2596">
        <v>89.970343378185802</v>
      </c>
      <c r="AJ2596">
        <v>96.466509110096396</v>
      </c>
      <c r="AK2596">
        <v>144.66031569801501</v>
      </c>
      <c r="AL2596">
        <v>79.316146316803994</v>
      </c>
      <c r="AM2596">
        <v>86.930654209269605</v>
      </c>
      <c r="AN2596">
        <v>0.99999999216977697</v>
      </c>
    </row>
    <row r="2597" spans="1:40" x14ac:dyDescent="0.25">
      <c r="A2597" t="str">
        <f>"20190303170308117"</f>
        <v>20190303170308117</v>
      </c>
      <c r="B2597" t="str">
        <f>"1551603788108300"</f>
        <v>1551603788108300</v>
      </c>
      <c r="C2597" t="s">
        <v>40</v>
      </c>
      <c r="D2597">
        <v>4.2917740000000002</v>
      </c>
      <c r="E2597">
        <v>0.44099549999999998</v>
      </c>
      <c r="F2597" t="s">
        <v>66</v>
      </c>
      <c r="G2597">
        <v>-512.82560000000001</v>
      </c>
      <c r="H2597">
        <v>1.289906</v>
      </c>
      <c r="I2597">
        <v>266.90750000000003</v>
      </c>
      <c r="J2597">
        <v>-369.5942</v>
      </c>
      <c r="K2597">
        <v>1.1214150000000001</v>
      </c>
      <c r="L2597">
        <v>284.5197</v>
      </c>
      <c r="M2597">
        <v>-0.99984309999999998</v>
      </c>
      <c r="N2597">
        <v>-1.4975499999999999E-2</v>
      </c>
      <c r="O2597">
        <v>-9.4789149999999992E-3</v>
      </c>
      <c r="P2597">
        <v>-0.98427100000000001</v>
      </c>
      <c r="Q2597">
        <v>0.17110320000000001</v>
      </c>
      <c r="R2597">
        <v>4.3984349999999998E-2</v>
      </c>
      <c r="S2597">
        <v>-3.0634459999999999</v>
      </c>
      <c r="T2597">
        <v>3.5966629999999999E-3</v>
      </c>
      <c r="U2597">
        <v>-0.37585449999999998</v>
      </c>
      <c r="V2597">
        <v>5.3376010000000002E-2</v>
      </c>
      <c r="W2597">
        <v>0.1857992</v>
      </c>
      <c r="X2597">
        <v>0.98113689999999998</v>
      </c>
      <c r="Y2597">
        <v>-0.1123642</v>
      </c>
      <c r="Z2597">
        <v>-9.3136330000000004E-4</v>
      </c>
      <c r="AA2597">
        <v>0.99366659999999996</v>
      </c>
      <c r="AB2597">
        <v>38</v>
      </c>
      <c r="AC2597">
        <v>-143.23140000000001</v>
      </c>
      <c r="AD2597">
        <v>0.168490999999999</v>
      </c>
      <c r="AE2597">
        <v>-17.612199999999898</v>
      </c>
      <c r="AF2597">
        <v>-16.253556120677999</v>
      </c>
      <c r="AG2597">
        <v>0.168490999999999</v>
      </c>
      <c r="AH2597">
        <v>143.39173152561401</v>
      </c>
      <c r="AI2597">
        <v>89.933103589738195</v>
      </c>
      <c r="AJ2597">
        <v>96.466915689974897</v>
      </c>
      <c r="AK2597">
        <v>144.31006598882499</v>
      </c>
      <c r="AL2597">
        <v>79.292268713726202</v>
      </c>
      <c r="AM2597">
        <v>86.886052893750403</v>
      </c>
      <c r="AN2597">
        <v>0.99999997885288405</v>
      </c>
    </row>
    <row r="2598" spans="1:40" x14ac:dyDescent="0.25">
      <c r="A2598" t="str">
        <f>"20190303170308139"</f>
        <v>20190303170308139</v>
      </c>
      <c r="B2598" t="str">
        <f>"1551603788127819"</f>
        <v>1551603788127819</v>
      </c>
      <c r="C2598" t="s">
        <v>40</v>
      </c>
      <c r="D2598">
        <v>4.2300719999999998</v>
      </c>
      <c r="E2598">
        <v>0.44103320000000001</v>
      </c>
      <c r="F2598" t="s">
        <v>66</v>
      </c>
      <c r="G2598">
        <v>-512.82560000000001</v>
      </c>
      <c r="H2598">
        <v>1.363057</v>
      </c>
      <c r="I2598">
        <v>267.05560000000003</v>
      </c>
      <c r="J2598">
        <v>-369.97039999999998</v>
      </c>
      <c r="K2598">
        <v>1.1214139999999999</v>
      </c>
      <c r="L2598">
        <v>284.5163</v>
      </c>
      <c r="M2598">
        <v>-0.99984419999999996</v>
      </c>
      <c r="N2598">
        <v>-1.497131E-2</v>
      </c>
      <c r="O2598">
        <v>-9.3576230000000007E-3</v>
      </c>
      <c r="P2598">
        <v>-0.98431959999999996</v>
      </c>
      <c r="Q2598">
        <v>0.17059559999999999</v>
      </c>
      <c r="R2598">
        <v>4.4858299999999997E-2</v>
      </c>
      <c r="S2598">
        <v>-3.0637819999999998</v>
      </c>
      <c r="T2598">
        <v>5.170465E-3</v>
      </c>
      <c r="U2598">
        <v>-0.3735657</v>
      </c>
      <c r="V2598">
        <v>5.4131739999999998E-2</v>
      </c>
      <c r="W2598">
        <v>0.1852876</v>
      </c>
      <c r="X2598">
        <v>0.98119230000000002</v>
      </c>
      <c r="Y2598">
        <v>-0.1117406</v>
      </c>
      <c r="Z2598">
        <v>-9.0097929999999999E-4</v>
      </c>
      <c r="AA2598">
        <v>0.99373699999999998</v>
      </c>
      <c r="AB2598">
        <v>38</v>
      </c>
      <c r="AC2598">
        <v>-142.8552</v>
      </c>
      <c r="AD2598">
        <v>0.241643</v>
      </c>
      <c r="AE2598">
        <v>-17.4606999999999</v>
      </c>
      <c r="AF2598">
        <v>-16.122955027720799</v>
      </c>
      <c r="AG2598">
        <v>0.241643</v>
      </c>
      <c r="AH2598">
        <v>143.01194967735699</v>
      </c>
      <c r="AI2598">
        <v>89.9037985601244</v>
      </c>
      <c r="AJ2598">
        <v>96.432281554518696</v>
      </c>
      <c r="AK2598">
        <v>143.91812193286901</v>
      </c>
      <c r="AL2598">
        <v>79.322099814417001</v>
      </c>
      <c r="AM2598">
        <v>86.842230295711005</v>
      </c>
      <c r="AN2598">
        <v>1.0000000347842299</v>
      </c>
    </row>
    <row r="2599" spans="1:40" x14ac:dyDescent="0.25">
      <c r="A2599" t="str">
        <f>"20190303170308151"</f>
        <v>20190303170308151</v>
      </c>
      <c r="B2599" t="str">
        <f>"1551603788138556"</f>
        <v>1551603788138556</v>
      </c>
      <c r="C2599" t="s">
        <v>40</v>
      </c>
      <c r="D2599">
        <v>4.2565989999999996</v>
      </c>
      <c r="E2599">
        <v>0.44101610000000002</v>
      </c>
      <c r="F2599" t="s">
        <v>66</v>
      </c>
      <c r="G2599">
        <v>-512.82560000000001</v>
      </c>
      <c r="H2599">
        <v>1.235166</v>
      </c>
      <c r="I2599">
        <v>267.27140000000003</v>
      </c>
      <c r="J2599">
        <v>-370.17660000000001</v>
      </c>
      <c r="K2599">
        <v>1.121413</v>
      </c>
      <c r="L2599">
        <v>284.51440000000002</v>
      </c>
      <c r="M2599">
        <v>-0.99984490000000004</v>
      </c>
      <c r="N2599">
        <v>-1.4969079999999999E-2</v>
      </c>
      <c r="O2599">
        <v>-9.2908399999999999E-3</v>
      </c>
      <c r="P2599">
        <v>-0.98437799999999998</v>
      </c>
      <c r="Q2599">
        <v>0.17016909999999999</v>
      </c>
      <c r="R2599">
        <v>4.519397E-2</v>
      </c>
      <c r="S2599">
        <v>-3.0642399999999999</v>
      </c>
      <c r="T2599">
        <v>2.4416450000000001E-3</v>
      </c>
      <c r="U2599">
        <v>-0.3699036</v>
      </c>
      <c r="V2599">
        <v>5.4402279999999997E-2</v>
      </c>
      <c r="W2599">
        <v>0.18485969999999999</v>
      </c>
      <c r="X2599">
        <v>0.98125799999999996</v>
      </c>
      <c r="Y2599">
        <v>-0.1106178</v>
      </c>
      <c r="Z2599">
        <v>-9.3302670000000002E-4</v>
      </c>
      <c r="AA2599">
        <v>0.99386260000000004</v>
      </c>
      <c r="AB2599">
        <v>38</v>
      </c>
      <c r="AC2599">
        <v>-142.649</v>
      </c>
      <c r="AD2599">
        <v>0.11375300000000001</v>
      </c>
      <c r="AE2599">
        <v>-17.242999999999899</v>
      </c>
      <c r="AF2599">
        <v>-15.9167682345815</v>
      </c>
      <c r="AG2599">
        <v>0.11375300000000001</v>
      </c>
      <c r="AH2599">
        <v>142.80297216620099</v>
      </c>
      <c r="AI2599">
        <v>89.954640621139106</v>
      </c>
      <c r="AJ2599">
        <v>96.3599168427601</v>
      </c>
      <c r="AK2599">
        <v>143.68731784774599</v>
      </c>
      <c r="AL2599">
        <v>79.347047174156003</v>
      </c>
      <c r="AM2599">
        <v>86.826692598038093</v>
      </c>
      <c r="AN2599">
        <v>0.99999998965864401</v>
      </c>
    </row>
    <row r="2600" spans="1:40" x14ac:dyDescent="0.25">
      <c r="A2600" t="str">
        <f>"20190303170308162"</f>
        <v>20190303170308162</v>
      </c>
      <c r="B2600" t="str">
        <f>"1551603788158077"</f>
        <v>1551603788158077</v>
      </c>
      <c r="C2600" t="s">
        <v>40</v>
      </c>
      <c r="D2600">
        <v>4.2647909999999998</v>
      </c>
      <c r="E2600">
        <v>0.44101370000000001</v>
      </c>
      <c r="F2600" t="s">
        <v>66</v>
      </c>
      <c r="G2600">
        <v>-512.82560000000001</v>
      </c>
      <c r="H2600">
        <v>1.161851</v>
      </c>
      <c r="I2600">
        <v>267.33339999999998</v>
      </c>
      <c r="J2600">
        <v>-370.37009999999998</v>
      </c>
      <c r="K2600">
        <v>1.12141</v>
      </c>
      <c r="L2600">
        <v>284.5127</v>
      </c>
      <c r="M2600">
        <v>-0.9998456</v>
      </c>
      <c r="N2600">
        <v>-1.4966999999999999E-2</v>
      </c>
      <c r="O2600">
        <v>-9.2281150000000003E-3</v>
      </c>
      <c r="P2600">
        <v>-0.98441990000000001</v>
      </c>
      <c r="Q2600">
        <v>0.1698655</v>
      </c>
      <c r="R2600">
        <v>4.5427240000000001E-2</v>
      </c>
      <c r="S2600">
        <v>-3.064362</v>
      </c>
      <c r="T2600">
        <v>8.7034699999999896E-4</v>
      </c>
      <c r="U2600">
        <v>-0.36907960000000001</v>
      </c>
      <c r="V2600">
        <v>5.4574499999999998E-2</v>
      </c>
      <c r="W2600">
        <v>0.18455460000000001</v>
      </c>
      <c r="X2600">
        <v>0.98130589999999995</v>
      </c>
      <c r="Y2600">
        <v>-0.1104116</v>
      </c>
      <c r="Z2600">
        <v>-9.5392169999999996E-4</v>
      </c>
      <c r="AA2600">
        <v>0.99388549999999998</v>
      </c>
      <c r="AB2600">
        <v>38</v>
      </c>
      <c r="AC2600">
        <v>-142.4555</v>
      </c>
      <c r="AD2600">
        <v>4.0440999999999901E-2</v>
      </c>
      <c r="AE2600">
        <v>-17.179300000000001</v>
      </c>
      <c r="AF2600">
        <v>-15.863824337621899</v>
      </c>
      <c r="AG2600">
        <v>4.0440999999999901E-2</v>
      </c>
      <c r="AH2600">
        <v>142.60797185002099</v>
      </c>
      <c r="AI2600">
        <v>89.983851577574299</v>
      </c>
      <c r="AJ2600">
        <v>96.347531436731899</v>
      </c>
      <c r="AK2600">
        <v>143.487616863846</v>
      </c>
      <c r="AL2600">
        <v>79.364834524460605</v>
      </c>
      <c r="AM2600">
        <v>86.816822629250595</v>
      </c>
      <c r="AN2600">
        <v>1.0000000229031001</v>
      </c>
    </row>
    <row r="2601" spans="1:40" x14ac:dyDescent="0.25">
      <c r="A2601" t="str">
        <f>"20190303170308173"</f>
        <v>20190303170308173</v>
      </c>
      <c r="B2601" t="str">
        <f>"1551603788167838"</f>
        <v>1551603788167838</v>
      </c>
      <c r="C2601" t="s">
        <v>40</v>
      </c>
      <c r="D2601">
        <v>4.2947600000000001</v>
      </c>
      <c r="E2601">
        <v>0.44100060000000002</v>
      </c>
      <c r="F2601" t="s">
        <v>66</v>
      </c>
      <c r="G2601">
        <v>-512.82550000000003</v>
      </c>
      <c r="H2601">
        <v>1.1060939999999999</v>
      </c>
      <c r="I2601">
        <v>267.38440000000003</v>
      </c>
      <c r="J2601">
        <v>-370.56639999999999</v>
      </c>
      <c r="K2601">
        <v>1.121407</v>
      </c>
      <c r="L2601">
        <v>284.51100000000002</v>
      </c>
      <c r="M2601">
        <v>-0.99984620000000002</v>
      </c>
      <c r="N2601">
        <v>-1.496489E-2</v>
      </c>
      <c r="O2601">
        <v>-9.1644369999999992E-3</v>
      </c>
      <c r="P2601">
        <v>-0.98440130000000003</v>
      </c>
      <c r="Q2601">
        <v>0.16990729999999901</v>
      </c>
      <c r="R2601">
        <v>4.5669460000000002E-2</v>
      </c>
      <c r="S2601">
        <v>-3.0645449999999999</v>
      </c>
      <c r="T2601">
        <v>-3.2782550000000002E-4</v>
      </c>
      <c r="U2601">
        <v>-0.3684692</v>
      </c>
      <c r="V2601">
        <v>5.4753969999999999E-2</v>
      </c>
      <c r="W2601">
        <v>0.18459400000000001</v>
      </c>
      <c r="X2601">
        <v>0.98128850000000001</v>
      </c>
      <c r="Y2601">
        <v>-0.1102723</v>
      </c>
      <c r="Z2601">
        <v>-9.6969519999999998E-4</v>
      </c>
      <c r="AA2601">
        <v>0.99390100000000003</v>
      </c>
      <c r="AB2601">
        <v>38</v>
      </c>
      <c r="AC2601">
        <v>-142.25909999999999</v>
      </c>
      <c r="AD2601">
        <v>-1.53129999999999E-2</v>
      </c>
      <c r="AE2601">
        <v>-17.1265999999999</v>
      </c>
      <c r="AF2601">
        <v>-15.8220101046804</v>
      </c>
      <c r="AG2601">
        <v>-1.53129999999999E-2</v>
      </c>
      <c r="AH2601">
        <v>142.41009615768601</v>
      </c>
      <c r="AI2601">
        <v>90.006123196029904</v>
      </c>
      <c r="AJ2601">
        <v>96.339661617695498</v>
      </c>
      <c r="AK2601">
        <v>143.28632777024399</v>
      </c>
      <c r="AL2601">
        <v>79.362537695191705</v>
      </c>
      <c r="AM2601">
        <v>86.806319769428299</v>
      </c>
      <c r="AN2601">
        <v>1.0000000311495001</v>
      </c>
    </row>
    <row r="2602" spans="1:40" x14ac:dyDescent="0.25">
      <c r="A2602" t="str">
        <f>"20190303170308186"</f>
        <v>20190303170308186</v>
      </c>
      <c r="B2602" t="str">
        <f>"1551603788178573"</f>
        <v>1551603788178573</v>
      </c>
      <c r="C2602" t="s">
        <v>40</v>
      </c>
      <c r="D2602">
        <v>4.3061489999999996</v>
      </c>
      <c r="E2602">
        <v>0.4409766</v>
      </c>
      <c r="F2602" t="s">
        <v>66</v>
      </c>
      <c r="G2602">
        <v>-512.82550000000003</v>
      </c>
      <c r="H2602">
        <v>1.108203</v>
      </c>
      <c r="I2602">
        <v>267.43520000000001</v>
      </c>
      <c r="J2602">
        <v>-370.77359999999999</v>
      </c>
      <c r="K2602">
        <v>1.1214059999999999</v>
      </c>
      <c r="L2602">
        <v>284.50909999999999</v>
      </c>
      <c r="M2602">
        <v>-0.99984660000000003</v>
      </c>
      <c r="N2602">
        <v>-1.4962649999999999E-2</v>
      </c>
      <c r="O2602">
        <v>-9.0974220000000008E-3</v>
      </c>
      <c r="P2602">
        <v>-0.98442019999999997</v>
      </c>
      <c r="Q2602">
        <v>0.16960140000000001</v>
      </c>
      <c r="R2602">
        <v>4.6389340000000001E-2</v>
      </c>
      <c r="S2602">
        <v>-3.064667</v>
      </c>
      <c r="T2602">
        <v>-2.8276439999999999E-4</v>
      </c>
      <c r="U2602">
        <v>-0.36785889999999999</v>
      </c>
      <c r="V2602">
        <v>5.540805E-2</v>
      </c>
      <c r="W2602">
        <v>0.18428610000000001</v>
      </c>
      <c r="X2602">
        <v>0.98130969999999995</v>
      </c>
      <c r="Y2602">
        <v>-0.1101391</v>
      </c>
      <c r="Z2602">
        <v>-9.6686910000000001E-4</v>
      </c>
      <c r="AA2602">
        <v>0.99391569999999996</v>
      </c>
      <c r="AB2602">
        <v>38</v>
      </c>
      <c r="AC2602">
        <v>-142.05189999999999</v>
      </c>
      <c r="AD2602">
        <v>-1.32029999999998E-2</v>
      </c>
      <c r="AE2602">
        <v>-17.073899999999899</v>
      </c>
      <c r="AF2602">
        <v>-15.7807422968898</v>
      </c>
      <c r="AG2602">
        <v>-1.32029999999998E-2</v>
      </c>
      <c r="AH2602">
        <v>142.201364897601</v>
      </c>
      <c r="AI2602">
        <v>90.005287295399498</v>
      </c>
      <c r="AJ2602">
        <v>96.332466581749898</v>
      </c>
      <c r="AK2602">
        <v>143.074316984219</v>
      </c>
      <c r="AL2602">
        <v>79.380487457268202</v>
      </c>
      <c r="AM2602">
        <v>86.768318763681407</v>
      </c>
      <c r="AN2602">
        <v>1.0000000729860401</v>
      </c>
    </row>
    <row r="2603" spans="1:40" x14ac:dyDescent="0.25">
      <c r="A2603" t="str">
        <f>"20190303170308198"</f>
        <v>20190303170308198</v>
      </c>
      <c r="B2603" t="str">
        <f>"1551603788188333"</f>
        <v>1551603788188333</v>
      </c>
      <c r="C2603" t="s">
        <v>40</v>
      </c>
      <c r="D2603">
        <v>4.3029510000000002</v>
      </c>
      <c r="E2603">
        <v>0.44095770000000001</v>
      </c>
      <c r="F2603" t="s">
        <v>66</v>
      </c>
      <c r="G2603">
        <v>-512.82550000000003</v>
      </c>
      <c r="H2603">
        <v>1.0705260000000001</v>
      </c>
      <c r="I2603">
        <v>267.54199999999997</v>
      </c>
      <c r="J2603">
        <v>-370.98149999999998</v>
      </c>
      <c r="K2603">
        <v>1.1214090000000001</v>
      </c>
      <c r="L2603">
        <v>284.50729999999999</v>
      </c>
      <c r="M2603">
        <v>-0.99984729999999999</v>
      </c>
      <c r="N2603">
        <v>-1.496039E-2</v>
      </c>
      <c r="O2603">
        <v>-9.0301700000000006E-3</v>
      </c>
      <c r="P2603">
        <v>-0.98444799999999999</v>
      </c>
      <c r="Q2603">
        <v>0.16931109999999999</v>
      </c>
      <c r="R2603">
        <v>4.6859619999999998E-2</v>
      </c>
      <c r="S2603">
        <v>-3.064972</v>
      </c>
      <c r="T2603">
        <v>-1.0961289999999999E-3</v>
      </c>
      <c r="U2603">
        <v>-0.36608889999999999</v>
      </c>
      <c r="V2603">
        <v>5.5812580000000001E-2</v>
      </c>
      <c r="W2603">
        <v>0.1839932</v>
      </c>
      <c r="X2603">
        <v>0.98134169999999998</v>
      </c>
      <c r="Y2603">
        <v>-0.10962810000000001</v>
      </c>
      <c r="Z2603">
        <v>-9.7395149999999998E-4</v>
      </c>
      <c r="AA2603">
        <v>0.99397219999999997</v>
      </c>
      <c r="AB2603">
        <v>38</v>
      </c>
      <c r="AC2603">
        <v>-141.84399999999999</v>
      </c>
      <c r="AD2603">
        <v>-5.0882999999999998E-2</v>
      </c>
      <c r="AE2603">
        <v>-16.9652999999999</v>
      </c>
      <c r="AF2603">
        <v>-15.6835873238528</v>
      </c>
      <c r="AG2603">
        <v>-5.0882999999999998E-2</v>
      </c>
      <c r="AH2603">
        <v>141.99141400305399</v>
      </c>
      <c r="AI2603">
        <v>90.020407980531004</v>
      </c>
      <c r="AJ2603">
        <v>96.303025499351506</v>
      </c>
      <c r="AK2603">
        <v>142.85495844041</v>
      </c>
      <c r="AL2603">
        <v>79.397560965392003</v>
      </c>
      <c r="AM2603">
        <v>86.744880978706604</v>
      </c>
      <c r="AN2603">
        <v>1.0000000369456901</v>
      </c>
    </row>
    <row r="2604" spans="1:40" x14ac:dyDescent="0.25">
      <c r="A2604" t="str">
        <f>"20190303170308217"</f>
        <v>20190303170308217</v>
      </c>
      <c r="B2604" t="str">
        <f>"1551603788207853"</f>
        <v>1551603788207853</v>
      </c>
      <c r="C2604" t="s">
        <v>40</v>
      </c>
      <c r="D2604">
        <v>4.2717910000000003</v>
      </c>
      <c r="E2604">
        <v>0.44093320000000003</v>
      </c>
      <c r="F2604" t="s">
        <v>66</v>
      </c>
      <c r="G2604">
        <v>-512.82550000000003</v>
      </c>
      <c r="H2604">
        <v>1.0282089999999999</v>
      </c>
      <c r="I2604">
        <v>267.60789999999997</v>
      </c>
      <c r="J2604">
        <v>-371.31290000000001</v>
      </c>
      <c r="K2604">
        <v>1.12141</v>
      </c>
      <c r="L2604">
        <v>284.50439999999998</v>
      </c>
      <c r="M2604">
        <v>-0.99984850000000003</v>
      </c>
      <c r="N2604">
        <v>-1.4956779999999999E-2</v>
      </c>
      <c r="O2604">
        <v>-8.9223819999999995E-3</v>
      </c>
      <c r="P2604">
        <v>-0.98434069999999996</v>
      </c>
      <c r="Q2604">
        <v>0.16969419999999999</v>
      </c>
      <c r="R2604">
        <v>4.7727060000000002E-2</v>
      </c>
      <c r="S2604">
        <v>-3.0650629999999999</v>
      </c>
      <c r="T2604">
        <v>-2.0122529999999999E-3</v>
      </c>
      <c r="U2604">
        <v>-0.36517329999999998</v>
      </c>
      <c r="V2604">
        <v>5.6573320000000003E-2</v>
      </c>
      <c r="W2604">
        <v>0.1843709</v>
      </c>
      <c r="X2604">
        <v>0.98122719999999997</v>
      </c>
      <c r="Y2604">
        <v>-0.1094388</v>
      </c>
      <c r="Z2604">
        <v>-9.8432569999999989E-4</v>
      </c>
      <c r="AA2604">
        <v>0.99399300000000002</v>
      </c>
      <c r="AB2604">
        <v>38</v>
      </c>
      <c r="AC2604">
        <v>-141.51259999999999</v>
      </c>
      <c r="AD2604">
        <v>-9.3201000000000006E-2</v>
      </c>
      <c r="AE2604">
        <v>-16.8965</v>
      </c>
      <c r="AF2604">
        <v>-15.6330500805068</v>
      </c>
      <c r="AG2604">
        <v>-9.3201000000000006E-2</v>
      </c>
      <c r="AH2604">
        <v>141.657679083587</v>
      </c>
      <c r="AI2604">
        <v>90.037469197009798</v>
      </c>
      <c r="AJ2604">
        <v>96.297561138782498</v>
      </c>
      <c r="AK2604">
        <v>142.51771463433801</v>
      </c>
      <c r="AL2604">
        <v>79.375543216477197</v>
      </c>
      <c r="AM2604">
        <v>86.700226064714599</v>
      </c>
      <c r="AN2604">
        <v>0.99999999366123604</v>
      </c>
    </row>
    <row r="2605" spans="1:40" x14ac:dyDescent="0.25">
      <c r="A2605" t="str">
        <f>"20190303170308229"</f>
        <v>20190303170308229</v>
      </c>
      <c r="B2605" t="str">
        <f>"1551603788218589"</f>
        <v>1551603788218589</v>
      </c>
      <c r="C2605" t="s">
        <v>40</v>
      </c>
      <c r="D2605">
        <v>4.3145959999999999</v>
      </c>
      <c r="E2605">
        <v>0.44089679999999998</v>
      </c>
      <c r="F2605" t="s">
        <v>66</v>
      </c>
      <c r="G2605">
        <v>-512.82550000000003</v>
      </c>
      <c r="H2605">
        <v>1.062389</v>
      </c>
      <c r="I2605">
        <v>267.76249999999999</v>
      </c>
      <c r="J2605">
        <v>-371.52120000000002</v>
      </c>
      <c r="K2605">
        <v>1.1214090000000001</v>
      </c>
      <c r="L2605">
        <v>284.50259999999997</v>
      </c>
      <c r="M2605">
        <v>-0.99984910000000005</v>
      </c>
      <c r="N2605">
        <v>-1.495439E-2</v>
      </c>
      <c r="O2605">
        <v>-8.8546549999999995E-3</v>
      </c>
      <c r="P2605">
        <v>-0.98428910000000003</v>
      </c>
      <c r="Q2605">
        <v>0.16993469999999999</v>
      </c>
      <c r="R2605">
        <v>4.7932259999999997E-2</v>
      </c>
      <c r="S2605">
        <v>-3.0655209999999999</v>
      </c>
      <c r="T2605">
        <v>-1.2768510000000001E-3</v>
      </c>
      <c r="U2605">
        <v>-0.36267090000000002</v>
      </c>
      <c r="V2605">
        <v>5.6711289999999998E-2</v>
      </c>
      <c r="W2605">
        <v>0.18460850000000001</v>
      </c>
      <c r="X2605">
        <v>0.98117460000000001</v>
      </c>
      <c r="Y2605">
        <v>-0.1086887</v>
      </c>
      <c r="Z2605">
        <v>-9.6642199999999998E-4</v>
      </c>
      <c r="AA2605">
        <v>0.99407540000000005</v>
      </c>
      <c r="AB2605">
        <v>38</v>
      </c>
      <c r="AC2605">
        <v>-141.30430000000001</v>
      </c>
      <c r="AD2605">
        <v>-5.9020000000000003E-2</v>
      </c>
      <c r="AE2605">
        <v>-16.740099999999899</v>
      </c>
      <c r="AF2605">
        <v>-15.488100331099201</v>
      </c>
      <c r="AG2605">
        <v>-5.9020000000000003E-2</v>
      </c>
      <c r="AH2605">
        <v>141.446979210992</v>
      </c>
      <c r="AI2605">
        <v>90.023765124061896</v>
      </c>
      <c r="AJ2605">
        <v>96.2488539093914</v>
      </c>
      <c r="AK2605">
        <v>142.29241955614199</v>
      </c>
      <c r="AL2605">
        <v>79.361692389528301</v>
      </c>
      <c r="AM2605">
        <v>86.692019547923707</v>
      </c>
      <c r="AN2605">
        <v>1.0000000321854301</v>
      </c>
    </row>
    <row r="2606" spans="1:40" x14ac:dyDescent="0.25">
      <c r="A2606" t="str">
        <f>"20190303170308242"</f>
        <v>20190303170308242</v>
      </c>
      <c r="B2606" t="str">
        <f>"1551603788238108"</f>
        <v>1551603788238108</v>
      </c>
      <c r="C2606" t="s">
        <v>40</v>
      </c>
      <c r="D2606">
        <v>4.3085610000000001</v>
      </c>
      <c r="E2606">
        <v>0.44082549999999998</v>
      </c>
      <c r="F2606" t="s">
        <v>66</v>
      </c>
      <c r="G2606">
        <v>-512.82550000000003</v>
      </c>
      <c r="H2606">
        <v>1.0658749999999999</v>
      </c>
      <c r="I2606">
        <v>267.82170000000002</v>
      </c>
      <c r="J2606">
        <v>-371.72770000000003</v>
      </c>
      <c r="K2606">
        <v>1.121408</v>
      </c>
      <c r="L2606">
        <v>284.5009</v>
      </c>
      <c r="M2606">
        <v>-0.99984980000000001</v>
      </c>
      <c r="N2606">
        <v>-1.495204E-2</v>
      </c>
      <c r="O2606">
        <v>-8.7875249999999992E-3</v>
      </c>
      <c r="P2606">
        <v>-0.98421539999999996</v>
      </c>
      <c r="Q2606">
        <v>0.17029129999999901</v>
      </c>
      <c r="R2606">
        <v>4.8179920000000001E-2</v>
      </c>
      <c r="S2606">
        <v>-3.0657350000000001</v>
      </c>
      <c r="T2606">
        <v>-1.203179E-3</v>
      </c>
      <c r="U2606">
        <v>-0.36190800000000001</v>
      </c>
      <c r="V2606">
        <v>5.6892619999999998E-2</v>
      </c>
      <c r="W2606">
        <v>0.1849614</v>
      </c>
      <c r="X2606">
        <v>0.98109760000000001</v>
      </c>
      <c r="Y2606">
        <v>-0.1085034</v>
      </c>
      <c r="Z2606">
        <v>-9.6277120000000003E-4</v>
      </c>
      <c r="AA2606">
        <v>0.99409559999999997</v>
      </c>
      <c r="AB2606">
        <v>38</v>
      </c>
      <c r="AC2606">
        <v>-141.09780000000001</v>
      </c>
      <c r="AD2606">
        <v>-5.5532999999999999E-2</v>
      </c>
      <c r="AE2606">
        <v>-16.679199999999899</v>
      </c>
      <c r="AF2606">
        <v>-15.438514682174601</v>
      </c>
      <c r="AG2606">
        <v>-5.5532999999999999E-2</v>
      </c>
      <c r="AH2606">
        <v>141.23891451742799</v>
      </c>
      <c r="AI2606">
        <v>90.022394441435694</v>
      </c>
      <c r="AJ2606">
        <v>96.238109423794299</v>
      </c>
      <c r="AK2606">
        <v>142.08019493781401</v>
      </c>
      <c r="AL2606">
        <v>79.341118005776394</v>
      </c>
      <c r="AM2606">
        <v>86.681206267451302</v>
      </c>
      <c r="AN2606">
        <v>0.99999999521309202</v>
      </c>
    </row>
    <row r="2607" spans="1:40" x14ac:dyDescent="0.25">
      <c r="A2607" t="str">
        <f>"20190303170308252"</f>
        <v>20190303170308252</v>
      </c>
      <c r="B2607" t="str">
        <f>"1551603788247869"</f>
        <v>1551603788247869</v>
      </c>
      <c r="C2607" t="s">
        <v>40</v>
      </c>
      <c r="D2607">
        <v>4.2751669999999997</v>
      </c>
      <c r="E2607">
        <v>0.44076979999999999</v>
      </c>
      <c r="F2607" t="s">
        <v>66</v>
      </c>
      <c r="G2607">
        <v>-512.82550000000003</v>
      </c>
      <c r="H2607">
        <v>1.0937790000000001</v>
      </c>
      <c r="I2607">
        <v>267.86500000000001</v>
      </c>
      <c r="J2607">
        <v>-371.92320000000001</v>
      </c>
      <c r="K2607">
        <v>1.1214090000000001</v>
      </c>
      <c r="L2607">
        <v>284.49919999999997</v>
      </c>
      <c r="M2607">
        <v>-0.99985029999999997</v>
      </c>
      <c r="N2607">
        <v>-1.4949809999999999E-2</v>
      </c>
      <c r="O2607">
        <v>-8.7238530000000002E-3</v>
      </c>
      <c r="P2607">
        <v>-0.98423559999999999</v>
      </c>
      <c r="Q2607">
        <v>0.17009850000000001</v>
      </c>
      <c r="R2607">
        <v>4.8446860000000001E-2</v>
      </c>
      <c r="S2607">
        <v>-3.0659179999999999</v>
      </c>
      <c r="T2607">
        <v>-5.9866909999999995E-4</v>
      </c>
      <c r="U2607">
        <v>-0.36148069999999999</v>
      </c>
      <c r="V2607">
        <v>5.709695E-2</v>
      </c>
      <c r="W2607">
        <v>0.1847665</v>
      </c>
      <c r="X2607">
        <v>0.98112239999999995</v>
      </c>
      <c r="Y2607">
        <v>-0.1084234</v>
      </c>
      <c r="Z2607">
        <v>-9.5214460000000002E-4</v>
      </c>
      <c r="AA2607">
        <v>0.99410430000000005</v>
      </c>
      <c r="AB2607">
        <v>38</v>
      </c>
      <c r="AC2607">
        <v>-140.9023</v>
      </c>
      <c r="AD2607">
        <v>-2.7629999999999998E-2</v>
      </c>
      <c r="AE2607">
        <v>-16.6341999999999</v>
      </c>
      <c r="AF2607">
        <v>-15.4042180846983</v>
      </c>
      <c r="AG2607">
        <v>-2.7629999999999998E-2</v>
      </c>
      <c r="AH2607">
        <v>141.042062142097</v>
      </c>
      <c r="AI2607">
        <v>90.011157835941106</v>
      </c>
      <c r="AJ2607">
        <v>96.232979390908994</v>
      </c>
      <c r="AK2607">
        <v>141.880773861412</v>
      </c>
      <c r="AL2607">
        <v>79.352480233231603</v>
      </c>
      <c r="AM2607">
        <v>86.669397598186194</v>
      </c>
      <c r="AN2607">
        <v>0.99999994250165403</v>
      </c>
    </row>
    <row r="2608" spans="1:40" x14ac:dyDescent="0.25">
      <c r="A2608" t="str">
        <f>"20190303170308264"</f>
        <v>20190303170308264</v>
      </c>
      <c r="B2608" t="str">
        <f>"1551603788258605"</f>
        <v>1551603788258605</v>
      </c>
      <c r="C2608" t="s">
        <v>40</v>
      </c>
      <c r="D2608">
        <v>4.3097659999999998</v>
      </c>
      <c r="E2608">
        <v>0.4407375</v>
      </c>
      <c r="F2608" t="s">
        <v>66</v>
      </c>
      <c r="G2608">
        <v>-512.82550000000003</v>
      </c>
      <c r="H2608">
        <v>1.0580889999999901</v>
      </c>
      <c r="I2608">
        <v>267.90559999999999</v>
      </c>
      <c r="J2608">
        <v>-372.11329999999998</v>
      </c>
      <c r="K2608">
        <v>1.12141</v>
      </c>
      <c r="L2608">
        <v>284.4975</v>
      </c>
      <c r="M2608">
        <v>-0.99985089999999999</v>
      </c>
      <c r="N2608">
        <v>-1.494767E-2</v>
      </c>
      <c r="O2608">
        <v>-8.6620900000000008E-3</v>
      </c>
      <c r="P2608">
        <v>-0.98426049999999998</v>
      </c>
      <c r="Q2608">
        <v>0.17001869999999999</v>
      </c>
      <c r="R2608">
        <v>4.8220119999999998E-2</v>
      </c>
      <c r="S2608">
        <v>-3.0661010000000002</v>
      </c>
      <c r="T2608">
        <v>-1.3761520000000001E-3</v>
      </c>
      <c r="U2608">
        <v>-0.36108400000000002</v>
      </c>
      <c r="V2608">
        <v>5.6809560000000002E-2</v>
      </c>
      <c r="W2608">
        <v>0.1846854</v>
      </c>
      <c r="X2608">
        <v>0.98115439999999998</v>
      </c>
      <c r="Y2608">
        <v>-0.10835069999999999</v>
      </c>
      <c r="Z2608">
        <v>-9.6204600000000004E-4</v>
      </c>
      <c r="AA2608">
        <v>0.99411229999999995</v>
      </c>
      <c r="AB2608">
        <v>38</v>
      </c>
      <c r="AC2608">
        <v>-140.7122</v>
      </c>
      <c r="AD2608">
        <v>-6.3321000000000099E-2</v>
      </c>
      <c r="AE2608">
        <v>-16.591899999999999</v>
      </c>
      <c r="AF2608">
        <v>-15.372276563749701</v>
      </c>
      <c r="AG2608">
        <v>-6.3321000000000099E-2</v>
      </c>
      <c r="AH2608">
        <v>140.85062821514799</v>
      </c>
      <c r="AI2608">
        <v>90.025605918525301</v>
      </c>
      <c r="AJ2608">
        <v>96.228543950656999</v>
      </c>
      <c r="AK2608">
        <v>141.687015512725</v>
      </c>
      <c r="AL2608">
        <v>79.357208800665802</v>
      </c>
      <c r="AM2608">
        <v>86.686232132130698</v>
      </c>
      <c r="AN2608">
        <v>0.99999998985995597</v>
      </c>
    </row>
    <row r="2609" spans="1:40" x14ac:dyDescent="0.25">
      <c r="A2609" t="str">
        <f>"20190303170308277"</f>
        <v>20190303170308277</v>
      </c>
      <c r="B2609" t="str">
        <f>"1551603788268365"</f>
        <v>1551603788268365</v>
      </c>
      <c r="C2609" t="s">
        <v>40</v>
      </c>
      <c r="D2609">
        <v>4.3301699999999999</v>
      </c>
      <c r="E2609">
        <v>0.44067980000000001</v>
      </c>
      <c r="F2609" t="s">
        <v>66</v>
      </c>
      <c r="G2609">
        <v>-512.82550000000003</v>
      </c>
      <c r="H2609">
        <v>1.0370010000000001</v>
      </c>
      <c r="I2609">
        <v>267.88099999999997</v>
      </c>
      <c r="J2609">
        <v>-372.32130000000001</v>
      </c>
      <c r="K2609">
        <v>1.12141</v>
      </c>
      <c r="L2609">
        <v>284.49579999999997</v>
      </c>
      <c r="M2609">
        <v>-0.99985139999999995</v>
      </c>
      <c r="N2609">
        <v>-1.494534E-2</v>
      </c>
      <c r="O2609">
        <v>-8.5944839999999995E-3</v>
      </c>
      <c r="P2609">
        <v>-0.98432120000000001</v>
      </c>
      <c r="Q2609">
        <v>0.1695535</v>
      </c>
      <c r="R2609">
        <v>4.861675E-2</v>
      </c>
      <c r="S2609">
        <v>-3.0660099999999999</v>
      </c>
      <c r="T2609">
        <v>-1.837492E-3</v>
      </c>
      <c r="U2609">
        <v>-0.36206050000000001</v>
      </c>
      <c r="V2609">
        <v>5.7140179999999999E-2</v>
      </c>
      <c r="W2609">
        <v>0.1842191</v>
      </c>
      <c r="X2609">
        <v>0.98122290000000001</v>
      </c>
      <c r="Y2609">
        <v>-0.1087335</v>
      </c>
      <c r="Z2609">
        <v>-9.7075600000000003E-4</v>
      </c>
      <c r="AA2609">
        <v>0.99407049999999997</v>
      </c>
      <c r="AB2609">
        <v>38</v>
      </c>
      <c r="AC2609">
        <v>-140.5042</v>
      </c>
      <c r="AD2609">
        <v>-8.4408999999999901E-2</v>
      </c>
      <c r="AE2609">
        <v>-16.614799999999999</v>
      </c>
      <c r="AF2609">
        <v>-15.4064847872152</v>
      </c>
      <c r="AG2609">
        <v>-8.4408999999999901E-2</v>
      </c>
      <c r="AH2609">
        <v>140.64177108323901</v>
      </c>
      <c r="AI2609">
        <v>90.034182731957301</v>
      </c>
      <c r="AJ2609">
        <v>96.2514917962433</v>
      </c>
      <c r="AK2609">
        <v>141.48312504255799</v>
      </c>
      <c r="AL2609">
        <v>79.384392663134605</v>
      </c>
      <c r="AM2609">
        <v>86.667222190761294</v>
      </c>
      <c r="AN2609">
        <v>1.00000002822982</v>
      </c>
    </row>
    <row r="2610" spans="1:40" x14ac:dyDescent="0.25">
      <c r="A2610" t="str">
        <f>"20190303170308289"</f>
        <v>20190303170308289</v>
      </c>
      <c r="B2610" t="str">
        <f>"1551603788278125"</f>
        <v>1551603788278125</v>
      </c>
      <c r="C2610" t="s">
        <v>40</v>
      </c>
      <c r="D2610">
        <v>4.3062930000000001</v>
      </c>
      <c r="E2610">
        <v>0.44063570000000002</v>
      </c>
      <c r="F2610" t="s">
        <v>66</v>
      </c>
      <c r="G2610">
        <v>-512.82550000000003</v>
      </c>
      <c r="H2610">
        <v>0.9587445</v>
      </c>
      <c r="I2610">
        <v>267.94839999999999</v>
      </c>
      <c r="J2610">
        <v>-372.53899999999999</v>
      </c>
      <c r="K2610">
        <v>1.121408</v>
      </c>
      <c r="L2610">
        <v>284.49400000000003</v>
      </c>
      <c r="M2610">
        <v>-0.99985210000000002</v>
      </c>
      <c r="N2610">
        <v>-1.494292E-2</v>
      </c>
      <c r="O2610">
        <v>-8.5237790000000004E-3</v>
      </c>
      <c r="P2610">
        <v>-0.98432580000000003</v>
      </c>
      <c r="Q2610">
        <v>0.16952619999999999</v>
      </c>
      <c r="R2610">
        <v>4.8618960000000003E-2</v>
      </c>
      <c r="S2610">
        <v>-3.0662229999999999</v>
      </c>
      <c r="T2610">
        <v>-3.5481449999999999E-3</v>
      </c>
      <c r="U2610">
        <v>-0.3611145</v>
      </c>
      <c r="V2610">
        <v>5.7072749999999998E-2</v>
      </c>
      <c r="W2610">
        <v>0.18418909999999999</v>
      </c>
      <c r="X2610">
        <v>0.9812324</v>
      </c>
      <c r="Y2610">
        <v>-0.1084927</v>
      </c>
      <c r="Z2610">
        <v>-9.9312420000000003E-4</v>
      </c>
      <c r="AA2610">
        <v>0.9940968</v>
      </c>
      <c r="AB2610">
        <v>38</v>
      </c>
      <c r="AC2610">
        <v>-140.28649999999999</v>
      </c>
      <c r="AD2610">
        <v>-0.16266349999999899</v>
      </c>
      <c r="AE2610">
        <v>-16.5456</v>
      </c>
      <c r="AF2610">
        <v>-15.3490738958892</v>
      </c>
      <c r="AG2610">
        <v>-0.16266349999999899</v>
      </c>
      <c r="AH2610">
        <v>140.422263097506</v>
      </c>
      <c r="AI2610">
        <v>90.065977750374898</v>
      </c>
      <c r="AJ2610">
        <v>96.238039097108995</v>
      </c>
      <c r="AK2610">
        <v>141.258743100386</v>
      </c>
      <c r="AL2610">
        <v>79.386140869753007</v>
      </c>
      <c r="AM2610">
        <v>86.671178442853801</v>
      </c>
      <c r="AN2610">
        <v>0.99999997308056499</v>
      </c>
    </row>
    <row r="2611" spans="1:40" x14ac:dyDescent="0.25">
      <c r="A2611" t="str">
        <f>"20190303170308303"</f>
        <v>20190303170308303</v>
      </c>
      <c r="B2611" t="str">
        <f>"1551603788298621"</f>
        <v>1551603788298621</v>
      </c>
      <c r="C2611" t="s">
        <v>40</v>
      </c>
      <c r="D2611">
        <v>4.3286379999999998</v>
      </c>
      <c r="E2611">
        <v>0.44057610000000003</v>
      </c>
      <c r="F2611" t="s">
        <v>66</v>
      </c>
      <c r="G2611">
        <v>-512.82539999999995</v>
      </c>
      <c r="H2611">
        <v>0.93717209999999995</v>
      </c>
      <c r="I2611">
        <v>267.96289999999999</v>
      </c>
      <c r="J2611">
        <v>-372.76830000000001</v>
      </c>
      <c r="K2611">
        <v>1.1214059999999999</v>
      </c>
      <c r="L2611">
        <v>284.49209999999999</v>
      </c>
      <c r="M2611">
        <v>-0.99985290000000004</v>
      </c>
      <c r="N2611">
        <v>-1.494037E-2</v>
      </c>
      <c r="O2611">
        <v>-8.4492579999999994E-3</v>
      </c>
      <c r="P2611">
        <v>-0.98435490000000003</v>
      </c>
      <c r="Q2611">
        <v>0.16936010000000001</v>
      </c>
      <c r="R2611">
        <v>4.8611290000000001E-2</v>
      </c>
      <c r="S2611">
        <v>-3.0663149999999999</v>
      </c>
      <c r="T2611">
        <v>-4.0252209999999998E-3</v>
      </c>
      <c r="U2611">
        <v>-0.36132809999999999</v>
      </c>
      <c r="V2611">
        <v>5.6991989999999999E-2</v>
      </c>
      <c r="W2611">
        <v>0.1840213</v>
      </c>
      <c r="X2611">
        <v>0.98126860000000005</v>
      </c>
      <c r="Y2611">
        <v>-0.10863150000000001</v>
      </c>
      <c r="Z2611">
        <v>-1.000173E-3</v>
      </c>
      <c r="AA2611">
        <v>0.99408160000000001</v>
      </c>
      <c r="AB2611">
        <v>38</v>
      </c>
      <c r="AC2611">
        <v>-140.057099999999</v>
      </c>
      <c r="AD2611">
        <v>-0.18423389999999901</v>
      </c>
      <c r="AE2611">
        <v>-16.529199999999999</v>
      </c>
      <c r="AF2611">
        <v>-15.3450732450529</v>
      </c>
      <c r="AG2611">
        <v>-0.18423389999999901</v>
      </c>
      <c r="AH2611">
        <v>140.191535251126</v>
      </c>
      <c r="AI2611">
        <v>90.074848646673402</v>
      </c>
      <c r="AJ2611">
        <v>96.246608863564902</v>
      </c>
      <c r="AK2611">
        <v>141.028974934563</v>
      </c>
      <c r="AL2611">
        <v>79.395922541436704</v>
      </c>
      <c r="AM2611">
        <v>86.676000630347502</v>
      </c>
      <c r="AN2611">
        <v>0.999999995561905</v>
      </c>
    </row>
    <row r="2612" spans="1:40" x14ac:dyDescent="0.25">
      <c r="A2612" t="str">
        <f>"20190303170308319"</f>
        <v>20190303170308319</v>
      </c>
      <c r="B2612" t="str">
        <f>"1551603788308381"</f>
        <v>1551603788308381</v>
      </c>
      <c r="C2612" t="s">
        <v>40</v>
      </c>
      <c r="D2612">
        <v>4.3333709999999996</v>
      </c>
      <c r="E2612">
        <v>0.43376759999999898</v>
      </c>
      <c r="F2612" t="s">
        <v>66</v>
      </c>
      <c r="G2612">
        <v>-512.82539999999995</v>
      </c>
      <c r="H2612">
        <v>0.89609939999999999</v>
      </c>
      <c r="I2612">
        <v>267.97309999999999</v>
      </c>
      <c r="J2612">
        <v>-373.03699999999998</v>
      </c>
      <c r="K2612">
        <v>1.121408</v>
      </c>
      <c r="L2612">
        <v>284.48989999999998</v>
      </c>
      <c r="M2612">
        <v>-0.9998534</v>
      </c>
      <c r="N2612">
        <v>-1.493737E-2</v>
      </c>
      <c r="O2612">
        <v>-8.3617429999999996E-3</v>
      </c>
      <c r="P2612">
        <v>-0.98439849999999995</v>
      </c>
      <c r="Q2612">
        <v>0.16915189999999999</v>
      </c>
      <c r="R2612">
        <v>4.8446160000000002E-2</v>
      </c>
      <c r="S2612">
        <v>-3.066376</v>
      </c>
      <c r="T2612">
        <v>-4.9310919999999998E-3</v>
      </c>
      <c r="U2612">
        <v>-0.36166379999999998</v>
      </c>
      <c r="V2612">
        <v>5.6740909999999999E-2</v>
      </c>
      <c r="W2612">
        <v>0.18381140000000001</v>
      </c>
      <c r="X2612">
        <v>0.98132249999999999</v>
      </c>
      <c r="Y2612">
        <v>-0.10882319999999999</v>
      </c>
      <c r="Z2612">
        <v>-1.0139189999999901E-3</v>
      </c>
      <c r="AA2612">
        <v>0.99406059999999996</v>
      </c>
      <c r="AB2612">
        <v>38</v>
      </c>
      <c r="AC2612">
        <v>-139.788399999999</v>
      </c>
      <c r="AD2612">
        <v>-0.225308599999999</v>
      </c>
      <c r="AE2612">
        <v>-16.5167999999999</v>
      </c>
      <c r="AF2612">
        <v>-15.3471779449665</v>
      </c>
      <c r="AG2612">
        <v>-0.225308599999999</v>
      </c>
      <c r="AH2612">
        <v>139.92127807587099</v>
      </c>
      <c r="AI2612">
        <v>90.091710578233005</v>
      </c>
      <c r="AJ2612">
        <v>96.259430101009301</v>
      </c>
      <c r="AK2612">
        <v>140.760614850976</v>
      </c>
      <c r="AL2612">
        <v>79.408157737639996</v>
      </c>
      <c r="AM2612">
        <v>86.690793360864902</v>
      </c>
      <c r="AN2612">
        <v>1.00000000532191</v>
      </c>
    </row>
    <row r="2613" spans="1:40" x14ac:dyDescent="0.25">
      <c r="A2613" t="str">
        <f>"20190303170308333"</f>
        <v>20190303170308333</v>
      </c>
      <c r="B2613" t="str">
        <f>"1551603788327900"</f>
        <v>1551603788327900</v>
      </c>
      <c r="C2613" t="s">
        <v>40</v>
      </c>
      <c r="D2613">
        <v>4.3400030000000003</v>
      </c>
      <c r="E2613">
        <v>0.43297720000000001</v>
      </c>
      <c r="F2613" t="s">
        <v>66</v>
      </c>
      <c r="G2613">
        <v>-512.8252</v>
      </c>
      <c r="H2613">
        <v>9.4397490000000001E-2</v>
      </c>
      <c r="I2613">
        <v>265.47770000000003</v>
      </c>
      <c r="J2613">
        <v>-373.28590000000003</v>
      </c>
      <c r="K2613">
        <v>1.1214120000000001</v>
      </c>
      <c r="L2613">
        <v>284.48790000000002</v>
      </c>
      <c r="M2613">
        <v>-0.99985429999999997</v>
      </c>
      <c r="N2613">
        <v>-1.4934579999999999E-2</v>
      </c>
      <c r="O2613">
        <v>-8.2805489999999999E-3</v>
      </c>
      <c r="P2613">
        <v>-0.98440380000000005</v>
      </c>
      <c r="Q2613">
        <v>0.16916900000000001</v>
      </c>
      <c r="R2613">
        <v>4.8281409999999997E-2</v>
      </c>
      <c r="S2613">
        <v>-3.0720209999999999</v>
      </c>
      <c r="T2613">
        <v>-2.2568109999999999E-2</v>
      </c>
      <c r="U2613">
        <v>-0.41781620000000003</v>
      </c>
      <c r="V2613">
        <v>5.6496350000000001E-2</v>
      </c>
      <c r="W2613">
        <v>0.18382589999999999</v>
      </c>
      <c r="X2613">
        <v>0.98133389999999998</v>
      </c>
      <c r="Y2613">
        <v>-0.12654560000000001</v>
      </c>
      <c r="Z2613">
        <v>-1.474644E-3</v>
      </c>
      <c r="AA2613">
        <v>0.9919597</v>
      </c>
      <c r="AB2613">
        <v>38</v>
      </c>
      <c r="AC2613">
        <v>-139.539299999999</v>
      </c>
      <c r="AD2613">
        <v>-1.0270145100000001</v>
      </c>
      <c r="AE2613">
        <v>-19.010200000000001</v>
      </c>
      <c r="AF2613">
        <v>-17.853007867330899</v>
      </c>
      <c r="AG2613">
        <v>-1.0270145100000001</v>
      </c>
      <c r="AH2613">
        <v>139.68451850253601</v>
      </c>
      <c r="AI2613">
        <v>90.417854168575701</v>
      </c>
      <c r="AJ2613">
        <v>97.283456908921593</v>
      </c>
      <c r="AK2613">
        <v>140.82453393496499</v>
      </c>
      <c r="AL2613">
        <v>79.407312609726802</v>
      </c>
      <c r="AM2613">
        <v>86.705063129714006</v>
      </c>
      <c r="AN2613">
        <v>1.00000001118167</v>
      </c>
    </row>
    <row r="2614" spans="1:40" x14ac:dyDescent="0.25">
      <c r="A2614" t="str">
        <f>"20190303170308348"</f>
        <v>20190303170308348</v>
      </c>
      <c r="B2614" t="str">
        <f>"1551603788338636"</f>
        <v>1551603788338636</v>
      </c>
      <c r="C2614" t="s">
        <v>40</v>
      </c>
      <c r="D2614">
        <v>4.3351559999999996</v>
      </c>
      <c r="E2614">
        <v>0.43300149999999998</v>
      </c>
      <c r="F2614" t="s">
        <v>66</v>
      </c>
      <c r="G2614">
        <v>-512.82529999999997</v>
      </c>
      <c r="H2614">
        <v>0.3041703</v>
      </c>
      <c r="I2614">
        <v>265.19009999999997</v>
      </c>
      <c r="J2614">
        <v>-373.52769999999998</v>
      </c>
      <c r="K2614">
        <v>1.1214139999999999</v>
      </c>
      <c r="L2614">
        <v>284.48599999999999</v>
      </c>
      <c r="M2614">
        <v>-0.99985500000000005</v>
      </c>
      <c r="N2614">
        <v>-1.493185E-2</v>
      </c>
      <c r="O2614">
        <v>-8.2018579999999994E-3</v>
      </c>
      <c r="P2614">
        <v>-0.98441959999999995</v>
      </c>
      <c r="Q2614">
        <v>0.16904249999999901</v>
      </c>
      <c r="R2614">
        <v>4.8404639999999999E-2</v>
      </c>
      <c r="S2614">
        <v>-3.071472</v>
      </c>
      <c r="T2614">
        <v>-1.7987010000000001E-2</v>
      </c>
      <c r="U2614">
        <v>-0.42477419999999999</v>
      </c>
      <c r="V2614">
        <v>5.6542149999999999E-2</v>
      </c>
      <c r="W2614">
        <v>0.18369650000000001</v>
      </c>
      <c r="X2614">
        <v>0.98135550000000005</v>
      </c>
      <c r="Y2614">
        <v>-0.1288552</v>
      </c>
      <c r="Z2614">
        <v>-1.41629E-3</v>
      </c>
      <c r="AA2614">
        <v>0.99166240000000005</v>
      </c>
      <c r="AB2614">
        <v>38</v>
      </c>
      <c r="AC2614">
        <v>-139.29759999999999</v>
      </c>
      <c r="AD2614">
        <v>-0.81724369999999902</v>
      </c>
      <c r="AE2614">
        <v>-19.2959</v>
      </c>
      <c r="AF2614">
        <v>-18.152011407825</v>
      </c>
      <c r="AG2614">
        <v>-0.81724369999999902</v>
      </c>
      <c r="AH2614">
        <v>139.44648399136901</v>
      </c>
      <c r="AI2614">
        <v>90.332976116116896</v>
      </c>
      <c r="AJ2614">
        <v>97.416596421597404</v>
      </c>
      <c r="AK2614">
        <v>140.625336632379</v>
      </c>
      <c r="AL2614">
        <v>79.414855199832999</v>
      </c>
      <c r="AM2614">
        <v>86.702470330816396</v>
      </c>
      <c r="AN2614">
        <v>1.0000000181095601</v>
      </c>
    </row>
    <row r="2615" spans="1:40" x14ac:dyDescent="0.25">
      <c r="A2615" t="str">
        <f>"20190303170308364"</f>
        <v>20190303170308364</v>
      </c>
      <c r="B2615" t="str">
        <f>"1551603788358157"</f>
        <v>1551603788358157</v>
      </c>
      <c r="C2615" t="s">
        <v>40</v>
      </c>
      <c r="D2615">
        <v>4.3532099999999998</v>
      </c>
      <c r="E2615">
        <v>0.43268960000000001</v>
      </c>
      <c r="F2615" t="s">
        <v>66</v>
      </c>
      <c r="G2615">
        <v>-512.82529999999997</v>
      </c>
      <c r="H2615">
        <v>0.33019530000000002</v>
      </c>
      <c r="I2615">
        <v>265.2432</v>
      </c>
      <c r="J2615">
        <v>-373.78730000000002</v>
      </c>
      <c r="K2615">
        <v>1.121416</v>
      </c>
      <c r="L2615">
        <v>284.48390000000001</v>
      </c>
      <c r="M2615">
        <v>-0.99985579999999996</v>
      </c>
      <c r="N2615">
        <v>-1.492892E-2</v>
      </c>
      <c r="O2615">
        <v>-8.1174439999999997E-3</v>
      </c>
      <c r="P2615">
        <v>-0.9843885</v>
      </c>
      <c r="Q2615">
        <v>0.16925490000000001</v>
      </c>
      <c r="R2615">
        <v>4.8296119999999998E-2</v>
      </c>
      <c r="S2615">
        <v>-3.0713810000000001</v>
      </c>
      <c r="T2615">
        <v>-1.7443899999999998E-2</v>
      </c>
      <c r="U2615">
        <v>-0.42428589999999999</v>
      </c>
      <c r="V2615">
        <v>5.635035E-2</v>
      </c>
      <c r="W2615">
        <v>0.18390599999999999</v>
      </c>
      <c r="X2615">
        <v>0.98132730000000001</v>
      </c>
      <c r="Y2615">
        <v>-0.1287885</v>
      </c>
      <c r="Z2615">
        <v>-1.4047179999999999E-3</v>
      </c>
      <c r="AA2615">
        <v>0.99167110000000003</v>
      </c>
      <c r="AB2615">
        <v>38</v>
      </c>
      <c r="AC2615">
        <v>-139.03799999999899</v>
      </c>
      <c r="AD2615">
        <v>-0.791220699999999</v>
      </c>
      <c r="AE2615">
        <v>-19.2407</v>
      </c>
      <c r="AF2615">
        <v>-18.110731708776299</v>
      </c>
      <c r="AG2615">
        <v>-0.791220699999999</v>
      </c>
      <c r="AH2615">
        <v>139.18519812374001</v>
      </c>
      <c r="AI2615">
        <v>90.322980907513298</v>
      </c>
      <c r="AJ2615">
        <v>97.413654523090401</v>
      </c>
      <c r="AK2615">
        <v>140.36076378378701</v>
      </c>
      <c r="AL2615">
        <v>79.402643757849603</v>
      </c>
      <c r="AM2615">
        <v>86.713537286877298</v>
      </c>
      <c r="AN2615">
        <v>1.0000000242531999</v>
      </c>
    </row>
    <row r="2616" spans="1:40" x14ac:dyDescent="0.25">
      <c r="A2616" t="str">
        <f>"20190303170308375"</f>
        <v>20190303170308375</v>
      </c>
      <c r="B2616" t="str">
        <f>"1551603788367917"</f>
        <v>1551603788367917</v>
      </c>
      <c r="C2616" t="s">
        <v>40</v>
      </c>
      <c r="D2616">
        <v>4.387257</v>
      </c>
      <c r="E2616">
        <v>0.43262980000000001</v>
      </c>
      <c r="F2616" t="s">
        <v>66</v>
      </c>
      <c r="G2616">
        <v>-512.82529999999997</v>
      </c>
      <c r="H2616">
        <v>0.37817190000000001</v>
      </c>
      <c r="I2616">
        <v>265.1524</v>
      </c>
      <c r="J2616">
        <v>-374.0016</v>
      </c>
      <c r="K2616">
        <v>1.1214150000000001</v>
      </c>
      <c r="L2616">
        <v>284.48230000000001</v>
      </c>
      <c r="M2616">
        <v>-0.99985619999999997</v>
      </c>
      <c r="N2616">
        <v>-1.4926480000000001E-2</v>
      </c>
      <c r="O2616">
        <v>-8.0474559999999997E-3</v>
      </c>
      <c r="P2616">
        <v>-0.98440510000000003</v>
      </c>
      <c r="Q2616">
        <v>0.16912170000000001</v>
      </c>
      <c r="R2616">
        <v>4.8420680000000001E-2</v>
      </c>
      <c r="S2616">
        <v>-3.0713499999999998</v>
      </c>
      <c r="T2616">
        <v>-1.6416549999999999E-2</v>
      </c>
      <c r="U2616">
        <v>-0.42703249999999998</v>
      </c>
      <c r="V2616">
        <v>5.6406089999999999E-2</v>
      </c>
      <c r="W2616">
        <v>0.18377099999999999</v>
      </c>
      <c r="X2616">
        <v>0.98134929999999998</v>
      </c>
      <c r="Y2616">
        <v>-0.12972980000000001</v>
      </c>
      <c r="Z2616">
        <v>-1.3947339999999999E-3</v>
      </c>
      <c r="AA2616">
        <v>0.9915484</v>
      </c>
      <c r="AB2616">
        <v>38</v>
      </c>
      <c r="AC2616">
        <v>-138.82369999999901</v>
      </c>
      <c r="AD2616">
        <v>-0.74324309999999905</v>
      </c>
      <c r="AE2616">
        <v>-19.329899999999999</v>
      </c>
      <c r="AF2616">
        <v>-18.211459749071</v>
      </c>
      <c r="AG2616">
        <v>-0.74324309999999905</v>
      </c>
      <c r="AH2616">
        <v>138.970869881043</v>
      </c>
      <c r="AI2616">
        <v>90.3038283501904</v>
      </c>
      <c r="AJ2616">
        <v>97.465792236891701</v>
      </c>
      <c r="AK2616">
        <v>140.16102294144201</v>
      </c>
      <c r="AL2616">
        <v>79.410511880585503</v>
      </c>
      <c r="AM2616">
        <v>86.710367144371304</v>
      </c>
      <c r="AN2616">
        <v>0.99999993802028697</v>
      </c>
    </row>
    <row r="2617" spans="1:40" x14ac:dyDescent="0.25">
      <c r="A2617" t="str">
        <f>"20190303170308387"</f>
        <v>20190303170308387</v>
      </c>
      <c r="B2617" t="str">
        <f>"1551603788378653"</f>
        <v>1551603788378653</v>
      </c>
      <c r="C2617" t="s">
        <v>40</v>
      </c>
      <c r="D2617">
        <v>4.3840450000000004</v>
      </c>
      <c r="E2617">
        <v>0.43261830000000001</v>
      </c>
      <c r="F2617" t="s">
        <v>66</v>
      </c>
      <c r="G2617">
        <v>-512.82529999999997</v>
      </c>
      <c r="H2617">
        <v>0.30541940000000001</v>
      </c>
      <c r="I2617">
        <v>265.18650000000002</v>
      </c>
      <c r="J2617">
        <v>-374.21069999999997</v>
      </c>
      <c r="K2617">
        <v>1.1214150000000001</v>
      </c>
      <c r="L2617">
        <v>284.48070000000001</v>
      </c>
      <c r="M2617">
        <v>-0.99985690000000005</v>
      </c>
      <c r="N2617">
        <v>-1.4924079999999999E-2</v>
      </c>
      <c r="O2617">
        <v>-7.9793750000000004E-3</v>
      </c>
      <c r="P2617">
        <v>-0.98451710000000003</v>
      </c>
      <c r="Q2617">
        <v>0.1684996</v>
      </c>
      <c r="R2617">
        <v>4.8315030000000002E-2</v>
      </c>
      <c r="S2617">
        <v>-3.071625</v>
      </c>
      <c r="T2617">
        <v>-1.8053050000000001E-2</v>
      </c>
      <c r="U2617">
        <v>-0.42694090000000001</v>
      </c>
      <c r="V2617">
        <v>5.6234020000000003E-2</v>
      </c>
      <c r="W2617">
        <v>0.18314759999999999</v>
      </c>
      <c r="X2617">
        <v>0.98147580000000001</v>
      </c>
      <c r="Y2617">
        <v>-0.12975529999999999</v>
      </c>
      <c r="Z2617">
        <v>-1.4243120000000001E-3</v>
      </c>
      <c r="AA2617">
        <v>0.99154500000000001</v>
      </c>
      <c r="AB2617">
        <v>38</v>
      </c>
      <c r="AC2617">
        <v>-138.6146</v>
      </c>
      <c r="AD2617">
        <v>-0.81599559999999904</v>
      </c>
      <c r="AE2617">
        <v>-19.294199999999901</v>
      </c>
      <c r="AF2617">
        <v>-18.186786397875998</v>
      </c>
      <c r="AG2617">
        <v>-0.81599559999999904</v>
      </c>
      <c r="AH2617">
        <v>138.75944168806799</v>
      </c>
      <c r="AI2617">
        <v>90.334075313360302</v>
      </c>
      <c r="AJ2617">
        <v>97.467023577051094</v>
      </c>
      <c r="AK2617">
        <v>139.94858951016801</v>
      </c>
      <c r="AL2617">
        <v>79.446847725280094</v>
      </c>
      <c r="AM2617">
        <v>86.720802198047494</v>
      </c>
      <c r="AN2617">
        <v>1.00000002718837</v>
      </c>
    </row>
    <row r="2618" spans="1:40" x14ac:dyDescent="0.25">
      <c r="A2618" t="str">
        <f>"20190303170308406"</f>
        <v>20190303170308406</v>
      </c>
      <c r="B2618" t="str">
        <f>"1551603788398173"</f>
        <v>1551603788398173</v>
      </c>
      <c r="C2618" t="s">
        <v>40</v>
      </c>
      <c r="D2618">
        <v>4.368106</v>
      </c>
      <c r="E2618">
        <v>0.43239050000000001</v>
      </c>
      <c r="F2618" t="s">
        <v>66</v>
      </c>
      <c r="G2618">
        <v>-512.8252</v>
      </c>
      <c r="H2618">
        <v>0.1916553</v>
      </c>
      <c r="I2618">
        <v>265.20209999999997</v>
      </c>
      <c r="J2618">
        <v>-374.52620000000002</v>
      </c>
      <c r="K2618">
        <v>1.121413</v>
      </c>
      <c r="L2618">
        <v>284.47820000000002</v>
      </c>
      <c r="M2618">
        <v>-0.99985780000000002</v>
      </c>
      <c r="N2618">
        <v>-1.492047E-2</v>
      </c>
      <c r="O2618">
        <v>-7.8767170000000001E-3</v>
      </c>
      <c r="P2618">
        <v>-0.98459909999999995</v>
      </c>
      <c r="Q2618">
        <v>0.16793449999999999</v>
      </c>
      <c r="R2618">
        <v>4.8611740000000001E-2</v>
      </c>
      <c r="S2618">
        <v>-3.0717159999999999</v>
      </c>
      <c r="T2618">
        <v>-2.0601870000000001E-2</v>
      </c>
      <c r="U2618">
        <v>-0.42721559999999997</v>
      </c>
      <c r="V2618">
        <v>5.6430149999999998E-2</v>
      </c>
      <c r="W2618">
        <v>0.18258079999999999</v>
      </c>
      <c r="X2618">
        <v>0.9815701</v>
      </c>
      <c r="Y2618">
        <v>-0.12993859999999999</v>
      </c>
      <c r="Z2618">
        <v>-1.4721770000000001E-3</v>
      </c>
      <c r="AA2618">
        <v>0.99152090000000004</v>
      </c>
      <c r="AB2618">
        <v>38</v>
      </c>
      <c r="AC2618">
        <v>-138.29899999999901</v>
      </c>
      <c r="AD2618">
        <v>-0.92975769999999902</v>
      </c>
      <c r="AE2618">
        <v>-19.2761</v>
      </c>
      <c r="AF2618">
        <v>-18.185232442257501</v>
      </c>
      <c r="AG2618">
        <v>-0.92975769999999902</v>
      </c>
      <c r="AH2618">
        <v>138.44042028771199</v>
      </c>
      <c r="AI2618">
        <v>90.381511995806505</v>
      </c>
      <c r="AJ2618">
        <v>97.483403493636402</v>
      </c>
      <c r="AK2618">
        <v>139.63279377638401</v>
      </c>
      <c r="AL2618">
        <v>79.479879515644299</v>
      </c>
      <c r="AM2618">
        <v>86.709705713278098</v>
      </c>
      <c r="AN2618">
        <v>0.99999998578583604</v>
      </c>
    </row>
    <row r="2619" spans="1:40" x14ac:dyDescent="0.25">
      <c r="A2619" t="str">
        <f>"20190303170308419"</f>
        <v>20190303170308419</v>
      </c>
      <c r="B2619" t="str">
        <f>"1551603788407932"</f>
        <v>1551603788407932</v>
      </c>
      <c r="C2619" t="s">
        <v>40</v>
      </c>
      <c r="D2619">
        <v>4.3569050000000002</v>
      </c>
      <c r="E2619">
        <v>0.43224010000000002</v>
      </c>
      <c r="F2619" t="s">
        <v>66</v>
      </c>
      <c r="G2619">
        <v>-512.8252</v>
      </c>
      <c r="H2619">
        <v>0.10420409999999999</v>
      </c>
      <c r="I2619">
        <v>265.2088</v>
      </c>
      <c r="J2619">
        <v>-374.74130000000002</v>
      </c>
      <c r="K2619">
        <v>1.121413</v>
      </c>
      <c r="L2619">
        <v>284.47660000000002</v>
      </c>
      <c r="M2619">
        <v>-0.99985829999999998</v>
      </c>
      <c r="N2619">
        <v>-1.4918010000000001E-2</v>
      </c>
      <c r="O2619">
        <v>-7.8062540000000003E-3</v>
      </c>
      <c r="P2619">
        <v>-0.98459370000000002</v>
      </c>
      <c r="Q2619">
        <v>0.16792939999999901</v>
      </c>
      <c r="R2619">
        <v>4.8737349999999999E-2</v>
      </c>
      <c r="S2619">
        <v>-3.071869</v>
      </c>
      <c r="T2619">
        <v>-2.2592310000000001E-2</v>
      </c>
      <c r="U2619">
        <v>-0.42800899999999997</v>
      </c>
      <c r="V2619">
        <v>5.648632E-2</v>
      </c>
      <c r="W2619">
        <v>0.18257329999999999</v>
      </c>
      <c r="X2619">
        <v>0.98156829999999995</v>
      </c>
      <c r="Y2619">
        <v>-0.1302517</v>
      </c>
      <c r="Z2619">
        <v>-1.511769E-3</v>
      </c>
      <c r="AA2619">
        <v>0.99147980000000002</v>
      </c>
      <c r="AB2619">
        <v>38</v>
      </c>
      <c r="AC2619">
        <v>-138.08389999999901</v>
      </c>
      <c r="AD2619">
        <v>-1.0172089</v>
      </c>
      <c r="AE2619">
        <v>-19.267800000000001</v>
      </c>
      <c r="AF2619">
        <v>-18.1882067245967</v>
      </c>
      <c r="AG2619">
        <v>-1.0172089</v>
      </c>
      <c r="AH2619">
        <v>138.22276017184601</v>
      </c>
      <c r="AI2619">
        <v>90.418039969924195</v>
      </c>
      <c r="AJ2619">
        <v>97.496265688889096</v>
      </c>
      <c r="AK2619">
        <v>139.417993843429</v>
      </c>
      <c r="AL2619">
        <v>79.480316953895496</v>
      </c>
      <c r="AM2619">
        <v>86.706431767661002</v>
      </c>
      <c r="AN2619">
        <v>1.00000002089246</v>
      </c>
    </row>
    <row r="2620" spans="1:40" x14ac:dyDescent="0.25">
      <c r="A2620" t="str">
        <f>"20190303170308432"</f>
        <v>20190303170308432</v>
      </c>
      <c r="B2620" t="str">
        <f>"1551603788428429"</f>
        <v>1551603788428429</v>
      </c>
      <c r="C2620" t="s">
        <v>40</v>
      </c>
      <c r="D2620">
        <v>4.4049659999999999</v>
      </c>
      <c r="E2620">
        <v>0.43194349999999998</v>
      </c>
      <c r="F2620" t="s">
        <v>66</v>
      </c>
      <c r="G2620">
        <v>-512.8252</v>
      </c>
      <c r="H2620">
        <v>0.11964959999999999</v>
      </c>
      <c r="I2620">
        <v>265.20359999999999</v>
      </c>
      <c r="J2620">
        <v>-374.94940000000003</v>
      </c>
      <c r="K2620">
        <v>1.1214090000000001</v>
      </c>
      <c r="L2620">
        <v>284.47500000000002</v>
      </c>
      <c r="M2620">
        <v>-0.99985900000000005</v>
      </c>
      <c r="N2620">
        <v>-1.4915619999999999E-2</v>
      </c>
      <c r="O2620">
        <v>-7.7381759999999898E-3</v>
      </c>
      <c r="P2620">
        <v>-0.98456699999999997</v>
      </c>
      <c r="Q2620">
        <v>0.16807510000000001</v>
      </c>
      <c r="R2620">
        <v>4.8773650000000002E-2</v>
      </c>
      <c r="S2620">
        <v>-3.0719910000000001</v>
      </c>
      <c r="T2620">
        <v>-2.2284749999999999E-2</v>
      </c>
      <c r="U2620">
        <v>-0.42877199999999999</v>
      </c>
      <c r="V2620">
        <v>5.6455129999999999E-2</v>
      </c>
      <c r="W2620">
        <v>0.1827163</v>
      </c>
      <c r="X2620">
        <v>0.98154350000000001</v>
      </c>
      <c r="Y2620">
        <v>-0.13055549999999999</v>
      </c>
      <c r="Z2620">
        <v>-1.5087259999999999E-3</v>
      </c>
      <c r="AA2620">
        <v>0.99143990000000004</v>
      </c>
      <c r="AB2620">
        <v>38</v>
      </c>
      <c r="AC2620">
        <v>-137.875799999999</v>
      </c>
      <c r="AD2620">
        <v>-1.0017594000000001</v>
      </c>
      <c r="AE2620">
        <v>-19.2714</v>
      </c>
      <c r="AF2620">
        <v>-18.2028546636896</v>
      </c>
      <c r="AG2620">
        <v>-1.0017594000000001</v>
      </c>
      <c r="AH2620">
        <v>138.01366699632601</v>
      </c>
      <c r="AI2620">
        <v>90.412298333201093</v>
      </c>
      <c r="AJ2620">
        <v>97.5134703532499</v>
      </c>
      <c r="AK2620">
        <v>139.212498424443</v>
      </c>
      <c r="AL2620">
        <v>79.471983632185001</v>
      </c>
      <c r="AM2620">
        <v>86.7081633863409</v>
      </c>
      <c r="AN2620">
        <v>1.00000003519062</v>
      </c>
    </row>
    <row r="2621" spans="1:40" x14ac:dyDescent="0.25">
      <c r="A2621" t="str">
        <f>"20190303170308444"</f>
        <v>20190303170308444</v>
      </c>
      <c r="B2621" t="str">
        <f>"1551603788438189"</f>
        <v>1551603788438189</v>
      </c>
      <c r="C2621" t="s">
        <v>40</v>
      </c>
      <c r="D2621">
        <v>4.2967610000000001</v>
      </c>
      <c r="E2621">
        <v>0.43194349999999998</v>
      </c>
      <c r="F2621" t="s">
        <v>66</v>
      </c>
      <c r="G2621">
        <v>-512.8252</v>
      </c>
      <c r="H2621">
        <v>0.10517899999999999</v>
      </c>
      <c r="I2621">
        <v>265.1234</v>
      </c>
      <c r="J2621">
        <v>-375.14620000000002</v>
      </c>
      <c r="K2621">
        <v>1.12141</v>
      </c>
      <c r="L2621">
        <v>284.47359999999998</v>
      </c>
      <c r="M2621">
        <v>-0.99985939999999995</v>
      </c>
      <c r="N2621">
        <v>-1.491337E-2</v>
      </c>
      <c r="O2621">
        <v>-7.6739130000000001E-3</v>
      </c>
      <c r="P2621">
        <v>-0.98450740000000003</v>
      </c>
      <c r="Q2621">
        <v>0.1682497</v>
      </c>
      <c r="R2621">
        <v>4.9368139999999998E-2</v>
      </c>
      <c r="S2621">
        <v>-3.0722960000000001</v>
      </c>
      <c r="T2621">
        <v>-2.2642969999999998E-2</v>
      </c>
      <c r="U2621">
        <v>-0.43121340000000002</v>
      </c>
      <c r="V2621">
        <v>5.6985830000000001E-2</v>
      </c>
      <c r="W2621">
        <v>0.18288740000000001</v>
      </c>
      <c r="X2621">
        <v>0.98148100000000005</v>
      </c>
      <c r="Y2621">
        <v>-0.1313781</v>
      </c>
      <c r="Z2621">
        <v>-1.5239190000000001E-3</v>
      </c>
      <c r="AA2621">
        <v>0.99133119999999997</v>
      </c>
      <c r="AB2621">
        <v>38</v>
      </c>
      <c r="AC2621">
        <v>-137.67899999999901</v>
      </c>
      <c r="AD2621">
        <v>-1.0162309999999899</v>
      </c>
      <c r="AE2621">
        <v>-19.350199999999901</v>
      </c>
      <c r="AF2621">
        <v>-18.291998719265798</v>
      </c>
      <c r="AG2621">
        <v>-1.0162309999999899</v>
      </c>
      <c r="AH2621">
        <v>137.81609041949901</v>
      </c>
      <c r="AI2621">
        <v>90.418808334759504</v>
      </c>
      <c r="AJ2621">
        <v>97.560540837517607</v>
      </c>
      <c r="AK2621">
        <v>139.028431340883</v>
      </c>
      <c r="AL2621">
        <v>79.462012672647603</v>
      </c>
      <c r="AM2621">
        <v>86.677076749958104</v>
      </c>
      <c r="AN2621">
        <v>1.00000006963027</v>
      </c>
    </row>
    <row r="2622" spans="1:40" x14ac:dyDescent="0.25">
      <c r="A2622" t="str">
        <f>"20190303170308457"</f>
        <v>20190303170308457</v>
      </c>
      <c r="B2622" t="str">
        <f>"1551603788447949"</f>
        <v>1551603788447949</v>
      </c>
      <c r="C2622" t="s">
        <v>40</v>
      </c>
      <c r="D2622">
        <v>4.2500939999999998</v>
      </c>
      <c r="E2622">
        <v>0.4620515</v>
      </c>
      <c r="F2622" t="s">
        <v>66</v>
      </c>
      <c r="G2622">
        <v>-512.8252</v>
      </c>
      <c r="H2622">
        <v>0.1424665</v>
      </c>
      <c r="I2622">
        <v>265.22019999999998</v>
      </c>
      <c r="J2622">
        <v>-375.37889999999999</v>
      </c>
      <c r="K2622">
        <v>1.12141</v>
      </c>
      <c r="L2622">
        <v>284.47190000000001</v>
      </c>
      <c r="M2622">
        <v>-0.99985999999999997</v>
      </c>
      <c r="N2622">
        <v>-1.4910720000000001E-2</v>
      </c>
      <c r="O2622">
        <v>-7.5978449999999998E-3</v>
      </c>
      <c r="P2622">
        <v>-0.98444129999999996</v>
      </c>
      <c r="Q2622">
        <v>0.16860539999999999</v>
      </c>
      <c r="R2622">
        <v>4.9472349999999998E-2</v>
      </c>
      <c r="S2622">
        <v>-3.0724490000000002</v>
      </c>
      <c r="T2622">
        <v>-2.1844390000000002E-2</v>
      </c>
      <c r="U2622">
        <v>-0.42965700000000001</v>
      </c>
      <c r="V2622">
        <v>5.7014950000000002E-2</v>
      </c>
      <c r="W2622">
        <v>0.1832395</v>
      </c>
      <c r="X2622">
        <v>0.98141350000000005</v>
      </c>
      <c r="Y2622">
        <v>-0.13095480000000001</v>
      </c>
      <c r="Z2622">
        <v>-1.5034200000000001E-3</v>
      </c>
      <c r="AA2622">
        <v>0.99138720000000002</v>
      </c>
      <c r="AB2622">
        <v>38</v>
      </c>
      <c r="AC2622">
        <v>-137.44630000000001</v>
      </c>
      <c r="AD2622">
        <v>-0.97894349999999997</v>
      </c>
      <c r="AE2622">
        <v>-19.2517</v>
      </c>
      <c r="AF2622">
        <v>-18.205826665130399</v>
      </c>
      <c r="AG2622">
        <v>-0.97894349999999997</v>
      </c>
      <c r="AH2622">
        <v>137.581774571685</v>
      </c>
      <c r="AI2622">
        <v>90.404150105191803</v>
      </c>
      <c r="AJ2622">
        <v>97.538002076103396</v>
      </c>
      <c r="AK2622">
        <v>138.78456380026901</v>
      </c>
      <c r="AL2622">
        <v>79.441490652995796</v>
      </c>
      <c r="AM2622">
        <v>86.675154381330003</v>
      </c>
      <c r="AN2622">
        <v>0.99999993843299895</v>
      </c>
    </row>
    <row r="2623" spans="1:40" x14ac:dyDescent="0.25">
      <c r="A2623" t="str">
        <f>"20190303170308474"</f>
        <v>20190303170308474</v>
      </c>
      <c r="B2623" t="str">
        <f>"1551603788468444"</f>
        <v>1551603788468444</v>
      </c>
      <c r="C2623" t="s">
        <v>40</v>
      </c>
      <c r="D2623">
        <v>4.3217930000000004</v>
      </c>
      <c r="E2623">
        <v>0.4820352</v>
      </c>
      <c r="F2623" t="s">
        <v>62</v>
      </c>
      <c r="G2623">
        <v>-459.3485</v>
      </c>
      <c r="H2623">
        <v>8.0000420000000003E-2</v>
      </c>
      <c r="I2623">
        <v>279.25970000000001</v>
      </c>
      <c r="J2623">
        <v>-375.6728</v>
      </c>
      <c r="K2623">
        <v>1.1214059999999999</v>
      </c>
      <c r="L2623">
        <v>284.46969999999999</v>
      </c>
      <c r="M2623">
        <v>-0.99986079999999999</v>
      </c>
      <c r="N2623">
        <v>-1.4907399999999901E-2</v>
      </c>
      <c r="O2623">
        <v>-7.5021030000000004E-3</v>
      </c>
      <c r="P2623">
        <v>-0.98441109999999998</v>
      </c>
      <c r="Q2623">
        <v>0.16871529999999901</v>
      </c>
      <c r="R2623">
        <v>4.9701479999999999E-2</v>
      </c>
      <c r="S2623">
        <v>-3.0634769999999998</v>
      </c>
      <c r="T2623">
        <v>-3.7993909999999999E-2</v>
      </c>
      <c r="U2623">
        <v>-0.19015499999999999</v>
      </c>
      <c r="V2623">
        <v>5.7149539999999999E-2</v>
      </c>
      <c r="W2623">
        <v>0.18334590000000001</v>
      </c>
      <c r="X2623">
        <v>0.98138590000000003</v>
      </c>
      <c r="Y2623">
        <v>-5.4452960000000002E-2</v>
      </c>
      <c r="Z2623">
        <v>-7.6245429999999997E-4</v>
      </c>
      <c r="AA2623">
        <v>0.99851599999999996</v>
      </c>
      <c r="AB2623">
        <v>38</v>
      </c>
      <c r="AC2623">
        <v>-83.675700000000006</v>
      </c>
      <c r="AD2623">
        <v>-1.0414055799999999</v>
      </c>
      <c r="AE2623">
        <v>-5.2099999999999804</v>
      </c>
      <c r="AF2623">
        <v>-4.5813330185530203</v>
      </c>
      <c r="AG2623">
        <v>-1.0414055799999999</v>
      </c>
      <c r="AH2623">
        <v>83.699520363121195</v>
      </c>
      <c r="AI2623">
        <v>90.711783025215695</v>
      </c>
      <c r="AJ2623">
        <v>93.132985433484393</v>
      </c>
      <c r="AK2623">
        <v>83.831276065830494</v>
      </c>
      <c r="AL2623">
        <v>79.435290372707399</v>
      </c>
      <c r="AM2623">
        <v>86.667229876045297</v>
      </c>
      <c r="AN2623">
        <v>1.0000000368439099</v>
      </c>
    </row>
    <row r="2624" spans="1:40" x14ac:dyDescent="0.25">
      <c r="A2624" t="str">
        <f>"20190303170308487"</f>
        <v>20190303170308487</v>
      </c>
      <c r="B2624" t="str">
        <f>"1551603788478205"</f>
        <v>1551603788478205</v>
      </c>
      <c r="C2624" t="s">
        <v>40</v>
      </c>
      <c r="D2624">
        <v>4.29209</v>
      </c>
      <c r="E2624">
        <v>0.4898439</v>
      </c>
      <c r="F2624" t="s">
        <v>62</v>
      </c>
      <c r="G2624">
        <v>-459.68959999999998</v>
      </c>
      <c r="H2624" s="1">
        <v>3.661951E-6</v>
      </c>
      <c r="I2624">
        <v>283.64580000000001</v>
      </c>
      <c r="J2624">
        <v>-375.88330000000002</v>
      </c>
      <c r="K2624">
        <v>1.121405</v>
      </c>
      <c r="L2624">
        <v>284.46820000000002</v>
      </c>
      <c r="M2624">
        <v>-0.99986140000000001</v>
      </c>
      <c r="N2624">
        <v>-1.490501E-2</v>
      </c>
      <c r="O2624">
        <v>-7.4334269999999899E-3</v>
      </c>
      <c r="P2624">
        <v>-0.9844117</v>
      </c>
      <c r="Q2624">
        <v>0.1687545</v>
      </c>
      <c r="R2624">
        <v>4.9554239999999999E-2</v>
      </c>
      <c r="S2624">
        <v>-3.0559690000000002</v>
      </c>
      <c r="T2624">
        <v>-4.078913E-2</v>
      </c>
      <c r="U2624">
        <v>-2.996826E-2</v>
      </c>
      <c r="V2624">
        <v>5.6934619999999998E-2</v>
      </c>
      <c r="W2624">
        <v>0.18338289999999999</v>
      </c>
      <c r="X2624">
        <v>0.98139140000000002</v>
      </c>
      <c r="Y2624">
        <v>-2.3713929999999999E-3</v>
      </c>
      <c r="Z2624" s="1">
        <v>-4.5093619999999999E-5</v>
      </c>
      <c r="AA2624">
        <v>0.99999720000000003</v>
      </c>
      <c r="AB2624">
        <v>38</v>
      </c>
      <c r="AC2624">
        <v>-83.806299999999894</v>
      </c>
      <c r="AD2624">
        <v>-1.121401338049</v>
      </c>
      <c r="AE2624">
        <v>-0.82240000000001501</v>
      </c>
      <c r="AF2624">
        <v>-0.199304441100351</v>
      </c>
      <c r="AG2624">
        <v>-1.121401338049</v>
      </c>
      <c r="AH2624">
        <v>83.795096112607297</v>
      </c>
      <c r="AI2624">
        <v>90.766722037115201</v>
      </c>
      <c r="AJ2624">
        <v>90.136276253737606</v>
      </c>
      <c r="AK2624">
        <v>83.802836442105701</v>
      </c>
      <c r="AL2624">
        <v>79.433133038506099</v>
      </c>
      <c r="AM2624">
        <v>86.679753764771107</v>
      </c>
      <c r="AN2624">
        <v>0.99999995948045595</v>
      </c>
    </row>
    <row r="2625" spans="1:40" x14ac:dyDescent="0.25">
      <c r="A2625" t="str">
        <f>"20190303170308501"</f>
        <v>20190303170308501</v>
      </c>
      <c r="B2625" t="str">
        <f>"1551603788487966"</f>
        <v>1551603788487966</v>
      </c>
      <c r="C2625" t="s">
        <v>40</v>
      </c>
      <c r="D2625">
        <v>4.4025559999999997</v>
      </c>
      <c r="E2625">
        <v>0.4898439</v>
      </c>
      <c r="F2625" t="s">
        <v>62</v>
      </c>
      <c r="G2625">
        <v>-454.94850000000002</v>
      </c>
      <c r="H2625" s="1">
        <v>1.066997E-6</v>
      </c>
      <c r="I2625">
        <v>285.29239999999999</v>
      </c>
      <c r="J2625">
        <v>-376.09730000000002</v>
      </c>
      <c r="K2625">
        <v>1.12141</v>
      </c>
      <c r="L2625">
        <v>284.4667</v>
      </c>
      <c r="M2625">
        <v>-0.99986200000000003</v>
      </c>
      <c r="N2625">
        <v>-1.490258E-2</v>
      </c>
      <c r="O2625">
        <v>-7.3634379999999999E-3</v>
      </c>
      <c r="P2625">
        <v>-0.98443749999999997</v>
      </c>
      <c r="Q2625">
        <v>0.16861770000000001</v>
      </c>
      <c r="R2625">
        <v>4.9506189999999999E-2</v>
      </c>
      <c r="S2625">
        <v>-3.0533450000000002</v>
      </c>
      <c r="T2625">
        <v>-4.330647E-2</v>
      </c>
      <c r="U2625">
        <v>3.1829830000000003E-2</v>
      </c>
      <c r="V2625">
        <v>5.681783E-2</v>
      </c>
      <c r="W2625">
        <v>0.1832442</v>
      </c>
      <c r="X2625">
        <v>0.98142419999999997</v>
      </c>
      <c r="Y2625">
        <v>1.7783920000000002E-2</v>
      </c>
      <c r="Z2625">
        <v>2.533379E-4</v>
      </c>
      <c r="AA2625">
        <v>0.9998418</v>
      </c>
      <c r="AB2625">
        <v>38</v>
      </c>
      <c r="AC2625">
        <v>-78.851200000000006</v>
      </c>
      <c r="AD2625">
        <v>-1.1214089330029999</v>
      </c>
      <c r="AE2625">
        <v>0.825699999999983</v>
      </c>
      <c r="AF2625">
        <v>1.4060735597792799</v>
      </c>
      <c r="AG2625">
        <v>-1.1214089330029999</v>
      </c>
      <c r="AH2625">
        <v>78.827039306691006</v>
      </c>
      <c r="AI2625">
        <v>90.814916408715604</v>
      </c>
      <c r="AJ2625">
        <v>88.978097633408396</v>
      </c>
      <c r="AK2625">
        <v>78.847553714171298</v>
      </c>
      <c r="AL2625">
        <v>79.441218252492902</v>
      </c>
      <c r="AM2625">
        <v>86.686659887488702</v>
      </c>
      <c r="AN2625">
        <v>1.00000008149259</v>
      </c>
    </row>
    <row r="2626" spans="1:40" x14ac:dyDescent="0.25">
      <c r="A2626" t="str">
        <f>"20190303170308518"</f>
        <v>20190303170308518</v>
      </c>
      <c r="B2626" t="str">
        <f>"1551603788508461"</f>
        <v>1551603788508461</v>
      </c>
      <c r="C2626" t="s">
        <v>40</v>
      </c>
      <c r="D2626">
        <v>4.3664550000000002</v>
      </c>
      <c r="E2626">
        <v>0.53293100000000004</v>
      </c>
      <c r="F2626" t="s">
        <v>62</v>
      </c>
      <c r="G2626">
        <v>-454.40300000000002</v>
      </c>
      <c r="H2626" s="1">
        <v>7.7752880000000004E-7</v>
      </c>
      <c r="I2626">
        <v>285.27440000000001</v>
      </c>
      <c r="J2626">
        <v>-376.38220000000001</v>
      </c>
      <c r="K2626">
        <v>1.12141</v>
      </c>
      <c r="L2626">
        <v>284.46469999999999</v>
      </c>
      <c r="M2626">
        <v>-0.99986269999999999</v>
      </c>
      <c r="N2626">
        <v>-1.489935E-2</v>
      </c>
      <c r="O2626">
        <v>-7.2704359999999999E-3</v>
      </c>
      <c r="P2626">
        <v>-0.98443440000000004</v>
      </c>
      <c r="Q2626">
        <v>0.1686483</v>
      </c>
      <c r="R2626">
        <v>4.9467940000000002E-2</v>
      </c>
      <c r="S2626">
        <v>-3.0533450000000002</v>
      </c>
      <c r="T2626">
        <v>-4.3726679999999997E-2</v>
      </c>
      <c r="U2626">
        <v>3.1494139999999997E-2</v>
      </c>
      <c r="V2626">
        <v>5.668807E-2</v>
      </c>
      <c r="W2626">
        <v>0.18327180000000001</v>
      </c>
      <c r="X2626">
        <v>0.98142649999999998</v>
      </c>
      <c r="Y2626">
        <v>1.7580999999999999E-2</v>
      </c>
      <c r="Z2626">
        <v>2.5265889999999999E-4</v>
      </c>
      <c r="AA2626">
        <v>0.9998454</v>
      </c>
      <c r="AB2626">
        <v>38</v>
      </c>
      <c r="AC2626">
        <v>-78.020799999999994</v>
      </c>
      <c r="AD2626">
        <v>-1.1214092224712</v>
      </c>
      <c r="AE2626">
        <v>0.80970000000001996</v>
      </c>
      <c r="AF2626">
        <v>1.37670234268533</v>
      </c>
      <c r="AG2626">
        <v>-1.1214092224712</v>
      </c>
      <c r="AH2626">
        <v>77.996738388194402</v>
      </c>
      <c r="AI2626">
        <v>90.823593212641299</v>
      </c>
      <c r="AJ2626">
        <v>88.988790487344502</v>
      </c>
      <c r="AK2626">
        <v>78.016947307498796</v>
      </c>
      <c r="AL2626">
        <v>79.439609123064002</v>
      </c>
      <c r="AM2626">
        <v>86.694217789732406</v>
      </c>
      <c r="AN2626">
        <v>1.0000000324289</v>
      </c>
    </row>
    <row r="2627" spans="1:40" x14ac:dyDescent="0.25">
      <c r="A2627" t="str">
        <f>"20190303170308530"</f>
        <v>20190303170308530</v>
      </c>
      <c r="B2627" t="str">
        <f>"1551603788518221"</f>
        <v>1551603788518221</v>
      </c>
      <c r="C2627" t="s">
        <v>40</v>
      </c>
      <c r="D2627">
        <v>4.2774720000000004</v>
      </c>
      <c r="E2627">
        <v>0.53209090000000003</v>
      </c>
      <c r="F2627" t="s">
        <v>44</v>
      </c>
      <c r="G2627">
        <v>-471.05799999999999</v>
      </c>
      <c r="H2627">
        <v>-0.05</v>
      </c>
      <c r="I2627">
        <v>296.19799999999998</v>
      </c>
      <c r="J2627">
        <v>-376.61590000000001</v>
      </c>
      <c r="K2627">
        <v>1.1214120000000001</v>
      </c>
      <c r="L2627">
        <v>284.4631</v>
      </c>
      <c r="M2627">
        <v>-0.99986330000000001</v>
      </c>
      <c r="N2627">
        <v>-1.4896700000000001E-2</v>
      </c>
      <c r="O2627">
        <v>-7.1938920000000003E-3</v>
      </c>
      <c r="P2627">
        <v>-0.98440870000000003</v>
      </c>
      <c r="Q2627">
        <v>0.1688991</v>
      </c>
      <c r="R2627">
        <v>4.9123420000000001E-2</v>
      </c>
      <c r="S2627">
        <v>-3.0349729999999999</v>
      </c>
      <c r="T2627">
        <v>-3.7551279999999999E-2</v>
      </c>
      <c r="U2627">
        <v>0.3761292</v>
      </c>
      <c r="V2627">
        <v>5.6268100000000001E-2</v>
      </c>
      <c r="W2627">
        <v>0.18351980000000001</v>
      </c>
      <c r="X2627">
        <v>0.98140430000000001</v>
      </c>
      <c r="Y2627">
        <v>0.13010579999999999</v>
      </c>
      <c r="Z2627">
        <v>1.756617E-3</v>
      </c>
      <c r="AA2627">
        <v>0.99149860000000001</v>
      </c>
      <c r="AB2627">
        <v>38</v>
      </c>
      <c r="AC2627">
        <v>-94.442099999999996</v>
      </c>
      <c r="AD2627">
        <v>-1.1714119999999999</v>
      </c>
      <c r="AE2627">
        <v>11.7348999999999</v>
      </c>
      <c r="AF2627">
        <v>12.4121973034714</v>
      </c>
      <c r="AG2627">
        <v>-1.1714119999999999</v>
      </c>
      <c r="AH2627">
        <v>94.340933321356999</v>
      </c>
      <c r="AI2627">
        <v>90.705315679006603</v>
      </c>
      <c r="AJ2627">
        <v>82.504789139429803</v>
      </c>
      <c r="AK2627">
        <v>95.161160921453501</v>
      </c>
      <c r="AL2627">
        <v>79.425154348796099</v>
      </c>
      <c r="AM2627">
        <v>86.718580690334093</v>
      </c>
      <c r="AN2627">
        <v>1.0000000080640701</v>
      </c>
    </row>
    <row r="2628" spans="1:40" x14ac:dyDescent="0.25">
      <c r="A2628" t="str">
        <f>"20190303170308546"</f>
        <v>20190303170308546</v>
      </c>
      <c r="B2628" t="str">
        <f>"1551603788537741"</f>
        <v>1551603788537741</v>
      </c>
      <c r="C2628" t="s">
        <v>40</v>
      </c>
      <c r="D2628">
        <v>4.2764490000000004</v>
      </c>
      <c r="E2628">
        <v>0.53064449999999996</v>
      </c>
      <c r="F2628" t="s">
        <v>62</v>
      </c>
      <c r="G2628">
        <v>-453.31630000000001</v>
      </c>
      <c r="H2628">
        <v>8.0000589999999996E-2</v>
      </c>
      <c r="I2628">
        <v>293.75810000000001</v>
      </c>
      <c r="J2628">
        <v>-376.86110000000002</v>
      </c>
      <c r="K2628">
        <v>1.1214139999999999</v>
      </c>
      <c r="L2628">
        <v>284.46140000000003</v>
      </c>
      <c r="M2628">
        <v>-0.99986390000000003</v>
      </c>
      <c r="N2628">
        <v>-1.489392E-2</v>
      </c>
      <c r="O2628">
        <v>-7.1140040000000002E-3</v>
      </c>
      <c r="P2628">
        <v>-0.98440519999999998</v>
      </c>
      <c r="Q2628">
        <v>0.16879269999999999</v>
      </c>
      <c r="R2628">
        <v>4.955884E-2</v>
      </c>
      <c r="S2628">
        <v>-3.0362550000000001</v>
      </c>
      <c r="T2628">
        <v>-4.1225190000000002E-2</v>
      </c>
      <c r="U2628">
        <v>0.36795040000000001</v>
      </c>
      <c r="V2628">
        <v>5.6625059999999998E-2</v>
      </c>
      <c r="W2628">
        <v>0.18341060000000001</v>
      </c>
      <c r="X2628">
        <v>0.98140419999999995</v>
      </c>
      <c r="Y2628">
        <v>0.12734110000000001</v>
      </c>
      <c r="Z2628">
        <v>1.8038900000000001E-3</v>
      </c>
      <c r="AA2628">
        <v>0.99185730000000005</v>
      </c>
      <c r="AB2628">
        <v>38</v>
      </c>
      <c r="AC2628">
        <v>-76.455199999999905</v>
      </c>
      <c r="AD2628">
        <v>-1.0414134100000001</v>
      </c>
      <c r="AE2628">
        <v>9.29669999999998</v>
      </c>
      <c r="AF2628">
        <v>9.8386287220613298</v>
      </c>
      <c r="AG2628">
        <v>-1.0414134100000001</v>
      </c>
      <c r="AH2628">
        <v>76.373157154513905</v>
      </c>
      <c r="AI2628">
        <v>90.7748265770487</v>
      </c>
      <c r="AJ2628">
        <v>82.659407198265598</v>
      </c>
      <c r="AK2628">
        <v>77.011312745395898</v>
      </c>
      <c r="AL2628">
        <v>79.431519259321405</v>
      </c>
      <c r="AM2628">
        <v>86.697809235151098</v>
      </c>
      <c r="AN2628">
        <v>1.000000024695</v>
      </c>
    </row>
    <row r="2629" spans="1:40" x14ac:dyDescent="0.25">
      <c r="A2629" t="str">
        <f>"20190303170308564"</f>
        <v>20190303170308564</v>
      </c>
      <c r="B2629" t="str">
        <f>"1551603788558237"</f>
        <v>1551603788558237</v>
      </c>
      <c r="C2629" t="s">
        <v>40</v>
      </c>
      <c r="D2629">
        <v>4.3403519999999904</v>
      </c>
      <c r="E2629">
        <v>0.5305185</v>
      </c>
      <c r="F2629" t="s">
        <v>62</v>
      </c>
      <c r="G2629">
        <v>-448.49509999999998</v>
      </c>
      <c r="H2629">
        <v>8.0000680000000005E-2</v>
      </c>
      <c r="I2629">
        <v>292.89449999999999</v>
      </c>
      <c r="J2629">
        <v>-377.1705</v>
      </c>
      <c r="K2629">
        <v>1.1214189999999999</v>
      </c>
      <c r="L2629">
        <v>284.45929999999998</v>
      </c>
      <c r="M2629">
        <v>-0.99986470000000005</v>
      </c>
      <c r="N2629">
        <v>-1.489041E-2</v>
      </c>
      <c r="O2629">
        <v>-7.0132509999999999E-3</v>
      </c>
      <c r="P2629">
        <v>-0.98429140000000004</v>
      </c>
      <c r="Q2629">
        <v>0.16925870000000001</v>
      </c>
      <c r="R2629">
        <v>5.0221630000000003E-2</v>
      </c>
      <c r="S2629">
        <v>-3.0371090000000001</v>
      </c>
      <c r="T2629">
        <v>-4.4153449999999997E-2</v>
      </c>
      <c r="U2629">
        <v>0.35754390000000003</v>
      </c>
      <c r="V2629">
        <v>5.7187880000000003E-2</v>
      </c>
      <c r="W2629">
        <v>0.1838708</v>
      </c>
      <c r="X2629">
        <v>0.98128539999999997</v>
      </c>
      <c r="Y2629">
        <v>0.1238544</v>
      </c>
      <c r="Z2629">
        <v>1.8201420000000001E-3</v>
      </c>
      <c r="AA2629">
        <v>0.99229869999999998</v>
      </c>
      <c r="AB2629">
        <v>38</v>
      </c>
      <c r="AC2629">
        <v>-71.324599999999904</v>
      </c>
      <c r="AD2629">
        <v>-1.04141832</v>
      </c>
      <c r="AE2629">
        <v>8.4352</v>
      </c>
      <c r="AF2629">
        <v>8.9333869506543895</v>
      </c>
      <c r="AG2629">
        <v>-1.04141832</v>
      </c>
      <c r="AH2629">
        <v>71.248700629909493</v>
      </c>
      <c r="AI2629">
        <v>90.8309085886182</v>
      </c>
      <c r="AJ2629">
        <v>82.853369187805896</v>
      </c>
      <c r="AK2629">
        <v>71.814116272344506</v>
      </c>
      <c r="AL2629">
        <v>79.404695089203699</v>
      </c>
      <c r="AM2629">
        <v>86.664658271732193</v>
      </c>
      <c r="AN2629">
        <v>0.99999998048234695</v>
      </c>
    </row>
    <row r="2630" spans="1:40" x14ac:dyDescent="0.25">
      <c r="A2630" t="str">
        <f>"20190303170308577"</f>
        <v>20190303170308577</v>
      </c>
      <c r="B2630" t="str">
        <f>"1551603788567997"</f>
        <v>1551603788567997</v>
      </c>
      <c r="C2630" t="s">
        <v>40</v>
      </c>
      <c r="D2630">
        <v>4.308789</v>
      </c>
      <c r="E2630">
        <v>0.5304932</v>
      </c>
      <c r="F2630" t="s">
        <v>62</v>
      </c>
      <c r="G2630">
        <v>-449.1078</v>
      </c>
      <c r="H2630">
        <v>8.0000859999999993E-2</v>
      </c>
      <c r="I2630">
        <v>292.94380000000001</v>
      </c>
      <c r="J2630">
        <v>-377.38600000000002</v>
      </c>
      <c r="K2630">
        <v>1.121418</v>
      </c>
      <c r="L2630">
        <v>284.4579</v>
      </c>
      <c r="M2630">
        <v>-0.99986520000000001</v>
      </c>
      <c r="N2630">
        <v>-1.488797E-2</v>
      </c>
      <c r="O2630">
        <v>-6.9430239999999999E-3</v>
      </c>
      <c r="P2630">
        <v>-0.98421460000000005</v>
      </c>
      <c r="Q2630">
        <v>0.1695962</v>
      </c>
      <c r="R2630">
        <v>5.0587489999999999E-2</v>
      </c>
      <c r="S2630">
        <v>-3.0371700000000001</v>
      </c>
      <c r="T2630">
        <v>-4.3968319999999998E-2</v>
      </c>
      <c r="U2630">
        <v>0.35821530000000001</v>
      </c>
      <c r="V2630">
        <v>5.7484140000000003E-2</v>
      </c>
      <c r="W2630">
        <v>0.18420500000000001</v>
      </c>
      <c r="X2630">
        <v>0.98120540000000001</v>
      </c>
      <c r="Y2630">
        <v>0.1239989</v>
      </c>
      <c r="Z2630">
        <v>1.8179489999999999E-3</v>
      </c>
      <c r="AA2630">
        <v>0.99228070000000002</v>
      </c>
      <c r="AB2630">
        <v>37</v>
      </c>
      <c r="AC2630">
        <v>-71.721800000000002</v>
      </c>
      <c r="AD2630">
        <v>-1.0414171400000001</v>
      </c>
      <c r="AE2630">
        <v>8.4859000000000098</v>
      </c>
      <c r="AF2630">
        <v>8.9818491617580793</v>
      </c>
      <c r="AG2630">
        <v>-1.0414171400000001</v>
      </c>
      <c r="AH2630">
        <v>71.646249425203095</v>
      </c>
      <c r="AI2630">
        <v>90.826299739664904</v>
      </c>
      <c r="AJ2630">
        <v>82.854458622912603</v>
      </c>
      <c r="AK2630">
        <v>72.214563771599998</v>
      </c>
      <c r="AL2630">
        <v>79.385214003335903</v>
      </c>
      <c r="AM2630">
        <v>86.647146230618503</v>
      </c>
      <c r="AN2630">
        <v>0.99999997268284901</v>
      </c>
    </row>
    <row r="2631" spans="1:40" x14ac:dyDescent="0.25">
      <c r="A2631" t="str">
        <f>"20190303170308597"</f>
        <v>20190303170308597</v>
      </c>
      <c r="B2631" t="str">
        <f>"1551603788588493"</f>
        <v>1551603788588493</v>
      </c>
      <c r="C2631" t="s">
        <v>40</v>
      </c>
      <c r="D2631">
        <v>4.3068330000000001</v>
      </c>
      <c r="E2631">
        <v>0.53021119999999899</v>
      </c>
      <c r="F2631" t="s">
        <v>62</v>
      </c>
      <c r="G2631">
        <v>-451.55669999999998</v>
      </c>
      <c r="H2631">
        <v>8.0000100000000005E-2</v>
      </c>
      <c r="I2631">
        <v>293.22559999999999</v>
      </c>
      <c r="J2631">
        <v>-377.71589999999998</v>
      </c>
      <c r="K2631">
        <v>1.121421</v>
      </c>
      <c r="L2631">
        <v>284.45569999999998</v>
      </c>
      <c r="M2631">
        <v>-0.99986589999999997</v>
      </c>
      <c r="N2631">
        <v>-1.488422E-2</v>
      </c>
      <c r="O2631">
        <v>-6.8353579999999997E-3</v>
      </c>
      <c r="P2631">
        <v>-0.98423530000000004</v>
      </c>
      <c r="Q2631">
        <v>0.16928979999999999</v>
      </c>
      <c r="R2631">
        <v>5.1202320000000003E-2</v>
      </c>
      <c r="S2631">
        <v>-3.0370180000000002</v>
      </c>
      <c r="T2631">
        <v>-4.2642239999999998E-2</v>
      </c>
      <c r="U2631">
        <v>0.35900880000000002</v>
      </c>
      <c r="V2631">
        <v>5.7993030000000001E-2</v>
      </c>
      <c r="W2631">
        <v>0.1838948</v>
      </c>
      <c r="X2631">
        <v>0.98123369999999999</v>
      </c>
      <c r="Y2631">
        <v>0.1241546</v>
      </c>
      <c r="Z2631">
        <v>1.790137E-3</v>
      </c>
      <c r="AA2631">
        <v>0.99226130000000001</v>
      </c>
      <c r="AB2631">
        <v>37</v>
      </c>
      <c r="AC2631">
        <v>-73.840800000000002</v>
      </c>
      <c r="AD2631">
        <v>-1.0414209000000001</v>
      </c>
      <c r="AE2631">
        <v>8.7698999999999998</v>
      </c>
      <c r="AF2631">
        <v>9.2726604958356305</v>
      </c>
      <c r="AG2631">
        <v>-1.0414209000000001</v>
      </c>
      <c r="AH2631">
        <v>73.764654008683195</v>
      </c>
      <c r="AI2631">
        <v>90.802541826803903</v>
      </c>
      <c r="AJ2631">
        <v>82.835157930538202</v>
      </c>
      <c r="AK2631">
        <v>74.352477908827794</v>
      </c>
      <c r="AL2631">
        <v>79.403296682688193</v>
      </c>
      <c r="AM2631">
        <v>86.617630355618203</v>
      </c>
      <c r="AN2631">
        <v>1.0000000315056501</v>
      </c>
    </row>
    <row r="2632" spans="1:40" x14ac:dyDescent="0.25">
      <c r="A2632" t="str">
        <f>"20190303170308608"</f>
        <v>20190303170308608</v>
      </c>
      <c r="B2632" t="str">
        <f>"1551603788598253"</f>
        <v>1551603788598253</v>
      </c>
      <c r="C2632" t="s">
        <v>40</v>
      </c>
      <c r="D2632">
        <v>4.2811159999999999</v>
      </c>
      <c r="E2632">
        <v>0.530277</v>
      </c>
      <c r="F2632" t="s">
        <v>62</v>
      </c>
      <c r="G2632">
        <v>-447.60590000000002</v>
      </c>
      <c r="H2632">
        <v>8.0000429999999997E-2</v>
      </c>
      <c r="I2632">
        <v>292.70859999999999</v>
      </c>
      <c r="J2632">
        <v>-377.92059999999998</v>
      </c>
      <c r="K2632">
        <v>1.1214200000000001</v>
      </c>
      <c r="L2632">
        <v>284.45429999999999</v>
      </c>
      <c r="M2632">
        <v>-0.99986640000000004</v>
      </c>
      <c r="N2632">
        <v>-1.488189E-2</v>
      </c>
      <c r="O2632">
        <v>-6.7689439999999998E-3</v>
      </c>
      <c r="P2632">
        <v>-0.98421380000000003</v>
      </c>
      <c r="Q2632">
        <v>0.1693665</v>
      </c>
      <c r="R2632">
        <v>5.1367700000000002E-2</v>
      </c>
      <c r="S2632">
        <v>-3.0371700000000001</v>
      </c>
      <c r="T2632">
        <v>-4.5256379999999999E-2</v>
      </c>
      <c r="U2632">
        <v>0.35864259999999998</v>
      </c>
      <c r="V2632">
        <v>5.8093029999999997E-2</v>
      </c>
      <c r="W2632">
        <v>0.1839693</v>
      </c>
      <c r="X2632">
        <v>0.98121380000000002</v>
      </c>
      <c r="Y2632">
        <v>0.1239627</v>
      </c>
      <c r="Z2632">
        <v>1.8462070000000001E-3</v>
      </c>
      <c r="AA2632">
        <v>0.99228519999999998</v>
      </c>
      <c r="AB2632">
        <v>37</v>
      </c>
      <c r="AC2632">
        <v>-69.685299999999998</v>
      </c>
      <c r="AD2632">
        <v>-1.04141957</v>
      </c>
      <c r="AE2632">
        <v>8.2543000000000006</v>
      </c>
      <c r="AF2632">
        <v>8.7239375092460794</v>
      </c>
      <c r="AG2632">
        <v>-1.04141957</v>
      </c>
      <c r="AH2632">
        <v>69.612491881025505</v>
      </c>
      <c r="AI2632">
        <v>90.850443364621299</v>
      </c>
      <c r="AJ2632">
        <v>82.856850729011398</v>
      </c>
      <c r="AK2632">
        <v>70.164739479825997</v>
      </c>
      <c r="AL2632">
        <v>79.398953852605501</v>
      </c>
      <c r="AM2632">
        <v>86.611743003023903</v>
      </c>
      <c r="AN2632">
        <v>1.00000001239375</v>
      </c>
    </row>
    <row r="2633" spans="1:40" x14ac:dyDescent="0.25">
      <c r="A2633" t="str">
        <f>"20190303170308623"</f>
        <v>20190303170308623</v>
      </c>
      <c r="B2633" t="str">
        <f>"1551603788617774"</f>
        <v>1551603788617774</v>
      </c>
      <c r="C2633" t="s">
        <v>40</v>
      </c>
      <c r="D2633">
        <v>4.3208989999999998</v>
      </c>
      <c r="E2633">
        <v>0.53044530000000001</v>
      </c>
      <c r="F2633" t="s">
        <v>62</v>
      </c>
      <c r="G2633">
        <v>-447.93029999999999</v>
      </c>
      <c r="H2633">
        <v>8.0000520000000006E-2</v>
      </c>
      <c r="I2633">
        <v>292.74889999999999</v>
      </c>
      <c r="J2633">
        <v>-378.12259999999998</v>
      </c>
      <c r="K2633">
        <v>1.1214219999999999</v>
      </c>
      <c r="L2633">
        <v>284.45299999999997</v>
      </c>
      <c r="M2633">
        <v>-0.9998669</v>
      </c>
      <c r="N2633">
        <v>-1.48796E-2</v>
      </c>
      <c r="O2633">
        <v>-6.7027719999999897E-3</v>
      </c>
      <c r="P2633">
        <v>-0.98426199999999997</v>
      </c>
      <c r="Q2633">
        <v>0.16897329999999999</v>
      </c>
      <c r="R2633">
        <v>5.1734269999999999E-2</v>
      </c>
      <c r="S2633">
        <v>-3.03714</v>
      </c>
      <c r="T2633">
        <v>-4.5178530000000001E-2</v>
      </c>
      <c r="U2633">
        <v>0.35983280000000001</v>
      </c>
      <c r="V2633">
        <v>5.8394580000000001E-2</v>
      </c>
      <c r="W2633">
        <v>0.1835746</v>
      </c>
      <c r="X2633">
        <v>0.98126979999999997</v>
      </c>
      <c r="Y2633">
        <v>0.12428160000000001</v>
      </c>
      <c r="Z2633">
        <v>1.849081E-3</v>
      </c>
      <c r="AA2633">
        <v>0.9922453</v>
      </c>
      <c r="AB2633">
        <v>37</v>
      </c>
      <c r="AC2633">
        <v>-69.807699999999997</v>
      </c>
      <c r="AD2633">
        <v>-1.0414214799999999</v>
      </c>
      <c r="AE2633">
        <v>8.2959000000000103</v>
      </c>
      <c r="AF2633">
        <v>8.7617476145274402</v>
      </c>
      <c r="AG2633">
        <v>-1.0414214799999999</v>
      </c>
      <c r="AH2633">
        <v>69.735215718351299</v>
      </c>
      <c r="AI2633">
        <v>90.848914756273004</v>
      </c>
      <c r="AJ2633">
        <v>82.838707350578204</v>
      </c>
      <c r="AK2633">
        <v>70.291202089910698</v>
      </c>
      <c r="AL2633">
        <v>79.4219600884351</v>
      </c>
      <c r="AM2633">
        <v>86.594390399974401</v>
      </c>
      <c r="AN2633">
        <v>0.99999999056528799</v>
      </c>
    </row>
    <row r="2634" spans="1:40" x14ac:dyDescent="0.25">
      <c r="A2634" t="str">
        <f>"20190303170308634"</f>
        <v>20190303170308634</v>
      </c>
      <c r="B2634" t="str">
        <f>"1551603788628509"</f>
        <v>1551603788628509</v>
      </c>
      <c r="C2634" t="s">
        <v>40</v>
      </c>
      <c r="D2634">
        <v>4.4130909999999997</v>
      </c>
      <c r="E2634">
        <v>0.53082799999999997</v>
      </c>
      <c r="F2634" t="s">
        <v>62</v>
      </c>
      <c r="G2634">
        <v>-445.09449999999998</v>
      </c>
      <c r="H2634">
        <v>7.9999699999999896E-2</v>
      </c>
      <c r="I2634">
        <v>292.44110000000001</v>
      </c>
      <c r="J2634">
        <v>-378.35019999999997</v>
      </c>
      <c r="K2634">
        <v>1.1214230000000001</v>
      </c>
      <c r="L2634">
        <v>284.45159999999998</v>
      </c>
      <c r="M2634">
        <v>-0.99986739999999996</v>
      </c>
      <c r="N2634">
        <v>-1.4877039999999999E-2</v>
      </c>
      <c r="O2634">
        <v>-6.6281380000000004E-3</v>
      </c>
      <c r="P2634">
        <v>-0.9842824</v>
      </c>
      <c r="Q2634">
        <v>0.1688606</v>
      </c>
      <c r="R2634">
        <v>5.1714990000000002E-2</v>
      </c>
      <c r="S2634">
        <v>-3.037048</v>
      </c>
      <c r="T2634">
        <v>-4.7226549999999999E-2</v>
      </c>
      <c r="U2634">
        <v>0.3622437</v>
      </c>
      <c r="V2634">
        <v>5.8301699999999901E-2</v>
      </c>
      <c r="W2634">
        <v>0.18345980000000001</v>
      </c>
      <c r="X2634">
        <v>0.98129679999999997</v>
      </c>
      <c r="Y2634">
        <v>0.12498570000000001</v>
      </c>
      <c r="Z2634">
        <v>1.905889E-3</v>
      </c>
      <c r="AA2634">
        <v>0.9921567</v>
      </c>
      <c r="AB2634">
        <v>37</v>
      </c>
      <c r="AC2634">
        <v>-66.744299999999996</v>
      </c>
      <c r="AD2634">
        <v>-1.0414232999999999</v>
      </c>
      <c r="AE2634">
        <v>7.98950000000002</v>
      </c>
      <c r="AF2634">
        <v>8.4297405333667097</v>
      </c>
      <c r="AG2634">
        <v>-1.0414232999999999</v>
      </c>
      <c r="AH2634">
        <v>66.673869116774597</v>
      </c>
      <c r="AI2634">
        <v>90.887801392000796</v>
      </c>
      <c r="AJ2634">
        <v>82.794187352748196</v>
      </c>
      <c r="AK2634">
        <v>67.212721347602397</v>
      </c>
      <c r="AL2634">
        <v>79.4286513641064</v>
      </c>
      <c r="AM2634">
        <v>86.599887838254205</v>
      </c>
      <c r="AN2634">
        <v>0.99999999806458495</v>
      </c>
    </row>
    <row r="2635" spans="1:40" x14ac:dyDescent="0.25">
      <c r="A2635" t="str">
        <f>"20190303170308647"</f>
        <v>20190303170308647</v>
      </c>
      <c r="B2635" t="str">
        <f>"1551603788638268"</f>
        <v>1551603788638268</v>
      </c>
      <c r="C2635" t="s">
        <v>40</v>
      </c>
      <c r="D2635">
        <v>4.2917459999999998</v>
      </c>
      <c r="E2635">
        <v>0.53092589999999995</v>
      </c>
      <c r="F2635" t="s">
        <v>62</v>
      </c>
      <c r="G2635">
        <v>-445.49689999999998</v>
      </c>
      <c r="H2635">
        <v>7.9999819999999999E-2</v>
      </c>
      <c r="I2635">
        <v>292.52870000000001</v>
      </c>
      <c r="J2635">
        <v>-378.55259999999998</v>
      </c>
      <c r="K2635">
        <v>1.1214219999999999</v>
      </c>
      <c r="L2635">
        <v>284.45030000000003</v>
      </c>
      <c r="M2635">
        <v>-0.99986790000000003</v>
      </c>
      <c r="N2635">
        <v>-1.4874750000000001E-2</v>
      </c>
      <c r="O2635">
        <v>-6.5618469999999896E-3</v>
      </c>
      <c r="P2635">
        <v>-0.9842651</v>
      </c>
      <c r="Q2635">
        <v>0.16882169999999999</v>
      </c>
      <c r="R2635">
        <v>5.216647E-2</v>
      </c>
      <c r="S2635">
        <v>-3.0367739999999999</v>
      </c>
      <c r="T2635">
        <v>-4.7099349999999998E-2</v>
      </c>
      <c r="U2635">
        <v>0.36529539999999999</v>
      </c>
      <c r="V2635">
        <v>5.868781E-2</v>
      </c>
      <c r="W2635">
        <v>0.1834181</v>
      </c>
      <c r="X2635">
        <v>0.98128159999999998</v>
      </c>
      <c r="Y2635">
        <v>0.1259132</v>
      </c>
      <c r="Z2635">
        <v>1.9170190000000001E-3</v>
      </c>
      <c r="AA2635">
        <v>0.99203940000000002</v>
      </c>
      <c r="AB2635">
        <v>37</v>
      </c>
      <c r="AC2635">
        <v>-66.944299999999998</v>
      </c>
      <c r="AD2635">
        <v>-1.0414221800000001</v>
      </c>
      <c r="AE2635">
        <v>8.0783999999999807</v>
      </c>
      <c r="AF2635">
        <v>8.5155216404358907</v>
      </c>
      <c r="AG2635">
        <v>-1.0414221800000001</v>
      </c>
      <c r="AH2635">
        <v>66.873891735037304</v>
      </c>
      <c r="AI2635">
        <v>90.885045450415305</v>
      </c>
      <c r="AJ2635">
        <v>82.743180811752694</v>
      </c>
      <c r="AK2635">
        <v>67.4219256974704</v>
      </c>
      <c r="AL2635">
        <v>79.431082058809807</v>
      </c>
      <c r="AM2635">
        <v>86.577370651028701</v>
      </c>
      <c r="AN2635">
        <v>1.00000001847438</v>
      </c>
    </row>
    <row r="2636" spans="1:40" x14ac:dyDescent="0.25">
      <c r="A2636" t="str">
        <f>"20190303170308660"</f>
        <v>20190303170308660</v>
      </c>
      <c r="B2636" t="str">
        <f>"1551603788648030"</f>
        <v>1551603788648030</v>
      </c>
      <c r="C2636" t="s">
        <v>40</v>
      </c>
      <c r="D2636">
        <v>4.2881609999999997</v>
      </c>
      <c r="E2636">
        <v>0.53098769999999995</v>
      </c>
      <c r="F2636" t="s">
        <v>62</v>
      </c>
      <c r="G2636">
        <v>-445.29860000000002</v>
      </c>
      <c r="H2636">
        <v>7.9999760000000003E-2</v>
      </c>
      <c r="I2636">
        <v>292.53070000000002</v>
      </c>
      <c r="J2636">
        <v>-378.77289999999999</v>
      </c>
      <c r="K2636">
        <v>1.1214230000000001</v>
      </c>
      <c r="L2636">
        <v>284.44889999999998</v>
      </c>
      <c r="M2636">
        <v>-0.99986830000000004</v>
      </c>
      <c r="N2636">
        <v>-1.4872170000000001E-2</v>
      </c>
      <c r="O2636">
        <v>-6.4895939999999996E-3</v>
      </c>
      <c r="P2636">
        <v>-0.98430960000000001</v>
      </c>
      <c r="Q2636">
        <v>0.16847190000000001</v>
      </c>
      <c r="R2636">
        <v>5.2458360000000002E-2</v>
      </c>
      <c r="S2636">
        <v>-3.0365600000000001</v>
      </c>
      <c r="T2636">
        <v>-4.7378780000000002E-2</v>
      </c>
      <c r="U2636">
        <v>0.36761470000000002</v>
      </c>
      <c r="V2636">
        <v>5.890869E-2</v>
      </c>
      <c r="W2636">
        <v>0.18306649999999999</v>
      </c>
      <c r="X2636">
        <v>0.98133400000000004</v>
      </c>
      <c r="Y2636">
        <v>0.12659619999999999</v>
      </c>
      <c r="Z2636">
        <v>1.933674E-3</v>
      </c>
      <c r="AA2636">
        <v>0.99195239999999996</v>
      </c>
      <c r="AB2636">
        <v>37</v>
      </c>
      <c r="AC2636">
        <v>-66.525700000000001</v>
      </c>
      <c r="AD2636">
        <v>-1.0414232400000001</v>
      </c>
      <c r="AE2636">
        <v>8.0818000000000403</v>
      </c>
      <c r="AF2636">
        <v>8.5113468629349995</v>
      </c>
      <c r="AG2636">
        <v>-1.0414232400000001</v>
      </c>
      <c r="AH2636">
        <v>66.455796489728399</v>
      </c>
      <c r="AI2636">
        <v>90.890530967260403</v>
      </c>
      <c r="AJ2636">
        <v>82.701558235961599</v>
      </c>
      <c r="AK2636">
        <v>67.006719624752606</v>
      </c>
      <c r="AL2636">
        <v>79.451574018100303</v>
      </c>
      <c r="AM2636">
        <v>86.564702893159804</v>
      </c>
      <c r="AN2636">
        <v>0.999999998367883</v>
      </c>
    </row>
    <row r="2637" spans="1:40" x14ac:dyDescent="0.25">
      <c r="A2637" t="str">
        <f>"20190303170308672"</f>
        <v>20190303170308672</v>
      </c>
      <c r="B2637" t="str">
        <f>"1551603788657789"</f>
        <v>1551603788657789</v>
      </c>
      <c r="C2637" t="s">
        <v>40</v>
      </c>
      <c r="D2637">
        <v>4.3156999999999996</v>
      </c>
      <c r="E2637">
        <v>0.53110789999999997</v>
      </c>
      <c r="F2637" t="s">
        <v>62</v>
      </c>
      <c r="G2637">
        <v>-443.26830000000001</v>
      </c>
      <c r="H2637">
        <v>8.0000650000000006E-2</v>
      </c>
      <c r="I2637">
        <v>292.2894</v>
      </c>
      <c r="J2637">
        <v>-378.97809999999998</v>
      </c>
      <c r="K2637">
        <v>1.1214200000000001</v>
      </c>
      <c r="L2637">
        <v>284.44760000000002</v>
      </c>
      <c r="M2637">
        <v>-0.9998688</v>
      </c>
      <c r="N2637">
        <v>-1.486965E-2</v>
      </c>
      <c r="O2637">
        <v>-6.4224679999999998E-3</v>
      </c>
      <c r="P2637">
        <v>-0.98427779999999998</v>
      </c>
      <c r="Q2637">
        <v>0.16862559999999999</v>
      </c>
      <c r="R2637">
        <v>5.2564130000000001E-2</v>
      </c>
      <c r="S2637">
        <v>-3.03653</v>
      </c>
      <c r="T2637">
        <v>-4.9031619999999998E-2</v>
      </c>
      <c r="U2637">
        <v>0.36914059999999999</v>
      </c>
      <c r="V2637">
        <v>5.8948359999999998E-2</v>
      </c>
      <c r="W2637">
        <v>0.1832174</v>
      </c>
      <c r="X2637">
        <v>0.9813035</v>
      </c>
      <c r="Y2637">
        <v>0.12702040000000001</v>
      </c>
      <c r="Z2637">
        <v>1.9778780000000002E-3</v>
      </c>
      <c r="AA2637">
        <v>0.9918981</v>
      </c>
      <c r="AB2637">
        <v>37</v>
      </c>
      <c r="AC2637">
        <v>-64.290199999999999</v>
      </c>
      <c r="AD2637">
        <v>-1.04141935</v>
      </c>
      <c r="AE2637">
        <v>7.8417999999999699</v>
      </c>
      <c r="AF2637">
        <v>8.2524519580339408</v>
      </c>
      <c r="AG2637">
        <v>-1.04141935</v>
      </c>
      <c r="AH2637">
        <v>64.221899788050493</v>
      </c>
      <c r="AI2637">
        <v>90.921449263041197</v>
      </c>
      <c r="AJ2637">
        <v>82.677673939149798</v>
      </c>
      <c r="AK2637">
        <v>64.758319388080295</v>
      </c>
      <c r="AL2637">
        <v>79.442779801410794</v>
      </c>
      <c r="AM2637">
        <v>86.562288469758698</v>
      </c>
      <c r="AN2637">
        <v>1.0000000419608399</v>
      </c>
    </row>
    <row r="2638" spans="1:40" x14ac:dyDescent="0.25">
      <c r="A2638" t="str">
        <f>"20190303170308687"</f>
        <v>20190303170308687</v>
      </c>
      <c r="B2638" t="str">
        <f>"1551603788678284"</f>
        <v>1551603788678284</v>
      </c>
      <c r="C2638" t="s">
        <v>40</v>
      </c>
      <c r="D2638">
        <v>4.2884779999999996</v>
      </c>
      <c r="E2638">
        <v>0.53137809999999996</v>
      </c>
      <c r="F2638" t="s">
        <v>62</v>
      </c>
      <c r="G2638">
        <v>-444.70119999999997</v>
      </c>
      <c r="H2638">
        <v>8.0001059999999999E-2</v>
      </c>
      <c r="I2638">
        <v>292.46010000000001</v>
      </c>
      <c r="J2638">
        <v>-379.21050000000002</v>
      </c>
      <c r="K2638">
        <v>1.1214200000000001</v>
      </c>
      <c r="L2638">
        <v>284.44619999999998</v>
      </c>
      <c r="M2638">
        <v>-0.99986949999999997</v>
      </c>
      <c r="N2638">
        <v>-1.4866900000000001E-2</v>
      </c>
      <c r="O2638">
        <v>-6.3466340000000003E-3</v>
      </c>
      <c r="P2638">
        <v>-0.98432090000000005</v>
      </c>
      <c r="Q2638">
        <v>0.1682256</v>
      </c>
      <c r="R2638">
        <v>5.3034919999999999E-2</v>
      </c>
      <c r="S2638">
        <v>-3.0364070000000001</v>
      </c>
      <c r="T2638">
        <v>-4.8113580000000003E-2</v>
      </c>
      <c r="U2638">
        <v>0.37017820000000001</v>
      </c>
      <c r="V2638">
        <v>5.9344550000000003E-2</v>
      </c>
      <c r="W2638">
        <v>0.18281520000000001</v>
      </c>
      <c r="X2638">
        <v>0.98135459999999997</v>
      </c>
      <c r="Y2638">
        <v>0.1272847</v>
      </c>
      <c r="Z2638">
        <v>1.960683E-3</v>
      </c>
      <c r="AA2638">
        <v>0.99186430000000003</v>
      </c>
      <c r="AB2638">
        <v>37</v>
      </c>
      <c r="AC2638">
        <v>-65.490699999999904</v>
      </c>
      <c r="AD2638">
        <v>-1.04141894</v>
      </c>
      <c r="AE2638">
        <v>8.0139000000000298</v>
      </c>
      <c r="AF2638">
        <v>8.4273303884243607</v>
      </c>
      <c r="AG2638">
        <v>-1.04141894</v>
      </c>
      <c r="AH2638">
        <v>65.4222147725268</v>
      </c>
      <c r="AI2638">
        <v>90.904509611621194</v>
      </c>
      <c r="AJ2638">
        <v>82.659892837932304</v>
      </c>
      <c r="AK2638">
        <v>65.970983292860495</v>
      </c>
      <c r="AL2638">
        <v>79.466219752417999</v>
      </c>
      <c r="AM2638">
        <v>86.539419458454603</v>
      </c>
      <c r="AN2638">
        <v>1.00000001195345</v>
      </c>
    </row>
    <row r="2639" spans="1:40" x14ac:dyDescent="0.25">
      <c r="A2639" t="str">
        <f>"20190303170308699"</f>
        <v>20190303170308699</v>
      </c>
      <c r="B2639" t="str">
        <f>"1551603788688044"</f>
        <v>1551603788688044</v>
      </c>
      <c r="C2639" t="s">
        <v>40</v>
      </c>
      <c r="D2639">
        <v>4.3077389999999998</v>
      </c>
      <c r="E2639">
        <v>0.53150909999999996</v>
      </c>
      <c r="F2639" t="s">
        <v>62</v>
      </c>
      <c r="G2639">
        <v>-443.4375</v>
      </c>
      <c r="H2639">
        <v>8.0000699999999994E-2</v>
      </c>
      <c r="I2639">
        <v>292.32990000000001</v>
      </c>
      <c r="J2639">
        <v>-379.41980000000001</v>
      </c>
      <c r="K2639">
        <v>1.121418</v>
      </c>
      <c r="L2639">
        <v>284.44490000000002</v>
      </c>
      <c r="M2639">
        <v>-0.99986989999999998</v>
      </c>
      <c r="N2639">
        <v>-1.4864499999999999E-2</v>
      </c>
      <c r="O2639">
        <v>-6.278194E-3</v>
      </c>
      <c r="P2639">
        <v>-0.98430450000000003</v>
      </c>
      <c r="Q2639">
        <v>0.1681858</v>
      </c>
      <c r="R2639">
        <v>5.3464009999999999E-2</v>
      </c>
      <c r="S2639">
        <v>-3.036133</v>
      </c>
      <c r="T2639">
        <v>-4.922986E-2</v>
      </c>
      <c r="U2639">
        <v>0.37268069999999998</v>
      </c>
      <c r="V2639">
        <v>5.9706049999999997E-2</v>
      </c>
      <c r="W2639">
        <v>0.18277299999999999</v>
      </c>
      <c r="X2639">
        <v>0.98134049999999995</v>
      </c>
      <c r="Y2639">
        <v>0.1280318</v>
      </c>
      <c r="Z2639">
        <v>1.997792E-3</v>
      </c>
      <c r="AA2639">
        <v>0.99176810000000004</v>
      </c>
      <c r="AB2639">
        <v>37</v>
      </c>
      <c r="AC2639">
        <v>-64.017699999999905</v>
      </c>
      <c r="AD2639">
        <v>-1.0414173</v>
      </c>
      <c r="AE2639">
        <v>7.88499999999999</v>
      </c>
      <c r="AF2639">
        <v>8.2846448253834097</v>
      </c>
      <c r="AG2639">
        <v>-1.0414173</v>
      </c>
      <c r="AH2639">
        <v>63.950258375504497</v>
      </c>
      <c r="AI2639">
        <v>90.925237611002501</v>
      </c>
      <c r="AJ2639">
        <v>82.618541874257602</v>
      </c>
      <c r="AK2639">
        <v>64.493065023840202</v>
      </c>
      <c r="AL2639">
        <v>79.468678724463004</v>
      </c>
      <c r="AM2639">
        <v>86.518340972383101</v>
      </c>
      <c r="AN2639">
        <v>0.99999997943792596</v>
      </c>
    </row>
    <row r="2640" spans="1:40" x14ac:dyDescent="0.25">
      <c r="A2640" t="str">
        <f>"20190303170308712"</f>
        <v>20190303170308712</v>
      </c>
      <c r="B2640" t="str">
        <f>"1551603788698781"</f>
        <v>1551603788698781</v>
      </c>
      <c r="C2640" t="s">
        <v>40</v>
      </c>
      <c r="D2640">
        <v>4.3225559999999996</v>
      </c>
      <c r="E2640">
        <v>0.53163590000000005</v>
      </c>
      <c r="F2640" t="s">
        <v>62</v>
      </c>
      <c r="G2640">
        <v>-444.5179</v>
      </c>
      <c r="H2640">
        <v>8.0001000000000003E-2</v>
      </c>
      <c r="I2640">
        <v>292.49079999999998</v>
      </c>
      <c r="J2640">
        <v>-379.64960000000002</v>
      </c>
      <c r="K2640">
        <v>1.1214200000000001</v>
      </c>
      <c r="L2640">
        <v>284.44349999999997</v>
      </c>
      <c r="M2640">
        <v>-0.99987029999999999</v>
      </c>
      <c r="N2640">
        <v>-1.486198E-2</v>
      </c>
      <c r="O2640">
        <v>-6.2028430000000004E-3</v>
      </c>
      <c r="P2640">
        <v>-0.98429750000000005</v>
      </c>
      <c r="Q2640">
        <v>0.1682053</v>
      </c>
      <c r="R2640">
        <v>5.3531589999999997E-2</v>
      </c>
      <c r="S2640">
        <v>-3.0357970000000001</v>
      </c>
      <c r="T2640">
        <v>-4.8565629999999999E-2</v>
      </c>
      <c r="U2640">
        <v>0.37521359999999998</v>
      </c>
      <c r="V2640">
        <v>5.9699559999999999E-2</v>
      </c>
      <c r="W2640">
        <v>0.18278939999999999</v>
      </c>
      <c r="X2640">
        <v>0.98133780000000004</v>
      </c>
      <c r="Y2640">
        <v>0.12878580000000001</v>
      </c>
      <c r="Z2640">
        <v>1.9939939999999998E-3</v>
      </c>
      <c r="AA2640">
        <v>0.99167039999999995</v>
      </c>
      <c r="AB2640">
        <v>37</v>
      </c>
      <c r="AC2640">
        <v>-64.868299999999905</v>
      </c>
      <c r="AD2640">
        <v>-1.0414190000000001</v>
      </c>
      <c r="AE2640">
        <v>8.0472999999999999</v>
      </c>
      <c r="AF2640">
        <v>8.4474132272324898</v>
      </c>
      <c r="AG2640">
        <v>-1.0414190000000001</v>
      </c>
      <c r="AH2640">
        <v>64.800681404579706</v>
      </c>
      <c r="AI2640">
        <v>90.913003959356999</v>
      </c>
      <c r="AJ2640">
        <v>82.5728082499419</v>
      </c>
      <c r="AK2640">
        <v>65.357261679655906</v>
      </c>
      <c r="AL2640">
        <v>79.4677225521867</v>
      </c>
      <c r="AM2640">
        <v>86.518708940485695</v>
      </c>
      <c r="AN2640">
        <v>0.99999993996269498</v>
      </c>
    </row>
    <row r="2641" spans="1:40" x14ac:dyDescent="0.25">
      <c r="A2641" t="str">
        <f>"20190303170308732"</f>
        <v>20190303170308732</v>
      </c>
      <c r="B2641" t="str">
        <f>"1551603788718301"</f>
        <v>1551603788718301</v>
      </c>
      <c r="C2641" t="s">
        <v>40</v>
      </c>
      <c r="D2641">
        <v>4.2925139999999997</v>
      </c>
      <c r="E2641">
        <v>0.53193769999999996</v>
      </c>
      <c r="F2641" t="s">
        <v>62</v>
      </c>
      <c r="G2641">
        <v>-444.9391</v>
      </c>
      <c r="H2641">
        <v>8.0001119999999995E-2</v>
      </c>
      <c r="I2641">
        <v>292.53969999999998</v>
      </c>
      <c r="J2641">
        <v>-379.9615</v>
      </c>
      <c r="K2641">
        <v>1.1214170000000001</v>
      </c>
      <c r="L2641">
        <v>284.44170000000003</v>
      </c>
      <c r="M2641">
        <v>-0.99987119999999996</v>
      </c>
      <c r="N2641">
        <v>-1.4858659999999999E-2</v>
      </c>
      <c r="O2641">
        <v>-6.1005499999999997E-3</v>
      </c>
      <c r="P2641">
        <v>-0.98421789999999998</v>
      </c>
      <c r="Q2641">
        <v>0.1686491</v>
      </c>
      <c r="R2641">
        <v>5.3600670000000003E-2</v>
      </c>
      <c r="S2641">
        <v>-3.0356749999999999</v>
      </c>
      <c r="T2641">
        <v>-4.842138E-2</v>
      </c>
      <c r="U2641">
        <v>0.3764343</v>
      </c>
      <c r="V2641">
        <v>5.9667369999999997E-2</v>
      </c>
      <c r="W2641">
        <v>0.18322920000000001</v>
      </c>
      <c r="X2641">
        <v>0.98125779999999996</v>
      </c>
      <c r="Y2641">
        <v>0.12908210000000001</v>
      </c>
      <c r="Z2641">
        <v>1.9949529999999998E-3</v>
      </c>
      <c r="AA2641">
        <v>0.99163190000000001</v>
      </c>
      <c r="AB2641">
        <v>37</v>
      </c>
      <c r="AC2641">
        <v>-64.977599999999995</v>
      </c>
      <c r="AD2641">
        <v>-1.04141588</v>
      </c>
      <c r="AE2641">
        <v>8.0979999999999492</v>
      </c>
      <c r="AF2641">
        <v>8.4921440044387602</v>
      </c>
      <c r="AG2641">
        <v>-1.04141588</v>
      </c>
      <c r="AH2641">
        <v>64.910564044806605</v>
      </c>
      <c r="AI2641">
        <v>90.9114011158767</v>
      </c>
      <c r="AJ2641">
        <v>82.546418878041493</v>
      </c>
      <c r="AK2641">
        <v>65.471996925725193</v>
      </c>
      <c r="AL2641">
        <v>79.442091646558893</v>
      </c>
      <c r="AM2641">
        <v>86.520298466575994</v>
      </c>
      <c r="AN2641">
        <v>1.00000000241809</v>
      </c>
    </row>
    <row r="2642" spans="1:40" x14ac:dyDescent="0.25">
      <c r="A2642" t="str">
        <f>"20190303170308754"</f>
        <v>20190303170308754</v>
      </c>
      <c r="B2642" t="str">
        <f>"1551603788748557"</f>
        <v>1551603788748557</v>
      </c>
      <c r="C2642" t="s">
        <v>40</v>
      </c>
      <c r="D2642">
        <v>4.2683019999999896</v>
      </c>
      <c r="E2642">
        <v>0.53239139999999996</v>
      </c>
      <c r="F2642" t="s">
        <v>62</v>
      </c>
      <c r="G2642">
        <v>-448.39400000000001</v>
      </c>
      <c r="H2642">
        <v>8.0000650000000006E-2</v>
      </c>
      <c r="I2642">
        <v>292.98970000000003</v>
      </c>
      <c r="J2642">
        <v>-380.32960000000003</v>
      </c>
      <c r="K2642">
        <v>1.1214120000000001</v>
      </c>
      <c r="L2642">
        <v>284.43959999999998</v>
      </c>
      <c r="M2642">
        <v>-0.99987190000000004</v>
      </c>
      <c r="N2642">
        <v>-1.485476E-2</v>
      </c>
      <c r="O2642">
        <v>-5.9796550000000004E-3</v>
      </c>
      <c r="P2642">
        <v>-0.98428040000000006</v>
      </c>
      <c r="Q2642">
        <v>0.16829620000000001</v>
      </c>
      <c r="R2642">
        <v>5.3559629999999997E-2</v>
      </c>
      <c r="S2642">
        <v>-3.0353699999999999</v>
      </c>
      <c r="T2642">
        <v>-4.6192770000000001E-2</v>
      </c>
      <c r="U2642">
        <v>0.3791504</v>
      </c>
      <c r="V2642">
        <v>5.9507480000000001E-2</v>
      </c>
      <c r="W2642">
        <v>0.18287329999999999</v>
      </c>
      <c r="X2642">
        <v>0.98133389999999998</v>
      </c>
      <c r="Y2642">
        <v>0.1298501</v>
      </c>
      <c r="Z2642">
        <v>1.9546720000000002E-3</v>
      </c>
      <c r="AA2642">
        <v>0.99153170000000002</v>
      </c>
      <c r="AB2642">
        <v>37</v>
      </c>
      <c r="AC2642">
        <v>-68.064399999999907</v>
      </c>
      <c r="AD2642">
        <v>-1.04141135</v>
      </c>
      <c r="AE2642">
        <v>8.5501000000000396</v>
      </c>
      <c r="AF2642">
        <v>8.9549298014796204</v>
      </c>
      <c r="AG2642">
        <v>-1.04141135</v>
      </c>
      <c r="AH2642">
        <v>67.996379786237696</v>
      </c>
      <c r="AI2642">
        <v>90.869945064828698</v>
      </c>
      <c r="AJ2642">
        <v>82.497484898137003</v>
      </c>
      <c r="AK2642">
        <v>68.591420523150106</v>
      </c>
      <c r="AL2642">
        <v>79.462833698295199</v>
      </c>
      <c r="AM2642">
        <v>86.529868628235405</v>
      </c>
      <c r="AN2642">
        <v>1.00000000365902</v>
      </c>
    </row>
    <row r="2643" spans="1:40" x14ac:dyDescent="0.25">
      <c r="A2643" t="str">
        <f>"20190303170308775"</f>
        <v>20190303170308775</v>
      </c>
      <c r="B2643" t="str">
        <f>"1551603788768078"</f>
        <v>1551603788768078</v>
      </c>
      <c r="C2643" t="s">
        <v>40</v>
      </c>
      <c r="D2643">
        <v>4.2498620000000003</v>
      </c>
      <c r="E2643">
        <v>0.53264590000000001</v>
      </c>
      <c r="F2643" t="s">
        <v>62</v>
      </c>
      <c r="G2643">
        <v>-448.21260000000001</v>
      </c>
      <c r="H2643">
        <v>8.0000589999999996E-2</v>
      </c>
      <c r="I2643">
        <v>293.00659999999999</v>
      </c>
      <c r="J2643">
        <v>-380.6857</v>
      </c>
      <c r="K2643">
        <v>1.121418</v>
      </c>
      <c r="L2643">
        <v>284.43759999999997</v>
      </c>
      <c r="M2643">
        <v>-0.9998726</v>
      </c>
      <c r="N2643">
        <v>-1.485097E-2</v>
      </c>
      <c r="O2643">
        <v>-5.8632850000000002E-3</v>
      </c>
      <c r="P2643">
        <v>-0.98437300000000005</v>
      </c>
      <c r="Q2643">
        <v>0.16777210000000001</v>
      </c>
      <c r="R2643">
        <v>5.3499199999999997E-2</v>
      </c>
      <c r="S2643">
        <v>-3.0350039999999998</v>
      </c>
      <c r="T2643">
        <v>-4.656076E-2</v>
      </c>
      <c r="U2643">
        <v>0.38302609999999998</v>
      </c>
      <c r="V2643">
        <v>5.9332940000000001E-2</v>
      </c>
      <c r="W2643">
        <v>0.18234729999999999</v>
      </c>
      <c r="X2643">
        <v>0.98144229999999999</v>
      </c>
      <c r="Y2643">
        <v>0.13099520000000001</v>
      </c>
      <c r="Z2643">
        <v>1.9803680000000001E-3</v>
      </c>
      <c r="AA2643">
        <v>0.99138099999999996</v>
      </c>
      <c r="AB2643">
        <v>37</v>
      </c>
      <c r="AC2643">
        <v>-67.526899999999998</v>
      </c>
      <c r="AD2643">
        <v>-1.04141741</v>
      </c>
      <c r="AE2643">
        <v>8.5690000000000097</v>
      </c>
      <c r="AF2643">
        <v>8.9627278065239597</v>
      </c>
      <c r="AG2643">
        <v>-1.04141741</v>
      </c>
      <c r="AH2643">
        <v>67.459700235020705</v>
      </c>
      <c r="AI2643">
        <v>90.876737404780201</v>
      </c>
      <c r="AJ2643">
        <v>82.431977837334799</v>
      </c>
      <c r="AK2643">
        <v>68.060459855591205</v>
      </c>
      <c r="AL2643">
        <v>79.493486253693206</v>
      </c>
      <c r="AM2643">
        <v>86.540403252061907</v>
      </c>
      <c r="AN2643">
        <v>0.99999996190781104</v>
      </c>
    </row>
    <row r="2644" spans="1:40" x14ac:dyDescent="0.25">
      <c r="A2644" t="str">
        <f>"20190303170308787"</f>
        <v>20190303170308787</v>
      </c>
      <c r="B2644" t="str">
        <f>"1551603788777836"</f>
        <v>1551603788777836</v>
      </c>
      <c r="C2644" t="s">
        <v>40</v>
      </c>
      <c r="D2644">
        <v>4.0912739999999896</v>
      </c>
      <c r="E2644">
        <v>0.53259369999999995</v>
      </c>
      <c r="F2644" t="s">
        <v>62</v>
      </c>
      <c r="G2644">
        <v>-446.49209999999999</v>
      </c>
      <c r="H2644">
        <v>8.0000100000000005E-2</v>
      </c>
      <c r="I2644">
        <v>292.78590000000003</v>
      </c>
      <c r="J2644">
        <v>-380.89170000000001</v>
      </c>
      <c r="K2644">
        <v>1.121418</v>
      </c>
      <c r="L2644">
        <v>284.43639999999999</v>
      </c>
      <c r="M2644">
        <v>-0.99987309999999996</v>
      </c>
      <c r="N2644">
        <v>-1.4848770000000001E-2</v>
      </c>
      <c r="O2644">
        <v>-5.7958019999999897E-3</v>
      </c>
      <c r="P2644">
        <v>-0.9842805</v>
      </c>
      <c r="Q2644">
        <v>0.16829669999999999</v>
      </c>
      <c r="R2644">
        <v>5.3558679999999997E-2</v>
      </c>
      <c r="S2644">
        <v>-3.0348820000000001</v>
      </c>
      <c r="T2644">
        <v>-4.8028469999999997E-2</v>
      </c>
      <c r="U2644">
        <v>0.38500980000000001</v>
      </c>
      <c r="V2644">
        <v>5.9325629999999997E-2</v>
      </c>
      <c r="W2644">
        <v>0.18286820000000001</v>
      </c>
      <c r="X2644">
        <v>0.98134580000000005</v>
      </c>
      <c r="Y2644">
        <v>0.1315694</v>
      </c>
      <c r="Z2644">
        <v>2.0233920000000002E-3</v>
      </c>
      <c r="AA2644">
        <v>0.99130490000000004</v>
      </c>
      <c r="AB2644">
        <v>37</v>
      </c>
      <c r="AC2644">
        <v>-65.600399999999894</v>
      </c>
      <c r="AD2644">
        <v>-1.0414178999999999</v>
      </c>
      <c r="AE2644">
        <v>8.3495000000000292</v>
      </c>
      <c r="AF2644">
        <v>8.7274440906335098</v>
      </c>
      <c r="AG2644">
        <v>-1.0414178999999999</v>
      </c>
      <c r="AH2644">
        <v>65.534647738590493</v>
      </c>
      <c r="AI2644">
        <v>90.902450564692003</v>
      </c>
      <c r="AJ2644">
        <v>82.414384116501097</v>
      </c>
      <c r="AK2644">
        <v>66.121425315995097</v>
      </c>
      <c r="AL2644">
        <v>79.463130283666302</v>
      </c>
      <c r="AM2644">
        <v>86.540489120641396</v>
      </c>
      <c r="AN2644">
        <v>0.99999994406188697</v>
      </c>
    </row>
    <row r="2645" spans="1:40" x14ac:dyDescent="0.25">
      <c r="A2645" t="str">
        <f>"20190303170308801"</f>
        <v>20190303170308801</v>
      </c>
      <c r="B2645" t="str">
        <f>"1551603788788573"</f>
        <v>1551603788788573</v>
      </c>
      <c r="C2645" t="s">
        <v>40</v>
      </c>
      <c r="D2645">
        <v>4.2393150000000004</v>
      </c>
      <c r="E2645">
        <v>0.53277280000000005</v>
      </c>
      <c r="F2645" t="s">
        <v>62</v>
      </c>
      <c r="G2645">
        <v>-450.18439999999998</v>
      </c>
      <c r="H2645">
        <v>7.9999689999999998E-2</v>
      </c>
      <c r="I2645">
        <v>293.22789999999998</v>
      </c>
      <c r="J2645">
        <v>-381.10430000000002</v>
      </c>
      <c r="K2645">
        <v>1.1214230000000001</v>
      </c>
      <c r="L2645">
        <v>284.43520000000001</v>
      </c>
      <c r="M2645">
        <v>-0.99987340000000002</v>
      </c>
      <c r="N2645">
        <v>-1.484649E-2</v>
      </c>
      <c r="O2645">
        <v>-5.7260549999999999E-3</v>
      </c>
      <c r="P2645">
        <v>-0.9842168</v>
      </c>
      <c r="Q2645">
        <v>0.1686685</v>
      </c>
      <c r="R2645">
        <v>5.3557090000000002E-2</v>
      </c>
      <c r="S2645">
        <v>-3.034821</v>
      </c>
      <c r="T2645">
        <v>-4.5611140000000001E-2</v>
      </c>
      <c r="U2645">
        <v>0.3850403</v>
      </c>
      <c r="V2645">
        <v>5.925507E-2</v>
      </c>
      <c r="W2645">
        <v>0.18323710000000001</v>
      </c>
      <c r="X2645">
        <v>0.98128130000000002</v>
      </c>
      <c r="Y2645">
        <v>0.13151499999999999</v>
      </c>
      <c r="Z2645">
        <v>1.9656629999999999E-3</v>
      </c>
      <c r="AA2645">
        <v>0.99131219999999998</v>
      </c>
      <c r="AB2645">
        <v>37</v>
      </c>
      <c r="AC2645">
        <v>-69.080099999999902</v>
      </c>
      <c r="AD2645">
        <v>-1.0414233100000001</v>
      </c>
      <c r="AE2645">
        <v>8.7926999999999609</v>
      </c>
      <c r="AF2645">
        <v>9.1861013970621599</v>
      </c>
      <c r="AG2645">
        <v>-1.0414233100000001</v>
      </c>
      <c r="AH2645">
        <v>69.013179414313896</v>
      </c>
      <c r="AI2645">
        <v>90.856982427750594</v>
      </c>
      <c r="AJ2645">
        <v>82.418127705097106</v>
      </c>
      <c r="AK2645">
        <v>69.629648528913293</v>
      </c>
      <c r="AL2645">
        <v>79.441631123938294</v>
      </c>
      <c r="AM2645">
        <v>86.544367201522903</v>
      </c>
      <c r="AN2645">
        <v>0.999999993933402</v>
      </c>
    </row>
    <row r="2646" spans="1:40" x14ac:dyDescent="0.25">
      <c r="A2646" t="str">
        <f>"20190303170308818"</f>
        <v>20190303170308818</v>
      </c>
      <c r="B2646" t="str">
        <f>"1551603788808093"</f>
        <v>1551603788808093</v>
      </c>
      <c r="C2646" t="s">
        <v>40</v>
      </c>
      <c r="D2646">
        <v>4.1957089999999999</v>
      </c>
      <c r="E2646">
        <v>0.53300579999999997</v>
      </c>
      <c r="F2646" t="s">
        <v>62</v>
      </c>
      <c r="G2646">
        <v>-452.38839999999999</v>
      </c>
      <c r="H2646">
        <v>8.0000329999999995E-2</v>
      </c>
      <c r="I2646">
        <v>293.51280000000003</v>
      </c>
      <c r="J2646">
        <v>-381.38679999999999</v>
      </c>
      <c r="K2646">
        <v>1.1214249999999999</v>
      </c>
      <c r="L2646">
        <v>284.43369999999999</v>
      </c>
      <c r="M2646">
        <v>-0.99987409999999999</v>
      </c>
      <c r="N2646">
        <v>-1.4843449999999999E-2</v>
      </c>
      <c r="O2646">
        <v>-5.6336569999999898E-3</v>
      </c>
      <c r="P2646">
        <v>-0.98418139999999998</v>
      </c>
      <c r="Q2646">
        <v>0.1689602</v>
      </c>
      <c r="R2646">
        <v>5.3287149999999998E-2</v>
      </c>
      <c r="S2646">
        <v>-3.0346679999999999</v>
      </c>
      <c r="T2646">
        <v>-4.4334890000000002E-2</v>
      </c>
      <c r="U2646">
        <v>0.38644410000000001</v>
      </c>
      <c r="V2646">
        <v>5.8893880000000003E-2</v>
      </c>
      <c r="W2646">
        <v>0.18352540000000001</v>
      </c>
      <c r="X2646">
        <v>0.98124920000000004</v>
      </c>
      <c r="Y2646">
        <v>0.131882</v>
      </c>
      <c r="Z2646">
        <v>1.941017E-3</v>
      </c>
      <c r="AA2646">
        <v>0.99126349999999996</v>
      </c>
      <c r="AB2646">
        <v>37</v>
      </c>
      <c r="AC2646">
        <v>-71.001599999999996</v>
      </c>
      <c r="AD2646">
        <v>-1.0414246699999901</v>
      </c>
      <c r="AE2646">
        <v>9.0791000000000395</v>
      </c>
      <c r="AF2646">
        <v>9.4769924971853303</v>
      </c>
      <c r="AG2646">
        <v>-1.0414246699999901</v>
      </c>
      <c r="AH2646">
        <v>70.934303622670001</v>
      </c>
      <c r="AI2646">
        <v>90.833722890738301</v>
      </c>
      <c r="AJ2646">
        <v>82.390210625820103</v>
      </c>
      <c r="AK2646">
        <v>71.5721550784111</v>
      </c>
      <c r="AL2646">
        <v>79.424828151496698</v>
      </c>
      <c r="AM2646">
        <v>86.565268385092196</v>
      </c>
      <c r="AN2646">
        <v>1.00000002702362</v>
      </c>
    </row>
    <row r="2647" spans="1:40" x14ac:dyDescent="0.25">
      <c r="A2647" t="str">
        <f>"20190303170308831"</f>
        <v>20190303170308831</v>
      </c>
      <c r="B2647" t="str">
        <f>"1551603788817853"</f>
        <v>1551603788817853</v>
      </c>
      <c r="C2647" t="s">
        <v>40</v>
      </c>
      <c r="D2647">
        <v>4.2093170000000004</v>
      </c>
      <c r="E2647">
        <v>0.53312469999999901</v>
      </c>
      <c r="F2647" t="s">
        <v>62</v>
      </c>
      <c r="G2647">
        <v>-455.7885</v>
      </c>
      <c r="H2647">
        <v>7.9999840000000003E-2</v>
      </c>
      <c r="I2647">
        <v>293.9348</v>
      </c>
      <c r="J2647">
        <v>-381.61660000000001</v>
      </c>
      <c r="K2647">
        <v>1.121426</v>
      </c>
      <c r="L2647">
        <v>284.4325</v>
      </c>
      <c r="M2647">
        <v>-0.99987440000000005</v>
      </c>
      <c r="N2647">
        <v>-1.4840860000000001E-2</v>
      </c>
      <c r="O2647">
        <v>-5.5591540000000002E-3</v>
      </c>
      <c r="P2647">
        <v>-0.98411610000000005</v>
      </c>
      <c r="Q2647">
        <v>0.1693577</v>
      </c>
      <c r="R2647">
        <v>5.323054E-2</v>
      </c>
      <c r="S2647">
        <v>-3.0345460000000002</v>
      </c>
      <c r="T2647">
        <v>-4.2475579999999999E-2</v>
      </c>
      <c r="U2647">
        <v>0.38751219999999997</v>
      </c>
      <c r="V2647">
        <v>5.87634E-2</v>
      </c>
      <c r="W2647">
        <v>0.18391959999999999</v>
      </c>
      <c r="X2647">
        <v>0.98118320000000003</v>
      </c>
      <c r="Y2647">
        <v>0.1321581</v>
      </c>
      <c r="Z2647">
        <v>1.90127E-3</v>
      </c>
      <c r="AA2647">
        <v>0.99122679999999996</v>
      </c>
      <c r="AB2647">
        <v>37</v>
      </c>
      <c r="AC2647">
        <v>-74.171899999999994</v>
      </c>
      <c r="AD2647">
        <v>-1.0414261600000001</v>
      </c>
      <c r="AE2647">
        <v>9.5022999999999893</v>
      </c>
      <c r="AF2647">
        <v>9.9126089409265692</v>
      </c>
      <c r="AG2647">
        <v>-1.0414261600000001</v>
      </c>
      <c r="AH2647">
        <v>74.103550069550593</v>
      </c>
      <c r="AI2647">
        <v>90.798054995603096</v>
      </c>
      <c r="AJ2647">
        <v>82.3809452505796</v>
      </c>
      <c r="AK2647">
        <v>74.770853394707601</v>
      </c>
      <c r="AL2647">
        <v>79.401850905328203</v>
      </c>
      <c r="AM2647">
        <v>86.572629931158801</v>
      </c>
      <c r="AN2647">
        <v>1.0000000142029799</v>
      </c>
    </row>
    <row r="2648" spans="1:40" x14ac:dyDescent="0.25">
      <c r="A2648" t="str">
        <f>"20190303170308843"</f>
        <v>20190303170308843</v>
      </c>
      <c r="B2648" t="str">
        <f>"1551603788838349"</f>
        <v>1551603788838349</v>
      </c>
      <c r="C2648" t="s">
        <v>40</v>
      </c>
      <c r="D2648">
        <v>4.1909409999999996</v>
      </c>
      <c r="E2648">
        <v>0.53323120000000002</v>
      </c>
      <c r="F2648" t="s">
        <v>62</v>
      </c>
      <c r="G2648">
        <v>-457.93709999999999</v>
      </c>
      <c r="H2648">
        <v>8.0000459999999995E-2</v>
      </c>
      <c r="I2648">
        <v>294.18549999999999</v>
      </c>
      <c r="J2648">
        <v>-381.80059999999997</v>
      </c>
      <c r="K2648">
        <v>1.1214249999999999</v>
      </c>
      <c r="L2648">
        <v>284.43150000000003</v>
      </c>
      <c r="M2648">
        <v>-0.99987479999999995</v>
      </c>
      <c r="N2648">
        <v>-1.4838799999999999E-2</v>
      </c>
      <c r="O2648">
        <v>-5.5008640000000003E-3</v>
      </c>
      <c r="P2648">
        <v>-0.98404789999999998</v>
      </c>
      <c r="Q2648">
        <v>0.1697842</v>
      </c>
      <c r="R2648">
        <v>5.3132159999999998E-2</v>
      </c>
      <c r="S2648">
        <v>-3.0345759999999999</v>
      </c>
      <c r="T2648">
        <v>-4.1408059999999997E-2</v>
      </c>
      <c r="U2648">
        <v>0.38778689999999999</v>
      </c>
      <c r="V2648">
        <v>5.8606949999999998E-2</v>
      </c>
      <c r="W2648">
        <v>0.1843438</v>
      </c>
      <c r="X2648">
        <v>0.98111300000000001</v>
      </c>
      <c r="Y2648">
        <v>0.13218829999999901</v>
      </c>
      <c r="Z2648">
        <v>1.876534E-3</v>
      </c>
      <c r="AA2648">
        <v>0.99122290000000002</v>
      </c>
      <c r="AB2648">
        <v>37</v>
      </c>
      <c r="AC2648">
        <v>-76.136499999999998</v>
      </c>
      <c r="AD2648">
        <v>-1.04142454</v>
      </c>
      <c r="AE2648">
        <v>9.7539999999999605</v>
      </c>
      <c r="AF2648">
        <v>10.170842807229899</v>
      </c>
      <c r="AG2648">
        <v>-1.04142454</v>
      </c>
      <c r="AH2648">
        <v>76.067684160090906</v>
      </c>
      <c r="AI2648">
        <v>90.777455917029499</v>
      </c>
      <c r="AJ2648">
        <v>82.384276993747093</v>
      </c>
      <c r="AK2648">
        <v>76.751698235030801</v>
      </c>
      <c r="AL2648">
        <v>79.377123777313301</v>
      </c>
      <c r="AM2648">
        <v>86.581489196023199</v>
      </c>
      <c r="AN2648">
        <v>1.00000006497786</v>
      </c>
    </row>
    <row r="2649" spans="1:40" x14ac:dyDescent="0.25">
      <c r="A2649" t="str">
        <f>"20190303170308857"</f>
        <v>20190303170308857</v>
      </c>
      <c r="B2649" t="str">
        <f>"1551603788848110"</f>
        <v>1551603788848110</v>
      </c>
      <c r="C2649" t="s">
        <v>40</v>
      </c>
      <c r="D2649">
        <v>4.1609360000000004</v>
      </c>
      <c r="E2649">
        <v>0.53336510000000004</v>
      </c>
      <c r="F2649" t="s">
        <v>44</v>
      </c>
      <c r="G2649">
        <v>-472.61169999999998</v>
      </c>
      <c r="H2649">
        <v>-0.05</v>
      </c>
      <c r="I2649">
        <v>296.0634</v>
      </c>
      <c r="J2649">
        <v>-382.03309999999999</v>
      </c>
      <c r="K2649">
        <v>1.121429</v>
      </c>
      <c r="L2649">
        <v>284.43029999999999</v>
      </c>
      <c r="M2649">
        <v>-0.99987519999999996</v>
      </c>
      <c r="N2649">
        <v>-1.4836210000000001E-2</v>
      </c>
      <c r="O2649">
        <v>-5.4281569999999899E-3</v>
      </c>
      <c r="P2649">
        <v>-0.98411170000000003</v>
      </c>
      <c r="Q2649">
        <v>0.1694755</v>
      </c>
      <c r="R2649">
        <v>5.293817E-2</v>
      </c>
      <c r="S2649">
        <v>-3.0343930000000001</v>
      </c>
      <c r="T2649">
        <v>-3.9142370000000003E-2</v>
      </c>
      <c r="U2649">
        <v>0.38867190000000001</v>
      </c>
      <c r="V2649">
        <v>5.8341049999999998E-2</v>
      </c>
      <c r="W2649">
        <v>0.18403349999999999</v>
      </c>
      <c r="X2649">
        <v>0.98118700000000003</v>
      </c>
      <c r="Y2649">
        <v>0.13241020000000001</v>
      </c>
      <c r="Z2649">
        <v>1.8264139999999999E-3</v>
      </c>
      <c r="AA2649">
        <v>0.9911934</v>
      </c>
      <c r="AB2649">
        <v>37</v>
      </c>
      <c r="AC2649">
        <v>-90.578599999999994</v>
      </c>
      <c r="AD2649">
        <v>-1.1714290000000001</v>
      </c>
      <c r="AE2649">
        <v>11.633100000000001</v>
      </c>
      <c r="AF2649">
        <v>12.122662878965199</v>
      </c>
      <c r="AG2649">
        <v>-1.1714290000000001</v>
      </c>
      <c r="AH2649">
        <v>90.499221122144803</v>
      </c>
      <c r="AI2649">
        <v>90.735035147371093</v>
      </c>
      <c r="AJ2649">
        <v>82.370462463037697</v>
      </c>
      <c r="AK2649">
        <v>91.315060230467694</v>
      </c>
      <c r="AL2649">
        <v>79.395211092635705</v>
      </c>
      <c r="AM2649">
        <v>86.597218512578905</v>
      </c>
      <c r="AN2649">
        <v>0.99999996810317504</v>
      </c>
    </row>
    <row r="2650" spans="1:40" x14ac:dyDescent="0.25">
      <c r="A2650" t="str">
        <f>"20190303170308876"</f>
        <v>20190303170308876</v>
      </c>
      <c r="B2650" t="str">
        <f>"1551603788868605"</f>
        <v>1551603788868605</v>
      </c>
      <c r="C2650" t="s">
        <v>40</v>
      </c>
      <c r="D2650">
        <v>4.1712160000000003</v>
      </c>
      <c r="E2650">
        <v>0.53372749999999902</v>
      </c>
      <c r="F2650" t="s">
        <v>62</v>
      </c>
      <c r="G2650">
        <v>-460.97890000000001</v>
      </c>
      <c r="H2650">
        <v>7.9999879999999995E-2</v>
      </c>
      <c r="I2650">
        <v>294.56540000000001</v>
      </c>
      <c r="J2650">
        <v>-382.34699999999998</v>
      </c>
      <c r="K2650">
        <v>1.121437</v>
      </c>
      <c r="L2650">
        <v>284.42869999999999</v>
      </c>
      <c r="M2650">
        <v>-0.99987579999999998</v>
      </c>
      <c r="N2650">
        <v>-1.483275E-2</v>
      </c>
      <c r="O2650">
        <v>-5.335701E-3</v>
      </c>
      <c r="P2650">
        <v>-0.98405770000000004</v>
      </c>
      <c r="Q2650">
        <v>0.1699367</v>
      </c>
      <c r="R2650">
        <v>5.2460689999999997E-2</v>
      </c>
      <c r="S2650">
        <v>-3.0343930000000001</v>
      </c>
      <c r="T2650">
        <v>-4.0028809999999998E-2</v>
      </c>
      <c r="U2650">
        <v>0.38955689999999998</v>
      </c>
      <c r="V2650">
        <v>5.7770559999999999E-2</v>
      </c>
      <c r="W2650">
        <v>0.1844914</v>
      </c>
      <c r="X2650">
        <v>0.98113479999999997</v>
      </c>
      <c r="Y2650">
        <v>0.1326022</v>
      </c>
      <c r="Z2650">
        <v>1.8498869999999999E-3</v>
      </c>
      <c r="AA2650">
        <v>0.99116760000000004</v>
      </c>
      <c r="AB2650">
        <v>37</v>
      </c>
      <c r="AC2650">
        <v>-78.631900000000002</v>
      </c>
      <c r="AD2650">
        <v>-1.0414371200000001</v>
      </c>
      <c r="AE2650">
        <v>10.136699999999999</v>
      </c>
      <c r="AF2650">
        <v>10.5543369890981</v>
      </c>
      <c r="AG2650">
        <v>-1.0414371200000001</v>
      </c>
      <c r="AH2650">
        <v>78.563132154812195</v>
      </c>
      <c r="AI2650">
        <v>90.752710241095897</v>
      </c>
      <c r="AJ2650">
        <v>82.348575057950697</v>
      </c>
      <c r="AK2650">
        <v>79.275748842435107</v>
      </c>
      <c r="AL2650">
        <v>79.368518692459205</v>
      </c>
      <c r="AM2650">
        <v>86.630236822435805</v>
      </c>
      <c r="AN2650">
        <v>1.00000000502385</v>
      </c>
    </row>
    <row r="2651" spans="1:40" x14ac:dyDescent="0.25">
      <c r="A2651" t="str">
        <f>"20190303170308889"</f>
        <v>20190303170308889</v>
      </c>
      <c r="B2651" t="str">
        <f>"1551603788878365"</f>
        <v>1551603788878365</v>
      </c>
      <c r="C2651" t="s">
        <v>40</v>
      </c>
      <c r="D2651">
        <v>4.2000060000000001</v>
      </c>
      <c r="E2651">
        <v>0.53372749999999902</v>
      </c>
      <c r="F2651" t="s">
        <v>44</v>
      </c>
      <c r="G2651">
        <v>-475.13310000000001</v>
      </c>
      <c r="H2651">
        <v>-0.05</v>
      </c>
      <c r="I2651">
        <v>296.38560000000001</v>
      </c>
      <c r="J2651">
        <v>-382.56900000000002</v>
      </c>
      <c r="K2651">
        <v>1.1214409999999999</v>
      </c>
      <c r="L2651">
        <v>284.42759999999998</v>
      </c>
      <c r="M2651">
        <v>-0.99987630000000005</v>
      </c>
      <c r="N2651">
        <v>-1.4830309999999999E-2</v>
      </c>
      <c r="O2651">
        <v>-5.2750770000000004E-3</v>
      </c>
      <c r="P2651">
        <v>-0.98407359999999999</v>
      </c>
      <c r="Q2651">
        <v>0.1698404</v>
      </c>
      <c r="R2651">
        <v>5.2474420000000001E-2</v>
      </c>
      <c r="S2651">
        <v>-3.0343629999999999</v>
      </c>
      <c r="T2651">
        <v>-3.8309219999999998E-2</v>
      </c>
      <c r="U2651">
        <v>0.39102170000000003</v>
      </c>
      <c r="V2651">
        <v>5.7723080000000003E-2</v>
      </c>
      <c r="W2651">
        <v>0.18439340000000001</v>
      </c>
      <c r="X2651">
        <v>0.98115600000000003</v>
      </c>
      <c r="Y2651">
        <v>0.13301550000000001</v>
      </c>
      <c r="Z2651">
        <v>1.815129E-3</v>
      </c>
      <c r="AA2651">
        <v>0.99111229999999995</v>
      </c>
      <c r="AB2651">
        <v>37</v>
      </c>
      <c r="AC2651">
        <v>-92.564099999999996</v>
      </c>
      <c r="AD2651">
        <v>-1.171441</v>
      </c>
      <c r="AE2651">
        <v>11.958</v>
      </c>
      <c r="AF2651">
        <v>12.4442095995336</v>
      </c>
      <c r="AG2651">
        <v>-1.171441</v>
      </c>
      <c r="AH2651">
        <v>92.485156217703604</v>
      </c>
      <c r="AI2651">
        <v>90.7192038325623</v>
      </c>
      <c r="AJ2651">
        <v>82.336673435854706</v>
      </c>
      <c r="AK2651">
        <v>93.3259596638934</v>
      </c>
      <c r="AL2651">
        <v>79.374231513379002</v>
      </c>
      <c r="AM2651">
        <v>86.633072545782696</v>
      </c>
      <c r="AN2651">
        <v>0.99999998813212299</v>
      </c>
    </row>
    <row r="2652" spans="1:40" x14ac:dyDescent="0.25">
      <c r="A2652" t="str">
        <f>"20190303170308901"</f>
        <v>20190303170308901</v>
      </c>
      <c r="B2652" t="str">
        <f>"1551603788889102"</f>
        <v>1551603788889102</v>
      </c>
      <c r="C2652" t="s">
        <v>40</v>
      </c>
      <c r="D2652">
        <v>4.2368649999999999</v>
      </c>
      <c r="E2652">
        <v>0.55180469999999904</v>
      </c>
      <c r="F2652" t="s">
        <v>44</v>
      </c>
      <c r="G2652">
        <v>-474.68049999999999</v>
      </c>
      <c r="H2652">
        <v>-0.05</v>
      </c>
      <c r="I2652">
        <v>296.30489999999998</v>
      </c>
      <c r="J2652">
        <v>-382.76990000000001</v>
      </c>
      <c r="K2652">
        <v>1.121445</v>
      </c>
      <c r="L2652">
        <v>284.42660000000001</v>
      </c>
      <c r="M2652">
        <v>-0.99987649999999995</v>
      </c>
      <c r="N2652">
        <v>-1.482809E-2</v>
      </c>
      <c r="O2652">
        <v>-5.2229240000000003E-3</v>
      </c>
      <c r="P2652">
        <v>-0.98403620000000003</v>
      </c>
      <c r="Q2652">
        <v>0.16999159999999999</v>
      </c>
      <c r="R2652">
        <v>5.2685849999999999E-2</v>
      </c>
      <c r="S2652">
        <v>-3.0343629999999999</v>
      </c>
      <c r="T2652">
        <v>-3.8589949999999998E-2</v>
      </c>
      <c r="U2652">
        <v>0.3912659</v>
      </c>
      <c r="V2652">
        <v>5.7881290000000002E-2</v>
      </c>
      <c r="W2652">
        <v>0.1845425</v>
      </c>
      <c r="X2652">
        <v>0.98111870000000001</v>
      </c>
      <c r="Y2652">
        <v>0.13304189999999999</v>
      </c>
      <c r="Z2652">
        <v>1.8220809999999999E-3</v>
      </c>
      <c r="AA2652">
        <v>0.99110869999999995</v>
      </c>
      <c r="AB2652">
        <v>37</v>
      </c>
      <c r="AC2652">
        <v>-91.910600000000002</v>
      </c>
      <c r="AD2652">
        <v>-1.1714450000000001</v>
      </c>
      <c r="AE2652">
        <v>11.8782999999999</v>
      </c>
      <c r="AF2652">
        <v>12.3562585044576</v>
      </c>
      <c r="AG2652">
        <v>-1.1714450000000001</v>
      </c>
      <c r="AH2652">
        <v>91.832626935581402</v>
      </c>
      <c r="AI2652">
        <v>90.724316321461203</v>
      </c>
      <c r="AJ2652">
        <v>82.336765934330003</v>
      </c>
      <c r="AK2652">
        <v>92.667582128307799</v>
      </c>
      <c r="AL2652">
        <v>79.365540111821204</v>
      </c>
      <c r="AM2652">
        <v>86.623737581100897</v>
      </c>
      <c r="AN2652">
        <v>1.000000040764</v>
      </c>
    </row>
    <row r="2653" spans="1:40" x14ac:dyDescent="0.25">
      <c r="A2653" t="str">
        <f>"20190303170308924"</f>
        <v>20190303170308924</v>
      </c>
      <c r="B2653" t="str">
        <f>"1551603788908621"</f>
        <v>1551603788908621</v>
      </c>
      <c r="C2653" t="s">
        <v>40</v>
      </c>
      <c r="D2653">
        <v>4.2066339999999904</v>
      </c>
      <c r="E2653">
        <v>0.55535999999999996</v>
      </c>
      <c r="F2653" t="s">
        <v>63</v>
      </c>
      <c r="G2653">
        <v>-433.4282</v>
      </c>
      <c r="H2653">
        <v>7.9999840000000003E-2</v>
      </c>
      <c r="I2653">
        <v>293.36590000000001</v>
      </c>
      <c r="J2653">
        <v>-383.11540000000002</v>
      </c>
      <c r="K2653">
        <v>1.121454</v>
      </c>
      <c r="L2653">
        <v>284.4248</v>
      </c>
      <c r="M2653">
        <v>-0.99987700000000002</v>
      </c>
      <c r="N2653">
        <v>-1.4824250000000001E-2</v>
      </c>
      <c r="O2653">
        <v>-5.141044E-3</v>
      </c>
      <c r="P2653">
        <v>-0.98397840000000003</v>
      </c>
      <c r="Q2653">
        <v>0.1704175</v>
      </c>
      <c r="R2653">
        <v>5.2390289999999999E-2</v>
      </c>
      <c r="S2653">
        <v>-3.0307620000000002</v>
      </c>
      <c r="T2653">
        <v>-6.2307120000000001E-2</v>
      </c>
      <c r="U2653">
        <v>0.53482059999999998</v>
      </c>
      <c r="V2653">
        <v>5.7500999999999997E-2</v>
      </c>
      <c r="W2653">
        <v>0.1849652</v>
      </c>
      <c r="X2653">
        <v>0.98106139999999997</v>
      </c>
      <c r="Y2653">
        <v>0.1787763</v>
      </c>
      <c r="Z2653">
        <v>3.1882270000000001E-3</v>
      </c>
      <c r="AA2653">
        <v>0.9838846</v>
      </c>
      <c r="AB2653">
        <v>37</v>
      </c>
      <c r="AC2653">
        <v>-50.312799999999903</v>
      </c>
      <c r="AD2653">
        <v>-1.04145416</v>
      </c>
      <c r="AE2653">
        <v>8.9411000000000005</v>
      </c>
      <c r="AF2653">
        <v>9.1958509854863699</v>
      </c>
      <c r="AG2653">
        <v>-1.04145416</v>
      </c>
      <c r="AH2653">
        <v>50.245293659577399</v>
      </c>
      <c r="AI2653">
        <v>91.168026867133804</v>
      </c>
      <c r="AJ2653">
        <v>79.628559108805703</v>
      </c>
      <c r="AK2653">
        <v>51.0904867568496</v>
      </c>
      <c r="AL2653">
        <v>79.340896299282093</v>
      </c>
      <c r="AM2653">
        <v>86.645673937522602</v>
      </c>
      <c r="AN2653">
        <v>0.99999998039099902</v>
      </c>
    </row>
    <row r="2654" spans="1:40" x14ac:dyDescent="0.25">
      <c r="A2654" t="str">
        <f>"20190303170308944"</f>
        <v>20190303170308944</v>
      </c>
      <c r="B2654" t="str">
        <f>"1551603788937900"</f>
        <v>1551603788937900</v>
      </c>
      <c r="C2654" t="s">
        <v>40</v>
      </c>
      <c r="D2654">
        <v>4.1891030000000002</v>
      </c>
      <c r="E2654">
        <v>0.5574654</v>
      </c>
      <c r="F2654" t="s">
        <v>63</v>
      </c>
      <c r="G2654">
        <v>-429.9973</v>
      </c>
      <c r="H2654">
        <v>6.7097210000000004E-2</v>
      </c>
      <c r="I2654">
        <v>293.10759999999999</v>
      </c>
      <c r="J2654">
        <v>-383.4624</v>
      </c>
      <c r="K2654">
        <v>1.1214649999999999</v>
      </c>
      <c r="L2654">
        <v>284.42309999999998</v>
      </c>
      <c r="M2654">
        <v>-0.99987729999999997</v>
      </c>
      <c r="N2654">
        <v>-1.4820369999999999E-2</v>
      </c>
      <c r="O2654">
        <v>-5.0714769999999996E-3</v>
      </c>
      <c r="P2654">
        <v>-0.98397100000000004</v>
      </c>
      <c r="Q2654">
        <v>0.17055770000000001</v>
      </c>
      <c r="R2654">
        <v>5.2068379999999997E-2</v>
      </c>
      <c r="S2654">
        <v>-3.0307620000000002</v>
      </c>
      <c r="T2654">
        <v>-6.8160650000000003E-2</v>
      </c>
      <c r="U2654">
        <v>0.56130979999999997</v>
      </c>
      <c r="V2654">
        <v>5.7105410000000002E-2</v>
      </c>
      <c r="W2654">
        <v>0.1851034</v>
      </c>
      <c r="X2654">
        <v>0.98105850000000006</v>
      </c>
      <c r="Y2654">
        <v>0.1870153</v>
      </c>
      <c r="Z2654">
        <v>3.5214000000000001E-3</v>
      </c>
      <c r="AA2654">
        <v>0.98235070000000002</v>
      </c>
      <c r="AB2654">
        <v>37</v>
      </c>
      <c r="AC2654">
        <v>-46.534899999999901</v>
      </c>
      <c r="AD2654">
        <v>-1.0543677899999999</v>
      </c>
      <c r="AE2654">
        <v>8.6845000000000105</v>
      </c>
      <c r="AF2654">
        <v>8.9159917792159504</v>
      </c>
      <c r="AG2654">
        <v>-1.0543677899999999</v>
      </c>
      <c r="AH2654">
        <v>46.467201544478698</v>
      </c>
      <c r="AI2654">
        <v>91.276572120139605</v>
      </c>
      <c r="AJ2654">
        <v>79.1382662281394</v>
      </c>
      <c r="AK2654">
        <v>47.326603725799302</v>
      </c>
      <c r="AL2654">
        <v>79.332839514439399</v>
      </c>
      <c r="AM2654">
        <v>86.668688739239698</v>
      </c>
      <c r="AN2654">
        <v>1.0000000384825301</v>
      </c>
    </row>
    <row r="2655" spans="1:40" x14ac:dyDescent="0.25">
      <c r="A2655" t="str">
        <f>"20190303170308965"</f>
        <v>20190303170308965</v>
      </c>
      <c r="B2655" t="str">
        <f>"1551603788958397"</f>
        <v>1551603788958397</v>
      </c>
      <c r="C2655" t="s">
        <v>40</v>
      </c>
      <c r="D2655">
        <v>4.1991849999999999</v>
      </c>
      <c r="E2655">
        <v>0.55816690000000002</v>
      </c>
      <c r="F2655" t="s">
        <v>63</v>
      </c>
      <c r="G2655">
        <v>-429.9708</v>
      </c>
      <c r="H2655">
        <v>5.3430720000000001E-2</v>
      </c>
      <c r="I2655">
        <v>293.27800000000002</v>
      </c>
      <c r="J2655">
        <v>-383.80930000000001</v>
      </c>
      <c r="K2655">
        <v>1.1214820000000001</v>
      </c>
      <c r="L2655">
        <v>284.42140000000001</v>
      </c>
      <c r="M2655">
        <v>-0.99987780000000004</v>
      </c>
      <c r="N2655">
        <v>-1.481645E-2</v>
      </c>
      <c r="O2655">
        <v>-5.0138320000000002E-3</v>
      </c>
      <c r="P2655">
        <v>-0.9839135</v>
      </c>
      <c r="Q2655">
        <v>0.1709262</v>
      </c>
      <c r="R2655">
        <v>5.1951009999999999E-2</v>
      </c>
      <c r="S2655">
        <v>-3.0303960000000001</v>
      </c>
      <c r="T2655">
        <v>-6.9591159999999999E-2</v>
      </c>
      <c r="U2655">
        <v>0.57696530000000001</v>
      </c>
      <c r="V2655">
        <v>5.6926339999999999E-2</v>
      </c>
      <c r="W2655">
        <v>0.18546840000000001</v>
      </c>
      <c r="X2655">
        <v>0.98099990000000004</v>
      </c>
      <c r="Y2655">
        <v>0.19187499999999999</v>
      </c>
      <c r="Z2655">
        <v>3.6582369999999999E-3</v>
      </c>
      <c r="AA2655">
        <v>0.98141250000000002</v>
      </c>
      <c r="AB2655">
        <v>37</v>
      </c>
      <c r="AC2655">
        <v>-46.161499999999897</v>
      </c>
      <c r="AD2655">
        <v>-1.0680512799999999</v>
      </c>
      <c r="AE2655">
        <v>8.8566000000000091</v>
      </c>
      <c r="AF2655">
        <v>9.0832700975484997</v>
      </c>
      <c r="AG2655">
        <v>-1.0680512799999999</v>
      </c>
      <c r="AH2655">
        <v>46.092710365422803</v>
      </c>
      <c r="AI2655">
        <v>91.3023702294103</v>
      </c>
      <c r="AJ2655">
        <v>78.851841592243403</v>
      </c>
      <c r="AK2655">
        <v>46.991323433507297</v>
      </c>
      <c r="AL2655">
        <v>79.311557316023595</v>
      </c>
      <c r="AM2655">
        <v>86.678913652709696</v>
      </c>
      <c r="AN2655">
        <v>0.99999996969218197</v>
      </c>
    </row>
    <row r="2656" spans="1:40" x14ac:dyDescent="0.25">
      <c r="A2656" t="str">
        <f>"20190303170308988"</f>
        <v>20190303170308988</v>
      </c>
      <c r="B2656" t="str">
        <f>"1551603788977918"</f>
        <v>1551603788977918</v>
      </c>
      <c r="C2656" t="s">
        <v>40</v>
      </c>
      <c r="D2656">
        <v>4.1868210000000001</v>
      </c>
      <c r="E2656">
        <v>0.55886309999999995</v>
      </c>
      <c r="F2656" t="s">
        <v>63</v>
      </c>
      <c r="G2656">
        <v>-430.27879999999999</v>
      </c>
      <c r="H2656">
        <v>7.9999929999999997E-2</v>
      </c>
      <c r="I2656">
        <v>293.35680000000002</v>
      </c>
      <c r="J2656">
        <v>-384.17599999999999</v>
      </c>
      <c r="K2656">
        <v>1.1214919999999999</v>
      </c>
      <c r="L2656">
        <v>284.4196</v>
      </c>
      <c r="M2656">
        <v>-0.99987800000000004</v>
      </c>
      <c r="N2656">
        <v>-1.4812260000000001E-2</v>
      </c>
      <c r="O2656">
        <v>-4.9627330000000004E-3</v>
      </c>
      <c r="P2656">
        <v>-0.98401930000000004</v>
      </c>
      <c r="Q2656">
        <v>0.170323799999999</v>
      </c>
      <c r="R2656">
        <v>5.1924860000000003E-2</v>
      </c>
      <c r="S2656">
        <v>-3.03009</v>
      </c>
      <c r="T2656">
        <v>-6.7910789999999999E-2</v>
      </c>
      <c r="U2656">
        <v>0.58264159999999998</v>
      </c>
      <c r="V2656">
        <v>5.6845729999999997E-2</v>
      </c>
      <c r="W2656">
        <v>0.18486540000000001</v>
      </c>
      <c r="X2656">
        <v>0.98111839999999995</v>
      </c>
      <c r="Y2656">
        <v>0.1936187</v>
      </c>
      <c r="Z2656">
        <v>3.6344820000000001E-3</v>
      </c>
      <c r="AA2656">
        <v>0.98107009999999994</v>
      </c>
      <c r="AB2656">
        <v>37</v>
      </c>
      <c r="AC2656">
        <v>-46.102800000000002</v>
      </c>
      <c r="AD2656">
        <v>-1.0414920700000001</v>
      </c>
      <c r="AE2656">
        <v>8.9372000000000096</v>
      </c>
      <c r="AF2656">
        <v>9.1614048323770003</v>
      </c>
      <c r="AG2656">
        <v>-1.0414920700000001</v>
      </c>
      <c r="AH2656">
        <v>46.035231738468497</v>
      </c>
      <c r="AI2656">
        <v>91.271109466069205</v>
      </c>
      <c r="AJ2656">
        <v>78.7446988460119</v>
      </c>
      <c r="AK2656">
        <v>46.949532537066602</v>
      </c>
      <c r="AL2656">
        <v>79.346714799350195</v>
      </c>
      <c r="AM2656">
        <v>86.6840056029355</v>
      </c>
      <c r="AN2656">
        <v>0.99999998397747603</v>
      </c>
    </row>
    <row r="2657" spans="1:40" x14ac:dyDescent="0.25">
      <c r="A2657" t="str">
        <f>"20190303170309001"</f>
        <v>20190303170309001</v>
      </c>
      <c r="B2657" t="str">
        <f>"1551603788987677"</f>
        <v>1551603788987677</v>
      </c>
      <c r="C2657" t="s">
        <v>40</v>
      </c>
      <c r="D2657">
        <v>4.188828</v>
      </c>
      <c r="E2657">
        <v>0.55914249999999999</v>
      </c>
      <c r="F2657" t="s">
        <v>63</v>
      </c>
      <c r="G2657">
        <v>-429.96510000000001</v>
      </c>
      <c r="H2657">
        <v>3.9575739999999998E-2</v>
      </c>
      <c r="I2657">
        <v>293.30759999999998</v>
      </c>
      <c r="J2657">
        <v>-384.39359999999999</v>
      </c>
      <c r="K2657">
        <v>1.1214980000000001</v>
      </c>
      <c r="L2657">
        <v>284.41849999999999</v>
      </c>
      <c r="M2657">
        <v>-0.99987820000000005</v>
      </c>
      <c r="N2657">
        <v>-1.480977E-2</v>
      </c>
      <c r="O2657">
        <v>-4.936345E-3</v>
      </c>
      <c r="P2657">
        <v>-0.98403350000000001</v>
      </c>
      <c r="Q2657">
        <v>0.17023139999999901</v>
      </c>
      <c r="R2657">
        <v>5.1957589999999998E-2</v>
      </c>
      <c r="S2657">
        <v>-3.03009</v>
      </c>
      <c r="T2657">
        <v>-7.1595790000000006E-2</v>
      </c>
      <c r="U2657">
        <v>0.5881653</v>
      </c>
      <c r="V2657">
        <v>5.6849990000000003E-2</v>
      </c>
      <c r="W2657">
        <v>0.1847712</v>
      </c>
      <c r="X2657">
        <v>0.98113589999999995</v>
      </c>
      <c r="Y2657">
        <v>0.19530890000000001</v>
      </c>
      <c r="Z2657">
        <v>3.788909E-3</v>
      </c>
      <c r="AA2657">
        <v>0.98073449999999995</v>
      </c>
      <c r="AB2657">
        <v>37</v>
      </c>
      <c r="AC2657">
        <v>-45.5715</v>
      </c>
      <c r="AD2657">
        <v>-1.08192225999999</v>
      </c>
      <c r="AE2657">
        <v>8.8890999999999796</v>
      </c>
      <c r="AF2657">
        <v>9.1090269120425695</v>
      </c>
      <c r="AG2657">
        <v>-1.08192225999999</v>
      </c>
      <c r="AH2657">
        <v>45.502353055933199</v>
      </c>
      <c r="AI2657">
        <v>91.335591909220298</v>
      </c>
      <c r="AJ2657">
        <v>78.679708336548302</v>
      </c>
      <c r="AK2657">
        <v>46.417766649073002</v>
      </c>
      <c r="AL2657">
        <v>79.352206693650004</v>
      </c>
      <c r="AM2657">
        <v>86.683816676060005</v>
      </c>
      <c r="AN2657">
        <v>0.99999998599062401</v>
      </c>
    </row>
    <row r="2658" spans="1:40" x14ac:dyDescent="0.25">
      <c r="A2658" t="str">
        <f>"20190303170309015"</f>
        <v>20190303170309015</v>
      </c>
      <c r="B2658" t="str">
        <f>"1551603789008173"</f>
        <v>1551603789008173</v>
      </c>
      <c r="C2658" t="s">
        <v>40</v>
      </c>
      <c r="D2658">
        <v>4.1951070000000001</v>
      </c>
      <c r="E2658">
        <v>0.55953969999999997</v>
      </c>
      <c r="F2658" t="s">
        <v>63</v>
      </c>
      <c r="G2658">
        <v>-429.97649999999999</v>
      </c>
      <c r="H2658">
        <v>6.1463759999999999E-2</v>
      </c>
      <c r="I2658">
        <v>293.3082</v>
      </c>
      <c r="J2658">
        <v>-384.62119999999999</v>
      </c>
      <c r="K2658">
        <v>1.121502</v>
      </c>
      <c r="L2658">
        <v>284.41739999999999</v>
      </c>
      <c r="M2658">
        <v>-0.9998783</v>
      </c>
      <c r="N2658">
        <v>-1.480719E-2</v>
      </c>
      <c r="O2658">
        <v>-4.9109009999999996E-3</v>
      </c>
      <c r="P2658">
        <v>-0.98408490000000004</v>
      </c>
      <c r="Q2658">
        <v>0.169892299999999</v>
      </c>
      <c r="R2658">
        <v>5.2092409999999999E-2</v>
      </c>
      <c r="S2658">
        <v>-3.0296630000000002</v>
      </c>
      <c r="T2658">
        <v>-7.0455069999999995E-2</v>
      </c>
      <c r="U2658">
        <v>0.59085080000000001</v>
      </c>
      <c r="V2658">
        <v>5.6957870000000001E-2</v>
      </c>
      <c r="W2658">
        <v>0.18443090000000001</v>
      </c>
      <c r="X2658">
        <v>0.98119369999999995</v>
      </c>
      <c r="Y2658">
        <v>0.1961492</v>
      </c>
      <c r="Z2658">
        <v>3.7664159999999999E-3</v>
      </c>
      <c r="AA2658">
        <v>0.98056679999999996</v>
      </c>
      <c r="AB2658">
        <v>37</v>
      </c>
      <c r="AC2658">
        <v>-45.3553</v>
      </c>
      <c r="AD2658">
        <v>-1.0600382399999999</v>
      </c>
      <c r="AE2658">
        <v>8.8908000000000094</v>
      </c>
      <c r="AF2658">
        <v>9.1086611390036794</v>
      </c>
      <c r="AG2658">
        <v>-1.0600382399999999</v>
      </c>
      <c r="AH2658">
        <v>45.287263826321798</v>
      </c>
      <c r="AI2658">
        <v>91.314560308782106</v>
      </c>
      <c r="AJ2658">
        <v>78.627785949611706</v>
      </c>
      <c r="AK2658">
        <v>46.206359450732897</v>
      </c>
      <c r="AL2658">
        <v>79.372045731725706</v>
      </c>
      <c r="AM2658">
        <v>86.677733166271807</v>
      </c>
      <c r="AN2658">
        <v>1.00000001637471</v>
      </c>
    </row>
    <row r="2659" spans="1:40" x14ac:dyDescent="0.25">
      <c r="A2659" t="str">
        <f>"20190303170309028"</f>
        <v>20190303170309028</v>
      </c>
      <c r="B2659" t="str">
        <f>"1551603789017932"</f>
        <v>1551603789017932</v>
      </c>
      <c r="C2659" t="s">
        <v>40</v>
      </c>
      <c r="D2659">
        <v>4.1753720000000003</v>
      </c>
      <c r="E2659">
        <v>0.55980769999999902</v>
      </c>
      <c r="F2659" t="s">
        <v>63</v>
      </c>
      <c r="G2659">
        <v>-429.96440000000001</v>
      </c>
      <c r="H2659">
        <v>2.2268E-2</v>
      </c>
      <c r="I2659">
        <v>293.31670000000003</v>
      </c>
      <c r="J2659">
        <v>-384.83569999999997</v>
      </c>
      <c r="K2659">
        <v>1.121505</v>
      </c>
      <c r="L2659">
        <v>284.41640000000001</v>
      </c>
      <c r="M2659">
        <v>-0.99987839999999995</v>
      </c>
      <c r="N2659">
        <v>-1.480474E-2</v>
      </c>
      <c r="O2659">
        <v>-4.8896039999999997E-3</v>
      </c>
      <c r="P2659">
        <v>-0.98408669999999998</v>
      </c>
      <c r="Q2659">
        <v>0.16982839999999999</v>
      </c>
      <c r="R2659">
        <v>5.2264339999999999E-2</v>
      </c>
      <c r="S2659">
        <v>-3.0297550000000002</v>
      </c>
      <c r="T2659">
        <v>-7.3448899999999998E-2</v>
      </c>
      <c r="U2659">
        <v>0.59463500000000002</v>
      </c>
      <c r="V2659">
        <v>5.710726E-2</v>
      </c>
      <c r="W2659">
        <v>0.18436530000000001</v>
      </c>
      <c r="X2659">
        <v>0.98119730000000005</v>
      </c>
      <c r="Y2659">
        <v>0.19729579999999999</v>
      </c>
      <c r="Z2659">
        <v>3.888931E-3</v>
      </c>
      <c r="AA2659">
        <v>0.98033630000000005</v>
      </c>
      <c r="AB2659">
        <v>36</v>
      </c>
      <c r="AC2659">
        <v>-45.128700000000002</v>
      </c>
      <c r="AD2659">
        <v>-1.099237</v>
      </c>
      <c r="AE2659">
        <v>8.9003000000000103</v>
      </c>
      <c r="AF2659">
        <v>9.11567337454896</v>
      </c>
      <c r="AG2659">
        <v>-1.099237</v>
      </c>
      <c r="AH2659">
        <v>45.058903974163798</v>
      </c>
      <c r="AI2659">
        <v>91.369746935658</v>
      </c>
      <c r="AJ2659">
        <v>78.5630978640812</v>
      </c>
      <c r="AK2659">
        <v>45.984874147990702</v>
      </c>
      <c r="AL2659">
        <v>79.375869439103099</v>
      </c>
      <c r="AM2659">
        <v>86.669051261125503</v>
      </c>
      <c r="AN2659">
        <v>0.99999997225804305</v>
      </c>
    </row>
    <row r="2660" spans="1:40" x14ac:dyDescent="0.25">
      <c r="A2660" t="str">
        <f>"20190303170309041"</f>
        <v>20190303170309041</v>
      </c>
      <c r="B2660" t="str">
        <f>"1551603789028669"</f>
        <v>1551603789028669</v>
      </c>
      <c r="C2660" t="s">
        <v>40</v>
      </c>
      <c r="D2660">
        <v>4.1465730000000001</v>
      </c>
      <c r="E2660">
        <v>0.56002940000000001</v>
      </c>
      <c r="F2660" t="s">
        <v>63</v>
      </c>
      <c r="G2660">
        <v>-429.96449999999999</v>
      </c>
      <c r="H2660">
        <v>3.2133370000000001E-2</v>
      </c>
      <c r="I2660">
        <v>293.31509999999997</v>
      </c>
      <c r="J2660">
        <v>-385.04239999999999</v>
      </c>
      <c r="K2660">
        <v>1.1215079999999999</v>
      </c>
      <c r="L2660">
        <v>284.41539999999998</v>
      </c>
      <c r="M2660">
        <v>-0.99987859999999995</v>
      </c>
      <c r="N2660">
        <v>-1.480238E-2</v>
      </c>
      <c r="O2660">
        <v>-4.8698480000000004E-3</v>
      </c>
      <c r="P2660">
        <v>-0.98411680000000001</v>
      </c>
      <c r="Q2660">
        <v>0.16971420000000001</v>
      </c>
      <c r="R2660">
        <v>5.2070579999999998E-2</v>
      </c>
      <c r="S2660">
        <v>-3.029388</v>
      </c>
      <c r="T2660">
        <v>-7.3126910000000003E-2</v>
      </c>
      <c r="U2660">
        <v>0.59735109999999902</v>
      </c>
      <c r="V2660">
        <v>5.6893109999999997E-2</v>
      </c>
      <c r="W2660">
        <v>0.18425</v>
      </c>
      <c r="X2660">
        <v>0.98123150000000003</v>
      </c>
      <c r="Y2660">
        <v>0.19814519999999999</v>
      </c>
      <c r="Z2660">
        <v>3.8943430000000002E-3</v>
      </c>
      <c r="AA2660">
        <v>0.98016490000000001</v>
      </c>
      <c r="AB2660">
        <v>36</v>
      </c>
      <c r="AC2660">
        <v>-44.9221</v>
      </c>
      <c r="AD2660">
        <v>-1.08937463</v>
      </c>
      <c r="AE2660">
        <v>8.8996999999999904</v>
      </c>
      <c r="AF2660">
        <v>9.1132253335686197</v>
      </c>
      <c r="AG2660">
        <v>-1.08937463</v>
      </c>
      <c r="AH2660">
        <v>44.8528415090883</v>
      </c>
      <c r="AI2660">
        <v>91.363464033397406</v>
      </c>
      <c r="AJ2660">
        <v>78.514951614265399</v>
      </c>
      <c r="AK2660">
        <v>45.782256437448297</v>
      </c>
      <c r="AL2660">
        <v>79.382591865758798</v>
      </c>
      <c r="AM2660">
        <v>86.681629625739504</v>
      </c>
      <c r="AN2660">
        <v>1.00000007252885</v>
      </c>
    </row>
    <row r="2661" spans="1:40" x14ac:dyDescent="0.25">
      <c r="A2661" t="str">
        <f>"20190303170309055"</f>
        <v>20190303170309055</v>
      </c>
      <c r="B2661" t="str">
        <f>"1551603789048189"</f>
        <v>1551603789048189</v>
      </c>
      <c r="C2661" t="s">
        <v>40</v>
      </c>
      <c r="D2661">
        <v>4.2820679999999998</v>
      </c>
      <c r="E2661">
        <v>0.56009299999999995</v>
      </c>
      <c r="F2661" t="s">
        <v>63</v>
      </c>
      <c r="G2661">
        <v>-429.96640000000002</v>
      </c>
      <c r="H2661">
        <v>3.0027640000000001E-2</v>
      </c>
      <c r="I2661">
        <v>293.28989999999999</v>
      </c>
      <c r="J2661">
        <v>-385.28</v>
      </c>
      <c r="K2661">
        <v>1.121513</v>
      </c>
      <c r="L2661">
        <v>284.41430000000003</v>
      </c>
      <c r="M2661">
        <v>-0.99987879999999996</v>
      </c>
      <c r="N2661">
        <v>-1.4799669999999999E-2</v>
      </c>
      <c r="O2661">
        <v>-4.8482999999999998E-3</v>
      </c>
      <c r="P2661">
        <v>-0.9839466</v>
      </c>
      <c r="Q2661">
        <v>0.1707022</v>
      </c>
      <c r="R2661">
        <v>5.2061940000000001E-2</v>
      </c>
      <c r="S2661">
        <v>-3.0294189999999999</v>
      </c>
      <c r="T2661">
        <v>-7.3603150000000006E-2</v>
      </c>
      <c r="U2661">
        <v>0.59844969999999997</v>
      </c>
      <c r="V2661">
        <v>5.6861380000000003E-2</v>
      </c>
      <c r="W2661">
        <v>0.18523319999999999</v>
      </c>
      <c r="X2661">
        <v>0.98104820000000004</v>
      </c>
      <c r="Y2661">
        <v>0.19846330000000001</v>
      </c>
      <c r="Z2661">
        <v>3.916208E-3</v>
      </c>
      <c r="AA2661">
        <v>0.98010050000000004</v>
      </c>
      <c r="AB2661">
        <v>36</v>
      </c>
      <c r="AC2661">
        <v>-44.686399999999999</v>
      </c>
      <c r="AD2661">
        <v>-1.0914853600000001</v>
      </c>
      <c r="AE2661">
        <v>8.8755999999999595</v>
      </c>
      <c r="AF2661">
        <v>9.0869568998405796</v>
      </c>
      <c r="AG2661">
        <v>-1.0914853600000001</v>
      </c>
      <c r="AH2661">
        <v>44.617229898485398</v>
      </c>
      <c r="AI2661">
        <v>91.373186271062494</v>
      </c>
      <c r="AJ2661">
        <v>78.488311882262494</v>
      </c>
      <c r="AK2661">
        <v>45.546254838405297</v>
      </c>
      <c r="AL2661">
        <v>79.325271912983993</v>
      </c>
      <c r="AM2661">
        <v>86.682857911211499</v>
      </c>
      <c r="AN2661">
        <v>1.0000000628204899</v>
      </c>
    </row>
    <row r="2662" spans="1:40" x14ac:dyDescent="0.25">
      <c r="A2662" t="str">
        <f>"20190303170309069"</f>
        <v>20190303170309069</v>
      </c>
      <c r="B2662" t="str">
        <f>"1551603789057950"</f>
        <v>1551603789057950</v>
      </c>
      <c r="C2662" t="s">
        <v>40</v>
      </c>
      <c r="D2662">
        <v>4.1900969999999997</v>
      </c>
      <c r="E2662">
        <v>0.52735500000000002</v>
      </c>
      <c r="F2662" t="s">
        <v>63</v>
      </c>
      <c r="G2662">
        <v>-429.9973</v>
      </c>
      <c r="H2662">
        <v>7.8493889999999997E-2</v>
      </c>
      <c r="I2662">
        <v>293.25940000000003</v>
      </c>
      <c r="J2662">
        <v>-385.5136</v>
      </c>
      <c r="K2662">
        <v>1.1215189999999999</v>
      </c>
      <c r="L2662">
        <v>284.41320000000002</v>
      </c>
      <c r="M2662">
        <v>-0.99987890000000001</v>
      </c>
      <c r="N2662">
        <v>-1.4797050000000001E-2</v>
      </c>
      <c r="O2662">
        <v>-4.8274570000000003E-3</v>
      </c>
      <c r="P2662">
        <v>-0.98388419999999999</v>
      </c>
      <c r="Q2662">
        <v>0.17100799999999999</v>
      </c>
      <c r="R2662">
        <v>5.223411E-2</v>
      </c>
      <c r="S2662">
        <v>-3.0295100000000001</v>
      </c>
      <c r="T2662">
        <v>-7.0662619999999995E-2</v>
      </c>
      <c r="U2662">
        <v>0.59924319999999998</v>
      </c>
      <c r="V2662">
        <v>5.7011920000000001E-2</v>
      </c>
      <c r="W2662">
        <v>0.18553539999999999</v>
      </c>
      <c r="X2662">
        <v>0.98098229999999997</v>
      </c>
      <c r="Y2662">
        <v>0.19869000000000001</v>
      </c>
      <c r="Z2662">
        <v>3.8199589999999999E-3</v>
      </c>
      <c r="AA2662">
        <v>0.98005500000000001</v>
      </c>
      <c r="AB2662">
        <v>36</v>
      </c>
      <c r="AC2662">
        <v>-44.483699999999999</v>
      </c>
      <c r="AD2662">
        <v>-1.0430251100000001</v>
      </c>
      <c r="AE2662">
        <v>8.8462000000000103</v>
      </c>
      <c r="AF2662">
        <v>9.0560741260089301</v>
      </c>
      <c r="AG2662">
        <v>-1.0430251100000001</v>
      </c>
      <c r="AH2662">
        <v>44.416981703307798</v>
      </c>
      <c r="AI2662">
        <v>91.318097271255795</v>
      </c>
      <c r="AJ2662">
        <v>78.476049609541604</v>
      </c>
      <c r="AK2662">
        <v>45.342790425687802</v>
      </c>
      <c r="AL2662">
        <v>79.307651112597298</v>
      </c>
      <c r="AM2662">
        <v>86.673872571069495</v>
      </c>
      <c r="AN2662">
        <v>1.0000000082942599</v>
      </c>
    </row>
    <row r="2663" spans="1:40" x14ac:dyDescent="0.25">
      <c r="A2663" t="str">
        <f>"20190303170309089"</f>
        <v>20190303170309089</v>
      </c>
      <c r="B2663" t="str">
        <f>"1551603789078446"</f>
        <v>1551603789078446</v>
      </c>
      <c r="C2663" t="s">
        <v>40</v>
      </c>
      <c r="D2663">
        <v>4.3277539999999997</v>
      </c>
      <c r="E2663">
        <v>0.51676920000000004</v>
      </c>
      <c r="F2663" t="s">
        <v>62</v>
      </c>
      <c r="G2663">
        <v>-445.35149999999999</v>
      </c>
      <c r="H2663">
        <v>7.9999840000000003E-2</v>
      </c>
      <c r="I2663">
        <v>291.0899</v>
      </c>
      <c r="J2663">
        <v>-385.81990000000002</v>
      </c>
      <c r="K2663">
        <v>1.121521</v>
      </c>
      <c r="L2663">
        <v>284.4117</v>
      </c>
      <c r="M2663">
        <v>-0.99987910000000002</v>
      </c>
      <c r="N2663">
        <v>-1.479368E-2</v>
      </c>
      <c r="O2663">
        <v>-4.8005359999999898E-3</v>
      </c>
      <c r="P2663">
        <v>-0.98380730000000005</v>
      </c>
      <c r="Q2663">
        <v>0.171592299999999</v>
      </c>
      <c r="R2663">
        <v>5.1764879999999999E-2</v>
      </c>
      <c r="S2663">
        <v>-3.0402830000000001</v>
      </c>
      <c r="T2663">
        <v>-5.2918199999999999E-2</v>
      </c>
      <c r="U2663">
        <v>0.33923340000000002</v>
      </c>
      <c r="V2663">
        <v>5.6514759999999997E-2</v>
      </c>
      <c r="W2663">
        <v>0.18611549999999999</v>
      </c>
      <c r="X2663">
        <v>0.98090120000000003</v>
      </c>
      <c r="Y2663">
        <v>0.11562939999999999</v>
      </c>
      <c r="Z2663">
        <v>1.8737199999999999E-3</v>
      </c>
      <c r="AA2663">
        <v>0.99329069999999997</v>
      </c>
      <c r="AB2663">
        <v>36</v>
      </c>
      <c r="AC2663">
        <v>-59.531599999999898</v>
      </c>
      <c r="AD2663">
        <v>-1.0415211600000001</v>
      </c>
      <c r="AE2663">
        <v>6.6782000000000004</v>
      </c>
      <c r="AF2663">
        <v>6.9618334572494804</v>
      </c>
      <c r="AG2663">
        <v>-1.0415211600000001</v>
      </c>
      <c r="AH2663">
        <v>59.480871541819802</v>
      </c>
      <c r="AI2663">
        <v>90.996357265546493</v>
      </c>
      <c r="AJ2663">
        <v>83.324289988354593</v>
      </c>
      <c r="AK2663">
        <v>59.895959553109101</v>
      </c>
      <c r="AL2663">
        <v>79.273824911978906</v>
      </c>
      <c r="AM2663">
        <v>86.702541058784604</v>
      </c>
      <c r="AN2663">
        <v>1.0000000307997701</v>
      </c>
    </row>
    <row r="2664" spans="1:40" x14ac:dyDescent="0.25">
      <c r="A2664" t="str">
        <f>"20190303170309106"</f>
        <v>20190303170309106</v>
      </c>
      <c r="B2664" t="str">
        <f>"1551603789097914"</f>
        <v>1551603789097914</v>
      </c>
      <c r="C2664" t="s">
        <v>40</v>
      </c>
      <c r="D2664">
        <v>4.128368</v>
      </c>
      <c r="E2664">
        <v>0.51290459999999904</v>
      </c>
      <c r="F2664" t="s">
        <v>57</v>
      </c>
      <c r="G2664">
        <v>-478.15350000000001</v>
      </c>
      <c r="H2664">
        <v>8.0001329999999996E-2</v>
      </c>
      <c r="I2664">
        <v>292.11380000000003</v>
      </c>
      <c r="J2664">
        <v>-386.10849999999999</v>
      </c>
      <c r="K2664">
        <v>1.1215189999999999</v>
      </c>
      <c r="L2664">
        <v>284.41030000000001</v>
      </c>
      <c r="M2664">
        <v>-0.99987919999999997</v>
      </c>
      <c r="N2664">
        <v>-1.479046E-2</v>
      </c>
      <c r="O2664">
        <v>-4.7743250000000003E-3</v>
      </c>
      <c r="P2664">
        <v>-0.98382000000000003</v>
      </c>
      <c r="Q2664">
        <v>0.17151640000000001</v>
      </c>
      <c r="R2664">
        <v>5.1773409999999999E-2</v>
      </c>
      <c r="S2664">
        <v>-3.0420229999999999</v>
      </c>
      <c r="T2664">
        <v>-3.4313919999999998E-2</v>
      </c>
      <c r="U2664">
        <v>0.25375370000000003</v>
      </c>
      <c r="V2664">
        <v>5.6496640000000001E-2</v>
      </c>
      <c r="W2664">
        <v>0.1860368</v>
      </c>
      <c r="X2664">
        <v>0.98091719999999905</v>
      </c>
      <c r="Y2664">
        <v>8.7871840000000007E-2</v>
      </c>
      <c r="Z2664">
        <v>1.1290320000000001E-3</v>
      </c>
      <c r="AA2664">
        <v>0.99613110000000005</v>
      </c>
      <c r="AB2664">
        <v>36</v>
      </c>
      <c r="AC2664">
        <v>-92.045000000000002</v>
      </c>
      <c r="AD2664">
        <v>-1.04151767</v>
      </c>
      <c r="AE2664">
        <v>7.7035000000000098</v>
      </c>
      <c r="AF2664">
        <v>8.1418778052436807</v>
      </c>
      <c r="AG2664">
        <v>-1.04151767</v>
      </c>
      <c r="AH2664">
        <v>91.995470859372503</v>
      </c>
      <c r="AI2664">
        <v>90.646115525992002</v>
      </c>
      <c r="AJ2664">
        <v>84.942327728665603</v>
      </c>
      <c r="AK2664">
        <v>92.360931090424202</v>
      </c>
      <c r="AL2664">
        <v>79.278414527986996</v>
      </c>
      <c r="AM2664">
        <v>86.703649622027797</v>
      </c>
      <c r="AN2664">
        <v>1.00000005727068</v>
      </c>
    </row>
    <row r="2665" spans="1:40" x14ac:dyDescent="0.25">
      <c r="A2665" t="str">
        <f>"20190303170309120"</f>
        <v>20190303170309120</v>
      </c>
      <c r="B2665" t="str">
        <f>"1551603789108650"</f>
        <v>1551603789108650</v>
      </c>
      <c r="C2665" t="s">
        <v>40</v>
      </c>
      <c r="D2665">
        <v>4.1009769999999897</v>
      </c>
      <c r="E2665">
        <v>0.51187609999999995</v>
      </c>
      <c r="F2665" t="s">
        <v>57</v>
      </c>
      <c r="G2665">
        <v>-499.95780000000002</v>
      </c>
      <c r="H2665">
        <v>2.87624E-2</v>
      </c>
      <c r="I2665">
        <v>292.76780000000002</v>
      </c>
      <c r="J2665">
        <v>-386.31779999999998</v>
      </c>
      <c r="K2665">
        <v>1.1215189999999999</v>
      </c>
      <c r="L2665">
        <v>284.40940000000001</v>
      </c>
      <c r="M2665">
        <v>-0.99987939999999997</v>
      </c>
      <c r="N2665">
        <v>-1.478815E-2</v>
      </c>
      <c r="O2665">
        <v>-4.7552590000000004E-3</v>
      </c>
      <c r="P2665">
        <v>-0.98393280000000005</v>
      </c>
      <c r="Q2665">
        <v>0.1709135</v>
      </c>
      <c r="R2665">
        <v>5.1624000000000003E-2</v>
      </c>
      <c r="S2665">
        <v>-3.042694</v>
      </c>
      <c r="T2665">
        <v>-2.9204609999999999E-2</v>
      </c>
      <c r="U2665">
        <v>0.22335820000000001</v>
      </c>
      <c r="V2665">
        <v>5.632827E-2</v>
      </c>
      <c r="W2665">
        <v>0.18543380000000001</v>
      </c>
      <c r="X2665">
        <v>0.98104100000000005</v>
      </c>
      <c r="Y2665">
        <v>7.7944050000000001E-2</v>
      </c>
      <c r="Z2665">
        <v>9.2606959999999995E-4</v>
      </c>
      <c r="AA2665">
        <v>0.99695730000000005</v>
      </c>
      <c r="AB2665">
        <v>36</v>
      </c>
      <c r="AC2665">
        <v>-113.64</v>
      </c>
      <c r="AD2665">
        <v>-1.0927566</v>
      </c>
      <c r="AE2665">
        <v>8.3584000000000103</v>
      </c>
      <c r="AF2665">
        <v>8.8979338424379808</v>
      </c>
      <c r="AG2665">
        <v>-1.0927566</v>
      </c>
      <c r="AH2665">
        <v>113.588517550616</v>
      </c>
      <c r="AI2665">
        <v>90.549502794531804</v>
      </c>
      <c r="AJ2665">
        <v>85.520893383089202</v>
      </c>
      <c r="AK2665">
        <v>113.94173363170199</v>
      </c>
      <c r="AL2665">
        <v>79.313575137239397</v>
      </c>
      <c r="AM2665">
        <v>86.713865592584597</v>
      </c>
      <c r="AN2665">
        <v>1.00000000593231</v>
      </c>
    </row>
    <row r="2666" spans="1:40" x14ac:dyDescent="0.25">
      <c r="A2666" t="str">
        <f>"20190303170309133"</f>
        <v>20190303170309133</v>
      </c>
      <c r="B2666" t="str">
        <f>"1551603789128172"</f>
        <v>1551603789128172</v>
      </c>
      <c r="C2666" t="s">
        <v>40</v>
      </c>
      <c r="D2666">
        <v>4.1249570000000002</v>
      </c>
      <c r="E2666">
        <v>0.51070850000000001</v>
      </c>
      <c r="F2666" t="s">
        <v>57</v>
      </c>
      <c r="G2666">
        <v>-499.95960000000002</v>
      </c>
      <c r="H2666">
        <v>5.1852820000000001E-2</v>
      </c>
      <c r="I2666">
        <v>292.4348</v>
      </c>
      <c r="J2666">
        <v>-386.5455</v>
      </c>
      <c r="K2666">
        <v>1.121518</v>
      </c>
      <c r="L2666">
        <v>284.4083</v>
      </c>
      <c r="M2666">
        <v>-0.99987959999999998</v>
      </c>
      <c r="N2666">
        <v>-1.478574E-2</v>
      </c>
      <c r="O2666">
        <v>-4.7347550000000002E-3</v>
      </c>
      <c r="P2666">
        <v>-0.98415359999999996</v>
      </c>
      <c r="Q2666">
        <v>0.169702399999999</v>
      </c>
      <c r="R2666">
        <v>5.1408420000000003E-2</v>
      </c>
      <c r="S2666">
        <v>-3.0426639999999998</v>
      </c>
      <c r="T2666">
        <v>-2.8639439999999999E-2</v>
      </c>
      <c r="U2666">
        <v>0.21487429999999999</v>
      </c>
      <c r="V2666">
        <v>5.6092830000000003E-2</v>
      </c>
      <c r="W2666">
        <v>0.1842242</v>
      </c>
      <c r="X2666">
        <v>0.9812824</v>
      </c>
      <c r="Y2666">
        <v>7.5159119999999996E-2</v>
      </c>
      <c r="Z2666">
        <v>8.8425889999999897E-4</v>
      </c>
      <c r="AA2666">
        <v>0.99717120000000004</v>
      </c>
      <c r="AB2666">
        <v>36</v>
      </c>
      <c r="AC2666">
        <v>-113.4141</v>
      </c>
      <c r="AD2666">
        <v>-1.0696651800000001</v>
      </c>
      <c r="AE2666">
        <v>8.0264999999999898</v>
      </c>
      <c r="AF2666">
        <v>8.5626987446539609</v>
      </c>
      <c r="AG2666">
        <v>-1.0696651800000001</v>
      </c>
      <c r="AH2666">
        <v>113.364786895457</v>
      </c>
      <c r="AI2666">
        <v>90.539068765957595</v>
      </c>
      <c r="AJ2666">
        <v>85.680522114583198</v>
      </c>
      <c r="AK2666">
        <v>113.692738999645</v>
      </c>
      <c r="AL2666">
        <v>79.384095653799903</v>
      </c>
      <c r="AM2666">
        <v>86.728374294714996</v>
      </c>
      <c r="AN2666">
        <v>1.0000000549964001</v>
      </c>
    </row>
    <row r="2667" spans="1:40" x14ac:dyDescent="0.25">
      <c r="A2667" t="str">
        <f>"20190303170309157"</f>
        <v>20190303170309157</v>
      </c>
      <c r="B2667" t="str">
        <f>"1551603789147691"</f>
        <v>1551603789147691</v>
      </c>
      <c r="C2667" t="s">
        <v>40</v>
      </c>
      <c r="D2667">
        <v>4.1173440000000001</v>
      </c>
      <c r="E2667">
        <v>0.50970499999999996</v>
      </c>
      <c r="F2667" t="s">
        <v>57</v>
      </c>
      <c r="G2667">
        <v>-494.99860000000001</v>
      </c>
      <c r="H2667" s="1">
        <v>4.2612139999999999E-6</v>
      </c>
      <c r="I2667">
        <v>291.72710000000001</v>
      </c>
      <c r="J2667">
        <v>-386.91739999999999</v>
      </c>
      <c r="K2667">
        <v>1.1215170000000001</v>
      </c>
      <c r="L2667">
        <v>284.40660000000003</v>
      </c>
      <c r="M2667">
        <v>-0.99987969999999904</v>
      </c>
      <c r="N2667">
        <v>-1.478174E-2</v>
      </c>
      <c r="O2667">
        <v>-4.6999520000000003E-3</v>
      </c>
      <c r="P2667">
        <v>-0.98419999999999996</v>
      </c>
      <c r="Q2667">
        <v>0.169374</v>
      </c>
      <c r="R2667">
        <v>5.1604369999999997E-2</v>
      </c>
      <c r="S2667">
        <v>-3.042999</v>
      </c>
      <c r="T2667">
        <v>-3.1467679999999998E-2</v>
      </c>
      <c r="U2667">
        <v>0.2053528</v>
      </c>
      <c r="V2667">
        <v>5.625397E-2</v>
      </c>
      <c r="W2667">
        <v>0.18389240000000001</v>
      </c>
      <c r="X2667">
        <v>0.98133530000000002</v>
      </c>
      <c r="Y2667">
        <v>7.2010210000000005E-2</v>
      </c>
      <c r="Z2667">
        <v>8.8393330000000004E-4</v>
      </c>
      <c r="AA2667">
        <v>0.9974035</v>
      </c>
      <c r="AB2667">
        <v>36</v>
      </c>
      <c r="AC2667">
        <v>-108.0812</v>
      </c>
      <c r="AD2667">
        <v>-1.121512738786</v>
      </c>
      <c r="AE2667">
        <v>7.3204999999999796</v>
      </c>
      <c r="AF2667">
        <v>7.8276121090780597</v>
      </c>
      <c r="AG2667">
        <v>-1.121512738786</v>
      </c>
      <c r="AH2667">
        <v>108.034016981188</v>
      </c>
      <c r="AI2667">
        <v>90.5932173110305</v>
      </c>
      <c r="AJ2667">
        <v>85.85587210237</v>
      </c>
      <c r="AK2667">
        <v>108.32302676368001</v>
      </c>
      <c r="AL2667">
        <v>79.403435677554498</v>
      </c>
      <c r="AM2667">
        <v>86.719172755023493</v>
      </c>
      <c r="AN2667">
        <v>0.99999994747230403</v>
      </c>
    </row>
    <row r="2668" spans="1:40" x14ac:dyDescent="0.25">
      <c r="A2668" t="str">
        <f>"20190303170309177"</f>
        <v>20190303170309177</v>
      </c>
      <c r="B2668" t="str">
        <f>"1551603789168187"</f>
        <v>1551603789168187</v>
      </c>
      <c r="C2668" t="s">
        <v>40</v>
      </c>
      <c r="D2668">
        <v>4.2658069999999997</v>
      </c>
      <c r="E2668">
        <v>0.50940419999999997</v>
      </c>
      <c r="F2668" t="s">
        <v>57</v>
      </c>
      <c r="G2668">
        <v>-494.26589999999999</v>
      </c>
      <c r="H2668" s="1">
        <v>4.274934E-6</v>
      </c>
      <c r="I2668">
        <v>291.39830000000001</v>
      </c>
      <c r="J2668">
        <v>-387.2577</v>
      </c>
      <c r="K2668">
        <v>1.1215200000000001</v>
      </c>
      <c r="L2668">
        <v>284.40499999999997</v>
      </c>
      <c r="M2668">
        <v>-0.99987999999999999</v>
      </c>
      <c r="N2668">
        <v>-1.4778070000000001E-2</v>
      </c>
      <c r="O2668">
        <v>-4.6682349999999997E-3</v>
      </c>
      <c r="P2668">
        <v>-0.98401249999999996</v>
      </c>
      <c r="Q2668">
        <v>0.1704117</v>
      </c>
      <c r="R2668">
        <v>5.1762580000000002E-2</v>
      </c>
      <c r="S2668">
        <v>-3.0432739999999998</v>
      </c>
      <c r="T2668">
        <v>-3.1794309999999999E-2</v>
      </c>
      <c r="U2668">
        <v>0.19821169999999999</v>
      </c>
      <c r="V2668">
        <v>5.6379619999999998E-2</v>
      </c>
      <c r="W2668">
        <v>0.1849239</v>
      </c>
      <c r="X2668">
        <v>0.98113430000000001</v>
      </c>
      <c r="Y2668">
        <v>6.9642330000000002E-2</v>
      </c>
      <c r="Z2668">
        <v>8.5839509999999903E-4</v>
      </c>
      <c r="AA2668">
        <v>0.9975716</v>
      </c>
      <c r="AB2668">
        <v>36</v>
      </c>
      <c r="AC2668">
        <v>-107.0082</v>
      </c>
      <c r="AD2668">
        <v>-1.1215157250659999</v>
      </c>
      <c r="AE2668">
        <v>6.9933000000000298</v>
      </c>
      <c r="AF2668">
        <v>7.4919982622915802</v>
      </c>
      <c r="AG2668">
        <v>-1.1215157250659999</v>
      </c>
      <c r="AH2668">
        <v>106.96268457638099</v>
      </c>
      <c r="AI2668">
        <v>90.599262554456303</v>
      </c>
      <c r="AJ2668">
        <v>85.993369526476997</v>
      </c>
      <c r="AK2668">
        <v>107.230610029367</v>
      </c>
      <c r="AL2668">
        <v>79.343304499075302</v>
      </c>
      <c r="AM2668">
        <v>86.711188548932</v>
      </c>
      <c r="AN2668">
        <v>1.0000000124895201</v>
      </c>
    </row>
    <row r="2669" spans="1:40" x14ac:dyDescent="0.25">
      <c r="A2669" t="str">
        <f>"20190303170309190"</f>
        <v>20190303170309190</v>
      </c>
      <c r="B2669" t="str">
        <f>"1551603789177947"</f>
        <v>1551603789177947</v>
      </c>
      <c r="C2669" t="s">
        <v>40</v>
      </c>
      <c r="D2669">
        <v>4.2661569999999998</v>
      </c>
      <c r="E2669">
        <v>0.50933450000000002</v>
      </c>
      <c r="F2669" t="s">
        <v>57</v>
      </c>
      <c r="G2669">
        <v>-499.95780000000002</v>
      </c>
      <c r="H2669">
        <v>3.2649009999999999E-2</v>
      </c>
      <c r="I2669">
        <v>291.678</v>
      </c>
      <c r="J2669">
        <v>-387.4631</v>
      </c>
      <c r="K2669">
        <v>1.121523</v>
      </c>
      <c r="L2669">
        <v>284.404</v>
      </c>
      <c r="M2669">
        <v>-0.99987999999999999</v>
      </c>
      <c r="N2669">
        <v>-1.477584E-2</v>
      </c>
      <c r="O2669">
        <v>-4.6489169999999998E-3</v>
      </c>
      <c r="P2669">
        <v>-0.98394409999999999</v>
      </c>
      <c r="Q2669">
        <v>0.1708276</v>
      </c>
      <c r="R2669">
        <v>5.1692679999999998E-2</v>
      </c>
      <c r="S2669">
        <v>-3.0435180000000002</v>
      </c>
      <c r="T2669">
        <v>-2.940547E-2</v>
      </c>
      <c r="U2669">
        <v>0.19641110000000001</v>
      </c>
      <c r="V2669">
        <v>5.629033E-2</v>
      </c>
      <c r="W2669">
        <v>0.1853368</v>
      </c>
      <c r="X2669">
        <v>0.98106150000000003</v>
      </c>
      <c r="Y2669">
        <v>6.9031170000000003E-2</v>
      </c>
      <c r="Z2669">
        <v>8.1995630000000004E-4</v>
      </c>
      <c r="AA2669">
        <v>0.99761409999999995</v>
      </c>
      <c r="AB2669">
        <v>36</v>
      </c>
      <c r="AC2669">
        <v>-112.49469999999999</v>
      </c>
      <c r="AD2669">
        <v>-1.08887399</v>
      </c>
      <c r="AE2669">
        <v>7.274</v>
      </c>
      <c r="AF2669">
        <v>7.7962296288455404</v>
      </c>
      <c r="AG2669">
        <v>-1.08887399</v>
      </c>
      <c r="AH2669">
        <v>112.449172724175</v>
      </c>
      <c r="AI2669">
        <v>90.553463772283706</v>
      </c>
      <c r="AJ2669">
        <v>86.033964671329997</v>
      </c>
      <c r="AK2669">
        <v>112.724368657993</v>
      </c>
      <c r="AL2669">
        <v>79.3192307869232</v>
      </c>
      <c r="AM2669">
        <v>86.716142597932304</v>
      </c>
      <c r="AN2669">
        <v>0.99999999873399903</v>
      </c>
    </row>
    <row r="2670" spans="1:40" x14ac:dyDescent="0.25">
      <c r="A2670" t="str">
        <f>"20190303170309202"</f>
        <v>20190303170309202</v>
      </c>
      <c r="B2670" t="str">
        <f>"1551603789187706"</f>
        <v>1551603789187706</v>
      </c>
      <c r="C2670" t="s">
        <v>40</v>
      </c>
      <c r="D2670">
        <v>4.2092000000000001</v>
      </c>
      <c r="E2670">
        <v>0.50916059999999996</v>
      </c>
      <c r="F2670" t="s">
        <v>57</v>
      </c>
      <c r="G2670">
        <v>-499.98200000000003</v>
      </c>
      <c r="H2670">
        <v>7.4207220000000004E-2</v>
      </c>
      <c r="I2670">
        <v>291.65050000000002</v>
      </c>
      <c r="J2670">
        <v>-387.65159999999997</v>
      </c>
      <c r="K2670">
        <v>1.121534</v>
      </c>
      <c r="L2670">
        <v>284.40320000000003</v>
      </c>
      <c r="M2670">
        <v>-0.9998802</v>
      </c>
      <c r="N2670">
        <v>-1.477381E-2</v>
      </c>
      <c r="O2670">
        <v>-4.6313860000000004E-3</v>
      </c>
      <c r="P2670">
        <v>-0.98391419999999996</v>
      </c>
      <c r="Q2670">
        <v>0.17112439999999901</v>
      </c>
      <c r="R2670">
        <v>5.1278780000000003E-2</v>
      </c>
      <c r="S2670">
        <v>-3.0435789999999998</v>
      </c>
      <c r="T2670">
        <v>-2.832937E-2</v>
      </c>
      <c r="U2670">
        <v>0.19601440000000001</v>
      </c>
      <c r="V2670">
        <v>5.5858949999999997E-2</v>
      </c>
      <c r="W2670">
        <v>0.1856315</v>
      </c>
      <c r="X2670">
        <v>0.98103050000000003</v>
      </c>
      <c r="Y2670">
        <v>6.888329E-2</v>
      </c>
      <c r="Z2670">
        <v>8.0436839999999999E-4</v>
      </c>
      <c r="AA2670">
        <v>0.99762439999999997</v>
      </c>
      <c r="AB2670">
        <v>36</v>
      </c>
      <c r="AC2670">
        <v>-112.3304</v>
      </c>
      <c r="AD2670">
        <v>-1.0473267799999999</v>
      </c>
      <c r="AE2670">
        <v>7.2472999999999903</v>
      </c>
      <c r="AF2670">
        <v>7.7668520757452999</v>
      </c>
      <c r="AG2670">
        <v>-1.0473267799999999</v>
      </c>
      <c r="AH2670">
        <v>112.285905742241</v>
      </c>
      <c r="AI2670">
        <v>90.533126892049097</v>
      </c>
      <c r="AJ2670">
        <v>86.043135126358493</v>
      </c>
      <c r="AK2670">
        <v>112.559075657656</v>
      </c>
      <c r="AL2670">
        <v>79.3020481966158</v>
      </c>
      <c r="AM2670">
        <v>86.741151186004899</v>
      </c>
      <c r="AN2670">
        <v>1.0000000590087901</v>
      </c>
    </row>
    <row r="2671" spans="1:40" x14ac:dyDescent="0.25">
      <c r="A2671" t="str">
        <f>"20190303170309213"</f>
        <v>20190303170309213</v>
      </c>
      <c r="B2671" t="str">
        <f>"1551603789198442"</f>
        <v>1551603789198442</v>
      </c>
      <c r="C2671" t="s">
        <v>40</v>
      </c>
      <c r="D2671">
        <v>4.1155679999999997</v>
      </c>
      <c r="E2671">
        <v>0.50904759999999905</v>
      </c>
      <c r="F2671" t="s">
        <v>57</v>
      </c>
      <c r="G2671">
        <v>-499.9871</v>
      </c>
      <c r="H2671">
        <v>7.9313170000000002E-2</v>
      </c>
      <c r="I2671">
        <v>291.54469999999998</v>
      </c>
      <c r="J2671">
        <v>-387.83199999999999</v>
      </c>
      <c r="K2671">
        <v>1.1215329999999999</v>
      </c>
      <c r="L2671">
        <v>284.40230000000003</v>
      </c>
      <c r="M2671">
        <v>-0.99988030000000006</v>
      </c>
      <c r="N2671">
        <v>-1.4771879999999999E-2</v>
      </c>
      <c r="O2671">
        <v>-4.6144510000000003E-3</v>
      </c>
      <c r="P2671">
        <v>-0.98389870000000001</v>
      </c>
      <c r="Q2671">
        <v>0.17128409999999999</v>
      </c>
      <c r="R2671">
        <v>5.1040519999999999E-2</v>
      </c>
      <c r="S2671">
        <v>-3.0439150000000001</v>
      </c>
      <c r="T2671">
        <v>-2.8240680000000001E-2</v>
      </c>
      <c r="U2671">
        <v>0.19351199999999999</v>
      </c>
      <c r="V2671">
        <v>5.5603930000000003E-2</v>
      </c>
      <c r="W2671">
        <v>0.18578890000000001</v>
      </c>
      <c r="X2671">
        <v>0.98101510000000003</v>
      </c>
      <c r="Y2671">
        <v>6.8042630000000007E-2</v>
      </c>
      <c r="Z2671">
        <v>7.9310869999999996E-4</v>
      </c>
      <c r="AA2671">
        <v>0.99768210000000002</v>
      </c>
      <c r="AB2671">
        <v>36</v>
      </c>
      <c r="AC2671">
        <v>-112.1551</v>
      </c>
      <c r="AD2671">
        <v>-1.0422198299999901</v>
      </c>
      <c r="AE2671">
        <v>7.1423999999999497</v>
      </c>
      <c r="AF2671">
        <v>7.6592558655956697</v>
      </c>
      <c r="AG2671">
        <v>-1.0422198299999901</v>
      </c>
      <c r="AH2671">
        <v>112.11130170164</v>
      </c>
      <c r="AI2671">
        <v>90.531384599547096</v>
      </c>
      <c r="AJ2671">
        <v>86.091721500459698</v>
      </c>
      <c r="AK2671">
        <v>112.37746389657001</v>
      </c>
      <c r="AL2671">
        <v>79.292869215270798</v>
      </c>
      <c r="AM2671">
        <v>86.755946560947294</v>
      </c>
      <c r="AN2671">
        <v>0.99999996941133196</v>
      </c>
    </row>
    <row r="2672" spans="1:40" x14ac:dyDescent="0.25">
      <c r="A2672" t="str">
        <f>"20190303170309225"</f>
        <v>20190303170309225</v>
      </c>
      <c r="B2672" t="str">
        <f>"1551603789217964"</f>
        <v>1551603789217964</v>
      </c>
      <c r="C2672" t="s">
        <v>40</v>
      </c>
      <c r="D2672">
        <v>4.1286639999999997</v>
      </c>
      <c r="E2672">
        <v>0.50889929999999906</v>
      </c>
      <c r="F2672" t="s">
        <v>57</v>
      </c>
      <c r="G2672">
        <v>-499.9796</v>
      </c>
      <c r="H2672">
        <v>7.1821170000000004E-2</v>
      </c>
      <c r="I2672">
        <v>291.4708</v>
      </c>
      <c r="J2672">
        <v>-388.02969999999999</v>
      </c>
      <c r="K2672">
        <v>1.121534</v>
      </c>
      <c r="L2672">
        <v>284.4015</v>
      </c>
      <c r="M2672">
        <v>-0.9998804</v>
      </c>
      <c r="N2672">
        <v>-1.476974E-2</v>
      </c>
      <c r="O2672">
        <v>-4.5959640000000001E-3</v>
      </c>
      <c r="P2672">
        <v>-0.98401090000000002</v>
      </c>
      <c r="Q2672">
        <v>0.17083090000000001</v>
      </c>
      <c r="R2672">
        <v>5.0393170000000001E-2</v>
      </c>
      <c r="S2672">
        <v>-3.044098</v>
      </c>
      <c r="T2672">
        <v>-2.8493049999999999E-2</v>
      </c>
      <c r="U2672">
        <v>0.19186400000000001</v>
      </c>
      <c r="V2672">
        <v>5.4938699999999903E-2</v>
      </c>
      <c r="W2672">
        <v>0.18533540000000001</v>
      </c>
      <c r="X2672">
        <v>0.98113839999999997</v>
      </c>
      <c r="Y2672">
        <v>6.7482410000000007E-2</v>
      </c>
      <c r="Z2672">
        <v>7.8955940000000004E-4</v>
      </c>
      <c r="AA2672">
        <v>0.9977201</v>
      </c>
      <c r="AB2672">
        <v>36</v>
      </c>
      <c r="AC2672">
        <v>-111.9499</v>
      </c>
      <c r="AD2672">
        <v>-1.04971283</v>
      </c>
      <c r="AE2672">
        <v>7.0692999999999904</v>
      </c>
      <c r="AF2672">
        <v>7.5831350689831698</v>
      </c>
      <c r="AG2672">
        <v>-1.04971283</v>
      </c>
      <c r="AH2672">
        <v>111.906423722799</v>
      </c>
      <c r="AI2672">
        <v>90.536204700577898</v>
      </c>
      <c r="AJ2672">
        <v>86.123382178489905</v>
      </c>
      <c r="AK2672">
        <v>112.16797004905899</v>
      </c>
      <c r="AL2672">
        <v>79.3193125974948</v>
      </c>
      <c r="AM2672">
        <v>86.795078076509697</v>
      </c>
      <c r="AN2672">
        <v>1.0000000156027</v>
      </c>
    </row>
    <row r="2673" spans="1:40" x14ac:dyDescent="0.25">
      <c r="A2673" t="str">
        <f>"20190303170309245"</f>
        <v>20190303170309245</v>
      </c>
      <c r="B2673" t="str">
        <f>"1551603789238459"</f>
        <v>1551603789238459</v>
      </c>
      <c r="C2673" t="s">
        <v>40</v>
      </c>
      <c r="D2673">
        <v>4.1707799999999997</v>
      </c>
      <c r="E2673">
        <v>0.50876009999999905</v>
      </c>
      <c r="F2673" t="s">
        <v>57</v>
      </c>
      <c r="G2673">
        <v>-499.21280000000002</v>
      </c>
      <c r="H2673" s="1">
        <v>3.247377E-6</v>
      </c>
      <c r="I2673">
        <v>291.30360000000002</v>
      </c>
      <c r="J2673">
        <v>-388.34719999999999</v>
      </c>
      <c r="K2673">
        <v>1.121526</v>
      </c>
      <c r="L2673">
        <v>284.39999999999998</v>
      </c>
      <c r="M2673">
        <v>-0.99988069999999896</v>
      </c>
      <c r="N2673">
        <v>-1.4766299999999901E-2</v>
      </c>
      <c r="O2673">
        <v>-4.5666220000000002E-3</v>
      </c>
      <c r="P2673">
        <v>-0.98420540000000001</v>
      </c>
      <c r="Q2673">
        <v>0.17010129999999901</v>
      </c>
      <c r="R2673">
        <v>4.9045539999999999E-2</v>
      </c>
      <c r="S2673">
        <v>-3.044403</v>
      </c>
      <c r="T2673">
        <v>-3.070962E-2</v>
      </c>
      <c r="U2673">
        <v>0.18899540000000001</v>
      </c>
      <c r="V2673">
        <v>5.3562749999999999E-2</v>
      </c>
      <c r="W2673">
        <v>0.18460570000000001</v>
      </c>
      <c r="X2673">
        <v>0.981352</v>
      </c>
      <c r="Y2673">
        <v>6.6509650000000003E-2</v>
      </c>
      <c r="Z2673">
        <v>8.053499E-4</v>
      </c>
      <c r="AA2673">
        <v>0.99778540000000004</v>
      </c>
      <c r="AB2673">
        <v>36</v>
      </c>
      <c r="AC2673">
        <v>-110.8656</v>
      </c>
      <c r="AD2673">
        <v>-1.1215227526230001</v>
      </c>
      <c r="AE2673">
        <v>6.9036000000000399</v>
      </c>
      <c r="AF2673">
        <v>7.4091091340569299</v>
      </c>
      <c r="AG2673">
        <v>-1.1215227526230001</v>
      </c>
      <c r="AH2673">
        <v>110.82161709792901</v>
      </c>
      <c r="AI2673">
        <v>90.578526221174599</v>
      </c>
      <c r="AJ2673">
        <v>86.175115469005405</v>
      </c>
      <c r="AK2673">
        <v>111.074675455951</v>
      </c>
      <c r="AL2673">
        <v>79.361855172333307</v>
      </c>
      <c r="AM2673">
        <v>86.875863631736806</v>
      </c>
      <c r="AN2673">
        <v>0.99999999028202602</v>
      </c>
    </row>
    <row r="2674" spans="1:40" x14ac:dyDescent="0.25">
      <c r="A2674" t="str">
        <f>"20190303170309257"</f>
        <v>20190303170309257</v>
      </c>
      <c r="B2674" t="str">
        <f>"1551603789248219"</f>
        <v>1551603789248219</v>
      </c>
      <c r="C2674" t="s">
        <v>40</v>
      </c>
      <c r="D2674">
        <v>4.3188380000000004</v>
      </c>
      <c r="E2674">
        <v>0.50867029999999902</v>
      </c>
      <c r="F2674" t="s">
        <v>57</v>
      </c>
      <c r="G2674">
        <v>-490.3784</v>
      </c>
      <c r="H2674" s="1">
        <v>4.6683200000000004E-6</v>
      </c>
      <c r="I2674">
        <v>290.56040000000002</v>
      </c>
      <c r="J2674">
        <v>-388.54250000000002</v>
      </c>
      <c r="K2674">
        <v>1.121523</v>
      </c>
      <c r="L2674">
        <v>284.39909999999998</v>
      </c>
      <c r="M2674">
        <v>-0.99988080000000001</v>
      </c>
      <c r="N2674">
        <v>-1.476418E-2</v>
      </c>
      <c r="O2674">
        <v>-4.5483729999999997E-3</v>
      </c>
      <c r="P2674">
        <v>-0.98422940000000003</v>
      </c>
      <c r="Q2674">
        <v>0.17006760000000001</v>
      </c>
      <c r="R2674">
        <v>4.8681120000000001E-2</v>
      </c>
      <c r="S2674">
        <v>-3.0448</v>
      </c>
      <c r="T2674">
        <v>-3.3468249999999998E-2</v>
      </c>
      <c r="U2674">
        <v>0.1838379</v>
      </c>
      <c r="V2674">
        <v>5.3180440000000002E-2</v>
      </c>
      <c r="W2674">
        <v>0.18457009999999999</v>
      </c>
      <c r="X2674">
        <v>0.98137949999999996</v>
      </c>
      <c r="Y2674">
        <v>6.4798690000000006E-2</v>
      </c>
      <c r="Z2674">
        <v>8.1749759999999905E-4</v>
      </c>
      <c r="AA2674">
        <v>0.99789799999999995</v>
      </c>
      <c r="AB2674">
        <v>36</v>
      </c>
      <c r="AC2674">
        <v>-101.835899999999</v>
      </c>
      <c r="AD2674">
        <v>-1.1215183316799999</v>
      </c>
      <c r="AE2674">
        <v>6.1613000000000397</v>
      </c>
      <c r="AF2674">
        <v>6.6236739085775396</v>
      </c>
      <c r="AG2674">
        <v>-1.1215183316799999</v>
      </c>
      <c r="AH2674">
        <v>101.79451821996901</v>
      </c>
      <c r="AI2674">
        <v>90.629897179617899</v>
      </c>
      <c r="AJ2674">
        <v>86.277065680009798</v>
      </c>
      <c r="AK2674">
        <v>102.015953649667</v>
      </c>
      <c r="AL2674">
        <v>79.363930691906603</v>
      </c>
      <c r="AM2674">
        <v>86.898205546651695</v>
      </c>
      <c r="AN2674">
        <v>1.0000000020164199</v>
      </c>
    </row>
    <row r="2675" spans="1:40" x14ac:dyDescent="0.25">
      <c r="A2675" t="str">
        <f>"20190303170309278"</f>
        <v>20190303170309278</v>
      </c>
      <c r="B2675" t="str">
        <f>"1551603789267739"</f>
        <v>1551603789267739</v>
      </c>
      <c r="C2675" t="s">
        <v>40</v>
      </c>
      <c r="D2675">
        <v>4.1833960000000001</v>
      </c>
      <c r="E2675">
        <v>0.50861719999999999</v>
      </c>
      <c r="F2675" t="s">
        <v>57</v>
      </c>
      <c r="G2675">
        <v>-489.27730000000003</v>
      </c>
      <c r="H2675" s="1">
        <v>4.5375930000000004E-6</v>
      </c>
      <c r="I2675">
        <v>290.40629999999999</v>
      </c>
      <c r="J2675">
        <v>-388.8777</v>
      </c>
      <c r="K2675">
        <v>1.1215299999999999</v>
      </c>
      <c r="L2675">
        <v>284.39760000000001</v>
      </c>
      <c r="M2675">
        <v>-0.99988089999999996</v>
      </c>
      <c r="N2675">
        <v>-1.4760499999999999E-2</v>
      </c>
      <c r="O2675">
        <v>-4.5165279999999997E-3</v>
      </c>
      <c r="P2675">
        <v>-0.98427900000000002</v>
      </c>
      <c r="Q2675">
        <v>0.16984070000000001</v>
      </c>
      <c r="R2675">
        <v>4.8466349999999998E-2</v>
      </c>
      <c r="S2675">
        <v>-3.0449220000000001</v>
      </c>
      <c r="T2675">
        <v>-3.3900260000000002E-2</v>
      </c>
      <c r="U2675">
        <v>0.18157960000000001</v>
      </c>
      <c r="V2675">
        <v>5.2934210000000002E-2</v>
      </c>
      <c r="W2675">
        <v>0.184341</v>
      </c>
      <c r="X2675">
        <v>0.98143590000000003</v>
      </c>
      <c r="Y2675">
        <v>6.4026979999999997E-2</v>
      </c>
      <c r="Z2675">
        <v>8.1273559999999996E-4</v>
      </c>
      <c r="AA2675">
        <v>0.99794780000000005</v>
      </c>
      <c r="AB2675">
        <v>36</v>
      </c>
      <c r="AC2675">
        <v>-100.39960000000001</v>
      </c>
      <c r="AD2675">
        <v>-1.1215254624069999</v>
      </c>
      <c r="AE2675">
        <v>6.00869999999997</v>
      </c>
      <c r="AF2675">
        <v>6.4613423056467596</v>
      </c>
      <c r="AG2675">
        <v>-1.1215254624069999</v>
      </c>
      <c r="AH2675">
        <v>100.358955962273</v>
      </c>
      <c r="AI2675">
        <v>90.638939002683898</v>
      </c>
      <c r="AJ2675">
        <v>86.3162490565811</v>
      </c>
      <c r="AK2675">
        <v>100.572992426352</v>
      </c>
      <c r="AL2675">
        <v>79.377286630597197</v>
      </c>
      <c r="AM2675">
        <v>86.9127163546177</v>
      </c>
      <c r="AN2675">
        <v>1.0000000303390599</v>
      </c>
    </row>
    <row r="2676" spans="1:40" x14ac:dyDescent="0.25">
      <c r="A2676" t="str">
        <f>"20190303170309293"</f>
        <v>20190303170309293</v>
      </c>
      <c r="B2676" t="str">
        <f>"1551603789278475"</f>
        <v>1551603789278475</v>
      </c>
      <c r="C2676" t="s">
        <v>40</v>
      </c>
      <c r="D2676">
        <v>4.1741229999999998</v>
      </c>
      <c r="E2676">
        <v>0.50862010000000002</v>
      </c>
      <c r="F2676" t="s">
        <v>57</v>
      </c>
      <c r="G2676">
        <v>-484.42849999999999</v>
      </c>
      <c r="H2676" s="1">
        <v>3.5397289999999999E-6</v>
      </c>
      <c r="I2676">
        <v>290.0367</v>
      </c>
      <c r="J2676">
        <v>-389.11529999999999</v>
      </c>
      <c r="K2676">
        <v>1.1215349999999999</v>
      </c>
      <c r="L2676">
        <v>284.39659999999998</v>
      </c>
      <c r="M2676">
        <v>-0.99988109999999997</v>
      </c>
      <c r="N2676">
        <v>-1.475773E-2</v>
      </c>
      <c r="O2676">
        <v>-4.4949320000000001E-3</v>
      </c>
      <c r="P2676">
        <v>-0.98424750000000005</v>
      </c>
      <c r="Q2676">
        <v>0.17005479999999901</v>
      </c>
      <c r="R2676">
        <v>4.8358310000000002E-2</v>
      </c>
      <c r="S2676">
        <v>-3.0451969999999999</v>
      </c>
      <c r="T2676">
        <v>-3.5742999999999997E-2</v>
      </c>
      <c r="U2676">
        <v>0.17971799999999999</v>
      </c>
      <c r="V2676">
        <v>5.2804869999999997E-2</v>
      </c>
      <c r="W2676">
        <v>0.18455179999999999</v>
      </c>
      <c r="X2676">
        <v>0.98140320000000003</v>
      </c>
      <c r="Y2676">
        <v>6.3391539999999996E-2</v>
      </c>
      <c r="Z2676">
        <v>8.2635269999999995E-4</v>
      </c>
      <c r="AA2676">
        <v>0.9979884</v>
      </c>
      <c r="AB2676">
        <v>36</v>
      </c>
      <c r="AC2676">
        <v>-95.313199999999995</v>
      </c>
      <c r="AD2676">
        <v>-1.121531460271</v>
      </c>
      <c r="AE2676">
        <v>5.6401000000000101</v>
      </c>
      <c r="AF2676">
        <v>6.06767879418795</v>
      </c>
      <c r="AG2676">
        <v>-1.121531460271</v>
      </c>
      <c r="AH2676">
        <v>95.273736943706098</v>
      </c>
      <c r="AI2676">
        <v>90.673072652696803</v>
      </c>
      <c r="AJ2676">
        <v>86.355936996602793</v>
      </c>
      <c r="AK2676">
        <v>95.473344499835804</v>
      </c>
      <c r="AL2676">
        <v>79.364997306527997</v>
      </c>
      <c r="AM2676">
        <v>86.920142897430594</v>
      </c>
      <c r="AN2676">
        <v>0.99999998107459798</v>
      </c>
    </row>
    <row r="2677" spans="1:40" x14ac:dyDescent="0.25">
      <c r="A2677" t="str">
        <f>"20190303170309305"</f>
        <v>20190303170309305</v>
      </c>
      <c r="B2677" t="str">
        <f>"1551603789297994"</f>
        <v>1551603789297994</v>
      </c>
      <c r="C2677" t="s">
        <v>40</v>
      </c>
      <c r="D2677">
        <v>4.0369799999999998</v>
      </c>
      <c r="E2677">
        <v>0.50858579999999998</v>
      </c>
      <c r="F2677" t="s">
        <v>57</v>
      </c>
      <c r="G2677">
        <v>-485.43959999999998</v>
      </c>
      <c r="H2677" s="1">
        <v>3.7324130000000002E-6</v>
      </c>
      <c r="I2677">
        <v>290.08699999999999</v>
      </c>
      <c r="J2677">
        <v>-389.31420000000003</v>
      </c>
      <c r="K2677">
        <v>1.121537</v>
      </c>
      <c r="L2677">
        <v>284.39569999999998</v>
      </c>
      <c r="M2677">
        <v>-0.99988109999999997</v>
      </c>
      <c r="N2677">
        <v>-1.47555E-2</v>
      </c>
      <c r="O2677">
        <v>-4.475967E-3</v>
      </c>
      <c r="P2677">
        <v>-0.98421099999999995</v>
      </c>
      <c r="Q2677">
        <v>0.17033879999999901</v>
      </c>
      <c r="R2677">
        <v>4.8098910000000002E-2</v>
      </c>
      <c r="S2677">
        <v>-3.045258</v>
      </c>
      <c r="T2677">
        <v>-3.545678E-2</v>
      </c>
      <c r="U2677">
        <v>0.17990110000000001</v>
      </c>
      <c r="V2677">
        <v>5.2526580000000003E-2</v>
      </c>
      <c r="W2677">
        <v>0.184833</v>
      </c>
      <c r="X2677">
        <v>0.98136520000000005</v>
      </c>
      <c r="Y2677">
        <v>6.3431340000000003E-2</v>
      </c>
      <c r="Z2677">
        <v>8.2346939999999999E-4</v>
      </c>
      <c r="AA2677">
        <v>0.99798580000000003</v>
      </c>
      <c r="AB2677">
        <v>36</v>
      </c>
      <c r="AC2677">
        <v>-96.1253999999999</v>
      </c>
      <c r="AD2677">
        <v>-1.121533267587</v>
      </c>
      <c r="AE2677">
        <v>5.6913000000000098</v>
      </c>
      <c r="AF2677">
        <v>6.1207136559419997</v>
      </c>
      <c r="AG2677">
        <v>-1.121533267587</v>
      </c>
      <c r="AH2677">
        <v>96.085925729242206</v>
      </c>
      <c r="AI2677">
        <v>90.667384363880998</v>
      </c>
      <c r="AJ2677">
        <v>86.355159500766305</v>
      </c>
      <c r="AK2677">
        <v>96.287206293327401</v>
      </c>
      <c r="AL2677">
        <v>79.348603558735803</v>
      </c>
      <c r="AM2677">
        <v>86.936224824539295</v>
      </c>
      <c r="AN2677">
        <v>0.99999996763326704</v>
      </c>
    </row>
    <row r="2678" spans="1:40" x14ac:dyDescent="0.25">
      <c r="A2678" t="str">
        <f>"20190303170309317"</f>
        <v>20190303170309317</v>
      </c>
      <c r="B2678" t="str">
        <f>"1551603789307755"</f>
        <v>1551603789307755</v>
      </c>
      <c r="C2678" t="s">
        <v>40</v>
      </c>
      <c r="D2678">
        <v>4.3199690000000004</v>
      </c>
      <c r="E2678">
        <v>0.50853820000000005</v>
      </c>
      <c r="F2678" t="s">
        <v>57</v>
      </c>
      <c r="G2678">
        <v>-487.13440000000003</v>
      </c>
      <c r="H2678" s="1">
        <v>4.0524719999999998E-6</v>
      </c>
      <c r="I2678">
        <v>290.16050000000001</v>
      </c>
      <c r="J2678">
        <v>-389.51249999999999</v>
      </c>
      <c r="K2678">
        <v>1.121537</v>
      </c>
      <c r="L2678">
        <v>284.39479999999998</v>
      </c>
      <c r="M2678">
        <v>-0.99988129999999997</v>
      </c>
      <c r="N2678">
        <v>-1.475333E-2</v>
      </c>
      <c r="O2678">
        <v>-4.4573599999999996E-3</v>
      </c>
      <c r="P2678">
        <v>-0.9842012</v>
      </c>
      <c r="Q2678">
        <v>0.17047379999999901</v>
      </c>
      <c r="R2678">
        <v>4.7820910000000001E-2</v>
      </c>
      <c r="S2678">
        <v>-3.0454409999999998</v>
      </c>
      <c r="T2678">
        <v>-3.4916759999999998E-2</v>
      </c>
      <c r="U2678">
        <v>0.17947389999999999</v>
      </c>
      <c r="V2678">
        <v>5.2230159999999998E-2</v>
      </c>
      <c r="W2678">
        <v>0.18496609999999999</v>
      </c>
      <c r="X2678">
        <v>0.98135600000000001</v>
      </c>
      <c r="Y2678">
        <v>6.3269950000000005E-2</v>
      </c>
      <c r="Z2678">
        <v>8.149171E-4</v>
      </c>
      <c r="AA2678">
        <v>0.99799610000000005</v>
      </c>
      <c r="AB2678">
        <v>36</v>
      </c>
      <c r="AC2678">
        <v>-97.621899999999997</v>
      </c>
      <c r="AD2678">
        <v>-1.121532947528</v>
      </c>
      <c r="AE2678">
        <v>5.76570000000003</v>
      </c>
      <c r="AF2678">
        <v>6.2000105222544004</v>
      </c>
      <c r="AG2678">
        <v>-1.121532947528</v>
      </c>
      <c r="AH2678">
        <v>97.582392620559702</v>
      </c>
      <c r="AI2678">
        <v>90.657157300802993</v>
      </c>
      <c r="AJ2678">
        <v>86.364532861206698</v>
      </c>
      <c r="AK2678">
        <v>97.785588489212003</v>
      </c>
      <c r="AL2678">
        <v>79.3408442898602</v>
      </c>
      <c r="AM2678">
        <v>86.9534532692238</v>
      </c>
      <c r="AN2678">
        <v>1.00000002324941</v>
      </c>
    </row>
    <row r="2679" spans="1:40" x14ac:dyDescent="0.25">
      <c r="A2679" t="str">
        <f>"20190303170309331"</f>
        <v>20190303170309331</v>
      </c>
      <c r="B2679" t="str">
        <f>"1551603789318492"</f>
        <v>1551603789318492</v>
      </c>
      <c r="C2679" t="s">
        <v>40</v>
      </c>
      <c r="D2679">
        <v>4.0620279999999998</v>
      </c>
      <c r="E2679">
        <v>0.50853959999999998</v>
      </c>
      <c r="F2679" t="s">
        <v>57</v>
      </c>
      <c r="G2679">
        <v>-488.1164</v>
      </c>
      <c r="H2679" s="1">
        <v>4.230024E-6</v>
      </c>
      <c r="I2679">
        <v>290.17320000000001</v>
      </c>
      <c r="J2679">
        <v>-389.73570000000001</v>
      </c>
      <c r="K2679">
        <v>1.1215349999999999</v>
      </c>
      <c r="L2679">
        <v>284.39389999999997</v>
      </c>
      <c r="M2679">
        <v>-0.99988140000000003</v>
      </c>
      <c r="N2679">
        <v>-1.475099E-2</v>
      </c>
      <c r="O2679">
        <v>-4.4366029999999999E-3</v>
      </c>
      <c r="P2679">
        <v>-0.98418779999999995</v>
      </c>
      <c r="Q2679">
        <v>0.17056769999999999</v>
      </c>
      <c r="R2679">
        <v>4.7761369999999997E-2</v>
      </c>
      <c r="S2679">
        <v>-3.0454409999999998</v>
      </c>
      <c r="T2679">
        <v>-3.4639240000000002E-2</v>
      </c>
      <c r="U2679">
        <v>0.17846679999999901</v>
      </c>
      <c r="V2679">
        <v>5.2150009999999997E-2</v>
      </c>
      <c r="W2679">
        <v>0.18505750000000001</v>
      </c>
      <c r="X2679">
        <v>0.98134299999999997</v>
      </c>
      <c r="Y2679">
        <v>6.2920489999999996E-2</v>
      </c>
      <c r="Z2679">
        <v>8.0707039999999895E-4</v>
      </c>
      <c r="AA2679">
        <v>0.99801819999999997</v>
      </c>
      <c r="AB2679">
        <v>36</v>
      </c>
      <c r="AC2679">
        <v>-98.380700000000004</v>
      </c>
      <c r="AD2679">
        <v>-1.121530769976</v>
      </c>
      <c r="AE2679">
        <v>5.7793000000000303</v>
      </c>
      <c r="AF2679">
        <v>6.2149617873714904</v>
      </c>
      <c r="AG2679">
        <v>-1.121530769976</v>
      </c>
      <c r="AH2679">
        <v>98.341352019635394</v>
      </c>
      <c r="AI2679">
        <v>90.652098718411807</v>
      </c>
      <c r="AJ2679">
        <v>86.383839212564396</v>
      </c>
      <c r="AK2679">
        <v>98.543924715511196</v>
      </c>
      <c r="AL2679">
        <v>79.335515131340898</v>
      </c>
      <c r="AM2679">
        <v>86.958079352371897</v>
      </c>
      <c r="AN2679">
        <v>0.99999999274912499</v>
      </c>
    </row>
    <row r="2680" spans="1:40" x14ac:dyDescent="0.25">
      <c r="A2680" t="str">
        <f>"20190303170309345"</f>
        <v>20190303170309345</v>
      </c>
      <c r="B2680" t="str">
        <f>"1551603789338011"</f>
        <v>1551603789338011</v>
      </c>
      <c r="C2680" t="s">
        <v>40</v>
      </c>
      <c r="D2680">
        <v>4.2040369999999996</v>
      </c>
      <c r="E2680">
        <v>0.50854929999999998</v>
      </c>
      <c r="F2680" t="s">
        <v>57</v>
      </c>
      <c r="G2680">
        <v>-488.22669999999999</v>
      </c>
      <c r="H2680" s="1">
        <v>4.2467159999999999E-6</v>
      </c>
      <c r="I2680">
        <v>290.16230000000002</v>
      </c>
      <c r="J2680">
        <v>-389.96480000000003</v>
      </c>
      <c r="K2680">
        <v>1.1215329999999999</v>
      </c>
      <c r="L2680">
        <v>284.39280000000002</v>
      </c>
      <c r="M2680">
        <v>-0.99988140000000003</v>
      </c>
      <c r="N2680">
        <v>-1.4748610000000001E-2</v>
      </c>
      <c r="O2680">
        <v>-4.4148920000000001E-3</v>
      </c>
      <c r="P2680">
        <v>-0.98433360000000003</v>
      </c>
      <c r="Q2680">
        <v>0.16970940000000001</v>
      </c>
      <c r="R2680">
        <v>4.7813609999999999E-2</v>
      </c>
      <c r="S2680">
        <v>-3.0455930000000002</v>
      </c>
      <c r="T2680">
        <v>-3.4680599999999999E-2</v>
      </c>
      <c r="U2680">
        <v>0.17837520000000001</v>
      </c>
      <c r="V2680">
        <v>5.2181619999999998E-2</v>
      </c>
      <c r="W2680">
        <v>0.184199</v>
      </c>
      <c r="X2680">
        <v>0.98150280000000001</v>
      </c>
      <c r="Y2680">
        <v>6.2865989999999997E-2</v>
      </c>
      <c r="Z2680">
        <v>8.0683369999999999E-4</v>
      </c>
      <c r="AA2680">
        <v>0.99802170000000001</v>
      </c>
      <c r="AB2680">
        <v>36</v>
      </c>
      <c r="AC2680">
        <v>-98.261899999999898</v>
      </c>
      <c r="AD2680">
        <v>-1.1215287532839999</v>
      </c>
      <c r="AE2680">
        <v>5.7694999999999901</v>
      </c>
      <c r="AF2680">
        <v>6.2025014284977198</v>
      </c>
      <c r="AG2680">
        <v>-1.1215287532839999</v>
      </c>
      <c r="AH2680">
        <v>98.222715978560998</v>
      </c>
      <c r="AI2680">
        <v>90.652887174235801</v>
      </c>
      <c r="AJ2680">
        <v>86.386722641028598</v>
      </c>
      <c r="AK2680">
        <v>98.424746811561704</v>
      </c>
      <c r="AL2680">
        <v>79.385563731339104</v>
      </c>
      <c r="AM2680">
        <v>86.956733628520595</v>
      </c>
      <c r="AN2680">
        <v>0.99999996973733096</v>
      </c>
    </row>
    <row r="2681" spans="1:40" x14ac:dyDescent="0.25">
      <c r="A2681" t="str">
        <f>"20190303170309368"</f>
        <v>20190303170309368</v>
      </c>
      <c r="B2681" t="str">
        <f>"1551603789358506"</f>
        <v>1551603789358506</v>
      </c>
      <c r="C2681" t="s">
        <v>40</v>
      </c>
      <c r="D2681">
        <v>4.3746239999999998</v>
      </c>
      <c r="E2681">
        <v>0.50852439999999999</v>
      </c>
      <c r="F2681" t="s">
        <v>57</v>
      </c>
      <c r="G2681">
        <v>-480.9624</v>
      </c>
      <c r="H2681" s="1">
        <v>2.8428959999999998E-6</v>
      </c>
      <c r="I2681">
        <v>289.72710000000001</v>
      </c>
      <c r="J2681">
        <v>-390.31349999999998</v>
      </c>
      <c r="K2681">
        <v>1.1215329999999999</v>
      </c>
      <c r="L2681">
        <v>284.3913</v>
      </c>
      <c r="M2681">
        <v>-0.99988169999999998</v>
      </c>
      <c r="N2681">
        <v>-1.4745009999999999E-2</v>
      </c>
      <c r="O2681">
        <v>-4.3824449999999996E-3</v>
      </c>
      <c r="P2681">
        <v>-0.98446520000000004</v>
      </c>
      <c r="Q2681">
        <v>0.16894919999999999</v>
      </c>
      <c r="R2681">
        <v>4.7799460000000002E-2</v>
      </c>
      <c r="S2681">
        <v>-3.0455320000000001</v>
      </c>
      <c r="T2681">
        <v>-3.753567E-2</v>
      </c>
      <c r="U2681">
        <v>0.17852779999999999</v>
      </c>
      <c r="V2681">
        <v>5.2135889999999997E-2</v>
      </c>
      <c r="W2681">
        <v>0.1834373</v>
      </c>
      <c r="X2681">
        <v>0.98164790000000002</v>
      </c>
      <c r="Y2681">
        <v>6.2883499999999995E-2</v>
      </c>
      <c r="Z2681">
        <v>8.406377E-4</v>
      </c>
      <c r="AA2681">
        <v>0.99802049999999998</v>
      </c>
      <c r="AB2681">
        <v>36</v>
      </c>
      <c r="AC2681">
        <v>-90.648899999999998</v>
      </c>
      <c r="AD2681">
        <v>-1.1215301571039999</v>
      </c>
      <c r="AE2681">
        <v>5.3357999999999999</v>
      </c>
      <c r="AF2681">
        <v>5.7321813446182901</v>
      </c>
      <c r="AG2681">
        <v>-1.1215301571039999</v>
      </c>
      <c r="AH2681">
        <v>90.610820797526301</v>
      </c>
      <c r="AI2681">
        <v>90.707724355166505</v>
      </c>
      <c r="AJ2681">
        <v>86.380203637922705</v>
      </c>
      <c r="AK2681">
        <v>90.798879830437897</v>
      </c>
      <c r="AL2681">
        <v>79.429962761336498</v>
      </c>
      <c r="AM2681">
        <v>86.959844222158907</v>
      </c>
      <c r="AN2681">
        <v>0.99999999681589602</v>
      </c>
    </row>
    <row r="2682" spans="1:40" x14ac:dyDescent="0.25">
      <c r="A2682" t="str">
        <f>"20190303170309380"</f>
        <v>20190303170309380</v>
      </c>
      <c r="B2682" t="str">
        <f>"1551603789368267"</f>
        <v>1551603789368267</v>
      </c>
      <c r="C2682" t="s">
        <v>40</v>
      </c>
      <c r="D2682">
        <v>4.228002</v>
      </c>
      <c r="E2682">
        <v>0.50854560000000004</v>
      </c>
      <c r="F2682" t="s">
        <v>57</v>
      </c>
      <c r="G2682">
        <v>-474.34</v>
      </c>
      <c r="H2682" s="1">
        <v>5.0996250000000003E-6</v>
      </c>
      <c r="I2682">
        <v>289.3075</v>
      </c>
      <c r="J2682">
        <v>-390.51400000000001</v>
      </c>
      <c r="K2682">
        <v>1.121532</v>
      </c>
      <c r="L2682">
        <v>284.39049999999997</v>
      </c>
      <c r="M2682">
        <v>-0.99988189999999999</v>
      </c>
      <c r="N2682">
        <v>-1.474293E-2</v>
      </c>
      <c r="O2682">
        <v>-4.3637160000000001E-3</v>
      </c>
      <c r="P2682">
        <v>-0.9844444</v>
      </c>
      <c r="Q2682">
        <v>0.16907829999999999</v>
      </c>
      <c r="R2682">
        <v>4.776557E-2</v>
      </c>
      <c r="S2682">
        <v>-3.0456539999999999</v>
      </c>
      <c r="T2682">
        <v>-4.0651319999999998E-2</v>
      </c>
      <c r="U2682">
        <v>0.17819209999999999</v>
      </c>
      <c r="V2682">
        <v>5.2083289999999997E-2</v>
      </c>
      <c r="W2682">
        <v>0.1835638</v>
      </c>
      <c r="X2682">
        <v>0.98162700000000003</v>
      </c>
      <c r="Y2682">
        <v>6.2751570000000007E-2</v>
      </c>
      <c r="Z2682">
        <v>8.7535320000000001E-4</v>
      </c>
      <c r="AA2682">
        <v>0.99802880000000005</v>
      </c>
      <c r="AB2682">
        <v>36</v>
      </c>
      <c r="AC2682">
        <v>-83.825999999999894</v>
      </c>
      <c r="AD2682">
        <v>-1.1215269003749999</v>
      </c>
      <c r="AE2682">
        <v>4.91700000000003</v>
      </c>
      <c r="AF2682">
        <v>5.2818435261494301</v>
      </c>
      <c r="AG2682">
        <v>-1.1215269003749999</v>
      </c>
      <c r="AH2682">
        <v>83.788795920320396</v>
      </c>
      <c r="AI2682">
        <v>90.765348736822702</v>
      </c>
      <c r="AJ2682">
        <v>86.392985029279799</v>
      </c>
      <c r="AK2682">
        <v>83.962598908085795</v>
      </c>
      <c r="AL2682">
        <v>79.422589172119004</v>
      </c>
      <c r="AM2682">
        <v>86.962841153796603</v>
      </c>
      <c r="AN2682">
        <v>0.99999995244833095</v>
      </c>
    </row>
    <row r="2683" spans="1:40" x14ac:dyDescent="0.25">
      <c r="A2683" t="str">
        <f>"20190303170309392"</f>
        <v>20190303170309392</v>
      </c>
      <c r="B2683" t="str">
        <f>"1551603789378027"</f>
        <v>1551603789378027</v>
      </c>
      <c r="C2683" t="s">
        <v>40</v>
      </c>
      <c r="D2683">
        <v>4.4341619999999997</v>
      </c>
      <c r="E2683">
        <v>0.50853139999999997</v>
      </c>
      <c r="F2683" t="s">
        <v>57</v>
      </c>
      <c r="G2683">
        <v>-475.0027</v>
      </c>
      <c r="H2683" s="1">
        <v>4.8085489999999997E-6</v>
      </c>
      <c r="I2683">
        <v>289.33969999999999</v>
      </c>
      <c r="J2683">
        <v>-390.71789999999999</v>
      </c>
      <c r="K2683">
        <v>1.1215329999999999</v>
      </c>
      <c r="L2683">
        <v>284.38959999999997</v>
      </c>
      <c r="M2683">
        <v>-0.99988189999999999</v>
      </c>
      <c r="N2683">
        <v>-1.4740799999999899E-2</v>
      </c>
      <c r="O2683">
        <v>-4.3447479999999998E-3</v>
      </c>
      <c r="P2683">
        <v>-0.98442940000000001</v>
      </c>
      <c r="Q2683">
        <v>0.16924349999999999</v>
      </c>
      <c r="R2683">
        <v>4.7493050000000002E-2</v>
      </c>
      <c r="S2683">
        <v>-3.0456240000000001</v>
      </c>
      <c r="T2683">
        <v>-4.0428520000000003E-2</v>
      </c>
      <c r="U2683">
        <v>0.1784058</v>
      </c>
      <c r="V2683">
        <v>5.1792100000000001E-2</v>
      </c>
      <c r="W2683">
        <v>0.1837269</v>
      </c>
      <c r="X2683">
        <v>0.98161189999999998</v>
      </c>
      <c r="Y2683">
        <v>6.2803070000000003E-2</v>
      </c>
      <c r="Z2683">
        <v>8.7343729999999904E-4</v>
      </c>
      <c r="AA2683">
        <v>0.99802550000000001</v>
      </c>
      <c r="AB2683">
        <v>36</v>
      </c>
      <c r="AC2683">
        <v>-84.284800000000004</v>
      </c>
      <c r="AD2683">
        <v>-1.12152819145099</v>
      </c>
      <c r="AE2683">
        <v>4.9501000000000097</v>
      </c>
      <c r="AF2683">
        <v>5.3153513760706002</v>
      </c>
      <c r="AG2683">
        <v>-1.12152819145099</v>
      </c>
      <c r="AH2683">
        <v>84.247629376209105</v>
      </c>
      <c r="AI2683">
        <v>90.7611792246378</v>
      </c>
      <c r="AJ2683">
        <v>86.389879791894799</v>
      </c>
      <c r="AK2683">
        <v>84.422590822874</v>
      </c>
      <c r="AL2683">
        <v>79.413082614875904</v>
      </c>
      <c r="AM2683">
        <v>86.9797435627531</v>
      </c>
      <c r="AN2683">
        <v>0.99999995881381398</v>
      </c>
    </row>
    <row r="2684" spans="1:40" x14ac:dyDescent="0.25">
      <c r="A2684" t="str">
        <f>"20190303170309413"</f>
        <v>20190303170309413</v>
      </c>
      <c r="B2684" t="str">
        <f>"1551603789398523"</f>
        <v>1551603789398523</v>
      </c>
      <c r="C2684" t="s">
        <v>40</v>
      </c>
      <c r="D2684">
        <v>4.4355270000000004</v>
      </c>
      <c r="E2684">
        <v>0.50857149999999995</v>
      </c>
      <c r="F2684" t="s">
        <v>57</v>
      </c>
      <c r="G2684">
        <v>-475.86340000000001</v>
      </c>
      <c r="H2684" s="1">
        <v>4.4286430000000004E-6</v>
      </c>
      <c r="I2684">
        <v>289.35989999999998</v>
      </c>
      <c r="J2684">
        <v>-391.03160000000003</v>
      </c>
      <c r="K2684">
        <v>1.1215349999999999</v>
      </c>
      <c r="L2684">
        <v>284.38819999999998</v>
      </c>
      <c r="M2684">
        <v>-0.99988220000000005</v>
      </c>
      <c r="N2684">
        <v>-1.473752E-2</v>
      </c>
      <c r="O2684">
        <v>-4.3162319999999997E-3</v>
      </c>
      <c r="P2684">
        <v>-0.9844328</v>
      </c>
      <c r="Q2684">
        <v>0.1694003</v>
      </c>
      <c r="R2684">
        <v>4.6861220000000002E-2</v>
      </c>
      <c r="S2684">
        <v>-3.045776</v>
      </c>
      <c r="T2684">
        <v>-4.0118689999999999E-2</v>
      </c>
      <c r="U2684">
        <v>0.17779539999999999</v>
      </c>
      <c r="V2684">
        <v>5.1132339999999998E-2</v>
      </c>
      <c r="W2684">
        <v>0.18388070000000001</v>
      </c>
      <c r="X2684">
        <v>0.98161770000000004</v>
      </c>
      <c r="Y2684">
        <v>6.2572550000000005E-2</v>
      </c>
      <c r="Z2684">
        <v>8.6651879999999999E-4</v>
      </c>
      <c r="AA2684">
        <v>0.99804000000000004</v>
      </c>
      <c r="AB2684">
        <v>36</v>
      </c>
      <c r="AC2684">
        <v>-84.831799999999902</v>
      </c>
      <c r="AD2684">
        <v>-1.1215305713570001</v>
      </c>
      <c r="AE2684">
        <v>4.9716999999999896</v>
      </c>
      <c r="AF2684">
        <v>5.33691751296187</v>
      </c>
      <c r="AG2684">
        <v>-1.1215305713570001</v>
      </c>
      <c r="AH2684">
        <v>84.794778135717493</v>
      </c>
      <c r="AI2684">
        <v>90.756277049983098</v>
      </c>
      <c r="AJ2684">
        <v>86.398598566441194</v>
      </c>
      <c r="AK2684">
        <v>84.969964801971102</v>
      </c>
      <c r="AL2684">
        <v>79.404117893142001</v>
      </c>
      <c r="AM2684">
        <v>87.018165175799396</v>
      </c>
      <c r="AN2684">
        <v>0.99999996848982697</v>
      </c>
    </row>
    <row r="2685" spans="1:40" x14ac:dyDescent="0.25">
      <c r="A2685" t="str">
        <f>"20190303170309425"</f>
        <v>20190303170309425</v>
      </c>
      <c r="B2685" t="str">
        <f>"1551603789418049"</f>
        <v>1551603789418049</v>
      </c>
      <c r="C2685" t="s">
        <v>40</v>
      </c>
      <c r="D2685">
        <v>4.3127620000000002</v>
      </c>
      <c r="E2685">
        <v>0.50855760000000005</v>
      </c>
      <c r="F2685" t="s">
        <v>57</v>
      </c>
      <c r="G2685">
        <v>-476.59190000000001</v>
      </c>
      <c r="H2685" s="1">
        <v>4.1034850000000004E-6</v>
      </c>
      <c r="I2685">
        <v>289.33620000000002</v>
      </c>
      <c r="J2685">
        <v>-391.24290000000002</v>
      </c>
      <c r="K2685">
        <v>1.121534</v>
      </c>
      <c r="L2685">
        <v>284.38729999999998</v>
      </c>
      <c r="M2685">
        <v>-0.9998823</v>
      </c>
      <c r="N2685">
        <v>-1.473529E-2</v>
      </c>
      <c r="O2685">
        <v>-4.2964309999999999E-3</v>
      </c>
      <c r="P2685">
        <v>-0.98437019999999997</v>
      </c>
      <c r="Q2685">
        <v>0.16976830000000001</v>
      </c>
      <c r="R2685">
        <v>4.6845009999999999E-2</v>
      </c>
      <c r="S2685">
        <v>-3.0459589999999999</v>
      </c>
      <c r="T2685">
        <v>-3.9926650000000001E-2</v>
      </c>
      <c r="U2685">
        <v>0.17614749999999901</v>
      </c>
      <c r="V2685">
        <v>5.10964E-2</v>
      </c>
      <c r="W2685">
        <v>0.18424579999999999</v>
      </c>
      <c r="X2685">
        <v>0.98155110000000001</v>
      </c>
      <c r="Y2685">
        <v>6.201131E-2</v>
      </c>
      <c r="Z2685">
        <v>8.5640469999999998E-4</v>
      </c>
      <c r="AA2685">
        <v>0.99807509999999999</v>
      </c>
      <c r="AB2685">
        <v>36</v>
      </c>
      <c r="AC2685">
        <v>-85.348999999999904</v>
      </c>
      <c r="AD2685">
        <v>-1.121529896515</v>
      </c>
      <c r="AE2685">
        <v>4.9489000000000303</v>
      </c>
      <c r="AF2685">
        <v>5.3146755555319602</v>
      </c>
      <c r="AG2685">
        <v>-1.121529896515</v>
      </c>
      <c r="AH2685">
        <v>85.312265393550405</v>
      </c>
      <c r="AI2685">
        <v>90.751719819870203</v>
      </c>
      <c r="AJ2685">
        <v>86.435266704922796</v>
      </c>
      <c r="AK2685">
        <v>85.485005890793104</v>
      </c>
      <c r="AL2685">
        <v>79.3828354846883</v>
      </c>
      <c r="AM2685">
        <v>87.020055458886603</v>
      </c>
      <c r="AN2685">
        <v>0.99999995941090403</v>
      </c>
    </row>
    <row r="2686" spans="1:40" x14ac:dyDescent="0.25">
      <c r="A2686" t="str">
        <f>"20190303170309439"</f>
        <v>20190303170309439</v>
      </c>
      <c r="B2686" t="str">
        <f>"1551603789427809"</f>
        <v>1551603789427809</v>
      </c>
      <c r="C2686" t="s">
        <v>40</v>
      </c>
      <c r="D2686">
        <v>4.3296479999999997</v>
      </c>
      <c r="E2686">
        <v>0.48598649999999999</v>
      </c>
      <c r="F2686" t="s">
        <v>57</v>
      </c>
      <c r="G2686">
        <v>-479.02940000000001</v>
      </c>
      <c r="H2686" s="1">
        <v>3.0330259999999999E-6</v>
      </c>
      <c r="I2686">
        <v>289.45600000000002</v>
      </c>
      <c r="J2686">
        <v>-391.45179999999999</v>
      </c>
      <c r="K2686">
        <v>1.121534</v>
      </c>
      <c r="L2686">
        <v>284.38639999999998</v>
      </c>
      <c r="M2686">
        <v>-0.99988239999999995</v>
      </c>
      <c r="N2686">
        <v>-1.4733080000000001E-2</v>
      </c>
      <c r="O2686">
        <v>-4.2768670000000002E-3</v>
      </c>
      <c r="P2686">
        <v>-0.98440570000000005</v>
      </c>
      <c r="Q2686">
        <v>0.1696365</v>
      </c>
      <c r="R2686">
        <v>4.6571809999999998E-2</v>
      </c>
      <c r="S2686">
        <v>-3.0460210000000001</v>
      </c>
      <c r="T2686">
        <v>-3.8914919999999999E-2</v>
      </c>
      <c r="U2686">
        <v>0.1758728</v>
      </c>
      <c r="V2686">
        <v>5.0803870000000001E-2</v>
      </c>
      <c r="W2686">
        <v>0.18411230000000001</v>
      </c>
      <c r="X2686">
        <v>0.9815914</v>
      </c>
      <c r="Y2686">
        <v>6.1901369999999997E-2</v>
      </c>
      <c r="Z2686">
        <v>8.4314589999999999E-4</v>
      </c>
      <c r="AA2686">
        <v>0.99808189999999997</v>
      </c>
      <c r="AB2686">
        <v>36</v>
      </c>
      <c r="AC2686">
        <v>-87.577600000000004</v>
      </c>
      <c r="AD2686">
        <v>-1.1215309669739999</v>
      </c>
      <c r="AE2686">
        <v>5.0695999999999799</v>
      </c>
      <c r="AF2686">
        <v>5.4432622994225603</v>
      </c>
      <c r="AG2686">
        <v>-1.1215309669739999</v>
      </c>
      <c r="AH2686">
        <v>87.540805997440103</v>
      </c>
      <c r="AI2686">
        <v>90.732591291939201</v>
      </c>
      <c r="AJ2686">
        <v>86.441945607612894</v>
      </c>
      <c r="AK2686">
        <v>87.717043103673106</v>
      </c>
      <c r="AL2686">
        <v>79.390618299870297</v>
      </c>
      <c r="AM2686">
        <v>87.037206764630895</v>
      </c>
      <c r="AN2686">
        <v>1.00000002438611</v>
      </c>
    </row>
    <row r="2687" spans="1:40" x14ac:dyDescent="0.25">
      <c r="A2687" t="str">
        <f>"20190303170309456"</f>
        <v>20190303170309456</v>
      </c>
      <c r="B2687" t="str">
        <f>"1551603789448306"</f>
        <v>1551603789448306</v>
      </c>
      <c r="C2687" t="s">
        <v>40</v>
      </c>
      <c r="D2687">
        <v>4.3367329999999997</v>
      </c>
      <c r="E2687">
        <v>0.46932970000000002</v>
      </c>
      <c r="F2687" t="s">
        <v>57</v>
      </c>
      <c r="G2687">
        <v>-473.5745</v>
      </c>
      <c r="H2687" s="1">
        <v>4.9969740000000003E-6</v>
      </c>
      <c r="I2687">
        <v>284.25020000000001</v>
      </c>
      <c r="J2687">
        <v>-391.73700000000002</v>
      </c>
      <c r="K2687">
        <v>1.1215360000000001</v>
      </c>
      <c r="L2687">
        <v>284.38529999999997</v>
      </c>
      <c r="M2687">
        <v>-0.99988250000000001</v>
      </c>
      <c r="N2687">
        <v>-1.473003E-2</v>
      </c>
      <c r="O2687">
        <v>-4.2502590000000002E-3</v>
      </c>
      <c r="P2687">
        <v>-0.98444149999999997</v>
      </c>
      <c r="Q2687">
        <v>0.16960239999999999</v>
      </c>
      <c r="R2687">
        <v>4.593494E-2</v>
      </c>
      <c r="S2687">
        <v>-3.0549620000000002</v>
      </c>
      <c r="T2687">
        <v>-4.172087E-2</v>
      </c>
      <c r="U2687">
        <v>-5.065918E-3</v>
      </c>
      <c r="V2687">
        <v>5.0141129999999999E-2</v>
      </c>
      <c r="W2687">
        <v>0.18407609999999999</v>
      </c>
      <c r="X2687">
        <v>0.98163219999999995</v>
      </c>
      <c r="Y2687">
        <v>2.591968E-3</v>
      </c>
      <c r="Z2687" s="1">
        <v>3.2222479999999997E-5</v>
      </c>
      <c r="AA2687">
        <v>0.99999669999999896</v>
      </c>
      <c r="AB2687">
        <v>36</v>
      </c>
      <c r="AC2687">
        <v>-81.837500000000006</v>
      </c>
      <c r="AD2687">
        <v>-1.121531003026</v>
      </c>
      <c r="AE2687">
        <v>-0.135099999999965</v>
      </c>
      <c r="AF2687">
        <v>0.212729571002095</v>
      </c>
      <c r="AG2687">
        <v>-1.121531003026</v>
      </c>
      <c r="AH2687">
        <v>81.821968011821497</v>
      </c>
      <c r="AI2687">
        <v>90.785299517924102</v>
      </c>
      <c r="AJ2687">
        <v>89.851036592867302</v>
      </c>
      <c r="AK2687">
        <v>81.8299305571541</v>
      </c>
      <c r="AL2687">
        <v>79.392727779741705</v>
      </c>
      <c r="AM2687">
        <v>87.075910413209797</v>
      </c>
      <c r="AN2687">
        <v>0.99999995979286205</v>
      </c>
    </row>
    <row r="2688" spans="1:40" x14ac:dyDescent="0.25">
      <c r="A2688" t="str">
        <f>"20190303170309470"</f>
        <v>20190303170309470</v>
      </c>
      <c r="B2688" t="str">
        <f>"1551603789457738"</f>
        <v>1551603789457738</v>
      </c>
      <c r="C2688" t="s">
        <v>40</v>
      </c>
      <c r="D2688">
        <v>4.3296169999999998</v>
      </c>
      <c r="E2688">
        <v>0.46543469999999998</v>
      </c>
      <c r="F2688" t="s">
        <v>66</v>
      </c>
      <c r="G2688">
        <v>-511.95870000000002</v>
      </c>
      <c r="H2688">
        <v>0.25716689999999998</v>
      </c>
      <c r="I2688">
        <v>278.92579999999998</v>
      </c>
      <c r="J2688">
        <v>-391.9579</v>
      </c>
      <c r="K2688">
        <v>1.1215360000000001</v>
      </c>
      <c r="L2688">
        <v>284.38440000000003</v>
      </c>
      <c r="M2688">
        <v>-0.99988259999999995</v>
      </c>
      <c r="N2688">
        <v>-1.4727580000000001E-2</v>
      </c>
      <c r="O2688">
        <v>-4.228786E-3</v>
      </c>
      <c r="P2688">
        <v>-0.98446659999999997</v>
      </c>
      <c r="Q2688">
        <v>0.1695596</v>
      </c>
      <c r="R2688">
        <v>4.5555690000000003E-2</v>
      </c>
      <c r="S2688">
        <v>-3.057709</v>
      </c>
      <c r="T2688">
        <v>-2.1982189999999999E-2</v>
      </c>
      <c r="U2688">
        <v>-0.13885500000000001</v>
      </c>
      <c r="V2688">
        <v>4.9740890000000003E-2</v>
      </c>
      <c r="W2688">
        <v>0.18403120000000001</v>
      </c>
      <c r="X2688">
        <v>0.98166100000000001</v>
      </c>
      <c r="Y2688">
        <v>-4.1136279999999997E-2</v>
      </c>
      <c r="Z2688">
        <v>-4.8276100000000001E-4</v>
      </c>
      <c r="AA2688">
        <v>0.99915339999999997</v>
      </c>
      <c r="AB2688">
        <v>36</v>
      </c>
      <c r="AC2688">
        <v>-120.0008</v>
      </c>
      <c r="AD2688">
        <v>-0.8643691</v>
      </c>
      <c r="AE2688">
        <v>-5.4586000000000396</v>
      </c>
      <c r="AF2688">
        <v>-4.9507821013972304</v>
      </c>
      <c r="AG2688">
        <v>-0.8643691</v>
      </c>
      <c r="AH2688">
        <v>120.016598515981</v>
      </c>
      <c r="AI2688">
        <v>90.412291010271005</v>
      </c>
      <c r="AJ2688">
        <v>92.3621581776965</v>
      </c>
      <c r="AK2688">
        <v>120.121776946159</v>
      </c>
      <c r="AL2688">
        <v>79.395345277750096</v>
      </c>
      <c r="AM2688">
        <v>87.099296216885605</v>
      </c>
      <c r="AN2688">
        <v>0.99999997881621505</v>
      </c>
    </row>
    <row r="2689" spans="1:40" x14ac:dyDescent="0.25">
      <c r="A2689" t="str">
        <f>"20190303170309490"</f>
        <v>20190303170309490</v>
      </c>
      <c r="B2689" t="str">
        <f>"1551603789478235"</f>
        <v>1551603789478235</v>
      </c>
      <c r="C2689" t="s">
        <v>40</v>
      </c>
      <c r="D2689">
        <v>4.2867889999999997</v>
      </c>
      <c r="E2689">
        <v>0.46102510000000002</v>
      </c>
      <c r="F2689" t="s">
        <v>66</v>
      </c>
      <c r="G2689">
        <v>-511.95870000000002</v>
      </c>
      <c r="H2689">
        <v>0.37701370000000001</v>
      </c>
      <c r="I2689">
        <v>277.67090000000002</v>
      </c>
      <c r="J2689">
        <v>-392.2715</v>
      </c>
      <c r="K2689">
        <v>1.121534</v>
      </c>
      <c r="L2689">
        <v>284.38299999999998</v>
      </c>
      <c r="M2689">
        <v>-0.99988290000000002</v>
      </c>
      <c r="N2689">
        <v>-1.472418E-2</v>
      </c>
      <c r="O2689">
        <v>-4.1984809999999996E-3</v>
      </c>
      <c r="P2689">
        <v>-0.98440360000000005</v>
      </c>
      <c r="Q2689">
        <v>0.16989989999999999</v>
      </c>
      <c r="R2689">
        <v>4.5651249999999997E-2</v>
      </c>
      <c r="S2689">
        <v>-3.0585629999999999</v>
      </c>
      <c r="T2689">
        <v>-1.897418E-2</v>
      </c>
      <c r="U2689">
        <v>-0.17111209999999999</v>
      </c>
      <c r="V2689">
        <v>4.9806429999999999E-2</v>
      </c>
      <c r="W2689">
        <v>0.18436720000000001</v>
      </c>
      <c r="X2689">
        <v>0.98159459999999998</v>
      </c>
      <c r="Y2689">
        <v>-5.1661829999999999E-2</v>
      </c>
      <c r="Z2689">
        <v>-5.7654020000000002E-4</v>
      </c>
      <c r="AA2689">
        <v>0.99866449999999996</v>
      </c>
      <c r="AB2689">
        <v>36</v>
      </c>
      <c r="AC2689">
        <v>-119.6872</v>
      </c>
      <c r="AD2689">
        <v>-0.74452030000000002</v>
      </c>
      <c r="AE2689">
        <v>-6.7120999999999604</v>
      </c>
      <c r="AF2689">
        <v>-6.2092424591723399</v>
      </c>
      <c r="AG2689">
        <v>-0.74452030000000002</v>
      </c>
      <c r="AH2689">
        <v>119.709710890643</v>
      </c>
      <c r="AI2689">
        <v>90.355861314807001</v>
      </c>
      <c r="AJ2689">
        <v>92.969223202378501</v>
      </c>
      <c r="AK2689">
        <v>119.872948924748</v>
      </c>
      <c r="AL2689">
        <v>79.375758458831299</v>
      </c>
      <c r="AM2689">
        <v>87.095284568240203</v>
      </c>
      <c r="AN2689">
        <v>0.99999995182717105</v>
      </c>
    </row>
    <row r="2690" spans="1:40" x14ac:dyDescent="0.25">
      <c r="A2690" t="str">
        <f>"20190303170309503"</f>
        <v>20190303170309503</v>
      </c>
      <c r="B2690" t="str">
        <f>"1551603789497754"</f>
        <v>1551603789497754</v>
      </c>
      <c r="C2690" t="s">
        <v>40</v>
      </c>
      <c r="D2690">
        <v>4.2808359999999999</v>
      </c>
      <c r="E2690">
        <v>0.4578526</v>
      </c>
      <c r="F2690" t="s">
        <v>66</v>
      </c>
      <c r="G2690">
        <v>-511.9588</v>
      </c>
      <c r="H2690">
        <v>0.63711499999999999</v>
      </c>
      <c r="I2690">
        <v>276.31310000000002</v>
      </c>
      <c r="J2690">
        <v>-392.47039999999998</v>
      </c>
      <c r="K2690">
        <v>1.121534</v>
      </c>
      <c r="L2690">
        <v>284.38220000000001</v>
      </c>
      <c r="M2690">
        <v>-0.99988299999999997</v>
      </c>
      <c r="N2690">
        <v>-1.4722030000000001E-2</v>
      </c>
      <c r="O2690">
        <v>-4.1790330000000004E-3</v>
      </c>
      <c r="P2690">
        <v>-0.98439779999999999</v>
      </c>
      <c r="Q2690">
        <v>0.16988499999999901</v>
      </c>
      <c r="R2690">
        <v>4.5828439999999998E-2</v>
      </c>
      <c r="S2690">
        <v>-3.0592350000000001</v>
      </c>
      <c r="T2690">
        <v>-1.237977E-2</v>
      </c>
      <c r="U2690">
        <v>-0.20626829999999999</v>
      </c>
      <c r="V2690">
        <v>4.9964519999999998E-2</v>
      </c>
      <c r="W2690">
        <v>0.18434980000000001</v>
      </c>
      <c r="X2690">
        <v>0.98158990000000002</v>
      </c>
      <c r="Y2690">
        <v>-6.3099299999999997E-2</v>
      </c>
      <c r="Z2690">
        <v>-6.3713099999999998E-4</v>
      </c>
      <c r="AA2690">
        <v>0.99800710000000004</v>
      </c>
      <c r="AB2690">
        <v>36</v>
      </c>
      <c r="AC2690">
        <v>-119.4884</v>
      </c>
      <c r="AD2690">
        <v>-0.48441899999999899</v>
      </c>
      <c r="AE2690">
        <v>-8.0690999999999899</v>
      </c>
      <c r="AF2690">
        <v>-7.5695056424852796</v>
      </c>
      <c r="AG2690">
        <v>-0.48441899999999899</v>
      </c>
      <c r="AH2690">
        <v>119.519125589509</v>
      </c>
      <c r="AI2690">
        <v>90.231758021614397</v>
      </c>
      <c r="AJ2690">
        <v>93.623873984729101</v>
      </c>
      <c r="AK2690">
        <v>119.759565209298</v>
      </c>
      <c r="AL2690">
        <v>79.376773491383602</v>
      </c>
      <c r="AM2690">
        <v>87.086066681786704</v>
      </c>
      <c r="AN2690">
        <v>1.0000000169004399</v>
      </c>
    </row>
    <row r="2691" spans="1:40" x14ac:dyDescent="0.25">
      <c r="A2691" t="str">
        <f>"20190303170309515"</f>
        <v>20190303170309515</v>
      </c>
      <c r="B2691" t="str">
        <f>"1551603789508490"</f>
        <v>1551603789508490</v>
      </c>
      <c r="C2691" t="s">
        <v>40</v>
      </c>
      <c r="D2691">
        <v>4.2603849999999897</v>
      </c>
      <c r="E2691">
        <v>0.45679219999999998</v>
      </c>
      <c r="F2691" t="s">
        <v>66</v>
      </c>
      <c r="G2691">
        <v>-512.82539999999995</v>
      </c>
      <c r="H2691">
        <v>0.83606059999999904</v>
      </c>
      <c r="I2691">
        <v>275.30889999999999</v>
      </c>
      <c r="J2691">
        <v>-392.65949999999998</v>
      </c>
      <c r="K2691">
        <v>1.121534</v>
      </c>
      <c r="L2691">
        <v>284.38150000000002</v>
      </c>
      <c r="M2691">
        <v>-0.99988310000000002</v>
      </c>
      <c r="N2691">
        <v>-1.4719980000000001E-2</v>
      </c>
      <c r="O2691">
        <v>-4.1603009999999999E-3</v>
      </c>
      <c r="P2691">
        <v>-0.98435280000000003</v>
      </c>
      <c r="Q2691">
        <v>0.17011109999999999</v>
      </c>
      <c r="R2691">
        <v>4.5956650000000002E-2</v>
      </c>
      <c r="S2691">
        <v>-3.0595400000000001</v>
      </c>
      <c r="T2691">
        <v>-7.2549579999999997E-3</v>
      </c>
      <c r="U2691">
        <v>-0.23065189999999999</v>
      </c>
      <c r="V2691">
        <v>5.0074220000000003E-2</v>
      </c>
      <c r="W2691">
        <v>0.1845734</v>
      </c>
      <c r="X2691">
        <v>0.98154229999999998</v>
      </c>
      <c r="Y2691">
        <v>-7.1023680000000006E-2</v>
      </c>
      <c r="Z2691">
        <v>-6.5890479999999895E-4</v>
      </c>
      <c r="AA2691">
        <v>0.99747439999999998</v>
      </c>
      <c r="AB2691">
        <v>36</v>
      </c>
      <c r="AC2691">
        <v>-120.165899999999</v>
      </c>
      <c r="AD2691">
        <v>-0.28547339999999999</v>
      </c>
      <c r="AE2691">
        <v>-9.0726000000000209</v>
      </c>
      <c r="AF2691">
        <v>-8.57249292670393</v>
      </c>
      <c r="AG2691">
        <v>-0.28547339999999999</v>
      </c>
      <c r="AH2691">
        <v>120.201934135185</v>
      </c>
      <c r="AI2691">
        <v>90.135729535213898</v>
      </c>
      <c r="AJ2691">
        <v>94.079281073785495</v>
      </c>
      <c r="AK2691">
        <v>120.507568641475</v>
      </c>
      <c r="AL2691">
        <v>79.363738580363105</v>
      </c>
      <c r="AM2691">
        <v>87.0795386585839</v>
      </c>
      <c r="AN2691">
        <v>1.0000000270927201</v>
      </c>
    </row>
    <row r="2692" spans="1:40" x14ac:dyDescent="0.25">
      <c r="A2692" t="str">
        <f>"20190303170309528"</f>
        <v>20190303170309528</v>
      </c>
      <c r="B2692" t="str">
        <f>"1551603789518250"</f>
        <v>1551603789518250</v>
      </c>
      <c r="C2692" t="s">
        <v>40</v>
      </c>
      <c r="D2692">
        <v>4.2641119999999999</v>
      </c>
      <c r="E2692">
        <v>0.45603300000000002</v>
      </c>
      <c r="F2692" t="s">
        <v>66</v>
      </c>
      <c r="G2692">
        <v>-512.82539999999995</v>
      </c>
      <c r="H2692">
        <v>0.91014930000000005</v>
      </c>
      <c r="I2692">
        <v>275.00659999999999</v>
      </c>
      <c r="J2692">
        <v>-392.88189999999997</v>
      </c>
      <c r="K2692">
        <v>1.1215349999999999</v>
      </c>
      <c r="L2692">
        <v>284.38060000000002</v>
      </c>
      <c r="M2692">
        <v>-0.99988310000000002</v>
      </c>
      <c r="N2692">
        <v>-1.4717549999999999E-2</v>
      </c>
      <c r="O2692">
        <v>-4.1382260000000001E-3</v>
      </c>
      <c r="P2692">
        <v>-0.98426950000000002</v>
      </c>
      <c r="Q2692">
        <v>0.1705981</v>
      </c>
      <c r="R2692">
        <v>4.5932479999999998E-2</v>
      </c>
      <c r="S2692">
        <v>-3.0597530000000002</v>
      </c>
      <c r="T2692">
        <v>-5.3803920000000003E-3</v>
      </c>
      <c r="U2692">
        <v>-0.23870849999999999</v>
      </c>
      <c r="V2692">
        <v>5.0028059999999999E-2</v>
      </c>
      <c r="W2692">
        <v>0.18505659999999999</v>
      </c>
      <c r="X2692">
        <v>0.98145369999999998</v>
      </c>
      <c r="Y2692">
        <v>-7.3651720000000004E-2</v>
      </c>
      <c r="Z2692">
        <v>-6.6105280000000003E-4</v>
      </c>
      <c r="AA2692">
        <v>0.99728380000000005</v>
      </c>
      <c r="AB2692">
        <v>35</v>
      </c>
      <c r="AC2692">
        <v>-119.94349999999901</v>
      </c>
      <c r="AD2692">
        <v>-0.21138569999999901</v>
      </c>
      <c r="AE2692">
        <v>-9.3740000000000201</v>
      </c>
      <c r="AF2692">
        <v>-8.8774852226700798</v>
      </c>
      <c r="AG2692">
        <v>-0.21138569999999901</v>
      </c>
      <c r="AH2692">
        <v>119.980898300341</v>
      </c>
      <c r="AI2692">
        <v>90.100670011849502</v>
      </c>
      <c r="AJ2692">
        <v>94.231650775706896</v>
      </c>
      <c r="AK2692">
        <v>120.309061939446</v>
      </c>
      <c r="AL2692">
        <v>79.335568314532395</v>
      </c>
      <c r="AM2692">
        <v>87.0819632334006</v>
      </c>
      <c r="AN2692">
        <v>1.0000000586172999</v>
      </c>
    </row>
    <row r="2693" spans="1:40" x14ac:dyDescent="0.25">
      <c r="A2693" t="str">
        <f>"20190303170309547"</f>
        <v>20190303170309547</v>
      </c>
      <c r="B2693" t="str">
        <f>"1551603789537770"</f>
        <v>1551603789537770</v>
      </c>
      <c r="C2693" t="s">
        <v>40</v>
      </c>
      <c r="D2693">
        <v>4.223446</v>
      </c>
      <c r="E2693">
        <v>0.4547196</v>
      </c>
      <c r="F2693" t="s">
        <v>66</v>
      </c>
      <c r="G2693">
        <v>-512.82550000000003</v>
      </c>
      <c r="H2693">
        <v>0.98224460000000002</v>
      </c>
      <c r="I2693">
        <v>274.7869</v>
      </c>
      <c r="J2693">
        <v>-393.16410000000002</v>
      </c>
      <c r="K2693">
        <v>1.12154</v>
      </c>
      <c r="L2693">
        <v>284.37939999999998</v>
      </c>
      <c r="M2693">
        <v>-0.99988339999999998</v>
      </c>
      <c r="N2693">
        <v>-1.4714410000000001E-2</v>
      </c>
      <c r="O2693">
        <v>-4.1088629999999999E-3</v>
      </c>
      <c r="P2693">
        <v>-0.98412759999999999</v>
      </c>
      <c r="Q2693">
        <v>0.17137549999999999</v>
      </c>
      <c r="R2693">
        <v>4.6081999999999998E-2</v>
      </c>
      <c r="S2693">
        <v>-3.0599669999999999</v>
      </c>
      <c r="T2693">
        <v>-3.5514829999999998E-3</v>
      </c>
      <c r="U2693">
        <v>-0.244751</v>
      </c>
      <c r="V2693">
        <v>5.0148730000000002E-2</v>
      </c>
      <c r="W2693">
        <v>0.18582870000000001</v>
      </c>
      <c r="X2693">
        <v>0.9813016</v>
      </c>
      <c r="Y2693">
        <v>-7.5632980000000002E-2</v>
      </c>
      <c r="Z2693">
        <v>-6.5679629999999996E-4</v>
      </c>
      <c r="AA2693">
        <v>0.99713549999999995</v>
      </c>
      <c r="AB2693">
        <v>35</v>
      </c>
      <c r="AC2693">
        <v>-119.6614</v>
      </c>
      <c r="AD2693">
        <v>-0.13929539999999899</v>
      </c>
      <c r="AE2693">
        <v>-9.5924999999999692</v>
      </c>
      <c r="AF2693">
        <v>-9.1006812719314496</v>
      </c>
      <c r="AG2693">
        <v>-0.13929539999999899</v>
      </c>
      <c r="AH2693">
        <v>119.69964703481</v>
      </c>
      <c r="AI2693">
        <v>90.066483633458802</v>
      </c>
      <c r="AJ2693">
        <v>94.347793903569197</v>
      </c>
      <c r="AK2693">
        <v>120.045188587797</v>
      </c>
      <c r="AL2693">
        <v>79.290548928371805</v>
      </c>
      <c r="AM2693">
        <v>87.074484409929497</v>
      </c>
      <c r="AN2693">
        <v>1.0000000155134301</v>
      </c>
    </row>
    <row r="2694" spans="1:40" x14ac:dyDescent="0.25">
      <c r="A2694" t="str">
        <f>"20190303170309569"</f>
        <v>20190303170309569</v>
      </c>
      <c r="B2694" t="str">
        <f>"1551603789558037"</f>
        <v>1551603789558037</v>
      </c>
      <c r="C2694" t="s">
        <v>40</v>
      </c>
      <c r="D2694">
        <v>4.2001400000000002</v>
      </c>
      <c r="E2694">
        <v>0.45377000000000001</v>
      </c>
      <c r="F2694" t="s">
        <v>66</v>
      </c>
      <c r="G2694">
        <v>-512.82560000000001</v>
      </c>
      <c r="H2694">
        <v>1.135033</v>
      </c>
      <c r="I2694">
        <v>274.42140000000001</v>
      </c>
      <c r="J2694">
        <v>-393.52069999999998</v>
      </c>
      <c r="K2694">
        <v>1.12154</v>
      </c>
      <c r="L2694">
        <v>284.37799999999999</v>
      </c>
      <c r="M2694">
        <v>-0.99988350000000004</v>
      </c>
      <c r="N2694">
        <v>-1.47103999999999E-2</v>
      </c>
      <c r="O2694">
        <v>-4.0669410000000001E-3</v>
      </c>
      <c r="P2694">
        <v>-0.98407860000000003</v>
      </c>
      <c r="Q2694">
        <v>0.1716453</v>
      </c>
      <c r="R2694">
        <v>4.6119680000000003E-2</v>
      </c>
      <c r="S2694">
        <v>-3.0602719999999999</v>
      </c>
      <c r="T2694">
        <v>3.4713749999999997E-4</v>
      </c>
      <c r="U2694">
        <v>-0.25466919999999998</v>
      </c>
      <c r="V2694">
        <v>5.0146200000000002E-2</v>
      </c>
      <c r="W2694">
        <v>0.1860935</v>
      </c>
      <c r="X2694">
        <v>0.98125150000000005</v>
      </c>
      <c r="Y2694">
        <v>-7.8877600000000006E-2</v>
      </c>
      <c r="Z2694">
        <v>-6.3691650000000002E-4</v>
      </c>
      <c r="AA2694">
        <v>0.99688410000000005</v>
      </c>
      <c r="AB2694">
        <v>35</v>
      </c>
      <c r="AC2694">
        <v>-119.3049</v>
      </c>
      <c r="AD2694">
        <v>1.3492999999999899E-2</v>
      </c>
      <c r="AE2694">
        <v>-9.9565999999999804</v>
      </c>
      <c r="AF2694">
        <v>-9.4712590120118403</v>
      </c>
      <c r="AG2694">
        <v>1.3492999999999899E-2</v>
      </c>
      <c r="AH2694">
        <v>119.34440890203101</v>
      </c>
      <c r="AI2694">
        <v>89.993542480275494</v>
      </c>
      <c r="AJ2694">
        <v>94.537524676628394</v>
      </c>
      <c r="AK2694">
        <v>119.71964277222401</v>
      </c>
      <c r="AL2694">
        <v>79.275107163107293</v>
      </c>
      <c r="AM2694">
        <v>87.074482643828603</v>
      </c>
      <c r="AN2694">
        <v>0.99999996918446898</v>
      </c>
    </row>
    <row r="2695" spans="1:40" x14ac:dyDescent="0.25">
      <c r="A2695" t="str">
        <f>"20190303170309583"</f>
        <v>20190303170309583</v>
      </c>
      <c r="B2695" t="str">
        <f>"1551603789578534"</f>
        <v>1551603789578534</v>
      </c>
      <c r="C2695" t="s">
        <v>40</v>
      </c>
      <c r="D2695">
        <v>4.1764080000000003</v>
      </c>
      <c r="E2695">
        <v>0.45305590000000001</v>
      </c>
      <c r="F2695" t="s">
        <v>66</v>
      </c>
      <c r="G2695">
        <v>-512.82560000000001</v>
      </c>
      <c r="H2695">
        <v>1.2488349999999999</v>
      </c>
      <c r="I2695">
        <v>274.14870000000002</v>
      </c>
      <c r="J2695">
        <v>-393.72800000000001</v>
      </c>
      <c r="K2695">
        <v>1.1215389999999901</v>
      </c>
      <c r="L2695">
        <v>284.37720000000002</v>
      </c>
      <c r="M2695">
        <v>-0.99988379999999999</v>
      </c>
      <c r="N2695">
        <v>-1.470807E-2</v>
      </c>
      <c r="O2695">
        <v>-4.038977E-3</v>
      </c>
      <c r="P2695">
        <v>-0.98405390000000004</v>
      </c>
      <c r="Q2695">
        <v>0.17179810000000001</v>
      </c>
      <c r="R2695">
        <v>4.6082860000000003E-2</v>
      </c>
      <c r="S2695">
        <v>-3.0602719999999999</v>
      </c>
      <c r="T2695">
        <v>3.2672880000000001E-3</v>
      </c>
      <c r="U2695">
        <v>-0.26239010000000001</v>
      </c>
      <c r="V2695">
        <v>5.0083200000000001E-2</v>
      </c>
      <c r="W2695">
        <v>0.18624289999999999</v>
      </c>
      <c r="X2695">
        <v>0.98122640000000005</v>
      </c>
      <c r="Y2695">
        <v>-8.1403089999999997E-2</v>
      </c>
      <c r="Z2695">
        <v>-6.1999869999999999E-4</v>
      </c>
      <c r="AA2695">
        <v>0.99668109999999999</v>
      </c>
      <c r="AB2695">
        <v>35</v>
      </c>
      <c r="AC2695">
        <v>-119.0976</v>
      </c>
      <c r="AD2695">
        <v>0.12729599999999999</v>
      </c>
      <c r="AE2695">
        <v>-10.228499999999899</v>
      </c>
      <c r="AF2695">
        <v>-9.7473210525301202</v>
      </c>
      <c r="AG2695">
        <v>0.12729599999999999</v>
      </c>
      <c r="AH2695">
        <v>119.137810378656</v>
      </c>
      <c r="AI2695">
        <v>89.938984676372101</v>
      </c>
      <c r="AJ2695">
        <v>94.677265953475995</v>
      </c>
      <c r="AK2695">
        <v>119.535954146831</v>
      </c>
      <c r="AL2695">
        <v>79.266395159457304</v>
      </c>
      <c r="AM2695">
        <v>87.078077063968394</v>
      </c>
      <c r="AN2695">
        <v>0.99999999638980497</v>
      </c>
    </row>
    <row r="2696" spans="1:40" x14ac:dyDescent="0.25">
      <c r="A2696" t="str">
        <f>"20190303170309602"</f>
        <v>20190303170309602</v>
      </c>
      <c r="B2696" t="str">
        <f>"1551603789598054"</f>
        <v>1551603789598054</v>
      </c>
      <c r="C2696" t="s">
        <v>40</v>
      </c>
      <c r="D2696">
        <v>4.1730980000000004</v>
      </c>
      <c r="E2696">
        <v>0.45247500000000002</v>
      </c>
      <c r="F2696" t="s">
        <v>66</v>
      </c>
      <c r="G2696">
        <v>-512.82560000000001</v>
      </c>
      <c r="H2696">
        <v>1.3212330000000001</v>
      </c>
      <c r="I2696">
        <v>273.9341</v>
      </c>
      <c r="J2696">
        <v>-394.04719999999998</v>
      </c>
      <c r="K2696">
        <v>1.1215329999999999</v>
      </c>
      <c r="L2696">
        <v>284.37599999999998</v>
      </c>
      <c r="M2696">
        <v>-0.999884</v>
      </c>
      <c r="N2696">
        <v>-1.4704450000000001E-2</v>
      </c>
      <c r="O2696">
        <v>-3.9881739999999997E-3</v>
      </c>
      <c r="P2696">
        <v>-0.98403859999999999</v>
      </c>
      <c r="Q2696">
        <v>0.17181830000000001</v>
      </c>
      <c r="R2696">
        <v>4.6334300000000002E-2</v>
      </c>
      <c r="S2696">
        <v>-3.0602719999999999</v>
      </c>
      <c r="T2696">
        <v>5.133271E-3</v>
      </c>
      <c r="U2696">
        <v>-0.268341099999999</v>
      </c>
      <c r="V2696">
        <v>5.028763E-2</v>
      </c>
      <c r="W2696">
        <v>0.18625890000000001</v>
      </c>
      <c r="X2696">
        <v>0.98121290000000005</v>
      </c>
      <c r="Y2696">
        <v>-8.3377569999999998E-2</v>
      </c>
      <c r="Z2696">
        <v>-6.0963369999999996E-4</v>
      </c>
      <c r="AA2696">
        <v>0.99651780000000001</v>
      </c>
      <c r="AB2696">
        <v>35</v>
      </c>
      <c r="AC2696">
        <v>-118.7784</v>
      </c>
      <c r="AD2696">
        <v>0.19969999999999999</v>
      </c>
      <c r="AE2696">
        <v>-10.441899999999899</v>
      </c>
      <c r="AF2696">
        <v>-9.9680288644116501</v>
      </c>
      <c r="AG2696">
        <v>0.19969999999999999</v>
      </c>
      <c r="AH2696">
        <v>118.81877049895699</v>
      </c>
      <c r="AI2696">
        <v>89.904039542349196</v>
      </c>
      <c r="AJ2696">
        <v>94.795469202054306</v>
      </c>
      <c r="AK2696">
        <v>119.236327108879</v>
      </c>
      <c r="AL2696">
        <v>79.265462023978401</v>
      </c>
      <c r="AM2696">
        <v>87.066130835770494</v>
      </c>
      <c r="AN2696">
        <v>0.99999998934331802</v>
      </c>
    </row>
    <row r="2697" spans="1:40" x14ac:dyDescent="0.25">
      <c r="A2697" t="str">
        <f>"20190303170309614"</f>
        <v>20190303170309614</v>
      </c>
      <c r="B2697" t="str">
        <f>"1551603789607814"</f>
        <v>1551603789607814</v>
      </c>
      <c r="C2697" t="s">
        <v>40</v>
      </c>
      <c r="D2697">
        <v>4.1534659999999999</v>
      </c>
      <c r="E2697">
        <v>0.45218269999999999</v>
      </c>
      <c r="F2697" t="s">
        <v>66</v>
      </c>
      <c r="G2697">
        <v>-512.82560000000001</v>
      </c>
      <c r="H2697">
        <v>1.3883080000000001</v>
      </c>
      <c r="I2697">
        <v>273.79640000000001</v>
      </c>
      <c r="J2697">
        <v>-394.23880000000003</v>
      </c>
      <c r="K2697">
        <v>1.121526</v>
      </c>
      <c r="L2697">
        <v>284.37520000000001</v>
      </c>
      <c r="M2697">
        <v>-0.9998842</v>
      </c>
      <c r="N2697">
        <v>-1.470229E-2</v>
      </c>
      <c r="O2697">
        <v>-3.9532660000000004E-3</v>
      </c>
      <c r="P2697">
        <v>-0.98406490000000002</v>
      </c>
      <c r="Q2697">
        <v>0.17167109999999999</v>
      </c>
      <c r="R2697">
        <v>4.6320069999999998E-2</v>
      </c>
      <c r="S2697">
        <v>-3.060333</v>
      </c>
      <c r="T2697">
        <v>6.8755149999999996E-3</v>
      </c>
      <c r="U2697">
        <v>-0.27258300000000002</v>
      </c>
      <c r="V2697">
        <v>5.0241220000000003E-2</v>
      </c>
      <c r="W2697">
        <v>0.18610989999999999</v>
      </c>
      <c r="X2697">
        <v>0.98124359999999999</v>
      </c>
      <c r="Y2697">
        <v>-8.4781410000000001E-2</v>
      </c>
      <c r="Z2697">
        <v>-5.9632849999999998E-4</v>
      </c>
      <c r="AA2697">
        <v>0.99639940000000005</v>
      </c>
      <c r="AB2697">
        <v>35</v>
      </c>
      <c r="AC2697">
        <v>-118.586799999999</v>
      </c>
      <c r="AD2697">
        <v>0.26678200000000002</v>
      </c>
      <c r="AE2697">
        <v>-10.578799999999999</v>
      </c>
      <c r="AF2697">
        <v>-10.1098107612974</v>
      </c>
      <c r="AG2697">
        <v>0.26678200000000002</v>
      </c>
      <c r="AH2697">
        <v>118.627102830052</v>
      </c>
      <c r="AI2697">
        <v>89.871612406892197</v>
      </c>
      <c r="AJ2697">
        <v>94.8711734862962</v>
      </c>
      <c r="AK2697">
        <v>119.057418803351</v>
      </c>
      <c r="AL2697">
        <v>79.274151560750695</v>
      </c>
      <c r="AM2697">
        <v>87.068925300146105</v>
      </c>
      <c r="AN2697">
        <v>1.0000000388030199</v>
      </c>
    </row>
    <row r="2698" spans="1:40" x14ac:dyDescent="0.25">
      <c r="A2698" t="str">
        <f>"20190303170309637"</f>
        <v>20190303170309637</v>
      </c>
      <c r="B2698" t="str">
        <f>"1551603789628310"</f>
        <v>1551603789628310</v>
      </c>
      <c r="C2698" t="s">
        <v>40</v>
      </c>
      <c r="D2698">
        <v>4.1524279999999996</v>
      </c>
      <c r="E2698">
        <v>0.45169730000000002</v>
      </c>
      <c r="F2698" t="s">
        <v>66</v>
      </c>
      <c r="G2698">
        <v>-512.82560000000001</v>
      </c>
      <c r="H2698">
        <v>1.394029</v>
      </c>
      <c r="I2698">
        <v>273.72140000000002</v>
      </c>
      <c r="J2698">
        <v>-394.57279999999997</v>
      </c>
      <c r="K2698">
        <v>1.1215120000000001</v>
      </c>
      <c r="L2698">
        <v>284.37400000000002</v>
      </c>
      <c r="M2698">
        <v>-0.99988449999999995</v>
      </c>
      <c r="N2698">
        <v>-1.469852E-2</v>
      </c>
      <c r="O2698">
        <v>-3.880578E-3</v>
      </c>
      <c r="P2698">
        <v>-0.98421479999999995</v>
      </c>
      <c r="Q2698">
        <v>0.1709138</v>
      </c>
      <c r="R2698">
        <v>4.5933160000000001E-2</v>
      </c>
      <c r="S2698">
        <v>-3.0602719999999999</v>
      </c>
      <c r="T2698">
        <v>7.0343019999999897E-3</v>
      </c>
      <c r="U2698">
        <v>-0.27493289999999998</v>
      </c>
      <c r="V2698">
        <v>4.9787949999999997E-2</v>
      </c>
      <c r="W2698">
        <v>0.18534990000000001</v>
      </c>
      <c r="X2698">
        <v>0.98141049999999996</v>
      </c>
      <c r="Y2698">
        <v>-8.5614629999999997E-2</v>
      </c>
      <c r="Z2698">
        <v>-5.9813029999999999E-4</v>
      </c>
      <c r="AA2698">
        <v>0.9963282</v>
      </c>
      <c r="AB2698">
        <v>35</v>
      </c>
      <c r="AC2698">
        <v>-118.25279999999999</v>
      </c>
      <c r="AD2698">
        <v>0.27251700000000001</v>
      </c>
      <c r="AE2698">
        <v>-10.6526</v>
      </c>
      <c r="AF2698">
        <v>-10.1935273080742</v>
      </c>
      <c r="AG2698">
        <v>0.27251700000000001</v>
      </c>
      <c r="AH2698">
        <v>118.292628957863</v>
      </c>
      <c r="AI2698">
        <v>89.868492268444101</v>
      </c>
      <c r="AJ2698">
        <v>94.925132422714498</v>
      </c>
      <c r="AK2698">
        <v>118.731328343695</v>
      </c>
      <c r="AL2698">
        <v>79.318466964481004</v>
      </c>
      <c r="AM2698">
        <v>87.095816725697901</v>
      </c>
      <c r="AN2698">
        <v>0.99999999745273105</v>
      </c>
    </row>
    <row r="2699" spans="1:40" x14ac:dyDescent="0.25">
      <c r="A2699" t="str">
        <f>"20190303170309648"</f>
        <v>20190303170309648</v>
      </c>
      <c r="B2699" t="str">
        <f>"1551603789638070"</f>
        <v>1551603789638070</v>
      </c>
      <c r="C2699" t="s">
        <v>40</v>
      </c>
      <c r="D2699">
        <v>4.1251139999999999</v>
      </c>
      <c r="E2699">
        <v>0.45148909999999998</v>
      </c>
      <c r="F2699" t="s">
        <v>66</v>
      </c>
      <c r="G2699">
        <v>-512.82560000000001</v>
      </c>
      <c r="H2699">
        <v>1.3081780000000001</v>
      </c>
      <c r="I2699">
        <v>273.58280000000002</v>
      </c>
      <c r="J2699">
        <v>-394.77769999999998</v>
      </c>
      <c r="K2699">
        <v>1.121507</v>
      </c>
      <c r="L2699">
        <v>284.3732</v>
      </c>
      <c r="M2699">
        <v>-0.99988469999999996</v>
      </c>
      <c r="N2699">
        <v>-1.4696209999999999E-2</v>
      </c>
      <c r="O2699">
        <v>-3.8261829999999999E-3</v>
      </c>
      <c r="P2699">
        <v>-0.98430329999999999</v>
      </c>
      <c r="Q2699">
        <v>0.17050419999999999</v>
      </c>
      <c r="R2699">
        <v>4.5556659999999999E-2</v>
      </c>
      <c r="S2699">
        <v>-3.0603030000000002</v>
      </c>
      <c r="T2699">
        <v>4.8328640000000001E-3</v>
      </c>
      <c r="U2699">
        <v>-0.27926640000000003</v>
      </c>
      <c r="V2699">
        <v>4.936186E-2</v>
      </c>
      <c r="W2699">
        <v>0.18493850000000001</v>
      </c>
      <c r="X2699">
        <v>0.98150959999999998</v>
      </c>
      <c r="Y2699">
        <v>-8.7066850000000001E-2</v>
      </c>
      <c r="Z2699">
        <v>-6.3467690000000002E-4</v>
      </c>
      <c r="AA2699">
        <v>0.99620229999999999</v>
      </c>
      <c r="AB2699">
        <v>35</v>
      </c>
      <c r="AC2699">
        <v>-118.0479</v>
      </c>
      <c r="AD2699">
        <v>0.186671</v>
      </c>
      <c r="AE2699">
        <v>-10.790399999999901</v>
      </c>
      <c r="AF2699">
        <v>-10.338573715889799</v>
      </c>
      <c r="AG2699">
        <v>0.186671</v>
      </c>
      <c r="AH2699">
        <v>118.088033382836</v>
      </c>
      <c r="AI2699">
        <v>89.909773281922895</v>
      </c>
      <c r="AJ2699">
        <v>95.003471425477102</v>
      </c>
      <c r="AK2699">
        <v>118.539886033212</v>
      </c>
      <c r="AL2699">
        <v>79.342452823892501</v>
      </c>
      <c r="AM2699">
        <v>87.120919228303805</v>
      </c>
      <c r="AN2699">
        <v>0.999999968448534</v>
      </c>
    </row>
    <row r="2700" spans="1:40" x14ac:dyDescent="0.25">
      <c r="A2700" t="str">
        <f>"20190303170309663"</f>
        <v>20190303170309663</v>
      </c>
      <c r="B2700" t="str">
        <f>"1551603789658235"</f>
        <v>1551603789658235</v>
      </c>
      <c r="C2700" t="s">
        <v>40</v>
      </c>
      <c r="D2700">
        <v>4.128997</v>
      </c>
      <c r="E2700">
        <v>0.45107259999999999</v>
      </c>
      <c r="F2700" t="s">
        <v>66</v>
      </c>
      <c r="G2700">
        <v>-512.82560000000001</v>
      </c>
      <c r="H2700">
        <v>1.268235</v>
      </c>
      <c r="I2700">
        <v>273.49689999999998</v>
      </c>
      <c r="J2700">
        <v>-394.98750000000001</v>
      </c>
      <c r="K2700">
        <v>1.1214980000000001</v>
      </c>
      <c r="L2700">
        <v>284.37240000000003</v>
      </c>
      <c r="M2700">
        <v>-0.99988509999999997</v>
      </c>
      <c r="N2700">
        <v>-1.469386E-2</v>
      </c>
      <c r="O2700">
        <v>-3.7654609999999999E-3</v>
      </c>
      <c r="P2700">
        <v>-0.98427310000000001</v>
      </c>
      <c r="Q2700">
        <v>0.1708267</v>
      </c>
      <c r="R2700">
        <v>4.500299E-2</v>
      </c>
      <c r="S2700">
        <v>-3.0602109999999998</v>
      </c>
      <c r="T2700">
        <v>3.8057569999999999E-3</v>
      </c>
      <c r="U2700">
        <v>-0.28195189999999998</v>
      </c>
      <c r="V2700">
        <v>4.8752289999999997E-2</v>
      </c>
      <c r="W2700">
        <v>0.18525710000000001</v>
      </c>
      <c r="X2700">
        <v>0.98148000000000002</v>
      </c>
      <c r="Y2700">
        <v>-8.7996749999999999E-2</v>
      </c>
      <c r="Z2700">
        <v>-6.5319269999999897E-4</v>
      </c>
      <c r="AA2700">
        <v>0.99612060000000002</v>
      </c>
      <c r="AB2700">
        <v>35</v>
      </c>
      <c r="AC2700">
        <v>-117.8381</v>
      </c>
      <c r="AD2700">
        <v>0.14673700000000001</v>
      </c>
      <c r="AE2700">
        <v>-10.875500000000001</v>
      </c>
      <c r="AF2700">
        <v>-10.4316442320525</v>
      </c>
      <c r="AG2700">
        <v>0.14673700000000001</v>
      </c>
      <c r="AH2700">
        <v>117.878038866791</v>
      </c>
      <c r="AI2700">
        <v>89.928954724957293</v>
      </c>
      <c r="AJ2700">
        <v>95.057228940581894</v>
      </c>
      <c r="AK2700">
        <v>118.338805048099</v>
      </c>
      <c r="AL2700">
        <v>79.323877581485405</v>
      </c>
      <c r="AM2700">
        <v>87.156328684429795</v>
      </c>
      <c r="AN2700">
        <v>0.99999998464032602</v>
      </c>
    </row>
    <row r="2701" spans="1:40" x14ac:dyDescent="0.25">
      <c r="A2701" t="str">
        <f>"20190303170309675"</f>
        <v>20190303170309675</v>
      </c>
      <c r="B2701" t="str">
        <f>"1551603789667996"</f>
        <v>1551603789667996</v>
      </c>
      <c r="C2701" t="s">
        <v>40</v>
      </c>
      <c r="D2701">
        <v>4.093413</v>
      </c>
      <c r="E2701">
        <v>0.45099479999999997</v>
      </c>
      <c r="F2701" t="s">
        <v>66</v>
      </c>
      <c r="G2701">
        <v>-512.82560000000001</v>
      </c>
      <c r="H2701">
        <v>1.340398</v>
      </c>
      <c r="I2701">
        <v>273.33150000000001</v>
      </c>
      <c r="J2701">
        <v>-395.18650000000002</v>
      </c>
      <c r="K2701">
        <v>1.1214930000000001</v>
      </c>
      <c r="L2701">
        <v>284.37180000000001</v>
      </c>
      <c r="M2701">
        <v>-0.99988529999999998</v>
      </c>
      <c r="N2701">
        <v>-1.4691630000000001E-2</v>
      </c>
      <c r="O2701">
        <v>-3.7034310000000001E-3</v>
      </c>
      <c r="P2701">
        <v>-0.98426760000000002</v>
      </c>
      <c r="Q2701">
        <v>0.17083860000000001</v>
      </c>
      <c r="R2701">
        <v>4.507191E-2</v>
      </c>
      <c r="S2701">
        <v>-3.0600589999999999</v>
      </c>
      <c r="T2701">
        <v>5.6865219999999899E-3</v>
      </c>
      <c r="U2701">
        <v>-0.28671259999999998</v>
      </c>
      <c r="V2701">
        <v>4.8763800000000003E-2</v>
      </c>
      <c r="W2701">
        <v>0.18526599999999999</v>
      </c>
      <c r="X2701">
        <v>0.98147770000000001</v>
      </c>
      <c r="Y2701">
        <v>-8.9599810000000002E-2</v>
      </c>
      <c r="Z2701">
        <v>-6.3774579999999995E-4</v>
      </c>
      <c r="AA2701">
        <v>0.99597760000000002</v>
      </c>
      <c r="AB2701">
        <v>35</v>
      </c>
      <c r="AC2701">
        <v>-117.639099999999</v>
      </c>
      <c r="AD2701">
        <v>0.21890499999999899</v>
      </c>
      <c r="AE2701">
        <v>-11.0403</v>
      </c>
      <c r="AF2701">
        <v>-10.604472595442401</v>
      </c>
      <c r="AG2701">
        <v>0.21890499999999899</v>
      </c>
      <c r="AH2701">
        <v>117.678780566285</v>
      </c>
      <c r="AI2701">
        <v>89.8938491592682</v>
      </c>
      <c r="AJ2701">
        <v>95.149227773615394</v>
      </c>
      <c r="AK2701">
        <v>118.155821498538</v>
      </c>
      <c r="AL2701">
        <v>79.3233581545541</v>
      </c>
      <c r="AM2701">
        <v>87.155651765733396</v>
      </c>
      <c r="AN2701">
        <v>0.99999993727186298</v>
      </c>
    </row>
    <row r="2702" spans="1:40" x14ac:dyDescent="0.25">
      <c r="A2702" t="str">
        <f>"20190303170309692"</f>
        <v>20190303170309692</v>
      </c>
      <c r="B2702" t="str">
        <f>"1551603789688492"</f>
        <v>1551603789688492</v>
      </c>
      <c r="C2702" t="s">
        <v>40</v>
      </c>
      <c r="D2702">
        <v>4.1091379999999997</v>
      </c>
      <c r="E2702">
        <v>0.45071610000000001</v>
      </c>
      <c r="F2702" t="s">
        <v>66</v>
      </c>
      <c r="G2702">
        <v>-512.82560000000001</v>
      </c>
      <c r="H2702">
        <v>1.347864</v>
      </c>
      <c r="I2702">
        <v>273.33780000000002</v>
      </c>
      <c r="J2702">
        <v>-395.4579</v>
      </c>
      <c r="K2702">
        <v>1.121481</v>
      </c>
      <c r="L2702">
        <v>284.37079999999997</v>
      </c>
      <c r="M2702">
        <v>-0.99988569999999999</v>
      </c>
      <c r="N2702">
        <v>-1.4688619999999999E-2</v>
      </c>
      <c r="O2702">
        <v>-3.6033990000000002E-3</v>
      </c>
      <c r="P2702">
        <v>-0.98424489999999998</v>
      </c>
      <c r="Q2702">
        <v>0.17098829999999901</v>
      </c>
      <c r="R2702">
        <v>4.5006360000000002E-2</v>
      </c>
      <c r="S2702">
        <v>-3.0600589999999999</v>
      </c>
      <c r="T2702">
        <v>5.8904889999999996E-3</v>
      </c>
      <c r="U2702">
        <v>-0.28701779999999999</v>
      </c>
      <c r="V2702">
        <v>4.8606139999999999E-2</v>
      </c>
      <c r="W2702">
        <v>0.18541079999999999</v>
      </c>
      <c r="X2702">
        <v>0.98145819999999995</v>
      </c>
      <c r="Y2702">
        <v>-8.9797929999999998E-2</v>
      </c>
      <c r="Z2702">
        <v>-6.344791E-4</v>
      </c>
      <c r="AA2702">
        <v>0.99595979999999995</v>
      </c>
      <c r="AB2702">
        <v>35</v>
      </c>
      <c r="AC2702">
        <v>-117.3677</v>
      </c>
      <c r="AD2702">
        <v>0.226383</v>
      </c>
      <c r="AE2702">
        <v>-11.0329999999999</v>
      </c>
      <c r="AF2702">
        <v>-10.6099209761816</v>
      </c>
      <c r="AG2702">
        <v>0.226383</v>
      </c>
      <c r="AH2702">
        <v>117.40626546829</v>
      </c>
      <c r="AI2702">
        <v>89.889970666857593</v>
      </c>
      <c r="AJ2702">
        <v>95.163752674683806</v>
      </c>
      <c r="AK2702">
        <v>117.884913553831</v>
      </c>
      <c r="AL2702">
        <v>79.314915698714302</v>
      </c>
      <c r="AM2702">
        <v>87.1647766637128</v>
      </c>
      <c r="AN2702">
        <v>0.99999995997478797</v>
      </c>
    </row>
    <row r="2703" spans="1:40" x14ac:dyDescent="0.25">
      <c r="A2703" t="str">
        <f>"20190303170309705"</f>
        <v>20190303170309705</v>
      </c>
      <c r="B2703" t="str">
        <f>"1551603789698251"</f>
        <v>1551603789698251</v>
      </c>
      <c r="C2703" t="s">
        <v>40</v>
      </c>
      <c r="D2703">
        <v>4.0941919999999996</v>
      </c>
      <c r="E2703">
        <v>0.45059729999999998</v>
      </c>
      <c r="F2703" t="s">
        <v>66</v>
      </c>
      <c r="G2703">
        <v>-512.82560000000001</v>
      </c>
      <c r="H2703">
        <v>1.422253</v>
      </c>
      <c r="I2703">
        <v>273.25150000000002</v>
      </c>
      <c r="J2703">
        <v>-395.6497</v>
      </c>
      <c r="K2703">
        <v>1.121467</v>
      </c>
      <c r="L2703">
        <v>284.37020000000001</v>
      </c>
      <c r="M2703">
        <v>-0.9998861</v>
      </c>
      <c r="N2703">
        <v>-1.46865E-2</v>
      </c>
      <c r="O2703">
        <v>-3.5231009999999998E-3</v>
      </c>
      <c r="P2703">
        <v>-0.98424109999999998</v>
      </c>
      <c r="Q2703">
        <v>0.17099919999999999</v>
      </c>
      <c r="R2703">
        <v>4.5045290000000002E-2</v>
      </c>
      <c r="S2703">
        <v>-3.0598450000000001</v>
      </c>
      <c r="T2703">
        <v>7.8433749999999997E-3</v>
      </c>
      <c r="U2703">
        <v>-0.28988649999999999</v>
      </c>
      <c r="V2703">
        <v>4.8570519999999999E-2</v>
      </c>
      <c r="W2703">
        <v>0.18541830000000001</v>
      </c>
      <c r="X2703">
        <v>0.98145859999999996</v>
      </c>
      <c r="Y2703">
        <v>-9.0810180000000004E-2</v>
      </c>
      <c r="Z2703">
        <v>-6.1287530000000002E-4</v>
      </c>
      <c r="AA2703">
        <v>0.99586799999999998</v>
      </c>
      <c r="AB2703">
        <v>35</v>
      </c>
      <c r="AC2703">
        <v>-117.1759</v>
      </c>
      <c r="AD2703">
        <v>0.300786</v>
      </c>
      <c r="AE2703">
        <v>-11.118699999999899</v>
      </c>
      <c r="AF2703">
        <v>-10.7056940740691</v>
      </c>
      <c r="AG2703">
        <v>0.300786</v>
      </c>
      <c r="AH2703">
        <v>117.213583693313</v>
      </c>
      <c r="AI2703">
        <v>89.853581006323495</v>
      </c>
      <c r="AJ2703">
        <v>95.218626581948598</v>
      </c>
      <c r="AK2703">
        <v>117.70185453107599</v>
      </c>
      <c r="AL2703">
        <v>79.3144789650501</v>
      </c>
      <c r="AM2703">
        <v>87.166852164621901</v>
      </c>
      <c r="AN2703">
        <v>1.00000001245096</v>
      </c>
    </row>
    <row r="2704" spans="1:40" x14ac:dyDescent="0.25">
      <c r="A2704" t="str">
        <f>"20190303170309717"</f>
        <v>20190303170309717</v>
      </c>
      <c r="B2704" t="str">
        <f>"1551603789708011"</f>
        <v>1551603789708011</v>
      </c>
      <c r="C2704" t="s">
        <v>40</v>
      </c>
      <c r="D2704">
        <v>4.1035259999999996</v>
      </c>
      <c r="E2704">
        <v>0.4505074</v>
      </c>
      <c r="F2704" t="s">
        <v>66</v>
      </c>
      <c r="G2704">
        <v>-512.82560000000001</v>
      </c>
      <c r="H2704">
        <v>1.4447859999999999</v>
      </c>
      <c r="I2704">
        <v>273.23430000000002</v>
      </c>
      <c r="J2704">
        <v>-395.84789999999998</v>
      </c>
      <c r="K2704">
        <v>1.121456</v>
      </c>
      <c r="L2704">
        <v>284.36959999999999</v>
      </c>
      <c r="M2704">
        <v>-0.99988639999999995</v>
      </c>
      <c r="N2704">
        <v>-1.4684300000000001E-2</v>
      </c>
      <c r="O2704">
        <v>-3.435282E-3</v>
      </c>
      <c r="P2704">
        <v>-0.98424049999999996</v>
      </c>
      <c r="Q2704">
        <v>0.17093459999999999</v>
      </c>
      <c r="R2704">
        <v>4.5305289999999998E-2</v>
      </c>
      <c r="S2704">
        <v>-3.0599059999999998</v>
      </c>
      <c r="T2704">
        <v>8.4451439999999999E-3</v>
      </c>
      <c r="U2704">
        <v>-0.290802</v>
      </c>
      <c r="V2704">
        <v>4.8748979999999997E-2</v>
      </c>
      <c r="W2704">
        <v>0.1853504</v>
      </c>
      <c r="X2704">
        <v>0.98146259999999996</v>
      </c>
      <c r="Y2704">
        <v>-9.1191159999999993E-2</v>
      </c>
      <c r="Z2704">
        <v>-6.0531189999999996E-4</v>
      </c>
      <c r="AA2704">
        <v>0.99583319999999997</v>
      </c>
      <c r="AB2704">
        <v>35</v>
      </c>
      <c r="AC2704">
        <v>-116.9777</v>
      </c>
      <c r="AD2704">
        <v>0.32333000000000001</v>
      </c>
      <c r="AE2704">
        <v>-11.1352999999999</v>
      </c>
      <c r="AF2704">
        <v>-10.7332583458344</v>
      </c>
      <c r="AG2704">
        <v>0.32333000000000001</v>
      </c>
      <c r="AH2704">
        <v>117.014380682283</v>
      </c>
      <c r="AI2704">
        <v>89.842344567119596</v>
      </c>
      <c r="AJ2704">
        <v>95.240845941778403</v>
      </c>
      <c r="AK2704">
        <v>117.50605373114</v>
      </c>
      <c r="AL2704">
        <v>79.318438211976797</v>
      </c>
      <c r="AM2704">
        <v>87.156471108202993</v>
      </c>
      <c r="AN2704">
        <v>1.00000003451497</v>
      </c>
    </row>
    <row r="2705" spans="1:40" x14ac:dyDescent="0.25">
      <c r="A2705" t="str">
        <f>"20190303170309730"</f>
        <v>20190303170309730</v>
      </c>
      <c r="B2705" t="str">
        <f>"1551603789718833"</f>
        <v>1551603789718833</v>
      </c>
      <c r="C2705" t="s">
        <v>40</v>
      </c>
      <c r="D2705">
        <v>4.0950350000000002</v>
      </c>
      <c r="E2705">
        <v>0.45041920000000002</v>
      </c>
      <c r="F2705" t="s">
        <v>66</v>
      </c>
      <c r="G2705">
        <v>-512.82560000000001</v>
      </c>
      <c r="H2705">
        <v>1.4582189999999999</v>
      </c>
      <c r="I2705">
        <v>273.2396</v>
      </c>
      <c r="J2705">
        <v>-396.04739999999998</v>
      </c>
      <c r="K2705">
        <v>1.121443</v>
      </c>
      <c r="L2705">
        <v>284.36900000000003</v>
      </c>
      <c r="M2705">
        <v>-0.99988670000000002</v>
      </c>
      <c r="N2705">
        <v>-1.468208E-2</v>
      </c>
      <c r="O2705">
        <v>-3.3364839999999998E-3</v>
      </c>
      <c r="P2705">
        <v>-0.98432419999999998</v>
      </c>
      <c r="Q2705">
        <v>0.17041289999999901</v>
      </c>
      <c r="R2705">
        <v>4.5445199999999998E-2</v>
      </c>
      <c r="S2705">
        <v>-3.0599059999999998</v>
      </c>
      <c r="T2705">
        <v>8.8111159999999904E-3</v>
      </c>
      <c r="U2705">
        <v>-0.2911377</v>
      </c>
      <c r="V2705">
        <v>4.8796689999999997E-2</v>
      </c>
      <c r="W2705">
        <v>0.1848264</v>
      </c>
      <c r="X2705">
        <v>0.98155899999999996</v>
      </c>
      <c r="Y2705">
        <v>-9.1397870000000006E-2</v>
      </c>
      <c r="Z2705">
        <v>-5.9966800000000003E-4</v>
      </c>
      <c r="AA2705">
        <v>0.99581430000000004</v>
      </c>
      <c r="AB2705">
        <v>35</v>
      </c>
      <c r="AC2705">
        <v>-116.7782</v>
      </c>
      <c r="AD2705">
        <v>0.33677600000000002</v>
      </c>
      <c r="AE2705">
        <v>-11.1294</v>
      </c>
      <c r="AF2705">
        <v>-10.739578947717799</v>
      </c>
      <c r="AG2705">
        <v>0.33677600000000002</v>
      </c>
      <c r="AH2705">
        <v>116.813724152094</v>
      </c>
      <c r="AI2705">
        <v>89.835509442123296</v>
      </c>
      <c r="AJ2705">
        <v>95.252872347721805</v>
      </c>
      <c r="AK2705">
        <v>117.306854549639</v>
      </c>
      <c r="AL2705">
        <v>79.348988611501596</v>
      </c>
      <c r="AM2705">
        <v>87.153971836484203</v>
      </c>
      <c r="AN2705">
        <v>0.99999999278645801</v>
      </c>
    </row>
    <row r="2706" spans="1:40" x14ac:dyDescent="0.25">
      <c r="A2706" t="str">
        <f>"20190303170309748"</f>
        <v>20190303170309748</v>
      </c>
      <c r="B2706" t="str">
        <f>"1551603789738268"</f>
        <v>1551603789738268</v>
      </c>
      <c r="C2706" t="s">
        <v>40</v>
      </c>
      <c r="D2706">
        <v>4.159465</v>
      </c>
      <c r="E2706">
        <v>0.45056689999999999</v>
      </c>
      <c r="F2706" t="s">
        <v>66</v>
      </c>
      <c r="G2706">
        <v>-512.82560000000001</v>
      </c>
      <c r="H2706">
        <v>1.419997</v>
      </c>
      <c r="I2706">
        <v>273.25209999999998</v>
      </c>
      <c r="J2706">
        <v>-396.32339999999999</v>
      </c>
      <c r="K2706">
        <v>1.1214219999999999</v>
      </c>
      <c r="L2706">
        <v>284.36829999999998</v>
      </c>
      <c r="M2706">
        <v>-0.99988730000000003</v>
      </c>
      <c r="N2706">
        <v>-1.4679019999999999E-2</v>
      </c>
      <c r="O2706">
        <v>-3.1887399999999998E-3</v>
      </c>
      <c r="P2706">
        <v>-0.98451239999999995</v>
      </c>
      <c r="Q2706">
        <v>0.16928360000000001</v>
      </c>
      <c r="R2706">
        <v>4.5594210000000003E-2</v>
      </c>
      <c r="S2706">
        <v>-3.0598749999999999</v>
      </c>
      <c r="T2706">
        <v>7.8248980000000003E-3</v>
      </c>
      <c r="U2706">
        <v>-0.2912903</v>
      </c>
      <c r="V2706">
        <v>4.8807629999999998E-2</v>
      </c>
      <c r="W2706">
        <v>0.18369559999999999</v>
      </c>
      <c r="X2706">
        <v>0.98177080000000005</v>
      </c>
      <c r="Y2706">
        <v>-9.1594980000000006E-2</v>
      </c>
      <c r="Z2706">
        <v>-6.1179959999999999E-4</v>
      </c>
      <c r="AA2706">
        <v>0.99579609999999996</v>
      </c>
      <c r="AB2706">
        <v>35</v>
      </c>
      <c r="AC2706">
        <v>-116.5022</v>
      </c>
      <c r="AD2706">
        <v>0.29857499999999998</v>
      </c>
      <c r="AE2706">
        <v>-11.1161999999999</v>
      </c>
      <c r="AF2706">
        <v>-10.744538330120401</v>
      </c>
      <c r="AG2706">
        <v>0.29857499999999998</v>
      </c>
      <c r="AH2706">
        <v>116.53629954238301</v>
      </c>
      <c r="AI2706">
        <v>89.853824087891894</v>
      </c>
      <c r="AJ2706">
        <v>95.267724824585201</v>
      </c>
      <c r="AK2706">
        <v>117.03095044470101</v>
      </c>
      <c r="AL2706">
        <v>79.414908331770306</v>
      </c>
      <c r="AM2706">
        <v>87.153947927854105</v>
      </c>
      <c r="AN2706">
        <v>1.0000000809691001</v>
      </c>
    </row>
    <row r="2707" spans="1:40" x14ac:dyDescent="0.25">
      <c r="A2707" t="str">
        <f>"20190303170309771"</f>
        <v>20190303170309771</v>
      </c>
      <c r="B2707" t="str">
        <f>"1551603789758380"</f>
        <v>1551603789758380</v>
      </c>
      <c r="C2707" t="s">
        <v>40</v>
      </c>
      <c r="D2707">
        <v>4.0941239999999999</v>
      </c>
      <c r="E2707">
        <v>0.46601169999999997</v>
      </c>
      <c r="F2707" t="s">
        <v>66</v>
      </c>
      <c r="G2707">
        <v>-512.82560000000001</v>
      </c>
      <c r="H2707">
        <v>1.27955</v>
      </c>
      <c r="I2707">
        <v>273.33580000000001</v>
      </c>
      <c r="J2707">
        <v>-396.67160000000001</v>
      </c>
      <c r="K2707">
        <v>1.121405</v>
      </c>
      <c r="L2707">
        <v>284.3673</v>
      </c>
      <c r="M2707">
        <v>-0.99988790000000005</v>
      </c>
      <c r="N2707">
        <v>-1.4675189999999999E-2</v>
      </c>
      <c r="O2707">
        <v>-2.98563E-3</v>
      </c>
      <c r="P2707">
        <v>-0.98462620000000001</v>
      </c>
      <c r="Q2707">
        <v>0.1684629</v>
      </c>
      <c r="R2707">
        <v>4.616808E-2</v>
      </c>
      <c r="S2707">
        <v>-3.0599059999999998</v>
      </c>
      <c r="T2707">
        <v>4.1552780000000001E-3</v>
      </c>
      <c r="U2707">
        <v>-0.28976439999999998</v>
      </c>
      <c r="V2707">
        <v>4.9189509999999999E-2</v>
      </c>
      <c r="W2707">
        <v>0.18287010000000001</v>
      </c>
      <c r="X2707">
        <v>0.98190580000000005</v>
      </c>
      <c r="Y2707">
        <v>-9.1303499999999996E-2</v>
      </c>
      <c r="Z2707">
        <v>-6.5738639999999996E-4</v>
      </c>
      <c r="AA2707">
        <v>0.99582289999999996</v>
      </c>
      <c r="AB2707">
        <v>35</v>
      </c>
      <c r="AC2707">
        <v>-116.154</v>
      </c>
      <c r="AD2707">
        <v>0.15814499999999901</v>
      </c>
      <c r="AE2707">
        <v>-11.0314999999999</v>
      </c>
      <c r="AF2707">
        <v>-10.6846009921512</v>
      </c>
      <c r="AG2707">
        <v>0.15814499999999901</v>
      </c>
      <c r="AH2707">
        <v>116.18620826218699</v>
      </c>
      <c r="AI2707">
        <v>89.922340498574002</v>
      </c>
      <c r="AJ2707">
        <v>95.254199687575195</v>
      </c>
      <c r="AK2707">
        <v>116.676564478676</v>
      </c>
      <c r="AL2707">
        <v>79.463020584614696</v>
      </c>
      <c r="AM2707">
        <v>87.132110622360699</v>
      </c>
      <c r="AN2707">
        <v>1.00000004072084</v>
      </c>
    </row>
    <row r="2708" spans="1:40" x14ac:dyDescent="0.25">
      <c r="A2708" t="str">
        <f>"20190303170309782"</f>
        <v>20190303170309782</v>
      </c>
      <c r="B2708" t="str">
        <f>"1551603789768142"</f>
        <v>1551603789768142</v>
      </c>
      <c r="C2708" t="s">
        <v>40</v>
      </c>
      <c r="D2708">
        <v>4.1535089999999997</v>
      </c>
      <c r="E2708">
        <v>0.46686549999999999</v>
      </c>
      <c r="F2708" t="s">
        <v>66</v>
      </c>
      <c r="G2708">
        <v>-511.9588</v>
      </c>
      <c r="H2708">
        <v>0.47576600000000002</v>
      </c>
      <c r="I2708">
        <v>278.12369999999999</v>
      </c>
      <c r="J2708">
        <v>-396.86860000000001</v>
      </c>
      <c r="K2708">
        <v>1.121394</v>
      </c>
      <c r="L2708">
        <v>284.36689999999999</v>
      </c>
      <c r="M2708">
        <v>-0.99988840000000001</v>
      </c>
      <c r="N2708">
        <v>-1.467301E-2</v>
      </c>
      <c r="O2708">
        <v>-2.8627959999999999E-3</v>
      </c>
      <c r="P2708">
        <v>-0.98459790000000003</v>
      </c>
      <c r="Q2708">
        <v>0.16848160000000001</v>
      </c>
      <c r="R2708">
        <v>4.6700520000000002E-2</v>
      </c>
      <c r="S2708">
        <v>-3.0575559999999999</v>
      </c>
      <c r="T2708">
        <v>-1.7120960000000001E-2</v>
      </c>
      <c r="U2708">
        <v>-0.1655884</v>
      </c>
      <c r="V2708">
        <v>4.96049E-2</v>
      </c>
      <c r="W2708">
        <v>0.18288560000000001</v>
      </c>
      <c r="X2708">
        <v>0.98188200000000003</v>
      </c>
      <c r="Y2708">
        <v>-5.121593E-2</v>
      </c>
      <c r="Z2708">
        <v>-5.4529939999999999E-4</v>
      </c>
      <c r="AA2708">
        <v>0.9986874</v>
      </c>
      <c r="AB2708">
        <v>35</v>
      </c>
      <c r="AC2708">
        <v>-115.090199999999</v>
      </c>
      <c r="AD2708">
        <v>-0.64562799999999998</v>
      </c>
      <c r="AE2708">
        <v>-6.2431999999999999</v>
      </c>
      <c r="AF2708">
        <v>-5.9134736761186204</v>
      </c>
      <c r="AG2708">
        <v>-0.64562799999999998</v>
      </c>
      <c r="AH2708">
        <v>115.103991588339</v>
      </c>
      <c r="AI2708">
        <v>90.320950221568197</v>
      </c>
      <c r="AJ2708">
        <v>92.940988054230601</v>
      </c>
      <c r="AK2708">
        <v>115.257602291567</v>
      </c>
      <c r="AL2708">
        <v>79.462117102439294</v>
      </c>
      <c r="AM2708">
        <v>87.107863156592799</v>
      </c>
      <c r="AN2708">
        <v>1.00000002535768</v>
      </c>
    </row>
    <row r="2709" spans="1:40" x14ac:dyDescent="0.25">
      <c r="A2709" t="str">
        <f>"20190303170309796"</f>
        <v>20190303170309796</v>
      </c>
      <c r="B2709" t="str">
        <f>"1551603789788637"</f>
        <v>1551603789788637</v>
      </c>
      <c r="C2709" t="s">
        <v>40</v>
      </c>
      <c r="D2709">
        <v>4.1049800000000003</v>
      </c>
      <c r="E2709">
        <v>0.46758230000000001</v>
      </c>
      <c r="F2709" t="s">
        <v>66</v>
      </c>
      <c r="G2709">
        <v>-511.95870000000002</v>
      </c>
      <c r="H2709">
        <v>0.39760319999999999</v>
      </c>
      <c r="I2709">
        <v>278.44889999999998</v>
      </c>
      <c r="J2709">
        <v>-397.07769999999999</v>
      </c>
      <c r="K2709">
        <v>1.121389</v>
      </c>
      <c r="L2709">
        <v>284.3664</v>
      </c>
      <c r="M2709">
        <v>-0.99988880000000002</v>
      </c>
      <c r="N2709">
        <v>-1.467069E-2</v>
      </c>
      <c r="O2709">
        <v>-2.7284029999999999E-3</v>
      </c>
      <c r="P2709">
        <v>-0.98454560000000002</v>
      </c>
      <c r="Q2709">
        <v>0.16870489999999999</v>
      </c>
      <c r="R2709">
        <v>4.6997820000000003E-2</v>
      </c>
      <c r="S2709">
        <v>-3.0576780000000001</v>
      </c>
      <c r="T2709">
        <v>-1.9227270000000001E-2</v>
      </c>
      <c r="U2709">
        <v>-0.15722659999999999</v>
      </c>
      <c r="V2709">
        <v>4.9773860000000003E-2</v>
      </c>
      <c r="W2709">
        <v>0.1831045</v>
      </c>
      <c r="X2709">
        <v>0.98183260000000006</v>
      </c>
      <c r="Y2709">
        <v>-4.8624010000000002E-2</v>
      </c>
      <c r="Z2709">
        <v>-5.3257610000000003E-4</v>
      </c>
      <c r="AA2709">
        <v>0.99881699999999995</v>
      </c>
      <c r="AB2709">
        <v>35</v>
      </c>
      <c r="AC2709">
        <v>-114.881</v>
      </c>
      <c r="AD2709">
        <v>-0.72378579999999904</v>
      </c>
      <c r="AE2709">
        <v>-5.9175000000000102</v>
      </c>
      <c r="AF2709">
        <v>-5.60378076589729</v>
      </c>
      <c r="AG2709">
        <v>-0.72378579999999904</v>
      </c>
      <c r="AH2709">
        <v>114.89217092049201</v>
      </c>
      <c r="AI2709">
        <v>90.360512692506603</v>
      </c>
      <c r="AJ2709">
        <v>92.7923464600931</v>
      </c>
      <c r="AK2709">
        <v>115.03102696046901</v>
      </c>
      <c r="AL2709">
        <v>79.449359091689104</v>
      </c>
      <c r="AM2709">
        <v>87.097883255224602</v>
      </c>
      <c r="AN2709">
        <v>0.99999997474115399</v>
      </c>
    </row>
    <row r="2710" spans="1:40" x14ac:dyDescent="0.25">
      <c r="A2710" t="str">
        <f>"20190303170309809"</f>
        <v>20190303170309809</v>
      </c>
      <c r="B2710" t="str">
        <f>"1551603789798397"</f>
        <v>1551603789798397</v>
      </c>
      <c r="C2710" t="s">
        <v>40</v>
      </c>
      <c r="D2710">
        <v>4.1289790000000002</v>
      </c>
      <c r="E2710">
        <v>0.4676882</v>
      </c>
      <c r="F2710" t="s">
        <v>66</v>
      </c>
      <c r="G2710">
        <v>-511.95870000000002</v>
      </c>
      <c r="H2710">
        <v>0.40244740000000001</v>
      </c>
      <c r="I2710">
        <v>278.70089999999999</v>
      </c>
      <c r="J2710">
        <v>-397.28339999999997</v>
      </c>
      <c r="K2710">
        <v>1.1213839999999999</v>
      </c>
      <c r="L2710">
        <v>284.36599999999999</v>
      </c>
      <c r="M2710">
        <v>-0.99988909999999998</v>
      </c>
      <c r="N2710">
        <v>-1.466841E-2</v>
      </c>
      <c r="O2710">
        <v>-2.5903369999999998E-3</v>
      </c>
      <c r="P2710">
        <v>-0.98451469999999996</v>
      </c>
      <c r="Q2710">
        <v>0.16873929999999901</v>
      </c>
      <c r="R2710">
        <v>4.7517749999999997E-2</v>
      </c>
      <c r="S2710">
        <v>-3.0575869999999998</v>
      </c>
      <c r="T2710">
        <v>-1.9132610000000001E-2</v>
      </c>
      <c r="U2710">
        <v>-0.15078739999999999</v>
      </c>
      <c r="V2710">
        <v>5.0161280000000003E-2</v>
      </c>
      <c r="W2710">
        <v>0.1831354</v>
      </c>
      <c r="X2710">
        <v>0.98180719999999999</v>
      </c>
      <c r="Y2710">
        <v>-4.6665360000000003E-2</v>
      </c>
      <c r="Z2710">
        <v>-5.1018069999999997E-4</v>
      </c>
      <c r="AA2710">
        <v>0.99891039999999998</v>
      </c>
      <c r="AB2710">
        <v>35</v>
      </c>
      <c r="AC2710">
        <v>-114.67529999999999</v>
      </c>
      <c r="AD2710">
        <v>-0.71893659999999904</v>
      </c>
      <c r="AE2710">
        <v>-5.66509999999999</v>
      </c>
      <c r="AF2710">
        <v>-5.3677909037014402</v>
      </c>
      <c r="AG2710">
        <v>-0.71893659999999904</v>
      </c>
      <c r="AH2710">
        <v>114.685094628895</v>
      </c>
      <c r="AI2710">
        <v>90.358777661039895</v>
      </c>
      <c r="AJ2710">
        <v>92.679750827286099</v>
      </c>
      <c r="AK2710">
        <v>114.812895525979</v>
      </c>
      <c r="AL2710">
        <v>79.447559039127995</v>
      </c>
      <c r="AM2710">
        <v>87.075257863926794</v>
      </c>
      <c r="AN2710">
        <v>1.0000000533581099</v>
      </c>
    </row>
    <row r="2711" spans="1:40" x14ac:dyDescent="0.25">
      <c r="A2711" t="str">
        <f>"20190303170309823"</f>
        <v>20190303170309823</v>
      </c>
      <c r="B2711" t="str">
        <f>"1551603789817917"</f>
        <v>1551603789817917</v>
      </c>
      <c r="C2711" t="s">
        <v>40</v>
      </c>
      <c r="D2711">
        <v>4.1111630000000003</v>
      </c>
      <c r="E2711">
        <v>0.4677559</v>
      </c>
      <c r="F2711" t="s">
        <v>66</v>
      </c>
      <c r="G2711">
        <v>-511.9588</v>
      </c>
      <c r="H2711">
        <v>0.42300330000000003</v>
      </c>
      <c r="I2711">
        <v>278.80099999999999</v>
      </c>
      <c r="J2711">
        <v>-397.50979999999998</v>
      </c>
      <c r="K2711">
        <v>1.1213770000000001</v>
      </c>
      <c r="L2711">
        <v>284.3655</v>
      </c>
      <c r="M2711">
        <v>-0.99988960000000005</v>
      </c>
      <c r="N2711">
        <v>-1.4665879999999999E-2</v>
      </c>
      <c r="O2711">
        <v>-2.4352290000000001E-3</v>
      </c>
      <c r="P2711">
        <v>-0.98445470000000002</v>
      </c>
      <c r="Q2711">
        <v>0.16903009999999999</v>
      </c>
      <c r="R2711">
        <v>4.7728189999999997E-2</v>
      </c>
      <c r="S2711">
        <v>-3.0575260000000002</v>
      </c>
      <c r="T2711">
        <v>-1.8618349999999999E-2</v>
      </c>
      <c r="U2711">
        <v>-0.14837649999999999</v>
      </c>
      <c r="V2711">
        <v>5.0222360000000001E-2</v>
      </c>
      <c r="W2711">
        <v>0.1834219</v>
      </c>
      <c r="X2711">
        <v>0.98175049999999997</v>
      </c>
      <c r="Y2711">
        <v>-4.6035649999999997E-2</v>
      </c>
      <c r="Z2711">
        <v>-4.9876079999999995E-4</v>
      </c>
      <c r="AA2711">
        <v>0.99893969999999999</v>
      </c>
      <c r="AB2711">
        <v>35</v>
      </c>
      <c r="AC2711">
        <v>-114.449</v>
      </c>
      <c r="AD2711">
        <v>-0.69837369999999999</v>
      </c>
      <c r="AE2711">
        <v>-5.5644999999999998</v>
      </c>
      <c r="AF2711">
        <v>-5.2855476832729904</v>
      </c>
      <c r="AG2711">
        <v>-0.69837369999999999</v>
      </c>
      <c r="AH2711">
        <v>114.457961058366</v>
      </c>
      <c r="AI2711">
        <v>90.3492179454595</v>
      </c>
      <c r="AJ2711">
        <v>92.643980191025804</v>
      </c>
      <c r="AK2711">
        <v>114.582064869574</v>
      </c>
      <c r="AL2711">
        <v>79.430859968745906</v>
      </c>
      <c r="AM2711">
        <v>87.071533854776504</v>
      </c>
      <c r="AN2711">
        <v>0.99999996154691395</v>
      </c>
    </row>
    <row r="2712" spans="1:40" x14ac:dyDescent="0.25">
      <c r="A2712" t="str">
        <f>"20190303170309836"</f>
        <v>20190303170309836</v>
      </c>
      <c r="B2712" t="str">
        <f>"1551603789828653"</f>
        <v>1551603789828653</v>
      </c>
      <c r="C2712" t="s">
        <v>40</v>
      </c>
      <c r="D2712">
        <v>4.1025419999999997</v>
      </c>
      <c r="E2712">
        <v>0.46762140000000002</v>
      </c>
      <c r="F2712" t="s">
        <v>66</v>
      </c>
      <c r="G2712">
        <v>-511.9588</v>
      </c>
      <c r="H2712">
        <v>0.47200229999999999</v>
      </c>
      <c r="I2712">
        <v>278.85599999999999</v>
      </c>
      <c r="J2712">
        <v>-397.70909999999998</v>
      </c>
      <c r="K2712">
        <v>1.1213759999999999</v>
      </c>
      <c r="L2712">
        <v>284.36520000000002</v>
      </c>
      <c r="M2712">
        <v>-0.9998899</v>
      </c>
      <c r="N2712">
        <v>-1.466365E-2</v>
      </c>
      <c r="O2712">
        <v>-2.2963649999999999E-3</v>
      </c>
      <c r="P2712">
        <v>-0.98442320000000005</v>
      </c>
      <c r="Q2712">
        <v>0.16922770000000001</v>
      </c>
      <c r="R2712">
        <v>4.7678119999999997E-2</v>
      </c>
      <c r="S2712">
        <v>-3.0574949999999999</v>
      </c>
      <c r="T2712">
        <v>-1.734579E-2</v>
      </c>
      <c r="U2712">
        <v>-0.14718629999999999</v>
      </c>
      <c r="V2712">
        <v>5.0038140000000002E-2</v>
      </c>
      <c r="W2712">
        <v>0.1836159</v>
      </c>
      <c r="X2712">
        <v>0.98172369999999998</v>
      </c>
      <c r="Y2712">
        <v>-4.5787189999999998E-2</v>
      </c>
      <c r="Z2712">
        <v>-4.8636589999999998E-4</v>
      </c>
      <c r="AA2712">
        <v>0.99895109999999998</v>
      </c>
      <c r="AB2712">
        <v>35</v>
      </c>
      <c r="AC2712">
        <v>-114.2497</v>
      </c>
      <c r="AD2712">
        <v>-0.64937369999999905</v>
      </c>
      <c r="AE2712">
        <v>-5.5092000000000203</v>
      </c>
      <c r="AF2712">
        <v>-5.24662915891082</v>
      </c>
      <c r="AG2712">
        <v>-0.64937369999999905</v>
      </c>
      <c r="AH2712">
        <v>114.25836855813399</v>
      </c>
      <c r="AI2712">
        <v>90.325287412922705</v>
      </c>
      <c r="AJ2712">
        <v>92.629117623914794</v>
      </c>
      <c r="AK2712">
        <v>114.380608449596</v>
      </c>
      <c r="AL2712">
        <v>79.419553155101497</v>
      </c>
      <c r="AM2712">
        <v>87.082177615068005</v>
      </c>
      <c r="AN2712">
        <v>1.0000000186645699</v>
      </c>
    </row>
    <row r="2713" spans="1:40" x14ac:dyDescent="0.25">
      <c r="A2713" t="str">
        <f>"20190303170309849"</f>
        <v>20190303170309849</v>
      </c>
      <c r="B2713" t="str">
        <f>"1551603789838412"</f>
        <v>1551603789838412</v>
      </c>
      <c r="C2713" t="s">
        <v>40</v>
      </c>
      <c r="D2713">
        <v>4.1185330000000002</v>
      </c>
      <c r="E2713">
        <v>0.46755809999999998</v>
      </c>
      <c r="F2713" t="s">
        <v>66</v>
      </c>
      <c r="G2713">
        <v>-511.9588</v>
      </c>
      <c r="H2713">
        <v>0.51327349999999905</v>
      </c>
      <c r="I2713">
        <v>278.81400000000002</v>
      </c>
      <c r="J2713">
        <v>-397.90969999999999</v>
      </c>
      <c r="K2713">
        <v>1.121373</v>
      </c>
      <c r="L2713">
        <v>284.3648</v>
      </c>
      <c r="M2713">
        <v>-0.99989039999999996</v>
      </c>
      <c r="N2713">
        <v>-1.466141E-2</v>
      </c>
      <c r="O2713">
        <v>-2.1541820000000001E-3</v>
      </c>
      <c r="P2713">
        <v>-0.9844117</v>
      </c>
      <c r="Q2713">
        <v>0.1693172</v>
      </c>
      <c r="R2713">
        <v>4.7603630000000001E-2</v>
      </c>
      <c r="S2713">
        <v>-3.0575260000000002</v>
      </c>
      <c r="T2713">
        <v>-1.6271710000000002E-2</v>
      </c>
      <c r="U2713">
        <v>-0.14855960000000001</v>
      </c>
      <c r="V2713">
        <v>4.9825769999999998E-2</v>
      </c>
      <c r="W2713">
        <v>0.18370300000000001</v>
      </c>
      <c r="X2713">
        <v>0.98171819999999999</v>
      </c>
      <c r="Y2713">
        <v>-4.6376569999999999E-2</v>
      </c>
      <c r="Z2713">
        <v>-4.8364179999999999E-4</v>
      </c>
      <c r="AA2713">
        <v>0.99892389999999998</v>
      </c>
      <c r="AB2713">
        <v>35</v>
      </c>
      <c r="AC2713">
        <v>-114.0491</v>
      </c>
      <c r="AD2713">
        <v>-0.60809950000000002</v>
      </c>
      <c r="AE2713">
        <v>-5.5507999999999802</v>
      </c>
      <c r="AF2713">
        <v>-5.30492778134641</v>
      </c>
      <c r="AG2713">
        <v>-0.60809950000000002</v>
      </c>
      <c r="AH2713">
        <v>114.05755912758799</v>
      </c>
      <c r="AI2713">
        <v>90.305140503559997</v>
      </c>
      <c r="AJ2713">
        <v>92.6629631874778</v>
      </c>
      <c r="AK2713">
        <v>114.182480433341</v>
      </c>
      <c r="AL2713">
        <v>79.414476263198907</v>
      </c>
      <c r="AM2713">
        <v>87.094523813954495</v>
      </c>
      <c r="AN2713">
        <v>1.00000001188816</v>
      </c>
    </row>
    <row r="2714" spans="1:40" x14ac:dyDescent="0.25">
      <c r="A2714" t="str">
        <f>"20190303170309863"</f>
        <v>20190303170309863</v>
      </c>
      <c r="B2714" t="str">
        <f>"1551603789857830"</f>
        <v>1551603789857830</v>
      </c>
      <c r="C2714" t="s">
        <v>40</v>
      </c>
      <c r="D2714">
        <v>4.1190579999999999</v>
      </c>
      <c r="E2714">
        <v>0.46753070000000002</v>
      </c>
      <c r="F2714" t="s">
        <v>66</v>
      </c>
      <c r="G2714">
        <v>-511.9588</v>
      </c>
      <c r="H2714">
        <v>0.55652690000000005</v>
      </c>
      <c r="I2714">
        <v>278.79899999999998</v>
      </c>
      <c r="J2714">
        <v>-398.12639999999999</v>
      </c>
      <c r="K2714">
        <v>1.1213679999999999</v>
      </c>
      <c r="L2714">
        <v>284.36450000000002</v>
      </c>
      <c r="M2714">
        <v>-0.99989059999999996</v>
      </c>
      <c r="N2714">
        <v>-1.465901E-2</v>
      </c>
      <c r="O2714">
        <v>-1.9992489999999998E-3</v>
      </c>
      <c r="P2714">
        <v>-0.98433919999999997</v>
      </c>
      <c r="Q2714">
        <v>0.16963900000000001</v>
      </c>
      <c r="R2714">
        <v>4.7947499999999997E-2</v>
      </c>
      <c r="S2714">
        <v>-3.0572810000000001</v>
      </c>
      <c r="T2714">
        <v>-1.513946E-2</v>
      </c>
      <c r="U2714">
        <v>-0.14920039999999901</v>
      </c>
      <c r="V2714">
        <v>5.0018739999999999E-2</v>
      </c>
      <c r="W2714">
        <v>0.18402080000000001</v>
      </c>
      <c r="X2714">
        <v>0.98164890000000005</v>
      </c>
      <c r="Y2714">
        <v>-4.6744300000000003E-2</v>
      </c>
      <c r="Z2714">
        <v>-4.779087E-4</v>
      </c>
      <c r="AA2714">
        <v>0.99890679999999998</v>
      </c>
      <c r="AB2714">
        <v>35</v>
      </c>
      <c r="AC2714">
        <v>-113.83240000000001</v>
      </c>
      <c r="AD2714">
        <v>-0.56484109999999899</v>
      </c>
      <c r="AE2714">
        <v>-5.5654999999999797</v>
      </c>
      <c r="AF2714">
        <v>-5.3377540061549897</v>
      </c>
      <c r="AG2714">
        <v>-0.56484109999999899</v>
      </c>
      <c r="AH2714">
        <v>113.840504192281</v>
      </c>
      <c r="AI2714">
        <v>90.283969492338699</v>
      </c>
      <c r="AJ2714">
        <v>92.684518594887805</v>
      </c>
      <c r="AK2714">
        <v>113.966973540808</v>
      </c>
      <c r="AL2714">
        <v>79.395952228401498</v>
      </c>
      <c r="AM2714">
        <v>87.083085050188402</v>
      </c>
      <c r="AN2714">
        <v>1.00000004602751</v>
      </c>
    </row>
    <row r="2715" spans="1:40" x14ac:dyDescent="0.25">
      <c r="A2715" t="str">
        <f>"20190303170309882"</f>
        <v>20190303170309882</v>
      </c>
      <c r="B2715" t="str">
        <f>"1551603789868567"</f>
        <v>1551603789868567</v>
      </c>
      <c r="C2715" t="s">
        <v>40</v>
      </c>
      <c r="D2715">
        <v>4.1569719999999997</v>
      </c>
      <c r="E2715">
        <v>0.4676729</v>
      </c>
      <c r="F2715" t="s">
        <v>66</v>
      </c>
      <c r="G2715">
        <v>-511.9588</v>
      </c>
      <c r="H2715">
        <v>0.54251240000000001</v>
      </c>
      <c r="I2715">
        <v>278.82929999999999</v>
      </c>
      <c r="J2715">
        <v>-398.40969999999999</v>
      </c>
      <c r="K2715">
        <v>1.121367</v>
      </c>
      <c r="L2715">
        <v>284.36410000000001</v>
      </c>
      <c r="M2715">
        <v>-0.99989099999999997</v>
      </c>
      <c r="N2715">
        <v>-1.465588E-2</v>
      </c>
      <c r="O2715">
        <v>-1.7950749999999999E-3</v>
      </c>
      <c r="P2715">
        <v>-0.98441699999999999</v>
      </c>
      <c r="Q2715">
        <v>0.16913810000000001</v>
      </c>
      <c r="R2715">
        <v>4.8122030000000003E-2</v>
      </c>
      <c r="S2715">
        <v>-3.0576780000000001</v>
      </c>
      <c r="T2715">
        <v>-1.5546559999999999E-2</v>
      </c>
      <c r="U2715">
        <v>-0.1486816</v>
      </c>
      <c r="V2715">
        <v>4.9994469999999999E-2</v>
      </c>
      <c r="W2715">
        <v>0.1835174</v>
      </c>
      <c r="X2715">
        <v>0.98174430000000001</v>
      </c>
      <c r="Y2715">
        <v>-4.6772790000000002E-2</v>
      </c>
      <c r="Z2715">
        <v>-4.7898670000000001E-4</v>
      </c>
      <c r="AA2715">
        <v>0.99890540000000005</v>
      </c>
      <c r="AB2715">
        <v>35</v>
      </c>
      <c r="AC2715">
        <v>-113.5491</v>
      </c>
      <c r="AD2715">
        <v>-0.578854599999999</v>
      </c>
      <c r="AE2715">
        <v>-5.5348000000000104</v>
      </c>
      <c r="AF2715">
        <v>-5.3308018306266396</v>
      </c>
      <c r="AG2715">
        <v>-0.578854599999999</v>
      </c>
      <c r="AH2715">
        <v>113.555909377087</v>
      </c>
      <c r="AI2715">
        <v>90.291743113212505</v>
      </c>
      <c r="AJ2715">
        <v>92.687736612920503</v>
      </c>
      <c r="AK2715">
        <v>113.682439608159</v>
      </c>
      <c r="AL2715">
        <v>79.425293900655802</v>
      </c>
      <c r="AM2715">
        <v>87.084780769963899</v>
      </c>
      <c r="AN2715">
        <v>0.99999997685791497</v>
      </c>
    </row>
    <row r="2716" spans="1:40" x14ac:dyDescent="0.25">
      <c r="A2716" t="str">
        <f>"20190303170309894"</f>
        <v>20190303170309894</v>
      </c>
      <c r="B2716" t="str">
        <f>"1551603789888086"</f>
        <v>1551603789888086</v>
      </c>
      <c r="C2716" t="s">
        <v>40</v>
      </c>
      <c r="D2716">
        <v>4.0976990000000004</v>
      </c>
      <c r="E2716">
        <v>0.46759919999999999</v>
      </c>
      <c r="F2716" t="s">
        <v>66</v>
      </c>
      <c r="G2716">
        <v>-511.9588</v>
      </c>
      <c r="H2716">
        <v>0.49011300000000002</v>
      </c>
      <c r="I2716">
        <v>278.87889999999999</v>
      </c>
      <c r="J2716">
        <v>-398.61439999999999</v>
      </c>
      <c r="K2716">
        <v>1.1213649999999999</v>
      </c>
      <c r="L2716">
        <v>284.3639</v>
      </c>
      <c r="M2716">
        <v>-0.99989130000000004</v>
      </c>
      <c r="N2716">
        <v>-1.4653630000000001E-2</v>
      </c>
      <c r="O2716">
        <v>-1.647201E-3</v>
      </c>
      <c r="P2716">
        <v>-0.9844368</v>
      </c>
      <c r="Q2716">
        <v>0.16899159999999999</v>
      </c>
      <c r="R2716">
        <v>4.8230149999999999E-2</v>
      </c>
      <c r="S2716">
        <v>-3.057617</v>
      </c>
      <c r="T2716">
        <v>-1.6996029999999999E-2</v>
      </c>
      <c r="U2716">
        <v>-0.14770510000000001</v>
      </c>
      <c r="V2716">
        <v>4.9958049999999997E-2</v>
      </c>
      <c r="W2716">
        <v>0.1833688</v>
      </c>
      <c r="X2716">
        <v>0.98177389999999998</v>
      </c>
      <c r="Y2716">
        <v>-4.6602919999999999E-2</v>
      </c>
      <c r="Z2716">
        <v>-4.8609899999999998E-4</v>
      </c>
      <c r="AA2716">
        <v>0.9989133</v>
      </c>
      <c r="AB2716">
        <v>35</v>
      </c>
      <c r="AC2716">
        <v>-113.34439999999999</v>
      </c>
      <c r="AD2716">
        <v>-0.63125199999999904</v>
      </c>
      <c r="AE2716">
        <v>-5.4850000000000101</v>
      </c>
      <c r="AF2716">
        <v>-5.2981075554039396</v>
      </c>
      <c r="AG2716">
        <v>-0.63125199999999904</v>
      </c>
      <c r="AH2716">
        <v>113.349774466063</v>
      </c>
      <c r="AI2716">
        <v>90.318732512303896</v>
      </c>
      <c r="AJ2716">
        <v>92.676127296067094</v>
      </c>
      <c r="AK2716">
        <v>113.47528274590699</v>
      </c>
      <c r="AL2716">
        <v>79.433954819560199</v>
      </c>
      <c r="AM2716">
        <v>87.086988468476093</v>
      </c>
      <c r="AN2716">
        <v>0.999999957147225</v>
      </c>
    </row>
    <row r="2717" spans="1:40" x14ac:dyDescent="0.25">
      <c r="A2717" t="str">
        <f>"20190303170309907"</f>
        <v>20190303170309907</v>
      </c>
      <c r="B2717" t="str">
        <f>"1551603789897846"</f>
        <v>1551603789897846</v>
      </c>
      <c r="C2717" t="s">
        <v>40</v>
      </c>
      <c r="D2717">
        <v>4.1361239999999997</v>
      </c>
      <c r="E2717">
        <v>0.46750999999999998</v>
      </c>
      <c r="F2717" t="s">
        <v>66</v>
      </c>
      <c r="G2717">
        <v>-511.9588</v>
      </c>
      <c r="H2717">
        <v>0.5165864</v>
      </c>
      <c r="I2717">
        <v>278.89389999999997</v>
      </c>
      <c r="J2717">
        <v>-398.81040000000002</v>
      </c>
      <c r="K2717">
        <v>1.1213630000000001</v>
      </c>
      <c r="L2717">
        <v>284.36380000000003</v>
      </c>
      <c r="M2717">
        <v>-0.99989150000000004</v>
      </c>
      <c r="N2717">
        <v>-1.4651630000000001E-2</v>
      </c>
      <c r="O2717">
        <v>-1.5049429999999999E-3</v>
      </c>
      <c r="P2717">
        <v>-0.98447819999999997</v>
      </c>
      <c r="Q2717">
        <v>0.16874220000000001</v>
      </c>
      <c r="R2717">
        <v>4.8256279999999999E-2</v>
      </c>
      <c r="S2717">
        <v>-3.0574340000000002</v>
      </c>
      <c r="T2717">
        <v>-1.6311530000000001E-2</v>
      </c>
      <c r="U2717">
        <v>-0.1475525</v>
      </c>
      <c r="V2717">
        <v>4.9844920000000001E-2</v>
      </c>
      <c r="W2717">
        <v>0.18311849999999999</v>
      </c>
      <c r="X2717">
        <v>0.98182639999999999</v>
      </c>
      <c r="Y2717">
        <v>-4.6698299999999998E-2</v>
      </c>
      <c r="Z2717">
        <v>-4.808395E-4</v>
      </c>
      <c r="AA2717">
        <v>0.99890889999999999</v>
      </c>
      <c r="AB2717">
        <v>35</v>
      </c>
      <c r="AC2717">
        <v>-113.148399999999</v>
      </c>
      <c r="AD2717">
        <v>-0.604776599999999</v>
      </c>
      <c r="AE2717">
        <v>-5.4699000000000497</v>
      </c>
      <c r="AF2717">
        <v>-5.2994425810580399</v>
      </c>
      <c r="AG2717">
        <v>-0.604776599999999</v>
      </c>
      <c r="AH2717">
        <v>113.153279487169</v>
      </c>
      <c r="AI2717">
        <v>90.305893720351094</v>
      </c>
      <c r="AJ2717">
        <v>92.681442237991803</v>
      </c>
      <c r="AK2717">
        <v>113.278923481411</v>
      </c>
      <c r="AL2717">
        <v>79.448543322293403</v>
      </c>
      <c r="AM2717">
        <v>87.093728805098294</v>
      </c>
      <c r="AN2717">
        <v>0.99999999041450804</v>
      </c>
    </row>
    <row r="2718" spans="1:40" x14ac:dyDescent="0.25">
      <c r="A2718" t="str">
        <f>"20190303170309926"</f>
        <v>20190303170309926</v>
      </c>
      <c r="B2718" t="str">
        <f>"1551603789918342"</f>
        <v>1551603789918342</v>
      </c>
      <c r="C2718" t="s">
        <v>40</v>
      </c>
      <c r="D2718">
        <v>4.1340269999999997</v>
      </c>
      <c r="E2718">
        <v>0.46730319999999997</v>
      </c>
      <c r="F2718" t="s">
        <v>66</v>
      </c>
      <c r="G2718">
        <v>-511.9588</v>
      </c>
      <c r="H2718">
        <v>0.48539339999999997</v>
      </c>
      <c r="I2718">
        <v>278.87959999999998</v>
      </c>
      <c r="J2718">
        <v>-399.09969999999998</v>
      </c>
      <c r="K2718">
        <v>1.1213599999999999</v>
      </c>
      <c r="L2718">
        <v>284.36349999999999</v>
      </c>
      <c r="M2718">
        <v>-0.9998918</v>
      </c>
      <c r="N2718">
        <v>-1.4648629999999999E-2</v>
      </c>
      <c r="O2718">
        <v>-1.2934019999999999E-3</v>
      </c>
      <c r="P2718">
        <v>-0.9845159</v>
      </c>
      <c r="Q2718">
        <v>0.16851849999999999</v>
      </c>
      <c r="R2718">
        <v>4.8268129999999999E-2</v>
      </c>
      <c r="S2718">
        <v>-3.0574949999999999</v>
      </c>
      <c r="T2718">
        <v>-1.7182949999999999E-2</v>
      </c>
      <c r="U2718">
        <v>-0.1481934</v>
      </c>
      <c r="V2718">
        <v>4.9649800000000001E-2</v>
      </c>
      <c r="W2718">
        <v>0.1828921</v>
      </c>
      <c r="X2718">
        <v>0.98187849999999999</v>
      </c>
      <c r="Y2718">
        <v>-4.7117350000000002E-2</v>
      </c>
      <c r="Z2718">
        <v>-4.8932510000000002E-4</v>
      </c>
      <c r="AA2718">
        <v>0.99888929999999998</v>
      </c>
      <c r="AB2718">
        <v>35</v>
      </c>
      <c r="AC2718">
        <v>-112.8591</v>
      </c>
      <c r="AD2718">
        <v>-0.63596660000000005</v>
      </c>
      <c r="AE2718">
        <v>-5.4839000000000002</v>
      </c>
      <c r="AF2718">
        <v>-5.3377384584753704</v>
      </c>
      <c r="AG2718">
        <v>-0.63596660000000005</v>
      </c>
      <c r="AH2718">
        <v>112.862523857889</v>
      </c>
      <c r="AI2718">
        <v>90.322490879781697</v>
      </c>
      <c r="AJ2718">
        <v>92.707738233018404</v>
      </c>
      <c r="AK2718">
        <v>112.990465070908</v>
      </c>
      <c r="AL2718">
        <v>79.461738082468599</v>
      </c>
      <c r="AM2718">
        <v>87.105239481089299</v>
      </c>
      <c r="AN2718">
        <v>1.0000000058223499</v>
      </c>
    </row>
    <row r="2719" spans="1:40" x14ac:dyDescent="0.25">
      <c r="A2719" t="str">
        <f>"20190303170309941"</f>
        <v>20190303170309941</v>
      </c>
      <c r="B2719" t="str">
        <f>"1551603789928103"</f>
        <v>1551603789928103</v>
      </c>
      <c r="C2719" t="s">
        <v>40</v>
      </c>
      <c r="D2719">
        <v>4.1416430000000002</v>
      </c>
      <c r="E2719">
        <v>0.46723579999999998</v>
      </c>
      <c r="F2719" t="s">
        <v>66</v>
      </c>
      <c r="G2719">
        <v>-511.9588</v>
      </c>
      <c r="H2719">
        <v>0.4632057</v>
      </c>
      <c r="I2719">
        <v>278.82369999999997</v>
      </c>
      <c r="J2719">
        <v>-399.3297</v>
      </c>
      <c r="K2719">
        <v>1.1213569999999999</v>
      </c>
      <c r="L2719">
        <v>284.36340000000001</v>
      </c>
      <c r="M2719">
        <v>-0.99989209999999995</v>
      </c>
      <c r="N2719">
        <v>-1.464612E-2</v>
      </c>
      <c r="O2719">
        <v>-1.1232340000000001E-3</v>
      </c>
      <c r="P2719">
        <v>-0.98454120000000001</v>
      </c>
      <c r="Q2719">
        <v>0.16825129999999999</v>
      </c>
      <c r="R2719">
        <v>4.8684720000000001E-2</v>
      </c>
      <c r="S2719">
        <v>-3.057617</v>
      </c>
      <c r="T2719">
        <v>-1.7828699999999999E-2</v>
      </c>
      <c r="U2719">
        <v>-0.15008540000000001</v>
      </c>
      <c r="V2719">
        <v>4.9900140000000003E-2</v>
      </c>
      <c r="W2719">
        <v>0.18262249999999999</v>
      </c>
      <c r="X2719">
        <v>0.98191600000000001</v>
      </c>
      <c r="Y2719">
        <v>-4.7901880000000001E-2</v>
      </c>
      <c r="Z2719">
        <v>-5.0049619999999997E-4</v>
      </c>
      <c r="AA2719">
        <v>0.99885190000000001</v>
      </c>
      <c r="AB2719">
        <v>35</v>
      </c>
      <c r="AC2719">
        <v>-112.62909999999999</v>
      </c>
      <c r="AD2719">
        <v>-0.658151299999999</v>
      </c>
      <c r="AE2719">
        <v>-5.53970000000003</v>
      </c>
      <c r="AF2719">
        <v>-5.4129897078941296</v>
      </c>
      <c r="AG2719">
        <v>-0.658151299999999</v>
      </c>
      <c r="AH2719">
        <v>112.631415259327</v>
      </c>
      <c r="AI2719">
        <v>90.334412834278496</v>
      </c>
      <c r="AJ2719">
        <v>92.751479386815802</v>
      </c>
      <c r="AK2719">
        <v>112.763333242817</v>
      </c>
      <c r="AL2719">
        <v>79.477449748827198</v>
      </c>
      <c r="AM2719">
        <v>87.090779696943599</v>
      </c>
      <c r="AN2719">
        <v>1.0000000162671301</v>
      </c>
    </row>
    <row r="2720" spans="1:40" x14ac:dyDescent="0.25">
      <c r="A2720" t="str">
        <f>"20190303170309957"</f>
        <v>20190303170309957</v>
      </c>
      <c r="B2720" t="str">
        <f>"1551603789948598"</f>
        <v>1551603789948598</v>
      </c>
      <c r="C2720" t="s">
        <v>40</v>
      </c>
      <c r="D2720">
        <v>4.1164350000000001</v>
      </c>
      <c r="E2720">
        <v>0.46741070000000001</v>
      </c>
      <c r="F2720" t="s">
        <v>66</v>
      </c>
      <c r="G2720">
        <v>-511.9588</v>
      </c>
      <c r="H2720">
        <v>0.41924109999999998</v>
      </c>
      <c r="I2720">
        <v>278.85770000000002</v>
      </c>
      <c r="J2720">
        <v>-399.57889999999998</v>
      </c>
      <c r="K2720">
        <v>1.121351</v>
      </c>
      <c r="L2720">
        <v>284.36329999999998</v>
      </c>
      <c r="M2720">
        <v>-0.99989240000000001</v>
      </c>
      <c r="N2720">
        <v>-1.46433E-2</v>
      </c>
      <c r="O2720">
        <v>-9.3696230000000005E-4</v>
      </c>
      <c r="P2720">
        <v>-0.9845062</v>
      </c>
      <c r="Q2720">
        <v>0.16837669999999999</v>
      </c>
      <c r="R2720">
        <v>4.8959950000000002E-2</v>
      </c>
      <c r="S2720">
        <v>-3.0577700000000001</v>
      </c>
      <c r="T2720">
        <v>-1.905954E-2</v>
      </c>
      <c r="U2720">
        <v>-0.1494751</v>
      </c>
      <c r="V2720">
        <v>4.9993469999999998E-2</v>
      </c>
      <c r="W2720">
        <v>0.18274389999999999</v>
      </c>
      <c r="X2720">
        <v>0.98188869999999895</v>
      </c>
      <c r="Y2720">
        <v>-4.7886350000000001E-2</v>
      </c>
      <c r="Z2720">
        <v>-5.0787369999999996E-4</v>
      </c>
      <c r="AA2720">
        <v>0.99885270000000004</v>
      </c>
      <c r="AB2720">
        <v>35</v>
      </c>
      <c r="AC2720">
        <v>-112.37990000000001</v>
      </c>
      <c r="AD2720">
        <v>-0.70210989999999995</v>
      </c>
      <c r="AE2720">
        <v>-5.5055999999999496</v>
      </c>
      <c r="AF2720">
        <v>-5.4000802912995898</v>
      </c>
      <c r="AG2720">
        <v>-0.70210989999999995</v>
      </c>
      <c r="AH2720">
        <v>112.38063369272299</v>
      </c>
      <c r="AI2720">
        <v>90.357544257715901</v>
      </c>
      <c r="AJ2720">
        <v>92.751043451203401</v>
      </c>
      <c r="AK2720">
        <v>112.512491104953</v>
      </c>
      <c r="AL2720">
        <v>79.470375341080398</v>
      </c>
      <c r="AM2720">
        <v>87.085266954706896</v>
      </c>
      <c r="AN2720">
        <v>1.00000004960876</v>
      </c>
    </row>
    <row r="2721" spans="1:40" x14ac:dyDescent="0.25">
      <c r="A2721" t="str">
        <f>"20190303170309971"</f>
        <v>20190303170309971</v>
      </c>
      <c r="B2721" t="str">
        <f>"1551603789957890"</f>
        <v>1551603789957890</v>
      </c>
      <c r="C2721" t="s">
        <v>40</v>
      </c>
      <c r="D2721">
        <v>4.1213709999999999</v>
      </c>
      <c r="E2721">
        <v>0.46738089999999999</v>
      </c>
      <c r="F2721" t="s">
        <v>66</v>
      </c>
      <c r="G2721">
        <v>-511.9588</v>
      </c>
      <c r="H2721">
        <v>0.4230486</v>
      </c>
      <c r="I2721">
        <v>278.96510000000001</v>
      </c>
      <c r="J2721">
        <v>-399.81099999999998</v>
      </c>
      <c r="K2721">
        <v>1.121343</v>
      </c>
      <c r="L2721">
        <v>284.36320000000001</v>
      </c>
      <c r="M2721">
        <v>-0.99989280000000003</v>
      </c>
      <c r="N2721">
        <v>-1.464064E-2</v>
      </c>
      <c r="O2721">
        <v>-7.6045889999999997E-4</v>
      </c>
      <c r="P2721">
        <v>-0.98447359999999995</v>
      </c>
      <c r="Q2721">
        <v>0.168466</v>
      </c>
      <c r="R2721">
        <v>4.9310319999999998E-2</v>
      </c>
      <c r="S2721">
        <v>-3.0577700000000001</v>
      </c>
      <c r="T2721">
        <v>-1.8998029999999999E-2</v>
      </c>
      <c r="U2721">
        <v>-0.14688109999999999</v>
      </c>
      <c r="V2721">
        <v>5.0171739999999999E-2</v>
      </c>
      <c r="W2721">
        <v>0.18282979999999999</v>
      </c>
      <c r="X2721">
        <v>0.98186359999999995</v>
      </c>
      <c r="Y2721">
        <v>-4.7217339999999997E-2</v>
      </c>
      <c r="Z2721">
        <v>-4.9887640000000001E-4</v>
      </c>
      <c r="AA2721">
        <v>0.99888449999999995</v>
      </c>
      <c r="AB2721">
        <v>35</v>
      </c>
      <c r="AC2721">
        <v>-112.1478</v>
      </c>
      <c r="AD2721">
        <v>-0.69829439999999998</v>
      </c>
      <c r="AE2721">
        <v>-5.3981000000000003</v>
      </c>
      <c r="AF2721">
        <v>-5.3126000341420498</v>
      </c>
      <c r="AG2721">
        <v>-0.69829439999999998</v>
      </c>
      <c r="AH2721">
        <v>112.14753513015501</v>
      </c>
      <c r="AI2721">
        <v>90.356351928241907</v>
      </c>
      <c r="AJ2721">
        <v>92.712161050009001</v>
      </c>
      <c r="AK2721">
        <v>112.27546913712401</v>
      </c>
      <c r="AL2721">
        <v>79.465369129950702</v>
      </c>
      <c r="AM2721">
        <v>87.074816779915807</v>
      </c>
      <c r="AN2721">
        <v>1.00000003413381</v>
      </c>
    </row>
    <row r="2722" spans="1:40" x14ac:dyDescent="0.25">
      <c r="A2722" t="str">
        <f>"20190303170309994"</f>
        <v>20190303170309994</v>
      </c>
      <c r="B2722" t="str">
        <f>"1551603789988148"</f>
        <v>1551603789988148</v>
      </c>
      <c r="C2722" t="s">
        <v>40</v>
      </c>
      <c r="D2722">
        <v>4.1505380000000001</v>
      </c>
      <c r="E2722">
        <v>0.46715069999999997</v>
      </c>
      <c r="F2722" t="s">
        <v>66</v>
      </c>
      <c r="G2722">
        <v>-511.9588</v>
      </c>
      <c r="H2722">
        <v>0.43511830000000001</v>
      </c>
      <c r="I2722">
        <v>279.00749999999999</v>
      </c>
      <c r="J2722">
        <v>-400.15</v>
      </c>
      <c r="K2722">
        <v>1.1213360000000001</v>
      </c>
      <c r="L2722">
        <v>284.36320000000001</v>
      </c>
      <c r="M2722">
        <v>-0.99989289999999997</v>
      </c>
      <c r="N2722">
        <v>-1.463681E-2</v>
      </c>
      <c r="O2722">
        <v>-4.9627880000000001E-4</v>
      </c>
      <c r="P2722">
        <v>-0.98437240000000004</v>
      </c>
      <c r="Q2722">
        <v>0.16903119999999999</v>
      </c>
      <c r="R2722">
        <v>4.9393359999999997E-2</v>
      </c>
      <c r="S2722">
        <v>-3.0577999999999999</v>
      </c>
      <c r="T2722">
        <v>-1.8708229999999999E-2</v>
      </c>
      <c r="U2722">
        <v>-0.14602660000000001</v>
      </c>
      <c r="V2722">
        <v>4.9998010000000002E-2</v>
      </c>
      <c r="W2722">
        <v>0.183389</v>
      </c>
      <c r="X2722">
        <v>0.98176810000000003</v>
      </c>
      <c r="Y2722">
        <v>-4.7202330000000001E-2</v>
      </c>
      <c r="Z2722">
        <v>-4.9421060000000001E-4</v>
      </c>
      <c r="AA2722">
        <v>0.99888520000000003</v>
      </c>
      <c r="AB2722">
        <v>35</v>
      </c>
      <c r="AC2722">
        <v>-111.80880000000001</v>
      </c>
      <c r="AD2722">
        <v>-0.68621769999999904</v>
      </c>
      <c r="AE2722">
        <v>-5.3557000000000103</v>
      </c>
      <c r="AF2722">
        <v>-5.3000058833481001</v>
      </c>
      <c r="AG2722">
        <v>-0.68621769999999904</v>
      </c>
      <c r="AH2722">
        <v>111.807242525658</v>
      </c>
      <c r="AI2722">
        <v>90.351254403370305</v>
      </c>
      <c r="AJ2722">
        <v>92.713963920440506</v>
      </c>
      <c r="AK2722">
        <v>111.9348937476</v>
      </c>
      <c r="AL2722">
        <v>79.432777555730496</v>
      </c>
      <c r="AM2722">
        <v>87.084645259466399</v>
      </c>
      <c r="AN2722">
        <v>0.99999996425128401</v>
      </c>
    </row>
    <row r="2723" spans="1:40" x14ac:dyDescent="0.25">
      <c r="A2723" t="str">
        <f>"20190303170310017"</f>
        <v>20190303170310017</v>
      </c>
      <c r="B2723" t="str">
        <f>"1551603790008643"</f>
        <v>1551603790008643</v>
      </c>
      <c r="C2723" t="s">
        <v>40</v>
      </c>
      <c r="D2723">
        <v>4.1351599999999999</v>
      </c>
      <c r="E2723">
        <v>0.46705970000000002</v>
      </c>
      <c r="F2723" t="s">
        <v>66</v>
      </c>
      <c r="G2723">
        <v>-511.9588</v>
      </c>
      <c r="H2723">
        <v>0.53095539999999997</v>
      </c>
      <c r="I2723">
        <v>278.98020000000002</v>
      </c>
      <c r="J2723">
        <v>-400.48750000000001</v>
      </c>
      <c r="K2723">
        <v>1.1213360000000001</v>
      </c>
      <c r="L2723">
        <v>284.36329999999998</v>
      </c>
      <c r="M2723">
        <v>-0.99989300000000003</v>
      </c>
      <c r="N2723">
        <v>-1.463302E-2</v>
      </c>
      <c r="O2723">
        <v>-2.1990249999999999E-4</v>
      </c>
      <c r="P2723">
        <v>-0.98436029999999997</v>
      </c>
      <c r="Q2723">
        <v>0.16912460000000001</v>
      </c>
      <c r="R2723">
        <v>4.9312429999999997E-2</v>
      </c>
      <c r="S2723">
        <v>-3.0578310000000002</v>
      </c>
      <c r="T2723">
        <v>-1.6143919999999999E-2</v>
      </c>
      <c r="U2723">
        <v>-0.14721679999999901</v>
      </c>
      <c r="V2723">
        <v>4.9649159999999998E-2</v>
      </c>
      <c r="W2723">
        <v>0.18347810000000001</v>
      </c>
      <c r="X2723">
        <v>0.98176920000000001</v>
      </c>
      <c r="Y2723">
        <v>-4.7866310000000002E-2</v>
      </c>
      <c r="Z2723">
        <v>-4.7878290000000001E-4</v>
      </c>
      <c r="AA2723">
        <v>0.99885360000000001</v>
      </c>
      <c r="AB2723">
        <v>35</v>
      </c>
      <c r="AC2723">
        <v>-111.4713</v>
      </c>
      <c r="AD2723">
        <v>-0.59038060000000003</v>
      </c>
      <c r="AE2723">
        <v>-5.38309999999995</v>
      </c>
      <c r="AF2723">
        <v>-5.3584344735426797</v>
      </c>
      <c r="AG2723">
        <v>-0.59038060000000003</v>
      </c>
      <c r="AH2723">
        <v>111.46936171006099</v>
      </c>
      <c r="AI2723">
        <v>90.303105583751105</v>
      </c>
      <c r="AJ2723">
        <v>92.752142090743007</v>
      </c>
      <c r="AK2723">
        <v>111.599641438978</v>
      </c>
      <c r="AL2723">
        <v>79.4275848433942</v>
      </c>
      <c r="AM2723">
        <v>87.104955011651896</v>
      </c>
      <c r="AN2723">
        <v>1.00000000716847</v>
      </c>
    </row>
    <row r="2724" spans="1:40" x14ac:dyDescent="0.25">
      <c r="A2724" t="str">
        <f>"20190303170310031"</f>
        <v>20190303170310031</v>
      </c>
      <c r="B2724" t="str">
        <f>"1551603790018659"</f>
        <v>1551603790018659</v>
      </c>
      <c r="C2724" t="s">
        <v>40</v>
      </c>
      <c r="D2724">
        <v>4.0890919999999999</v>
      </c>
      <c r="E2724">
        <v>0.46700819999999998</v>
      </c>
      <c r="F2724" t="s">
        <v>66</v>
      </c>
      <c r="G2724">
        <v>-511.9588</v>
      </c>
      <c r="H2724">
        <v>0.55119059999999998</v>
      </c>
      <c r="I2724">
        <v>278.95760000000001</v>
      </c>
      <c r="J2724">
        <v>-400.71589999999998</v>
      </c>
      <c r="K2724">
        <v>1.1213329999999999</v>
      </c>
      <c r="L2724">
        <v>284.36349999999999</v>
      </c>
      <c r="M2724">
        <v>-0.99989300000000003</v>
      </c>
      <c r="N2724">
        <v>-1.463046E-2</v>
      </c>
      <c r="O2724" s="1">
        <v>-2.438179E-5</v>
      </c>
      <c r="P2724">
        <v>-0.98435850000000003</v>
      </c>
      <c r="Q2724">
        <v>0.16920550000000001</v>
      </c>
      <c r="R2724">
        <v>4.9071999999999998E-2</v>
      </c>
      <c r="S2724">
        <v>-3.0577700000000001</v>
      </c>
      <c r="T2724">
        <v>-1.5637399999999999E-2</v>
      </c>
      <c r="U2724">
        <v>-0.1482849</v>
      </c>
      <c r="V2724">
        <v>4.9219659999999998E-2</v>
      </c>
      <c r="W2724">
        <v>0.18355589999999999</v>
      </c>
      <c r="X2724">
        <v>0.98177630000000005</v>
      </c>
      <c r="Y2724">
        <v>-4.8410750000000002E-2</v>
      </c>
      <c r="Z2724">
        <v>-4.7831600000000001E-4</v>
      </c>
      <c r="AA2724">
        <v>0.99882740000000003</v>
      </c>
      <c r="AB2724">
        <v>34</v>
      </c>
      <c r="AC2724">
        <v>-111.24290000000001</v>
      </c>
      <c r="AD2724">
        <v>-0.57014239999999905</v>
      </c>
      <c r="AE2724">
        <v>-5.4058999999999697</v>
      </c>
      <c r="AF2724">
        <v>-5.4030458158943304</v>
      </c>
      <c r="AG2724">
        <v>-0.57014239999999905</v>
      </c>
      <c r="AH2724">
        <v>111.240116648507</v>
      </c>
      <c r="AI2724">
        <v>90.293311482008704</v>
      </c>
      <c r="AJ2724">
        <v>92.7807290542586</v>
      </c>
      <c r="AK2724">
        <v>111.37271442511501</v>
      </c>
      <c r="AL2724">
        <v>79.4230503907078</v>
      </c>
      <c r="AM2724">
        <v>87.129977844154197</v>
      </c>
      <c r="AN2724">
        <v>1.0000000232985</v>
      </c>
    </row>
    <row r="2725" spans="1:40" x14ac:dyDescent="0.25">
      <c r="A2725" t="str">
        <f>"20190303170310045"</f>
        <v>20190303170310045</v>
      </c>
      <c r="B2725" t="str">
        <f>"1551603790037924"</f>
        <v>1551603790037924</v>
      </c>
      <c r="C2725" t="s">
        <v>40</v>
      </c>
      <c r="D2725">
        <v>4.1332240000000002</v>
      </c>
      <c r="E2725">
        <v>0.4667983</v>
      </c>
      <c r="F2725" t="s">
        <v>66</v>
      </c>
      <c r="G2725">
        <v>-511.9588</v>
      </c>
      <c r="H2725">
        <v>0.56319259999999904</v>
      </c>
      <c r="I2725">
        <v>278.93770000000001</v>
      </c>
      <c r="J2725">
        <v>-400.93680000000001</v>
      </c>
      <c r="K2725">
        <v>1.121327</v>
      </c>
      <c r="L2725">
        <v>284.36360000000002</v>
      </c>
      <c r="M2725">
        <v>-0.99989300000000003</v>
      </c>
      <c r="N2725">
        <v>-1.462801E-2</v>
      </c>
      <c r="O2725">
        <v>1.704202E-4</v>
      </c>
      <c r="P2725">
        <v>-0.98433700000000002</v>
      </c>
      <c r="Q2725">
        <v>0.16926079999999999</v>
      </c>
      <c r="R2725">
        <v>4.931137E-2</v>
      </c>
      <c r="S2725">
        <v>-3.0577390000000002</v>
      </c>
      <c r="T2725">
        <v>-1.533937E-2</v>
      </c>
      <c r="U2725">
        <v>-0.14913940000000001</v>
      </c>
      <c r="V2725">
        <v>4.927057E-2</v>
      </c>
      <c r="W2725">
        <v>0.1836074</v>
      </c>
      <c r="X2725">
        <v>0.98176410000000003</v>
      </c>
      <c r="Y2725">
        <v>-4.888431E-2</v>
      </c>
      <c r="Z2725">
        <v>-4.7868539999999999E-4</v>
      </c>
      <c r="AA2725">
        <v>0.99880429999999998</v>
      </c>
      <c r="AB2725">
        <v>34</v>
      </c>
      <c r="AC2725">
        <v>-111.02200000000001</v>
      </c>
      <c r="AD2725">
        <v>-0.55813440000000003</v>
      </c>
      <c r="AE2725">
        <v>-5.4259000000000102</v>
      </c>
      <c r="AF2725">
        <v>-5.44468506056596</v>
      </c>
      <c r="AG2725">
        <v>-0.55813440000000003</v>
      </c>
      <c r="AH2725">
        <v>111.018274508956</v>
      </c>
      <c r="AI2725">
        <v>90.287701176554194</v>
      </c>
      <c r="AJ2725">
        <v>92.807715456244694</v>
      </c>
      <c r="AK2725">
        <v>111.15310784842301</v>
      </c>
      <c r="AL2725">
        <v>79.420048469797095</v>
      </c>
      <c r="AM2725">
        <v>87.126978586729095</v>
      </c>
      <c r="AN2725">
        <v>1.0000000072258399</v>
      </c>
    </row>
    <row r="2726" spans="1:40" x14ac:dyDescent="0.25">
      <c r="A2726" t="str">
        <f>"20190303170310060"</f>
        <v>20190303170310060</v>
      </c>
      <c r="B2726" t="str">
        <f>"1551603790048660"</f>
        <v>1551603790048660</v>
      </c>
      <c r="C2726" t="s">
        <v>40</v>
      </c>
      <c r="D2726">
        <v>4.1227269999999896</v>
      </c>
      <c r="E2726">
        <v>0.46670450000000002</v>
      </c>
      <c r="F2726" t="s">
        <v>66</v>
      </c>
      <c r="G2726">
        <v>-511.9588</v>
      </c>
      <c r="H2726">
        <v>0.57754700000000003</v>
      </c>
      <c r="I2726">
        <v>278.91890000000001</v>
      </c>
      <c r="J2726">
        <v>-401.1651</v>
      </c>
      <c r="K2726">
        <v>1.1213229999999901</v>
      </c>
      <c r="L2726">
        <v>284.3639</v>
      </c>
      <c r="M2726">
        <v>-0.99989309999999998</v>
      </c>
      <c r="N2726">
        <v>-1.462549E-2</v>
      </c>
      <c r="O2726">
        <v>3.7655119999999999E-4</v>
      </c>
      <c r="P2726">
        <v>-0.98422750000000003</v>
      </c>
      <c r="Q2726">
        <v>0.1698769</v>
      </c>
      <c r="R2726">
        <v>4.938058E-2</v>
      </c>
      <c r="S2726">
        <v>-3.0578310000000002</v>
      </c>
      <c r="T2726">
        <v>-1.497483E-2</v>
      </c>
      <c r="U2726">
        <v>-0.1499634</v>
      </c>
      <c r="V2726">
        <v>4.9140910000000003E-2</v>
      </c>
      <c r="W2726">
        <v>0.1842191</v>
      </c>
      <c r="X2726">
        <v>0.98165599999999997</v>
      </c>
      <c r="Y2726">
        <v>-4.93573E-2</v>
      </c>
      <c r="Z2726">
        <v>-4.7830380000000002E-4</v>
      </c>
      <c r="AA2726">
        <v>0.99878109999999998</v>
      </c>
      <c r="AB2726">
        <v>34</v>
      </c>
      <c r="AC2726">
        <v>-110.7937</v>
      </c>
      <c r="AD2726">
        <v>-0.54377599999999904</v>
      </c>
      <c r="AE2726">
        <v>-5.4449999999999896</v>
      </c>
      <c r="AF2726">
        <v>-5.48659172653411</v>
      </c>
      <c r="AG2726">
        <v>-0.54377599999999904</v>
      </c>
      <c r="AH2726">
        <v>110.788979291968</v>
      </c>
      <c r="AI2726">
        <v>90.280873471847201</v>
      </c>
      <c r="AJ2726">
        <v>92.835137026922098</v>
      </c>
      <c r="AK2726">
        <v>110.926084910935</v>
      </c>
      <c r="AL2726">
        <v>79.384392403883496</v>
      </c>
      <c r="AM2726">
        <v>87.134211567295395</v>
      </c>
      <c r="AN2726">
        <v>1.00000000408821</v>
      </c>
    </row>
    <row r="2727" spans="1:40" x14ac:dyDescent="0.25">
      <c r="A2727" t="str">
        <f>"20190303170310075"</f>
        <v>20190303170310075</v>
      </c>
      <c r="B2727" t="str">
        <f>"1551603790068179"</f>
        <v>1551603790068179</v>
      </c>
      <c r="C2727" t="s">
        <v>40</v>
      </c>
      <c r="D2727">
        <v>4.1312179999999996</v>
      </c>
      <c r="E2727">
        <v>0.4665087</v>
      </c>
      <c r="F2727" t="s">
        <v>66</v>
      </c>
      <c r="G2727">
        <v>-511.9588</v>
      </c>
      <c r="H2727">
        <v>0.65882229999999997</v>
      </c>
      <c r="I2727">
        <v>278.91370000000001</v>
      </c>
      <c r="J2727">
        <v>-401.39069999999998</v>
      </c>
      <c r="K2727">
        <v>1.1213200000000001</v>
      </c>
      <c r="L2727">
        <v>284.36419999999998</v>
      </c>
      <c r="M2727">
        <v>-0.99989300000000003</v>
      </c>
      <c r="N2727">
        <v>-1.462302E-2</v>
      </c>
      <c r="O2727">
        <v>5.8500339999999998E-4</v>
      </c>
      <c r="P2727">
        <v>-0.984178</v>
      </c>
      <c r="Q2727">
        <v>0.17005880000000001</v>
      </c>
      <c r="R2727">
        <v>4.9738589999999999E-2</v>
      </c>
      <c r="S2727">
        <v>-3.0578310000000002</v>
      </c>
      <c r="T2727">
        <v>-1.276243E-2</v>
      </c>
      <c r="U2727">
        <v>-0.1504211</v>
      </c>
      <c r="V2727">
        <v>4.9297250000000001E-2</v>
      </c>
      <c r="W2727">
        <v>0.18439720000000001</v>
      </c>
      <c r="X2727">
        <v>0.98161469999999995</v>
      </c>
      <c r="Y2727">
        <v>-4.9715059999999998E-2</v>
      </c>
      <c r="Z2727">
        <v>-4.6131310000000001E-4</v>
      </c>
      <c r="AA2727">
        <v>0.99876330000000002</v>
      </c>
      <c r="AB2727">
        <v>34</v>
      </c>
      <c r="AC2727">
        <v>-110.5681</v>
      </c>
      <c r="AD2727">
        <v>-0.46249770000000001</v>
      </c>
      <c r="AE2727">
        <v>-5.4504999999999697</v>
      </c>
      <c r="AF2727">
        <v>-5.5150924295596004</v>
      </c>
      <c r="AG2727">
        <v>-0.46249770000000001</v>
      </c>
      <c r="AH2727">
        <v>110.562962362216</v>
      </c>
      <c r="AI2727">
        <v>90.239375875970296</v>
      </c>
      <c r="AJ2727">
        <v>92.855656358301701</v>
      </c>
      <c r="AK2727">
        <v>110.701394728964</v>
      </c>
      <c r="AL2727">
        <v>79.374009932825999</v>
      </c>
      <c r="AM2727">
        <v>87.124988683919696</v>
      </c>
      <c r="AN2727">
        <v>0.99999998274074597</v>
      </c>
    </row>
    <row r="2728" spans="1:40" x14ac:dyDescent="0.25">
      <c r="A2728" t="str">
        <f>"20190303170310093"</f>
        <v>20190303170310093</v>
      </c>
      <c r="B2728" t="str">
        <f>"1551603790087699"</f>
        <v>1551603790087699</v>
      </c>
      <c r="C2728" t="s">
        <v>40</v>
      </c>
      <c r="D2728">
        <v>4.1105749999999999</v>
      </c>
      <c r="E2728">
        <v>0.46635599999999999</v>
      </c>
      <c r="F2728" t="s">
        <v>66</v>
      </c>
      <c r="G2728">
        <v>-511.95890000000003</v>
      </c>
      <c r="H2728">
        <v>0.71137980000000001</v>
      </c>
      <c r="I2728">
        <v>278.89420000000001</v>
      </c>
      <c r="J2728">
        <v>-401.68520000000001</v>
      </c>
      <c r="K2728">
        <v>1.121318</v>
      </c>
      <c r="L2728">
        <v>284.3646</v>
      </c>
      <c r="M2728">
        <v>-0.99989280000000003</v>
      </c>
      <c r="N2728">
        <v>-1.4619899999999899E-2</v>
      </c>
      <c r="O2728">
        <v>8.6707799999999997E-4</v>
      </c>
      <c r="P2728">
        <v>-0.98391910000000005</v>
      </c>
      <c r="Q2728">
        <v>0.171457</v>
      </c>
      <c r="R2728">
        <v>5.0056929999999999E-2</v>
      </c>
      <c r="S2728">
        <v>-3.0578310000000002</v>
      </c>
      <c r="T2728">
        <v>-1.13348999999999E-2</v>
      </c>
      <c r="U2728">
        <v>-0.15127560000000001</v>
      </c>
      <c r="V2728">
        <v>4.9342900000000002E-2</v>
      </c>
      <c r="W2728">
        <v>0.18578700000000001</v>
      </c>
      <c r="X2728">
        <v>0.98135030000000001</v>
      </c>
      <c r="Y2728">
        <v>-5.0275460000000001E-2</v>
      </c>
      <c r="Z2728">
        <v>-4.5142830000000002E-4</v>
      </c>
      <c r="AA2728">
        <v>0.99873529999999999</v>
      </c>
      <c r="AB2728">
        <v>34</v>
      </c>
      <c r="AC2728">
        <v>-110.27370000000001</v>
      </c>
      <c r="AD2728">
        <v>-0.40993819999999898</v>
      </c>
      <c r="AE2728">
        <v>-5.4703999999999802</v>
      </c>
      <c r="AF2728">
        <v>-5.5659473277047704</v>
      </c>
      <c r="AG2728">
        <v>-0.40993819999999898</v>
      </c>
      <c r="AH2728">
        <v>110.26739466628101</v>
      </c>
      <c r="AI2728">
        <v>90.212735194788607</v>
      </c>
      <c r="AJ2728">
        <v>92.889656166180004</v>
      </c>
      <c r="AK2728">
        <v>110.40854199504599</v>
      </c>
      <c r="AL2728">
        <v>79.292980025839299</v>
      </c>
      <c r="AM2728">
        <v>87.121556841333401</v>
      </c>
      <c r="AN2728">
        <v>0.99999997122974904</v>
      </c>
    </row>
    <row r="2729" spans="1:40" x14ac:dyDescent="0.25">
      <c r="A2729" t="str">
        <f>"20190303170310106"</f>
        <v>20190303170310106</v>
      </c>
      <c r="B2729" t="str">
        <f>"1551603790098435"</f>
        <v>1551603790098435</v>
      </c>
      <c r="C2729" t="s">
        <v>40</v>
      </c>
      <c r="D2729">
        <v>4.1139859999999997</v>
      </c>
      <c r="E2729">
        <v>0.4663003</v>
      </c>
      <c r="F2729" t="s">
        <v>66</v>
      </c>
      <c r="G2729">
        <v>-511.95890000000003</v>
      </c>
      <c r="H2729">
        <v>0.88636000000000004</v>
      </c>
      <c r="I2729">
        <v>278.91359999999997</v>
      </c>
      <c r="J2729">
        <v>-401.86919999999998</v>
      </c>
      <c r="K2729">
        <v>1.1213150000000001</v>
      </c>
      <c r="L2729">
        <v>284.36500000000001</v>
      </c>
      <c r="M2729">
        <v>-0.99989269999999997</v>
      </c>
      <c r="N2729">
        <v>-1.46179E-2</v>
      </c>
      <c r="O2729">
        <v>1.0471600000000001E-3</v>
      </c>
      <c r="P2729">
        <v>-0.98389099999999996</v>
      </c>
      <c r="Q2729">
        <v>0.17151179999999999</v>
      </c>
      <c r="R2729">
        <v>5.0426199999999997E-2</v>
      </c>
      <c r="S2729">
        <v>-3.0578310000000002</v>
      </c>
      <c r="T2729">
        <v>-6.5129999999999997E-3</v>
      </c>
      <c r="U2729">
        <v>-0.1511536</v>
      </c>
      <c r="V2729">
        <v>4.9536999999999998E-2</v>
      </c>
      <c r="W2729">
        <v>0.18583910000000001</v>
      </c>
      <c r="X2729">
        <v>0.9813307</v>
      </c>
      <c r="Y2729">
        <v>-5.0416330000000002E-2</v>
      </c>
      <c r="Z2729">
        <v>-4.0932760000000001E-4</v>
      </c>
      <c r="AA2729">
        <v>0.99872819999999995</v>
      </c>
      <c r="AB2729">
        <v>34</v>
      </c>
      <c r="AC2729">
        <v>-110.08969999999999</v>
      </c>
      <c r="AD2729">
        <v>-0.234955</v>
      </c>
      <c r="AE2729">
        <v>-5.4514000000000298</v>
      </c>
      <c r="AF2729">
        <v>-5.5666655551531603</v>
      </c>
      <c r="AG2729">
        <v>-0.234955</v>
      </c>
      <c r="AH2729">
        <v>110.083430341244</v>
      </c>
      <c r="AI2729">
        <v>90.122132192945202</v>
      </c>
      <c r="AJ2729">
        <v>92.8948498348893</v>
      </c>
      <c r="AK2729">
        <v>110.224337625365</v>
      </c>
      <c r="AL2729">
        <v>79.289942473601897</v>
      </c>
      <c r="AM2729">
        <v>87.110195454932096</v>
      </c>
      <c r="AN2729">
        <v>1.0000000141101499</v>
      </c>
    </row>
    <row r="2730" spans="1:40" x14ac:dyDescent="0.25">
      <c r="A2730" t="str">
        <f>"20190303170310119"</f>
        <v>20190303170310119</v>
      </c>
      <c r="B2730" t="str">
        <f>"1551603790108196"</f>
        <v>1551603790108196</v>
      </c>
      <c r="C2730" t="s">
        <v>40</v>
      </c>
      <c r="D2730">
        <v>4.1381920000000001</v>
      </c>
      <c r="E2730">
        <v>0.46628059999999899</v>
      </c>
      <c r="F2730" t="s">
        <v>66</v>
      </c>
      <c r="G2730">
        <v>-511.95890000000003</v>
      </c>
      <c r="H2730">
        <v>0.89932639999999997</v>
      </c>
      <c r="I2730">
        <v>278.94299999999998</v>
      </c>
      <c r="J2730">
        <v>-402.07010000000002</v>
      </c>
      <c r="K2730">
        <v>1.1213109999999999</v>
      </c>
      <c r="L2730">
        <v>284.36540000000002</v>
      </c>
      <c r="M2730">
        <v>-0.99989240000000001</v>
      </c>
      <c r="N2730">
        <v>-1.4615710000000001E-2</v>
      </c>
      <c r="O2730">
        <v>1.2451820000000001E-3</v>
      </c>
      <c r="P2730">
        <v>-0.98387990000000003</v>
      </c>
      <c r="Q2730">
        <v>0.17155879999999901</v>
      </c>
      <c r="R2730">
        <v>5.0481610000000003E-2</v>
      </c>
      <c r="S2730">
        <v>-3.057922</v>
      </c>
      <c r="T2730">
        <v>-6.1638359999999998E-3</v>
      </c>
      <c r="U2730">
        <v>-0.15060419999999999</v>
      </c>
      <c r="V2730">
        <v>4.9399520000000002E-2</v>
      </c>
      <c r="W2730">
        <v>0.18588360000000001</v>
      </c>
      <c r="X2730">
        <v>0.98132920000000001</v>
      </c>
      <c r="Y2730">
        <v>-5.043371E-2</v>
      </c>
      <c r="Z2730">
        <v>-4.0392610000000002E-4</v>
      </c>
      <c r="AA2730">
        <v>0.99872729999999998</v>
      </c>
      <c r="AB2730">
        <v>34</v>
      </c>
      <c r="AC2730">
        <v>-109.8888</v>
      </c>
      <c r="AD2730">
        <v>-0.2219846</v>
      </c>
      <c r="AE2730">
        <v>-5.4224000000000396</v>
      </c>
      <c r="AF2730">
        <v>-5.5592193391325297</v>
      </c>
      <c r="AG2730">
        <v>-0.2219846</v>
      </c>
      <c r="AH2730">
        <v>109.88151488679</v>
      </c>
      <c r="AI2730">
        <v>90.115601945660501</v>
      </c>
      <c r="AJ2730">
        <v>92.896287491617599</v>
      </c>
      <c r="AK2730">
        <v>110.022277337997</v>
      </c>
      <c r="AL2730">
        <v>79.287347575951898</v>
      </c>
      <c r="AM2730">
        <v>87.1181975919622</v>
      </c>
      <c r="AN2730">
        <v>1.0000000120489101</v>
      </c>
    </row>
    <row r="2731" spans="1:40" x14ac:dyDescent="0.25">
      <c r="A2731" t="str">
        <f>"20190303170310131"</f>
        <v>20190303170310131</v>
      </c>
      <c r="B2731" t="str">
        <f>"1551603790117955"</f>
        <v>1551603790117955</v>
      </c>
      <c r="C2731" t="s">
        <v>40</v>
      </c>
      <c r="D2731">
        <v>4.0819809999999999</v>
      </c>
      <c r="E2731">
        <v>0.46628629999999999</v>
      </c>
      <c r="F2731" t="s">
        <v>66</v>
      </c>
      <c r="G2731">
        <v>-511.95890000000003</v>
      </c>
      <c r="H2731">
        <v>0.89560249999999997</v>
      </c>
      <c r="I2731">
        <v>278.95339999999999</v>
      </c>
      <c r="J2731">
        <v>-402.26499999999999</v>
      </c>
      <c r="K2731">
        <v>1.121305</v>
      </c>
      <c r="L2731">
        <v>284.36579999999998</v>
      </c>
      <c r="M2731">
        <v>-0.99989240000000001</v>
      </c>
      <c r="N2731">
        <v>-1.4613559999999999E-2</v>
      </c>
      <c r="O2731">
        <v>1.43949299999999E-3</v>
      </c>
      <c r="P2731">
        <v>-0.98381350000000001</v>
      </c>
      <c r="Q2731">
        <v>0.17187469999999999</v>
      </c>
      <c r="R2731">
        <v>5.0701059999999999E-2</v>
      </c>
      <c r="S2731">
        <v>-3.0579830000000001</v>
      </c>
      <c r="T2731">
        <v>-6.2787529999999998E-3</v>
      </c>
      <c r="U2731">
        <v>-0.15060419999999999</v>
      </c>
      <c r="V2731">
        <v>4.9429479999999998E-2</v>
      </c>
      <c r="W2731">
        <v>0.186196</v>
      </c>
      <c r="X2731">
        <v>0.98126849999999999</v>
      </c>
      <c r="Y2731">
        <v>-5.0626780000000003E-2</v>
      </c>
      <c r="Z2731">
        <v>-4.0403789999999998E-4</v>
      </c>
      <c r="AA2731">
        <v>0.99871750000000004</v>
      </c>
      <c r="AB2731">
        <v>34</v>
      </c>
      <c r="AC2731">
        <v>-109.6939</v>
      </c>
      <c r="AD2731">
        <v>-0.2257025</v>
      </c>
      <c r="AE2731">
        <v>-5.4123999999999901</v>
      </c>
      <c r="AF2731">
        <v>-5.5702912959707396</v>
      </c>
      <c r="AG2731">
        <v>-0.2257025</v>
      </c>
      <c r="AH2731">
        <v>109.68553114817099</v>
      </c>
      <c r="AI2731">
        <v>90.117746969595302</v>
      </c>
      <c r="AJ2731">
        <v>92.907222424846694</v>
      </c>
      <c r="AK2731">
        <v>109.827113364582</v>
      </c>
      <c r="AL2731">
        <v>79.269130715991906</v>
      </c>
      <c r="AM2731">
        <v>87.116274703385898</v>
      </c>
      <c r="AN2731">
        <v>1.00000004650065</v>
      </c>
    </row>
    <row r="2732" spans="1:40" x14ac:dyDescent="0.25">
      <c r="A2732" t="str">
        <f>"20190303170310144"</f>
        <v>20190303170310144</v>
      </c>
      <c r="B2732" t="str">
        <f>"1551603790138451"</f>
        <v>1551603790138451</v>
      </c>
      <c r="C2732" t="s">
        <v>40</v>
      </c>
      <c r="D2732">
        <v>4.1004239999999896</v>
      </c>
      <c r="E2732">
        <v>0.46633469999999999</v>
      </c>
      <c r="F2732" t="s">
        <v>66</v>
      </c>
      <c r="G2732">
        <v>-511.95890000000003</v>
      </c>
      <c r="H2732">
        <v>0.92790660000000003</v>
      </c>
      <c r="I2732">
        <v>278.98219999999998</v>
      </c>
      <c r="J2732">
        <v>-402.44600000000003</v>
      </c>
      <c r="K2732">
        <v>1.121305</v>
      </c>
      <c r="L2732">
        <v>284.36619999999999</v>
      </c>
      <c r="M2732">
        <v>-0.999892</v>
      </c>
      <c r="N2732">
        <v>-1.4611549999999999E-2</v>
      </c>
      <c r="O2732">
        <v>1.6214510000000001E-3</v>
      </c>
      <c r="P2732">
        <v>-0.98373200000000005</v>
      </c>
      <c r="Q2732">
        <v>0.1722929</v>
      </c>
      <c r="R2732">
        <v>5.0856819999999997E-2</v>
      </c>
      <c r="S2732">
        <v>-3.0580750000000001</v>
      </c>
      <c r="T2732">
        <v>-5.3893329999999996E-3</v>
      </c>
      <c r="U2732">
        <v>-0.15008540000000001</v>
      </c>
      <c r="V2732">
        <v>4.9407649999999997E-2</v>
      </c>
      <c r="W2732">
        <v>0.1866111</v>
      </c>
      <c r="X2732">
        <v>0.98119069999999997</v>
      </c>
      <c r="Y2732">
        <v>-5.0638160000000002E-2</v>
      </c>
      <c r="Z2732">
        <v>-3.9396659999999998E-4</v>
      </c>
      <c r="AA2732">
        <v>0.99871699999999997</v>
      </c>
      <c r="AB2732">
        <v>34</v>
      </c>
      <c r="AC2732">
        <v>-109.5129</v>
      </c>
      <c r="AD2732">
        <v>-0.1933984</v>
      </c>
      <c r="AE2732">
        <v>-5.3840000000000101</v>
      </c>
      <c r="AF2732">
        <v>-5.5615643651741404</v>
      </c>
      <c r="AG2732">
        <v>-0.1933984</v>
      </c>
      <c r="AH2732">
        <v>109.50368449823399</v>
      </c>
      <c r="AI2732">
        <v>90.101061773499893</v>
      </c>
      <c r="AJ2732">
        <v>92.907487545132199</v>
      </c>
      <c r="AK2732">
        <v>109.644996784249</v>
      </c>
      <c r="AL2732">
        <v>79.244922494895604</v>
      </c>
      <c r="AM2732">
        <v>87.117317953134204</v>
      </c>
      <c r="AN2732">
        <v>1.0000000041441099</v>
      </c>
    </row>
    <row r="2733" spans="1:40" x14ac:dyDescent="0.25">
      <c r="A2733" t="str">
        <f>"20190303170310158"</f>
        <v>20190303170310158</v>
      </c>
      <c r="B2733" t="str">
        <f>"1551603790148211"</f>
        <v>1551603790148211</v>
      </c>
      <c r="C2733" t="s">
        <v>40</v>
      </c>
      <c r="D2733">
        <v>4.1086429999999998</v>
      </c>
      <c r="E2733">
        <v>0.46636270000000002</v>
      </c>
      <c r="F2733" t="s">
        <v>66</v>
      </c>
      <c r="G2733">
        <v>-511.959</v>
      </c>
      <c r="H2733">
        <v>0.96649770000000002</v>
      </c>
      <c r="I2733">
        <v>279.01119999999997</v>
      </c>
      <c r="J2733">
        <v>-402.67599999999999</v>
      </c>
      <c r="K2733">
        <v>1.1213010000000001</v>
      </c>
      <c r="L2733">
        <v>284.36680000000001</v>
      </c>
      <c r="M2733">
        <v>-0.99989159999999999</v>
      </c>
      <c r="N2733">
        <v>-1.460901E-2</v>
      </c>
      <c r="O2733">
        <v>1.8534809999999999E-3</v>
      </c>
      <c r="P2733">
        <v>-0.98361620000000005</v>
      </c>
      <c r="Q2733">
        <v>0.1729366</v>
      </c>
      <c r="R2733">
        <v>5.0914309999999997E-2</v>
      </c>
      <c r="S2733">
        <v>-3.0580750000000001</v>
      </c>
      <c r="T2733">
        <v>-4.3206210000000002E-3</v>
      </c>
      <c r="U2733">
        <v>-0.14953610000000001</v>
      </c>
      <c r="V2733">
        <v>4.9238789999999998E-2</v>
      </c>
      <c r="W2733">
        <v>0.18725059999999999</v>
      </c>
      <c r="X2733">
        <v>0.98107739999999999</v>
      </c>
      <c r="Y2733">
        <v>-5.0691069999999998E-2</v>
      </c>
      <c r="Z2733">
        <v>-3.818588E-4</v>
      </c>
      <c r="AA2733">
        <v>0.99871430000000005</v>
      </c>
      <c r="AB2733">
        <v>34</v>
      </c>
      <c r="AC2733">
        <v>-109.283</v>
      </c>
      <c r="AD2733">
        <v>-0.1548033</v>
      </c>
      <c r="AE2733">
        <v>-5.3556000000000301</v>
      </c>
      <c r="AF2733">
        <v>-5.5581552479220502</v>
      </c>
      <c r="AG2733">
        <v>-0.1548033</v>
      </c>
      <c r="AH2733">
        <v>109.27266594451</v>
      </c>
      <c r="AI2733">
        <v>90.081064354680095</v>
      </c>
      <c r="AJ2733">
        <v>92.911840909733399</v>
      </c>
      <c r="AK2733">
        <v>109.414041952768</v>
      </c>
      <c r="AL2733">
        <v>79.207624950259103</v>
      </c>
      <c r="AM2733">
        <v>87.126822316705102</v>
      </c>
      <c r="AN2733">
        <v>1.0000000552158901</v>
      </c>
    </row>
    <row r="2734" spans="1:40" x14ac:dyDescent="0.25">
      <c r="A2734" t="str">
        <f>"20190303170310172"</f>
        <v>20190303170310172</v>
      </c>
      <c r="B2734" t="str">
        <f>"1551603790157972"</f>
        <v>1551603790157972</v>
      </c>
      <c r="C2734" t="s">
        <v>40</v>
      </c>
      <c r="D2734">
        <v>4.1282959999999997</v>
      </c>
      <c r="E2734">
        <v>0.46634789999999998</v>
      </c>
      <c r="F2734" t="s">
        <v>66</v>
      </c>
      <c r="G2734">
        <v>-511.959</v>
      </c>
      <c r="H2734">
        <v>1.0335909999999999</v>
      </c>
      <c r="I2734">
        <v>279.0394</v>
      </c>
      <c r="J2734">
        <v>-402.89330000000001</v>
      </c>
      <c r="K2734">
        <v>1.1212979999999999</v>
      </c>
      <c r="L2734">
        <v>284.36739999999998</v>
      </c>
      <c r="M2734">
        <v>-0.99989119999999998</v>
      </c>
      <c r="N2734">
        <v>-1.4606620000000001E-2</v>
      </c>
      <c r="O2734">
        <v>2.0736349999999999E-3</v>
      </c>
      <c r="P2734">
        <v>-0.98380619999999996</v>
      </c>
      <c r="Q2734">
        <v>0.17181579999999999</v>
      </c>
      <c r="R2734">
        <v>5.1035759999999999E-2</v>
      </c>
      <c r="S2734">
        <v>-3.0581049999999999</v>
      </c>
      <c r="T2734">
        <v>-2.4521349999999998E-3</v>
      </c>
      <c r="U2734">
        <v>-0.1490784</v>
      </c>
      <c r="V2734">
        <v>4.9143180000000002E-2</v>
      </c>
      <c r="W2734">
        <v>0.18612999999999999</v>
      </c>
      <c r="X2734">
        <v>0.98129529999999998</v>
      </c>
      <c r="Y2734">
        <v>-5.0761569999999999E-2</v>
      </c>
      <c r="Z2734">
        <v>-3.6269740000000001E-4</v>
      </c>
      <c r="AA2734">
        <v>0.99871080000000001</v>
      </c>
      <c r="AB2734">
        <v>34</v>
      </c>
      <c r="AC2734">
        <v>-109.06570000000001</v>
      </c>
      <c r="AD2734">
        <v>-8.7706999999999896E-2</v>
      </c>
      <c r="AE2734">
        <v>-5.3279999999999701</v>
      </c>
      <c r="AF2734">
        <v>-5.55417153477174</v>
      </c>
      <c r="AG2734">
        <v>-8.7706999999999896E-2</v>
      </c>
      <c r="AH2734">
        <v>109.054345599024</v>
      </c>
      <c r="AI2734">
        <v>90.0460204955764</v>
      </c>
      <c r="AJ2734">
        <v>92.915572606805497</v>
      </c>
      <c r="AK2734">
        <v>109.19572705919801</v>
      </c>
      <c r="AL2734">
        <v>79.272978443242494</v>
      </c>
      <c r="AM2734">
        <v>87.133027721984107</v>
      </c>
      <c r="AN2734">
        <v>0.99999994742129905</v>
      </c>
    </row>
    <row r="2735" spans="1:40" x14ac:dyDescent="0.25">
      <c r="A2735" t="str">
        <f>"20190303170310194"</f>
        <v>20190303170310194</v>
      </c>
      <c r="B2735" t="str">
        <f>"1551603790188228"</f>
        <v>1551603790188228</v>
      </c>
      <c r="C2735" t="s">
        <v>40</v>
      </c>
      <c r="D2735">
        <v>4.1222820000000002</v>
      </c>
      <c r="E2735">
        <v>0.4662579</v>
      </c>
      <c r="F2735" t="s">
        <v>66</v>
      </c>
      <c r="G2735">
        <v>-511.95890000000003</v>
      </c>
      <c r="H2735">
        <v>0.907613</v>
      </c>
      <c r="I2735">
        <v>279.06150000000002</v>
      </c>
      <c r="J2735">
        <v>-403.22410000000002</v>
      </c>
      <c r="K2735">
        <v>1.121292</v>
      </c>
      <c r="L2735">
        <v>284.36840000000001</v>
      </c>
      <c r="M2735">
        <v>-0.99989059999999996</v>
      </c>
      <c r="N2735">
        <v>-1.460299E-2</v>
      </c>
      <c r="O2735">
        <v>2.4087689999999998E-3</v>
      </c>
      <c r="P2735">
        <v>-0.98388310000000001</v>
      </c>
      <c r="Q2735">
        <v>0.17130960000000001</v>
      </c>
      <c r="R2735">
        <v>5.1258280000000003E-2</v>
      </c>
      <c r="S2735">
        <v>-3.0581360000000002</v>
      </c>
      <c r="T2735">
        <v>-5.9893129999999996E-3</v>
      </c>
      <c r="U2735">
        <v>-0.14877319999999999</v>
      </c>
      <c r="V2735">
        <v>4.9036040000000003E-2</v>
      </c>
      <c r="W2735">
        <v>0.1856217</v>
      </c>
      <c r="X2735">
        <v>0.98139699999999996</v>
      </c>
      <c r="Y2735">
        <v>-5.0995890000000002E-2</v>
      </c>
      <c r="Z2735">
        <v>-3.9205559999999997E-4</v>
      </c>
      <c r="AA2735">
        <v>0.9986988</v>
      </c>
      <c r="AB2735">
        <v>34</v>
      </c>
      <c r="AC2735">
        <v>-108.73480000000001</v>
      </c>
      <c r="AD2735">
        <v>-0.21367900000000001</v>
      </c>
      <c r="AE2735">
        <v>-5.3068999999999802</v>
      </c>
      <c r="AF2735">
        <v>-5.5688080588040503</v>
      </c>
      <c r="AG2735">
        <v>-0.21367900000000001</v>
      </c>
      <c r="AH2735">
        <v>108.72128116680599</v>
      </c>
      <c r="AI2735">
        <v>90.112460600266004</v>
      </c>
      <c r="AJ2735">
        <v>92.932182167856695</v>
      </c>
      <c r="AK2735">
        <v>108.86401728974801</v>
      </c>
      <c r="AL2735">
        <v>79.302619097857502</v>
      </c>
      <c r="AM2735">
        <v>87.139563745442203</v>
      </c>
      <c r="AN2735">
        <v>1.00000001016938</v>
      </c>
    </row>
    <row r="2736" spans="1:40" x14ac:dyDescent="0.25">
      <c r="A2736" t="str">
        <f>"20190303170310207"</f>
        <v>20190303170310207</v>
      </c>
      <c r="B2736" t="str">
        <f>"1551603790197988"</f>
        <v>1551603790197988</v>
      </c>
      <c r="C2736" t="s">
        <v>40</v>
      </c>
      <c r="D2736">
        <v>4.1458370000000002</v>
      </c>
      <c r="E2736">
        <v>0.46620470000000003</v>
      </c>
      <c r="F2736" t="s">
        <v>66</v>
      </c>
      <c r="G2736">
        <v>-511.95890000000003</v>
      </c>
      <c r="H2736">
        <v>0.81029669999999998</v>
      </c>
      <c r="I2736">
        <v>279.10950000000003</v>
      </c>
      <c r="J2736">
        <v>-403.41550000000001</v>
      </c>
      <c r="K2736">
        <v>1.121292</v>
      </c>
      <c r="L2736">
        <v>284.3691</v>
      </c>
      <c r="M2736">
        <v>-0.99988999999999995</v>
      </c>
      <c r="N2736">
        <v>-1.460092E-2</v>
      </c>
      <c r="O2736">
        <v>2.603097E-3</v>
      </c>
      <c r="P2736">
        <v>-0.98389020000000005</v>
      </c>
      <c r="Q2736">
        <v>0.17120839999999901</v>
      </c>
      <c r="R2736">
        <v>5.1455140000000003E-2</v>
      </c>
      <c r="S2736">
        <v>-3.0583800000000001</v>
      </c>
      <c r="T2736">
        <v>-8.7450740000000002E-3</v>
      </c>
      <c r="U2736">
        <v>-0.14791869999999999</v>
      </c>
      <c r="V2736">
        <v>4.9041849999999998E-2</v>
      </c>
      <c r="W2736">
        <v>0.1855185</v>
      </c>
      <c r="X2736">
        <v>0.98141619999999996</v>
      </c>
      <c r="Y2736">
        <v>-5.0907300000000003E-2</v>
      </c>
      <c r="Z2736">
        <v>-4.1407910000000001E-4</v>
      </c>
      <c r="AA2736">
        <v>0.99870329999999996</v>
      </c>
      <c r="AB2736">
        <v>34</v>
      </c>
      <c r="AC2736">
        <v>-108.54340000000001</v>
      </c>
      <c r="AD2736">
        <v>-0.31099529999999997</v>
      </c>
      <c r="AE2736">
        <v>-5.2595999999999696</v>
      </c>
      <c r="AF2736">
        <v>-5.5421159117008996</v>
      </c>
      <c r="AG2736">
        <v>-0.31099529999999997</v>
      </c>
      <c r="AH2736">
        <v>108.528450616252</v>
      </c>
      <c r="AI2736">
        <v>90.163970659487205</v>
      </c>
      <c r="AJ2736">
        <v>92.923328033392096</v>
      </c>
      <c r="AK2736">
        <v>108.670310388899</v>
      </c>
      <c r="AL2736">
        <v>79.308636291171794</v>
      </c>
      <c r="AM2736">
        <v>87.139281265654304</v>
      </c>
      <c r="AN2736">
        <v>0.99999998725805594</v>
      </c>
    </row>
    <row r="2737" spans="1:40" x14ac:dyDescent="0.25">
      <c r="A2737" t="str">
        <f>"20190303170310220"</f>
        <v>20190303170310220</v>
      </c>
      <c r="B2737" t="str">
        <f>"1551603790207748"</f>
        <v>1551603790207748</v>
      </c>
      <c r="C2737" t="s">
        <v>40</v>
      </c>
      <c r="D2737">
        <v>4.13917</v>
      </c>
      <c r="E2737">
        <v>0.4661168</v>
      </c>
      <c r="F2737" t="s">
        <v>66</v>
      </c>
      <c r="G2737">
        <v>-511.95890000000003</v>
      </c>
      <c r="H2737">
        <v>0.78846919999999898</v>
      </c>
      <c r="I2737">
        <v>279.12490000000003</v>
      </c>
      <c r="J2737">
        <v>-403.61720000000003</v>
      </c>
      <c r="K2737">
        <v>1.121294</v>
      </c>
      <c r="L2737">
        <v>284.3698</v>
      </c>
      <c r="M2737">
        <v>-0.99988960000000005</v>
      </c>
      <c r="N2737">
        <v>-1.4598740000000001E-2</v>
      </c>
      <c r="O2737">
        <v>2.8073180000000001E-3</v>
      </c>
      <c r="P2737">
        <v>-0.98384090000000002</v>
      </c>
      <c r="Q2737">
        <v>0.1714157</v>
      </c>
      <c r="R2737">
        <v>5.1711699999999999E-2</v>
      </c>
      <c r="S2737">
        <v>-3.0584410000000002</v>
      </c>
      <c r="T2737">
        <v>-9.3756910000000002E-3</v>
      </c>
      <c r="U2737">
        <v>-0.14776610000000001</v>
      </c>
      <c r="V2737">
        <v>4.9098200000000002E-2</v>
      </c>
      <c r="W2737">
        <v>0.1857229</v>
      </c>
      <c r="X2737">
        <v>0.98137470000000004</v>
      </c>
      <c r="Y2737">
        <v>-5.106049E-2</v>
      </c>
      <c r="Z2737">
        <v>-4.1880869999999997E-4</v>
      </c>
      <c r="AA2737">
        <v>0.99869549999999996</v>
      </c>
      <c r="AB2737">
        <v>34</v>
      </c>
      <c r="AC2737">
        <v>-108.3417</v>
      </c>
      <c r="AD2737">
        <v>-0.33282479999999998</v>
      </c>
      <c r="AE2737">
        <v>-5.2448999999999701</v>
      </c>
      <c r="AF2737">
        <v>-5.5490090711311497</v>
      </c>
      <c r="AG2737">
        <v>-0.33282479999999998</v>
      </c>
      <c r="AH2737">
        <v>108.32552742388199</v>
      </c>
      <c r="AI2737">
        <v>90.175807371852301</v>
      </c>
      <c r="AJ2737">
        <v>92.932431111881897</v>
      </c>
      <c r="AK2737">
        <v>108.46806979789601</v>
      </c>
      <c r="AL2737">
        <v>79.296717672081002</v>
      </c>
      <c r="AM2737">
        <v>87.135878805873304</v>
      </c>
      <c r="AN2737">
        <v>0.99999996531386903</v>
      </c>
    </row>
    <row r="2738" spans="1:40" x14ac:dyDescent="0.25">
      <c r="A2738" t="str">
        <f>"20190303170310233"</f>
        <v>20190303170310233</v>
      </c>
      <c r="B2738" t="str">
        <f>"1551603790228243"</f>
        <v>1551603790228243</v>
      </c>
      <c r="C2738" t="s">
        <v>40</v>
      </c>
      <c r="D2738">
        <v>4.122738</v>
      </c>
      <c r="E2738">
        <v>0.46599879999999999</v>
      </c>
      <c r="F2738" t="s">
        <v>66</v>
      </c>
      <c r="G2738">
        <v>-511.95890000000003</v>
      </c>
      <c r="H2738">
        <v>0.80197229999999997</v>
      </c>
      <c r="I2738">
        <v>279.14530000000002</v>
      </c>
      <c r="J2738">
        <v>-403.81819999999999</v>
      </c>
      <c r="K2738">
        <v>1.121294</v>
      </c>
      <c r="L2738">
        <v>284.37049999999999</v>
      </c>
      <c r="M2738">
        <v>-0.99988900000000003</v>
      </c>
      <c r="N2738">
        <v>-1.459655E-2</v>
      </c>
      <c r="O2738">
        <v>3.010642E-3</v>
      </c>
      <c r="P2738">
        <v>-0.98378920000000003</v>
      </c>
      <c r="Q2738">
        <v>0.17170379999999999</v>
      </c>
      <c r="R2738">
        <v>5.1740420000000002E-2</v>
      </c>
      <c r="S2738">
        <v>-3.0585939999999998</v>
      </c>
      <c r="T2738">
        <v>-9.0124609999999994E-3</v>
      </c>
      <c r="U2738">
        <v>-0.1474915</v>
      </c>
      <c r="V2738">
        <v>4.8927480000000002E-2</v>
      </c>
      <c r="W2738">
        <v>0.1860086</v>
      </c>
      <c r="X2738">
        <v>0.98132909999999995</v>
      </c>
      <c r="Y2738">
        <v>-5.117174E-2</v>
      </c>
      <c r="Z2738">
        <v>-4.139991E-4</v>
      </c>
      <c r="AA2738">
        <v>0.99868979999999996</v>
      </c>
      <c r="AB2738">
        <v>34</v>
      </c>
      <c r="AC2738">
        <v>-108.1407</v>
      </c>
      <c r="AD2738">
        <v>-0.31932169999999899</v>
      </c>
      <c r="AE2738">
        <v>-5.2251999999999699</v>
      </c>
      <c r="AF2738">
        <v>-5.5507356289002896</v>
      </c>
      <c r="AG2738">
        <v>-0.31932169999999899</v>
      </c>
      <c r="AH2738">
        <v>108.123536362222</v>
      </c>
      <c r="AI2738">
        <v>90.168988841487902</v>
      </c>
      <c r="AJ2738">
        <v>92.938812263418697</v>
      </c>
      <c r="AK2738">
        <v>108.266392513295</v>
      </c>
      <c r="AL2738">
        <v>79.280057808796499</v>
      </c>
      <c r="AM2738">
        <v>87.145688776143103</v>
      </c>
      <c r="AN2738">
        <v>0.99999995003995801</v>
      </c>
    </row>
    <row r="2739" spans="1:40" x14ac:dyDescent="0.25">
      <c r="A2739" t="str">
        <f>"20190303170310249"</f>
        <v>20190303170310249</v>
      </c>
      <c r="B2739" t="str">
        <f>"1551603790238003"</f>
        <v>1551603790238003</v>
      </c>
      <c r="C2739" t="s">
        <v>40</v>
      </c>
      <c r="D2739">
        <v>4.1629670000000001</v>
      </c>
      <c r="E2739">
        <v>0.4659527</v>
      </c>
      <c r="F2739" t="s">
        <v>66</v>
      </c>
      <c r="G2739">
        <v>-511.95890000000003</v>
      </c>
      <c r="H2739">
        <v>0.83036540000000003</v>
      </c>
      <c r="I2739">
        <v>279.1343</v>
      </c>
      <c r="J2739">
        <v>-404.06490000000002</v>
      </c>
      <c r="K2739">
        <v>1.121299</v>
      </c>
      <c r="L2739">
        <v>284.37150000000003</v>
      </c>
      <c r="M2739">
        <v>-0.9998882</v>
      </c>
      <c r="N2739">
        <v>-1.459387E-2</v>
      </c>
      <c r="O2739">
        <v>3.2599819999999998E-3</v>
      </c>
      <c r="P2739">
        <v>-0.9837513</v>
      </c>
      <c r="Q2739">
        <v>0.17191600000000001</v>
      </c>
      <c r="R2739">
        <v>5.1756259999999998E-2</v>
      </c>
      <c r="S2739">
        <v>-3.0586850000000001</v>
      </c>
      <c r="T2739">
        <v>-8.2263949999999992E-3</v>
      </c>
      <c r="U2739">
        <v>-0.14810179999999901</v>
      </c>
      <c r="V2739">
        <v>4.869851E-2</v>
      </c>
      <c r="W2739">
        <v>0.1862181</v>
      </c>
      <c r="X2739">
        <v>0.98130079999999997</v>
      </c>
      <c r="Y2739">
        <v>-5.1618259999999999E-2</v>
      </c>
      <c r="Z2739">
        <v>-4.0748629999999997E-4</v>
      </c>
      <c r="AA2739">
        <v>0.99866679999999997</v>
      </c>
      <c r="AB2739">
        <v>34</v>
      </c>
      <c r="AC2739">
        <v>-107.893999999999</v>
      </c>
      <c r="AD2739">
        <v>-0.29093359999999902</v>
      </c>
      <c r="AE2739">
        <v>-5.2372000000000298</v>
      </c>
      <c r="AF2739">
        <v>-5.5889015799518198</v>
      </c>
      <c r="AG2739">
        <v>-0.29093359999999902</v>
      </c>
      <c r="AH2739">
        <v>107.87556904180001</v>
      </c>
      <c r="AI2739">
        <v>90.154315762372093</v>
      </c>
      <c r="AJ2739">
        <v>92.9657727830716</v>
      </c>
      <c r="AK2739">
        <v>108.02064089479499</v>
      </c>
      <c r="AL2739">
        <v>79.267841356815495</v>
      </c>
      <c r="AM2739">
        <v>87.158942601916394</v>
      </c>
      <c r="AN2739">
        <v>0.99999999286223495</v>
      </c>
    </row>
    <row r="2740" spans="1:40" x14ac:dyDescent="0.25">
      <c r="A2740" t="str">
        <f>"20190303170310263"</f>
        <v>20190303170310263</v>
      </c>
      <c r="B2740" t="str">
        <f>"1551603790258500"</f>
        <v>1551603790258500</v>
      </c>
      <c r="C2740" t="s">
        <v>40</v>
      </c>
      <c r="D2740">
        <v>4.1700520000000001</v>
      </c>
      <c r="E2740">
        <v>0.4658677</v>
      </c>
      <c r="F2740" t="s">
        <v>66</v>
      </c>
      <c r="G2740">
        <v>-511.95890000000003</v>
      </c>
      <c r="H2740">
        <v>0.85652320000000004</v>
      </c>
      <c r="I2740">
        <v>279.13639999999998</v>
      </c>
      <c r="J2740">
        <v>-404.2593</v>
      </c>
      <c r="K2740">
        <v>1.1213</v>
      </c>
      <c r="L2740">
        <v>284.3723</v>
      </c>
      <c r="M2740">
        <v>-0.99988759999999999</v>
      </c>
      <c r="N2740">
        <v>-1.459178E-2</v>
      </c>
      <c r="O2740">
        <v>3.4562080000000001E-3</v>
      </c>
      <c r="P2740">
        <v>-0.9836859</v>
      </c>
      <c r="Q2740">
        <v>0.17232229999999901</v>
      </c>
      <c r="R2740">
        <v>5.1645389999999999E-2</v>
      </c>
      <c r="S2740">
        <v>-3.0586549999999999</v>
      </c>
      <c r="T2740">
        <v>-7.5037480000000002E-3</v>
      </c>
      <c r="U2740">
        <v>-0.14840699999999901</v>
      </c>
      <c r="V2740">
        <v>4.8394930000000003E-2</v>
      </c>
      <c r="W2740">
        <v>0.18662139999999999</v>
      </c>
      <c r="X2740">
        <v>0.98123919999999998</v>
      </c>
      <c r="Y2740">
        <v>-5.1914219999999997E-2</v>
      </c>
      <c r="Z2740">
        <v>-4.0071950000000002E-4</v>
      </c>
      <c r="AA2740">
        <v>0.99865139999999997</v>
      </c>
      <c r="AB2740">
        <v>34</v>
      </c>
      <c r="AC2740">
        <v>-107.6996</v>
      </c>
      <c r="AD2740">
        <v>-0.26477679999999898</v>
      </c>
      <c r="AE2740">
        <v>-5.2359000000000098</v>
      </c>
      <c r="AF2740">
        <v>-5.6081067435861396</v>
      </c>
      <c r="AG2740">
        <v>-0.26477679999999898</v>
      </c>
      <c r="AH2740">
        <v>107.680209024142</v>
      </c>
      <c r="AI2740">
        <v>90.140694654191293</v>
      </c>
      <c r="AJ2740">
        <v>92.981335202504198</v>
      </c>
      <c r="AK2740">
        <v>107.826473481628</v>
      </c>
      <c r="AL2740">
        <v>79.244321662580603</v>
      </c>
      <c r="AM2740">
        <v>87.176447669077803</v>
      </c>
      <c r="AN2740">
        <v>0.99999999190215205</v>
      </c>
    </row>
    <row r="2741" spans="1:40" x14ac:dyDescent="0.25">
      <c r="A2741" t="str">
        <f>"20190303170310275"</f>
        <v>20190303170310275</v>
      </c>
      <c r="B2741" t="str">
        <f>"1551603790268260"</f>
        <v>1551603790268260</v>
      </c>
      <c r="C2741" t="s">
        <v>40</v>
      </c>
      <c r="D2741">
        <v>4.1113540000000004</v>
      </c>
      <c r="E2741">
        <v>0.46581270000000002</v>
      </c>
      <c r="F2741" t="s">
        <v>66</v>
      </c>
      <c r="G2741">
        <v>-511.95890000000003</v>
      </c>
      <c r="H2741">
        <v>0.89692950000000005</v>
      </c>
      <c r="I2741">
        <v>279.09949999999998</v>
      </c>
      <c r="J2741">
        <v>-404.44880000000001</v>
      </c>
      <c r="K2741">
        <v>1.1213010000000001</v>
      </c>
      <c r="L2741">
        <v>284.37310000000002</v>
      </c>
      <c r="M2741">
        <v>-0.99988699999999997</v>
      </c>
      <c r="N2741">
        <v>-1.458975E-2</v>
      </c>
      <c r="O2741">
        <v>3.6475460000000002E-3</v>
      </c>
      <c r="P2741">
        <v>-0.98366299999999995</v>
      </c>
      <c r="Q2741">
        <v>0.17245929999999901</v>
      </c>
      <c r="R2741">
        <v>5.1627180000000002E-2</v>
      </c>
      <c r="S2741">
        <v>-3.0587460000000002</v>
      </c>
      <c r="T2741">
        <v>-6.3699480000000003E-3</v>
      </c>
      <c r="U2741">
        <v>-0.14974979999999999</v>
      </c>
      <c r="V2741">
        <v>4.8188929999999998E-2</v>
      </c>
      <c r="W2741">
        <v>0.18675639999999999</v>
      </c>
      <c r="X2741">
        <v>0.98122359999999997</v>
      </c>
      <c r="Y2741">
        <v>-5.2541369999999997E-2</v>
      </c>
      <c r="Z2741">
        <v>-3.9261729999999999E-4</v>
      </c>
      <c r="AA2741">
        <v>0.99861869999999997</v>
      </c>
      <c r="AB2741">
        <v>34</v>
      </c>
      <c r="AC2741">
        <v>-107.51009999999999</v>
      </c>
      <c r="AD2741">
        <v>-0.2243715</v>
      </c>
      <c r="AE2741">
        <v>-5.27360000000004</v>
      </c>
      <c r="AF2741">
        <v>-5.6657300364922696</v>
      </c>
      <c r="AG2741">
        <v>-0.2243715</v>
      </c>
      <c r="AH2741">
        <v>107.489679865742</v>
      </c>
      <c r="AI2741">
        <v>90.119431933425702</v>
      </c>
      <c r="AJ2741">
        <v>93.017241165179698</v>
      </c>
      <c r="AK2741">
        <v>107.639129116953</v>
      </c>
      <c r="AL2741">
        <v>79.236447741392496</v>
      </c>
      <c r="AM2741">
        <v>87.188402573360307</v>
      </c>
      <c r="AN2741">
        <v>0.99999993955623001</v>
      </c>
    </row>
    <row r="2742" spans="1:40" x14ac:dyDescent="0.25">
      <c r="A2742" t="str">
        <f>"20190303170310288"</f>
        <v>20190303170310288</v>
      </c>
      <c r="B2742" t="str">
        <f>"1551603790278020"</f>
        <v>1551603790278020</v>
      </c>
      <c r="C2742" t="s">
        <v>40</v>
      </c>
      <c r="D2742">
        <v>4.1248779999999998</v>
      </c>
      <c r="E2742">
        <v>0.46574850000000001</v>
      </c>
      <c r="F2742" t="s">
        <v>66</v>
      </c>
      <c r="G2742">
        <v>-511.95890000000003</v>
      </c>
      <c r="H2742">
        <v>0.91799120000000001</v>
      </c>
      <c r="I2742">
        <v>279.08069999999998</v>
      </c>
      <c r="J2742">
        <v>-404.65539999999999</v>
      </c>
      <c r="K2742">
        <v>1.121299</v>
      </c>
      <c r="L2742">
        <v>284.3741</v>
      </c>
      <c r="M2742">
        <v>-0.99988619999999995</v>
      </c>
      <c r="N2742">
        <v>-1.458751E-2</v>
      </c>
      <c r="O2742">
        <v>3.856225E-3</v>
      </c>
      <c r="P2742">
        <v>-0.98365089999999999</v>
      </c>
      <c r="Q2742">
        <v>0.172547799999999</v>
      </c>
      <c r="R2742">
        <v>5.1560740000000001E-2</v>
      </c>
      <c r="S2742">
        <v>-3.0587460000000002</v>
      </c>
      <c r="T2742">
        <v>-5.7820079999999999E-3</v>
      </c>
      <c r="U2742">
        <v>-0.1505737</v>
      </c>
      <c r="V2742">
        <v>4.79172E-2</v>
      </c>
      <c r="W2742">
        <v>0.18684249999999999</v>
      </c>
      <c r="X2742">
        <v>0.98122050000000005</v>
      </c>
      <c r="Y2742">
        <v>-5.3018200000000001E-2</v>
      </c>
      <c r="Z2742">
        <v>-3.8810409999999999E-4</v>
      </c>
      <c r="AA2742">
        <v>0.99859339999999996</v>
      </c>
      <c r="AB2742">
        <v>34</v>
      </c>
      <c r="AC2742">
        <v>-107.3035</v>
      </c>
      <c r="AD2742">
        <v>-0.20330780000000001</v>
      </c>
      <c r="AE2742">
        <v>-5.2934000000000196</v>
      </c>
      <c r="AF2742">
        <v>-5.70717065139368</v>
      </c>
      <c r="AG2742">
        <v>-0.20330780000000001</v>
      </c>
      <c r="AH2742">
        <v>107.281903093144</v>
      </c>
      <c r="AI2742">
        <v>90.108426646008198</v>
      </c>
      <c r="AJ2742">
        <v>93.045144017349202</v>
      </c>
      <c r="AK2742">
        <v>107.433792924724</v>
      </c>
      <c r="AL2742">
        <v>79.231426013042295</v>
      </c>
      <c r="AM2742">
        <v>87.204222697258999</v>
      </c>
      <c r="AN2742">
        <v>0.99999992374116697</v>
      </c>
    </row>
    <row r="2743" spans="1:40" x14ac:dyDescent="0.25">
      <c r="A2743" t="str">
        <f>"20190303170310305"</f>
        <v>20190303170310305</v>
      </c>
      <c r="B2743" t="str">
        <f>"1551603790298515"</f>
        <v>1551603790298515</v>
      </c>
      <c r="C2743" t="s">
        <v>40</v>
      </c>
      <c r="D2743">
        <v>4.1304030000000003</v>
      </c>
      <c r="E2743">
        <v>0.46044089999999999</v>
      </c>
      <c r="F2743" t="s">
        <v>66</v>
      </c>
      <c r="G2743">
        <v>-511.95890000000003</v>
      </c>
      <c r="H2743">
        <v>0.92934439999999996</v>
      </c>
      <c r="I2743">
        <v>279.06720000000001</v>
      </c>
      <c r="J2743">
        <v>-404.91180000000003</v>
      </c>
      <c r="K2743">
        <v>1.121292</v>
      </c>
      <c r="L2743">
        <v>284.37540000000001</v>
      </c>
      <c r="M2743">
        <v>-0.99988520000000003</v>
      </c>
      <c r="N2743">
        <v>-1.458475E-2</v>
      </c>
      <c r="O2743">
        <v>4.1149709999999898E-3</v>
      </c>
      <c r="P2743">
        <v>-0.98390219999999995</v>
      </c>
      <c r="Q2743">
        <v>0.17123650000000001</v>
      </c>
      <c r="R2743">
        <v>5.113496E-2</v>
      </c>
      <c r="S2743">
        <v>-3.0587460000000002</v>
      </c>
      <c r="T2743">
        <v>-5.4694409999999898E-3</v>
      </c>
      <c r="U2743">
        <v>-0.15127560000000001</v>
      </c>
      <c r="V2743">
        <v>4.723463E-2</v>
      </c>
      <c r="W2743">
        <v>0.18553359999999999</v>
      </c>
      <c r="X2743">
        <v>0.98150199999999999</v>
      </c>
      <c r="Y2743">
        <v>-5.3505219999999999E-2</v>
      </c>
      <c r="Z2743">
        <v>-3.8562239999999999E-4</v>
      </c>
      <c r="AA2743">
        <v>0.99856750000000005</v>
      </c>
      <c r="AB2743">
        <v>34</v>
      </c>
      <c r="AC2743">
        <v>-107.0471</v>
      </c>
      <c r="AD2743">
        <v>-0.1919476</v>
      </c>
      <c r="AE2743">
        <v>-5.3081999999999896</v>
      </c>
      <c r="AF2743">
        <v>-5.7486791664307697</v>
      </c>
      <c r="AG2743">
        <v>-0.1919476</v>
      </c>
      <c r="AH2743">
        <v>107.02400481239501</v>
      </c>
      <c r="AI2743">
        <v>90.102611975376405</v>
      </c>
      <c r="AJ2743">
        <v>93.074626411550298</v>
      </c>
      <c r="AK2743">
        <v>107.178457546856</v>
      </c>
      <c r="AL2743">
        <v>79.307755993769902</v>
      </c>
      <c r="AM2743">
        <v>87.244775308083106</v>
      </c>
      <c r="AN2743">
        <v>1.00000000150209</v>
      </c>
    </row>
    <row r="2744" spans="1:40" x14ac:dyDescent="0.25">
      <c r="A2744" t="str">
        <f>"20190303170310318"</f>
        <v>20190303170310318</v>
      </c>
      <c r="B2744" t="str">
        <f>"1551603790308277"</f>
        <v>1551603790308277</v>
      </c>
      <c r="C2744" t="s">
        <v>40</v>
      </c>
      <c r="D2744">
        <v>4.1020690000000002</v>
      </c>
      <c r="E2744">
        <v>0.46153870000000002</v>
      </c>
      <c r="F2744" t="s">
        <v>66</v>
      </c>
      <c r="G2744">
        <v>-511.959</v>
      </c>
      <c r="H2744">
        <v>1.2987280000000001</v>
      </c>
      <c r="I2744">
        <v>277.6019</v>
      </c>
      <c r="J2744">
        <v>-405.09829999999999</v>
      </c>
      <c r="K2744">
        <v>1.1212899999999999</v>
      </c>
      <c r="L2744">
        <v>284.37630000000001</v>
      </c>
      <c r="M2744">
        <v>-0.99988449999999995</v>
      </c>
      <c r="N2744">
        <v>-1.458274E-2</v>
      </c>
      <c r="O2744">
        <v>4.3032039999999997E-3</v>
      </c>
      <c r="P2744">
        <v>-0.98395710000000003</v>
      </c>
      <c r="Q2744">
        <v>0.17095539999999901</v>
      </c>
      <c r="R2744">
        <v>5.1021799999999999E-2</v>
      </c>
      <c r="S2744">
        <v>-3.0582579999999999</v>
      </c>
      <c r="T2744">
        <v>5.0715209999999998E-3</v>
      </c>
      <c r="U2744">
        <v>-0.19351199999999999</v>
      </c>
      <c r="V2744">
        <v>4.6935640000000001E-2</v>
      </c>
      <c r="W2744">
        <v>0.18525150000000001</v>
      </c>
      <c r="X2744">
        <v>0.98156960000000004</v>
      </c>
      <c r="Y2744">
        <v>-6.7443569999999994E-2</v>
      </c>
      <c r="Z2744">
        <v>-3.6658589999999998E-4</v>
      </c>
      <c r="AA2744">
        <v>0.99772300000000003</v>
      </c>
      <c r="AB2744">
        <v>34</v>
      </c>
      <c r="AC2744">
        <v>-106.86069999999999</v>
      </c>
      <c r="AD2744">
        <v>0.17743800000000001</v>
      </c>
      <c r="AE2744">
        <v>-6.7744000000000097</v>
      </c>
      <c r="AF2744">
        <v>-7.2342096485906602</v>
      </c>
      <c r="AG2744">
        <v>0.17743800000000001</v>
      </c>
      <c r="AH2744">
        <v>106.8302622967</v>
      </c>
      <c r="AI2744">
        <v>89.905053030967395</v>
      </c>
      <c r="AJ2744">
        <v>93.873975894009803</v>
      </c>
      <c r="AK2744">
        <v>107.075068133835</v>
      </c>
      <c r="AL2744">
        <v>79.324203997256703</v>
      </c>
      <c r="AM2744">
        <v>87.262377221162794</v>
      </c>
      <c r="AN2744">
        <v>0.99999997609930902</v>
      </c>
    </row>
    <row r="2745" spans="1:40" x14ac:dyDescent="0.25">
      <c r="A2745" t="str">
        <f>"20190303170310330"</f>
        <v>20190303170310330</v>
      </c>
      <c r="B2745" t="str">
        <f>"1551603790318036"</f>
        <v>1551603790318036</v>
      </c>
      <c r="C2745" t="s">
        <v>40</v>
      </c>
      <c r="D2745">
        <v>4.1291830000000003</v>
      </c>
      <c r="E2745">
        <v>0.46207120000000002</v>
      </c>
      <c r="F2745" t="s">
        <v>66</v>
      </c>
      <c r="G2745">
        <v>-511.959</v>
      </c>
      <c r="H2745">
        <v>1.1704110000000001</v>
      </c>
      <c r="I2745">
        <v>277.90050000000002</v>
      </c>
      <c r="J2745">
        <v>-405.29969999999997</v>
      </c>
      <c r="K2745">
        <v>1.1212930000000001</v>
      </c>
      <c r="L2745">
        <v>284.37729999999999</v>
      </c>
      <c r="M2745">
        <v>-0.99988359999999998</v>
      </c>
      <c r="N2745">
        <v>-1.4580559999999999E-2</v>
      </c>
      <c r="O2745">
        <v>4.506754E-3</v>
      </c>
      <c r="P2745">
        <v>-0.98392469999999999</v>
      </c>
      <c r="Q2745">
        <v>0.17115279999999899</v>
      </c>
      <c r="R2745">
        <v>5.0979719999999999E-2</v>
      </c>
      <c r="S2745">
        <v>-3.0582889999999998</v>
      </c>
      <c r="T2745">
        <v>1.4081E-3</v>
      </c>
      <c r="U2745">
        <v>-0.18533330000000001</v>
      </c>
      <c r="V2745">
        <v>4.6693400000000003E-2</v>
      </c>
      <c r="W2745">
        <v>0.18544640000000001</v>
      </c>
      <c r="X2745">
        <v>0.98154439999999998</v>
      </c>
      <c r="Y2745">
        <v>-6.4987429999999999E-2</v>
      </c>
      <c r="Z2745">
        <v>-3.9156260000000002E-4</v>
      </c>
      <c r="AA2745">
        <v>0.99788600000000005</v>
      </c>
      <c r="AB2745">
        <v>34</v>
      </c>
      <c r="AC2745">
        <v>-106.6593</v>
      </c>
      <c r="AD2745">
        <v>4.9118000000000002E-2</v>
      </c>
      <c r="AE2745">
        <v>-6.4767999999999599</v>
      </c>
      <c r="AF2745">
        <v>-6.9574710432340003</v>
      </c>
      <c r="AG2745">
        <v>4.9118000000000002E-2</v>
      </c>
      <c r="AH2745">
        <v>106.629001618969</v>
      </c>
      <c r="AI2745">
        <v>89.973663054977294</v>
      </c>
      <c r="AJ2745">
        <v>93.7332192664947</v>
      </c>
      <c r="AK2745">
        <v>106.855756991158</v>
      </c>
      <c r="AL2745">
        <v>79.312840674437695</v>
      </c>
      <c r="AM2745">
        <v>87.276415246872901</v>
      </c>
      <c r="AN2745">
        <v>1.00000002502393</v>
      </c>
    </row>
    <row r="2746" spans="1:40" x14ac:dyDescent="0.25">
      <c r="A2746" t="str">
        <f>"20190303170310345"</f>
        <v>20190303170310345</v>
      </c>
      <c r="B2746" t="str">
        <f>"1551603790338531"</f>
        <v>1551603790338531</v>
      </c>
      <c r="C2746" t="s">
        <v>40</v>
      </c>
      <c r="D2746">
        <v>4.1696049999999998</v>
      </c>
      <c r="E2746">
        <v>0.46138430000000002</v>
      </c>
      <c r="F2746" t="s">
        <v>66</v>
      </c>
      <c r="G2746">
        <v>-511.959</v>
      </c>
      <c r="H2746">
        <v>1.0729040000000001</v>
      </c>
      <c r="I2746">
        <v>278.06240000000003</v>
      </c>
      <c r="J2746">
        <v>-405.50080000000003</v>
      </c>
      <c r="K2746">
        <v>1.121297</v>
      </c>
      <c r="L2746">
        <v>284.3784</v>
      </c>
      <c r="M2746">
        <v>-0.99988279999999996</v>
      </c>
      <c r="N2746">
        <v>-1.457838E-2</v>
      </c>
      <c r="O2746">
        <v>4.7099459999999996E-3</v>
      </c>
      <c r="P2746">
        <v>-0.98379819999999996</v>
      </c>
      <c r="Q2746">
        <v>0.1718827</v>
      </c>
      <c r="R2746">
        <v>5.0966909999999997E-2</v>
      </c>
      <c r="S2746">
        <v>-3.0586549999999999</v>
      </c>
      <c r="T2746">
        <v>-1.3853310000000001E-3</v>
      </c>
      <c r="U2746">
        <v>-0.18109130000000001</v>
      </c>
      <c r="V2746">
        <v>4.6481719999999997E-2</v>
      </c>
      <c r="W2746">
        <v>0.18617310000000001</v>
      </c>
      <c r="X2746">
        <v>0.98141679999999998</v>
      </c>
      <c r="Y2746">
        <v>-6.3803550000000001E-2</v>
      </c>
      <c r="Z2746">
        <v>-4.1347170000000002E-4</v>
      </c>
      <c r="AA2746">
        <v>0.99796240000000003</v>
      </c>
      <c r="AB2746">
        <v>34</v>
      </c>
      <c r="AC2746">
        <v>-106.458199999999</v>
      </c>
      <c r="AD2746">
        <v>-4.8392999999999901E-2</v>
      </c>
      <c r="AE2746">
        <v>-6.3159999999999696</v>
      </c>
      <c r="AF2746">
        <v>-6.8173941074285196</v>
      </c>
      <c r="AG2746">
        <v>-4.8392999999999901E-2</v>
      </c>
      <c r="AH2746">
        <v>106.42724583987101</v>
      </c>
      <c r="AI2746">
        <v>90.0259993884153</v>
      </c>
      <c r="AJ2746">
        <v>93.665179533318195</v>
      </c>
      <c r="AK2746">
        <v>106.645383685178</v>
      </c>
      <c r="AL2746">
        <v>79.270465139416899</v>
      </c>
      <c r="AM2746">
        <v>87.288391907805504</v>
      </c>
      <c r="AN2746">
        <v>0.999999954390003</v>
      </c>
    </row>
    <row r="2747" spans="1:40" x14ac:dyDescent="0.25">
      <c r="A2747" t="str">
        <f>"20190303170310360"</f>
        <v>20190303170310360</v>
      </c>
      <c r="B2747" t="str">
        <f>"1551603790348294"</f>
        <v>1551603790348294</v>
      </c>
      <c r="C2747" t="s">
        <v>40</v>
      </c>
      <c r="D2747">
        <v>4.0963180000000001</v>
      </c>
      <c r="E2747">
        <v>0.46154070000000003</v>
      </c>
      <c r="F2747" t="s">
        <v>66</v>
      </c>
      <c r="G2747">
        <v>-511.959</v>
      </c>
      <c r="H2747">
        <v>1.258367</v>
      </c>
      <c r="I2747">
        <v>277.88569999999999</v>
      </c>
      <c r="J2747">
        <v>-405.72280000000001</v>
      </c>
      <c r="K2747">
        <v>1.1213029999999999</v>
      </c>
      <c r="L2747">
        <v>284.37970000000001</v>
      </c>
      <c r="M2747">
        <v>-0.99988169999999998</v>
      </c>
      <c r="N2747">
        <v>-1.4575970000000001E-2</v>
      </c>
      <c r="O2747">
        <v>4.9342960000000003E-3</v>
      </c>
      <c r="P2747">
        <v>-0.98353740000000001</v>
      </c>
      <c r="Q2747">
        <v>0.17328640000000001</v>
      </c>
      <c r="R2747">
        <v>5.124658E-2</v>
      </c>
      <c r="S2747">
        <v>-3.0583800000000001</v>
      </c>
      <c r="T2747">
        <v>3.9401050000000002E-3</v>
      </c>
      <c r="U2747">
        <v>-0.18652340000000001</v>
      </c>
      <c r="V2747">
        <v>4.6542840000000002E-2</v>
      </c>
      <c r="W2747">
        <v>0.1875705</v>
      </c>
      <c r="X2747">
        <v>0.98114780000000001</v>
      </c>
      <c r="Y2747">
        <v>-6.5799410000000003E-2</v>
      </c>
      <c r="Z2747">
        <v>-3.5946079999999998E-4</v>
      </c>
      <c r="AA2747">
        <v>0.99783279999999996</v>
      </c>
      <c r="AB2747">
        <v>34</v>
      </c>
      <c r="AC2747">
        <v>-106.2362</v>
      </c>
      <c r="AD2747">
        <v>0.13706399999999899</v>
      </c>
      <c r="AE2747">
        <v>-6.4940000000000202</v>
      </c>
      <c r="AF2747">
        <v>-7.0181657818308603</v>
      </c>
      <c r="AG2747">
        <v>0.13706399999999899</v>
      </c>
      <c r="AH2747">
        <v>106.202683593739</v>
      </c>
      <c r="AI2747">
        <v>89.926215676299194</v>
      </c>
      <c r="AJ2747">
        <v>93.780765832635097</v>
      </c>
      <c r="AK2747">
        <v>106.434409097778</v>
      </c>
      <c r="AL2747">
        <v>79.188964449725404</v>
      </c>
      <c r="AM2747">
        <v>87.284088377615802</v>
      </c>
      <c r="AN2747">
        <v>0.99999996693517701</v>
      </c>
    </row>
    <row r="2748" spans="1:40" x14ac:dyDescent="0.25">
      <c r="A2748" t="str">
        <f>"20190303170310373"</f>
        <v>20190303170310373</v>
      </c>
      <c r="B2748" t="str">
        <f>"1551603790367811"</f>
        <v>1551603790367811</v>
      </c>
      <c r="C2748" t="s">
        <v>40</v>
      </c>
      <c r="D2748">
        <v>4.0517810000000001</v>
      </c>
      <c r="E2748">
        <v>0.46182210000000001</v>
      </c>
      <c r="F2748" t="s">
        <v>66</v>
      </c>
      <c r="G2748">
        <v>-511.95909999999998</v>
      </c>
      <c r="H2748">
        <v>1.349308</v>
      </c>
      <c r="I2748">
        <v>277.9828</v>
      </c>
      <c r="J2748">
        <v>-405.93729999999999</v>
      </c>
      <c r="K2748">
        <v>1.121302</v>
      </c>
      <c r="L2748">
        <v>284.3809</v>
      </c>
      <c r="M2748">
        <v>-0.99988060000000001</v>
      </c>
      <c r="N2748">
        <v>-1.4573620000000001E-2</v>
      </c>
      <c r="O2748">
        <v>5.1510189999999997E-3</v>
      </c>
      <c r="P2748">
        <v>-0.98345369999999999</v>
      </c>
      <c r="Q2748">
        <v>0.17367929999999901</v>
      </c>
      <c r="R2748">
        <v>5.1523199999999998E-2</v>
      </c>
      <c r="S2748">
        <v>-3.0586850000000001</v>
      </c>
      <c r="T2748">
        <v>6.5668819999999996E-3</v>
      </c>
      <c r="U2748">
        <v>-0.18417359999999999</v>
      </c>
      <c r="V2748">
        <v>4.660682E-2</v>
      </c>
      <c r="W2748">
        <v>0.18795970000000001</v>
      </c>
      <c r="X2748">
        <v>0.98107029999999995</v>
      </c>
      <c r="Y2748">
        <v>-6.5246070000000003E-2</v>
      </c>
      <c r="Z2748">
        <v>-3.1985979999999998E-4</v>
      </c>
      <c r="AA2748">
        <v>0.99786909999999895</v>
      </c>
      <c r="AB2748">
        <v>34</v>
      </c>
      <c r="AC2748">
        <v>-106.021799999999</v>
      </c>
      <c r="AD2748">
        <v>0.22800599999999999</v>
      </c>
      <c r="AE2748">
        <v>-6.3981000000000003</v>
      </c>
      <c r="AF2748">
        <v>-6.9441613747364404</v>
      </c>
      <c r="AG2748">
        <v>0.22800599999999999</v>
      </c>
      <c r="AH2748">
        <v>105.986944521003</v>
      </c>
      <c r="AI2748">
        <v>89.877005495668598</v>
      </c>
      <c r="AJ2748">
        <v>93.748605861077195</v>
      </c>
      <c r="AK2748">
        <v>106.214432977974</v>
      </c>
      <c r="AL2748">
        <v>79.166261371429599</v>
      </c>
      <c r="AM2748">
        <v>87.280146041558694</v>
      </c>
      <c r="AN2748">
        <v>0.99999998901834597</v>
      </c>
    </row>
    <row r="2749" spans="1:40" x14ac:dyDescent="0.25">
      <c r="A2749" t="str">
        <f>"20190303170310396"</f>
        <v>20190303170310396</v>
      </c>
      <c r="B2749" t="str">
        <f>"1551603790388308"</f>
        <v>1551603790388308</v>
      </c>
      <c r="C2749" t="s">
        <v>40</v>
      </c>
      <c r="D2749">
        <v>4.1284039999999997</v>
      </c>
      <c r="E2749">
        <v>0.46198030000000001</v>
      </c>
      <c r="F2749" t="s">
        <v>66</v>
      </c>
      <c r="G2749">
        <v>-511.959</v>
      </c>
      <c r="H2749">
        <v>1.310732</v>
      </c>
      <c r="I2749">
        <v>278.09390000000002</v>
      </c>
      <c r="J2749">
        <v>-406.2697</v>
      </c>
      <c r="K2749">
        <v>1.12131</v>
      </c>
      <c r="L2749">
        <v>284.38299999999998</v>
      </c>
      <c r="M2749">
        <v>-0.99987890000000001</v>
      </c>
      <c r="N2749">
        <v>-1.457E-2</v>
      </c>
      <c r="O2749">
        <v>5.4869480000000002E-3</v>
      </c>
      <c r="P2749">
        <v>-0.98345329999999997</v>
      </c>
      <c r="Q2749">
        <v>0.1735679</v>
      </c>
      <c r="R2749">
        <v>5.1903299999999999E-2</v>
      </c>
      <c r="S2749">
        <v>-3.059021</v>
      </c>
      <c r="T2749">
        <v>5.4678919999999898E-3</v>
      </c>
      <c r="U2749">
        <v>-0.18139649999999999</v>
      </c>
      <c r="V2749">
        <v>4.6656009999999998E-2</v>
      </c>
      <c r="W2749">
        <v>0.1878454</v>
      </c>
      <c r="X2749">
        <v>0.98108989999999996</v>
      </c>
      <c r="Y2749">
        <v>-6.4671900000000004E-2</v>
      </c>
      <c r="Z2749">
        <v>-3.2414709999999998E-4</v>
      </c>
      <c r="AA2749">
        <v>0.99790650000000003</v>
      </c>
      <c r="AB2749">
        <v>34</v>
      </c>
      <c r="AC2749">
        <v>-105.6893</v>
      </c>
      <c r="AD2749">
        <v>0.18942200000000001</v>
      </c>
      <c r="AE2749">
        <v>-6.2890999999999604</v>
      </c>
      <c r="AF2749">
        <v>-6.8689565175920304</v>
      </c>
      <c r="AG2749">
        <v>0.18942200000000001</v>
      </c>
      <c r="AH2749">
        <v>105.652858875734</v>
      </c>
      <c r="AI2749">
        <v>89.897492553655198</v>
      </c>
      <c r="AJ2749">
        <v>93.719815176724694</v>
      </c>
      <c r="AK2749">
        <v>105.876083385014</v>
      </c>
      <c r="AL2749">
        <v>79.172929546738999</v>
      </c>
      <c r="AM2749">
        <v>87.277334069288102</v>
      </c>
      <c r="AN2749">
        <v>1.00000003472614</v>
      </c>
    </row>
    <row r="2750" spans="1:40" x14ac:dyDescent="0.25">
      <c r="A2750" t="str">
        <f>"20190303170310408"</f>
        <v>20190303170310408</v>
      </c>
      <c r="B2750" t="str">
        <f>"1551603790398067"</f>
        <v>1551603790398067</v>
      </c>
      <c r="C2750" t="s">
        <v>40</v>
      </c>
      <c r="D2750">
        <v>4.1077919999999999</v>
      </c>
      <c r="E2750">
        <v>0.46221060000000003</v>
      </c>
      <c r="F2750" t="s">
        <v>66</v>
      </c>
      <c r="G2750">
        <v>-511.959</v>
      </c>
      <c r="H2750">
        <v>1.18808</v>
      </c>
      <c r="I2750">
        <v>278.21699999999998</v>
      </c>
      <c r="J2750">
        <v>-406.4701</v>
      </c>
      <c r="K2750">
        <v>1.1213089999999999</v>
      </c>
      <c r="L2750">
        <v>284.3843</v>
      </c>
      <c r="M2750">
        <v>-0.99987780000000004</v>
      </c>
      <c r="N2750">
        <v>-1.456781E-2</v>
      </c>
      <c r="O2750">
        <v>5.689543E-3</v>
      </c>
      <c r="P2750">
        <v>-0.98350320000000002</v>
      </c>
      <c r="Q2750">
        <v>0.1733227</v>
      </c>
      <c r="R2750">
        <v>5.1775300000000003E-2</v>
      </c>
      <c r="S2750">
        <v>-3.0595699999999999</v>
      </c>
      <c r="T2750">
        <v>1.935244E-3</v>
      </c>
      <c r="U2750">
        <v>-0.1784973</v>
      </c>
      <c r="V2750">
        <v>4.6327989999999999E-2</v>
      </c>
      <c r="W2750">
        <v>0.18759899999999999</v>
      </c>
      <c r="X2750">
        <v>0.98115249999999998</v>
      </c>
      <c r="Y2750">
        <v>-6.3920790000000005E-2</v>
      </c>
      <c r="Z2750">
        <v>-3.5940290000000002E-4</v>
      </c>
      <c r="AA2750">
        <v>0.99795489999999998</v>
      </c>
      <c r="AB2750">
        <v>34</v>
      </c>
      <c r="AC2750">
        <v>-105.4889</v>
      </c>
      <c r="AD2750">
        <v>6.67709999999999E-2</v>
      </c>
      <c r="AE2750">
        <v>-6.1673000000000098</v>
      </c>
      <c r="AF2750">
        <v>-6.7674447217849698</v>
      </c>
      <c r="AG2750">
        <v>6.67709999999999E-2</v>
      </c>
      <c r="AH2750">
        <v>105.45205729481999</v>
      </c>
      <c r="AI2750">
        <v>89.9637954700476</v>
      </c>
      <c r="AJ2750">
        <v>93.671953218823006</v>
      </c>
      <c r="AK2750">
        <v>105.669007538345</v>
      </c>
      <c r="AL2750">
        <v>79.187301800239197</v>
      </c>
      <c r="AM2750">
        <v>87.296619796024103</v>
      </c>
      <c r="AN2750">
        <v>0.99999994785734303</v>
      </c>
    </row>
    <row r="2751" spans="1:40" x14ac:dyDescent="0.25">
      <c r="A2751" t="str">
        <f>"20190303170310429"</f>
        <v>20190303170310429</v>
      </c>
      <c r="B2751" t="str">
        <f>"1551603790418564"</f>
        <v>1551603790418564</v>
      </c>
      <c r="C2751" t="s">
        <v>40</v>
      </c>
      <c r="D2751">
        <v>4.0593260000000004</v>
      </c>
      <c r="E2751">
        <v>0.46239419999999998</v>
      </c>
      <c r="F2751" t="s">
        <v>66</v>
      </c>
      <c r="G2751">
        <v>-511.959</v>
      </c>
      <c r="H2751">
        <v>1.111545</v>
      </c>
      <c r="I2751">
        <v>278.27969999999999</v>
      </c>
      <c r="J2751">
        <v>-406.77350000000001</v>
      </c>
      <c r="K2751">
        <v>1.121305</v>
      </c>
      <c r="L2751">
        <v>284.38630000000001</v>
      </c>
      <c r="M2751">
        <v>-0.99987599999999999</v>
      </c>
      <c r="N2751">
        <v>-1.4564519999999999E-2</v>
      </c>
      <c r="O2751">
        <v>5.9963250000000003E-3</v>
      </c>
      <c r="P2751">
        <v>-0.98373029999999995</v>
      </c>
      <c r="Q2751">
        <v>0.17195369999999999</v>
      </c>
      <c r="R2751">
        <v>5.2028520000000002E-2</v>
      </c>
      <c r="S2751">
        <v>-3.0596920000000001</v>
      </c>
      <c r="T2751">
        <v>-2.808571E-4</v>
      </c>
      <c r="U2751">
        <v>-0.177063</v>
      </c>
      <c r="V2751">
        <v>4.6276709999999999E-2</v>
      </c>
      <c r="W2751">
        <v>0.1862307</v>
      </c>
      <c r="X2751">
        <v>0.98141560000000005</v>
      </c>
      <c r="Y2751">
        <v>-6.3758120000000001E-2</v>
      </c>
      <c r="Z2751">
        <v>-3.8092809999999998E-4</v>
      </c>
      <c r="AA2751">
        <v>0.99796530000000006</v>
      </c>
      <c r="AB2751">
        <v>34</v>
      </c>
      <c r="AC2751">
        <v>-105.1855</v>
      </c>
      <c r="AD2751">
        <v>-9.7599999999999892E-3</v>
      </c>
      <c r="AE2751">
        <v>-6.10660000000001</v>
      </c>
      <c r="AF2751">
        <v>-6.7372834537083097</v>
      </c>
      <c r="AG2751">
        <v>-9.7599999999999892E-3</v>
      </c>
      <c r="AH2751">
        <v>105.14698661853799</v>
      </c>
      <c r="AI2751">
        <v>90.005307450161595</v>
      </c>
      <c r="AJ2751">
        <v>93.666209937497101</v>
      </c>
      <c r="AK2751">
        <v>105.362611388254</v>
      </c>
      <c r="AL2751">
        <v>79.267106585938194</v>
      </c>
      <c r="AM2751">
        <v>87.300330565255507</v>
      </c>
      <c r="AN2751">
        <v>0.99999999371713699</v>
      </c>
    </row>
    <row r="2752" spans="1:40" x14ac:dyDescent="0.25">
      <c r="A2752" t="str">
        <f>"20190303170310441"</f>
        <v>20190303170310441</v>
      </c>
      <c r="B2752" t="str">
        <f>"1551603790438085"</f>
        <v>1551603790438085</v>
      </c>
      <c r="C2752" t="s">
        <v>40</v>
      </c>
      <c r="D2752">
        <v>4.0783160000000001</v>
      </c>
      <c r="E2752">
        <v>0.46266679999999999</v>
      </c>
      <c r="F2752" t="s">
        <v>66</v>
      </c>
      <c r="G2752">
        <v>-511.95890000000003</v>
      </c>
      <c r="H2752">
        <v>0.89113259999999905</v>
      </c>
      <c r="I2752">
        <v>278.42570000000001</v>
      </c>
      <c r="J2752">
        <v>-406.96980000000002</v>
      </c>
      <c r="K2752">
        <v>1.121305</v>
      </c>
      <c r="L2752">
        <v>284.38760000000002</v>
      </c>
      <c r="M2752">
        <v>-0.99987490000000001</v>
      </c>
      <c r="N2752">
        <v>-1.456234E-2</v>
      </c>
      <c r="O2752">
        <v>6.1949259999999999E-3</v>
      </c>
      <c r="P2752">
        <v>-0.98372219999999999</v>
      </c>
      <c r="Q2752">
        <v>0.17184559999999999</v>
      </c>
      <c r="R2752">
        <v>5.2534110000000002E-2</v>
      </c>
      <c r="S2752">
        <v>-3.0599669999999999</v>
      </c>
      <c r="T2752">
        <v>-6.6936019999999999E-3</v>
      </c>
      <c r="U2752">
        <v>-0.1734009</v>
      </c>
      <c r="V2752">
        <v>4.6586549999999997E-2</v>
      </c>
      <c r="W2752">
        <v>0.18612020000000001</v>
      </c>
      <c r="X2752">
        <v>0.98142189999999996</v>
      </c>
      <c r="Y2752">
        <v>-6.2759759999999998E-2</v>
      </c>
      <c r="Z2752">
        <v>-4.4934530000000002E-4</v>
      </c>
      <c r="AA2752">
        <v>0.99802860000000004</v>
      </c>
      <c r="AB2752">
        <v>34</v>
      </c>
      <c r="AC2752">
        <v>-104.98909999999999</v>
      </c>
      <c r="AD2752">
        <v>-0.2301724</v>
      </c>
      <c r="AE2752">
        <v>-5.9619000000000097</v>
      </c>
      <c r="AF2752">
        <v>-6.6122224916608801</v>
      </c>
      <c r="AG2752">
        <v>-0.2301724</v>
      </c>
      <c r="AH2752">
        <v>104.949644717048</v>
      </c>
      <c r="AI2752">
        <v>90.125410516980395</v>
      </c>
      <c r="AJ2752">
        <v>93.605084627612101</v>
      </c>
      <c r="AK2752">
        <v>105.157987770058</v>
      </c>
      <c r="AL2752">
        <v>79.273550397128702</v>
      </c>
      <c r="AM2752">
        <v>87.282299691006202</v>
      </c>
      <c r="AN2752">
        <v>0.99999999064427603</v>
      </c>
    </row>
    <row r="2753" spans="1:40" x14ac:dyDescent="0.25">
      <c r="A2753" t="str">
        <f>"20190303170310462"</f>
        <v>20190303170310462</v>
      </c>
      <c r="B2753" t="str">
        <f>"1551603790458579"</f>
        <v>1551603790458579</v>
      </c>
      <c r="C2753" t="s">
        <v>40</v>
      </c>
      <c r="D2753">
        <v>4.1332979999999999</v>
      </c>
      <c r="E2753">
        <v>0.4629392</v>
      </c>
      <c r="F2753" t="s">
        <v>66</v>
      </c>
      <c r="G2753">
        <v>-511.95890000000003</v>
      </c>
      <c r="H2753">
        <v>0.84106340000000002</v>
      </c>
      <c r="I2753">
        <v>278.5609</v>
      </c>
      <c r="J2753">
        <v>-407.28050000000002</v>
      </c>
      <c r="K2753">
        <v>1.1213120000000001</v>
      </c>
      <c r="L2753">
        <v>284.38990000000001</v>
      </c>
      <c r="M2753">
        <v>-0.99987300000000001</v>
      </c>
      <c r="N2753">
        <v>-1.455886E-2</v>
      </c>
      <c r="O2753">
        <v>6.5092179999999998E-3</v>
      </c>
      <c r="P2753">
        <v>-0.98350020000000005</v>
      </c>
      <c r="Q2753">
        <v>0.17295260000000001</v>
      </c>
      <c r="R2753">
        <v>5.3058729999999998E-2</v>
      </c>
      <c r="S2753">
        <v>-3.06012</v>
      </c>
      <c r="T2753">
        <v>-8.1658359999999992E-3</v>
      </c>
      <c r="U2753">
        <v>-0.16983029999999999</v>
      </c>
      <c r="V2753">
        <v>4.6804020000000002E-2</v>
      </c>
      <c r="W2753">
        <v>0.18722059999999999</v>
      </c>
      <c r="X2753">
        <v>0.98120220000000002</v>
      </c>
      <c r="Y2753">
        <v>-6.1909520000000003E-2</v>
      </c>
      <c r="Z2753">
        <v>-4.562406E-4</v>
      </c>
      <c r="AA2753">
        <v>0.99808169999999996</v>
      </c>
      <c r="AB2753">
        <v>34</v>
      </c>
      <c r="AC2753">
        <v>-104.6784</v>
      </c>
      <c r="AD2753">
        <v>-0.28024860000000001</v>
      </c>
      <c r="AE2753">
        <v>-5.8289999999999997</v>
      </c>
      <c r="AF2753">
        <v>-6.5102765978339496</v>
      </c>
      <c r="AG2753">
        <v>-0.28024860000000001</v>
      </c>
      <c r="AH2753">
        <v>104.637487973037</v>
      </c>
      <c r="AI2753">
        <v>90.153157683256197</v>
      </c>
      <c r="AJ2753">
        <v>93.560207573030198</v>
      </c>
      <c r="AK2753">
        <v>104.840193294202</v>
      </c>
      <c r="AL2753">
        <v>79.209373765506896</v>
      </c>
      <c r="AM2753">
        <v>87.269021958271694</v>
      </c>
      <c r="AN2753">
        <v>0.99999996331867902</v>
      </c>
    </row>
    <row r="2754" spans="1:40" x14ac:dyDescent="0.25">
      <c r="A2754" t="str">
        <f>"20190303170310474"</f>
        <v>20190303170310474</v>
      </c>
      <c r="B2754" t="str">
        <f>"1551603790468340"</f>
        <v>1551603790468340</v>
      </c>
      <c r="C2754" t="s">
        <v>40</v>
      </c>
      <c r="D2754">
        <v>4.1010609999999996</v>
      </c>
      <c r="E2754">
        <v>0.46291179999999899</v>
      </c>
      <c r="F2754" t="s">
        <v>66</v>
      </c>
      <c r="G2754">
        <v>-511.95890000000003</v>
      </c>
      <c r="H2754">
        <v>0.9469824</v>
      </c>
      <c r="I2754">
        <v>278.67869999999999</v>
      </c>
      <c r="J2754">
        <v>-407.46190000000001</v>
      </c>
      <c r="K2754">
        <v>1.121316</v>
      </c>
      <c r="L2754">
        <v>284.3913</v>
      </c>
      <c r="M2754">
        <v>-0.99987170000000003</v>
      </c>
      <c r="N2754">
        <v>-1.4556879999999999E-2</v>
      </c>
      <c r="O2754">
        <v>6.692679E-3</v>
      </c>
      <c r="P2754">
        <v>-0.98345519999999997</v>
      </c>
      <c r="Q2754">
        <v>0.17314019999999999</v>
      </c>
      <c r="R2754">
        <v>5.3274990000000001E-2</v>
      </c>
      <c r="S2754">
        <v>-3.0602109999999998</v>
      </c>
      <c r="T2754">
        <v>-5.0940509999999996E-3</v>
      </c>
      <c r="U2754">
        <v>-0.16696169999999999</v>
      </c>
      <c r="V2754">
        <v>4.6839890000000002E-2</v>
      </c>
      <c r="W2754">
        <v>0.18740560000000001</v>
      </c>
      <c r="X2754">
        <v>0.98116519999999996</v>
      </c>
      <c r="Y2754">
        <v>-6.1158709999999998E-2</v>
      </c>
      <c r="Z2754">
        <v>-4.1014099999999999E-4</v>
      </c>
      <c r="AA2754">
        <v>0.99812800000000002</v>
      </c>
      <c r="AB2754">
        <v>34</v>
      </c>
      <c r="AC2754">
        <v>-104.497</v>
      </c>
      <c r="AD2754">
        <v>-0.17433359999999901</v>
      </c>
      <c r="AE2754">
        <v>-5.7126000000000001</v>
      </c>
      <c r="AF2754">
        <v>-6.4118931884161103</v>
      </c>
      <c r="AG2754">
        <v>-0.17433359999999901</v>
      </c>
      <c r="AH2754">
        <v>104.456132655508</v>
      </c>
      <c r="AI2754">
        <v>90.095444899506603</v>
      </c>
      <c r="AJ2754">
        <v>93.512613704448398</v>
      </c>
      <c r="AK2754">
        <v>104.65288536781399</v>
      </c>
      <c r="AL2754">
        <v>79.198583366044303</v>
      </c>
      <c r="AM2754">
        <v>87.266829235577703</v>
      </c>
      <c r="AN2754">
        <v>0.99999999194880596</v>
      </c>
    </row>
    <row r="2755" spans="1:40" x14ac:dyDescent="0.25">
      <c r="A2755" t="str">
        <f>"20190303170310485"</f>
        <v>20190303170310485</v>
      </c>
      <c r="B2755" t="str">
        <f>"1551603790478100"</f>
        <v>1551603790478100</v>
      </c>
      <c r="C2755" t="s">
        <v>40</v>
      </c>
      <c r="D2755">
        <v>4.1010070000000001</v>
      </c>
      <c r="E2755">
        <v>0.46290880000000001</v>
      </c>
      <c r="F2755" t="s">
        <v>66</v>
      </c>
      <c r="G2755">
        <v>-511.959</v>
      </c>
      <c r="H2755">
        <v>0.98959390000000003</v>
      </c>
      <c r="I2755">
        <v>278.71480000000003</v>
      </c>
      <c r="J2755">
        <v>-407.63130000000001</v>
      </c>
      <c r="K2755">
        <v>1.1213150000000001</v>
      </c>
      <c r="L2755">
        <v>284.39249999999998</v>
      </c>
      <c r="M2755">
        <v>-0.99987060000000005</v>
      </c>
      <c r="N2755">
        <v>-1.455512E-2</v>
      </c>
      <c r="O2755">
        <v>6.8640400000000001E-3</v>
      </c>
      <c r="P2755">
        <v>-0.98344920000000002</v>
      </c>
      <c r="Q2755">
        <v>0.17310429999999999</v>
      </c>
      <c r="R2755">
        <v>5.3506280000000003E-2</v>
      </c>
      <c r="S2755">
        <v>-3.06012</v>
      </c>
      <c r="T2755">
        <v>-3.85499E-3</v>
      </c>
      <c r="U2755">
        <v>-0.16622919999999999</v>
      </c>
      <c r="V2755">
        <v>4.6902560000000003E-2</v>
      </c>
      <c r="W2755">
        <v>0.18736810000000001</v>
      </c>
      <c r="X2755">
        <v>0.98116939999999997</v>
      </c>
      <c r="Y2755">
        <v>-6.1093370000000001E-2</v>
      </c>
      <c r="Z2755">
        <v>-3.9222269999999998E-4</v>
      </c>
      <c r="AA2755">
        <v>0.99813200000000002</v>
      </c>
      <c r="AB2755">
        <v>34</v>
      </c>
      <c r="AC2755">
        <v>-104.32769999999999</v>
      </c>
      <c r="AD2755">
        <v>-0.13172110000000001</v>
      </c>
      <c r="AE2755">
        <v>-5.6776999999999598</v>
      </c>
      <c r="AF2755">
        <v>-6.3937413622424604</v>
      </c>
      <c r="AG2755">
        <v>-0.13172110000000001</v>
      </c>
      <c r="AH2755">
        <v>104.286099913454</v>
      </c>
      <c r="AI2755">
        <v>90.072233162110805</v>
      </c>
      <c r="AJ2755">
        <v>93.508391118187205</v>
      </c>
      <c r="AK2755">
        <v>104.481998038966</v>
      </c>
      <c r="AL2755">
        <v>79.200771046115605</v>
      </c>
      <c r="AM2755">
        <v>87.2631896102083</v>
      </c>
      <c r="AN2755">
        <v>1.0000000232642601</v>
      </c>
    </row>
    <row r="2756" spans="1:40" x14ac:dyDescent="0.25">
      <c r="A2756" t="str">
        <f>"20190303170310499"</f>
        <v>20190303170310499</v>
      </c>
      <c r="B2756" t="str">
        <f>"1551603790487860"</f>
        <v>1551603790487860</v>
      </c>
      <c r="C2756" t="s">
        <v>40</v>
      </c>
      <c r="D2756">
        <v>4.0931980000000001</v>
      </c>
      <c r="E2756">
        <v>0.46290110000000001</v>
      </c>
      <c r="F2756" t="s">
        <v>66</v>
      </c>
      <c r="G2756">
        <v>-511.959</v>
      </c>
      <c r="H2756">
        <v>0.96689309999999995</v>
      </c>
      <c r="I2756">
        <v>278.75580000000002</v>
      </c>
      <c r="J2756">
        <v>-407.82569999999998</v>
      </c>
      <c r="K2756">
        <v>1.1213109999999999</v>
      </c>
      <c r="L2756">
        <v>284.39409999999998</v>
      </c>
      <c r="M2756">
        <v>-0.99986929999999996</v>
      </c>
      <c r="N2756">
        <v>-1.4553079999999999E-2</v>
      </c>
      <c r="O2756">
        <v>7.0609109999999996E-3</v>
      </c>
      <c r="P2756">
        <v>-0.98361189999999998</v>
      </c>
      <c r="Q2756">
        <v>0.17225750000000001</v>
      </c>
      <c r="R2756">
        <v>5.324835E-2</v>
      </c>
      <c r="S2756">
        <v>-3.0602719999999999</v>
      </c>
      <c r="T2756">
        <v>-4.5273300000000004E-3</v>
      </c>
      <c r="U2756">
        <v>-0.1653442</v>
      </c>
      <c r="V2756">
        <v>4.6448900000000001E-2</v>
      </c>
      <c r="W2756">
        <v>0.1865222</v>
      </c>
      <c r="X2756">
        <v>0.98135220000000001</v>
      </c>
      <c r="Y2756">
        <v>-6.0999270000000001E-2</v>
      </c>
      <c r="Z2756">
        <v>-3.97055E-4</v>
      </c>
      <c r="AA2756">
        <v>0.99813770000000002</v>
      </c>
      <c r="AB2756">
        <v>34</v>
      </c>
      <c r="AC2756">
        <v>-104.13330000000001</v>
      </c>
      <c r="AD2756">
        <v>-0.1544179</v>
      </c>
      <c r="AE2756">
        <v>-5.6382999999999504</v>
      </c>
      <c r="AF2756">
        <v>-6.37349918253335</v>
      </c>
      <c r="AG2756">
        <v>-0.1544179</v>
      </c>
      <c r="AH2756">
        <v>104.090659592162</v>
      </c>
      <c r="AI2756">
        <v>90.084839011962998</v>
      </c>
      <c r="AJ2756">
        <v>93.503861584379194</v>
      </c>
      <c r="AK2756">
        <v>104.28571690816</v>
      </c>
      <c r="AL2756">
        <v>79.250108009322105</v>
      </c>
      <c r="AM2756">
        <v>87.290125569592107</v>
      </c>
      <c r="AN2756">
        <v>1.00000008592444</v>
      </c>
    </row>
    <row r="2757" spans="1:40" x14ac:dyDescent="0.25">
      <c r="A2757" t="str">
        <f>"20190303170310512"</f>
        <v>20190303170310512</v>
      </c>
      <c r="B2757" t="str">
        <f>"1551603790508356"</f>
        <v>1551603790508356</v>
      </c>
      <c r="C2757" t="s">
        <v>40</v>
      </c>
      <c r="D2757">
        <v>4.131094</v>
      </c>
      <c r="E2757">
        <v>0.46286769999999999</v>
      </c>
      <c r="F2757" t="s">
        <v>66</v>
      </c>
      <c r="G2757">
        <v>-511.95890000000003</v>
      </c>
      <c r="H2757">
        <v>0.85937649999999999</v>
      </c>
      <c r="I2757">
        <v>278.745</v>
      </c>
      <c r="J2757">
        <v>-408.02269999999999</v>
      </c>
      <c r="K2757">
        <v>1.1213070000000001</v>
      </c>
      <c r="L2757">
        <v>284.39569999999998</v>
      </c>
      <c r="M2757">
        <v>-0.99986790000000003</v>
      </c>
      <c r="N2757">
        <v>-1.455094E-2</v>
      </c>
      <c r="O2757">
        <v>7.2603449999999996E-3</v>
      </c>
      <c r="P2757">
        <v>-0.98376350000000001</v>
      </c>
      <c r="Q2757">
        <v>0.1714736</v>
      </c>
      <c r="R2757">
        <v>5.2975229999999998E-2</v>
      </c>
      <c r="S2757">
        <v>-3.0603030000000002</v>
      </c>
      <c r="T2757">
        <v>-7.6954359999999999E-3</v>
      </c>
      <c r="U2757">
        <v>-0.16601560000000001</v>
      </c>
      <c r="V2757">
        <v>4.5977629999999999E-2</v>
      </c>
      <c r="W2757">
        <v>0.18573919999999999</v>
      </c>
      <c r="X2757">
        <v>0.98152280000000003</v>
      </c>
      <c r="Y2757">
        <v>-6.1415650000000002E-2</v>
      </c>
      <c r="Z2757">
        <v>-4.3702049999999999E-4</v>
      </c>
      <c r="AA2757">
        <v>0.9981122</v>
      </c>
      <c r="AB2757">
        <v>34</v>
      </c>
      <c r="AC2757">
        <v>-103.9362</v>
      </c>
      <c r="AD2757">
        <v>-0.26193050000000001</v>
      </c>
      <c r="AE2757">
        <v>-5.6506999999999703</v>
      </c>
      <c r="AF2757">
        <v>-6.4052029473385499</v>
      </c>
      <c r="AG2757">
        <v>-0.26193050000000001</v>
      </c>
      <c r="AH2757">
        <v>103.891771773625</v>
      </c>
      <c r="AI2757">
        <v>90.144179266663897</v>
      </c>
      <c r="AJ2757">
        <v>93.527971112681598</v>
      </c>
      <c r="AK2757">
        <v>104.089362927469</v>
      </c>
      <c r="AL2757">
        <v>79.295767588019203</v>
      </c>
      <c r="AM2757">
        <v>87.318045115790099</v>
      </c>
      <c r="AN2757">
        <v>0.99999999989844801</v>
      </c>
    </row>
    <row r="2758" spans="1:40" x14ac:dyDescent="0.25">
      <c r="A2758" t="str">
        <f>"20190303170310524"</f>
        <v>20190303170310524</v>
      </c>
      <c r="B2758" t="str">
        <f>"1551603790518116"</f>
        <v>1551603790518116</v>
      </c>
      <c r="C2758" t="s">
        <v>40</v>
      </c>
      <c r="D2758">
        <v>4.1234599999999997</v>
      </c>
      <c r="E2758">
        <v>0.46285539999999997</v>
      </c>
      <c r="F2758" t="s">
        <v>66</v>
      </c>
      <c r="G2758">
        <v>-511.95890000000003</v>
      </c>
      <c r="H2758">
        <v>0.76347949999999998</v>
      </c>
      <c r="I2758">
        <v>278.7294</v>
      </c>
      <c r="J2758">
        <v>-408.21339999999998</v>
      </c>
      <c r="K2758">
        <v>1.121305</v>
      </c>
      <c r="L2758">
        <v>284.3972</v>
      </c>
      <c r="M2758">
        <v>-0.99986640000000004</v>
      </c>
      <c r="N2758">
        <v>-1.454887E-2</v>
      </c>
      <c r="O2758">
        <v>7.4534609999999998E-3</v>
      </c>
      <c r="P2758">
        <v>-0.98377329999999996</v>
      </c>
      <c r="Q2758">
        <v>0.17138589999999901</v>
      </c>
      <c r="R2758">
        <v>5.3076770000000002E-2</v>
      </c>
      <c r="S2758">
        <v>-3.0603639999999999</v>
      </c>
      <c r="T2758">
        <v>-1.053369E-2</v>
      </c>
      <c r="U2758">
        <v>-0.1668396</v>
      </c>
      <c r="V2758">
        <v>4.5888680000000001E-2</v>
      </c>
      <c r="W2758">
        <v>0.1856498</v>
      </c>
      <c r="X2758">
        <v>0.98154390000000002</v>
      </c>
      <c r="Y2758">
        <v>-6.1874739999999998E-2</v>
      </c>
      <c r="Z2758">
        <v>-4.7415050000000001E-4</v>
      </c>
      <c r="AA2758">
        <v>0.99808379999999997</v>
      </c>
      <c r="AB2758">
        <v>34</v>
      </c>
      <c r="AC2758">
        <v>-103.74550000000001</v>
      </c>
      <c r="AD2758">
        <v>-0.35782550000000002</v>
      </c>
      <c r="AE2758">
        <v>-5.6677999999999997</v>
      </c>
      <c r="AF2758">
        <v>-6.4409110094105202</v>
      </c>
      <c r="AG2758">
        <v>-0.35782550000000002</v>
      </c>
      <c r="AH2758">
        <v>103.69913846719101</v>
      </c>
      <c r="AI2758">
        <v>90.197324470526596</v>
      </c>
      <c r="AJ2758">
        <v>93.554162126512097</v>
      </c>
      <c r="AK2758">
        <v>103.899589472516</v>
      </c>
      <c r="AL2758">
        <v>79.300980750583705</v>
      </c>
      <c r="AM2758">
        <v>87.323283627929399</v>
      </c>
      <c r="AN2758">
        <v>1.00000002340969</v>
      </c>
    </row>
    <row r="2759" spans="1:40" x14ac:dyDescent="0.25">
      <c r="A2759" t="str">
        <f>"20190303170310536"</f>
        <v>20190303170310536</v>
      </c>
      <c r="B2759" t="str">
        <f>"1551603790528851"</f>
        <v>1551603790528851</v>
      </c>
      <c r="C2759" t="s">
        <v>40</v>
      </c>
      <c r="D2759">
        <v>4.1273080000000002</v>
      </c>
      <c r="E2759">
        <v>0.46283879999999999</v>
      </c>
      <c r="F2759" t="s">
        <v>66</v>
      </c>
      <c r="G2759">
        <v>-511.95890000000003</v>
      </c>
      <c r="H2759">
        <v>0.75356269999999903</v>
      </c>
      <c r="I2759">
        <v>278.74450000000002</v>
      </c>
      <c r="J2759">
        <v>-408.39499999999998</v>
      </c>
      <c r="K2759">
        <v>1.121305</v>
      </c>
      <c r="L2759">
        <v>284.39879999999999</v>
      </c>
      <c r="M2759">
        <v>-0.99986509999999995</v>
      </c>
      <c r="N2759">
        <v>-1.45469E-2</v>
      </c>
      <c r="O2759">
        <v>7.6373980000000001E-3</v>
      </c>
      <c r="P2759">
        <v>-0.98370429999999998</v>
      </c>
      <c r="Q2759">
        <v>0.17170160000000001</v>
      </c>
      <c r="R2759">
        <v>5.3333789999999999E-2</v>
      </c>
      <c r="S2759">
        <v>-3.0603639999999999</v>
      </c>
      <c r="T2759">
        <v>-1.0845540000000001E-2</v>
      </c>
      <c r="U2759">
        <v>-0.16674800000000001</v>
      </c>
      <c r="V2759">
        <v>4.5965209999999999E-2</v>
      </c>
      <c r="W2759">
        <v>0.18596270000000001</v>
      </c>
      <c r="X2759">
        <v>0.9814811</v>
      </c>
      <c r="Y2759">
        <v>-6.2028499999999903E-2</v>
      </c>
      <c r="Z2759">
        <v>-4.7738240000000002E-4</v>
      </c>
      <c r="AA2759">
        <v>0.99807429999999997</v>
      </c>
      <c r="AB2759">
        <v>33</v>
      </c>
      <c r="AC2759">
        <v>-103.5639</v>
      </c>
      <c r="AD2759">
        <v>-0.36774230000000002</v>
      </c>
      <c r="AE2759">
        <v>-5.6542999999999699</v>
      </c>
      <c r="AF2759">
        <v>-6.4450963935836203</v>
      </c>
      <c r="AG2759">
        <v>-0.36774230000000002</v>
      </c>
      <c r="AH2759">
        <v>103.51638884968401</v>
      </c>
      <c r="AI2759">
        <v>90.203149211817305</v>
      </c>
      <c r="AJ2759">
        <v>93.562728227760999</v>
      </c>
      <c r="AK2759">
        <v>103.717487736644</v>
      </c>
      <c r="AL2759">
        <v>79.282735338605804</v>
      </c>
      <c r="AM2759">
        <v>87.318654787836607</v>
      </c>
      <c r="AN2759">
        <v>1.0000000379894201</v>
      </c>
    </row>
    <row r="2760" spans="1:40" x14ac:dyDescent="0.25">
      <c r="A2760" t="str">
        <f>"20190303170310549"</f>
        <v>20190303170310549</v>
      </c>
      <c r="B2760" t="str">
        <f>"1551603790538612"</f>
        <v>1551603790538612</v>
      </c>
      <c r="C2760" t="s">
        <v>40</v>
      </c>
      <c r="D2760">
        <v>4.094144</v>
      </c>
      <c r="E2760">
        <v>0.46282509999999999</v>
      </c>
      <c r="F2760" t="s">
        <v>66</v>
      </c>
      <c r="G2760">
        <v>-511.95890000000003</v>
      </c>
      <c r="H2760">
        <v>0.78214819999999996</v>
      </c>
      <c r="I2760">
        <v>278.78300000000002</v>
      </c>
      <c r="J2760">
        <v>-408.5813</v>
      </c>
      <c r="K2760">
        <v>1.1213089999999999</v>
      </c>
      <c r="L2760">
        <v>284.40039999999999</v>
      </c>
      <c r="M2760">
        <v>-0.99986370000000002</v>
      </c>
      <c r="N2760">
        <v>-1.454486E-2</v>
      </c>
      <c r="O2760">
        <v>7.8261040000000004E-3</v>
      </c>
      <c r="P2760">
        <v>-0.98361739999999998</v>
      </c>
      <c r="Q2760">
        <v>0.1718838</v>
      </c>
      <c r="R2760">
        <v>5.4342700000000001E-2</v>
      </c>
      <c r="S2760">
        <v>-3.0604550000000001</v>
      </c>
      <c r="T2760">
        <v>-1.002014E-2</v>
      </c>
      <c r="U2760">
        <v>-0.16595460000000001</v>
      </c>
      <c r="V2760">
        <v>4.6789129999999998E-2</v>
      </c>
      <c r="W2760">
        <v>0.18614130000000001</v>
      </c>
      <c r="X2760">
        <v>0.98140830000000001</v>
      </c>
      <c r="Y2760">
        <v>-6.1957400000000003E-2</v>
      </c>
      <c r="Z2760">
        <v>-4.6415120000000001E-4</v>
      </c>
      <c r="AA2760">
        <v>0.99807869999999999</v>
      </c>
      <c r="AB2760">
        <v>33</v>
      </c>
      <c r="AC2760">
        <v>-103.3776</v>
      </c>
      <c r="AD2760">
        <v>-0.33916079999999998</v>
      </c>
      <c r="AE2760">
        <v>-5.6173999999999698</v>
      </c>
      <c r="AF2760">
        <v>-6.4262883189814701</v>
      </c>
      <c r="AG2760">
        <v>-0.33916079999999998</v>
      </c>
      <c r="AH2760">
        <v>103.329357525188</v>
      </c>
      <c r="AI2760">
        <v>90.187700193977093</v>
      </c>
      <c r="AJ2760">
        <v>93.558771576065595</v>
      </c>
      <c r="AK2760">
        <v>103.529552970034</v>
      </c>
      <c r="AL2760">
        <v>79.272320368118898</v>
      </c>
      <c r="AM2760">
        <v>87.270461931351605</v>
      </c>
      <c r="AN2760">
        <v>1.0000000287803601</v>
      </c>
    </row>
    <row r="2761" spans="1:40" x14ac:dyDescent="0.25">
      <c r="A2761" t="str">
        <f>"20190303170310563"</f>
        <v>20190303170310563</v>
      </c>
      <c r="B2761" t="str">
        <f>"1551603790558132"</f>
        <v>1551603790558132</v>
      </c>
      <c r="C2761" t="s">
        <v>40</v>
      </c>
      <c r="D2761">
        <v>3.9165399999999999</v>
      </c>
      <c r="E2761">
        <v>0.46289920000000001</v>
      </c>
      <c r="F2761" t="s">
        <v>66</v>
      </c>
      <c r="G2761">
        <v>-511.95890000000003</v>
      </c>
      <c r="H2761">
        <v>0.80854479999999995</v>
      </c>
      <c r="I2761">
        <v>278.88979999999998</v>
      </c>
      <c r="J2761">
        <v>-408.7903</v>
      </c>
      <c r="K2761">
        <v>1.1213150000000001</v>
      </c>
      <c r="L2761">
        <v>284.40230000000003</v>
      </c>
      <c r="M2761">
        <v>-0.99986200000000003</v>
      </c>
      <c r="N2761">
        <v>-1.454254E-2</v>
      </c>
      <c r="O2761">
        <v>8.0378749999999999E-3</v>
      </c>
      <c r="P2761">
        <v>-0.98336630000000003</v>
      </c>
      <c r="Q2761">
        <v>0.1726684</v>
      </c>
      <c r="R2761">
        <v>5.6360140000000003E-2</v>
      </c>
      <c r="S2761">
        <v>-3.0606080000000002</v>
      </c>
      <c r="T2761">
        <v>-9.2573169999999993E-3</v>
      </c>
      <c r="U2761">
        <v>-0.16314699999999999</v>
      </c>
      <c r="V2761">
        <v>4.8600419999999998E-2</v>
      </c>
      <c r="W2761">
        <v>0.18691840000000001</v>
      </c>
      <c r="X2761">
        <v>0.9811725</v>
      </c>
      <c r="Y2761">
        <v>-6.1253290000000002E-2</v>
      </c>
      <c r="Z2761">
        <v>-4.4578979999999999E-4</v>
      </c>
      <c r="AA2761">
        <v>0.99812219999999996</v>
      </c>
      <c r="AB2761">
        <v>33</v>
      </c>
      <c r="AC2761">
        <v>-103.1686</v>
      </c>
      <c r="AD2761">
        <v>-0.3127702</v>
      </c>
      <c r="AE2761">
        <v>-5.5125000000000401</v>
      </c>
      <c r="AF2761">
        <v>-6.3416077324321503</v>
      </c>
      <c r="AG2761">
        <v>-0.3127702</v>
      </c>
      <c r="AH2761">
        <v>103.120007980369</v>
      </c>
      <c r="AI2761">
        <v>90.173453892378404</v>
      </c>
      <c r="AJ2761">
        <v>93.519107022127699</v>
      </c>
      <c r="AK2761">
        <v>103.315293445363</v>
      </c>
      <c r="AL2761">
        <v>79.226999909957996</v>
      </c>
      <c r="AM2761">
        <v>87.164285647683499</v>
      </c>
      <c r="AN2761">
        <v>0.99999998191949302</v>
      </c>
    </row>
    <row r="2762" spans="1:40" x14ac:dyDescent="0.25">
      <c r="A2762" t="str">
        <f>"20190303170310578"</f>
        <v>20190303170310578</v>
      </c>
      <c r="B2762" t="str">
        <f>"1551603790567892"</f>
        <v>1551603790567892</v>
      </c>
      <c r="C2762" t="s">
        <v>40</v>
      </c>
      <c r="D2762">
        <v>4.0994400000000004</v>
      </c>
      <c r="E2762">
        <v>0.4629183</v>
      </c>
      <c r="F2762" t="s">
        <v>66</v>
      </c>
      <c r="G2762">
        <v>-511.95890000000003</v>
      </c>
      <c r="H2762">
        <v>0.86609959999999997</v>
      </c>
      <c r="I2762">
        <v>279.12369999999999</v>
      </c>
      <c r="J2762">
        <v>-409.01179999999999</v>
      </c>
      <c r="K2762">
        <v>1.121316</v>
      </c>
      <c r="L2762">
        <v>284.4042</v>
      </c>
      <c r="M2762">
        <v>-0.99986019999999998</v>
      </c>
      <c r="N2762">
        <v>-1.454007E-2</v>
      </c>
      <c r="O2762">
        <v>8.2623450000000008E-3</v>
      </c>
      <c r="P2762">
        <v>-0.98329730000000004</v>
      </c>
      <c r="Q2762">
        <v>0.17270539999999901</v>
      </c>
      <c r="R2762">
        <v>5.7438790000000003E-2</v>
      </c>
      <c r="S2762">
        <v>-3.061096</v>
      </c>
      <c r="T2762">
        <v>-7.5700280000000003E-3</v>
      </c>
      <c r="U2762">
        <v>-0.15661620000000001</v>
      </c>
      <c r="V2762">
        <v>4.9458490000000001E-2</v>
      </c>
      <c r="W2762">
        <v>0.18695210000000001</v>
      </c>
      <c r="X2762">
        <v>0.98112319999999997</v>
      </c>
      <c r="Y2762">
        <v>-5.9345439999999999E-2</v>
      </c>
      <c r="Z2762">
        <v>-4.0544620000000002E-4</v>
      </c>
      <c r="AA2762">
        <v>0.99823740000000005</v>
      </c>
      <c r="AB2762">
        <v>33</v>
      </c>
      <c r="AC2762">
        <v>-102.94710000000001</v>
      </c>
      <c r="AD2762">
        <v>-0.25521639999999901</v>
      </c>
      <c r="AE2762">
        <v>-5.2805000000000097</v>
      </c>
      <c r="AF2762">
        <v>-6.1309564783887298</v>
      </c>
      <c r="AG2762">
        <v>-0.25521639999999901</v>
      </c>
      <c r="AH2762">
        <v>102.899320608526</v>
      </c>
      <c r="AI2762">
        <v>90.141856193790701</v>
      </c>
      <c r="AJ2762">
        <v>93.409771122242404</v>
      </c>
      <c r="AK2762">
        <v>103.082122331891</v>
      </c>
      <c r="AL2762">
        <v>79.225034392694994</v>
      </c>
      <c r="AM2762">
        <v>87.114158518791598</v>
      </c>
      <c r="AN2762">
        <v>0.99999998175286497</v>
      </c>
    </row>
    <row r="2763" spans="1:40" x14ac:dyDescent="0.25">
      <c r="A2763" t="str">
        <f>"20190303170310597"</f>
        <v>20190303170310597</v>
      </c>
      <c r="B2763" t="str">
        <f>"1551603790588388"</f>
        <v>1551603790588388</v>
      </c>
      <c r="C2763" t="s">
        <v>40</v>
      </c>
      <c r="D2763">
        <v>4.085553</v>
      </c>
      <c r="E2763">
        <v>0.46278399999999997</v>
      </c>
      <c r="F2763" t="s">
        <v>66</v>
      </c>
      <c r="G2763">
        <v>-511.95890000000003</v>
      </c>
      <c r="H2763">
        <v>0.85497389999999995</v>
      </c>
      <c r="I2763">
        <v>279.2636</v>
      </c>
      <c r="J2763">
        <v>-409.28789999999998</v>
      </c>
      <c r="K2763">
        <v>1.1213109999999999</v>
      </c>
      <c r="L2763">
        <v>284.40679999999998</v>
      </c>
      <c r="M2763">
        <v>-0.99985780000000002</v>
      </c>
      <c r="N2763">
        <v>-1.4537E-2</v>
      </c>
      <c r="O2763">
        <v>8.5418319999999992E-3</v>
      </c>
      <c r="P2763">
        <v>-0.98339489999999996</v>
      </c>
      <c r="Q2763">
        <v>0.171837299999999</v>
      </c>
      <c r="R2763">
        <v>5.8364329999999999E-2</v>
      </c>
      <c r="S2763">
        <v>-3.0612789999999999</v>
      </c>
      <c r="T2763">
        <v>-7.9176430000000003E-3</v>
      </c>
      <c r="U2763">
        <v>-0.15286250000000001</v>
      </c>
      <c r="V2763">
        <v>5.0107400000000003E-2</v>
      </c>
      <c r="W2763">
        <v>0.1860822</v>
      </c>
      <c r="X2763">
        <v>0.98125569999999895</v>
      </c>
      <c r="Y2763">
        <v>-5.8400460000000001E-2</v>
      </c>
      <c r="Z2763">
        <v>-3.982333E-4</v>
      </c>
      <c r="AA2763">
        <v>0.99829319999999999</v>
      </c>
      <c r="AB2763">
        <v>33</v>
      </c>
      <c r="AC2763">
        <v>-102.67100000000001</v>
      </c>
      <c r="AD2763">
        <v>-0.26633709999999999</v>
      </c>
      <c r="AE2763">
        <v>-5.14319999999997</v>
      </c>
      <c r="AF2763">
        <v>-6.0200630704263904</v>
      </c>
      <c r="AG2763">
        <v>-0.26633709999999999</v>
      </c>
      <c r="AH2763">
        <v>102.62262771141</v>
      </c>
      <c r="AI2763">
        <v>90.148444537877097</v>
      </c>
      <c r="AJ2763">
        <v>93.357245594941602</v>
      </c>
      <c r="AK2763">
        <v>102.79939597691001</v>
      </c>
      <c r="AL2763">
        <v>79.275766913419105</v>
      </c>
      <c r="AM2763">
        <v>87.076754789418402</v>
      </c>
      <c r="AN2763">
        <v>1.0000000427370399</v>
      </c>
    </row>
    <row r="2764" spans="1:40" x14ac:dyDescent="0.25">
      <c r="A2764" t="str">
        <f>"20190303170310609"</f>
        <v>20190303170310609</v>
      </c>
      <c r="B2764" t="str">
        <f>"1551603790598148"</f>
        <v>1551603790598148</v>
      </c>
      <c r="C2764" t="s">
        <v>40</v>
      </c>
      <c r="D2764">
        <v>4.1513910000000003</v>
      </c>
      <c r="E2764">
        <v>0.46271010000000001</v>
      </c>
      <c r="F2764" t="s">
        <v>66</v>
      </c>
      <c r="G2764">
        <v>-513.40930000000003</v>
      </c>
      <c r="H2764">
        <v>0.75271199999999905</v>
      </c>
      <c r="I2764">
        <v>279.27539999999999</v>
      </c>
      <c r="J2764">
        <v>-409.48689999999999</v>
      </c>
      <c r="K2764">
        <v>1.1213089999999999</v>
      </c>
      <c r="L2764">
        <v>284.40870000000001</v>
      </c>
      <c r="M2764">
        <v>-0.99985619999999997</v>
      </c>
      <c r="N2764">
        <v>-1.453484E-2</v>
      </c>
      <c r="O2764">
        <v>8.7434130000000002E-3</v>
      </c>
      <c r="P2764">
        <v>-0.98351849999999996</v>
      </c>
      <c r="Q2764">
        <v>0.17102149999999999</v>
      </c>
      <c r="R2764">
        <v>5.8677359999999998E-2</v>
      </c>
      <c r="S2764">
        <v>-3.0615230000000002</v>
      </c>
      <c r="T2764">
        <v>-1.083565E-2</v>
      </c>
      <c r="U2764">
        <v>-0.15087890000000001</v>
      </c>
      <c r="V2764">
        <v>5.0220019999999997E-2</v>
      </c>
      <c r="W2764">
        <v>0.1852665</v>
      </c>
      <c r="X2764">
        <v>0.98140419999999995</v>
      </c>
      <c r="Y2764">
        <v>-5.7952040000000003E-2</v>
      </c>
      <c r="Z2764">
        <v>-4.278571E-4</v>
      </c>
      <c r="AA2764">
        <v>0.99831930000000002</v>
      </c>
      <c r="AB2764">
        <v>33</v>
      </c>
      <c r="AC2764">
        <v>-103.9224</v>
      </c>
      <c r="AD2764">
        <v>-0.36859700000000001</v>
      </c>
      <c r="AE2764">
        <v>-5.1333000000000197</v>
      </c>
      <c r="AF2764">
        <v>-6.0417603197522602</v>
      </c>
      <c r="AG2764">
        <v>-0.36859700000000001</v>
      </c>
      <c r="AH2764">
        <v>103.87223594641</v>
      </c>
      <c r="AI2764">
        <v>90.202973676534498</v>
      </c>
      <c r="AJ2764">
        <v>93.328875803489893</v>
      </c>
      <c r="AK2764">
        <v>104.048450887154</v>
      </c>
      <c r="AL2764">
        <v>79.323329302629901</v>
      </c>
      <c r="AM2764">
        <v>87.070638566497706</v>
      </c>
      <c r="AN2764">
        <v>0.99999996510434397</v>
      </c>
    </row>
    <row r="2765" spans="1:40" x14ac:dyDescent="0.25">
      <c r="A2765" t="str">
        <f>"20190303170310623"</f>
        <v>20190303170310623</v>
      </c>
      <c r="B2765" t="str">
        <f>"1551603790618644"</f>
        <v>1551603790618644</v>
      </c>
      <c r="C2765" t="s">
        <v>40</v>
      </c>
      <c r="D2765">
        <v>3.982288</v>
      </c>
      <c r="E2765">
        <v>0.46274920000000003</v>
      </c>
      <c r="F2765" t="s">
        <v>66</v>
      </c>
      <c r="G2765">
        <v>-514.00840000000005</v>
      </c>
      <c r="H2765">
        <v>0.66185550000000004</v>
      </c>
      <c r="I2765">
        <v>279.27539999999999</v>
      </c>
      <c r="J2765">
        <v>-409.67129999999997</v>
      </c>
      <c r="K2765">
        <v>1.121305</v>
      </c>
      <c r="L2765">
        <v>284.41050000000001</v>
      </c>
      <c r="M2765">
        <v>-0.99985460000000004</v>
      </c>
      <c r="N2765">
        <v>-1.453284E-2</v>
      </c>
      <c r="O2765">
        <v>8.9302110000000004E-3</v>
      </c>
      <c r="P2765">
        <v>-0.98360860000000006</v>
      </c>
      <c r="Q2765">
        <v>0.17041819999999999</v>
      </c>
      <c r="R2765">
        <v>5.8922839999999997E-2</v>
      </c>
      <c r="S2765">
        <v>-3.0615839999999999</v>
      </c>
      <c r="T2765">
        <v>-1.345563E-2</v>
      </c>
      <c r="U2765">
        <v>-0.1503601</v>
      </c>
      <c r="V2765">
        <v>5.0280329999999998E-2</v>
      </c>
      <c r="W2765">
        <v>0.18466289999999999</v>
      </c>
      <c r="X2765">
        <v>0.98151489999999997</v>
      </c>
      <c r="Y2765">
        <v>-5.7968329999999998E-2</v>
      </c>
      <c r="Z2765">
        <v>-4.583349E-4</v>
      </c>
      <c r="AA2765">
        <v>0.99831829999999999</v>
      </c>
      <c r="AB2765">
        <v>33</v>
      </c>
      <c r="AC2765">
        <v>-104.33710000000001</v>
      </c>
      <c r="AD2765">
        <v>-0.45944950000000001</v>
      </c>
      <c r="AE2765">
        <v>-5.13510000000002</v>
      </c>
      <c r="AF2765">
        <v>-6.06662848848078</v>
      </c>
      <c r="AG2765">
        <v>-0.45944950000000001</v>
      </c>
      <c r="AH2765">
        <v>104.285059005432</v>
      </c>
      <c r="AI2765">
        <v>90.252000791076696</v>
      </c>
      <c r="AJ2765">
        <v>93.329344620521397</v>
      </c>
      <c r="AK2765">
        <v>104.46237890660301</v>
      </c>
      <c r="AL2765">
        <v>79.358520611289094</v>
      </c>
      <c r="AM2765">
        <v>87.067456995482502</v>
      </c>
      <c r="AN2765">
        <v>0.99999999857166399</v>
      </c>
    </row>
    <row r="2766" spans="1:40" x14ac:dyDescent="0.25">
      <c r="A2766" t="str">
        <f>"20190303170310636"</f>
        <v>20190303170310636</v>
      </c>
      <c r="B2766" t="str">
        <f>"1551603790628404"</f>
        <v>1551603790628404</v>
      </c>
      <c r="C2766" t="s">
        <v>40</v>
      </c>
      <c r="D2766">
        <v>4.1343489999999896</v>
      </c>
      <c r="E2766">
        <v>0.46266350000000001</v>
      </c>
      <c r="F2766" t="s">
        <v>66</v>
      </c>
      <c r="G2766">
        <v>-514.85350000000005</v>
      </c>
      <c r="H2766">
        <v>0.56464399999999904</v>
      </c>
      <c r="I2766">
        <v>279.27539999999999</v>
      </c>
      <c r="J2766">
        <v>-409.8818</v>
      </c>
      <c r="K2766">
        <v>1.1213029999999999</v>
      </c>
      <c r="L2766">
        <v>284.4126</v>
      </c>
      <c r="M2766">
        <v>-0.99985270000000004</v>
      </c>
      <c r="N2766">
        <v>-1.453055E-2</v>
      </c>
      <c r="O2766">
        <v>9.1435319999999994E-3</v>
      </c>
      <c r="P2766">
        <v>-0.98370919999999895</v>
      </c>
      <c r="Q2766">
        <v>0.16980379999999901</v>
      </c>
      <c r="R2766">
        <v>5.9019639999999998E-2</v>
      </c>
      <c r="S2766">
        <v>-3.0617369999999999</v>
      </c>
      <c r="T2766">
        <v>-1.6201380000000001E-2</v>
      </c>
      <c r="U2766">
        <v>-0.1494751</v>
      </c>
      <c r="V2766">
        <v>5.0165599999999998E-2</v>
      </c>
      <c r="W2766">
        <v>0.18404799999999999</v>
      </c>
      <c r="X2766">
        <v>0.98163619999999996</v>
      </c>
      <c r="Y2766">
        <v>-5.7890450000000003E-2</v>
      </c>
      <c r="Z2766">
        <v>-4.8951949999999995E-4</v>
      </c>
      <c r="AA2766">
        <v>0.99832279999999995</v>
      </c>
      <c r="AB2766">
        <v>33</v>
      </c>
      <c r="AC2766">
        <v>-104.9717</v>
      </c>
      <c r="AD2766">
        <v>-0.55665900000000001</v>
      </c>
      <c r="AE2766">
        <v>-5.1372</v>
      </c>
      <c r="AF2766">
        <v>-6.0967275286114804</v>
      </c>
      <c r="AG2766">
        <v>-0.55665900000000001</v>
      </c>
      <c r="AH2766">
        <v>104.917390483015</v>
      </c>
      <c r="AI2766">
        <v>90.303478766105499</v>
      </c>
      <c r="AJ2766">
        <v>93.325705723990694</v>
      </c>
      <c r="AK2766">
        <v>105.095855206406</v>
      </c>
      <c r="AL2766">
        <v>79.394365580099702</v>
      </c>
      <c r="AM2766">
        <v>87.074497770310202</v>
      </c>
      <c r="AN2766">
        <v>0.99999994143889803</v>
      </c>
    </row>
    <row r="2767" spans="1:40" x14ac:dyDescent="0.25">
      <c r="A2767" t="str">
        <f>"20190303170310649"</f>
        <v>20190303170310649</v>
      </c>
      <c r="B2767" t="str">
        <f>"1551603790638164"</f>
        <v>1551603790638164</v>
      </c>
      <c r="C2767" t="s">
        <v>40</v>
      </c>
      <c r="D2767">
        <v>4.1388939999999996</v>
      </c>
      <c r="E2767">
        <v>0.4626053</v>
      </c>
      <c r="F2767" t="s">
        <v>66</v>
      </c>
      <c r="G2767">
        <v>-515.00450000000001</v>
      </c>
      <c r="H2767">
        <v>0.48454120000000001</v>
      </c>
      <c r="I2767">
        <v>279.27539999999999</v>
      </c>
      <c r="J2767">
        <v>-410.07499999999999</v>
      </c>
      <c r="K2767">
        <v>1.1213</v>
      </c>
      <c r="L2767">
        <v>284.41460000000001</v>
      </c>
      <c r="M2767">
        <v>-0.99985080000000004</v>
      </c>
      <c r="N2767">
        <v>-1.452843E-2</v>
      </c>
      <c r="O2767">
        <v>9.3395100000000005E-3</v>
      </c>
      <c r="P2767">
        <v>-0.98376909999999895</v>
      </c>
      <c r="Q2767">
        <v>0.1693847</v>
      </c>
      <c r="R2767">
        <v>5.9222329999999997E-2</v>
      </c>
      <c r="S2767">
        <v>-3.06189</v>
      </c>
      <c r="T2767">
        <v>-1.8544439999999999E-2</v>
      </c>
      <c r="U2767">
        <v>-0.1496277</v>
      </c>
      <c r="V2767">
        <v>5.017423E-2</v>
      </c>
      <c r="W2767">
        <v>0.18362809999999999</v>
      </c>
      <c r="X2767">
        <v>0.98171450000000005</v>
      </c>
      <c r="Y2767">
        <v>-5.8132799999999998E-2</v>
      </c>
      <c r="Z2767">
        <v>-5.1943490000000002E-4</v>
      </c>
      <c r="AA2767">
        <v>0.99830870000000005</v>
      </c>
      <c r="AB2767">
        <v>33</v>
      </c>
      <c r="AC2767">
        <v>-104.9295</v>
      </c>
      <c r="AD2767">
        <v>-0.63675879999999996</v>
      </c>
      <c r="AE2767">
        <v>-5.1392000000000104</v>
      </c>
      <c r="AF2767">
        <v>-6.1188446113014301</v>
      </c>
      <c r="AG2767">
        <v>-0.63675879999999996</v>
      </c>
      <c r="AH2767">
        <v>104.873067127166</v>
      </c>
      <c r="AI2767">
        <v>90.347288457687</v>
      </c>
      <c r="AJ2767">
        <v>93.339150616782405</v>
      </c>
      <c r="AK2767">
        <v>105.05334801807</v>
      </c>
      <c r="AL2767">
        <v>79.418842348176796</v>
      </c>
      <c r="AM2767">
        <v>87.074228337979605</v>
      </c>
      <c r="AN2767">
        <v>1.0000000459879701</v>
      </c>
    </row>
    <row r="2768" spans="1:40" x14ac:dyDescent="0.25">
      <c r="A2768" t="str">
        <f>"20190303170310664"</f>
        <v>20190303170310664</v>
      </c>
      <c r="B2768" t="str">
        <f>"1551603790658659"</f>
        <v>1551603790658659</v>
      </c>
      <c r="C2768" t="s">
        <v>40</v>
      </c>
      <c r="D2768">
        <v>4.113639</v>
      </c>
      <c r="E2768">
        <v>0.46247460000000001</v>
      </c>
      <c r="F2768" t="s">
        <v>66</v>
      </c>
      <c r="G2768">
        <v>-515.54380000000003</v>
      </c>
      <c r="H2768">
        <v>0.41587560000000001</v>
      </c>
      <c r="I2768">
        <v>279.27539999999999</v>
      </c>
      <c r="J2768">
        <v>-410.29239999999999</v>
      </c>
      <c r="K2768">
        <v>1.121297</v>
      </c>
      <c r="L2768">
        <v>284.41680000000002</v>
      </c>
      <c r="M2768">
        <v>-0.99984879999999998</v>
      </c>
      <c r="N2768">
        <v>-1.4525980000000001E-2</v>
      </c>
      <c r="O2768">
        <v>9.560341E-3</v>
      </c>
      <c r="P2768">
        <v>-0.98394780000000004</v>
      </c>
      <c r="Q2768">
        <v>0.16851720000000001</v>
      </c>
      <c r="R2768">
        <v>5.8726170000000001E-2</v>
      </c>
      <c r="S2768">
        <v>-3.0620120000000002</v>
      </c>
      <c r="T2768">
        <v>-2.0477769999999999E-2</v>
      </c>
      <c r="U2768">
        <v>-0.14920039999999901</v>
      </c>
      <c r="V2768">
        <v>4.9458189999999999E-2</v>
      </c>
      <c r="W2768">
        <v>0.18276129999999999</v>
      </c>
      <c r="X2768">
        <v>0.98191249999999997</v>
      </c>
      <c r="Y2768">
        <v>-5.821192E-2</v>
      </c>
      <c r="Z2768">
        <v>-5.4272179999999997E-4</v>
      </c>
      <c r="AA2768">
        <v>0.99830410000000003</v>
      </c>
      <c r="AB2768">
        <v>33</v>
      </c>
      <c r="AC2768">
        <v>-105.2514</v>
      </c>
      <c r="AD2768">
        <v>-0.70542139999999998</v>
      </c>
      <c r="AE2768">
        <v>-5.1414000000000302</v>
      </c>
      <c r="AF2768">
        <v>-6.1472349434032196</v>
      </c>
      <c r="AG2768">
        <v>-0.70542139999999998</v>
      </c>
      <c r="AH2768">
        <v>105.192716129318</v>
      </c>
      <c r="AI2768">
        <v>90.383564862624297</v>
      </c>
      <c r="AJ2768">
        <v>93.344437899610298</v>
      </c>
      <c r="AK2768">
        <v>105.374539825634</v>
      </c>
      <c r="AL2768">
        <v>79.469360591867698</v>
      </c>
      <c r="AM2768">
        <v>87.116491816490296</v>
      </c>
      <c r="AN2768">
        <v>0.999999981496007</v>
      </c>
    </row>
    <row r="2769" spans="1:40" x14ac:dyDescent="0.25">
      <c r="A2769" t="str">
        <f>"20190303170310677"</f>
        <v>20190303170310677</v>
      </c>
      <c r="B2769" t="str">
        <f>"1551603790668420"</f>
        <v>1551603790668420</v>
      </c>
      <c r="C2769" t="s">
        <v>40</v>
      </c>
      <c r="D2769">
        <v>4.1690839999999998</v>
      </c>
      <c r="E2769">
        <v>0.46247909999999998</v>
      </c>
      <c r="F2769" t="s">
        <v>66</v>
      </c>
      <c r="G2769">
        <v>-513.50419999999997</v>
      </c>
      <c r="H2769">
        <v>0.34695100000000001</v>
      </c>
      <c r="I2769">
        <v>279.27539999999999</v>
      </c>
      <c r="J2769">
        <v>-410.476</v>
      </c>
      <c r="K2769">
        <v>1.121294</v>
      </c>
      <c r="L2769">
        <v>284.4187</v>
      </c>
      <c r="M2769">
        <v>-0.99984700000000004</v>
      </c>
      <c r="N2769">
        <v>-1.4523899999999999E-2</v>
      </c>
      <c r="O2769">
        <v>9.7465429999999999E-3</v>
      </c>
      <c r="P2769">
        <v>-0.98415050000000004</v>
      </c>
      <c r="Q2769">
        <v>0.16748650000000001</v>
      </c>
      <c r="R2769">
        <v>5.8276679999999997E-2</v>
      </c>
      <c r="S2769">
        <v>-3.0619510000000001</v>
      </c>
      <c r="T2769">
        <v>-2.2969839999999998E-2</v>
      </c>
      <c r="U2769">
        <v>-0.15252689999999999</v>
      </c>
      <c r="V2769">
        <v>4.8822369999999997E-2</v>
      </c>
      <c r="W2769">
        <v>0.18173220000000001</v>
      </c>
      <c r="X2769">
        <v>0.98213530000000004</v>
      </c>
      <c r="Y2769">
        <v>-5.947993E-2</v>
      </c>
      <c r="Z2769">
        <v>-5.8680780000000001E-4</v>
      </c>
      <c r="AA2769">
        <v>0.99822929999999999</v>
      </c>
      <c r="AB2769">
        <v>33</v>
      </c>
      <c r="AC2769">
        <v>-103.028199999999</v>
      </c>
      <c r="AD2769">
        <v>-0.774343</v>
      </c>
      <c r="AE2769">
        <v>-5.1433000000000098</v>
      </c>
      <c r="AF2769">
        <v>-6.14698401097748</v>
      </c>
      <c r="AG2769">
        <v>-0.774343</v>
      </c>
      <c r="AH2769">
        <v>102.96736864117</v>
      </c>
      <c r="AI2769">
        <v>90.430106219486106</v>
      </c>
      <c r="AJ2769">
        <v>93.416409885622997</v>
      </c>
      <c r="AK2769">
        <v>103.153594335823</v>
      </c>
      <c r="AL2769">
        <v>79.529327971117098</v>
      </c>
      <c r="AM2769">
        <v>87.154144665247898</v>
      </c>
      <c r="AN2769">
        <v>0.99999998191767303</v>
      </c>
    </row>
    <row r="2770" spans="1:40" x14ac:dyDescent="0.25">
      <c r="A2770" t="str">
        <f>"20190303170310688"</f>
        <v>20190303170310688</v>
      </c>
      <c r="B2770" t="str">
        <f>"1551603790678180"</f>
        <v>1551603790678180</v>
      </c>
      <c r="C2770" t="s">
        <v>40</v>
      </c>
      <c r="D2770">
        <v>4.1115550000000001</v>
      </c>
      <c r="E2770">
        <v>0.46243099999999998</v>
      </c>
      <c r="F2770" t="s">
        <v>66</v>
      </c>
      <c r="G2770">
        <v>-512.53890000000001</v>
      </c>
      <c r="H2770">
        <v>0.25655529999999999</v>
      </c>
      <c r="I2770">
        <v>279.27539999999999</v>
      </c>
      <c r="J2770">
        <v>-410.66210000000001</v>
      </c>
      <c r="K2770">
        <v>1.121294</v>
      </c>
      <c r="L2770">
        <v>284.42079999999999</v>
      </c>
      <c r="M2770">
        <v>-0.99984519999999999</v>
      </c>
      <c r="N2770">
        <v>-1.4521859999999999E-2</v>
      </c>
      <c r="O2770">
        <v>9.9354270000000001E-3</v>
      </c>
      <c r="P2770">
        <v>-0.98431040000000003</v>
      </c>
      <c r="Q2770">
        <v>0.16657829999999901</v>
      </c>
      <c r="R2770">
        <v>5.8179620000000001E-2</v>
      </c>
      <c r="S2770">
        <v>-3.0618590000000001</v>
      </c>
      <c r="T2770">
        <v>-2.5939460000000001E-2</v>
      </c>
      <c r="U2770">
        <v>-0.15429689999999999</v>
      </c>
      <c r="V2770">
        <v>4.8536790000000003E-2</v>
      </c>
      <c r="W2770">
        <v>0.18082529999999999</v>
      </c>
      <c r="X2770">
        <v>0.98231690000000005</v>
      </c>
      <c r="Y2770">
        <v>-6.0244689999999997E-2</v>
      </c>
      <c r="Z2770">
        <v>-6.3270699999999896E-4</v>
      </c>
      <c r="AA2770">
        <v>0.99818340000000005</v>
      </c>
      <c r="AB2770">
        <v>33</v>
      </c>
      <c r="AC2770">
        <v>-101.8768</v>
      </c>
      <c r="AD2770">
        <v>-0.86473869999999897</v>
      </c>
      <c r="AE2770">
        <v>-5.1453999999999898</v>
      </c>
      <c r="AF2770">
        <v>-6.1569997570228399</v>
      </c>
      <c r="AG2770">
        <v>-0.86473869999999897</v>
      </c>
      <c r="AH2770">
        <v>101.813326674617</v>
      </c>
      <c r="AI2770">
        <v>90.485735482155604</v>
      </c>
      <c r="AJ2770">
        <v>93.460657090810997</v>
      </c>
      <c r="AK2770">
        <v>102.002989699222</v>
      </c>
      <c r="AL2770">
        <v>79.582165655467605</v>
      </c>
      <c r="AM2770">
        <v>87.171286182577802</v>
      </c>
      <c r="AN2770">
        <v>1.0000000505646001</v>
      </c>
    </row>
    <row r="2771" spans="1:40" x14ac:dyDescent="0.25">
      <c r="A2771" t="str">
        <f>"20190303170310703"</f>
        <v>20190303170310703</v>
      </c>
      <c r="B2771" t="str">
        <f>"1551603790698676"</f>
        <v>1551603790698676</v>
      </c>
      <c r="C2771" t="s">
        <v>40</v>
      </c>
      <c r="D2771">
        <v>4.1408199999999997</v>
      </c>
      <c r="E2771">
        <v>0.46228409999999898</v>
      </c>
      <c r="F2771" t="s">
        <v>66</v>
      </c>
      <c r="G2771">
        <v>-512.16150000000005</v>
      </c>
      <c r="H2771">
        <v>0.17359269999999999</v>
      </c>
      <c r="I2771">
        <v>279.27539999999999</v>
      </c>
      <c r="J2771">
        <v>-410.8587</v>
      </c>
      <c r="K2771">
        <v>1.121294</v>
      </c>
      <c r="L2771">
        <v>284.42290000000003</v>
      </c>
      <c r="M2771">
        <v>-0.99984329999999999</v>
      </c>
      <c r="N2771">
        <v>-1.45197E-2</v>
      </c>
      <c r="O2771">
        <v>1.0134860000000001E-2</v>
      </c>
      <c r="P2771">
        <v>-0.98444759999999998</v>
      </c>
      <c r="Q2771">
        <v>0.16582459999999999</v>
      </c>
      <c r="R2771">
        <v>5.8011010000000002E-2</v>
      </c>
      <c r="S2771">
        <v>-3.061798</v>
      </c>
      <c r="T2771">
        <v>-2.8585550000000001E-2</v>
      </c>
      <c r="U2771">
        <v>-0.1552124</v>
      </c>
      <c r="V2771">
        <v>4.8169610000000002E-2</v>
      </c>
      <c r="W2771">
        <v>0.1800716</v>
      </c>
      <c r="X2771">
        <v>0.98247340000000005</v>
      </c>
      <c r="Y2771">
        <v>-6.074164E-2</v>
      </c>
      <c r="Z2771">
        <v>-6.7216619999999896E-4</v>
      </c>
      <c r="AA2771">
        <v>0.99815330000000002</v>
      </c>
      <c r="AB2771">
        <v>33</v>
      </c>
      <c r="AC2771">
        <v>-101.3028</v>
      </c>
      <c r="AD2771">
        <v>-0.94770129999999997</v>
      </c>
      <c r="AE2771">
        <v>-5.1475000000000302</v>
      </c>
      <c r="AF2771">
        <v>-6.1734945239440702</v>
      </c>
      <c r="AG2771">
        <v>-0.94770129999999997</v>
      </c>
      <c r="AH2771">
        <v>101.236584143881</v>
      </c>
      <c r="AI2771">
        <v>90.5353502214343</v>
      </c>
      <c r="AJ2771">
        <v>93.489624923634096</v>
      </c>
      <c r="AK2771">
        <v>101.42906950925</v>
      </c>
      <c r="AL2771">
        <v>79.626070059524807</v>
      </c>
      <c r="AM2771">
        <v>87.193097464501093</v>
      </c>
      <c r="AN2771">
        <v>1.00000003708083</v>
      </c>
    </row>
    <row r="2772" spans="1:40" x14ac:dyDescent="0.25">
      <c r="A2772" t="str">
        <f>"20190303170310714"</f>
        <v>20190303170310714</v>
      </c>
      <c r="B2772" t="str">
        <f>"1551603790708437"</f>
        <v>1551603790708437</v>
      </c>
      <c r="C2772" t="s">
        <v>40</v>
      </c>
      <c r="D2772">
        <v>4.1731870000000004</v>
      </c>
      <c r="E2772">
        <v>0.46218870000000001</v>
      </c>
      <c r="F2772" t="s">
        <v>66</v>
      </c>
      <c r="G2772">
        <v>-511.95859999999999</v>
      </c>
      <c r="H2772">
        <v>0.1121134</v>
      </c>
      <c r="I2772">
        <v>279.24340000000001</v>
      </c>
      <c r="J2772">
        <v>-411.041</v>
      </c>
      <c r="K2772">
        <v>1.1213029999999999</v>
      </c>
      <c r="L2772">
        <v>284.42489999999998</v>
      </c>
      <c r="M2772">
        <v>-0.99984139999999999</v>
      </c>
      <c r="N2772">
        <v>-1.451768E-2</v>
      </c>
      <c r="O2772">
        <v>1.0320050000000001E-2</v>
      </c>
      <c r="P2772">
        <v>-0.98426199999999997</v>
      </c>
      <c r="Q2772">
        <v>0.16684370000000001</v>
      </c>
      <c r="R2772">
        <v>5.8236839999999998E-2</v>
      </c>
      <c r="S2772">
        <v>-3.061798</v>
      </c>
      <c r="T2772">
        <v>-3.056037E-2</v>
      </c>
      <c r="U2772">
        <v>-0.15686040000000001</v>
      </c>
      <c r="V2772">
        <v>4.8215420000000002E-2</v>
      </c>
      <c r="W2772">
        <v>0.181086</v>
      </c>
      <c r="X2772">
        <v>0.98228470000000001</v>
      </c>
      <c r="Y2772">
        <v>-6.1461630000000003E-2</v>
      </c>
      <c r="Z2772">
        <v>-7.0621949999999996E-4</v>
      </c>
      <c r="AA2772">
        <v>0.99810920000000003</v>
      </c>
      <c r="AB2772">
        <v>33</v>
      </c>
      <c r="AC2772">
        <v>-100.91759999999999</v>
      </c>
      <c r="AD2772">
        <v>-1.0091896</v>
      </c>
      <c r="AE2772">
        <v>-5.1814999999999696</v>
      </c>
      <c r="AF2772">
        <v>-6.2221878108984701</v>
      </c>
      <c r="AG2772">
        <v>-1.0091896</v>
      </c>
      <c r="AH2772">
        <v>100.848687092405</v>
      </c>
      <c r="AI2772">
        <v>90.5722498262448</v>
      </c>
      <c r="AJ2772">
        <v>93.530574123374606</v>
      </c>
      <c r="AK2772">
        <v>101.045493581182</v>
      </c>
      <c r="AL2772">
        <v>79.566977899360893</v>
      </c>
      <c r="AM2772">
        <v>87.189893472600005</v>
      </c>
      <c r="AN2772">
        <v>1.0000000489879299</v>
      </c>
    </row>
    <row r="2773" spans="1:40" x14ac:dyDescent="0.25">
      <c r="A2773" t="str">
        <f>"20190303170310727"</f>
        <v>20190303170310727</v>
      </c>
      <c r="B2773" t="str">
        <f>"1551603790718196"</f>
        <v>1551603790718196</v>
      </c>
      <c r="C2773" t="s">
        <v>40</v>
      </c>
      <c r="D2773">
        <v>4.2332549999999998</v>
      </c>
      <c r="E2773">
        <v>0.46216590000000002</v>
      </c>
      <c r="F2773" t="s">
        <v>66</v>
      </c>
      <c r="G2773">
        <v>-511.95870000000002</v>
      </c>
      <c r="H2773">
        <v>0.2155907</v>
      </c>
      <c r="I2773">
        <v>279.25400000000002</v>
      </c>
      <c r="J2773">
        <v>-411.23169999999999</v>
      </c>
      <c r="K2773">
        <v>1.121308</v>
      </c>
      <c r="L2773">
        <v>284.4271</v>
      </c>
      <c r="M2773">
        <v>-0.99983940000000004</v>
      </c>
      <c r="N2773">
        <v>-1.451555E-2</v>
      </c>
      <c r="O2773">
        <v>1.051353E-2</v>
      </c>
      <c r="P2773">
        <v>-0.98384879999999997</v>
      </c>
      <c r="Q2773">
        <v>0.16901070000000001</v>
      </c>
      <c r="R2773">
        <v>5.8968029999999998E-2</v>
      </c>
      <c r="S2773">
        <v>-3.0619510000000001</v>
      </c>
      <c r="T2773">
        <v>-2.747774E-2</v>
      </c>
      <c r="U2773">
        <v>-0.1568909</v>
      </c>
      <c r="V2773">
        <v>4.8761789999999999E-2</v>
      </c>
      <c r="W2773">
        <v>0.18324460000000001</v>
      </c>
      <c r="X2773">
        <v>0.98185719999999999</v>
      </c>
      <c r="Y2773">
        <v>-6.1663099999999998E-2</v>
      </c>
      <c r="Z2773">
        <v>-6.6614859999999997E-4</v>
      </c>
      <c r="AA2773">
        <v>0.99809680000000001</v>
      </c>
      <c r="AB2773">
        <v>33</v>
      </c>
      <c r="AC2773">
        <v>-100.727</v>
      </c>
      <c r="AD2773">
        <v>-0.90571729999999995</v>
      </c>
      <c r="AE2773">
        <v>-5.1730999999999696</v>
      </c>
      <c r="AF2773">
        <v>-6.2314194161780003</v>
      </c>
      <c r="AG2773">
        <v>-0.90571729999999995</v>
      </c>
      <c r="AH2773">
        <v>100.65892139023499</v>
      </c>
      <c r="AI2773">
        <v>90.514541900336994</v>
      </c>
      <c r="AJ2773">
        <v>93.542447865585601</v>
      </c>
      <c r="AK2773">
        <v>100.855685844742</v>
      </c>
      <c r="AL2773">
        <v>79.441193304325694</v>
      </c>
      <c r="AM2773">
        <v>87.156866341283106</v>
      </c>
      <c r="AN2773">
        <v>0.99999992839249896</v>
      </c>
    </row>
    <row r="2774" spans="1:40" x14ac:dyDescent="0.25">
      <c r="A2774" t="str">
        <f>"20190303170310741"</f>
        <v>20190303170310741</v>
      </c>
      <c r="B2774" t="str">
        <f>"1551603790727957"</f>
        <v>1551603790727957</v>
      </c>
      <c r="C2774" t="s">
        <v>40</v>
      </c>
      <c r="D2774">
        <v>4.1940049999999998</v>
      </c>
      <c r="E2774">
        <v>0.46216590000000002</v>
      </c>
      <c r="F2774" t="s">
        <v>66</v>
      </c>
      <c r="G2774">
        <v>-513.04610000000002</v>
      </c>
      <c r="H2774">
        <v>0.433031</v>
      </c>
      <c r="I2774">
        <v>279.27539999999999</v>
      </c>
      <c r="J2774">
        <v>-411.43200000000002</v>
      </c>
      <c r="K2774">
        <v>1.1213150000000001</v>
      </c>
      <c r="L2774">
        <v>284.42939999999999</v>
      </c>
      <c r="M2774">
        <v>-0.99983730000000004</v>
      </c>
      <c r="N2774">
        <v>-1.451333E-2</v>
      </c>
      <c r="O2774">
        <v>1.071713E-2</v>
      </c>
      <c r="P2774">
        <v>-0.98362369999999999</v>
      </c>
      <c r="Q2774">
        <v>0.16997880000000001</v>
      </c>
      <c r="R2774">
        <v>5.993242E-2</v>
      </c>
      <c r="S2774">
        <v>-3.062103</v>
      </c>
      <c r="T2774">
        <v>-2.0697710000000001E-2</v>
      </c>
      <c r="U2774">
        <v>-0.15493770000000001</v>
      </c>
      <c r="V2774">
        <v>4.9528780000000001E-2</v>
      </c>
      <c r="W2774">
        <v>0.18420690000000001</v>
      </c>
      <c r="X2774">
        <v>0.98163880000000003</v>
      </c>
      <c r="Y2774">
        <v>-6.1230769999999997E-2</v>
      </c>
      <c r="Z2774">
        <v>-5.6841239999999896E-4</v>
      </c>
      <c r="AA2774">
        <v>0.99812350000000005</v>
      </c>
      <c r="AB2774">
        <v>33</v>
      </c>
      <c r="AC2774">
        <v>-101.61409999999999</v>
      </c>
      <c r="AD2774">
        <v>-0.68828400000000001</v>
      </c>
      <c r="AE2774">
        <v>-5.1539999999999901</v>
      </c>
      <c r="AF2774">
        <v>-6.2425444325450199</v>
      </c>
      <c r="AG2774">
        <v>-0.68828400000000001</v>
      </c>
      <c r="AH2774">
        <v>101.548374034853</v>
      </c>
      <c r="AI2774">
        <v>90.387607037347607</v>
      </c>
      <c r="AJ2774">
        <v>93.517751262506494</v>
      </c>
      <c r="AK2774">
        <v>101.742397086856</v>
      </c>
      <c r="AL2774">
        <v>79.3851036237767</v>
      </c>
      <c r="AM2774">
        <v>87.111579482849507</v>
      </c>
      <c r="AN2774">
        <v>1.0000000078606599</v>
      </c>
    </row>
    <row r="2775" spans="1:40" x14ac:dyDescent="0.25">
      <c r="A2775" t="str">
        <f>"20190303170310756"</f>
        <v>20190303170310756</v>
      </c>
      <c r="B2775" t="str">
        <f>"1551603790748452"</f>
        <v>1551603790748452</v>
      </c>
      <c r="C2775" t="s">
        <v>40</v>
      </c>
      <c r="D2775">
        <v>4.1520440000000001</v>
      </c>
      <c r="E2775">
        <v>0.4628678</v>
      </c>
      <c r="F2775" t="s">
        <v>66</v>
      </c>
      <c r="G2775">
        <v>-514.95010000000002</v>
      </c>
      <c r="H2775">
        <v>0.53353819999999996</v>
      </c>
      <c r="I2775">
        <v>279.27539999999999</v>
      </c>
      <c r="J2775">
        <v>-411.64249999999998</v>
      </c>
      <c r="K2775">
        <v>1.121313</v>
      </c>
      <c r="L2775">
        <v>284.43189999999998</v>
      </c>
      <c r="M2775">
        <v>-0.99983500000000003</v>
      </c>
      <c r="N2775">
        <v>-1.4511019999999999E-2</v>
      </c>
      <c r="O2775">
        <v>1.0931049999999999E-2</v>
      </c>
      <c r="P2775">
        <v>-0.98360369999999997</v>
      </c>
      <c r="Q2775">
        <v>0.16983819999999999</v>
      </c>
      <c r="R2775">
        <v>6.065603E-2</v>
      </c>
      <c r="S2775">
        <v>-3.0622859999999998</v>
      </c>
      <c r="T2775">
        <v>-1.738524E-2</v>
      </c>
      <c r="U2775">
        <v>-0.15246579999999901</v>
      </c>
      <c r="V2775">
        <v>5.0041599999999999E-2</v>
      </c>
      <c r="W2775">
        <v>0.18406349999999999</v>
      </c>
      <c r="X2775">
        <v>0.9816397</v>
      </c>
      <c r="Y2775">
        <v>-6.0638450000000003E-2</v>
      </c>
      <c r="Z2775">
        <v>-5.1578940000000003E-4</v>
      </c>
      <c r="AA2775">
        <v>0.99815960000000004</v>
      </c>
      <c r="AB2775">
        <v>33</v>
      </c>
      <c r="AC2775">
        <v>-103.30759999999999</v>
      </c>
      <c r="AD2775">
        <v>-0.58777480000000004</v>
      </c>
      <c r="AE2775">
        <v>-5.1564999999999896</v>
      </c>
      <c r="AF2775">
        <v>-6.28536830368175</v>
      </c>
      <c r="AG2775">
        <v>-0.58777480000000004</v>
      </c>
      <c r="AH2775">
        <v>103.241720880329</v>
      </c>
      <c r="AI2775">
        <v>90.325589462486406</v>
      </c>
      <c r="AJ2775">
        <v>93.483873951700204</v>
      </c>
      <c r="AK2775">
        <v>103.434540963163</v>
      </c>
      <c r="AL2775">
        <v>79.393462872299096</v>
      </c>
      <c r="AM2775">
        <v>87.081726937414203</v>
      </c>
      <c r="AN2775">
        <v>1.0000000171894401</v>
      </c>
    </row>
    <row r="2776" spans="1:40" x14ac:dyDescent="0.25">
      <c r="A2776" t="str">
        <f>"20190303170310770"</f>
        <v>20190303170310770</v>
      </c>
      <c r="B2776" t="str">
        <f>"1551603790758212"</f>
        <v>1551603790758212</v>
      </c>
      <c r="C2776" t="s">
        <v>40</v>
      </c>
      <c r="D2776">
        <v>4.2673550000000002</v>
      </c>
      <c r="E2776">
        <v>0.50119269999999905</v>
      </c>
      <c r="F2776" t="s">
        <v>66</v>
      </c>
      <c r="G2776">
        <v>-547.08199999999999</v>
      </c>
      <c r="H2776">
        <v>0.29667349999999998</v>
      </c>
      <c r="I2776">
        <v>278.05</v>
      </c>
      <c r="J2776">
        <v>-411.8657</v>
      </c>
      <c r="K2776">
        <v>1.1213120000000001</v>
      </c>
      <c r="L2776">
        <v>284.43459999999999</v>
      </c>
      <c r="M2776">
        <v>-0.99983259999999996</v>
      </c>
      <c r="N2776">
        <v>-1.45086E-2</v>
      </c>
      <c r="O2776">
        <v>1.1157540000000001E-2</v>
      </c>
      <c r="P2776">
        <v>-0.9836279</v>
      </c>
      <c r="Q2776">
        <v>0.1695313</v>
      </c>
      <c r="R2776">
        <v>6.1119630000000001E-2</v>
      </c>
      <c r="S2776">
        <v>-3.0621339999999999</v>
      </c>
      <c r="T2776">
        <v>-1.8642309999999999E-2</v>
      </c>
      <c r="U2776">
        <v>-0.1442871</v>
      </c>
      <c r="V2776">
        <v>5.0281359999999997E-2</v>
      </c>
      <c r="W2776">
        <v>0.18375459999999999</v>
      </c>
      <c r="X2776">
        <v>0.98168529999999998</v>
      </c>
      <c r="Y2776">
        <v>-5.8206960000000002E-2</v>
      </c>
      <c r="Z2776">
        <v>-5.0570189999999998E-4</v>
      </c>
      <c r="AA2776">
        <v>0.99830439999999998</v>
      </c>
      <c r="AB2776">
        <v>33</v>
      </c>
      <c r="AC2776">
        <v>-135.21629999999999</v>
      </c>
      <c r="AD2776">
        <v>-0.82463850000000005</v>
      </c>
      <c r="AE2776">
        <v>-6.3845999999999696</v>
      </c>
      <c r="AF2776">
        <v>-7.8927495096803799</v>
      </c>
      <c r="AG2776">
        <v>-0.82463850000000005</v>
      </c>
      <c r="AH2776">
        <v>135.131622599678</v>
      </c>
      <c r="AI2776">
        <v>90.349047347939603</v>
      </c>
      <c r="AJ2776">
        <v>93.342726367980106</v>
      </c>
      <c r="AK2776">
        <v>135.364437537708</v>
      </c>
      <c r="AL2776">
        <v>79.411468455004098</v>
      </c>
      <c r="AM2776">
        <v>87.067905176858801</v>
      </c>
      <c r="AN2776">
        <v>0.99999999821034902</v>
      </c>
    </row>
    <row r="2777" spans="1:40" x14ac:dyDescent="0.25">
      <c r="A2777" t="str">
        <f>"20190303170310787"</f>
        <v>20190303170310787</v>
      </c>
      <c r="B2777" t="str">
        <f>"1551603790778708"</f>
        <v>1551603790778708</v>
      </c>
      <c r="C2777" t="s">
        <v>40</v>
      </c>
      <c r="D2777">
        <v>4.1144080000000001</v>
      </c>
      <c r="E2777">
        <v>0.50226400000000004</v>
      </c>
      <c r="F2777" t="s">
        <v>44</v>
      </c>
      <c r="G2777">
        <v>-542.12379999999996</v>
      </c>
      <c r="H2777">
        <v>-0.05</v>
      </c>
      <c r="I2777">
        <v>291.38069999999999</v>
      </c>
      <c r="J2777">
        <v>-412.10359999999997</v>
      </c>
      <c r="K2777">
        <v>1.1213089999999999</v>
      </c>
      <c r="L2777">
        <v>284.43740000000003</v>
      </c>
      <c r="M2777">
        <v>-0.99982990000000005</v>
      </c>
      <c r="N2777">
        <v>-1.450603E-2</v>
      </c>
      <c r="O2777">
        <v>1.1399299999999999E-2</v>
      </c>
      <c r="P2777">
        <v>-0.98369419999999996</v>
      </c>
      <c r="Q2777">
        <v>0.169008299999999</v>
      </c>
      <c r="R2777">
        <v>6.1500649999999997E-2</v>
      </c>
      <c r="S2777">
        <v>-3.044556</v>
      </c>
      <c r="T2777">
        <v>-2.7377370000000002E-2</v>
      </c>
      <c r="U2777">
        <v>0.16235350000000001</v>
      </c>
      <c r="V2777">
        <v>5.0423179999999998E-2</v>
      </c>
      <c r="W2777">
        <v>0.18323059999999999</v>
      </c>
      <c r="X2777">
        <v>0.98177599999999998</v>
      </c>
      <c r="Y2777">
        <v>4.185817E-2</v>
      </c>
      <c r="Z2777">
        <v>5.5475360000000005E-4</v>
      </c>
      <c r="AA2777">
        <v>0.99912339999999999</v>
      </c>
      <c r="AB2777">
        <v>33</v>
      </c>
      <c r="AC2777">
        <v>-130.02019999999999</v>
      </c>
      <c r="AD2777">
        <v>-1.1713089999999999</v>
      </c>
      <c r="AE2777">
        <v>6.9432999999999598</v>
      </c>
      <c r="AF2777">
        <v>5.4601118255173899</v>
      </c>
      <c r="AG2777">
        <v>-1.1713089999999999</v>
      </c>
      <c r="AH2777">
        <v>130.080380554794</v>
      </c>
      <c r="AI2777">
        <v>90.515452136134201</v>
      </c>
      <c r="AJ2777">
        <v>87.596425956455903</v>
      </c>
      <c r="AK2777">
        <v>130.20019274640401</v>
      </c>
      <c r="AL2777">
        <v>79.442010367152406</v>
      </c>
      <c r="AM2777">
        <v>87.059920776019993</v>
      </c>
      <c r="AN2777">
        <v>1.0000000320168301</v>
      </c>
    </row>
    <row r="2778" spans="1:40" x14ac:dyDescent="0.25">
      <c r="A2778" t="str">
        <f>"20190303170310808"</f>
        <v>20190303170310808</v>
      </c>
      <c r="B2778" t="str">
        <f>"1551603790798228"</f>
        <v>1551603790798228</v>
      </c>
      <c r="C2778" t="s">
        <v>40</v>
      </c>
      <c r="D2778">
        <v>4.0902149999999997</v>
      </c>
      <c r="E2778">
        <v>0.5026891</v>
      </c>
      <c r="F2778" t="s">
        <v>44</v>
      </c>
      <c r="G2778">
        <v>-532.48099999999999</v>
      </c>
      <c r="H2778">
        <v>-0.05</v>
      </c>
      <c r="I2778">
        <v>291.24020000000002</v>
      </c>
      <c r="J2778">
        <v>-412.42739999999998</v>
      </c>
      <c r="K2778">
        <v>1.1213059999999999</v>
      </c>
      <c r="L2778">
        <v>284.44150000000002</v>
      </c>
      <c r="M2778">
        <v>-0.99982610000000005</v>
      </c>
      <c r="N2778">
        <v>-1.450244E-2</v>
      </c>
      <c r="O2778">
        <v>1.172843E-2</v>
      </c>
      <c r="P2778">
        <v>-0.98380350000000005</v>
      </c>
      <c r="Q2778">
        <v>0.16826569999999999</v>
      </c>
      <c r="R2778">
        <v>6.178608E-2</v>
      </c>
      <c r="S2778">
        <v>-3.0440670000000001</v>
      </c>
      <c r="T2778">
        <v>-2.9619690000000001E-2</v>
      </c>
      <c r="U2778">
        <v>0.1720276</v>
      </c>
      <c r="V2778">
        <v>5.0382349999999999E-2</v>
      </c>
      <c r="W2778">
        <v>0.1824866</v>
      </c>
      <c r="X2778">
        <v>0.98191660000000003</v>
      </c>
      <c r="Y2778">
        <v>4.4702409999999998E-2</v>
      </c>
      <c r="Z2778">
        <v>5.9771399999999995E-4</v>
      </c>
      <c r="AA2778">
        <v>0.9990002</v>
      </c>
      <c r="AB2778">
        <v>33</v>
      </c>
      <c r="AC2778">
        <v>-120.0536</v>
      </c>
      <c r="AD2778">
        <v>-1.171306</v>
      </c>
      <c r="AE2778">
        <v>6.7986999999999904</v>
      </c>
      <c r="AF2778">
        <v>5.38953263407757</v>
      </c>
      <c r="AG2778">
        <v>-1.171306</v>
      </c>
      <c r="AH2778">
        <v>120.11369034224199</v>
      </c>
      <c r="AI2778">
        <v>90.558148806142</v>
      </c>
      <c r="AJ2778">
        <v>87.430846688236301</v>
      </c>
      <c r="AK2778">
        <v>120.240249614642</v>
      </c>
      <c r="AL2778">
        <v>79.485368887613404</v>
      </c>
      <c r="AM2778">
        <v>87.0627172344157</v>
      </c>
      <c r="AN2778">
        <v>0.99999997486332004</v>
      </c>
    </row>
    <row r="2779" spans="1:40" x14ac:dyDescent="0.25">
      <c r="A2779" t="str">
        <f>"20190303170310833"</f>
        <v>20190303170310833</v>
      </c>
      <c r="B2779" t="str">
        <f>"1551603790828484"</f>
        <v>1551603790828484</v>
      </c>
      <c r="C2779" t="s">
        <v>40</v>
      </c>
      <c r="D2779">
        <v>4.1326580000000002</v>
      </c>
      <c r="E2779">
        <v>0.50280170000000002</v>
      </c>
      <c r="F2779" t="s">
        <v>44</v>
      </c>
      <c r="G2779">
        <v>-529.13589999999999</v>
      </c>
      <c r="H2779">
        <v>-0.05</v>
      </c>
      <c r="I2779">
        <v>291.20080000000002</v>
      </c>
      <c r="J2779">
        <v>-412.75</v>
      </c>
      <c r="K2779">
        <v>1.1213040000000001</v>
      </c>
      <c r="L2779">
        <v>284.44560000000001</v>
      </c>
      <c r="M2779">
        <v>-0.9998224</v>
      </c>
      <c r="N2779">
        <v>-1.4499E-2</v>
      </c>
      <c r="O2779">
        <v>1.205637E-2</v>
      </c>
      <c r="P2779">
        <v>-0.98393370000000002</v>
      </c>
      <c r="Q2779">
        <v>0.16730220000000001</v>
      </c>
      <c r="R2779">
        <v>6.2325720000000001E-2</v>
      </c>
      <c r="S2779">
        <v>-3.0435490000000001</v>
      </c>
      <c r="T2779">
        <v>-3.0545590000000001E-2</v>
      </c>
      <c r="U2779">
        <v>0.1762695</v>
      </c>
      <c r="V2779">
        <v>5.0596259999999997E-2</v>
      </c>
      <c r="W2779">
        <v>0.18152160000000001</v>
      </c>
      <c r="X2779">
        <v>0.98208450000000003</v>
      </c>
      <c r="Y2779">
        <v>4.5771729999999997E-2</v>
      </c>
      <c r="Z2779">
        <v>6.1543199999999996E-4</v>
      </c>
      <c r="AA2779">
        <v>0.9989517</v>
      </c>
      <c r="AB2779">
        <v>33</v>
      </c>
      <c r="AC2779">
        <v>-116.38590000000001</v>
      </c>
      <c r="AD2779">
        <v>-1.1713039999999999</v>
      </c>
      <c r="AE2779">
        <v>6.7552000000000003</v>
      </c>
      <c r="AF2779">
        <v>5.3508300936915996</v>
      </c>
      <c r="AG2779">
        <v>-1.1713039999999999</v>
      </c>
      <c r="AH2779">
        <v>116.447136385788</v>
      </c>
      <c r="AI2779">
        <v>90.575692821506493</v>
      </c>
      <c r="AJ2779">
        <v>87.369068182463295</v>
      </c>
      <c r="AK2779">
        <v>116.575893340786</v>
      </c>
      <c r="AL2779">
        <v>79.541598944633606</v>
      </c>
      <c r="AM2779">
        <v>87.050771698270907</v>
      </c>
      <c r="AN2779">
        <v>1.00000001896639</v>
      </c>
    </row>
    <row r="2780" spans="1:40" x14ac:dyDescent="0.25">
      <c r="A2780" t="str">
        <f>"20190303170310846"</f>
        <v>20190303170310846</v>
      </c>
      <c r="B2780" t="str">
        <f>"1551603790838244"</f>
        <v>1551603790838244</v>
      </c>
      <c r="C2780" t="s">
        <v>40</v>
      </c>
      <c r="D2780">
        <v>4.140358</v>
      </c>
      <c r="E2780">
        <v>0.50281299999999995</v>
      </c>
      <c r="F2780" t="s">
        <v>57</v>
      </c>
      <c r="G2780">
        <v>-504.58260000000001</v>
      </c>
      <c r="H2780">
        <v>8.000488E-2</v>
      </c>
      <c r="I2780">
        <v>289.83229999999998</v>
      </c>
      <c r="J2780">
        <v>-412.97329999999999</v>
      </c>
      <c r="K2780">
        <v>1.1213070000000001</v>
      </c>
      <c r="L2780">
        <v>284.4486</v>
      </c>
      <c r="M2780">
        <v>-0.99981949999999997</v>
      </c>
      <c r="N2780">
        <v>-1.44966E-2</v>
      </c>
      <c r="O2780">
        <v>1.2283580000000001E-2</v>
      </c>
      <c r="P2780">
        <v>-0.98384170000000004</v>
      </c>
      <c r="Q2780">
        <v>0.16764009999999999</v>
      </c>
      <c r="R2780">
        <v>6.2866930000000001E-2</v>
      </c>
      <c r="S2780">
        <v>-3.0435490000000001</v>
      </c>
      <c r="T2780">
        <v>-3.4511090000000001E-2</v>
      </c>
      <c r="U2780">
        <v>0.17852779999999999</v>
      </c>
      <c r="V2780">
        <v>5.091478E-2</v>
      </c>
      <c r="W2780">
        <v>0.1818564</v>
      </c>
      <c r="X2780">
        <v>0.98200609999999999</v>
      </c>
      <c r="Y2780">
        <v>4.6282219999999999E-2</v>
      </c>
      <c r="Z2780">
        <v>6.367651E-4</v>
      </c>
      <c r="AA2780">
        <v>0.99892820000000004</v>
      </c>
      <c r="AB2780">
        <v>33</v>
      </c>
      <c r="AC2780">
        <v>-91.609300000000005</v>
      </c>
      <c r="AD2780">
        <v>-1.0413021200000001</v>
      </c>
      <c r="AE2780">
        <v>5.38369999999997</v>
      </c>
      <c r="AF2780">
        <v>4.2573371811464504</v>
      </c>
      <c r="AG2780">
        <v>-1.0413021200000001</v>
      </c>
      <c r="AH2780">
        <v>91.656723435149203</v>
      </c>
      <c r="AI2780">
        <v>90.6502021880722</v>
      </c>
      <c r="AJ2780">
        <v>87.340596009667493</v>
      </c>
      <c r="AK2780">
        <v>91.761452586838004</v>
      </c>
      <c r="AL2780">
        <v>79.5220916791626</v>
      </c>
      <c r="AM2780">
        <v>87.0320019165963</v>
      </c>
      <c r="AN2780">
        <v>1.0000000227403001</v>
      </c>
    </row>
    <row r="2781" spans="1:40" x14ac:dyDescent="0.25">
      <c r="A2781" t="str">
        <f>"20190303170310860"</f>
        <v>20190303170310860</v>
      </c>
      <c r="B2781" t="str">
        <f>"1551603790848004"</f>
        <v>1551603790848004</v>
      </c>
      <c r="C2781" t="s">
        <v>40</v>
      </c>
      <c r="D2781">
        <v>4.1262319999999999</v>
      </c>
      <c r="E2781">
        <v>0.50278970000000001</v>
      </c>
      <c r="F2781" t="s">
        <v>44</v>
      </c>
      <c r="G2781">
        <v>-519.0136</v>
      </c>
      <c r="H2781">
        <v>-0.05</v>
      </c>
      <c r="I2781">
        <v>290.7242</v>
      </c>
      <c r="J2781">
        <v>-413.18619999999999</v>
      </c>
      <c r="K2781">
        <v>1.1213120000000001</v>
      </c>
      <c r="L2781">
        <v>284.45139999999998</v>
      </c>
      <c r="M2781">
        <v>-0.99981699999999996</v>
      </c>
      <c r="N2781">
        <v>-1.449427E-2</v>
      </c>
      <c r="O2781">
        <v>1.250006E-2</v>
      </c>
      <c r="P2781">
        <v>-0.98368529999999998</v>
      </c>
      <c r="Q2781">
        <v>0.16834180000000001</v>
      </c>
      <c r="R2781">
        <v>6.3441259999999999E-2</v>
      </c>
      <c r="S2781">
        <v>-3.0434269999999999</v>
      </c>
      <c r="T2781">
        <v>-3.3617260000000003E-2</v>
      </c>
      <c r="U2781">
        <v>0.18011469999999999</v>
      </c>
      <c r="V2781">
        <v>5.127835E-2</v>
      </c>
      <c r="W2781">
        <v>0.18255360000000001</v>
      </c>
      <c r="X2781">
        <v>0.9818578</v>
      </c>
      <c r="Y2781">
        <v>4.6587549999999998E-2</v>
      </c>
      <c r="Z2781">
        <v>6.3814899999999996E-4</v>
      </c>
      <c r="AA2781">
        <v>0.99891399999999997</v>
      </c>
      <c r="AB2781">
        <v>33</v>
      </c>
      <c r="AC2781">
        <v>-105.8274</v>
      </c>
      <c r="AD2781">
        <v>-1.1713119999999999</v>
      </c>
      <c r="AE2781">
        <v>6.2728000000000099</v>
      </c>
      <c r="AF2781">
        <v>4.94871811534051</v>
      </c>
      <c r="AG2781">
        <v>-1.1713119999999999</v>
      </c>
      <c r="AH2781">
        <v>105.88462286082699</v>
      </c>
      <c r="AI2781">
        <v>90.633097866485699</v>
      </c>
      <c r="AJ2781">
        <v>87.324120584735994</v>
      </c>
      <c r="AK2781">
        <v>106.00667498401199</v>
      </c>
      <c r="AL2781">
        <v>79.481464887505098</v>
      </c>
      <c r="AM2781">
        <v>87.010395803819307</v>
      </c>
      <c r="AN2781">
        <v>1.00000001273626</v>
      </c>
    </row>
    <row r="2782" spans="1:40" x14ac:dyDescent="0.25">
      <c r="A2782" t="str">
        <f>"20190303170310872"</f>
        <v>20190303170310872</v>
      </c>
      <c r="B2782" t="str">
        <f>"1551603790858740"</f>
        <v>1551603790858740</v>
      </c>
      <c r="C2782" t="s">
        <v>40</v>
      </c>
      <c r="D2782">
        <v>4.3229030000000002</v>
      </c>
      <c r="E2782">
        <v>0.50272510000000004</v>
      </c>
      <c r="F2782" t="s">
        <v>44</v>
      </c>
      <c r="G2782">
        <v>-524.65560000000005</v>
      </c>
      <c r="H2782">
        <v>-0.05</v>
      </c>
      <c r="I2782">
        <v>291.09500000000003</v>
      </c>
      <c r="J2782">
        <v>-413.36709999999999</v>
      </c>
      <c r="K2782">
        <v>1.121318</v>
      </c>
      <c r="L2782">
        <v>284.4538</v>
      </c>
      <c r="M2782">
        <v>-0.9998146</v>
      </c>
      <c r="N2782">
        <v>-1.449228E-2</v>
      </c>
      <c r="O2782">
        <v>1.2684000000000001E-2</v>
      </c>
      <c r="P2782">
        <v>-0.98353489999999999</v>
      </c>
      <c r="Q2782">
        <v>0.16897029999999999</v>
      </c>
      <c r="R2782">
        <v>6.4096990000000006E-2</v>
      </c>
      <c r="S2782">
        <v>-3.0435490000000001</v>
      </c>
      <c r="T2782">
        <v>-3.1981349999999999E-2</v>
      </c>
      <c r="U2782">
        <v>0.18139649999999999</v>
      </c>
      <c r="V2782">
        <v>5.1755170000000003E-2</v>
      </c>
      <c r="W2782">
        <v>0.1831776</v>
      </c>
      <c r="X2782">
        <v>0.98171660000000005</v>
      </c>
      <c r="Y2782">
        <v>4.6821069999999999E-2</v>
      </c>
      <c r="Z2782">
        <v>6.3592849999999997E-4</v>
      </c>
      <c r="AA2782">
        <v>0.99890310000000004</v>
      </c>
      <c r="AB2782">
        <v>33</v>
      </c>
      <c r="AC2782">
        <v>-111.2885</v>
      </c>
      <c r="AD2782">
        <v>-1.1713180000000001</v>
      </c>
      <c r="AE2782">
        <v>6.64120000000002</v>
      </c>
      <c r="AF2782">
        <v>5.2283570195544602</v>
      </c>
      <c r="AG2782">
        <v>-1.1713180000000001</v>
      </c>
      <c r="AH2782">
        <v>111.35149992308</v>
      </c>
      <c r="AI2782">
        <v>90.602014831060501</v>
      </c>
      <c r="AJ2782">
        <v>87.311729622610599</v>
      </c>
      <c r="AK2782">
        <v>111.48033117147099</v>
      </c>
      <c r="AL2782">
        <v>79.445099588214603</v>
      </c>
      <c r="AM2782">
        <v>86.982214438697298</v>
      </c>
      <c r="AN2782">
        <v>1.00000005673952</v>
      </c>
    </row>
    <row r="2783" spans="1:40" x14ac:dyDescent="0.25">
      <c r="A2783" t="str">
        <f>"20190303170310886"</f>
        <v>20190303170310886</v>
      </c>
      <c r="B2783" t="str">
        <f>"1551603790878260"</f>
        <v>1551603790878260</v>
      </c>
      <c r="C2783" t="s">
        <v>40</v>
      </c>
      <c r="D2783">
        <v>4.148968</v>
      </c>
      <c r="E2783">
        <v>0.50269549999999996</v>
      </c>
      <c r="F2783" t="s">
        <v>44</v>
      </c>
      <c r="G2783">
        <v>-530.47080000000005</v>
      </c>
      <c r="H2783">
        <v>-0.05</v>
      </c>
      <c r="I2783">
        <v>291.48610000000002</v>
      </c>
      <c r="J2783">
        <v>-413.5643</v>
      </c>
      <c r="K2783">
        <v>1.1213229999999901</v>
      </c>
      <c r="L2783">
        <v>284.45650000000001</v>
      </c>
      <c r="M2783">
        <v>-0.99981209999999998</v>
      </c>
      <c r="N2783">
        <v>-1.4490100000000001E-2</v>
      </c>
      <c r="O2783">
        <v>1.2884619999999999E-2</v>
      </c>
      <c r="P2783">
        <v>-0.98329089999999997</v>
      </c>
      <c r="Q2783">
        <v>0.17008280000000001</v>
      </c>
      <c r="R2783">
        <v>6.4894099999999996E-2</v>
      </c>
      <c r="S2783">
        <v>-3.0435180000000002</v>
      </c>
      <c r="T2783">
        <v>-3.0442480000000001E-2</v>
      </c>
      <c r="U2783">
        <v>0.18276980000000001</v>
      </c>
      <c r="V2783">
        <v>5.2358559999999998E-2</v>
      </c>
      <c r="W2783">
        <v>0.1842838</v>
      </c>
      <c r="X2783">
        <v>0.9814775</v>
      </c>
      <c r="Y2783">
        <v>4.7070750000000001E-2</v>
      </c>
      <c r="Z2783">
        <v>6.343907E-4</v>
      </c>
      <c r="AA2783">
        <v>0.99889139999999998</v>
      </c>
      <c r="AB2783">
        <v>33</v>
      </c>
      <c r="AC2783">
        <v>-116.90649999999999</v>
      </c>
      <c r="AD2783">
        <v>-1.1713229999999999</v>
      </c>
      <c r="AE2783">
        <v>7.0296000000000101</v>
      </c>
      <c r="AF2783">
        <v>5.52201018359996</v>
      </c>
      <c r="AG2783">
        <v>-1.1713229999999999</v>
      </c>
      <c r="AH2783">
        <v>116.975676268397</v>
      </c>
      <c r="AI2783">
        <v>90.573067649650596</v>
      </c>
      <c r="AJ2783">
        <v>87.2972742421763</v>
      </c>
      <c r="AK2783">
        <v>117.111798861118</v>
      </c>
      <c r="AL2783">
        <v>79.380620861311797</v>
      </c>
      <c r="AM2783">
        <v>86.946355303313496</v>
      </c>
      <c r="AN2783">
        <v>1.0000000103769799</v>
      </c>
    </row>
    <row r="2784" spans="1:40" x14ac:dyDescent="0.25">
      <c r="A2784" t="str">
        <f>"20190303170310898"</f>
        <v>20190303170310898</v>
      </c>
      <c r="B2784" t="str">
        <f>"1551603790888020"</f>
        <v>1551603790888020</v>
      </c>
      <c r="C2784" t="s">
        <v>40</v>
      </c>
      <c r="D2784">
        <v>4.1357609999999996</v>
      </c>
      <c r="E2784">
        <v>0.50271199999999905</v>
      </c>
      <c r="F2784" t="s">
        <v>44</v>
      </c>
      <c r="G2784">
        <v>-539.71270000000004</v>
      </c>
      <c r="H2784">
        <v>-0.05</v>
      </c>
      <c r="I2784">
        <v>292.10739999999998</v>
      </c>
      <c r="J2784">
        <v>-413.74919999999997</v>
      </c>
      <c r="K2784">
        <v>1.121324</v>
      </c>
      <c r="L2784">
        <v>284.45909999999998</v>
      </c>
      <c r="M2784">
        <v>-0.99980959999999997</v>
      </c>
      <c r="N2784">
        <v>-1.4488050000000001E-2</v>
      </c>
      <c r="O2784">
        <v>1.307291E-2</v>
      </c>
      <c r="P2784">
        <v>-0.98333040000000005</v>
      </c>
      <c r="Q2784">
        <v>0.1697352</v>
      </c>
      <c r="R2784">
        <v>6.5204869999999998E-2</v>
      </c>
      <c r="S2784">
        <v>-3.0437319999999999</v>
      </c>
      <c r="T2784">
        <v>-2.82619E-2</v>
      </c>
      <c r="U2784">
        <v>0.18460080000000001</v>
      </c>
      <c r="V2784">
        <v>5.2482960000000002E-2</v>
      </c>
      <c r="W2784">
        <v>0.18393499999999999</v>
      </c>
      <c r="X2784">
        <v>0.98153630000000003</v>
      </c>
      <c r="Y2784">
        <v>4.7477739999999997E-2</v>
      </c>
      <c r="Z2784">
        <v>6.3250299999999997E-4</v>
      </c>
      <c r="AA2784">
        <v>0.99887210000000004</v>
      </c>
      <c r="AB2784">
        <v>33</v>
      </c>
      <c r="AC2784">
        <v>-125.9635</v>
      </c>
      <c r="AD2784">
        <v>-1.171324</v>
      </c>
      <c r="AE2784">
        <v>7.6482999999999999</v>
      </c>
      <c r="AF2784">
        <v>6.0002470318200496</v>
      </c>
      <c r="AG2784">
        <v>-1.171324</v>
      </c>
      <c r="AH2784">
        <v>126.041870881992</v>
      </c>
      <c r="AI2784">
        <v>90.531839765014695</v>
      </c>
      <c r="AJ2784">
        <v>87.274481274758699</v>
      </c>
      <c r="AK2784">
        <v>126.19004786348501</v>
      </c>
      <c r="AL2784">
        <v>79.400953370664098</v>
      </c>
      <c r="AM2784">
        <v>86.9392968702346</v>
      </c>
      <c r="AN2784">
        <v>1.0000000267665199</v>
      </c>
    </row>
    <row r="2785" spans="1:40" x14ac:dyDescent="0.25">
      <c r="A2785" t="str">
        <f>"20190303170310912"</f>
        <v>20190303170310912</v>
      </c>
      <c r="B2785" t="str">
        <f>"1551603790898756"</f>
        <v>1551603790898756</v>
      </c>
      <c r="C2785" t="s">
        <v>40</v>
      </c>
      <c r="D2785">
        <v>4.3216869999999998</v>
      </c>
      <c r="E2785">
        <v>0.50267539999999999</v>
      </c>
      <c r="F2785" t="s">
        <v>44</v>
      </c>
      <c r="G2785">
        <v>-537.09820000000002</v>
      </c>
      <c r="H2785">
        <v>-0.05</v>
      </c>
      <c r="I2785">
        <v>291.97649999999999</v>
      </c>
      <c r="J2785">
        <v>-413.94619999999998</v>
      </c>
      <c r="K2785">
        <v>1.121321</v>
      </c>
      <c r="L2785">
        <v>284.46190000000001</v>
      </c>
      <c r="M2785">
        <v>-0.99980690000000005</v>
      </c>
      <c r="N2785">
        <v>-1.448587E-2</v>
      </c>
      <c r="O2785">
        <v>1.327366E-2</v>
      </c>
      <c r="P2785">
        <v>-0.98336950000000001</v>
      </c>
      <c r="Q2785">
        <v>0.169524799999999</v>
      </c>
      <c r="R2785">
        <v>6.5161380000000005E-2</v>
      </c>
      <c r="S2785">
        <v>-3.0435490000000001</v>
      </c>
      <c r="T2785">
        <v>-2.890158E-2</v>
      </c>
      <c r="U2785">
        <v>0.18548580000000001</v>
      </c>
      <c r="V2785">
        <v>5.224086E-2</v>
      </c>
      <c r="W2785">
        <v>0.18372369999999999</v>
      </c>
      <c r="X2785">
        <v>0.98158880000000004</v>
      </c>
      <c r="Y2785">
        <v>4.7570010000000003E-2</v>
      </c>
      <c r="Z2785">
        <v>6.3677860000000005E-4</v>
      </c>
      <c r="AA2785">
        <v>0.99886770000000003</v>
      </c>
      <c r="AB2785">
        <v>33</v>
      </c>
      <c r="AC2785">
        <v>-123.152</v>
      </c>
      <c r="AD2785">
        <v>-1.1713209999999901</v>
      </c>
      <c r="AE2785">
        <v>7.5145999999999704</v>
      </c>
      <c r="AF2785">
        <v>5.8785585939004203</v>
      </c>
      <c r="AG2785">
        <v>-1.1713209999999901</v>
      </c>
      <c r="AH2785">
        <v>123.22979855199</v>
      </c>
      <c r="AI2785">
        <v>90.543971541031993</v>
      </c>
      <c r="AJ2785">
        <v>87.268830637842399</v>
      </c>
      <c r="AK2785">
        <v>123.37549471102901</v>
      </c>
      <c r="AL2785">
        <v>79.413269993411902</v>
      </c>
      <c r="AM2785">
        <v>86.953551647354402</v>
      </c>
      <c r="AN2785">
        <v>1.0000000388403301</v>
      </c>
    </row>
    <row r="2786" spans="1:40" x14ac:dyDescent="0.25">
      <c r="A2786" t="str">
        <f>"20190303170310931"</f>
        <v>20190303170310931</v>
      </c>
      <c r="B2786" t="str">
        <f>"1551603790918277"</f>
        <v>1551603790918277</v>
      </c>
      <c r="C2786" t="s">
        <v>40</v>
      </c>
      <c r="D2786">
        <v>4.3193910000000004</v>
      </c>
      <c r="E2786">
        <v>0.50260070000000001</v>
      </c>
      <c r="F2786" t="s">
        <v>44</v>
      </c>
      <c r="G2786">
        <v>-534.83789999999999</v>
      </c>
      <c r="H2786">
        <v>-0.05</v>
      </c>
      <c r="I2786">
        <v>291.80900000000003</v>
      </c>
      <c r="J2786">
        <v>-414.22989999999999</v>
      </c>
      <c r="K2786">
        <v>1.121316</v>
      </c>
      <c r="L2786">
        <v>284.46600000000001</v>
      </c>
      <c r="M2786">
        <v>-0.9998032</v>
      </c>
      <c r="N2786">
        <v>-1.448285E-2</v>
      </c>
      <c r="O2786">
        <v>1.3562670000000001E-2</v>
      </c>
      <c r="P2786">
        <v>-0.98351489999999997</v>
      </c>
      <c r="Q2786">
        <v>0.16883049999999999</v>
      </c>
      <c r="R2786">
        <v>6.4769190000000004E-2</v>
      </c>
      <c r="S2786">
        <v>-3.0435180000000002</v>
      </c>
      <c r="T2786">
        <v>-2.948868E-2</v>
      </c>
      <c r="U2786">
        <v>0.18496699999999999</v>
      </c>
      <c r="V2786">
        <v>5.156152E-2</v>
      </c>
      <c r="W2786">
        <v>0.18302950000000001</v>
      </c>
      <c r="X2786">
        <v>0.98175440000000003</v>
      </c>
      <c r="Y2786">
        <v>4.711212E-2</v>
      </c>
      <c r="Z2786">
        <v>6.3454479999999996E-4</v>
      </c>
      <c r="AA2786">
        <v>0.99888940000000004</v>
      </c>
      <c r="AB2786">
        <v>33</v>
      </c>
      <c r="AC2786">
        <v>-120.607999999999</v>
      </c>
      <c r="AD2786">
        <v>-1.171316</v>
      </c>
      <c r="AE2786">
        <v>7.3430000000000097</v>
      </c>
      <c r="AF2786">
        <v>5.7058503198469799</v>
      </c>
      <c r="AG2786">
        <v>-1.171316</v>
      </c>
      <c r="AH2786">
        <v>120.685164827788</v>
      </c>
      <c r="AI2786">
        <v>90.555449231590401</v>
      </c>
      <c r="AJ2786">
        <v>87.293139706516399</v>
      </c>
      <c r="AK2786">
        <v>120.82565008538</v>
      </c>
      <c r="AL2786">
        <v>79.453730894300904</v>
      </c>
      <c r="AM2786">
        <v>86.993600743001593</v>
      </c>
      <c r="AN2786">
        <v>1.00000004506715</v>
      </c>
    </row>
    <row r="2787" spans="1:40" x14ac:dyDescent="0.25">
      <c r="A2787" t="str">
        <f>"20190303170310944"</f>
        <v>20190303170310944</v>
      </c>
      <c r="B2787" t="str">
        <f>"1551603790938773"</f>
        <v>1551603790938773</v>
      </c>
      <c r="C2787" t="s">
        <v>40</v>
      </c>
      <c r="D2787">
        <v>4.2578129999999996</v>
      </c>
      <c r="E2787">
        <v>0.50261880000000003</v>
      </c>
      <c r="F2787" t="s">
        <v>44</v>
      </c>
      <c r="G2787">
        <v>-524.68910000000005</v>
      </c>
      <c r="H2787">
        <v>-0.05</v>
      </c>
      <c r="I2787">
        <v>291.12869999999998</v>
      </c>
      <c r="J2787">
        <v>-414.42149999999998</v>
      </c>
      <c r="K2787">
        <v>1.121313</v>
      </c>
      <c r="L2787">
        <v>284.46879999999999</v>
      </c>
      <c r="M2787">
        <v>-0.99980060000000004</v>
      </c>
      <c r="N2787">
        <v>-1.448084E-2</v>
      </c>
      <c r="O2787">
        <v>1.375793E-2</v>
      </c>
      <c r="P2787">
        <v>-0.98362000000000005</v>
      </c>
      <c r="Q2787">
        <v>0.16830999999999999</v>
      </c>
      <c r="R2787">
        <v>6.4526680000000003E-2</v>
      </c>
      <c r="S2787">
        <v>-3.0437319999999999</v>
      </c>
      <c r="T2787">
        <v>-3.227592E-2</v>
      </c>
      <c r="U2787">
        <v>0.1835938</v>
      </c>
      <c r="V2787">
        <v>5.112481E-2</v>
      </c>
      <c r="W2787">
        <v>0.18250910000000001</v>
      </c>
      <c r="X2787">
        <v>0.98187400000000002</v>
      </c>
      <c r="Y2787">
        <v>4.6463039999999997E-2</v>
      </c>
      <c r="Z2787">
        <v>6.3622359999999998E-4</v>
      </c>
      <c r="AA2787">
        <v>0.99891980000000002</v>
      </c>
      <c r="AB2787">
        <v>33</v>
      </c>
      <c r="AC2787">
        <v>-110.2676</v>
      </c>
      <c r="AD2787">
        <v>-1.1713129999999901</v>
      </c>
      <c r="AE2787">
        <v>6.6598999999999897</v>
      </c>
      <c r="AF2787">
        <v>5.1414786615926902</v>
      </c>
      <c r="AG2787">
        <v>-1.1713129999999901</v>
      </c>
      <c r="AH2787">
        <v>110.33639285985301</v>
      </c>
      <c r="AI2787">
        <v>90.607560505567605</v>
      </c>
      <c r="AJ2787">
        <v>87.332049041098301</v>
      </c>
      <c r="AK2787">
        <v>110.46233007815501</v>
      </c>
      <c r="AL2787">
        <v>79.484057287206099</v>
      </c>
      <c r="AM2787">
        <v>87.019380337956306</v>
      </c>
      <c r="AN2787">
        <v>0.99999993482816996</v>
      </c>
    </row>
    <row r="2788" spans="1:40" x14ac:dyDescent="0.25">
      <c r="A2788" t="str">
        <f>"20190303170310957"</f>
        <v>20190303170310957</v>
      </c>
      <c r="B2788" t="str">
        <f>"1551603790948532"</f>
        <v>1551603790948532</v>
      </c>
      <c r="C2788" t="s">
        <v>40</v>
      </c>
      <c r="D2788">
        <v>4.1609239999999996</v>
      </c>
      <c r="E2788">
        <v>0.5026024</v>
      </c>
      <c r="F2788" t="s">
        <v>44</v>
      </c>
      <c r="G2788">
        <v>-518.07090000000005</v>
      </c>
      <c r="H2788">
        <v>-0.05</v>
      </c>
      <c r="I2788">
        <v>290.69459999999998</v>
      </c>
      <c r="J2788">
        <v>-414.6062</v>
      </c>
      <c r="K2788">
        <v>1.1213109999999999</v>
      </c>
      <c r="L2788">
        <v>284.47149999999999</v>
      </c>
      <c r="M2788">
        <v>-0.99979799999999996</v>
      </c>
      <c r="N2788">
        <v>-1.4478909999999999E-2</v>
      </c>
      <c r="O2788">
        <v>1.3946099999999999E-2</v>
      </c>
      <c r="P2788">
        <v>-0.98368869999999997</v>
      </c>
      <c r="Q2788">
        <v>0.1680217</v>
      </c>
      <c r="R2788">
        <v>6.4229649999999999E-2</v>
      </c>
      <c r="S2788">
        <v>-3.0438540000000001</v>
      </c>
      <c r="T2788">
        <v>-3.439772E-2</v>
      </c>
      <c r="U2788">
        <v>0.18283079999999999</v>
      </c>
      <c r="V2788">
        <v>5.064105E-2</v>
      </c>
      <c r="W2788">
        <v>0.1822203</v>
      </c>
      <c r="X2788">
        <v>0.98195279999999996</v>
      </c>
      <c r="Y2788">
        <v>4.602258E-2</v>
      </c>
      <c r="Z2788">
        <v>6.3766889999999996E-4</v>
      </c>
      <c r="AA2788">
        <v>0.99894019999999994</v>
      </c>
      <c r="AB2788">
        <v>33</v>
      </c>
      <c r="AC2788">
        <v>-103.46469999999999</v>
      </c>
      <c r="AD2788">
        <v>-1.171311</v>
      </c>
      <c r="AE2788">
        <v>6.2230999999999801</v>
      </c>
      <c r="AF2788">
        <v>4.7788042140641203</v>
      </c>
      <c r="AG2788">
        <v>-1.171311</v>
      </c>
      <c r="AH2788">
        <v>103.528212273656</v>
      </c>
      <c r="AI2788">
        <v>90.647523399801301</v>
      </c>
      <c r="AJ2788">
        <v>87.357134932499406</v>
      </c>
      <c r="AK2788">
        <v>103.64506585339301</v>
      </c>
      <c r="AL2788">
        <v>79.500887504188896</v>
      </c>
      <c r="AM2788">
        <v>87.047770327747003</v>
      </c>
      <c r="AN2788">
        <v>1.0000000275525101</v>
      </c>
    </row>
    <row r="2789" spans="1:40" x14ac:dyDescent="0.25">
      <c r="A2789" t="str">
        <f>"20190303170310976"</f>
        <v>20190303170310976</v>
      </c>
      <c r="B2789" t="str">
        <f>"1551603790968139"</f>
        <v>1551603790968139</v>
      </c>
      <c r="C2789" t="s">
        <v>40</v>
      </c>
      <c r="D2789">
        <v>4.141915</v>
      </c>
      <c r="E2789">
        <v>0.50252259999999904</v>
      </c>
      <c r="F2789" t="s">
        <v>57</v>
      </c>
      <c r="G2789">
        <v>-503.84780000000001</v>
      </c>
      <c r="H2789">
        <v>8.0004749999999999E-2</v>
      </c>
      <c r="I2789">
        <v>289.79329999999999</v>
      </c>
      <c r="J2789">
        <v>-414.87900000000002</v>
      </c>
      <c r="K2789">
        <v>1.121305</v>
      </c>
      <c r="L2789">
        <v>284.47559999999999</v>
      </c>
      <c r="M2789">
        <v>-0.99979419999999997</v>
      </c>
      <c r="N2789">
        <v>-1.4476050000000001E-2</v>
      </c>
      <c r="O2789">
        <v>1.42238E-2</v>
      </c>
      <c r="P2789">
        <v>-0.98367780000000005</v>
      </c>
      <c r="Q2789">
        <v>0.16826150000000001</v>
      </c>
      <c r="R2789">
        <v>6.3770579999999993E-2</v>
      </c>
      <c r="S2789">
        <v>-3.0439150000000001</v>
      </c>
      <c r="T2789">
        <v>-3.5517569999999998E-2</v>
      </c>
      <c r="U2789">
        <v>0.1815186</v>
      </c>
      <c r="V2789">
        <v>4.9908939999999999E-2</v>
      </c>
      <c r="W2789">
        <v>0.18245749999999999</v>
      </c>
      <c r="X2789">
        <v>0.98194619999999999</v>
      </c>
      <c r="Y2789">
        <v>4.531458E-2</v>
      </c>
      <c r="Z2789">
        <v>6.3241860000000003E-4</v>
      </c>
      <c r="AA2789">
        <v>0.99897259999999999</v>
      </c>
      <c r="AB2789">
        <v>33</v>
      </c>
      <c r="AC2789">
        <v>-88.968799999999902</v>
      </c>
      <c r="AD2789">
        <v>-1.0413002499999999</v>
      </c>
      <c r="AE2789">
        <v>5.3177000000000003</v>
      </c>
      <c r="AF2789">
        <v>4.0510021425963698</v>
      </c>
      <c r="AG2789">
        <v>-1.0413002499999999</v>
      </c>
      <c r="AH2789">
        <v>89.023292007692703</v>
      </c>
      <c r="AI2789">
        <v>90.669462119586498</v>
      </c>
      <c r="AJ2789">
        <v>87.394554704887298</v>
      </c>
      <c r="AK2789">
        <v>89.121498217079505</v>
      </c>
      <c r="AL2789">
        <v>79.487064832993795</v>
      </c>
      <c r="AM2789">
        <v>87.090356866866102</v>
      </c>
      <c r="AN2789">
        <v>0.99999999064630596</v>
      </c>
    </row>
    <row r="2790" spans="1:40" x14ac:dyDescent="0.25">
      <c r="A2790" t="str">
        <f>"20190303170310999"</f>
        <v>20190303170310999</v>
      </c>
      <c r="B2790" t="str">
        <f>"1551603790988634"</f>
        <v>1551603790988634</v>
      </c>
      <c r="C2790" t="s">
        <v>40</v>
      </c>
      <c r="D2790">
        <v>4.1420870000000001</v>
      </c>
      <c r="E2790">
        <v>0.5025058</v>
      </c>
      <c r="F2790" t="s">
        <v>57</v>
      </c>
      <c r="G2790">
        <v>-504.80739999999997</v>
      </c>
      <c r="H2790">
        <v>8.0004909999999999E-2</v>
      </c>
      <c r="I2790">
        <v>289.78019999999998</v>
      </c>
      <c r="J2790">
        <v>-415.2045</v>
      </c>
      <c r="K2790">
        <v>1.12131</v>
      </c>
      <c r="L2790">
        <v>284.48059999999998</v>
      </c>
      <c r="M2790">
        <v>-0.99978940000000005</v>
      </c>
      <c r="N2790">
        <v>-1.447266E-2</v>
      </c>
      <c r="O2790">
        <v>1.4555490000000001E-2</v>
      </c>
      <c r="P2790">
        <v>-0.98345170000000004</v>
      </c>
      <c r="Q2790">
        <v>0.16956350000000001</v>
      </c>
      <c r="R2790">
        <v>6.3804540000000007E-2</v>
      </c>
      <c r="S2790">
        <v>-3.0441889999999998</v>
      </c>
      <c r="T2790">
        <v>-3.5249349999999999E-2</v>
      </c>
      <c r="U2790">
        <v>0.17956539999999999</v>
      </c>
      <c r="V2790">
        <v>4.9619950000000003E-2</v>
      </c>
      <c r="W2790">
        <v>0.18375369999999999</v>
      </c>
      <c r="X2790">
        <v>0.98171909999999896</v>
      </c>
      <c r="Y2790">
        <v>4.4339320000000002E-2</v>
      </c>
      <c r="Z2790">
        <v>6.1979730000000005E-4</v>
      </c>
      <c r="AA2790">
        <v>0.99901629999999997</v>
      </c>
      <c r="AB2790">
        <v>33</v>
      </c>
      <c r="AC2790">
        <v>-89.602899999999906</v>
      </c>
      <c r="AD2790">
        <v>-1.04130509</v>
      </c>
      <c r="AE2790">
        <v>5.2995999999999901</v>
      </c>
      <c r="AF2790">
        <v>3.99415029102334</v>
      </c>
      <c r="AG2790">
        <v>-1.04130509</v>
      </c>
      <c r="AH2790">
        <v>89.658485472151199</v>
      </c>
      <c r="AI2790">
        <v>90.664751340250703</v>
      </c>
      <c r="AJ2790">
        <v>87.449245934683901</v>
      </c>
      <c r="AK2790">
        <v>89.753448791663104</v>
      </c>
      <c r="AL2790">
        <v>79.411520681975304</v>
      </c>
      <c r="AM2790">
        <v>87.106507948295999</v>
      </c>
      <c r="AN2790">
        <v>0.99999997650325001</v>
      </c>
    </row>
    <row r="2791" spans="1:40" x14ac:dyDescent="0.25">
      <c r="A2791" t="str">
        <f>"20190303170311020"</f>
        <v>20190303170311020</v>
      </c>
      <c r="B2791" t="str">
        <f>"1551603791008155"</f>
        <v>1551603791008155</v>
      </c>
      <c r="C2791" t="s">
        <v>40</v>
      </c>
      <c r="D2791">
        <v>4.3190390000000001</v>
      </c>
      <c r="E2791">
        <v>0.50250289999999997</v>
      </c>
      <c r="F2791" t="s">
        <v>44</v>
      </c>
      <c r="G2791">
        <v>-529.70479999999998</v>
      </c>
      <c r="H2791">
        <v>-0.05</v>
      </c>
      <c r="I2791">
        <v>291.24369999999999</v>
      </c>
      <c r="J2791">
        <v>-415.52870000000001</v>
      </c>
      <c r="K2791">
        <v>1.1213139999999999</v>
      </c>
      <c r="L2791">
        <v>284.48570000000001</v>
      </c>
      <c r="M2791">
        <v>-0.99978469999999997</v>
      </c>
      <c r="N2791">
        <v>-1.446918E-2</v>
      </c>
      <c r="O2791">
        <v>1.4884319999999999E-2</v>
      </c>
      <c r="P2791">
        <v>-0.98330399999999996</v>
      </c>
      <c r="Q2791">
        <v>0.170325799999999</v>
      </c>
      <c r="R2791">
        <v>6.405342E-2</v>
      </c>
      <c r="S2791">
        <v>-3.0442200000000001</v>
      </c>
      <c r="T2791">
        <v>-3.1141640000000002E-2</v>
      </c>
      <c r="U2791">
        <v>0.17980960000000001</v>
      </c>
      <c r="V2791">
        <v>4.9547389999999997E-2</v>
      </c>
      <c r="W2791">
        <v>0.1845106</v>
      </c>
      <c r="X2791">
        <v>0.98158080000000003</v>
      </c>
      <c r="Y2791">
        <v>4.4091199999999997E-2</v>
      </c>
      <c r="Z2791">
        <v>6.0772940000000002E-4</v>
      </c>
      <c r="AA2791">
        <v>0.99902729999999995</v>
      </c>
      <c r="AB2791">
        <v>33</v>
      </c>
      <c r="AC2791">
        <v>-114.176099999999</v>
      </c>
      <c r="AD2791">
        <v>-1.171314</v>
      </c>
      <c r="AE2791">
        <v>6.7579999999999796</v>
      </c>
      <c r="AF2791">
        <v>5.0571096007878298</v>
      </c>
      <c r="AG2791">
        <v>-1.171314</v>
      </c>
      <c r="AH2791">
        <v>114.25206561076</v>
      </c>
      <c r="AI2791">
        <v>90.586802160993003</v>
      </c>
      <c r="AJ2791">
        <v>87.465586014247293</v>
      </c>
      <c r="AK2791">
        <v>114.369929746968</v>
      </c>
      <c r="AL2791">
        <v>79.367399194781498</v>
      </c>
      <c r="AM2791">
        <v>87.110325576659307</v>
      </c>
      <c r="AN2791">
        <v>0.99999998614840602</v>
      </c>
    </row>
    <row r="2792" spans="1:40" x14ac:dyDescent="0.25">
      <c r="A2792" t="str">
        <f>"20190303170311043"</f>
        <v>20190303170311043</v>
      </c>
      <c r="B2792" t="str">
        <f>"1551603791038410"</f>
        <v>1551603791038410</v>
      </c>
      <c r="C2792" t="s">
        <v>40</v>
      </c>
      <c r="D2792">
        <v>4.2098690000000003</v>
      </c>
      <c r="E2792">
        <v>0.50245450000000003</v>
      </c>
      <c r="F2792" t="s">
        <v>44</v>
      </c>
      <c r="G2792">
        <v>-538.03779999999995</v>
      </c>
      <c r="H2792">
        <v>-0.05</v>
      </c>
      <c r="I2792">
        <v>291.73509999999999</v>
      </c>
      <c r="J2792">
        <v>-415.85210000000001</v>
      </c>
      <c r="K2792">
        <v>1.121329</v>
      </c>
      <c r="L2792">
        <v>284.49079999999998</v>
      </c>
      <c r="M2792">
        <v>-0.9997798</v>
      </c>
      <c r="N2792">
        <v>-1.4465830000000001E-2</v>
      </c>
      <c r="O2792">
        <v>1.5206310000000001E-2</v>
      </c>
      <c r="P2792">
        <v>-0.98342620000000003</v>
      </c>
      <c r="Q2792">
        <v>0.16967850000000001</v>
      </c>
      <c r="R2792">
        <v>6.389446E-2</v>
      </c>
      <c r="S2792">
        <v>-3.0442809999999998</v>
      </c>
      <c r="T2792">
        <v>-2.91065E-2</v>
      </c>
      <c r="U2792">
        <v>0.18014530000000001</v>
      </c>
      <c r="V2792">
        <v>4.9067489999999998E-2</v>
      </c>
      <c r="W2792">
        <v>0.1838629</v>
      </c>
      <c r="X2792">
        <v>0.98172649999999995</v>
      </c>
      <c r="Y2792">
        <v>4.387862E-2</v>
      </c>
      <c r="Z2792">
        <v>6.0184449999999999E-4</v>
      </c>
      <c r="AA2792">
        <v>0.9990367</v>
      </c>
      <c r="AB2792">
        <v>33</v>
      </c>
      <c r="AC2792">
        <v>-122.185699999999</v>
      </c>
      <c r="AD2792">
        <v>-1.1713290000000001</v>
      </c>
      <c r="AE2792">
        <v>7.2443000000000097</v>
      </c>
      <c r="AF2792">
        <v>5.3847811564859196</v>
      </c>
      <c r="AG2792">
        <v>-1.1713290000000001</v>
      </c>
      <c r="AH2792">
        <v>122.27054286506601</v>
      </c>
      <c r="AI2792">
        <v>90.548334632796696</v>
      </c>
      <c r="AJ2792">
        <v>87.478329647865294</v>
      </c>
      <c r="AK2792">
        <v>122.394663005572</v>
      </c>
      <c r="AL2792">
        <v>79.405156350482997</v>
      </c>
      <c r="AM2792">
        <v>87.138691286868195</v>
      </c>
      <c r="AN2792">
        <v>1.0000000526867701</v>
      </c>
    </row>
    <row r="2793" spans="1:40" x14ac:dyDescent="0.25">
      <c r="A2793" t="str">
        <f>"20190303170311065"</f>
        <v>20190303170311065</v>
      </c>
      <c r="B2793" t="str">
        <f>"1551603791057931"</f>
        <v>1551603791057931</v>
      </c>
      <c r="C2793" t="s">
        <v>40</v>
      </c>
      <c r="D2793">
        <v>4.1802979999999996</v>
      </c>
      <c r="E2793">
        <v>0.48499819999999999</v>
      </c>
      <c r="F2793" t="s">
        <v>44</v>
      </c>
      <c r="G2793">
        <v>-530.02829999999994</v>
      </c>
      <c r="H2793">
        <v>-0.05</v>
      </c>
      <c r="I2793">
        <v>291.21170000000001</v>
      </c>
      <c r="J2793">
        <v>-416.18169999999998</v>
      </c>
      <c r="K2793">
        <v>1.121337</v>
      </c>
      <c r="L2793">
        <v>284.49619999999999</v>
      </c>
      <c r="M2793">
        <v>-0.99977510000000003</v>
      </c>
      <c r="N2793">
        <v>-1.446248E-2</v>
      </c>
      <c r="O2793">
        <v>1.5516250000000001E-2</v>
      </c>
      <c r="P2793">
        <v>-0.98349569999999997</v>
      </c>
      <c r="Q2793">
        <v>0.1692505</v>
      </c>
      <c r="R2793">
        <v>6.3959299999999997E-2</v>
      </c>
      <c r="S2793">
        <v>-3.0442809999999998</v>
      </c>
      <c r="T2793">
        <v>-3.1231160000000001E-2</v>
      </c>
      <c r="U2793">
        <v>0.1791992</v>
      </c>
      <c r="V2793">
        <v>4.8820759999999998E-2</v>
      </c>
      <c r="W2793">
        <v>0.18343400000000001</v>
      </c>
      <c r="X2793">
        <v>0.981819</v>
      </c>
      <c r="Y2793">
        <v>4.3259029999999997E-2</v>
      </c>
      <c r="Z2793">
        <v>6.0006179999999999E-4</v>
      </c>
      <c r="AA2793">
        <v>0.9990637</v>
      </c>
      <c r="AB2793">
        <v>32</v>
      </c>
      <c r="AC2793">
        <v>-113.846599999999</v>
      </c>
      <c r="AD2793">
        <v>-1.1713370000000001</v>
      </c>
      <c r="AE2793">
        <v>6.7155000000000102</v>
      </c>
      <c r="AF2793">
        <v>4.9475125443919303</v>
      </c>
      <c r="AG2793">
        <v>-1.1713370000000001</v>
      </c>
      <c r="AH2793">
        <v>113.925084001931</v>
      </c>
      <c r="AI2793">
        <v>90.588519307371797</v>
      </c>
      <c r="AJ2793">
        <v>87.513334439770702</v>
      </c>
      <c r="AK2793">
        <v>114.03847892528</v>
      </c>
      <c r="AL2793">
        <v>79.430155390245005</v>
      </c>
      <c r="AM2793">
        <v>87.153323083156195</v>
      </c>
      <c r="AN2793">
        <v>1.0000000238619799</v>
      </c>
    </row>
    <row r="2794" spans="1:40" x14ac:dyDescent="0.25">
      <c r="A2794" t="str">
        <f>"20190303170311087"</f>
        <v>20190303170311087</v>
      </c>
      <c r="B2794" t="str">
        <f>"1551603791078426"</f>
        <v>1551603791078426</v>
      </c>
      <c r="C2794" t="s">
        <v>40</v>
      </c>
      <c r="D2794">
        <v>4.1761900000000001</v>
      </c>
      <c r="E2794">
        <v>0.48309669999999999</v>
      </c>
      <c r="F2794" t="s">
        <v>57</v>
      </c>
      <c r="G2794">
        <v>-494.70429999999999</v>
      </c>
      <c r="H2794" s="1">
        <v>3.2086469999999999E-6</v>
      </c>
      <c r="I2794">
        <v>285.51429999999999</v>
      </c>
      <c r="J2794">
        <v>-416.4948</v>
      </c>
      <c r="K2794">
        <v>1.1213550000000001</v>
      </c>
      <c r="L2794">
        <v>284.50130000000001</v>
      </c>
      <c r="M2794">
        <v>-0.99977110000000002</v>
      </c>
      <c r="N2794">
        <v>-1.445924E-2</v>
      </c>
      <c r="O2794">
        <v>1.577599E-2</v>
      </c>
      <c r="P2794">
        <v>-0.98354010000000003</v>
      </c>
      <c r="Q2794">
        <v>0.16853770000000001</v>
      </c>
      <c r="R2794">
        <v>6.5146570000000001E-2</v>
      </c>
      <c r="S2794">
        <v>-3.0552670000000002</v>
      </c>
      <c r="T2794">
        <v>-4.3630479999999999E-2</v>
      </c>
      <c r="U2794">
        <v>3.9611819999999999E-2</v>
      </c>
      <c r="V2794">
        <v>4.9740800000000002E-2</v>
      </c>
      <c r="W2794">
        <v>0.18272150000000001</v>
      </c>
      <c r="X2794">
        <v>0.98190560000000005</v>
      </c>
      <c r="Y2794">
        <v>-2.8133519999999999E-3</v>
      </c>
      <c r="Z2794" s="1">
        <v>-3.7559280000000003E-5</v>
      </c>
      <c r="AA2794">
        <v>0.99999610000000005</v>
      </c>
      <c r="AB2794">
        <v>32</v>
      </c>
      <c r="AC2794">
        <v>-78.209499999999906</v>
      </c>
      <c r="AD2794">
        <v>-1.12135179135299</v>
      </c>
      <c r="AE2794">
        <v>1.0129999999999699</v>
      </c>
      <c r="AF2794">
        <v>-0.22104182311828899</v>
      </c>
      <c r="AG2794">
        <v>-1.12135179135299</v>
      </c>
      <c r="AH2794">
        <v>78.199674649057698</v>
      </c>
      <c r="AI2794">
        <v>90.821538778988298</v>
      </c>
      <c r="AJ2794">
        <v>90.161953740698607</v>
      </c>
      <c r="AK2794">
        <v>78.208026471366793</v>
      </c>
      <c r="AL2794">
        <v>79.471679691016405</v>
      </c>
      <c r="AM2794">
        <v>87.100022808407203</v>
      </c>
      <c r="AN2794">
        <v>0.99999995052912305</v>
      </c>
    </row>
    <row r="2795" spans="1:40" x14ac:dyDescent="0.25">
      <c r="A2795" t="str">
        <f>"20190303170311101"</f>
        <v>20190303170311101</v>
      </c>
      <c r="B2795" t="str">
        <f>"1551603791088187"</f>
        <v>1551603791088187</v>
      </c>
      <c r="C2795" t="s">
        <v>40</v>
      </c>
      <c r="D2795">
        <v>4.138738</v>
      </c>
      <c r="E2795">
        <v>0.48276819999999998</v>
      </c>
      <c r="F2795" t="s">
        <v>57</v>
      </c>
      <c r="G2795">
        <v>-488.97989999999999</v>
      </c>
      <c r="H2795" s="1">
        <v>3.8440139999999999E-6</v>
      </c>
      <c r="I2795">
        <v>285.13529999999997</v>
      </c>
      <c r="J2795">
        <v>-416.69189999999998</v>
      </c>
      <c r="K2795">
        <v>1.121375</v>
      </c>
      <c r="L2795">
        <v>284.50459999999998</v>
      </c>
      <c r="M2795">
        <v>-0.99976900000000002</v>
      </c>
      <c r="N2795">
        <v>-1.445712E-2</v>
      </c>
      <c r="O2795">
        <v>1.5914279999999999E-2</v>
      </c>
      <c r="P2795">
        <v>-0.98354430000000004</v>
      </c>
      <c r="Q2795">
        <v>0.16829849999999999</v>
      </c>
      <c r="R2795">
        <v>6.5699499999999994E-2</v>
      </c>
      <c r="S2795">
        <v>-3.0565190000000002</v>
      </c>
      <c r="T2795">
        <v>-4.7284600000000003E-2</v>
      </c>
      <c r="U2795">
        <v>2.6733400000000001E-2</v>
      </c>
      <c r="V2795">
        <v>5.014764E-2</v>
      </c>
      <c r="W2795">
        <v>0.18248329999999999</v>
      </c>
      <c r="X2795">
        <v>0.98192919999999995</v>
      </c>
      <c r="Y2795">
        <v>-7.1687510000000001E-3</v>
      </c>
      <c r="Z2795">
        <v>-1.2334680000000001E-4</v>
      </c>
      <c r="AA2795">
        <v>0.99997429999999998</v>
      </c>
      <c r="AB2795">
        <v>32</v>
      </c>
      <c r="AC2795">
        <v>-72.287999999999997</v>
      </c>
      <c r="AD2795">
        <v>-1.121371155986</v>
      </c>
      <c r="AE2795">
        <v>0.63069999999999005</v>
      </c>
      <c r="AF2795">
        <v>-0.51978634389343803</v>
      </c>
      <c r="AG2795">
        <v>-1.121371155986</v>
      </c>
      <c r="AH2795">
        <v>72.271491679219693</v>
      </c>
      <c r="AI2795">
        <v>90.888912300992203</v>
      </c>
      <c r="AJ2795">
        <v>90.412071891361904</v>
      </c>
      <c r="AK2795">
        <v>72.282059742735001</v>
      </c>
      <c r="AL2795">
        <v>79.485560898522294</v>
      </c>
      <c r="AM2795">
        <v>87.076414444226302</v>
      </c>
      <c r="AN2795">
        <v>0.99999994719454799</v>
      </c>
    </row>
    <row r="2796" spans="1:40" x14ac:dyDescent="0.25">
      <c r="A2796" t="str">
        <f>"20190303170311115"</f>
        <v>20190303170311115</v>
      </c>
      <c r="B2796" t="str">
        <f>"1551603791108683"</f>
        <v>1551603791108683</v>
      </c>
      <c r="C2796" t="s">
        <v>40</v>
      </c>
      <c r="D2796">
        <v>4.1331860000000002</v>
      </c>
      <c r="E2796">
        <v>0.483126</v>
      </c>
      <c r="F2796" t="s">
        <v>57</v>
      </c>
      <c r="G2796">
        <v>-489.44740000000002</v>
      </c>
      <c r="H2796" s="1">
        <v>3.9249619999999999E-6</v>
      </c>
      <c r="I2796">
        <v>285.11270000000002</v>
      </c>
      <c r="J2796">
        <v>-416.89359999999999</v>
      </c>
      <c r="K2796">
        <v>1.1213979999999999</v>
      </c>
      <c r="L2796">
        <v>284.50790000000001</v>
      </c>
      <c r="M2796">
        <v>-0.99976699999999996</v>
      </c>
      <c r="N2796">
        <v>-1.445492E-2</v>
      </c>
      <c r="O2796">
        <v>1.6037570000000001E-2</v>
      </c>
      <c r="P2796">
        <v>-0.9836414</v>
      </c>
      <c r="Q2796">
        <v>0.1673914</v>
      </c>
      <c r="R2796">
        <v>6.6558259999999994E-2</v>
      </c>
      <c r="S2796">
        <v>-3.056549</v>
      </c>
      <c r="T2796">
        <v>-4.7110199999999998E-2</v>
      </c>
      <c r="U2796">
        <v>2.554321E-2</v>
      </c>
      <c r="V2796">
        <v>5.0871060000000003E-2</v>
      </c>
      <c r="W2796">
        <v>0.18157880000000001</v>
      </c>
      <c r="X2796">
        <v>0.98205969999999998</v>
      </c>
      <c r="Y2796">
        <v>-7.6813979999999999E-3</v>
      </c>
      <c r="Z2796">
        <v>-1.3003259999999999E-4</v>
      </c>
      <c r="AA2796">
        <v>0.99997049999999998</v>
      </c>
      <c r="AB2796">
        <v>32</v>
      </c>
      <c r="AC2796">
        <v>-72.553799999999995</v>
      </c>
      <c r="AD2796">
        <v>-1.12139407503799</v>
      </c>
      <c r="AE2796">
        <v>0.604800000000011</v>
      </c>
      <c r="AF2796">
        <v>-0.55885241521672102</v>
      </c>
      <c r="AG2796">
        <v>-1.12139407503799</v>
      </c>
      <c r="AH2796">
        <v>72.5368403846756</v>
      </c>
      <c r="AI2796">
        <v>90.885675789210794</v>
      </c>
      <c r="AJ2796">
        <v>90.441420539869497</v>
      </c>
      <c r="AK2796">
        <v>72.547660566591802</v>
      </c>
      <c r="AL2796">
        <v>79.538265934249097</v>
      </c>
      <c r="AM2796">
        <v>87.034707518370894</v>
      </c>
      <c r="AN2796">
        <v>0.99999998985952598</v>
      </c>
    </row>
    <row r="2797" spans="1:40" x14ac:dyDescent="0.25">
      <c r="A2797" t="str">
        <f>"20190303170311129"</f>
        <v>20190303170311129</v>
      </c>
      <c r="B2797" t="str">
        <f>"1551603791118443"</f>
        <v>1551603791118443</v>
      </c>
      <c r="C2797" t="s">
        <v>40</v>
      </c>
      <c r="D2797">
        <v>4.1271509999999996</v>
      </c>
      <c r="E2797">
        <v>0.48293259999999999</v>
      </c>
      <c r="F2797" t="s">
        <v>57</v>
      </c>
      <c r="G2797">
        <v>-483.59019999999998</v>
      </c>
      <c r="H2797" s="1">
        <v>2.891393E-6</v>
      </c>
      <c r="I2797">
        <v>285.17450000000002</v>
      </c>
      <c r="J2797">
        <v>-417.09210000000002</v>
      </c>
      <c r="K2797">
        <v>1.121426</v>
      </c>
      <c r="L2797">
        <v>284.51119999999997</v>
      </c>
      <c r="M2797">
        <v>-0.99976549999999997</v>
      </c>
      <c r="N2797">
        <v>-1.445277E-2</v>
      </c>
      <c r="O2797">
        <v>1.612419E-2</v>
      </c>
      <c r="P2797">
        <v>-0.98366640000000005</v>
      </c>
      <c r="Q2797">
        <v>0.1668222</v>
      </c>
      <c r="R2797">
        <v>6.7605730000000003E-2</v>
      </c>
      <c r="S2797">
        <v>-3.05661</v>
      </c>
      <c r="T2797">
        <v>-5.139196E-2</v>
      </c>
      <c r="U2797">
        <v>3.0548100000000002E-2</v>
      </c>
      <c r="V2797">
        <v>5.1818139999999999E-2</v>
      </c>
      <c r="W2797">
        <v>0.18101139999999999</v>
      </c>
      <c r="X2797">
        <v>0.98211490000000001</v>
      </c>
      <c r="Y2797">
        <v>-6.1310999999999996E-3</v>
      </c>
      <c r="Z2797">
        <v>-1.3385879999999999E-4</v>
      </c>
      <c r="AA2797">
        <v>0.99998120000000001</v>
      </c>
      <c r="AB2797">
        <v>32</v>
      </c>
      <c r="AC2797">
        <v>-66.498099999999894</v>
      </c>
      <c r="AD2797">
        <v>-1.1214231086069999</v>
      </c>
      <c r="AE2797">
        <v>0.66330000000004896</v>
      </c>
      <c r="AF2797">
        <v>-0.409009981278598</v>
      </c>
      <c r="AG2797">
        <v>-1.1214231086069999</v>
      </c>
      <c r="AH2797">
        <v>66.481244529551404</v>
      </c>
      <c r="AI2797">
        <v>90.966370333825594</v>
      </c>
      <c r="AJ2797">
        <v>90.352494153955703</v>
      </c>
      <c r="AK2797">
        <v>66.491960063990504</v>
      </c>
      <c r="AL2797">
        <v>79.571323066501293</v>
      </c>
      <c r="AM2797">
        <v>86.979772618560204</v>
      </c>
      <c r="AN2797">
        <v>0.99999996168251404</v>
      </c>
    </row>
    <row r="2798" spans="1:40" x14ac:dyDescent="0.25">
      <c r="A2798" t="str">
        <f>"20190303170311143"</f>
        <v>20190303170311143</v>
      </c>
      <c r="B2798" t="str">
        <f>"1551603791137963"</f>
        <v>1551603791137963</v>
      </c>
      <c r="C2798" t="s">
        <v>40</v>
      </c>
      <c r="D2798">
        <v>4.1991809999999896</v>
      </c>
      <c r="E2798">
        <v>0.48313590000000001</v>
      </c>
      <c r="F2798" t="s">
        <v>57</v>
      </c>
      <c r="G2798">
        <v>-482.62979999999999</v>
      </c>
      <c r="H2798" s="1">
        <v>2.7233930000000001E-6</v>
      </c>
      <c r="I2798">
        <v>285.20159999999998</v>
      </c>
      <c r="J2798">
        <v>-417.31099999999998</v>
      </c>
      <c r="K2798">
        <v>1.1214599999999999</v>
      </c>
      <c r="L2798">
        <v>284.51490000000001</v>
      </c>
      <c r="M2798">
        <v>-0.99976449999999994</v>
      </c>
      <c r="N2798">
        <v>-1.445041E-2</v>
      </c>
      <c r="O2798">
        <v>1.6199669999999999E-2</v>
      </c>
      <c r="P2798">
        <v>-0.98372389999999998</v>
      </c>
      <c r="Q2798">
        <v>0.1659359</v>
      </c>
      <c r="R2798">
        <v>6.8940199999999993E-2</v>
      </c>
      <c r="S2798">
        <v>-3.0564269999999998</v>
      </c>
      <c r="T2798">
        <v>-5.2298900000000002E-2</v>
      </c>
      <c r="U2798">
        <v>3.2196040000000002E-2</v>
      </c>
      <c r="V2798">
        <v>5.3061759999999999E-2</v>
      </c>
      <c r="W2798">
        <v>0.18012779999999901</v>
      </c>
      <c r="X2798">
        <v>0.98221099999999995</v>
      </c>
      <c r="Y2798">
        <v>-5.6669529999999997E-3</v>
      </c>
      <c r="Z2798">
        <v>-1.3247669999999999E-4</v>
      </c>
      <c r="AA2798">
        <v>0.99998390000000004</v>
      </c>
      <c r="AB2798">
        <v>32</v>
      </c>
      <c r="AC2798">
        <v>-65.318799999999996</v>
      </c>
      <c r="AD2798">
        <v>-1.1214572766069999</v>
      </c>
      <c r="AE2798">
        <v>0.686699999999973</v>
      </c>
      <c r="AF2798">
        <v>-0.37153396490452101</v>
      </c>
      <c r="AG2798">
        <v>-1.1214572766069999</v>
      </c>
      <c r="AH2798">
        <v>65.302105108629206</v>
      </c>
      <c r="AI2798">
        <v>90.983849042244003</v>
      </c>
      <c r="AJ2798">
        <v>90.325978747753695</v>
      </c>
      <c r="AK2798">
        <v>65.312790749812507</v>
      </c>
      <c r="AL2798">
        <v>79.622796241719399</v>
      </c>
      <c r="AM2798">
        <v>86.907729104986601</v>
      </c>
      <c r="AN2798">
        <v>1.0000000116140599</v>
      </c>
    </row>
    <row r="2799" spans="1:40" x14ac:dyDescent="0.25">
      <c r="A2799" t="str">
        <f>"20190303170311167"</f>
        <v>20190303170311167</v>
      </c>
      <c r="B2799" t="str">
        <f>"1551603791158459"</f>
        <v>1551603791158459</v>
      </c>
      <c r="C2799" t="s">
        <v>40</v>
      </c>
      <c r="D2799">
        <v>4.1161159999999999</v>
      </c>
      <c r="E2799">
        <v>0.48320200000000002</v>
      </c>
      <c r="F2799" t="s">
        <v>57</v>
      </c>
      <c r="G2799">
        <v>-479.18560000000002</v>
      </c>
      <c r="H2799" s="1">
        <v>2.599582E-6</v>
      </c>
      <c r="I2799">
        <v>285.2903</v>
      </c>
      <c r="J2799">
        <v>-417.6309</v>
      </c>
      <c r="K2799">
        <v>1.1215059999999999</v>
      </c>
      <c r="L2799">
        <v>284.52010000000001</v>
      </c>
      <c r="M2799">
        <v>-0.99976339999999997</v>
      </c>
      <c r="N2799">
        <v>-1.444699E-2</v>
      </c>
      <c r="O2799">
        <v>1.6269180000000001E-2</v>
      </c>
      <c r="P2799">
        <v>-0.98363800000000001</v>
      </c>
      <c r="Q2799">
        <v>0.1663299</v>
      </c>
      <c r="R2799">
        <v>6.9216940000000005E-2</v>
      </c>
      <c r="S2799">
        <v>-3.056244</v>
      </c>
      <c r="T2799">
        <v>-5.5393459999999999E-2</v>
      </c>
      <c r="U2799">
        <v>3.8299560000000003E-2</v>
      </c>
      <c r="V2799">
        <v>5.325162E-2</v>
      </c>
      <c r="W2799">
        <v>0.18052319999999999</v>
      </c>
      <c r="X2799">
        <v>0.98212809999999995</v>
      </c>
      <c r="Y2799">
        <v>-3.7394469999999999E-3</v>
      </c>
      <c r="Z2799">
        <v>-1.206695E-4</v>
      </c>
      <c r="AA2799">
        <v>0.99999300000000002</v>
      </c>
      <c r="AB2799">
        <v>32</v>
      </c>
      <c r="AC2799">
        <v>-61.554699999999997</v>
      </c>
      <c r="AD2799">
        <v>-1.12150340041799</v>
      </c>
      <c r="AE2799">
        <v>0.77019999999998801</v>
      </c>
      <c r="AF2799">
        <v>-0.23137405492141999</v>
      </c>
      <c r="AG2799">
        <v>-1.12150340041799</v>
      </c>
      <c r="AH2799">
        <v>61.538658404615902</v>
      </c>
      <c r="AI2799">
        <v>91.044056642185396</v>
      </c>
      <c r="AJ2799">
        <v>90.215420594358505</v>
      </c>
      <c r="AK2799">
        <v>61.5493117920131</v>
      </c>
      <c r="AL2799">
        <v>79.599763618476999</v>
      </c>
      <c r="AM2799">
        <v>86.896424821121499</v>
      </c>
      <c r="AN2799">
        <v>0.99999998279023605</v>
      </c>
    </row>
    <row r="2800" spans="1:40" x14ac:dyDescent="0.25">
      <c r="A2800" t="str">
        <f>"20190303170311189"</f>
        <v>20190303170311189</v>
      </c>
      <c r="B2800" t="str">
        <f>"1551603791177978"</f>
        <v>1551603791177978</v>
      </c>
      <c r="C2800" t="s">
        <v>40</v>
      </c>
      <c r="D2800">
        <v>4.1217129999999997</v>
      </c>
      <c r="E2800">
        <v>0.48290230000000001</v>
      </c>
      <c r="F2800" t="s">
        <v>57</v>
      </c>
      <c r="G2800">
        <v>-481.19200000000001</v>
      </c>
      <c r="H2800" s="1">
        <v>2.4810850000000001E-6</v>
      </c>
      <c r="I2800">
        <v>285.34710000000001</v>
      </c>
      <c r="J2800">
        <v>-417.9572</v>
      </c>
      <c r="K2800">
        <v>1.121542</v>
      </c>
      <c r="L2800">
        <v>284.52550000000002</v>
      </c>
      <c r="M2800">
        <v>-0.99976310000000002</v>
      </c>
      <c r="N2800">
        <v>-1.444347E-2</v>
      </c>
      <c r="O2800">
        <v>1.629311E-2</v>
      </c>
      <c r="P2800">
        <v>-0.98354790000000003</v>
      </c>
      <c r="Q2800">
        <v>0.16682849999999999</v>
      </c>
      <c r="R2800">
        <v>6.9296399999999994E-2</v>
      </c>
      <c r="S2800">
        <v>-3.0561829999999999</v>
      </c>
      <c r="T2800">
        <v>-5.3924800000000002E-2</v>
      </c>
      <c r="U2800">
        <v>3.9764399999999998E-2</v>
      </c>
      <c r="V2800">
        <v>5.329246E-2</v>
      </c>
      <c r="W2800">
        <v>0.18102219999999999</v>
      </c>
      <c r="X2800">
        <v>0.98203399999999996</v>
      </c>
      <c r="Y2800">
        <v>-3.2841070000000001E-3</v>
      </c>
      <c r="Z2800">
        <v>-1.0478209999999999E-4</v>
      </c>
      <c r="AA2800">
        <v>0.99999459999999996</v>
      </c>
      <c r="AB2800">
        <v>32</v>
      </c>
      <c r="AC2800">
        <v>-63.2347999999999</v>
      </c>
      <c r="AD2800">
        <v>-1.1215395189149999</v>
      </c>
      <c r="AE2800">
        <v>0.82159999999998901</v>
      </c>
      <c r="AF2800">
        <v>-0.20884226155656699</v>
      </c>
      <c r="AG2800">
        <v>-1.1215395189149999</v>
      </c>
      <c r="AH2800">
        <v>63.219908470925503</v>
      </c>
      <c r="AI2800">
        <v>91.016331597250499</v>
      </c>
      <c r="AJ2800">
        <v>90.189271654053996</v>
      </c>
      <c r="AK2800">
        <v>63.230200798786797</v>
      </c>
      <c r="AL2800">
        <v>79.570693756461793</v>
      </c>
      <c r="AM2800">
        <v>86.893752236002499</v>
      </c>
      <c r="AN2800">
        <v>0.99999995017084398</v>
      </c>
    </row>
    <row r="2801" spans="1:40" x14ac:dyDescent="0.25">
      <c r="A2801" t="str">
        <f>"20190303170311211"</f>
        <v>20190303170311211</v>
      </c>
      <c r="B2801" t="str">
        <f>"1551603791198474"</f>
        <v>1551603791198474</v>
      </c>
      <c r="C2801" t="s">
        <v>40</v>
      </c>
      <c r="D2801">
        <v>4.1170960000000001</v>
      </c>
      <c r="E2801">
        <v>0.4826531</v>
      </c>
      <c r="F2801" t="s">
        <v>57</v>
      </c>
      <c r="G2801">
        <v>-485.84730000000002</v>
      </c>
      <c r="H2801" s="1">
        <v>3.3078540000000001E-6</v>
      </c>
      <c r="I2801">
        <v>285.3587</v>
      </c>
      <c r="J2801">
        <v>-418.26670000000001</v>
      </c>
      <c r="K2801">
        <v>1.121575</v>
      </c>
      <c r="L2801">
        <v>284.53050000000002</v>
      </c>
      <c r="M2801">
        <v>-0.99976330000000002</v>
      </c>
      <c r="N2801">
        <v>-1.4440130000000001E-2</v>
      </c>
      <c r="O2801">
        <v>1.6274919999999998E-2</v>
      </c>
      <c r="P2801">
        <v>-0.98373940000000004</v>
      </c>
      <c r="Q2801">
        <v>0.16610139999999901</v>
      </c>
      <c r="R2801">
        <v>6.8319640000000001E-2</v>
      </c>
      <c r="S2801">
        <v>-3.056152</v>
      </c>
      <c r="T2801">
        <v>-5.0487400000000002E-2</v>
      </c>
      <c r="U2801">
        <v>3.7506100000000001E-2</v>
      </c>
      <c r="V2801">
        <v>5.2317750000000003E-2</v>
      </c>
      <c r="W2801">
        <v>0.18029809999999999</v>
      </c>
      <c r="X2801">
        <v>0.98221959999999997</v>
      </c>
      <c r="Y2801">
        <v>-4.0045539999999996E-3</v>
      </c>
      <c r="Z2801" s="1">
        <v>-9.5782709999999994E-5</v>
      </c>
      <c r="AA2801">
        <v>0.99999199999999999</v>
      </c>
      <c r="AB2801">
        <v>32</v>
      </c>
      <c r="AC2801">
        <v>-67.580600000000004</v>
      </c>
      <c r="AD2801">
        <v>-1.1215716921459999</v>
      </c>
      <c r="AE2801">
        <v>0.82819999999998095</v>
      </c>
      <c r="AF2801">
        <v>-0.27181838041121198</v>
      </c>
      <c r="AG2801">
        <v>-1.1215716921459999</v>
      </c>
      <c r="AH2801">
        <v>67.566520697128794</v>
      </c>
      <c r="AI2801">
        <v>90.950987301939904</v>
      </c>
      <c r="AJ2801">
        <v>90.230498208481194</v>
      </c>
      <c r="AK2801">
        <v>67.576375512512399</v>
      </c>
      <c r="AL2801">
        <v>79.612875682235696</v>
      </c>
      <c r="AM2801">
        <v>86.951031901350206</v>
      </c>
      <c r="AN2801">
        <v>0.99999994722641405</v>
      </c>
    </row>
    <row r="2802" spans="1:40" x14ac:dyDescent="0.25">
      <c r="A2802" t="str">
        <f>"20190303170311233"</f>
        <v>20190303170311233</v>
      </c>
      <c r="B2802" t="str">
        <f>"1551603791217995"</f>
        <v>1551603791217995</v>
      </c>
      <c r="C2802" t="s">
        <v>40</v>
      </c>
      <c r="D2802">
        <v>4.0796099999999997</v>
      </c>
      <c r="E2802">
        <v>0.48253089999999998</v>
      </c>
      <c r="F2802" t="s">
        <v>57</v>
      </c>
      <c r="G2802">
        <v>-485.06650000000002</v>
      </c>
      <c r="H2802" s="1">
        <v>3.1585400000000002E-6</v>
      </c>
      <c r="I2802">
        <v>285.23500000000001</v>
      </c>
      <c r="J2802">
        <v>-418.59809999999999</v>
      </c>
      <c r="K2802">
        <v>1.121607</v>
      </c>
      <c r="L2802">
        <v>284.53590000000003</v>
      </c>
      <c r="M2802">
        <v>-0.99976430000000005</v>
      </c>
      <c r="N2802">
        <v>-1.4436539999999999E-2</v>
      </c>
      <c r="O2802">
        <v>1.6221590000000001E-2</v>
      </c>
      <c r="P2802">
        <v>-0.98369510000000004</v>
      </c>
      <c r="Q2802">
        <v>0.16706119999999999</v>
      </c>
      <c r="R2802">
        <v>6.6594940000000005E-2</v>
      </c>
      <c r="S2802">
        <v>-3.056</v>
      </c>
      <c r="T2802">
        <v>-5.1310420000000002E-2</v>
      </c>
      <c r="U2802">
        <v>3.2226560000000001E-2</v>
      </c>
      <c r="V2802">
        <v>5.0634360000000003E-2</v>
      </c>
      <c r="W2802">
        <v>0.18125669999999999</v>
      </c>
      <c r="X2802">
        <v>0.98213139999999999</v>
      </c>
      <c r="Y2802">
        <v>-5.6774800000000004E-3</v>
      </c>
      <c r="Z2802">
        <v>-1.267684E-4</v>
      </c>
      <c r="AA2802">
        <v>0.99998379999999998</v>
      </c>
      <c r="AB2802">
        <v>32</v>
      </c>
      <c r="AC2802">
        <v>-66.468400000000003</v>
      </c>
      <c r="AD2802">
        <v>-1.12160384146</v>
      </c>
      <c r="AE2802">
        <v>0.69909999999998695</v>
      </c>
      <c r="AF2802">
        <v>-0.37921943450120699</v>
      </c>
      <c r="AG2802">
        <v>-1.12160384146</v>
      </c>
      <c r="AH2802">
        <v>66.452074577956395</v>
      </c>
      <c r="AI2802">
        <v>90.966952790416698</v>
      </c>
      <c r="AJ2802">
        <v>90.326964017119195</v>
      </c>
      <c r="AK2802">
        <v>66.462621211256504</v>
      </c>
      <c r="AL2802">
        <v>79.557031978693004</v>
      </c>
      <c r="AM2802">
        <v>87.048695487282501</v>
      </c>
      <c r="AN2802">
        <v>0.99999995828672905</v>
      </c>
    </row>
    <row r="2803" spans="1:40" x14ac:dyDescent="0.25">
      <c r="A2803" t="str">
        <f>"20190303170311256"</f>
        <v>20190303170311256</v>
      </c>
      <c r="B2803" t="str">
        <f>"1551603791248251"</f>
        <v>1551603791248251</v>
      </c>
      <c r="C2803" t="s">
        <v>40</v>
      </c>
      <c r="D2803">
        <v>4.0348519999999999</v>
      </c>
      <c r="E2803">
        <v>0.48249429999999999</v>
      </c>
      <c r="F2803" t="s">
        <v>57</v>
      </c>
      <c r="G2803">
        <v>-491.9135</v>
      </c>
      <c r="H2803" s="1">
        <v>3.673634E-6</v>
      </c>
      <c r="I2803">
        <v>285.17070000000001</v>
      </c>
      <c r="J2803">
        <v>-418.90989999999999</v>
      </c>
      <c r="K2803">
        <v>1.1216390000000001</v>
      </c>
      <c r="L2803">
        <v>284.54090000000002</v>
      </c>
      <c r="M2803">
        <v>-0.99976549999999997</v>
      </c>
      <c r="N2803">
        <v>-1.443318E-2</v>
      </c>
      <c r="O2803">
        <v>1.6151849999999999E-2</v>
      </c>
      <c r="P2803">
        <v>-0.98359160000000001</v>
      </c>
      <c r="Q2803">
        <v>0.16827059999999999</v>
      </c>
      <c r="R2803">
        <v>6.5059270000000002E-2</v>
      </c>
      <c r="S2803">
        <v>-3.0559080000000001</v>
      </c>
      <c r="T2803">
        <v>-4.6750310000000003E-2</v>
      </c>
      <c r="U2803">
        <v>2.6458740000000001E-2</v>
      </c>
      <c r="V2803">
        <v>4.9159340000000003E-2</v>
      </c>
      <c r="W2803">
        <v>0.1824636</v>
      </c>
      <c r="X2803">
        <v>0.98198289999999999</v>
      </c>
      <c r="Y2803">
        <v>-7.4944490000000002E-3</v>
      </c>
      <c r="Z2803">
        <v>-1.2533999999999999E-4</v>
      </c>
      <c r="AA2803">
        <v>0.99997190000000002</v>
      </c>
      <c r="AB2803">
        <v>32</v>
      </c>
      <c r="AC2803">
        <v>-73.003600000000006</v>
      </c>
      <c r="AD2803">
        <v>-1.1216353263659999</v>
      </c>
      <c r="AE2803">
        <v>0.62979999999998804</v>
      </c>
      <c r="AF2803">
        <v>-0.54941837419387896</v>
      </c>
      <c r="AG2803">
        <v>-1.1216353263659999</v>
      </c>
      <c r="AH2803">
        <v>72.987020485934707</v>
      </c>
      <c r="AI2803">
        <v>90.880404369930304</v>
      </c>
      <c r="AJ2803">
        <v>90.431292567446604</v>
      </c>
      <c r="AK2803">
        <v>72.997706030871399</v>
      </c>
      <c r="AL2803">
        <v>79.486709577526099</v>
      </c>
      <c r="AM2803">
        <v>87.134091344114907</v>
      </c>
      <c r="AN2803">
        <v>1.0000000109633</v>
      </c>
    </row>
    <row r="2804" spans="1:40" x14ac:dyDescent="0.25">
      <c r="A2804" t="str">
        <f>"20190303170311277"</f>
        <v>20190303170311277</v>
      </c>
      <c r="B2804" t="str">
        <f>"1551603791268746"</f>
        <v>1551603791268746</v>
      </c>
      <c r="C2804" t="s">
        <v>40</v>
      </c>
      <c r="D2804">
        <v>4.0081389999999999</v>
      </c>
      <c r="E2804">
        <v>0.48260629999999999</v>
      </c>
      <c r="F2804" t="s">
        <v>57</v>
      </c>
      <c r="G2804">
        <v>-499.95780000000002</v>
      </c>
      <c r="H2804">
        <v>4.996167E-2</v>
      </c>
      <c r="I2804">
        <v>285.1189</v>
      </c>
      <c r="J2804">
        <v>-419.22710000000001</v>
      </c>
      <c r="K2804">
        <v>1.1216660000000001</v>
      </c>
      <c r="L2804">
        <v>284.54590000000002</v>
      </c>
      <c r="M2804">
        <v>-0.99976690000000001</v>
      </c>
      <c r="N2804">
        <v>-1.442973E-2</v>
      </c>
      <c r="O2804">
        <v>1.6070979999999999E-2</v>
      </c>
      <c r="P2804">
        <v>-0.98357680000000003</v>
      </c>
      <c r="Q2804">
        <v>0.16874829999999999</v>
      </c>
      <c r="R2804">
        <v>6.4039540000000006E-2</v>
      </c>
      <c r="S2804">
        <v>-3.0555110000000001</v>
      </c>
      <c r="T2804">
        <v>-4.040229E-2</v>
      </c>
      <c r="U2804">
        <v>2.1789550000000001E-2</v>
      </c>
      <c r="V2804">
        <v>4.82116E-2</v>
      </c>
      <c r="W2804">
        <v>0.1829394</v>
      </c>
      <c r="X2804">
        <v>0.98194130000000002</v>
      </c>
      <c r="Y2804">
        <v>-8.9404719999999997E-3</v>
      </c>
      <c r="Z2804">
        <v>-1.041799E-4</v>
      </c>
      <c r="AA2804">
        <v>0.99995999999999996</v>
      </c>
      <c r="AB2804">
        <v>32</v>
      </c>
      <c r="AC2804">
        <v>-80.730699999999999</v>
      </c>
      <c r="AD2804">
        <v>-1.07170433</v>
      </c>
      <c r="AE2804">
        <v>0.57299999999997897</v>
      </c>
      <c r="AF2804">
        <v>-0.72450267896248199</v>
      </c>
      <c r="AG2804">
        <v>-1.07170433</v>
      </c>
      <c r="AH2804">
        <v>80.715257876437704</v>
      </c>
      <c r="AI2804">
        <v>90.760674691935904</v>
      </c>
      <c r="AJ2804">
        <v>90.514274897494701</v>
      </c>
      <c r="AK2804">
        <v>80.725623617056101</v>
      </c>
      <c r="AL2804">
        <v>79.458980884431796</v>
      </c>
      <c r="AM2804">
        <v>87.189134670091306</v>
      </c>
      <c r="AN2804">
        <v>0.999999949546303</v>
      </c>
    </row>
    <row r="2805" spans="1:40" x14ac:dyDescent="0.25">
      <c r="A2805" t="str">
        <f>"20190303170311299"</f>
        <v>20190303170311299</v>
      </c>
      <c r="B2805" t="str">
        <f>"1551603791288267"</f>
        <v>1551603791288267</v>
      </c>
      <c r="C2805" t="s">
        <v>40</v>
      </c>
      <c r="D2805">
        <v>4.0433130000000004</v>
      </c>
      <c r="E2805">
        <v>0.48254530000000001</v>
      </c>
      <c r="F2805" t="s">
        <v>44</v>
      </c>
      <c r="G2805">
        <v>-515.94380000000001</v>
      </c>
      <c r="H2805">
        <v>-0.05</v>
      </c>
      <c r="I2805">
        <v>285.1816</v>
      </c>
      <c r="J2805">
        <v>-419.54480000000001</v>
      </c>
      <c r="K2805">
        <v>1.1216820000000001</v>
      </c>
      <c r="L2805">
        <v>284.55090000000001</v>
      </c>
      <c r="M2805">
        <v>-0.9997682</v>
      </c>
      <c r="N2805">
        <v>-1.442625E-2</v>
      </c>
      <c r="O2805">
        <v>1.5984849999999998E-2</v>
      </c>
      <c r="P2805">
        <v>-0.98370780000000002</v>
      </c>
      <c r="Q2805">
        <v>0.16810659999999999</v>
      </c>
      <c r="R2805">
        <v>6.3712809999999995E-2</v>
      </c>
      <c r="S2805">
        <v>-3.0551149999999998</v>
      </c>
      <c r="T2805">
        <v>-3.7010910000000001E-2</v>
      </c>
      <c r="U2805">
        <v>2.0080569999999999E-2</v>
      </c>
      <c r="V2805">
        <v>4.7962390000000001E-2</v>
      </c>
      <c r="W2805">
        <v>0.18229709999999999</v>
      </c>
      <c r="X2805">
        <v>0.98207299999999997</v>
      </c>
      <c r="Y2805">
        <v>-9.4128200000000006E-3</v>
      </c>
      <c r="Z2805" s="1">
        <v>-8.7924359999999897E-5</v>
      </c>
      <c r="AA2805">
        <v>0.9999557</v>
      </c>
      <c r="AB2805">
        <v>32</v>
      </c>
      <c r="AC2805">
        <v>-96.399000000000001</v>
      </c>
      <c r="AD2805">
        <v>-1.1716819999999999</v>
      </c>
      <c r="AE2805">
        <v>0.63069999999999005</v>
      </c>
      <c r="AF2805">
        <v>-0.91032997960313899</v>
      </c>
      <c r="AG2805">
        <v>-1.1716819999999999</v>
      </c>
      <c r="AH2805">
        <v>96.382525458148194</v>
      </c>
      <c r="AI2805">
        <v>90.696455428959297</v>
      </c>
      <c r="AJ2805">
        <v>90.541140779078205</v>
      </c>
      <c r="AK2805">
        <v>96.393945624564395</v>
      </c>
      <c r="AL2805">
        <v>79.496411942187606</v>
      </c>
      <c r="AM2805">
        <v>87.204015566474098</v>
      </c>
      <c r="AN2805">
        <v>1.0000000004259599</v>
      </c>
    </row>
    <row r="2806" spans="1:40" x14ac:dyDescent="0.25">
      <c r="A2806" t="str">
        <f>"20190303170311322"</f>
        <v>20190303170311322</v>
      </c>
      <c r="B2806" t="str">
        <f>"1551603791308763"</f>
        <v>1551603791308763</v>
      </c>
      <c r="C2806" t="s">
        <v>40</v>
      </c>
      <c r="D2806">
        <v>4.0291499999999996</v>
      </c>
      <c r="E2806">
        <v>0.48263679999999898</v>
      </c>
      <c r="F2806" t="s">
        <v>57</v>
      </c>
      <c r="G2806">
        <v>-503.2466</v>
      </c>
      <c r="H2806">
        <v>7.9982040000000004E-2</v>
      </c>
      <c r="I2806">
        <v>285.07100000000003</v>
      </c>
      <c r="J2806">
        <v>-419.86950000000002</v>
      </c>
      <c r="K2806">
        <v>1.121685</v>
      </c>
      <c r="L2806">
        <v>284.55599999999998</v>
      </c>
      <c r="M2806">
        <v>-0.99976969999999998</v>
      </c>
      <c r="N2806">
        <v>-1.442271E-2</v>
      </c>
      <c r="O2806">
        <v>1.5893069999999999E-2</v>
      </c>
      <c r="P2806">
        <v>-0.9837283</v>
      </c>
      <c r="Q2806">
        <v>0.1679715</v>
      </c>
      <c r="R2806">
        <v>6.3751240000000001E-2</v>
      </c>
      <c r="S2806">
        <v>-3.0549620000000002</v>
      </c>
      <c r="T2806">
        <v>-3.8020129999999999E-2</v>
      </c>
      <c r="U2806">
        <v>1.8981930000000001E-2</v>
      </c>
      <c r="V2806">
        <v>4.8087299999999999E-2</v>
      </c>
      <c r="W2806">
        <v>0.1821603</v>
      </c>
      <c r="X2806">
        <v>0.98209230000000003</v>
      </c>
      <c r="Y2806">
        <v>-9.6801979999999992E-3</v>
      </c>
      <c r="Z2806" s="1">
        <v>-9.8585859999999998E-5</v>
      </c>
      <c r="AA2806">
        <v>0.99995319999999999</v>
      </c>
      <c r="AB2806">
        <v>32</v>
      </c>
      <c r="AC2806">
        <v>-83.377099999999899</v>
      </c>
      <c r="AD2806">
        <v>-1.0417029600000001</v>
      </c>
      <c r="AE2806">
        <v>0.51499999999998602</v>
      </c>
      <c r="AF2806">
        <v>-0.81019448764399005</v>
      </c>
      <c r="AG2806">
        <v>-1.0417029600000001</v>
      </c>
      <c r="AH2806">
        <v>83.361740818115095</v>
      </c>
      <c r="AI2806">
        <v>90.715907055751302</v>
      </c>
      <c r="AJ2806">
        <v>90.556841336684997</v>
      </c>
      <c r="AK2806">
        <v>83.3721859638529</v>
      </c>
      <c r="AL2806">
        <v>79.504383734594199</v>
      </c>
      <c r="AM2806">
        <v>87.196800495208905</v>
      </c>
      <c r="AN2806">
        <v>1.00000002451833</v>
      </c>
    </row>
    <row r="2807" spans="1:40" x14ac:dyDescent="0.25">
      <c r="A2807" t="str">
        <f>"20190303170311344"</f>
        <v>20190303170311344</v>
      </c>
      <c r="B2807" t="str">
        <f>"1551603791338043"</f>
        <v>1551603791338043</v>
      </c>
      <c r="C2807" t="s">
        <v>40</v>
      </c>
      <c r="D2807">
        <v>4.0135199999999998</v>
      </c>
      <c r="E2807">
        <v>0.48260890000000001</v>
      </c>
      <c r="F2807" t="s">
        <v>57</v>
      </c>
      <c r="G2807">
        <v>-502.56540000000001</v>
      </c>
      <c r="H2807">
        <v>7.9981999999999998E-2</v>
      </c>
      <c r="I2807">
        <v>285.10379999999998</v>
      </c>
      <c r="J2807">
        <v>-420.18619999999999</v>
      </c>
      <c r="K2807">
        <v>1.1216900000000001</v>
      </c>
      <c r="L2807">
        <v>284.56099999999998</v>
      </c>
      <c r="M2807">
        <v>-0.99977119999999997</v>
      </c>
      <c r="N2807">
        <v>-1.441927E-2</v>
      </c>
      <c r="O2807">
        <v>1.580289E-2</v>
      </c>
      <c r="P2807">
        <v>-0.98354549999999996</v>
      </c>
      <c r="Q2807">
        <v>0.168769</v>
      </c>
      <c r="R2807">
        <v>6.4462340000000007E-2</v>
      </c>
      <c r="S2807">
        <v>-3.0548709999999999</v>
      </c>
      <c r="T2807">
        <v>-3.8481590000000003E-2</v>
      </c>
      <c r="U2807">
        <v>2.0233149999999998E-2</v>
      </c>
      <c r="V2807">
        <v>4.8887939999999998E-2</v>
      </c>
      <c r="W2807">
        <v>0.18295259999999999</v>
      </c>
      <c r="X2807">
        <v>0.98190549999999999</v>
      </c>
      <c r="Y2807">
        <v>-9.1803289999999992E-3</v>
      </c>
      <c r="Z2807" s="1">
        <v>-9.5175100000000003E-5</v>
      </c>
      <c r="AA2807">
        <v>0.99995789999999996</v>
      </c>
      <c r="AB2807">
        <v>32</v>
      </c>
      <c r="AC2807">
        <v>-82.379199999999997</v>
      </c>
      <c r="AD2807">
        <v>-1.0417080000000001</v>
      </c>
      <c r="AE2807">
        <v>0.54279999999999895</v>
      </c>
      <c r="AF2807">
        <v>-0.75911114413237302</v>
      </c>
      <c r="AG2807">
        <v>-1.0417080000000001</v>
      </c>
      <c r="AH2807">
        <v>82.364319848232498</v>
      </c>
      <c r="AI2807">
        <v>90.724582628259</v>
      </c>
      <c r="AJ2807">
        <v>90.528051872088994</v>
      </c>
      <c r="AK2807">
        <v>82.374404940784601</v>
      </c>
      <c r="AL2807">
        <v>79.458212643649105</v>
      </c>
      <c r="AM2807">
        <v>87.149663064143397</v>
      </c>
      <c r="AN2807">
        <v>1.00000004772722</v>
      </c>
    </row>
    <row r="2808" spans="1:40" x14ac:dyDescent="0.25">
      <c r="A2808" t="str">
        <f>"20190303170311367"</f>
        <v>20190303170311367</v>
      </c>
      <c r="B2808" t="str">
        <f>"1551603791358538"</f>
        <v>1551603791358538</v>
      </c>
      <c r="C2808" t="s">
        <v>40</v>
      </c>
      <c r="D2808">
        <v>4.0123160000000002</v>
      </c>
      <c r="E2808">
        <v>0.4825758</v>
      </c>
      <c r="F2808" t="s">
        <v>44</v>
      </c>
      <c r="G2808">
        <v>-524.85410000000002</v>
      </c>
      <c r="H2808">
        <v>-0.05</v>
      </c>
      <c r="I2808">
        <v>285.31810000000002</v>
      </c>
      <c r="J2808">
        <v>-420.50240000000002</v>
      </c>
      <c r="K2808">
        <v>1.121688</v>
      </c>
      <c r="L2808">
        <v>284.5659</v>
      </c>
      <c r="M2808">
        <v>-0.99977280000000002</v>
      </c>
      <c r="N2808">
        <v>-1.4415819999999999E-2</v>
      </c>
      <c r="O2808">
        <v>1.5713700000000001E-2</v>
      </c>
      <c r="P2808">
        <v>-0.98330589999999995</v>
      </c>
      <c r="Q2808">
        <v>0.16994600000000001</v>
      </c>
      <c r="R2808">
        <v>6.5025639999999996E-2</v>
      </c>
      <c r="S2808">
        <v>-3.0545960000000001</v>
      </c>
      <c r="T2808">
        <v>-3.4194229999999999E-2</v>
      </c>
      <c r="U2808">
        <v>2.209473E-2</v>
      </c>
      <c r="V2808">
        <v>4.9541130000000003E-2</v>
      </c>
      <c r="W2808">
        <v>0.18412249999999999</v>
      </c>
      <c r="X2808">
        <v>0.98165400000000003</v>
      </c>
      <c r="Y2808">
        <v>-8.4814299999999999E-3</v>
      </c>
      <c r="Z2808" s="1">
        <v>-5.7953720000000002E-5</v>
      </c>
      <c r="AA2808">
        <v>0.99996410000000002</v>
      </c>
      <c r="AB2808">
        <v>32</v>
      </c>
      <c r="AC2808">
        <v>-104.35169999999999</v>
      </c>
      <c r="AD2808">
        <v>-1.1716879999999901</v>
      </c>
      <c r="AE2808">
        <v>0.75220000000001597</v>
      </c>
      <c r="AF2808">
        <v>-0.88770238146827596</v>
      </c>
      <c r="AG2808">
        <v>-1.1716879999999901</v>
      </c>
      <c r="AH2808">
        <v>104.337480781363</v>
      </c>
      <c r="AI2808">
        <v>90.643369244913899</v>
      </c>
      <c r="AJ2808">
        <v>90.487460233590795</v>
      </c>
      <c r="AK2808">
        <v>104.347835454736</v>
      </c>
      <c r="AL2808">
        <v>79.390023425708705</v>
      </c>
      <c r="AM2808">
        <v>87.110905135217706</v>
      </c>
      <c r="AN2808">
        <v>0.99999999714196297</v>
      </c>
    </row>
    <row r="2809" spans="1:40" x14ac:dyDescent="0.25">
      <c r="A2809" t="str">
        <f>"20190303170311389"</f>
        <v>20190303170311389</v>
      </c>
      <c r="B2809" t="str">
        <f>"1551603791378059"</f>
        <v>1551603791378059</v>
      </c>
      <c r="C2809" t="s">
        <v>40</v>
      </c>
      <c r="D2809">
        <v>3.9775499999999999</v>
      </c>
      <c r="E2809">
        <v>0.482595</v>
      </c>
      <c r="F2809" t="s">
        <v>44</v>
      </c>
      <c r="G2809">
        <v>-541.44439999999997</v>
      </c>
      <c r="H2809">
        <v>-0.05</v>
      </c>
      <c r="I2809">
        <v>285.49990000000003</v>
      </c>
      <c r="J2809">
        <v>-420.83109999999999</v>
      </c>
      <c r="K2809">
        <v>1.121691</v>
      </c>
      <c r="L2809">
        <v>284.57100000000003</v>
      </c>
      <c r="M2809">
        <v>-0.99977400000000005</v>
      </c>
      <c r="N2809">
        <v>-1.441228E-2</v>
      </c>
      <c r="O2809">
        <v>1.562321E-2</v>
      </c>
      <c r="P2809">
        <v>-0.98326599999999997</v>
      </c>
      <c r="Q2809">
        <v>0.1701242</v>
      </c>
      <c r="R2809">
        <v>6.5158439999999998E-2</v>
      </c>
      <c r="S2809">
        <v>-3.0544739999999999</v>
      </c>
      <c r="T2809">
        <v>-2.9591800000000001E-2</v>
      </c>
      <c r="U2809">
        <v>2.3590090000000001E-2</v>
      </c>
      <c r="V2809">
        <v>4.9762460000000001E-2</v>
      </c>
      <c r="W2809">
        <v>0.18429690000000001</v>
      </c>
      <c r="X2809">
        <v>0.98161010000000004</v>
      </c>
      <c r="Y2809">
        <v>-7.9013139999999996E-3</v>
      </c>
      <c r="Z2809" s="1">
        <v>-2.1375639999999999E-5</v>
      </c>
      <c r="AA2809">
        <v>0.99996879999999999</v>
      </c>
      <c r="AB2809">
        <v>32</v>
      </c>
      <c r="AC2809">
        <v>-120.613299999999</v>
      </c>
      <c r="AD2809">
        <v>-1.171691</v>
      </c>
      <c r="AE2809">
        <v>0.92890000000005502</v>
      </c>
      <c r="AF2809">
        <v>-0.95568600397788905</v>
      </c>
      <c r="AG2809">
        <v>-1.171691</v>
      </c>
      <c r="AH2809">
        <v>120.601709462854</v>
      </c>
      <c r="AI2809">
        <v>90.556615075501796</v>
      </c>
      <c r="AJ2809">
        <v>90.454020334439903</v>
      </c>
      <c r="AK2809">
        <v>120.611187378702</v>
      </c>
      <c r="AL2809">
        <v>79.379857300311997</v>
      </c>
      <c r="AM2809">
        <v>87.097890264571802</v>
      </c>
      <c r="AN2809">
        <v>1.0000000190984299</v>
      </c>
    </row>
    <row r="2810" spans="1:40" x14ac:dyDescent="0.25">
      <c r="A2810" t="str">
        <f>"20190303170311412"</f>
        <v>20190303170311412</v>
      </c>
      <c r="B2810" t="str">
        <f>"1551603791398555"</f>
        <v>1551603791398555</v>
      </c>
      <c r="C2810" t="s">
        <v>40</v>
      </c>
      <c r="D2810">
        <v>3.9743689999999998</v>
      </c>
      <c r="E2810">
        <v>0.48253980000000002</v>
      </c>
      <c r="F2810" t="s">
        <v>44</v>
      </c>
      <c r="G2810">
        <v>-549.14480000000003</v>
      </c>
      <c r="H2810">
        <v>-0.05</v>
      </c>
      <c r="I2810">
        <v>285.59410000000003</v>
      </c>
      <c r="J2810">
        <v>-421.14179999999999</v>
      </c>
      <c r="K2810">
        <v>1.121694</v>
      </c>
      <c r="L2810">
        <v>284.57569999999998</v>
      </c>
      <c r="M2810">
        <v>-0.99977559999999999</v>
      </c>
      <c r="N2810">
        <v>-1.440896E-2</v>
      </c>
      <c r="O2810">
        <v>1.5541259999999999E-2</v>
      </c>
      <c r="P2810">
        <v>-0.98343340000000001</v>
      </c>
      <c r="Q2810">
        <v>0.16919919999999999</v>
      </c>
      <c r="R2810">
        <v>6.5044829999999998E-2</v>
      </c>
      <c r="S2810">
        <v>-3.0542600000000002</v>
      </c>
      <c r="T2810">
        <v>-2.7889850000000001E-2</v>
      </c>
      <c r="U2810">
        <v>2.4353030000000001E-2</v>
      </c>
      <c r="V2810">
        <v>4.972675E-2</v>
      </c>
      <c r="W2810">
        <v>0.18337120000000001</v>
      </c>
      <c r="X2810">
        <v>0.98178520000000002</v>
      </c>
      <c r="Y2810">
        <v>-7.5691049999999996E-3</v>
      </c>
      <c r="Z2810" s="1">
        <v>-7.0435450000000002E-6</v>
      </c>
      <c r="AA2810">
        <v>0.99997130000000001</v>
      </c>
      <c r="AB2810">
        <v>32</v>
      </c>
      <c r="AC2810">
        <v>-128.00299999999999</v>
      </c>
      <c r="AD2810">
        <v>-1.171694</v>
      </c>
      <c r="AE2810">
        <v>1.0184000000000399</v>
      </c>
      <c r="AF2810">
        <v>-0.97117570045799595</v>
      </c>
      <c r="AG2810">
        <v>-1.171694</v>
      </c>
      <c r="AH2810">
        <v>127.992642666262</v>
      </c>
      <c r="AI2810">
        <v>90.524477908655697</v>
      </c>
      <c r="AJ2810">
        <v>90.434737495796</v>
      </c>
      <c r="AK2810">
        <v>128.00168993323501</v>
      </c>
      <c r="AL2810">
        <v>79.433814998227206</v>
      </c>
      <c r="AM2810">
        <v>87.100485622619601</v>
      </c>
      <c r="AN2810">
        <v>0.99999996279701997</v>
      </c>
    </row>
    <row r="2811" spans="1:40" x14ac:dyDescent="0.25">
      <c r="A2811" t="str">
        <f>"20190303170311434"</f>
        <v>20190303170311434</v>
      </c>
      <c r="B2811" t="str">
        <f>"1551603791427834"</f>
        <v>1551603791427834</v>
      </c>
      <c r="C2811" t="s">
        <v>40</v>
      </c>
      <c r="D2811">
        <v>3.9611779999999999</v>
      </c>
      <c r="E2811">
        <v>0.48255629999999999</v>
      </c>
      <c r="F2811" t="s">
        <v>44</v>
      </c>
      <c r="G2811">
        <v>-538.98239999999998</v>
      </c>
      <c r="H2811">
        <v>-0.05</v>
      </c>
      <c r="I2811">
        <v>285.48360000000002</v>
      </c>
      <c r="J2811">
        <v>-421.46080000000001</v>
      </c>
      <c r="K2811">
        <v>1.121691</v>
      </c>
      <c r="L2811">
        <v>284.5806</v>
      </c>
      <c r="M2811">
        <v>-0.99977680000000002</v>
      </c>
      <c r="N2811">
        <v>-1.440551E-2</v>
      </c>
      <c r="O2811">
        <v>1.546138E-2</v>
      </c>
      <c r="P2811">
        <v>-0.98362090000000002</v>
      </c>
      <c r="Q2811">
        <v>0.16820089999999999</v>
      </c>
      <c r="R2811">
        <v>6.479675E-2</v>
      </c>
      <c r="S2811">
        <v>-3.05423</v>
      </c>
      <c r="T2811">
        <v>-3.0368329999999999E-2</v>
      </c>
      <c r="U2811">
        <v>2.3529049999999999E-2</v>
      </c>
      <c r="V2811">
        <v>4.955495E-2</v>
      </c>
      <c r="W2811">
        <v>0.18237220000000001</v>
      </c>
      <c r="X2811">
        <v>0.98197999999999996</v>
      </c>
      <c r="Y2811">
        <v>-7.7588190000000001E-3</v>
      </c>
      <c r="Z2811" s="1">
        <v>-2.543404E-5</v>
      </c>
      <c r="AA2811">
        <v>0.99996989999999997</v>
      </c>
      <c r="AB2811">
        <v>32</v>
      </c>
      <c r="AC2811">
        <v>-117.521599999999</v>
      </c>
      <c r="AD2811">
        <v>-1.171691</v>
      </c>
      <c r="AE2811">
        <v>0.90300000000002001</v>
      </c>
      <c r="AF2811">
        <v>-0.91425156787985196</v>
      </c>
      <c r="AG2811">
        <v>-1.171691</v>
      </c>
      <c r="AH2811">
        <v>117.50983239433199</v>
      </c>
      <c r="AI2811">
        <v>90.571260222311906</v>
      </c>
      <c r="AJ2811">
        <v>90.445764395066902</v>
      </c>
      <c r="AK2811">
        <v>117.519230022465</v>
      </c>
      <c r="AL2811">
        <v>79.492035837377202</v>
      </c>
      <c r="AM2811">
        <v>87.111058328959601</v>
      </c>
      <c r="AN2811">
        <v>1.00000001640117</v>
      </c>
    </row>
    <row r="2812" spans="1:40" x14ac:dyDescent="0.25">
      <c r="A2812" t="str">
        <f>"20190303170311456"</f>
        <v>20190303170311456</v>
      </c>
      <c r="B2812" t="str">
        <f>"1551603791448331"</f>
        <v>1551603791448331</v>
      </c>
      <c r="C2812" t="s">
        <v>40</v>
      </c>
      <c r="D2812">
        <v>4.0063550000000001</v>
      </c>
      <c r="E2812">
        <v>0.49657750000000001</v>
      </c>
      <c r="F2812" t="s">
        <v>44</v>
      </c>
      <c r="G2812">
        <v>-530.41719999999998</v>
      </c>
      <c r="H2812">
        <v>-0.05</v>
      </c>
      <c r="I2812">
        <v>285.41559999999998</v>
      </c>
      <c r="J2812">
        <v>-421.76769999999999</v>
      </c>
      <c r="K2812">
        <v>1.1216889999999999</v>
      </c>
      <c r="L2812">
        <v>284.58530000000002</v>
      </c>
      <c r="M2812">
        <v>-0.9997779</v>
      </c>
      <c r="N2812">
        <v>-1.4402180000000001E-2</v>
      </c>
      <c r="O2812">
        <v>1.5389160000000001E-2</v>
      </c>
      <c r="P2812">
        <v>-0.98366679999999995</v>
      </c>
      <c r="Q2812">
        <v>0.16822500000000001</v>
      </c>
      <c r="R2812">
        <v>6.4031580000000005E-2</v>
      </c>
      <c r="S2812">
        <v>-3.0540159999999998</v>
      </c>
      <c r="T2812">
        <v>-3.2842160000000002E-2</v>
      </c>
      <c r="U2812">
        <v>2.3406980000000001E-2</v>
      </c>
      <c r="V2812">
        <v>4.8861500000000002E-2</v>
      </c>
      <c r="W2812">
        <v>0.18239330000000001</v>
      </c>
      <c r="X2812">
        <v>0.98201079999999996</v>
      </c>
      <c r="Y2812">
        <v>-7.7259590000000001E-3</v>
      </c>
      <c r="Z2812" s="1">
        <v>-4.1001650000000001E-5</v>
      </c>
      <c r="AA2812">
        <v>0.99997009999999997</v>
      </c>
      <c r="AB2812">
        <v>32</v>
      </c>
      <c r="AC2812">
        <v>-108.6495</v>
      </c>
      <c r="AD2812">
        <v>-1.171689</v>
      </c>
      <c r="AE2812">
        <v>0.83029999999996495</v>
      </c>
      <c r="AF2812">
        <v>-0.84189833207063003</v>
      </c>
      <c r="AG2812">
        <v>-1.171689</v>
      </c>
      <c r="AH2812">
        <v>108.636776573075</v>
      </c>
      <c r="AI2812">
        <v>90.6179142851622</v>
      </c>
      <c r="AJ2812">
        <v>90.444014053968999</v>
      </c>
      <c r="AK2812">
        <v>108.646356920527</v>
      </c>
      <c r="AL2812">
        <v>79.490805957958898</v>
      </c>
      <c r="AM2812">
        <v>87.151507038559501</v>
      </c>
      <c r="AN2812">
        <v>0.99999998669188905</v>
      </c>
    </row>
    <row r="2813" spans="1:40" x14ac:dyDescent="0.25">
      <c r="A2813" t="str">
        <f>"20190303170311478"</f>
        <v>20190303170311478</v>
      </c>
      <c r="B2813" t="str">
        <f>"1551603791467851"</f>
        <v>1551603791467851</v>
      </c>
      <c r="C2813" t="s">
        <v>40</v>
      </c>
      <c r="D2813">
        <v>3.9081899999999998</v>
      </c>
      <c r="E2813">
        <v>0.50622929999999999</v>
      </c>
      <c r="F2813" t="s">
        <v>57</v>
      </c>
      <c r="G2813">
        <v>-499.95780000000002</v>
      </c>
      <c r="H2813">
        <v>2.7258149999999999E-3</v>
      </c>
      <c r="I2813">
        <v>287.98059999999998</v>
      </c>
      <c r="J2813">
        <v>-422.0849</v>
      </c>
      <c r="K2813">
        <v>1.1216900000000001</v>
      </c>
      <c r="L2813">
        <v>284.59010000000001</v>
      </c>
      <c r="M2813">
        <v>-0.99977899999999997</v>
      </c>
      <c r="N2813">
        <v>-1.43987E-2</v>
      </c>
      <c r="O2813">
        <v>1.531971E-2</v>
      </c>
      <c r="P2813">
        <v>-0.98352220000000001</v>
      </c>
      <c r="Q2813">
        <v>0.1694252</v>
      </c>
      <c r="R2813">
        <v>6.3082780000000005E-2</v>
      </c>
      <c r="S2813">
        <v>-3.048645</v>
      </c>
      <c r="T2813">
        <v>-4.3628569999999998E-2</v>
      </c>
      <c r="U2813">
        <v>0.13238529999999901</v>
      </c>
      <c r="V2813">
        <v>4.7985439999999997E-2</v>
      </c>
      <c r="W2813">
        <v>0.18358730000000001</v>
      </c>
      <c r="X2813">
        <v>0.98183149999999997</v>
      </c>
      <c r="Y2813">
        <v>2.8065690000000001E-2</v>
      </c>
      <c r="Z2813">
        <v>4.043157E-4</v>
      </c>
      <c r="AA2813">
        <v>0.99960599999999999</v>
      </c>
      <c r="AB2813">
        <v>32</v>
      </c>
      <c r="AC2813">
        <v>-77.872900000000001</v>
      </c>
      <c r="AD2813">
        <v>-1.1189641849999901</v>
      </c>
      <c r="AE2813">
        <v>3.3904999999999701</v>
      </c>
      <c r="AF2813">
        <v>2.19653547429902</v>
      </c>
      <c r="AG2813">
        <v>-1.1189641849999901</v>
      </c>
      <c r="AH2813">
        <v>77.899652686977603</v>
      </c>
      <c r="AI2813">
        <v>90.822623052507794</v>
      </c>
      <c r="AJ2813">
        <v>88.384859623695206</v>
      </c>
      <c r="AK2813">
        <v>77.938647266224095</v>
      </c>
      <c r="AL2813">
        <v>79.421219917931396</v>
      </c>
      <c r="AM2813">
        <v>87.201987030452301</v>
      </c>
      <c r="AN2813">
        <v>0.99999999678276597</v>
      </c>
    </row>
    <row r="2814" spans="1:40" x14ac:dyDescent="0.25">
      <c r="A2814" t="str">
        <f>"20190303170311501"</f>
        <v>20190303170311501</v>
      </c>
      <c r="B2814" t="str">
        <f>"1551603791488347"</f>
        <v>1551603791488347</v>
      </c>
      <c r="C2814" t="s">
        <v>40</v>
      </c>
      <c r="D2814">
        <v>3.892611</v>
      </c>
      <c r="E2814">
        <v>0.51087669999999996</v>
      </c>
      <c r="F2814" t="s">
        <v>44</v>
      </c>
      <c r="G2814">
        <v>-535.05309999999997</v>
      </c>
      <c r="H2814">
        <v>-0.05</v>
      </c>
      <c r="I2814">
        <v>292.28300000000002</v>
      </c>
      <c r="J2814">
        <v>-422.40480000000002</v>
      </c>
      <c r="K2814">
        <v>1.1216889999999999</v>
      </c>
      <c r="L2814">
        <v>284.5949</v>
      </c>
      <c r="M2814">
        <v>-0.99978009999999995</v>
      </c>
      <c r="N2814">
        <v>-1.439519E-2</v>
      </c>
      <c r="O2814">
        <v>1.5254729999999999E-2</v>
      </c>
      <c r="P2814">
        <v>-0.98346230000000001</v>
      </c>
      <c r="Q2814">
        <v>0.17024230000000001</v>
      </c>
      <c r="R2814">
        <v>6.1803480000000001E-2</v>
      </c>
      <c r="S2814">
        <v>-3.0424190000000002</v>
      </c>
      <c r="T2814">
        <v>-3.1555529999999998E-2</v>
      </c>
      <c r="U2814">
        <v>0.2071838</v>
      </c>
      <c r="V2814">
        <v>4.6772950000000001E-2</v>
      </c>
      <c r="W2814">
        <v>0.1843986</v>
      </c>
      <c r="X2814">
        <v>0.981738</v>
      </c>
      <c r="Y2814">
        <v>5.2705429999999998E-2</v>
      </c>
      <c r="Z2814">
        <v>7.1422019999999996E-4</v>
      </c>
      <c r="AA2814">
        <v>0.99860979999999999</v>
      </c>
      <c r="AB2814">
        <v>32</v>
      </c>
      <c r="AC2814">
        <v>-112.648299999999</v>
      </c>
      <c r="AD2814">
        <v>-1.171689</v>
      </c>
      <c r="AE2814">
        <v>7.6881000000000101</v>
      </c>
      <c r="AF2814">
        <v>5.9679652388067401</v>
      </c>
      <c r="AG2814">
        <v>-1.171689</v>
      </c>
      <c r="AH2814">
        <v>112.740341043607</v>
      </c>
      <c r="AI2814">
        <v>90.594610285732799</v>
      </c>
      <c r="AJ2814">
        <v>86.969848032642801</v>
      </c>
      <c r="AK2814">
        <v>112.904269019525</v>
      </c>
      <c r="AL2814">
        <v>79.373928790545605</v>
      </c>
      <c r="AM2814">
        <v>87.272319365713201</v>
      </c>
      <c r="AN2814">
        <v>1.00000002658883</v>
      </c>
    </row>
    <row r="2815" spans="1:40" x14ac:dyDescent="0.25">
      <c r="A2815" t="str">
        <f>"20190303170311523"</f>
        <v>20190303170311523</v>
      </c>
      <c r="B2815" t="str">
        <f>"1551603791518602"</f>
        <v>1551603791518602</v>
      </c>
      <c r="C2815" t="s">
        <v>40</v>
      </c>
      <c r="D2815">
        <v>4.0354890000000001</v>
      </c>
      <c r="E2815">
        <v>0.51438969999999995</v>
      </c>
      <c r="F2815" t="s">
        <v>67</v>
      </c>
      <c r="G2815">
        <v>-548.06600000000003</v>
      </c>
      <c r="H2815">
        <v>0.1481876</v>
      </c>
      <c r="I2815">
        <v>294.55</v>
      </c>
      <c r="J2815">
        <v>-422.72550000000001</v>
      </c>
      <c r="K2815">
        <v>1.1216839999999999</v>
      </c>
      <c r="L2815">
        <v>284.59969999999998</v>
      </c>
      <c r="M2815">
        <v>-0.99978100000000003</v>
      </c>
      <c r="N2815">
        <v>-1.439168E-2</v>
      </c>
      <c r="O2815">
        <v>1.5196970000000001E-2</v>
      </c>
      <c r="P2815">
        <v>-0.98363789999999995</v>
      </c>
      <c r="Q2815">
        <v>0.16964599999999999</v>
      </c>
      <c r="R2815">
        <v>6.063727E-2</v>
      </c>
      <c r="S2815">
        <v>-3.0393680000000001</v>
      </c>
      <c r="T2815">
        <v>-2.3543950000000001E-2</v>
      </c>
      <c r="U2815">
        <v>0.24078369999999999</v>
      </c>
      <c r="V2815">
        <v>4.5663530000000001E-2</v>
      </c>
      <c r="W2815">
        <v>0.18380060000000001</v>
      </c>
      <c r="X2815">
        <v>0.98190239999999995</v>
      </c>
      <c r="Y2815">
        <v>6.3808889999999993E-2</v>
      </c>
      <c r="Z2815">
        <v>8.0757970000000002E-4</v>
      </c>
      <c r="AA2815">
        <v>0.99796180000000001</v>
      </c>
      <c r="AB2815">
        <v>32</v>
      </c>
      <c r="AC2815">
        <v>-125.34050000000001</v>
      </c>
      <c r="AD2815">
        <v>-0.97349640000000004</v>
      </c>
      <c r="AE2815">
        <v>9.9503000000000199</v>
      </c>
      <c r="AF2815">
        <v>8.0436755129798492</v>
      </c>
      <c r="AG2815">
        <v>-0.97349640000000004</v>
      </c>
      <c r="AH2815">
        <v>125.469731308061</v>
      </c>
      <c r="AI2815">
        <v>90.443627756796502</v>
      </c>
      <c r="AJ2815">
        <v>86.331873578612502</v>
      </c>
      <c r="AK2815">
        <v>125.731069690494</v>
      </c>
      <c r="AL2815">
        <v>79.408787959286798</v>
      </c>
      <c r="AM2815">
        <v>87.337368913998304</v>
      </c>
      <c r="AN2815">
        <v>1.0000000708290799</v>
      </c>
    </row>
    <row r="2816" spans="1:40" x14ac:dyDescent="0.25">
      <c r="A2816" t="str">
        <f>"20190303170311544"</f>
        <v>20190303170311544</v>
      </c>
      <c r="B2816" t="str">
        <f>"1551603791538123"</f>
        <v>1551603791538123</v>
      </c>
      <c r="C2816" t="s">
        <v>40</v>
      </c>
      <c r="D2816">
        <v>3.9360010000000001</v>
      </c>
      <c r="E2816">
        <v>0.51557029999999904</v>
      </c>
      <c r="F2816" t="s">
        <v>67</v>
      </c>
      <c r="G2816">
        <v>-536.40120000000002</v>
      </c>
      <c r="H2816">
        <v>0.20869799999999999</v>
      </c>
      <c r="I2816">
        <v>294.55</v>
      </c>
      <c r="J2816">
        <v>-423.0333</v>
      </c>
      <c r="K2816">
        <v>1.121667</v>
      </c>
      <c r="L2816">
        <v>284.60430000000002</v>
      </c>
      <c r="M2816">
        <v>-0.99978180000000005</v>
      </c>
      <c r="N2816">
        <v>-1.4388299999999901E-2</v>
      </c>
      <c r="O2816">
        <v>1.515007E-2</v>
      </c>
      <c r="P2816">
        <v>-0.98383739999999997</v>
      </c>
      <c r="Q2816">
        <v>0.16898589999999999</v>
      </c>
      <c r="R2816">
        <v>5.9226500000000001E-2</v>
      </c>
      <c r="S2816">
        <v>-3.0377200000000002</v>
      </c>
      <c r="T2816">
        <v>-2.4395110000000001E-2</v>
      </c>
      <c r="U2816">
        <v>0.26589970000000002</v>
      </c>
      <c r="V2816">
        <v>4.4298619999999997E-2</v>
      </c>
      <c r="W2816">
        <v>0.18313869999999999</v>
      </c>
      <c r="X2816">
        <v>0.98208850000000003</v>
      </c>
      <c r="Y2816">
        <v>7.2089120000000007E-2</v>
      </c>
      <c r="Z2816">
        <v>9.0478270000000005E-4</v>
      </c>
      <c r="AA2816">
        <v>0.9973978</v>
      </c>
      <c r="AB2816">
        <v>32</v>
      </c>
      <c r="AC2816">
        <v>-113.36790000000001</v>
      </c>
      <c r="AD2816">
        <v>-0.91296900000000003</v>
      </c>
      <c r="AE2816">
        <v>9.9456999999999791</v>
      </c>
      <c r="AF2816">
        <v>8.2263196129357095</v>
      </c>
      <c r="AG2816">
        <v>-0.91296900000000003</v>
      </c>
      <c r="AH2816">
        <v>113.498275320163</v>
      </c>
      <c r="AI2816">
        <v>90.459665944240797</v>
      </c>
      <c r="AJ2816">
        <v>85.854468867747798</v>
      </c>
      <c r="AK2816">
        <v>113.79966760681</v>
      </c>
      <c r="AL2816">
        <v>79.447365996687694</v>
      </c>
      <c r="AM2816">
        <v>87.417335905585901</v>
      </c>
      <c r="AN2816">
        <v>0.99999998650192201</v>
      </c>
    </row>
    <row r="2817" spans="1:40" x14ac:dyDescent="0.25">
      <c r="A2817" t="str">
        <f>"20190303170311568"</f>
        <v>20190303170311568</v>
      </c>
      <c r="B2817" t="str">
        <f>"1551603791558619"</f>
        <v>1551603791558619</v>
      </c>
      <c r="C2817" t="s">
        <v>40</v>
      </c>
      <c r="D2817">
        <v>3.892916</v>
      </c>
      <c r="E2817">
        <v>0.51627100000000004</v>
      </c>
      <c r="F2817" t="s">
        <v>67</v>
      </c>
      <c r="G2817">
        <v>-534.3143</v>
      </c>
      <c r="H2817">
        <v>0.1216798</v>
      </c>
      <c r="I2817">
        <v>294.55</v>
      </c>
      <c r="J2817">
        <v>-423.3467</v>
      </c>
      <c r="K2817">
        <v>1.121653</v>
      </c>
      <c r="L2817">
        <v>284.60899999999998</v>
      </c>
      <c r="M2817">
        <v>-0.99978230000000001</v>
      </c>
      <c r="N2817">
        <v>-1.4384859999999999E-2</v>
      </c>
      <c r="O2817">
        <v>1.511124E-2</v>
      </c>
      <c r="P2817">
        <v>-0.98404230000000004</v>
      </c>
      <c r="Q2817">
        <v>0.1681801</v>
      </c>
      <c r="R2817">
        <v>5.8103389999999998E-2</v>
      </c>
      <c r="S2817">
        <v>-3.037598</v>
      </c>
      <c r="T2817">
        <v>-2.7293919999999999E-2</v>
      </c>
      <c r="U2817">
        <v>0.27148440000000001</v>
      </c>
      <c r="V2817">
        <v>4.3213910000000001E-2</v>
      </c>
      <c r="W2817">
        <v>0.18233189999999999</v>
      </c>
      <c r="X2817">
        <v>0.98228689999999996</v>
      </c>
      <c r="Y2817">
        <v>7.3949360000000006E-2</v>
      </c>
      <c r="Z2817">
        <v>9.4606979999999996E-4</v>
      </c>
      <c r="AA2817">
        <v>0.99726150000000002</v>
      </c>
      <c r="AB2817">
        <v>32</v>
      </c>
      <c r="AC2817">
        <v>-110.9676</v>
      </c>
      <c r="AD2817">
        <v>-0.99997320000000001</v>
      </c>
      <c r="AE2817">
        <v>9.9409999999999705</v>
      </c>
      <c r="AF2817">
        <v>8.2621674784023096</v>
      </c>
      <c r="AG2817">
        <v>-0.99997320000000001</v>
      </c>
      <c r="AH2817">
        <v>111.096213563536</v>
      </c>
      <c r="AI2817">
        <v>90.514283249303404</v>
      </c>
      <c r="AJ2817">
        <v>85.7467724970452</v>
      </c>
      <c r="AK2817">
        <v>111.40750435225</v>
      </c>
      <c r="AL2817">
        <v>79.494383620523607</v>
      </c>
      <c r="AM2817">
        <v>87.481001549591795</v>
      </c>
      <c r="AN2817">
        <v>0.99999995884335302</v>
      </c>
    </row>
    <row r="2818" spans="1:40" x14ac:dyDescent="0.25">
      <c r="A2818" t="str">
        <f>"20190303170311590"</f>
        <v>20190303170311590</v>
      </c>
      <c r="B2818" t="str">
        <f>"1551603791577885"</f>
        <v>1551603791577885</v>
      </c>
      <c r="C2818" t="s">
        <v>40</v>
      </c>
      <c r="D2818">
        <v>3.8862930000000002</v>
      </c>
      <c r="E2818">
        <v>0.51681920000000003</v>
      </c>
      <c r="F2818" t="s">
        <v>67</v>
      </c>
      <c r="G2818">
        <v>-533.39089999999999</v>
      </c>
      <c r="H2818">
        <v>8.2149150000000004E-2</v>
      </c>
      <c r="I2818">
        <v>294.55</v>
      </c>
      <c r="J2818">
        <v>-423.6644</v>
      </c>
      <c r="K2818">
        <v>1.1216469999999901</v>
      </c>
      <c r="L2818">
        <v>284.61369999999999</v>
      </c>
      <c r="M2818">
        <v>-0.99978290000000003</v>
      </c>
      <c r="N2818">
        <v>-1.4381390000000001E-2</v>
      </c>
      <c r="O2818">
        <v>1.507994E-2</v>
      </c>
      <c r="P2818">
        <v>-0.98405960000000003</v>
      </c>
      <c r="Q2818">
        <v>0.16841149999999999</v>
      </c>
      <c r="R2818">
        <v>5.7136560000000003E-2</v>
      </c>
      <c r="S2818">
        <v>-3.0373540000000001</v>
      </c>
      <c r="T2818">
        <v>-2.868915E-2</v>
      </c>
      <c r="U2818">
        <v>0.2743835</v>
      </c>
      <c r="V2818">
        <v>4.2281480000000003E-2</v>
      </c>
      <c r="W2818">
        <v>0.18255879999999999</v>
      </c>
      <c r="X2818">
        <v>0.98228539999999998</v>
      </c>
      <c r="Y2818">
        <v>7.4931230000000001E-2</v>
      </c>
      <c r="Z2818">
        <v>9.6748370000000002E-4</v>
      </c>
      <c r="AA2818">
        <v>0.99718819999999997</v>
      </c>
      <c r="AB2818">
        <v>32</v>
      </c>
      <c r="AC2818">
        <v>-109.7265</v>
      </c>
      <c r="AD2818">
        <v>-1.0394978499999901</v>
      </c>
      <c r="AE2818">
        <v>9.9363000000000099</v>
      </c>
      <c r="AF2818">
        <v>8.2795927771093591</v>
      </c>
      <c r="AG2818">
        <v>-1.0394978499999901</v>
      </c>
      <c r="AH2818">
        <v>109.854095874287</v>
      </c>
      <c r="AI2818">
        <v>90.540613733086204</v>
      </c>
      <c r="AJ2818">
        <v>85.689823665514595</v>
      </c>
      <c r="AK2818">
        <v>110.17057044733799</v>
      </c>
      <c r="AL2818">
        <v>79.481161966677504</v>
      </c>
      <c r="AM2818">
        <v>87.535282656383998</v>
      </c>
      <c r="AN2818">
        <v>1.0000000230307899</v>
      </c>
    </row>
    <row r="2819" spans="1:40" x14ac:dyDescent="0.25">
      <c r="A2819" t="str">
        <f>"20190303170311613"</f>
        <v>20190303170311613</v>
      </c>
      <c r="B2819" t="str">
        <f>"1551603791608141"</f>
        <v>1551603791608141</v>
      </c>
      <c r="C2819" t="s">
        <v>40</v>
      </c>
      <c r="D2819">
        <v>3.924391</v>
      </c>
      <c r="E2819">
        <v>0.51755490000000004</v>
      </c>
      <c r="F2819" t="s">
        <v>67</v>
      </c>
      <c r="G2819">
        <v>-532.85900000000004</v>
      </c>
      <c r="H2819">
        <v>0.16368139999999901</v>
      </c>
      <c r="I2819">
        <v>294.55</v>
      </c>
      <c r="J2819">
        <v>-423.98439999999999</v>
      </c>
      <c r="K2819">
        <v>1.121645</v>
      </c>
      <c r="L2819">
        <v>284.61860000000001</v>
      </c>
      <c r="M2819">
        <v>-0.99978339999999999</v>
      </c>
      <c r="N2819">
        <v>-1.4377910000000001E-2</v>
      </c>
      <c r="O2819">
        <v>1.505686E-2</v>
      </c>
      <c r="P2819">
        <v>-0.98397420000000002</v>
      </c>
      <c r="Q2819">
        <v>0.16901379999999999</v>
      </c>
      <c r="R2819">
        <v>5.6827950000000002E-2</v>
      </c>
      <c r="S2819">
        <v>-3.03714</v>
      </c>
      <c r="T2819">
        <v>-2.664244E-2</v>
      </c>
      <c r="U2819">
        <v>0.27636719999999998</v>
      </c>
      <c r="V2819">
        <v>4.2000320000000001E-2</v>
      </c>
      <c r="W2819">
        <v>0.1831555</v>
      </c>
      <c r="X2819">
        <v>0.98218629999999996</v>
      </c>
      <c r="Y2819">
        <v>7.5607309999999997E-2</v>
      </c>
      <c r="Z2819">
        <v>9.5996109999999999E-4</v>
      </c>
      <c r="AA2819">
        <v>0.99713719999999995</v>
      </c>
      <c r="AB2819">
        <v>31</v>
      </c>
      <c r="AC2819">
        <v>-108.8746</v>
      </c>
      <c r="AD2819">
        <v>-0.95796360000000003</v>
      </c>
      <c r="AE2819">
        <v>9.9313999999999893</v>
      </c>
      <c r="AF2819">
        <v>8.2901585703765104</v>
      </c>
      <c r="AG2819">
        <v>-0.95796360000000003</v>
      </c>
      <c r="AH2819">
        <v>109.00343721570999</v>
      </c>
      <c r="AI2819">
        <v>90.5020742179629</v>
      </c>
      <c r="AJ2819">
        <v>85.650793623582103</v>
      </c>
      <c r="AK2819">
        <v>109.322430215487</v>
      </c>
      <c r="AL2819">
        <v>79.446386433580798</v>
      </c>
      <c r="AM2819">
        <v>87.551405594212497</v>
      </c>
      <c r="AN2819">
        <v>0.99999994598401898</v>
      </c>
    </row>
    <row r="2820" spans="1:40" x14ac:dyDescent="0.25">
      <c r="A2820" t="str">
        <f>"20190303170311635"</f>
        <v>20190303170311635</v>
      </c>
      <c r="B2820" t="str">
        <f>"1551603791628638"</f>
        <v>1551603791628638</v>
      </c>
      <c r="C2820" t="s">
        <v>40</v>
      </c>
      <c r="D2820">
        <v>3.927708</v>
      </c>
      <c r="E2820">
        <v>0.51792269999999996</v>
      </c>
      <c r="F2820" t="s">
        <v>67</v>
      </c>
      <c r="G2820">
        <v>-531.45360000000005</v>
      </c>
      <c r="H2820">
        <v>0.25594220000000001</v>
      </c>
      <c r="I2820">
        <v>294.55</v>
      </c>
      <c r="J2820">
        <v>-424.29300000000001</v>
      </c>
      <c r="K2820">
        <v>1.1216390000000001</v>
      </c>
      <c r="L2820">
        <v>284.6232</v>
      </c>
      <c r="M2820">
        <v>-0.99978359999999999</v>
      </c>
      <c r="N2820">
        <v>-1.437455E-2</v>
      </c>
      <c r="O2820">
        <v>1.504113E-2</v>
      </c>
      <c r="P2820">
        <v>-0.98402699999999999</v>
      </c>
      <c r="Q2820">
        <v>0.16850850000000001</v>
      </c>
      <c r="R2820">
        <v>5.7411209999999997E-2</v>
      </c>
      <c r="S2820">
        <v>-3.036835</v>
      </c>
      <c r="T2820">
        <v>-2.4460320000000001E-2</v>
      </c>
      <c r="U2820">
        <v>0.28063959999999999</v>
      </c>
      <c r="V2820">
        <v>4.2600949999999999E-2</v>
      </c>
      <c r="W2820">
        <v>0.18264739999999999</v>
      </c>
      <c r="X2820">
        <v>0.98225510000000005</v>
      </c>
      <c r="Y2820">
        <v>7.7023889999999998E-2</v>
      </c>
      <c r="Z2820">
        <v>9.5929610000000003E-4</v>
      </c>
      <c r="AA2820">
        <v>0.99702880000000005</v>
      </c>
      <c r="AB2820">
        <v>31</v>
      </c>
      <c r="AC2820">
        <v>-107.1606</v>
      </c>
      <c r="AD2820">
        <v>-0.86569680000000004</v>
      </c>
      <c r="AE2820">
        <v>9.9268000000000107</v>
      </c>
      <c r="AF2820">
        <v>8.3131559128835608</v>
      </c>
      <c r="AG2820">
        <v>-0.86569680000000004</v>
      </c>
      <c r="AH2820">
        <v>107.29085829154501</v>
      </c>
      <c r="AI2820">
        <v>90.460910503645493</v>
      </c>
      <c r="AJ2820">
        <v>85.569436229168204</v>
      </c>
      <c r="AK2820">
        <v>107.615920128566</v>
      </c>
      <c r="AL2820">
        <v>79.475998479092297</v>
      </c>
      <c r="AM2820">
        <v>87.516606487332794</v>
      </c>
      <c r="AN2820">
        <v>0.999999997571836</v>
      </c>
    </row>
    <row r="2821" spans="1:40" x14ac:dyDescent="0.25">
      <c r="A2821" t="str">
        <f>"20190303170311656"</f>
        <v>20190303170311656</v>
      </c>
      <c r="B2821" t="str">
        <f>"1551603791648157"</f>
        <v>1551603791648157</v>
      </c>
      <c r="C2821" t="s">
        <v>40</v>
      </c>
      <c r="D2821">
        <v>3.9158539999999999</v>
      </c>
      <c r="E2821">
        <v>0.51826749999999999</v>
      </c>
      <c r="F2821" t="s">
        <v>67</v>
      </c>
      <c r="G2821">
        <v>-529.99720000000002</v>
      </c>
      <c r="H2821">
        <v>0.23326910000000001</v>
      </c>
      <c r="I2821">
        <v>294.55</v>
      </c>
      <c r="J2821">
        <v>-424.59809999999999</v>
      </c>
      <c r="K2821">
        <v>1.1216330000000001</v>
      </c>
      <c r="L2821">
        <v>284.6277</v>
      </c>
      <c r="M2821">
        <v>-0.99978389999999995</v>
      </c>
      <c r="N2821">
        <v>-1.437127E-2</v>
      </c>
      <c r="O2821">
        <v>1.5030679999999999E-2</v>
      </c>
      <c r="P2821">
        <v>-0.9842166</v>
      </c>
      <c r="Q2821">
        <v>0.16737759999999999</v>
      </c>
      <c r="R2821">
        <v>5.7467610000000002E-2</v>
      </c>
      <c r="S2821">
        <v>-3.036438</v>
      </c>
      <c r="T2821">
        <v>-2.5516629999999998E-2</v>
      </c>
      <c r="U2821">
        <v>0.28515629999999997</v>
      </c>
      <c r="V2821">
        <v>4.2666610000000001E-2</v>
      </c>
      <c r="W2821">
        <v>0.1815156</v>
      </c>
      <c r="X2821">
        <v>0.98246199999999995</v>
      </c>
      <c r="Y2821">
        <v>7.8515860000000007E-2</v>
      </c>
      <c r="Z2821">
        <v>9.8424350000000005E-4</v>
      </c>
      <c r="AA2821">
        <v>0.99691240000000003</v>
      </c>
      <c r="AB2821">
        <v>31</v>
      </c>
      <c r="AC2821">
        <v>-105.3991</v>
      </c>
      <c r="AD2821">
        <v>-0.88836389999999998</v>
      </c>
      <c r="AE2821">
        <v>9.9222999999999999</v>
      </c>
      <c r="AF2821">
        <v>8.3362083389091097</v>
      </c>
      <c r="AG2821">
        <v>-0.88836389999999998</v>
      </c>
      <c r="AH2821">
        <v>105.528914210721</v>
      </c>
      <c r="AI2821">
        <v>90.480818369423005</v>
      </c>
      <c r="AJ2821">
        <v>85.483325396396694</v>
      </c>
      <c r="AK2821">
        <v>105.861387173899</v>
      </c>
      <c r="AL2821">
        <v>79.541947977657202</v>
      </c>
      <c r="AM2821">
        <v>87.513306818940507</v>
      </c>
      <c r="AN2821">
        <v>0.99999996704812499</v>
      </c>
    </row>
    <row r="2822" spans="1:40" x14ac:dyDescent="0.25">
      <c r="A2822" t="str">
        <f>"20190303170311679"</f>
        <v>20190303170311679</v>
      </c>
      <c r="B2822" t="str">
        <f>"1551603791668652"</f>
        <v>1551603791668652</v>
      </c>
      <c r="C2822" t="s">
        <v>40</v>
      </c>
      <c r="D2822">
        <v>3.9266049999999999</v>
      </c>
      <c r="E2822">
        <v>0.51865050000000001</v>
      </c>
      <c r="F2822" t="s">
        <v>67</v>
      </c>
      <c r="G2822">
        <v>-528.95749999999998</v>
      </c>
      <c r="H2822">
        <v>0.14408580000000001</v>
      </c>
      <c r="I2822">
        <v>294.55</v>
      </c>
      <c r="J2822">
        <v>-424.91199999999998</v>
      </c>
      <c r="K2822">
        <v>1.121634</v>
      </c>
      <c r="L2822">
        <v>284.63240000000002</v>
      </c>
      <c r="M2822">
        <v>-0.99978389999999995</v>
      </c>
      <c r="N2822">
        <v>-1.4367909999999999E-2</v>
      </c>
      <c r="O2822">
        <v>1.502355E-2</v>
      </c>
      <c r="P2822">
        <v>-0.98436330000000005</v>
      </c>
      <c r="Q2822">
        <v>0.1665721</v>
      </c>
      <c r="R2822">
        <v>5.7294070000000002E-2</v>
      </c>
      <c r="S2822">
        <v>-3.0361020000000001</v>
      </c>
      <c r="T2822">
        <v>-2.843702E-2</v>
      </c>
      <c r="U2822">
        <v>0.28866579999999997</v>
      </c>
      <c r="V2822">
        <v>4.2499179999999998E-2</v>
      </c>
      <c r="W2822">
        <v>0.18070900000000001</v>
      </c>
      <c r="X2822">
        <v>0.98261799999999999</v>
      </c>
      <c r="Y2822">
        <v>7.9673919999999995E-2</v>
      </c>
      <c r="Z2822">
        <v>1.021063E-3</v>
      </c>
      <c r="AA2822">
        <v>0.99682040000000005</v>
      </c>
      <c r="AB2822">
        <v>31</v>
      </c>
      <c r="AC2822">
        <v>-104.0455</v>
      </c>
      <c r="AD2822">
        <v>-0.97754819999999998</v>
      </c>
      <c r="AE2822">
        <v>9.9175999999999895</v>
      </c>
      <c r="AF2822">
        <v>8.3524556607960907</v>
      </c>
      <c r="AG2822">
        <v>-0.97754819999999998</v>
      </c>
      <c r="AH2822">
        <v>104.173654991231</v>
      </c>
      <c r="AI2822">
        <v>90.535918529023604</v>
      </c>
      <c r="AJ2822">
        <v>85.415933969551403</v>
      </c>
      <c r="AK2822">
        <v>104.512532790479</v>
      </c>
      <c r="AL2822">
        <v>79.5889405352452</v>
      </c>
      <c r="AM2822">
        <v>87.523445537618301</v>
      </c>
      <c r="AN2822">
        <v>1.0000000284528301</v>
      </c>
    </row>
    <row r="2823" spans="1:40" x14ac:dyDescent="0.25">
      <c r="A2823" t="str">
        <f>"20190303170311692"</f>
        <v>20190303170311692</v>
      </c>
      <c r="B2823" t="str">
        <f>"1551603791678413"</f>
        <v>1551603791678413</v>
      </c>
      <c r="C2823" t="s">
        <v>40</v>
      </c>
      <c r="D2823">
        <v>3.902641</v>
      </c>
      <c r="E2823">
        <v>0.51886299999999996</v>
      </c>
      <c r="F2823" t="s">
        <v>67</v>
      </c>
      <c r="G2823">
        <v>-528.21100000000001</v>
      </c>
      <c r="H2823">
        <v>7.8278780000000006E-2</v>
      </c>
      <c r="I2823">
        <v>294.55</v>
      </c>
      <c r="J2823">
        <v>-425.09910000000002</v>
      </c>
      <c r="K2823">
        <v>1.121631</v>
      </c>
      <c r="L2823">
        <v>284.6352</v>
      </c>
      <c r="M2823">
        <v>-0.99978409999999995</v>
      </c>
      <c r="N2823">
        <v>-1.4365889999999999E-2</v>
      </c>
      <c r="O2823">
        <v>1.5019589999999999E-2</v>
      </c>
      <c r="P2823">
        <v>-0.98438879999999995</v>
      </c>
      <c r="Q2823">
        <v>0.16633529999999999</v>
      </c>
      <c r="R2823">
        <v>5.7545949999999998E-2</v>
      </c>
      <c r="S2823">
        <v>-3.0359189999999998</v>
      </c>
      <c r="T2823">
        <v>-3.0661230000000001E-2</v>
      </c>
      <c r="U2823">
        <v>0.29147339999999999</v>
      </c>
      <c r="V2823">
        <v>4.2755319999999999E-2</v>
      </c>
      <c r="W2823">
        <v>0.18046980000000001</v>
      </c>
      <c r="X2823">
        <v>0.98265080000000005</v>
      </c>
      <c r="Y2823">
        <v>8.059587E-2</v>
      </c>
      <c r="Z2823">
        <v>1.0503800000000001E-3</v>
      </c>
      <c r="AA2823">
        <v>0.99674629999999997</v>
      </c>
      <c r="AB2823">
        <v>31</v>
      </c>
      <c r="AC2823">
        <v>-103.11190000000001</v>
      </c>
      <c r="AD2823">
        <v>-1.0433522200000001</v>
      </c>
      <c r="AE2823">
        <v>9.9148000000000103</v>
      </c>
      <c r="AF2823">
        <v>8.3639747292031199</v>
      </c>
      <c r="AG2823">
        <v>-1.0433522200000001</v>
      </c>
      <c r="AH2823">
        <v>103.238724667303</v>
      </c>
      <c r="AI2823">
        <v>90.577132661791794</v>
      </c>
      <c r="AJ2823">
        <v>85.368248712221302</v>
      </c>
      <c r="AK2823">
        <v>103.582232685229</v>
      </c>
      <c r="AL2823">
        <v>79.602874279309006</v>
      </c>
      <c r="AM2823">
        <v>87.508621303090194</v>
      </c>
      <c r="AN2823">
        <v>0.99999998042049099</v>
      </c>
    </row>
    <row r="2824" spans="1:40" x14ac:dyDescent="0.25">
      <c r="A2824" t="str">
        <f>"20190303170311706"</f>
        <v>20190303170311706</v>
      </c>
      <c r="B2824" t="str">
        <f>"1551603791697932"</f>
        <v>1551603791697932</v>
      </c>
      <c r="C2824" t="s">
        <v>40</v>
      </c>
      <c r="D2824">
        <v>3.93268</v>
      </c>
      <c r="E2824">
        <v>0.51916839999999997</v>
      </c>
      <c r="F2824" t="s">
        <v>67</v>
      </c>
      <c r="G2824">
        <v>-527.5258</v>
      </c>
      <c r="H2824">
        <v>5.8259369999999998E-2</v>
      </c>
      <c r="I2824">
        <v>294.55</v>
      </c>
      <c r="J2824">
        <v>-425.28980000000001</v>
      </c>
      <c r="K2824">
        <v>1.121629</v>
      </c>
      <c r="L2824">
        <v>284.63810000000001</v>
      </c>
      <c r="M2824">
        <v>-0.99978420000000001</v>
      </c>
      <c r="N2824">
        <v>-1.4363819999999999E-2</v>
      </c>
      <c r="O2824">
        <v>1.501576E-2</v>
      </c>
      <c r="P2824">
        <v>-0.98431360000000001</v>
      </c>
      <c r="Q2824">
        <v>0.16661599999999999</v>
      </c>
      <c r="R2824">
        <v>5.801833E-2</v>
      </c>
      <c r="S2824">
        <v>-3.0357059999999998</v>
      </c>
      <c r="T2824">
        <v>-3.1513449999999998E-2</v>
      </c>
      <c r="U2824">
        <v>0.2938538</v>
      </c>
      <c r="V2824">
        <v>4.3233130000000002E-2</v>
      </c>
      <c r="W2824">
        <v>0.1807474</v>
      </c>
      <c r="X2824">
        <v>0.98257890000000003</v>
      </c>
      <c r="Y2824">
        <v>8.1380220000000003E-2</v>
      </c>
      <c r="Z2824">
        <v>1.067063E-3</v>
      </c>
      <c r="AA2824">
        <v>0.99668259999999997</v>
      </c>
      <c r="AB2824">
        <v>31</v>
      </c>
      <c r="AC2824">
        <v>-102.236</v>
      </c>
      <c r="AD2824">
        <v>-1.06336963</v>
      </c>
      <c r="AE2824">
        <v>9.9118999999999993</v>
      </c>
      <c r="AF2824">
        <v>8.3745752735877694</v>
      </c>
      <c r="AG2824">
        <v>-1.06336963</v>
      </c>
      <c r="AH2824">
        <v>102.36235050141499</v>
      </c>
      <c r="AI2824">
        <v>90.593201871141005</v>
      </c>
      <c r="AJ2824">
        <v>85.322874676865297</v>
      </c>
      <c r="AK2824">
        <v>102.709858660975</v>
      </c>
      <c r="AL2824">
        <v>79.586703351205799</v>
      </c>
      <c r="AM2824">
        <v>87.480630589558402</v>
      </c>
      <c r="AN2824">
        <v>1.00000001043078</v>
      </c>
    </row>
    <row r="2825" spans="1:40" x14ac:dyDescent="0.25">
      <c r="A2825" t="str">
        <f>"20190303170311719"</f>
        <v>20190303170311719</v>
      </c>
      <c r="B2825" t="str">
        <f>"1551603791708669"</f>
        <v>1551603791708669</v>
      </c>
      <c r="C2825" t="s">
        <v>40</v>
      </c>
      <c r="D2825">
        <v>3.9040900000000001</v>
      </c>
      <c r="E2825">
        <v>0.51932529999999999</v>
      </c>
      <c r="F2825" t="s">
        <v>67</v>
      </c>
      <c r="G2825">
        <v>-526.30520000000001</v>
      </c>
      <c r="H2825">
        <v>9.2597479999999996E-2</v>
      </c>
      <c r="I2825">
        <v>294.55</v>
      </c>
      <c r="J2825">
        <v>-425.46910000000003</v>
      </c>
      <c r="K2825">
        <v>1.1216330000000001</v>
      </c>
      <c r="L2825">
        <v>284.64069999999998</v>
      </c>
      <c r="M2825">
        <v>-0.99978420000000001</v>
      </c>
      <c r="N2825">
        <v>-1.4361870000000001E-2</v>
      </c>
      <c r="O2825">
        <v>1.5012269999999999E-2</v>
      </c>
      <c r="P2825">
        <v>-0.98431109999999999</v>
      </c>
      <c r="Q2825">
        <v>0.16653570000000001</v>
      </c>
      <c r="R2825">
        <v>5.8288729999999997E-2</v>
      </c>
      <c r="S2825">
        <v>-3.0354920000000001</v>
      </c>
      <c r="T2825">
        <v>-3.0919550000000001E-2</v>
      </c>
      <c r="U2825">
        <v>0.29785159999999899</v>
      </c>
      <c r="V2825">
        <v>4.3507289999999997E-2</v>
      </c>
      <c r="W2825">
        <v>0.1806653</v>
      </c>
      <c r="X2825">
        <v>0.98258190000000001</v>
      </c>
      <c r="Y2825">
        <v>8.2690780000000005E-2</v>
      </c>
      <c r="Z2825">
        <v>1.078046E-3</v>
      </c>
      <c r="AA2825">
        <v>0.99657459999999998</v>
      </c>
      <c r="AB2825">
        <v>31</v>
      </c>
      <c r="AC2825">
        <v>-100.8361</v>
      </c>
      <c r="AD2825">
        <v>-1.0290355200000001</v>
      </c>
      <c r="AE2825">
        <v>9.9093000000000302</v>
      </c>
      <c r="AF2825">
        <v>8.3933824951237401</v>
      </c>
      <c r="AG2825">
        <v>-1.0290355200000001</v>
      </c>
      <c r="AH2825">
        <v>100.963096819643</v>
      </c>
      <c r="AI2825">
        <v>90.581942172874705</v>
      </c>
      <c r="AJ2825">
        <v>85.247747804120905</v>
      </c>
      <c r="AK2825">
        <v>101.316606255951</v>
      </c>
      <c r="AL2825">
        <v>79.591486094522097</v>
      </c>
      <c r="AM2825">
        <v>87.464682689065896</v>
      </c>
      <c r="AN2825">
        <v>1.00000001255742</v>
      </c>
    </row>
    <row r="2826" spans="1:40" x14ac:dyDescent="0.25">
      <c r="A2826" t="str">
        <f>"20190303170311735"</f>
        <v>20190303170311735</v>
      </c>
      <c r="B2826" t="str">
        <f>"1551603791728189"</f>
        <v>1551603791728189</v>
      </c>
      <c r="C2826" t="s">
        <v>40</v>
      </c>
      <c r="D2826">
        <v>3.8780610000000002</v>
      </c>
      <c r="E2826">
        <v>0.5195689</v>
      </c>
      <c r="F2826" t="s">
        <v>67</v>
      </c>
      <c r="G2826">
        <v>-525.78409999999997</v>
      </c>
      <c r="H2826">
        <v>9.095085E-2</v>
      </c>
      <c r="I2826">
        <v>294.55</v>
      </c>
      <c r="J2826">
        <v>-425.69330000000002</v>
      </c>
      <c r="K2826">
        <v>1.121631</v>
      </c>
      <c r="L2826">
        <v>284.64409999999998</v>
      </c>
      <c r="M2826">
        <v>-0.99978429999999996</v>
      </c>
      <c r="N2826">
        <v>-1.4359429999999999E-2</v>
      </c>
      <c r="O2826">
        <v>1.500813E-2</v>
      </c>
      <c r="P2826">
        <v>-0.9842109</v>
      </c>
      <c r="Q2826">
        <v>0.16719539999999999</v>
      </c>
      <c r="R2826">
        <v>5.8092299999999999E-2</v>
      </c>
      <c r="S2826">
        <v>-3.035339</v>
      </c>
      <c r="T2826">
        <v>-3.1183840000000001E-2</v>
      </c>
      <c r="U2826">
        <v>0.29983520000000002</v>
      </c>
      <c r="V2826">
        <v>4.3316840000000002E-2</v>
      </c>
      <c r="W2826">
        <v>0.18132090000000001</v>
      </c>
      <c r="X2826">
        <v>0.9824695</v>
      </c>
      <c r="Y2826">
        <v>8.3344550000000003E-2</v>
      </c>
      <c r="Z2826">
        <v>1.088253E-3</v>
      </c>
      <c r="AA2826">
        <v>0.99652019999999997</v>
      </c>
      <c r="AB2826">
        <v>31</v>
      </c>
      <c r="AC2826">
        <v>-100.09079999999901</v>
      </c>
      <c r="AD2826">
        <v>-1.03068015</v>
      </c>
      <c r="AE2826">
        <v>9.9059000000000292</v>
      </c>
      <c r="AF2826">
        <v>8.4015712763508006</v>
      </c>
      <c r="AG2826">
        <v>-1.03068015</v>
      </c>
      <c r="AH2826">
        <v>100.21768522073199</v>
      </c>
      <c r="AI2826">
        <v>90.587173163271601</v>
      </c>
      <c r="AJ2826">
        <v>85.207915605661597</v>
      </c>
      <c r="AK2826">
        <v>100.57451532314199</v>
      </c>
      <c r="AL2826">
        <v>79.553291712969198</v>
      </c>
      <c r="AM2826">
        <v>87.475478056956504</v>
      </c>
      <c r="AN2826">
        <v>0.99999996791732204</v>
      </c>
    </row>
    <row r="2827" spans="1:40" x14ac:dyDescent="0.25">
      <c r="A2827" t="str">
        <f>"20190303170311750"</f>
        <v>20190303170311750</v>
      </c>
      <c r="B2827" t="str">
        <f>"1551603791737948"</f>
        <v>1551603791737948</v>
      </c>
      <c r="C2827" t="s">
        <v>40</v>
      </c>
      <c r="D2827">
        <v>3.9491260000000001</v>
      </c>
      <c r="E2827">
        <v>0.51964630000000001</v>
      </c>
      <c r="F2827" t="s">
        <v>67</v>
      </c>
      <c r="G2827">
        <v>-525.34630000000004</v>
      </c>
      <c r="H2827">
        <v>0.1969697</v>
      </c>
      <c r="I2827">
        <v>294.55</v>
      </c>
      <c r="J2827">
        <v>-425.90480000000002</v>
      </c>
      <c r="K2827">
        <v>1.121631</v>
      </c>
      <c r="L2827">
        <v>284.64729999999997</v>
      </c>
      <c r="M2827">
        <v>-0.99978440000000002</v>
      </c>
      <c r="N2827">
        <v>-1.4357139999999999E-2</v>
      </c>
      <c r="O2827">
        <v>1.5003799999999901E-2</v>
      </c>
      <c r="P2827">
        <v>-0.98414639999999998</v>
      </c>
      <c r="Q2827">
        <v>0.16769400000000001</v>
      </c>
      <c r="R2827">
        <v>5.7749120000000001E-2</v>
      </c>
      <c r="S2827">
        <v>-3.0350649999999999</v>
      </c>
      <c r="T2827">
        <v>-2.8159139999999999E-2</v>
      </c>
      <c r="U2827">
        <v>0.30169679999999999</v>
      </c>
      <c r="V2827">
        <v>4.2979249999999997E-2</v>
      </c>
      <c r="W2827">
        <v>0.18181610000000001</v>
      </c>
      <c r="X2827">
        <v>0.98239279999999995</v>
      </c>
      <c r="Y2827">
        <v>8.396439E-2</v>
      </c>
      <c r="Z2827">
        <v>1.068945E-3</v>
      </c>
      <c r="AA2827">
        <v>0.99646820000000003</v>
      </c>
      <c r="AB2827">
        <v>31</v>
      </c>
      <c r="AC2827">
        <v>-99.441500000000005</v>
      </c>
      <c r="AD2827">
        <v>-0.92466130000000002</v>
      </c>
      <c r="AE2827">
        <v>9.9027000000000296</v>
      </c>
      <c r="AF2827">
        <v>8.4087110795012592</v>
      </c>
      <c r="AG2827">
        <v>-0.92466130000000002</v>
      </c>
      <c r="AH2827">
        <v>99.570373053716693</v>
      </c>
      <c r="AI2827">
        <v>90.530175471784503</v>
      </c>
      <c r="AJ2827">
        <v>85.172829119460502</v>
      </c>
      <c r="AK2827">
        <v>99.929077903253798</v>
      </c>
      <c r="AL2827">
        <v>79.524439200345199</v>
      </c>
      <c r="AM2827">
        <v>87.494932454656507</v>
      </c>
      <c r="AN2827">
        <v>0.99999996182080497</v>
      </c>
    </row>
    <row r="2828" spans="1:40" x14ac:dyDescent="0.25">
      <c r="A2828" t="str">
        <f>"20190303170311764"</f>
        <v>20190303170311764</v>
      </c>
      <c r="B2828" t="str">
        <f>"1551603791758445"</f>
        <v>1551603791758445</v>
      </c>
      <c r="C2828" t="s">
        <v>40</v>
      </c>
      <c r="D2828">
        <v>3.9306220000000001</v>
      </c>
      <c r="E2828">
        <v>0.51981599999999994</v>
      </c>
      <c r="F2828" t="s">
        <v>67</v>
      </c>
      <c r="G2828">
        <v>-525.75329999999997</v>
      </c>
      <c r="H2828">
        <v>0.2462879</v>
      </c>
      <c r="I2828">
        <v>294.55</v>
      </c>
      <c r="J2828">
        <v>-426.09359999999998</v>
      </c>
      <c r="K2828">
        <v>1.1216299999999999</v>
      </c>
      <c r="L2828">
        <v>284.65010000000001</v>
      </c>
      <c r="M2828">
        <v>-0.99978460000000002</v>
      </c>
      <c r="N2828">
        <v>-1.4355110000000001E-2</v>
      </c>
      <c r="O2828">
        <v>1.5000309999999999E-2</v>
      </c>
      <c r="P2828">
        <v>-0.98416199999999998</v>
      </c>
      <c r="Q2828">
        <v>0.1677691</v>
      </c>
      <c r="R2828">
        <v>5.7262130000000001E-2</v>
      </c>
      <c r="S2828">
        <v>-3.0352169999999998</v>
      </c>
      <c r="T2828">
        <v>-2.66062E-2</v>
      </c>
      <c r="U2828">
        <v>0.3010254</v>
      </c>
      <c r="V2828">
        <v>4.2495600000000001E-2</v>
      </c>
      <c r="W2828">
        <v>0.1818893</v>
      </c>
      <c r="X2828">
        <v>0.98240039999999995</v>
      </c>
      <c r="Y2828">
        <v>8.3745420000000001E-2</v>
      </c>
      <c r="Z2828">
        <v>1.052489E-3</v>
      </c>
      <c r="AA2828">
        <v>0.9964866</v>
      </c>
      <c r="AB2828">
        <v>31</v>
      </c>
      <c r="AC2828">
        <v>-99.659700000000001</v>
      </c>
      <c r="AD2828">
        <v>-0.87534209999999901</v>
      </c>
      <c r="AE2828">
        <v>9.8999000000000006</v>
      </c>
      <c r="AF2828">
        <v>8.4030637859469604</v>
      </c>
      <c r="AG2828">
        <v>-0.87534209999999901</v>
      </c>
      <c r="AH2828">
        <v>99.789378548566404</v>
      </c>
      <c r="AI2828">
        <v>90.500807375343001</v>
      </c>
      <c r="AJ2828">
        <v>85.186592949983293</v>
      </c>
      <c r="AK2828">
        <v>100.146381741388</v>
      </c>
      <c r="AL2828">
        <v>79.520175174056803</v>
      </c>
      <c r="AM2828">
        <v>87.523106071864404</v>
      </c>
      <c r="AN2828">
        <v>1.0000000696969999</v>
      </c>
    </row>
    <row r="2829" spans="1:40" x14ac:dyDescent="0.25">
      <c r="A2829" t="str">
        <f>"20190303170311777"</f>
        <v>20190303170311777</v>
      </c>
      <c r="B2829" t="str">
        <f>"1551603791768206"</f>
        <v>1551603791768206</v>
      </c>
      <c r="C2829" t="s">
        <v>40</v>
      </c>
      <c r="D2829">
        <v>3.946151</v>
      </c>
      <c r="E2829">
        <v>0.51990930000000002</v>
      </c>
      <c r="F2829" t="s">
        <v>67</v>
      </c>
      <c r="G2829">
        <v>-525.85239999999999</v>
      </c>
      <c r="H2829">
        <v>0.2586483</v>
      </c>
      <c r="I2829">
        <v>294.55</v>
      </c>
      <c r="J2829">
        <v>-426.28250000000003</v>
      </c>
      <c r="K2829">
        <v>1.1216360000000001</v>
      </c>
      <c r="L2829">
        <v>284.65300000000002</v>
      </c>
      <c r="M2829">
        <v>-0.99978460000000002</v>
      </c>
      <c r="N2829">
        <v>-1.4353090000000001E-2</v>
      </c>
      <c r="O2829">
        <v>1.4997659999999999E-2</v>
      </c>
      <c r="P2829">
        <v>-0.98418950000000005</v>
      </c>
      <c r="Q2829">
        <v>0.1676832</v>
      </c>
      <c r="R2829">
        <v>5.704153E-2</v>
      </c>
      <c r="S2829">
        <v>-3.0352169999999998</v>
      </c>
      <c r="T2829">
        <v>-2.6254059999999999E-2</v>
      </c>
      <c r="U2829">
        <v>0.30120849999999999</v>
      </c>
      <c r="V2829">
        <v>4.2277750000000003E-2</v>
      </c>
      <c r="W2829">
        <v>0.18180199999999999</v>
      </c>
      <c r="X2829">
        <v>0.98242589999999996</v>
      </c>
      <c r="Y2829">
        <v>8.3807740000000006E-2</v>
      </c>
      <c r="Z2829">
        <v>1.0499660000000001E-3</v>
      </c>
      <c r="AA2829">
        <v>0.99648139999999996</v>
      </c>
      <c r="AB2829">
        <v>31</v>
      </c>
      <c r="AC2829">
        <v>-99.569899999999905</v>
      </c>
      <c r="AD2829">
        <v>-0.86298770000000002</v>
      </c>
      <c r="AE2829">
        <v>9.8969999999999896</v>
      </c>
      <c r="AF2829">
        <v>8.4017924685573409</v>
      </c>
      <c r="AG2829">
        <v>-0.86298770000000002</v>
      </c>
      <c r="AH2829">
        <v>99.699729934245596</v>
      </c>
      <c r="AI2829">
        <v>90.494180773478405</v>
      </c>
      <c r="AJ2829">
        <v>85.183010616393403</v>
      </c>
      <c r="AK2829">
        <v>100.056838913772</v>
      </c>
      <c r="AL2829">
        <v>79.525261296502805</v>
      </c>
      <c r="AM2829">
        <v>87.535851843331699</v>
      </c>
      <c r="AN2829">
        <v>1.00000001216993</v>
      </c>
    </row>
    <row r="2830" spans="1:40" x14ac:dyDescent="0.25">
      <c r="A2830" t="str">
        <f>"20190303170311792"</f>
        <v>20190303170311792</v>
      </c>
      <c r="B2830" t="str">
        <f>"1551603791777965"</f>
        <v>1551603791777965</v>
      </c>
      <c r="C2830" t="s">
        <v>40</v>
      </c>
      <c r="D2830">
        <v>3.8419720000000002</v>
      </c>
      <c r="E2830">
        <v>0.52001679999999995</v>
      </c>
      <c r="F2830" t="s">
        <v>67</v>
      </c>
      <c r="G2830">
        <v>-525.94349999999997</v>
      </c>
      <c r="H2830">
        <v>0.24852250000000001</v>
      </c>
      <c r="I2830">
        <v>294.55</v>
      </c>
      <c r="J2830">
        <v>-426.48869999999999</v>
      </c>
      <c r="K2830">
        <v>1.1216360000000001</v>
      </c>
      <c r="L2830">
        <v>284.65600000000001</v>
      </c>
      <c r="M2830">
        <v>-0.99978460000000002</v>
      </c>
      <c r="N2830">
        <v>-1.435087E-2</v>
      </c>
      <c r="O2830">
        <v>1.4995369999999999E-2</v>
      </c>
      <c r="P2830">
        <v>-0.98422770000000004</v>
      </c>
      <c r="Q2830">
        <v>0.1675073</v>
      </c>
      <c r="R2830">
        <v>5.689665E-2</v>
      </c>
      <c r="S2830">
        <v>-3.0352480000000002</v>
      </c>
      <c r="T2830">
        <v>-2.658868E-2</v>
      </c>
      <c r="U2830">
        <v>0.30142210000000003</v>
      </c>
      <c r="V2830">
        <v>4.2134970000000001E-2</v>
      </c>
      <c r="W2830">
        <v>0.18162439999999999</v>
      </c>
      <c r="X2830">
        <v>0.98246489999999997</v>
      </c>
      <c r="Y2830">
        <v>8.3878320000000006E-2</v>
      </c>
      <c r="Z2830">
        <v>1.0536009999999999E-3</v>
      </c>
      <c r="AA2830">
        <v>0.99647549999999996</v>
      </c>
      <c r="AB2830">
        <v>31</v>
      </c>
      <c r="AC2830">
        <v>-99.454799999999906</v>
      </c>
      <c r="AD2830">
        <v>-0.87311349999999999</v>
      </c>
      <c r="AE2830">
        <v>9.8940000000000001</v>
      </c>
      <c r="AF2830">
        <v>8.4007311360674706</v>
      </c>
      <c r="AG2830">
        <v>-0.87311349999999999</v>
      </c>
      <c r="AH2830">
        <v>99.584394940001403</v>
      </c>
      <c r="AI2830">
        <v>90.500554297615096</v>
      </c>
      <c r="AJ2830">
        <v>85.178064373612898</v>
      </c>
      <c r="AK2830">
        <v>99.941914762378701</v>
      </c>
      <c r="AL2830">
        <v>79.535609483563604</v>
      </c>
      <c r="AM2830">
        <v>87.544260901803398</v>
      </c>
      <c r="AN2830">
        <v>1.00000002905213</v>
      </c>
    </row>
    <row r="2831" spans="1:40" x14ac:dyDescent="0.25">
      <c r="A2831" t="str">
        <f>"20190303170311805"</f>
        <v>20190303170311805</v>
      </c>
      <c r="B2831" t="str">
        <f>"1551603791798461"</f>
        <v>1551603791798461</v>
      </c>
      <c r="C2831" t="s">
        <v>40</v>
      </c>
      <c r="D2831">
        <v>3.8994960000000001</v>
      </c>
      <c r="E2831">
        <v>0.52016130000000005</v>
      </c>
      <c r="F2831" t="s">
        <v>67</v>
      </c>
      <c r="G2831">
        <v>-526.00760000000002</v>
      </c>
      <c r="H2831">
        <v>0.22525419999999999</v>
      </c>
      <c r="I2831">
        <v>294.55</v>
      </c>
      <c r="J2831">
        <v>-426.66930000000002</v>
      </c>
      <c r="K2831">
        <v>1.121634</v>
      </c>
      <c r="L2831">
        <v>284.65879999999999</v>
      </c>
      <c r="M2831">
        <v>-0.99978469999999997</v>
      </c>
      <c r="N2831">
        <v>-1.4348929999999999E-2</v>
      </c>
      <c r="O2831">
        <v>1.4993370000000001E-2</v>
      </c>
      <c r="P2831">
        <v>-0.98431460000000004</v>
      </c>
      <c r="Q2831">
        <v>0.16720209999999999</v>
      </c>
      <c r="R2831">
        <v>5.6289449999999998E-2</v>
      </c>
      <c r="S2831">
        <v>-3.0352480000000002</v>
      </c>
      <c r="T2831">
        <v>-2.7336240000000001E-2</v>
      </c>
      <c r="U2831">
        <v>0.30175780000000002</v>
      </c>
      <c r="V2831">
        <v>4.152894E-2</v>
      </c>
      <c r="W2831">
        <v>0.18131810000000001</v>
      </c>
      <c r="X2831">
        <v>0.98254719999999995</v>
      </c>
      <c r="Y2831">
        <v>8.3989069999999999E-2</v>
      </c>
      <c r="Z2831">
        <v>1.061396E-3</v>
      </c>
      <c r="AA2831">
        <v>0.99646610000000002</v>
      </c>
      <c r="AB2831">
        <v>31</v>
      </c>
      <c r="AC2831">
        <v>-99.338300000000004</v>
      </c>
      <c r="AD2831">
        <v>-0.89637979999999995</v>
      </c>
      <c r="AE2831">
        <v>9.8912000000000209</v>
      </c>
      <c r="AF2831">
        <v>8.3998415642922595</v>
      </c>
      <c r="AG2831">
        <v>-0.89637979999999995</v>
      </c>
      <c r="AH2831">
        <v>99.467429578009899</v>
      </c>
      <c r="AI2831">
        <v>90.514492487044393</v>
      </c>
      <c r="AJ2831">
        <v>85.172929751091701</v>
      </c>
      <c r="AK2831">
        <v>99.825499657689804</v>
      </c>
      <c r="AL2831">
        <v>79.553454690111195</v>
      </c>
      <c r="AM2831">
        <v>87.579742142860198</v>
      </c>
      <c r="AN2831">
        <v>0.99999995323648505</v>
      </c>
    </row>
    <row r="2832" spans="1:40" x14ac:dyDescent="0.25">
      <c r="A2832" t="str">
        <f>"20190303170311825"</f>
        <v>20190303170311825</v>
      </c>
      <c r="B2832" t="str">
        <f>"1551603791817981"</f>
        <v>1551603791817981</v>
      </c>
      <c r="C2832" t="s">
        <v>40</v>
      </c>
      <c r="D2832">
        <v>3.8942190000000001</v>
      </c>
      <c r="E2832">
        <v>0.52032909999999999</v>
      </c>
      <c r="F2832" t="s">
        <v>67</v>
      </c>
      <c r="G2832">
        <v>-526.49009999999998</v>
      </c>
      <c r="H2832">
        <v>0.17998439999999999</v>
      </c>
      <c r="I2832">
        <v>294.55</v>
      </c>
      <c r="J2832">
        <v>-426.9477</v>
      </c>
      <c r="K2832">
        <v>1.1216360000000001</v>
      </c>
      <c r="L2832">
        <v>284.66289999999998</v>
      </c>
      <c r="M2832">
        <v>-0.99978480000000003</v>
      </c>
      <c r="N2832">
        <v>-1.434593E-2</v>
      </c>
      <c r="O2832">
        <v>1.4991279999999999E-2</v>
      </c>
      <c r="P2832">
        <v>-0.98426429999999998</v>
      </c>
      <c r="Q2832">
        <v>0.167576799999999</v>
      </c>
      <c r="R2832">
        <v>5.6052579999999998E-2</v>
      </c>
      <c r="S2832">
        <v>-3.035431</v>
      </c>
      <c r="T2832">
        <v>-2.8631810000000001E-2</v>
      </c>
      <c r="U2832">
        <v>0.30078129999999997</v>
      </c>
      <c r="V2832">
        <v>4.1295510000000001E-2</v>
      </c>
      <c r="W2832">
        <v>0.18168860000000001</v>
      </c>
      <c r="X2832">
        <v>0.98248860000000005</v>
      </c>
      <c r="Y2832">
        <v>8.3667210000000006E-2</v>
      </c>
      <c r="Z2832">
        <v>1.068867E-3</v>
      </c>
      <c r="AA2832">
        <v>0.99649319999999997</v>
      </c>
      <c r="AB2832">
        <v>31</v>
      </c>
      <c r="AC2832">
        <v>-99.542400000000001</v>
      </c>
      <c r="AD2832">
        <v>-0.94165159999999903</v>
      </c>
      <c r="AE2832">
        <v>9.8871000000000304</v>
      </c>
      <c r="AF2832">
        <v>8.3928235538372196</v>
      </c>
      <c r="AG2832">
        <v>-0.94165159999999903</v>
      </c>
      <c r="AH2832">
        <v>99.670614913263293</v>
      </c>
      <c r="AI2832">
        <v>90.539384728426199</v>
      </c>
      <c r="AJ2832">
        <v>85.186729591370806</v>
      </c>
      <c r="AK2832">
        <v>100.027784500755</v>
      </c>
      <c r="AL2832">
        <v>79.531868104237603</v>
      </c>
      <c r="AM2832">
        <v>87.5931867523297</v>
      </c>
      <c r="AN2832">
        <v>0.99999995782303897</v>
      </c>
    </row>
    <row r="2833" spans="1:40" x14ac:dyDescent="0.25">
      <c r="A2833" t="str">
        <f>"20190303170311846"</f>
        <v>20190303170311846</v>
      </c>
      <c r="B2833" t="str">
        <f>"1551603791838478"</f>
        <v>1551603791838478</v>
      </c>
      <c r="C2833" t="s">
        <v>40</v>
      </c>
      <c r="D2833">
        <v>3.9063089999999998</v>
      </c>
      <c r="E2833">
        <v>0.52044840000000003</v>
      </c>
      <c r="F2833" t="s">
        <v>67</v>
      </c>
      <c r="G2833">
        <v>-526.59709999999995</v>
      </c>
      <c r="H2833">
        <v>0.21013419999999999</v>
      </c>
      <c r="I2833">
        <v>294.55</v>
      </c>
      <c r="J2833">
        <v>-427.24299999999999</v>
      </c>
      <c r="K2833">
        <v>1.1216390000000001</v>
      </c>
      <c r="L2833">
        <v>284.66730000000001</v>
      </c>
      <c r="M2833">
        <v>-0.99978480000000003</v>
      </c>
      <c r="N2833">
        <v>-1.434274E-2</v>
      </c>
      <c r="O2833">
        <v>1.49903E-2</v>
      </c>
      <c r="P2833">
        <v>-0.98417429999999995</v>
      </c>
      <c r="Q2833">
        <v>0.16816809999999999</v>
      </c>
      <c r="R2833">
        <v>5.5864190000000001E-2</v>
      </c>
      <c r="S2833">
        <v>-3.0354920000000001</v>
      </c>
      <c r="T2833">
        <v>-2.776325E-2</v>
      </c>
      <c r="U2833">
        <v>0.301178</v>
      </c>
      <c r="V2833">
        <v>4.1110069999999999E-2</v>
      </c>
      <c r="W2833">
        <v>0.18227560000000001</v>
      </c>
      <c r="X2833">
        <v>0.98238769999999997</v>
      </c>
      <c r="Y2833">
        <v>8.3795590000000003E-2</v>
      </c>
      <c r="Z2833">
        <v>1.062522E-3</v>
      </c>
      <c r="AA2833">
        <v>0.99648239999999999</v>
      </c>
      <c r="AB2833">
        <v>31</v>
      </c>
      <c r="AC2833">
        <v>-99.354099999999903</v>
      </c>
      <c r="AD2833">
        <v>-0.9115048</v>
      </c>
      <c r="AE2833">
        <v>9.8826999999999998</v>
      </c>
      <c r="AF2833">
        <v>8.3913890502194004</v>
      </c>
      <c r="AG2833">
        <v>-0.9115048</v>
      </c>
      <c r="AH2833">
        <v>99.482802843601505</v>
      </c>
      <c r="AI2833">
        <v>90.523096714351396</v>
      </c>
      <c r="AJ2833">
        <v>85.178505849035602</v>
      </c>
      <c r="AK2833">
        <v>99.840243954086304</v>
      </c>
      <c r="AL2833">
        <v>79.497664922297005</v>
      </c>
      <c r="AM2833">
        <v>87.603736263617407</v>
      </c>
      <c r="AN2833">
        <v>1.00000001266102</v>
      </c>
    </row>
    <row r="2834" spans="1:40" x14ac:dyDescent="0.25">
      <c r="A2834" t="str">
        <f>"20190303170311861"</f>
        <v>20190303170311861</v>
      </c>
      <c r="B2834" t="str">
        <f>"1551603791848237"</f>
        <v>1551603791848237</v>
      </c>
      <c r="C2834" t="s">
        <v>40</v>
      </c>
      <c r="D2834">
        <v>3.9069310000000002</v>
      </c>
      <c r="E2834">
        <v>0.52049729999999905</v>
      </c>
      <c r="F2834" t="s">
        <v>67</v>
      </c>
      <c r="G2834">
        <v>-526.58720000000005</v>
      </c>
      <c r="H2834">
        <v>0.27627289999999999</v>
      </c>
      <c r="I2834">
        <v>294.55</v>
      </c>
      <c r="J2834">
        <v>-427.45359999999999</v>
      </c>
      <c r="K2834">
        <v>1.121642</v>
      </c>
      <c r="L2834">
        <v>284.6705</v>
      </c>
      <c r="M2834">
        <v>-0.99978489999999998</v>
      </c>
      <c r="N2834">
        <v>-1.4340449999999999E-2</v>
      </c>
      <c r="O2834">
        <v>1.498997E-2</v>
      </c>
      <c r="P2834">
        <v>-0.98412509999999997</v>
      </c>
      <c r="Q2834">
        <v>0.16842199999999999</v>
      </c>
      <c r="R2834">
        <v>5.5966849999999999E-2</v>
      </c>
      <c r="S2834">
        <v>-3.0355219999999998</v>
      </c>
      <c r="T2834">
        <v>-2.5828E-2</v>
      </c>
      <c r="U2834">
        <v>0.3019714</v>
      </c>
      <c r="V2834">
        <v>4.1213930000000003E-2</v>
      </c>
      <c r="W2834">
        <v>0.18252689999999999</v>
      </c>
      <c r="X2834">
        <v>0.98233669999999995</v>
      </c>
      <c r="Y2834">
        <v>8.4053740000000002E-2</v>
      </c>
      <c r="Z2834">
        <v>1.0482250000000001E-3</v>
      </c>
      <c r="AA2834">
        <v>0.99646069999999998</v>
      </c>
      <c r="AB2834">
        <v>31</v>
      </c>
      <c r="AC2834">
        <v>-99.133600000000001</v>
      </c>
      <c r="AD2834">
        <v>-0.84536909999999899</v>
      </c>
      <c r="AE2834">
        <v>9.8795000000000002</v>
      </c>
      <c r="AF2834">
        <v>8.3916231507674102</v>
      </c>
      <c r="AG2834">
        <v>-0.84536909999999899</v>
      </c>
      <c r="AH2834">
        <v>99.263420687752799</v>
      </c>
      <c r="AI2834">
        <v>90.486208945129306</v>
      </c>
      <c r="AJ2834">
        <v>85.167766095815495</v>
      </c>
      <c r="AK2834">
        <v>99.621085492246607</v>
      </c>
      <c r="AL2834">
        <v>79.483020954444498</v>
      </c>
      <c r="AM2834">
        <v>87.597564879906301</v>
      </c>
      <c r="AN2834">
        <v>1.0000000247082701</v>
      </c>
    </row>
    <row r="2835" spans="1:40" x14ac:dyDescent="0.25">
      <c r="A2835" t="str">
        <f>"20190303170311875"</f>
        <v>20190303170311875</v>
      </c>
      <c r="B2835" t="str">
        <f>"1551603791868732"</f>
        <v>1551603791868732</v>
      </c>
      <c r="C2835" t="s">
        <v>40</v>
      </c>
      <c r="D2835">
        <v>3.9290349999999998</v>
      </c>
      <c r="E2835">
        <v>0.52062749999999902</v>
      </c>
      <c r="F2835" t="s">
        <v>67</v>
      </c>
      <c r="G2835">
        <v>-526.63379999999995</v>
      </c>
      <c r="H2835">
        <v>0.31215720000000002</v>
      </c>
      <c r="I2835">
        <v>294.55</v>
      </c>
      <c r="J2835">
        <v>-427.63650000000001</v>
      </c>
      <c r="K2835">
        <v>1.121648</v>
      </c>
      <c r="L2835">
        <v>284.67320000000001</v>
      </c>
      <c r="M2835">
        <v>-0.99978480000000003</v>
      </c>
      <c r="N2835">
        <v>-1.4338439999999999E-2</v>
      </c>
      <c r="O2835">
        <v>1.498999E-2</v>
      </c>
      <c r="P2835">
        <v>-0.98398890000000006</v>
      </c>
      <c r="Q2835">
        <v>0.16921820000000001</v>
      </c>
      <c r="R2835">
        <v>5.5955680000000001E-2</v>
      </c>
      <c r="S2835">
        <v>-3.0354610000000002</v>
      </c>
      <c r="T2835">
        <v>-2.477205E-2</v>
      </c>
      <c r="U2835">
        <v>0.30236819999999998</v>
      </c>
      <c r="V2835">
        <v>4.1204739999999997E-2</v>
      </c>
      <c r="W2835">
        <v>0.1833187</v>
      </c>
      <c r="X2835">
        <v>0.9821896</v>
      </c>
      <c r="Y2835">
        <v>8.4185120000000002E-2</v>
      </c>
      <c r="Z2835">
        <v>1.04021E-3</v>
      </c>
      <c r="AA2835">
        <v>0.99644960000000005</v>
      </c>
      <c r="AB2835">
        <v>31</v>
      </c>
      <c r="AC2835">
        <v>-98.997299999999896</v>
      </c>
      <c r="AD2835">
        <v>-0.80949079999999995</v>
      </c>
      <c r="AE2835">
        <v>9.8767999999999994</v>
      </c>
      <c r="AF2835">
        <v>8.3910133916844707</v>
      </c>
      <c r="AG2835">
        <v>-0.80949079999999995</v>
      </c>
      <c r="AH2835">
        <v>99.127680590294602</v>
      </c>
      <c r="AI2835">
        <v>90.466207898205099</v>
      </c>
      <c r="AJ2835">
        <v>85.161530425542395</v>
      </c>
      <c r="AK2835">
        <v>99.485483565725204</v>
      </c>
      <c r="AL2835">
        <v>79.436875222727906</v>
      </c>
      <c r="AM2835">
        <v>87.597740649321196</v>
      </c>
      <c r="AN2835">
        <v>0.99999999335815803</v>
      </c>
    </row>
    <row r="2836" spans="1:40" x14ac:dyDescent="0.25">
      <c r="A2836" t="str">
        <f>"20190303170311888"</f>
        <v>20190303170311888</v>
      </c>
      <c r="B2836" t="str">
        <f>"1551603791878493"</f>
        <v>1551603791878493</v>
      </c>
      <c r="C2836" t="s">
        <v>40</v>
      </c>
      <c r="D2836">
        <v>3.906101</v>
      </c>
      <c r="E2836">
        <v>0.52067439999999998</v>
      </c>
      <c r="F2836" t="s">
        <v>67</v>
      </c>
      <c r="G2836">
        <v>-526.34479999999996</v>
      </c>
      <c r="H2836">
        <v>0.4078755</v>
      </c>
      <c r="I2836">
        <v>294.55</v>
      </c>
      <c r="J2836">
        <v>-427.82130000000001</v>
      </c>
      <c r="K2836">
        <v>1.1216489999999999</v>
      </c>
      <c r="L2836">
        <v>284.67599999999999</v>
      </c>
      <c r="M2836">
        <v>-0.99978489999999998</v>
      </c>
      <c r="N2836">
        <v>-1.4336440000000001E-2</v>
      </c>
      <c r="O2836">
        <v>1.4990180000000001E-2</v>
      </c>
      <c r="P2836">
        <v>-0.98396939999999999</v>
      </c>
      <c r="Q2836">
        <v>0.16932</v>
      </c>
      <c r="R2836">
        <v>5.5989690000000002E-2</v>
      </c>
      <c r="S2836">
        <v>-3.0352779999999999</v>
      </c>
      <c r="T2836">
        <v>-2.194583E-2</v>
      </c>
      <c r="U2836">
        <v>0.30371090000000001</v>
      </c>
      <c r="V2836">
        <v>4.1238850000000001E-2</v>
      </c>
      <c r="W2836">
        <v>0.1834181</v>
      </c>
      <c r="X2836">
        <v>0.98216959999999998</v>
      </c>
      <c r="Y2836">
        <v>8.4628519999999999E-2</v>
      </c>
      <c r="Z2836">
        <v>1.0197209999999999E-3</v>
      </c>
      <c r="AA2836">
        <v>0.99641199999999996</v>
      </c>
      <c r="AB2836">
        <v>31</v>
      </c>
      <c r="AC2836">
        <v>-98.523499999999899</v>
      </c>
      <c r="AD2836">
        <v>-0.71377349999999895</v>
      </c>
      <c r="AE2836">
        <v>9.8740000000000201</v>
      </c>
      <c r="AF2836">
        <v>8.3954173465563091</v>
      </c>
      <c r="AG2836">
        <v>-0.71377349999999895</v>
      </c>
      <c r="AH2836">
        <v>98.655329455764402</v>
      </c>
      <c r="AI2836">
        <v>90.413036202205106</v>
      </c>
      <c r="AJ2836">
        <v>85.135935825253995</v>
      </c>
      <c r="AK2836">
        <v>99.014476391372099</v>
      </c>
      <c r="AL2836">
        <v>79.431081675943901</v>
      </c>
      <c r="AM2836">
        <v>87.595705449491405</v>
      </c>
      <c r="AN2836">
        <v>0.99999998266054602</v>
      </c>
    </row>
    <row r="2837" spans="1:40" x14ac:dyDescent="0.25">
      <c r="A2837" t="str">
        <f>"20190303170311901"</f>
        <v>20190303170311901</v>
      </c>
      <c r="B2837" t="str">
        <f>"1551603791888254"</f>
        <v>1551603791888254</v>
      </c>
      <c r="C2837" t="s">
        <v>40</v>
      </c>
      <c r="D2837">
        <v>3.9297680000000001</v>
      </c>
      <c r="E2837">
        <v>0.52075360000000004</v>
      </c>
      <c r="F2837" t="s">
        <v>67</v>
      </c>
      <c r="G2837">
        <v>-526.30359999999996</v>
      </c>
      <c r="H2837">
        <v>0.42125649999999998</v>
      </c>
      <c r="I2837">
        <v>294.55</v>
      </c>
      <c r="J2837">
        <v>-427.99810000000002</v>
      </c>
      <c r="K2837">
        <v>1.121648</v>
      </c>
      <c r="L2837">
        <v>284.67860000000002</v>
      </c>
      <c r="M2837">
        <v>-0.99978500000000003</v>
      </c>
      <c r="N2837">
        <v>-1.433452E-2</v>
      </c>
      <c r="O2837">
        <v>1.4990379999999999E-2</v>
      </c>
      <c r="P2837">
        <v>-0.98387999999999998</v>
      </c>
      <c r="Q2837">
        <v>0.16983519999999999</v>
      </c>
      <c r="R2837">
        <v>5.6004610000000003E-2</v>
      </c>
      <c r="S2837">
        <v>-3.0352779999999999</v>
      </c>
      <c r="T2837">
        <v>-2.15838E-2</v>
      </c>
      <c r="U2837">
        <v>0.30432130000000002</v>
      </c>
      <c r="V2837">
        <v>4.1255239999999999E-2</v>
      </c>
      <c r="W2837">
        <v>0.18392990000000001</v>
      </c>
      <c r="X2837">
        <v>0.98207319999999998</v>
      </c>
      <c r="Y2837">
        <v>8.4826849999999995E-2</v>
      </c>
      <c r="Z2837">
        <v>1.0184910000000001E-3</v>
      </c>
      <c r="AA2837">
        <v>0.99639520000000004</v>
      </c>
      <c r="AB2837">
        <v>31</v>
      </c>
      <c r="AC2837">
        <v>-98.305499999999896</v>
      </c>
      <c r="AD2837">
        <v>-0.70039149999999994</v>
      </c>
      <c r="AE2837">
        <v>9.8713999999999906</v>
      </c>
      <c r="AF2837">
        <v>8.3960806158340002</v>
      </c>
      <c r="AG2837">
        <v>-0.70039149999999994</v>
      </c>
      <c r="AH2837">
        <v>98.437496290522503</v>
      </c>
      <c r="AI2837">
        <v>90.406182904046801</v>
      </c>
      <c r="AJ2837">
        <v>85.124840639283903</v>
      </c>
      <c r="AK2837">
        <v>98.797395683831098</v>
      </c>
      <c r="AL2837">
        <v>79.401250219890599</v>
      </c>
      <c r="AM2837">
        <v>87.594515185692003</v>
      </c>
      <c r="AN2837">
        <v>0.999999986549853</v>
      </c>
    </row>
    <row r="2838" spans="1:40" x14ac:dyDescent="0.25">
      <c r="A2838" t="str">
        <f>"20190303170311913"</f>
        <v>20190303170311913</v>
      </c>
      <c r="B2838" t="str">
        <f>"1551603791908749"</f>
        <v>1551603791908749</v>
      </c>
      <c r="C2838" t="s">
        <v>40</v>
      </c>
      <c r="D2838">
        <v>3.8959239999999999</v>
      </c>
      <c r="E2838">
        <v>0.52092299999999903</v>
      </c>
      <c r="F2838" t="s">
        <v>67</v>
      </c>
      <c r="G2838">
        <v>-526.22479999999996</v>
      </c>
      <c r="H2838">
        <v>0.48289300000000002</v>
      </c>
      <c r="I2838">
        <v>294.55</v>
      </c>
      <c r="J2838">
        <v>-428.17750000000001</v>
      </c>
      <c r="K2838">
        <v>1.1216429999999999</v>
      </c>
      <c r="L2838">
        <v>284.6814</v>
      </c>
      <c r="M2838">
        <v>-0.99978500000000003</v>
      </c>
      <c r="N2838">
        <v>-1.4332579999999999E-2</v>
      </c>
      <c r="O2838">
        <v>1.4990689999999999E-2</v>
      </c>
      <c r="P2838">
        <v>-0.98394440000000005</v>
      </c>
      <c r="Q2838">
        <v>0.169350799999999</v>
      </c>
      <c r="R2838">
        <v>5.6337459999999999E-2</v>
      </c>
      <c r="S2838">
        <v>-3.0351870000000001</v>
      </c>
      <c r="T2838">
        <v>-1.9734740000000001E-2</v>
      </c>
      <c r="U2838">
        <v>0.30502319999999999</v>
      </c>
      <c r="V2838">
        <v>4.1586570000000003E-2</v>
      </c>
      <c r="W2838">
        <v>0.18344479999999999</v>
      </c>
      <c r="X2838">
        <v>0.98214999999999997</v>
      </c>
      <c r="Y2838">
        <v>8.5058410000000001E-2</v>
      </c>
      <c r="Z2838">
        <v>1.0041360000000001E-3</v>
      </c>
      <c r="AA2838">
        <v>0.99637540000000002</v>
      </c>
      <c r="AB2838">
        <v>31</v>
      </c>
      <c r="AC2838">
        <v>-98.047299999999893</v>
      </c>
      <c r="AD2838">
        <v>-0.63874999999999904</v>
      </c>
      <c r="AE2838">
        <v>9.8686000000000096</v>
      </c>
      <c r="AF2838">
        <v>8.3971905270864209</v>
      </c>
      <c r="AG2838">
        <v>-0.63874999999999904</v>
      </c>
      <c r="AH2838">
        <v>98.1801076736092</v>
      </c>
      <c r="AI2838">
        <v>90.371399473625203</v>
      </c>
      <c r="AJ2838">
        <v>85.111478761128694</v>
      </c>
      <c r="AK2838">
        <v>98.540622857338306</v>
      </c>
      <c r="AL2838">
        <v>79.429525979644694</v>
      </c>
      <c r="AM2838">
        <v>87.575408551130593</v>
      </c>
      <c r="AN2838">
        <v>1.0000000299756999</v>
      </c>
    </row>
    <row r="2839" spans="1:40" x14ac:dyDescent="0.25">
      <c r="A2839" t="str">
        <f>"20190303170311930"</f>
        <v>20190303170311930</v>
      </c>
      <c r="B2839" t="str">
        <f>"1551603791918510"</f>
        <v>1551603791918510</v>
      </c>
      <c r="C2839" t="s">
        <v>40</v>
      </c>
      <c r="D2839">
        <v>3.9469780000000001</v>
      </c>
      <c r="E2839">
        <v>0.52098440000000001</v>
      </c>
      <c r="F2839" t="s">
        <v>67</v>
      </c>
      <c r="G2839">
        <v>-525.66989999999998</v>
      </c>
      <c r="H2839">
        <v>0.43698350000000002</v>
      </c>
      <c r="I2839">
        <v>294.55</v>
      </c>
      <c r="J2839">
        <v>-428.38729999999998</v>
      </c>
      <c r="K2839">
        <v>1.121642</v>
      </c>
      <c r="L2839">
        <v>284.68450000000001</v>
      </c>
      <c r="M2839">
        <v>-0.99978500000000003</v>
      </c>
      <c r="N2839">
        <v>-1.4330310000000001E-2</v>
      </c>
      <c r="O2839">
        <v>1.499089E-2</v>
      </c>
      <c r="P2839">
        <v>-0.98394499999999996</v>
      </c>
      <c r="Q2839">
        <v>0.16927679999999901</v>
      </c>
      <c r="R2839">
        <v>5.6549719999999998E-2</v>
      </c>
      <c r="S2839">
        <v>-3.035034</v>
      </c>
      <c r="T2839">
        <v>-2.1311400000000001E-2</v>
      </c>
      <c r="U2839">
        <v>0.30722050000000001</v>
      </c>
      <c r="V2839">
        <v>4.1798790000000002E-2</v>
      </c>
      <c r="W2839">
        <v>0.1833688</v>
      </c>
      <c r="X2839">
        <v>0.98215509999999995</v>
      </c>
      <c r="Y2839">
        <v>8.5776519999999995E-2</v>
      </c>
      <c r="Z2839">
        <v>1.0259710000000001E-3</v>
      </c>
      <c r="AA2839">
        <v>0.99631389999999997</v>
      </c>
      <c r="AB2839">
        <v>31</v>
      </c>
      <c r="AC2839">
        <v>-97.282600000000002</v>
      </c>
      <c r="AD2839">
        <v>-0.68465849999999995</v>
      </c>
      <c r="AE2839">
        <v>9.8654999999999902</v>
      </c>
      <c r="AF2839">
        <v>8.4054766696965508</v>
      </c>
      <c r="AG2839">
        <v>-0.68465849999999995</v>
      </c>
      <c r="AH2839">
        <v>97.414798000008901</v>
      </c>
      <c r="AI2839">
        <v>90.401193505587102</v>
      </c>
      <c r="AJ2839">
        <v>85.068424261417107</v>
      </c>
      <c r="AK2839">
        <v>97.779157619039495</v>
      </c>
      <c r="AL2839">
        <v>79.433954722413503</v>
      </c>
      <c r="AM2839">
        <v>87.563063161159306</v>
      </c>
      <c r="AN2839">
        <v>0.99999994805745496</v>
      </c>
    </row>
    <row r="2840" spans="1:40" x14ac:dyDescent="0.25">
      <c r="A2840" t="str">
        <f>"20190303170311943"</f>
        <v>20190303170311943</v>
      </c>
      <c r="B2840" t="str">
        <f>"1551603791928269"</f>
        <v>1551603791928269</v>
      </c>
      <c r="C2840" t="s">
        <v>40</v>
      </c>
      <c r="D2840">
        <v>3.9429120000000002</v>
      </c>
      <c r="E2840">
        <v>0.52104070000000002</v>
      </c>
      <c r="F2840" t="s">
        <v>67</v>
      </c>
      <c r="G2840">
        <v>-525.45809999999994</v>
      </c>
      <c r="H2840">
        <v>0.43401430000000002</v>
      </c>
      <c r="I2840">
        <v>294.55</v>
      </c>
      <c r="J2840">
        <v>-428.57619999999997</v>
      </c>
      <c r="K2840">
        <v>1.1216379999999999</v>
      </c>
      <c r="L2840">
        <v>284.68729999999999</v>
      </c>
      <c r="M2840">
        <v>-0.99978500000000003</v>
      </c>
      <c r="N2840">
        <v>-1.4328270000000001E-2</v>
      </c>
      <c r="O2840">
        <v>1.499108E-2</v>
      </c>
      <c r="P2840">
        <v>-0.98395120000000003</v>
      </c>
      <c r="Q2840">
        <v>0.16919879999999901</v>
      </c>
      <c r="R2840">
        <v>5.6672899999999998E-2</v>
      </c>
      <c r="S2840">
        <v>-3.0348820000000001</v>
      </c>
      <c r="T2840">
        <v>-2.14957E-2</v>
      </c>
      <c r="U2840">
        <v>0.30844120000000003</v>
      </c>
      <c r="V2840">
        <v>4.1921600000000003E-2</v>
      </c>
      <c r="W2840">
        <v>0.1832887</v>
      </c>
      <c r="X2840">
        <v>0.98216490000000001</v>
      </c>
      <c r="Y2840">
        <v>8.6177879999999998E-2</v>
      </c>
      <c r="Z2840">
        <v>1.031859E-3</v>
      </c>
      <c r="AA2840">
        <v>0.99627920000000003</v>
      </c>
      <c r="AB2840">
        <v>31</v>
      </c>
      <c r="AC2840">
        <v>-96.881899999999902</v>
      </c>
      <c r="AD2840">
        <v>-0.68762369999999895</v>
      </c>
      <c r="AE2840">
        <v>9.8627000000000091</v>
      </c>
      <c r="AF2840">
        <v>8.4086588686160599</v>
      </c>
      <c r="AG2840">
        <v>-0.68762369999999895</v>
      </c>
      <c r="AH2840">
        <v>97.0140416277154</v>
      </c>
      <c r="AI2840">
        <v>90.404581884056796</v>
      </c>
      <c r="AJ2840">
        <v>85.046288072519701</v>
      </c>
      <c r="AK2840">
        <v>97.380196360788105</v>
      </c>
      <c r="AL2840">
        <v>79.438624107599594</v>
      </c>
      <c r="AM2840">
        <v>87.555936167599299</v>
      </c>
      <c r="AN2840">
        <v>1.0000000294431199</v>
      </c>
    </row>
    <row r="2841" spans="1:40" x14ac:dyDescent="0.25">
      <c r="A2841" t="str">
        <f>"20190303170311956"</f>
        <v>20190303170311956</v>
      </c>
      <c r="B2841" t="str">
        <f>"1551603791948765"</f>
        <v>1551603791948765</v>
      </c>
      <c r="C2841" t="s">
        <v>40</v>
      </c>
      <c r="D2841">
        <v>3.9479329999999999</v>
      </c>
      <c r="E2841">
        <v>0.52121070000000003</v>
      </c>
      <c r="F2841" t="s">
        <v>67</v>
      </c>
      <c r="G2841">
        <v>-525.4171</v>
      </c>
      <c r="H2841">
        <v>0.43027989999999999</v>
      </c>
      <c r="I2841">
        <v>294.55</v>
      </c>
      <c r="J2841">
        <v>-428.7602</v>
      </c>
      <c r="K2841">
        <v>1.1216390000000001</v>
      </c>
      <c r="L2841">
        <v>284.69009999999997</v>
      </c>
      <c r="M2841">
        <v>-0.99978509999999998</v>
      </c>
      <c r="N2841">
        <v>-1.432626E-2</v>
      </c>
      <c r="O2841">
        <v>1.499092E-2</v>
      </c>
      <c r="P2841">
        <v>-0.98391070000000003</v>
      </c>
      <c r="Q2841">
        <v>0.1693325</v>
      </c>
      <c r="R2841">
        <v>5.6974129999999998E-2</v>
      </c>
      <c r="S2841">
        <v>-3.0348510000000002</v>
      </c>
      <c r="T2841">
        <v>-2.1663430000000001E-2</v>
      </c>
      <c r="U2841">
        <v>0.30908200000000002</v>
      </c>
      <c r="V2841">
        <v>4.222352E-2</v>
      </c>
      <c r="W2841">
        <v>0.1834199</v>
      </c>
      <c r="X2841">
        <v>0.98212739999999998</v>
      </c>
      <c r="Y2841">
        <v>8.6387210000000006E-2</v>
      </c>
      <c r="Z2841">
        <v>1.035544E-3</v>
      </c>
      <c r="AA2841">
        <v>0.99626110000000001</v>
      </c>
      <c r="AB2841">
        <v>31</v>
      </c>
      <c r="AC2841">
        <v>-96.656899999999993</v>
      </c>
      <c r="AD2841">
        <v>-0.6913591</v>
      </c>
      <c r="AE2841">
        <v>9.8599000000000299</v>
      </c>
      <c r="AF2841">
        <v>8.4092416001331092</v>
      </c>
      <c r="AG2841">
        <v>-0.6913591</v>
      </c>
      <c r="AH2841">
        <v>96.788959696453404</v>
      </c>
      <c r="AI2841">
        <v>90.407718274772407</v>
      </c>
      <c r="AJ2841">
        <v>85.0344834039403</v>
      </c>
      <c r="AK2841">
        <v>97.156039651769703</v>
      </c>
      <c r="AL2841">
        <v>79.430976495708805</v>
      </c>
      <c r="AM2841">
        <v>87.538261682691896</v>
      </c>
      <c r="AN2841">
        <v>0.99999995759397897</v>
      </c>
    </row>
    <row r="2842" spans="1:40" x14ac:dyDescent="0.25">
      <c r="A2842" t="str">
        <f>"20190303170311969"</f>
        <v>20190303170311969</v>
      </c>
      <c r="B2842" t="str">
        <f>"1551603791958525"</f>
        <v>1551603791958525</v>
      </c>
      <c r="C2842" t="s">
        <v>40</v>
      </c>
      <c r="D2842">
        <v>3.9141349999999999</v>
      </c>
      <c r="E2842">
        <v>0.52128269999999999</v>
      </c>
      <c r="F2842" t="s">
        <v>67</v>
      </c>
      <c r="G2842">
        <v>-524.88649999999996</v>
      </c>
      <c r="H2842">
        <v>0.44184869999999998</v>
      </c>
      <c r="I2842">
        <v>294.55</v>
      </c>
      <c r="J2842">
        <v>-428.93799999999999</v>
      </c>
      <c r="K2842">
        <v>1.1216440000000001</v>
      </c>
      <c r="L2842">
        <v>284.6927</v>
      </c>
      <c r="M2842">
        <v>-0.99978509999999998</v>
      </c>
      <c r="N2842">
        <v>-1.432432E-2</v>
      </c>
      <c r="O2842">
        <v>1.499093E-2</v>
      </c>
      <c r="P2842">
        <v>-0.98382809999999998</v>
      </c>
      <c r="Q2842">
        <v>0.1697726</v>
      </c>
      <c r="R2842">
        <v>5.709272E-2</v>
      </c>
      <c r="S2842">
        <v>-3.034729</v>
      </c>
      <c r="T2842">
        <v>-2.1458390000000001E-2</v>
      </c>
      <c r="U2842">
        <v>0.31127929999999998</v>
      </c>
      <c r="V2842">
        <v>4.2343440000000003E-2</v>
      </c>
      <c r="W2842">
        <v>0.18385679999999999</v>
      </c>
      <c r="X2842">
        <v>0.98204060000000004</v>
      </c>
      <c r="Y2842">
        <v>8.7105109999999999E-2</v>
      </c>
      <c r="Z2842">
        <v>1.0412329999999999E-3</v>
      </c>
      <c r="AA2842">
        <v>0.99619860000000005</v>
      </c>
      <c r="AB2842">
        <v>31</v>
      </c>
      <c r="AC2842">
        <v>-95.948499999999896</v>
      </c>
      <c r="AD2842">
        <v>-0.67979529999999999</v>
      </c>
      <c r="AE2842">
        <v>9.8573000000000093</v>
      </c>
      <c r="AF2842">
        <v>8.4172692742449602</v>
      </c>
      <c r="AG2842">
        <v>-0.67979529999999999</v>
      </c>
      <c r="AH2842">
        <v>96.080728655986704</v>
      </c>
      <c r="AI2842">
        <v>90.403828625690096</v>
      </c>
      <c r="AJ2842">
        <v>84.993315847476197</v>
      </c>
      <c r="AK2842">
        <v>96.451122143551999</v>
      </c>
      <c r="AL2842">
        <v>79.405511511631602</v>
      </c>
      <c r="AM2842">
        <v>87.531060746652997</v>
      </c>
      <c r="AN2842">
        <v>1.0000000149328101</v>
      </c>
    </row>
    <row r="2843" spans="1:40" x14ac:dyDescent="0.25">
      <c r="A2843" t="str">
        <f>"20190303170311986"</f>
        <v>20190303170311986</v>
      </c>
      <c r="B2843" t="str">
        <f>"1551603791978045"</f>
        <v>1551603791978045</v>
      </c>
      <c r="C2843" t="s">
        <v>40</v>
      </c>
      <c r="D2843">
        <v>3.9348010000000002</v>
      </c>
      <c r="E2843">
        <v>0.52138699999999905</v>
      </c>
      <c r="F2843" t="s">
        <v>67</v>
      </c>
      <c r="G2843">
        <v>-524.74639999999999</v>
      </c>
      <c r="H2843">
        <v>0.48065790000000003</v>
      </c>
      <c r="I2843">
        <v>294.55</v>
      </c>
      <c r="J2843">
        <v>-429.16379999999998</v>
      </c>
      <c r="K2843">
        <v>1.1216459999999999</v>
      </c>
      <c r="L2843">
        <v>284.6961</v>
      </c>
      <c r="M2843">
        <v>-0.99978509999999998</v>
      </c>
      <c r="N2843">
        <v>-1.4321840000000001E-2</v>
      </c>
      <c r="O2843">
        <v>1.4990949999999999E-2</v>
      </c>
      <c r="P2843">
        <v>-0.98379450000000002</v>
      </c>
      <c r="Q2843">
        <v>0.16997429999999999</v>
      </c>
      <c r="R2843">
        <v>5.7072589999999999E-2</v>
      </c>
      <c r="S2843">
        <v>-3.0346980000000001</v>
      </c>
      <c r="T2843">
        <v>-2.0300269999999999E-2</v>
      </c>
      <c r="U2843">
        <v>0.31222529999999998</v>
      </c>
      <c r="V2843">
        <v>4.2323899999999998E-2</v>
      </c>
      <c r="W2843">
        <v>0.18405550000000001</v>
      </c>
      <c r="X2843">
        <v>0.98200419999999999</v>
      </c>
      <c r="Y2843">
        <v>8.7413909999999997E-2</v>
      </c>
      <c r="Z2843">
        <v>1.0334669999999999E-3</v>
      </c>
      <c r="AA2843">
        <v>0.99617149999999999</v>
      </c>
      <c r="AB2843">
        <v>31</v>
      </c>
      <c r="AC2843">
        <v>-95.582599999999999</v>
      </c>
      <c r="AD2843">
        <v>-0.64098809999999895</v>
      </c>
      <c r="AE2843">
        <v>9.8539000000000101</v>
      </c>
      <c r="AF2843">
        <v>8.4193969412316196</v>
      </c>
      <c r="AG2843">
        <v>-0.64098809999999895</v>
      </c>
      <c r="AH2843">
        <v>95.715332347923507</v>
      </c>
      <c r="AI2843">
        <v>90.382217829496199</v>
      </c>
      <c r="AJ2843">
        <v>84.973036516094893</v>
      </c>
      <c r="AK2843">
        <v>96.087054055537706</v>
      </c>
      <c r="AL2843">
        <v>79.393928959183796</v>
      </c>
      <c r="AM2843">
        <v>87.532107304904201</v>
      </c>
      <c r="AN2843">
        <v>0.99999999420454999</v>
      </c>
    </row>
    <row r="2844" spans="1:40" x14ac:dyDescent="0.25">
      <c r="A2844" t="str">
        <f>"20190303170312004"</f>
        <v>20190303170312004</v>
      </c>
      <c r="B2844" t="str">
        <f>"1551603791998541"</f>
        <v>1551603791998541</v>
      </c>
      <c r="C2844" t="s">
        <v>40</v>
      </c>
      <c r="D2844">
        <v>4.0775620000000004</v>
      </c>
      <c r="E2844">
        <v>0.52146789999999998</v>
      </c>
      <c r="F2844" t="s">
        <v>67</v>
      </c>
      <c r="G2844">
        <v>-524.69439999999997</v>
      </c>
      <c r="H2844">
        <v>0.50964399999999999</v>
      </c>
      <c r="I2844">
        <v>294.55</v>
      </c>
      <c r="J2844">
        <v>-429.40969999999999</v>
      </c>
      <c r="K2844">
        <v>1.121648</v>
      </c>
      <c r="L2844">
        <v>284.69979999999998</v>
      </c>
      <c r="M2844">
        <v>-0.99978520000000004</v>
      </c>
      <c r="N2844">
        <v>-1.4319119999999999E-2</v>
      </c>
      <c r="O2844">
        <v>1.499079E-2</v>
      </c>
      <c r="P2844">
        <v>-0.9838789</v>
      </c>
      <c r="Q2844">
        <v>0.16944289999999901</v>
      </c>
      <c r="R2844">
        <v>5.719838E-2</v>
      </c>
      <c r="S2844">
        <v>-3.034637</v>
      </c>
      <c r="T2844">
        <v>-1.9438150000000001E-2</v>
      </c>
      <c r="U2844">
        <v>0.31301879999999999</v>
      </c>
      <c r="V2844">
        <v>4.2448550000000002E-2</v>
      </c>
      <c r="W2844">
        <v>0.18352260000000001</v>
      </c>
      <c r="X2844">
        <v>0.98209860000000004</v>
      </c>
      <c r="Y2844">
        <v>8.7674180000000004E-2</v>
      </c>
      <c r="Z2844">
        <v>1.027874E-3</v>
      </c>
      <c r="AA2844">
        <v>0.99614860000000005</v>
      </c>
      <c r="AB2844">
        <v>31</v>
      </c>
      <c r="AC2844">
        <v>-95.284700000000001</v>
      </c>
      <c r="AD2844">
        <v>-0.61200399999999999</v>
      </c>
      <c r="AE2844">
        <v>9.8502000000000294</v>
      </c>
      <c r="AF2844">
        <v>8.4202099933098697</v>
      </c>
      <c r="AG2844">
        <v>-0.61200399999999999</v>
      </c>
      <c r="AH2844">
        <v>95.417773532337193</v>
      </c>
      <c r="AI2844">
        <v>90.366064204149097</v>
      </c>
      <c r="AJ2844">
        <v>84.956956266259894</v>
      </c>
      <c r="AK2844">
        <v>95.790531844727994</v>
      </c>
      <c r="AL2844">
        <v>79.424991513018696</v>
      </c>
      <c r="AM2844">
        <v>87.525085647987893</v>
      </c>
      <c r="AN2844">
        <v>1.00000004211491</v>
      </c>
    </row>
    <row r="2845" spans="1:40" x14ac:dyDescent="0.25">
      <c r="A2845" t="str">
        <f>"20190303170312027"</f>
        <v>20190303170312027</v>
      </c>
      <c r="B2845" t="str">
        <f>"1551603792018061"</f>
        <v>1551603792018061</v>
      </c>
      <c r="C2845" t="s">
        <v>40</v>
      </c>
      <c r="D2845">
        <v>4.3561949999999996</v>
      </c>
      <c r="E2845">
        <v>0.49357129999999999</v>
      </c>
      <c r="F2845" t="s">
        <v>67</v>
      </c>
      <c r="G2845">
        <v>-524.67049999999995</v>
      </c>
      <c r="H2845">
        <v>0.45044780000000001</v>
      </c>
      <c r="I2845">
        <v>294.55</v>
      </c>
      <c r="J2845">
        <v>-429.72489999999999</v>
      </c>
      <c r="K2845">
        <v>1.1216440000000001</v>
      </c>
      <c r="L2845">
        <v>284.70460000000003</v>
      </c>
      <c r="M2845">
        <v>-0.99978520000000004</v>
      </c>
      <c r="N2845">
        <v>-1.4315619999999999E-2</v>
      </c>
      <c r="O2845">
        <v>1.4990699999999999E-2</v>
      </c>
      <c r="P2845">
        <v>-0.98409590000000002</v>
      </c>
      <c r="Q2845">
        <v>0.16812299999999999</v>
      </c>
      <c r="R2845">
        <v>5.7358310000000003E-2</v>
      </c>
      <c r="S2845">
        <v>-3.0345759999999999</v>
      </c>
      <c r="T2845">
        <v>-2.1378640000000001E-2</v>
      </c>
      <c r="U2845">
        <v>0.3137817</v>
      </c>
      <c r="V2845">
        <v>4.2605120000000003E-2</v>
      </c>
      <c r="W2845">
        <v>0.1822029</v>
      </c>
      <c r="X2845">
        <v>0.98233749999999997</v>
      </c>
      <c r="Y2845">
        <v>8.7923260000000003E-2</v>
      </c>
      <c r="Z2845">
        <v>1.048738E-3</v>
      </c>
      <c r="AA2845">
        <v>0.99612670000000003</v>
      </c>
      <c r="AB2845">
        <v>31</v>
      </c>
      <c r="AC2845">
        <v>-94.945599999999899</v>
      </c>
      <c r="AD2845">
        <v>-0.67119619999999902</v>
      </c>
      <c r="AE2845">
        <v>9.8453999999999802</v>
      </c>
      <c r="AF2845">
        <v>8.4204303480946692</v>
      </c>
      <c r="AG2845">
        <v>-0.67119619999999902</v>
      </c>
      <c r="AH2845">
        <v>95.0778327025468</v>
      </c>
      <c r="AI2845">
        <v>90.402892459987498</v>
      </c>
      <c r="AJ2845">
        <v>84.938887111849098</v>
      </c>
      <c r="AK2845">
        <v>95.452335869791497</v>
      </c>
      <c r="AL2845">
        <v>79.501901434076998</v>
      </c>
      <c r="AM2845">
        <v>87.516571774830197</v>
      </c>
      <c r="AN2845">
        <v>1.00000002846243</v>
      </c>
    </row>
    <row r="2846" spans="1:40" x14ac:dyDescent="0.25">
      <c r="A2846" t="str">
        <f>"20190303170312048"</f>
        <v>20190303170312048</v>
      </c>
      <c r="B2846" t="str">
        <f>"1551603792038558"</f>
        <v>1551603792038558</v>
      </c>
      <c r="C2846" t="s">
        <v>40</v>
      </c>
      <c r="D2846">
        <v>3.9887700000000001</v>
      </c>
      <c r="E2846">
        <v>0.48038940000000002</v>
      </c>
      <c r="F2846" t="s">
        <v>48</v>
      </c>
      <c r="G2846">
        <v>0</v>
      </c>
      <c r="H2846">
        <v>0</v>
      </c>
      <c r="I2846">
        <v>0</v>
      </c>
      <c r="J2846">
        <v>-430.0138</v>
      </c>
      <c r="K2846">
        <v>1.1216440000000001</v>
      </c>
      <c r="L2846">
        <v>284.70890000000003</v>
      </c>
      <c r="M2846">
        <v>-0.99978520000000004</v>
      </c>
      <c r="N2846">
        <v>-1.4312399999999999E-2</v>
      </c>
      <c r="O2846">
        <v>1.4990720000000001E-2</v>
      </c>
      <c r="P2846">
        <v>-0.98410960000000003</v>
      </c>
      <c r="Q2846">
        <v>0.16794329999999999</v>
      </c>
      <c r="R2846">
        <v>5.7647629999999998E-2</v>
      </c>
      <c r="S2846">
        <v>-3.0462340000000001</v>
      </c>
      <c r="T2846">
        <v>-1.8169399999999999E-2</v>
      </c>
      <c r="U2846">
        <v>9.2071529999999999E-2</v>
      </c>
      <c r="V2846">
        <v>4.2894359999999999E-2</v>
      </c>
      <c r="W2846">
        <v>0.1820205</v>
      </c>
      <c r="X2846">
        <v>0.98235870000000003</v>
      </c>
      <c r="Y2846">
        <v>1.5221699999999999E-2</v>
      </c>
      <c r="Z2846">
        <v>2.7949970000000002E-4</v>
      </c>
      <c r="AA2846">
        <v>0.99988410000000005</v>
      </c>
      <c r="AB2846">
        <v>31</v>
      </c>
      <c r="AC2846">
        <v>-3.0462340000000001</v>
      </c>
      <c r="AD2846">
        <v>-1.8169399999999999E-2</v>
      </c>
      <c r="AE2846">
        <v>9.2071529999999999E-2</v>
      </c>
      <c r="AF2846">
        <v>4.6389614700615103E-2</v>
      </c>
      <c r="AG2846">
        <v>-1.8169399999999999E-2</v>
      </c>
      <c r="AH2846">
        <v>3.0471636867827598</v>
      </c>
      <c r="AI2846">
        <v>90.341595363240103</v>
      </c>
      <c r="AJ2846">
        <v>89.127804050583904</v>
      </c>
      <c r="AK2846">
        <v>3.0475709438003098</v>
      </c>
      <c r="AL2846">
        <v>79.512529634395307</v>
      </c>
      <c r="AM2846">
        <v>87.499787352048003</v>
      </c>
      <c r="AN2846">
        <v>1.0000000020028701</v>
      </c>
    </row>
    <row r="2847" spans="1:40" x14ac:dyDescent="0.25">
      <c r="A2847" t="str">
        <f>"20190303170312070"</f>
        <v>20190303170312070</v>
      </c>
      <c r="B2847" t="str">
        <f>"1551603792058078"</f>
        <v>1551603792058078</v>
      </c>
      <c r="C2847" t="s">
        <v>40</v>
      </c>
      <c r="D2847">
        <v>4.0080470000000004</v>
      </c>
      <c r="E2847">
        <v>0.47306559999999998</v>
      </c>
      <c r="F2847" t="s">
        <v>48</v>
      </c>
      <c r="G2847">
        <v>0</v>
      </c>
      <c r="H2847">
        <v>0</v>
      </c>
      <c r="I2847">
        <v>0</v>
      </c>
      <c r="J2847">
        <v>-430.31810000000002</v>
      </c>
      <c r="K2847">
        <v>1.1216410000000001</v>
      </c>
      <c r="L2847">
        <v>284.71350000000001</v>
      </c>
      <c r="M2847">
        <v>-0.99978520000000004</v>
      </c>
      <c r="N2847">
        <v>-1.4309000000000001E-2</v>
      </c>
      <c r="O2847">
        <v>1.499057E-2</v>
      </c>
      <c r="P2847">
        <v>-0.98403289999999999</v>
      </c>
      <c r="Q2847">
        <v>0.16827819999999999</v>
      </c>
      <c r="R2847">
        <v>5.79806E-2</v>
      </c>
      <c r="S2847">
        <v>-3.0527950000000001</v>
      </c>
      <c r="T2847">
        <v>-2.1272180000000002E-2</v>
      </c>
      <c r="U2847">
        <v>-1.293945E-2</v>
      </c>
      <c r="V2847">
        <v>4.3228589999999997E-2</v>
      </c>
      <c r="W2847">
        <v>0.1823506</v>
      </c>
      <c r="X2847">
        <v>0.98228280000000001</v>
      </c>
      <c r="Y2847">
        <v>-1.9228189999999999E-2</v>
      </c>
      <c r="Z2847" s="1">
        <v>-9.4506439999999996E-5</v>
      </c>
      <c r="AA2847">
        <v>0.99981509999999996</v>
      </c>
      <c r="AB2847">
        <v>31</v>
      </c>
      <c r="AC2847">
        <v>-3.0527950000000001</v>
      </c>
      <c r="AD2847">
        <v>-2.1272180000000002E-2</v>
      </c>
      <c r="AE2847">
        <v>-1.293945E-2</v>
      </c>
      <c r="AF2847">
        <v>-5.8702970372572799E-2</v>
      </c>
      <c r="AG2847">
        <v>-2.1272180000000002E-2</v>
      </c>
      <c r="AH2847">
        <v>3.0521097223535101</v>
      </c>
      <c r="AI2847">
        <v>90.399252041473602</v>
      </c>
      <c r="AJ2847">
        <v>91.101866610323</v>
      </c>
      <c r="AK2847">
        <v>3.05274831940946</v>
      </c>
      <c r="AL2847">
        <v>79.493294100517701</v>
      </c>
      <c r="AM2847">
        <v>87.480136430762698</v>
      </c>
      <c r="AN2847">
        <v>0.99999997574479305</v>
      </c>
    </row>
    <row r="2848" spans="1:40" x14ac:dyDescent="0.25">
      <c r="A2848" t="str">
        <f>"20190303170312086"</f>
        <v>20190303170312086</v>
      </c>
      <c r="B2848" t="str">
        <f>"1551603792078574"</f>
        <v>1551603792078574</v>
      </c>
      <c r="C2848" t="s">
        <v>40</v>
      </c>
      <c r="D2848">
        <v>3.9887060000000001</v>
      </c>
      <c r="E2848">
        <v>0.4688042</v>
      </c>
      <c r="F2848" t="s">
        <v>48</v>
      </c>
      <c r="G2848">
        <v>0</v>
      </c>
      <c r="H2848">
        <v>0</v>
      </c>
      <c r="I2848">
        <v>0</v>
      </c>
      <c r="J2848">
        <v>-430.53019999999998</v>
      </c>
      <c r="K2848">
        <v>1.1216440000000001</v>
      </c>
      <c r="L2848">
        <v>284.71660000000003</v>
      </c>
      <c r="M2848">
        <v>-0.99978529999999999</v>
      </c>
      <c r="N2848">
        <v>-1.4306650000000001E-2</v>
      </c>
      <c r="O2848">
        <v>1.4990409999999999E-2</v>
      </c>
      <c r="P2848">
        <v>-0.98403600000000002</v>
      </c>
      <c r="Q2848">
        <v>0.16830680000000001</v>
      </c>
      <c r="R2848">
        <v>5.7844890000000003E-2</v>
      </c>
      <c r="S2848">
        <v>-3.056244</v>
      </c>
      <c r="T2848">
        <v>-1.9845720000000001E-2</v>
      </c>
      <c r="U2848">
        <v>-7.0190429999999998E-2</v>
      </c>
      <c r="V2848">
        <v>4.3092909999999998E-2</v>
      </c>
      <c r="W2848">
        <v>0.18237690000000001</v>
      </c>
      <c r="X2848">
        <v>0.98228389999999999</v>
      </c>
      <c r="Y2848">
        <v>-3.7942579999999997E-2</v>
      </c>
      <c r="Z2848">
        <v>-2.7753009999999999E-4</v>
      </c>
      <c r="AA2848">
        <v>0.9992799</v>
      </c>
      <c r="AB2848">
        <v>31</v>
      </c>
      <c r="AC2848">
        <v>-3.056244</v>
      </c>
      <c r="AD2848">
        <v>-1.9845720000000001E-2</v>
      </c>
      <c r="AE2848">
        <v>-7.0190429999999998E-2</v>
      </c>
      <c r="AF2848">
        <v>-0.115996692226654</v>
      </c>
      <c r="AG2848">
        <v>-1.9845720000000001E-2</v>
      </c>
      <c r="AH2848">
        <v>3.0547194954658901</v>
      </c>
      <c r="AI2848">
        <v>90.371962506395406</v>
      </c>
      <c r="AJ2848">
        <v>92.174644587511906</v>
      </c>
      <c r="AK2848">
        <v>3.05698548920161</v>
      </c>
      <c r="AL2848">
        <v>79.491761741097406</v>
      </c>
      <c r="AM2848">
        <v>87.488038097352103</v>
      </c>
      <c r="AN2848">
        <v>0.999999996372544</v>
      </c>
    </row>
    <row r="2849" spans="1:40" x14ac:dyDescent="0.25">
      <c r="A2849" t="str">
        <f>"20190303170312099"</f>
        <v>20190303170312099</v>
      </c>
      <c r="B2849" t="str">
        <f>"1551603792088333"</f>
        <v>1551603792088333</v>
      </c>
      <c r="C2849" t="s">
        <v>40</v>
      </c>
      <c r="D2849">
        <v>3.9740479999999998</v>
      </c>
      <c r="E2849">
        <v>0.46725660000000002</v>
      </c>
      <c r="F2849" t="s">
        <v>48</v>
      </c>
      <c r="G2849">
        <v>0</v>
      </c>
      <c r="H2849">
        <v>0</v>
      </c>
      <c r="I2849">
        <v>0</v>
      </c>
      <c r="J2849">
        <v>-430.7013</v>
      </c>
      <c r="K2849">
        <v>1.121637</v>
      </c>
      <c r="L2849">
        <v>284.7192</v>
      </c>
      <c r="M2849">
        <v>-0.99978540000000005</v>
      </c>
      <c r="N2849">
        <v>-1.430475E-2</v>
      </c>
      <c r="O2849">
        <v>1.4990420000000001E-2</v>
      </c>
      <c r="P2849">
        <v>-0.98405089999999995</v>
      </c>
      <c r="Q2849">
        <v>0.16821939999999999</v>
      </c>
      <c r="R2849">
        <v>5.7844760000000002E-2</v>
      </c>
      <c r="S2849">
        <v>-3.058411</v>
      </c>
      <c r="T2849">
        <v>-2.094793E-2</v>
      </c>
      <c r="U2849">
        <v>-0.10495</v>
      </c>
      <c r="V2849">
        <v>4.3092640000000001E-2</v>
      </c>
      <c r="W2849">
        <v>0.1822878</v>
      </c>
      <c r="X2849">
        <v>0.98230050000000002</v>
      </c>
      <c r="Y2849">
        <v>-4.9270309999999998E-2</v>
      </c>
      <c r="Z2849">
        <v>-4.094848E-4</v>
      </c>
      <c r="AA2849">
        <v>0.99878540000000005</v>
      </c>
      <c r="AB2849">
        <v>31</v>
      </c>
      <c r="AC2849">
        <v>-3.058411</v>
      </c>
      <c r="AD2849">
        <v>-2.094793E-2</v>
      </c>
      <c r="AE2849">
        <v>-0.10495</v>
      </c>
      <c r="AF2849">
        <v>-0.15078269245887499</v>
      </c>
      <c r="AG2849">
        <v>-2.094793E-2</v>
      </c>
      <c r="AH2849">
        <v>3.0563506600543899</v>
      </c>
      <c r="AI2849">
        <v>90.392216551927106</v>
      </c>
      <c r="AJ2849">
        <v>92.824353022600505</v>
      </c>
      <c r="AK2849">
        <v>3.0601394728559899</v>
      </c>
      <c r="AL2849">
        <v>79.496954346562404</v>
      </c>
      <c r="AM2849">
        <v>87.488096211241</v>
      </c>
      <c r="AN2849">
        <v>1.0000000449756199</v>
      </c>
    </row>
    <row r="2850" spans="1:40" x14ac:dyDescent="0.25">
      <c r="A2850" t="str">
        <f>"20190303170312112"</f>
        <v>20190303170312112</v>
      </c>
      <c r="B2850" t="str">
        <f>"1551603792107854"</f>
        <v>1551603792107854</v>
      </c>
      <c r="C2850" t="s">
        <v>40</v>
      </c>
      <c r="D2850">
        <v>4.0101789999999999</v>
      </c>
      <c r="E2850">
        <v>0.46519850000000001</v>
      </c>
      <c r="F2850" t="s">
        <v>48</v>
      </c>
      <c r="G2850">
        <v>0</v>
      </c>
      <c r="H2850">
        <v>0</v>
      </c>
      <c r="I2850">
        <v>0</v>
      </c>
      <c r="J2850">
        <v>-430.89170000000001</v>
      </c>
      <c r="K2850">
        <v>1.1216379999999999</v>
      </c>
      <c r="L2850">
        <v>284.72210000000001</v>
      </c>
      <c r="M2850">
        <v>-0.99978540000000005</v>
      </c>
      <c r="N2850">
        <v>-1.430264E-2</v>
      </c>
      <c r="O2850">
        <v>1.4990440000000001E-2</v>
      </c>
      <c r="P2850">
        <v>-0.98415900000000001</v>
      </c>
      <c r="Q2850">
        <v>0.16768459999999999</v>
      </c>
      <c r="R2850">
        <v>5.7556410000000002E-2</v>
      </c>
      <c r="S2850">
        <v>-3.0590519999999999</v>
      </c>
      <c r="T2850">
        <v>-2.071404E-2</v>
      </c>
      <c r="U2850">
        <v>-0.1170654</v>
      </c>
      <c r="V2850">
        <v>4.280258E-2</v>
      </c>
      <c r="W2850">
        <v>0.18175279999999999</v>
      </c>
      <c r="X2850">
        <v>0.98241230000000002</v>
      </c>
      <c r="Y2850">
        <v>-5.3213030000000001E-2</v>
      </c>
      <c r="Z2850">
        <v>-4.4795460000000002E-4</v>
      </c>
      <c r="AA2850">
        <v>0.99858309999999995</v>
      </c>
      <c r="AB2850">
        <v>31</v>
      </c>
      <c r="AC2850">
        <v>-3.0590519999999999</v>
      </c>
      <c r="AD2850">
        <v>-2.071404E-2</v>
      </c>
      <c r="AE2850">
        <v>-0.1170654</v>
      </c>
      <c r="AF2850">
        <v>-0.162906008544901</v>
      </c>
      <c r="AG2850">
        <v>-2.071404E-2</v>
      </c>
      <c r="AH2850">
        <v>3.0568132090440199</v>
      </c>
      <c r="AI2850">
        <v>90.387700234280999</v>
      </c>
      <c r="AJ2850">
        <v>93.050564344770393</v>
      </c>
      <c r="AK2850">
        <v>3.0612210691257098</v>
      </c>
      <c r="AL2850">
        <v>79.528128242149904</v>
      </c>
      <c r="AM2850">
        <v>87.505266175397594</v>
      </c>
      <c r="AN2850">
        <v>1.00000003417689</v>
      </c>
    </row>
    <row r="2851" spans="1:40" x14ac:dyDescent="0.25">
      <c r="A2851" t="str">
        <f>"20190303170312124"</f>
        <v>20190303170312124</v>
      </c>
      <c r="B2851" t="str">
        <f>"1551603792118590"</f>
        <v>1551603792118590</v>
      </c>
      <c r="C2851" t="s">
        <v>40</v>
      </c>
      <c r="D2851">
        <v>3.9800550000000001</v>
      </c>
      <c r="E2851">
        <v>0.4644218</v>
      </c>
      <c r="F2851" t="s">
        <v>48</v>
      </c>
      <c r="G2851">
        <v>0</v>
      </c>
      <c r="H2851">
        <v>0</v>
      </c>
      <c r="I2851">
        <v>0</v>
      </c>
      <c r="J2851">
        <v>-431.0566</v>
      </c>
      <c r="K2851">
        <v>1.1216360000000001</v>
      </c>
      <c r="L2851">
        <v>284.72449999999998</v>
      </c>
      <c r="M2851">
        <v>-0.99978540000000005</v>
      </c>
      <c r="N2851">
        <v>-1.4300820000000001E-2</v>
      </c>
      <c r="O2851">
        <v>1.499027E-2</v>
      </c>
      <c r="P2851">
        <v>-0.98419299999999998</v>
      </c>
      <c r="Q2851">
        <v>0.16747879999999901</v>
      </c>
      <c r="R2851">
        <v>5.7576910000000002E-2</v>
      </c>
      <c r="S2851">
        <v>-3.060181</v>
      </c>
      <c r="T2851">
        <v>-2.353299E-2</v>
      </c>
      <c r="U2851">
        <v>-0.1343384</v>
      </c>
      <c r="V2851">
        <v>4.2822800000000001E-2</v>
      </c>
      <c r="W2851">
        <v>0.18154600000000001</v>
      </c>
      <c r="X2851">
        <v>0.98244960000000003</v>
      </c>
      <c r="Y2851">
        <v>-5.8823760000000003E-2</v>
      </c>
      <c r="Z2851">
        <v>-5.4787580000000002E-4</v>
      </c>
      <c r="AA2851">
        <v>0.99826820000000005</v>
      </c>
      <c r="AB2851">
        <v>31</v>
      </c>
      <c r="AC2851">
        <v>-3.060181</v>
      </c>
      <c r="AD2851">
        <v>-2.353299E-2</v>
      </c>
      <c r="AE2851">
        <v>-0.1343384</v>
      </c>
      <c r="AF2851">
        <v>-0.18019029658220201</v>
      </c>
      <c r="AG2851">
        <v>-2.353299E-2</v>
      </c>
      <c r="AH2851">
        <v>3.0576426394054699</v>
      </c>
      <c r="AI2851">
        <v>90.440201635939701</v>
      </c>
      <c r="AJ2851">
        <v>93.372603691639696</v>
      </c>
      <c r="AK2851">
        <v>3.06303784745</v>
      </c>
      <c r="AL2851">
        <v>79.540176888487295</v>
      </c>
      <c r="AM2851">
        <v>87.504183790315807</v>
      </c>
      <c r="AN2851">
        <v>0.99999997942799901</v>
      </c>
    </row>
    <row r="2852" spans="1:40" x14ac:dyDescent="0.25">
      <c r="A2852" t="str">
        <f>"20190303170312137"</f>
        <v>20190303170312137</v>
      </c>
      <c r="B2852" t="str">
        <f>"1551603792128350"</f>
        <v>1551603792128350</v>
      </c>
      <c r="C2852" t="s">
        <v>40</v>
      </c>
      <c r="D2852">
        <v>3.9851190000000001</v>
      </c>
      <c r="E2852">
        <v>0.46365610000000002</v>
      </c>
      <c r="F2852" t="s">
        <v>66</v>
      </c>
      <c r="G2852">
        <v>-551.06190000000004</v>
      </c>
      <c r="H2852">
        <v>0.18038960000000001</v>
      </c>
      <c r="I2852">
        <v>279.21530000000001</v>
      </c>
      <c r="J2852">
        <v>-431.23039999999997</v>
      </c>
      <c r="K2852">
        <v>1.121632</v>
      </c>
      <c r="L2852">
        <v>284.72710000000001</v>
      </c>
      <c r="M2852">
        <v>-0.99978549999999999</v>
      </c>
      <c r="N2852">
        <v>-1.429889E-2</v>
      </c>
      <c r="O2852">
        <v>1.4990109999999999E-2</v>
      </c>
      <c r="P2852">
        <v>-0.98427410000000004</v>
      </c>
      <c r="Q2852">
        <v>0.16697999999999999</v>
      </c>
      <c r="R2852">
        <v>5.7639639999999999E-2</v>
      </c>
      <c r="S2852">
        <v>-3.0605159999999998</v>
      </c>
      <c r="T2852">
        <v>-2.400267E-2</v>
      </c>
      <c r="U2852">
        <v>-0.14050289999999999</v>
      </c>
      <c r="V2852">
        <v>4.2884419999999999E-2</v>
      </c>
      <c r="W2852">
        <v>0.18104609999999999</v>
      </c>
      <c r="X2852">
        <v>0.98253919999999995</v>
      </c>
      <c r="Y2852">
        <v>-6.082506E-2</v>
      </c>
      <c r="Z2852">
        <v>-5.7679779999999896E-4</v>
      </c>
      <c r="AA2852">
        <v>0.99814829999999999</v>
      </c>
      <c r="AB2852">
        <v>30</v>
      </c>
      <c r="AC2852">
        <v>-119.83150000000001</v>
      </c>
      <c r="AD2852">
        <v>-0.94124240000000003</v>
      </c>
      <c r="AE2852">
        <v>-5.5117999999999903</v>
      </c>
      <c r="AF2852">
        <v>-7.3072015421031997</v>
      </c>
      <c r="AG2852">
        <v>-0.94124240000000003</v>
      </c>
      <c r="AH2852">
        <v>119.72803107969401</v>
      </c>
      <c r="AI2852">
        <v>90.449585213767605</v>
      </c>
      <c r="AJ2852">
        <v>93.492524945164902</v>
      </c>
      <c r="AK2852">
        <v>119.954502032448</v>
      </c>
      <c r="AL2852">
        <v>79.569302134912206</v>
      </c>
      <c r="AM2852">
        <v>87.500824616294096</v>
      </c>
      <c r="AN2852">
        <v>1.00000002167029</v>
      </c>
    </row>
    <row r="2853" spans="1:40" x14ac:dyDescent="0.25">
      <c r="A2853" t="str">
        <f>"20190303170312152"</f>
        <v>20190303170312152</v>
      </c>
      <c r="B2853" t="str">
        <f>"1551603792147869"</f>
        <v>1551603792147869</v>
      </c>
      <c r="C2853" t="s">
        <v>40</v>
      </c>
      <c r="D2853">
        <v>3.992089</v>
      </c>
      <c r="E2853">
        <v>0.46257549999999997</v>
      </c>
      <c r="F2853" t="s">
        <v>66</v>
      </c>
      <c r="G2853">
        <v>-551.06190000000004</v>
      </c>
      <c r="H2853">
        <v>0.1882035</v>
      </c>
      <c r="I2853">
        <v>279.00259999999997</v>
      </c>
      <c r="J2853">
        <v>-431.43849999999998</v>
      </c>
      <c r="K2853">
        <v>1.121634</v>
      </c>
      <c r="L2853">
        <v>284.7303</v>
      </c>
      <c r="M2853">
        <v>-0.99978549999999999</v>
      </c>
      <c r="N2853">
        <v>-1.429659E-2</v>
      </c>
      <c r="O2853">
        <v>1.4990119999999999E-2</v>
      </c>
      <c r="P2853">
        <v>-0.98427100000000001</v>
      </c>
      <c r="Q2853">
        <v>0.16698279999999999</v>
      </c>
      <c r="R2853">
        <v>5.7684630000000001E-2</v>
      </c>
      <c r="S2853">
        <v>-3.0606080000000002</v>
      </c>
      <c r="T2853">
        <v>-2.3838519999999998E-2</v>
      </c>
      <c r="U2853">
        <v>-0.1462097</v>
      </c>
      <c r="V2853">
        <v>4.2929439999999999E-2</v>
      </c>
      <c r="W2853">
        <v>0.1810466</v>
      </c>
      <c r="X2853">
        <v>0.9825372</v>
      </c>
      <c r="Y2853">
        <v>-6.2680559999999996E-2</v>
      </c>
      <c r="Z2853">
        <v>-5.9482580000000005E-4</v>
      </c>
      <c r="AA2853">
        <v>0.99803350000000002</v>
      </c>
      <c r="AB2853">
        <v>30</v>
      </c>
      <c r="AC2853">
        <v>-119.6234</v>
      </c>
      <c r="AD2853">
        <v>-0.93343050000000005</v>
      </c>
      <c r="AE2853">
        <v>-5.72770000000002</v>
      </c>
      <c r="AF2853">
        <v>-7.5199517637237596</v>
      </c>
      <c r="AG2853">
        <v>-0.93343050000000005</v>
      </c>
      <c r="AH2853">
        <v>119.516828413832</v>
      </c>
      <c r="AI2853">
        <v>90.446589803255705</v>
      </c>
      <c r="AJ2853">
        <v>93.600281858148804</v>
      </c>
      <c r="AK2853">
        <v>119.75680874642801</v>
      </c>
      <c r="AL2853">
        <v>79.569273608088807</v>
      </c>
      <c r="AM2853">
        <v>87.498199231446705</v>
      </c>
      <c r="AN2853">
        <v>1.00000007878705</v>
      </c>
    </row>
    <row r="2854" spans="1:40" x14ac:dyDescent="0.25">
      <c r="A2854" t="str">
        <f>"20190303170312165"</f>
        <v>20190303170312165</v>
      </c>
      <c r="B2854" t="str">
        <f>"1551603792158605"</f>
        <v>1551603792158605</v>
      </c>
      <c r="C2854" t="s">
        <v>40</v>
      </c>
      <c r="D2854">
        <v>3.9754710000000002</v>
      </c>
      <c r="E2854">
        <v>0.46211669999999999</v>
      </c>
      <c r="F2854" t="s">
        <v>66</v>
      </c>
      <c r="G2854">
        <v>-551.06200000000001</v>
      </c>
      <c r="H2854">
        <v>0.2130455</v>
      </c>
      <c r="I2854">
        <v>278.68959999999998</v>
      </c>
      <c r="J2854">
        <v>-431.60989999999998</v>
      </c>
      <c r="K2854">
        <v>1.121634</v>
      </c>
      <c r="L2854">
        <v>284.7328</v>
      </c>
      <c r="M2854">
        <v>-0.99978549999999999</v>
      </c>
      <c r="N2854">
        <v>-1.429471E-2</v>
      </c>
      <c r="O2854">
        <v>1.499002E-2</v>
      </c>
      <c r="P2854">
        <v>-0.98419219999999996</v>
      </c>
      <c r="Q2854">
        <v>0.16743939999999999</v>
      </c>
      <c r="R2854">
        <v>5.7704310000000002E-2</v>
      </c>
      <c r="S2854">
        <v>-3.0609739999999999</v>
      </c>
      <c r="T2854">
        <v>-2.3247239999999999E-2</v>
      </c>
      <c r="U2854">
        <v>-0.1545715</v>
      </c>
      <c r="V2854">
        <v>4.29504E-2</v>
      </c>
      <c r="W2854">
        <v>0.1815001</v>
      </c>
      <c r="X2854">
        <v>0.98245249999999995</v>
      </c>
      <c r="Y2854">
        <v>-6.5394270000000004E-2</v>
      </c>
      <c r="Z2854">
        <v>-6.1553839999999905E-4</v>
      </c>
      <c r="AA2854">
        <v>0.9978593</v>
      </c>
      <c r="AB2854">
        <v>30</v>
      </c>
      <c r="AC2854">
        <v>-119.4521</v>
      </c>
      <c r="AD2854">
        <v>-0.90858850000000002</v>
      </c>
      <c r="AE2854">
        <v>-6.0432000000000103</v>
      </c>
      <c r="AF2854">
        <v>-7.83284111208296</v>
      </c>
      <c r="AG2854">
        <v>-0.90858850000000002</v>
      </c>
      <c r="AH2854">
        <v>119.34119212387201</v>
      </c>
      <c r="AI2854">
        <v>90.435268980812296</v>
      </c>
      <c r="AJ2854">
        <v>93.755165803970598</v>
      </c>
      <c r="AK2854">
        <v>119.601417510397</v>
      </c>
      <c r="AL2854">
        <v>79.5428510831712</v>
      </c>
      <c r="AM2854">
        <v>87.496763779800702</v>
      </c>
      <c r="AN2854">
        <v>0.99999996895820897</v>
      </c>
    </row>
    <row r="2855" spans="1:40" x14ac:dyDescent="0.25">
      <c r="A2855" t="str">
        <f>"20190303170312179"</f>
        <v>20190303170312179</v>
      </c>
      <c r="B2855" t="str">
        <f>"1551603792168366"</f>
        <v>1551603792168366</v>
      </c>
      <c r="C2855" t="s">
        <v>40</v>
      </c>
      <c r="D2855">
        <v>3.9597319999999998</v>
      </c>
      <c r="E2855">
        <v>0.4618081</v>
      </c>
      <c r="F2855" t="s">
        <v>66</v>
      </c>
      <c r="G2855">
        <v>-551.06200000000001</v>
      </c>
      <c r="H2855">
        <v>0.2949001</v>
      </c>
      <c r="I2855">
        <v>278.55799999999999</v>
      </c>
      <c r="J2855">
        <v>-431.78899999999999</v>
      </c>
      <c r="K2855">
        <v>1.1216379999999999</v>
      </c>
      <c r="L2855">
        <v>284.7355</v>
      </c>
      <c r="M2855">
        <v>-0.99978549999999999</v>
      </c>
      <c r="N2855">
        <v>-1.429275E-2</v>
      </c>
      <c r="O2855">
        <v>1.4990150000000001E-2</v>
      </c>
      <c r="P2855">
        <v>-0.98416749999999997</v>
      </c>
      <c r="Q2855">
        <v>0.167578799999999</v>
      </c>
      <c r="R2855">
        <v>5.7723259999999998E-2</v>
      </c>
      <c r="S2855">
        <v>-3.061035</v>
      </c>
      <c r="T2855">
        <v>-2.1183489999999999E-2</v>
      </c>
      <c r="U2855">
        <v>-0.1582336</v>
      </c>
      <c r="V2855">
        <v>4.2969569999999999E-2</v>
      </c>
      <c r="W2855">
        <v>0.18163750000000001</v>
      </c>
      <c r="X2855">
        <v>0.98242629999999997</v>
      </c>
      <c r="Y2855">
        <v>-6.6584530000000003E-2</v>
      </c>
      <c r="Z2855">
        <v>-5.9600319999999997E-4</v>
      </c>
      <c r="AA2855">
        <v>0.99778060000000002</v>
      </c>
      <c r="AB2855">
        <v>30</v>
      </c>
      <c r="AC2855">
        <v>-119.273</v>
      </c>
      <c r="AD2855">
        <v>-0.82673789999999903</v>
      </c>
      <c r="AE2855">
        <v>-6.1775000000000002</v>
      </c>
      <c r="AF2855">
        <v>-7.9645269078197396</v>
      </c>
      <c r="AG2855">
        <v>-0.82673789999999903</v>
      </c>
      <c r="AH2855">
        <v>119.16127497438301</v>
      </c>
      <c r="AI2855">
        <v>90.396625369387806</v>
      </c>
      <c r="AJ2855">
        <v>93.823860223018201</v>
      </c>
      <c r="AK2855">
        <v>119.43000727598201</v>
      </c>
      <c r="AL2855">
        <v>79.534845907261399</v>
      </c>
      <c r="AM2855">
        <v>87.495581232874997</v>
      </c>
      <c r="AN2855">
        <v>1.00000000014196</v>
      </c>
    </row>
    <row r="2856" spans="1:40" x14ac:dyDescent="0.25">
      <c r="A2856" t="str">
        <f>"20190303170312193"</f>
        <v>20190303170312193</v>
      </c>
      <c r="B2856" t="str">
        <f>"1551603792187885"</f>
        <v>1551603792187885</v>
      </c>
      <c r="C2856" t="s">
        <v>40</v>
      </c>
      <c r="D2856">
        <v>3.9846919999999999</v>
      </c>
      <c r="E2856">
        <v>0.46119690000000002</v>
      </c>
      <c r="F2856" t="s">
        <v>66</v>
      </c>
      <c r="G2856">
        <v>-551.06200000000001</v>
      </c>
      <c r="H2856">
        <v>0.32268709999999901</v>
      </c>
      <c r="I2856">
        <v>278.48219999999998</v>
      </c>
      <c r="J2856">
        <v>-431.9984</v>
      </c>
      <c r="K2856">
        <v>1.1216390000000001</v>
      </c>
      <c r="L2856">
        <v>284.73860000000002</v>
      </c>
      <c r="M2856">
        <v>-0.9997857</v>
      </c>
      <c r="N2856">
        <v>-1.429046E-2</v>
      </c>
      <c r="O2856">
        <v>1.499005E-2</v>
      </c>
      <c r="P2856">
        <v>-0.98413680000000003</v>
      </c>
      <c r="Q2856">
        <v>0.16781679999999999</v>
      </c>
      <c r="R2856">
        <v>5.7554710000000002E-2</v>
      </c>
      <c r="S2856">
        <v>-3.061188</v>
      </c>
      <c r="T2856">
        <v>-2.0503279999999999E-2</v>
      </c>
      <c r="U2856">
        <v>-0.16049189999999999</v>
      </c>
      <c r="V2856">
        <v>4.2801619999999999E-2</v>
      </c>
      <c r="W2856">
        <v>0.1818728</v>
      </c>
      <c r="X2856">
        <v>0.98239010000000004</v>
      </c>
      <c r="Y2856">
        <v>-6.7316059999999997E-2</v>
      </c>
      <c r="Z2856">
        <v>-5.9290989999999995E-4</v>
      </c>
      <c r="AA2856">
        <v>0.99773149999999999</v>
      </c>
      <c r="AB2856">
        <v>30</v>
      </c>
      <c r="AC2856">
        <v>-119.06359999999999</v>
      </c>
      <c r="AD2856">
        <v>-0.79895190000000005</v>
      </c>
      <c r="AE2856">
        <v>-6.2564000000000402</v>
      </c>
      <c r="AF2856">
        <v>-8.0402871238031093</v>
      </c>
      <c r="AG2856">
        <v>-0.79895190000000005</v>
      </c>
      <c r="AH2856">
        <v>118.951084932398</v>
      </c>
      <c r="AI2856">
        <v>90.383953389205004</v>
      </c>
      <c r="AJ2856">
        <v>93.866924393663794</v>
      </c>
      <c r="AK2856">
        <v>119.225186717263</v>
      </c>
      <c r="AL2856">
        <v>79.521135865603597</v>
      </c>
      <c r="AM2856">
        <v>87.505265754603798</v>
      </c>
      <c r="AN2856">
        <v>1.00000000131623</v>
      </c>
    </row>
    <row r="2857" spans="1:40" x14ac:dyDescent="0.25">
      <c r="A2857" t="str">
        <f>"20190303170312207"</f>
        <v>20190303170312207</v>
      </c>
      <c r="B2857" t="str">
        <f>"1551603792198621"</f>
        <v>1551603792198621</v>
      </c>
      <c r="C2857" t="s">
        <v>40</v>
      </c>
      <c r="D2857">
        <v>3.9714209999999999</v>
      </c>
      <c r="E2857">
        <v>0.46097969999999999</v>
      </c>
      <c r="F2857" t="s">
        <v>66</v>
      </c>
      <c r="G2857">
        <v>-551.06200000000001</v>
      </c>
      <c r="H2857">
        <v>0.35926629999999998</v>
      </c>
      <c r="I2857">
        <v>278.2962</v>
      </c>
      <c r="J2857">
        <v>-432.17520000000002</v>
      </c>
      <c r="K2857">
        <v>1.1216410000000001</v>
      </c>
      <c r="L2857">
        <v>284.74130000000002</v>
      </c>
      <c r="M2857">
        <v>-0.99978560000000005</v>
      </c>
      <c r="N2857">
        <v>-1.4288540000000001E-2</v>
      </c>
      <c r="O2857">
        <v>1.4990059999999999E-2</v>
      </c>
      <c r="P2857">
        <v>-0.9841413</v>
      </c>
      <c r="Q2857">
        <v>0.1679109</v>
      </c>
      <c r="R2857">
        <v>5.7199189999999997E-2</v>
      </c>
      <c r="S2857">
        <v>-3.061401</v>
      </c>
      <c r="T2857">
        <v>-1.9600269999999999E-2</v>
      </c>
      <c r="U2857">
        <v>-0.1656494</v>
      </c>
      <c r="V2857">
        <v>4.2446070000000002E-2</v>
      </c>
      <c r="W2857">
        <v>0.18196470000000001</v>
      </c>
      <c r="X2857">
        <v>0.9823885</v>
      </c>
      <c r="Y2857">
        <v>-6.8988579999999994E-2</v>
      </c>
      <c r="Z2857">
        <v>-5.9583740000000002E-4</v>
      </c>
      <c r="AA2857">
        <v>0.99761719999999998</v>
      </c>
      <c r="AB2857">
        <v>30</v>
      </c>
      <c r="AC2857">
        <v>-118.88679999999999</v>
      </c>
      <c r="AD2857">
        <v>-0.76237469999999896</v>
      </c>
      <c r="AE2857">
        <v>-6.4451000000000196</v>
      </c>
      <c r="AF2857">
        <v>-8.2263405254163899</v>
      </c>
      <c r="AG2857">
        <v>-0.76237469999999896</v>
      </c>
      <c r="AH2857">
        <v>118.77194740733501</v>
      </c>
      <c r="AI2857">
        <v>90.366886804273094</v>
      </c>
      <c r="AJ2857">
        <v>93.962072472247797</v>
      </c>
      <c r="AK2857">
        <v>119.05893240137</v>
      </c>
      <c r="AL2857">
        <v>79.515780941323897</v>
      </c>
      <c r="AM2857">
        <v>87.5259594516574</v>
      </c>
      <c r="AN2857">
        <v>0.99999999291839203</v>
      </c>
    </row>
    <row r="2858" spans="1:40" x14ac:dyDescent="0.25">
      <c r="A2858" t="str">
        <f>"20190303170312227"</f>
        <v>20190303170312227</v>
      </c>
      <c r="B2858" t="str">
        <f>"1551603792218141"</f>
        <v>1551603792218141</v>
      </c>
      <c r="C2858" t="s">
        <v>40</v>
      </c>
      <c r="D2858">
        <v>3.9937770000000001</v>
      </c>
      <c r="E2858">
        <v>0.4605148</v>
      </c>
      <c r="F2858" t="s">
        <v>66</v>
      </c>
      <c r="G2858">
        <v>-551.06200000000001</v>
      </c>
      <c r="H2858">
        <v>0.41027710000000001</v>
      </c>
      <c r="I2858">
        <v>278.16129999999998</v>
      </c>
      <c r="J2858">
        <v>-432.44940000000003</v>
      </c>
      <c r="K2858">
        <v>1.12164</v>
      </c>
      <c r="L2858">
        <v>284.74540000000002</v>
      </c>
      <c r="M2858">
        <v>-0.99978560000000005</v>
      </c>
      <c r="N2858">
        <v>-1.4285559999999999E-2</v>
      </c>
      <c r="O2858">
        <v>1.49899E-2</v>
      </c>
      <c r="P2858">
        <v>-0.98429949999999999</v>
      </c>
      <c r="Q2858">
        <v>0.16683220000000001</v>
      </c>
      <c r="R2858">
        <v>5.7634289999999998E-2</v>
      </c>
      <c r="S2858">
        <v>-3.06134</v>
      </c>
      <c r="T2858">
        <v>-1.831555E-2</v>
      </c>
      <c r="U2858">
        <v>-0.16943359999999999</v>
      </c>
      <c r="V2858">
        <v>4.2878939999999997E-2</v>
      </c>
      <c r="W2858">
        <v>0.1808853</v>
      </c>
      <c r="X2858">
        <v>0.98256900000000003</v>
      </c>
      <c r="Y2858">
        <v>-7.0219199999999996E-2</v>
      </c>
      <c r="Z2858">
        <v>-5.8752459999999996E-4</v>
      </c>
      <c r="AA2858">
        <v>0.99753139999999996</v>
      </c>
      <c r="AB2858">
        <v>30</v>
      </c>
      <c r="AC2858">
        <v>-118.6126</v>
      </c>
      <c r="AD2858">
        <v>-0.71136290000000002</v>
      </c>
      <c r="AE2858">
        <v>-6.5841000000000296</v>
      </c>
      <c r="AF2858">
        <v>-8.3612327234533605</v>
      </c>
      <c r="AG2858">
        <v>-0.71136290000000002</v>
      </c>
      <c r="AH2858">
        <v>118.496316478601</v>
      </c>
      <c r="AI2858">
        <v>90.343103648832297</v>
      </c>
      <c r="AJ2858">
        <v>94.036164688814196</v>
      </c>
      <c r="AK2858">
        <v>118.793069111073</v>
      </c>
      <c r="AL2858">
        <v>79.578669393706804</v>
      </c>
      <c r="AM2858">
        <v>87.501219260317697</v>
      </c>
      <c r="AN2858">
        <v>0.99999996750630604</v>
      </c>
    </row>
    <row r="2859" spans="1:40" x14ac:dyDescent="0.25">
      <c r="A2859" t="str">
        <f>"20190303170312249"</f>
        <v>20190303170312249</v>
      </c>
      <c r="B2859" t="str">
        <f>"1551603792238637"</f>
        <v>1551603792238637</v>
      </c>
      <c r="C2859" t="s">
        <v>40</v>
      </c>
      <c r="D2859">
        <v>3.9891320000000001</v>
      </c>
      <c r="E2859">
        <v>0.45998299999999998</v>
      </c>
      <c r="F2859" t="s">
        <v>66</v>
      </c>
      <c r="G2859">
        <v>-551.06200000000001</v>
      </c>
      <c r="H2859">
        <v>0.30135089999999998</v>
      </c>
      <c r="I2859">
        <v>278.09589999999997</v>
      </c>
      <c r="J2859">
        <v>-432.74329999999998</v>
      </c>
      <c r="K2859">
        <v>1.1216459999999999</v>
      </c>
      <c r="L2859">
        <v>284.74979999999999</v>
      </c>
      <c r="M2859">
        <v>-0.9997857</v>
      </c>
      <c r="N2859">
        <v>-1.4282359999999999E-2</v>
      </c>
      <c r="O2859">
        <v>1.498975E-2</v>
      </c>
      <c r="P2859">
        <v>-0.98434639999999995</v>
      </c>
      <c r="Q2859">
        <v>0.166496799999999</v>
      </c>
      <c r="R2859">
        <v>5.7802890000000003E-2</v>
      </c>
      <c r="S2859">
        <v>-3.061493</v>
      </c>
      <c r="T2859">
        <v>-2.117026E-2</v>
      </c>
      <c r="U2859">
        <v>-0.1716309</v>
      </c>
      <c r="V2859">
        <v>4.3046899999999999E-2</v>
      </c>
      <c r="W2859">
        <v>0.18054809999999999</v>
      </c>
      <c r="X2859">
        <v>0.98262369999999999</v>
      </c>
      <c r="Y2859">
        <v>-7.0929160000000005E-2</v>
      </c>
      <c r="Z2859">
        <v>-6.4166379999999995E-4</v>
      </c>
      <c r="AA2859">
        <v>0.99748119999999996</v>
      </c>
      <c r="AB2859">
        <v>30</v>
      </c>
      <c r="AC2859">
        <v>-118.31870000000001</v>
      </c>
      <c r="AD2859">
        <v>-0.82029509999999894</v>
      </c>
      <c r="AE2859">
        <v>-6.6539000000000197</v>
      </c>
      <c r="AF2859">
        <v>-8.4264970596392796</v>
      </c>
      <c r="AG2859">
        <v>-0.82029509999999894</v>
      </c>
      <c r="AH2859">
        <v>118.199989978075</v>
      </c>
      <c r="AI2859">
        <v>90.396613564529801</v>
      </c>
      <c r="AJ2859">
        <v>94.077726983290205</v>
      </c>
      <c r="AK2859">
        <v>118.50281164413001</v>
      </c>
      <c r="AL2859">
        <v>79.598313236509398</v>
      </c>
      <c r="AM2859">
        <v>87.491583295541105</v>
      </c>
      <c r="AN2859">
        <v>0.99999999390745498</v>
      </c>
    </row>
    <row r="2860" spans="1:40" x14ac:dyDescent="0.25">
      <c r="A2860" t="str">
        <f>"20190303170312271"</f>
        <v>20190303170312271</v>
      </c>
      <c r="B2860" t="str">
        <f>"1551603792258158"</f>
        <v>1551603792258158</v>
      </c>
      <c r="C2860" t="s">
        <v>40</v>
      </c>
      <c r="D2860">
        <v>4.0077259999999999</v>
      </c>
      <c r="E2860">
        <v>0.45967799999999998</v>
      </c>
      <c r="F2860" t="s">
        <v>66</v>
      </c>
      <c r="G2860">
        <v>-549.98500000000001</v>
      </c>
      <c r="H2860">
        <v>0.30871769999999998</v>
      </c>
      <c r="I2860">
        <v>278.05</v>
      </c>
      <c r="J2860">
        <v>-433.04939999999999</v>
      </c>
      <c r="K2860">
        <v>1.1216469999999901</v>
      </c>
      <c r="L2860">
        <v>284.75450000000001</v>
      </c>
      <c r="M2860">
        <v>-0.9997857</v>
      </c>
      <c r="N2860">
        <v>-1.427901E-2</v>
      </c>
      <c r="O2860">
        <v>1.4989769999999999E-2</v>
      </c>
      <c r="P2860">
        <v>-0.98427900000000002</v>
      </c>
      <c r="Q2860">
        <v>0.1666482</v>
      </c>
      <c r="R2860">
        <v>5.8510260000000001E-2</v>
      </c>
      <c r="S2860">
        <v>-3.0616150000000002</v>
      </c>
      <c r="T2860">
        <v>-2.1226410000000001E-2</v>
      </c>
      <c r="U2860">
        <v>-0.17495729999999901</v>
      </c>
      <c r="V2860">
        <v>4.3755330000000002E-2</v>
      </c>
      <c r="W2860">
        <v>0.18069540000000001</v>
      </c>
      <c r="X2860">
        <v>0.98256529999999997</v>
      </c>
      <c r="Y2860">
        <v>-7.2007139999999997E-2</v>
      </c>
      <c r="Z2860">
        <v>-6.5395429999999999E-4</v>
      </c>
      <c r="AA2860">
        <v>0.99740390000000001</v>
      </c>
      <c r="AB2860">
        <v>30</v>
      </c>
      <c r="AC2860">
        <v>-116.93559999999999</v>
      </c>
      <c r="AD2860">
        <v>-0.81292929999999897</v>
      </c>
      <c r="AE2860">
        <v>-6.7044999999999897</v>
      </c>
      <c r="AF2860">
        <v>-8.4563556678133605</v>
      </c>
      <c r="AG2860">
        <v>-0.81292929999999897</v>
      </c>
      <c r="AH2860">
        <v>116.816322934048</v>
      </c>
      <c r="AI2860">
        <v>90.397676519840502</v>
      </c>
      <c r="AJ2860">
        <v>94.140429953943794</v>
      </c>
      <c r="AK2860">
        <v>117.124822770663</v>
      </c>
      <c r="AL2860">
        <v>79.589732107268901</v>
      </c>
      <c r="AM2860">
        <v>87.450204558853002</v>
      </c>
      <c r="AN2860">
        <v>0.999999962624328</v>
      </c>
    </row>
    <row r="2861" spans="1:40" x14ac:dyDescent="0.25">
      <c r="A2861" t="str">
        <f>"20190303170312294"</f>
        <v>20190303170312294</v>
      </c>
      <c r="B2861" t="str">
        <f>"1551603792288414"</f>
        <v>1551603792288414</v>
      </c>
      <c r="C2861" t="s">
        <v>40</v>
      </c>
      <c r="D2861">
        <v>4.0225949999999999</v>
      </c>
      <c r="E2861">
        <v>0.45920260000000002</v>
      </c>
      <c r="F2861" t="s">
        <v>66</v>
      </c>
      <c r="G2861">
        <v>-550.01059999999995</v>
      </c>
      <c r="H2861">
        <v>0.35227629999999999</v>
      </c>
      <c r="I2861">
        <v>278.05</v>
      </c>
      <c r="J2861">
        <v>-433.3519</v>
      </c>
      <c r="K2861">
        <v>1.12165</v>
      </c>
      <c r="L2861">
        <v>284.75900000000001</v>
      </c>
      <c r="M2861">
        <v>-0.99978579999999995</v>
      </c>
      <c r="N2861">
        <v>-1.427571E-2</v>
      </c>
      <c r="O2861">
        <v>1.498944E-2</v>
      </c>
      <c r="P2861">
        <v>-0.98419699999999999</v>
      </c>
      <c r="Q2861">
        <v>0.1666426</v>
      </c>
      <c r="R2861">
        <v>5.9889129999999999E-2</v>
      </c>
      <c r="S2861">
        <v>-3.0617679999999998</v>
      </c>
      <c r="T2861">
        <v>-2.0138139999999999E-2</v>
      </c>
      <c r="U2861">
        <v>-0.17550660000000001</v>
      </c>
      <c r="V2861">
        <v>4.513557E-2</v>
      </c>
      <c r="W2861">
        <v>0.18068500000000001</v>
      </c>
      <c r="X2861">
        <v>0.98250479999999996</v>
      </c>
      <c r="Y2861">
        <v>-7.2182629999999998E-2</v>
      </c>
      <c r="Z2861">
        <v>-6.3759139999999999E-4</v>
      </c>
      <c r="AA2861">
        <v>0.99739120000000003</v>
      </c>
      <c r="AB2861">
        <v>30</v>
      </c>
      <c r="AC2861">
        <v>-116.658699999999</v>
      </c>
      <c r="AD2861">
        <v>-0.76937369999999905</v>
      </c>
      <c r="AE2861">
        <v>-6.7089999999999996</v>
      </c>
      <c r="AF2861">
        <v>-8.4567061767800702</v>
      </c>
      <c r="AG2861">
        <v>-0.76937369999999905</v>
      </c>
      <c r="AH2861">
        <v>116.53996435785</v>
      </c>
      <c r="AI2861">
        <v>90.3772579394319</v>
      </c>
      <c r="AJ2861">
        <v>94.150385571370194</v>
      </c>
      <c r="AK2861">
        <v>116.848924290211</v>
      </c>
      <c r="AL2861">
        <v>79.590338196026195</v>
      </c>
      <c r="AM2861">
        <v>87.369722028811395</v>
      </c>
      <c r="AN2861">
        <v>0.999999985463632</v>
      </c>
    </row>
    <row r="2862" spans="1:40" x14ac:dyDescent="0.25">
      <c r="A2862" t="str">
        <f>"20190303170312316"</f>
        <v>20190303170312316</v>
      </c>
      <c r="B2862" t="str">
        <f>"1551603792307933"</f>
        <v>1551603792307933</v>
      </c>
      <c r="C2862" t="s">
        <v>40</v>
      </c>
      <c r="D2862">
        <v>3.9741629999999999</v>
      </c>
      <c r="E2862">
        <v>0.45885140000000002</v>
      </c>
      <c r="F2862" t="s">
        <v>66</v>
      </c>
      <c r="G2862">
        <v>-550.5684</v>
      </c>
      <c r="H2862">
        <v>0.38685360000000002</v>
      </c>
      <c r="I2862">
        <v>278.05</v>
      </c>
      <c r="J2862">
        <v>-433.64659999999998</v>
      </c>
      <c r="K2862">
        <v>1.121651</v>
      </c>
      <c r="L2862">
        <v>284.76339999999999</v>
      </c>
      <c r="M2862">
        <v>-0.99978590000000001</v>
      </c>
      <c r="N2862">
        <v>-1.427251E-2</v>
      </c>
      <c r="O2862">
        <v>1.498946E-2</v>
      </c>
      <c r="P2862">
        <v>-0.98414880000000005</v>
      </c>
      <c r="Q2862">
        <v>0.1669194</v>
      </c>
      <c r="R2862">
        <v>5.9910320000000003E-2</v>
      </c>
      <c r="S2862">
        <v>-3.062103</v>
      </c>
      <c r="T2862">
        <v>-1.9193289999999998E-2</v>
      </c>
      <c r="U2862">
        <v>-0.17526249999999999</v>
      </c>
      <c r="V2862">
        <v>4.5157309999999999E-2</v>
      </c>
      <c r="W2862">
        <v>0.18095800000000001</v>
      </c>
      <c r="X2862">
        <v>0.98245360000000004</v>
      </c>
      <c r="Y2862">
        <v>-7.2097410000000001E-2</v>
      </c>
      <c r="Z2862">
        <v>-6.2086050000000005E-4</v>
      </c>
      <c r="AA2862">
        <v>0.99739739999999999</v>
      </c>
      <c r="AB2862">
        <v>30</v>
      </c>
      <c r="AC2862">
        <v>-116.9218</v>
      </c>
      <c r="AD2862">
        <v>-0.73479739999999905</v>
      </c>
      <c r="AE2862">
        <v>-6.7133999999999698</v>
      </c>
      <c r="AF2862">
        <v>-8.4650853479438695</v>
      </c>
      <c r="AG2862">
        <v>-0.73479739999999905</v>
      </c>
      <c r="AH2862">
        <v>116.80342287011101</v>
      </c>
      <c r="AI2862">
        <v>90.359493822164197</v>
      </c>
      <c r="AJ2862">
        <v>94.145145476588496</v>
      </c>
      <c r="AK2862">
        <v>117.11207107442399</v>
      </c>
      <c r="AL2862">
        <v>79.574434738175498</v>
      </c>
      <c r="AM2862">
        <v>87.3683199609887</v>
      </c>
      <c r="AN2862">
        <v>1.0000000282816901</v>
      </c>
    </row>
    <row r="2863" spans="1:40" x14ac:dyDescent="0.25">
      <c r="A2863" t="str">
        <f>"20190303170312338"</f>
        <v>20190303170312338</v>
      </c>
      <c r="B2863" t="str">
        <f>"1551603792328429"</f>
        <v>1551603792328429</v>
      </c>
      <c r="C2863" t="s">
        <v>40</v>
      </c>
      <c r="D2863">
        <v>4.0029120000000002</v>
      </c>
      <c r="E2863">
        <v>0.45852229999999999</v>
      </c>
      <c r="F2863" t="s">
        <v>66</v>
      </c>
      <c r="G2863">
        <v>-549.34709999999995</v>
      </c>
      <c r="H2863">
        <v>0.4683967</v>
      </c>
      <c r="I2863">
        <v>278.05</v>
      </c>
      <c r="J2863">
        <v>-433.95209999999997</v>
      </c>
      <c r="K2863">
        <v>1.1216429999999999</v>
      </c>
      <c r="L2863">
        <v>284.76799999999997</v>
      </c>
      <c r="M2863">
        <v>-0.99978590000000001</v>
      </c>
      <c r="N2863">
        <v>-1.4269220000000001E-2</v>
      </c>
      <c r="O2863">
        <v>1.498931E-2</v>
      </c>
      <c r="P2863">
        <v>-0.98426270000000005</v>
      </c>
      <c r="Q2863">
        <v>0.166488</v>
      </c>
      <c r="R2863">
        <v>5.923498E-2</v>
      </c>
      <c r="S2863">
        <v>-3.0620729999999998</v>
      </c>
      <c r="T2863">
        <v>-1.728654E-2</v>
      </c>
      <c r="U2863">
        <v>-0.17767330000000001</v>
      </c>
      <c r="V2863">
        <v>4.4480430000000001E-2</v>
      </c>
      <c r="W2863">
        <v>0.18052460000000001</v>
      </c>
      <c r="X2863">
        <v>0.9825642</v>
      </c>
      <c r="Y2863">
        <v>-7.288095E-2</v>
      </c>
      <c r="Z2863">
        <v>-5.9685369999999997E-4</v>
      </c>
      <c r="AA2863">
        <v>0.99734040000000002</v>
      </c>
      <c r="AB2863">
        <v>30</v>
      </c>
      <c r="AC2863">
        <v>-115.394999999999</v>
      </c>
      <c r="AD2863">
        <v>-0.65324629999999995</v>
      </c>
      <c r="AE2863">
        <v>-6.71799999999996</v>
      </c>
      <c r="AF2863">
        <v>-8.4468427574309093</v>
      </c>
      <c r="AG2863">
        <v>-0.65324629999999995</v>
      </c>
      <c r="AH2863">
        <v>115.27764300097201</v>
      </c>
      <c r="AI2863">
        <v>90.323807661396899</v>
      </c>
      <c r="AJ2863">
        <v>94.190795843867903</v>
      </c>
      <c r="AK2863">
        <v>115.58854121043601</v>
      </c>
      <c r="AL2863">
        <v>79.599682492501699</v>
      </c>
      <c r="AM2863">
        <v>87.408004385934603</v>
      </c>
      <c r="AN2863">
        <v>1.00000002348989</v>
      </c>
    </row>
    <row r="2864" spans="1:40" x14ac:dyDescent="0.25">
      <c r="A2864" t="str">
        <f>"20190303170312361"</f>
        <v>20190303170312361</v>
      </c>
      <c r="B2864" t="str">
        <f>"1551603792347949"</f>
        <v>1551603792347949</v>
      </c>
      <c r="C2864" t="s">
        <v>40</v>
      </c>
      <c r="D2864">
        <v>3.9794550000000002</v>
      </c>
      <c r="E2864">
        <v>0.4581731</v>
      </c>
      <c r="F2864" t="s">
        <v>66</v>
      </c>
      <c r="G2864">
        <v>-547.01369999999997</v>
      </c>
      <c r="H2864">
        <v>0.4324944</v>
      </c>
      <c r="I2864">
        <v>278.05</v>
      </c>
      <c r="J2864">
        <v>-434.2509</v>
      </c>
      <c r="K2864">
        <v>1.1216390000000001</v>
      </c>
      <c r="L2864">
        <v>284.77249999999998</v>
      </c>
      <c r="M2864">
        <v>-0.99978590000000001</v>
      </c>
      <c r="N2864">
        <v>-1.4265989999999999E-2</v>
      </c>
      <c r="O2864">
        <v>1.4989209999999999E-2</v>
      </c>
      <c r="P2864">
        <v>-0.98431800000000003</v>
      </c>
      <c r="Q2864">
        <v>0.16626199999999999</v>
      </c>
      <c r="R2864">
        <v>5.8952289999999997E-2</v>
      </c>
      <c r="S2864">
        <v>-3.062103</v>
      </c>
      <c r="T2864">
        <v>-1.8662330000000001E-2</v>
      </c>
      <c r="U2864">
        <v>-0.18194579999999999</v>
      </c>
      <c r="V2864">
        <v>4.4197189999999997E-2</v>
      </c>
      <c r="W2864">
        <v>0.18029619999999999</v>
      </c>
      <c r="X2864">
        <v>0.98261889999999996</v>
      </c>
      <c r="Y2864">
        <v>-7.4266550000000001E-2</v>
      </c>
      <c r="Z2864">
        <v>-6.3400079999999996E-4</v>
      </c>
      <c r="AA2864">
        <v>0.99723819999999996</v>
      </c>
      <c r="AB2864">
        <v>30</v>
      </c>
      <c r="AC2864">
        <v>-112.762799999999</v>
      </c>
      <c r="AD2864">
        <v>-0.6891446</v>
      </c>
      <c r="AE2864">
        <v>-6.7224999999999602</v>
      </c>
      <c r="AF2864">
        <v>-8.4118288195306992</v>
      </c>
      <c r="AG2864">
        <v>-0.6891446</v>
      </c>
      <c r="AH2864">
        <v>112.64516154040901</v>
      </c>
      <c r="AI2864">
        <v>90.349548560780605</v>
      </c>
      <c r="AJ2864">
        <v>94.270661899975295</v>
      </c>
      <c r="AK2864">
        <v>112.96090563922399</v>
      </c>
      <c r="AL2864">
        <v>79.612986985588407</v>
      </c>
      <c r="AM2864">
        <v>87.424630434718495</v>
      </c>
      <c r="AN2864">
        <v>1.0000000069877699</v>
      </c>
    </row>
    <row r="2865" spans="1:40" x14ac:dyDescent="0.25">
      <c r="A2865" t="str">
        <f>"20190303170312385"</f>
        <v>20190303170312385</v>
      </c>
      <c r="B2865" t="str">
        <f>"1551603792378206"</f>
        <v>1551603792378206</v>
      </c>
      <c r="C2865" t="s">
        <v>40</v>
      </c>
      <c r="D2865">
        <v>3.971886</v>
      </c>
      <c r="E2865">
        <v>0.45781709999999898</v>
      </c>
      <c r="F2865" t="s">
        <v>66</v>
      </c>
      <c r="G2865">
        <v>-544.95680000000004</v>
      </c>
      <c r="H2865">
        <v>0.43411909999999998</v>
      </c>
      <c r="I2865">
        <v>278.05</v>
      </c>
      <c r="J2865">
        <v>-434.56420000000003</v>
      </c>
      <c r="K2865">
        <v>1.121642</v>
      </c>
      <c r="L2865">
        <v>284.77719999999999</v>
      </c>
      <c r="M2865">
        <v>-0.99978599999999995</v>
      </c>
      <c r="N2865">
        <v>-1.426259E-2</v>
      </c>
      <c r="O2865">
        <v>1.498935E-2</v>
      </c>
      <c r="P2865">
        <v>-0.98427370000000003</v>
      </c>
      <c r="Q2865">
        <v>0.16648850000000001</v>
      </c>
      <c r="R2865">
        <v>5.905291E-2</v>
      </c>
      <c r="S2865">
        <v>-3.0621339999999999</v>
      </c>
      <c r="T2865">
        <v>-1.90146E-2</v>
      </c>
      <c r="U2865">
        <v>-0.18594359999999999</v>
      </c>
      <c r="V2865">
        <v>4.4298160000000003E-2</v>
      </c>
      <c r="W2865">
        <v>0.18051900000000001</v>
      </c>
      <c r="X2865">
        <v>0.98257340000000004</v>
      </c>
      <c r="Y2865">
        <v>-7.5563099999999994E-2</v>
      </c>
      <c r="Z2865">
        <v>-6.5320669999999995E-4</v>
      </c>
      <c r="AA2865">
        <v>0.99714080000000005</v>
      </c>
      <c r="AB2865">
        <v>30</v>
      </c>
      <c r="AC2865">
        <v>-110.3926</v>
      </c>
      <c r="AD2865">
        <v>-0.68752290000000005</v>
      </c>
      <c r="AE2865">
        <v>-6.7271999999999803</v>
      </c>
      <c r="AF2865">
        <v>-8.3810017150429292</v>
      </c>
      <c r="AG2865">
        <v>-0.68752290000000005</v>
      </c>
      <c r="AH2865">
        <v>110.27508714199</v>
      </c>
      <c r="AI2865">
        <v>90.356185416495904</v>
      </c>
      <c r="AJ2865">
        <v>94.346173478074704</v>
      </c>
      <c r="AK2865">
        <v>110.595247283321</v>
      </c>
      <c r="AL2865">
        <v>79.600008054963595</v>
      </c>
      <c r="AM2865">
        <v>87.418635495003599</v>
      </c>
      <c r="AN2865">
        <v>0.99999996136397196</v>
      </c>
    </row>
    <row r="2866" spans="1:40" x14ac:dyDescent="0.25">
      <c r="A2866" t="str">
        <f>"20190303170312406"</f>
        <v>20190303170312406</v>
      </c>
      <c r="B2866" t="str">
        <f>"1551603792398702"</f>
        <v>1551603792398702</v>
      </c>
      <c r="C2866" t="s">
        <v>40</v>
      </c>
      <c r="D2866">
        <v>4.005833</v>
      </c>
      <c r="E2866">
        <v>0.45753949999999999</v>
      </c>
      <c r="F2866" t="s">
        <v>66</v>
      </c>
      <c r="G2866">
        <v>-543.73910000000001</v>
      </c>
      <c r="H2866">
        <v>0.48523300000000003</v>
      </c>
      <c r="I2866">
        <v>278.05</v>
      </c>
      <c r="J2866">
        <v>-434.85860000000002</v>
      </c>
      <c r="K2866">
        <v>1.12165</v>
      </c>
      <c r="L2866">
        <v>284.78160000000003</v>
      </c>
      <c r="M2866">
        <v>-0.99978599999999995</v>
      </c>
      <c r="N2866">
        <v>-1.4259340000000001E-2</v>
      </c>
      <c r="O2866">
        <v>1.4989260000000001E-2</v>
      </c>
      <c r="P2866">
        <v>-0.98424789999999995</v>
      </c>
      <c r="Q2866">
        <v>0.16677690000000001</v>
      </c>
      <c r="R2866">
        <v>5.8664029999999999E-2</v>
      </c>
      <c r="S2866">
        <v>-3.0622560000000001</v>
      </c>
      <c r="T2866">
        <v>-1.7848369999999999E-2</v>
      </c>
      <c r="U2866">
        <v>-0.1886902</v>
      </c>
      <c r="V2866">
        <v>4.3909810000000001E-2</v>
      </c>
      <c r="W2866">
        <v>0.1808041</v>
      </c>
      <c r="X2866">
        <v>0.98253849999999998</v>
      </c>
      <c r="Y2866">
        <v>-7.6451899999999906E-2</v>
      </c>
      <c r="Z2866">
        <v>-6.419838E-4</v>
      </c>
      <c r="AA2866">
        <v>0.99707310000000005</v>
      </c>
      <c r="AB2866">
        <v>30</v>
      </c>
      <c r="AC2866">
        <v>-108.880499999999</v>
      </c>
      <c r="AD2866">
        <v>-0.63641700000000001</v>
      </c>
      <c r="AE2866">
        <v>-6.73160000000001</v>
      </c>
      <c r="AF2866">
        <v>-8.3627629817788591</v>
      </c>
      <c r="AG2866">
        <v>-0.63641700000000001</v>
      </c>
      <c r="AH2866">
        <v>108.763651567415</v>
      </c>
      <c r="AI2866">
        <v>90.334268697968497</v>
      </c>
      <c r="AJ2866">
        <v>94.396782478661905</v>
      </c>
      <c r="AK2866">
        <v>109.08653782005101</v>
      </c>
      <c r="AL2866">
        <v>79.583400666039694</v>
      </c>
      <c r="AM2866">
        <v>87.441144643099705</v>
      </c>
      <c r="AN2866">
        <v>1.0000000489866401</v>
      </c>
    </row>
    <row r="2867" spans="1:40" x14ac:dyDescent="0.25">
      <c r="A2867" t="str">
        <f>"20190303170312427"</f>
        <v>20190303170312427</v>
      </c>
      <c r="B2867" t="str">
        <f>"1551603792418222"</f>
        <v>1551603792418222</v>
      </c>
      <c r="C2867" t="s">
        <v>40</v>
      </c>
      <c r="D2867">
        <v>3.9566439999999998</v>
      </c>
      <c r="E2867">
        <v>0.4572659</v>
      </c>
      <c r="F2867" t="s">
        <v>66</v>
      </c>
      <c r="G2867">
        <v>-541.80820000000006</v>
      </c>
      <c r="H2867">
        <v>0.54043050000000004</v>
      </c>
      <c r="I2867">
        <v>278.05</v>
      </c>
      <c r="J2867">
        <v>-435.14580000000001</v>
      </c>
      <c r="K2867">
        <v>1.1216539999999999</v>
      </c>
      <c r="L2867">
        <v>284.78590000000003</v>
      </c>
      <c r="M2867">
        <v>-0.99978619999999996</v>
      </c>
      <c r="N2867">
        <v>-1.42562E-2</v>
      </c>
      <c r="O2867">
        <v>1.4988919999999999E-2</v>
      </c>
      <c r="P2867">
        <v>-0.98424659999999997</v>
      </c>
      <c r="Q2867">
        <v>0.16699330000000001</v>
      </c>
      <c r="R2867">
        <v>5.8071530000000003E-2</v>
      </c>
      <c r="S2867">
        <v>-3.0623469999999999</v>
      </c>
      <c r="T2867">
        <v>-1.664007E-2</v>
      </c>
      <c r="U2867">
        <v>-0.192749</v>
      </c>
      <c r="V2867">
        <v>4.3317849999999998E-2</v>
      </c>
      <c r="W2867">
        <v>0.18101709999999999</v>
      </c>
      <c r="X2867">
        <v>0.98252550000000005</v>
      </c>
      <c r="Y2867">
        <v>-7.7766329999999995E-2</v>
      </c>
      <c r="Z2867">
        <v>-6.3389299999999996E-4</v>
      </c>
      <c r="AA2867">
        <v>0.99697139999999995</v>
      </c>
      <c r="AB2867">
        <v>30</v>
      </c>
      <c r="AC2867">
        <v>-106.66240000000001</v>
      </c>
      <c r="AD2867">
        <v>-0.5812235</v>
      </c>
      <c r="AE2867">
        <v>-6.7359000000000098</v>
      </c>
      <c r="AF2867">
        <v>-8.3338130440702791</v>
      </c>
      <c r="AG2867">
        <v>-0.5812235</v>
      </c>
      <c r="AH2867">
        <v>106.546289804832</v>
      </c>
      <c r="AI2867">
        <v>90.311600912863099</v>
      </c>
      <c r="AJ2867">
        <v>94.472442029234401</v>
      </c>
      <c r="AK2867">
        <v>106.873299433421</v>
      </c>
      <c r="AL2867">
        <v>79.570991318666103</v>
      </c>
      <c r="AM2867">
        <v>87.475562974719296</v>
      </c>
      <c r="AN2867">
        <v>0.99999999238564097</v>
      </c>
    </row>
    <row r="2868" spans="1:40" x14ac:dyDescent="0.25">
      <c r="A2868" t="str">
        <f>"20190303170312450"</f>
        <v>20190303170312450</v>
      </c>
      <c r="B2868" t="str">
        <f>"1551603792438717"</f>
        <v>1551603792438717</v>
      </c>
      <c r="C2868" t="s">
        <v>40</v>
      </c>
      <c r="D2868">
        <v>3.9676200000000001</v>
      </c>
      <c r="E2868">
        <v>0.45699269999999997</v>
      </c>
      <c r="F2868" t="s">
        <v>66</v>
      </c>
      <c r="G2868">
        <v>-540.05430000000001</v>
      </c>
      <c r="H2868">
        <v>0.57269049999999999</v>
      </c>
      <c r="I2868">
        <v>278.05</v>
      </c>
      <c r="J2868">
        <v>-435.4504</v>
      </c>
      <c r="K2868">
        <v>1.121653</v>
      </c>
      <c r="L2868">
        <v>284.79039999999998</v>
      </c>
      <c r="M2868">
        <v>-0.99978610000000001</v>
      </c>
      <c r="N2868">
        <v>-1.425297E-2</v>
      </c>
      <c r="O2868">
        <v>1.4988949999999999E-2</v>
      </c>
      <c r="P2868">
        <v>-0.98423799999999995</v>
      </c>
      <c r="Q2868">
        <v>0.16701920000000001</v>
      </c>
      <c r="R2868">
        <v>5.8139150000000001E-2</v>
      </c>
      <c r="S2868">
        <v>-3.0623469999999999</v>
      </c>
      <c r="T2868">
        <v>-1.6022209999999999E-2</v>
      </c>
      <c r="U2868">
        <v>-0.19662479999999999</v>
      </c>
      <c r="V2868">
        <v>4.3385409999999999E-2</v>
      </c>
      <c r="W2868">
        <v>0.18104000000000001</v>
      </c>
      <c r="X2868">
        <v>0.98251829999999996</v>
      </c>
      <c r="Y2868">
        <v>-7.9023099999999999E-2</v>
      </c>
      <c r="Z2868">
        <v>-6.352269E-4</v>
      </c>
      <c r="AA2868">
        <v>0.9968726</v>
      </c>
      <c r="AB2868">
        <v>30</v>
      </c>
      <c r="AC2868">
        <v>-104.6039</v>
      </c>
      <c r="AD2868">
        <v>-0.54896250000000002</v>
      </c>
      <c r="AE2868">
        <v>-6.7403999999999602</v>
      </c>
      <c r="AF2868">
        <v>-8.3074766305236594</v>
      </c>
      <c r="AG2868">
        <v>-0.54896250000000002</v>
      </c>
      <c r="AH2868">
        <v>104.488238690038</v>
      </c>
      <c r="AI2868">
        <v>90.300072093608605</v>
      </c>
      <c r="AJ2868">
        <v>94.545814958869698</v>
      </c>
      <c r="AK2868">
        <v>104.819404464724</v>
      </c>
      <c r="AL2868">
        <v>79.569657205280606</v>
      </c>
      <c r="AM2868">
        <v>87.471612377645002</v>
      </c>
      <c r="AN2868">
        <v>0.99999999261787897</v>
      </c>
    </row>
    <row r="2869" spans="1:40" x14ac:dyDescent="0.25">
      <c r="A2869" t="str">
        <f>"20190303170312472"</f>
        <v>20190303170312472</v>
      </c>
      <c r="B2869" t="str">
        <f>"1551603792467998"</f>
        <v>1551603792467998</v>
      </c>
      <c r="C2869" t="s">
        <v>40</v>
      </c>
      <c r="D2869">
        <v>4.0340439999999997</v>
      </c>
      <c r="E2869">
        <v>0.45669460000000001</v>
      </c>
      <c r="F2869" t="s">
        <v>66</v>
      </c>
      <c r="G2869">
        <v>-539.36519999999996</v>
      </c>
      <c r="H2869">
        <v>0.60113619999999901</v>
      </c>
      <c r="I2869">
        <v>278.05</v>
      </c>
      <c r="J2869">
        <v>-435.75080000000003</v>
      </c>
      <c r="K2869">
        <v>1.1216520000000001</v>
      </c>
      <c r="L2869">
        <v>284.79489999999998</v>
      </c>
      <c r="M2869">
        <v>-0.99978599999999995</v>
      </c>
      <c r="N2869">
        <v>-1.424976E-2</v>
      </c>
      <c r="O2869">
        <v>1.4988970000000001E-2</v>
      </c>
      <c r="P2869">
        <v>-0.98422509999999996</v>
      </c>
      <c r="Q2869">
        <v>0.16697229999999999</v>
      </c>
      <c r="R2869">
        <v>5.8493009999999998E-2</v>
      </c>
      <c r="S2869">
        <v>-3.0623469999999999</v>
      </c>
      <c r="T2869">
        <v>-1.5337109999999999E-2</v>
      </c>
      <c r="U2869">
        <v>-0.19863890000000001</v>
      </c>
      <c r="V2869">
        <v>4.3739710000000001E-2</v>
      </c>
      <c r="W2869">
        <v>0.18098939999999999</v>
      </c>
      <c r="X2869">
        <v>0.98251189999999999</v>
      </c>
      <c r="Y2869">
        <v>-7.9676199999999905E-2</v>
      </c>
      <c r="Z2869">
        <v>-6.2927009999999995E-4</v>
      </c>
      <c r="AA2869">
        <v>0.99682059999999995</v>
      </c>
      <c r="AB2869">
        <v>30</v>
      </c>
      <c r="AC2869">
        <v>-103.61439999999899</v>
      </c>
      <c r="AD2869">
        <v>-0.52051579999999997</v>
      </c>
      <c r="AE2869">
        <v>-6.7448999999999701</v>
      </c>
      <c r="AF2869">
        <v>-8.2971646259987306</v>
      </c>
      <c r="AG2869">
        <v>-0.52051579999999997</v>
      </c>
      <c r="AH2869">
        <v>103.499047191595</v>
      </c>
      <c r="AI2869">
        <v>90.287227149840405</v>
      </c>
      <c r="AJ2869">
        <v>94.5834047585832</v>
      </c>
      <c r="AK2869">
        <v>103.832396905287</v>
      </c>
      <c r="AL2869">
        <v>79.572604929859196</v>
      </c>
      <c r="AM2869">
        <v>87.450975246610696</v>
      </c>
      <c r="AN2869">
        <v>0.99999997939242602</v>
      </c>
    </row>
    <row r="2870" spans="1:40" x14ac:dyDescent="0.25">
      <c r="A2870" t="str">
        <f>"20190303170312495"</f>
        <v>20190303170312495</v>
      </c>
      <c r="B2870" t="str">
        <f>"1551603792488494"</f>
        <v>1551603792488494</v>
      </c>
      <c r="C2870" t="s">
        <v>40</v>
      </c>
      <c r="D2870">
        <v>4.0129970000000004</v>
      </c>
      <c r="E2870">
        <v>0.45644659999999898</v>
      </c>
      <c r="F2870" t="s">
        <v>66</v>
      </c>
      <c r="G2870">
        <v>-539.01009999999997</v>
      </c>
      <c r="H2870">
        <v>0.61530830000000003</v>
      </c>
      <c r="I2870">
        <v>278.05</v>
      </c>
      <c r="J2870">
        <v>-436.04750000000001</v>
      </c>
      <c r="K2870">
        <v>1.121653</v>
      </c>
      <c r="L2870">
        <v>284.79939999999999</v>
      </c>
      <c r="M2870">
        <v>-0.99978630000000002</v>
      </c>
      <c r="N2870">
        <v>-1.424663E-2</v>
      </c>
      <c r="O2870">
        <v>1.4988629999999999E-2</v>
      </c>
      <c r="P2870">
        <v>-0.98428899999999997</v>
      </c>
      <c r="Q2870">
        <v>0.1665095</v>
      </c>
      <c r="R2870">
        <v>5.8734509999999997E-2</v>
      </c>
      <c r="S2870">
        <v>-3.0625</v>
      </c>
      <c r="T2870">
        <v>-1.5014889999999999E-2</v>
      </c>
      <c r="U2870">
        <v>-0.20004269999999999</v>
      </c>
      <c r="V2870">
        <v>4.3980289999999998E-2</v>
      </c>
      <c r="W2870">
        <v>0.18052460000000001</v>
      </c>
      <c r="X2870">
        <v>0.98258670000000004</v>
      </c>
      <c r="Y2870">
        <v>-8.012772E-2</v>
      </c>
      <c r="Z2870">
        <v>-6.2775190000000005E-4</v>
      </c>
      <c r="AA2870">
        <v>0.99678440000000001</v>
      </c>
      <c r="AB2870">
        <v>30</v>
      </c>
      <c r="AC2870">
        <v>-102.962599999999</v>
      </c>
      <c r="AD2870">
        <v>-0.50634469999999998</v>
      </c>
      <c r="AE2870">
        <v>-6.7493999999999801</v>
      </c>
      <c r="AF2870">
        <v>-8.2918667175192695</v>
      </c>
      <c r="AG2870">
        <v>-0.50634469999999998</v>
      </c>
      <c r="AH2870">
        <v>102.847380103091</v>
      </c>
      <c r="AI2870">
        <v>90.281167601713904</v>
      </c>
      <c r="AJ2870">
        <v>94.609389096317003</v>
      </c>
      <c r="AK2870">
        <v>103.182338763405</v>
      </c>
      <c r="AL2870">
        <v>79.599682351327402</v>
      </c>
      <c r="AM2870">
        <v>87.437168431688093</v>
      </c>
      <c r="AN2870">
        <v>1.00000001006526</v>
      </c>
    </row>
    <row r="2871" spans="1:40" x14ac:dyDescent="0.25">
      <c r="A2871" t="str">
        <f>"20190303170312517"</f>
        <v>20190303170312517</v>
      </c>
      <c r="B2871" t="str">
        <f>"1551603792508024"</f>
        <v>1551603792508024</v>
      </c>
      <c r="C2871" t="s">
        <v>40</v>
      </c>
      <c r="D2871">
        <v>4.0392419999999998</v>
      </c>
      <c r="E2871">
        <v>0.45617190000000002</v>
      </c>
      <c r="F2871" t="s">
        <v>66</v>
      </c>
      <c r="G2871">
        <v>-538.81380000000001</v>
      </c>
      <c r="H2871">
        <v>0.58780849999999996</v>
      </c>
      <c r="I2871">
        <v>278.05</v>
      </c>
      <c r="J2871">
        <v>-436.34140000000002</v>
      </c>
      <c r="K2871">
        <v>1.1216539999999999</v>
      </c>
      <c r="L2871">
        <v>284.80380000000002</v>
      </c>
      <c r="M2871">
        <v>-0.99978619999999996</v>
      </c>
      <c r="N2871">
        <v>-1.4243499999999999E-2</v>
      </c>
      <c r="O2871">
        <v>1.498884E-2</v>
      </c>
      <c r="P2871">
        <v>-0.98431190000000002</v>
      </c>
      <c r="Q2871">
        <v>0.16658010000000001</v>
      </c>
      <c r="R2871">
        <v>5.8147860000000003E-2</v>
      </c>
      <c r="S2871">
        <v>-3.062592</v>
      </c>
      <c r="T2871">
        <v>-1.590693E-2</v>
      </c>
      <c r="U2871">
        <v>-0.2011414</v>
      </c>
      <c r="V2871">
        <v>4.3393250000000001E-2</v>
      </c>
      <c r="W2871">
        <v>0.18059269999999999</v>
      </c>
      <c r="X2871">
        <v>0.98260029999999998</v>
      </c>
      <c r="Y2871">
        <v>-8.0481769999999994E-2</v>
      </c>
      <c r="Z2871">
        <v>-6.4713149999999996E-4</v>
      </c>
      <c r="AA2871">
        <v>0.99675590000000003</v>
      </c>
      <c r="AB2871">
        <v>30</v>
      </c>
      <c r="AC2871">
        <v>-102.47239999999999</v>
      </c>
      <c r="AD2871">
        <v>-0.53384549999999997</v>
      </c>
      <c r="AE2871">
        <v>-6.7538000000000098</v>
      </c>
      <c r="AF2871">
        <v>-8.2889153836362901</v>
      </c>
      <c r="AG2871">
        <v>-0.53384549999999997</v>
      </c>
      <c r="AH2871">
        <v>102.356878122724</v>
      </c>
      <c r="AI2871">
        <v>90.297850206368196</v>
      </c>
      <c r="AJ2871">
        <v>94.629740491519797</v>
      </c>
      <c r="AK2871">
        <v>102.69333770155301</v>
      </c>
      <c r="AL2871">
        <v>79.595715448647894</v>
      </c>
      <c r="AM2871">
        <v>87.471366839394506</v>
      </c>
      <c r="AN2871">
        <v>1.0000000234994699</v>
      </c>
    </row>
    <row r="2872" spans="1:40" x14ac:dyDescent="0.25">
      <c r="A2872" t="str">
        <f>"20190303170312539"</f>
        <v>20190303170312539</v>
      </c>
      <c r="B2872" t="str">
        <f>"1551603792528510"</f>
        <v>1551603792528510</v>
      </c>
      <c r="C2872" t="s">
        <v>40</v>
      </c>
      <c r="D2872">
        <v>3.8964439999999998</v>
      </c>
      <c r="E2872">
        <v>0.45600249999999998</v>
      </c>
      <c r="F2872" t="s">
        <v>66</v>
      </c>
      <c r="G2872">
        <v>-537.14290000000005</v>
      </c>
      <c r="H2872">
        <v>0.59215569999999995</v>
      </c>
      <c r="I2872">
        <v>278.05</v>
      </c>
      <c r="J2872">
        <v>-436.63580000000002</v>
      </c>
      <c r="K2872">
        <v>1.121653</v>
      </c>
      <c r="L2872">
        <v>284.8082</v>
      </c>
      <c r="M2872">
        <v>-0.99978639999999996</v>
      </c>
      <c r="N2872">
        <v>-1.42404E-2</v>
      </c>
      <c r="O2872">
        <v>1.498856E-2</v>
      </c>
      <c r="P2872">
        <v>-0.98429500000000003</v>
      </c>
      <c r="Q2872">
        <v>0.16697899999999999</v>
      </c>
      <c r="R2872">
        <v>5.7286959999999998E-2</v>
      </c>
      <c r="S2872">
        <v>-3.0626530000000001</v>
      </c>
      <c r="T2872">
        <v>-1.6085269999999999E-2</v>
      </c>
      <c r="U2872">
        <v>-0.2052002</v>
      </c>
      <c r="V2872">
        <v>4.2533010000000003E-2</v>
      </c>
      <c r="W2872">
        <v>0.18098800000000001</v>
      </c>
      <c r="X2872">
        <v>0.98256520000000003</v>
      </c>
      <c r="Y2872">
        <v>-8.179517E-2</v>
      </c>
      <c r="Z2872">
        <v>-6.6309279999999995E-4</v>
      </c>
      <c r="AA2872">
        <v>0.99664900000000001</v>
      </c>
      <c r="AB2872">
        <v>30</v>
      </c>
      <c r="AC2872">
        <v>-100.50709999999999</v>
      </c>
      <c r="AD2872">
        <v>-0.52949729999999995</v>
      </c>
      <c r="AE2872">
        <v>-6.75819999999998</v>
      </c>
      <c r="AF2872">
        <v>-8.2638215878986507</v>
      </c>
      <c r="AG2872">
        <v>-0.52949729999999995</v>
      </c>
      <c r="AH2872">
        <v>100.391727542016</v>
      </c>
      <c r="AI2872">
        <v>90.301174399105705</v>
      </c>
      <c r="AJ2872">
        <v>94.705736398669401</v>
      </c>
      <c r="AK2872">
        <v>100.73266636745799</v>
      </c>
      <c r="AL2872">
        <v>79.5726871580883</v>
      </c>
      <c r="AM2872">
        <v>87.5213435976395</v>
      </c>
      <c r="AN2872">
        <v>1.0000000426673401</v>
      </c>
    </row>
    <row r="2873" spans="1:40" x14ac:dyDescent="0.25">
      <c r="A2873" t="str">
        <f>"20190303170312562"</f>
        <v>20190303170312562</v>
      </c>
      <c r="B2873" t="str">
        <f>"1551603792548030"</f>
        <v>1551603792548030</v>
      </c>
      <c r="C2873" t="s">
        <v>40</v>
      </c>
      <c r="D2873">
        <v>4.0882009999999998</v>
      </c>
      <c r="E2873">
        <v>0.45575789999999999</v>
      </c>
      <c r="F2873" t="s">
        <v>66</v>
      </c>
      <c r="G2873">
        <v>-535.61620000000005</v>
      </c>
      <c r="H2873">
        <v>0.64476219999999995</v>
      </c>
      <c r="I2873">
        <v>278.05</v>
      </c>
      <c r="J2873">
        <v>-436.94310000000002</v>
      </c>
      <c r="K2873">
        <v>1.121648</v>
      </c>
      <c r="L2873">
        <v>284.81279999999998</v>
      </c>
      <c r="M2873">
        <v>-0.99978639999999996</v>
      </c>
      <c r="N2873">
        <v>-1.423724E-2</v>
      </c>
      <c r="O2873">
        <v>1.4988410000000001E-2</v>
      </c>
      <c r="P2873">
        <v>-0.98431749999999996</v>
      </c>
      <c r="Q2873">
        <v>0.1671192</v>
      </c>
      <c r="R2873">
        <v>5.6484890000000003E-2</v>
      </c>
      <c r="S2873">
        <v>-3.0625610000000001</v>
      </c>
      <c r="T2873">
        <v>-1.4752980000000001E-2</v>
      </c>
      <c r="U2873">
        <v>-0.2091064</v>
      </c>
      <c r="V2873">
        <v>4.1730959999999998E-2</v>
      </c>
      <c r="W2873">
        <v>0.18112539999999999</v>
      </c>
      <c r="X2873">
        <v>0.98257419999999995</v>
      </c>
      <c r="Y2873">
        <v>-8.3062670000000005E-2</v>
      </c>
      <c r="Z2873">
        <v>-6.5084159999999997E-4</v>
      </c>
      <c r="AA2873">
        <v>0.99654410000000004</v>
      </c>
      <c r="AB2873">
        <v>30</v>
      </c>
      <c r="AC2873">
        <v>-98.673100000000005</v>
      </c>
      <c r="AD2873">
        <v>-0.47688580000000003</v>
      </c>
      <c r="AE2873">
        <v>-6.7627999999999702</v>
      </c>
      <c r="AF2873">
        <v>-8.2409512204358606</v>
      </c>
      <c r="AG2873">
        <v>-0.47688580000000003</v>
      </c>
      <c r="AH2873">
        <v>98.5583483331624</v>
      </c>
      <c r="AI2873">
        <v>90.276265941088496</v>
      </c>
      <c r="AJ2873">
        <v>94.779665399188104</v>
      </c>
      <c r="AK2873">
        <v>98.903431301673393</v>
      </c>
      <c r="AL2873">
        <v>79.564681665339805</v>
      </c>
      <c r="AM2873">
        <v>87.568049505723806</v>
      </c>
      <c r="AN2873">
        <v>0.99999997102666005</v>
      </c>
    </row>
    <row r="2874" spans="1:40" x14ac:dyDescent="0.25">
      <c r="A2874" t="str">
        <f>"20190303170312584"</f>
        <v>20190303170312584</v>
      </c>
      <c r="B2874" t="str">
        <f>"1551603792578286"</f>
        <v>1551603792578286</v>
      </c>
      <c r="C2874" t="s">
        <v>40</v>
      </c>
      <c r="D2874">
        <v>3.9507780000000001</v>
      </c>
      <c r="E2874">
        <v>0.45549529999999999</v>
      </c>
      <c r="F2874" t="s">
        <v>66</v>
      </c>
      <c r="G2874">
        <v>-533.78099999999995</v>
      </c>
      <c r="H2874">
        <v>0.68451399999999996</v>
      </c>
      <c r="I2874">
        <v>278.05</v>
      </c>
      <c r="J2874">
        <v>-437.23559999999998</v>
      </c>
      <c r="K2874">
        <v>1.12165</v>
      </c>
      <c r="L2874">
        <v>284.81720000000001</v>
      </c>
      <c r="M2874">
        <v>-0.99978639999999996</v>
      </c>
      <c r="N2874">
        <v>-1.4234129999999999E-2</v>
      </c>
      <c r="O2874">
        <v>1.4988430000000001E-2</v>
      </c>
      <c r="P2874">
        <v>-0.98443389999999997</v>
      </c>
      <c r="Q2874">
        <v>0.16676089999999999</v>
      </c>
      <c r="R2874">
        <v>5.5503459999999998E-2</v>
      </c>
      <c r="S2874">
        <v>-3.062408</v>
      </c>
      <c r="T2874">
        <v>-1.382136E-2</v>
      </c>
      <c r="U2874">
        <v>-0.21386720000000001</v>
      </c>
      <c r="V2874">
        <v>4.0747800000000001E-2</v>
      </c>
      <c r="W2874">
        <v>0.18076519999999999</v>
      </c>
      <c r="X2874">
        <v>0.98268180000000005</v>
      </c>
      <c r="Y2874">
        <v>-8.4608000000000003E-2</v>
      </c>
      <c r="Z2874">
        <v>-6.4812259999999999E-4</v>
      </c>
      <c r="AA2874">
        <v>0.99641409999999997</v>
      </c>
      <c r="AB2874">
        <v>30</v>
      </c>
      <c r="AC2874">
        <v>-96.545399999999901</v>
      </c>
      <c r="AD2874">
        <v>-0.43713600000000002</v>
      </c>
      <c r="AE2874">
        <v>-6.7671999999999999</v>
      </c>
      <c r="AF2874">
        <v>-8.2134826160898093</v>
      </c>
      <c r="AG2874">
        <v>-0.43713600000000002</v>
      </c>
      <c r="AH2874">
        <v>96.431145364165204</v>
      </c>
      <c r="AI2874">
        <v>90.258791063009596</v>
      </c>
      <c r="AJ2874">
        <v>94.8683939020504</v>
      </c>
      <c r="AK2874">
        <v>96.781290448164896</v>
      </c>
      <c r="AL2874">
        <v>79.585666089378094</v>
      </c>
      <c r="AM2874">
        <v>87.625538353505604</v>
      </c>
      <c r="AN2874">
        <v>0.99999998039355997</v>
      </c>
    </row>
    <row r="2875" spans="1:40" x14ac:dyDescent="0.25">
      <c r="A2875" t="str">
        <f>"20190303170312607"</f>
        <v>20190303170312607</v>
      </c>
      <c r="B2875" t="str">
        <f>"1551603792598781"</f>
        <v>1551603792598781</v>
      </c>
      <c r="C2875" t="s">
        <v>40</v>
      </c>
      <c r="D2875">
        <v>4.1057009999999998</v>
      </c>
      <c r="E2875">
        <v>0.45548450000000001</v>
      </c>
      <c r="F2875" t="s">
        <v>66</v>
      </c>
      <c r="G2875">
        <v>-514.78330000000005</v>
      </c>
      <c r="H2875">
        <v>0.73713799999999996</v>
      </c>
      <c r="I2875">
        <v>279.27539999999999</v>
      </c>
      <c r="J2875">
        <v>-437.5308</v>
      </c>
      <c r="K2875">
        <v>1.1216539999999999</v>
      </c>
      <c r="L2875">
        <v>284.82159999999999</v>
      </c>
      <c r="M2875">
        <v>-0.99978659999999997</v>
      </c>
      <c r="N2875">
        <v>-1.4230980000000001E-2</v>
      </c>
      <c r="O2875">
        <v>1.498827E-2</v>
      </c>
      <c r="P2875">
        <v>-0.98456560000000004</v>
      </c>
      <c r="Q2875">
        <v>0.1664475</v>
      </c>
      <c r="R2875">
        <v>5.4094690000000001E-2</v>
      </c>
      <c r="S2875">
        <v>-3.0623469999999999</v>
      </c>
      <c r="T2875">
        <v>-1.518106E-2</v>
      </c>
      <c r="U2875">
        <v>-0.2188416</v>
      </c>
      <c r="V2875">
        <v>3.9337360000000002E-2</v>
      </c>
      <c r="W2875">
        <v>0.18045050000000001</v>
      </c>
      <c r="X2875">
        <v>0.98279709999999998</v>
      </c>
      <c r="Y2875">
        <v>-8.6219160000000003E-2</v>
      </c>
      <c r="Z2875">
        <v>-6.8895100000000004E-4</v>
      </c>
      <c r="AA2875">
        <v>0.99627600000000005</v>
      </c>
      <c r="AB2875">
        <v>30</v>
      </c>
      <c r="AC2875">
        <v>-77.252499999999998</v>
      </c>
      <c r="AD2875">
        <v>-0.38451600000000002</v>
      </c>
      <c r="AE2875">
        <v>-5.54619999999999</v>
      </c>
      <c r="AF2875">
        <v>-6.7034099988635898</v>
      </c>
      <c r="AG2875">
        <v>-0.38451600000000002</v>
      </c>
      <c r="AH2875">
        <v>77.158782331636104</v>
      </c>
      <c r="AI2875">
        <v>90.284456121039796</v>
      </c>
      <c r="AJ2875">
        <v>94.965282356601307</v>
      </c>
      <c r="AK2875">
        <v>77.450379270007005</v>
      </c>
      <c r="AL2875">
        <v>79.603998491979098</v>
      </c>
      <c r="AM2875">
        <v>87.707907114124495</v>
      </c>
      <c r="AN2875">
        <v>0.99999997530521401</v>
      </c>
    </row>
    <row r="2876" spans="1:40" x14ac:dyDescent="0.25">
      <c r="A2876" t="str">
        <f>"20190303170312629"</f>
        <v>20190303170312629</v>
      </c>
      <c r="B2876" t="str">
        <f>"1551603792618302"</f>
        <v>1551603792618302</v>
      </c>
      <c r="C2876" t="s">
        <v>40</v>
      </c>
      <c r="D2876">
        <v>4.1264969999999996</v>
      </c>
      <c r="E2876">
        <v>0.45529140000000001</v>
      </c>
      <c r="F2876" t="s">
        <v>66</v>
      </c>
      <c r="G2876">
        <v>-513.72029999999995</v>
      </c>
      <c r="H2876">
        <v>0.70428489999999999</v>
      </c>
      <c r="I2876">
        <v>279.27539999999999</v>
      </c>
      <c r="J2876">
        <v>-437.8186</v>
      </c>
      <c r="K2876">
        <v>1.1216569999999999</v>
      </c>
      <c r="L2876">
        <v>284.82589999999999</v>
      </c>
      <c r="M2876">
        <v>-0.99978659999999997</v>
      </c>
      <c r="N2876">
        <v>-1.422785E-2</v>
      </c>
      <c r="O2876">
        <v>1.49868E-2</v>
      </c>
      <c r="P2876">
        <v>-0.98459790000000003</v>
      </c>
      <c r="Q2876">
        <v>0.1665344</v>
      </c>
      <c r="R2876">
        <v>5.3232839999999997E-2</v>
      </c>
      <c r="S2876">
        <v>-3.0620729999999998</v>
      </c>
      <c r="T2876">
        <v>-1.6770839999999999E-2</v>
      </c>
      <c r="U2876">
        <v>-0.2229004</v>
      </c>
      <c r="V2876">
        <v>3.8476360000000001E-2</v>
      </c>
      <c r="W2876">
        <v>0.180535</v>
      </c>
      <c r="X2876">
        <v>0.98281569999999996</v>
      </c>
      <c r="Y2876">
        <v>-8.7537169999999997E-2</v>
      </c>
      <c r="Z2876">
        <v>-7.3204749999999995E-4</v>
      </c>
      <c r="AA2876">
        <v>0.99616099999999996</v>
      </c>
      <c r="AB2876">
        <v>30</v>
      </c>
      <c r="AC2876">
        <v>-75.901699999999906</v>
      </c>
      <c r="AD2876">
        <v>-0.41737209999999902</v>
      </c>
      <c r="AE2876">
        <v>-5.5505000000000004</v>
      </c>
      <c r="AF2876">
        <v>-6.6873139654461502</v>
      </c>
      <c r="AG2876">
        <v>-0.41737209999999902</v>
      </c>
      <c r="AH2876">
        <v>75.8077012040672</v>
      </c>
      <c r="AI2876">
        <v>90.314228174663796</v>
      </c>
      <c r="AJ2876">
        <v>95.041250487370206</v>
      </c>
      <c r="AK2876">
        <v>76.1032320561186</v>
      </c>
      <c r="AL2876">
        <v>79.599076502948094</v>
      </c>
      <c r="AM2876">
        <v>87.758066123347504</v>
      </c>
      <c r="AN2876">
        <v>1.0000000083351599</v>
      </c>
    </row>
    <row r="2877" spans="1:40" x14ac:dyDescent="0.25">
      <c r="A2877" t="str">
        <f>"20190303170312651"</f>
        <v>20190303170312651</v>
      </c>
      <c r="B2877" t="str">
        <f>"1551603792638798"</f>
        <v>1551603792638798</v>
      </c>
      <c r="C2877" t="s">
        <v>40</v>
      </c>
      <c r="D2877">
        <v>4.1518699999999997</v>
      </c>
      <c r="E2877">
        <v>0.4551134</v>
      </c>
      <c r="F2877" t="s">
        <v>66</v>
      </c>
      <c r="G2877">
        <v>-512.73429999999996</v>
      </c>
      <c r="H2877">
        <v>0.70193209999999995</v>
      </c>
      <c r="I2877">
        <v>279.27539999999999</v>
      </c>
      <c r="J2877">
        <v>-438.1234</v>
      </c>
      <c r="K2877">
        <v>1.121659</v>
      </c>
      <c r="L2877">
        <v>284.8304</v>
      </c>
      <c r="M2877">
        <v>-0.99978659999999997</v>
      </c>
      <c r="N2877">
        <v>-1.4224540000000001E-2</v>
      </c>
      <c r="O2877">
        <v>1.4979070000000001E-2</v>
      </c>
      <c r="P2877">
        <v>-0.98461220000000005</v>
      </c>
      <c r="Q2877">
        <v>0.16659079999999901</v>
      </c>
      <c r="R2877">
        <v>5.2788309999999998E-2</v>
      </c>
      <c r="S2877">
        <v>-3.0620729999999998</v>
      </c>
      <c r="T2877">
        <v>-1.715231E-2</v>
      </c>
      <c r="U2877">
        <v>-0.22686770000000001</v>
      </c>
      <c r="V2877">
        <v>3.8037979999999999E-2</v>
      </c>
      <c r="W2877">
        <v>0.18058840000000001</v>
      </c>
      <c r="X2877">
        <v>0.982823</v>
      </c>
      <c r="Y2877">
        <v>-8.8812940000000007E-2</v>
      </c>
      <c r="Z2877">
        <v>-7.520084E-4</v>
      </c>
      <c r="AA2877">
        <v>0.99604800000000004</v>
      </c>
      <c r="AB2877">
        <v>30</v>
      </c>
      <c r="AC2877">
        <v>-74.610899999999901</v>
      </c>
      <c r="AD2877">
        <v>-0.41972690000000001</v>
      </c>
      <c r="AE2877">
        <v>-5.5549999999999997</v>
      </c>
      <c r="AF2877">
        <v>-6.6718816670199299</v>
      </c>
      <c r="AG2877">
        <v>-0.41972690000000001</v>
      </c>
      <c r="AH2877">
        <v>74.5169651429987</v>
      </c>
      <c r="AI2877">
        <v>90.321437020702007</v>
      </c>
      <c r="AJ2877">
        <v>95.116338956753793</v>
      </c>
      <c r="AK2877">
        <v>74.816229989034994</v>
      </c>
      <c r="AL2877">
        <v>79.595966257019001</v>
      </c>
      <c r="AM2877">
        <v>87.7836003977703</v>
      </c>
      <c r="AN2877">
        <v>1.00000005373301</v>
      </c>
    </row>
    <row r="2878" spans="1:40" x14ac:dyDescent="0.25">
      <c r="A2878" t="str">
        <f>"20190303170312673"</f>
        <v>20190303170312673</v>
      </c>
      <c r="B2878" t="str">
        <f>"1551603792668078"</f>
        <v>1551603792668078</v>
      </c>
      <c r="C2878" t="s">
        <v>40</v>
      </c>
      <c r="D2878">
        <v>4.175376</v>
      </c>
      <c r="E2878">
        <v>0.45484960000000002</v>
      </c>
      <c r="F2878" t="s">
        <v>66</v>
      </c>
      <c r="G2878">
        <v>-512.0761</v>
      </c>
      <c r="H2878">
        <v>0.70750259999999998</v>
      </c>
      <c r="I2878">
        <v>279.27539999999999</v>
      </c>
      <c r="J2878">
        <v>-438.41210000000001</v>
      </c>
      <c r="K2878">
        <v>1.1216619999999999</v>
      </c>
      <c r="L2878">
        <v>284.83479999999997</v>
      </c>
      <c r="M2878">
        <v>-0.99978699999999998</v>
      </c>
      <c r="N2878">
        <v>-1.4221370000000001E-2</v>
      </c>
      <c r="O2878">
        <v>1.49602E-2</v>
      </c>
      <c r="P2878">
        <v>-0.9846935</v>
      </c>
      <c r="Q2878">
        <v>0.16618260000000001</v>
      </c>
      <c r="R2878">
        <v>5.2555400000000002E-2</v>
      </c>
      <c r="S2878">
        <v>-3.062103</v>
      </c>
      <c r="T2878">
        <v>-1.7145279999999999E-2</v>
      </c>
      <c r="U2878">
        <v>-0.23001099999999999</v>
      </c>
      <c r="V2878">
        <v>3.7818919999999999E-2</v>
      </c>
      <c r="W2878">
        <v>0.18017849999999999</v>
      </c>
      <c r="X2878">
        <v>0.98290659999999996</v>
      </c>
      <c r="Y2878">
        <v>-8.9810100000000004E-2</v>
      </c>
      <c r="Z2878">
        <v>-7.6184699999999996E-4</v>
      </c>
      <c r="AA2878">
        <v>0.99595860000000003</v>
      </c>
      <c r="AB2878">
        <v>30</v>
      </c>
      <c r="AC2878">
        <v>-73.663999999999902</v>
      </c>
      <c r="AD2878">
        <v>-0.41415940000000001</v>
      </c>
      <c r="AE2878">
        <v>-5.5593999999999797</v>
      </c>
      <c r="AF2878">
        <v>-6.6607079444558703</v>
      </c>
      <c r="AG2878">
        <v>-0.41415940000000001</v>
      </c>
      <c r="AH2878">
        <v>73.570264062286995</v>
      </c>
      <c r="AI2878">
        <v>90.321225982407199</v>
      </c>
      <c r="AJ2878">
        <v>95.173188655197606</v>
      </c>
      <c r="AK2878">
        <v>73.872324401798707</v>
      </c>
      <c r="AL2878">
        <v>79.619842626361702</v>
      </c>
      <c r="AM2878">
        <v>87.796539224515897</v>
      </c>
      <c r="AN2878">
        <v>0.99999997344788705</v>
      </c>
    </row>
    <row r="2879" spans="1:40" x14ac:dyDescent="0.25">
      <c r="A2879" t="str">
        <f>"20190303170312696"</f>
        <v>20190303170312696</v>
      </c>
      <c r="B2879" t="str">
        <f>"1551603792688574"</f>
        <v>1551603792688574</v>
      </c>
      <c r="C2879" t="s">
        <v>40</v>
      </c>
      <c r="D2879">
        <v>4.1731360000000004</v>
      </c>
      <c r="E2879">
        <v>0.45472810000000002</v>
      </c>
      <c r="F2879" t="s">
        <v>66</v>
      </c>
      <c r="G2879">
        <v>-511.9588</v>
      </c>
      <c r="H2879">
        <v>0.66815500000000005</v>
      </c>
      <c r="I2879">
        <v>279.24959999999999</v>
      </c>
      <c r="J2879">
        <v>-438.70389999999998</v>
      </c>
      <c r="K2879">
        <v>1.1216710000000001</v>
      </c>
      <c r="L2879">
        <v>284.83909999999997</v>
      </c>
      <c r="M2879">
        <v>-0.9997876</v>
      </c>
      <c r="N2879">
        <v>-1.42182E-2</v>
      </c>
      <c r="O2879">
        <v>1.492689E-2</v>
      </c>
      <c r="P2879">
        <v>-0.98487559999999996</v>
      </c>
      <c r="Q2879">
        <v>0.1651157</v>
      </c>
      <c r="R2879">
        <v>5.250867E-2</v>
      </c>
      <c r="S2879">
        <v>-3.062195</v>
      </c>
      <c r="T2879">
        <v>-1.8878820000000001E-2</v>
      </c>
      <c r="U2879">
        <v>-0.2325439</v>
      </c>
      <c r="V2879">
        <v>3.7797669999999998E-2</v>
      </c>
      <c r="W2879">
        <v>0.179112299999999</v>
      </c>
      <c r="X2879">
        <v>0.98310229999999998</v>
      </c>
      <c r="Y2879">
        <v>-9.0593199999999999E-2</v>
      </c>
      <c r="Z2879">
        <v>-8.0385570000000004E-4</v>
      </c>
      <c r="AA2879">
        <v>0.99588759999999998</v>
      </c>
      <c r="AB2879">
        <v>30</v>
      </c>
      <c r="AC2879">
        <v>-73.254900000000006</v>
      </c>
      <c r="AD2879">
        <v>-0.45351599999999898</v>
      </c>
      <c r="AE2879">
        <v>-5.5894999999999797</v>
      </c>
      <c r="AF2879">
        <v>-6.6822007651419604</v>
      </c>
      <c r="AG2879">
        <v>-0.45351599999999898</v>
      </c>
      <c r="AH2879">
        <v>73.160506744971599</v>
      </c>
      <c r="AI2879">
        <v>90.353695090743997</v>
      </c>
      <c r="AJ2879">
        <v>95.218697449252403</v>
      </c>
      <c r="AK2879">
        <v>73.466436084847402</v>
      </c>
      <c r="AL2879">
        <v>79.681941993946296</v>
      </c>
      <c r="AM2879">
        <v>87.798214054848899</v>
      </c>
      <c r="AN2879">
        <v>1.000000006067</v>
      </c>
    </row>
    <row r="2880" spans="1:40" x14ac:dyDescent="0.25">
      <c r="A2880" t="str">
        <f>"20190303170312717"</f>
        <v>20190303170312717</v>
      </c>
      <c r="B2880" t="str">
        <f>"1551603792708094"</f>
        <v>1551603792708094</v>
      </c>
      <c r="C2880" t="s">
        <v>40</v>
      </c>
      <c r="D2880">
        <v>4.1821900000000003</v>
      </c>
      <c r="E2880">
        <v>0.45459830000000001</v>
      </c>
      <c r="F2880" t="s">
        <v>66</v>
      </c>
      <c r="G2880">
        <v>-511.9588</v>
      </c>
      <c r="H2880">
        <v>0.58106389999999997</v>
      </c>
      <c r="I2880">
        <v>279.25220000000002</v>
      </c>
      <c r="J2880">
        <v>-438.9975</v>
      </c>
      <c r="K2880">
        <v>1.121683</v>
      </c>
      <c r="L2880">
        <v>284.84339999999997</v>
      </c>
      <c r="M2880">
        <v>-0.99978829999999996</v>
      </c>
      <c r="N2880">
        <v>-1.4214620000000001E-2</v>
      </c>
      <c r="O2880">
        <v>1.487483E-2</v>
      </c>
      <c r="P2880">
        <v>-0.98499159999999997</v>
      </c>
      <c r="Q2880">
        <v>0.16454659999999999</v>
      </c>
      <c r="R2880">
        <v>5.2115019999999998E-2</v>
      </c>
      <c r="S2880">
        <v>-3.0622859999999998</v>
      </c>
      <c r="T2880">
        <v>-2.259564E-2</v>
      </c>
      <c r="U2880">
        <v>-0.23355100000000001</v>
      </c>
      <c r="V2880">
        <v>3.7447639999999997E-2</v>
      </c>
      <c r="W2880">
        <v>0.1785427</v>
      </c>
      <c r="X2880">
        <v>0.98321930000000002</v>
      </c>
      <c r="Y2880">
        <v>-9.0863299999999994E-2</v>
      </c>
      <c r="Z2880">
        <v>-8.8000950000000002E-4</v>
      </c>
      <c r="AA2880">
        <v>0.99586300000000005</v>
      </c>
      <c r="AB2880">
        <v>29</v>
      </c>
      <c r="AC2880">
        <v>-72.961299999999994</v>
      </c>
      <c r="AD2880">
        <v>-0.54061910000000002</v>
      </c>
      <c r="AE2880">
        <v>-5.59119999999995</v>
      </c>
      <c r="AF2880">
        <v>-6.6756135279746696</v>
      </c>
      <c r="AG2880">
        <v>-0.54061910000000002</v>
      </c>
      <c r="AH2880">
        <v>72.866072413624195</v>
      </c>
      <c r="AI2880">
        <v>90.423317071534399</v>
      </c>
      <c r="AJ2880">
        <v>95.234531318040993</v>
      </c>
      <c r="AK2880">
        <v>73.173223203393704</v>
      </c>
      <c r="AL2880">
        <v>79.715112368264499</v>
      </c>
      <c r="AM2880">
        <v>87.818843506648705</v>
      </c>
      <c r="AN2880">
        <v>1.0000000066786701</v>
      </c>
    </row>
    <row r="2881" spans="1:40" x14ac:dyDescent="0.25">
      <c r="A2881" t="str">
        <f>"20190303170312740"</f>
        <v>20190303170312740</v>
      </c>
      <c r="B2881" t="str">
        <f>"1551603792728590"</f>
        <v>1551603792728590</v>
      </c>
      <c r="C2881" t="s">
        <v>40</v>
      </c>
      <c r="D2881">
        <v>4.1872150000000001</v>
      </c>
      <c r="E2881">
        <v>0.45448430000000001</v>
      </c>
      <c r="F2881" t="s">
        <v>66</v>
      </c>
      <c r="G2881">
        <v>-511.9588</v>
      </c>
      <c r="H2881">
        <v>0.53130500000000003</v>
      </c>
      <c r="I2881">
        <v>279.22800000000001</v>
      </c>
      <c r="J2881">
        <v>-439.29070000000002</v>
      </c>
      <c r="K2881">
        <v>1.1216999999999999</v>
      </c>
      <c r="L2881">
        <v>284.84769999999997</v>
      </c>
      <c r="M2881">
        <v>-0.9997895</v>
      </c>
      <c r="N2881">
        <v>-1.421148E-2</v>
      </c>
      <c r="O2881">
        <v>1.4804869999999999E-2</v>
      </c>
      <c r="P2881">
        <v>-0.98507710000000004</v>
      </c>
      <c r="Q2881">
        <v>0.16434579999999999</v>
      </c>
      <c r="R2881">
        <v>5.1124339999999997E-2</v>
      </c>
      <c r="S2881">
        <v>-3.0623170000000002</v>
      </c>
      <c r="T2881">
        <v>-2.4775740000000001E-2</v>
      </c>
      <c r="U2881">
        <v>-0.23568729999999999</v>
      </c>
      <c r="V2881">
        <v>3.6518740000000001E-2</v>
      </c>
      <c r="W2881">
        <v>0.178341</v>
      </c>
      <c r="X2881">
        <v>0.98329089999999997</v>
      </c>
      <c r="Y2881">
        <v>-9.1482560000000004E-2</v>
      </c>
      <c r="Z2881">
        <v>-9.301283E-4</v>
      </c>
      <c r="AA2881">
        <v>0.99580619999999997</v>
      </c>
      <c r="AB2881">
        <v>29</v>
      </c>
      <c r="AC2881">
        <v>-72.668099999999896</v>
      </c>
      <c r="AD2881">
        <v>-0.590394999999999</v>
      </c>
      <c r="AE2881">
        <v>-5.6196999999999599</v>
      </c>
      <c r="AF2881">
        <v>-6.6945950235353102</v>
      </c>
      <c r="AG2881">
        <v>-0.590394999999999</v>
      </c>
      <c r="AH2881">
        <v>72.572164906850603</v>
      </c>
      <c r="AI2881">
        <v>90.464136485320495</v>
      </c>
      <c r="AJ2881">
        <v>95.270471802837903</v>
      </c>
      <c r="AK2881">
        <v>72.882681674402505</v>
      </c>
      <c r="AL2881">
        <v>79.726858007776897</v>
      </c>
      <c r="AM2881">
        <v>87.873052166750995</v>
      </c>
      <c r="AN2881">
        <v>1.0000000623374901</v>
      </c>
    </row>
    <row r="2882" spans="1:40" x14ac:dyDescent="0.25">
      <c r="A2882" t="str">
        <f>"20190303170312753"</f>
        <v>20190303170312753</v>
      </c>
      <c r="B2882" t="str">
        <f>"1551603792748110"</f>
        <v>1551603792748110</v>
      </c>
      <c r="C2882" t="s">
        <v>40</v>
      </c>
      <c r="D2882">
        <v>4.2647040000000001</v>
      </c>
      <c r="E2882">
        <v>0.45435890000000001</v>
      </c>
      <c r="F2882" t="s">
        <v>66</v>
      </c>
      <c r="G2882">
        <v>-511.9588</v>
      </c>
      <c r="H2882">
        <v>0.50361629999999902</v>
      </c>
      <c r="I2882">
        <v>279.16340000000002</v>
      </c>
      <c r="J2882">
        <v>-439.47070000000002</v>
      </c>
      <c r="K2882">
        <v>1.1217140000000001</v>
      </c>
      <c r="L2882">
        <v>284.8503</v>
      </c>
      <c r="M2882">
        <v>-0.99979019999999996</v>
      </c>
      <c r="N2882">
        <v>-1.420973E-2</v>
      </c>
      <c r="O2882">
        <v>1.475281E-2</v>
      </c>
      <c r="P2882">
        <v>-0.98505240000000005</v>
      </c>
      <c r="Q2882">
        <v>0.16470389999999999</v>
      </c>
      <c r="R2882">
        <v>5.0442889999999997E-2</v>
      </c>
      <c r="S2882">
        <v>-3.062195</v>
      </c>
      <c r="T2882">
        <v>-2.6042220000000001E-2</v>
      </c>
      <c r="U2882">
        <v>-0.23953250000000001</v>
      </c>
      <c r="V2882">
        <v>3.5885180000000003E-2</v>
      </c>
      <c r="W2882">
        <v>0.1786971</v>
      </c>
      <c r="X2882">
        <v>0.9832495</v>
      </c>
      <c r="Y2882">
        <v>-9.2675969999999996E-2</v>
      </c>
      <c r="Z2882">
        <v>-9.6897270000000004E-4</v>
      </c>
      <c r="AA2882">
        <v>0.99569580000000002</v>
      </c>
      <c r="AB2882">
        <v>29</v>
      </c>
      <c r="AC2882">
        <v>-72.488099999999903</v>
      </c>
      <c r="AD2882">
        <v>-0.61809769999999997</v>
      </c>
      <c r="AE2882">
        <v>-5.6868999999999801</v>
      </c>
      <c r="AF2882">
        <v>-6.7553039637890002</v>
      </c>
      <c r="AG2882">
        <v>-0.61809769999999997</v>
      </c>
      <c r="AH2882">
        <v>72.391072204094598</v>
      </c>
      <c r="AI2882">
        <v>90.487081404950999</v>
      </c>
      <c r="AJ2882">
        <v>95.331220364769095</v>
      </c>
      <c r="AK2882">
        <v>72.708208004793804</v>
      </c>
      <c r="AL2882">
        <v>79.706121128023298</v>
      </c>
      <c r="AM2882">
        <v>87.909831433247305</v>
      </c>
      <c r="AN2882">
        <v>0.99999998947114599</v>
      </c>
    </row>
    <row r="2883" spans="1:40" x14ac:dyDescent="0.25">
      <c r="A2883" t="str">
        <f>"20190303170312766"</f>
        <v>20190303170312766</v>
      </c>
      <c r="B2883" t="str">
        <f>"1551603792757870"</f>
        <v>1551603792757870</v>
      </c>
      <c r="C2883" t="s">
        <v>40</v>
      </c>
      <c r="D2883">
        <v>4.1833629999999999</v>
      </c>
      <c r="E2883">
        <v>0.45431769999999999</v>
      </c>
      <c r="F2883" t="s">
        <v>66</v>
      </c>
      <c r="G2883">
        <v>-511.9588</v>
      </c>
      <c r="H2883">
        <v>0.51825459999999901</v>
      </c>
      <c r="I2883">
        <v>279.1035</v>
      </c>
      <c r="J2883">
        <v>-439.62830000000002</v>
      </c>
      <c r="K2883">
        <v>1.1217250000000001</v>
      </c>
      <c r="L2883">
        <v>284.8526</v>
      </c>
      <c r="M2883">
        <v>-0.99979110000000004</v>
      </c>
      <c r="N2883">
        <v>-1.420825E-2</v>
      </c>
      <c r="O2883">
        <v>1.4695629999999999E-2</v>
      </c>
      <c r="P2883">
        <v>-0.98502579999999995</v>
      </c>
      <c r="Q2883">
        <v>0.16516120000000001</v>
      </c>
      <c r="R2883">
        <v>4.9456399999999998E-2</v>
      </c>
      <c r="S2883">
        <v>-3.062195</v>
      </c>
      <c r="T2883">
        <v>-2.5489089999999999E-2</v>
      </c>
      <c r="U2883">
        <v>-0.24276729999999999</v>
      </c>
      <c r="V2883">
        <v>3.4951540000000003E-2</v>
      </c>
      <c r="W2883">
        <v>0.17915309999999901</v>
      </c>
      <c r="X2883">
        <v>0.98320010000000002</v>
      </c>
      <c r="Y2883">
        <v>-9.3664490000000003E-2</v>
      </c>
      <c r="Z2883">
        <v>-9.694002E-4</v>
      </c>
      <c r="AA2883">
        <v>0.99560329999999997</v>
      </c>
      <c r="AB2883">
        <v>29</v>
      </c>
      <c r="AC2883">
        <v>-72.330499999999901</v>
      </c>
      <c r="AD2883">
        <v>-0.60347039999999996</v>
      </c>
      <c r="AE2883">
        <v>-5.7490999999999897</v>
      </c>
      <c r="AF2883">
        <v>-6.8110574406408304</v>
      </c>
      <c r="AG2883">
        <v>-0.60347039999999996</v>
      </c>
      <c r="AH2883">
        <v>72.233195970544202</v>
      </c>
      <c r="AI2883">
        <v>90.476551251798298</v>
      </c>
      <c r="AJ2883">
        <v>95.386642563233295</v>
      </c>
      <c r="AK2883">
        <v>72.556111252619004</v>
      </c>
      <c r="AL2883">
        <v>79.679565203363893</v>
      </c>
      <c r="AM2883">
        <v>87.964063665667695</v>
      </c>
      <c r="AN2883">
        <v>0.99999994001399395</v>
      </c>
    </row>
    <row r="2884" spans="1:40" x14ac:dyDescent="0.25">
      <c r="A2884" t="str">
        <f>"20190303170312779"</f>
        <v>20190303170312779</v>
      </c>
      <c r="B2884" t="str">
        <f>"1551603792768607"</f>
        <v>1551603792768607</v>
      </c>
      <c r="C2884" t="s">
        <v>40</v>
      </c>
      <c r="D2884">
        <v>4.1838350000000002</v>
      </c>
      <c r="E2884">
        <v>0.45425989999999999</v>
      </c>
      <c r="F2884" t="s">
        <v>66</v>
      </c>
      <c r="G2884">
        <v>-511.9588</v>
      </c>
      <c r="H2884">
        <v>0.54683159999999997</v>
      </c>
      <c r="I2884">
        <v>279.04219999999998</v>
      </c>
      <c r="J2884">
        <v>-439.79969999999997</v>
      </c>
      <c r="K2884">
        <v>1.1217379999999999</v>
      </c>
      <c r="L2884">
        <v>284.85500000000002</v>
      </c>
      <c r="M2884">
        <v>-0.99979229999999997</v>
      </c>
      <c r="N2884">
        <v>-1.420664E-2</v>
      </c>
      <c r="O2884">
        <v>1.46277E-2</v>
      </c>
      <c r="P2884">
        <v>-0.98499179999999997</v>
      </c>
      <c r="Q2884">
        <v>0.16559019999999999</v>
      </c>
      <c r="R2884">
        <v>4.8696759999999999E-2</v>
      </c>
      <c r="S2884">
        <v>-3.0620120000000002</v>
      </c>
      <c r="T2884">
        <v>-2.4333830000000001E-2</v>
      </c>
      <c r="U2884">
        <v>-0.24597169999999999</v>
      </c>
      <c r="V2884">
        <v>3.4254899999999998E-2</v>
      </c>
      <c r="W2884">
        <v>0.17958089999999999</v>
      </c>
      <c r="X2884">
        <v>0.98314659999999998</v>
      </c>
      <c r="Y2884">
        <v>-9.4637189999999996E-2</v>
      </c>
      <c r="Z2884">
        <v>-9.5742069999999997E-4</v>
      </c>
      <c r="AA2884">
        <v>0.99551140000000005</v>
      </c>
      <c r="AB2884">
        <v>29</v>
      </c>
      <c r="AC2884">
        <v>-72.159099999999995</v>
      </c>
      <c r="AD2884">
        <v>-0.57490639999999904</v>
      </c>
      <c r="AE2884">
        <v>-5.8128000000000304</v>
      </c>
      <c r="AF2884">
        <v>-6.8673728222214203</v>
      </c>
      <c r="AG2884">
        <v>-0.57490639999999904</v>
      </c>
      <c r="AH2884">
        <v>72.061796917383106</v>
      </c>
      <c r="AI2884">
        <v>90.455032456227499</v>
      </c>
      <c r="AJ2884">
        <v>95.443755275270505</v>
      </c>
      <c r="AK2884">
        <v>72.390565005463998</v>
      </c>
      <c r="AL2884">
        <v>79.654650285144399</v>
      </c>
      <c r="AM2884">
        <v>88.004501495441701</v>
      </c>
      <c r="AN2884">
        <v>0.99999996745518904</v>
      </c>
    </row>
    <row r="2885" spans="1:40" x14ac:dyDescent="0.25">
      <c r="A2885" t="str">
        <f>"20190303170312793"</f>
        <v>20190303170312793</v>
      </c>
      <c r="B2885" t="str">
        <f>"1551603792788125"</f>
        <v>1551603792788125</v>
      </c>
      <c r="C2885" t="s">
        <v>40</v>
      </c>
      <c r="D2885">
        <v>4.1804189999999997</v>
      </c>
      <c r="E2885">
        <v>0.4541616</v>
      </c>
      <c r="F2885" t="s">
        <v>66</v>
      </c>
      <c r="G2885">
        <v>-511.9588</v>
      </c>
      <c r="H2885">
        <v>0.5731001</v>
      </c>
      <c r="I2885">
        <v>278.99560000000002</v>
      </c>
      <c r="J2885">
        <v>-439.99939999999998</v>
      </c>
      <c r="K2885">
        <v>1.1217539999999999</v>
      </c>
      <c r="L2885">
        <v>284.8578</v>
      </c>
      <c r="M2885">
        <v>-0.99979340000000005</v>
      </c>
      <c r="N2885">
        <v>-1.4204710000000001E-2</v>
      </c>
      <c r="O2885">
        <v>1.4537309999999999E-2</v>
      </c>
      <c r="P2885">
        <v>-0.98502109999999998</v>
      </c>
      <c r="Q2885">
        <v>0.16572979999999901</v>
      </c>
      <c r="R2885">
        <v>4.7616199999999997E-2</v>
      </c>
      <c r="S2885">
        <v>-3.0618590000000001</v>
      </c>
      <c r="T2885">
        <v>-2.3276330000000001E-2</v>
      </c>
      <c r="U2885">
        <v>-0.24862670000000001</v>
      </c>
      <c r="V2885">
        <v>3.3257559999999999E-2</v>
      </c>
      <c r="W2885">
        <v>0.17971970000000001</v>
      </c>
      <c r="X2885">
        <v>0.98315549999999996</v>
      </c>
      <c r="Y2885">
        <v>-9.5409149999999998E-2</v>
      </c>
      <c r="Z2885">
        <v>-9.4505200000000004E-4</v>
      </c>
      <c r="AA2885">
        <v>0.99543769999999998</v>
      </c>
      <c r="AB2885">
        <v>29</v>
      </c>
      <c r="AC2885">
        <v>-71.959400000000002</v>
      </c>
      <c r="AD2885">
        <v>-0.54865390000000003</v>
      </c>
      <c r="AE2885">
        <v>-5.8621999999999703</v>
      </c>
      <c r="AF2885">
        <v>-6.9073831889732604</v>
      </c>
      <c r="AG2885">
        <v>-0.54865390000000003</v>
      </c>
      <c r="AH2885">
        <v>71.862415104310699</v>
      </c>
      <c r="AI2885">
        <v>90.435425569054601</v>
      </c>
      <c r="AJ2885">
        <v>95.490377675139001</v>
      </c>
      <c r="AK2885">
        <v>72.195703945910495</v>
      </c>
      <c r="AL2885">
        <v>79.646566305003205</v>
      </c>
      <c r="AM2885">
        <v>88.062573518175597</v>
      </c>
      <c r="AN2885">
        <v>0.99999998652274602</v>
      </c>
    </row>
    <row r="2886" spans="1:40" x14ac:dyDescent="0.25">
      <c r="A2886" t="str">
        <f>"20190303170312808"</f>
        <v>20190303170312808</v>
      </c>
      <c r="B2886" t="str">
        <f>"1551603792798862"</f>
        <v>1551603792798862</v>
      </c>
      <c r="C2886" t="s">
        <v>40</v>
      </c>
      <c r="D2886">
        <v>4.2077010000000001</v>
      </c>
      <c r="E2886">
        <v>0.45410610000000001</v>
      </c>
      <c r="F2886" t="s">
        <v>66</v>
      </c>
      <c r="G2886">
        <v>-511.9588</v>
      </c>
      <c r="H2886">
        <v>0.57407180000000002</v>
      </c>
      <c r="I2886">
        <v>278.92039999999997</v>
      </c>
      <c r="J2886">
        <v>-440.18</v>
      </c>
      <c r="K2886">
        <v>1.1217629999999901</v>
      </c>
      <c r="L2886">
        <v>284.86040000000003</v>
      </c>
      <c r="M2886">
        <v>-0.99979479999999998</v>
      </c>
      <c r="N2886">
        <v>-1.4202970000000001E-2</v>
      </c>
      <c r="O2886">
        <v>1.4443900000000001E-2</v>
      </c>
      <c r="P2886">
        <v>-0.98499320000000001</v>
      </c>
      <c r="Q2886">
        <v>0.1663261</v>
      </c>
      <c r="R2886">
        <v>4.6087179999999998E-2</v>
      </c>
      <c r="S2886">
        <v>-3.0617369999999999</v>
      </c>
      <c r="T2886">
        <v>-2.3299340000000002E-2</v>
      </c>
      <c r="U2886">
        <v>-0.25262449999999997</v>
      </c>
      <c r="V2886">
        <v>3.1815929999999999E-2</v>
      </c>
      <c r="W2886">
        <v>0.18031359999999999</v>
      </c>
      <c r="X2886">
        <v>0.98309449999999998</v>
      </c>
      <c r="Y2886">
        <v>-9.6610299999999996E-2</v>
      </c>
      <c r="Z2886">
        <v>-9.5922439999999998E-4</v>
      </c>
      <c r="AA2886">
        <v>0.99532180000000003</v>
      </c>
      <c r="AB2886">
        <v>29</v>
      </c>
      <c r="AC2886">
        <v>-71.778799999999904</v>
      </c>
      <c r="AD2886">
        <v>-0.54769119999999905</v>
      </c>
      <c r="AE2886">
        <v>-5.9400000000000501</v>
      </c>
      <c r="AF2886">
        <v>-6.9758472441947603</v>
      </c>
      <c r="AG2886">
        <v>-0.54769119999999905</v>
      </c>
      <c r="AH2886">
        <v>71.681360236793793</v>
      </c>
      <c r="AI2886">
        <v>90.435709400087603</v>
      </c>
      <c r="AJ2886">
        <v>95.558376086007897</v>
      </c>
      <c r="AK2886">
        <v>72.022078669126898</v>
      </c>
      <c r="AL2886">
        <v>79.611973583577594</v>
      </c>
      <c r="AM2886">
        <v>88.146381158051497</v>
      </c>
      <c r="AN2886">
        <v>1.0000000218384799</v>
      </c>
    </row>
    <row r="2887" spans="1:40" x14ac:dyDescent="0.25">
      <c r="A2887" t="str">
        <f>"20190303170312831"</f>
        <v>20190303170312831</v>
      </c>
      <c r="B2887" t="str">
        <f>"1551603792818383"</f>
        <v>1551603792818383</v>
      </c>
      <c r="C2887" t="s">
        <v>40</v>
      </c>
      <c r="D2887">
        <v>4.2027060000000001</v>
      </c>
      <c r="E2887">
        <v>0.45400770000000001</v>
      </c>
      <c r="F2887" t="s">
        <v>66</v>
      </c>
      <c r="G2887">
        <v>-511.9588</v>
      </c>
      <c r="H2887">
        <v>0.62476790000000004</v>
      </c>
      <c r="I2887">
        <v>278.79899999999998</v>
      </c>
      <c r="J2887">
        <v>-440.47059999999999</v>
      </c>
      <c r="K2887">
        <v>1.1217760000000001</v>
      </c>
      <c r="L2887">
        <v>284.86439999999999</v>
      </c>
      <c r="M2887">
        <v>-0.9997973</v>
      </c>
      <c r="N2887">
        <v>-1.420015E-2</v>
      </c>
      <c r="O2887">
        <v>1.428191E-2</v>
      </c>
      <c r="P2887">
        <v>-0.98504420000000004</v>
      </c>
      <c r="Q2887">
        <v>0.166221799999999</v>
      </c>
      <c r="R2887">
        <v>4.5371750000000002E-2</v>
      </c>
      <c r="S2887">
        <v>-3.06134</v>
      </c>
      <c r="T2887">
        <v>-2.1193150000000001E-2</v>
      </c>
      <c r="U2887">
        <v>-0.25851439999999998</v>
      </c>
      <c r="V2887">
        <v>3.1251939999999999E-2</v>
      </c>
      <c r="W2887">
        <v>0.18020849999999999</v>
      </c>
      <c r="X2887">
        <v>0.9831318</v>
      </c>
      <c r="Y2887">
        <v>-9.8361909999999997E-2</v>
      </c>
      <c r="Z2887">
        <v>-9.3581529999999999E-4</v>
      </c>
      <c r="AA2887">
        <v>0.99515030000000004</v>
      </c>
      <c r="AB2887">
        <v>29</v>
      </c>
      <c r="AC2887">
        <v>-71.488200000000006</v>
      </c>
      <c r="AD2887">
        <v>-0.49700810000000001</v>
      </c>
      <c r="AE2887">
        <v>-6.0653999999999497</v>
      </c>
      <c r="AF2887">
        <v>-7.0855320867048599</v>
      </c>
      <c r="AG2887">
        <v>-0.49700810000000001</v>
      </c>
      <c r="AH2887">
        <v>71.390847122761301</v>
      </c>
      <c r="AI2887">
        <v>90.396924645840897</v>
      </c>
      <c r="AJ2887">
        <v>95.668036072548801</v>
      </c>
      <c r="AK2887">
        <v>71.743326065277103</v>
      </c>
      <c r="AL2887">
        <v>79.618095025454494</v>
      </c>
      <c r="AM2887">
        <v>88.179286335856901</v>
      </c>
      <c r="AN2887">
        <v>0.99999996169862604</v>
      </c>
    </row>
    <row r="2888" spans="1:40" x14ac:dyDescent="0.25">
      <c r="A2888" t="str">
        <f>"20190303170312853"</f>
        <v>20190303170312853</v>
      </c>
      <c r="B2888" t="str">
        <f>"1551603792848637"</f>
        <v>1551603792848637</v>
      </c>
      <c r="C2888" t="s">
        <v>40</v>
      </c>
      <c r="D2888">
        <v>4.1719400000000002</v>
      </c>
      <c r="E2888">
        <v>0.45381389999999999</v>
      </c>
      <c r="F2888" t="s">
        <v>66</v>
      </c>
      <c r="G2888">
        <v>-511.9588</v>
      </c>
      <c r="H2888">
        <v>0.61382419999999904</v>
      </c>
      <c r="I2888">
        <v>278.75189999999998</v>
      </c>
      <c r="J2888">
        <v>-440.76530000000002</v>
      </c>
      <c r="K2888">
        <v>1.121794</v>
      </c>
      <c r="L2888">
        <v>284.86840000000001</v>
      </c>
      <c r="M2888">
        <v>-0.99979989999999996</v>
      </c>
      <c r="N2888">
        <v>-1.419726E-2</v>
      </c>
      <c r="O2888">
        <v>1.4102780000000001E-2</v>
      </c>
      <c r="P2888">
        <v>-0.98507699999999998</v>
      </c>
      <c r="Q2888">
        <v>0.166183</v>
      </c>
      <c r="R2888">
        <v>4.4797200000000002E-2</v>
      </c>
      <c r="S2888">
        <v>-3.0612789999999999</v>
      </c>
      <c r="T2888">
        <v>-2.1748070000000001E-2</v>
      </c>
      <c r="U2888">
        <v>-0.26174930000000002</v>
      </c>
      <c r="V2888">
        <v>3.0847639999999999E-2</v>
      </c>
      <c r="W2888">
        <v>0.1801682</v>
      </c>
      <c r="X2888">
        <v>0.98315200000000003</v>
      </c>
      <c r="Y2888">
        <v>-9.9228990000000003E-2</v>
      </c>
      <c r="Z2888">
        <v>-9.577365E-4</v>
      </c>
      <c r="AA2888">
        <v>0.99506410000000001</v>
      </c>
      <c r="AB2888">
        <v>29</v>
      </c>
      <c r="AC2888">
        <v>-71.193499999999901</v>
      </c>
      <c r="AD2888">
        <v>-0.50796980000000003</v>
      </c>
      <c r="AE2888">
        <v>-6.1165000000000296</v>
      </c>
      <c r="AF2888">
        <v>-7.1196591215533598</v>
      </c>
      <c r="AG2888">
        <v>-0.50796980000000003</v>
      </c>
      <c r="AH2888">
        <v>71.096557166818997</v>
      </c>
      <c r="AI2888">
        <v>90.407322028021099</v>
      </c>
      <c r="AJ2888">
        <v>95.718574820614805</v>
      </c>
      <c r="AK2888">
        <v>71.453957345269501</v>
      </c>
      <c r="AL2888">
        <v>79.620442934548194</v>
      </c>
      <c r="AM2888">
        <v>88.202861892035997</v>
      </c>
      <c r="AN2888">
        <v>1.0000000061444001</v>
      </c>
    </row>
    <row r="2889" spans="1:40" x14ac:dyDescent="0.25">
      <c r="A2889" t="str">
        <f>"20190303170312874"</f>
        <v>20190303170312874</v>
      </c>
      <c r="B2889" t="str">
        <f>"1551603792868159"</f>
        <v>1551603792868159</v>
      </c>
      <c r="C2889" t="s">
        <v>40</v>
      </c>
      <c r="D2889">
        <v>4.207516</v>
      </c>
      <c r="E2889">
        <v>0.45371080000000003</v>
      </c>
      <c r="F2889" t="s">
        <v>66</v>
      </c>
      <c r="G2889">
        <v>-511.9588</v>
      </c>
      <c r="H2889">
        <v>0.58750239999999998</v>
      </c>
      <c r="I2889">
        <v>278.71660000000003</v>
      </c>
      <c r="J2889">
        <v>-441.05029999999999</v>
      </c>
      <c r="K2889">
        <v>1.1218090000000001</v>
      </c>
      <c r="L2889">
        <v>284.8723</v>
      </c>
      <c r="M2889">
        <v>-0.99980239999999998</v>
      </c>
      <c r="N2889">
        <v>-1.4194439999999999E-2</v>
      </c>
      <c r="O2889">
        <v>1.3920210000000001E-2</v>
      </c>
      <c r="P2889">
        <v>-0.98496660000000003</v>
      </c>
      <c r="Q2889">
        <v>0.16668810000000001</v>
      </c>
      <c r="R2889">
        <v>4.5346310000000001E-2</v>
      </c>
      <c r="S2889">
        <v>-3.0613100000000002</v>
      </c>
      <c r="T2889">
        <v>-2.2970910000000001E-2</v>
      </c>
      <c r="U2889">
        <v>-0.26452639999999999</v>
      </c>
      <c r="V2889">
        <v>3.1574619999999998E-2</v>
      </c>
      <c r="W2889">
        <v>0.18066950000000001</v>
      </c>
      <c r="X2889">
        <v>0.98303689999999999</v>
      </c>
      <c r="Y2889">
        <v>-9.9941909999999995E-2</v>
      </c>
      <c r="Z2889">
        <v>-9.9201379999999998E-4</v>
      </c>
      <c r="AA2889">
        <v>0.99499280000000001</v>
      </c>
      <c r="AB2889">
        <v>29</v>
      </c>
      <c r="AC2889">
        <v>-70.908500000000004</v>
      </c>
      <c r="AD2889">
        <v>-0.53430659999999996</v>
      </c>
      <c r="AE2889">
        <v>-6.1556999999999604</v>
      </c>
      <c r="AF2889">
        <v>-7.1418615947734798</v>
      </c>
      <c r="AG2889">
        <v>-0.53430659999999996</v>
      </c>
      <c r="AH2889">
        <v>70.811940439986301</v>
      </c>
      <c r="AI2889">
        <v>90.430131091436195</v>
      </c>
      <c r="AJ2889">
        <v>95.759190677230706</v>
      </c>
      <c r="AK2889">
        <v>71.173187222843097</v>
      </c>
      <c r="AL2889">
        <v>79.591241144536696</v>
      </c>
      <c r="AM2889">
        <v>88.1603226412834</v>
      </c>
      <c r="AN2889">
        <v>0.99999998581000205</v>
      </c>
    </row>
    <row r="2890" spans="1:40" x14ac:dyDescent="0.25">
      <c r="A2890" t="str">
        <f>"20190303170312889"</f>
        <v>20190303170312889</v>
      </c>
      <c r="B2890" t="str">
        <f>"1551603792878894"</f>
        <v>1551603792878894</v>
      </c>
      <c r="C2890" t="s">
        <v>40</v>
      </c>
      <c r="D2890">
        <v>4.1835800000000001</v>
      </c>
      <c r="E2890">
        <v>0.45366970000000001</v>
      </c>
      <c r="F2890" t="s">
        <v>66</v>
      </c>
      <c r="G2890">
        <v>-511.9588</v>
      </c>
      <c r="H2890">
        <v>0.60924199999999995</v>
      </c>
      <c r="I2890">
        <v>278.76909999999998</v>
      </c>
      <c r="J2890">
        <v>-441.2432</v>
      </c>
      <c r="K2890">
        <v>1.1218129999999999</v>
      </c>
      <c r="L2890">
        <v>284.87479999999999</v>
      </c>
      <c r="M2890">
        <v>-0.99980420000000003</v>
      </c>
      <c r="N2890">
        <v>-1.419248E-2</v>
      </c>
      <c r="O2890">
        <v>1.379263E-2</v>
      </c>
      <c r="P2890">
        <v>-0.9848867</v>
      </c>
      <c r="Q2890">
        <v>0.16703299999999999</v>
      </c>
      <c r="R2890">
        <v>4.5809219999999998E-2</v>
      </c>
      <c r="S2890">
        <v>-3.0616759999999998</v>
      </c>
      <c r="T2890">
        <v>-2.212799E-2</v>
      </c>
      <c r="U2890">
        <v>-0.26351930000000001</v>
      </c>
      <c r="V2890">
        <v>3.216289E-2</v>
      </c>
      <c r="W2890">
        <v>0.1810119</v>
      </c>
      <c r="X2890">
        <v>0.98295489999999996</v>
      </c>
      <c r="Y2890">
        <v>-9.9480260000000001E-2</v>
      </c>
      <c r="Z2890">
        <v>-9.7025940000000004E-4</v>
      </c>
      <c r="AA2890">
        <v>0.99503900000000001</v>
      </c>
      <c r="AB2890">
        <v>29</v>
      </c>
      <c r="AC2890">
        <v>-70.715599999999995</v>
      </c>
      <c r="AD2890">
        <v>-0.512570999999999</v>
      </c>
      <c r="AE2890">
        <v>-6.1057000000000103</v>
      </c>
      <c r="AF2890">
        <v>-7.0802021633593002</v>
      </c>
      <c r="AG2890">
        <v>-0.512570999999999</v>
      </c>
      <c r="AH2890">
        <v>70.620966973107599</v>
      </c>
      <c r="AI2890">
        <v>90.413774506168394</v>
      </c>
      <c r="AJ2890">
        <v>95.725136548380604</v>
      </c>
      <c r="AK2890">
        <v>70.9768481120487</v>
      </c>
      <c r="AL2890">
        <v>79.571294841715201</v>
      </c>
      <c r="AM2890">
        <v>88.125915421780903</v>
      </c>
      <c r="AN2890">
        <v>1.00000004743438</v>
      </c>
    </row>
    <row r="2891" spans="1:40" x14ac:dyDescent="0.25">
      <c r="A2891" t="str">
        <f>"20190303170312903"</f>
        <v>20190303170312903</v>
      </c>
      <c r="B2891" t="str">
        <f>"1551603792898414"</f>
        <v>1551603792898414</v>
      </c>
      <c r="C2891" t="s">
        <v>40</v>
      </c>
      <c r="D2891">
        <v>4.1974609999999997</v>
      </c>
      <c r="E2891">
        <v>0.45358130000000002</v>
      </c>
      <c r="F2891" t="s">
        <v>66</v>
      </c>
      <c r="G2891">
        <v>-511.9588</v>
      </c>
      <c r="H2891">
        <v>0.633304599999999</v>
      </c>
      <c r="I2891">
        <v>278.81319999999999</v>
      </c>
      <c r="J2891">
        <v>-441.41370000000001</v>
      </c>
      <c r="K2891">
        <v>1.1218170000000001</v>
      </c>
      <c r="L2891">
        <v>284.87700000000001</v>
      </c>
      <c r="M2891">
        <v>-0.99980570000000002</v>
      </c>
      <c r="N2891">
        <v>-1.419072E-2</v>
      </c>
      <c r="O2891">
        <v>1.367925E-2</v>
      </c>
      <c r="P2891">
        <v>-0.98494389999999998</v>
      </c>
      <c r="Q2891">
        <v>0.166577799999999</v>
      </c>
      <c r="R2891">
        <v>4.6231300000000003E-2</v>
      </c>
      <c r="S2891">
        <v>-3.0618289999999999</v>
      </c>
      <c r="T2891">
        <v>-2.114773E-2</v>
      </c>
      <c r="U2891">
        <v>-0.2624512</v>
      </c>
      <c r="V2891">
        <v>3.2695130000000003E-2</v>
      </c>
      <c r="W2891">
        <v>0.18055650000000001</v>
      </c>
      <c r="X2891">
        <v>0.98302100000000003</v>
      </c>
      <c r="Y2891">
        <v>-9.9019040000000003E-2</v>
      </c>
      <c r="Z2891">
        <v>-9.4581699999999995E-4</v>
      </c>
      <c r="AA2891">
        <v>0.99508509999999994</v>
      </c>
      <c r="AB2891">
        <v>29</v>
      </c>
      <c r="AC2891">
        <v>-70.545099999999906</v>
      </c>
      <c r="AD2891">
        <v>-0.48851240000000001</v>
      </c>
      <c r="AE2891">
        <v>-6.0638000000000103</v>
      </c>
      <c r="AF2891">
        <v>-7.0279992503652702</v>
      </c>
      <c r="AG2891">
        <v>-0.48851240000000001</v>
      </c>
      <c r="AH2891">
        <v>70.452187874715904</v>
      </c>
      <c r="AI2891">
        <v>90.395318062796804</v>
      </c>
      <c r="AJ2891">
        <v>95.696727534924094</v>
      </c>
      <c r="AK2891">
        <v>70.803546480118897</v>
      </c>
      <c r="AL2891">
        <v>79.597823488527098</v>
      </c>
      <c r="AM2891">
        <v>88.095053247868194</v>
      </c>
      <c r="AN2891">
        <v>0.99999995382948204</v>
      </c>
    </row>
    <row r="2892" spans="1:40" x14ac:dyDescent="0.25">
      <c r="A2892" t="str">
        <f>"20190303170312916"</f>
        <v>20190303170312916</v>
      </c>
      <c r="B2892" t="str">
        <f>"1551603792908174"</f>
        <v>1551603792908174</v>
      </c>
      <c r="C2892" t="s">
        <v>40</v>
      </c>
      <c r="D2892">
        <v>4.193174</v>
      </c>
      <c r="E2892">
        <v>0.453517</v>
      </c>
      <c r="F2892" t="s">
        <v>66</v>
      </c>
      <c r="G2892">
        <v>-511.9588</v>
      </c>
      <c r="H2892">
        <v>0.593728699999999</v>
      </c>
      <c r="I2892">
        <v>278.8417</v>
      </c>
      <c r="J2892">
        <v>-441.59390000000002</v>
      </c>
      <c r="K2892">
        <v>1.1218189999999999</v>
      </c>
      <c r="L2892">
        <v>284.87939999999998</v>
      </c>
      <c r="M2892">
        <v>-0.99980749999999996</v>
      </c>
      <c r="N2892">
        <v>-1.4188839999999999E-2</v>
      </c>
      <c r="O2892">
        <v>1.3558850000000001E-2</v>
      </c>
      <c r="P2892">
        <v>-0.98499619999999999</v>
      </c>
      <c r="Q2892">
        <v>0.1661559</v>
      </c>
      <c r="R2892">
        <v>4.6636110000000001E-2</v>
      </c>
      <c r="S2892">
        <v>-3.0620120000000002</v>
      </c>
      <c r="T2892">
        <v>-2.2918109999999998E-2</v>
      </c>
      <c r="U2892">
        <v>-0.2619629</v>
      </c>
      <c r="V2892">
        <v>3.3217579999999997E-2</v>
      </c>
      <c r="W2892">
        <v>0.1801335</v>
      </c>
      <c r="X2892">
        <v>0.98308119999999999</v>
      </c>
      <c r="Y2892">
        <v>-9.8735879999999998E-2</v>
      </c>
      <c r="Z2892">
        <v>-9.7992460000000006E-4</v>
      </c>
      <c r="AA2892">
        <v>0.99511320000000003</v>
      </c>
      <c r="AB2892">
        <v>29</v>
      </c>
      <c r="AC2892">
        <v>-70.364899999999906</v>
      </c>
      <c r="AD2892">
        <v>-0.52809030000000001</v>
      </c>
      <c r="AE2892">
        <v>-6.0376999999999699</v>
      </c>
      <c r="AF2892">
        <v>-6.9909170620495296</v>
      </c>
      <c r="AG2892">
        <v>-0.52809030000000001</v>
      </c>
      <c r="AH2892">
        <v>70.272628668477196</v>
      </c>
      <c r="AI2892">
        <v>90.428447906331002</v>
      </c>
      <c r="AJ2892">
        <v>95.681251013271805</v>
      </c>
      <c r="AK2892">
        <v>70.621484979509503</v>
      </c>
      <c r="AL2892">
        <v>79.622464791520301</v>
      </c>
      <c r="AM2892">
        <v>88.064754649021594</v>
      </c>
      <c r="AN2892">
        <v>1.0000000656183701</v>
      </c>
    </row>
    <row r="2893" spans="1:40" x14ac:dyDescent="0.25">
      <c r="A2893" t="str">
        <f>"20190303170312929"</f>
        <v>20190303170312929</v>
      </c>
      <c r="B2893" t="str">
        <f>"1551603792918911"</f>
        <v>1551603792918911</v>
      </c>
      <c r="C2893" t="s">
        <v>40</v>
      </c>
      <c r="D2893">
        <v>4.2139739999999897</v>
      </c>
      <c r="E2893">
        <v>0.45346760000000003</v>
      </c>
      <c r="F2893" t="s">
        <v>66</v>
      </c>
      <c r="G2893">
        <v>-511.9588</v>
      </c>
      <c r="H2893">
        <v>0.55879630000000002</v>
      </c>
      <c r="I2893">
        <v>278.87369999999999</v>
      </c>
      <c r="J2893">
        <v>-441.77050000000003</v>
      </c>
      <c r="K2893">
        <v>1.12182</v>
      </c>
      <c r="L2893">
        <v>284.88159999999999</v>
      </c>
      <c r="M2893">
        <v>-0.99980919999999895</v>
      </c>
      <c r="N2893">
        <v>-1.418704E-2</v>
      </c>
      <c r="O2893">
        <v>1.344132E-2</v>
      </c>
      <c r="P2893">
        <v>-0.98504829999999999</v>
      </c>
      <c r="Q2893">
        <v>0.1658722</v>
      </c>
      <c r="R2893">
        <v>4.6549899999999998E-2</v>
      </c>
      <c r="S2893">
        <v>-3.0621640000000001</v>
      </c>
      <c r="T2893">
        <v>-2.4498220000000001E-2</v>
      </c>
      <c r="U2893">
        <v>-0.26135249999999999</v>
      </c>
      <c r="V2893">
        <v>3.3246539999999998E-2</v>
      </c>
      <c r="W2893">
        <v>0.17984829999999999</v>
      </c>
      <c r="X2893">
        <v>0.98313240000000002</v>
      </c>
      <c r="Y2893">
        <v>-9.8417099999999993E-2</v>
      </c>
      <c r="Z2893">
        <v>-1.009434E-3</v>
      </c>
      <c r="AA2893">
        <v>0.99514469999999999</v>
      </c>
      <c r="AB2893">
        <v>29</v>
      </c>
      <c r="AC2893">
        <v>-70.188299999999899</v>
      </c>
      <c r="AD2893">
        <v>-0.56302369999999902</v>
      </c>
      <c r="AE2893">
        <v>-6.0079000000000002</v>
      </c>
      <c r="AF2893">
        <v>-6.9504313427610898</v>
      </c>
      <c r="AG2893">
        <v>-0.56302369999999902</v>
      </c>
      <c r="AH2893">
        <v>70.096718131581</v>
      </c>
      <c r="AI2893">
        <v>90.457949804507905</v>
      </c>
      <c r="AJ2893">
        <v>95.662646482731901</v>
      </c>
      <c r="AK2893">
        <v>70.442709944716896</v>
      </c>
      <c r="AL2893">
        <v>79.639076473920298</v>
      </c>
      <c r="AM2893">
        <v>88.063169529021806</v>
      </c>
      <c r="AN2893">
        <v>1.0000000296823099</v>
      </c>
    </row>
    <row r="2894" spans="1:40" x14ac:dyDescent="0.25">
      <c r="A2894" t="str">
        <f>"20190303170312942"</f>
        <v>20190303170312942</v>
      </c>
      <c r="B2894" t="str">
        <f>"1551603792938430"</f>
        <v>1551603792938430</v>
      </c>
      <c r="C2894" t="s">
        <v>40</v>
      </c>
      <c r="D2894">
        <v>4.2115910000000003</v>
      </c>
      <c r="E2894">
        <v>0.45340570000000002</v>
      </c>
      <c r="F2894" t="s">
        <v>66</v>
      </c>
      <c r="G2894">
        <v>-511.9588</v>
      </c>
      <c r="H2894">
        <v>0.53358939999999999</v>
      </c>
      <c r="I2894">
        <v>278.88420000000002</v>
      </c>
      <c r="J2894">
        <v>-441.92129999999997</v>
      </c>
      <c r="K2894">
        <v>1.121818</v>
      </c>
      <c r="L2894">
        <v>284.88350000000003</v>
      </c>
      <c r="M2894">
        <v>-0.99981050000000005</v>
      </c>
      <c r="N2894">
        <v>-1.418554E-2</v>
      </c>
      <c r="O2894">
        <v>1.334191E-2</v>
      </c>
      <c r="P2894">
        <v>-0.9850236</v>
      </c>
      <c r="Q2894">
        <v>0.16597319999999999</v>
      </c>
      <c r="R2894">
        <v>4.6706770000000002E-2</v>
      </c>
      <c r="S2894">
        <v>-3.0622250000000002</v>
      </c>
      <c r="T2894">
        <v>-2.5660160000000001E-2</v>
      </c>
      <c r="U2894">
        <v>-0.26165769999999999</v>
      </c>
      <c r="V2894">
        <v>3.3501509999999998E-2</v>
      </c>
      <c r="W2894">
        <v>0.1799482</v>
      </c>
      <c r="X2894">
        <v>0.98310540000000002</v>
      </c>
      <c r="Y2894">
        <v>-9.8414409999999994E-2</v>
      </c>
      <c r="Z2894">
        <v>-1.0336480000000001E-3</v>
      </c>
      <c r="AA2894">
        <v>0.99514499999999995</v>
      </c>
      <c r="AB2894">
        <v>29</v>
      </c>
      <c r="AC2894">
        <v>-70.037499999999994</v>
      </c>
      <c r="AD2894">
        <v>-0.58822859999999999</v>
      </c>
      <c r="AE2894">
        <v>-5.9992999999999999</v>
      </c>
      <c r="AF2894">
        <v>-6.9328083648756698</v>
      </c>
      <c r="AG2894">
        <v>-0.58822859999999999</v>
      </c>
      <c r="AH2894">
        <v>69.946316713795298</v>
      </c>
      <c r="AI2894">
        <v>90.479480483570299</v>
      </c>
      <c r="AJ2894">
        <v>95.660448264699497</v>
      </c>
      <c r="AK2894">
        <v>70.2915148971517</v>
      </c>
      <c r="AL2894">
        <v>79.633257033295905</v>
      </c>
      <c r="AM2894">
        <v>88.048273727221101</v>
      </c>
      <c r="AN2894">
        <v>0.99999996668233904</v>
      </c>
    </row>
    <row r="2895" spans="1:40" x14ac:dyDescent="0.25">
      <c r="A2895" t="str">
        <f>"20190303170312957"</f>
        <v>20190303170312957</v>
      </c>
      <c r="B2895" t="str">
        <f>"1551603792948190"</f>
        <v>1551603792948190</v>
      </c>
      <c r="C2895" t="s">
        <v>40</v>
      </c>
      <c r="D2895">
        <v>4.219112</v>
      </c>
      <c r="E2895">
        <v>0.45334629999999998</v>
      </c>
      <c r="F2895" t="s">
        <v>66</v>
      </c>
      <c r="G2895">
        <v>-511.9588</v>
      </c>
      <c r="H2895">
        <v>0.52492340000000004</v>
      </c>
      <c r="I2895">
        <v>278.90499999999997</v>
      </c>
      <c r="J2895">
        <v>-442.1277</v>
      </c>
      <c r="K2895">
        <v>1.121815</v>
      </c>
      <c r="L2895">
        <v>284.8861</v>
      </c>
      <c r="M2895">
        <v>-0.99981220000000004</v>
      </c>
      <c r="N2895">
        <v>-1.418355E-2</v>
      </c>
      <c r="O2895">
        <v>1.320663E-2</v>
      </c>
      <c r="P2895">
        <v>-0.98506530000000003</v>
      </c>
      <c r="Q2895">
        <v>0.1658432</v>
      </c>
      <c r="R2895">
        <v>4.628488E-2</v>
      </c>
      <c r="S2895">
        <v>-3.062408</v>
      </c>
      <c r="T2895">
        <v>-2.6095750000000001E-2</v>
      </c>
      <c r="U2895">
        <v>-0.26141360000000002</v>
      </c>
      <c r="V2895">
        <v>3.3212400000000003E-2</v>
      </c>
      <c r="W2895">
        <v>0.17981639999999999</v>
      </c>
      <c r="X2895">
        <v>0.98313930000000005</v>
      </c>
      <c r="Y2895">
        <v>-9.8195770000000002E-2</v>
      </c>
      <c r="Z2895">
        <v>-1.0407050000000001E-3</v>
      </c>
      <c r="AA2895">
        <v>0.99516660000000001</v>
      </c>
      <c r="AB2895">
        <v>29</v>
      </c>
      <c r="AC2895">
        <v>-69.831099999999907</v>
      </c>
      <c r="AD2895">
        <v>-0.59689159999999997</v>
      </c>
      <c r="AE2895">
        <v>-5.9811000000000201</v>
      </c>
      <c r="AF2895">
        <v>-6.9024039103411896</v>
      </c>
      <c r="AG2895">
        <v>-0.59689159999999997</v>
      </c>
      <c r="AH2895">
        <v>69.740952266439393</v>
      </c>
      <c r="AI2895">
        <v>90.487981118132197</v>
      </c>
      <c r="AJ2895">
        <v>95.6522722674666</v>
      </c>
      <c r="AK2895">
        <v>70.084234192530204</v>
      </c>
      <c r="AL2895">
        <v>79.640933584025902</v>
      </c>
      <c r="AM2895">
        <v>88.0651704660185</v>
      </c>
      <c r="AN2895">
        <v>0.999999942213603</v>
      </c>
    </row>
    <row r="2896" spans="1:40" x14ac:dyDescent="0.25">
      <c r="A2896" t="str">
        <f>"20190303170312975"</f>
        <v>20190303170312975</v>
      </c>
      <c r="B2896" t="str">
        <f>"1551603792968686"</f>
        <v>1551603792968686</v>
      </c>
      <c r="C2896" t="s">
        <v>40</v>
      </c>
      <c r="D2896">
        <v>4.2125000000000004</v>
      </c>
      <c r="E2896">
        <v>0.45325919999999997</v>
      </c>
      <c r="F2896" t="s">
        <v>66</v>
      </c>
      <c r="G2896">
        <v>-511.9588</v>
      </c>
      <c r="H2896">
        <v>0.51622449999999998</v>
      </c>
      <c r="I2896">
        <v>278.87700000000001</v>
      </c>
      <c r="J2896">
        <v>-442.35849999999999</v>
      </c>
      <c r="K2896">
        <v>1.121812</v>
      </c>
      <c r="L2896">
        <v>284.88900000000001</v>
      </c>
      <c r="M2896">
        <v>-0.99981419999999999</v>
      </c>
      <c r="N2896">
        <v>-1.4181320000000001E-2</v>
      </c>
      <c r="O2896">
        <v>1.3056750000000001E-2</v>
      </c>
      <c r="P2896">
        <v>-0.98495359999999998</v>
      </c>
      <c r="Q2896">
        <v>0.16664760000000001</v>
      </c>
      <c r="R2896">
        <v>4.5774950000000002E-2</v>
      </c>
      <c r="S2896">
        <v>-3.0623469999999999</v>
      </c>
      <c r="T2896">
        <v>-2.6553750000000001E-2</v>
      </c>
      <c r="U2896">
        <v>-0.26351930000000001</v>
      </c>
      <c r="V2896">
        <v>3.2851789999999999E-2</v>
      </c>
      <c r="W2896">
        <v>0.18061650000000001</v>
      </c>
      <c r="X2896">
        <v>0.98300480000000001</v>
      </c>
      <c r="Y2896">
        <v>-9.8727280000000001E-2</v>
      </c>
      <c r="Z2896">
        <v>-1.056848E-3</v>
      </c>
      <c r="AA2896">
        <v>0.99511400000000005</v>
      </c>
      <c r="AB2896">
        <v>29</v>
      </c>
      <c r="AC2896">
        <v>-69.600300000000004</v>
      </c>
      <c r="AD2896">
        <v>-0.60558749999999995</v>
      </c>
      <c r="AE2896">
        <v>-6.0119999999999996</v>
      </c>
      <c r="AF2896">
        <v>-6.9198125229843797</v>
      </c>
      <c r="AG2896">
        <v>-0.60558749999999995</v>
      </c>
      <c r="AH2896">
        <v>69.510637379928596</v>
      </c>
      <c r="AI2896">
        <v>90.496702089245602</v>
      </c>
      <c r="AJ2896">
        <v>95.685087499088198</v>
      </c>
      <c r="AK2896">
        <v>69.856848272286996</v>
      </c>
      <c r="AL2896">
        <v>79.594328747207896</v>
      </c>
      <c r="AM2896">
        <v>88.085900873481094</v>
      </c>
      <c r="AN2896">
        <v>0.99999999850074694</v>
      </c>
    </row>
    <row r="2897" spans="1:40" x14ac:dyDescent="0.25">
      <c r="A2897" t="str">
        <f>"20190303170312990"</f>
        <v>20190303170312990</v>
      </c>
      <c r="B2897" t="str">
        <f>"1551603792978446"</f>
        <v>1551603792978446</v>
      </c>
      <c r="C2897" t="s">
        <v>40</v>
      </c>
      <c r="D2897">
        <v>4.1899819999999997</v>
      </c>
      <c r="E2897">
        <v>0.45321549999999999</v>
      </c>
      <c r="F2897" t="s">
        <v>66</v>
      </c>
      <c r="G2897">
        <v>-511.9588</v>
      </c>
      <c r="H2897">
        <v>0.56227299999999902</v>
      </c>
      <c r="I2897">
        <v>278.85680000000002</v>
      </c>
      <c r="J2897">
        <v>-442.54500000000002</v>
      </c>
      <c r="K2897">
        <v>1.121815</v>
      </c>
      <c r="L2897">
        <v>284.89139999999998</v>
      </c>
      <c r="M2897">
        <v>-0.99981580000000003</v>
      </c>
      <c r="N2897">
        <v>-1.417946E-2</v>
      </c>
      <c r="O2897">
        <v>1.2936670000000001E-2</v>
      </c>
      <c r="P2897">
        <v>-0.98499510000000001</v>
      </c>
      <c r="Q2897">
        <v>0.1666801</v>
      </c>
      <c r="R2897">
        <v>4.4748049999999998E-2</v>
      </c>
      <c r="S2897">
        <v>-3.0623170000000002</v>
      </c>
      <c r="T2897">
        <v>-2.4615290000000001E-2</v>
      </c>
      <c r="U2897">
        <v>-0.26541140000000002</v>
      </c>
      <c r="V2897">
        <v>3.1942640000000001E-2</v>
      </c>
      <c r="W2897">
        <v>0.18064749999999999</v>
      </c>
      <c r="X2897">
        <v>0.98302909999999999</v>
      </c>
      <c r="Y2897">
        <v>-9.9219769999999999E-2</v>
      </c>
      <c r="Z2897">
        <v>-1.023564E-3</v>
      </c>
      <c r="AA2897">
        <v>0.99506499999999998</v>
      </c>
      <c r="AB2897">
        <v>29</v>
      </c>
      <c r="AC2897">
        <v>-69.413799999999895</v>
      </c>
      <c r="AD2897">
        <v>-0.55954199999999998</v>
      </c>
      <c r="AE2897">
        <v>-6.0345999999999496</v>
      </c>
      <c r="AF2897">
        <v>-6.9317215602549096</v>
      </c>
      <c r="AG2897">
        <v>-0.55954199999999998</v>
      </c>
      <c r="AH2897">
        <v>69.3254437409594</v>
      </c>
      <c r="AI2897">
        <v>90.460143351614207</v>
      </c>
      <c r="AJ2897">
        <v>95.709919834267197</v>
      </c>
      <c r="AK2897">
        <v>69.673373686937197</v>
      </c>
      <c r="AL2897">
        <v>79.592523219783004</v>
      </c>
      <c r="AM2897">
        <v>88.138880400269102</v>
      </c>
      <c r="AN2897">
        <v>1.00000003147661</v>
      </c>
    </row>
    <row r="2898" spans="1:40" x14ac:dyDescent="0.25">
      <c r="A2898" t="str">
        <f>"20190303170313009"</f>
        <v>20190303170313009</v>
      </c>
      <c r="B2898" t="str">
        <f>"1551603792997966"</f>
        <v>1551603792997966</v>
      </c>
      <c r="C2898" t="s">
        <v>40</v>
      </c>
      <c r="D2898">
        <v>4.1825900000000003</v>
      </c>
      <c r="E2898">
        <v>0.45315889999999998</v>
      </c>
      <c r="F2898" t="s">
        <v>66</v>
      </c>
      <c r="G2898">
        <v>-511.9588</v>
      </c>
      <c r="H2898">
        <v>0.55636450000000004</v>
      </c>
      <c r="I2898">
        <v>278.80020000000002</v>
      </c>
      <c r="J2898">
        <v>-442.78910000000002</v>
      </c>
      <c r="K2898">
        <v>1.121812</v>
      </c>
      <c r="L2898">
        <v>284.89429999999999</v>
      </c>
      <c r="M2898">
        <v>-0.99981790000000004</v>
      </c>
      <c r="N2898">
        <v>-1.417709E-2</v>
      </c>
      <c r="O2898">
        <v>1.277941E-2</v>
      </c>
      <c r="P2898">
        <v>-0.98501819999999896</v>
      </c>
      <c r="Q2898">
        <v>0.1668338</v>
      </c>
      <c r="R2898">
        <v>4.3656010000000002E-2</v>
      </c>
      <c r="S2898">
        <v>-3.0621339999999999</v>
      </c>
      <c r="T2898">
        <v>-2.4940730000000001E-2</v>
      </c>
      <c r="U2898">
        <v>-0.26870729999999998</v>
      </c>
      <c r="V2898">
        <v>3.1005669999999999E-2</v>
      </c>
      <c r="W2898">
        <v>0.1807985</v>
      </c>
      <c r="X2898">
        <v>0.98303130000000005</v>
      </c>
      <c r="Y2898">
        <v>-0.100131</v>
      </c>
      <c r="Z2898">
        <v>-1.0412830000000001E-3</v>
      </c>
      <c r="AA2898">
        <v>0.99497369999999996</v>
      </c>
      <c r="AB2898">
        <v>29</v>
      </c>
      <c r="AC2898">
        <v>-69.169699999999906</v>
      </c>
      <c r="AD2898">
        <v>-0.56544749999999999</v>
      </c>
      <c r="AE2898">
        <v>-6.0940999999999601</v>
      </c>
      <c r="AF2898">
        <v>-6.9771763238659501</v>
      </c>
      <c r="AG2898">
        <v>-0.56544749999999999</v>
      </c>
      <c r="AH2898">
        <v>69.081582677989502</v>
      </c>
      <c r="AI2898">
        <v>90.466594036761194</v>
      </c>
      <c r="AJ2898">
        <v>95.767263840927498</v>
      </c>
      <c r="AK2898">
        <v>69.435335281292296</v>
      </c>
      <c r="AL2898">
        <v>79.583726308896402</v>
      </c>
      <c r="AM2898">
        <v>88.193439738928902</v>
      </c>
      <c r="AN2898">
        <v>0.99999999297704401</v>
      </c>
    </row>
    <row r="2899" spans="1:40" x14ac:dyDescent="0.25">
      <c r="A2899" t="str">
        <f>"20190303170313033"</f>
        <v>20190303170313033</v>
      </c>
      <c r="B2899" t="str">
        <f>"1551603793018462"</f>
        <v>1551603793018462</v>
      </c>
      <c r="C2899" t="s">
        <v>40</v>
      </c>
      <c r="D2899">
        <v>4.1384879999999997</v>
      </c>
      <c r="E2899">
        <v>0.45317610000000003</v>
      </c>
      <c r="F2899" t="s">
        <v>66</v>
      </c>
      <c r="G2899">
        <v>-511.9588</v>
      </c>
      <c r="H2899">
        <v>0.56762279999999998</v>
      </c>
      <c r="I2899">
        <v>278.73169999999999</v>
      </c>
      <c r="J2899">
        <v>-443.07729999999998</v>
      </c>
      <c r="K2899">
        <v>1.1218140000000001</v>
      </c>
      <c r="L2899">
        <v>284.89780000000002</v>
      </c>
      <c r="M2899">
        <v>-0.99982040000000005</v>
      </c>
      <c r="N2899">
        <v>-1.417418E-2</v>
      </c>
      <c r="O2899">
        <v>1.2595210000000001E-2</v>
      </c>
      <c r="P2899">
        <v>-0.98508450000000003</v>
      </c>
      <c r="Q2899">
        <v>0.16654169999999999</v>
      </c>
      <c r="R2899">
        <v>4.3273579999999999E-2</v>
      </c>
      <c r="S2899">
        <v>-3.06189</v>
      </c>
      <c r="T2899">
        <v>-2.452826E-2</v>
      </c>
      <c r="U2899">
        <v>-0.2727966</v>
      </c>
      <c r="V2899">
        <v>3.0804419999999999E-2</v>
      </c>
      <c r="W2899">
        <v>0.180504</v>
      </c>
      <c r="X2899">
        <v>0.98309179999999996</v>
      </c>
      <c r="Y2899">
        <v>-0.10127319999999999</v>
      </c>
      <c r="Z2899">
        <v>-1.046597E-3</v>
      </c>
      <c r="AA2899">
        <v>0.99485809999999997</v>
      </c>
      <c r="AB2899">
        <v>29</v>
      </c>
      <c r="AC2899">
        <v>-68.881500000000003</v>
      </c>
      <c r="AD2899">
        <v>-0.554191199999999</v>
      </c>
      <c r="AE2899">
        <v>-6.1661000000000197</v>
      </c>
      <c r="AF2899">
        <v>-7.0328231227185602</v>
      </c>
      <c r="AG2899">
        <v>-0.554191199999999</v>
      </c>
      <c r="AH2899">
        <v>68.793946200049902</v>
      </c>
      <c r="AI2899">
        <v>90.459161116640601</v>
      </c>
      <c r="AJ2899">
        <v>95.837084388573402</v>
      </c>
      <c r="AK2899">
        <v>69.154716127947196</v>
      </c>
      <c r="AL2899">
        <v>79.6008827435613</v>
      </c>
      <c r="AM2899">
        <v>88.2052683554693</v>
      </c>
      <c r="AN2899">
        <v>1.00000004676738</v>
      </c>
    </row>
    <row r="2900" spans="1:40" x14ac:dyDescent="0.25">
      <c r="A2900" t="str">
        <f>"20190303170313054"</f>
        <v>20190303170313054</v>
      </c>
      <c r="B2900" t="str">
        <f>"1551603793048718"</f>
        <v>1551603793048718</v>
      </c>
      <c r="C2900" t="s">
        <v>40</v>
      </c>
      <c r="D2900">
        <v>4.1987610000000002</v>
      </c>
      <c r="E2900">
        <v>0.4993996</v>
      </c>
      <c r="F2900" t="s">
        <v>66</v>
      </c>
      <c r="G2900">
        <v>-511.9588</v>
      </c>
      <c r="H2900">
        <v>0.54426009999999903</v>
      </c>
      <c r="I2900">
        <v>278.72829999999999</v>
      </c>
      <c r="J2900">
        <v>-443.37599999999998</v>
      </c>
      <c r="K2900">
        <v>1.1218129999999999</v>
      </c>
      <c r="L2900">
        <v>284.90140000000002</v>
      </c>
      <c r="M2900">
        <v>-0.99982269999999895</v>
      </c>
      <c r="N2900">
        <v>-1.4171090000000001E-2</v>
      </c>
      <c r="O2900">
        <v>1.240465E-2</v>
      </c>
      <c r="P2900">
        <v>-0.98514159999999995</v>
      </c>
      <c r="Q2900">
        <v>0.16643479999999999</v>
      </c>
      <c r="R2900">
        <v>4.2376940000000002E-2</v>
      </c>
      <c r="S2900">
        <v>-3.0617679999999998</v>
      </c>
      <c r="T2900">
        <v>-2.56685E-2</v>
      </c>
      <c r="U2900">
        <v>-0.274231</v>
      </c>
      <c r="V2900">
        <v>3.009568E-2</v>
      </c>
      <c r="W2900">
        <v>0.18039430000000001</v>
      </c>
      <c r="X2900">
        <v>0.98313390000000001</v>
      </c>
      <c r="Y2900">
        <v>-0.1015489</v>
      </c>
      <c r="Z2900">
        <v>-1.074221E-3</v>
      </c>
      <c r="AA2900">
        <v>0.99482999999999999</v>
      </c>
      <c r="AB2900">
        <v>29</v>
      </c>
      <c r="AC2900">
        <v>-68.582800000000006</v>
      </c>
      <c r="AD2900">
        <v>-0.57755290000000004</v>
      </c>
      <c r="AE2900">
        <v>-6.17310000000003</v>
      </c>
      <c r="AF2900">
        <v>-7.0229619068364899</v>
      </c>
      <c r="AG2900">
        <v>-0.57755290000000004</v>
      </c>
      <c r="AH2900">
        <v>68.496120774762304</v>
      </c>
      <c r="AI2900">
        <v>90.480581867984696</v>
      </c>
      <c r="AJ2900">
        <v>95.854125219019096</v>
      </c>
      <c r="AK2900">
        <v>68.857636631589401</v>
      </c>
      <c r="AL2900">
        <v>79.607273123073895</v>
      </c>
      <c r="AM2900">
        <v>88.246610028675903</v>
      </c>
      <c r="AN2900">
        <v>1.0000000593781699</v>
      </c>
    </row>
    <row r="2901" spans="1:40" x14ac:dyDescent="0.25">
      <c r="A2901" t="str">
        <f>"20190303170313076"</f>
        <v>20190303170313076</v>
      </c>
      <c r="B2901" t="str">
        <f>"1551603793068239"</f>
        <v>1551603793068239</v>
      </c>
      <c r="C2901" t="s">
        <v>40</v>
      </c>
      <c r="D2901">
        <v>4.2404809999999999</v>
      </c>
      <c r="E2901">
        <v>0.54911580000000004</v>
      </c>
      <c r="F2901" t="s">
        <v>62</v>
      </c>
      <c r="G2901">
        <v>-456.0641</v>
      </c>
      <c r="H2901" s="1">
        <v>1.6637419999999999E-6</v>
      </c>
      <c r="I2901">
        <v>285.22250000000003</v>
      </c>
      <c r="J2901">
        <v>-443.65210000000002</v>
      </c>
      <c r="K2901">
        <v>1.1218189999999999</v>
      </c>
      <c r="L2901">
        <v>284.90449999999998</v>
      </c>
      <c r="M2901">
        <v>-0.99982490000000002</v>
      </c>
      <c r="N2901">
        <v>-1.4168190000000001E-2</v>
      </c>
      <c r="O2901">
        <v>1.222838E-2</v>
      </c>
      <c r="P2901">
        <v>-0.98517279999999996</v>
      </c>
      <c r="Q2901">
        <v>0.1665526</v>
      </c>
      <c r="R2901">
        <v>4.1169860000000003E-2</v>
      </c>
      <c r="S2901">
        <v>-3.0880429999999999</v>
      </c>
      <c r="T2901">
        <v>-0.27302659999999901</v>
      </c>
      <c r="U2901">
        <v>7.8155520000000006E-2</v>
      </c>
      <c r="V2901">
        <v>2.9062149999999998E-2</v>
      </c>
      <c r="W2901">
        <v>0.18050910000000001</v>
      </c>
      <c r="X2901">
        <v>0.98314389999999996</v>
      </c>
      <c r="Y2901">
        <v>1.3047950000000001E-2</v>
      </c>
      <c r="Z2901">
        <v>-2.376031E-4</v>
      </c>
      <c r="AA2901">
        <v>0.99991479999999999</v>
      </c>
      <c r="AB2901">
        <v>29</v>
      </c>
      <c r="AC2901">
        <v>-12.4119999999999</v>
      </c>
      <c r="AD2901">
        <v>-1.121817336258</v>
      </c>
      <c r="AE2901">
        <v>0.31800000000003997</v>
      </c>
      <c r="AF2901">
        <v>0.16483669510724699</v>
      </c>
      <c r="AG2901">
        <v>-1.121817336258</v>
      </c>
      <c r="AH2901">
        <v>12.3144320667919</v>
      </c>
      <c r="AI2901">
        <v>95.204687102163504</v>
      </c>
      <c r="AJ2901">
        <v>89.233104468297199</v>
      </c>
      <c r="AK2901">
        <v>12.3665226478431</v>
      </c>
      <c r="AL2901">
        <v>79.600585541064305</v>
      </c>
      <c r="AM2901">
        <v>88.306805562228405</v>
      </c>
      <c r="AN2901">
        <v>1.0000000359263199</v>
      </c>
    </row>
    <row r="2902" spans="1:40" x14ac:dyDescent="0.25">
      <c r="A2902" t="str">
        <f>"20190303170313091"</f>
        <v>20190303170313091</v>
      </c>
      <c r="B2902" t="str">
        <f>"1551603793077998"</f>
        <v>1551603793077998</v>
      </c>
      <c r="C2902" t="s">
        <v>40</v>
      </c>
      <c r="D2902">
        <v>4.206683</v>
      </c>
      <c r="E2902">
        <v>0.54955269999999901</v>
      </c>
      <c r="F2902" t="s">
        <v>43</v>
      </c>
      <c r="G2902">
        <v>-444.57749999999999</v>
      </c>
      <c r="H2902">
        <v>0.94172999999999996</v>
      </c>
      <c r="I2902">
        <v>285.03910000000002</v>
      </c>
      <c r="J2902">
        <v>-443.85750000000002</v>
      </c>
      <c r="K2902">
        <v>1.12182</v>
      </c>
      <c r="L2902">
        <v>284.90699999999998</v>
      </c>
      <c r="M2902">
        <v>-0.99982649999999995</v>
      </c>
      <c r="N2902">
        <v>-1.416602E-2</v>
      </c>
      <c r="O2902">
        <v>1.2097399999999999E-2</v>
      </c>
      <c r="P2902">
        <v>-0.98507999999999996</v>
      </c>
      <c r="Q2902">
        <v>0.16722919999999999</v>
      </c>
      <c r="R2902">
        <v>4.0648129999999998E-2</v>
      </c>
      <c r="S2902">
        <v>-3.129181</v>
      </c>
      <c r="T2902">
        <v>-0.60914019999999902</v>
      </c>
      <c r="U2902">
        <v>0.45306400000000002</v>
      </c>
      <c r="V2902">
        <v>2.86708E-2</v>
      </c>
      <c r="W2902">
        <v>0.18118210000000001</v>
      </c>
      <c r="X2902">
        <v>0.98303160000000001</v>
      </c>
      <c r="Y2902">
        <v>0.1289506</v>
      </c>
      <c r="Z2902">
        <v>1.114707E-2</v>
      </c>
      <c r="AA2902">
        <v>0.99158840000000004</v>
      </c>
      <c r="AB2902">
        <v>29</v>
      </c>
      <c r="AC2902">
        <v>-0.71999999999997</v>
      </c>
      <c r="AD2902">
        <v>-0.18009</v>
      </c>
      <c r="AE2902">
        <v>0.13210000000003599</v>
      </c>
      <c r="AF2902">
        <v>0.116337961063155</v>
      </c>
      <c r="AG2902">
        <v>-0.18009</v>
      </c>
      <c r="AH2902">
        <v>0.68036628146585099</v>
      </c>
      <c r="AI2902">
        <v>104.62298017684</v>
      </c>
      <c r="AJ2902">
        <v>80.296659813063798</v>
      </c>
      <c r="AK2902">
        <v>0.71334788584533004</v>
      </c>
      <c r="AL2902">
        <v>79.561379146139899</v>
      </c>
      <c r="AM2902">
        <v>88.329402343254401</v>
      </c>
      <c r="AN2902">
        <v>1.0000000473657999</v>
      </c>
    </row>
    <row r="2903" spans="1:40" x14ac:dyDescent="0.25">
      <c r="A2903" t="str">
        <f>"20190303170313106"</f>
        <v>20190303170313106</v>
      </c>
      <c r="B2903" t="str">
        <f>"1551603793098494"</f>
        <v>1551603793098494</v>
      </c>
      <c r="C2903" t="s">
        <v>40</v>
      </c>
      <c r="D2903">
        <v>4.2254430000000003</v>
      </c>
      <c r="E2903">
        <v>0.550181699999999</v>
      </c>
      <c r="F2903" t="s">
        <v>43</v>
      </c>
      <c r="G2903">
        <v>-444.59390000000002</v>
      </c>
      <c r="H2903">
        <v>0.97641979999999995</v>
      </c>
      <c r="I2903">
        <v>285.0145</v>
      </c>
      <c r="J2903">
        <v>-444.03739999999999</v>
      </c>
      <c r="K2903">
        <v>1.121826</v>
      </c>
      <c r="L2903">
        <v>284.90899999999999</v>
      </c>
      <c r="M2903">
        <v>-0.99982789999999999</v>
      </c>
      <c r="N2903">
        <v>-1.4164080000000001E-2</v>
      </c>
      <c r="O2903">
        <v>1.1982799999999899E-2</v>
      </c>
      <c r="P2903">
        <v>-0.98505529999999997</v>
      </c>
      <c r="Q2903">
        <v>0.1675218</v>
      </c>
      <c r="R2903">
        <v>4.0030879999999998E-2</v>
      </c>
      <c r="S2903">
        <v>-3.1317439999999999</v>
      </c>
      <c r="T2903">
        <v>-0.61850669999999996</v>
      </c>
      <c r="U2903">
        <v>0.45483400000000002</v>
      </c>
      <c r="V2903">
        <v>2.8166710000000001E-2</v>
      </c>
      <c r="W2903">
        <v>0.18147199999999999</v>
      </c>
      <c r="X2903">
        <v>0.98299259999999999</v>
      </c>
      <c r="Y2903">
        <v>0.12942129999999999</v>
      </c>
      <c r="Z2903">
        <v>1.1360189999999999E-2</v>
      </c>
      <c r="AA2903">
        <v>0.99152459999999998</v>
      </c>
      <c r="AB2903">
        <v>29</v>
      </c>
      <c r="AC2903">
        <v>-0.55650000000002797</v>
      </c>
      <c r="AD2903">
        <v>-0.14540619999999899</v>
      </c>
      <c r="AE2903">
        <v>0.10550000000000601</v>
      </c>
      <c r="AF2903">
        <v>9.2713300665852205E-2</v>
      </c>
      <c r="AG2903">
        <v>-0.14540619999999899</v>
      </c>
      <c r="AH2903">
        <v>0.52324149509067197</v>
      </c>
      <c r="AI2903">
        <v>105.303391497891</v>
      </c>
      <c r="AJ2903">
        <v>79.952035865613993</v>
      </c>
      <c r="AK2903">
        <v>0.55092683843094703</v>
      </c>
      <c r="AL2903">
        <v>79.544488092828303</v>
      </c>
      <c r="AM2903">
        <v>88.358693502180401</v>
      </c>
      <c r="AN2903">
        <v>0.99999995099548999</v>
      </c>
    </row>
    <row r="2904" spans="1:40" x14ac:dyDescent="0.25">
      <c r="A2904" t="str">
        <f>"20190303170313119"</f>
        <v>20190303170313119</v>
      </c>
      <c r="B2904" t="str">
        <f>"1551603793108254"</f>
        <v>1551603793108254</v>
      </c>
      <c r="C2904" t="s">
        <v>40</v>
      </c>
      <c r="D2904">
        <v>4.2012720000000003</v>
      </c>
      <c r="E2904">
        <v>0.55038669999999901</v>
      </c>
      <c r="F2904" t="s">
        <v>43</v>
      </c>
      <c r="G2904">
        <v>-444.8426</v>
      </c>
      <c r="H2904">
        <v>0.95941869999999996</v>
      </c>
      <c r="I2904">
        <v>285.02670000000001</v>
      </c>
      <c r="J2904">
        <v>-444.2099</v>
      </c>
      <c r="K2904">
        <v>1.121826</v>
      </c>
      <c r="L2904">
        <v>284.91090000000003</v>
      </c>
      <c r="M2904">
        <v>-0.99982939999999998</v>
      </c>
      <c r="N2904">
        <v>-1.416222E-2</v>
      </c>
      <c r="O2904">
        <v>1.187291E-2</v>
      </c>
      <c r="P2904">
        <v>-0.98501430000000001</v>
      </c>
      <c r="Q2904">
        <v>0.16780339999999999</v>
      </c>
      <c r="R2904">
        <v>3.986435E-2</v>
      </c>
      <c r="S2904">
        <v>-3.13443</v>
      </c>
      <c r="T2904">
        <v>-0.63220050000000005</v>
      </c>
      <c r="U2904">
        <v>0.4577637</v>
      </c>
      <c r="V2904">
        <v>2.8108870000000001E-2</v>
      </c>
      <c r="W2904">
        <v>0.18175089999999999</v>
      </c>
      <c r="X2904">
        <v>0.98294280000000001</v>
      </c>
      <c r="Y2904">
        <v>0.1301998</v>
      </c>
      <c r="Z2904">
        <v>1.167704E-2</v>
      </c>
      <c r="AA2904">
        <v>0.99141900000000005</v>
      </c>
      <c r="AB2904">
        <v>29</v>
      </c>
      <c r="AC2904">
        <v>-0.63269999999999904</v>
      </c>
      <c r="AD2904">
        <v>-0.1624073</v>
      </c>
      <c r="AE2904">
        <v>0.115799999999978</v>
      </c>
      <c r="AF2904">
        <v>0.101789624182186</v>
      </c>
      <c r="AG2904">
        <v>-0.1624073</v>
      </c>
      <c r="AH2904">
        <v>0.59603119483004896</v>
      </c>
      <c r="AI2904">
        <v>105.034386527922</v>
      </c>
      <c r="AJ2904">
        <v>80.308579345197302</v>
      </c>
      <c r="AK2904">
        <v>0.62609140218898995</v>
      </c>
      <c r="AL2904">
        <v>79.528238831197399</v>
      </c>
      <c r="AM2904">
        <v>88.361979127859001</v>
      </c>
      <c r="AN2904">
        <v>1.00000002314766</v>
      </c>
    </row>
    <row r="2905" spans="1:40" x14ac:dyDescent="0.25">
      <c r="A2905" t="str">
        <f>"20190303170313131"</f>
        <v>20190303170313131</v>
      </c>
      <c r="B2905" t="str">
        <f>"1551603793118015"</f>
        <v>1551603793118015</v>
      </c>
      <c r="C2905" t="s">
        <v>40</v>
      </c>
      <c r="D2905">
        <v>4.1757350000000004</v>
      </c>
      <c r="E2905">
        <v>0.55061910000000003</v>
      </c>
      <c r="F2905" t="s">
        <v>43</v>
      </c>
      <c r="G2905">
        <v>-445.09140000000002</v>
      </c>
      <c r="H2905">
        <v>0.94282630000000001</v>
      </c>
      <c r="I2905">
        <v>285.0401</v>
      </c>
      <c r="J2905">
        <v>-444.3707</v>
      </c>
      <c r="K2905">
        <v>1.1218269999999999</v>
      </c>
      <c r="L2905">
        <v>284.9128</v>
      </c>
      <c r="M2905">
        <v>-0.99983060000000001</v>
      </c>
      <c r="N2905">
        <v>-1.4160509999999999E-2</v>
      </c>
      <c r="O2905">
        <v>1.1770350000000001E-2</v>
      </c>
      <c r="P2905">
        <v>-0.98495299999999997</v>
      </c>
      <c r="Q2905">
        <v>0.16825899999999999</v>
      </c>
      <c r="R2905">
        <v>3.9458819999999999E-2</v>
      </c>
      <c r="S2905">
        <v>-3.1356199999999999</v>
      </c>
      <c r="T2905">
        <v>-0.63678219999999996</v>
      </c>
      <c r="U2905">
        <v>0.45825199999999999</v>
      </c>
      <c r="V2905">
        <v>2.7805179999999999E-2</v>
      </c>
      <c r="W2905">
        <v>0.1822039</v>
      </c>
      <c r="X2905">
        <v>0.98286750000000001</v>
      </c>
      <c r="Y2905">
        <v>0.13036030000000001</v>
      </c>
      <c r="Z2905">
        <v>1.178439E-2</v>
      </c>
      <c r="AA2905">
        <v>0.99139670000000002</v>
      </c>
      <c r="AB2905">
        <v>29</v>
      </c>
      <c r="AC2905">
        <v>-0.72070000000002199</v>
      </c>
      <c r="AD2905">
        <v>-0.17900070000000001</v>
      </c>
      <c r="AE2905">
        <v>0.127299999999991</v>
      </c>
      <c r="AF2905">
        <v>0.112101361114211</v>
      </c>
      <c r="AG2905">
        <v>-0.17900070000000001</v>
      </c>
      <c r="AH2905">
        <v>0.681386951764823</v>
      </c>
      <c r="AI2905">
        <v>104.532126273617</v>
      </c>
      <c r="AJ2905">
        <v>80.657424444484505</v>
      </c>
      <c r="AK2905">
        <v>0.71336957027862202</v>
      </c>
      <c r="AL2905">
        <v>79.501842392298002</v>
      </c>
      <c r="AM2905">
        <v>88.379542850967596</v>
      </c>
      <c r="AN2905">
        <v>0.99999995588314505</v>
      </c>
    </row>
    <row r="2906" spans="1:40" x14ac:dyDescent="0.25">
      <c r="A2906" t="str">
        <f>"20190303170313147"</f>
        <v>20190303170313147</v>
      </c>
      <c r="B2906" t="str">
        <f>"1551603793138510"</f>
        <v>1551603793138510</v>
      </c>
      <c r="C2906" t="s">
        <v>40</v>
      </c>
      <c r="D2906">
        <v>4.2014110000000002</v>
      </c>
      <c r="E2906">
        <v>0.55129469999999903</v>
      </c>
      <c r="F2906" t="s">
        <v>43</v>
      </c>
      <c r="G2906">
        <v>-445.10509999999999</v>
      </c>
      <c r="H2906">
        <v>0.9718677</v>
      </c>
      <c r="I2906">
        <v>285.0204</v>
      </c>
      <c r="J2906">
        <v>-444.57260000000002</v>
      </c>
      <c r="K2906">
        <v>1.121828</v>
      </c>
      <c r="L2906">
        <v>284.91500000000002</v>
      </c>
      <c r="M2906">
        <v>-0.99983200000000005</v>
      </c>
      <c r="N2906">
        <v>-1.415834E-2</v>
      </c>
      <c r="O2906">
        <v>1.1641510000000001E-2</v>
      </c>
      <c r="P2906">
        <v>-0.98500290000000001</v>
      </c>
      <c r="Q2906">
        <v>0.16804249999999901</v>
      </c>
      <c r="R2906">
        <v>3.9128120000000002E-2</v>
      </c>
      <c r="S2906">
        <v>-3.1369319999999998</v>
      </c>
      <c r="T2906">
        <v>-0.64060799999999996</v>
      </c>
      <c r="U2906">
        <v>0.45803830000000001</v>
      </c>
      <c r="V2906">
        <v>2.7600840000000001E-2</v>
      </c>
      <c r="W2906">
        <v>0.1819858</v>
      </c>
      <c r="X2906">
        <v>0.9829137</v>
      </c>
      <c r="Y2906">
        <v>0.13033330000000001</v>
      </c>
      <c r="Z2906">
        <v>1.1864090000000001E-2</v>
      </c>
      <c r="AA2906">
        <v>0.99139920000000004</v>
      </c>
      <c r="AB2906">
        <v>29</v>
      </c>
      <c r="AC2906">
        <v>-0.53249999999997</v>
      </c>
      <c r="AD2906">
        <v>-0.14996029999999999</v>
      </c>
      <c r="AE2906">
        <v>0.105399999999974</v>
      </c>
      <c r="AF2906">
        <v>9.2159740894249803E-2</v>
      </c>
      <c r="AG2906">
        <v>-0.14996029999999999</v>
      </c>
      <c r="AH2906">
        <v>0.49584913982551698</v>
      </c>
      <c r="AI2906">
        <v>106.559273819941</v>
      </c>
      <c r="AJ2906">
        <v>79.471009193668806</v>
      </c>
      <c r="AK2906">
        <v>0.52616335760245703</v>
      </c>
      <c r="AL2906">
        <v>79.514551438023105</v>
      </c>
      <c r="AM2906">
        <v>88.391520862654204</v>
      </c>
      <c r="AN2906">
        <v>0.99999998970901705</v>
      </c>
    </row>
    <row r="2907" spans="1:40" x14ac:dyDescent="0.25">
      <c r="A2907" t="str">
        <f>"20190303170313164"</f>
        <v>20190303170313164</v>
      </c>
      <c r="B2907" t="str">
        <f>"1551603793158031"</f>
        <v>1551603793158031</v>
      </c>
      <c r="C2907" t="s">
        <v>40</v>
      </c>
      <c r="D2907">
        <v>4.2068580000000004</v>
      </c>
      <c r="E2907">
        <v>0.55184409999999995</v>
      </c>
      <c r="F2907" t="s">
        <v>43</v>
      </c>
      <c r="G2907">
        <v>-445.35570000000001</v>
      </c>
      <c r="H2907">
        <v>0.95988609999999996</v>
      </c>
      <c r="I2907">
        <v>285.03019999999998</v>
      </c>
      <c r="J2907">
        <v>-444.79640000000001</v>
      </c>
      <c r="K2907">
        <v>1.121834</v>
      </c>
      <c r="L2907">
        <v>284.91750000000002</v>
      </c>
      <c r="M2907">
        <v>-0.99983379999999999</v>
      </c>
      <c r="N2907">
        <v>-1.4155930000000001E-2</v>
      </c>
      <c r="O2907">
        <v>1.149843E-2</v>
      </c>
      <c r="P2907">
        <v>-0.98515359999999996</v>
      </c>
      <c r="Q2907">
        <v>0.16746639999999999</v>
      </c>
      <c r="R2907">
        <v>3.7786159999999999E-2</v>
      </c>
      <c r="S2907">
        <v>-3.1380309999999998</v>
      </c>
      <c r="T2907">
        <v>-0.64895740000000002</v>
      </c>
      <c r="U2907">
        <v>0.46197510000000003</v>
      </c>
      <c r="V2907">
        <v>2.6398620000000001E-2</v>
      </c>
      <c r="W2907">
        <v>0.18140909999999999</v>
      </c>
      <c r="X2907">
        <v>0.98305330000000002</v>
      </c>
      <c r="Y2907">
        <v>0.13155059999999999</v>
      </c>
      <c r="Z2907">
        <v>1.2156739999999999E-2</v>
      </c>
      <c r="AA2907">
        <v>0.99123490000000003</v>
      </c>
      <c r="AB2907">
        <v>29</v>
      </c>
      <c r="AC2907">
        <v>-0.55930000000000701</v>
      </c>
      <c r="AD2907">
        <v>-0.16194790000000001</v>
      </c>
      <c r="AE2907">
        <v>0.112699999999961</v>
      </c>
      <c r="AF2907">
        <v>9.8337715870672096E-2</v>
      </c>
      <c r="AG2907">
        <v>-0.16194790000000001</v>
      </c>
      <c r="AH2907">
        <v>0.51876211061340505</v>
      </c>
      <c r="AI2907">
        <v>107.051785745779</v>
      </c>
      <c r="AJ2907">
        <v>79.266241879538995</v>
      </c>
      <c r="AK2907">
        <v>0.55227851314816301</v>
      </c>
      <c r="AL2907">
        <v>79.548153022465499</v>
      </c>
      <c r="AM2907">
        <v>88.461765912605799</v>
      </c>
      <c r="AN2907">
        <v>0.99999996967080096</v>
      </c>
    </row>
    <row r="2908" spans="1:40" x14ac:dyDescent="0.25">
      <c r="A2908" t="str">
        <f>"20190303170313187"</f>
        <v>20190303170313187</v>
      </c>
      <c r="B2908" t="str">
        <f>"1551603793178526"</f>
        <v>1551603793178526</v>
      </c>
      <c r="C2908" t="s">
        <v>40</v>
      </c>
      <c r="D2908">
        <v>4.2339060000000002</v>
      </c>
      <c r="E2908">
        <v>0.55220729999999996</v>
      </c>
      <c r="F2908" t="s">
        <v>43</v>
      </c>
      <c r="G2908">
        <v>-445.60820000000001</v>
      </c>
      <c r="H2908">
        <v>0.9526308</v>
      </c>
      <c r="I2908">
        <v>285.03750000000002</v>
      </c>
      <c r="J2908">
        <v>-445.08089999999999</v>
      </c>
      <c r="K2908">
        <v>1.1218379999999999</v>
      </c>
      <c r="L2908">
        <v>284.9205</v>
      </c>
      <c r="M2908">
        <v>-0.99983580000000005</v>
      </c>
      <c r="N2908">
        <v>-1.415286E-2</v>
      </c>
      <c r="O2908">
        <v>1.1316730000000001E-2</v>
      </c>
      <c r="P2908">
        <v>-0.98520870000000005</v>
      </c>
      <c r="Q2908">
        <v>0.167436</v>
      </c>
      <c r="R2908">
        <v>3.6453970000000002E-2</v>
      </c>
      <c r="S2908">
        <v>-3.1386720000000001</v>
      </c>
      <c r="T2908">
        <v>-0.6541981</v>
      </c>
      <c r="U2908">
        <v>0.4631653</v>
      </c>
      <c r="V2908">
        <v>2.5244920000000001E-2</v>
      </c>
      <c r="W2908">
        <v>0.1813758</v>
      </c>
      <c r="X2908">
        <v>0.98308980000000001</v>
      </c>
      <c r="Y2908">
        <v>0.1320151</v>
      </c>
      <c r="Z2908">
        <v>1.232725E-2</v>
      </c>
      <c r="AA2908">
        <v>0.99117109999999997</v>
      </c>
      <c r="AB2908">
        <v>29</v>
      </c>
      <c r="AC2908">
        <v>-0.52730000000002497</v>
      </c>
      <c r="AD2908">
        <v>-0.169207199999999</v>
      </c>
      <c r="AE2908">
        <v>0.11700000000001801</v>
      </c>
      <c r="AF2908">
        <v>0.10110232036195201</v>
      </c>
      <c r="AG2908">
        <v>-0.169207199999999</v>
      </c>
      <c r="AH2908">
        <v>0.48135025225414702</v>
      </c>
      <c r="AI2908">
        <v>108.984221009181</v>
      </c>
      <c r="AJ2908">
        <v>78.138081342190304</v>
      </c>
      <c r="AK2908">
        <v>0.52014500003320396</v>
      </c>
      <c r="AL2908">
        <v>79.550093697988402</v>
      </c>
      <c r="AM2908">
        <v>88.529015801137504</v>
      </c>
      <c r="AN2908">
        <v>1.00000002083774</v>
      </c>
    </row>
    <row r="2909" spans="1:40" x14ac:dyDescent="0.25">
      <c r="A2909" t="str">
        <f>"20190303170313210"</f>
        <v>20190303170313210</v>
      </c>
      <c r="B2909" t="str">
        <f>"1551603793198046"</f>
        <v>1551603793198046</v>
      </c>
      <c r="C2909" t="s">
        <v>40</v>
      </c>
      <c r="D2909">
        <v>4.2389599999999996</v>
      </c>
      <c r="E2909">
        <v>0.5524329</v>
      </c>
      <c r="F2909" t="s">
        <v>43</v>
      </c>
      <c r="G2909">
        <v>-445.86630000000002</v>
      </c>
      <c r="H2909">
        <v>0.95774159999999997</v>
      </c>
      <c r="I2909">
        <v>285.03649999999999</v>
      </c>
      <c r="J2909">
        <v>-445.36900000000003</v>
      </c>
      <c r="K2909">
        <v>1.121837</v>
      </c>
      <c r="L2909">
        <v>284.92349999999999</v>
      </c>
      <c r="M2909">
        <v>-0.99983789999999995</v>
      </c>
      <c r="N2909">
        <v>-1.4149770000000001E-2</v>
      </c>
      <c r="O2909">
        <v>1.1132049999999999E-2</v>
      </c>
      <c r="P2909">
        <v>-0.98518220000000001</v>
      </c>
      <c r="Q2909">
        <v>0.1676861</v>
      </c>
      <c r="R2909">
        <v>3.6024899999999999E-2</v>
      </c>
      <c r="S2909">
        <v>-3.1393740000000001</v>
      </c>
      <c r="T2909">
        <v>-0.6559258</v>
      </c>
      <c r="U2909">
        <v>0.46276859999999997</v>
      </c>
      <c r="V2909">
        <v>2.4998469999999998E-2</v>
      </c>
      <c r="W2909">
        <v>0.18162200000000001</v>
      </c>
      <c r="X2909">
        <v>0.9830506</v>
      </c>
      <c r="Y2909">
        <v>0.13202710000000001</v>
      </c>
      <c r="Z2909">
        <v>1.2390409999999999E-2</v>
      </c>
      <c r="AA2909">
        <v>0.99116870000000001</v>
      </c>
      <c r="AB2909">
        <v>29</v>
      </c>
      <c r="AC2909">
        <v>-0.49729999999999502</v>
      </c>
      <c r="AD2909">
        <v>-0.1640954</v>
      </c>
      <c r="AE2909">
        <v>0.112999999999999</v>
      </c>
      <c r="AF2909">
        <v>9.7374674105848102E-2</v>
      </c>
      <c r="AG2909">
        <v>-0.1640954</v>
      </c>
      <c r="AH2909">
        <v>0.45175431974915697</v>
      </c>
      <c r="AI2909">
        <v>109.549198430647</v>
      </c>
      <c r="AJ2909">
        <v>77.836120375119506</v>
      </c>
      <c r="AK2909">
        <v>0.49039891197922097</v>
      </c>
      <c r="AL2909">
        <v>79.535748781798105</v>
      </c>
      <c r="AM2909">
        <v>88.543311801918904</v>
      </c>
      <c r="AN2909">
        <v>0.99999997827334997</v>
      </c>
    </row>
    <row r="2910" spans="1:40" x14ac:dyDescent="0.25">
      <c r="A2910" t="str">
        <f>"20190303170313233"</f>
        <v>20190303170313233</v>
      </c>
      <c r="B2910" t="str">
        <f>"1551603793218542"</f>
        <v>1551603793218542</v>
      </c>
      <c r="C2910" t="s">
        <v>40</v>
      </c>
      <c r="D2910">
        <v>4.241987</v>
      </c>
      <c r="E2910">
        <v>0.55275410000000003</v>
      </c>
      <c r="F2910" t="s">
        <v>43</v>
      </c>
      <c r="G2910">
        <v>-446.12459999999999</v>
      </c>
      <c r="H2910">
        <v>0.96383110000000005</v>
      </c>
      <c r="I2910">
        <v>285.03539999999998</v>
      </c>
      <c r="J2910">
        <v>-445.6567</v>
      </c>
      <c r="K2910">
        <v>1.1218349999999999</v>
      </c>
      <c r="L2910">
        <v>284.92649999999998</v>
      </c>
      <c r="M2910">
        <v>-0.9998399</v>
      </c>
      <c r="N2910">
        <v>-1.414667E-2</v>
      </c>
      <c r="O2910">
        <v>1.094814E-2</v>
      </c>
      <c r="P2910">
        <v>-0.98533230000000005</v>
      </c>
      <c r="Q2910">
        <v>0.16698550000000001</v>
      </c>
      <c r="R2910">
        <v>3.5158469999999997E-2</v>
      </c>
      <c r="S2910">
        <v>-3.1399539999999999</v>
      </c>
      <c r="T2910">
        <v>-0.65663769999999999</v>
      </c>
      <c r="U2910">
        <v>0.46362300000000001</v>
      </c>
      <c r="V2910">
        <v>2.4311940000000001E-2</v>
      </c>
      <c r="W2910">
        <v>0.18092</v>
      </c>
      <c r="X2910">
        <v>0.98319730000000005</v>
      </c>
      <c r="Y2910">
        <v>0.13242979999999999</v>
      </c>
      <c r="Z2910">
        <v>1.2479560000000001E-2</v>
      </c>
      <c r="AA2910">
        <v>0.99111380000000004</v>
      </c>
      <c r="AB2910">
        <v>29</v>
      </c>
      <c r="AC2910">
        <v>-0.46789999999998599</v>
      </c>
      <c r="AD2910">
        <v>-0.1580039</v>
      </c>
      <c r="AE2910">
        <v>0.10890000000000501</v>
      </c>
      <c r="AF2910">
        <v>9.36408965762872E-2</v>
      </c>
      <c r="AG2910">
        <v>-0.1580039</v>
      </c>
      <c r="AH2910">
        <v>0.42327711874407498</v>
      </c>
      <c r="AI2910">
        <v>110.025514011491</v>
      </c>
      <c r="AJ2910">
        <v>77.525468889490398</v>
      </c>
      <c r="AK2910">
        <v>0.46140802894954802</v>
      </c>
      <c r="AL2910">
        <v>79.576648470188701</v>
      </c>
      <c r="AM2910">
        <v>88.583511418230103</v>
      </c>
      <c r="AN2910">
        <v>1.00000002377692</v>
      </c>
    </row>
    <row r="2911" spans="1:40" x14ac:dyDescent="0.25">
      <c r="A2911" t="str">
        <f>"20190303170313254"</f>
        <v>20190303170313254</v>
      </c>
      <c r="B2911" t="str">
        <f>"1551603793248798"</f>
        <v>1551603793248798</v>
      </c>
      <c r="C2911" t="s">
        <v>40</v>
      </c>
      <c r="D2911">
        <v>4.232869</v>
      </c>
      <c r="E2911">
        <v>0.56396400000000002</v>
      </c>
      <c r="F2911" t="s">
        <v>43</v>
      </c>
      <c r="G2911">
        <v>-446.38229999999999</v>
      </c>
      <c r="H2911">
        <v>0.96934869999999995</v>
      </c>
      <c r="I2911">
        <v>285.03399999999999</v>
      </c>
      <c r="J2911">
        <v>-445.93849999999998</v>
      </c>
      <c r="K2911">
        <v>1.121837</v>
      </c>
      <c r="L2911">
        <v>284.92939999999999</v>
      </c>
      <c r="M2911">
        <v>-0.99984200000000001</v>
      </c>
      <c r="N2911">
        <v>-1.4143660000000001E-2</v>
      </c>
      <c r="O2911">
        <v>1.076763E-2</v>
      </c>
      <c r="P2911">
        <v>-0.98565069999999999</v>
      </c>
      <c r="Q2911">
        <v>0.16545319999999999</v>
      </c>
      <c r="R2911">
        <v>3.344109E-2</v>
      </c>
      <c r="S2911">
        <v>-3.1398929999999998</v>
      </c>
      <c r="T2911">
        <v>-0.65981669999999903</v>
      </c>
      <c r="U2911">
        <v>0.46450809999999998</v>
      </c>
      <c r="V2911">
        <v>2.2769790000000002E-2</v>
      </c>
      <c r="W2911">
        <v>0.1793891</v>
      </c>
      <c r="X2911">
        <v>0.98351469999999996</v>
      </c>
      <c r="Y2911">
        <v>0.1328462</v>
      </c>
      <c r="Z2911">
        <v>1.2614169999999999E-2</v>
      </c>
      <c r="AA2911">
        <v>0.99105639999999995</v>
      </c>
      <c r="AB2911">
        <v>29</v>
      </c>
      <c r="AC2911">
        <v>-0.44380000000001002</v>
      </c>
      <c r="AD2911">
        <v>-0.15248829999999999</v>
      </c>
      <c r="AE2911">
        <v>0.104600000000004</v>
      </c>
      <c r="AF2911">
        <v>8.9773950046644097E-2</v>
      </c>
      <c r="AG2911">
        <v>-0.15248829999999999</v>
      </c>
      <c r="AH2911">
        <v>0.40014604821861899</v>
      </c>
      <c r="AI2911">
        <v>110.397066684178</v>
      </c>
      <c r="AJ2911">
        <v>77.354907727967301</v>
      </c>
      <c r="AK2911">
        <v>0.43752588911839801</v>
      </c>
      <c r="AL2911">
        <v>79.665821766518903</v>
      </c>
      <c r="AM2911">
        <v>88.6737566240418</v>
      </c>
      <c r="AN2911">
        <v>1.0000000388257699</v>
      </c>
    </row>
    <row r="2912" spans="1:40" x14ac:dyDescent="0.25">
      <c r="A2912" t="str">
        <f>"20190303170313277"</f>
        <v>20190303170313277</v>
      </c>
      <c r="B2912" t="str">
        <f>"1551603793268319"</f>
        <v>1551603793268319</v>
      </c>
      <c r="C2912" t="s">
        <v>40</v>
      </c>
      <c r="D2912">
        <v>4.1976399999999998</v>
      </c>
      <c r="E2912">
        <v>0.56445190000000001</v>
      </c>
      <c r="F2912" t="s">
        <v>43</v>
      </c>
      <c r="G2912">
        <v>-446.63709999999998</v>
      </c>
      <c r="H2912">
        <v>0.96902500000000003</v>
      </c>
      <c r="I2912">
        <v>285.05169999999998</v>
      </c>
      <c r="J2912">
        <v>-446.21730000000002</v>
      </c>
      <c r="K2912">
        <v>1.1218399999999999</v>
      </c>
      <c r="L2912">
        <v>284.93220000000002</v>
      </c>
      <c r="M2912">
        <v>-0.99984410000000001</v>
      </c>
      <c r="N2912">
        <v>-1.4140649999999999E-2</v>
      </c>
      <c r="O2912">
        <v>1.0589090000000001E-2</v>
      </c>
      <c r="P2912">
        <v>-0.98582530000000002</v>
      </c>
      <c r="Q2912">
        <v>0.1649542</v>
      </c>
      <c r="R2912">
        <v>3.0639449999999999E-2</v>
      </c>
      <c r="S2912">
        <v>-3.1403810000000001</v>
      </c>
      <c r="T2912">
        <v>-0.68704900000000002</v>
      </c>
      <c r="U2912">
        <v>0.54788210000000004</v>
      </c>
      <c r="V2912">
        <v>2.0142509999999999E-2</v>
      </c>
      <c r="W2912">
        <v>0.17888799999999999</v>
      </c>
      <c r="X2912">
        <v>0.98366330000000002</v>
      </c>
      <c r="Y2912">
        <v>0.15777169999999999</v>
      </c>
      <c r="Z2912">
        <v>1.594537E-2</v>
      </c>
      <c r="AA2912">
        <v>0.98734690000000003</v>
      </c>
      <c r="AB2912">
        <v>29</v>
      </c>
      <c r="AC2912">
        <v>-0.41979999999995199</v>
      </c>
      <c r="AD2912">
        <v>-0.15281499999999901</v>
      </c>
      <c r="AE2912">
        <v>0.119499999999959</v>
      </c>
      <c r="AF2912">
        <v>0.10248522407347301</v>
      </c>
      <c r="AG2912">
        <v>-0.15281499999999901</v>
      </c>
      <c r="AH2912">
        <v>0.37506735204687802</v>
      </c>
      <c r="AI2912">
        <v>111.456087650914</v>
      </c>
      <c r="AJ2912">
        <v>74.717282724785406</v>
      </c>
      <c r="AK2912">
        <v>0.41776927118906998</v>
      </c>
      <c r="AL2912">
        <v>79.695004995676499</v>
      </c>
      <c r="AM2912">
        <v>88.826916133946199</v>
      </c>
      <c r="AN2912">
        <v>1.0000000625099901</v>
      </c>
    </row>
    <row r="2913" spans="1:40" x14ac:dyDescent="0.25">
      <c r="A2913" t="str">
        <f>"20190303170313299"</f>
        <v>20190303170313299</v>
      </c>
      <c r="B2913" t="str">
        <f>"1551603793288718"</f>
        <v>1551603793288718</v>
      </c>
      <c r="C2913" t="s">
        <v>40</v>
      </c>
      <c r="D2913">
        <v>4.2246079999999999</v>
      </c>
      <c r="E2913">
        <v>0.56458229999999998</v>
      </c>
      <c r="F2913" t="s">
        <v>43</v>
      </c>
      <c r="G2913">
        <v>-447.12509999999997</v>
      </c>
      <c r="H2913">
        <v>0.92312729999999998</v>
      </c>
      <c r="I2913">
        <v>285.08980000000003</v>
      </c>
      <c r="J2913">
        <v>-446.50549999999998</v>
      </c>
      <c r="K2913">
        <v>1.121842</v>
      </c>
      <c r="L2913">
        <v>284.935</v>
      </c>
      <c r="M2913">
        <v>-0.99984589999999995</v>
      </c>
      <c r="N2913">
        <v>-1.4137520000000001E-2</v>
      </c>
      <c r="O2913">
        <v>1.040465E-2</v>
      </c>
      <c r="P2913">
        <v>-0.98565009999999997</v>
      </c>
      <c r="Q2913">
        <v>0.16640629999999901</v>
      </c>
      <c r="R2913">
        <v>2.8332920000000001E-2</v>
      </c>
      <c r="S2913">
        <v>-3.1412960000000001</v>
      </c>
      <c r="T2913">
        <v>-0.68763509999999906</v>
      </c>
      <c r="U2913">
        <v>0.54489140000000003</v>
      </c>
      <c r="V2913">
        <v>1.80196E-2</v>
      </c>
      <c r="W2913">
        <v>0.1803333</v>
      </c>
      <c r="X2913">
        <v>0.98344050000000005</v>
      </c>
      <c r="Y2913">
        <v>0.15700310000000001</v>
      </c>
      <c r="Z2913">
        <v>1.5903230000000001E-2</v>
      </c>
      <c r="AA2913">
        <v>0.98746999999999996</v>
      </c>
      <c r="AB2913">
        <v>28</v>
      </c>
      <c r="AC2913">
        <v>-0.61959999999999105</v>
      </c>
      <c r="AD2913">
        <v>-0.19871469999999899</v>
      </c>
      <c r="AE2913">
        <v>0.154800000000022</v>
      </c>
      <c r="AF2913">
        <v>0.135250062049901</v>
      </c>
      <c r="AG2913">
        <v>-0.19871469999999899</v>
      </c>
      <c r="AH2913">
        <v>0.56634659186125502</v>
      </c>
      <c r="AI2913">
        <v>108.843465251552</v>
      </c>
      <c r="AJ2913">
        <v>76.568673020408994</v>
      </c>
      <c r="AK2913">
        <v>0.61524675813323204</v>
      </c>
      <c r="AL2913">
        <v>79.6108259323195</v>
      </c>
      <c r="AM2913">
        <v>88.950285747249694</v>
      </c>
      <c r="AN2913">
        <v>1.00000001105665</v>
      </c>
    </row>
    <row r="2914" spans="1:40" x14ac:dyDescent="0.25">
      <c r="A2914" t="str">
        <f>"20190303170313321"</f>
        <v>20190303170313321</v>
      </c>
      <c r="B2914" t="str">
        <f>"1551603793308238"</f>
        <v>1551603793308238</v>
      </c>
      <c r="C2914" t="s">
        <v>40</v>
      </c>
      <c r="D2914">
        <v>4.2017620000000004</v>
      </c>
      <c r="E2914">
        <v>0.56451549999999995</v>
      </c>
      <c r="F2914" t="s">
        <v>43</v>
      </c>
      <c r="G2914">
        <v>-447.38249999999999</v>
      </c>
      <c r="H2914">
        <v>0.93183519999999997</v>
      </c>
      <c r="I2914">
        <v>285.08530000000002</v>
      </c>
      <c r="J2914">
        <v>-446.78750000000002</v>
      </c>
      <c r="K2914">
        <v>1.121848</v>
      </c>
      <c r="L2914">
        <v>284.93770000000001</v>
      </c>
      <c r="M2914">
        <v>-0.99984790000000001</v>
      </c>
      <c r="N2914">
        <v>-1.413446E-2</v>
      </c>
      <c r="O2914">
        <v>1.022355E-2</v>
      </c>
      <c r="P2914">
        <v>-0.98551069999999996</v>
      </c>
      <c r="Q2914">
        <v>0.16756070000000001</v>
      </c>
      <c r="R2914">
        <v>2.6306349999999999E-2</v>
      </c>
      <c r="S2914">
        <v>-3.1431580000000001</v>
      </c>
      <c r="T2914">
        <v>-0.68101</v>
      </c>
      <c r="U2914">
        <v>0.53854369999999996</v>
      </c>
      <c r="V2914">
        <v>1.6172740000000001E-2</v>
      </c>
      <c r="W2914">
        <v>0.1814818</v>
      </c>
      <c r="X2914">
        <v>0.9832613</v>
      </c>
      <c r="Y2914">
        <v>0.15525420000000001</v>
      </c>
      <c r="Z2914">
        <v>1.5596290000000001E-2</v>
      </c>
      <c r="AA2914">
        <v>0.98775139999999995</v>
      </c>
      <c r="AB2914">
        <v>28</v>
      </c>
      <c r="AC2914">
        <v>-0.59499999999997</v>
      </c>
      <c r="AD2914">
        <v>-0.19001280000000001</v>
      </c>
      <c r="AE2914">
        <v>0.147600000000011</v>
      </c>
      <c r="AF2914">
        <v>0.129105272599536</v>
      </c>
      <c r="AG2914">
        <v>-0.19001280000000001</v>
      </c>
      <c r="AH2914">
        <v>0.544196078337151</v>
      </c>
      <c r="AI2914">
        <v>108.76430218037299</v>
      </c>
      <c r="AJ2914">
        <v>76.653864435599104</v>
      </c>
      <c r="AK2914">
        <v>0.59069654413613704</v>
      </c>
      <c r="AL2914">
        <v>79.543917553753502</v>
      </c>
      <c r="AM2914">
        <v>89.057680602632402</v>
      </c>
      <c r="AN2914">
        <v>0.99999999266401796</v>
      </c>
    </row>
    <row r="2915" spans="1:40" x14ac:dyDescent="0.25">
      <c r="A2915" t="str">
        <f>"20190303170313343"</f>
        <v>20190303170313343</v>
      </c>
      <c r="B2915" t="str">
        <f>"1551603793338494"</f>
        <v>1551603793338494</v>
      </c>
      <c r="C2915" t="s">
        <v>40</v>
      </c>
      <c r="D2915">
        <v>4.2942479999999996</v>
      </c>
      <c r="E2915">
        <v>0.56469209999999903</v>
      </c>
      <c r="F2915" t="s">
        <v>43</v>
      </c>
      <c r="G2915">
        <v>-447.63909999999998</v>
      </c>
      <c r="H2915">
        <v>0.93853690000000001</v>
      </c>
      <c r="I2915">
        <v>285.08179999999999</v>
      </c>
      <c r="J2915">
        <v>-447.0718</v>
      </c>
      <c r="K2915">
        <v>1.121848</v>
      </c>
      <c r="L2915">
        <v>284.94040000000001</v>
      </c>
      <c r="M2915">
        <v>-0.99984969999999995</v>
      </c>
      <c r="N2915">
        <v>-1.4131380000000001E-2</v>
      </c>
      <c r="O2915">
        <v>1.004096E-2</v>
      </c>
      <c r="P2915">
        <v>-0.98569289999999998</v>
      </c>
      <c r="Q2915">
        <v>0.16688229999999901</v>
      </c>
      <c r="R2915">
        <v>2.3665180000000001E-2</v>
      </c>
      <c r="S2915">
        <v>-3.1450499999999999</v>
      </c>
      <c r="T2915">
        <v>-0.67704549999999997</v>
      </c>
      <c r="U2915">
        <v>0.53070069999999903</v>
      </c>
      <c r="V2915">
        <v>1.3710480000000001E-2</v>
      </c>
      <c r="W2915">
        <v>0.1808013</v>
      </c>
      <c r="X2915">
        <v>0.98342410000000002</v>
      </c>
      <c r="Y2915">
        <v>0.1530319</v>
      </c>
      <c r="Z2915">
        <v>1.5293799999999899E-2</v>
      </c>
      <c r="AA2915">
        <v>0.98810290000000001</v>
      </c>
      <c r="AB2915">
        <v>28</v>
      </c>
      <c r="AC2915">
        <v>-0.56729999999998804</v>
      </c>
      <c r="AD2915">
        <v>-0.18331109999999901</v>
      </c>
      <c r="AE2915">
        <v>0.14139999999997599</v>
      </c>
      <c r="AF2915">
        <v>0.123550430686917</v>
      </c>
      <c r="AG2915">
        <v>-0.18331109999999901</v>
      </c>
      <c r="AH2915">
        <v>0.51778995064225497</v>
      </c>
      <c r="AI2915">
        <v>109.001588015466</v>
      </c>
      <c r="AJ2915">
        <v>76.5795343455639</v>
      </c>
      <c r="AK2915">
        <v>0.56300453043669296</v>
      </c>
      <c r="AL2915">
        <v>79.583563518264995</v>
      </c>
      <c r="AM2915">
        <v>89.201258389198401</v>
      </c>
      <c r="AN2915">
        <v>1.00000002390216</v>
      </c>
    </row>
    <row r="2916" spans="1:40" x14ac:dyDescent="0.25">
      <c r="A2916" t="str">
        <f>"20190303170313365"</f>
        <v>20190303170313365</v>
      </c>
      <c r="B2916" t="str">
        <f>"1551603793358014"</f>
        <v>1551603793358014</v>
      </c>
      <c r="C2916" t="s">
        <v>40</v>
      </c>
      <c r="D2916">
        <v>4.2604030000000002</v>
      </c>
      <c r="E2916">
        <v>0.55895919999999999</v>
      </c>
      <c r="F2916" t="s">
        <v>43</v>
      </c>
      <c r="G2916">
        <v>-447.89490000000001</v>
      </c>
      <c r="H2916">
        <v>0.94427179999999999</v>
      </c>
      <c r="I2916">
        <v>285.07780000000002</v>
      </c>
      <c r="J2916">
        <v>-447.35</v>
      </c>
      <c r="K2916">
        <v>1.121847</v>
      </c>
      <c r="L2916">
        <v>284.94299999999998</v>
      </c>
      <c r="M2916">
        <v>-0.99985170000000001</v>
      </c>
      <c r="N2916">
        <v>-1.4128369999999999E-2</v>
      </c>
      <c r="O2916">
        <v>9.8624769999999997E-3</v>
      </c>
      <c r="P2916">
        <v>-0.98581240000000003</v>
      </c>
      <c r="Q2916">
        <v>0.1666484</v>
      </c>
      <c r="R2916">
        <v>2.0068039999999999E-2</v>
      </c>
      <c r="S2916">
        <v>-3.1458740000000001</v>
      </c>
      <c r="T2916">
        <v>-0.67880699999999905</v>
      </c>
      <c r="U2916">
        <v>0.52471919999999905</v>
      </c>
      <c r="V2916">
        <v>1.0288530000000001E-2</v>
      </c>
      <c r="W2916">
        <v>0.180565</v>
      </c>
      <c r="X2916">
        <v>0.98350919999999997</v>
      </c>
      <c r="Y2916">
        <v>0.1513581</v>
      </c>
      <c r="Z2916">
        <v>1.51737E-2</v>
      </c>
      <c r="AA2916">
        <v>0.98836259999999998</v>
      </c>
      <c r="AB2916">
        <v>28</v>
      </c>
      <c r="AC2916">
        <v>-0.54489999999998395</v>
      </c>
      <c r="AD2916">
        <v>-0.17757519999999899</v>
      </c>
      <c r="AE2916">
        <v>0.134800000000041</v>
      </c>
      <c r="AF2916">
        <v>0.11764526384053101</v>
      </c>
      <c r="AG2916">
        <v>-0.17757519999999899</v>
      </c>
      <c r="AH2916">
        <v>0.49651352714528102</v>
      </c>
      <c r="AI2916">
        <v>109.188341234337</v>
      </c>
      <c r="AJ2916">
        <v>76.670010453896396</v>
      </c>
      <c r="AK2916">
        <v>0.54027682015555301</v>
      </c>
      <c r="AL2916">
        <v>79.597328398554595</v>
      </c>
      <c r="AM2916">
        <v>89.400648367564301</v>
      </c>
      <c r="AN2916">
        <v>0.99999995977959899</v>
      </c>
    </row>
    <row r="2917" spans="1:40" x14ac:dyDescent="0.25">
      <c r="A2917" t="str">
        <f>"20190303170313388"</f>
        <v>20190303170313388</v>
      </c>
      <c r="B2917" t="str">
        <f>"1551603793378435"</f>
        <v>1551603793378435</v>
      </c>
      <c r="C2917" t="s">
        <v>40</v>
      </c>
      <c r="D2917">
        <v>4.2022500000000003</v>
      </c>
      <c r="E2917">
        <v>0.46879510000000002</v>
      </c>
      <c r="F2917" t="s">
        <v>43</v>
      </c>
      <c r="G2917">
        <v>-448.1508</v>
      </c>
      <c r="H2917">
        <v>0.95136310000000002</v>
      </c>
      <c r="I2917">
        <v>285.06279999999998</v>
      </c>
      <c r="J2917">
        <v>-447.63200000000001</v>
      </c>
      <c r="K2917">
        <v>1.1218509999999999</v>
      </c>
      <c r="L2917">
        <v>284.94560000000001</v>
      </c>
      <c r="M2917">
        <v>-0.9998534</v>
      </c>
      <c r="N2917">
        <v>-1.412533E-2</v>
      </c>
      <c r="O2917">
        <v>9.6813760000000002E-3</v>
      </c>
      <c r="P2917">
        <v>-0.98563020000000001</v>
      </c>
      <c r="Q2917">
        <v>0.1679505</v>
      </c>
      <c r="R2917">
        <v>1.8052820000000001E-2</v>
      </c>
      <c r="S2917">
        <v>-3.1469119999999999</v>
      </c>
      <c r="T2917">
        <v>-0.67011180000000004</v>
      </c>
      <c r="U2917">
        <v>0.46926879999999999</v>
      </c>
      <c r="V2917">
        <v>8.4534329999999998E-3</v>
      </c>
      <c r="W2917">
        <v>0.18186069999999999</v>
      </c>
      <c r="X2917">
        <v>0.98328800000000005</v>
      </c>
      <c r="Y2917">
        <v>0.13492799999999999</v>
      </c>
      <c r="Z2917">
        <v>1.320757E-2</v>
      </c>
      <c r="AA2917">
        <v>0.99076739999999996</v>
      </c>
      <c r="AB2917">
        <v>28</v>
      </c>
      <c r="AC2917">
        <v>-0.51880000000005499</v>
      </c>
      <c r="AD2917">
        <v>-0.1704879</v>
      </c>
      <c r="AE2917">
        <v>0.117199999999968</v>
      </c>
      <c r="AF2917">
        <v>0.101719861178487</v>
      </c>
      <c r="AG2917">
        <v>-0.1704879</v>
      </c>
      <c r="AH2917">
        <v>0.471468329893585</v>
      </c>
      <c r="AI2917">
        <v>109.46733741238199</v>
      </c>
      <c r="AJ2917">
        <v>77.824986867723695</v>
      </c>
      <c r="AK2917">
        <v>0.51156176586725699</v>
      </c>
      <c r="AL2917">
        <v>79.521841236334296</v>
      </c>
      <c r="AM2917">
        <v>89.507434138206193</v>
      </c>
      <c r="AN2917">
        <v>1.00000003283898</v>
      </c>
    </row>
    <row r="2918" spans="1:40" x14ac:dyDescent="0.25">
      <c r="A2918" t="str">
        <f>"20190303170313411"</f>
        <v>20190303170313411</v>
      </c>
      <c r="B2918" t="str">
        <f>"1551603793397956"</f>
        <v>1551603793397956</v>
      </c>
      <c r="C2918" t="s">
        <v>40</v>
      </c>
      <c r="D2918">
        <v>4.1607099999999999</v>
      </c>
      <c r="E2918">
        <v>0.45733020000000002</v>
      </c>
      <c r="F2918" t="s">
        <v>62</v>
      </c>
      <c r="G2918">
        <v>-460.56970000000001</v>
      </c>
      <c r="H2918" s="1">
        <v>-1.204964E-6</v>
      </c>
      <c r="I2918">
        <v>283.96080000000001</v>
      </c>
      <c r="J2918">
        <v>-447.91719999999998</v>
      </c>
      <c r="K2918">
        <v>1.121861</v>
      </c>
      <c r="L2918">
        <v>284.94810000000001</v>
      </c>
      <c r="M2918">
        <v>-0.99985520000000006</v>
      </c>
      <c r="N2918">
        <v>-1.4122269999999999E-2</v>
      </c>
      <c r="O2918">
        <v>9.4986600000000008E-3</v>
      </c>
      <c r="P2918">
        <v>-0.98527589999999998</v>
      </c>
      <c r="Q2918">
        <v>0.16998869999999999</v>
      </c>
      <c r="R2918">
        <v>1.830534E-2</v>
      </c>
      <c r="S2918">
        <v>-3.09375</v>
      </c>
      <c r="T2918">
        <v>-0.26826369999999999</v>
      </c>
      <c r="U2918">
        <v>-0.23547360000000001</v>
      </c>
      <c r="V2918">
        <v>8.8886920000000001E-3</v>
      </c>
      <c r="W2918">
        <v>0.183891</v>
      </c>
      <c r="X2918">
        <v>0.98290650000000002</v>
      </c>
      <c r="Y2918">
        <v>-8.4968000000000002E-2</v>
      </c>
      <c r="Z2918">
        <v>-4.9610890000000001E-3</v>
      </c>
      <c r="AA2918">
        <v>0.99637129999999996</v>
      </c>
      <c r="AB2918">
        <v>28</v>
      </c>
      <c r="AC2918">
        <v>-12.6525</v>
      </c>
      <c r="AD2918">
        <v>-1.1218622049639999</v>
      </c>
      <c r="AE2918">
        <v>-0.98730000000000395</v>
      </c>
      <c r="AF2918">
        <v>-1.0988623899240599</v>
      </c>
      <c r="AG2918">
        <v>-1.1218622049639999</v>
      </c>
      <c r="AH2918">
        <v>12.5445234892531</v>
      </c>
      <c r="AI2918">
        <v>95.090999660651505</v>
      </c>
      <c r="AJ2918">
        <v>95.00615895256</v>
      </c>
      <c r="AK2918">
        <v>12.642434217006601</v>
      </c>
      <c r="AL2918">
        <v>79.403518363378893</v>
      </c>
      <c r="AM2918">
        <v>89.481872737190798</v>
      </c>
      <c r="AN2918">
        <v>1.0000000482343501</v>
      </c>
    </row>
    <row r="2919" spans="1:40" x14ac:dyDescent="0.25">
      <c r="A2919" t="str">
        <f>"20190303170313434"</f>
        <v>20190303170313434</v>
      </c>
      <c r="B2919" t="str">
        <f>"1551603793428211"</f>
        <v>1551603793428211</v>
      </c>
      <c r="C2919" t="s">
        <v>40</v>
      </c>
      <c r="D2919">
        <v>4.1596699999999904</v>
      </c>
      <c r="E2919">
        <v>0.44991720000000002</v>
      </c>
      <c r="F2919" t="s">
        <v>62</v>
      </c>
      <c r="G2919">
        <v>-468.09390000000002</v>
      </c>
      <c r="H2919" s="1">
        <v>2.8482160000000001E-6</v>
      </c>
      <c r="I2919">
        <v>282.83629999999999</v>
      </c>
      <c r="J2919">
        <v>-448.20179999999999</v>
      </c>
      <c r="K2919">
        <v>1.1218649999999999</v>
      </c>
      <c r="L2919">
        <v>284.95060000000001</v>
      </c>
      <c r="M2919">
        <v>-0.99985710000000005</v>
      </c>
      <c r="N2919">
        <v>-1.41192E-2</v>
      </c>
      <c r="O2919">
        <v>9.3161839999999999E-3</v>
      </c>
      <c r="P2919">
        <v>-0.98536460000000003</v>
      </c>
      <c r="Q2919">
        <v>0.1694147</v>
      </c>
      <c r="R2919">
        <v>1.8856589999999999E-2</v>
      </c>
      <c r="S2919">
        <v>-3.0803829999999999</v>
      </c>
      <c r="T2919">
        <v>-0.17127439999999999</v>
      </c>
      <c r="U2919">
        <v>-0.32241819999999999</v>
      </c>
      <c r="V2919">
        <v>9.6192380000000004E-3</v>
      </c>
      <c r="W2919">
        <v>0.18331539999999999</v>
      </c>
      <c r="X2919">
        <v>0.98300710000000002</v>
      </c>
      <c r="Y2919">
        <v>-0.1131363</v>
      </c>
      <c r="Z2919">
        <v>-4.3211439999999999E-3</v>
      </c>
      <c r="AA2919">
        <v>0.99357010000000001</v>
      </c>
      <c r="AB2919">
        <v>28</v>
      </c>
      <c r="AC2919">
        <v>-19.892099999999999</v>
      </c>
      <c r="AD2919">
        <v>-1.121862151784</v>
      </c>
      <c r="AE2919">
        <v>-2.1143000000000098</v>
      </c>
      <c r="AF2919">
        <v>-2.2923354349041398</v>
      </c>
      <c r="AG2919">
        <v>-1.121862151784</v>
      </c>
      <c r="AH2919">
        <v>19.809234748635799</v>
      </c>
      <c r="AI2919">
        <v>93.2199439398225</v>
      </c>
      <c r="AJ2919">
        <v>96.600938374419499</v>
      </c>
      <c r="AK2919">
        <v>19.972960665867301</v>
      </c>
      <c r="AL2919">
        <v>79.437067758749606</v>
      </c>
      <c r="AM2919">
        <v>89.439348760806894</v>
      </c>
      <c r="AN2919">
        <v>1.0000000121336301</v>
      </c>
    </row>
    <row r="2920" spans="1:40" x14ac:dyDescent="0.25">
      <c r="A2920" t="str">
        <f>"20190303170313456"</f>
        <v>20190303170313456</v>
      </c>
      <c r="B2920" t="str">
        <f>"1551603793448707"</f>
        <v>1551603793448707</v>
      </c>
      <c r="C2920" t="s">
        <v>40</v>
      </c>
      <c r="D2920">
        <v>4.1692390000000001</v>
      </c>
      <c r="E2920">
        <v>0.44789810000000002</v>
      </c>
      <c r="F2920" t="s">
        <v>57</v>
      </c>
      <c r="G2920">
        <v>-477.72649999999999</v>
      </c>
      <c r="H2920" s="1">
        <v>2.900461E-6</v>
      </c>
      <c r="I2920">
        <v>281.33049999999997</v>
      </c>
      <c r="J2920">
        <v>-448.48489999999998</v>
      </c>
      <c r="K2920">
        <v>1.1218509999999999</v>
      </c>
      <c r="L2920">
        <v>284.95310000000001</v>
      </c>
      <c r="M2920">
        <v>-0.99985880000000005</v>
      </c>
      <c r="N2920">
        <v>-1.4116149999999999E-2</v>
      </c>
      <c r="O2920">
        <v>9.1346629999999995E-3</v>
      </c>
      <c r="P2920">
        <v>-0.98574200000000001</v>
      </c>
      <c r="Q2920">
        <v>0.16719489999999901</v>
      </c>
      <c r="R2920">
        <v>1.8952299999999998E-2</v>
      </c>
      <c r="S2920">
        <v>-3.0718079999999999</v>
      </c>
      <c r="T2920">
        <v>-0.1167208</v>
      </c>
      <c r="U2920">
        <v>-0.37664789999999998</v>
      </c>
      <c r="V2920">
        <v>9.8914320000000003E-3</v>
      </c>
      <c r="W2920">
        <v>0.1810977</v>
      </c>
      <c r="X2920">
        <v>0.98341540000000005</v>
      </c>
      <c r="Y2920">
        <v>-0.1306351</v>
      </c>
      <c r="Z2920">
        <v>-3.6150219999999999E-3</v>
      </c>
      <c r="AA2920">
        <v>0.99142390000000002</v>
      </c>
      <c r="AB2920">
        <v>28</v>
      </c>
      <c r="AC2920">
        <v>-29.241599999999998</v>
      </c>
      <c r="AD2920">
        <v>-1.1218480995390001</v>
      </c>
      <c r="AE2920">
        <v>-3.62260000000003</v>
      </c>
      <c r="AF2920">
        <v>-3.8839573402502698</v>
      </c>
      <c r="AG2920">
        <v>-1.1218480995390001</v>
      </c>
      <c r="AH2920">
        <v>29.165007337773901</v>
      </c>
      <c r="AI2920">
        <v>92.183569257901894</v>
      </c>
      <c r="AJ2920">
        <v>97.585551235737896</v>
      </c>
      <c r="AK2920">
        <v>29.443867286613798</v>
      </c>
      <c r="AL2920">
        <v>79.566296101879004</v>
      </c>
      <c r="AM2920">
        <v>89.423724505273995</v>
      </c>
      <c r="AN2920">
        <v>1.0000000331647201</v>
      </c>
    </row>
    <row r="2921" spans="1:40" x14ac:dyDescent="0.25">
      <c r="A2921" t="str">
        <f>"20190303170313477"</f>
        <v>20190303170313477</v>
      </c>
      <c r="B2921" t="str">
        <f>"1551603793468227"</f>
        <v>1551603793468227</v>
      </c>
      <c r="C2921" t="s">
        <v>40</v>
      </c>
      <c r="D2921">
        <v>4.1229879999999897</v>
      </c>
      <c r="E2921">
        <v>0.44670359999999998</v>
      </c>
      <c r="F2921" t="s">
        <v>57</v>
      </c>
      <c r="G2921">
        <v>-481.3125</v>
      </c>
      <c r="H2921" s="1">
        <v>2.102715E-6</v>
      </c>
      <c r="I2921">
        <v>280.7747</v>
      </c>
      <c r="J2921">
        <v>-448.76560000000001</v>
      </c>
      <c r="K2921">
        <v>1.1218349999999999</v>
      </c>
      <c r="L2921">
        <v>284.9554</v>
      </c>
      <c r="M2921">
        <v>-0.99986030000000004</v>
      </c>
      <c r="N2921">
        <v>-1.411305E-2</v>
      </c>
      <c r="O2921">
        <v>8.9546350000000007E-3</v>
      </c>
      <c r="P2921">
        <v>-0.98613770000000001</v>
      </c>
      <c r="Q2921">
        <v>0.1648086</v>
      </c>
      <c r="R2921">
        <v>1.9253470000000002E-2</v>
      </c>
      <c r="S2921">
        <v>-3.068695</v>
      </c>
      <c r="T2921">
        <v>-0.1048694</v>
      </c>
      <c r="U2921">
        <v>-0.39059450000000001</v>
      </c>
      <c r="V2921">
        <v>1.036728E-2</v>
      </c>
      <c r="W2921">
        <v>0.1787144</v>
      </c>
      <c r="X2921">
        <v>0.98384640000000001</v>
      </c>
      <c r="Y2921">
        <v>-0.13503180000000001</v>
      </c>
      <c r="Z2921">
        <v>-3.4333710000000002E-3</v>
      </c>
      <c r="AA2921">
        <v>0.99083529999999997</v>
      </c>
      <c r="AB2921">
        <v>28</v>
      </c>
      <c r="AC2921">
        <v>-32.546899999999901</v>
      </c>
      <c r="AD2921">
        <v>-1.121832897285</v>
      </c>
      <c r="AE2921">
        <v>-4.1806999999999999</v>
      </c>
      <c r="AF2921">
        <v>-4.4667863343493304</v>
      </c>
      <c r="AG2921">
        <v>-1.121832897285</v>
      </c>
      <c r="AH2921">
        <v>32.470204183344499</v>
      </c>
      <c r="AI2921">
        <v>91.960312516764802</v>
      </c>
      <c r="AJ2921">
        <v>97.832770903551094</v>
      </c>
      <c r="AK2921">
        <v>32.795195515719101</v>
      </c>
      <c r="AL2921">
        <v>79.705114095181003</v>
      </c>
      <c r="AM2921">
        <v>89.396268152481596</v>
      </c>
      <c r="AN2921">
        <v>1.0000000280274499</v>
      </c>
    </row>
    <row r="2922" spans="1:40" x14ac:dyDescent="0.25">
      <c r="A2922" t="str">
        <f>"20190303170313500"</f>
        <v>20190303170313500</v>
      </c>
      <c r="B2922" t="str">
        <f>"1551603793488723"</f>
        <v>1551603793488723</v>
      </c>
      <c r="C2922" t="s">
        <v>40</v>
      </c>
      <c r="D2922">
        <v>4.1278779999999999</v>
      </c>
      <c r="E2922">
        <v>0.4456907</v>
      </c>
      <c r="F2922" t="s">
        <v>57</v>
      </c>
      <c r="G2922">
        <v>-482.94150000000002</v>
      </c>
      <c r="H2922" s="1">
        <v>2.3686990000000001E-6</v>
      </c>
      <c r="I2922">
        <v>280.51190000000003</v>
      </c>
      <c r="J2922">
        <v>-449.03789999999998</v>
      </c>
      <c r="K2922">
        <v>1.1218330000000001</v>
      </c>
      <c r="L2922">
        <v>284.95769999999999</v>
      </c>
      <c r="M2922">
        <v>-0.99986209999999998</v>
      </c>
      <c r="N2922">
        <v>-1.410986E-2</v>
      </c>
      <c r="O2922">
        <v>8.7796139999999998E-3</v>
      </c>
      <c r="P2922">
        <v>-0.98611320000000002</v>
      </c>
      <c r="Q2922">
        <v>0.1647795</v>
      </c>
      <c r="R2922">
        <v>2.0708799999999999E-2</v>
      </c>
      <c r="S2922">
        <v>-3.0667719999999998</v>
      </c>
      <c r="T2922">
        <v>-0.10066749999999999</v>
      </c>
      <c r="U2922">
        <v>-0.39874270000000001</v>
      </c>
      <c r="V2922">
        <v>1.1995509999999999E-2</v>
      </c>
      <c r="W2922">
        <v>0.17868249999999999</v>
      </c>
      <c r="X2922">
        <v>0.98383370000000003</v>
      </c>
      <c r="Y2922">
        <v>-0.13753109999999999</v>
      </c>
      <c r="Z2922">
        <v>-3.3855579999999999E-3</v>
      </c>
      <c r="AA2922">
        <v>0.99049169999999997</v>
      </c>
      <c r="AB2922">
        <v>28</v>
      </c>
      <c r="AC2922">
        <v>-33.903599999999997</v>
      </c>
      <c r="AD2922">
        <v>-1.121830631301</v>
      </c>
      <c r="AE2922">
        <v>-4.4457999999999602</v>
      </c>
      <c r="AF2922">
        <v>-4.7382186741674603</v>
      </c>
      <c r="AG2922">
        <v>-1.121830631301</v>
      </c>
      <c r="AH2922">
        <v>33.826846800447299</v>
      </c>
      <c r="AI2922">
        <v>91.881105167757397</v>
      </c>
      <c r="AJ2922">
        <v>97.973697196486</v>
      </c>
      <c r="AK2922">
        <v>34.175499771480801</v>
      </c>
      <c r="AL2922">
        <v>79.7069718418539</v>
      </c>
      <c r="AM2922">
        <v>89.301448972995402</v>
      </c>
      <c r="AN2922">
        <v>1.0000000386610399</v>
      </c>
    </row>
    <row r="2923" spans="1:40" x14ac:dyDescent="0.25">
      <c r="A2923" t="str">
        <f>"20190303170313522"</f>
        <v>20190303170313522</v>
      </c>
      <c r="B2923" t="str">
        <f>"1551603793518003"</f>
        <v>1551603793518003</v>
      </c>
      <c r="C2923" t="s">
        <v>40</v>
      </c>
      <c r="D2923">
        <v>4.1485059999999896</v>
      </c>
      <c r="E2923">
        <v>0.44469039999999999</v>
      </c>
      <c r="F2923" t="s">
        <v>57</v>
      </c>
      <c r="G2923">
        <v>-486.00080000000003</v>
      </c>
      <c r="H2923" s="1">
        <v>2.8756340000000001E-6</v>
      </c>
      <c r="I2923">
        <v>280.10309999999998</v>
      </c>
      <c r="J2923">
        <v>-449.32310000000001</v>
      </c>
      <c r="K2923">
        <v>1.1218379999999999</v>
      </c>
      <c r="L2923">
        <v>284.95999999999998</v>
      </c>
      <c r="M2923">
        <v>-0.99986359999999996</v>
      </c>
      <c r="N2923">
        <v>-1.4106789999999999E-2</v>
      </c>
      <c r="O2923">
        <v>8.5960140000000008E-3</v>
      </c>
      <c r="P2923">
        <v>-0.98583770000000004</v>
      </c>
      <c r="Q2923">
        <v>0.166288299999999</v>
      </c>
      <c r="R2923">
        <v>2.174104E-2</v>
      </c>
      <c r="S2923">
        <v>-3.0662539999999998</v>
      </c>
      <c r="T2923">
        <v>-9.3061450000000004E-2</v>
      </c>
      <c r="U2923">
        <v>-0.40271000000000001</v>
      </c>
      <c r="V2923">
        <v>1.321107E-2</v>
      </c>
      <c r="W2923">
        <v>0.18018500000000001</v>
      </c>
      <c r="X2923">
        <v>0.98354399999999997</v>
      </c>
      <c r="Y2923">
        <v>-0.13864319999999999</v>
      </c>
      <c r="Z2923">
        <v>-3.2159469999999998E-3</v>
      </c>
      <c r="AA2923">
        <v>0.99033720000000003</v>
      </c>
      <c r="AB2923">
        <v>28</v>
      </c>
      <c r="AC2923">
        <v>-36.677700000000002</v>
      </c>
      <c r="AD2923">
        <v>-1.1218351243660001</v>
      </c>
      <c r="AE2923">
        <v>-4.8568999999999898</v>
      </c>
      <c r="AF2923">
        <v>-5.1672831010953999</v>
      </c>
      <c r="AG2923">
        <v>-1.1218351243660001</v>
      </c>
      <c r="AH2923">
        <v>36.600939593714003</v>
      </c>
      <c r="AI2923">
        <v>91.738363681820502</v>
      </c>
      <c r="AJ2923">
        <v>98.035851345298099</v>
      </c>
      <c r="AK2923">
        <v>36.9809154542695</v>
      </c>
      <c r="AL2923">
        <v>79.619464110093901</v>
      </c>
      <c r="AM2923">
        <v>89.230443136143904</v>
      </c>
      <c r="AN2923">
        <v>0.999999983265772</v>
      </c>
    </row>
    <row r="2924" spans="1:40" x14ac:dyDescent="0.25">
      <c r="A2924" t="str">
        <f>"20190303170313544"</f>
        <v>20190303170313544</v>
      </c>
      <c r="B2924" t="str">
        <f>"1551603793538500"</f>
        <v>1551603793538500</v>
      </c>
      <c r="C2924" t="s">
        <v>40</v>
      </c>
      <c r="D2924">
        <v>4.1747459999999998</v>
      </c>
      <c r="E2924">
        <v>0.44401869999999999</v>
      </c>
      <c r="F2924" t="s">
        <v>57</v>
      </c>
      <c r="G2924">
        <v>-492.79239999999999</v>
      </c>
      <c r="H2924" s="1">
        <v>2.9555630000000002E-6</v>
      </c>
      <c r="I2924">
        <v>279.1814</v>
      </c>
      <c r="J2924">
        <v>-449.59859999999998</v>
      </c>
      <c r="K2924">
        <v>1.1218399999999999</v>
      </c>
      <c r="L2924">
        <v>284.9622</v>
      </c>
      <c r="M2924">
        <v>-0.99986509999999995</v>
      </c>
      <c r="N2924">
        <v>-1.410405E-2</v>
      </c>
      <c r="O2924">
        <v>8.4191379999999996E-3</v>
      </c>
      <c r="P2924">
        <v>-0.98577619999999999</v>
      </c>
      <c r="Q2924">
        <v>0.16661689999999901</v>
      </c>
      <c r="R2924">
        <v>2.2009230000000001E-2</v>
      </c>
      <c r="S2924">
        <v>-3.0654300000000001</v>
      </c>
      <c r="T2924">
        <v>-7.9111219999999996E-2</v>
      </c>
      <c r="U2924">
        <v>-0.40750120000000001</v>
      </c>
      <c r="V2924">
        <v>1.365421E-2</v>
      </c>
      <c r="W2924">
        <v>0.18051010000000001</v>
      </c>
      <c r="X2924">
        <v>0.98347839999999997</v>
      </c>
      <c r="Y2924">
        <v>-0.14004529999999901</v>
      </c>
      <c r="Z2924">
        <v>-2.889244E-3</v>
      </c>
      <c r="AA2924">
        <v>0.99014089999999999</v>
      </c>
      <c r="AB2924">
        <v>28</v>
      </c>
      <c r="AC2924">
        <v>-43.193800000000003</v>
      </c>
      <c r="AD2924">
        <v>-1.1218370444370001</v>
      </c>
      <c r="AE2924">
        <v>-5.7807999999999904</v>
      </c>
      <c r="AF2924">
        <v>-6.14021678706548</v>
      </c>
      <c r="AG2924">
        <v>-1.1218370444370001</v>
      </c>
      <c r="AH2924">
        <v>43.115022996300297</v>
      </c>
      <c r="AI2924">
        <v>91.475596606905995</v>
      </c>
      <c r="AJ2924">
        <v>98.105262557844497</v>
      </c>
      <c r="AK2924">
        <v>43.564503767608102</v>
      </c>
      <c r="AL2924">
        <v>79.600527420173407</v>
      </c>
      <c r="AM2924">
        <v>89.204580043923897</v>
      </c>
      <c r="AN2924">
        <v>1.0000000484596401</v>
      </c>
    </row>
    <row r="2925" spans="1:40" x14ac:dyDescent="0.25">
      <c r="A2925" t="str">
        <f>"20190303170313566"</f>
        <v>20190303170313566</v>
      </c>
      <c r="B2925" t="str">
        <f>"1551603793558019"</f>
        <v>1551603793558019</v>
      </c>
      <c r="C2925" t="s">
        <v>40</v>
      </c>
      <c r="D2925">
        <v>4.1904159999999999</v>
      </c>
      <c r="E2925">
        <v>0.44354949999999999</v>
      </c>
      <c r="F2925" t="s">
        <v>57</v>
      </c>
      <c r="G2925">
        <v>-496.70389999999998</v>
      </c>
      <c r="H2925" s="1">
        <v>2.1661969999999998E-6</v>
      </c>
      <c r="I2925">
        <v>278.63889999999998</v>
      </c>
      <c r="J2925">
        <v>-449.87490000000003</v>
      </c>
      <c r="K2925">
        <v>1.1218360000000001</v>
      </c>
      <c r="L2925">
        <v>284.96429999999998</v>
      </c>
      <c r="M2925">
        <v>-0.9998667</v>
      </c>
      <c r="N2925">
        <v>-1.4101320000000001E-2</v>
      </c>
      <c r="O2925">
        <v>8.2415500000000003E-3</v>
      </c>
      <c r="P2925">
        <v>-0.98610039999999999</v>
      </c>
      <c r="Q2925">
        <v>0.16470870000000001</v>
      </c>
      <c r="R2925">
        <v>2.183852E-2</v>
      </c>
      <c r="S2925">
        <v>-3.0647890000000002</v>
      </c>
      <c r="T2925">
        <v>-7.2989699999999894E-2</v>
      </c>
      <c r="U2925">
        <v>-0.41140749999999998</v>
      </c>
      <c r="V2925">
        <v>1.36565E-2</v>
      </c>
      <c r="W2925">
        <v>0.17860419999999999</v>
      </c>
      <c r="X2925">
        <v>0.98382619999999998</v>
      </c>
      <c r="Y2925">
        <v>-0.14114470000000001</v>
      </c>
      <c r="Z2925">
        <v>-2.7525789999999998E-3</v>
      </c>
      <c r="AA2925">
        <v>0.98998520000000001</v>
      </c>
      <c r="AB2925">
        <v>28</v>
      </c>
      <c r="AC2925">
        <v>-46.828999999999901</v>
      </c>
      <c r="AD2925">
        <v>-1.1218338338030001</v>
      </c>
      <c r="AE2925">
        <v>-6.3254000000000001</v>
      </c>
      <c r="AF2925">
        <v>-6.7073867015364099</v>
      </c>
      <c r="AG2925">
        <v>-1.1218338338030001</v>
      </c>
      <c r="AH2925">
        <v>46.748925055095803</v>
      </c>
      <c r="AI2925">
        <v>91.360733753471607</v>
      </c>
      <c r="AJ2925">
        <v>98.164893633872296</v>
      </c>
      <c r="AK2925">
        <v>47.240973119968402</v>
      </c>
      <c r="AL2925">
        <v>79.711530796092504</v>
      </c>
      <c r="AM2925">
        <v>89.204727864212501</v>
      </c>
      <c r="AN2925">
        <v>0.99999997602816404</v>
      </c>
    </row>
    <row r="2926" spans="1:40" x14ac:dyDescent="0.25">
      <c r="A2926" t="str">
        <f>"20190303170313589"</f>
        <v>20190303170313589</v>
      </c>
      <c r="B2926" t="str">
        <f>"1551603793578517"</f>
        <v>1551603793578517</v>
      </c>
      <c r="C2926" t="s">
        <v>40</v>
      </c>
      <c r="D2926">
        <v>4.1931830000000003</v>
      </c>
      <c r="E2926">
        <v>0.4431599</v>
      </c>
      <c r="F2926" t="s">
        <v>57</v>
      </c>
      <c r="G2926">
        <v>-495.65190000000001</v>
      </c>
      <c r="H2926" s="1">
        <v>2.3731479999999998E-6</v>
      </c>
      <c r="I2926">
        <v>278.75450000000001</v>
      </c>
      <c r="J2926">
        <v>-450.15440000000001</v>
      </c>
      <c r="K2926">
        <v>1.1218349999999999</v>
      </c>
      <c r="L2926">
        <v>284.96640000000002</v>
      </c>
      <c r="M2926">
        <v>-0.99986819999999998</v>
      </c>
      <c r="N2926">
        <v>-1.409852E-2</v>
      </c>
      <c r="O2926">
        <v>8.0619369999999999E-3</v>
      </c>
      <c r="P2926">
        <v>-0.9861531</v>
      </c>
      <c r="Q2926">
        <v>0.1644495</v>
      </c>
      <c r="R2926">
        <v>2.1418349999999999E-2</v>
      </c>
      <c r="S2926">
        <v>-3.0640559999999999</v>
      </c>
      <c r="T2926">
        <v>-7.5089219999999998E-2</v>
      </c>
      <c r="U2926">
        <v>-0.4156494</v>
      </c>
      <c r="V2926">
        <v>1.341345E-2</v>
      </c>
      <c r="W2926">
        <v>0.17834239999999901</v>
      </c>
      <c r="X2926">
        <v>0.98387709999999995</v>
      </c>
      <c r="Y2926">
        <v>-0.14234040000000001</v>
      </c>
      <c r="Z2926">
        <v>-2.8277139999999998E-3</v>
      </c>
      <c r="AA2926">
        <v>0.98981370000000002</v>
      </c>
      <c r="AB2926">
        <v>28</v>
      </c>
      <c r="AC2926">
        <v>-45.497500000000002</v>
      </c>
      <c r="AD2926">
        <v>-1.121832626852</v>
      </c>
      <c r="AE2926">
        <v>-6.2119000000000097</v>
      </c>
      <c r="AF2926">
        <v>-6.5746084842613097</v>
      </c>
      <c r="AG2926">
        <v>-1.121832626852</v>
      </c>
      <c r="AH2926">
        <v>45.4188283188357</v>
      </c>
      <c r="AI2926">
        <v>91.400313231017094</v>
      </c>
      <c r="AJ2926">
        <v>98.236645747533203</v>
      </c>
      <c r="AK2926">
        <v>45.905925009957699</v>
      </c>
      <c r="AL2926">
        <v>79.726776255777906</v>
      </c>
      <c r="AM2926">
        <v>89.218920265236804</v>
      </c>
      <c r="AN2926">
        <v>1.0000000400915301</v>
      </c>
    </row>
    <row r="2927" spans="1:40" x14ac:dyDescent="0.25">
      <c r="A2927" t="str">
        <f>"20190303170313612"</f>
        <v>20190303170313612</v>
      </c>
      <c r="B2927" t="str">
        <f>"1551603793608771"</f>
        <v>1551603793608771</v>
      </c>
      <c r="C2927" t="s">
        <v>40</v>
      </c>
      <c r="D2927">
        <v>4.265104</v>
      </c>
      <c r="E2927">
        <v>0.44258989999999998</v>
      </c>
      <c r="F2927" t="s">
        <v>57</v>
      </c>
      <c r="G2927">
        <v>-497.65640000000002</v>
      </c>
      <c r="H2927" s="1">
        <v>1.9643809999999999E-6</v>
      </c>
      <c r="I2927">
        <v>278.45240000000001</v>
      </c>
      <c r="J2927">
        <v>-450.4443</v>
      </c>
      <c r="K2927">
        <v>1.1218509999999999</v>
      </c>
      <c r="L2927">
        <v>284.96850000000001</v>
      </c>
      <c r="M2927">
        <v>-0.99986969999999997</v>
      </c>
      <c r="N2927">
        <v>-1.409561E-2</v>
      </c>
      <c r="O2927">
        <v>7.8755890000000005E-3</v>
      </c>
      <c r="P2927">
        <v>-0.98570230000000003</v>
      </c>
      <c r="Q2927">
        <v>0.16715920000000001</v>
      </c>
      <c r="R2927">
        <v>2.1189159999999999E-2</v>
      </c>
      <c r="S2927">
        <v>-3.0633240000000002</v>
      </c>
      <c r="T2927">
        <v>-7.2345140000000002E-2</v>
      </c>
      <c r="U2927">
        <v>-0.42007450000000002</v>
      </c>
      <c r="V2927">
        <v>1.337082E-2</v>
      </c>
      <c r="W2927">
        <v>0.18104239999999999</v>
      </c>
      <c r="X2927">
        <v>0.98338440000000005</v>
      </c>
      <c r="Y2927">
        <v>-0.14359450000000001</v>
      </c>
      <c r="Z2927">
        <v>-2.7791320000000001E-3</v>
      </c>
      <c r="AA2927">
        <v>0.98963270000000003</v>
      </c>
      <c r="AB2927">
        <v>28</v>
      </c>
      <c r="AC2927">
        <v>-47.2121</v>
      </c>
      <c r="AD2927">
        <v>-1.1218490356189901</v>
      </c>
      <c r="AE2927">
        <v>-6.51609999999999</v>
      </c>
      <c r="AF2927">
        <v>-6.8839436825093099</v>
      </c>
      <c r="AG2927">
        <v>-1.1218490356189901</v>
      </c>
      <c r="AH2927">
        <v>47.133197058050698</v>
      </c>
      <c r="AI2927">
        <v>91.349169500860498</v>
      </c>
      <c r="AJ2927">
        <v>98.309467093978697</v>
      </c>
      <c r="AK2927">
        <v>47.6464635707176</v>
      </c>
      <c r="AL2927">
        <v>79.569517502829996</v>
      </c>
      <c r="AM2927">
        <v>89.221012301575897</v>
      </c>
      <c r="AN2927">
        <v>1.00000000379429</v>
      </c>
    </row>
    <row r="2928" spans="1:40" x14ac:dyDescent="0.25">
      <c r="A2928" t="str">
        <f>"20190303170313635"</f>
        <v>20190303170313635</v>
      </c>
      <c r="B2928" t="str">
        <f>"1551603793628291"</f>
        <v>1551603793628291</v>
      </c>
      <c r="C2928" t="s">
        <v>40</v>
      </c>
      <c r="D2928">
        <v>4.2834479999999999</v>
      </c>
      <c r="E2928">
        <v>0.44223630000000003</v>
      </c>
      <c r="F2928" t="s">
        <v>57</v>
      </c>
      <c r="G2928">
        <v>-504.36880000000002</v>
      </c>
      <c r="H2928">
        <v>8.0000009999999996E-2</v>
      </c>
      <c r="I2928">
        <v>277.46589999999998</v>
      </c>
      <c r="J2928">
        <v>-450.7201</v>
      </c>
      <c r="K2928">
        <v>1.1218570000000001</v>
      </c>
      <c r="L2928">
        <v>284.97050000000002</v>
      </c>
      <c r="M2928">
        <v>-0.99987110000000001</v>
      </c>
      <c r="N2928">
        <v>-1.4092820000000001E-2</v>
      </c>
      <c r="O2928">
        <v>7.6977679999999998E-3</v>
      </c>
      <c r="P2928">
        <v>-0.9853248</v>
      </c>
      <c r="Q2928">
        <v>0.16935939999999999</v>
      </c>
      <c r="R2928">
        <v>2.1272800000000001E-2</v>
      </c>
      <c r="S2928">
        <v>-3.0626829999999998</v>
      </c>
      <c r="T2928">
        <v>-5.9172750000000003E-2</v>
      </c>
      <c r="U2928">
        <v>-0.42611690000000002</v>
      </c>
      <c r="V2928">
        <v>1.363225E-2</v>
      </c>
      <c r="W2928">
        <v>0.1832348</v>
      </c>
      <c r="X2928">
        <v>0.98297460000000003</v>
      </c>
      <c r="Y2928">
        <v>-0.14537900000000001</v>
      </c>
      <c r="Z2928">
        <v>-2.4671319999999999E-3</v>
      </c>
      <c r="AA2928">
        <v>0.98937299999999995</v>
      </c>
      <c r="AB2928">
        <v>28</v>
      </c>
      <c r="AC2928">
        <v>-53.648699999999998</v>
      </c>
      <c r="AD2928">
        <v>-1.0418569900000001</v>
      </c>
      <c r="AE2928">
        <v>-7.5046000000000301</v>
      </c>
      <c r="AF2928">
        <v>-7.9144663093181196</v>
      </c>
      <c r="AG2928">
        <v>-1.0418569900000001</v>
      </c>
      <c r="AH2928">
        <v>53.569520511707402</v>
      </c>
      <c r="AI2928">
        <v>91.1022257952648</v>
      </c>
      <c r="AJ2928">
        <v>98.404195004148804</v>
      </c>
      <c r="AK2928">
        <v>54.1610355403512</v>
      </c>
      <c r="AL2928">
        <v>79.441764674838296</v>
      </c>
      <c r="AM2928">
        <v>89.205452184396904</v>
      </c>
      <c r="AN2928">
        <v>0.99999994720812901</v>
      </c>
    </row>
    <row r="2929" spans="1:40" x14ac:dyDescent="0.25">
      <c r="A2929" t="str">
        <f>"20190303170313656"</f>
        <v>20190303170313656</v>
      </c>
      <c r="B2929" t="str">
        <f>"1551603793648787"</f>
        <v>1551603793648787</v>
      </c>
      <c r="C2929" t="s">
        <v>40</v>
      </c>
      <c r="D2929">
        <v>4.2876960000000004</v>
      </c>
      <c r="E2929">
        <v>0.44190380000000001</v>
      </c>
      <c r="F2929" t="s">
        <v>66</v>
      </c>
      <c r="G2929">
        <v>-511.95859999999999</v>
      </c>
      <c r="H2929">
        <v>0.1224793</v>
      </c>
      <c r="I2929">
        <v>276.38639999999998</v>
      </c>
      <c r="J2929">
        <v>-450.98910000000001</v>
      </c>
      <c r="K2929">
        <v>1.121858</v>
      </c>
      <c r="L2929">
        <v>284.97239999999999</v>
      </c>
      <c r="M2929">
        <v>-0.9998726</v>
      </c>
      <c r="N2929">
        <v>-1.409008E-2</v>
      </c>
      <c r="O2929">
        <v>7.5253619999999998E-3</v>
      </c>
      <c r="P2929">
        <v>-0.98536310000000005</v>
      </c>
      <c r="Q2929">
        <v>0.1691812</v>
      </c>
      <c r="R2929">
        <v>2.092231E-2</v>
      </c>
      <c r="S2929">
        <v>-3.0625309999999999</v>
      </c>
      <c r="T2929">
        <v>-4.9974560000000001E-2</v>
      </c>
      <c r="U2929">
        <v>-0.42929079999999997</v>
      </c>
      <c r="V2929">
        <v>1.345172E-2</v>
      </c>
      <c r="W2929">
        <v>0.1830543</v>
      </c>
      <c r="X2929">
        <v>0.98301079999999996</v>
      </c>
      <c r="Y2929">
        <v>-0.14623139999999901</v>
      </c>
      <c r="Z2929">
        <v>-2.2393209999999998E-3</v>
      </c>
      <c r="AA2929">
        <v>0.98924789999999996</v>
      </c>
      <c r="AB2929">
        <v>28</v>
      </c>
      <c r="AC2929">
        <v>-60.969499999999897</v>
      </c>
      <c r="AD2929">
        <v>-0.99937869999999995</v>
      </c>
      <c r="AE2929">
        <v>-8.5860000000000092</v>
      </c>
      <c r="AF2929">
        <v>-9.0422376315044293</v>
      </c>
      <c r="AG2929">
        <v>-0.99937869999999995</v>
      </c>
      <c r="AH2929">
        <v>60.887113073288504</v>
      </c>
      <c r="AI2929">
        <v>90.930148125108403</v>
      </c>
      <c r="AJ2929">
        <v>98.447156271954398</v>
      </c>
      <c r="AK2929">
        <v>61.562986912348798</v>
      </c>
      <c r="AL2929">
        <v>79.452285370849907</v>
      </c>
      <c r="AM2929">
        <v>89.216001817588804</v>
      </c>
      <c r="AN2929">
        <v>1.00000002921804</v>
      </c>
    </row>
    <row r="2930" spans="1:40" x14ac:dyDescent="0.25">
      <c r="A2930" t="str">
        <f>"20190303170313671"</f>
        <v>20190303170313671</v>
      </c>
      <c r="B2930" t="str">
        <f>"1551603793658548"</f>
        <v>1551603793658548</v>
      </c>
      <c r="C2930" t="s">
        <v>40</v>
      </c>
      <c r="D2930">
        <v>4.2848810000000004</v>
      </c>
      <c r="E2930">
        <v>0.44176280000000001</v>
      </c>
      <c r="F2930" t="s">
        <v>66</v>
      </c>
      <c r="G2930">
        <v>-511.95870000000002</v>
      </c>
      <c r="H2930">
        <v>0.13881830000000001</v>
      </c>
      <c r="I2930">
        <v>276.34500000000003</v>
      </c>
      <c r="J2930">
        <v>-451.1771</v>
      </c>
      <c r="K2930">
        <v>1.121861</v>
      </c>
      <c r="L2930">
        <v>284.97359999999998</v>
      </c>
      <c r="M2930">
        <v>-0.99987329999999996</v>
      </c>
      <c r="N2930">
        <v>-1.4088160000000001E-2</v>
      </c>
      <c r="O2930">
        <v>7.4044480000000001E-3</v>
      </c>
      <c r="P2930">
        <v>-0.98546710000000004</v>
      </c>
      <c r="Q2930">
        <v>0.16860310000000001</v>
      </c>
      <c r="R2930">
        <v>2.0682579999999999E-2</v>
      </c>
      <c r="S2930">
        <v>-3.0622560000000001</v>
      </c>
      <c r="T2930">
        <v>-4.9369929999999999E-2</v>
      </c>
      <c r="U2930">
        <v>-0.43331910000000001</v>
      </c>
      <c r="V2930">
        <v>1.33306E-2</v>
      </c>
      <c r="W2930">
        <v>0.18247530000000001</v>
      </c>
      <c r="X2930">
        <v>0.98312010000000005</v>
      </c>
      <c r="Y2930">
        <v>-0.14740029999999901</v>
      </c>
      <c r="Z2930">
        <v>-2.2408580000000001E-3</v>
      </c>
      <c r="AA2930">
        <v>0.98907440000000002</v>
      </c>
      <c r="AB2930">
        <v>28</v>
      </c>
      <c r="AC2930">
        <v>-60.781599999999997</v>
      </c>
      <c r="AD2930">
        <v>-0.98304270000000005</v>
      </c>
      <c r="AE2930">
        <v>-8.6285999999999401</v>
      </c>
      <c r="AF2930">
        <v>-9.0761350853540694</v>
      </c>
      <c r="AG2930">
        <v>-0.98304270000000005</v>
      </c>
      <c r="AH2930">
        <v>60.7004728617651</v>
      </c>
      <c r="AI2930">
        <v>90.917623385303699</v>
      </c>
      <c r="AJ2930">
        <v>98.504051928989796</v>
      </c>
      <c r="AK2930">
        <v>61.383141062343</v>
      </c>
      <c r="AL2930">
        <v>79.486028031485901</v>
      </c>
      <c r="AM2930">
        <v>89.223146476526196</v>
      </c>
      <c r="AN2930">
        <v>1.0000000355152201</v>
      </c>
    </row>
    <row r="2931" spans="1:40" x14ac:dyDescent="0.25">
      <c r="A2931" t="str">
        <f>"20190303170313683"</f>
        <v>20190303170313683</v>
      </c>
      <c r="B2931" t="str">
        <f>"1551603793678067"</f>
        <v>1551603793678067</v>
      </c>
      <c r="C2931" t="s">
        <v>40</v>
      </c>
      <c r="D2931">
        <v>4.328767</v>
      </c>
      <c r="E2931">
        <v>0.4415888</v>
      </c>
      <c r="F2931" t="s">
        <v>66</v>
      </c>
      <c r="G2931">
        <v>-511.95859999999999</v>
      </c>
      <c r="H2931">
        <v>0.1003237</v>
      </c>
      <c r="I2931">
        <v>276.34120000000001</v>
      </c>
      <c r="J2931">
        <v>-451.33089999999999</v>
      </c>
      <c r="K2931">
        <v>1.1218589999999999</v>
      </c>
      <c r="L2931">
        <v>284.97469999999998</v>
      </c>
      <c r="M2931">
        <v>-0.99987409999999999</v>
      </c>
      <c r="N2931">
        <v>-1.408653E-2</v>
      </c>
      <c r="O2931">
        <v>7.3053469999999898E-3</v>
      </c>
      <c r="P2931">
        <v>-0.98558279999999998</v>
      </c>
      <c r="Q2931">
        <v>0.16795489999999999</v>
      </c>
      <c r="R2931">
        <v>2.0444049999999998E-2</v>
      </c>
      <c r="S2931">
        <v>-3.062195</v>
      </c>
      <c r="T2931">
        <v>-5.1461220000000002E-2</v>
      </c>
      <c r="U2931">
        <v>-0.43490600000000001</v>
      </c>
      <c r="V2931">
        <v>1.318921E-2</v>
      </c>
      <c r="W2931">
        <v>0.1818274</v>
      </c>
      <c r="X2931">
        <v>0.98324199999999995</v>
      </c>
      <c r="Y2931">
        <v>-0.14780499999999999</v>
      </c>
      <c r="Z2931">
        <v>-2.3018610000000001E-3</v>
      </c>
      <c r="AA2931">
        <v>0.9890139</v>
      </c>
      <c r="AB2931">
        <v>28</v>
      </c>
      <c r="AC2931">
        <v>-60.627699999999997</v>
      </c>
      <c r="AD2931">
        <v>-1.0215353</v>
      </c>
      <c r="AE2931">
        <v>-8.6334999999999695</v>
      </c>
      <c r="AF2931">
        <v>-9.0736950890642092</v>
      </c>
      <c r="AG2931">
        <v>-1.0215353</v>
      </c>
      <c r="AH2931">
        <v>60.546157508310898</v>
      </c>
      <c r="AI2931">
        <v>90.9559300672055</v>
      </c>
      <c r="AJ2931">
        <v>98.523150011767399</v>
      </c>
      <c r="AK2931">
        <v>61.230814676595998</v>
      </c>
      <c r="AL2931">
        <v>79.523781130550105</v>
      </c>
      <c r="AM2931">
        <v>89.2314804004493</v>
      </c>
      <c r="AN2931">
        <v>0.99999999460759104</v>
      </c>
    </row>
    <row r="2932" spans="1:40" x14ac:dyDescent="0.25">
      <c r="A2932" t="str">
        <f>"20190303170313695"</f>
        <v>20190303170313695</v>
      </c>
      <c r="B2932" t="str">
        <f>"1551603793688804"</f>
        <v>1551603793688804</v>
      </c>
      <c r="C2932" t="s">
        <v>40</v>
      </c>
      <c r="D2932">
        <v>4.3341880000000002</v>
      </c>
      <c r="E2932">
        <v>0.44148270000000001</v>
      </c>
      <c r="F2932" t="s">
        <v>66</v>
      </c>
      <c r="G2932">
        <v>-511.95859999999999</v>
      </c>
      <c r="H2932">
        <v>6.2024530000000001E-2</v>
      </c>
      <c r="I2932">
        <v>276.33170000000001</v>
      </c>
      <c r="J2932">
        <v>-451.48250000000002</v>
      </c>
      <c r="K2932">
        <v>1.1218570000000001</v>
      </c>
      <c r="L2932">
        <v>284.97570000000002</v>
      </c>
      <c r="M2932">
        <v>-0.99987490000000001</v>
      </c>
      <c r="N2932">
        <v>-1.4084889999999999E-2</v>
      </c>
      <c r="O2932">
        <v>7.2074390000000004E-3</v>
      </c>
      <c r="P2932">
        <v>-0.98564370000000001</v>
      </c>
      <c r="Q2932">
        <v>0.16762669999999999</v>
      </c>
      <c r="R2932">
        <v>2.018961E-2</v>
      </c>
      <c r="S2932">
        <v>-3.0620729999999998</v>
      </c>
      <c r="T2932">
        <v>-5.3523899999999999E-2</v>
      </c>
      <c r="U2932">
        <v>-0.43652340000000001</v>
      </c>
      <c r="V2932">
        <v>1.30309E-2</v>
      </c>
      <c r="W2932">
        <v>0.1814982</v>
      </c>
      <c r="X2932">
        <v>0.98330490000000004</v>
      </c>
      <c r="Y2932">
        <v>-0.1482232</v>
      </c>
      <c r="Z2932">
        <v>-2.3624869999999999E-3</v>
      </c>
      <c r="AA2932">
        <v>0.98895109999999997</v>
      </c>
      <c r="AB2932">
        <v>28</v>
      </c>
      <c r="AC2932">
        <v>-60.476099999999903</v>
      </c>
      <c r="AD2932">
        <v>-1.0598324699999999</v>
      </c>
      <c r="AE2932">
        <v>-8.6440000000000001</v>
      </c>
      <c r="AF2932">
        <v>-9.0769645508568093</v>
      </c>
      <c r="AG2932">
        <v>-1.0598324699999999</v>
      </c>
      <c r="AH2932">
        <v>60.394044787603903</v>
      </c>
      <c r="AI2932">
        <v>90.994195129988299</v>
      </c>
      <c r="AJ2932">
        <v>98.547333801202498</v>
      </c>
      <c r="AK2932">
        <v>61.081545299125203</v>
      </c>
      <c r="AL2932">
        <v>79.542961727754601</v>
      </c>
      <c r="AM2932">
        <v>89.240752414492405</v>
      </c>
      <c r="AN2932">
        <v>0.99999996366102895</v>
      </c>
    </row>
    <row r="2933" spans="1:40" x14ac:dyDescent="0.25">
      <c r="A2933" t="str">
        <f>"20190303170313709"</f>
        <v>20190303170313709</v>
      </c>
      <c r="B2933" t="str">
        <f>"1551603793698564"</f>
        <v>1551603793698564</v>
      </c>
      <c r="C2933" t="s">
        <v>40</v>
      </c>
      <c r="D2933">
        <v>4.3321899999999998</v>
      </c>
      <c r="E2933">
        <v>0.44138529999999998</v>
      </c>
      <c r="F2933" t="s">
        <v>66</v>
      </c>
      <c r="G2933">
        <v>-511.95859999999999</v>
      </c>
      <c r="H2933">
        <v>4.5721829999999998E-2</v>
      </c>
      <c r="I2933">
        <v>276.32429999999999</v>
      </c>
      <c r="J2933">
        <v>-451.65</v>
      </c>
      <c r="K2933">
        <v>1.1218549999999901</v>
      </c>
      <c r="L2933">
        <v>284.97680000000003</v>
      </c>
      <c r="M2933">
        <v>-0.99987570000000003</v>
      </c>
      <c r="N2933">
        <v>-1.408308E-2</v>
      </c>
      <c r="O2933">
        <v>7.1001090000000003E-3</v>
      </c>
      <c r="P2933">
        <v>-0.98556569999999999</v>
      </c>
      <c r="Q2933">
        <v>0.16807439999999901</v>
      </c>
      <c r="R2933">
        <v>2.028282E-2</v>
      </c>
      <c r="S2933">
        <v>-3.0619200000000002</v>
      </c>
      <c r="T2933">
        <v>-5.4480670000000002E-2</v>
      </c>
      <c r="U2933">
        <v>-0.43801879999999999</v>
      </c>
      <c r="V2933">
        <v>1.3230499999999999E-2</v>
      </c>
      <c r="W2933">
        <v>0.1819432</v>
      </c>
      <c r="X2933">
        <v>0.98321999999999998</v>
      </c>
      <c r="Y2933">
        <v>-0.14859600000000001</v>
      </c>
      <c r="Z2933">
        <v>-2.3932490000000001E-3</v>
      </c>
      <c r="AA2933">
        <v>0.98889510000000003</v>
      </c>
      <c r="AB2933">
        <v>28</v>
      </c>
      <c r="AC2933">
        <v>-60.308599999999998</v>
      </c>
      <c r="AD2933">
        <v>-1.0761331700000001</v>
      </c>
      <c r="AE2933">
        <v>-8.6525000000000301</v>
      </c>
      <c r="AF2933">
        <v>-9.07768988408532</v>
      </c>
      <c r="AG2933">
        <v>-1.0761331700000001</v>
      </c>
      <c r="AH2933">
        <v>60.226850281257398</v>
      </c>
      <c r="AI2933">
        <v>91.0122210406319</v>
      </c>
      <c r="AJ2933">
        <v>98.571384675883294</v>
      </c>
      <c r="AK2933">
        <v>60.916631645488998</v>
      </c>
      <c r="AL2933">
        <v>79.517033483626093</v>
      </c>
      <c r="AM2933">
        <v>89.229057523389898</v>
      </c>
      <c r="AN2933">
        <v>0.99999997127824403</v>
      </c>
    </row>
    <row r="2934" spans="1:40" x14ac:dyDescent="0.25">
      <c r="A2934" t="str">
        <f>"20190303170313721"</f>
        <v>20190303170313721</v>
      </c>
      <c r="B2934" t="str">
        <f>"1551603793718083"</f>
        <v>1551603793718083</v>
      </c>
      <c r="C2934" t="s">
        <v>40</v>
      </c>
      <c r="D2934">
        <v>4.4528049999999997</v>
      </c>
      <c r="E2934">
        <v>0.44125520000000001</v>
      </c>
      <c r="F2934" t="s">
        <v>66</v>
      </c>
      <c r="G2934">
        <v>-511.95859999999999</v>
      </c>
      <c r="H2934">
        <v>7.4604089999999998E-2</v>
      </c>
      <c r="I2934">
        <v>276.33949999999999</v>
      </c>
      <c r="J2934">
        <v>-451.79910000000001</v>
      </c>
      <c r="K2934">
        <v>1.121856</v>
      </c>
      <c r="L2934">
        <v>284.9778</v>
      </c>
      <c r="M2934">
        <v>-0.9998764</v>
      </c>
      <c r="N2934">
        <v>-1.408149E-2</v>
      </c>
      <c r="O2934">
        <v>7.0040459999999999E-3</v>
      </c>
      <c r="P2934">
        <v>-0.98548049999999998</v>
      </c>
      <c r="Q2934">
        <v>0.16857520000000001</v>
      </c>
      <c r="R2934">
        <v>2.0265430000000001E-2</v>
      </c>
      <c r="S2934">
        <v>-3.0620419999999999</v>
      </c>
      <c r="T2934">
        <v>-5.3167699999999998E-2</v>
      </c>
      <c r="U2934">
        <v>-0.43853760000000003</v>
      </c>
      <c r="V2934">
        <v>1.330836E-2</v>
      </c>
      <c r="W2934">
        <v>0.18244109999999999</v>
      </c>
      <c r="X2934">
        <v>0.98312670000000002</v>
      </c>
      <c r="Y2934">
        <v>-0.14866119999999999</v>
      </c>
      <c r="Z2934">
        <v>-2.3590669999999998E-3</v>
      </c>
      <c r="AA2934">
        <v>0.98888540000000003</v>
      </c>
      <c r="AB2934">
        <v>28</v>
      </c>
      <c r="AC2934">
        <v>-60.159499999999902</v>
      </c>
      <c r="AD2934">
        <v>-1.04725191</v>
      </c>
      <c r="AE2934">
        <v>-8.6383000000000099</v>
      </c>
      <c r="AF2934">
        <v>-9.0568006348661605</v>
      </c>
      <c r="AG2934">
        <v>-1.04725191</v>
      </c>
      <c r="AH2934">
        <v>60.079676537052897</v>
      </c>
      <c r="AI2934">
        <v>90.987469917123903</v>
      </c>
      <c r="AJ2934">
        <v>98.572590841497899</v>
      </c>
      <c r="AK2934">
        <v>60.767507000860299</v>
      </c>
      <c r="AL2934">
        <v>79.488020494924001</v>
      </c>
      <c r="AM2934">
        <v>89.224447581351697</v>
      </c>
      <c r="AN2934">
        <v>0.99999998783399402</v>
      </c>
    </row>
    <row r="2935" spans="1:40" x14ac:dyDescent="0.25">
      <c r="A2935" t="str">
        <f>"20190303170313733"</f>
        <v>20190303170313733</v>
      </c>
      <c r="B2935" t="str">
        <f>"1551603793728820"</f>
        <v>1551603793728820</v>
      </c>
      <c r="C2935" t="s">
        <v>40</v>
      </c>
      <c r="D2935">
        <v>4.3649719999999999</v>
      </c>
      <c r="E2935">
        <v>0.44112119999999999</v>
      </c>
      <c r="F2935" t="s">
        <v>66</v>
      </c>
      <c r="G2935">
        <v>-511.95859999999999</v>
      </c>
      <c r="H2935">
        <v>0.11779820000000001</v>
      </c>
      <c r="I2935">
        <v>276.32920000000001</v>
      </c>
      <c r="J2935">
        <v>-451.96280000000002</v>
      </c>
      <c r="K2935">
        <v>1.1218509999999999</v>
      </c>
      <c r="L2935">
        <v>284.97879999999998</v>
      </c>
      <c r="M2935">
        <v>-0.99987709999999996</v>
      </c>
      <c r="N2935">
        <v>-1.407975E-2</v>
      </c>
      <c r="O2935">
        <v>6.8985699999999997E-3</v>
      </c>
      <c r="P2935">
        <v>-0.9852784</v>
      </c>
      <c r="Q2935">
        <v>0.16968549999999999</v>
      </c>
      <c r="R2935">
        <v>2.081848E-2</v>
      </c>
      <c r="S2935">
        <v>-3.0619510000000001</v>
      </c>
      <c r="T2935">
        <v>-5.109942E-2</v>
      </c>
      <c r="U2935">
        <v>-0.44018550000000001</v>
      </c>
      <c r="V2935">
        <v>1.3966640000000001E-2</v>
      </c>
      <c r="W2935">
        <v>0.18354699999999999</v>
      </c>
      <c r="X2935">
        <v>0.98291170000000005</v>
      </c>
      <c r="Y2935">
        <v>-0.14908479999999999</v>
      </c>
      <c r="Z2935">
        <v>-2.3105650000000001E-3</v>
      </c>
      <c r="AA2935">
        <v>0.98882170000000003</v>
      </c>
      <c r="AB2935">
        <v>28</v>
      </c>
      <c r="AC2935">
        <v>-59.995799999999903</v>
      </c>
      <c r="AD2935">
        <v>-1.0040528</v>
      </c>
      <c r="AE2935">
        <v>-8.6495999999999604</v>
      </c>
      <c r="AF2935">
        <v>-9.0608343614117697</v>
      </c>
      <c r="AG2935">
        <v>-1.0040528</v>
      </c>
      <c r="AH2935">
        <v>59.9182565160026</v>
      </c>
      <c r="AI2935">
        <v>90.949228123981698</v>
      </c>
      <c r="AJ2935">
        <v>98.599111932082295</v>
      </c>
      <c r="AK2935">
        <v>60.6077907967912</v>
      </c>
      <c r="AL2935">
        <v>79.423568770915594</v>
      </c>
      <c r="AM2935">
        <v>89.185912961708695</v>
      </c>
      <c r="AN2935">
        <v>0.99999998911938903</v>
      </c>
    </row>
    <row r="2936" spans="1:40" x14ac:dyDescent="0.25">
      <c r="A2936" t="str">
        <f>"20190303170313749"</f>
        <v>20190303170313749</v>
      </c>
      <c r="B2936" t="str">
        <f>"1551603793738580"</f>
        <v>1551603793738580</v>
      </c>
      <c r="C2936" t="s">
        <v>40</v>
      </c>
      <c r="D2936">
        <v>4.3962079999999997</v>
      </c>
      <c r="E2936">
        <v>0.4409882</v>
      </c>
      <c r="F2936" t="s">
        <v>66</v>
      </c>
      <c r="G2936">
        <v>-511.95870000000002</v>
      </c>
      <c r="H2936">
        <v>0.20801459999999999</v>
      </c>
      <c r="I2936">
        <v>276.34550000000002</v>
      </c>
      <c r="J2936">
        <v>-452.14519999999999</v>
      </c>
      <c r="K2936">
        <v>1.12185</v>
      </c>
      <c r="L2936">
        <v>284.97989999999999</v>
      </c>
      <c r="M2936">
        <v>-0.99987800000000004</v>
      </c>
      <c r="N2936">
        <v>-1.4077849999999999E-2</v>
      </c>
      <c r="O2936">
        <v>6.7809940000000003E-3</v>
      </c>
      <c r="P2936">
        <v>-0.985236</v>
      </c>
      <c r="Q2936">
        <v>0.16992789999999999</v>
      </c>
      <c r="R2936">
        <v>2.0848749999999999E-2</v>
      </c>
      <c r="S2936">
        <v>-3.062195</v>
      </c>
      <c r="T2936">
        <v>-4.6638010000000001E-2</v>
      </c>
      <c r="U2936">
        <v>-0.44064330000000002</v>
      </c>
      <c r="V2936">
        <v>1.4112889999999999E-2</v>
      </c>
      <c r="W2936">
        <v>0.18378700000000001</v>
      </c>
      <c r="X2936">
        <v>0.98286479999999998</v>
      </c>
      <c r="Y2936">
        <v>-0.14910709999999999</v>
      </c>
      <c r="Z2936">
        <v>-2.1924750000000002E-3</v>
      </c>
      <c r="AA2936">
        <v>0.98881859999999999</v>
      </c>
      <c r="AB2936">
        <v>28</v>
      </c>
      <c r="AC2936">
        <v>-59.813499999999998</v>
      </c>
      <c r="AD2936">
        <v>-0.91383539999999996</v>
      </c>
      <c r="AE2936">
        <v>-8.6343999999999692</v>
      </c>
      <c r="AF2936">
        <v>-9.0377700602541005</v>
      </c>
      <c r="AG2936">
        <v>-0.91383539999999996</v>
      </c>
      <c r="AH2936">
        <v>59.739909108924401</v>
      </c>
      <c r="AI2936">
        <v>90.866520932876298</v>
      </c>
      <c r="AJ2936">
        <v>98.602773759605796</v>
      </c>
      <c r="AK2936">
        <v>60.4265928473786</v>
      </c>
      <c r="AL2936">
        <v>79.409580195721702</v>
      </c>
      <c r="AM2936">
        <v>89.177350264367703</v>
      </c>
      <c r="AN2936">
        <v>1.0000000250560901</v>
      </c>
    </row>
    <row r="2937" spans="1:40" x14ac:dyDescent="0.25">
      <c r="A2937" t="str">
        <f>"20190303170313763"</f>
        <v>20190303170313763</v>
      </c>
      <c r="B2937" t="str">
        <f>"1551603793758099"</f>
        <v>1551603793758099</v>
      </c>
      <c r="C2937" t="s">
        <v>40</v>
      </c>
      <c r="D2937">
        <v>4.3996240000000002</v>
      </c>
      <c r="E2937">
        <v>0.4407084</v>
      </c>
      <c r="F2937" t="s">
        <v>66</v>
      </c>
      <c r="G2937">
        <v>-511.95870000000002</v>
      </c>
      <c r="H2937">
        <v>0.2244787</v>
      </c>
      <c r="I2937">
        <v>276.35320000000002</v>
      </c>
      <c r="J2937">
        <v>-452.31990000000002</v>
      </c>
      <c r="K2937">
        <v>1.1218490000000001</v>
      </c>
      <c r="L2937">
        <v>284.98099999999999</v>
      </c>
      <c r="M2937">
        <v>-0.99987879999999996</v>
      </c>
      <c r="N2937">
        <v>-1.407601E-2</v>
      </c>
      <c r="O2937">
        <v>6.6687780000000002E-3</v>
      </c>
      <c r="P2937">
        <v>-0.98526100000000005</v>
      </c>
      <c r="Q2937">
        <v>0.16984089999999999</v>
      </c>
      <c r="R2937">
        <v>2.0370099999999999E-2</v>
      </c>
      <c r="S2937">
        <v>-3.062195</v>
      </c>
      <c r="T2937">
        <v>-4.59373E-2</v>
      </c>
      <c r="U2937">
        <v>-0.4416504</v>
      </c>
      <c r="V2937">
        <v>1.374482E-2</v>
      </c>
      <c r="W2937">
        <v>0.1836979</v>
      </c>
      <c r="X2937">
        <v>0.9828867</v>
      </c>
      <c r="Y2937">
        <v>-0.14931549999999999</v>
      </c>
      <c r="Z2937">
        <v>-2.1767560000000002E-3</v>
      </c>
      <c r="AA2937">
        <v>0.98878719999999998</v>
      </c>
      <c r="AB2937">
        <v>28</v>
      </c>
      <c r="AC2937">
        <v>-59.638800000000003</v>
      </c>
      <c r="AD2937">
        <v>-0.89737029999999895</v>
      </c>
      <c r="AE2937">
        <v>-8.6277999999999793</v>
      </c>
      <c r="AF2937">
        <v>-9.0233643361263294</v>
      </c>
      <c r="AG2937">
        <v>-0.89737029999999895</v>
      </c>
      <c r="AH2937">
        <v>59.566721271272101</v>
      </c>
      <c r="AI2937">
        <v>90.853359260498607</v>
      </c>
      <c r="AJ2937">
        <v>98.613864951771504</v>
      </c>
      <c r="AK2937">
        <v>60.252972212225501</v>
      </c>
      <c r="AL2937">
        <v>79.414773957716804</v>
      </c>
      <c r="AM2937">
        <v>89.198820324440007</v>
      </c>
      <c r="AN2937">
        <v>1.0000000517890599</v>
      </c>
    </row>
    <row r="2938" spans="1:40" x14ac:dyDescent="0.25">
      <c r="A2938" t="str">
        <f>"20190303170313776"</f>
        <v>20190303170313776</v>
      </c>
      <c r="B2938" t="str">
        <f>"1551603793768836"</f>
        <v>1551603793768836</v>
      </c>
      <c r="C2938" t="s">
        <v>40</v>
      </c>
      <c r="D2938">
        <v>4.417618</v>
      </c>
      <c r="E2938">
        <v>0.44060529999999998</v>
      </c>
      <c r="F2938" t="s">
        <v>66</v>
      </c>
      <c r="G2938">
        <v>-511.95870000000002</v>
      </c>
      <c r="H2938">
        <v>0.2159837</v>
      </c>
      <c r="I2938">
        <v>276.30560000000003</v>
      </c>
      <c r="J2938">
        <v>-452.4864</v>
      </c>
      <c r="K2938">
        <v>1.1218549999999901</v>
      </c>
      <c r="L2938">
        <v>284.98200000000003</v>
      </c>
      <c r="M2938">
        <v>-0.99987950000000003</v>
      </c>
      <c r="N2938">
        <v>-1.407424E-2</v>
      </c>
      <c r="O2938">
        <v>6.5618059999999999E-3</v>
      </c>
      <c r="P2938">
        <v>-0.9853594</v>
      </c>
      <c r="Q2938">
        <v>0.16932900000000001</v>
      </c>
      <c r="R2938">
        <v>1.9868609999999998E-2</v>
      </c>
      <c r="S2938">
        <v>-3.0621339999999999</v>
      </c>
      <c r="T2938">
        <v>-4.6507119999999999E-2</v>
      </c>
      <c r="U2938">
        <v>-0.44543460000000001</v>
      </c>
      <c r="V2938">
        <v>1.334831E-2</v>
      </c>
      <c r="W2938">
        <v>0.18318599999999999</v>
      </c>
      <c r="X2938">
        <v>0.98298759999999996</v>
      </c>
      <c r="Y2938">
        <v>-0.150408399999999</v>
      </c>
      <c r="Z2938">
        <v>-2.2075760000000002E-3</v>
      </c>
      <c r="AA2938">
        <v>0.98862150000000004</v>
      </c>
      <c r="AB2938">
        <v>28</v>
      </c>
      <c r="AC2938">
        <v>-59.472299999999997</v>
      </c>
      <c r="AD2938">
        <v>-0.90587129999999905</v>
      </c>
      <c r="AE2938">
        <v>-8.6763999999999992</v>
      </c>
      <c r="AF2938">
        <v>-9.0644382934851304</v>
      </c>
      <c r="AG2938">
        <v>-0.90587129999999905</v>
      </c>
      <c r="AH2938">
        <v>59.4005866649211</v>
      </c>
      <c r="AI2938">
        <v>90.863707960188705</v>
      </c>
      <c r="AJ2938">
        <v>98.676314731693196</v>
      </c>
      <c r="AK2938">
        <v>60.0950442260039</v>
      </c>
      <c r="AL2938">
        <v>79.444608932073393</v>
      </c>
      <c r="AM2938">
        <v>89.222009695246399</v>
      </c>
      <c r="AN2938">
        <v>0.99999995486480697</v>
      </c>
    </row>
    <row r="2939" spans="1:40" x14ac:dyDescent="0.25">
      <c r="A2939" t="str">
        <f>"20190303170313790"</f>
        <v>20190303170313790</v>
      </c>
      <c r="B2939" t="str">
        <f>"1551603793778596"</f>
        <v>1551603793778596</v>
      </c>
      <c r="C2939" t="s">
        <v>40</v>
      </c>
      <c r="D2939">
        <v>4.422269</v>
      </c>
      <c r="E2939">
        <v>0.44047059999999999</v>
      </c>
      <c r="F2939" t="s">
        <v>66</v>
      </c>
      <c r="G2939">
        <v>-511.95870000000002</v>
      </c>
      <c r="H2939">
        <v>0.1769232</v>
      </c>
      <c r="I2939">
        <v>276.29169999999999</v>
      </c>
      <c r="J2939">
        <v>-452.65</v>
      </c>
      <c r="K2939">
        <v>1.12185</v>
      </c>
      <c r="L2939">
        <v>284.983</v>
      </c>
      <c r="M2939">
        <v>-0.9998802</v>
      </c>
      <c r="N2939">
        <v>-1.407245E-2</v>
      </c>
      <c r="O2939">
        <v>6.4560930000000004E-3</v>
      </c>
      <c r="P2939">
        <v>-0.98542410000000003</v>
      </c>
      <c r="Q2939">
        <v>0.169010299999999</v>
      </c>
      <c r="R2939">
        <v>1.9369460000000002E-2</v>
      </c>
      <c r="S2939">
        <v>-3.0619200000000002</v>
      </c>
      <c r="T2939">
        <v>-4.8645380000000002E-2</v>
      </c>
      <c r="U2939">
        <v>-0.44741819999999999</v>
      </c>
      <c r="V2939">
        <v>1.2953269999999999E-2</v>
      </c>
      <c r="W2939">
        <v>0.18286630000000001</v>
      </c>
      <c r="X2939">
        <v>0.98305240000000005</v>
      </c>
      <c r="Y2939">
        <v>-0.150938299999999</v>
      </c>
      <c r="Z2939">
        <v>-2.272077E-3</v>
      </c>
      <c r="AA2939">
        <v>0.98854059999999999</v>
      </c>
      <c r="AB2939">
        <v>28</v>
      </c>
      <c r="AC2939">
        <v>-59.308700000000002</v>
      </c>
      <c r="AD2939">
        <v>-0.94492679999999996</v>
      </c>
      <c r="AE2939">
        <v>-8.6913000000000107</v>
      </c>
      <c r="AF2939">
        <v>-9.0718048366955095</v>
      </c>
      <c r="AG2939">
        <v>-0.94492679999999996</v>
      </c>
      <c r="AH2939">
        <v>59.2366258365969</v>
      </c>
      <c r="AI2939">
        <v>90.903359154824898</v>
      </c>
      <c r="AJ2939">
        <v>98.706924962059006</v>
      </c>
      <c r="AK2939">
        <v>59.934700884858302</v>
      </c>
      <c r="AL2939">
        <v>79.4632410335999</v>
      </c>
      <c r="AM2939">
        <v>89.245081183790404</v>
      </c>
      <c r="AN2939">
        <v>0.99999994601257003</v>
      </c>
    </row>
    <row r="2940" spans="1:40" x14ac:dyDescent="0.25">
      <c r="A2940" t="str">
        <f>"20190303170313806"</f>
        <v>20190303170313806</v>
      </c>
      <c r="B2940" t="str">
        <f>"1551603793798116"</f>
        <v>1551603793798116</v>
      </c>
      <c r="C2940" t="s">
        <v>40</v>
      </c>
      <c r="D2940">
        <v>4.4386060000000001</v>
      </c>
      <c r="E2940">
        <v>0.44022939999999999</v>
      </c>
      <c r="F2940" t="s">
        <v>66</v>
      </c>
      <c r="G2940">
        <v>-511.95870000000002</v>
      </c>
      <c r="H2940">
        <v>0.15289910000000001</v>
      </c>
      <c r="I2940">
        <v>276.2654</v>
      </c>
      <c r="J2940">
        <v>-452.851</v>
      </c>
      <c r="K2940">
        <v>1.121847</v>
      </c>
      <c r="L2940">
        <v>284.98410000000001</v>
      </c>
      <c r="M2940">
        <v>-0.99988100000000002</v>
      </c>
      <c r="N2940">
        <v>-1.4070249999999999E-2</v>
      </c>
      <c r="O2940">
        <v>6.3268949999999999E-3</v>
      </c>
      <c r="P2940">
        <v>-0.98544580000000004</v>
      </c>
      <c r="Q2940">
        <v>0.16889570000000001</v>
      </c>
      <c r="R2940">
        <v>1.9266249999999999E-2</v>
      </c>
      <c r="S2940">
        <v>-3.061798</v>
      </c>
      <c r="T2940">
        <v>-5.0017600000000002E-2</v>
      </c>
      <c r="U2940">
        <v>-0.45004270000000002</v>
      </c>
      <c r="V2940">
        <v>1.297744E-2</v>
      </c>
      <c r="W2940">
        <v>0.1827501</v>
      </c>
      <c r="X2940">
        <v>0.9830738</v>
      </c>
      <c r="Y2940">
        <v>-0.151644</v>
      </c>
      <c r="Z2940">
        <v>-2.318919E-3</v>
      </c>
      <c r="AA2940">
        <v>0.98843250000000005</v>
      </c>
      <c r="AB2940">
        <v>28</v>
      </c>
      <c r="AC2940">
        <v>-59.107700000000001</v>
      </c>
      <c r="AD2940">
        <v>-0.96894789999999997</v>
      </c>
      <c r="AE2940">
        <v>-8.7187000000000108</v>
      </c>
      <c r="AF2940">
        <v>-9.0901399360049595</v>
      </c>
      <c r="AG2940">
        <v>-0.96894789999999997</v>
      </c>
      <c r="AH2940">
        <v>59.035822221548401</v>
      </c>
      <c r="AI2940">
        <v>90.929353909459806</v>
      </c>
      <c r="AJ2940">
        <v>98.753467829122997</v>
      </c>
      <c r="AK2940">
        <v>59.7394158781565</v>
      </c>
      <c r="AL2940">
        <v>79.470014076053005</v>
      </c>
      <c r="AM2940">
        <v>89.243689177653806</v>
      </c>
      <c r="AN2940">
        <v>1.0000000546226999</v>
      </c>
    </row>
    <row r="2941" spans="1:40" x14ac:dyDescent="0.25">
      <c r="A2941" t="str">
        <f>"20190303170313825"</f>
        <v>20190303170313825</v>
      </c>
      <c r="B2941" t="str">
        <f>"1551603793818611"</f>
        <v>1551603793818611</v>
      </c>
      <c r="C2941" t="s">
        <v>40</v>
      </c>
      <c r="D2941">
        <v>4.4335500000000003</v>
      </c>
      <c r="E2941">
        <v>0.43997900000000001</v>
      </c>
      <c r="F2941" t="s">
        <v>66</v>
      </c>
      <c r="G2941">
        <v>-511.95870000000002</v>
      </c>
      <c r="H2941">
        <v>0.149888299999999</v>
      </c>
      <c r="I2941">
        <v>276.25310000000002</v>
      </c>
      <c r="J2941">
        <v>-453.07810000000001</v>
      </c>
      <c r="K2941">
        <v>1.12185</v>
      </c>
      <c r="L2941">
        <v>284.98540000000003</v>
      </c>
      <c r="M2941">
        <v>-0.99988200000000005</v>
      </c>
      <c r="N2941">
        <v>-1.406777E-2</v>
      </c>
      <c r="O2941">
        <v>6.1807140000000003E-3</v>
      </c>
      <c r="P2941">
        <v>-0.98527450000000005</v>
      </c>
      <c r="Q2941">
        <v>0.16983760000000001</v>
      </c>
      <c r="R2941">
        <v>1.9741939999999999E-2</v>
      </c>
      <c r="S2941">
        <v>-3.061798</v>
      </c>
      <c r="T2941">
        <v>-5.0343510000000001E-2</v>
      </c>
      <c r="U2941">
        <v>-0.45227050000000002</v>
      </c>
      <c r="V2941">
        <v>1.359808E-2</v>
      </c>
      <c r="W2941">
        <v>0.18368709999999999</v>
      </c>
      <c r="X2941">
        <v>0.98289070000000001</v>
      </c>
      <c r="Y2941">
        <v>-0.152202799999999</v>
      </c>
      <c r="Z2941">
        <v>-2.3356090000000002E-3</v>
      </c>
      <c r="AA2941">
        <v>0.98834650000000002</v>
      </c>
      <c r="AB2941">
        <v>28</v>
      </c>
      <c r="AC2941">
        <v>-58.880600000000001</v>
      </c>
      <c r="AD2941">
        <v>-0.97196170000000004</v>
      </c>
      <c r="AE2941">
        <v>-8.7323000000000093</v>
      </c>
      <c r="AF2941">
        <v>-9.0936686923001595</v>
      </c>
      <c r="AG2941">
        <v>-0.97196170000000004</v>
      </c>
      <c r="AH2941">
        <v>58.809817595881803</v>
      </c>
      <c r="AI2941">
        <v>90.935734100963501</v>
      </c>
      <c r="AJ2941">
        <v>98.789940883286206</v>
      </c>
      <c r="AK2941">
        <v>59.516671324028799</v>
      </c>
      <c r="AL2941">
        <v>79.415402837884798</v>
      </c>
      <c r="AM2941">
        <v>89.207375864391395</v>
      </c>
      <c r="AN2941">
        <v>0.99999999331629297</v>
      </c>
    </row>
    <row r="2942" spans="1:40" x14ac:dyDescent="0.25">
      <c r="A2942" t="str">
        <f>"20190303170313846"</f>
        <v>20190303170313846</v>
      </c>
      <c r="B2942" t="str">
        <f>"1551603793838131"</f>
        <v>1551603793838131</v>
      </c>
      <c r="C2942" t="s">
        <v>40</v>
      </c>
      <c r="D2942">
        <v>4.4255129999999996</v>
      </c>
      <c r="E2942">
        <v>0.43968429999999997</v>
      </c>
      <c r="F2942" t="s">
        <v>66</v>
      </c>
      <c r="G2942">
        <v>-511.95870000000002</v>
      </c>
      <c r="H2942">
        <v>0.2230936</v>
      </c>
      <c r="I2942">
        <v>276.25729999999999</v>
      </c>
      <c r="J2942">
        <v>-453.34120000000001</v>
      </c>
      <c r="K2942">
        <v>1.1218539999999999</v>
      </c>
      <c r="L2942">
        <v>284.98680000000002</v>
      </c>
      <c r="M2942">
        <v>-0.99988299999999997</v>
      </c>
      <c r="N2942">
        <v>-1.406487E-2</v>
      </c>
      <c r="O2942">
        <v>6.0111770000000004E-3</v>
      </c>
      <c r="P2942">
        <v>-0.98521550000000002</v>
      </c>
      <c r="Q2942">
        <v>0.17022799999999999</v>
      </c>
      <c r="R2942">
        <v>1.9306650000000002E-2</v>
      </c>
      <c r="S2942">
        <v>-3.0620120000000002</v>
      </c>
      <c r="T2942">
        <v>-4.6734449999999997E-2</v>
      </c>
      <c r="U2942">
        <v>-0.45388790000000001</v>
      </c>
      <c r="V2942">
        <v>1.333023E-2</v>
      </c>
      <c r="W2942">
        <v>0.1840733</v>
      </c>
      <c r="X2942">
        <v>0.98282210000000003</v>
      </c>
      <c r="Y2942">
        <v>-0.15254019999999999</v>
      </c>
      <c r="Z2942">
        <v>-2.2435939999999998E-3</v>
      </c>
      <c r="AA2942">
        <v>0.98829469999999997</v>
      </c>
      <c r="AB2942">
        <v>28</v>
      </c>
      <c r="AC2942">
        <v>-58.6175</v>
      </c>
      <c r="AD2942">
        <v>-0.89876040000000001</v>
      </c>
      <c r="AE2942">
        <v>-8.72950000000003</v>
      </c>
      <c r="AF2942">
        <v>-9.0796490632846893</v>
      </c>
      <c r="AG2942">
        <v>-0.89876040000000001</v>
      </c>
      <c r="AH2942">
        <v>58.550495011040397</v>
      </c>
      <c r="AI2942">
        <v>90.869045570307804</v>
      </c>
      <c r="AJ2942">
        <v>98.814863415638797</v>
      </c>
      <c r="AK2942">
        <v>59.257136814116201</v>
      </c>
      <c r="AL2942">
        <v>79.392891187226894</v>
      </c>
      <c r="AM2942">
        <v>89.222932522824394</v>
      </c>
      <c r="AN2942">
        <v>0.99999997752657599</v>
      </c>
    </row>
    <row r="2943" spans="1:40" x14ac:dyDescent="0.25">
      <c r="A2943" t="str">
        <f>"20190303170313868"</f>
        <v>20190303170313868</v>
      </c>
      <c r="B2943" t="str">
        <f>"1551603793858628"</f>
        <v>1551603793858628</v>
      </c>
      <c r="C2943" t="s">
        <v>40</v>
      </c>
      <c r="D2943">
        <v>4.4382149999999996</v>
      </c>
      <c r="E2943">
        <v>0.43943579999999999</v>
      </c>
      <c r="F2943" t="s">
        <v>66</v>
      </c>
      <c r="G2943">
        <v>-511.95870000000002</v>
      </c>
      <c r="H2943">
        <v>0.2455978</v>
      </c>
      <c r="I2943">
        <v>276.22789999999998</v>
      </c>
      <c r="J2943">
        <v>-453.6112</v>
      </c>
      <c r="K2943">
        <v>1.1218570000000001</v>
      </c>
      <c r="L2943">
        <v>284.98829999999998</v>
      </c>
      <c r="M2943">
        <v>-0.99988410000000005</v>
      </c>
      <c r="N2943">
        <v>-1.406192E-2</v>
      </c>
      <c r="O2943">
        <v>5.8372850000000002E-3</v>
      </c>
      <c r="P2943">
        <v>-0.98530450000000003</v>
      </c>
      <c r="Q2943">
        <v>0.169819</v>
      </c>
      <c r="R2943">
        <v>1.8351679999999999E-2</v>
      </c>
      <c r="S2943">
        <v>-3.06189</v>
      </c>
      <c r="T2943">
        <v>-4.5766950000000001E-2</v>
      </c>
      <c r="U2943">
        <v>-0.45751950000000002</v>
      </c>
      <c r="V2943">
        <v>1.254649E-2</v>
      </c>
      <c r="W2943">
        <v>0.1836623</v>
      </c>
      <c r="X2943">
        <v>0.98290929999999999</v>
      </c>
      <c r="Y2943">
        <v>-0.15352150000000001</v>
      </c>
      <c r="Z2943">
        <v>-2.231649E-3</v>
      </c>
      <c r="AA2943">
        <v>0.98814279999999999</v>
      </c>
      <c r="AB2943">
        <v>28</v>
      </c>
      <c r="AC2943">
        <v>-58.347499999999997</v>
      </c>
      <c r="AD2943">
        <v>-0.87625919999999902</v>
      </c>
      <c r="AE2943">
        <v>-8.7604000000000006</v>
      </c>
      <c r="AF2943">
        <v>-9.0988684755234797</v>
      </c>
      <c r="AG2943">
        <v>-0.87625919999999902</v>
      </c>
      <c r="AH2943">
        <v>58.282508563265402</v>
      </c>
      <c r="AI2943">
        <v>90.851052028747404</v>
      </c>
      <c r="AJ2943">
        <v>98.873199240294099</v>
      </c>
      <c r="AK2943">
        <v>58.994983194739198</v>
      </c>
      <c r="AL2943">
        <v>79.416848153090797</v>
      </c>
      <c r="AM2943">
        <v>89.268679332166698</v>
      </c>
      <c r="AN2943">
        <v>0.99999997343954905</v>
      </c>
    </row>
    <row r="2944" spans="1:40" x14ac:dyDescent="0.25">
      <c r="A2944" t="str">
        <f>"20190303170313884"</f>
        <v>20190303170313884</v>
      </c>
      <c r="B2944" t="str">
        <f>"1551603793878148"</f>
        <v>1551603793878148</v>
      </c>
      <c r="C2944" t="s">
        <v>40</v>
      </c>
      <c r="D2944">
        <v>4.4558589999999896</v>
      </c>
      <c r="E2944">
        <v>0.4392201</v>
      </c>
      <c r="F2944" t="s">
        <v>66</v>
      </c>
      <c r="G2944">
        <v>-511.95870000000002</v>
      </c>
      <c r="H2944">
        <v>0.2071385</v>
      </c>
      <c r="I2944">
        <v>276.18459999999999</v>
      </c>
      <c r="J2944">
        <v>-453.8014</v>
      </c>
      <c r="K2944">
        <v>1.1218549999999901</v>
      </c>
      <c r="L2944">
        <v>284.98919999999998</v>
      </c>
      <c r="M2944">
        <v>-0.99988489999999997</v>
      </c>
      <c r="N2944">
        <v>-1.4059820000000001E-2</v>
      </c>
      <c r="O2944">
        <v>5.7145859999999998E-3</v>
      </c>
      <c r="P2944">
        <v>-0.98533340000000003</v>
      </c>
      <c r="Q2944">
        <v>0.16969339999999999</v>
      </c>
      <c r="R2944">
        <v>1.795633E-2</v>
      </c>
      <c r="S2944">
        <v>-3.0616150000000002</v>
      </c>
      <c r="T2944">
        <v>-4.799283E-2</v>
      </c>
      <c r="U2944">
        <v>-0.46194459999999998</v>
      </c>
      <c r="V2944">
        <v>1.227193E-2</v>
      </c>
      <c r="W2944">
        <v>0.18353520000000001</v>
      </c>
      <c r="X2944">
        <v>0.98293649999999999</v>
      </c>
      <c r="Y2944">
        <v>-0.1548071</v>
      </c>
      <c r="Z2944">
        <v>-2.310225E-3</v>
      </c>
      <c r="AA2944">
        <v>0.98794199999999999</v>
      </c>
      <c r="AB2944">
        <v>27</v>
      </c>
      <c r="AC2944">
        <v>-58.157299999999999</v>
      </c>
      <c r="AD2944">
        <v>-0.91471649999999904</v>
      </c>
      <c r="AE2944">
        <v>-8.80459999999999</v>
      </c>
      <c r="AF2944">
        <v>-9.1346248366668306</v>
      </c>
      <c r="AG2944">
        <v>-0.91471649999999904</v>
      </c>
      <c r="AH2944">
        <v>58.091981786102302</v>
      </c>
      <c r="AI2944">
        <v>90.891156769764706</v>
      </c>
      <c r="AJ2944">
        <v>98.936254323323695</v>
      </c>
      <c r="AK2944">
        <v>58.812893356974598</v>
      </c>
      <c r="AL2944">
        <v>79.424256302695298</v>
      </c>
      <c r="AM2944">
        <v>89.284701233921894</v>
      </c>
      <c r="AN2944">
        <v>0.99999996646860601</v>
      </c>
    </row>
    <row r="2945" spans="1:40" x14ac:dyDescent="0.25">
      <c r="A2945" t="str">
        <f>"20190303170313897"</f>
        <v>20190303170313897</v>
      </c>
      <c r="B2945" t="str">
        <f>"1551603793888884"</f>
        <v>1551603793888884</v>
      </c>
      <c r="C2945" t="s">
        <v>40</v>
      </c>
      <c r="D2945">
        <v>4.4371489999999998</v>
      </c>
      <c r="E2945">
        <v>0.43911220000000001</v>
      </c>
      <c r="F2945" t="s">
        <v>66</v>
      </c>
      <c r="G2945">
        <v>-511.95870000000002</v>
      </c>
      <c r="H2945">
        <v>0.1895627</v>
      </c>
      <c r="I2945">
        <v>276.166</v>
      </c>
      <c r="J2945">
        <v>-453.96379999999999</v>
      </c>
      <c r="K2945">
        <v>1.121853</v>
      </c>
      <c r="L2945">
        <v>284.99</v>
      </c>
      <c r="M2945">
        <v>-0.99988560000000004</v>
      </c>
      <c r="N2945">
        <v>-1.4058029999999999E-2</v>
      </c>
      <c r="O2945">
        <v>5.6095269999999996E-3</v>
      </c>
      <c r="P2945">
        <v>-0.98532690000000001</v>
      </c>
      <c r="Q2945">
        <v>0.16973479999999999</v>
      </c>
      <c r="R2945">
        <v>1.7927099999999901E-2</v>
      </c>
      <c r="S2945">
        <v>-3.0615839999999999</v>
      </c>
      <c r="T2945">
        <v>-4.9074409999999999E-2</v>
      </c>
      <c r="U2945">
        <v>-0.46447749999999999</v>
      </c>
      <c r="V2945">
        <v>1.234655E-2</v>
      </c>
      <c r="W2945">
        <v>0.1835746</v>
      </c>
      <c r="X2945">
        <v>0.98292820000000003</v>
      </c>
      <c r="Y2945">
        <v>-0.15550240000000001</v>
      </c>
      <c r="Z2945">
        <v>-2.3495460000000001E-3</v>
      </c>
      <c r="AA2945">
        <v>0.98783270000000001</v>
      </c>
      <c r="AB2945">
        <v>27</v>
      </c>
      <c r="AC2945">
        <v>-57.994900000000001</v>
      </c>
      <c r="AD2945">
        <v>-0.93229030000000002</v>
      </c>
      <c r="AE2945">
        <v>-8.8240000000000105</v>
      </c>
      <c r="AF2945">
        <v>-9.1469069556378706</v>
      </c>
      <c r="AG2945">
        <v>-0.93229030000000002</v>
      </c>
      <c r="AH2945">
        <v>57.929852607303403</v>
      </c>
      <c r="AI2945">
        <v>90.910725367836093</v>
      </c>
      <c r="AJ2945">
        <v>98.972711653161994</v>
      </c>
      <c r="AK2945">
        <v>58.654947746651899</v>
      </c>
      <c r="AL2945">
        <v>79.4219597475727</v>
      </c>
      <c r="AM2945">
        <v>89.280346208767099</v>
      </c>
      <c r="AN2945">
        <v>0.99999995870864999</v>
      </c>
    </row>
    <row r="2946" spans="1:40" x14ac:dyDescent="0.25">
      <c r="A2946" t="str">
        <f>"20190303170313914"</f>
        <v>20190303170313914</v>
      </c>
      <c r="B2946" t="str">
        <f>"1551603793908404"</f>
        <v>1551603793908404</v>
      </c>
      <c r="C2946" t="s">
        <v>40</v>
      </c>
      <c r="D2946">
        <v>4.4563800000000002</v>
      </c>
      <c r="E2946">
        <v>0.43883620000000001</v>
      </c>
      <c r="F2946" t="s">
        <v>66</v>
      </c>
      <c r="G2946">
        <v>-511.95870000000002</v>
      </c>
      <c r="H2946">
        <v>0.19133629999999999</v>
      </c>
      <c r="I2946">
        <v>276.1748</v>
      </c>
      <c r="J2946">
        <v>-454.17219999999998</v>
      </c>
      <c r="K2946">
        <v>1.1218520000000001</v>
      </c>
      <c r="L2946">
        <v>284.99099999999999</v>
      </c>
      <c r="M2946">
        <v>-0.99988630000000001</v>
      </c>
      <c r="N2946">
        <v>-1.4055730000000001E-2</v>
      </c>
      <c r="O2946">
        <v>5.4752660000000003E-3</v>
      </c>
      <c r="P2946">
        <v>-0.98520589999999997</v>
      </c>
      <c r="Q2946">
        <v>0.17040849999999999</v>
      </c>
      <c r="R2946">
        <v>1.8176330000000001E-2</v>
      </c>
      <c r="S2946">
        <v>-3.0616150000000002</v>
      </c>
      <c r="T2946">
        <v>-4.9118639999999998E-2</v>
      </c>
      <c r="U2946">
        <v>-0.46536250000000001</v>
      </c>
      <c r="V2946">
        <v>1.2728629999999999E-2</v>
      </c>
      <c r="W2946">
        <v>0.18424389999999999</v>
      </c>
      <c r="X2946">
        <v>0.98279819999999996</v>
      </c>
      <c r="Y2946">
        <v>-0.15564729999999999</v>
      </c>
      <c r="Z2946">
        <v>-2.3524739999999998E-3</v>
      </c>
      <c r="AA2946">
        <v>0.98780990000000002</v>
      </c>
      <c r="AB2946">
        <v>27</v>
      </c>
      <c r="AC2946">
        <v>-57.786499999999997</v>
      </c>
      <c r="AD2946">
        <v>-0.93051569999999995</v>
      </c>
      <c r="AE2946">
        <v>-8.8161999999999807</v>
      </c>
      <c r="AF2946">
        <v>-9.1301819550557894</v>
      </c>
      <c r="AG2946">
        <v>-0.93051569999999995</v>
      </c>
      <c r="AH2946">
        <v>57.7227310616748</v>
      </c>
      <c r="AI2946">
        <v>90.912214287589606</v>
      </c>
      <c r="AJ2946">
        <v>98.988185717369703</v>
      </c>
      <c r="AK2946">
        <v>58.447752422302898</v>
      </c>
      <c r="AL2946">
        <v>79.382947401741305</v>
      </c>
      <c r="AM2946">
        <v>89.257979914022201</v>
      </c>
      <c r="AN2946">
        <v>1.0000000673160601</v>
      </c>
    </row>
    <row r="2947" spans="1:40" x14ac:dyDescent="0.25">
      <c r="A2947" t="str">
        <f>"20190303170313929"</f>
        <v>20190303170313929</v>
      </c>
      <c r="B2947" t="str">
        <f>"1551603793918164"</f>
        <v>1551603793918164</v>
      </c>
      <c r="C2947" t="s">
        <v>40</v>
      </c>
      <c r="D2947">
        <v>4.4491399999999999</v>
      </c>
      <c r="E2947">
        <v>0.43869209999999897</v>
      </c>
      <c r="F2947" t="s">
        <v>66</v>
      </c>
      <c r="G2947">
        <v>-511.95870000000002</v>
      </c>
      <c r="H2947">
        <v>0.23803930000000001</v>
      </c>
      <c r="I2947">
        <v>276.17110000000002</v>
      </c>
      <c r="J2947">
        <v>-454.358</v>
      </c>
      <c r="K2947">
        <v>1.1218539999999999</v>
      </c>
      <c r="L2947">
        <v>284.99189999999999</v>
      </c>
      <c r="M2947">
        <v>-0.99988690000000002</v>
      </c>
      <c r="N2947">
        <v>-1.405372E-2</v>
      </c>
      <c r="O2947">
        <v>5.3557199999999996E-3</v>
      </c>
      <c r="P2947">
        <v>-0.98514210000000002</v>
      </c>
      <c r="Q2947">
        <v>0.17076440000000001</v>
      </c>
      <c r="R2947">
        <v>1.8300859999999999E-2</v>
      </c>
      <c r="S2947">
        <v>-3.0617679999999998</v>
      </c>
      <c r="T2947">
        <v>-4.6823620000000003E-2</v>
      </c>
      <c r="U2947">
        <v>-0.4673157</v>
      </c>
      <c r="V2947">
        <v>1.29712E-2</v>
      </c>
      <c r="W2947">
        <v>0.18459729999999999</v>
      </c>
      <c r="X2947">
        <v>0.98272870000000001</v>
      </c>
      <c r="Y2947">
        <v>-0.15614020000000001</v>
      </c>
      <c r="Z2947">
        <v>-2.2972600000000002E-3</v>
      </c>
      <c r="AA2947">
        <v>0.98773219999999995</v>
      </c>
      <c r="AB2947">
        <v>27</v>
      </c>
      <c r="AC2947">
        <v>-57.600700000000003</v>
      </c>
      <c r="AD2947">
        <v>-0.88381469999999995</v>
      </c>
      <c r="AE2947">
        <v>-8.8207999999999593</v>
      </c>
      <c r="AF2947">
        <v>-9.1270975763731208</v>
      </c>
      <c r="AG2947">
        <v>-0.88381469999999995</v>
      </c>
      <c r="AH2947">
        <v>57.539391072692297</v>
      </c>
      <c r="AI2947">
        <v>90.869138833047302</v>
      </c>
      <c r="AJ2947">
        <v>99.0133594591085</v>
      </c>
      <c r="AK2947">
        <v>58.265483466704403</v>
      </c>
      <c r="AL2947">
        <v>79.362345585764601</v>
      </c>
      <c r="AM2947">
        <v>89.243787364291094</v>
      </c>
      <c r="AN2947">
        <v>1.0000000565002001</v>
      </c>
    </row>
    <row r="2948" spans="1:40" x14ac:dyDescent="0.25">
      <c r="A2948" t="str">
        <f>"20190303170313946"</f>
        <v>20190303170313946</v>
      </c>
      <c r="B2948" t="str">
        <f>"1551603793938660"</f>
        <v>1551603793938660</v>
      </c>
      <c r="C2948" t="s">
        <v>40</v>
      </c>
      <c r="D2948">
        <v>4.4515560000000001</v>
      </c>
      <c r="E2948">
        <v>0.43843939999999998</v>
      </c>
      <c r="F2948" t="s">
        <v>66</v>
      </c>
      <c r="G2948">
        <v>-511.95870000000002</v>
      </c>
      <c r="H2948">
        <v>0.26890589999999998</v>
      </c>
      <c r="I2948">
        <v>276.17970000000003</v>
      </c>
      <c r="J2948">
        <v>-454.56810000000002</v>
      </c>
      <c r="K2948">
        <v>1.1218539999999999</v>
      </c>
      <c r="L2948">
        <v>284.99290000000002</v>
      </c>
      <c r="M2948">
        <v>-0.99988759999999999</v>
      </c>
      <c r="N2948">
        <v>-1.405143E-2</v>
      </c>
      <c r="O2948">
        <v>5.2203869999999999E-3</v>
      </c>
      <c r="P2948">
        <v>-0.98510410000000004</v>
      </c>
      <c r="Q2948">
        <v>0.17104910000000001</v>
      </c>
      <c r="R2948">
        <v>1.7668909999999999E-2</v>
      </c>
      <c r="S2948">
        <v>-3.061798</v>
      </c>
      <c r="T2948">
        <v>-4.5334579999999999E-2</v>
      </c>
      <c r="U2948">
        <v>-0.46841430000000001</v>
      </c>
      <c r="V2948">
        <v>1.247296E-2</v>
      </c>
      <c r="W2948">
        <v>0.18487899999999999</v>
      </c>
      <c r="X2948">
        <v>0.98268219999999995</v>
      </c>
      <c r="Y2948">
        <v>-0.15635299999999999</v>
      </c>
      <c r="Z2948">
        <v>-2.2597070000000001E-3</v>
      </c>
      <c r="AA2948">
        <v>0.98769870000000004</v>
      </c>
      <c r="AB2948">
        <v>27</v>
      </c>
      <c r="AC2948">
        <v>-57.390599999999999</v>
      </c>
      <c r="AD2948">
        <v>-0.85294809999999999</v>
      </c>
      <c r="AE2948">
        <v>-8.8131999999999895</v>
      </c>
      <c r="AF2948">
        <v>-9.1107445711690591</v>
      </c>
      <c r="AG2948">
        <v>-0.85294809999999999</v>
      </c>
      <c r="AH2948">
        <v>57.331433139999099</v>
      </c>
      <c r="AI2948">
        <v>90.841793471038997</v>
      </c>
      <c r="AJ2948">
        <v>99.029574380395402</v>
      </c>
      <c r="AK2948">
        <v>58.057096146711999</v>
      </c>
      <c r="AL2948">
        <v>79.345922758779295</v>
      </c>
      <c r="AM2948">
        <v>89.272796849666307</v>
      </c>
      <c r="AN2948">
        <v>1.0000000627844901</v>
      </c>
    </row>
    <row r="2949" spans="1:40" x14ac:dyDescent="0.25">
      <c r="A2949" t="str">
        <f>"20190303170313962"</f>
        <v>20190303170313962</v>
      </c>
      <c r="B2949" t="str">
        <f>"1551603793958179"</f>
        <v>1551603793958179</v>
      </c>
      <c r="C2949" t="s">
        <v>40</v>
      </c>
      <c r="D2949">
        <v>4.4526110000000001</v>
      </c>
      <c r="E2949">
        <v>0.43818669999999998</v>
      </c>
      <c r="F2949" t="s">
        <v>66</v>
      </c>
      <c r="G2949">
        <v>-511.95870000000002</v>
      </c>
      <c r="H2949">
        <v>0.27933930000000001</v>
      </c>
      <c r="I2949">
        <v>276.15039999999999</v>
      </c>
      <c r="J2949">
        <v>-454.75470000000001</v>
      </c>
      <c r="K2949">
        <v>1.121853</v>
      </c>
      <c r="L2949">
        <v>284.99369999999999</v>
      </c>
      <c r="M2949">
        <v>-0.99988840000000001</v>
      </c>
      <c r="N2949">
        <v>-1.40494E-2</v>
      </c>
      <c r="O2949">
        <v>5.0998930000000003E-3</v>
      </c>
      <c r="P2949">
        <v>-0.98514400000000002</v>
      </c>
      <c r="Q2949">
        <v>0.17090759999999999</v>
      </c>
      <c r="R2949">
        <v>1.6797030000000001E-2</v>
      </c>
      <c r="S2949">
        <v>-3.0615839999999999</v>
      </c>
      <c r="T2949">
        <v>-4.4940710000000002E-2</v>
      </c>
      <c r="U2949">
        <v>-0.47171020000000002</v>
      </c>
      <c r="V2949">
        <v>1.1719749999999999E-2</v>
      </c>
      <c r="W2949">
        <v>0.1847355</v>
      </c>
      <c r="X2949">
        <v>0.98271839999999999</v>
      </c>
      <c r="Y2949">
        <v>-0.15728320000000001</v>
      </c>
      <c r="Z2949">
        <v>-2.2622580000000001E-3</v>
      </c>
      <c r="AA2949">
        <v>0.98755090000000001</v>
      </c>
      <c r="AB2949">
        <v>27</v>
      </c>
      <c r="AC2949">
        <v>-57.204000000000001</v>
      </c>
      <c r="AD2949">
        <v>-0.84251369999999903</v>
      </c>
      <c r="AE2949">
        <v>-8.8432999999999993</v>
      </c>
      <c r="AF2949">
        <v>-9.13301312104171</v>
      </c>
      <c r="AG2949">
        <v>-0.84251369999999903</v>
      </c>
      <c r="AH2949">
        <v>57.146044785027598</v>
      </c>
      <c r="AI2949">
        <v>90.834076740135004</v>
      </c>
      <c r="AJ2949">
        <v>99.0801545849353</v>
      </c>
      <c r="AK2949">
        <v>57.877389303390203</v>
      </c>
      <c r="AL2949">
        <v>79.354288193748502</v>
      </c>
      <c r="AM2949">
        <v>89.316731649525195</v>
      </c>
      <c r="AN2949">
        <v>1.00000000559943</v>
      </c>
    </row>
    <row r="2950" spans="1:40" x14ac:dyDescent="0.25">
      <c r="A2950" t="str">
        <f>"20190303170313975"</f>
        <v>20190303170313975</v>
      </c>
      <c r="B2950" t="str">
        <f>"1551603793968916"</f>
        <v>1551603793968916</v>
      </c>
      <c r="C2950" t="s">
        <v>40</v>
      </c>
      <c r="D2950">
        <v>4.4708829999999997</v>
      </c>
      <c r="E2950">
        <v>0.43818669999999998</v>
      </c>
      <c r="F2950" t="s">
        <v>66</v>
      </c>
      <c r="G2950">
        <v>-511.95870000000002</v>
      </c>
      <c r="H2950">
        <v>0.25588420000000001</v>
      </c>
      <c r="I2950">
        <v>276.10520000000002</v>
      </c>
      <c r="J2950">
        <v>-454.92160000000001</v>
      </c>
      <c r="K2950">
        <v>1.1218539999999999</v>
      </c>
      <c r="L2950">
        <v>284.99439999999998</v>
      </c>
      <c r="M2950">
        <v>-0.99988889999999997</v>
      </c>
      <c r="N2950">
        <v>-1.404759E-2</v>
      </c>
      <c r="O2950">
        <v>4.992448E-3</v>
      </c>
      <c r="P2950">
        <v>-0.98516150000000002</v>
      </c>
      <c r="Q2950">
        <v>0.17084920000000001</v>
      </c>
      <c r="R2950">
        <v>1.6357130000000001E-2</v>
      </c>
      <c r="S2950">
        <v>-3.06134</v>
      </c>
      <c r="T2950">
        <v>-4.6338919999999999E-2</v>
      </c>
      <c r="U2950">
        <v>-0.47567749999999998</v>
      </c>
      <c r="V2950">
        <v>1.1385889999999999E-2</v>
      </c>
      <c r="W2950">
        <v>0.18467610000000001</v>
      </c>
      <c r="X2950">
        <v>0.98273350000000004</v>
      </c>
      <c r="Y2950">
        <v>-0.15843689999999999</v>
      </c>
      <c r="Z2950">
        <v>-2.3169499999999999E-3</v>
      </c>
      <c r="AA2950">
        <v>0.98736639999999998</v>
      </c>
      <c r="AB2950">
        <v>27</v>
      </c>
      <c r="AC2950">
        <v>-57.037100000000002</v>
      </c>
      <c r="AD2950">
        <v>-0.86596980000000001</v>
      </c>
      <c r="AE2950">
        <v>-8.8891999999999598</v>
      </c>
      <c r="AF2950">
        <v>-9.1718079801759202</v>
      </c>
      <c r="AG2950">
        <v>-0.86596980000000001</v>
      </c>
      <c r="AH2950">
        <v>56.979182954554702</v>
      </c>
      <c r="AI2950">
        <v>90.859650287991798</v>
      </c>
      <c r="AJ2950">
        <v>99.144329857741994</v>
      </c>
      <c r="AK2950">
        <v>57.7191411534194</v>
      </c>
      <c r="AL2950">
        <v>79.357751261360804</v>
      </c>
      <c r="AM2950">
        <v>89.336204316254694</v>
      </c>
      <c r="AN2950">
        <v>1.00000001621227</v>
      </c>
    </row>
    <row r="2951" spans="1:40" x14ac:dyDescent="0.25">
      <c r="A2951" t="str">
        <f>"20190303170313988"</f>
        <v>20190303170313988</v>
      </c>
      <c r="B2951" t="str">
        <f>"1551603793978676"</f>
        <v>1551603793978676</v>
      </c>
      <c r="C2951" t="s">
        <v>40</v>
      </c>
      <c r="D2951">
        <v>4.4742470000000001</v>
      </c>
      <c r="E2951">
        <v>0.4305966</v>
      </c>
      <c r="F2951" t="s">
        <v>66</v>
      </c>
      <c r="G2951">
        <v>-511.95870000000002</v>
      </c>
      <c r="H2951">
        <v>0.25734390000000001</v>
      </c>
      <c r="I2951">
        <v>276.10120000000001</v>
      </c>
      <c r="J2951">
        <v>-455.08229999999998</v>
      </c>
      <c r="K2951">
        <v>1.1218509999999999</v>
      </c>
      <c r="L2951">
        <v>284.99509999999998</v>
      </c>
      <c r="M2951">
        <v>-0.99988940000000004</v>
      </c>
      <c r="N2951">
        <v>-1.404585E-2</v>
      </c>
      <c r="O2951">
        <v>4.8883429999999999E-3</v>
      </c>
      <c r="P2951">
        <v>-0.98518709999999998</v>
      </c>
      <c r="Q2951">
        <v>0.1707082</v>
      </c>
      <c r="R2951">
        <v>1.6289459999999999E-2</v>
      </c>
      <c r="S2951">
        <v>-3.0611570000000001</v>
      </c>
      <c r="T2951">
        <v>-4.639339E-2</v>
      </c>
      <c r="U2951">
        <v>-0.47729490000000002</v>
      </c>
      <c r="V2951">
        <v>1.142073E-2</v>
      </c>
      <c r="W2951">
        <v>0.18453359999999999</v>
      </c>
      <c r="X2951">
        <v>0.98275979999999996</v>
      </c>
      <c r="Y2951">
        <v>-0.1588523</v>
      </c>
      <c r="Z2951">
        <v>-2.3243299999999999E-3</v>
      </c>
      <c r="AA2951">
        <v>0.98729960000000005</v>
      </c>
      <c r="AB2951">
        <v>27</v>
      </c>
      <c r="AC2951">
        <v>-56.876399999999997</v>
      </c>
      <c r="AD2951">
        <v>-0.86450709999999997</v>
      </c>
      <c r="AE2951">
        <v>-8.8938999999999702</v>
      </c>
      <c r="AF2951">
        <v>-9.1697845457705203</v>
      </c>
      <c r="AG2951">
        <v>-0.86450709999999997</v>
      </c>
      <c r="AH2951">
        <v>56.819425780168501</v>
      </c>
      <c r="AI2951">
        <v>90.860554719651404</v>
      </c>
      <c r="AJ2951">
        <v>99.1676158769762</v>
      </c>
      <c r="AK2951">
        <v>57.561093345504503</v>
      </c>
      <c r="AL2951">
        <v>79.366058016946894</v>
      </c>
      <c r="AM2951">
        <v>89.334191148878702</v>
      </c>
      <c r="AN2951">
        <v>0.99999995354936499</v>
      </c>
    </row>
    <row r="2952" spans="1:40" x14ac:dyDescent="0.25">
      <c r="A2952" t="str">
        <f>"20190303170314004"</f>
        <v>20190303170314004</v>
      </c>
      <c r="B2952" t="str">
        <f>"1551603793998195"</f>
        <v>1551603793998195</v>
      </c>
      <c r="C2952" t="s">
        <v>40</v>
      </c>
      <c r="D2952">
        <v>4.4807139999999999</v>
      </c>
      <c r="E2952">
        <v>0.43031330000000001</v>
      </c>
      <c r="F2952" t="s">
        <v>66</v>
      </c>
      <c r="G2952">
        <v>-512.8252</v>
      </c>
      <c r="H2952">
        <v>8.3440009999999995E-2</v>
      </c>
      <c r="I2952">
        <v>274.83229999999998</v>
      </c>
      <c r="J2952">
        <v>-455.26620000000003</v>
      </c>
      <c r="K2952">
        <v>1.12185</v>
      </c>
      <c r="L2952">
        <v>284.99590000000001</v>
      </c>
      <c r="M2952">
        <v>-0.99989019999999995</v>
      </c>
      <c r="N2952">
        <v>-1.404386E-2</v>
      </c>
      <c r="O2952">
        <v>4.7695150000000002E-3</v>
      </c>
      <c r="P2952">
        <v>-0.98525390000000002</v>
      </c>
      <c r="Q2952">
        <v>0.1702929</v>
      </c>
      <c r="R2952">
        <v>1.6602829999999999E-2</v>
      </c>
      <c r="S2952">
        <v>-3.0635379999999999</v>
      </c>
      <c r="T2952">
        <v>-5.5088280000000003E-2</v>
      </c>
      <c r="U2952">
        <v>-0.53918459999999901</v>
      </c>
      <c r="V2952">
        <v>1.1851209999999999E-2</v>
      </c>
      <c r="W2952">
        <v>0.1841169</v>
      </c>
      <c r="X2952">
        <v>0.98283290000000001</v>
      </c>
      <c r="Y2952">
        <v>-0.1779819</v>
      </c>
      <c r="Z2952">
        <v>-2.8660909999999999E-3</v>
      </c>
      <c r="AA2952">
        <v>0.98402959999999995</v>
      </c>
      <c r="AB2952">
        <v>27</v>
      </c>
      <c r="AC2952">
        <v>-57.558999999999898</v>
      </c>
      <c r="AD2952">
        <v>-1.0384099899999999</v>
      </c>
      <c r="AE2952">
        <v>-10.163600000000001</v>
      </c>
      <c r="AF2952">
        <v>-10.434746402153699</v>
      </c>
      <c r="AG2952">
        <v>-1.0384099899999999</v>
      </c>
      <c r="AH2952">
        <v>57.491718912053301</v>
      </c>
      <c r="AI2952">
        <v>91.018128188765701</v>
      </c>
      <c r="AJ2952">
        <v>100.28719782098101</v>
      </c>
      <c r="AK2952">
        <v>58.440225626251099</v>
      </c>
      <c r="AL2952">
        <v>79.390349857977895</v>
      </c>
      <c r="AM2952">
        <v>89.309148678450796</v>
      </c>
      <c r="AN2952">
        <v>0.99999999668324202</v>
      </c>
    </row>
    <row r="2953" spans="1:40" x14ac:dyDescent="0.25">
      <c r="A2953" t="str">
        <f>"20190303170314017"</f>
        <v>20190303170314017</v>
      </c>
      <c r="B2953" t="str">
        <f>"1551603794007956"</f>
        <v>1551603794007956</v>
      </c>
      <c r="C2953" t="s">
        <v>40</v>
      </c>
      <c r="D2953">
        <v>4.4700680000000004</v>
      </c>
      <c r="E2953">
        <v>0.43003819999999998</v>
      </c>
      <c r="F2953" t="s">
        <v>66</v>
      </c>
      <c r="G2953">
        <v>-512.8252</v>
      </c>
      <c r="H2953">
        <v>4.7111569999999998E-2</v>
      </c>
      <c r="I2953">
        <v>274.83120000000002</v>
      </c>
      <c r="J2953">
        <v>-455.4325</v>
      </c>
      <c r="K2953">
        <v>1.1218589999999999</v>
      </c>
      <c r="L2953">
        <v>284.9966</v>
      </c>
      <c r="M2953">
        <v>-0.99989050000000002</v>
      </c>
      <c r="N2953">
        <v>-1.404206E-2</v>
      </c>
      <c r="O2953">
        <v>4.6625440000000002E-3</v>
      </c>
      <c r="P2953">
        <v>-0.98523099999999997</v>
      </c>
      <c r="Q2953">
        <v>0.17037929999999901</v>
      </c>
      <c r="R2953">
        <v>1.7049439999999999E-2</v>
      </c>
      <c r="S2953">
        <v>-3.0639340000000002</v>
      </c>
      <c r="T2953">
        <v>-5.7205199999999998E-2</v>
      </c>
      <c r="U2953">
        <v>-0.54107669999999997</v>
      </c>
      <c r="V2953">
        <v>1.240306E-2</v>
      </c>
      <c r="W2953">
        <v>0.1842017</v>
      </c>
      <c r="X2953">
        <v>0.98281019999999997</v>
      </c>
      <c r="Y2953">
        <v>-0.17844099999999999</v>
      </c>
      <c r="Z2953">
        <v>-2.9369919999999998E-3</v>
      </c>
      <c r="AA2953">
        <v>0.98394619999999999</v>
      </c>
      <c r="AB2953">
        <v>27</v>
      </c>
      <c r="AC2953">
        <v>-57.392699999999898</v>
      </c>
      <c r="AD2953">
        <v>-1.0747474299999999</v>
      </c>
      <c r="AE2953">
        <v>-10.165399999999901</v>
      </c>
      <c r="AF2953">
        <v>-10.429365838590501</v>
      </c>
      <c r="AG2953">
        <v>-1.0747474299999999</v>
      </c>
      <c r="AH2953">
        <v>57.325183926812301</v>
      </c>
      <c r="AI2953">
        <v>91.056727994903795</v>
      </c>
      <c r="AJ2953">
        <v>100.311236820166</v>
      </c>
      <c r="AK2953">
        <v>58.2760968672088</v>
      </c>
      <c r="AL2953">
        <v>79.385406618357194</v>
      </c>
      <c r="AM2953">
        <v>89.276965920814504</v>
      </c>
      <c r="AN2953">
        <v>0.99999999570214604</v>
      </c>
    </row>
    <row r="2954" spans="1:40" x14ac:dyDescent="0.25">
      <c r="A2954" t="str">
        <f>"20190303170314037"</f>
        <v>20190303170314037</v>
      </c>
      <c r="B2954" t="str">
        <f>"1551603794028451"</f>
        <v>1551603794028451</v>
      </c>
      <c r="C2954" t="s">
        <v>40</v>
      </c>
      <c r="D2954">
        <v>4.4940249999999997</v>
      </c>
      <c r="E2954">
        <v>0.42982399999999998</v>
      </c>
      <c r="F2954" t="s">
        <v>66</v>
      </c>
      <c r="G2954">
        <v>-512.8252</v>
      </c>
      <c r="H2954">
        <v>5.9200049999999997E-2</v>
      </c>
      <c r="I2954">
        <v>274.85860000000002</v>
      </c>
      <c r="J2954">
        <v>-455.66199999999998</v>
      </c>
      <c r="K2954">
        <v>1.121858</v>
      </c>
      <c r="L2954">
        <v>284.9975</v>
      </c>
      <c r="M2954">
        <v>-0.99989130000000004</v>
      </c>
      <c r="N2954">
        <v>-1.4039569999999999E-2</v>
      </c>
      <c r="O2954">
        <v>4.5142180000000004E-3</v>
      </c>
      <c r="P2954">
        <v>-0.98523380000000005</v>
      </c>
      <c r="Q2954">
        <v>0.17039489999999999</v>
      </c>
      <c r="R2954">
        <v>1.6730709999999999E-2</v>
      </c>
      <c r="S2954">
        <v>-3.0641479999999999</v>
      </c>
      <c r="T2954">
        <v>-5.6730030000000001E-2</v>
      </c>
      <c r="U2954">
        <v>-0.54125979999999996</v>
      </c>
      <c r="V2954">
        <v>1.2230639999999999E-2</v>
      </c>
      <c r="W2954">
        <v>0.18421489999999999</v>
      </c>
      <c r="X2954">
        <v>0.98280990000000001</v>
      </c>
      <c r="Y2954">
        <v>-0.1783411</v>
      </c>
      <c r="Z2954">
        <v>-2.9199270000000001E-3</v>
      </c>
      <c r="AA2954">
        <v>0.98396439999999996</v>
      </c>
      <c r="AB2954">
        <v>27</v>
      </c>
      <c r="AC2954">
        <v>-57.163200000000003</v>
      </c>
      <c r="AD2954">
        <v>-1.06265795</v>
      </c>
      <c r="AE2954">
        <v>-10.1388999999999</v>
      </c>
      <c r="AF2954">
        <v>-10.3933870001615</v>
      </c>
      <c r="AG2954">
        <v>-1.06265795</v>
      </c>
      <c r="AH2954">
        <v>57.097713481432997</v>
      </c>
      <c r="AI2954">
        <v>91.048987974450299</v>
      </c>
      <c r="AJ2954">
        <v>100.31648732481101</v>
      </c>
      <c r="AK2954">
        <v>58.045677014413798</v>
      </c>
      <c r="AL2954">
        <v>79.384637286242807</v>
      </c>
      <c r="AM2954">
        <v>89.287015850172907</v>
      </c>
      <c r="AN2954">
        <v>1.0000000087374099</v>
      </c>
    </row>
    <row r="2955" spans="1:40" x14ac:dyDescent="0.25">
      <c r="A2955" t="str">
        <f>"20190303170314059"</f>
        <v>20190303170314059</v>
      </c>
      <c r="B2955" t="str">
        <f>"1551603794047973"</f>
        <v>1551603794047973</v>
      </c>
      <c r="C2955" t="s">
        <v>40</v>
      </c>
      <c r="D2955">
        <v>4.5009839999999999</v>
      </c>
      <c r="E2955">
        <v>0.42977470000000001</v>
      </c>
      <c r="F2955" t="s">
        <v>66</v>
      </c>
      <c r="G2955">
        <v>-512.8252</v>
      </c>
      <c r="H2955">
        <v>4.6451149999999997E-2</v>
      </c>
      <c r="I2955">
        <v>274.85410000000002</v>
      </c>
      <c r="J2955">
        <v>-455.93740000000003</v>
      </c>
      <c r="K2955">
        <v>1.1218589999999999</v>
      </c>
      <c r="L2955">
        <v>284.99849999999998</v>
      </c>
      <c r="M2955">
        <v>-0.99989220000000001</v>
      </c>
      <c r="N2955">
        <v>-1.403661E-2</v>
      </c>
      <c r="O2955">
        <v>4.3360990000000004E-3</v>
      </c>
      <c r="P2955">
        <v>-0.98526440000000004</v>
      </c>
      <c r="Q2955">
        <v>0.1702796</v>
      </c>
      <c r="R2955">
        <v>1.609787E-2</v>
      </c>
      <c r="S2955">
        <v>-3.064209</v>
      </c>
      <c r="T2955">
        <v>-5.764234E-2</v>
      </c>
      <c r="U2955">
        <v>-0.54373169999999904</v>
      </c>
      <c r="V2955">
        <v>1.1773520000000001E-2</v>
      </c>
      <c r="W2955">
        <v>0.18409629999999999</v>
      </c>
      <c r="X2955">
        <v>0.98283770000000004</v>
      </c>
      <c r="Y2955">
        <v>-0.1789306</v>
      </c>
      <c r="Z2955">
        <v>-2.9561100000000001E-3</v>
      </c>
      <c r="AA2955">
        <v>0.98385730000000005</v>
      </c>
      <c r="AB2955">
        <v>27</v>
      </c>
      <c r="AC2955">
        <v>-56.887799999999899</v>
      </c>
      <c r="AD2955">
        <v>-1.0754078499999999</v>
      </c>
      <c r="AE2955">
        <v>-10.1443999999999</v>
      </c>
      <c r="AF2955">
        <v>-10.3874023629867</v>
      </c>
      <c r="AG2955">
        <v>-1.0754078499999999</v>
      </c>
      <c r="AH2955">
        <v>56.823592893836</v>
      </c>
      <c r="AI2955">
        <v>91.066545417820706</v>
      </c>
      <c r="AJ2955">
        <v>100.359339330643</v>
      </c>
      <c r="AK2955">
        <v>57.775213883280699</v>
      </c>
      <c r="AL2955">
        <v>79.391550755965298</v>
      </c>
      <c r="AM2955">
        <v>89.313680435815598</v>
      </c>
      <c r="AN2955">
        <v>1.00000000399408</v>
      </c>
    </row>
    <row r="2956" spans="1:40" x14ac:dyDescent="0.25">
      <c r="A2956" t="str">
        <f>"20190303170314081"</f>
        <v>20190303170314081</v>
      </c>
      <c r="B2956" t="str">
        <f>"1551603794068469"</f>
        <v>1551603794068469</v>
      </c>
      <c r="C2956" t="s">
        <v>40</v>
      </c>
      <c r="D2956">
        <v>4.4777769999999997</v>
      </c>
      <c r="E2956">
        <v>0.42964750000000002</v>
      </c>
      <c r="F2956" t="s">
        <v>66</v>
      </c>
      <c r="G2956">
        <v>-512.82510000000002</v>
      </c>
      <c r="H2956">
        <v>1.316297E-2</v>
      </c>
      <c r="I2956">
        <v>274.87079999999997</v>
      </c>
      <c r="J2956">
        <v>-456.20609999999999</v>
      </c>
      <c r="K2956">
        <v>1.1218549999999901</v>
      </c>
      <c r="L2956">
        <v>284.99950000000001</v>
      </c>
      <c r="M2956">
        <v>-0.99989300000000003</v>
      </c>
      <c r="N2956">
        <v>-1.403371E-2</v>
      </c>
      <c r="O2956">
        <v>4.1627410000000002E-3</v>
      </c>
      <c r="P2956">
        <v>-0.98537710000000001</v>
      </c>
      <c r="Q2956">
        <v>0.16967179999999901</v>
      </c>
      <c r="R2956">
        <v>1.5615189999999999E-2</v>
      </c>
      <c r="S2956">
        <v>-3.064117</v>
      </c>
      <c r="T2956">
        <v>-5.9712649999999999E-2</v>
      </c>
      <c r="U2956">
        <v>-0.54550169999999998</v>
      </c>
      <c r="V2956">
        <v>1.1461539999999999E-2</v>
      </c>
      <c r="W2956">
        <v>0.18348739999999999</v>
      </c>
      <c r="X2956">
        <v>0.98295520000000003</v>
      </c>
      <c r="Y2956">
        <v>-0.17931279999999999</v>
      </c>
      <c r="Z2956">
        <v>-3.0242300000000001E-3</v>
      </c>
      <c r="AA2956">
        <v>0.98378750000000004</v>
      </c>
      <c r="AB2956">
        <v>27</v>
      </c>
      <c r="AC2956">
        <v>-56.619</v>
      </c>
      <c r="AD2956">
        <v>-1.1086920299999901</v>
      </c>
      <c r="AE2956">
        <v>-10.1287</v>
      </c>
      <c r="AF2956">
        <v>-10.3604762064728</v>
      </c>
      <c r="AG2956">
        <v>-1.1086920299999901</v>
      </c>
      <c r="AH2956">
        <v>56.555328934378998</v>
      </c>
      <c r="AI2956">
        <v>91.104685149207</v>
      </c>
      <c r="AJ2956">
        <v>100.381015680174</v>
      </c>
      <c r="AK2956">
        <v>57.507163867800699</v>
      </c>
      <c r="AL2956">
        <v>79.427042275376607</v>
      </c>
      <c r="AM2956">
        <v>89.331945027507402</v>
      </c>
      <c r="AN2956">
        <v>0.99999995903248495</v>
      </c>
    </row>
    <row r="2957" spans="1:40" x14ac:dyDescent="0.25">
      <c r="A2957" t="str">
        <f>"20190303170314098"</f>
        <v>20190303170314098</v>
      </c>
      <c r="B2957" t="str">
        <f>"1551603794087988"</f>
        <v>1551603794087988</v>
      </c>
      <c r="C2957" t="s">
        <v>40</v>
      </c>
      <c r="D2957">
        <v>4.4885159999999997</v>
      </c>
      <c r="E2957">
        <v>0.42952990000000002</v>
      </c>
      <c r="F2957" t="s">
        <v>66</v>
      </c>
      <c r="G2957">
        <v>-512.82510000000002</v>
      </c>
      <c r="H2957">
        <v>-2.504694E-2</v>
      </c>
      <c r="I2957">
        <v>274.86410000000001</v>
      </c>
      <c r="J2957">
        <v>-456.41579999999999</v>
      </c>
      <c r="K2957">
        <v>1.121853</v>
      </c>
      <c r="L2957">
        <v>285.00020000000001</v>
      </c>
      <c r="M2957">
        <v>-0.99989349999999999</v>
      </c>
      <c r="N2957">
        <v>-1.4031460000000001E-2</v>
      </c>
      <c r="O2957">
        <v>4.0269920000000001E-3</v>
      </c>
      <c r="P2957">
        <v>-0.98537470000000005</v>
      </c>
      <c r="Q2957">
        <v>0.16968229999999901</v>
      </c>
      <c r="R2957">
        <v>1.5646110000000001E-2</v>
      </c>
      <c r="S2957">
        <v>-3.0638730000000001</v>
      </c>
      <c r="T2957">
        <v>-6.205869E-2</v>
      </c>
      <c r="U2957">
        <v>-0.54846189999999995</v>
      </c>
      <c r="V2957">
        <v>1.162647E-2</v>
      </c>
      <c r="W2957">
        <v>0.18349589999999999</v>
      </c>
      <c r="X2957">
        <v>0.98295169999999998</v>
      </c>
      <c r="Y2957">
        <v>-0.18010989999999999</v>
      </c>
      <c r="Z2957">
        <v>-3.1082089999999998E-3</v>
      </c>
      <c r="AA2957">
        <v>0.9836416</v>
      </c>
      <c r="AB2957">
        <v>27</v>
      </c>
      <c r="AC2957">
        <v>-56.409300000000002</v>
      </c>
      <c r="AD2957">
        <v>-1.14689994</v>
      </c>
      <c r="AE2957">
        <v>-10.136100000000001</v>
      </c>
      <c r="AF2957">
        <v>-10.3590516622019</v>
      </c>
      <c r="AG2957">
        <v>-1.14689994</v>
      </c>
      <c r="AH2957">
        <v>56.345456949115899</v>
      </c>
      <c r="AI2957">
        <v>91.146866576220205</v>
      </c>
      <c r="AJ2957">
        <v>100.417435774217</v>
      </c>
      <c r="AK2957">
        <v>57.301272670135397</v>
      </c>
      <c r="AL2957">
        <v>79.426547098667598</v>
      </c>
      <c r="AM2957">
        <v>89.322330284816104</v>
      </c>
      <c r="AN2957">
        <v>0.99999998232718001</v>
      </c>
    </row>
    <row r="2958" spans="1:40" x14ac:dyDescent="0.25">
      <c r="A2958" t="str">
        <f>"20190303170314114"</f>
        <v>20190303170314114</v>
      </c>
      <c r="B2958" t="str">
        <f>"1551603794108484"</f>
        <v>1551603794108484</v>
      </c>
      <c r="C2958" t="s">
        <v>40</v>
      </c>
      <c r="D2958">
        <v>4.492089</v>
      </c>
      <c r="E2958">
        <v>0.42938179999999998</v>
      </c>
      <c r="F2958" t="s">
        <v>66</v>
      </c>
      <c r="G2958">
        <v>-512.82510000000002</v>
      </c>
      <c r="H2958">
        <v>-1.423088E-2</v>
      </c>
      <c r="I2958">
        <v>274.88659999999999</v>
      </c>
      <c r="J2958">
        <v>-456.60879999999997</v>
      </c>
      <c r="K2958">
        <v>1.12185</v>
      </c>
      <c r="L2958">
        <v>285.0009</v>
      </c>
      <c r="M2958">
        <v>-0.99989399999999995</v>
      </c>
      <c r="N2958">
        <v>-1.40293999999999E-2</v>
      </c>
      <c r="O2958">
        <v>3.9025029999999999E-3</v>
      </c>
      <c r="P2958">
        <v>-0.98548230000000003</v>
      </c>
      <c r="Q2958">
        <v>0.1691261</v>
      </c>
      <c r="R2958">
        <v>1.4863029999999999E-2</v>
      </c>
      <c r="S2958">
        <v>-3.0638730000000001</v>
      </c>
      <c r="T2958">
        <v>-6.1701890000000002E-2</v>
      </c>
      <c r="U2958">
        <v>-0.54931640000000004</v>
      </c>
      <c r="V2958">
        <v>1.096575E-2</v>
      </c>
      <c r="W2958">
        <v>0.18293899999999999</v>
      </c>
      <c r="X2958">
        <v>0.98306309999999997</v>
      </c>
      <c r="Y2958">
        <v>-0.18025379999999999</v>
      </c>
      <c r="Z2958">
        <v>-3.098848E-3</v>
      </c>
      <c r="AA2958">
        <v>0.98361529999999997</v>
      </c>
      <c r="AB2958">
        <v>27</v>
      </c>
      <c r="AC2958">
        <v>-56.216299999999997</v>
      </c>
      <c r="AD2958">
        <v>-1.13608088</v>
      </c>
      <c r="AE2958">
        <v>-10.1143</v>
      </c>
      <c r="AF2958">
        <v>-10.3295424444883</v>
      </c>
      <c r="AG2958">
        <v>-1.13608088</v>
      </c>
      <c r="AH2958">
        <v>56.154182164061503</v>
      </c>
      <c r="AI2958">
        <v>91.1398989051565</v>
      </c>
      <c r="AJ2958">
        <v>100.423018414799</v>
      </c>
      <c r="AK2958">
        <v>57.107637855132701</v>
      </c>
      <c r="AL2958">
        <v>79.4590046486408</v>
      </c>
      <c r="AM2958">
        <v>89.3609106705469</v>
      </c>
      <c r="AN2958">
        <v>0.99999999198783596</v>
      </c>
    </row>
    <row r="2959" spans="1:40" x14ac:dyDescent="0.25">
      <c r="A2959" t="str">
        <f>"20190303170314129"</f>
        <v>20190303170314129</v>
      </c>
      <c r="B2959" t="str">
        <f>"1551603794118244"</f>
        <v>1551603794118244</v>
      </c>
      <c r="C2959" t="s">
        <v>40</v>
      </c>
      <c r="D2959">
        <v>4.5084499999999998</v>
      </c>
      <c r="E2959">
        <v>0.42928840000000001</v>
      </c>
      <c r="F2959" t="s">
        <v>44</v>
      </c>
      <c r="G2959">
        <v>-512.4479</v>
      </c>
      <c r="H2959">
        <v>-0.05</v>
      </c>
      <c r="I2959">
        <v>274.93200000000002</v>
      </c>
      <c r="J2959">
        <v>-456.79230000000001</v>
      </c>
      <c r="K2959">
        <v>1.12185</v>
      </c>
      <c r="L2959">
        <v>285.00139999999999</v>
      </c>
      <c r="M2959">
        <v>-0.99989439999999996</v>
      </c>
      <c r="N2959">
        <v>-1.4027339999999999E-2</v>
      </c>
      <c r="O2959">
        <v>3.7839140000000002E-3</v>
      </c>
      <c r="P2959">
        <v>-0.98560340000000002</v>
      </c>
      <c r="Q2959">
        <v>0.168465</v>
      </c>
      <c r="R2959">
        <v>1.433911E-2</v>
      </c>
      <c r="S2959">
        <v>-3.0636290000000002</v>
      </c>
      <c r="T2959">
        <v>-6.4293859999999994E-2</v>
      </c>
      <c r="U2959">
        <v>-0.55242919999999995</v>
      </c>
      <c r="V2959">
        <v>1.0558690000000001E-2</v>
      </c>
      <c r="W2959">
        <v>0.18227750000000001</v>
      </c>
      <c r="X2959">
        <v>0.98319040000000002</v>
      </c>
      <c r="Y2959">
        <v>-0.18111430000000001</v>
      </c>
      <c r="Z2959">
        <v>-3.1918960000000001E-3</v>
      </c>
      <c r="AA2959">
        <v>0.98345689999999997</v>
      </c>
      <c r="AB2959">
        <v>27</v>
      </c>
      <c r="AC2959">
        <v>-55.6555999999999</v>
      </c>
      <c r="AD2959">
        <v>-1.1718500000000001</v>
      </c>
      <c r="AE2959">
        <v>-10.0693999999999</v>
      </c>
      <c r="AF2959">
        <v>-10.275533580359401</v>
      </c>
      <c r="AG2959">
        <v>-1.1718500000000001</v>
      </c>
      <c r="AH2959">
        <v>55.593231062743698</v>
      </c>
      <c r="AI2959">
        <v>91.187451579412993</v>
      </c>
      <c r="AJ2959">
        <v>100.472035778094</v>
      </c>
      <c r="AK2959">
        <v>56.547034960103801</v>
      </c>
      <c r="AL2959">
        <v>79.497553728975802</v>
      </c>
      <c r="AM2959">
        <v>89.384712138503403</v>
      </c>
      <c r="AN2959">
        <v>0.99999996779646205</v>
      </c>
    </row>
    <row r="2960" spans="1:40" x14ac:dyDescent="0.25">
      <c r="A2960" t="str">
        <f>"20190303170314147"</f>
        <v>20190303170314147</v>
      </c>
      <c r="B2960" t="str">
        <f>"1551603794138740"</f>
        <v>1551603794138740</v>
      </c>
      <c r="C2960" t="s">
        <v>40</v>
      </c>
      <c r="D2960">
        <v>4.5191689999999998</v>
      </c>
      <c r="E2960">
        <v>0.4290928</v>
      </c>
      <c r="F2960" t="s">
        <v>44</v>
      </c>
      <c r="G2960">
        <v>-511.10050000000001</v>
      </c>
      <c r="H2960">
        <v>-0.05</v>
      </c>
      <c r="I2960">
        <v>275.16890000000001</v>
      </c>
      <c r="J2960">
        <v>-457.00810000000001</v>
      </c>
      <c r="K2960">
        <v>1.1218520000000001</v>
      </c>
      <c r="L2960">
        <v>285.00209999999998</v>
      </c>
      <c r="M2960">
        <v>-0.99989499999999998</v>
      </c>
      <c r="N2960">
        <v>-1.4024989999999999E-2</v>
      </c>
      <c r="O2960">
        <v>3.6447630000000001E-3</v>
      </c>
      <c r="P2960">
        <v>-0.98549520000000002</v>
      </c>
      <c r="Q2960">
        <v>0.1692149</v>
      </c>
      <c r="R2960">
        <v>1.2863039999999999E-2</v>
      </c>
      <c r="S2960">
        <v>-3.0632320000000002</v>
      </c>
      <c r="T2960">
        <v>-6.6097740000000002E-2</v>
      </c>
      <c r="U2960">
        <v>-0.55459590000000003</v>
      </c>
      <c r="V2960">
        <v>9.2199559999999996E-3</v>
      </c>
      <c r="W2960">
        <v>0.1830233</v>
      </c>
      <c r="X2960">
        <v>0.98306530000000003</v>
      </c>
      <c r="Y2960">
        <v>-0.1816701</v>
      </c>
      <c r="Z2960">
        <v>-3.2558370000000001E-3</v>
      </c>
      <c r="AA2960">
        <v>0.98335419999999996</v>
      </c>
      <c r="AB2960">
        <v>27</v>
      </c>
      <c r="AC2960">
        <v>-54.092399999999998</v>
      </c>
      <c r="AD2960">
        <v>-1.1718519999999999</v>
      </c>
      <c r="AE2960">
        <v>-9.8331999999999695</v>
      </c>
      <c r="AF2960">
        <v>-10.0257532331179</v>
      </c>
      <c r="AG2960">
        <v>-1.1718519999999999</v>
      </c>
      <c r="AH2960">
        <v>54.0316502467454</v>
      </c>
      <c r="AI2960">
        <v>91.221604962595194</v>
      </c>
      <c r="AJ2960">
        <v>100.51187005626601</v>
      </c>
      <c r="AK2960">
        <v>54.966427875457804</v>
      </c>
      <c r="AL2960">
        <v>79.454091324427495</v>
      </c>
      <c r="AM2960">
        <v>89.462651079312295</v>
      </c>
      <c r="AN2960">
        <v>0.99999995999781</v>
      </c>
    </row>
    <row r="2961" spans="1:40" x14ac:dyDescent="0.25">
      <c r="A2961" t="str">
        <f>"20190303170314164"</f>
        <v>20190303170314164</v>
      </c>
      <c r="B2961" t="str">
        <f>"1551603794158260"</f>
        <v>1551603794158260</v>
      </c>
      <c r="C2961" t="s">
        <v>40</v>
      </c>
      <c r="D2961">
        <v>4.4889199999999896</v>
      </c>
      <c r="E2961">
        <v>0.42896230000000002</v>
      </c>
      <c r="F2961" t="s">
        <v>66</v>
      </c>
      <c r="G2961">
        <v>-512.82510000000002</v>
      </c>
      <c r="H2961">
        <v>-4.325056E-2</v>
      </c>
      <c r="I2961">
        <v>274.78919999999999</v>
      </c>
      <c r="J2961">
        <v>-457.20179999999999</v>
      </c>
      <c r="K2961">
        <v>1.1218549999999901</v>
      </c>
      <c r="L2961">
        <v>285.00259999999997</v>
      </c>
      <c r="M2961">
        <v>-0.9998956</v>
      </c>
      <c r="N2961">
        <v>-1.402291E-2</v>
      </c>
      <c r="O2961">
        <v>3.519735E-3</v>
      </c>
      <c r="P2961">
        <v>-0.98537399999999997</v>
      </c>
      <c r="Q2961">
        <v>0.16996240000000001</v>
      </c>
      <c r="R2961">
        <v>1.228689E-2</v>
      </c>
      <c r="S2961">
        <v>-3.0624389999999999</v>
      </c>
      <c r="T2961">
        <v>-6.3919539999999997E-2</v>
      </c>
      <c r="U2961">
        <v>-0.56033330000000003</v>
      </c>
      <c r="V2961">
        <v>8.7673270000000001E-3</v>
      </c>
      <c r="W2961">
        <v>0.18376680000000001</v>
      </c>
      <c r="X2961">
        <v>0.98293079999999999</v>
      </c>
      <c r="Y2961">
        <v>-0.1833777</v>
      </c>
      <c r="Z2961">
        <v>-3.2183160000000001E-3</v>
      </c>
      <c r="AA2961">
        <v>0.9830373</v>
      </c>
      <c r="AB2961">
        <v>27</v>
      </c>
      <c r="AC2961">
        <v>-55.6233</v>
      </c>
      <c r="AD2961">
        <v>-1.16510555999999</v>
      </c>
      <c r="AE2961">
        <v>-10.213399999999901</v>
      </c>
      <c r="AF2961">
        <v>-10.4047190502421</v>
      </c>
      <c r="AG2961">
        <v>-1.16510555999999</v>
      </c>
      <c r="AH2961">
        <v>55.563420066803602</v>
      </c>
      <c r="AI2961">
        <v>91.180737861467605</v>
      </c>
      <c r="AJ2961">
        <v>100.60628406175699</v>
      </c>
      <c r="AK2961">
        <v>56.541217700014997</v>
      </c>
      <c r="AL2961">
        <v>79.4107576794908</v>
      </c>
      <c r="AM2961">
        <v>89.488959432622295</v>
      </c>
      <c r="AN2961">
        <v>1.0000000301967999</v>
      </c>
    </row>
    <row r="2962" spans="1:40" x14ac:dyDescent="0.25">
      <c r="A2962" t="str">
        <f>"20190303170314176"</f>
        <v>20190303170314176</v>
      </c>
      <c r="B2962" t="str">
        <f>"1551603794168019"</f>
        <v>1551603794168019</v>
      </c>
      <c r="C2962" t="s">
        <v>40</v>
      </c>
      <c r="D2962">
        <v>4.4946089999999996</v>
      </c>
      <c r="E2962">
        <v>0.42888809999999999</v>
      </c>
      <c r="F2962" t="s">
        <v>66</v>
      </c>
      <c r="G2962">
        <v>-512.82510000000002</v>
      </c>
      <c r="H2962">
        <v>-1.4430279999999901E-3</v>
      </c>
      <c r="I2962">
        <v>274.7758</v>
      </c>
      <c r="J2962">
        <v>-457.3657</v>
      </c>
      <c r="K2962">
        <v>1.1218589999999999</v>
      </c>
      <c r="L2962">
        <v>285.00310000000002</v>
      </c>
      <c r="M2962">
        <v>-0.99989589999999995</v>
      </c>
      <c r="N2962">
        <v>-1.402116E-2</v>
      </c>
      <c r="O2962">
        <v>3.4140770000000002E-3</v>
      </c>
      <c r="P2962">
        <v>-0.98525510000000005</v>
      </c>
      <c r="Q2962">
        <v>0.17072019999999999</v>
      </c>
      <c r="R2962">
        <v>1.1275149999999999E-2</v>
      </c>
      <c r="S2962">
        <v>-3.0622560000000001</v>
      </c>
      <c r="T2962">
        <v>-6.1836839999999997E-2</v>
      </c>
      <c r="U2962">
        <v>-0.56301880000000004</v>
      </c>
      <c r="V2962">
        <v>7.8600379999999997E-3</v>
      </c>
      <c r="W2962">
        <v>0.1845204</v>
      </c>
      <c r="X2962">
        <v>0.98279729999999998</v>
      </c>
      <c r="Y2962">
        <v>-0.18412129999999999</v>
      </c>
      <c r="Z2962">
        <v>-3.166075E-3</v>
      </c>
      <c r="AA2962">
        <v>0.98289839999999995</v>
      </c>
      <c r="AB2962">
        <v>27</v>
      </c>
      <c r="AC2962">
        <v>-55.459400000000002</v>
      </c>
      <c r="AD2962">
        <v>-1.1233020279999999</v>
      </c>
      <c r="AE2962">
        <v>-10.2273</v>
      </c>
      <c r="AF2962">
        <v>-10.412470485723</v>
      </c>
      <c r="AG2962">
        <v>-1.1233020279999999</v>
      </c>
      <c r="AH2962">
        <v>55.402175573001102</v>
      </c>
      <c r="AI2962">
        <v>91.141555460909601</v>
      </c>
      <c r="AJ2962">
        <v>100.644192686979</v>
      </c>
      <c r="AK2962">
        <v>56.383352217510101</v>
      </c>
      <c r="AL2962">
        <v>79.366828525529897</v>
      </c>
      <c r="AM2962">
        <v>89.541779975487302</v>
      </c>
      <c r="AN2962">
        <v>1.0000000455503999</v>
      </c>
    </row>
    <row r="2963" spans="1:40" x14ac:dyDescent="0.25">
      <c r="A2963" t="str">
        <f>"20190303170314189"</f>
        <v>20190303170314189</v>
      </c>
      <c r="B2963" t="str">
        <f>"1551603794178756"</f>
        <v>1551603794178756</v>
      </c>
      <c r="C2963" t="s">
        <v>40</v>
      </c>
      <c r="D2963">
        <v>4.4854459999999996</v>
      </c>
      <c r="E2963">
        <v>0.42882360000000003</v>
      </c>
      <c r="F2963" t="s">
        <v>66</v>
      </c>
      <c r="G2963">
        <v>-512.8252</v>
      </c>
      <c r="H2963">
        <v>5.4615080000000003E-2</v>
      </c>
      <c r="I2963">
        <v>274.7355</v>
      </c>
      <c r="J2963">
        <v>-457.5179</v>
      </c>
      <c r="K2963">
        <v>1.1218600000000001</v>
      </c>
      <c r="L2963">
        <v>285.00349999999997</v>
      </c>
      <c r="M2963">
        <v>-0.99989629999999996</v>
      </c>
      <c r="N2963">
        <v>-1.4019530000000001E-2</v>
      </c>
      <c r="O2963">
        <v>3.315513E-3</v>
      </c>
      <c r="P2963">
        <v>-0.98518790000000001</v>
      </c>
      <c r="Q2963">
        <v>0.17113989999999901</v>
      </c>
      <c r="R2963">
        <v>1.076708E-2</v>
      </c>
      <c r="S2963">
        <v>-3.0615540000000001</v>
      </c>
      <c r="T2963">
        <v>-5.891097E-2</v>
      </c>
      <c r="U2963">
        <v>-0.56680299999999995</v>
      </c>
      <c r="V2963">
        <v>7.4492389999999999E-3</v>
      </c>
      <c r="W2963">
        <v>0.18493699999999999</v>
      </c>
      <c r="X2963">
        <v>0.98272219999999999</v>
      </c>
      <c r="Y2963">
        <v>-0.18524350000000001</v>
      </c>
      <c r="Z2963">
        <v>-3.0939629999999999E-3</v>
      </c>
      <c r="AA2963">
        <v>0.9826878</v>
      </c>
      <c r="AB2963">
        <v>27</v>
      </c>
      <c r="AC2963">
        <v>-55.307299999999998</v>
      </c>
      <c r="AD2963">
        <v>-1.06724492</v>
      </c>
      <c r="AE2963">
        <v>-10.267999999999899</v>
      </c>
      <c r="AF2963">
        <v>-10.4475729926918</v>
      </c>
      <c r="AG2963">
        <v>-1.06724492</v>
      </c>
      <c r="AH2963">
        <v>55.253060383999703</v>
      </c>
      <c r="AI2963">
        <v>91.087301669949298</v>
      </c>
      <c r="AJ2963">
        <v>100.707407722589</v>
      </c>
      <c r="AK2963">
        <v>56.242257022232003</v>
      </c>
      <c r="AL2963">
        <v>79.342541195841903</v>
      </c>
      <c r="AM2963">
        <v>89.56569437345</v>
      </c>
      <c r="AN2963">
        <v>1.0000000537517499</v>
      </c>
    </row>
    <row r="2964" spans="1:40" x14ac:dyDescent="0.25">
      <c r="A2964" t="str">
        <f>"20190303170314204"</f>
        <v>20190303170314204</v>
      </c>
      <c r="B2964" t="str">
        <f>"1551603794198276"</f>
        <v>1551603794198276</v>
      </c>
      <c r="C2964" t="s">
        <v>40</v>
      </c>
      <c r="D2964">
        <v>4.4963069999999998</v>
      </c>
      <c r="E2964">
        <v>0.4287456</v>
      </c>
      <c r="F2964" t="s">
        <v>66</v>
      </c>
      <c r="G2964">
        <v>-512.8252</v>
      </c>
      <c r="H2964">
        <v>0.10302790000000001</v>
      </c>
      <c r="I2964">
        <v>274.71359999999999</v>
      </c>
      <c r="J2964">
        <v>-457.68650000000002</v>
      </c>
      <c r="K2964">
        <v>1.121864</v>
      </c>
      <c r="L2964">
        <v>285.00389999999999</v>
      </c>
      <c r="M2964">
        <v>-0.99989660000000002</v>
      </c>
      <c r="N2964">
        <v>-1.4017730000000001E-2</v>
      </c>
      <c r="O2964">
        <v>3.2066360000000001E-3</v>
      </c>
      <c r="P2964">
        <v>-0.98519120000000004</v>
      </c>
      <c r="Q2964">
        <v>0.17117839999999901</v>
      </c>
      <c r="R2964">
        <v>9.8052590000000002E-3</v>
      </c>
      <c r="S2964">
        <v>-3.0611269999999999</v>
      </c>
      <c r="T2964">
        <v>-5.6385400000000002E-2</v>
      </c>
      <c r="U2964">
        <v>-0.569519</v>
      </c>
      <c r="V2964">
        <v>6.5947030000000004E-3</v>
      </c>
      <c r="W2964">
        <v>0.1849741</v>
      </c>
      <c r="X2964">
        <v>0.98272130000000002</v>
      </c>
      <c r="Y2964">
        <v>-0.18600749999999999</v>
      </c>
      <c r="Z2964">
        <v>-3.0274439999999998E-3</v>
      </c>
      <c r="AA2964">
        <v>0.98254359999999996</v>
      </c>
      <c r="AB2964">
        <v>27</v>
      </c>
      <c r="AC2964">
        <v>-55.138699999999901</v>
      </c>
      <c r="AD2964">
        <v>-1.0188360999999999</v>
      </c>
      <c r="AE2964">
        <v>-10.2903</v>
      </c>
      <c r="AF2964">
        <v>-10.4636218958999</v>
      </c>
      <c r="AG2964">
        <v>-1.0188360999999999</v>
      </c>
      <c r="AH2964">
        <v>55.087240823909603</v>
      </c>
      <c r="AI2964">
        <v>91.040954105684506</v>
      </c>
      <c r="AJ2964">
        <v>100.75500181861401</v>
      </c>
      <c r="AK2964">
        <v>56.081454258697903</v>
      </c>
      <c r="AL2964">
        <v>79.340377954806499</v>
      </c>
      <c r="AM2964">
        <v>89.615513597472301</v>
      </c>
      <c r="AN2964">
        <v>1.0000000306260699</v>
      </c>
    </row>
    <row r="2965" spans="1:40" x14ac:dyDescent="0.25">
      <c r="A2965" t="str">
        <f>"20190303170314226"</f>
        <v>20190303170314226</v>
      </c>
      <c r="B2965" t="str">
        <f>"1551603794218772"</f>
        <v>1551603794218772</v>
      </c>
      <c r="C2965" t="s">
        <v>40</v>
      </c>
      <c r="D2965">
        <v>4.5259919999999996</v>
      </c>
      <c r="E2965">
        <v>0.42863610000000002</v>
      </c>
      <c r="F2965" t="s">
        <v>66</v>
      </c>
      <c r="G2965">
        <v>-512.8252</v>
      </c>
      <c r="H2965">
        <v>0.1198729</v>
      </c>
      <c r="I2965">
        <v>274.67169999999999</v>
      </c>
      <c r="J2965">
        <v>-457.95339999999999</v>
      </c>
      <c r="K2965">
        <v>1.1218629999999901</v>
      </c>
      <c r="L2965">
        <v>285.00459999999998</v>
      </c>
      <c r="M2965">
        <v>-0.99989720000000004</v>
      </c>
      <c r="N2965">
        <v>-1.4014860000000001E-2</v>
      </c>
      <c r="O2965">
        <v>3.0341130000000002E-3</v>
      </c>
      <c r="P2965">
        <v>-0.98537030000000003</v>
      </c>
      <c r="Q2965">
        <v>0.17023469999999999</v>
      </c>
      <c r="R2965">
        <v>8.0956510000000006E-3</v>
      </c>
      <c r="S2965">
        <v>-3.0604550000000001</v>
      </c>
      <c r="T2965">
        <v>-5.561054E-2</v>
      </c>
      <c r="U2965">
        <v>-0.5734863</v>
      </c>
      <c r="V2965">
        <v>5.0550589999999998E-3</v>
      </c>
      <c r="W2965">
        <v>0.18402969999999999</v>
      </c>
      <c r="X2965">
        <v>0.98290770000000005</v>
      </c>
      <c r="Y2965">
        <v>-0.18710830000000001</v>
      </c>
      <c r="Z2965">
        <v>-3.0203550000000002E-3</v>
      </c>
      <c r="AA2965">
        <v>0.98233470000000001</v>
      </c>
      <c r="AB2965">
        <v>27</v>
      </c>
      <c r="AC2965">
        <v>-54.8718</v>
      </c>
      <c r="AD2965">
        <v>-1.00199009999999</v>
      </c>
      <c r="AE2965">
        <v>-10.332899999999899</v>
      </c>
      <c r="AF2965">
        <v>-10.495976013050299</v>
      </c>
      <c r="AG2965">
        <v>-1.00199009999999</v>
      </c>
      <c r="AH2965">
        <v>54.822538671444001</v>
      </c>
      <c r="AI2965">
        <v>91.028402819137597</v>
      </c>
      <c r="AJ2965">
        <v>100.838332574858</v>
      </c>
      <c r="AK2965">
        <v>55.827235674077599</v>
      </c>
      <c r="AL2965">
        <v>79.395433107368007</v>
      </c>
      <c r="AM2965">
        <v>89.705332461715301</v>
      </c>
      <c r="AN2965">
        <v>1.0000000154114299</v>
      </c>
    </row>
    <row r="2966" spans="1:40" x14ac:dyDescent="0.25">
      <c r="A2966" t="str">
        <f>"20190303170314249"</f>
        <v>20190303170314249</v>
      </c>
      <c r="B2966" t="str">
        <f>"1551603794238292"</f>
        <v>1551603794238292</v>
      </c>
      <c r="C2966" t="s">
        <v>40</v>
      </c>
      <c r="D2966">
        <v>4.5080489999999998</v>
      </c>
      <c r="E2966">
        <v>0.4284637</v>
      </c>
      <c r="F2966" t="s">
        <v>66</v>
      </c>
      <c r="G2966">
        <v>-512.8252</v>
      </c>
      <c r="H2966">
        <v>5.3902209999999999E-2</v>
      </c>
      <c r="I2966">
        <v>274.62310000000002</v>
      </c>
      <c r="J2966">
        <v>-458.22239999999999</v>
      </c>
      <c r="K2966">
        <v>1.121861</v>
      </c>
      <c r="L2966">
        <v>285.0052</v>
      </c>
      <c r="M2966">
        <v>-0.99989779999999995</v>
      </c>
      <c r="N2966">
        <v>-1.401198E-2</v>
      </c>
      <c r="O2966">
        <v>2.8601030000000001E-3</v>
      </c>
      <c r="P2966">
        <v>-0.98536959999999996</v>
      </c>
      <c r="Q2966">
        <v>0.17031869999999999</v>
      </c>
      <c r="R2966">
        <v>6.1852579999999999E-3</v>
      </c>
      <c r="S2966">
        <v>-3.0596009999999998</v>
      </c>
      <c r="T2966">
        <v>-5.9543850000000002E-2</v>
      </c>
      <c r="U2966">
        <v>-0.57885739999999997</v>
      </c>
      <c r="V2966">
        <v>3.3161670000000001E-3</v>
      </c>
      <c r="W2966">
        <v>0.18411040000000001</v>
      </c>
      <c r="X2966">
        <v>0.9829</v>
      </c>
      <c r="Y2966">
        <v>-0.1886456</v>
      </c>
      <c r="Z2966">
        <v>-3.1683330000000002E-3</v>
      </c>
      <c r="AA2966">
        <v>0.98204009999999997</v>
      </c>
      <c r="AB2966">
        <v>27</v>
      </c>
      <c r="AC2966">
        <v>-54.602800000000002</v>
      </c>
      <c r="AD2966">
        <v>-1.06795879</v>
      </c>
      <c r="AE2966">
        <v>-10.3820999999999</v>
      </c>
      <c r="AF2966">
        <v>-10.5343532562151</v>
      </c>
      <c r="AG2966">
        <v>-1.06795879</v>
      </c>
      <c r="AH2966">
        <v>54.552739256491897</v>
      </c>
      <c r="AI2966">
        <v>91.101177088645997</v>
      </c>
      <c r="AJ2966">
        <v>100.929519585801</v>
      </c>
      <c r="AK2966">
        <v>55.5708061385712</v>
      </c>
      <c r="AL2966">
        <v>79.390729042178293</v>
      </c>
      <c r="AM2966">
        <v>89.8066927944475</v>
      </c>
      <c r="AN2966">
        <v>1.0000000231758599</v>
      </c>
    </row>
    <row r="2967" spans="1:40" x14ac:dyDescent="0.25">
      <c r="A2967" t="str">
        <f>"20190303170314270"</f>
        <v>20190303170314270</v>
      </c>
      <c r="B2967" t="str">
        <f>"1551603794258790"</f>
        <v>1551603794258790</v>
      </c>
      <c r="C2967" t="s">
        <v>40</v>
      </c>
      <c r="D2967">
        <v>4.5473470000000002</v>
      </c>
      <c r="E2967">
        <v>0.42830960000000001</v>
      </c>
      <c r="F2967" t="s">
        <v>66</v>
      </c>
      <c r="G2967">
        <v>-512.8252</v>
      </c>
      <c r="H2967">
        <v>4.9585459999999998E-2</v>
      </c>
      <c r="I2967">
        <v>274.55410000000001</v>
      </c>
      <c r="J2967">
        <v>-458.48320000000001</v>
      </c>
      <c r="K2967">
        <v>1.121864</v>
      </c>
      <c r="L2967">
        <v>285.00580000000002</v>
      </c>
      <c r="M2967">
        <v>-0.99989839999999997</v>
      </c>
      <c r="N2967">
        <v>-1.400917E-2</v>
      </c>
      <c r="O2967">
        <v>2.690923E-3</v>
      </c>
      <c r="P2967">
        <v>-0.98502149999999999</v>
      </c>
      <c r="Q2967">
        <v>0.17238410000000001</v>
      </c>
      <c r="R2967">
        <v>4.1029589999999998E-3</v>
      </c>
      <c r="S2967">
        <v>-3.0585939999999998</v>
      </c>
      <c r="T2967">
        <v>-6.0059309999999998E-2</v>
      </c>
      <c r="U2967">
        <v>-0.58541869999999996</v>
      </c>
      <c r="V2967">
        <v>1.4012390000000001E-3</v>
      </c>
      <c r="W2967">
        <v>0.186167</v>
      </c>
      <c r="X2967">
        <v>0.98251710000000003</v>
      </c>
      <c r="Y2967">
        <v>-0.19056970000000001</v>
      </c>
      <c r="Z2967">
        <v>-3.2161899999999998E-3</v>
      </c>
      <c r="AA2967">
        <v>0.9816684</v>
      </c>
      <c r="AB2967">
        <v>27</v>
      </c>
      <c r="AC2967">
        <v>-54.341999999999899</v>
      </c>
      <c r="AD2967">
        <v>-1.0722785399999999</v>
      </c>
      <c r="AE2967">
        <v>-10.451700000000001</v>
      </c>
      <c r="AF2967">
        <v>-10.5939289751151</v>
      </c>
      <c r="AG2967">
        <v>-1.0722785399999999</v>
      </c>
      <c r="AH2967">
        <v>54.293290540206598</v>
      </c>
      <c r="AI2967">
        <v>91.110492586208807</v>
      </c>
      <c r="AJ2967">
        <v>101.04105829539</v>
      </c>
      <c r="AK2967">
        <v>55.327592664785399</v>
      </c>
      <c r="AL2967">
        <v>79.270821179460398</v>
      </c>
      <c r="AM2967">
        <v>89.918286382642293</v>
      </c>
      <c r="AN2967">
        <v>0.999999983576072</v>
      </c>
    </row>
    <row r="2968" spans="1:40" x14ac:dyDescent="0.25">
      <c r="A2968" t="str">
        <f>"20190303170314293"</f>
        <v>20190303170314293</v>
      </c>
      <c r="B2968" t="str">
        <f>"1551603794288071"</f>
        <v>1551603794288071</v>
      </c>
      <c r="C2968" t="s">
        <v>40</v>
      </c>
      <c r="D2968">
        <v>4.5147449999999996</v>
      </c>
      <c r="E2968">
        <v>0.42614059999999998</v>
      </c>
      <c r="F2968" t="s">
        <v>66</v>
      </c>
      <c r="G2968">
        <v>-512.8252</v>
      </c>
      <c r="H2968">
        <v>0.17662990000000001</v>
      </c>
      <c r="I2968">
        <v>274.45100000000002</v>
      </c>
      <c r="J2968">
        <v>-458.75889999999998</v>
      </c>
      <c r="K2968">
        <v>1.1218570000000001</v>
      </c>
      <c r="L2968">
        <v>285.00630000000001</v>
      </c>
      <c r="M2968">
        <v>-0.99989879999999998</v>
      </c>
      <c r="N2968">
        <v>-1.400623E-2</v>
      </c>
      <c r="O2968">
        <v>2.5130360000000002E-3</v>
      </c>
      <c r="P2968">
        <v>-0.98491329999999999</v>
      </c>
      <c r="Q2968">
        <v>0.17302609999999999</v>
      </c>
      <c r="R2968">
        <v>2.805592E-3</v>
      </c>
      <c r="S2968">
        <v>-3.0574340000000002</v>
      </c>
      <c r="T2968">
        <v>-5.3176880000000003E-2</v>
      </c>
      <c r="U2968">
        <v>-0.59384159999999997</v>
      </c>
      <c r="V2968">
        <v>2.7933670000000001E-4</v>
      </c>
      <c r="W2968">
        <v>0.1868041</v>
      </c>
      <c r="X2968">
        <v>0.98239710000000002</v>
      </c>
      <c r="Y2968">
        <v>-0.19308059999999999</v>
      </c>
      <c r="Z2968">
        <v>-3.0367879999999999E-3</v>
      </c>
      <c r="AA2968">
        <v>0.9811782</v>
      </c>
      <c r="AB2968">
        <v>27</v>
      </c>
      <c r="AC2968">
        <v>-54.066299999999998</v>
      </c>
      <c r="AD2968">
        <v>-0.94522709999999999</v>
      </c>
      <c r="AE2968">
        <v>-10.555300000000001</v>
      </c>
      <c r="AF2968">
        <v>-10.688003734296601</v>
      </c>
      <c r="AG2968">
        <v>-0.94522709999999999</v>
      </c>
      <c r="AH2968">
        <v>54.023694896491001</v>
      </c>
      <c r="AI2968">
        <v>90.983319763466795</v>
      </c>
      <c r="AJ2968">
        <v>101.190839295167</v>
      </c>
      <c r="AK2968">
        <v>55.078911466767899</v>
      </c>
      <c r="AL2968">
        <v>79.233665953284202</v>
      </c>
      <c r="AM2968">
        <v>89.983708407178895</v>
      </c>
      <c r="AN2968">
        <v>0.999999955947105</v>
      </c>
    </row>
    <row r="2969" spans="1:40" x14ac:dyDescent="0.25">
      <c r="A2969" t="str">
        <f>"20190303170314315"</f>
        <v>20190303170314315</v>
      </c>
      <c r="B2969" t="str">
        <f>"1551603794308567"</f>
        <v>1551603794308567</v>
      </c>
      <c r="C2969" t="s">
        <v>40</v>
      </c>
      <c r="D2969">
        <v>4.5426589999999996</v>
      </c>
      <c r="E2969">
        <v>0.42626900000000001</v>
      </c>
      <c r="F2969" t="s">
        <v>66</v>
      </c>
      <c r="G2969">
        <v>-512.82529999999997</v>
      </c>
      <c r="H2969">
        <v>0.26023049999999998</v>
      </c>
      <c r="I2969">
        <v>274.11860000000001</v>
      </c>
      <c r="J2969">
        <v>-459.01600000000002</v>
      </c>
      <c r="K2969">
        <v>1.1218549999999901</v>
      </c>
      <c r="L2969">
        <v>285.00670000000002</v>
      </c>
      <c r="M2969">
        <v>-0.99989930000000005</v>
      </c>
      <c r="N2969">
        <v>-1.400324E-2</v>
      </c>
      <c r="O2969">
        <v>2.3470069999999999E-3</v>
      </c>
      <c r="P2969">
        <v>-0.98509590000000002</v>
      </c>
      <c r="Q2969">
        <v>0.1719995</v>
      </c>
      <c r="R2969">
        <v>1.66504E-3</v>
      </c>
      <c r="S2969">
        <v>-3.0562130000000001</v>
      </c>
      <c r="T2969">
        <v>-4.8700569999999999E-2</v>
      </c>
      <c r="U2969">
        <v>-0.615448</v>
      </c>
      <c r="V2969">
        <v>-6.9747910000000002E-4</v>
      </c>
      <c r="W2969">
        <v>0.1857772</v>
      </c>
      <c r="X2969">
        <v>0.98259160000000001</v>
      </c>
      <c r="Y2969">
        <v>-0.19966690000000001</v>
      </c>
      <c r="Z2969">
        <v>-2.99154E-3</v>
      </c>
      <c r="AA2969">
        <v>0.97985929999999999</v>
      </c>
      <c r="AB2969">
        <v>27</v>
      </c>
      <c r="AC2969">
        <v>-53.8093</v>
      </c>
      <c r="AD2969">
        <v>-0.86162449999999902</v>
      </c>
      <c r="AE2969">
        <v>-10.8881</v>
      </c>
      <c r="AF2969">
        <v>-11.011660823239501</v>
      </c>
      <c r="AG2969">
        <v>-0.86162449999999902</v>
      </c>
      <c r="AH2969">
        <v>53.770350276618402</v>
      </c>
      <c r="AI2969">
        <v>90.899375287774006</v>
      </c>
      <c r="AJ2969">
        <v>101.573610379158</v>
      </c>
      <c r="AK2969">
        <v>54.893074606322699</v>
      </c>
      <c r="AL2969">
        <v>79.293551280269597</v>
      </c>
      <c r="AM2969">
        <v>90.040670612303799</v>
      </c>
      <c r="AN2969">
        <v>0.99999995345374604</v>
      </c>
    </row>
    <row r="2970" spans="1:40" x14ac:dyDescent="0.25">
      <c r="A2970" t="str">
        <f>"20190303170314337"</f>
        <v>20190303170314337</v>
      </c>
      <c r="B2970" t="str">
        <f>"1551603794328087"</f>
        <v>1551603794328087</v>
      </c>
      <c r="C2970" t="s">
        <v>40</v>
      </c>
      <c r="D2970">
        <v>4.5856469999999998</v>
      </c>
      <c r="E2970">
        <v>0.4258575</v>
      </c>
      <c r="F2970" t="s">
        <v>66</v>
      </c>
      <c r="G2970">
        <v>-512.8252</v>
      </c>
      <c r="H2970">
        <v>0.14179410000000001</v>
      </c>
      <c r="I2970">
        <v>274.12709999999998</v>
      </c>
      <c r="J2970">
        <v>-459.28559999999999</v>
      </c>
      <c r="K2970">
        <v>1.1218570000000001</v>
      </c>
      <c r="L2970">
        <v>285.00720000000001</v>
      </c>
      <c r="M2970">
        <v>-0.9998996</v>
      </c>
      <c r="N2970">
        <v>-1.400027E-2</v>
      </c>
      <c r="O2970">
        <v>2.1722859999999998E-3</v>
      </c>
      <c r="P2970">
        <v>-0.98538519999999996</v>
      </c>
      <c r="Q2970">
        <v>0.170340299999999</v>
      </c>
      <c r="R2970">
        <v>2.7002979999999997E-4</v>
      </c>
      <c r="S2970">
        <v>-3.056152</v>
      </c>
      <c r="T2970">
        <v>-5.5658939999999997E-2</v>
      </c>
      <c r="U2970">
        <v>-0.61791989999999997</v>
      </c>
      <c r="V2970">
        <v>-1.920967E-3</v>
      </c>
      <c r="W2970">
        <v>0.18411830000000001</v>
      </c>
      <c r="X2970">
        <v>0.98290219999999995</v>
      </c>
      <c r="Y2970">
        <v>-0.20025019999999999</v>
      </c>
      <c r="Z2970">
        <v>-3.2302250000000002E-3</v>
      </c>
      <c r="AA2970">
        <v>0.97973949999999999</v>
      </c>
      <c r="AB2970">
        <v>27</v>
      </c>
      <c r="AC2970">
        <v>-53.5396</v>
      </c>
      <c r="AD2970">
        <v>-0.98006289999999896</v>
      </c>
      <c r="AE2970">
        <v>-10.880100000000001</v>
      </c>
      <c r="AF2970">
        <v>-10.992851575205</v>
      </c>
      <c r="AG2970">
        <v>-0.98006289999999896</v>
      </c>
      <c r="AH2970">
        <v>53.498620904888</v>
      </c>
      <c r="AI2970">
        <v>91.028033658694298</v>
      </c>
      <c r="AJ2970">
        <v>101.61147025576599</v>
      </c>
      <c r="AK2970">
        <v>54.625138423324501</v>
      </c>
      <c r="AL2970">
        <v>79.390268140889006</v>
      </c>
      <c r="AM2970">
        <v>90.111977734459401</v>
      </c>
      <c r="AN2970">
        <v>0.99999998663697198</v>
      </c>
    </row>
    <row r="2971" spans="1:40" x14ac:dyDescent="0.25">
      <c r="A2971" t="str">
        <f>"20190303170314360"</f>
        <v>20190303170314360</v>
      </c>
      <c r="B2971" t="str">
        <f>"1551603794348584"</f>
        <v>1551603794348584</v>
      </c>
      <c r="C2971" t="s">
        <v>40</v>
      </c>
      <c r="D2971">
        <v>4.5899109999999999</v>
      </c>
      <c r="E2971">
        <v>0.42571680000000001</v>
      </c>
      <c r="F2971" t="s">
        <v>66</v>
      </c>
      <c r="G2971">
        <v>-512.8252</v>
      </c>
      <c r="H2971">
        <v>6.5636340000000001E-2</v>
      </c>
      <c r="I2971">
        <v>274.05590000000001</v>
      </c>
      <c r="J2971">
        <v>-459.5498</v>
      </c>
      <c r="K2971">
        <v>1.121847</v>
      </c>
      <c r="L2971">
        <v>285.00760000000002</v>
      </c>
      <c r="M2971">
        <v>-0.99990009999999996</v>
      </c>
      <c r="N2971">
        <v>-1.399763E-2</v>
      </c>
      <c r="O2971">
        <v>2.0013740000000002E-3</v>
      </c>
      <c r="P2971">
        <v>-0.98546420000000001</v>
      </c>
      <c r="Q2971">
        <v>0.16988399999999901</v>
      </c>
      <c r="R2971" s="1">
        <v>-4.2727920000000003E-5</v>
      </c>
      <c r="S2971">
        <v>-3.0551149999999998</v>
      </c>
      <c r="T2971">
        <v>-6.0266140000000003E-2</v>
      </c>
      <c r="U2971">
        <v>-0.62490840000000003</v>
      </c>
      <c r="V2971">
        <v>-2.065033E-3</v>
      </c>
      <c r="W2971">
        <v>0.18366089999999999</v>
      </c>
      <c r="X2971">
        <v>0.98298750000000001</v>
      </c>
      <c r="Y2971">
        <v>-0.20229069999999999</v>
      </c>
      <c r="Z2971">
        <v>-3.416545E-3</v>
      </c>
      <c r="AA2971">
        <v>0.97931959999999996</v>
      </c>
      <c r="AB2971">
        <v>27</v>
      </c>
      <c r="AC2971">
        <v>-53.275399999999898</v>
      </c>
      <c r="AD2971">
        <v>-1.0562106600000001</v>
      </c>
      <c r="AE2971">
        <v>-10.951700000000001</v>
      </c>
      <c r="AF2971">
        <v>-11.054143831937401</v>
      </c>
      <c r="AG2971">
        <v>-1.0562106600000001</v>
      </c>
      <c r="AH2971">
        <v>53.233297678659198</v>
      </c>
      <c r="AI2971">
        <v>91.112930256064999</v>
      </c>
      <c r="AJ2971">
        <v>101.731017835798</v>
      </c>
      <c r="AK2971">
        <v>54.379165666275199</v>
      </c>
      <c r="AL2971">
        <v>79.416930123676806</v>
      </c>
      <c r="AM2971">
        <v>90.120365214614296</v>
      </c>
      <c r="AN2971">
        <v>1.0000000078531699</v>
      </c>
    </row>
    <row r="2972" spans="1:40" x14ac:dyDescent="0.25">
      <c r="A2972" t="str">
        <f>"20190303170314382"</f>
        <v>20190303170314382</v>
      </c>
      <c r="B2972" t="str">
        <f>"1551603794378839"</f>
        <v>1551603794378839</v>
      </c>
      <c r="C2972" t="s">
        <v>40</v>
      </c>
      <c r="D2972">
        <v>4.5747280000000003</v>
      </c>
      <c r="E2972">
        <v>0.42568070000000002</v>
      </c>
      <c r="F2972" t="s">
        <v>66</v>
      </c>
      <c r="G2972">
        <v>-512.8252</v>
      </c>
      <c r="H2972">
        <v>4.1255180000000002E-2</v>
      </c>
      <c r="I2972">
        <v>274.08350000000002</v>
      </c>
      <c r="J2972">
        <v>-459.8177</v>
      </c>
      <c r="K2972">
        <v>1.1218440000000001</v>
      </c>
      <c r="L2972">
        <v>285.00790000000001</v>
      </c>
      <c r="M2972">
        <v>-0.99990049999999997</v>
      </c>
      <c r="N2972">
        <v>-1.399501E-2</v>
      </c>
      <c r="O2972">
        <v>1.828136E-3</v>
      </c>
      <c r="P2972">
        <v>-0.98540439999999996</v>
      </c>
      <c r="Q2972">
        <v>0.170229399999999</v>
      </c>
      <c r="R2972">
        <v>-7.4558640000000004E-4</v>
      </c>
      <c r="S2972">
        <v>-3.0549010000000001</v>
      </c>
      <c r="T2972">
        <v>-6.1958190000000003E-2</v>
      </c>
      <c r="U2972">
        <v>-0.62640379999999996</v>
      </c>
      <c r="V2972">
        <v>-2.5968670000000001E-3</v>
      </c>
      <c r="W2972">
        <v>0.184003</v>
      </c>
      <c r="X2972">
        <v>0.98292230000000003</v>
      </c>
      <c r="Y2972">
        <v>-0.20259160000000001</v>
      </c>
      <c r="Z2972">
        <v>-3.4769979999999998E-3</v>
      </c>
      <c r="AA2972">
        <v>0.97925720000000005</v>
      </c>
      <c r="AB2972">
        <v>27</v>
      </c>
      <c r="AC2972">
        <v>-53.007499999999901</v>
      </c>
      <c r="AD2972">
        <v>-1.08058882</v>
      </c>
      <c r="AE2972">
        <v>-10.924399999999901</v>
      </c>
      <c r="AF2972">
        <v>-11.0169043595861</v>
      </c>
      <c r="AG2972">
        <v>-1.08058882</v>
      </c>
      <c r="AH2972">
        <v>52.966323652369198</v>
      </c>
      <c r="AI2972">
        <v>91.144270140424396</v>
      </c>
      <c r="AJ2972">
        <v>101.74988925701</v>
      </c>
      <c r="AK2972">
        <v>54.110731792442998</v>
      </c>
      <c r="AL2972">
        <v>79.396989829792702</v>
      </c>
      <c r="AM2972">
        <v>90.151374297714199</v>
      </c>
      <c r="AN2972">
        <v>1.0000000477822499</v>
      </c>
    </row>
    <row r="2973" spans="1:40" x14ac:dyDescent="0.25">
      <c r="A2973" t="str">
        <f>"20190303170314405"</f>
        <v>20190303170314405</v>
      </c>
      <c r="B2973" t="str">
        <f>"1551603794398360"</f>
        <v>1551603794398360</v>
      </c>
      <c r="C2973" t="s">
        <v>40</v>
      </c>
      <c r="D2973">
        <v>4.6177299999999999</v>
      </c>
      <c r="E2973">
        <v>0.42570249999999998</v>
      </c>
      <c r="F2973" t="s">
        <v>66</v>
      </c>
      <c r="G2973">
        <v>-512.8252</v>
      </c>
      <c r="H2973">
        <v>8.2427860000000006E-2</v>
      </c>
      <c r="I2973">
        <v>274.096</v>
      </c>
      <c r="J2973">
        <v>-460.08550000000002</v>
      </c>
      <c r="K2973">
        <v>1.121847</v>
      </c>
      <c r="L2973">
        <v>285.00819999999999</v>
      </c>
      <c r="M2973">
        <v>-0.99990080000000003</v>
      </c>
      <c r="N2973">
        <v>-1.3992320000000001E-2</v>
      </c>
      <c r="O2973">
        <v>1.6544820000000001E-3</v>
      </c>
      <c r="P2973">
        <v>-0.98531869999999999</v>
      </c>
      <c r="Q2973">
        <v>0.1707042</v>
      </c>
      <c r="R2973">
        <v>-2.7660290000000001E-3</v>
      </c>
      <c r="S2973">
        <v>-3.0543520000000002</v>
      </c>
      <c r="T2973">
        <v>-5.9887530000000001E-2</v>
      </c>
      <c r="U2973">
        <v>-0.62875369999999997</v>
      </c>
      <c r="V2973">
        <v>-4.4459290000000004E-3</v>
      </c>
      <c r="W2973">
        <v>0.1844731</v>
      </c>
      <c r="X2973">
        <v>0.98282749999999997</v>
      </c>
      <c r="Y2973">
        <v>-0.20318230000000001</v>
      </c>
      <c r="Z2973">
        <v>-3.416812E-3</v>
      </c>
      <c r="AA2973">
        <v>0.97913499999999998</v>
      </c>
      <c r="AB2973">
        <v>27</v>
      </c>
      <c r="AC2973">
        <v>-52.7396999999999</v>
      </c>
      <c r="AD2973">
        <v>-1.0394191399999999</v>
      </c>
      <c r="AE2973">
        <v>-10.912199999999901</v>
      </c>
      <c r="AF2973">
        <v>-10.9953549546206</v>
      </c>
      <c r="AG2973">
        <v>-1.0394191399999999</v>
      </c>
      <c r="AH2973">
        <v>52.701941678866703</v>
      </c>
      <c r="AI2973">
        <v>91.106065360158098</v>
      </c>
      <c r="AJ2973">
        <v>101.784733740961</v>
      </c>
      <c r="AK2973">
        <v>53.846753657480299</v>
      </c>
      <c r="AL2973">
        <v>79.369585385239304</v>
      </c>
      <c r="AM2973">
        <v>90.259182033671195</v>
      </c>
      <c r="AN2973">
        <v>0.99999999283226604</v>
      </c>
    </row>
    <row r="2974" spans="1:40" x14ac:dyDescent="0.25">
      <c r="A2974" t="str">
        <f>"20190303170314426"</f>
        <v>20190303170314426</v>
      </c>
      <c r="B2974" t="str">
        <f>"1551603794418856"</f>
        <v>1551603794418856</v>
      </c>
      <c r="C2974" t="s">
        <v>40</v>
      </c>
      <c r="D2974">
        <v>4.6061779999999999</v>
      </c>
      <c r="E2974">
        <v>0.42575819999999998</v>
      </c>
      <c r="F2974" t="s">
        <v>66</v>
      </c>
      <c r="G2974">
        <v>-512.8252</v>
      </c>
      <c r="H2974">
        <v>0.12394330000000001</v>
      </c>
      <c r="I2974">
        <v>274.03190000000001</v>
      </c>
      <c r="J2974">
        <v>-460.34660000000002</v>
      </c>
      <c r="K2974">
        <v>1.121845</v>
      </c>
      <c r="L2974">
        <v>285.00839999999999</v>
      </c>
      <c r="M2974">
        <v>-0.99990109999999999</v>
      </c>
      <c r="N2974">
        <v>-1.3989680000000001E-2</v>
      </c>
      <c r="O2974">
        <v>1.4850620000000001E-3</v>
      </c>
      <c r="P2974">
        <v>-0.9855003</v>
      </c>
      <c r="Q2974">
        <v>0.16961490000000001</v>
      </c>
      <c r="R2974">
        <v>-4.484521E-3</v>
      </c>
      <c r="S2974">
        <v>-3.0529169999999999</v>
      </c>
      <c r="T2974">
        <v>-5.7760359999999997E-2</v>
      </c>
      <c r="U2974">
        <v>-0.63537600000000005</v>
      </c>
      <c r="V2974">
        <v>-5.997456E-3</v>
      </c>
      <c r="W2974">
        <v>0.1833834</v>
      </c>
      <c r="X2974">
        <v>0.98302319999999999</v>
      </c>
      <c r="Y2974">
        <v>-0.20514650000000001</v>
      </c>
      <c r="Z2974">
        <v>-3.37763E-3</v>
      </c>
      <c r="AA2974">
        <v>0.97872539999999997</v>
      </c>
      <c r="AB2974">
        <v>27</v>
      </c>
      <c r="AC2974">
        <v>-52.478599999999901</v>
      </c>
      <c r="AD2974">
        <v>-0.9979017</v>
      </c>
      <c r="AE2974">
        <v>-10.9764999999999</v>
      </c>
      <c r="AF2974">
        <v>-11.050601233959799</v>
      </c>
      <c r="AG2974">
        <v>-0.9979017</v>
      </c>
      <c r="AH2974">
        <v>52.444071556533103</v>
      </c>
      <c r="AI2974">
        <v>91.066670951316397</v>
      </c>
      <c r="AJ2974">
        <v>101.898851366401</v>
      </c>
      <c r="AK2974">
        <v>53.604964666172698</v>
      </c>
      <c r="AL2974">
        <v>79.433104610665794</v>
      </c>
      <c r="AM2974">
        <v>90.349559047156106</v>
      </c>
      <c r="AN2974">
        <v>1.0000000263061299</v>
      </c>
    </row>
    <row r="2975" spans="1:40" x14ac:dyDescent="0.25">
      <c r="A2975" t="str">
        <f>"20190303170314450"</f>
        <v>20190303170314450</v>
      </c>
      <c r="B2975" t="str">
        <f>"1551603794438375"</f>
        <v>1551603794438375</v>
      </c>
      <c r="C2975" t="s">
        <v>40</v>
      </c>
      <c r="D2975">
        <v>4.6151039999999997</v>
      </c>
      <c r="E2975">
        <v>0.42574479999999998</v>
      </c>
      <c r="F2975" t="s">
        <v>66</v>
      </c>
      <c r="G2975">
        <v>-512.8252</v>
      </c>
      <c r="H2975">
        <v>7.3543910000000004E-2</v>
      </c>
      <c r="I2975">
        <v>273.99310000000003</v>
      </c>
      <c r="J2975">
        <v>-460.61360000000002</v>
      </c>
      <c r="K2975">
        <v>1.121837</v>
      </c>
      <c r="L2975">
        <v>285.0086</v>
      </c>
      <c r="M2975">
        <v>-0.99990140000000005</v>
      </c>
      <c r="N2975">
        <v>-1.3986989999999999E-2</v>
      </c>
      <c r="O2975">
        <v>1.3115900000000001E-3</v>
      </c>
      <c r="P2975">
        <v>-0.98570849999999999</v>
      </c>
      <c r="Q2975">
        <v>0.16834189999999999</v>
      </c>
      <c r="R2975">
        <v>-6.3281419999999897E-3</v>
      </c>
      <c r="S2975">
        <v>-3.051758</v>
      </c>
      <c r="T2975">
        <v>-6.095648E-2</v>
      </c>
      <c r="U2975">
        <v>-0.64056400000000002</v>
      </c>
      <c r="V2975">
        <v>-7.6694190000000002E-3</v>
      </c>
      <c r="W2975">
        <v>0.18211050000000001</v>
      </c>
      <c r="X2975">
        <v>0.98324820000000002</v>
      </c>
      <c r="Y2975">
        <v>-0.20663880000000001</v>
      </c>
      <c r="Z2975">
        <v>-3.5100650000000001E-3</v>
      </c>
      <c r="AA2975">
        <v>0.97841100000000003</v>
      </c>
      <c r="AB2975">
        <v>27</v>
      </c>
      <c r="AC2975">
        <v>-52.211599999999898</v>
      </c>
      <c r="AD2975">
        <v>-1.04829309</v>
      </c>
      <c r="AE2975">
        <v>-11.0154999999999</v>
      </c>
      <c r="AF2975">
        <v>-11.079701346181499</v>
      </c>
      <c r="AG2975">
        <v>-1.04829309</v>
      </c>
      <c r="AH2975">
        <v>52.176968748430902</v>
      </c>
      <c r="AI2975">
        <v>91.125883276027693</v>
      </c>
      <c r="AJ2975">
        <v>101.988594089665</v>
      </c>
      <c r="AK2975">
        <v>53.350677297461303</v>
      </c>
      <c r="AL2975">
        <v>79.507285750928801</v>
      </c>
      <c r="AM2975">
        <v>90.446902855864707</v>
      </c>
      <c r="AN2975">
        <v>1.00000003850064</v>
      </c>
    </row>
    <row r="2976" spans="1:40" x14ac:dyDescent="0.25">
      <c r="A2976" t="str">
        <f>"20190303170314472"</f>
        <v>20190303170314472</v>
      </c>
      <c r="B2976" t="str">
        <f>"1551603794458872"</f>
        <v>1551603794458872</v>
      </c>
      <c r="C2976" t="s">
        <v>40</v>
      </c>
      <c r="D2976">
        <v>4.6203859999999999</v>
      </c>
      <c r="E2976">
        <v>0.42586570000000001</v>
      </c>
      <c r="F2976" t="s">
        <v>66</v>
      </c>
      <c r="G2976">
        <v>-512.82510000000002</v>
      </c>
      <c r="H2976">
        <v>7.0989130000000003E-4</v>
      </c>
      <c r="I2976">
        <v>273.95299999999997</v>
      </c>
      <c r="J2976">
        <v>-460.88220000000001</v>
      </c>
      <c r="K2976">
        <v>1.1218360000000001</v>
      </c>
      <c r="L2976">
        <v>285.00869999999998</v>
      </c>
      <c r="M2976">
        <v>-0.9999017</v>
      </c>
      <c r="N2976">
        <v>-1.398426E-2</v>
      </c>
      <c r="O2976">
        <v>1.1377539999999999E-3</v>
      </c>
      <c r="P2976">
        <v>-0.9857591</v>
      </c>
      <c r="Q2976">
        <v>0.1679812</v>
      </c>
      <c r="R2976">
        <v>-7.8288880000000009E-3</v>
      </c>
      <c r="S2976">
        <v>-3.0505369999999998</v>
      </c>
      <c r="T2976">
        <v>-6.5498589999999995E-2</v>
      </c>
      <c r="U2976">
        <v>-0.64593509999999998</v>
      </c>
      <c r="V2976">
        <v>-8.9992149999999996E-3</v>
      </c>
      <c r="W2976">
        <v>0.18174760000000001</v>
      </c>
      <c r="X2976">
        <v>0.98330399999999996</v>
      </c>
      <c r="Y2976">
        <v>-0.2081877</v>
      </c>
      <c r="Z2976">
        <v>-3.690666E-3</v>
      </c>
      <c r="AA2976">
        <v>0.97808189999999995</v>
      </c>
      <c r="AB2976">
        <v>27</v>
      </c>
      <c r="AC2976">
        <v>-51.942900000000002</v>
      </c>
      <c r="AD2976">
        <v>-1.1211261087</v>
      </c>
      <c r="AE2976">
        <v>-11.0557</v>
      </c>
      <c r="AF2976">
        <v>-11.1098455177315</v>
      </c>
      <c r="AG2976">
        <v>-1.1211261087</v>
      </c>
      <c r="AH2976">
        <v>51.907152951161798</v>
      </c>
      <c r="AI2976">
        <v>91.209926261263703</v>
      </c>
      <c r="AJ2976">
        <v>102.080914534925</v>
      </c>
      <c r="AK2976">
        <v>53.094614780359599</v>
      </c>
      <c r="AL2976">
        <v>79.528430506579596</v>
      </c>
      <c r="AM2976">
        <v>90.5243573129233</v>
      </c>
      <c r="AN2976">
        <v>0.99999996619618703</v>
      </c>
    </row>
    <row r="2977" spans="1:40" x14ac:dyDescent="0.25">
      <c r="A2977" t="str">
        <f>"20190303170314494"</f>
        <v>20190303170314494</v>
      </c>
      <c r="B2977" t="str">
        <f>"1551603794488152"</f>
        <v>1551603794488152</v>
      </c>
      <c r="C2977" t="s">
        <v>40</v>
      </c>
      <c r="D2977">
        <v>4.610112</v>
      </c>
      <c r="E2977">
        <v>0.42588120000000002</v>
      </c>
      <c r="F2977" t="s">
        <v>44</v>
      </c>
      <c r="G2977">
        <v>-512.52459999999996</v>
      </c>
      <c r="H2977">
        <v>-0.05</v>
      </c>
      <c r="I2977">
        <v>274.02719999999999</v>
      </c>
      <c r="J2977">
        <v>-461.14550000000003</v>
      </c>
      <c r="K2977">
        <v>1.121842</v>
      </c>
      <c r="L2977">
        <v>285.00889999999998</v>
      </c>
      <c r="M2977">
        <v>-0.99990179999999995</v>
      </c>
      <c r="N2977">
        <v>-1.398166E-2</v>
      </c>
      <c r="O2977">
        <v>9.67077E-4</v>
      </c>
      <c r="P2977">
        <v>-0.98563080000000003</v>
      </c>
      <c r="Q2977">
        <v>0.16861400000000001</v>
      </c>
      <c r="R2977">
        <v>-1.007921E-2</v>
      </c>
      <c r="S2977">
        <v>-3.049957</v>
      </c>
      <c r="T2977">
        <v>-6.9207669999999999E-2</v>
      </c>
      <c r="U2977">
        <v>-0.64855959999999901</v>
      </c>
      <c r="V2977">
        <v>-1.1080629999999999E-2</v>
      </c>
      <c r="W2977">
        <v>0.1823755</v>
      </c>
      <c r="X2977">
        <v>0.98316650000000005</v>
      </c>
      <c r="Y2977">
        <v>-0.20885629999999999</v>
      </c>
      <c r="Z2977">
        <v>-3.828045E-3</v>
      </c>
      <c r="AA2977">
        <v>0.9779388</v>
      </c>
      <c r="AB2977">
        <v>27</v>
      </c>
      <c r="AC2977">
        <v>-51.379099999999902</v>
      </c>
      <c r="AD2977">
        <v>-1.1718420000000001</v>
      </c>
      <c r="AE2977">
        <v>-10.981699999999901</v>
      </c>
      <c r="AF2977">
        <v>-11.0259022398258</v>
      </c>
      <c r="AG2977">
        <v>-1.1718420000000001</v>
      </c>
      <c r="AH2977">
        <v>51.342913358907403</v>
      </c>
      <c r="AI2977">
        <v>91.278347260267097</v>
      </c>
      <c r="AJ2977">
        <v>102.120200762541</v>
      </c>
      <c r="AK2977">
        <v>52.526550296544599</v>
      </c>
      <c r="AL2977">
        <v>79.491843203002603</v>
      </c>
      <c r="AM2977">
        <v>90.645716116947895</v>
      </c>
      <c r="AN2977">
        <v>0.99999998504184795</v>
      </c>
    </row>
    <row r="2978" spans="1:40" x14ac:dyDescent="0.25">
      <c r="A2978" t="str">
        <f>"20190303170314516"</f>
        <v>20190303170314516</v>
      </c>
      <c r="B2978" t="str">
        <f>"1551603794508648"</f>
        <v>1551603794508648</v>
      </c>
      <c r="C2978" t="s">
        <v>40</v>
      </c>
      <c r="D2978">
        <v>4.6172760000000004</v>
      </c>
      <c r="E2978">
        <v>0.4259714</v>
      </c>
      <c r="F2978" t="s">
        <v>66</v>
      </c>
      <c r="G2978">
        <v>-512.82510000000002</v>
      </c>
      <c r="H2978">
        <v>-4.1045989999999997E-2</v>
      </c>
      <c r="I2978">
        <v>273.91469999999998</v>
      </c>
      <c r="J2978">
        <v>-461.40460000000002</v>
      </c>
      <c r="K2978">
        <v>1.121847</v>
      </c>
      <c r="L2978">
        <v>285.00889999999998</v>
      </c>
      <c r="M2978">
        <v>-0.99990199999999996</v>
      </c>
      <c r="N2978">
        <v>-1.3978930000000001E-2</v>
      </c>
      <c r="O2978">
        <v>7.9926230000000001E-4</v>
      </c>
      <c r="P2978">
        <v>-0.98541860000000003</v>
      </c>
      <c r="Q2978">
        <v>0.16968739999999999</v>
      </c>
      <c r="R2978">
        <v>-1.2513109999999999E-2</v>
      </c>
      <c r="S2978">
        <v>-3.0487669999999998</v>
      </c>
      <c r="T2978">
        <v>-6.8598030000000004E-2</v>
      </c>
      <c r="U2978">
        <v>-0.65447999999999995</v>
      </c>
      <c r="V2978">
        <v>-1.334929E-2</v>
      </c>
      <c r="W2978">
        <v>0.18344199999999999</v>
      </c>
      <c r="X2978">
        <v>0.98293989999999998</v>
      </c>
      <c r="Y2978">
        <v>-0.2105862</v>
      </c>
      <c r="Z2978">
        <v>-3.8377139999999999E-3</v>
      </c>
      <c r="AA2978">
        <v>0.97756770000000004</v>
      </c>
      <c r="AB2978">
        <v>26</v>
      </c>
      <c r="AC2978">
        <v>-51.420499999999997</v>
      </c>
      <c r="AD2978">
        <v>-1.16289299</v>
      </c>
      <c r="AE2978">
        <v>-11.094200000000001</v>
      </c>
      <c r="AF2978">
        <v>-11.129859717580301</v>
      </c>
      <c r="AG2978">
        <v>-1.16289299</v>
      </c>
      <c r="AH2978">
        <v>51.386502680285702</v>
      </c>
      <c r="AI2978">
        <v>91.267031738417103</v>
      </c>
      <c r="AJ2978">
        <v>102.220987713721</v>
      </c>
      <c r="AK2978">
        <v>52.590861897769003</v>
      </c>
      <c r="AL2978">
        <v>79.429688952540701</v>
      </c>
      <c r="AM2978">
        <v>90.778085168219704</v>
      </c>
      <c r="AN2978">
        <v>1.0000000089597501</v>
      </c>
    </row>
    <row r="2979" spans="1:40" x14ac:dyDescent="0.25">
      <c r="A2979" t="str">
        <f>"20190303170314538"</f>
        <v>20190303170314538</v>
      </c>
      <c r="B2979" t="str">
        <f>"1551603794528168"</f>
        <v>1551603794528168</v>
      </c>
      <c r="C2979" t="s">
        <v>40</v>
      </c>
      <c r="D2979">
        <v>4.6586100000000004</v>
      </c>
      <c r="E2979">
        <v>0.42606159999999998</v>
      </c>
      <c r="F2979" t="s">
        <v>66</v>
      </c>
      <c r="G2979">
        <v>-512.8252</v>
      </c>
      <c r="H2979">
        <v>3.2499130000000001E-2</v>
      </c>
      <c r="I2979">
        <v>273.84539999999998</v>
      </c>
      <c r="J2979">
        <v>-461.66649999999998</v>
      </c>
      <c r="K2979">
        <v>1.12185</v>
      </c>
      <c r="L2979">
        <v>285.00889999999998</v>
      </c>
      <c r="M2979">
        <v>-0.99990219999999996</v>
      </c>
      <c r="N2979">
        <v>-1.397613E-2</v>
      </c>
      <c r="O2979">
        <v>6.2624779999999997E-4</v>
      </c>
      <c r="P2979">
        <v>-0.98554560000000002</v>
      </c>
      <c r="Q2979">
        <v>0.16880209999999901</v>
      </c>
      <c r="R2979">
        <v>-1.43556E-2</v>
      </c>
      <c r="S2979">
        <v>-3.0471189999999999</v>
      </c>
      <c r="T2979">
        <v>-6.454849E-2</v>
      </c>
      <c r="U2979">
        <v>-0.66152949999999999</v>
      </c>
      <c r="V2979">
        <v>-1.502131E-2</v>
      </c>
      <c r="W2979">
        <v>0.18255550000000001</v>
      </c>
      <c r="X2979">
        <v>0.98308079999999998</v>
      </c>
      <c r="Y2979">
        <v>-0.21269289999999999</v>
      </c>
      <c r="Z2979">
        <v>-3.7348339999999998E-3</v>
      </c>
      <c r="AA2979">
        <v>0.97711199999999998</v>
      </c>
      <c r="AB2979">
        <v>26</v>
      </c>
      <c r="AC2979">
        <v>-51.158700000000003</v>
      </c>
      <c r="AD2979">
        <v>-1.0893508700000001</v>
      </c>
      <c r="AE2979">
        <v>-11.163500000000001</v>
      </c>
      <c r="AF2979">
        <v>-11.190695552368</v>
      </c>
      <c r="AG2979">
        <v>-1.0893508700000001</v>
      </c>
      <c r="AH2979">
        <v>51.129568942891503</v>
      </c>
      <c r="AI2979">
        <v>91.192325636366107</v>
      </c>
      <c r="AJ2979">
        <v>102.34561312325199</v>
      </c>
      <c r="AK2979">
        <v>52.351228949754898</v>
      </c>
      <c r="AL2979">
        <v>79.481354080818406</v>
      </c>
      <c r="AM2979">
        <v>90.875401792964297</v>
      </c>
      <c r="AN2979">
        <v>1.0000000048315001</v>
      </c>
    </row>
    <row r="2980" spans="1:40" x14ac:dyDescent="0.25">
      <c r="A2980" t="str">
        <f>"20190303170314561"</f>
        <v>20190303170314561</v>
      </c>
      <c r="B2980" t="str">
        <f>"1551603794548664"</f>
        <v>1551603794548664</v>
      </c>
      <c r="C2980" t="s">
        <v>40</v>
      </c>
      <c r="D2980">
        <v>4.62073</v>
      </c>
      <c r="E2980">
        <v>0.42602190000000001</v>
      </c>
      <c r="F2980" t="s">
        <v>66</v>
      </c>
      <c r="G2980">
        <v>-512.82510000000002</v>
      </c>
      <c r="H2980">
        <v>1.7464759999999999E-2</v>
      </c>
      <c r="I2980">
        <v>273.7817</v>
      </c>
      <c r="J2980">
        <v>-461.93549999999999</v>
      </c>
      <c r="K2980">
        <v>1.121845</v>
      </c>
      <c r="L2980">
        <v>285.00889999999998</v>
      </c>
      <c r="M2980">
        <v>-0.99990230000000002</v>
      </c>
      <c r="N2980">
        <v>-1.3973330000000001E-2</v>
      </c>
      <c r="O2980">
        <v>4.428174E-4</v>
      </c>
      <c r="P2980">
        <v>-0.98571489999999995</v>
      </c>
      <c r="Q2980">
        <v>0.16758770000000001</v>
      </c>
      <c r="R2980">
        <v>-1.675863E-2</v>
      </c>
      <c r="S2980">
        <v>-3.0455320000000001</v>
      </c>
      <c r="T2980">
        <v>-6.5740229999999997E-2</v>
      </c>
      <c r="U2980">
        <v>-0.66836549999999995</v>
      </c>
      <c r="V2980">
        <v>-1.7244829999999999E-2</v>
      </c>
      <c r="W2980">
        <v>0.18134059999999999</v>
      </c>
      <c r="X2980">
        <v>0.98326919999999995</v>
      </c>
      <c r="Y2980">
        <v>-0.21470910000000001</v>
      </c>
      <c r="Z2980">
        <v>-3.8112509999999999E-3</v>
      </c>
      <c r="AA2980">
        <v>0.97667060000000006</v>
      </c>
      <c r="AB2980">
        <v>26</v>
      </c>
      <c r="AC2980">
        <v>-50.889600000000002</v>
      </c>
      <c r="AD2980">
        <v>-1.10438024</v>
      </c>
      <c r="AE2980">
        <v>-11.2271999999999</v>
      </c>
      <c r="AF2980">
        <v>-11.244685954875401</v>
      </c>
      <c r="AG2980">
        <v>-1.10438024</v>
      </c>
      <c r="AH2980">
        <v>50.861781099284599</v>
      </c>
      <c r="AI2980">
        <v>91.214569000521905</v>
      </c>
      <c r="AJ2980">
        <v>102.466603355532</v>
      </c>
      <c r="AK2980">
        <v>52.101664028414902</v>
      </c>
      <c r="AL2980">
        <v>79.552144916029107</v>
      </c>
      <c r="AM2980">
        <v>91.004765216441299</v>
      </c>
      <c r="AN2980">
        <v>1.00000005851936</v>
      </c>
    </row>
    <row r="2981" spans="1:40" x14ac:dyDescent="0.25">
      <c r="A2981" t="str">
        <f>"20190303170314583"</f>
        <v>20190303170314583</v>
      </c>
      <c r="B2981" t="str">
        <f>"1551603794577943"</f>
        <v>1551603794577943</v>
      </c>
      <c r="C2981" t="s">
        <v>40</v>
      </c>
      <c r="D2981">
        <v>4.6514739999999897</v>
      </c>
      <c r="E2981">
        <v>0.42592590000000002</v>
      </c>
      <c r="F2981" t="s">
        <v>66</v>
      </c>
      <c r="G2981">
        <v>-512.82510000000002</v>
      </c>
      <c r="H2981">
        <v>-3.7596549999999999E-2</v>
      </c>
      <c r="I2981">
        <v>273.71429999999998</v>
      </c>
      <c r="J2981">
        <v>-462.19589999999999</v>
      </c>
      <c r="K2981">
        <v>1.1218509999999999</v>
      </c>
      <c r="L2981">
        <v>285.00880000000001</v>
      </c>
      <c r="M2981">
        <v>-0.99990250000000003</v>
      </c>
      <c r="N2981">
        <v>-1.39706E-2</v>
      </c>
      <c r="O2981">
        <v>2.437501E-4</v>
      </c>
      <c r="P2981">
        <v>-0.98579919999999999</v>
      </c>
      <c r="Q2981">
        <v>0.1668509</v>
      </c>
      <c r="R2981">
        <v>-1.899675E-2</v>
      </c>
      <c r="S2981">
        <v>-3.0437620000000001</v>
      </c>
      <c r="T2981">
        <v>-6.9342490000000007E-2</v>
      </c>
      <c r="U2981">
        <v>-0.6755371</v>
      </c>
      <c r="V2981">
        <v>-1.929169E-2</v>
      </c>
      <c r="W2981">
        <v>0.1806006</v>
      </c>
      <c r="X2981">
        <v>0.98336730000000006</v>
      </c>
      <c r="Y2981">
        <v>-0.21681929999999999</v>
      </c>
      <c r="Z2981">
        <v>-3.9750369999999998E-3</v>
      </c>
      <c r="AA2981">
        <v>0.97620370000000001</v>
      </c>
      <c r="AB2981">
        <v>26</v>
      </c>
      <c r="AC2981">
        <v>-50.629199999999997</v>
      </c>
      <c r="AD2981">
        <v>-1.1594475500000001</v>
      </c>
      <c r="AE2981">
        <v>-11.294499999999999</v>
      </c>
      <c r="AF2981">
        <v>-11.3011958550169</v>
      </c>
      <c r="AG2981">
        <v>-1.1594475500000001</v>
      </c>
      <c r="AH2981">
        <v>50.601165711364303</v>
      </c>
      <c r="AI2981">
        <v>91.281064441259304</v>
      </c>
      <c r="AJ2981">
        <v>102.589749487346</v>
      </c>
      <c r="AK2981">
        <v>51.860768580147401</v>
      </c>
      <c r="AL2981">
        <v>79.595254959525704</v>
      </c>
      <c r="AM2981">
        <v>91.123883871223796</v>
      </c>
      <c r="AN2981">
        <v>0.99999999636635295</v>
      </c>
    </row>
    <row r="2982" spans="1:40" x14ac:dyDescent="0.25">
      <c r="A2982" t="str">
        <f>"20190303170314605"</f>
        <v>20190303170314605</v>
      </c>
      <c r="B2982" t="str">
        <f>"1551603794598439"</f>
        <v>1551603794598439</v>
      </c>
      <c r="C2982" t="s">
        <v>40</v>
      </c>
      <c r="D2982">
        <v>4.6412750000000003</v>
      </c>
      <c r="E2982">
        <v>0.42585620000000002</v>
      </c>
      <c r="F2982" t="s">
        <v>44</v>
      </c>
      <c r="G2982">
        <v>-511.0779</v>
      </c>
      <c r="H2982">
        <v>-0.05</v>
      </c>
      <c r="I2982">
        <v>274.04840000000002</v>
      </c>
      <c r="J2982">
        <v>-462.45260000000002</v>
      </c>
      <c r="K2982">
        <v>1.121874</v>
      </c>
      <c r="L2982">
        <v>285.0086</v>
      </c>
      <c r="M2982">
        <v>-0.99990250000000003</v>
      </c>
      <c r="N2982">
        <v>-1.396796E-2</v>
      </c>
      <c r="O2982" s="1">
        <v>-2.4210389999999999E-7</v>
      </c>
      <c r="P2982">
        <v>-0.98560320000000001</v>
      </c>
      <c r="Q2982">
        <v>0.16780789999999901</v>
      </c>
      <c r="R2982">
        <v>-2.066335E-2</v>
      </c>
      <c r="S2982">
        <v>-3.0423580000000001</v>
      </c>
      <c r="T2982">
        <v>-7.293463E-2</v>
      </c>
      <c r="U2982">
        <v>-0.68215939999999997</v>
      </c>
      <c r="V2982">
        <v>-2.0729870000000001E-2</v>
      </c>
      <c r="W2982">
        <v>0.18155109999999999</v>
      </c>
      <c r="X2982">
        <v>0.98316300000000001</v>
      </c>
      <c r="Y2982">
        <v>-0.21869179999999999</v>
      </c>
      <c r="Z2982">
        <v>-4.1353320000000002E-3</v>
      </c>
      <c r="AA2982">
        <v>0.97578520000000002</v>
      </c>
      <c r="AB2982">
        <v>26</v>
      </c>
      <c r="AC2982">
        <v>-48.625299999999903</v>
      </c>
      <c r="AD2982">
        <v>-1.1718740000000001</v>
      </c>
      <c r="AE2982">
        <v>-10.960199999999899</v>
      </c>
      <c r="AF2982">
        <v>-10.9541335232093</v>
      </c>
      <c r="AG2982">
        <v>-1.1718740000000001</v>
      </c>
      <c r="AH2982">
        <v>48.598440726507199</v>
      </c>
      <c r="AI2982">
        <v>91.347534664432402</v>
      </c>
      <c r="AJ2982">
        <v>102.70224607109201</v>
      </c>
      <c r="AK2982">
        <v>49.831463664676797</v>
      </c>
      <c r="AL2982">
        <v>79.539880033623604</v>
      </c>
      <c r="AM2982">
        <v>91.207895432077905</v>
      </c>
      <c r="AN2982">
        <v>1.00000000699521</v>
      </c>
    </row>
    <row r="2983" spans="1:40" x14ac:dyDescent="0.25">
      <c r="A2983" t="str">
        <f>"20190303170314628"</f>
        <v>20190303170314628</v>
      </c>
      <c r="B2983" t="str">
        <f>"1551603794617959"</f>
        <v>1551603794617959</v>
      </c>
      <c r="C2983" t="s">
        <v>40</v>
      </c>
      <c r="D2983">
        <v>4.6302440000000002</v>
      </c>
      <c r="E2983">
        <v>0.42584440000000001</v>
      </c>
      <c r="F2983" t="s">
        <v>66</v>
      </c>
      <c r="G2983">
        <v>-512.82510000000002</v>
      </c>
      <c r="H2983">
        <v>-3.6863390000000003E-2</v>
      </c>
      <c r="I2983">
        <v>273.6182</v>
      </c>
      <c r="J2983">
        <v>-462.71929999999998</v>
      </c>
      <c r="K2983">
        <v>1.1219300000000001</v>
      </c>
      <c r="L2983">
        <v>285.00830000000002</v>
      </c>
      <c r="M2983">
        <v>-0.99990239999999997</v>
      </c>
      <c r="N2983">
        <v>-1.396535E-2</v>
      </c>
      <c r="O2983">
        <v>-3.3961620000000001E-4</v>
      </c>
      <c r="P2983">
        <v>-0.98560729999999996</v>
      </c>
      <c r="Q2983">
        <v>0.1676974</v>
      </c>
      <c r="R2983">
        <v>-2.1351640000000002E-2</v>
      </c>
      <c r="S2983">
        <v>-3.0413209999999999</v>
      </c>
      <c r="T2983">
        <v>-6.9955589999999998E-2</v>
      </c>
      <c r="U2983">
        <v>-0.68771359999999904</v>
      </c>
      <c r="V2983">
        <v>-2.1108189999999999E-2</v>
      </c>
      <c r="W2983">
        <v>0.18143529999999999</v>
      </c>
      <c r="X2983">
        <v>0.9831763</v>
      </c>
      <c r="Y2983">
        <v>-0.2201331</v>
      </c>
      <c r="Z2983">
        <v>-4.0534840000000004E-3</v>
      </c>
      <c r="AA2983">
        <v>0.97546140000000003</v>
      </c>
      <c r="AB2983">
        <v>26</v>
      </c>
      <c r="AC2983">
        <v>-50.105800000000002</v>
      </c>
      <c r="AD2983">
        <v>-1.15879338999999</v>
      </c>
      <c r="AE2983">
        <v>-11.3901</v>
      </c>
      <c r="AF2983">
        <v>-11.3672998233657</v>
      </c>
      <c r="AG2983">
        <v>-1.15879338999999</v>
      </c>
      <c r="AH2983">
        <v>50.0841942082576</v>
      </c>
      <c r="AI2983">
        <v>91.292549051429106</v>
      </c>
      <c r="AJ2983">
        <v>102.787434931078</v>
      </c>
      <c r="AK2983">
        <v>51.371050377478802</v>
      </c>
      <c r="AL2983">
        <v>79.546626654142301</v>
      </c>
      <c r="AM2983">
        <v>91.229916172630595</v>
      </c>
      <c r="AN2983">
        <v>0.99999998032642701</v>
      </c>
    </row>
    <row r="2984" spans="1:40" x14ac:dyDescent="0.25">
      <c r="A2984" t="str">
        <f>"20190303170314651"</f>
        <v>20190303170314651</v>
      </c>
      <c r="B2984" t="str">
        <f>"1551603794638457"</f>
        <v>1551603794638457</v>
      </c>
      <c r="C2984" t="s">
        <v>40</v>
      </c>
      <c r="D2984">
        <v>4.6261349999999997</v>
      </c>
      <c r="E2984">
        <v>0.42580580000000001</v>
      </c>
      <c r="F2984" t="s">
        <v>66</v>
      </c>
      <c r="G2984">
        <v>-512.82510000000002</v>
      </c>
      <c r="H2984">
        <v>-1.5299500000000001E-2</v>
      </c>
      <c r="I2984">
        <v>273.6139</v>
      </c>
      <c r="J2984">
        <v>-462.9828</v>
      </c>
      <c r="K2984">
        <v>1.122012</v>
      </c>
      <c r="L2984">
        <v>285.0077</v>
      </c>
      <c r="M2984">
        <v>-0.99990219999999996</v>
      </c>
      <c r="N2984">
        <v>-1.3963110000000001E-2</v>
      </c>
      <c r="O2984">
        <v>-8.0547439999999995E-4</v>
      </c>
      <c r="P2984">
        <v>-0.98566819999999999</v>
      </c>
      <c r="Q2984">
        <v>0.16723669999999999</v>
      </c>
      <c r="R2984">
        <v>-2.2134589999999999E-2</v>
      </c>
      <c r="S2984">
        <v>-3.0405579999999999</v>
      </c>
      <c r="T2984">
        <v>-6.9005010000000006E-2</v>
      </c>
      <c r="U2984">
        <v>-0.69143679999999996</v>
      </c>
      <c r="V2984">
        <v>-2.1471049999999998E-2</v>
      </c>
      <c r="W2984">
        <v>0.18096780000000001</v>
      </c>
      <c r="X2984">
        <v>0.98325459999999998</v>
      </c>
      <c r="Y2984">
        <v>-0.22086890000000001</v>
      </c>
      <c r="Z2984">
        <v>-4.0292870000000003E-3</v>
      </c>
      <c r="AA2984">
        <v>0.97529520000000003</v>
      </c>
      <c r="AB2984">
        <v>26</v>
      </c>
      <c r="AC2984">
        <v>-49.842300000000002</v>
      </c>
      <c r="AD2984">
        <v>-1.1373115</v>
      </c>
      <c r="AE2984">
        <v>-11.393800000000001</v>
      </c>
      <c r="AF2984">
        <v>-11.348030540314401</v>
      </c>
      <c r="AG2984">
        <v>-1.1373115</v>
      </c>
      <c r="AH2984">
        <v>49.826807187619501</v>
      </c>
      <c r="AI2984">
        <v>91.274929928432698</v>
      </c>
      <c r="AJ2984">
        <v>102.83023887747299</v>
      </c>
      <c r="AK2984">
        <v>51.115379183804897</v>
      </c>
      <c r="AL2984">
        <v>79.573863299492302</v>
      </c>
      <c r="AM2984">
        <v>91.250952770016795</v>
      </c>
      <c r="AN2984">
        <v>0.99999997952305097</v>
      </c>
    </row>
    <row r="2985" spans="1:40" x14ac:dyDescent="0.25">
      <c r="A2985" t="str">
        <f>"20190303170314672"</f>
        <v>20190303170314672</v>
      </c>
      <c r="B2985" t="str">
        <f>"1551603794668711"</f>
        <v>1551603794668711</v>
      </c>
      <c r="C2985" t="s">
        <v>40</v>
      </c>
      <c r="D2985">
        <v>4.6454110000000002</v>
      </c>
      <c r="E2985">
        <v>0.42579149999999999</v>
      </c>
      <c r="F2985" t="s">
        <v>66</v>
      </c>
      <c r="G2985">
        <v>-512.82510000000002</v>
      </c>
      <c r="H2985">
        <v>-2.1717009999999998E-2</v>
      </c>
      <c r="I2985">
        <v>273.61509999999998</v>
      </c>
      <c r="J2985">
        <v>-463.24290000000002</v>
      </c>
      <c r="K2985">
        <v>1.122123</v>
      </c>
      <c r="L2985">
        <v>285.0068</v>
      </c>
      <c r="M2985">
        <v>-0.9999015</v>
      </c>
      <c r="N2985">
        <v>-1.396146E-2</v>
      </c>
      <c r="O2985">
        <v>-1.445712E-3</v>
      </c>
      <c r="P2985">
        <v>-0.98592360000000001</v>
      </c>
      <c r="Q2985">
        <v>0.16558879999999901</v>
      </c>
      <c r="R2985">
        <v>-2.3129839999999999E-2</v>
      </c>
      <c r="S2985">
        <v>-3.0398559999999999</v>
      </c>
      <c r="T2985">
        <v>-6.9750309999999996E-2</v>
      </c>
      <c r="U2985">
        <v>-0.694824199999999</v>
      </c>
      <c r="V2985">
        <v>-2.1888500000000002E-2</v>
      </c>
      <c r="W2985">
        <v>0.17931540000000001</v>
      </c>
      <c r="X2985">
        <v>0.98354810000000004</v>
      </c>
      <c r="Y2985">
        <v>-0.22132450000000001</v>
      </c>
      <c r="Z2985">
        <v>-4.058786E-3</v>
      </c>
      <c r="AA2985">
        <v>0.97519180000000005</v>
      </c>
      <c r="AB2985">
        <v>26</v>
      </c>
      <c r="AC2985">
        <v>-49.5822</v>
      </c>
      <c r="AD2985">
        <v>-1.1438400099999999</v>
      </c>
      <c r="AE2985">
        <v>-11.3917</v>
      </c>
      <c r="AF2985">
        <v>-11.3142799275236</v>
      </c>
      <c r="AG2985">
        <v>-1.1438400099999999</v>
      </c>
      <c r="AH2985">
        <v>49.573558460136603</v>
      </c>
      <c r="AI2985">
        <v>91.288659421562798</v>
      </c>
      <c r="AJ2985">
        <v>102.856526250111</v>
      </c>
      <c r="AK2985">
        <v>50.861173783618298</v>
      </c>
      <c r="AL2985">
        <v>79.670113576892305</v>
      </c>
      <c r="AM2985">
        <v>91.274885986266895</v>
      </c>
      <c r="AN2985">
        <v>0.99999999206151002</v>
      </c>
    </row>
    <row r="2986" spans="1:40" x14ac:dyDescent="0.25">
      <c r="A2986" t="str">
        <f>"20190303170314694"</f>
        <v>20190303170314694</v>
      </c>
      <c r="B2986" t="str">
        <f>"1551603794688854"</f>
        <v>1551603794688854</v>
      </c>
      <c r="C2986" t="s">
        <v>40</v>
      </c>
      <c r="D2986">
        <v>4.6509790000000004</v>
      </c>
      <c r="E2986">
        <v>0.42576910000000001</v>
      </c>
      <c r="F2986" t="s">
        <v>44</v>
      </c>
      <c r="G2986">
        <v>-511.02280000000002</v>
      </c>
      <c r="H2986">
        <v>-0.05</v>
      </c>
      <c r="I2986">
        <v>274.02629999999999</v>
      </c>
      <c r="J2986">
        <v>-463.4982</v>
      </c>
      <c r="K2986">
        <v>1.122285</v>
      </c>
      <c r="L2986">
        <v>285.00569999999999</v>
      </c>
      <c r="M2986">
        <v>-0.99990000000000001</v>
      </c>
      <c r="N2986">
        <v>-1.3960820000000001E-2</v>
      </c>
      <c r="O2986">
        <v>-2.3055950000000001E-3</v>
      </c>
      <c r="P2986">
        <v>-0.98598790000000003</v>
      </c>
      <c r="Q2986">
        <v>0.16513699999999901</v>
      </c>
      <c r="R2986">
        <v>-2.3613459999999999E-2</v>
      </c>
      <c r="S2986">
        <v>-3.0389400000000002</v>
      </c>
      <c r="T2986">
        <v>-7.4550389999999994E-2</v>
      </c>
      <c r="U2986">
        <v>-0.69839479999999998</v>
      </c>
      <c r="V2986">
        <v>-2.159581E-2</v>
      </c>
      <c r="W2986">
        <v>0.17885609999999999</v>
      </c>
      <c r="X2986">
        <v>0.98363820000000002</v>
      </c>
      <c r="Y2986">
        <v>-0.22162789999999999</v>
      </c>
      <c r="Z2986">
        <v>-4.2264340000000003E-3</v>
      </c>
      <c r="AA2986">
        <v>0.97512220000000005</v>
      </c>
      <c r="AB2986">
        <v>26</v>
      </c>
      <c r="AC2986">
        <v>-47.5246</v>
      </c>
      <c r="AD2986">
        <v>-1.172285</v>
      </c>
      <c r="AE2986">
        <v>-10.979399999999901</v>
      </c>
      <c r="AF2986">
        <v>-10.8635126087388</v>
      </c>
      <c r="AG2986">
        <v>-1.172285</v>
      </c>
      <c r="AH2986">
        <v>47.522339995619603</v>
      </c>
      <c r="AI2986">
        <v>91.377569139078901</v>
      </c>
      <c r="AJ2986">
        <v>102.87644922883401</v>
      </c>
      <c r="AK2986">
        <v>48.762310824864699</v>
      </c>
      <c r="AL2986">
        <v>79.696861998537599</v>
      </c>
      <c r="AM2986">
        <v>91.257728721033402</v>
      </c>
      <c r="AN2986">
        <v>0.99999999600800304</v>
      </c>
    </row>
    <row r="2987" spans="1:40" x14ac:dyDescent="0.25">
      <c r="A2987" t="str">
        <f>"20190303170314728"</f>
        <v>20190303170314728</v>
      </c>
      <c r="B2987" t="str">
        <f>"1551603794718135"</f>
        <v>1551603794718135</v>
      </c>
      <c r="C2987" t="s">
        <v>40</v>
      </c>
      <c r="D2987">
        <v>4.6115309999999896</v>
      </c>
      <c r="E2987">
        <v>0.42575190000000002</v>
      </c>
      <c r="F2987" t="s">
        <v>44</v>
      </c>
      <c r="G2987">
        <v>-510.89280000000002</v>
      </c>
      <c r="H2987">
        <v>-0.05</v>
      </c>
      <c r="I2987">
        <v>274.07619999999997</v>
      </c>
      <c r="J2987">
        <v>-463.89179999999999</v>
      </c>
      <c r="K2987">
        <v>1.122614</v>
      </c>
      <c r="L2987">
        <v>285.00259999999997</v>
      </c>
      <c r="M2987">
        <v>-0.99989349999999999</v>
      </c>
      <c r="N2987">
        <v>-1.396324E-2</v>
      </c>
      <c r="O2987">
        <v>-4.2645510000000001E-3</v>
      </c>
      <c r="P2987">
        <v>-0.9859253</v>
      </c>
      <c r="Q2987">
        <v>0.1651184</v>
      </c>
      <c r="R2987">
        <v>-2.6219760000000002E-2</v>
      </c>
      <c r="S2987">
        <v>-3.0384519999999999</v>
      </c>
      <c r="T2987">
        <v>-7.5154780000000004E-2</v>
      </c>
      <c r="U2987">
        <v>-0.70068359999999996</v>
      </c>
      <c r="V2987">
        <v>-2.2414880000000002E-2</v>
      </c>
      <c r="W2987">
        <v>0.17882100000000001</v>
      </c>
      <c r="X2987">
        <v>0.98362620000000001</v>
      </c>
      <c r="Y2987">
        <v>-0.22044839999999999</v>
      </c>
      <c r="Z2987">
        <v>-4.2047889999999996E-3</v>
      </c>
      <c r="AA2987">
        <v>0.97538959999999997</v>
      </c>
      <c r="AB2987">
        <v>26</v>
      </c>
      <c r="AC2987">
        <v>-47.000999999999998</v>
      </c>
      <c r="AD2987">
        <v>-1.172614</v>
      </c>
      <c r="AE2987">
        <v>-10.926399999999999</v>
      </c>
      <c r="AF2987">
        <v>-10.7195128067389</v>
      </c>
      <c r="AG2987">
        <v>-1.172614</v>
      </c>
      <c r="AH2987">
        <v>47.019407163395201</v>
      </c>
      <c r="AI2987">
        <v>91.392875343158295</v>
      </c>
      <c r="AJ2987">
        <v>102.842826404929</v>
      </c>
      <c r="AK2987">
        <v>48.240103942715301</v>
      </c>
      <c r="AL2987">
        <v>79.698905440903701</v>
      </c>
      <c r="AM2987">
        <v>91.305430646219506</v>
      </c>
      <c r="AN2987">
        <v>0.99999993910642504</v>
      </c>
    </row>
    <row r="2988" spans="1:40" x14ac:dyDescent="0.25">
      <c r="A2988" t="str">
        <f>"20190303170314743"</f>
        <v>20190303170314743</v>
      </c>
      <c r="B2988" t="str">
        <f>"1551603794738631"</f>
        <v>1551603794738631</v>
      </c>
      <c r="C2988" t="s">
        <v>40</v>
      </c>
      <c r="D2988">
        <v>4.5978149999999998</v>
      </c>
      <c r="E2988">
        <v>0.42569600000000002</v>
      </c>
      <c r="F2988" t="s">
        <v>44</v>
      </c>
      <c r="G2988">
        <v>-512.03470000000004</v>
      </c>
      <c r="H2988">
        <v>-0.05</v>
      </c>
      <c r="I2988">
        <v>273.74380000000002</v>
      </c>
      <c r="J2988">
        <v>-464.06079999999997</v>
      </c>
      <c r="K2988">
        <v>1.122762</v>
      </c>
      <c r="L2988">
        <v>285.0009</v>
      </c>
      <c r="M2988">
        <v>-0.99988829999999995</v>
      </c>
      <c r="N2988">
        <v>-1.396559E-2</v>
      </c>
      <c r="O2988">
        <v>-5.3282529999999998E-3</v>
      </c>
      <c r="P2988">
        <v>-0.98590580000000005</v>
      </c>
      <c r="Q2988">
        <v>0.165022</v>
      </c>
      <c r="R2988">
        <v>-2.7522060000000001E-2</v>
      </c>
      <c r="S2988">
        <v>-3.0363159999999998</v>
      </c>
      <c r="T2988">
        <v>-7.3955419999999994E-2</v>
      </c>
      <c r="U2988">
        <v>-0.71008300000000002</v>
      </c>
      <c r="V2988">
        <v>-2.273331E-2</v>
      </c>
      <c r="W2988">
        <v>0.17871819999999999</v>
      </c>
      <c r="X2988">
        <v>0.9836376</v>
      </c>
      <c r="Y2988">
        <v>-0.22242719999999999</v>
      </c>
      <c r="Z2988">
        <v>-4.19207E-3</v>
      </c>
      <c r="AA2988">
        <v>0.97494029999999998</v>
      </c>
      <c r="AB2988">
        <v>26</v>
      </c>
      <c r="AC2988">
        <v>-47.9739</v>
      </c>
      <c r="AD2988">
        <v>-1.1727620000000001</v>
      </c>
      <c r="AE2988">
        <v>-11.2570999999999</v>
      </c>
      <c r="AF2988">
        <v>-10.9950704326184</v>
      </c>
      <c r="AG2988">
        <v>-1.1727620000000001</v>
      </c>
      <c r="AH2988">
        <v>48.006014224249697</v>
      </c>
      <c r="AI2988">
        <v>91.364120032404998</v>
      </c>
      <c r="AJ2988">
        <v>102.900255643373</v>
      </c>
      <c r="AK2988">
        <v>49.263011948375102</v>
      </c>
      <c r="AL2988">
        <v>79.704892134641995</v>
      </c>
      <c r="AM2988">
        <v>91.323953945871594</v>
      </c>
      <c r="AN2988">
        <v>0.99999996326427698</v>
      </c>
    </row>
    <row r="2989" spans="1:40" x14ac:dyDescent="0.25">
      <c r="A2989" t="str">
        <f>"20190303170314755"</f>
        <v>20190303170314755</v>
      </c>
      <c r="B2989" t="str">
        <f>"1551603794748391"</f>
        <v>1551603794748391</v>
      </c>
      <c r="C2989" t="s">
        <v>40</v>
      </c>
      <c r="D2989">
        <v>4.5903</v>
      </c>
      <c r="E2989">
        <v>0.4256607</v>
      </c>
      <c r="F2989" t="s">
        <v>44</v>
      </c>
      <c r="G2989">
        <v>-512.38019999999995</v>
      </c>
      <c r="H2989">
        <v>-0.05</v>
      </c>
      <c r="I2989">
        <v>273.6189</v>
      </c>
      <c r="J2989">
        <v>-464.20319999999998</v>
      </c>
      <c r="K2989">
        <v>1.1228830000000001</v>
      </c>
      <c r="L2989">
        <v>284.9991</v>
      </c>
      <c r="M2989">
        <v>-0.99988270000000001</v>
      </c>
      <c r="N2989">
        <v>-1.396785E-2</v>
      </c>
      <c r="O2989">
        <v>-6.2955340000000002E-3</v>
      </c>
      <c r="P2989">
        <v>-0.98584649999999996</v>
      </c>
      <c r="Q2989">
        <v>0.165099</v>
      </c>
      <c r="R2989">
        <v>-2.9146459999999999E-2</v>
      </c>
      <c r="S2989">
        <v>-3.0352169999999998</v>
      </c>
      <c r="T2989">
        <v>-7.3667880000000005E-2</v>
      </c>
      <c r="U2989">
        <v>-0.71496579999999998</v>
      </c>
      <c r="V2989">
        <v>-2.34586E-2</v>
      </c>
      <c r="W2989">
        <v>0.17878810000000001</v>
      </c>
      <c r="X2989">
        <v>0.98360789999999998</v>
      </c>
      <c r="Y2989">
        <v>-0.2230491</v>
      </c>
      <c r="Z2989">
        <v>-4.1851889999999997E-3</v>
      </c>
      <c r="AA2989">
        <v>0.97479819999999995</v>
      </c>
      <c r="AB2989">
        <v>26</v>
      </c>
      <c r="AC2989">
        <v>-48.1769999999999</v>
      </c>
      <c r="AD2989">
        <v>-1.1728829999999999</v>
      </c>
      <c r="AE2989">
        <v>-11.3802</v>
      </c>
      <c r="AF2989">
        <v>-11.070430319449899</v>
      </c>
      <c r="AG2989">
        <v>-1.1728829999999999</v>
      </c>
      <c r="AH2989">
        <v>48.220626909427601</v>
      </c>
      <c r="AI2989">
        <v>91.358030435842807</v>
      </c>
      <c r="AJ2989">
        <v>102.929838145258</v>
      </c>
      <c r="AK2989">
        <v>49.488977980230104</v>
      </c>
      <c r="AL2989">
        <v>79.700821937797201</v>
      </c>
      <c r="AM2989">
        <v>91.366219224701197</v>
      </c>
      <c r="AN2989">
        <v>0.99999999577899001</v>
      </c>
    </row>
    <row r="2990" spans="1:40" x14ac:dyDescent="0.25">
      <c r="A2990" t="str">
        <f>"20190303170314768"</f>
        <v>20190303170314768</v>
      </c>
      <c r="B2990" t="str">
        <f>"1551603794758151"</f>
        <v>1551603794758151</v>
      </c>
      <c r="C2990" t="s">
        <v>40</v>
      </c>
      <c r="D2990">
        <v>4.5956169999999998</v>
      </c>
      <c r="E2990">
        <v>0.42567189999999999</v>
      </c>
      <c r="F2990" t="s">
        <v>66</v>
      </c>
      <c r="G2990">
        <v>-512.82510000000002</v>
      </c>
      <c r="H2990">
        <v>-4.4578850000000003E-2</v>
      </c>
      <c r="I2990">
        <v>273.4522</v>
      </c>
      <c r="J2990">
        <v>-464.35930000000002</v>
      </c>
      <c r="K2990">
        <v>1.123019</v>
      </c>
      <c r="L2990">
        <v>284.99689999999998</v>
      </c>
      <c r="M2990">
        <v>-0.99987420000000005</v>
      </c>
      <c r="N2990">
        <v>-1.397059E-2</v>
      </c>
      <c r="O2990">
        <v>-7.5308340000000001E-3</v>
      </c>
      <c r="P2990">
        <v>-0.98582530000000002</v>
      </c>
      <c r="Q2990">
        <v>0.1649099</v>
      </c>
      <c r="R2990">
        <v>-3.0885510000000001E-2</v>
      </c>
      <c r="S2990">
        <v>-3.0339969999999998</v>
      </c>
      <c r="T2990">
        <v>-7.2844030000000004E-2</v>
      </c>
      <c r="U2990">
        <v>-0.72051999999999905</v>
      </c>
      <c r="V2990">
        <v>-2.4038230000000001E-2</v>
      </c>
      <c r="W2990">
        <v>0.17859249999999999</v>
      </c>
      <c r="X2990">
        <v>0.98362950000000005</v>
      </c>
      <c r="Y2990">
        <v>-0.22362380000000001</v>
      </c>
      <c r="Z2990">
        <v>-4.1567870000000003E-3</v>
      </c>
      <c r="AA2990">
        <v>0.9746667</v>
      </c>
      <c r="AB2990">
        <v>26</v>
      </c>
      <c r="AC2990">
        <v>-48.465800000000002</v>
      </c>
      <c r="AD2990">
        <v>-1.1675978499999999</v>
      </c>
      <c r="AE2990">
        <v>-11.544699999999899</v>
      </c>
      <c r="AF2990">
        <v>-11.1732125328362</v>
      </c>
      <c r="AG2990">
        <v>-1.1675978499999999</v>
      </c>
      <c r="AH2990">
        <v>48.524724260305803</v>
      </c>
      <c r="AI2990">
        <v>91.343244905762603</v>
      </c>
      <c r="AJ2990">
        <v>102.96681070891501</v>
      </c>
      <c r="AK2990">
        <v>49.808160250926399</v>
      </c>
      <c r="AL2990">
        <v>79.712212936460602</v>
      </c>
      <c r="AM2990">
        <v>91.399932635080006</v>
      </c>
      <c r="AN2990">
        <v>1.00000005541401</v>
      </c>
    </row>
    <row r="2991" spans="1:40" x14ac:dyDescent="0.25">
      <c r="A2991" t="str">
        <f>"20190303170314784"</f>
        <v>20190303170314784</v>
      </c>
      <c r="B2991" t="str">
        <f>"1551603794778647"</f>
        <v>1551603794778647</v>
      </c>
      <c r="C2991" t="s">
        <v>40</v>
      </c>
      <c r="D2991">
        <v>4.5987280000000004</v>
      </c>
      <c r="E2991">
        <v>0.42564469999999999</v>
      </c>
      <c r="F2991" t="s">
        <v>66</v>
      </c>
      <c r="G2991">
        <v>-512.82510000000002</v>
      </c>
      <c r="H2991">
        <v>-4.3890539999999999E-2</v>
      </c>
      <c r="I2991">
        <v>273.38529999999997</v>
      </c>
      <c r="J2991">
        <v>-464.5401</v>
      </c>
      <c r="K2991">
        <v>1.123176</v>
      </c>
      <c r="L2991">
        <v>284.99400000000003</v>
      </c>
      <c r="M2991">
        <v>-0.99986109999999995</v>
      </c>
      <c r="N2991">
        <v>-1.3973869999999999E-2</v>
      </c>
      <c r="O2991">
        <v>-9.0889179999999997E-3</v>
      </c>
      <c r="P2991">
        <v>-0.98569039999999997</v>
      </c>
      <c r="Q2991">
        <v>0.16513220000000001</v>
      </c>
      <c r="R2991">
        <v>-3.3850940000000003E-2</v>
      </c>
      <c r="S2991">
        <v>-3.0326230000000001</v>
      </c>
      <c r="T2991">
        <v>-7.3011039999999999E-2</v>
      </c>
      <c r="U2991">
        <v>-0.7265625</v>
      </c>
      <c r="V2991">
        <v>-2.5536240000000002E-2</v>
      </c>
      <c r="W2991">
        <v>0.17880260000000001</v>
      </c>
      <c r="X2991">
        <v>0.98355349999999997</v>
      </c>
      <c r="Y2991">
        <v>-0.22404109999999999</v>
      </c>
      <c r="Z2991">
        <v>-4.1561410000000003E-3</v>
      </c>
      <c r="AA2991">
        <v>0.97457090000000002</v>
      </c>
      <c r="AB2991">
        <v>26</v>
      </c>
      <c r="AC2991">
        <v>-48.284999999999997</v>
      </c>
      <c r="AD2991">
        <v>-1.16706654</v>
      </c>
      <c r="AE2991">
        <v>-11.608700000000001</v>
      </c>
      <c r="AF2991">
        <v>-11.163153939567399</v>
      </c>
      <c r="AG2991">
        <v>-1.16706654</v>
      </c>
      <c r="AH2991">
        <v>48.361816562643298</v>
      </c>
      <c r="AI2991">
        <v>91.346987589311794</v>
      </c>
      <c r="AJ2991">
        <v>102.997692862157</v>
      </c>
      <c r="AK2991">
        <v>49.647188756525097</v>
      </c>
      <c r="AL2991">
        <v>79.699977361078297</v>
      </c>
      <c r="AM2991">
        <v>91.487250212207897</v>
      </c>
      <c r="AN2991">
        <v>0.99999997834117305</v>
      </c>
    </row>
    <row r="2992" spans="1:40" x14ac:dyDescent="0.25">
      <c r="A2992" t="str">
        <f>"20190303170314806"</f>
        <v>20190303170314806</v>
      </c>
      <c r="B2992" t="str">
        <f>"1551603794798070"</f>
        <v>1551603794798070</v>
      </c>
      <c r="C2992" t="s">
        <v>40</v>
      </c>
      <c r="D2992">
        <v>4.598598</v>
      </c>
      <c r="E2992">
        <v>0.42560769999999998</v>
      </c>
      <c r="F2992" t="s">
        <v>66</v>
      </c>
      <c r="G2992">
        <v>-512.82510000000002</v>
      </c>
      <c r="H2992">
        <v>-2.6313069999999998E-3</v>
      </c>
      <c r="I2992">
        <v>273.2423</v>
      </c>
      <c r="J2992">
        <v>-464.79329999999999</v>
      </c>
      <c r="K2992">
        <v>1.1233919999999999</v>
      </c>
      <c r="L2992">
        <v>284.98910000000001</v>
      </c>
      <c r="M2992">
        <v>-0.99983569999999999</v>
      </c>
      <c r="N2992">
        <v>-1.3979170000000001E-2</v>
      </c>
      <c r="O2992">
        <v>-1.1534890000000001E-2</v>
      </c>
      <c r="P2992">
        <v>-0.98551290000000003</v>
      </c>
      <c r="Q2992">
        <v>0.16520509999999999</v>
      </c>
      <c r="R2992">
        <v>-3.8365900000000001E-2</v>
      </c>
      <c r="S2992">
        <v>-3.0300600000000002</v>
      </c>
      <c r="T2992">
        <v>-7.0643189999999995E-2</v>
      </c>
      <c r="U2992">
        <v>-0.73745729999999998</v>
      </c>
      <c r="V2992">
        <v>-2.7733609999999999E-2</v>
      </c>
      <c r="W2992">
        <v>0.17885760000000001</v>
      </c>
      <c r="X2992">
        <v>0.98348400000000002</v>
      </c>
      <c r="Y2992">
        <v>-0.2251591</v>
      </c>
      <c r="Z2992">
        <v>-4.0774779999999998E-3</v>
      </c>
      <c r="AA2992">
        <v>0.97431350000000005</v>
      </c>
      <c r="AB2992">
        <v>26</v>
      </c>
      <c r="AC2992">
        <v>-48.031799999999997</v>
      </c>
      <c r="AD2992">
        <v>-1.1260233070000001</v>
      </c>
      <c r="AE2992">
        <v>-11.7468</v>
      </c>
      <c r="AF2992">
        <v>-11.186121840008701</v>
      </c>
      <c r="AG2992">
        <v>-1.1260233070000001</v>
      </c>
      <c r="AH2992">
        <v>48.139151569758397</v>
      </c>
      <c r="AI2992">
        <v>91.305199656764103</v>
      </c>
      <c r="AJ2992">
        <v>103.081696826018</v>
      </c>
      <c r="AK2992">
        <v>49.434554353848497</v>
      </c>
      <c r="AL2992">
        <v>79.696774544464205</v>
      </c>
      <c r="AM2992">
        <v>91.615275700275106</v>
      </c>
      <c r="AN2992">
        <v>0.99999998622869601</v>
      </c>
    </row>
    <row r="2993" spans="1:40" x14ac:dyDescent="0.25">
      <c r="A2993" t="str">
        <f>"20190303170314824"</f>
        <v>20190303170314824</v>
      </c>
      <c r="B2993" t="str">
        <f>"1551603794818565"</f>
        <v>1551603794818565</v>
      </c>
      <c r="C2993" t="s">
        <v>40</v>
      </c>
      <c r="D2993">
        <v>4.61599</v>
      </c>
      <c r="E2993">
        <v>0.42559039999999998</v>
      </c>
      <c r="F2993" t="s">
        <v>66</v>
      </c>
      <c r="G2993">
        <v>-512.82510000000002</v>
      </c>
      <c r="H2993">
        <v>1.6894579999999999E-2</v>
      </c>
      <c r="I2993">
        <v>273.04840000000002</v>
      </c>
      <c r="J2993">
        <v>-464.99160000000001</v>
      </c>
      <c r="K2993">
        <v>1.1235550000000001</v>
      </c>
      <c r="L2993">
        <v>284.9846</v>
      </c>
      <c r="M2993">
        <v>-0.99980899999999995</v>
      </c>
      <c r="N2993">
        <v>-1.3984150000000001E-2</v>
      </c>
      <c r="O2993">
        <v>-1.3659920000000001E-2</v>
      </c>
      <c r="P2993">
        <v>-0.98540850000000002</v>
      </c>
      <c r="Q2993">
        <v>0.16501360000000001</v>
      </c>
      <c r="R2993">
        <v>-4.1723469999999999E-2</v>
      </c>
      <c r="S2993">
        <v>-3.0264890000000002</v>
      </c>
      <c r="T2993">
        <v>-6.9715260000000001E-2</v>
      </c>
      <c r="U2993">
        <v>-0.75238039999999995</v>
      </c>
      <c r="V2993">
        <v>-2.9066519999999998E-2</v>
      </c>
      <c r="W2993">
        <v>0.17865439999999999</v>
      </c>
      <c r="X2993">
        <v>0.98348250000000004</v>
      </c>
      <c r="Y2993">
        <v>-0.2278821</v>
      </c>
      <c r="Z2993">
        <v>-4.0811060000000001E-3</v>
      </c>
      <c r="AA2993">
        <v>0.9736802</v>
      </c>
      <c r="AB2993">
        <v>26</v>
      </c>
      <c r="AC2993">
        <v>-47.833500000000001</v>
      </c>
      <c r="AD2993">
        <v>-1.1066604200000001</v>
      </c>
      <c r="AE2993">
        <v>-11.9361999999999</v>
      </c>
      <c r="AF2993">
        <v>-11.275938742161101</v>
      </c>
      <c r="AG2993">
        <v>-1.1066604200000001</v>
      </c>
      <c r="AH2993">
        <v>47.967929428671503</v>
      </c>
      <c r="AI2993">
        <v>91.2865702103133</v>
      </c>
      <c r="AJ2993">
        <v>103.228485018543</v>
      </c>
      <c r="AK2993">
        <v>49.2878661079598</v>
      </c>
      <c r="AL2993">
        <v>79.708608223104093</v>
      </c>
      <c r="AM2993">
        <v>91.692866198069297</v>
      </c>
      <c r="AN2993">
        <v>1.00000004251525</v>
      </c>
    </row>
    <row r="2994" spans="1:40" x14ac:dyDescent="0.25">
      <c r="A2994" t="str">
        <f>"20190303170314841"</f>
        <v>20190303170314841</v>
      </c>
      <c r="B2994" t="str">
        <f>"1551603794828325"</f>
        <v>1551603794828325</v>
      </c>
      <c r="C2994" t="s">
        <v>40</v>
      </c>
      <c r="D2994">
        <v>4.601661</v>
      </c>
      <c r="E2994">
        <v>0.42556830000000001</v>
      </c>
      <c r="F2994" t="s">
        <v>66</v>
      </c>
      <c r="G2994">
        <v>-512.82510000000002</v>
      </c>
      <c r="H2994">
        <v>1.171118E-2</v>
      </c>
      <c r="I2994">
        <v>272.91559999999998</v>
      </c>
      <c r="J2994">
        <v>-465.18520000000001</v>
      </c>
      <c r="K2994">
        <v>1.123704</v>
      </c>
      <c r="L2994">
        <v>284.97969999999998</v>
      </c>
      <c r="M2994">
        <v>-0.99977590000000005</v>
      </c>
      <c r="N2994">
        <v>-1.398948E-2</v>
      </c>
      <c r="O2994">
        <v>-1.5892940000000001E-2</v>
      </c>
      <c r="P2994">
        <v>-0.98521860000000006</v>
      </c>
      <c r="Q2994">
        <v>0.16442100000000001</v>
      </c>
      <c r="R2994">
        <v>-4.8065509999999999E-2</v>
      </c>
      <c r="S2994">
        <v>-3.0239259999999999</v>
      </c>
      <c r="T2994">
        <v>-7.0282940000000002E-2</v>
      </c>
      <c r="U2994">
        <v>-0.76297000000000004</v>
      </c>
      <c r="V2994">
        <v>-3.327285E-2</v>
      </c>
      <c r="W2994">
        <v>0.178036</v>
      </c>
      <c r="X2994">
        <v>0.98346129999999998</v>
      </c>
      <c r="Y2994">
        <v>-0.22910720000000001</v>
      </c>
      <c r="Z2994">
        <v>-4.1043260000000002E-3</v>
      </c>
      <c r="AA2994">
        <v>0.97339249999999999</v>
      </c>
      <c r="AB2994">
        <v>26</v>
      </c>
      <c r="AC2994">
        <v>-47.639899999999997</v>
      </c>
      <c r="AD2994">
        <v>-1.11199282</v>
      </c>
      <c r="AE2994">
        <v>-12.0640999999999</v>
      </c>
      <c r="AF2994">
        <v>-11.299578516174501</v>
      </c>
      <c r="AG2994">
        <v>-1.11199282</v>
      </c>
      <c r="AH2994">
        <v>47.801160531076498</v>
      </c>
      <c r="AI2994">
        <v>91.2968953908115</v>
      </c>
      <c r="AJ2994">
        <v>103.29984446833799</v>
      </c>
      <c r="AK2994">
        <v>49.131130159937001</v>
      </c>
      <c r="AL2994">
        <v>79.744616935960494</v>
      </c>
      <c r="AM2994">
        <v>91.937714279229297</v>
      </c>
      <c r="AN2994">
        <v>1.0000000142204</v>
      </c>
    </row>
    <row r="2995" spans="1:40" x14ac:dyDescent="0.25">
      <c r="A2995" t="str">
        <f>"20190303170314863"</f>
        <v>20190303170314863</v>
      </c>
      <c r="B2995" t="str">
        <f>"1551603794858583"</f>
        <v>1551603794858583</v>
      </c>
      <c r="C2995" t="s">
        <v>40</v>
      </c>
      <c r="D2995">
        <v>4.596762</v>
      </c>
      <c r="E2995">
        <v>0.42555359999999998</v>
      </c>
      <c r="F2995" t="s">
        <v>66</v>
      </c>
      <c r="G2995">
        <v>-512.82510000000002</v>
      </c>
      <c r="H2995">
        <v>-2.429715E-2</v>
      </c>
      <c r="I2995">
        <v>272.63850000000002</v>
      </c>
      <c r="J2995">
        <v>-465.44420000000002</v>
      </c>
      <c r="K2995">
        <v>1.123901</v>
      </c>
      <c r="L2995">
        <v>284.97199999999998</v>
      </c>
      <c r="M2995">
        <v>-0.99971929999999998</v>
      </c>
      <c r="N2995">
        <v>-1.3997020000000001E-2</v>
      </c>
      <c r="O2995">
        <v>-1.912088E-2</v>
      </c>
      <c r="P2995">
        <v>-0.98485149999999999</v>
      </c>
      <c r="Q2995">
        <v>0.16424639999999999</v>
      </c>
      <c r="R2995">
        <v>-5.5594240000000003E-2</v>
      </c>
      <c r="S2995">
        <v>-3.019012</v>
      </c>
      <c r="T2995">
        <v>-7.2745320000000002E-2</v>
      </c>
      <c r="U2995">
        <v>-0.78207399999999905</v>
      </c>
      <c r="V2995">
        <v>-3.7706000000000003E-2</v>
      </c>
      <c r="W2995">
        <v>0.1778276</v>
      </c>
      <c r="X2995">
        <v>0.98333899999999996</v>
      </c>
      <c r="Y2995">
        <v>-0.2321134</v>
      </c>
      <c r="Z2995">
        <v>-4.2125230000000001E-3</v>
      </c>
      <c r="AA2995">
        <v>0.97267959999999998</v>
      </c>
      <c r="AB2995">
        <v>26</v>
      </c>
      <c r="AC2995">
        <v>-47.380899999999997</v>
      </c>
      <c r="AD2995">
        <v>-1.14819815</v>
      </c>
      <c r="AE2995">
        <v>-12.3334999999999</v>
      </c>
      <c r="AF2995">
        <v>-11.4189112942273</v>
      </c>
      <c r="AG2995">
        <v>-1.14819815</v>
      </c>
      <c r="AH2995">
        <v>47.581917023018804</v>
      </c>
      <c r="AI2995">
        <v>91.344183877584598</v>
      </c>
      <c r="AJ2995">
        <v>103.494880727389</v>
      </c>
      <c r="AK2995">
        <v>48.946386196761701</v>
      </c>
      <c r="AL2995">
        <v>79.756750785515493</v>
      </c>
      <c r="AM2995">
        <v>92.195923039189196</v>
      </c>
      <c r="AN2995">
        <v>0.99999999333937994</v>
      </c>
    </row>
    <row r="2996" spans="1:40" x14ac:dyDescent="0.25">
      <c r="A2996" t="str">
        <f>"20190303170314884"</f>
        <v>20190303170314884</v>
      </c>
      <c r="B2996" t="str">
        <f>"1551603794878102"</f>
        <v>1551603794878102</v>
      </c>
      <c r="C2996" t="s">
        <v>40</v>
      </c>
      <c r="D2996">
        <v>4.6230029999999998</v>
      </c>
      <c r="E2996">
        <v>0.42556549999999999</v>
      </c>
      <c r="F2996" t="s">
        <v>66</v>
      </c>
      <c r="G2996">
        <v>-512.82510000000002</v>
      </c>
      <c r="H2996">
        <v>-4.3420729999999998E-2</v>
      </c>
      <c r="I2996">
        <v>272.31139999999999</v>
      </c>
      <c r="J2996">
        <v>-465.69529999999997</v>
      </c>
      <c r="K2996">
        <v>1.1240699999999999</v>
      </c>
      <c r="L2996">
        <v>284.96359999999999</v>
      </c>
      <c r="M2996">
        <v>-0.99964940000000002</v>
      </c>
      <c r="N2996">
        <v>-1.400413E-2</v>
      </c>
      <c r="O2996">
        <v>-2.2470690000000001E-2</v>
      </c>
      <c r="P2996">
        <v>-0.98424350000000005</v>
      </c>
      <c r="Q2996">
        <v>0.164932</v>
      </c>
      <c r="R2996">
        <v>-6.3735130000000001E-2</v>
      </c>
      <c r="S2996">
        <v>-3.0130620000000001</v>
      </c>
      <c r="T2996">
        <v>-7.4227210000000002E-2</v>
      </c>
      <c r="U2996">
        <v>-0.80511469999999996</v>
      </c>
      <c r="V2996">
        <v>-4.2629920000000002E-2</v>
      </c>
      <c r="W2996">
        <v>0.17847279999999999</v>
      </c>
      <c r="X2996">
        <v>0.98302089999999998</v>
      </c>
      <c r="Y2996">
        <v>-0.2362686</v>
      </c>
      <c r="Z2996">
        <v>-4.3090200000000002E-3</v>
      </c>
      <c r="AA2996">
        <v>0.97167829999999999</v>
      </c>
      <c r="AB2996">
        <v>26</v>
      </c>
      <c r="AC2996">
        <v>-47.129800000000003</v>
      </c>
      <c r="AD2996">
        <v>-1.1674907299999999</v>
      </c>
      <c r="AE2996">
        <v>-12.652199999999899</v>
      </c>
      <c r="AF2996">
        <v>-11.583231568923701</v>
      </c>
      <c r="AG2996">
        <v>-1.1674907299999999</v>
      </c>
      <c r="AH2996">
        <v>47.375111914128503</v>
      </c>
      <c r="AI2996">
        <v>91.3713077854826</v>
      </c>
      <c r="AJ2996">
        <v>103.73929095480599</v>
      </c>
      <c r="AK2996">
        <v>48.784582780424998</v>
      </c>
      <c r="AL2996">
        <v>79.719182339285695</v>
      </c>
      <c r="AM2996">
        <v>92.483146661918795</v>
      </c>
      <c r="AN2996">
        <v>0.99999997012792696</v>
      </c>
    </row>
    <row r="2997" spans="1:40" x14ac:dyDescent="0.25">
      <c r="A2997" t="str">
        <f>"20190303170314900"</f>
        <v>20190303170314900</v>
      </c>
      <c r="B2997" t="str">
        <f>"1551603794888672"</f>
        <v>1551603794888672</v>
      </c>
      <c r="C2997" t="s">
        <v>40</v>
      </c>
      <c r="D2997">
        <v>4.63645</v>
      </c>
      <c r="E2997">
        <v>0.4255814</v>
      </c>
      <c r="F2997" t="s">
        <v>66</v>
      </c>
      <c r="G2997">
        <v>-512.82510000000002</v>
      </c>
      <c r="H2997">
        <v>-3.4822699999999998E-2</v>
      </c>
      <c r="I2997">
        <v>271.97390000000001</v>
      </c>
      <c r="J2997">
        <v>-465.8698</v>
      </c>
      <c r="K2997">
        <v>1.124169</v>
      </c>
      <c r="L2997">
        <v>284.9572</v>
      </c>
      <c r="M2997">
        <v>-0.99959169999999997</v>
      </c>
      <c r="N2997">
        <v>-1.400877E-2</v>
      </c>
      <c r="O2997">
        <v>-2.4904920000000001E-2</v>
      </c>
      <c r="P2997">
        <v>-0.98390149999999998</v>
      </c>
      <c r="Q2997">
        <v>0.1650045</v>
      </c>
      <c r="R2997">
        <v>-6.8639389999999995E-2</v>
      </c>
      <c r="S2997">
        <v>-3.0067439999999999</v>
      </c>
      <c r="T2997">
        <v>-7.3928590000000002E-2</v>
      </c>
      <c r="U2997">
        <v>-0.82870480000000002</v>
      </c>
      <c r="V2997">
        <v>-4.5184460000000003E-2</v>
      </c>
      <c r="W2997">
        <v>0.1785235</v>
      </c>
      <c r="X2997">
        <v>0.98289760000000004</v>
      </c>
      <c r="Y2997">
        <v>-0.24150569999999999</v>
      </c>
      <c r="Z2997">
        <v>-4.3796119999999997E-3</v>
      </c>
      <c r="AA2997">
        <v>0.97038950000000002</v>
      </c>
      <c r="AB2997">
        <v>26</v>
      </c>
      <c r="AC2997">
        <v>-46.955300000000001</v>
      </c>
      <c r="AD2997">
        <v>-1.1589916999999901</v>
      </c>
      <c r="AE2997">
        <v>-12.9832999999999</v>
      </c>
      <c r="AF2997">
        <v>-11.8030591769206</v>
      </c>
      <c r="AG2997">
        <v>-1.1589916999999901</v>
      </c>
      <c r="AH2997">
        <v>47.237377430964798</v>
      </c>
      <c r="AI2997">
        <v>91.363591541173506</v>
      </c>
      <c r="AJ2997">
        <v>104.029068180764</v>
      </c>
      <c r="AK2997">
        <v>48.703442324439301</v>
      </c>
      <c r="AL2997">
        <v>79.716230171755001</v>
      </c>
      <c r="AM2997">
        <v>92.632072223882503</v>
      </c>
      <c r="AN2997">
        <v>0.99999998378175003</v>
      </c>
    </row>
    <row r="2998" spans="1:40" x14ac:dyDescent="0.25">
      <c r="A2998" t="str">
        <f>"20190303170314914"</f>
        <v>20190303170314914</v>
      </c>
      <c r="B2998" t="str">
        <f>"1551603794908191"</f>
        <v>1551603794908191</v>
      </c>
      <c r="C2998" t="s">
        <v>40</v>
      </c>
      <c r="D2998">
        <v>4.6315309999999998</v>
      </c>
      <c r="E2998">
        <v>0.42561389999999999</v>
      </c>
      <c r="F2998" t="s">
        <v>66</v>
      </c>
      <c r="G2998">
        <v>-512.82510000000002</v>
      </c>
      <c r="H2998">
        <v>-3.8601370000000003E-2</v>
      </c>
      <c r="I2998">
        <v>271.77789999999999</v>
      </c>
      <c r="J2998">
        <v>-466.03629999999998</v>
      </c>
      <c r="K2998">
        <v>1.1242570000000001</v>
      </c>
      <c r="L2998">
        <v>284.95049999999998</v>
      </c>
      <c r="M2998">
        <v>-0.99952920000000001</v>
      </c>
      <c r="N2998">
        <v>-1.401282E-2</v>
      </c>
      <c r="O2998">
        <v>-2.7300430000000001E-2</v>
      </c>
      <c r="P2998">
        <v>-0.98344390000000004</v>
      </c>
      <c r="Q2998">
        <v>0.1655836</v>
      </c>
      <c r="R2998">
        <v>-7.3623229999999998E-2</v>
      </c>
      <c r="S2998">
        <v>-3.002777</v>
      </c>
      <c r="T2998">
        <v>-7.4353340000000004E-2</v>
      </c>
      <c r="U2998">
        <v>-0.842804</v>
      </c>
      <c r="V2998">
        <v>-4.7857900000000002E-2</v>
      </c>
      <c r="W2998">
        <v>0.1790776</v>
      </c>
      <c r="X2998">
        <v>0.98267020000000005</v>
      </c>
      <c r="Y2998">
        <v>-0.2437347</v>
      </c>
      <c r="Z2998">
        <v>-4.4138409999999999E-3</v>
      </c>
      <c r="AA2998">
        <v>0.96983189999999997</v>
      </c>
      <c r="AB2998">
        <v>26</v>
      </c>
      <c r="AC2998">
        <v>-46.788800000000002</v>
      </c>
      <c r="AD2998">
        <v>-1.1628583699999999</v>
      </c>
      <c r="AE2998">
        <v>-13.1725999999999</v>
      </c>
      <c r="AF2998">
        <v>-11.8834084820174</v>
      </c>
      <c r="AG2998">
        <v>-1.1628583699999999</v>
      </c>
      <c r="AH2998">
        <v>47.104051204400299</v>
      </c>
      <c r="AI2998">
        <v>91.371228653171997</v>
      </c>
      <c r="AJ2998">
        <v>104.159125578752</v>
      </c>
      <c r="AK2998">
        <v>48.593819325156197</v>
      </c>
      <c r="AL2998">
        <v>79.683962180272601</v>
      </c>
      <c r="AM2998">
        <v>92.788209949867607</v>
      </c>
      <c r="AN2998">
        <v>0.99999994369110301</v>
      </c>
    </row>
    <row r="2999" spans="1:40" x14ac:dyDescent="0.25">
      <c r="A2999" t="str">
        <f>"20190303170314927"</f>
        <v>20190303170314927</v>
      </c>
      <c r="B2999" t="str">
        <f>"1551603794918927"</f>
        <v>1551603794918927</v>
      </c>
      <c r="C2999" t="s">
        <v>40</v>
      </c>
      <c r="D2999">
        <v>4.6367089999999997</v>
      </c>
      <c r="E2999">
        <v>0.42562850000000002</v>
      </c>
      <c r="F2999" t="s">
        <v>66</v>
      </c>
      <c r="G2999">
        <v>-512.82510000000002</v>
      </c>
      <c r="H2999">
        <v>-1.793724E-2</v>
      </c>
      <c r="I2999">
        <v>271.5675</v>
      </c>
      <c r="J2999">
        <v>-466.18189999999998</v>
      </c>
      <c r="K2999">
        <v>1.1243259999999999</v>
      </c>
      <c r="L2999">
        <v>284.94420000000002</v>
      </c>
      <c r="M2999">
        <v>-0.99946710000000005</v>
      </c>
      <c r="N2999">
        <v>-1.401634E-2</v>
      </c>
      <c r="O2999">
        <v>-2.948038E-2</v>
      </c>
      <c r="P2999">
        <v>-0.98308130000000005</v>
      </c>
      <c r="Q2999">
        <v>0.16579070000000001</v>
      </c>
      <c r="R2999">
        <v>-7.7876189999999998E-2</v>
      </c>
      <c r="S2999">
        <v>-2.9986269999999999</v>
      </c>
      <c r="T2999">
        <v>-7.3196170000000005E-2</v>
      </c>
      <c r="U2999">
        <v>-0.85769649999999997</v>
      </c>
      <c r="V2999">
        <v>-4.9999780000000001E-2</v>
      </c>
      <c r="W2999">
        <v>0.17926520000000001</v>
      </c>
      <c r="X2999">
        <v>0.9825294</v>
      </c>
      <c r="Y2999">
        <v>-0.24642739999999999</v>
      </c>
      <c r="Z2999">
        <v>-4.4105220000000001E-3</v>
      </c>
      <c r="AA2999">
        <v>0.96915119999999999</v>
      </c>
      <c r="AB2999">
        <v>26</v>
      </c>
      <c r="AC2999">
        <v>-46.6432</v>
      </c>
      <c r="AD2999">
        <v>-1.1422632399999999</v>
      </c>
      <c r="AE2999">
        <v>-13.3767</v>
      </c>
      <c r="AF2999">
        <v>-11.9890467106868</v>
      </c>
      <c r="AG2999">
        <v>-1.1422632399999999</v>
      </c>
      <c r="AH2999">
        <v>46.991271583083098</v>
      </c>
      <c r="AI2999">
        <v>91.349265948706005</v>
      </c>
      <c r="AJ2999">
        <v>104.312732590617</v>
      </c>
      <c r="AK2999">
        <v>48.510015577564502</v>
      </c>
      <c r="AL2999">
        <v>79.673037343248694</v>
      </c>
      <c r="AM2999">
        <v>92.913202658812907</v>
      </c>
      <c r="AN2999">
        <v>1.0000000058977201</v>
      </c>
    </row>
    <row r="3000" spans="1:40" x14ac:dyDescent="0.25">
      <c r="A3000" t="str">
        <f>"20190303170314940"</f>
        <v>20190303170314940</v>
      </c>
      <c r="B3000" t="str">
        <f>"1551603794928687"</f>
        <v>1551603794928687</v>
      </c>
      <c r="C3000" t="s">
        <v>40</v>
      </c>
      <c r="D3000">
        <v>4.6493869999999999</v>
      </c>
      <c r="E3000">
        <v>0.42565940000000002</v>
      </c>
      <c r="F3000" t="s">
        <v>66</v>
      </c>
      <c r="G3000">
        <v>-512.82510000000002</v>
      </c>
      <c r="H3000">
        <v>-1.395449E-2</v>
      </c>
      <c r="I3000">
        <v>271.3922</v>
      </c>
      <c r="J3000">
        <v>-466.3297</v>
      </c>
      <c r="K3000">
        <v>1.1243920000000001</v>
      </c>
      <c r="L3000">
        <v>284.9375</v>
      </c>
      <c r="M3000">
        <v>-0.99939809999999996</v>
      </c>
      <c r="N3000">
        <v>-1.4019810000000001E-2</v>
      </c>
      <c r="O3000">
        <v>-3.1729830000000001E-2</v>
      </c>
      <c r="P3000">
        <v>-0.98244209999999998</v>
      </c>
      <c r="Q3000">
        <v>0.1670585</v>
      </c>
      <c r="R3000">
        <v>-8.3060519999999999E-2</v>
      </c>
      <c r="S3000">
        <v>-2.9949949999999999</v>
      </c>
      <c r="T3000">
        <v>-7.3084469999999999E-2</v>
      </c>
      <c r="U3000">
        <v>-0.87017819999999901</v>
      </c>
      <c r="V3000">
        <v>-5.3019959999999998E-2</v>
      </c>
      <c r="W3000">
        <v>0.180504</v>
      </c>
      <c r="X3000">
        <v>0.98214420000000002</v>
      </c>
      <c r="Y3000">
        <v>-0.24828449999999999</v>
      </c>
      <c r="Z3000">
        <v>-4.4226109999999999E-3</v>
      </c>
      <c r="AA3000">
        <v>0.96867700000000001</v>
      </c>
      <c r="AB3000">
        <v>26</v>
      </c>
      <c r="AC3000">
        <v>-46.495399999999997</v>
      </c>
      <c r="AD3000">
        <v>-1.13834649</v>
      </c>
      <c r="AE3000">
        <v>-13.5452999999999</v>
      </c>
      <c r="AF3000">
        <v>-12.0563806990241</v>
      </c>
      <c r="AG3000">
        <v>-1.13834649</v>
      </c>
      <c r="AH3000">
        <v>46.875916402581197</v>
      </c>
      <c r="AI3000">
        <v>91.347280373215497</v>
      </c>
      <c r="AJ3000">
        <v>104.423723692142</v>
      </c>
      <c r="AK3000">
        <v>48.414911823454503</v>
      </c>
      <c r="AL3000">
        <v>79.600882460887306</v>
      </c>
      <c r="AM3000">
        <v>93.090049392227698</v>
      </c>
      <c r="AN3000">
        <v>1.00000001988402</v>
      </c>
    </row>
    <row r="3001" spans="1:40" x14ac:dyDescent="0.25">
      <c r="A3001" t="str">
        <f>"20190303170314956"</f>
        <v>20190303170314956</v>
      </c>
      <c r="B3001" t="str">
        <f>"1551603794948207"</f>
        <v>1551603794948207</v>
      </c>
      <c r="C3001" t="s">
        <v>40</v>
      </c>
      <c r="D3001">
        <v>4.5889629999999997</v>
      </c>
      <c r="E3001">
        <v>0.4295272</v>
      </c>
      <c r="F3001" t="s">
        <v>66</v>
      </c>
      <c r="G3001">
        <v>-512.8252</v>
      </c>
      <c r="H3001">
        <v>3.2464859999999998E-2</v>
      </c>
      <c r="I3001">
        <v>271.17860000000002</v>
      </c>
      <c r="J3001">
        <v>-466.51740000000001</v>
      </c>
      <c r="K3001">
        <v>1.1244689999999999</v>
      </c>
      <c r="L3001">
        <v>284.92849999999999</v>
      </c>
      <c r="M3001">
        <v>-0.99930070000000004</v>
      </c>
      <c r="N3001">
        <v>-1.402429E-2</v>
      </c>
      <c r="O3001">
        <v>-3.4666629999999997E-2</v>
      </c>
      <c r="P3001">
        <v>-0.98201170000000004</v>
      </c>
      <c r="Q3001">
        <v>0.16769629999999999</v>
      </c>
      <c r="R3001">
        <v>-8.6782689999999996E-2</v>
      </c>
      <c r="S3001">
        <v>-2.990723</v>
      </c>
      <c r="T3001">
        <v>-7.0230479999999998E-2</v>
      </c>
      <c r="U3001">
        <v>-0.88500979999999996</v>
      </c>
      <c r="V3001">
        <v>-5.3899250000000003E-2</v>
      </c>
      <c r="W3001">
        <v>0.18112819999999999</v>
      </c>
      <c r="X3001">
        <v>0.9819814</v>
      </c>
      <c r="Y3001">
        <v>-0.25023689999999998</v>
      </c>
      <c r="Z3001">
        <v>-4.3489829999999998E-3</v>
      </c>
      <c r="AA3001">
        <v>0.96817489999999995</v>
      </c>
      <c r="AB3001">
        <v>26</v>
      </c>
      <c r="AC3001">
        <v>-46.307799999999901</v>
      </c>
      <c r="AD3001">
        <v>-1.09200414</v>
      </c>
      <c r="AE3001">
        <v>-13.749899999999901</v>
      </c>
      <c r="AF3001">
        <v>-12.1299420057909</v>
      </c>
      <c r="AG3001">
        <v>-1.09200414</v>
      </c>
      <c r="AH3001">
        <v>46.732788046770501</v>
      </c>
      <c r="AI3001">
        <v>91.295667168405004</v>
      </c>
      <c r="AJ3001">
        <v>104.550576320972</v>
      </c>
      <c r="AK3001">
        <v>48.293699845114404</v>
      </c>
      <c r="AL3001">
        <v>79.564518971010202</v>
      </c>
      <c r="AM3001">
        <v>93.141713115242496</v>
      </c>
      <c r="AN3001">
        <v>1.0000000119658801</v>
      </c>
    </row>
    <row r="3002" spans="1:40" x14ac:dyDescent="0.25">
      <c r="A3002" t="str">
        <f>"20190303170314974"</f>
        <v>20190303170314974</v>
      </c>
      <c r="B3002" t="str">
        <f>"1551603794968703"</f>
        <v>1551603794968703</v>
      </c>
      <c r="C3002" t="s">
        <v>40</v>
      </c>
      <c r="D3002">
        <v>4.6035709999999996</v>
      </c>
      <c r="E3002">
        <v>0.43057210000000001</v>
      </c>
      <c r="F3002" t="s">
        <v>57</v>
      </c>
      <c r="G3002">
        <v>-502.58580000000001</v>
      </c>
      <c r="H3002">
        <v>7.9999600000000004E-2</v>
      </c>
      <c r="I3002">
        <v>274.48520000000002</v>
      </c>
      <c r="J3002">
        <v>-466.71820000000002</v>
      </c>
      <c r="K3002">
        <v>1.124547</v>
      </c>
      <c r="L3002">
        <v>284.91809999999998</v>
      </c>
      <c r="M3002">
        <v>-0.99918320000000005</v>
      </c>
      <c r="N3002">
        <v>-1.402933E-2</v>
      </c>
      <c r="O3002">
        <v>-3.7898069999999999E-2</v>
      </c>
      <c r="P3002">
        <v>-0.98162340000000003</v>
      </c>
      <c r="Q3002">
        <v>0.16748009999999999</v>
      </c>
      <c r="R3002">
        <v>-9.1465299999999999E-2</v>
      </c>
      <c r="S3002">
        <v>-2.993134</v>
      </c>
      <c r="T3002">
        <v>-8.6675290000000002E-2</v>
      </c>
      <c r="U3002">
        <v>-0.86663819999999903</v>
      </c>
      <c r="V3002">
        <v>-5.5443060000000002E-2</v>
      </c>
      <c r="W3002">
        <v>0.18089559999999999</v>
      </c>
      <c r="X3002">
        <v>0.98193830000000004</v>
      </c>
      <c r="Y3002">
        <v>-0.24137459999999999</v>
      </c>
      <c r="Z3002">
        <v>-4.5999450000000002E-3</v>
      </c>
      <c r="AA3002">
        <v>0.97042110000000004</v>
      </c>
      <c r="AB3002">
        <v>26</v>
      </c>
      <c r="AC3002">
        <v>-35.867599999999896</v>
      </c>
      <c r="AD3002">
        <v>-1.0445473999999999</v>
      </c>
      <c r="AE3002">
        <v>-10.432899999999901</v>
      </c>
      <c r="AF3002">
        <v>-9.0588735406874097</v>
      </c>
      <c r="AG3002">
        <v>-1.0445473999999999</v>
      </c>
      <c r="AH3002">
        <v>36.208940065218002</v>
      </c>
      <c r="AI3002">
        <v>91.603018095581703</v>
      </c>
      <c r="AJ3002">
        <v>104.046129697645</v>
      </c>
      <c r="AK3002">
        <v>37.339544851853297</v>
      </c>
      <c r="AL3002">
        <v>79.578069564375994</v>
      </c>
      <c r="AM3002">
        <v>93.231653150396099</v>
      </c>
      <c r="AN3002">
        <v>0.99999998800420598</v>
      </c>
    </row>
    <row r="3003" spans="1:40" x14ac:dyDescent="0.25">
      <c r="A3003" t="str">
        <f>"20190303170314991"</f>
        <v>20190303170314991</v>
      </c>
      <c r="B3003" t="str">
        <f>"1551603794978463"</f>
        <v>1551603794978463</v>
      </c>
      <c r="C3003" t="s">
        <v>40</v>
      </c>
      <c r="D3003">
        <v>4.6015129999999997</v>
      </c>
      <c r="E3003">
        <v>0.4308189</v>
      </c>
      <c r="F3003" t="s">
        <v>57</v>
      </c>
      <c r="G3003">
        <v>-499.9699</v>
      </c>
      <c r="H3003">
        <v>6.2157190000000001E-2</v>
      </c>
      <c r="I3003">
        <v>275.21249999999998</v>
      </c>
      <c r="J3003">
        <v>-466.89699999999999</v>
      </c>
      <c r="K3003">
        <v>1.124614</v>
      </c>
      <c r="L3003">
        <v>284.90800000000002</v>
      </c>
      <c r="M3003">
        <v>-0.99906649999999997</v>
      </c>
      <c r="N3003">
        <v>-1.4034100000000001E-2</v>
      </c>
      <c r="O3003">
        <v>-4.0854649999999999E-2</v>
      </c>
      <c r="P3003">
        <v>-0.98128219999999999</v>
      </c>
      <c r="Q3003">
        <v>0.1673704</v>
      </c>
      <c r="R3003">
        <v>-9.5249089999999995E-2</v>
      </c>
      <c r="S3003">
        <v>-2.9910890000000001</v>
      </c>
      <c r="T3003">
        <v>-9.5565079999999997E-2</v>
      </c>
      <c r="U3003">
        <v>-0.87304689999999996</v>
      </c>
      <c r="V3003">
        <v>-5.6352190000000003E-2</v>
      </c>
      <c r="W3003">
        <v>0.18077509999999999</v>
      </c>
      <c r="X3003">
        <v>0.98190869999999997</v>
      </c>
      <c r="Y3003">
        <v>-0.24057490000000001</v>
      </c>
      <c r="Z3003">
        <v>-4.7734040000000002E-3</v>
      </c>
      <c r="AA3003">
        <v>0.9706188</v>
      </c>
      <c r="AB3003">
        <v>26</v>
      </c>
      <c r="AC3003">
        <v>-33.072899999999997</v>
      </c>
      <c r="AD3003">
        <v>-1.06245681</v>
      </c>
      <c r="AE3003">
        <v>-9.6955000000000293</v>
      </c>
      <c r="AF3003">
        <v>-8.3281742789567907</v>
      </c>
      <c r="AG3003">
        <v>-1.06245681</v>
      </c>
      <c r="AH3003">
        <v>33.4096772364217</v>
      </c>
      <c r="AI3003">
        <v>91.767394300252505</v>
      </c>
      <c r="AJ3003">
        <v>103.997103700846</v>
      </c>
      <c r="AK3003">
        <v>34.448422813470998</v>
      </c>
      <c r="AL3003">
        <v>79.585089046157606</v>
      </c>
      <c r="AM3003">
        <v>93.284628034738503</v>
      </c>
      <c r="AN3003">
        <v>0.99999995061674596</v>
      </c>
    </row>
    <row r="3004" spans="1:40" x14ac:dyDescent="0.25">
      <c r="A3004" t="str">
        <f>"20190303170315005"</f>
        <v>20190303170315005</v>
      </c>
      <c r="B3004" t="str">
        <f>"1551603794998959"</f>
        <v>1551603794998959</v>
      </c>
      <c r="C3004" t="s">
        <v>40</v>
      </c>
      <c r="D3004">
        <v>4.6225239999999896</v>
      </c>
      <c r="E3004">
        <v>0.43103469999999999</v>
      </c>
      <c r="F3004" t="s">
        <v>57</v>
      </c>
      <c r="G3004">
        <v>-499.95780000000002</v>
      </c>
      <c r="H3004">
        <v>4.1643850000000003E-2</v>
      </c>
      <c r="I3004">
        <v>275.1465</v>
      </c>
      <c r="J3004">
        <v>-467.07029999999997</v>
      </c>
      <c r="K3004">
        <v>1.1246879999999999</v>
      </c>
      <c r="L3004">
        <v>284.89780000000002</v>
      </c>
      <c r="M3004">
        <v>-0.99894229999999995</v>
      </c>
      <c r="N3004">
        <v>-1.403865E-2</v>
      </c>
      <c r="O3004">
        <v>-4.378812E-2</v>
      </c>
      <c r="P3004">
        <v>-0.9808114</v>
      </c>
      <c r="Q3004">
        <v>0.16771050000000001</v>
      </c>
      <c r="R3004">
        <v>-9.9410499999999999E-2</v>
      </c>
      <c r="S3004">
        <v>-2.9882810000000002</v>
      </c>
      <c r="T3004">
        <v>-9.7887160000000001E-2</v>
      </c>
      <c r="U3004">
        <v>-0.8823242</v>
      </c>
      <c r="V3004">
        <v>-5.7670399999999997E-2</v>
      </c>
      <c r="W3004">
        <v>0.18110010000000001</v>
      </c>
      <c r="X3004">
        <v>0.98177230000000004</v>
      </c>
      <c r="Y3004">
        <v>-0.24073810000000001</v>
      </c>
      <c r="Z3004">
        <v>-4.7868729999999996E-3</v>
      </c>
      <c r="AA3004">
        <v>0.9705783</v>
      </c>
      <c r="AB3004">
        <v>26</v>
      </c>
      <c r="AC3004">
        <v>-32.887500000000003</v>
      </c>
      <c r="AD3004">
        <v>-1.0830441500000001</v>
      </c>
      <c r="AE3004">
        <v>-9.7513000000000094</v>
      </c>
      <c r="AF3004">
        <v>-8.2934540827173802</v>
      </c>
      <c r="AG3004">
        <v>-1.0830441500000001</v>
      </c>
      <c r="AH3004">
        <v>33.249837011862297</v>
      </c>
      <c r="AI3004">
        <v>91.810208571093099</v>
      </c>
      <c r="AJ3004">
        <v>104.005416251743</v>
      </c>
      <c r="AK3004">
        <v>34.285653363592097</v>
      </c>
      <c r="AL3004">
        <v>79.566155773471095</v>
      </c>
      <c r="AM3004">
        <v>93.361754950028796</v>
      </c>
      <c r="AN3004">
        <v>0.99999998515173005</v>
      </c>
    </row>
    <row r="3005" spans="1:40" x14ac:dyDescent="0.25">
      <c r="A3005" t="str">
        <f>"20190303170315019"</f>
        <v>20190303170315019</v>
      </c>
      <c r="B3005" t="str">
        <f>"1551603795008719"</f>
        <v>1551603795008719</v>
      </c>
      <c r="C3005" t="s">
        <v>40</v>
      </c>
      <c r="D3005">
        <v>4.6149089999999999</v>
      </c>
      <c r="E3005">
        <v>0.43131380000000002</v>
      </c>
      <c r="F3005" t="s">
        <v>57</v>
      </c>
      <c r="G3005">
        <v>-499.95780000000002</v>
      </c>
      <c r="H3005">
        <v>1.092279E-2</v>
      </c>
      <c r="I3005">
        <v>275.05259999999998</v>
      </c>
      <c r="J3005">
        <v>-467.2208</v>
      </c>
      <c r="K3005">
        <v>1.1247590000000001</v>
      </c>
      <c r="L3005">
        <v>284.88850000000002</v>
      </c>
      <c r="M3005">
        <v>-0.99882499999999996</v>
      </c>
      <c r="N3005">
        <v>-1.404264E-2</v>
      </c>
      <c r="O3005">
        <v>-4.6384679999999998E-2</v>
      </c>
      <c r="P3005">
        <v>-0.98012549999999998</v>
      </c>
      <c r="Q3005">
        <v>0.169511299999999</v>
      </c>
      <c r="R3005">
        <v>-0.10305300000000001</v>
      </c>
      <c r="S3005">
        <v>-2.9854129999999999</v>
      </c>
      <c r="T3005">
        <v>-0.1011039</v>
      </c>
      <c r="U3005">
        <v>-0.89370729999999998</v>
      </c>
      <c r="V3005">
        <v>-5.8821449999999997E-2</v>
      </c>
      <c r="W3005">
        <v>0.18288270000000001</v>
      </c>
      <c r="X3005">
        <v>0.98137350000000001</v>
      </c>
      <c r="Y3005">
        <v>-0.24185880000000001</v>
      </c>
      <c r="Z3005">
        <v>-4.846688E-3</v>
      </c>
      <c r="AA3005">
        <v>0.97029940000000003</v>
      </c>
      <c r="AB3005">
        <v>26</v>
      </c>
      <c r="AC3005">
        <v>-32.737000000000002</v>
      </c>
      <c r="AD3005">
        <v>-1.1138362100000001</v>
      </c>
      <c r="AE3005">
        <v>-9.8359000000000307</v>
      </c>
      <c r="AF3005">
        <v>-8.2978557205108707</v>
      </c>
      <c r="AG3005">
        <v>-1.1138362100000001</v>
      </c>
      <c r="AH3005">
        <v>33.122867814427501</v>
      </c>
      <c r="AI3005">
        <v>91.868291675132795</v>
      </c>
      <c r="AJ3005">
        <v>104.064142711516</v>
      </c>
      <c r="AK3005">
        <v>34.164592971571601</v>
      </c>
      <c r="AL3005">
        <v>79.462285794733305</v>
      </c>
      <c r="AM3005">
        <v>93.430084072643197</v>
      </c>
      <c r="AN3005">
        <v>0.99999999572082099</v>
      </c>
    </row>
    <row r="3006" spans="1:40" x14ac:dyDescent="0.25">
      <c r="A3006" t="str">
        <f>"20190303170315042"</f>
        <v>20190303170315042</v>
      </c>
      <c r="B3006" t="str">
        <f>"1551603795028240"</f>
        <v>1551603795028240</v>
      </c>
      <c r="C3006" t="s">
        <v>40</v>
      </c>
      <c r="D3006">
        <v>4.6138110000000001</v>
      </c>
      <c r="E3006">
        <v>0.43428990000000001</v>
      </c>
      <c r="F3006" t="s">
        <v>57</v>
      </c>
      <c r="G3006">
        <v>-499.95780000000002</v>
      </c>
      <c r="H3006">
        <v>4.8690369999999997E-2</v>
      </c>
      <c r="I3006">
        <v>274.99029999999999</v>
      </c>
      <c r="J3006">
        <v>-467.48329999999999</v>
      </c>
      <c r="K3006">
        <v>1.1248720000000001</v>
      </c>
      <c r="L3006">
        <v>284.87099999999998</v>
      </c>
      <c r="M3006">
        <v>-0.99859589999999998</v>
      </c>
      <c r="N3006">
        <v>-1.4050669999999999E-2</v>
      </c>
      <c r="O3006">
        <v>-5.1076360000000001E-2</v>
      </c>
      <c r="P3006">
        <v>-0.97927750000000002</v>
      </c>
      <c r="Q3006">
        <v>0.1706858</v>
      </c>
      <c r="R3006">
        <v>-0.1090043</v>
      </c>
      <c r="S3006">
        <v>-2.982971</v>
      </c>
      <c r="T3006">
        <v>-9.8050590000000007E-2</v>
      </c>
      <c r="U3006">
        <v>-0.90191650000000001</v>
      </c>
      <c r="V3006">
        <v>-6.0244359999999997E-2</v>
      </c>
      <c r="W3006">
        <v>0.1840349</v>
      </c>
      <c r="X3006">
        <v>0.98107180000000005</v>
      </c>
      <c r="Y3006">
        <v>-0.2399773</v>
      </c>
      <c r="Z3006">
        <v>-4.6456930000000002E-3</v>
      </c>
      <c r="AA3006">
        <v>0.97076739999999995</v>
      </c>
      <c r="AB3006">
        <v>26</v>
      </c>
      <c r="AC3006">
        <v>-32.474499999999999</v>
      </c>
      <c r="AD3006">
        <v>-1.07618162999999</v>
      </c>
      <c r="AE3006">
        <v>-9.8806999999999903</v>
      </c>
      <c r="AF3006">
        <v>-8.2007146290771207</v>
      </c>
      <c r="AG3006">
        <v>-1.07618162999999</v>
      </c>
      <c r="AH3006">
        <v>32.903750793268301</v>
      </c>
      <c r="AI3006">
        <v>91.817736035814704</v>
      </c>
      <c r="AJ3006">
        <v>103.994898326316</v>
      </c>
      <c r="AK3006">
        <v>33.927373956641802</v>
      </c>
      <c r="AL3006">
        <v>79.395130385136994</v>
      </c>
      <c r="AM3006">
        <v>93.5139311550587</v>
      </c>
      <c r="AN3006">
        <v>1.0000000520425201</v>
      </c>
    </row>
    <row r="3007" spans="1:40" x14ac:dyDescent="0.25">
      <c r="A3007" t="str">
        <f>"20190303170315065"</f>
        <v>20190303170315065</v>
      </c>
      <c r="B3007" t="str">
        <f>"1551603795058496"</f>
        <v>1551603795058496</v>
      </c>
      <c r="C3007" t="s">
        <v>40</v>
      </c>
      <c r="D3007">
        <v>4.6372470000000003</v>
      </c>
      <c r="E3007">
        <v>0.43430629999999998</v>
      </c>
      <c r="F3007" t="s">
        <v>57</v>
      </c>
      <c r="G3007">
        <v>-496.416</v>
      </c>
      <c r="H3007" s="1">
        <v>1.744202E-6</v>
      </c>
      <c r="I3007">
        <v>276.17079999999999</v>
      </c>
      <c r="J3007">
        <v>-467.7405</v>
      </c>
      <c r="K3007">
        <v>1.1249769999999999</v>
      </c>
      <c r="L3007">
        <v>284.85250000000002</v>
      </c>
      <c r="M3007">
        <v>-0.99834069999999997</v>
      </c>
      <c r="N3007">
        <v>-1.405972E-2</v>
      </c>
      <c r="O3007">
        <v>-5.5843719999999999E-2</v>
      </c>
      <c r="P3007">
        <v>-0.97867320000000002</v>
      </c>
      <c r="Q3007">
        <v>0.17042560000000001</v>
      </c>
      <c r="R3007">
        <v>-0.114693</v>
      </c>
      <c r="S3007">
        <v>-2.9838260000000001</v>
      </c>
      <c r="T3007">
        <v>-0.11600779999999999</v>
      </c>
      <c r="U3007">
        <v>-0.89724729999999997</v>
      </c>
      <c r="V3007">
        <v>-6.1308069999999999E-2</v>
      </c>
      <c r="W3007">
        <v>0.1837589</v>
      </c>
      <c r="X3007">
        <v>0.98105759999999997</v>
      </c>
      <c r="Y3007">
        <v>-0.23382430000000001</v>
      </c>
      <c r="Z3007">
        <v>-4.7774260000000004E-3</v>
      </c>
      <c r="AA3007">
        <v>0.9722672</v>
      </c>
      <c r="AB3007">
        <v>26</v>
      </c>
      <c r="AC3007">
        <v>-28.6755</v>
      </c>
      <c r="AD3007">
        <v>-1.124975255798</v>
      </c>
      <c r="AE3007">
        <v>-8.6817000000000295</v>
      </c>
      <c r="AF3007">
        <v>-7.0566961603707199</v>
      </c>
      <c r="AG3007">
        <v>-1.124975255798</v>
      </c>
      <c r="AH3007">
        <v>29.074618803500599</v>
      </c>
      <c r="AI3007">
        <v>92.153366219090699</v>
      </c>
      <c r="AJ3007">
        <v>103.642449241343</v>
      </c>
      <c r="AK3007">
        <v>29.9398728887552</v>
      </c>
      <c r="AL3007">
        <v>79.411217980536307</v>
      </c>
      <c r="AM3007">
        <v>93.575867231041101</v>
      </c>
      <c r="AN3007">
        <v>1.0000000136470399</v>
      </c>
    </row>
    <row r="3008" spans="1:40" x14ac:dyDescent="0.25">
      <c r="A3008" t="str">
        <f>"20190303170315085"</f>
        <v>20190303170315085</v>
      </c>
      <c r="B3008" t="str">
        <f>"1551603795078015"</f>
        <v>1551603795078015</v>
      </c>
      <c r="C3008" t="s">
        <v>40</v>
      </c>
      <c r="D3008">
        <v>4.625648</v>
      </c>
      <c r="E3008">
        <v>0.4358667</v>
      </c>
      <c r="F3008" t="s">
        <v>57</v>
      </c>
      <c r="G3008">
        <v>-496.7568</v>
      </c>
      <c r="H3008" s="1">
        <v>1.6345099999999901E-6</v>
      </c>
      <c r="I3008">
        <v>275.94600000000003</v>
      </c>
      <c r="J3008">
        <v>-467.97559999999999</v>
      </c>
      <c r="K3008">
        <v>1.1250639999999901</v>
      </c>
      <c r="L3008">
        <v>284.83440000000002</v>
      </c>
      <c r="M3008">
        <v>-0.99807789999999996</v>
      </c>
      <c r="N3008">
        <v>-1.4068499999999999E-2</v>
      </c>
      <c r="O3008">
        <v>-6.035542E-2</v>
      </c>
      <c r="P3008">
        <v>-0.97832730000000001</v>
      </c>
      <c r="Q3008">
        <v>0.16911590000000001</v>
      </c>
      <c r="R3008">
        <v>-0.1194804</v>
      </c>
      <c r="S3008">
        <v>-2.9783940000000002</v>
      </c>
      <c r="T3008">
        <v>-0.11547399999999999</v>
      </c>
      <c r="U3008">
        <v>-0.91421509999999995</v>
      </c>
      <c r="V3008">
        <v>-6.1697229999999999E-2</v>
      </c>
      <c r="W3008">
        <v>0.18244299999999999</v>
      </c>
      <c r="X3008">
        <v>0.98127880000000001</v>
      </c>
      <c r="Y3008">
        <v>-0.23499030000000001</v>
      </c>
      <c r="Z3008">
        <v>-4.6941880000000002E-3</v>
      </c>
      <c r="AA3008">
        <v>0.97198640000000003</v>
      </c>
      <c r="AB3008">
        <v>26</v>
      </c>
      <c r="AC3008">
        <v>-28.781199999999998</v>
      </c>
      <c r="AD3008">
        <v>-1.1250623654899901</v>
      </c>
      <c r="AE3008">
        <v>-8.8884000000000398</v>
      </c>
      <c r="AF3008">
        <v>-7.1249802962612101</v>
      </c>
      <c r="AG3008">
        <v>-1.1250623654899901</v>
      </c>
      <c r="AH3008">
        <v>29.224468181700601</v>
      </c>
      <c r="AI3008">
        <v>92.141964033866202</v>
      </c>
      <c r="AJ3008">
        <v>103.70152279599201</v>
      </c>
      <c r="AK3008">
        <v>30.1015057771465</v>
      </c>
      <c r="AL3008">
        <v>79.487910328058405</v>
      </c>
      <c r="AM3008">
        <v>93.597696957738904</v>
      </c>
      <c r="AN3008">
        <v>1.0000000398840501</v>
      </c>
    </row>
    <row r="3009" spans="1:40" x14ac:dyDescent="0.25">
      <c r="A3009" t="str">
        <f>"20190303170315102"</f>
        <v>20190303170315102</v>
      </c>
      <c r="B3009" t="str">
        <f>"1551603795098511"</f>
        <v>1551603795098511</v>
      </c>
      <c r="C3009" t="s">
        <v>40</v>
      </c>
      <c r="D3009">
        <v>4.6427430000000003</v>
      </c>
      <c r="E3009">
        <v>0.4363128</v>
      </c>
      <c r="F3009" t="s">
        <v>57</v>
      </c>
      <c r="G3009">
        <v>-490.16320000000002</v>
      </c>
      <c r="H3009" s="1">
        <v>2.9408650000000002E-6</v>
      </c>
      <c r="I3009">
        <v>277.98719999999997</v>
      </c>
      <c r="J3009">
        <v>-468.1628</v>
      </c>
      <c r="K3009">
        <v>1.12514</v>
      </c>
      <c r="L3009">
        <v>284.81900000000002</v>
      </c>
      <c r="M3009">
        <v>-0.99784649999999997</v>
      </c>
      <c r="N3009">
        <v>-1.407572E-2</v>
      </c>
      <c r="O3009">
        <v>-6.4064999999999997E-2</v>
      </c>
      <c r="P3009">
        <v>-0.97811910000000002</v>
      </c>
      <c r="Q3009">
        <v>0.1676484</v>
      </c>
      <c r="R3009">
        <v>-0.12319720000000001</v>
      </c>
      <c r="S3009">
        <v>-2.9802249999999999</v>
      </c>
      <c r="T3009">
        <v>-0.1511179</v>
      </c>
      <c r="U3009">
        <v>-0.91970830000000003</v>
      </c>
      <c r="V3009">
        <v>-6.1787300000000003E-2</v>
      </c>
      <c r="W3009">
        <v>0.18097299999999999</v>
      </c>
      <c r="X3009">
        <v>0.98154529999999995</v>
      </c>
      <c r="Y3009">
        <v>-0.23273840000000001</v>
      </c>
      <c r="Z3009">
        <v>-5.1597539999999999E-3</v>
      </c>
      <c r="AA3009">
        <v>0.97252570000000005</v>
      </c>
      <c r="AB3009">
        <v>25</v>
      </c>
      <c r="AC3009">
        <v>-22.000399999999999</v>
      </c>
      <c r="AD3009">
        <v>-1.1251370591350001</v>
      </c>
      <c r="AE3009">
        <v>-6.8318000000000403</v>
      </c>
      <c r="AF3009">
        <v>-5.3952974560563698</v>
      </c>
      <c r="AG3009">
        <v>-1.1251370591350001</v>
      </c>
      <c r="AH3009">
        <v>22.339628928534101</v>
      </c>
      <c r="AI3009">
        <v>92.802820571973598</v>
      </c>
      <c r="AJ3009">
        <v>103.577639953946</v>
      </c>
      <c r="AK3009">
        <v>23.009436948907901</v>
      </c>
      <c r="AL3009">
        <v>79.573560960808507</v>
      </c>
      <c r="AM3009">
        <v>93.6019596470762</v>
      </c>
      <c r="AN3009">
        <v>1.0000000365611801</v>
      </c>
    </row>
    <row r="3010" spans="1:40" x14ac:dyDescent="0.25">
      <c r="A3010" t="str">
        <f>"20190303170315119"</f>
        <v>20190303170315119</v>
      </c>
      <c r="B3010" t="str">
        <f>"1551603795108271"</f>
        <v>1551603795108271</v>
      </c>
      <c r="C3010" t="s">
        <v>40</v>
      </c>
      <c r="D3010">
        <v>4.6305550000000002</v>
      </c>
      <c r="E3010">
        <v>0.43659530000000002</v>
      </c>
      <c r="F3010" t="s">
        <v>57</v>
      </c>
      <c r="G3010">
        <v>-489.7482</v>
      </c>
      <c r="H3010" s="1">
        <v>2.9593530000000002E-6</v>
      </c>
      <c r="I3010">
        <v>278.09309999999999</v>
      </c>
      <c r="J3010">
        <v>-468.35509999999999</v>
      </c>
      <c r="K3010">
        <v>1.125227</v>
      </c>
      <c r="L3010">
        <v>284.80250000000001</v>
      </c>
      <c r="M3010">
        <v>-0.99758670000000005</v>
      </c>
      <c r="N3010">
        <v>-1.408355E-2</v>
      </c>
      <c r="O3010">
        <v>-6.7988290000000007E-2</v>
      </c>
      <c r="P3010">
        <v>-0.97786139999999999</v>
      </c>
      <c r="Q3010">
        <v>0.1663608</v>
      </c>
      <c r="R3010">
        <v>-0.1269303</v>
      </c>
      <c r="S3010">
        <v>-2.9768979999999998</v>
      </c>
      <c r="T3010">
        <v>-0.1551708</v>
      </c>
      <c r="U3010">
        <v>-0.92758180000000001</v>
      </c>
      <c r="V3010">
        <v>-6.168883E-2</v>
      </c>
      <c r="W3010">
        <v>0.17968410000000001</v>
      </c>
      <c r="X3010">
        <v>0.9817882</v>
      </c>
      <c r="Y3010">
        <v>-0.23155690000000001</v>
      </c>
      <c r="Z3010">
        <v>-5.0505080000000004E-3</v>
      </c>
      <c r="AA3010">
        <v>0.97280820000000001</v>
      </c>
      <c r="AB3010">
        <v>25</v>
      </c>
      <c r="AC3010">
        <v>-21.3931</v>
      </c>
      <c r="AD3010">
        <v>-1.125224040647</v>
      </c>
      <c r="AE3010">
        <v>-6.7094000000000102</v>
      </c>
      <c r="AF3010">
        <v>-5.2260843743933698</v>
      </c>
      <c r="AG3010">
        <v>-1.125224040647</v>
      </c>
      <c r="AH3010">
        <v>21.745024602707002</v>
      </c>
      <c r="AI3010">
        <v>92.880327940412002</v>
      </c>
      <c r="AJ3010">
        <v>103.513865391701</v>
      </c>
      <c r="AK3010">
        <v>22.392502807910098</v>
      </c>
      <c r="AL3010">
        <v>79.648639705870295</v>
      </c>
      <c r="AM3010">
        <v>93.595346910350401</v>
      </c>
      <c r="AN3010">
        <v>0.99999997859940903</v>
      </c>
    </row>
    <row r="3011" spans="1:40" x14ac:dyDescent="0.25">
      <c r="A3011" t="str">
        <f>"20190303170315131"</f>
        <v>20190303170315131</v>
      </c>
      <c r="B3011" t="str">
        <f>"1551603795118032"</f>
        <v>1551603795118032</v>
      </c>
      <c r="C3011" t="s">
        <v>40</v>
      </c>
      <c r="D3011">
        <v>4.6506150000000002</v>
      </c>
      <c r="E3011">
        <v>0.4368783</v>
      </c>
      <c r="F3011" t="s">
        <v>57</v>
      </c>
      <c r="G3011">
        <v>-489.31110000000001</v>
      </c>
      <c r="H3011" s="1">
        <v>2.9208259999999999E-6</v>
      </c>
      <c r="I3011">
        <v>278.20350000000002</v>
      </c>
      <c r="J3011">
        <v>-468.49239999999998</v>
      </c>
      <c r="K3011">
        <v>1.1252879999999901</v>
      </c>
      <c r="L3011">
        <v>284.79000000000002</v>
      </c>
      <c r="M3011">
        <v>-0.9973862</v>
      </c>
      <c r="N3011">
        <v>-1.408972E-2</v>
      </c>
      <c r="O3011">
        <v>-7.0867330000000006E-2</v>
      </c>
      <c r="P3011">
        <v>-0.97754359999999996</v>
      </c>
      <c r="Q3011">
        <v>0.1657537</v>
      </c>
      <c r="R3011">
        <v>-0.13013250000000001</v>
      </c>
      <c r="S3011">
        <v>-2.9734799999999999</v>
      </c>
      <c r="T3011">
        <v>-0.15965960000000001</v>
      </c>
      <c r="U3011">
        <v>-0.93634030000000001</v>
      </c>
      <c r="V3011">
        <v>-6.2089129999999999E-2</v>
      </c>
      <c r="W3011">
        <v>0.17907049999999999</v>
      </c>
      <c r="X3011">
        <v>0.9818751</v>
      </c>
      <c r="Y3011">
        <v>-0.23166200000000001</v>
      </c>
      <c r="Z3011">
        <v>-5.0180009999999898E-3</v>
      </c>
      <c r="AA3011">
        <v>0.97278339999999996</v>
      </c>
      <c r="AB3011">
        <v>25</v>
      </c>
      <c r="AC3011">
        <v>-20.8187</v>
      </c>
      <c r="AD3011">
        <v>-1.1252850791739999</v>
      </c>
      <c r="AE3011">
        <v>-6.5865</v>
      </c>
      <c r="AF3011">
        <v>-5.0809306713507496</v>
      </c>
      <c r="AG3011">
        <v>-1.1252850791739999</v>
      </c>
      <c r="AH3011">
        <v>21.176919405894701</v>
      </c>
      <c r="AI3011">
        <v>92.957894966992995</v>
      </c>
      <c r="AJ3011">
        <v>103.491819171025</v>
      </c>
      <c r="AK3011">
        <v>21.806972245597201</v>
      </c>
      <c r="AL3011">
        <v>79.684376334876603</v>
      </c>
      <c r="AM3011">
        <v>93.618295982766597</v>
      </c>
      <c r="AN3011">
        <v>1.0000000080172</v>
      </c>
    </row>
    <row r="3012" spans="1:40" x14ac:dyDescent="0.25">
      <c r="A3012" t="str">
        <f>"20190303170315144"</f>
        <v>20190303170315144</v>
      </c>
      <c r="B3012" t="str">
        <f>"1551603795138527"</f>
        <v>1551603795138527</v>
      </c>
      <c r="C3012" t="s">
        <v>40</v>
      </c>
      <c r="D3012">
        <v>4.6400459999999999</v>
      </c>
      <c r="E3012">
        <v>0.43734699999999999</v>
      </c>
      <c r="F3012" t="s">
        <v>57</v>
      </c>
      <c r="G3012">
        <v>-489.08249999999998</v>
      </c>
      <c r="H3012" s="1">
        <v>2.8960520000000001E-6</v>
      </c>
      <c r="I3012">
        <v>278.24810000000002</v>
      </c>
      <c r="J3012">
        <v>-468.63170000000002</v>
      </c>
      <c r="K3012">
        <v>1.125356</v>
      </c>
      <c r="L3012">
        <v>284.77690000000001</v>
      </c>
      <c r="M3012">
        <v>-0.99716879999999997</v>
      </c>
      <c r="N3012">
        <v>-1.409681E-2</v>
      </c>
      <c r="O3012">
        <v>-7.3864139999999995E-2</v>
      </c>
      <c r="P3012">
        <v>-0.97724909999999998</v>
      </c>
      <c r="Q3012">
        <v>0.1648086</v>
      </c>
      <c r="R3012">
        <v>-0.1335015</v>
      </c>
      <c r="S3012">
        <v>-2.970764</v>
      </c>
      <c r="T3012">
        <v>-0.1623579</v>
      </c>
      <c r="U3012">
        <v>-0.9438782</v>
      </c>
      <c r="V3012">
        <v>-6.2535519999999997E-2</v>
      </c>
      <c r="W3012">
        <v>0.17811949999999999</v>
      </c>
      <c r="X3012">
        <v>0.98201970000000005</v>
      </c>
      <c r="Y3012">
        <v>-0.23123060000000001</v>
      </c>
      <c r="Z3012">
        <v>-4.9292850000000003E-3</v>
      </c>
      <c r="AA3012">
        <v>0.97288649999999999</v>
      </c>
      <c r="AB3012">
        <v>25</v>
      </c>
      <c r="AC3012">
        <v>-20.450799999999902</v>
      </c>
      <c r="AD3012">
        <v>-1.125353103948</v>
      </c>
      <c r="AE3012">
        <v>-6.5287999999999897</v>
      </c>
      <c r="AF3012">
        <v>-4.9865284269013301</v>
      </c>
      <c r="AG3012">
        <v>-1.125353103948</v>
      </c>
      <c r="AH3012">
        <v>20.8200035338003</v>
      </c>
      <c r="AI3012">
        <v>93.008977842323304</v>
      </c>
      <c r="AJ3012">
        <v>103.469000643423</v>
      </c>
      <c r="AK3012">
        <v>21.4383868914692</v>
      </c>
      <c r="AL3012">
        <v>79.739754562530393</v>
      </c>
      <c r="AM3012">
        <v>93.643704721054505</v>
      </c>
      <c r="AN3012">
        <v>0.99999996936500402</v>
      </c>
    </row>
    <row r="3013" spans="1:40" x14ac:dyDescent="0.25">
      <c r="A3013" t="str">
        <f>"20190303170315157"</f>
        <v>20190303170315157</v>
      </c>
      <c r="B3013" t="str">
        <f>"1551603795148287"</f>
        <v>1551603795148287</v>
      </c>
      <c r="C3013" t="s">
        <v>40</v>
      </c>
      <c r="D3013">
        <v>4.6415490000000004</v>
      </c>
      <c r="E3013">
        <v>0.43734699999999999</v>
      </c>
      <c r="F3013" t="s">
        <v>57</v>
      </c>
      <c r="G3013">
        <v>-488.7072</v>
      </c>
      <c r="H3013" s="1">
        <v>2.8657680000000001E-6</v>
      </c>
      <c r="I3013">
        <v>278.35070000000002</v>
      </c>
      <c r="J3013">
        <v>-468.77960000000002</v>
      </c>
      <c r="K3013">
        <v>1.125429</v>
      </c>
      <c r="L3013">
        <v>284.76260000000002</v>
      </c>
      <c r="M3013">
        <v>-0.99692389999999997</v>
      </c>
      <c r="N3013">
        <v>-1.4104530000000001E-2</v>
      </c>
      <c r="O3013">
        <v>-7.7097319999999997E-2</v>
      </c>
      <c r="P3013">
        <v>-0.97692590000000001</v>
      </c>
      <c r="Q3013">
        <v>0.1640452</v>
      </c>
      <c r="R3013">
        <v>-0.13676720000000001</v>
      </c>
      <c r="S3013">
        <v>-2.96814</v>
      </c>
      <c r="T3013">
        <v>-0.1663818</v>
      </c>
      <c r="U3013">
        <v>-0.95010380000000005</v>
      </c>
      <c r="V3013">
        <v>-6.2651109999999996E-2</v>
      </c>
      <c r="W3013">
        <v>0.17735279999999901</v>
      </c>
      <c r="X3013">
        <v>0.9821512</v>
      </c>
      <c r="Y3013">
        <v>-0.23016629999999999</v>
      </c>
      <c r="Z3013">
        <v>-4.82052E-3</v>
      </c>
      <c r="AA3013">
        <v>0.97313939999999999</v>
      </c>
      <c r="AB3013">
        <v>25</v>
      </c>
      <c r="AC3013">
        <v>-19.927599999999899</v>
      </c>
      <c r="AD3013">
        <v>-1.125426134232</v>
      </c>
      <c r="AE3013">
        <v>-6.4119000000000002</v>
      </c>
      <c r="AF3013">
        <v>-4.8422987908896804</v>
      </c>
      <c r="AG3013">
        <v>-1.125426134232</v>
      </c>
      <c r="AH3013">
        <v>20.303980348789501</v>
      </c>
      <c r="AI3013">
        <v>93.086212356400793</v>
      </c>
      <c r="AJ3013">
        <v>103.41390733962</v>
      </c>
      <c r="AK3013">
        <v>20.9037331490788</v>
      </c>
      <c r="AL3013">
        <v>79.784395106540401</v>
      </c>
      <c r="AM3013">
        <v>93.649934079615804</v>
      </c>
      <c r="AN3013">
        <v>1.00000007845675</v>
      </c>
    </row>
    <row r="3014" spans="1:40" x14ac:dyDescent="0.25">
      <c r="A3014" t="str">
        <f>"20190303170315170"</f>
        <v>20190303170315170</v>
      </c>
      <c r="B3014" t="str">
        <f>"1551603795158048"</f>
        <v>1551603795158048</v>
      </c>
      <c r="C3014" t="s">
        <v>40</v>
      </c>
      <c r="D3014">
        <v>4.6262410000000003</v>
      </c>
      <c r="E3014">
        <v>0.43713950000000001</v>
      </c>
      <c r="F3014" t="s">
        <v>57</v>
      </c>
      <c r="G3014">
        <v>-488.50069999999999</v>
      </c>
      <c r="H3014" s="1">
        <v>2.8398849999999999E-6</v>
      </c>
      <c r="I3014">
        <v>278.3811</v>
      </c>
      <c r="J3014">
        <v>-468.9271</v>
      </c>
      <c r="K3014">
        <v>1.12551</v>
      </c>
      <c r="L3014">
        <v>284.74770000000001</v>
      </c>
      <c r="M3014">
        <v>-0.99666149999999998</v>
      </c>
      <c r="N3014">
        <v>-1.411286E-2</v>
      </c>
      <c r="O3014">
        <v>-8.0416860000000007E-2</v>
      </c>
      <c r="P3014">
        <v>-0.97660519999999995</v>
      </c>
      <c r="Q3014">
        <v>0.16263839999999999</v>
      </c>
      <c r="R3014">
        <v>-0.14068029999999901</v>
      </c>
      <c r="S3014">
        <v>-2.9649350000000001</v>
      </c>
      <c r="T3014">
        <v>-0.1692002</v>
      </c>
      <c r="U3014">
        <v>-0.95941160000000003</v>
      </c>
      <c r="V3014">
        <v>-6.3321199999999994E-2</v>
      </c>
      <c r="W3014">
        <v>0.1759387</v>
      </c>
      <c r="X3014">
        <v>0.98236239999999997</v>
      </c>
      <c r="Y3014">
        <v>-0.229992</v>
      </c>
      <c r="Z3014">
        <v>-4.7161049999999999E-3</v>
      </c>
      <c r="AA3014">
        <v>0.97318110000000002</v>
      </c>
      <c r="AB3014">
        <v>25</v>
      </c>
      <c r="AC3014">
        <v>-19.573599999999999</v>
      </c>
      <c r="AD3014">
        <v>-1.125507160115</v>
      </c>
      <c r="AE3014">
        <v>-6.3666</v>
      </c>
      <c r="AF3014">
        <v>-4.7575470860986897</v>
      </c>
      <c r="AG3014">
        <v>-1.125507160115</v>
      </c>
      <c r="AH3014">
        <v>19.962538503195901</v>
      </c>
      <c r="AI3014">
        <v>93.139237776985098</v>
      </c>
      <c r="AJ3014">
        <v>103.40488761878299</v>
      </c>
      <c r="AK3014">
        <v>20.552468565491001</v>
      </c>
      <c r="AL3014">
        <v>79.866710147097194</v>
      </c>
      <c r="AM3014">
        <v>93.688074134660098</v>
      </c>
      <c r="AN3014">
        <v>0.99999994273044301</v>
      </c>
    </row>
    <row r="3015" spans="1:40" x14ac:dyDescent="0.25">
      <c r="A3015" t="str">
        <f>"20190303170315184"</f>
        <v>20190303170315184</v>
      </c>
      <c r="B3015" t="str">
        <f>"1551603795178544"</f>
        <v>1551603795178544</v>
      </c>
      <c r="C3015" t="s">
        <v>40</v>
      </c>
      <c r="D3015">
        <v>4.643281</v>
      </c>
      <c r="E3015">
        <v>0.43720360000000003</v>
      </c>
      <c r="F3015" t="s">
        <v>57</v>
      </c>
      <c r="G3015">
        <v>-491.77789999999999</v>
      </c>
      <c r="H3015" s="1">
        <v>2.536722E-6</v>
      </c>
      <c r="I3015">
        <v>277.2491</v>
      </c>
      <c r="J3015">
        <v>-469.07920000000001</v>
      </c>
      <c r="K3015">
        <v>1.125594</v>
      </c>
      <c r="L3015">
        <v>284.73160000000001</v>
      </c>
      <c r="M3015">
        <v>-0.99637220000000004</v>
      </c>
      <c r="N3015">
        <v>-1.412183E-2</v>
      </c>
      <c r="O3015">
        <v>-8.3923899999999996E-2</v>
      </c>
      <c r="P3015">
        <v>-0.97616210000000003</v>
      </c>
      <c r="Q3015">
        <v>0.1621621</v>
      </c>
      <c r="R3015">
        <v>-0.14426069999999999</v>
      </c>
      <c r="S3015">
        <v>-2.9563899999999999</v>
      </c>
      <c r="T3015">
        <v>-0.14561579999999999</v>
      </c>
      <c r="U3015">
        <v>-0.97015379999999996</v>
      </c>
      <c r="V3015">
        <v>-6.3492569999999998E-2</v>
      </c>
      <c r="W3015">
        <v>0.175457</v>
      </c>
      <c r="X3015">
        <v>0.98243760000000002</v>
      </c>
      <c r="Y3015">
        <v>-0.23066420000000001</v>
      </c>
      <c r="Z3015">
        <v>-4.3547589999999997E-3</v>
      </c>
      <c r="AA3015">
        <v>0.97302370000000005</v>
      </c>
      <c r="AB3015">
        <v>25</v>
      </c>
      <c r="AC3015">
        <v>-22.698699999999899</v>
      </c>
      <c r="AD3015">
        <v>-1.125591463278</v>
      </c>
      <c r="AE3015">
        <v>-7.4825000000000097</v>
      </c>
      <c r="AF3015">
        <v>-5.53865983097685</v>
      </c>
      <c r="AG3015">
        <v>-1.125591463278</v>
      </c>
      <c r="AH3015">
        <v>23.195183300611699</v>
      </c>
      <c r="AI3015">
        <v>92.702353584613206</v>
      </c>
      <c r="AJ3015">
        <v>103.429887481788</v>
      </c>
      <c r="AK3015">
        <v>23.873840018196798</v>
      </c>
      <c r="AL3015">
        <v>79.894746753892605</v>
      </c>
      <c r="AM3015">
        <v>93.697745456121993</v>
      </c>
      <c r="AN3015">
        <v>1.00000005159398</v>
      </c>
    </row>
    <row r="3016" spans="1:40" x14ac:dyDescent="0.25">
      <c r="A3016" t="str">
        <f>"20190303170315198"</f>
        <v>20190303170315198</v>
      </c>
      <c r="B3016" t="str">
        <f>"1551603795188303"</f>
        <v>1551603795188303</v>
      </c>
      <c r="C3016" t="s">
        <v>40</v>
      </c>
      <c r="D3016">
        <v>4.6781980000000001</v>
      </c>
      <c r="E3016">
        <v>0.4211684</v>
      </c>
      <c r="F3016" t="s">
        <v>57</v>
      </c>
      <c r="G3016">
        <v>-491.89600000000002</v>
      </c>
      <c r="H3016" s="1">
        <v>2.4923689999999998E-6</v>
      </c>
      <c r="I3016">
        <v>277.15320000000003</v>
      </c>
      <c r="J3016">
        <v>-469.2287</v>
      </c>
      <c r="K3016">
        <v>1.1256839999999999</v>
      </c>
      <c r="L3016">
        <v>284.71530000000001</v>
      </c>
      <c r="M3016">
        <v>-0.99607029999999996</v>
      </c>
      <c r="N3016">
        <v>-1.4130729999999999E-2</v>
      </c>
      <c r="O3016">
        <v>-8.743165E-2</v>
      </c>
      <c r="P3016">
        <v>-0.97567760000000003</v>
      </c>
      <c r="Q3016">
        <v>0.16135579999999999</v>
      </c>
      <c r="R3016">
        <v>-0.14838280000000001</v>
      </c>
      <c r="S3016">
        <v>-2.952515</v>
      </c>
      <c r="T3016">
        <v>-0.1456529</v>
      </c>
      <c r="U3016">
        <v>-0.98065190000000002</v>
      </c>
      <c r="V3016">
        <v>-6.4201889999999998E-2</v>
      </c>
      <c r="W3016">
        <v>0.17464109999999999</v>
      </c>
      <c r="X3016">
        <v>0.98253690000000005</v>
      </c>
      <c r="Y3016">
        <v>-0.23073740000000001</v>
      </c>
      <c r="Z3016">
        <v>-4.2426979999999996E-3</v>
      </c>
      <c r="AA3016">
        <v>0.97300679999999995</v>
      </c>
      <c r="AB3016">
        <v>25</v>
      </c>
      <c r="AC3016">
        <v>-22.667299999999901</v>
      </c>
      <c r="AD3016">
        <v>-1.1256815076309901</v>
      </c>
      <c r="AE3016">
        <v>-7.5620999999999796</v>
      </c>
      <c r="AF3016">
        <v>-5.5388061285983996</v>
      </c>
      <c r="AG3016">
        <v>-1.1256815076309901</v>
      </c>
      <c r="AH3016">
        <v>23.190247219276799</v>
      </c>
      <c r="AI3016">
        <v>92.703108997473905</v>
      </c>
      <c r="AJ3016">
        <v>103.432984414226</v>
      </c>
      <c r="AK3016">
        <v>23.8690824766684</v>
      </c>
      <c r="AL3016">
        <v>79.942227765741606</v>
      </c>
      <c r="AM3016">
        <v>93.738562224705007</v>
      </c>
      <c r="AN3016">
        <v>1.0000000781751901</v>
      </c>
    </row>
    <row r="3017" spans="1:40" x14ac:dyDescent="0.25">
      <c r="A3017" t="str">
        <f>"20190303170315220"</f>
        <v>20190303170315220</v>
      </c>
      <c r="B3017" t="str">
        <f>"1551603795208799"</f>
        <v>1551603795208799</v>
      </c>
      <c r="C3017" t="s">
        <v>40</v>
      </c>
      <c r="D3017">
        <v>4.5987099999999996</v>
      </c>
      <c r="E3017">
        <v>0.40566400000000002</v>
      </c>
      <c r="F3017" t="s">
        <v>57</v>
      </c>
      <c r="G3017">
        <v>-499.85509999999999</v>
      </c>
      <c r="H3017" s="1">
        <v>6.0867969999999899E-7</v>
      </c>
      <c r="I3017">
        <v>273.02080000000001</v>
      </c>
      <c r="J3017">
        <v>-469.47590000000002</v>
      </c>
      <c r="K3017">
        <v>1.1258300000000001</v>
      </c>
      <c r="L3017">
        <v>284.68689999999998</v>
      </c>
      <c r="M3017">
        <v>-0.99552459999999998</v>
      </c>
      <c r="N3017">
        <v>-1.414633E-2</v>
      </c>
      <c r="O3017">
        <v>-9.3437980000000004E-2</v>
      </c>
      <c r="P3017">
        <v>-0.97443230000000003</v>
      </c>
      <c r="Q3017">
        <v>0.16189700000000001</v>
      </c>
      <c r="R3017">
        <v>-0.15579209999999999</v>
      </c>
      <c r="S3017">
        <v>-2.9228209999999999</v>
      </c>
      <c r="T3017">
        <v>-0.107429</v>
      </c>
      <c r="U3017">
        <v>-1.116058</v>
      </c>
      <c r="V3017">
        <v>-6.5819059999999999E-2</v>
      </c>
      <c r="W3017">
        <v>0.17515749999999999</v>
      </c>
      <c r="X3017">
        <v>0.98233789999999999</v>
      </c>
      <c r="Y3017">
        <v>-0.26765709999999998</v>
      </c>
      <c r="Z3017">
        <v>-4.6939310000000001E-3</v>
      </c>
      <c r="AA3017">
        <v>0.96350279999999999</v>
      </c>
      <c r="AB3017">
        <v>25</v>
      </c>
      <c r="AC3017">
        <v>-30.379199999999901</v>
      </c>
      <c r="AD3017">
        <v>-1.1258293913202999</v>
      </c>
      <c r="AE3017">
        <v>-11.666099999999901</v>
      </c>
      <c r="AF3017">
        <v>-8.7657050951479807</v>
      </c>
      <c r="AG3017">
        <v>-1.1258293913202999</v>
      </c>
      <c r="AH3017">
        <v>31.298972127937201</v>
      </c>
      <c r="AI3017">
        <v>91.983784203870798</v>
      </c>
      <c r="AJ3017">
        <v>105.645629370432</v>
      </c>
      <c r="AK3017">
        <v>32.522772543232698</v>
      </c>
      <c r="AL3017">
        <v>79.912176484078202</v>
      </c>
      <c r="AM3017">
        <v>93.833229057665093</v>
      </c>
      <c r="AN3017">
        <v>1.0000000241209701</v>
      </c>
    </row>
    <row r="3018" spans="1:40" x14ac:dyDescent="0.25">
      <c r="A3018" t="str">
        <f>"20190303170315242"</f>
        <v>20190303170315242</v>
      </c>
      <c r="B3018" t="str">
        <f>"1551603795228320"</f>
        <v>1551603795228320</v>
      </c>
      <c r="C3018" t="s">
        <v>40</v>
      </c>
      <c r="D3018">
        <v>4.5753909999999998</v>
      </c>
      <c r="E3018">
        <v>0.3978796</v>
      </c>
      <c r="F3018" t="s">
        <v>66</v>
      </c>
      <c r="G3018">
        <v>-512.82529999999997</v>
      </c>
      <c r="H3018">
        <v>0.394679</v>
      </c>
      <c r="I3018">
        <v>265.82049999999998</v>
      </c>
      <c r="J3018">
        <v>-469.72469999999998</v>
      </c>
      <c r="K3018">
        <v>1.125977</v>
      </c>
      <c r="L3018">
        <v>284.65640000000002</v>
      </c>
      <c r="M3018">
        <v>-0.99491649999999998</v>
      </c>
      <c r="N3018">
        <v>-1.4162559999999999E-2</v>
      </c>
      <c r="O3018">
        <v>-9.9703780000000006E-2</v>
      </c>
      <c r="P3018">
        <v>-0.97280409999999995</v>
      </c>
      <c r="Q3018">
        <v>0.16399129999999901</v>
      </c>
      <c r="R3018">
        <v>-0.1635839</v>
      </c>
      <c r="S3018">
        <v>-2.8859560000000002</v>
      </c>
      <c r="T3018">
        <v>-4.8670529999999997E-2</v>
      </c>
      <c r="U3018">
        <v>-1.2560119999999999</v>
      </c>
      <c r="V3018">
        <v>-6.7613370000000006E-2</v>
      </c>
      <c r="W3018">
        <v>0.17722089999999999</v>
      </c>
      <c r="X3018">
        <v>0.98184579999999999</v>
      </c>
      <c r="Y3018">
        <v>-0.30556860000000002</v>
      </c>
      <c r="Z3018">
        <v>-4.4849080000000001E-3</v>
      </c>
      <c r="AA3018">
        <v>0.95215950000000005</v>
      </c>
      <c r="AB3018">
        <v>25</v>
      </c>
      <c r="AC3018">
        <v>-43.100599999999901</v>
      </c>
      <c r="AD3018">
        <v>-0.731298</v>
      </c>
      <c r="AE3018">
        <v>-18.835899999999999</v>
      </c>
      <c r="AF3018">
        <v>-14.4408110842685</v>
      </c>
      <c r="AG3018">
        <v>-0.731298</v>
      </c>
      <c r="AH3018">
        <v>44.7531743964499</v>
      </c>
      <c r="AI3018">
        <v>90.890943093614197</v>
      </c>
      <c r="AJ3018">
        <v>107.883686446841</v>
      </c>
      <c r="AK3018">
        <v>47.0310369872427</v>
      </c>
      <c r="AL3018">
        <v>79.792073199716597</v>
      </c>
      <c r="AM3018">
        <v>93.939370544467096</v>
      </c>
      <c r="AN3018">
        <v>0.99999999508860304</v>
      </c>
    </row>
    <row r="3019" spans="1:40" x14ac:dyDescent="0.25">
      <c r="A3019" t="str">
        <f>"20190303170315265"</f>
        <v>20190303170315265</v>
      </c>
      <c r="B3019" t="str">
        <f>"1551603795258575"</f>
        <v>1551603795258575</v>
      </c>
      <c r="C3019" t="s">
        <v>40</v>
      </c>
      <c r="D3019">
        <v>4.578112</v>
      </c>
      <c r="E3019">
        <v>0.39309319999999998</v>
      </c>
      <c r="F3019" t="s">
        <v>66</v>
      </c>
      <c r="G3019">
        <v>-512.82539999999995</v>
      </c>
      <c r="H3019">
        <v>0.93644510000000003</v>
      </c>
      <c r="I3019">
        <v>264.49700000000001</v>
      </c>
      <c r="J3019">
        <v>-469.976</v>
      </c>
      <c r="K3019">
        <v>1.126126</v>
      </c>
      <c r="L3019">
        <v>284.62389999999999</v>
      </c>
      <c r="M3019">
        <v>-0.99423919999999999</v>
      </c>
      <c r="N3019">
        <v>-1.417936E-2</v>
      </c>
      <c r="O3019">
        <v>-0.1062423</v>
      </c>
      <c r="P3019">
        <v>-0.97100560000000002</v>
      </c>
      <c r="Q3019">
        <v>0.1665652</v>
      </c>
      <c r="R3019">
        <v>-0.17147760000000001</v>
      </c>
      <c r="S3019">
        <v>-2.8609309999999999</v>
      </c>
      <c r="T3019">
        <v>-1.257551E-2</v>
      </c>
      <c r="U3019">
        <v>-1.3381350000000001</v>
      </c>
      <c r="V3019">
        <v>-6.9266209999999995E-2</v>
      </c>
      <c r="W3019">
        <v>0.1797648</v>
      </c>
      <c r="X3019">
        <v>0.98126800000000003</v>
      </c>
      <c r="Y3019">
        <v>-0.32502049999999999</v>
      </c>
      <c r="Z3019">
        <v>-4.100228E-3</v>
      </c>
      <c r="AA3019">
        <v>0.94569809999999999</v>
      </c>
      <c r="AB3019">
        <v>25</v>
      </c>
      <c r="AC3019">
        <v>-42.849399999999903</v>
      </c>
      <c r="AD3019">
        <v>-0.18968090000000001</v>
      </c>
      <c r="AE3019">
        <v>-20.1268999999999</v>
      </c>
      <c r="AF3019">
        <v>-15.459839673481801</v>
      </c>
      <c r="AG3019">
        <v>-0.18968090000000001</v>
      </c>
      <c r="AH3019">
        <v>44.744659852157902</v>
      </c>
      <c r="AI3019">
        <v>90.2295694755678</v>
      </c>
      <c r="AJ3019">
        <v>109.060671427736</v>
      </c>
      <c r="AK3019">
        <v>47.340545062967998</v>
      </c>
      <c r="AL3019">
        <v>79.643940038867697</v>
      </c>
      <c r="AM3019">
        <v>94.037724189044397</v>
      </c>
      <c r="AN3019">
        <v>1.0000000394954001</v>
      </c>
    </row>
    <row r="3020" spans="1:40" x14ac:dyDescent="0.25">
      <c r="A3020" t="str">
        <f>"20190303170315287"</f>
        <v>20190303170315287</v>
      </c>
      <c r="B3020" t="str">
        <f>"1551603795278095"</f>
        <v>1551603795278095</v>
      </c>
      <c r="C3020" t="s">
        <v>40</v>
      </c>
      <c r="D3020">
        <v>4.5828290000000003</v>
      </c>
      <c r="E3020">
        <v>0.39180759999999998</v>
      </c>
      <c r="F3020" t="s">
        <v>66</v>
      </c>
      <c r="G3020">
        <v>-512.82560000000001</v>
      </c>
      <c r="H3020">
        <v>1.305517</v>
      </c>
      <c r="I3020">
        <v>263.56150000000002</v>
      </c>
      <c r="J3020">
        <v>-470.21949999999998</v>
      </c>
      <c r="K3020">
        <v>1.1262700000000001</v>
      </c>
      <c r="L3020">
        <v>284.59050000000002</v>
      </c>
      <c r="M3020">
        <v>-0.99351670000000003</v>
      </c>
      <c r="N3020">
        <v>-1.4195960000000001E-2</v>
      </c>
      <c r="O3020">
        <v>-0.1127972</v>
      </c>
      <c r="P3020">
        <v>-0.96935669999999996</v>
      </c>
      <c r="Q3020">
        <v>0.16871910000000001</v>
      </c>
      <c r="R3020">
        <v>-0.1785552</v>
      </c>
      <c r="S3020">
        <v>-2.840973</v>
      </c>
      <c r="T3020">
        <v>1.1898880000000001E-2</v>
      </c>
      <c r="U3020">
        <v>-1.3964540000000001</v>
      </c>
      <c r="V3020">
        <v>-7.0075310000000002E-2</v>
      </c>
      <c r="W3020">
        <v>0.18189859999999999</v>
      </c>
      <c r="X3020">
        <v>0.98081719999999895</v>
      </c>
      <c r="Y3020">
        <v>-0.33709519999999998</v>
      </c>
      <c r="Z3020">
        <v>-3.8260339999999999E-3</v>
      </c>
      <c r="AA3020">
        <v>0.94146280000000004</v>
      </c>
      <c r="AB3020">
        <v>25</v>
      </c>
      <c r="AC3020">
        <v>-42.606099999999998</v>
      </c>
      <c r="AD3020">
        <v>0.17924699999999899</v>
      </c>
      <c r="AE3020">
        <v>-21.029</v>
      </c>
      <c r="AF3020">
        <v>-16.088204781520499</v>
      </c>
      <c r="AG3020">
        <v>0.17924699999999899</v>
      </c>
      <c r="AH3020">
        <v>44.705749155065597</v>
      </c>
      <c r="AI3020">
        <v>89.783845190022504</v>
      </c>
      <c r="AJ3020">
        <v>109.79222187032001</v>
      </c>
      <c r="AK3020">
        <v>47.512803222866097</v>
      </c>
      <c r="AL3020">
        <v>79.5196327016059</v>
      </c>
      <c r="AM3020">
        <v>94.086601245815004</v>
      </c>
      <c r="AN3020">
        <v>1.0000000147846899</v>
      </c>
    </row>
    <row r="3021" spans="1:40" x14ac:dyDescent="0.25">
      <c r="A3021" t="str">
        <f>"20190303170315309"</f>
        <v>20190303170315309</v>
      </c>
      <c r="B3021" t="str">
        <f>"1551603795298593"</f>
        <v>1551603795298593</v>
      </c>
      <c r="C3021" t="s">
        <v>40</v>
      </c>
      <c r="D3021">
        <v>4.5748980000000001</v>
      </c>
      <c r="E3021">
        <v>0.39099460000000003</v>
      </c>
      <c r="F3021" t="s">
        <v>66</v>
      </c>
      <c r="G3021">
        <v>-512.82560000000001</v>
      </c>
      <c r="H3021">
        <v>1.477536</v>
      </c>
      <c r="I3021">
        <v>263.10160000000002</v>
      </c>
      <c r="J3021">
        <v>-470.45760000000001</v>
      </c>
      <c r="K3021">
        <v>1.1264069999999999</v>
      </c>
      <c r="L3021">
        <v>284.55610000000001</v>
      </c>
      <c r="M3021">
        <v>-0.99274130000000005</v>
      </c>
      <c r="N3021">
        <v>-1.4213669999999999E-2</v>
      </c>
      <c r="O3021">
        <v>-0.1194267</v>
      </c>
      <c r="P3021">
        <v>-0.96811219999999998</v>
      </c>
      <c r="Q3021">
        <v>0.16939379999999901</v>
      </c>
      <c r="R3021">
        <v>-0.18456690000000001</v>
      </c>
      <c r="S3021">
        <v>-2.8280029999999998</v>
      </c>
      <c r="T3021">
        <v>2.3320440000000001E-2</v>
      </c>
      <c r="U3021">
        <v>-1.426331</v>
      </c>
      <c r="V3021">
        <v>-6.9694649999999997E-2</v>
      </c>
      <c r="W3021">
        <v>0.18257190000000001</v>
      </c>
      <c r="X3021">
        <v>0.98071920000000001</v>
      </c>
      <c r="Y3021">
        <v>-0.34049010000000002</v>
      </c>
      <c r="Z3021">
        <v>-3.7705709999999999E-3</v>
      </c>
      <c r="AA3021">
        <v>0.94024059999999998</v>
      </c>
      <c r="AB3021">
        <v>25</v>
      </c>
      <c r="AC3021">
        <v>-42.368000000000002</v>
      </c>
      <c r="AD3021">
        <v>0.35112899999999903</v>
      </c>
      <c r="AE3021">
        <v>-21.454499999999999</v>
      </c>
      <c r="AF3021">
        <v>-16.239650202284601</v>
      </c>
      <c r="AG3021">
        <v>0.35112899999999903</v>
      </c>
      <c r="AH3021">
        <v>44.624771065254897</v>
      </c>
      <c r="AI3021">
        <v>89.576358147209206</v>
      </c>
      <c r="AJ3021">
        <v>109.997235662816</v>
      </c>
      <c r="AK3021">
        <v>47.489153739497397</v>
      </c>
      <c r="AL3021">
        <v>79.480398275234194</v>
      </c>
      <c r="AM3021">
        <v>94.064881581070097</v>
      </c>
      <c r="AN3021">
        <v>0.99999999607843604</v>
      </c>
    </row>
    <row r="3022" spans="1:40" x14ac:dyDescent="0.25">
      <c r="A3022" t="str">
        <f>"20190303170315332"</f>
        <v>20190303170315332</v>
      </c>
      <c r="B3022" t="str">
        <f>"1551603795318112"</f>
        <v>1551603795318112</v>
      </c>
      <c r="C3022" t="s">
        <v>40</v>
      </c>
      <c r="D3022">
        <v>4.5754630000000001</v>
      </c>
      <c r="E3022">
        <v>0.39054749999999999</v>
      </c>
      <c r="F3022" t="s">
        <v>66</v>
      </c>
      <c r="G3022">
        <v>-512.82569999999998</v>
      </c>
      <c r="H3022">
        <v>1.569715</v>
      </c>
      <c r="I3022">
        <v>262.7287</v>
      </c>
      <c r="J3022">
        <v>-470.70940000000002</v>
      </c>
      <c r="K3022">
        <v>1.1265609999999999</v>
      </c>
      <c r="L3022">
        <v>284.51769999999999</v>
      </c>
      <c r="M3022">
        <v>-0.99184150000000004</v>
      </c>
      <c r="N3022">
        <v>-1.423463E-2</v>
      </c>
      <c r="O3022">
        <v>-0.12668119999999999</v>
      </c>
      <c r="P3022">
        <v>-0.96680750000000004</v>
      </c>
      <c r="Q3022">
        <v>0.16925460000000001</v>
      </c>
      <c r="R3022">
        <v>-0.1914071</v>
      </c>
      <c r="S3022">
        <v>-2.816986</v>
      </c>
      <c r="T3022">
        <v>2.947986E-2</v>
      </c>
      <c r="U3022">
        <v>-1.451263</v>
      </c>
      <c r="V3022">
        <v>-6.952208E-2</v>
      </c>
      <c r="W3022">
        <v>0.18243029999999999</v>
      </c>
      <c r="X3022">
        <v>0.98075780000000001</v>
      </c>
      <c r="Y3022">
        <v>-0.34169949999999999</v>
      </c>
      <c r="Z3022">
        <v>-3.84359E-3</v>
      </c>
      <c r="AA3022">
        <v>0.93980140000000001</v>
      </c>
      <c r="AB3022">
        <v>25</v>
      </c>
      <c r="AC3022">
        <v>-42.116299999999903</v>
      </c>
      <c r="AD3022">
        <v>0.44315399999999899</v>
      </c>
      <c r="AE3022">
        <v>-21.788999999999898</v>
      </c>
      <c r="AF3022">
        <v>-16.276116138107501</v>
      </c>
      <c r="AG3022">
        <v>0.44315399999999899</v>
      </c>
      <c r="AH3022">
        <v>44.533566785782199</v>
      </c>
      <c r="AI3022">
        <v>89.464509257122501</v>
      </c>
      <c r="AJ3022">
        <v>110.076333710539</v>
      </c>
      <c r="AK3022">
        <v>47.416736630356603</v>
      </c>
      <c r="AL3022">
        <v>79.4886499606218</v>
      </c>
      <c r="AM3022">
        <v>94.054691140439999</v>
      </c>
      <c r="AN3022">
        <v>0.99999999811322804</v>
      </c>
    </row>
    <row r="3023" spans="1:40" x14ac:dyDescent="0.25">
      <c r="A3023" t="str">
        <f>"20190303170315354"</f>
        <v>20190303170315354</v>
      </c>
      <c r="B3023" t="str">
        <f>"1551603795348368"</f>
        <v>1551603795348368</v>
      </c>
      <c r="C3023" t="s">
        <v>40</v>
      </c>
      <c r="D3023">
        <v>4.5955620000000001</v>
      </c>
      <c r="E3023">
        <v>0.39012419999999998</v>
      </c>
      <c r="F3023" t="s">
        <v>66</v>
      </c>
      <c r="G3023">
        <v>-512.82569999999998</v>
      </c>
      <c r="H3023">
        <v>1.59233</v>
      </c>
      <c r="I3023">
        <v>262.37299999999999</v>
      </c>
      <c r="J3023">
        <v>-470.95339999999999</v>
      </c>
      <c r="K3023">
        <v>1.1267130000000001</v>
      </c>
      <c r="L3023">
        <v>284.47840000000002</v>
      </c>
      <c r="M3023">
        <v>-0.99088449999999995</v>
      </c>
      <c r="N3023">
        <v>-1.425736E-2</v>
      </c>
      <c r="O3023">
        <v>-0.13395799999999999</v>
      </c>
      <c r="P3023">
        <v>-0.96505090000000004</v>
      </c>
      <c r="Q3023">
        <v>0.16865060000000001</v>
      </c>
      <c r="R3023">
        <v>-0.20058480000000001</v>
      </c>
      <c r="S3023">
        <v>-2.8055110000000001</v>
      </c>
      <c r="T3023">
        <v>3.1031489999999998E-2</v>
      </c>
      <c r="U3023">
        <v>-1.475128</v>
      </c>
      <c r="V3023">
        <v>-7.1696700000000002E-2</v>
      </c>
      <c r="W3023">
        <v>0.1817955</v>
      </c>
      <c r="X3023">
        <v>0.98071909999999896</v>
      </c>
      <c r="Y3023">
        <v>-0.34265210000000002</v>
      </c>
      <c r="Z3023">
        <v>-4.0035829999999998E-3</v>
      </c>
      <c r="AA3023">
        <v>0.93945380000000001</v>
      </c>
      <c r="AB3023">
        <v>25</v>
      </c>
      <c r="AC3023">
        <v>-41.872300000000003</v>
      </c>
      <c r="AD3023">
        <v>0.465617</v>
      </c>
      <c r="AE3023">
        <v>-22.105399999999999</v>
      </c>
      <c r="AF3023">
        <v>-16.294848413992302</v>
      </c>
      <c r="AG3023">
        <v>0.465617</v>
      </c>
      <c r="AH3023">
        <v>44.452025781960202</v>
      </c>
      <c r="AI3023">
        <v>89.436534105025501</v>
      </c>
      <c r="AJ3023">
        <v>110.13149983776199</v>
      </c>
      <c r="AK3023">
        <v>47.3468212253551</v>
      </c>
      <c r="AL3023">
        <v>79.525639762257399</v>
      </c>
      <c r="AM3023">
        <v>94.181241502827902</v>
      </c>
      <c r="AN3023">
        <v>0.99999998685797398</v>
      </c>
    </row>
    <row r="3024" spans="1:40" x14ac:dyDescent="0.25">
      <c r="A3024" t="str">
        <f>"20190303170315376"</f>
        <v>20190303170315376</v>
      </c>
      <c r="B3024" t="str">
        <f>"1551603795368863"</f>
        <v>1551603795368863</v>
      </c>
      <c r="C3024" t="s">
        <v>40</v>
      </c>
      <c r="D3024">
        <v>4.5623310000000004</v>
      </c>
      <c r="E3024">
        <v>0.39018720000000001</v>
      </c>
      <c r="F3024" t="s">
        <v>66</v>
      </c>
      <c r="G3024">
        <v>-512.82569999999998</v>
      </c>
      <c r="H3024">
        <v>1.5608040000000001</v>
      </c>
      <c r="I3024">
        <v>261.89949999999999</v>
      </c>
      <c r="J3024">
        <v>-471.19099999999997</v>
      </c>
      <c r="K3024">
        <v>1.1268720000000001</v>
      </c>
      <c r="L3024">
        <v>284.43799999999999</v>
      </c>
      <c r="M3024">
        <v>-0.98986300000000005</v>
      </c>
      <c r="N3024">
        <v>-1.428107E-2</v>
      </c>
      <c r="O3024">
        <v>-0.14130690000000001</v>
      </c>
      <c r="P3024">
        <v>-0.96310660000000003</v>
      </c>
      <c r="Q3024">
        <v>0.16761860000000001</v>
      </c>
      <c r="R3024">
        <v>-0.21054709999999999</v>
      </c>
      <c r="S3024">
        <v>-2.7908019999999998</v>
      </c>
      <c r="T3024">
        <v>2.8937339999999999E-2</v>
      </c>
      <c r="U3024">
        <v>-1.504883</v>
      </c>
      <c r="V3024">
        <v>-7.4593909999999999E-2</v>
      </c>
      <c r="W3024">
        <v>0.18072350000000001</v>
      </c>
      <c r="X3024">
        <v>0.98070109999999999</v>
      </c>
      <c r="Y3024">
        <v>-0.34551130000000002</v>
      </c>
      <c r="Z3024">
        <v>-4.2173080000000003E-3</v>
      </c>
      <c r="AA3024">
        <v>0.93840520000000005</v>
      </c>
      <c r="AB3024">
        <v>25</v>
      </c>
      <c r="AC3024">
        <v>-41.634700000000002</v>
      </c>
      <c r="AD3024">
        <v>0.43393199999999998</v>
      </c>
      <c r="AE3024">
        <v>-22.538499999999999</v>
      </c>
      <c r="AF3024">
        <v>-16.427049351183001</v>
      </c>
      <c r="AG3024">
        <v>0.43393199999999998</v>
      </c>
      <c r="AH3024">
        <v>44.398285208353201</v>
      </c>
      <c r="AI3024">
        <v>89.474822847535506</v>
      </c>
      <c r="AJ3024">
        <v>110.304114817818</v>
      </c>
      <c r="AK3024">
        <v>47.341778344387301</v>
      </c>
      <c r="AL3024">
        <v>79.588094920182698</v>
      </c>
      <c r="AM3024">
        <v>94.349645990507298</v>
      </c>
      <c r="AN3024">
        <v>0.999999941201272</v>
      </c>
    </row>
    <row r="3025" spans="1:40" x14ac:dyDescent="0.25">
      <c r="A3025" t="str">
        <f>"20190303170315399"</f>
        <v>20190303170315399</v>
      </c>
      <c r="B3025" t="str">
        <f>"1551603795388384"</f>
        <v>1551603795388384</v>
      </c>
      <c r="C3025" t="s">
        <v>40</v>
      </c>
      <c r="D3025">
        <v>4.5746469999999997</v>
      </c>
      <c r="E3025">
        <v>0.39008120000000002</v>
      </c>
      <c r="F3025" t="s">
        <v>66</v>
      </c>
      <c r="G3025">
        <v>-512.82560000000001</v>
      </c>
      <c r="H3025">
        <v>1.4745549999999901</v>
      </c>
      <c r="I3025">
        <v>261.45389999999998</v>
      </c>
      <c r="J3025">
        <v>-471.43290000000002</v>
      </c>
      <c r="K3025">
        <v>1.12703</v>
      </c>
      <c r="L3025">
        <v>284.39460000000003</v>
      </c>
      <c r="M3025">
        <v>-0.98872760000000004</v>
      </c>
      <c r="N3025">
        <v>-1.430639E-2</v>
      </c>
      <c r="O3025">
        <v>-0.14904100000000001</v>
      </c>
      <c r="P3025">
        <v>-0.9605939</v>
      </c>
      <c r="Q3025">
        <v>0.16784660000000001</v>
      </c>
      <c r="R3025">
        <v>-0.2215559</v>
      </c>
      <c r="S3025">
        <v>-2.775909</v>
      </c>
      <c r="T3025">
        <v>2.3186089999999999E-2</v>
      </c>
      <c r="U3025">
        <v>-1.53241</v>
      </c>
      <c r="V3025">
        <v>-7.8238390000000005E-2</v>
      </c>
      <c r="W3025">
        <v>0.180897</v>
      </c>
      <c r="X3025">
        <v>0.98038510000000001</v>
      </c>
      <c r="Y3025">
        <v>-0.3474334</v>
      </c>
      <c r="Z3025">
        <v>-4.4622469999999999E-3</v>
      </c>
      <c r="AA3025">
        <v>0.93769409999999997</v>
      </c>
      <c r="AB3025">
        <v>25</v>
      </c>
      <c r="AC3025">
        <v>-41.392699999999898</v>
      </c>
      <c r="AD3025">
        <v>0.34752499999999897</v>
      </c>
      <c r="AE3025">
        <v>-22.9407</v>
      </c>
      <c r="AF3025">
        <v>-16.513692153057502</v>
      </c>
      <c r="AG3025">
        <v>0.34752499999999897</v>
      </c>
      <c r="AH3025">
        <v>44.3473536249886</v>
      </c>
      <c r="AI3025">
        <v>89.579238466614399</v>
      </c>
      <c r="AJ3025">
        <v>110.42389843677699</v>
      </c>
      <c r="AK3025">
        <v>47.323467494377098</v>
      </c>
      <c r="AL3025">
        <v>79.577987681049507</v>
      </c>
      <c r="AM3025">
        <v>94.562747283015995</v>
      </c>
      <c r="AN3025">
        <v>0.99999995729040003</v>
      </c>
    </row>
    <row r="3026" spans="1:40" x14ac:dyDescent="0.25">
      <c r="A3026" t="str">
        <f>"20190303170315421"</f>
        <v>20190303170315421</v>
      </c>
      <c r="B3026" t="str">
        <f>"1551603795408879"</f>
        <v>1551603795408879</v>
      </c>
      <c r="C3026" t="s">
        <v>40</v>
      </c>
      <c r="D3026">
        <v>4.5778869999999996</v>
      </c>
      <c r="E3026">
        <v>0.39005719999999999</v>
      </c>
      <c r="F3026" t="s">
        <v>66</v>
      </c>
      <c r="G3026">
        <v>-512.82560000000001</v>
      </c>
      <c r="H3026">
        <v>1.4519280000000001</v>
      </c>
      <c r="I3026">
        <v>260.91980000000001</v>
      </c>
      <c r="J3026">
        <v>-471.67970000000003</v>
      </c>
      <c r="K3026">
        <v>1.127175</v>
      </c>
      <c r="L3026">
        <v>284.34809999999999</v>
      </c>
      <c r="M3026">
        <v>-0.98747039999999997</v>
      </c>
      <c r="N3026">
        <v>-1.433156E-2</v>
      </c>
      <c r="O3026">
        <v>-0.1571525</v>
      </c>
      <c r="P3026">
        <v>-0.95799049999999997</v>
      </c>
      <c r="Q3026">
        <v>0.1686684</v>
      </c>
      <c r="R3026">
        <v>-0.23196030000000001</v>
      </c>
      <c r="S3026">
        <v>-2.7584840000000002</v>
      </c>
      <c r="T3026">
        <v>2.1656749999999999E-2</v>
      </c>
      <c r="U3026">
        <v>-1.564392</v>
      </c>
      <c r="V3026">
        <v>-8.0923659999999994E-2</v>
      </c>
      <c r="W3026">
        <v>0.18167730000000001</v>
      </c>
      <c r="X3026">
        <v>0.98002279999999997</v>
      </c>
      <c r="Y3026">
        <v>-0.35050340000000002</v>
      </c>
      <c r="Z3026">
        <v>-4.6666110000000002E-3</v>
      </c>
      <c r="AA3026">
        <v>0.93654979999999999</v>
      </c>
      <c r="AB3026">
        <v>25</v>
      </c>
      <c r="AC3026">
        <v>-41.145899999999898</v>
      </c>
      <c r="AD3026">
        <v>0.32475300000000001</v>
      </c>
      <c r="AE3026">
        <v>-23.428299999999901</v>
      </c>
      <c r="AF3026">
        <v>-16.669498837431501</v>
      </c>
      <c r="AG3026">
        <v>0.32475300000000001</v>
      </c>
      <c r="AH3026">
        <v>44.314638913907899</v>
      </c>
      <c r="AI3026">
        <v>89.607007575291405</v>
      </c>
      <c r="AJ3026">
        <v>110.614410104283</v>
      </c>
      <c r="AK3026">
        <v>47.347279521342898</v>
      </c>
      <c r="AL3026">
        <v>79.5325267845068</v>
      </c>
      <c r="AM3026">
        <v>94.720389307623293</v>
      </c>
      <c r="AN3026">
        <v>0.99999998430146197</v>
      </c>
    </row>
    <row r="3027" spans="1:40" x14ac:dyDescent="0.25">
      <c r="A3027" t="str">
        <f>"20190303170315444"</f>
        <v>20190303170315444</v>
      </c>
      <c r="B3027" t="str">
        <f>"1551603795438159"</f>
        <v>1551603795438159</v>
      </c>
      <c r="C3027" t="s">
        <v>40</v>
      </c>
      <c r="D3027">
        <v>4.5861809999999998</v>
      </c>
      <c r="E3027">
        <v>0.39028930000000001</v>
      </c>
      <c r="F3027" t="s">
        <v>66</v>
      </c>
      <c r="G3027">
        <v>-512.82560000000001</v>
      </c>
      <c r="H3027">
        <v>1.474048</v>
      </c>
      <c r="I3027">
        <v>260.41660000000002</v>
      </c>
      <c r="J3027">
        <v>-471.92439999999999</v>
      </c>
      <c r="K3027">
        <v>1.1272960000000001</v>
      </c>
      <c r="L3027">
        <v>284.2996</v>
      </c>
      <c r="M3027">
        <v>-0.98612129999999998</v>
      </c>
      <c r="N3027">
        <v>-1.435445E-2</v>
      </c>
      <c r="O3027">
        <v>-0.16540489999999999</v>
      </c>
      <c r="P3027">
        <v>-0.95517220000000003</v>
      </c>
      <c r="Q3027">
        <v>0.17053670000000001</v>
      </c>
      <c r="R3027">
        <v>-0.24199889999999999</v>
      </c>
      <c r="S3027">
        <v>-2.7413940000000001</v>
      </c>
      <c r="T3027">
        <v>2.3115750000000001E-2</v>
      </c>
      <c r="U3027">
        <v>-1.594452</v>
      </c>
      <c r="V3027">
        <v>-8.3147589999999993E-2</v>
      </c>
      <c r="W3027">
        <v>0.18350810000000001</v>
      </c>
      <c r="X3027">
        <v>0.97949540000000002</v>
      </c>
      <c r="Y3027">
        <v>-0.35288449999999999</v>
      </c>
      <c r="Z3027">
        <v>-4.850409E-3</v>
      </c>
      <c r="AA3027">
        <v>0.93565430000000005</v>
      </c>
      <c r="AB3027">
        <v>25</v>
      </c>
      <c r="AC3027">
        <v>-40.901200000000003</v>
      </c>
      <c r="AD3027">
        <v>0.346752</v>
      </c>
      <c r="AE3027">
        <v>-23.8829999999999</v>
      </c>
      <c r="AF3027">
        <v>-16.787105614764201</v>
      </c>
      <c r="AG3027">
        <v>0.346752</v>
      </c>
      <c r="AH3027">
        <v>44.286098055166001</v>
      </c>
      <c r="AI3027">
        <v>89.580518435024501</v>
      </c>
      <c r="AJ3027">
        <v>110.759733638913</v>
      </c>
      <c r="AK3027">
        <v>47.362280697011698</v>
      </c>
      <c r="AL3027">
        <v>79.425836114177798</v>
      </c>
      <c r="AM3027">
        <v>94.852102476974693</v>
      </c>
      <c r="AN3027">
        <v>0.99999999155478903</v>
      </c>
    </row>
    <row r="3028" spans="1:40" x14ac:dyDescent="0.25">
      <c r="A3028" t="str">
        <f>"20190303170315466"</f>
        <v>20190303170315466</v>
      </c>
      <c r="B3028" t="str">
        <f>"1551603795458656"</f>
        <v>1551603795458656</v>
      </c>
      <c r="C3028" t="s">
        <v>40</v>
      </c>
      <c r="D3028">
        <v>4.5705519999999904</v>
      </c>
      <c r="E3028">
        <v>0.39068900000000001</v>
      </c>
      <c r="F3028" t="s">
        <v>66</v>
      </c>
      <c r="G3028">
        <v>-512.82569999999998</v>
      </c>
      <c r="H3028">
        <v>1.526659</v>
      </c>
      <c r="I3028">
        <v>259.95909999999998</v>
      </c>
      <c r="J3028">
        <v>-472.15859999999998</v>
      </c>
      <c r="K3028">
        <v>1.1274040000000001</v>
      </c>
      <c r="L3028">
        <v>284.25110000000001</v>
      </c>
      <c r="M3028">
        <v>-0.98473060000000001</v>
      </c>
      <c r="N3028">
        <v>-1.4375270000000001E-2</v>
      </c>
      <c r="O3028">
        <v>-0.17349149999999999</v>
      </c>
      <c r="P3028">
        <v>-0.95233710000000005</v>
      </c>
      <c r="Q3028">
        <v>0.17280329999999999</v>
      </c>
      <c r="R3028">
        <v>-0.25138310000000003</v>
      </c>
      <c r="S3028">
        <v>-2.7251889999999999</v>
      </c>
      <c r="T3028">
        <v>2.6613950000000001E-2</v>
      </c>
      <c r="U3028">
        <v>-1.6217649999999999</v>
      </c>
      <c r="V3028">
        <v>-8.4896250000000006E-2</v>
      </c>
      <c r="W3028">
        <v>0.18574350000000001</v>
      </c>
      <c r="X3028">
        <v>0.97892389999999996</v>
      </c>
      <c r="Y3028">
        <v>-0.35458099999999998</v>
      </c>
      <c r="Z3028">
        <v>-5.0298169999999998E-3</v>
      </c>
      <c r="AA3028">
        <v>0.9350117</v>
      </c>
      <c r="AB3028">
        <v>25</v>
      </c>
      <c r="AC3028">
        <v>-40.667099999999998</v>
      </c>
      <c r="AD3028">
        <v>0.39925499999999903</v>
      </c>
      <c r="AE3028">
        <v>-24.292000000000002</v>
      </c>
      <c r="AF3028">
        <v>-16.8662217449859</v>
      </c>
      <c r="AG3028">
        <v>0.39925499999999903</v>
      </c>
      <c r="AH3028">
        <v>44.262016168689499</v>
      </c>
      <c r="AI3028">
        <v>89.517063055764993</v>
      </c>
      <c r="AJ3028">
        <v>110.859546212868</v>
      </c>
      <c r="AK3028">
        <v>47.368290193159702</v>
      </c>
      <c r="AL3028">
        <v>79.295516978957295</v>
      </c>
      <c r="AM3028">
        <v>94.956521049398901</v>
      </c>
      <c r="AN3028">
        <v>1.0000000115237599</v>
      </c>
    </row>
    <row r="3029" spans="1:40" x14ac:dyDescent="0.25">
      <c r="A3029" t="str">
        <f>"20190303170315487"</f>
        <v>20190303170315487</v>
      </c>
      <c r="B3029" t="str">
        <f>"1551603795478176"</f>
        <v>1551603795478176</v>
      </c>
      <c r="C3029" t="s">
        <v>40</v>
      </c>
      <c r="D3029">
        <v>4.6133139999999999</v>
      </c>
      <c r="E3029">
        <v>0.39103250000000001</v>
      </c>
      <c r="F3029" t="s">
        <v>66</v>
      </c>
      <c r="G3029">
        <v>-512.82569999999998</v>
      </c>
      <c r="H3029">
        <v>1.5917809999999999</v>
      </c>
      <c r="I3029">
        <v>259.56060000000002</v>
      </c>
      <c r="J3029">
        <v>-472.39370000000002</v>
      </c>
      <c r="K3029">
        <v>1.127507</v>
      </c>
      <c r="L3029">
        <v>284.2002</v>
      </c>
      <c r="M3029">
        <v>-0.98323110000000002</v>
      </c>
      <c r="N3029">
        <v>-1.4396870000000001E-2</v>
      </c>
      <c r="O3029">
        <v>-0.18179500000000001</v>
      </c>
      <c r="P3029">
        <v>-0.9495633</v>
      </c>
      <c r="Q3029">
        <v>0.17367769999999999</v>
      </c>
      <c r="R3029">
        <v>-0.26108629999999999</v>
      </c>
      <c r="S3029">
        <v>-2.7102360000000001</v>
      </c>
      <c r="T3029">
        <v>3.0953049999999999E-2</v>
      </c>
      <c r="U3029">
        <v>-1.6454770000000001</v>
      </c>
      <c r="V3029">
        <v>-8.6714100000000002E-2</v>
      </c>
      <c r="W3029">
        <v>0.18658959999999999</v>
      </c>
      <c r="X3029">
        <v>0.97860360000000002</v>
      </c>
      <c r="Y3029">
        <v>-0.35496129999999998</v>
      </c>
      <c r="Z3029">
        <v>-5.2281719999999997E-3</v>
      </c>
      <c r="AA3029">
        <v>0.93486639999999999</v>
      </c>
      <c r="AB3029">
        <v>25</v>
      </c>
      <c r="AC3029">
        <v>-40.431999999999903</v>
      </c>
      <c r="AD3029">
        <v>0.46427399999999902</v>
      </c>
      <c r="AE3029">
        <v>-24.639599999999898</v>
      </c>
      <c r="AF3029">
        <v>-16.8762114371238</v>
      </c>
      <c r="AG3029">
        <v>0.46427399999999902</v>
      </c>
      <c r="AH3029">
        <v>44.233685819312598</v>
      </c>
      <c r="AI3029">
        <v>89.438149304229995</v>
      </c>
      <c r="AJ3029">
        <v>110.883051808293</v>
      </c>
      <c r="AK3029">
        <v>47.345971570760298</v>
      </c>
      <c r="AL3029">
        <v>79.2461764406399</v>
      </c>
      <c r="AM3029">
        <v>95.063755612961401</v>
      </c>
      <c r="AN3029">
        <v>1.00000000994996</v>
      </c>
    </row>
    <row r="3030" spans="1:40" x14ac:dyDescent="0.25">
      <c r="A3030" t="str">
        <f>"20190303170315511"</f>
        <v>20190303170315511</v>
      </c>
      <c r="B3030" t="str">
        <f>"1551603795498672"</f>
        <v>1551603795498672</v>
      </c>
      <c r="C3030" t="s">
        <v>40</v>
      </c>
      <c r="D3030">
        <v>4.5807339999999996</v>
      </c>
      <c r="E3030">
        <v>0.39128459999999998</v>
      </c>
      <c r="F3030" t="s">
        <v>66</v>
      </c>
      <c r="G3030">
        <v>-512.82569999999998</v>
      </c>
      <c r="H3030">
        <v>1.6043080000000001</v>
      </c>
      <c r="I3030">
        <v>259.13299999999998</v>
      </c>
      <c r="J3030">
        <v>-472.63679999999999</v>
      </c>
      <c r="K3030">
        <v>1.127618</v>
      </c>
      <c r="L3030">
        <v>284.14510000000001</v>
      </c>
      <c r="M3030">
        <v>-0.98156949999999998</v>
      </c>
      <c r="N3030">
        <v>-1.442032E-2</v>
      </c>
      <c r="O3030">
        <v>-0.19056149999999999</v>
      </c>
      <c r="P3030">
        <v>-0.946851</v>
      </c>
      <c r="Q3030">
        <v>0.17255819999999999</v>
      </c>
      <c r="R3030">
        <v>-0.2714722</v>
      </c>
      <c r="S3030">
        <v>-2.6942439999999999</v>
      </c>
      <c r="T3030">
        <v>3.1777140000000002E-2</v>
      </c>
      <c r="U3030">
        <v>-1.67038</v>
      </c>
      <c r="V3030">
        <v>-8.8698979999999997E-2</v>
      </c>
      <c r="W3030">
        <v>0.18544359999999999</v>
      </c>
      <c r="X3030">
        <v>0.9786435</v>
      </c>
      <c r="Y3030">
        <v>-0.35534680000000002</v>
      </c>
      <c r="Z3030">
        <v>-5.4508969999999997E-3</v>
      </c>
      <c r="AA3030">
        <v>0.93471870000000001</v>
      </c>
      <c r="AB3030">
        <v>25</v>
      </c>
      <c r="AC3030">
        <v>-40.188899999999897</v>
      </c>
      <c r="AD3030">
        <v>0.47669</v>
      </c>
      <c r="AE3030">
        <v>-25.0121</v>
      </c>
      <c r="AF3030">
        <v>-16.892698341620701</v>
      </c>
      <c r="AG3030">
        <v>0.47669</v>
      </c>
      <c r="AH3030">
        <v>44.214648870801099</v>
      </c>
      <c r="AI3030">
        <v>89.422979751449503</v>
      </c>
      <c r="AJ3030">
        <v>110.90991289073899</v>
      </c>
      <c r="AK3030">
        <v>47.334191293243101</v>
      </c>
      <c r="AL3030">
        <v>79.313003328250602</v>
      </c>
      <c r="AM3030">
        <v>95.178831298351994</v>
      </c>
      <c r="AN3030">
        <v>0.99999996896312404</v>
      </c>
    </row>
    <row r="3031" spans="1:40" x14ac:dyDescent="0.25">
      <c r="A3031" t="str">
        <f>"20190303170315533"</f>
        <v>20190303170315533</v>
      </c>
      <c r="B3031" t="str">
        <f>"1551603795528927"</f>
        <v>1551603795528927</v>
      </c>
      <c r="C3031" t="s">
        <v>40</v>
      </c>
      <c r="D3031">
        <v>4.6162299999999998</v>
      </c>
      <c r="E3031">
        <v>0.39178669999999999</v>
      </c>
      <c r="F3031" t="s">
        <v>66</v>
      </c>
      <c r="G3031">
        <v>-512.82569999999998</v>
      </c>
      <c r="H3031">
        <v>1.548503</v>
      </c>
      <c r="I3031">
        <v>258.654</v>
      </c>
      <c r="J3031">
        <v>-472.87189999999998</v>
      </c>
      <c r="K3031">
        <v>1.1277239999999999</v>
      </c>
      <c r="L3031">
        <v>284.08960000000002</v>
      </c>
      <c r="M3031">
        <v>-0.97984950000000004</v>
      </c>
      <c r="N3031">
        <v>-1.4443340000000001E-2</v>
      </c>
      <c r="O3031">
        <v>-0.19921440000000001</v>
      </c>
      <c r="P3031">
        <v>-0.94421670000000002</v>
      </c>
      <c r="Q3031">
        <v>0.17179269999999999</v>
      </c>
      <c r="R3031">
        <v>-0.2809663</v>
      </c>
      <c r="S3031">
        <v>-2.6765140000000001</v>
      </c>
      <c r="T3031">
        <v>2.803516E-2</v>
      </c>
      <c r="U3031">
        <v>-1.697662</v>
      </c>
      <c r="V3031">
        <v>-8.990281E-2</v>
      </c>
      <c r="W3031">
        <v>0.18466199999999999</v>
      </c>
      <c r="X3031">
        <v>0.97868149999999998</v>
      </c>
      <c r="Y3031">
        <v>-0.35669070000000003</v>
      </c>
      <c r="Z3031">
        <v>-5.6511959999999998E-3</v>
      </c>
      <c r="AA3031">
        <v>0.93420539999999996</v>
      </c>
      <c r="AB3031">
        <v>25</v>
      </c>
      <c r="AC3031">
        <v>-39.953800000000001</v>
      </c>
      <c r="AD3031">
        <v>0.42077900000000001</v>
      </c>
      <c r="AE3031">
        <v>-25.435600000000001</v>
      </c>
      <c r="AF3031">
        <v>-16.964118142383001</v>
      </c>
      <c r="AG3031">
        <v>0.42077900000000001</v>
      </c>
      <c r="AH3031">
        <v>44.216970830625797</v>
      </c>
      <c r="AI3031">
        <v>89.490952633582907</v>
      </c>
      <c r="AJ3031">
        <v>110.98962407722099</v>
      </c>
      <c r="AK3031">
        <v>47.361364726451697</v>
      </c>
      <c r="AL3031">
        <v>79.358573353228095</v>
      </c>
      <c r="AM3031">
        <v>95.248526204777903</v>
      </c>
      <c r="AN3031">
        <v>1.00000002396607</v>
      </c>
    </row>
    <row r="3032" spans="1:40" x14ac:dyDescent="0.25">
      <c r="A3032" t="str">
        <f>"20190303170315555"</f>
        <v>20190303170315555</v>
      </c>
      <c r="B3032" t="str">
        <f>"1551603795548448"</f>
        <v>1551603795548448</v>
      </c>
      <c r="C3032" t="s">
        <v>40</v>
      </c>
      <c r="D3032">
        <v>4.6139780000000004</v>
      </c>
      <c r="E3032">
        <v>0.39198729999999998</v>
      </c>
      <c r="F3032" t="s">
        <v>66</v>
      </c>
      <c r="G3032">
        <v>-512.82560000000001</v>
      </c>
      <c r="H3032">
        <v>1.4923580000000001</v>
      </c>
      <c r="I3032">
        <v>258.25549999999998</v>
      </c>
      <c r="J3032">
        <v>-473.10199999999998</v>
      </c>
      <c r="K3032">
        <v>1.1278239999999999</v>
      </c>
      <c r="L3032">
        <v>284.03280000000001</v>
      </c>
      <c r="M3032">
        <v>-0.97805260000000005</v>
      </c>
      <c r="N3032">
        <v>-1.4465799999999999E-2</v>
      </c>
      <c r="O3032">
        <v>-0.2078555</v>
      </c>
      <c r="P3032">
        <v>-0.94120720000000002</v>
      </c>
      <c r="Q3032">
        <v>0.17277429999999999</v>
      </c>
      <c r="R3032">
        <v>-0.29030650000000002</v>
      </c>
      <c r="S3032">
        <v>-2.6608890000000001</v>
      </c>
      <c r="T3032">
        <v>2.4289249999999998E-2</v>
      </c>
      <c r="U3032">
        <v>-1.72052</v>
      </c>
      <c r="V3032">
        <v>-9.1061050000000004E-2</v>
      </c>
      <c r="W3032">
        <v>0.1856226</v>
      </c>
      <c r="X3032">
        <v>0.97839259999999995</v>
      </c>
      <c r="Y3032">
        <v>-0.35659970000000002</v>
      </c>
      <c r="Z3032">
        <v>-5.8265809999999999E-3</v>
      </c>
      <c r="AA3032">
        <v>0.93423909999999999</v>
      </c>
      <c r="AB3032">
        <v>25</v>
      </c>
      <c r="AC3032">
        <v>-39.723599999999998</v>
      </c>
      <c r="AD3032">
        <v>0.36453400000000002</v>
      </c>
      <c r="AE3032">
        <v>-25.7773</v>
      </c>
      <c r="AF3032">
        <v>-16.9555555442107</v>
      </c>
      <c r="AG3032">
        <v>0.36453400000000002</v>
      </c>
      <c r="AH3032">
        <v>44.211729009223603</v>
      </c>
      <c r="AI3032">
        <v>89.558919321527299</v>
      </c>
      <c r="AJ3032">
        <v>110.982222676389</v>
      </c>
      <c r="AK3032">
        <v>47.352937932455703</v>
      </c>
      <c r="AL3032">
        <v>79.302566207564396</v>
      </c>
      <c r="AM3032">
        <v>95.317319987213395</v>
      </c>
      <c r="AN3032">
        <v>0.99999997209630997</v>
      </c>
    </row>
    <row r="3033" spans="1:40" x14ac:dyDescent="0.25">
      <c r="A3033" t="str">
        <f>"20190303170315577"</f>
        <v>20190303170315577</v>
      </c>
      <c r="B3033" t="str">
        <f>"1551603795568944"</f>
        <v>1551603795568944</v>
      </c>
      <c r="C3033" t="s">
        <v>40</v>
      </c>
      <c r="D3033">
        <v>4.6401820000000003</v>
      </c>
      <c r="E3033">
        <v>0.40235219999999999</v>
      </c>
      <c r="F3033" t="s">
        <v>66</v>
      </c>
      <c r="G3033">
        <v>-512.82569999999998</v>
      </c>
      <c r="H3033">
        <v>1.5143279999999999</v>
      </c>
      <c r="I3033">
        <v>257.82130000000001</v>
      </c>
      <c r="J3033">
        <v>-473.33699999999999</v>
      </c>
      <c r="K3033">
        <v>1.127937</v>
      </c>
      <c r="L3033">
        <v>283.97219999999999</v>
      </c>
      <c r="M3033">
        <v>-0.97609000000000001</v>
      </c>
      <c r="N3033">
        <v>-1.448928E-2</v>
      </c>
      <c r="O3033">
        <v>-0.21688370000000001</v>
      </c>
      <c r="P3033">
        <v>-0.9377491</v>
      </c>
      <c r="Q3033">
        <v>0.174345</v>
      </c>
      <c r="R3033">
        <v>-0.30038350000000003</v>
      </c>
      <c r="S3033">
        <v>-2.6444700000000001</v>
      </c>
      <c r="T3033">
        <v>2.573514E-2</v>
      </c>
      <c r="U3033">
        <v>-1.744934</v>
      </c>
      <c r="V3033">
        <v>-9.2653170000000007E-2</v>
      </c>
      <c r="W3033">
        <v>0.187163</v>
      </c>
      <c r="X3033">
        <v>0.97794959999999997</v>
      </c>
      <c r="Y3033">
        <v>-0.35664499999999999</v>
      </c>
      <c r="Z3033">
        <v>-6.0502719999999998E-3</v>
      </c>
      <c r="AA3033">
        <v>0.93422039999999995</v>
      </c>
      <c r="AB3033">
        <v>25</v>
      </c>
      <c r="AC3033">
        <v>-39.488700000000001</v>
      </c>
      <c r="AD3033">
        <v>0.38639099999999899</v>
      </c>
      <c r="AE3033">
        <v>-26.150899999999901</v>
      </c>
      <c r="AF3033">
        <v>-16.961826996950499</v>
      </c>
      <c r="AG3033">
        <v>0.38639099999999899</v>
      </c>
      <c r="AH3033">
        <v>44.217924614602801</v>
      </c>
      <c r="AI3033">
        <v>89.532553092971298</v>
      </c>
      <c r="AJ3033">
        <v>110.986622842624</v>
      </c>
      <c r="AK3033">
        <v>47.361141564599798</v>
      </c>
      <c r="AL3033">
        <v>79.212733891382101</v>
      </c>
      <c r="AM3033">
        <v>95.412177668695193</v>
      </c>
      <c r="AN3033">
        <v>1.0000000093101</v>
      </c>
    </row>
    <row r="3034" spans="1:40" x14ac:dyDescent="0.25">
      <c r="A3034" t="str">
        <f>"20190303170315599"</f>
        <v>20190303170315599</v>
      </c>
      <c r="B3034" t="str">
        <f>"1551603795588464"</f>
        <v>1551603795588464</v>
      </c>
      <c r="C3034" t="s">
        <v>40</v>
      </c>
      <c r="D3034">
        <v>4.6174039999999996</v>
      </c>
      <c r="E3034">
        <v>0.40334500000000001</v>
      </c>
      <c r="F3034" t="s">
        <v>66</v>
      </c>
      <c r="G3034">
        <v>-512.82550000000003</v>
      </c>
      <c r="H3034">
        <v>1.0787679999999999</v>
      </c>
      <c r="I3034">
        <v>258.74740000000003</v>
      </c>
      <c r="J3034">
        <v>-473.56869999999998</v>
      </c>
      <c r="K3034">
        <v>1.1280410000000001</v>
      </c>
      <c r="L3034">
        <v>283.91000000000003</v>
      </c>
      <c r="M3034">
        <v>-0.97402759999999999</v>
      </c>
      <c r="N3034">
        <v>-1.4513369999999999E-2</v>
      </c>
      <c r="O3034">
        <v>-0.22596430000000001</v>
      </c>
      <c r="P3034">
        <v>-0.93399359999999998</v>
      </c>
      <c r="Q3034">
        <v>0.17511409999999999</v>
      </c>
      <c r="R3034">
        <v>-0.31143459999999901</v>
      </c>
      <c r="S3034">
        <v>-2.65625</v>
      </c>
      <c r="T3034">
        <v>-3.3023359999999999E-3</v>
      </c>
      <c r="U3034">
        <v>-1.696777</v>
      </c>
      <c r="V3034">
        <v>-9.519068E-2</v>
      </c>
      <c r="W3034">
        <v>0.187888</v>
      </c>
      <c r="X3034">
        <v>0.97756679999999996</v>
      </c>
      <c r="Y3034">
        <v>-0.33396179999999998</v>
      </c>
      <c r="Z3034">
        <v>-5.6491249999999996E-3</v>
      </c>
      <c r="AA3034">
        <v>0.94256969999999995</v>
      </c>
      <c r="AB3034">
        <v>25</v>
      </c>
      <c r="AC3034">
        <v>-39.256799999999998</v>
      </c>
      <c r="AD3034">
        <v>-4.9273000000000101E-2</v>
      </c>
      <c r="AE3034">
        <v>-25.162600000000001</v>
      </c>
      <c r="AF3034">
        <v>-15.640059276002599</v>
      </c>
      <c r="AG3034">
        <v>-4.9273000000000101E-2</v>
      </c>
      <c r="AH3034">
        <v>43.927627698228797</v>
      </c>
      <c r="AI3034">
        <v>90.060544813173294</v>
      </c>
      <c r="AJ3034">
        <v>109.59784073941</v>
      </c>
      <c r="AK3034">
        <v>46.628857558164597</v>
      </c>
      <c r="AL3034">
        <v>79.170444198397803</v>
      </c>
      <c r="AM3034">
        <v>95.5616490143791</v>
      </c>
      <c r="AN3034">
        <v>1.0000000072825499</v>
      </c>
    </row>
    <row r="3035" spans="1:40" x14ac:dyDescent="0.25">
      <c r="A3035" t="str">
        <f>"20190303170315622"</f>
        <v>20190303170315622</v>
      </c>
      <c r="B3035" t="str">
        <f>"1551603795618719"</f>
        <v>1551603795618719</v>
      </c>
      <c r="C3035" t="s">
        <v>40</v>
      </c>
      <c r="D3035">
        <v>4.680002</v>
      </c>
      <c r="E3035">
        <v>0.40460839999999998</v>
      </c>
      <c r="F3035" t="s">
        <v>66</v>
      </c>
      <c r="G3035">
        <v>-512.82550000000003</v>
      </c>
      <c r="H3035">
        <v>1.0566180000000001</v>
      </c>
      <c r="I3035">
        <v>258.32459999999998</v>
      </c>
      <c r="J3035">
        <v>-473.80739999999997</v>
      </c>
      <c r="K3035">
        <v>1.128136</v>
      </c>
      <c r="L3035">
        <v>283.8433</v>
      </c>
      <c r="M3035">
        <v>-0.97176470000000004</v>
      </c>
      <c r="N3035">
        <v>-1.453818E-2</v>
      </c>
      <c r="O3035">
        <v>-0.23550399999999999</v>
      </c>
      <c r="P3035">
        <v>-0.93030639999999998</v>
      </c>
      <c r="Q3035">
        <v>0.17446130000000001</v>
      </c>
      <c r="R3035">
        <v>-0.3226348</v>
      </c>
      <c r="S3035">
        <v>-2.639313</v>
      </c>
      <c r="T3035">
        <v>-4.796743E-3</v>
      </c>
      <c r="U3035">
        <v>-1.720154</v>
      </c>
      <c r="V3035">
        <v>-9.736446E-2</v>
      </c>
      <c r="W3035">
        <v>0.18720229999999999</v>
      </c>
      <c r="X3035">
        <v>0.97748420000000003</v>
      </c>
      <c r="Y3035">
        <v>-0.33333940000000001</v>
      </c>
      <c r="Z3035">
        <v>-5.7437419999999996E-3</v>
      </c>
      <c r="AA3035">
        <v>0.9427894</v>
      </c>
      <c r="AB3035">
        <v>25</v>
      </c>
      <c r="AC3035">
        <v>-39.018099999999997</v>
      </c>
      <c r="AD3035">
        <v>-7.1517999999999901E-2</v>
      </c>
      <c r="AE3035">
        <v>-25.518699999999999</v>
      </c>
      <c r="AF3035">
        <v>-15.6108653552332</v>
      </c>
      <c r="AG3035">
        <v>-7.1517999999999901E-2</v>
      </c>
      <c r="AH3035">
        <v>43.930704871971301</v>
      </c>
      <c r="AI3035">
        <v>90.087891574750699</v>
      </c>
      <c r="AJ3035">
        <v>109.56277298994</v>
      </c>
      <c r="AK3035">
        <v>46.6220019144587</v>
      </c>
      <c r="AL3035">
        <v>79.210441007065299</v>
      </c>
      <c r="AM3035">
        <v>95.688309075186197</v>
      </c>
      <c r="AN3035">
        <v>0.99999995022300903</v>
      </c>
    </row>
    <row r="3036" spans="1:40" x14ac:dyDescent="0.25">
      <c r="A3036" t="str">
        <f>"20190303170315645"</f>
        <v>20190303170315645</v>
      </c>
      <c r="B3036" t="str">
        <f>"1551603795638239"</f>
        <v>1551603795638239</v>
      </c>
      <c r="C3036" t="s">
        <v>40</v>
      </c>
      <c r="D3036">
        <v>4.6480300000000003</v>
      </c>
      <c r="E3036">
        <v>0.40554309999999899</v>
      </c>
      <c r="F3036" t="s">
        <v>66</v>
      </c>
      <c r="G3036">
        <v>-512.82550000000003</v>
      </c>
      <c r="H3036">
        <v>1.0516700000000001</v>
      </c>
      <c r="I3036">
        <v>257.89569999999998</v>
      </c>
      <c r="J3036">
        <v>-474.041</v>
      </c>
      <c r="K3036">
        <v>1.1282350000000001</v>
      </c>
      <c r="L3036">
        <v>283.77539999999999</v>
      </c>
      <c r="M3036">
        <v>-0.96940919999999997</v>
      </c>
      <c r="N3036">
        <v>-1.4561950000000001E-2</v>
      </c>
      <c r="O3036">
        <v>-0.24501800000000001</v>
      </c>
      <c r="P3036">
        <v>-0.92715150000000002</v>
      </c>
      <c r="Q3036">
        <v>0.17248659999999999</v>
      </c>
      <c r="R3036">
        <v>-0.33262380000000003</v>
      </c>
      <c r="S3036">
        <v>-2.6211549999999999</v>
      </c>
      <c r="T3036">
        <v>-5.1317209999999997E-3</v>
      </c>
      <c r="U3036">
        <v>-1.7431029999999901</v>
      </c>
      <c r="V3036">
        <v>-9.8222809999999994E-2</v>
      </c>
      <c r="W3036">
        <v>0.18521860000000001</v>
      </c>
      <c r="X3036">
        <v>0.97777619999999998</v>
      </c>
      <c r="Y3036">
        <v>-0.3328255</v>
      </c>
      <c r="Z3036">
        <v>-5.8580029999999996E-3</v>
      </c>
      <c r="AA3036">
        <v>0.94297030000000004</v>
      </c>
      <c r="AB3036">
        <v>25</v>
      </c>
      <c r="AC3036">
        <v>-38.784500000000001</v>
      </c>
      <c r="AD3036">
        <v>-7.6564999999999994E-2</v>
      </c>
      <c r="AE3036">
        <v>-25.8797</v>
      </c>
      <c r="AF3036">
        <v>-15.5867287724015</v>
      </c>
      <c r="AG3036">
        <v>-7.6564999999999994E-2</v>
      </c>
      <c r="AH3036">
        <v>43.9435828553449</v>
      </c>
      <c r="AI3036">
        <v>90.094085846887694</v>
      </c>
      <c r="AJ3036">
        <v>109.529526351279</v>
      </c>
      <c r="AK3036">
        <v>46.626070499112402</v>
      </c>
      <c r="AL3036">
        <v>79.326122199332403</v>
      </c>
      <c r="AM3036">
        <v>95.736420947935201</v>
      </c>
      <c r="AN3036">
        <v>0.99999997373834704</v>
      </c>
    </row>
    <row r="3037" spans="1:40" x14ac:dyDescent="0.25">
      <c r="A3037" t="str">
        <f>"20190303170315667"</f>
        <v>20190303170315667</v>
      </c>
      <c r="B3037" t="str">
        <f>"1551603795658736"</f>
        <v>1551603795658736</v>
      </c>
      <c r="C3037" t="s">
        <v>40</v>
      </c>
      <c r="D3037">
        <v>4.6861839999999999</v>
      </c>
      <c r="E3037">
        <v>0.40594049999999998</v>
      </c>
      <c r="F3037" t="s">
        <v>66</v>
      </c>
      <c r="G3037">
        <v>-512.82539999999995</v>
      </c>
      <c r="H3037">
        <v>0.92972909999999997</v>
      </c>
      <c r="I3037">
        <v>257.49549999999999</v>
      </c>
      <c r="J3037">
        <v>-474.26960000000003</v>
      </c>
      <c r="K3037">
        <v>1.128331</v>
      </c>
      <c r="L3037">
        <v>283.7063</v>
      </c>
      <c r="M3037">
        <v>-0.96695410000000004</v>
      </c>
      <c r="N3037">
        <v>-1.458625E-2</v>
      </c>
      <c r="O3037">
        <v>-0.2545328</v>
      </c>
      <c r="P3037">
        <v>-0.9237687</v>
      </c>
      <c r="Q3037">
        <v>0.17124819999999999</v>
      </c>
      <c r="R3037">
        <v>-0.3425281</v>
      </c>
      <c r="S3037">
        <v>-2.6049500000000001</v>
      </c>
      <c r="T3037">
        <v>-1.3327479999999999E-2</v>
      </c>
      <c r="U3037">
        <v>-1.7650760000000001</v>
      </c>
      <c r="V3037">
        <v>-9.9048810000000001E-2</v>
      </c>
      <c r="W3037">
        <v>0.18396979999999999</v>
      </c>
      <c r="X3037">
        <v>0.97792860000000004</v>
      </c>
      <c r="Y3037">
        <v>-0.3317155</v>
      </c>
      <c r="Z3037">
        <v>-5.7419430000000002E-3</v>
      </c>
      <c r="AA3037">
        <v>0.94336200000000003</v>
      </c>
      <c r="AB3037">
        <v>25</v>
      </c>
      <c r="AC3037">
        <v>-38.555799999999898</v>
      </c>
      <c r="AD3037">
        <v>-0.1986019</v>
      </c>
      <c r="AE3037">
        <v>-26.210799999999999</v>
      </c>
      <c r="AF3037">
        <v>-15.532295861960099</v>
      </c>
      <c r="AG3037">
        <v>-0.1986019</v>
      </c>
      <c r="AH3037">
        <v>43.957077385267198</v>
      </c>
      <c r="AI3037">
        <v>90.2440764585549</v>
      </c>
      <c r="AJ3037">
        <v>109.460933876262</v>
      </c>
      <c r="AK3037">
        <v>46.620985722231502</v>
      </c>
      <c r="AL3037">
        <v>79.398924042309702</v>
      </c>
      <c r="AM3037">
        <v>95.783440026057903</v>
      </c>
      <c r="AN3037">
        <v>0.99999995038620604</v>
      </c>
    </row>
    <row r="3038" spans="1:40" x14ac:dyDescent="0.25">
      <c r="A3038" t="str">
        <f>"20190303170315689"</f>
        <v>20190303170315689</v>
      </c>
      <c r="B3038" t="str">
        <f>"1551603795678256"</f>
        <v>1551603795678256</v>
      </c>
      <c r="C3038" t="s">
        <v>40</v>
      </c>
      <c r="D3038">
        <v>4.6835750000000003</v>
      </c>
      <c r="E3038">
        <v>0.4129255</v>
      </c>
      <c r="F3038" t="s">
        <v>66</v>
      </c>
      <c r="G3038">
        <v>-512.82539999999995</v>
      </c>
      <c r="H3038">
        <v>0.87085380000000001</v>
      </c>
      <c r="I3038">
        <v>257.024</v>
      </c>
      <c r="J3038">
        <v>-474.49489999999997</v>
      </c>
      <c r="K3038">
        <v>1.1284350000000001</v>
      </c>
      <c r="L3038">
        <v>283.63569999999999</v>
      </c>
      <c r="M3038">
        <v>-0.96438460000000004</v>
      </c>
      <c r="N3038">
        <v>-1.4612699999999999E-2</v>
      </c>
      <c r="O3038">
        <v>-0.26410009999999901</v>
      </c>
      <c r="P3038">
        <v>-0.92023829999999995</v>
      </c>
      <c r="Q3038">
        <v>0.17095879999999999</v>
      </c>
      <c r="R3038">
        <v>-0.35204400000000002</v>
      </c>
      <c r="S3038">
        <v>-2.5869140000000002</v>
      </c>
      <c r="T3038">
        <v>-1.727045E-2</v>
      </c>
      <c r="U3038">
        <v>-1.7902530000000001</v>
      </c>
      <c r="V3038">
        <v>-9.9484340000000004E-2</v>
      </c>
      <c r="W3038">
        <v>0.183674</v>
      </c>
      <c r="X3038">
        <v>0.97794000000000003</v>
      </c>
      <c r="Y3038">
        <v>-0.33164549999999998</v>
      </c>
      <c r="Z3038">
        <v>-5.7185980000000001E-3</v>
      </c>
      <c r="AA3038">
        <v>0.94338670000000002</v>
      </c>
      <c r="AB3038">
        <v>24</v>
      </c>
      <c r="AC3038">
        <v>-38.330499999999901</v>
      </c>
      <c r="AD3038">
        <v>-0.25758120000000001</v>
      </c>
      <c r="AE3038">
        <v>-26.6116999999999</v>
      </c>
      <c r="AF3038">
        <v>-15.5420102914778</v>
      </c>
      <c r="AG3038">
        <v>-0.25758120000000001</v>
      </c>
      <c r="AH3038">
        <v>43.996852536917402</v>
      </c>
      <c r="AI3038">
        <v>90.316282766642402</v>
      </c>
      <c r="AJ3038">
        <v>109.455909009951</v>
      </c>
      <c r="AK3038">
        <v>46.662013084845</v>
      </c>
      <c r="AL3038">
        <v>79.416166024659006</v>
      </c>
      <c r="AM3038">
        <v>95.8086297680467</v>
      </c>
      <c r="AN3038">
        <v>0.99999995789061602</v>
      </c>
    </row>
    <row r="3039" spans="1:40" x14ac:dyDescent="0.25">
      <c r="A3039" t="str">
        <f>"20190303170315712"</f>
        <v>20190303170315712</v>
      </c>
      <c r="B3039" t="str">
        <f>"1551603795708512"</f>
        <v>1551603795708512</v>
      </c>
      <c r="C3039" t="s">
        <v>40</v>
      </c>
      <c r="D3039">
        <v>4.6809370000000001</v>
      </c>
      <c r="E3039">
        <v>0.41865659999999999</v>
      </c>
      <c r="F3039" t="s">
        <v>66</v>
      </c>
      <c r="G3039">
        <v>-512.82529999999997</v>
      </c>
      <c r="H3039">
        <v>0.47465109999999999</v>
      </c>
      <c r="I3039">
        <v>257.50330000000002</v>
      </c>
      <c r="J3039">
        <v>-474.72809999999998</v>
      </c>
      <c r="K3039">
        <v>1.1285559999999999</v>
      </c>
      <c r="L3039">
        <v>283.55959999999999</v>
      </c>
      <c r="M3039">
        <v>-0.96155789999999997</v>
      </c>
      <c r="N3039">
        <v>-1.46421E-2</v>
      </c>
      <c r="O3039">
        <v>-0.2742116</v>
      </c>
      <c r="P3039">
        <v>-0.91581040000000002</v>
      </c>
      <c r="Q3039">
        <v>0.17115839999999999</v>
      </c>
      <c r="R3039">
        <v>-0.36331239999999998</v>
      </c>
      <c r="S3039">
        <v>-2.5921630000000002</v>
      </c>
      <c r="T3039">
        <v>-4.4208049999999999E-2</v>
      </c>
      <c r="U3039">
        <v>-1.76724199999999</v>
      </c>
      <c r="V3039">
        <v>-0.1012898</v>
      </c>
      <c r="W3039">
        <v>0.1838418</v>
      </c>
      <c r="X3039">
        <v>0.97772320000000001</v>
      </c>
      <c r="Y3039">
        <v>-0.31504989999999999</v>
      </c>
      <c r="Z3039">
        <v>-4.6181720000000002E-3</v>
      </c>
      <c r="AA3039">
        <v>0.94906389999999996</v>
      </c>
      <c r="AB3039">
        <v>24</v>
      </c>
      <c r="AC3039">
        <v>-38.097200000000001</v>
      </c>
      <c r="AD3039">
        <v>-0.65390489999999901</v>
      </c>
      <c r="AE3039">
        <v>-26.056299999999901</v>
      </c>
      <c r="AF3039">
        <v>-14.606581410441001</v>
      </c>
      <c r="AG3039">
        <v>-0.65390489999999901</v>
      </c>
      <c r="AH3039">
        <v>43.773511067753098</v>
      </c>
      <c r="AI3039">
        <v>90.811843169749693</v>
      </c>
      <c r="AJ3039">
        <v>108.45310148128399</v>
      </c>
      <c r="AK3039">
        <v>46.1508405483236</v>
      </c>
      <c r="AL3039">
        <v>79.406386157141995</v>
      </c>
      <c r="AM3039">
        <v>95.914607372481299</v>
      </c>
      <c r="AN3039">
        <v>1.00000004341475</v>
      </c>
    </row>
    <row r="3040" spans="1:40" x14ac:dyDescent="0.25">
      <c r="A3040" t="str">
        <f>"20190303170315723"</f>
        <v>20190303170315723</v>
      </c>
      <c r="B3040" t="str">
        <f>"1551603795718272"</f>
        <v>1551603795718272</v>
      </c>
      <c r="C3040" t="s">
        <v>40</v>
      </c>
      <c r="D3040">
        <v>4.6954390000000004</v>
      </c>
      <c r="E3040">
        <v>0.41885359999999999</v>
      </c>
      <c r="F3040" t="s">
        <v>66</v>
      </c>
      <c r="G3040">
        <v>-512.8252</v>
      </c>
      <c r="H3040">
        <v>0.15912799999999999</v>
      </c>
      <c r="I3040">
        <v>257.70639999999997</v>
      </c>
      <c r="J3040">
        <v>-474.83850000000001</v>
      </c>
      <c r="K3040">
        <v>1.1286119999999999</v>
      </c>
      <c r="L3040">
        <v>283.52249999999998</v>
      </c>
      <c r="M3040">
        <v>-0.96015649999999997</v>
      </c>
      <c r="N3040">
        <v>-1.465616E-2</v>
      </c>
      <c r="O3040">
        <v>-0.27907890000000002</v>
      </c>
      <c r="P3040">
        <v>-0.91349360000000002</v>
      </c>
      <c r="Q3040">
        <v>0.17152479999999901</v>
      </c>
      <c r="R3040">
        <v>-0.36892999999999998</v>
      </c>
      <c r="S3040">
        <v>-2.590668</v>
      </c>
      <c r="T3040">
        <v>-6.5917489999999995E-2</v>
      </c>
      <c r="U3040">
        <v>-1.758057</v>
      </c>
      <c r="V3040">
        <v>-0.1023935</v>
      </c>
      <c r="W3040">
        <v>0.1841882</v>
      </c>
      <c r="X3040">
        <v>0.97754300000000005</v>
      </c>
      <c r="Y3040">
        <v>-0.30814609999999998</v>
      </c>
      <c r="Z3040">
        <v>-3.6304890000000002E-3</v>
      </c>
      <c r="AA3040">
        <v>0.95133210000000001</v>
      </c>
      <c r="AB3040">
        <v>24</v>
      </c>
      <c r="AC3040">
        <v>-37.9866999999999</v>
      </c>
      <c r="AD3040">
        <v>-0.96948400000000001</v>
      </c>
      <c r="AE3040">
        <v>-25.816099999999999</v>
      </c>
      <c r="AF3040">
        <v>-14.1814124985987</v>
      </c>
      <c r="AG3040">
        <v>-0.96948400000000001</v>
      </c>
      <c r="AH3040">
        <v>43.663135398197902</v>
      </c>
      <c r="AI3040">
        <v>91.209780294396396</v>
      </c>
      <c r="AJ3040">
        <v>107.99335278667699</v>
      </c>
      <c r="AK3040">
        <v>45.918642755236498</v>
      </c>
      <c r="AL3040">
        <v>79.386193830410903</v>
      </c>
      <c r="AM3040">
        <v>95.979685439024195</v>
      </c>
      <c r="AN3040">
        <v>1.0000000193552401</v>
      </c>
    </row>
    <row r="3041" spans="1:40" x14ac:dyDescent="0.25">
      <c r="A3041" t="str">
        <f>"20190303170315733"</f>
        <v>20190303170315733</v>
      </c>
      <c r="B3041" t="str">
        <f>"1551603795729008"</f>
        <v>1551603795729008</v>
      </c>
      <c r="C3041" t="s">
        <v>40</v>
      </c>
      <c r="D3041">
        <v>4.6829080000000003</v>
      </c>
      <c r="E3041">
        <v>0.41919440000000002</v>
      </c>
      <c r="F3041" t="s">
        <v>66</v>
      </c>
      <c r="G3041">
        <v>-512.8252</v>
      </c>
      <c r="H3041">
        <v>0.17663219999999999</v>
      </c>
      <c r="I3041">
        <v>257.43540000000002</v>
      </c>
      <c r="J3041">
        <v>-474.95100000000002</v>
      </c>
      <c r="K3041">
        <v>1.1286639999999999</v>
      </c>
      <c r="L3041">
        <v>283.48430000000002</v>
      </c>
      <c r="M3041">
        <v>-0.95869550000000003</v>
      </c>
      <c r="N3041">
        <v>-1.467008E-2</v>
      </c>
      <c r="O3041">
        <v>-0.28405659999999999</v>
      </c>
      <c r="P3041">
        <v>-0.91089909999999996</v>
      </c>
      <c r="Q3041">
        <v>0.17191489999999901</v>
      </c>
      <c r="R3041">
        <v>-0.37511129999999998</v>
      </c>
      <c r="S3041">
        <v>-2.5805359999999999</v>
      </c>
      <c r="T3041">
        <v>-6.466508E-2</v>
      </c>
      <c r="U3041">
        <v>-1.7721560000000001</v>
      </c>
      <c r="V3041">
        <v>-0.1040013</v>
      </c>
      <c r="W3041">
        <v>0.18454809999999999</v>
      </c>
      <c r="X3041">
        <v>0.97730539999999999</v>
      </c>
      <c r="Y3041">
        <v>-0.30848720000000002</v>
      </c>
      <c r="Z3041">
        <v>-3.655382E-3</v>
      </c>
      <c r="AA3041">
        <v>0.95122150000000005</v>
      </c>
      <c r="AB3041">
        <v>24</v>
      </c>
      <c r="AC3041">
        <v>-37.874200000000002</v>
      </c>
      <c r="AD3041">
        <v>-0.95203179999999998</v>
      </c>
      <c r="AE3041">
        <v>-26.0489</v>
      </c>
      <c r="AF3041">
        <v>-14.209978197184601</v>
      </c>
      <c r="AG3041">
        <v>-0.95203179999999998</v>
      </c>
      <c r="AH3041">
        <v>43.695139009605498</v>
      </c>
      <c r="AI3041">
        <v>91.186993737820501</v>
      </c>
      <c r="AJ3041">
        <v>108.01490368680901</v>
      </c>
      <c r="AK3041">
        <v>45.957534942394602</v>
      </c>
      <c r="AL3041">
        <v>79.365213836173595</v>
      </c>
      <c r="AM3041">
        <v>96.074348572914303</v>
      </c>
      <c r="AN3041">
        <v>1.0000000582422199</v>
      </c>
    </row>
    <row r="3042" spans="1:40" x14ac:dyDescent="0.25">
      <c r="A3042" t="str">
        <f>"20190303170315745"</f>
        <v>20190303170315745</v>
      </c>
      <c r="B3042" t="str">
        <f>"1551603795738768"</f>
        <v>1551603795738768</v>
      </c>
      <c r="C3042" t="s">
        <v>40</v>
      </c>
      <c r="D3042">
        <v>4.6705449999999997</v>
      </c>
      <c r="E3042">
        <v>0.41919440000000002</v>
      </c>
      <c r="F3042" t="s">
        <v>66</v>
      </c>
      <c r="G3042">
        <v>-512.8252</v>
      </c>
      <c r="H3042">
        <v>0.19438830000000001</v>
      </c>
      <c r="I3042">
        <v>257.14879999999999</v>
      </c>
      <c r="J3042">
        <v>-475.06349999999998</v>
      </c>
      <c r="K3042">
        <v>1.1287100000000001</v>
      </c>
      <c r="L3042">
        <v>283.44490000000002</v>
      </c>
      <c r="M3042">
        <v>-0.95718400000000003</v>
      </c>
      <c r="N3042">
        <v>-1.468355E-2</v>
      </c>
      <c r="O3042">
        <v>-0.28910780000000003</v>
      </c>
      <c r="P3042">
        <v>-0.90806529999999996</v>
      </c>
      <c r="Q3042">
        <v>0.1722264</v>
      </c>
      <c r="R3042">
        <v>-0.38178000000000001</v>
      </c>
      <c r="S3042">
        <v>-2.5696110000000001</v>
      </c>
      <c r="T3042">
        <v>-6.3381430000000002E-2</v>
      </c>
      <c r="U3042">
        <v>-1.786743</v>
      </c>
      <c r="V3042">
        <v>-0.1060623</v>
      </c>
      <c r="W3042">
        <v>0.18482270000000001</v>
      </c>
      <c r="X3042">
        <v>0.97703189999999995</v>
      </c>
      <c r="Y3042">
        <v>-0.30900840000000002</v>
      </c>
      <c r="Z3042">
        <v>-3.687891E-3</v>
      </c>
      <c r="AA3042">
        <v>0.95105220000000001</v>
      </c>
      <c r="AB3042">
        <v>24</v>
      </c>
      <c r="AC3042">
        <v>-37.761699999999998</v>
      </c>
      <c r="AD3042">
        <v>-0.93432170000000003</v>
      </c>
      <c r="AE3042">
        <v>-26.296099999999999</v>
      </c>
      <c r="AF3042">
        <v>-14.248665644540599</v>
      </c>
      <c r="AG3042">
        <v>-0.93432170000000003</v>
      </c>
      <c r="AH3042">
        <v>43.733986263150399</v>
      </c>
      <c r="AI3042">
        <v>91.163680449913201</v>
      </c>
      <c r="AJ3042">
        <v>108.04576693790899</v>
      </c>
      <c r="AK3042">
        <v>46.006075513506197</v>
      </c>
      <c r="AL3042">
        <v>79.349204268168293</v>
      </c>
      <c r="AM3042">
        <v>96.195518003320899</v>
      </c>
      <c r="AN3042">
        <v>0.99999998776709398</v>
      </c>
    </row>
    <row r="3043" spans="1:40" x14ac:dyDescent="0.25">
      <c r="A3043" t="str">
        <f>"20190303170315758"</f>
        <v>20190303170315758</v>
      </c>
      <c r="B3043" t="str">
        <f>"1551603795748528"</f>
        <v>1551603795748528</v>
      </c>
      <c r="C3043" t="s">
        <v>40</v>
      </c>
      <c r="D3043">
        <v>4.6703289999999997</v>
      </c>
      <c r="E3043">
        <v>0.42280180000000001</v>
      </c>
      <c r="F3043" t="s">
        <v>66</v>
      </c>
      <c r="G3043">
        <v>-512.8252</v>
      </c>
      <c r="H3043">
        <v>0.19205449999999999</v>
      </c>
      <c r="I3043">
        <v>256.79320000000001</v>
      </c>
      <c r="J3043">
        <v>-475.19080000000002</v>
      </c>
      <c r="K3043">
        <v>1.12876</v>
      </c>
      <c r="L3043">
        <v>283.3999</v>
      </c>
      <c r="M3043">
        <v>-0.95543339999999999</v>
      </c>
      <c r="N3043">
        <v>-1.4698019999999999E-2</v>
      </c>
      <c r="O3043">
        <v>-0.29484080000000001</v>
      </c>
      <c r="P3043">
        <v>-0.90505829999999998</v>
      </c>
      <c r="Q3043">
        <v>0.17171979999999901</v>
      </c>
      <c r="R3043">
        <v>-0.38907839999999999</v>
      </c>
      <c r="S3043">
        <v>-2.557007</v>
      </c>
      <c r="T3043">
        <v>-6.3419580000000003E-2</v>
      </c>
      <c r="U3043">
        <v>-1.8046880000000001</v>
      </c>
      <c r="V3043">
        <v>-0.1080617</v>
      </c>
      <c r="W3043">
        <v>0.18428140000000001</v>
      </c>
      <c r="X3043">
        <v>0.97691510000000004</v>
      </c>
      <c r="Y3043">
        <v>-0.30996970000000001</v>
      </c>
      <c r="Z3043">
        <v>-3.6682949999999998E-3</v>
      </c>
      <c r="AA3043">
        <v>0.95073929999999995</v>
      </c>
      <c r="AB3043">
        <v>24</v>
      </c>
      <c r="AC3043">
        <v>-37.6343999999999</v>
      </c>
      <c r="AD3043">
        <v>-0.93670549999999997</v>
      </c>
      <c r="AE3043">
        <v>-26.606699999999901</v>
      </c>
      <c r="AF3043">
        <v>-14.3204050251297</v>
      </c>
      <c r="AG3043">
        <v>-0.93670549999999997</v>
      </c>
      <c r="AH3043">
        <v>43.788546452458199</v>
      </c>
      <c r="AI3043">
        <v>91.164771981416706</v>
      </c>
      <c r="AJ3043">
        <v>108.109577324193</v>
      </c>
      <c r="AK3043">
        <v>46.080236736551001</v>
      </c>
      <c r="AL3043">
        <v>79.380761074797405</v>
      </c>
      <c r="AM3043">
        <v>96.312125479952499</v>
      </c>
      <c r="AN3043">
        <v>1.00000003900042</v>
      </c>
    </row>
    <row r="3044" spans="1:40" x14ac:dyDescent="0.25">
      <c r="A3044" t="str">
        <f>"20190303170315769"</f>
        <v>20190303170315769</v>
      </c>
      <c r="B3044" t="str">
        <f>"1551603795758288"</f>
        <v>1551603795758288</v>
      </c>
      <c r="C3044" t="s">
        <v>40</v>
      </c>
      <c r="D3044">
        <v>4.662007</v>
      </c>
      <c r="E3044">
        <v>0.42259449999999998</v>
      </c>
      <c r="F3044" t="s">
        <v>66</v>
      </c>
      <c r="G3044">
        <v>-512.8252</v>
      </c>
      <c r="H3044">
        <v>9.7831959999999996E-2</v>
      </c>
      <c r="I3044">
        <v>256.90800000000002</v>
      </c>
      <c r="J3044">
        <v>-475.30790000000002</v>
      </c>
      <c r="K3044">
        <v>1.1287959999999999</v>
      </c>
      <c r="L3044">
        <v>283.35739999999998</v>
      </c>
      <c r="M3044">
        <v>-0.9537717</v>
      </c>
      <c r="N3044">
        <v>-1.4710519999999999E-2</v>
      </c>
      <c r="O3044">
        <v>-0.300172099999999</v>
      </c>
      <c r="P3044">
        <v>-0.90225929999999999</v>
      </c>
      <c r="Q3044">
        <v>0.17131749999999901</v>
      </c>
      <c r="R3044">
        <v>-0.3957</v>
      </c>
      <c r="S3044">
        <v>-2.5548709999999999</v>
      </c>
      <c r="T3044">
        <v>-6.998074E-2</v>
      </c>
      <c r="U3044">
        <v>-1.7984309999999999</v>
      </c>
      <c r="V3044">
        <v>-0.1097559</v>
      </c>
      <c r="W3044">
        <v>0.18385119999999999</v>
      </c>
      <c r="X3044">
        <v>0.97680719999999999</v>
      </c>
      <c r="Y3044">
        <v>-0.3034617</v>
      </c>
      <c r="Z3044">
        <v>-3.1939120000000001E-3</v>
      </c>
      <c r="AA3044">
        <v>0.95283830000000003</v>
      </c>
      <c r="AB3044">
        <v>24</v>
      </c>
      <c r="AC3044">
        <v>-37.517299999999899</v>
      </c>
      <c r="AD3044">
        <v>-1.03096404</v>
      </c>
      <c r="AE3044">
        <v>-26.449399999999901</v>
      </c>
      <c r="AF3044">
        <v>-13.9595111722745</v>
      </c>
      <c r="AG3044">
        <v>-1.03096404</v>
      </c>
      <c r="AH3044">
        <v>43.704993320466102</v>
      </c>
      <c r="AI3044">
        <v>91.287263920878402</v>
      </c>
      <c r="AJ3044">
        <v>107.71364414097199</v>
      </c>
      <c r="AK3044">
        <v>45.891799704986703</v>
      </c>
      <c r="AL3044">
        <v>79.405837382715106</v>
      </c>
      <c r="AM3044">
        <v>96.410972206116895</v>
      </c>
      <c r="AN3044">
        <v>0.99999996364904398</v>
      </c>
    </row>
    <row r="3045" spans="1:40" x14ac:dyDescent="0.25">
      <c r="A3045" t="str">
        <f>"20190303170315781"</f>
        <v>20190303170315781</v>
      </c>
      <c r="B3045" t="str">
        <f>"1551603795778784"</f>
        <v>1551603795778784</v>
      </c>
      <c r="C3045" t="s">
        <v>40</v>
      </c>
      <c r="D3045">
        <v>4.7212259999999997</v>
      </c>
      <c r="E3045">
        <v>0.42332399999999998</v>
      </c>
      <c r="F3045" t="s">
        <v>66</v>
      </c>
      <c r="G3045">
        <v>-512.8252</v>
      </c>
      <c r="H3045">
        <v>6.9427729999999993E-2</v>
      </c>
      <c r="I3045">
        <v>256.51900000000001</v>
      </c>
      <c r="J3045">
        <v>-475.42500000000001</v>
      </c>
      <c r="K3045">
        <v>1.128822</v>
      </c>
      <c r="L3045">
        <v>283.31420000000003</v>
      </c>
      <c r="M3045">
        <v>-0.95206990000000002</v>
      </c>
      <c r="N3045">
        <v>-1.4721949999999999E-2</v>
      </c>
      <c r="O3045">
        <v>-0.30552639999999998</v>
      </c>
      <c r="P3045">
        <v>-0.89925219999999995</v>
      </c>
      <c r="Q3045">
        <v>0.1708305</v>
      </c>
      <c r="R3045">
        <v>-0.40269480000000002</v>
      </c>
      <c r="S3045">
        <v>-2.54129</v>
      </c>
      <c r="T3045">
        <v>-7.1752670000000005E-2</v>
      </c>
      <c r="U3045">
        <v>-1.8179320000000001</v>
      </c>
      <c r="V3045">
        <v>-0.111835199999999</v>
      </c>
      <c r="W3045">
        <v>0.18332950000000001</v>
      </c>
      <c r="X3045">
        <v>0.97666940000000002</v>
      </c>
      <c r="Y3045">
        <v>-0.3053497</v>
      </c>
      <c r="Z3045">
        <v>-3.0954749999999999E-3</v>
      </c>
      <c r="AA3045">
        <v>0.95223530000000001</v>
      </c>
      <c r="AB3045">
        <v>24</v>
      </c>
      <c r="AC3045">
        <v>-37.400199999999899</v>
      </c>
      <c r="AD3045">
        <v>-1.0593942700000001</v>
      </c>
      <c r="AE3045">
        <v>-26.795200000000001</v>
      </c>
      <c r="AF3045">
        <v>-14.078215603606999</v>
      </c>
      <c r="AG3045">
        <v>-1.0593942700000001</v>
      </c>
      <c r="AH3045">
        <v>43.775777548464902</v>
      </c>
      <c r="AI3045">
        <v>91.319769425316906</v>
      </c>
      <c r="AJ3045">
        <v>107.82770252584299</v>
      </c>
      <c r="AK3045">
        <v>45.996056034986701</v>
      </c>
      <c r="AL3045">
        <v>79.4362454811465</v>
      </c>
      <c r="AM3045">
        <v>96.532300325393194</v>
      </c>
      <c r="AN3045">
        <v>0.99999996721282403</v>
      </c>
    </row>
    <row r="3046" spans="1:40" x14ac:dyDescent="0.25">
      <c r="A3046" t="str">
        <f>"20190303170315792"</f>
        <v>20190303170315792</v>
      </c>
      <c r="B3046" t="str">
        <f>"1551603795788544"</f>
        <v>1551603795788544</v>
      </c>
      <c r="C3046" t="s">
        <v>40</v>
      </c>
      <c r="D3046">
        <v>4.6649589999999996</v>
      </c>
      <c r="E3046">
        <v>0.42332399999999998</v>
      </c>
      <c r="F3046" t="s">
        <v>66</v>
      </c>
      <c r="G3046">
        <v>-512.8252</v>
      </c>
      <c r="H3046">
        <v>4.5654420000000001E-2</v>
      </c>
      <c r="I3046">
        <v>256.23779999999999</v>
      </c>
      <c r="J3046">
        <v>-475.5394</v>
      </c>
      <c r="K3046">
        <v>1.128843</v>
      </c>
      <c r="L3046">
        <v>283.27140000000003</v>
      </c>
      <c r="M3046">
        <v>-0.95036810000000005</v>
      </c>
      <c r="N3046">
        <v>-1.473228E-2</v>
      </c>
      <c r="O3046">
        <v>-0.31077890000000002</v>
      </c>
      <c r="P3046">
        <v>-0.89640119999999901</v>
      </c>
      <c r="Q3046">
        <v>0.16994020000000001</v>
      </c>
      <c r="R3046">
        <v>-0.40937269999999998</v>
      </c>
      <c r="S3046">
        <v>-2.529846</v>
      </c>
      <c r="T3046">
        <v>-7.3263049999999996E-2</v>
      </c>
      <c r="U3046">
        <v>-1.831512</v>
      </c>
      <c r="V3046">
        <v>-0.1136534</v>
      </c>
      <c r="W3046">
        <v>0.18241109999999999</v>
      </c>
      <c r="X3046">
        <v>0.97663149999999999</v>
      </c>
      <c r="Y3046">
        <v>-0.30548629999999999</v>
      </c>
      <c r="Z3046">
        <v>-2.969593E-3</v>
      </c>
      <c r="AA3046">
        <v>0.95219180000000003</v>
      </c>
      <c r="AB3046">
        <v>24</v>
      </c>
      <c r="AC3046">
        <v>-37.285800000000002</v>
      </c>
      <c r="AD3046">
        <v>-1.0831885800000001</v>
      </c>
      <c r="AE3046">
        <v>-27.0336</v>
      </c>
      <c r="AF3046">
        <v>-14.0979628042148</v>
      </c>
      <c r="AG3046">
        <v>-1.0831885800000001</v>
      </c>
      <c r="AH3046">
        <v>43.8172249923728</v>
      </c>
      <c r="AI3046">
        <v>91.348067511789395</v>
      </c>
      <c r="AJ3046">
        <v>107.835307549685</v>
      </c>
      <c r="AK3046">
        <v>46.042100937740599</v>
      </c>
      <c r="AL3046">
        <v>79.489768788324596</v>
      </c>
      <c r="AM3046">
        <v>96.637816606335804</v>
      </c>
      <c r="AN3046">
        <v>0.99999999576350995</v>
      </c>
    </row>
    <row r="3047" spans="1:40" x14ac:dyDescent="0.25">
      <c r="A3047" t="str">
        <f>"20190303170315803"</f>
        <v>20190303170315803</v>
      </c>
      <c r="B3047" t="str">
        <f>"1551603795798304"</f>
        <v>1551603795798304</v>
      </c>
      <c r="C3047" t="s">
        <v>40</v>
      </c>
      <c r="D3047">
        <v>4.6825850000000004</v>
      </c>
      <c r="E3047">
        <v>0.41951830000000001</v>
      </c>
      <c r="F3047" t="s">
        <v>66</v>
      </c>
      <c r="G3047">
        <v>-512.82510000000002</v>
      </c>
      <c r="H3047">
        <v>-6.1565040000000001E-3</v>
      </c>
      <c r="I3047">
        <v>255.86320000000001</v>
      </c>
      <c r="J3047">
        <v>-475.63929999999999</v>
      </c>
      <c r="K3047">
        <v>1.1288480000000001</v>
      </c>
      <c r="L3047">
        <v>283.23320000000001</v>
      </c>
      <c r="M3047">
        <v>-0.94884860000000004</v>
      </c>
      <c r="N3047">
        <v>-1.4740049999999999E-2</v>
      </c>
      <c r="O3047">
        <v>-0.3153879</v>
      </c>
      <c r="P3047">
        <v>-0.89375640000000001</v>
      </c>
      <c r="Q3047">
        <v>0.16944719999999999</v>
      </c>
      <c r="R3047">
        <v>-0.41531649999999998</v>
      </c>
      <c r="S3047">
        <v>-2.5164789999999999</v>
      </c>
      <c r="T3047">
        <v>-7.6597810000000002E-2</v>
      </c>
      <c r="U3047">
        <v>-1.849823</v>
      </c>
      <c r="V3047">
        <v>-0.1153703</v>
      </c>
      <c r="W3047">
        <v>0.18189159999999999</v>
      </c>
      <c r="X3047">
        <v>0.97652709999999998</v>
      </c>
      <c r="Y3047">
        <v>-0.30776799999999999</v>
      </c>
      <c r="Z3047">
        <v>-2.7915370000000002E-3</v>
      </c>
      <c r="AA3047">
        <v>0.95145740000000001</v>
      </c>
      <c r="AB3047">
        <v>24</v>
      </c>
      <c r="AC3047">
        <v>-37.1858</v>
      </c>
      <c r="AD3047">
        <v>-1.1350045040000001</v>
      </c>
      <c r="AE3047">
        <v>-27.37</v>
      </c>
      <c r="AF3047">
        <v>-14.2349772325069</v>
      </c>
      <c r="AG3047">
        <v>-1.1350045040000001</v>
      </c>
      <c r="AH3047">
        <v>43.894098781182699</v>
      </c>
      <c r="AI3047">
        <v>91.409001742242097</v>
      </c>
      <c r="AJ3047">
        <v>107.96802160436999</v>
      </c>
      <c r="AK3047">
        <v>46.158582298921601</v>
      </c>
      <c r="AL3047">
        <v>79.520040617248696</v>
      </c>
      <c r="AM3047">
        <v>96.737889156313102</v>
      </c>
      <c r="AN3047">
        <v>1.0000000186535201</v>
      </c>
    </row>
    <row r="3048" spans="1:40" x14ac:dyDescent="0.25">
      <c r="A3048" t="str">
        <f>"20190303170315815"</f>
        <v>20190303170315815</v>
      </c>
      <c r="B3048" t="str">
        <f>"1551603795808064"</f>
        <v>1551603795808064</v>
      </c>
      <c r="C3048" t="s">
        <v>40</v>
      </c>
      <c r="D3048">
        <v>4.6388309999999997</v>
      </c>
      <c r="E3048">
        <v>0.41951830000000001</v>
      </c>
      <c r="F3048" t="s">
        <v>66</v>
      </c>
      <c r="G3048">
        <v>-512.8252</v>
      </c>
      <c r="H3048">
        <v>7.8950640000000002E-2</v>
      </c>
      <c r="I3048">
        <v>254.97659999999999</v>
      </c>
      <c r="J3048">
        <v>-475.75459999999998</v>
      </c>
      <c r="K3048">
        <v>1.1288590000000001</v>
      </c>
      <c r="L3048">
        <v>283.18880000000001</v>
      </c>
      <c r="M3048">
        <v>-0.94706140000000005</v>
      </c>
      <c r="N3048">
        <v>-1.4748539999999999E-2</v>
      </c>
      <c r="O3048">
        <v>-0.320714099999999</v>
      </c>
      <c r="P3048">
        <v>-0.89083199999999996</v>
      </c>
      <c r="Q3048">
        <v>0.16867199999999999</v>
      </c>
      <c r="R3048">
        <v>-0.42186279999999998</v>
      </c>
      <c r="S3048">
        <v>-2.4905400000000002</v>
      </c>
      <c r="T3048">
        <v>-7.0312020000000003E-2</v>
      </c>
      <c r="U3048">
        <v>-1.892487</v>
      </c>
      <c r="V3048">
        <v>-0.1169965</v>
      </c>
      <c r="W3048">
        <v>0.18109259999999999</v>
      </c>
      <c r="X3048">
        <v>0.97648210000000002</v>
      </c>
      <c r="Y3048">
        <v>-0.31754379999999999</v>
      </c>
      <c r="Z3048">
        <v>-3.2690610000000002E-3</v>
      </c>
      <c r="AA3048">
        <v>0.94823800000000003</v>
      </c>
      <c r="AB3048">
        <v>24</v>
      </c>
      <c r="AC3048">
        <v>-37.070599999999999</v>
      </c>
      <c r="AD3048">
        <v>-1.0499083600000001</v>
      </c>
      <c r="AE3048">
        <v>-28.212199999999999</v>
      </c>
      <c r="AF3048">
        <v>-14.8237025197334</v>
      </c>
      <c r="AG3048">
        <v>-1.0499083600000001</v>
      </c>
      <c r="AH3048">
        <v>44.138560468773797</v>
      </c>
      <c r="AI3048">
        <v>91.291740680009198</v>
      </c>
      <c r="AJ3048">
        <v>108.564353822217</v>
      </c>
      <c r="AK3048">
        <v>46.573135864074601</v>
      </c>
      <c r="AL3048">
        <v>79.566592885873405</v>
      </c>
      <c r="AM3048">
        <v>96.832283279704001</v>
      </c>
      <c r="AN3048">
        <v>1.00000000120371</v>
      </c>
    </row>
    <row r="3049" spans="1:40" x14ac:dyDescent="0.25">
      <c r="A3049" t="str">
        <f>"20190303170315829"</f>
        <v>20190303170315829</v>
      </c>
      <c r="B3049" t="str">
        <f>"1551603795818800"</f>
        <v>1551603795818800</v>
      </c>
      <c r="C3049" t="s">
        <v>40</v>
      </c>
      <c r="D3049">
        <v>4.6203629999999896</v>
      </c>
      <c r="E3049">
        <v>0.36921280000000001</v>
      </c>
      <c r="F3049" t="s">
        <v>66</v>
      </c>
      <c r="G3049">
        <v>-512.8252</v>
      </c>
      <c r="H3049">
        <v>2.8448049999999999E-2</v>
      </c>
      <c r="I3049">
        <v>254.61060000000001</v>
      </c>
      <c r="J3049">
        <v>-475.9074</v>
      </c>
      <c r="K3049">
        <v>1.1288549999999999</v>
      </c>
      <c r="L3049">
        <v>283.12830000000002</v>
      </c>
      <c r="M3049">
        <v>-0.94462869999999999</v>
      </c>
      <c r="N3049">
        <v>-1.4757350000000001E-2</v>
      </c>
      <c r="O3049">
        <v>-0.32780930000000003</v>
      </c>
      <c r="P3049">
        <v>-0.88694139999999999</v>
      </c>
      <c r="Q3049">
        <v>0.16845550000000001</v>
      </c>
      <c r="R3049">
        <v>-0.43006800000000001</v>
      </c>
      <c r="S3049">
        <v>-2.4772029999999998</v>
      </c>
      <c r="T3049">
        <v>-7.3528529999999995E-2</v>
      </c>
      <c r="U3049">
        <v>-1.9096979999999999</v>
      </c>
      <c r="V3049">
        <v>-0.118670899999999</v>
      </c>
      <c r="W3049">
        <v>0.18085380000000001</v>
      </c>
      <c r="X3049">
        <v>0.97632430000000003</v>
      </c>
      <c r="Y3049">
        <v>-0.31702540000000001</v>
      </c>
      <c r="Z3049">
        <v>-3.0147199999999998E-3</v>
      </c>
      <c r="AA3049">
        <v>0.94841220000000004</v>
      </c>
      <c r="AB3049">
        <v>24</v>
      </c>
      <c r="AC3049">
        <v>-36.9178</v>
      </c>
      <c r="AD3049">
        <v>-1.10040695</v>
      </c>
      <c r="AE3049">
        <v>-28.517700000000001</v>
      </c>
      <c r="AF3049">
        <v>-14.830002929449901</v>
      </c>
      <c r="AG3049">
        <v>-1.10040695</v>
      </c>
      <c r="AH3049">
        <v>44.202199177998502</v>
      </c>
      <c r="AI3049">
        <v>91.3520389380285</v>
      </c>
      <c r="AJ3049">
        <v>108.546795236759</v>
      </c>
      <c r="AK3049">
        <v>46.636619672898199</v>
      </c>
      <c r="AL3049">
        <v>79.580504915170593</v>
      </c>
      <c r="AM3049">
        <v>96.930228805668406</v>
      </c>
      <c r="AN3049">
        <v>1.0000000091258601</v>
      </c>
    </row>
    <row r="3050" spans="1:40" x14ac:dyDescent="0.25">
      <c r="A3050" t="str">
        <f>"20190303170315842"</f>
        <v>20190303170315842</v>
      </c>
      <c r="B3050" t="str">
        <f>"1551603795828561"</f>
        <v>1551603795828561</v>
      </c>
      <c r="C3050" t="s">
        <v>40</v>
      </c>
      <c r="D3050">
        <v>4.5538850000000002</v>
      </c>
      <c r="E3050">
        <v>0.36921280000000001</v>
      </c>
      <c r="F3050" t="s">
        <v>66</v>
      </c>
      <c r="G3050">
        <v>-512.82590000000005</v>
      </c>
      <c r="H3050">
        <v>2.2552910000000002</v>
      </c>
      <c r="I3050">
        <v>246.0136</v>
      </c>
      <c r="J3050">
        <v>-476.02589999999998</v>
      </c>
      <c r="K3050">
        <v>1.1288499999999999</v>
      </c>
      <c r="L3050">
        <v>283.08049999999997</v>
      </c>
      <c r="M3050">
        <v>-0.94269970000000003</v>
      </c>
      <c r="N3050">
        <v>-1.4763119999999999E-2</v>
      </c>
      <c r="O3050">
        <v>-0.333316099999999</v>
      </c>
      <c r="P3050">
        <v>-0.88364449999999894</v>
      </c>
      <c r="Q3050">
        <v>0.16832929999999999</v>
      </c>
      <c r="R3050">
        <v>-0.43684970000000001</v>
      </c>
      <c r="S3050">
        <v>-2.2651370000000002</v>
      </c>
      <c r="T3050">
        <v>6.9116590000000006E-2</v>
      </c>
      <c r="U3050">
        <v>-2.277161</v>
      </c>
      <c r="V3050">
        <v>-0.120445</v>
      </c>
      <c r="W3050">
        <v>0.1807019</v>
      </c>
      <c r="X3050">
        <v>0.97613510000000003</v>
      </c>
      <c r="Y3050">
        <v>-0.43347059999999998</v>
      </c>
      <c r="Z3050">
        <v>-1.064032E-2</v>
      </c>
      <c r="AA3050">
        <v>0.90110489999999999</v>
      </c>
      <c r="AB3050">
        <v>24</v>
      </c>
      <c r="AC3050">
        <v>-36.799999999999997</v>
      </c>
      <c r="AD3050">
        <v>1.126441</v>
      </c>
      <c r="AE3050">
        <v>-37.066899999999897</v>
      </c>
      <c r="AF3050">
        <v>-22.6688481209152</v>
      </c>
      <c r="AG3050">
        <v>1.126441</v>
      </c>
      <c r="AH3050">
        <v>47.029591016340099</v>
      </c>
      <c r="AI3050">
        <v>88.763973066640403</v>
      </c>
      <c r="AJ3050">
        <v>115.73464529915699</v>
      </c>
      <c r="AK3050">
        <v>52.219995936612399</v>
      </c>
      <c r="AL3050">
        <v>79.589353361402104</v>
      </c>
      <c r="AM3050">
        <v>97.034153468683897</v>
      </c>
      <c r="AN3050">
        <v>0.99999995407030895</v>
      </c>
    </row>
    <row r="3051" spans="1:40" x14ac:dyDescent="0.25">
      <c r="A3051" t="str">
        <f>"20190303170315855"</f>
        <v>20190303170315855</v>
      </c>
      <c r="B3051" t="str">
        <f>"1551603795849056"</f>
        <v>1551603795849056</v>
      </c>
      <c r="C3051" t="s">
        <v>40</v>
      </c>
      <c r="D3051">
        <v>4.6758240000000004</v>
      </c>
      <c r="E3051">
        <v>0.32734159999999901</v>
      </c>
      <c r="F3051" t="s">
        <v>66</v>
      </c>
      <c r="G3051">
        <v>-512.82590000000005</v>
      </c>
      <c r="H3051">
        <v>2.2348240000000001</v>
      </c>
      <c r="I3051">
        <v>245.5215</v>
      </c>
      <c r="J3051">
        <v>-476.1592</v>
      </c>
      <c r="K3051">
        <v>1.128841</v>
      </c>
      <c r="L3051">
        <v>283.02600000000001</v>
      </c>
      <c r="M3051">
        <v>-0.94048449999999995</v>
      </c>
      <c r="N3051">
        <v>-1.47688E-2</v>
      </c>
      <c r="O3051">
        <v>-0.33951569999999998</v>
      </c>
      <c r="P3051">
        <v>-0.88000389999999995</v>
      </c>
      <c r="Q3051">
        <v>0.16837750000000001</v>
      </c>
      <c r="R3051">
        <v>-0.44412000000000001</v>
      </c>
      <c r="S3051">
        <v>-2.2479550000000001</v>
      </c>
      <c r="T3051">
        <v>6.7563300000000007E-2</v>
      </c>
      <c r="U3051">
        <v>-2.2943120000000001</v>
      </c>
      <c r="V3051">
        <v>-0.1220683</v>
      </c>
      <c r="W3051">
        <v>0.18072769999999999</v>
      </c>
      <c r="X3051">
        <v>0.97592869999999998</v>
      </c>
      <c r="Y3051">
        <v>-0.43434780000000001</v>
      </c>
      <c r="Z3051">
        <v>-1.080823E-2</v>
      </c>
      <c r="AA3051">
        <v>0.90068040000000005</v>
      </c>
      <c r="AB3051">
        <v>24</v>
      </c>
      <c r="AC3051">
        <v>-36.666699999999999</v>
      </c>
      <c r="AD3051">
        <v>1.1059829999999999</v>
      </c>
      <c r="AE3051">
        <v>-37.5045</v>
      </c>
      <c r="AF3051">
        <v>-22.815824069575498</v>
      </c>
      <c r="AG3051">
        <v>1.1059829999999999</v>
      </c>
      <c r="AH3051">
        <v>47.201989524032903</v>
      </c>
      <c r="AI3051">
        <v>88.791485907360197</v>
      </c>
      <c r="AJ3051">
        <v>115.797531103976</v>
      </c>
      <c r="AK3051">
        <v>52.438657890882602</v>
      </c>
      <c r="AL3051">
        <v>79.587850862268994</v>
      </c>
      <c r="AM3051">
        <v>97.129479633132405</v>
      </c>
      <c r="AN3051">
        <v>0.99999999944793505</v>
      </c>
    </row>
    <row r="3052" spans="1:40" x14ac:dyDescent="0.25">
      <c r="A3052" t="str">
        <f>"20190303170315868"</f>
        <v>20190303170315868</v>
      </c>
      <c r="B3052" t="str">
        <f>"1551603795858816"</f>
        <v>1551603795858816</v>
      </c>
      <c r="C3052" t="s">
        <v>40</v>
      </c>
      <c r="D3052">
        <v>4.6223780000000003</v>
      </c>
      <c r="E3052">
        <v>0.32365690000000003</v>
      </c>
      <c r="F3052" t="s">
        <v>66</v>
      </c>
      <c r="G3052">
        <v>-512.82669999999996</v>
      </c>
      <c r="H3052">
        <v>4.4862349999999998</v>
      </c>
      <c r="I3052">
        <v>236.84270000000001</v>
      </c>
      <c r="J3052">
        <v>-476.28800000000001</v>
      </c>
      <c r="K3052">
        <v>1.128835</v>
      </c>
      <c r="L3052">
        <v>282.97199999999998</v>
      </c>
      <c r="M3052">
        <v>-0.93829720000000005</v>
      </c>
      <c r="N3052">
        <v>-1.477273E-2</v>
      </c>
      <c r="O3052">
        <v>-0.3455144</v>
      </c>
      <c r="P3052">
        <v>-0.87585230000000003</v>
      </c>
      <c r="Q3052">
        <v>0.16891229999999999</v>
      </c>
      <c r="R3052">
        <v>-0.45205250000000002</v>
      </c>
      <c r="S3052">
        <v>-2.0621339999999999</v>
      </c>
      <c r="T3052">
        <v>0.18881919999999999</v>
      </c>
      <c r="U3052">
        <v>-2.5972900000000001</v>
      </c>
      <c r="V3052">
        <v>-0.1246982</v>
      </c>
      <c r="W3052">
        <v>0.1812192</v>
      </c>
      <c r="X3052">
        <v>0.97550499999999996</v>
      </c>
      <c r="Y3052">
        <v>-0.52021830000000002</v>
      </c>
      <c r="Z3052">
        <v>-1.366699E-2</v>
      </c>
      <c r="AA3052">
        <v>0.85392400000000002</v>
      </c>
      <c r="AB3052">
        <v>24</v>
      </c>
      <c r="AC3052">
        <v>-36.538699999999899</v>
      </c>
      <c r="AD3052">
        <v>3.3574000000000002</v>
      </c>
      <c r="AE3052">
        <v>-46.129299999999901</v>
      </c>
      <c r="AF3052">
        <v>-30.562209912282899</v>
      </c>
      <c r="AG3052">
        <v>3.3574000000000002</v>
      </c>
      <c r="AH3052">
        <v>50.065013428341501</v>
      </c>
      <c r="AI3052">
        <v>86.724045212847798</v>
      </c>
      <c r="AJ3052">
        <v>121.401997004892</v>
      </c>
      <c r="AK3052">
        <v>58.752245736333002</v>
      </c>
      <c r="AL3052">
        <v>79.559217427567503</v>
      </c>
      <c r="AM3052">
        <v>97.284577919309498</v>
      </c>
      <c r="AN3052">
        <v>1.00000002227843</v>
      </c>
    </row>
    <row r="3053" spans="1:40" x14ac:dyDescent="0.25">
      <c r="A3053" t="str">
        <f>"20190303170315891"</f>
        <v>20190303170315891</v>
      </c>
      <c r="B3053" t="str">
        <f>"1551603795878336"</f>
        <v>1551603795878336</v>
      </c>
      <c r="C3053" t="s">
        <v>40</v>
      </c>
      <c r="D3053">
        <v>4.6415439999999997</v>
      </c>
      <c r="E3053">
        <v>0.32029580000000002</v>
      </c>
      <c r="F3053" t="s">
        <v>45</v>
      </c>
      <c r="G3053">
        <v>-502.11439999999999</v>
      </c>
      <c r="H3053">
        <v>3.6719140000000001</v>
      </c>
      <c r="I3053">
        <v>249.26669999999999</v>
      </c>
      <c r="J3053">
        <v>-476.49680000000001</v>
      </c>
      <c r="K3053">
        <v>1.1288020000000001</v>
      </c>
      <c r="L3053">
        <v>282.8827</v>
      </c>
      <c r="M3053">
        <v>-0.93466289999999996</v>
      </c>
      <c r="N3053">
        <v>-1.477767E-2</v>
      </c>
      <c r="O3053">
        <v>-0.35522809999999999</v>
      </c>
      <c r="P3053">
        <v>-0.87001499999999998</v>
      </c>
      <c r="Q3053">
        <v>0.169007399999999</v>
      </c>
      <c r="R3053">
        <v>-0.46315269999999997</v>
      </c>
      <c r="S3053">
        <v>-2.023682</v>
      </c>
      <c r="T3053">
        <v>0.19926849999999999</v>
      </c>
      <c r="U3053">
        <v>-2.6410520000000002</v>
      </c>
      <c r="V3053">
        <v>-0.12698489999999901</v>
      </c>
      <c r="W3053">
        <v>0.18128340000000001</v>
      </c>
      <c r="X3053">
        <v>0.97519800000000001</v>
      </c>
      <c r="Y3053">
        <v>-0.52606619999999904</v>
      </c>
      <c r="Z3053">
        <v>-1.4526300000000001E-2</v>
      </c>
      <c r="AA3053">
        <v>0.85031950000000001</v>
      </c>
      <c r="AB3053">
        <v>24</v>
      </c>
      <c r="AC3053">
        <v>-25.6175999999999</v>
      </c>
      <c r="AD3053">
        <v>2.5431119999999998</v>
      </c>
      <c r="AE3053">
        <v>-33.616</v>
      </c>
      <c r="AF3053">
        <v>-22.241446021840598</v>
      </c>
      <c r="AG3053">
        <v>2.5431119999999998</v>
      </c>
      <c r="AH3053">
        <v>35.7596146096488</v>
      </c>
      <c r="AI3053">
        <v>86.544158998683102</v>
      </c>
      <c r="AJ3053">
        <v>121.88041725152</v>
      </c>
      <c r="AK3053">
        <v>42.188853703527002</v>
      </c>
      <c r="AL3053">
        <v>79.555476720100003</v>
      </c>
      <c r="AM3053">
        <v>97.418996339559897</v>
      </c>
      <c r="AN3053">
        <v>0.99999998757378405</v>
      </c>
    </row>
    <row r="3054" spans="1:40" x14ac:dyDescent="0.25">
      <c r="A3054" t="str">
        <f>"20190303170315901"</f>
        <v>20190303170315901</v>
      </c>
      <c r="B3054" t="str">
        <f>"1551603795898832"</f>
        <v>1551603795898832</v>
      </c>
      <c r="C3054" t="s">
        <v>40</v>
      </c>
      <c r="D3054">
        <v>4.6372109999999997</v>
      </c>
      <c r="E3054">
        <v>0.31936300000000001</v>
      </c>
      <c r="F3054" t="s">
        <v>66</v>
      </c>
      <c r="G3054">
        <v>-512.82680000000005</v>
      </c>
      <c r="H3054">
        <v>4.9746379999999997</v>
      </c>
      <c r="I3054">
        <v>233.4331</v>
      </c>
      <c r="J3054">
        <v>-476.60700000000003</v>
      </c>
      <c r="K3054">
        <v>1.128787</v>
      </c>
      <c r="L3054">
        <v>282.83449999999999</v>
      </c>
      <c r="M3054">
        <v>-0.93270120000000001</v>
      </c>
      <c r="N3054">
        <v>-1.477929E-2</v>
      </c>
      <c r="O3054">
        <v>-0.36034709999999998</v>
      </c>
      <c r="P3054">
        <v>-0.86704890000000001</v>
      </c>
      <c r="Q3054">
        <v>0.1691568</v>
      </c>
      <c r="R3054">
        <v>-0.4686283</v>
      </c>
      <c r="S3054">
        <v>-1.9758910000000001</v>
      </c>
      <c r="T3054">
        <v>0.20916760000000001</v>
      </c>
      <c r="U3054">
        <v>-2.6894230000000001</v>
      </c>
      <c r="V3054">
        <v>-0.12779389999999999</v>
      </c>
      <c r="W3054">
        <v>0.18142359999999999</v>
      </c>
      <c r="X3054">
        <v>0.97506619999999999</v>
      </c>
      <c r="Y3054">
        <v>-0.538497</v>
      </c>
      <c r="Z3054">
        <v>-1.4843530000000001E-2</v>
      </c>
      <c r="AA3054">
        <v>0.84249669999999899</v>
      </c>
      <c r="AB3054">
        <v>24</v>
      </c>
      <c r="AC3054">
        <v>-36.219799999999999</v>
      </c>
      <c r="AD3054">
        <v>3.8458510000000001</v>
      </c>
      <c r="AE3054">
        <v>-49.401400000000002</v>
      </c>
      <c r="AF3054">
        <v>-32.898976210473599</v>
      </c>
      <c r="AG3054">
        <v>3.8458510000000001</v>
      </c>
      <c r="AH3054">
        <v>51.3869870874314</v>
      </c>
      <c r="AI3054">
        <v>86.393412505253593</v>
      </c>
      <c r="AJ3054">
        <v>122.628183957792</v>
      </c>
      <c r="AK3054">
        <v>61.137187108464097</v>
      </c>
      <c r="AL3054">
        <v>79.547307996184699</v>
      </c>
      <c r="AM3054">
        <v>97.466727785436703</v>
      </c>
      <c r="AN3054">
        <v>0.99999994894830302</v>
      </c>
    </row>
    <row r="3055" spans="1:40" x14ac:dyDescent="0.25">
      <c r="A3055" t="str">
        <f>"20190303170315912"</f>
        <v>20190303170315912</v>
      </c>
      <c r="B3055" t="str">
        <f>"1551603795908592"</f>
        <v>1551603795908592</v>
      </c>
      <c r="C3055" t="s">
        <v>40</v>
      </c>
      <c r="D3055">
        <v>4.6505660000000004</v>
      </c>
      <c r="E3055">
        <v>0.31919969999999998</v>
      </c>
      <c r="F3055" t="s">
        <v>66</v>
      </c>
      <c r="G3055">
        <v>-512.82680000000005</v>
      </c>
      <c r="H3055">
        <v>5.0737379999999996</v>
      </c>
      <c r="I3055">
        <v>232.63890000000001</v>
      </c>
      <c r="J3055">
        <v>-476.71570000000003</v>
      </c>
      <c r="K3055">
        <v>1.1287689999999999</v>
      </c>
      <c r="L3055">
        <v>282.78649999999999</v>
      </c>
      <c r="M3055">
        <v>-0.93073530000000004</v>
      </c>
      <c r="N3055">
        <v>-1.478046E-2</v>
      </c>
      <c r="O3055">
        <v>-0.36539470000000002</v>
      </c>
      <c r="P3055">
        <v>-0.86408529999999995</v>
      </c>
      <c r="Q3055">
        <v>0.16936950000000001</v>
      </c>
      <c r="R3055">
        <v>-0.47399449999999999</v>
      </c>
      <c r="S3055">
        <v>-1.9544980000000001</v>
      </c>
      <c r="T3055">
        <v>0.2128804</v>
      </c>
      <c r="U3055">
        <v>-2.7086489999999999</v>
      </c>
      <c r="V3055">
        <v>-0.12856999999999999</v>
      </c>
      <c r="W3055">
        <v>0.18162719999999999</v>
      </c>
      <c r="X3055">
        <v>0.97492630000000002</v>
      </c>
      <c r="Y3055">
        <v>-0.541153</v>
      </c>
      <c r="Z3055">
        <v>-1.528242E-2</v>
      </c>
      <c r="AA3055">
        <v>0.84078529999999996</v>
      </c>
      <c r="AB3055">
        <v>24</v>
      </c>
      <c r="AC3055">
        <v>-36.1111</v>
      </c>
      <c r="AD3055">
        <v>3.9449689999999999</v>
      </c>
      <c r="AE3055">
        <v>-50.147599999999898</v>
      </c>
      <c r="AF3055">
        <v>-33.347095567471001</v>
      </c>
      <c r="AG3055">
        <v>3.9449689999999999</v>
      </c>
      <c r="AH3055">
        <v>51.728408310690099</v>
      </c>
      <c r="AI3055">
        <v>86.332452772384798</v>
      </c>
      <c r="AJ3055">
        <v>122.808147079104</v>
      </c>
      <c r="AK3055">
        <v>61.671871947870002</v>
      </c>
      <c r="AL3055">
        <v>79.535445902833999</v>
      </c>
      <c r="AM3055">
        <v>97.512622979557804</v>
      </c>
      <c r="AN3055">
        <v>0.99999998755576402</v>
      </c>
    </row>
    <row r="3056" spans="1:40" x14ac:dyDescent="0.25">
      <c r="A3056" t="str">
        <f>"20190303170315924"</f>
        <v>20190303170315924</v>
      </c>
      <c r="B3056" t="str">
        <f>"1551603795918352"</f>
        <v>1551603795918352</v>
      </c>
      <c r="C3056" t="s">
        <v>40</v>
      </c>
      <c r="D3056">
        <v>4.6422129999999999</v>
      </c>
      <c r="E3056">
        <v>0.319007599999999</v>
      </c>
      <c r="F3056" t="s">
        <v>66</v>
      </c>
      <c r="G3056">
        <v>-512.82680000000005</v>
      </c>
      <c r="H3056">
        <v>5.1431259999999996</v>
      </c>
      <c r="I3056">
        <v>232.04570000000001</v>
      </c>
      <c r="J3056">
        <v>-476.82420000000002</v>
      </c>
      <c r="K3056">
        <v>1.128749</v>
      </c>
      <c r="L3056">
        <v>282.73739999999998</v>
      </c>
      <c r="M3056">
        <v>-0.92874210000000001</v>
      </c>
      <c r="N3056">
        <v>-1.478075E-2</v>
      </c>
      <c r="O3056">
        <v>-0.37043219999999999</v>
      </c>
      <c r="P3056">
        <v>-0.86104449999999999</v>
      </c>
      <c r="Q3056">
        <v>0.1700545</v>
      </c>
      <c r="R3056">
        <v>-0.47925390000000001</v>
      </c>
      <c r="S3056">
        <v>-1.936798</v>
      </c>
      <c r="T3056">
        <v>0.21531020000000001</v>
      </c>
      <c r="U3056">
        <v>-2.7214360000000002</v>
      </c>
      <c r="V3056">
        <v>-0.12928709999999999</v>
      </c>
      <c r="W3056">
        <v>0.18230279999999999</v>
      </c>
      <c r="X3056">
        <v>0.9747053</v>
      </c>
      <c r="Y3056">
        <v>-0.54210009999999997</v>
      </c>
      <c r="Z3056">
        <v>-1.5748359999999999E-2</v>
      </c>
      <c r="AA3056">
        <v>0.84016630000000003</v>
      </c>
      <c r="AB3056">
        <v>24</v>
      </c>
      <c r="AC3056">
        <v>-36.002600000000001</v>
      </c>
      <c r="AD3056">
        <v>4.0143769999999996</v>
      </c>
      <c r="AE3056">
        <v>-50.691699999999898</v>
      </c>
      <c r="AF3056">
        <v>-33.606580547246502</v>
      </c>
      <c r="AG3056">
        <v>4.0143769999999996</v>
      </c>
      <c r="AH3056">
        <v>52.0038784594242</v>
      </c>
      <c r="AI3056">
        <v>86.290474711840602</v>
      </c>
      <c r="AJ3056">
        <v>122.87184568833899</v>
      </c>
      <c r="AK3056">
        <v>62.047730446804103</v>
      </c>
      <c r="AL3056">
        <v>79.496079185428897</v>
      </c>
      <c r="AM3056">
        <v>97.555735094071096</v>
      </c>
      <c r="AN3056">
        <v>0.99999994348116805</v>
      </c>
    </row>
    <row r="3057" spans="1:40" x14ac:dyDescent="0.25">
      <c r="A3057" t="str">
        <f>"20190303170315935"</f>
        <v>20190303170315935</v>
      </c>
      <c r="B3057" t="str">
        <f>"1551603795928112"</f>
        <v>1551603795928112</v>
      </c>
      <c r="C3057" t="s">
        <v>40</v>
      </c>
      <c r="D3057">
        <v>4.6152989999999896</v>
      </c>
      <c r="E3057">
        <v>0.31935629999999998</v>
      </c>
      <c r="F3057" t="s">
        <v>66</v>
      </c>
      <c r="G3057">
        <v>-512.82690000000002</v>
      </c>
      <c r="H3057">
        <v>5.2437519999999997</v>
      </c>
      <c r="I3057">
        <v>231.417</v>
      </c>
      <c r="J3057">
        <v>-476.93669999999997</v>
      </c>
      <c r="K3057">
        <v>1.1287339999999999</v>
      </c>
      <c r="L3057">
        <v>282.68630000000002</v>
      </c>
      <c r="M3057">
        <v>-0.9266489</v>
      </c>
      <c r="N3057">
        <v>-1.478091E-2</v>
      </c>
      <c r="O3057">
        <v>-0.37563750000000001</v>
      </c>
      <c r="P3057">
        <v>-0.85794369999999998</v>
      </c>
      <c r="Q3057">
        <v>0.1704127</v>
      </c>
      <c r="R3057">
        <v>-0.484657</v>
      </c>
      <c r="S3057">
        <v>-1.9186099999999999</v>
      </c>
      <c r="T3057">
        <v>0.2192944</v>
      </c>
      <c r="U3057">
        <v>-2.7348940000000002</v>
      </c>
      <c r="V3057">
        <v>-0.12997110000000001</v>
      </c>
      <c r="W3057">
        <v>0.18265300000000001</v>
      </c>
      <c r="X3057">
        <v>0.97454879999999999</v>
      </c>
      <c r="Y3057">
        <v>-0.54308040000000002</v>
      </c>
      <c r="Z3057">
        <v>-1.628191E-2</v>
      </c>
      <c r="AA3057">
        <v>0.83952280000000001</v>
      </c>
      <c r="AB3057">
        <v>24</v>
      </c>
      <c r="AC3057">
        <v>-35.8902</v>
      </c>
      <c r="AD3057">
        <v>4.1150180000000001</v>
      </c>
      <c r="AE3057">
        <v>-51.269300000000001</v>
      </c>
      <c r="AF3057">
        <v>-33.884153881041897</v>
      </c>
      <c r="AG3057">
        <v>4.1150180000000001</v>
      </c>
      <c r="AH3057">
        <v>52.295920680111401</v>
      </c>
      <c r="AI3057">
        <v>86.221837738594104</v>
      </c>
      <c r="AJ3057">
        <v>122.940457497114</v>
      </c>
      <c r="AK3057">
        <v>62.449440166865799</v>
      </c>
      <c r="AL3057">
        <v>79.475671992849698</v>
      </c>
      <c r="AM3057">
        <v>97.596449100305804</v>
      </c>
      <c r="AN3057">
        <v>0.99999998441282401</v>
      </c>
    </row>
    <row r="3058" spans="1:40" x14ac:dyDescent="0.25">
      <c r="A3058" t="str">
        <f>"20190303170315946"</f>
        <v>20190303170315946</v>
      </c>
      <c r="B3058" t="str">
        <f>"1551603795938848"</f>
        <v>1551603795938848</v>
      </c>
      <c r="C3058" t="s">
        <v>40</v>
      </c>
      <c r="D3058">
        <v>4.6202889999999996</v>
      </c>
      <c r="E3058">
        <v>0.31980140000000001</v>
      </c>
      <c r="F3058" t="s">
        <v>66</v>
      </c>
      <c r="G3058">
        <v>-512.82690000000002</v>
      </c>
      <c r="H3058">
        <v>5.2541379999999904</v>
      </c>
      <c r="I3058">
        <v>230.90639999999999</v>
      </c>
      <c r="J3058">
        <v>-477.0489</v>
      </c>
      <c r="K3058">
        <v>1.128714</v>
      </c>
      <c r="L3058">
        <v>282.63409999999999</v>
      </c>
      <c r="M3058">
        <v>-0.92452789999999996</v>
      </c>
      <c r="N3058">
        <v>-1.4779850000000001E-2</v>
      </c>
      <c r="O3058">
        <v>-0.3808279</v>
      </c>
      <c r="P3058">
        <v>-0.85482569999999902</v>
      </c>
      <c r="Q3058">
        <v>0.17073679999999999</v>
      </c>
      <c r="R3058">
        <v>-0.49002309999999999</v>
      </c>
      <c r="S3058">
        <v>-1.902649</v>
      </c>
      <c r="T3058">
        <v>0.2187026</v>
      </c>
      <c r="U3058">
        <v>-2.7449949999999999</v>
      </c>
      <c r="V3058">
        <v>-0.13063419999999901</v>
      </c>
      <c r="W3058">
        <v>0.18296950000000001</v>
      </c>
      <c r="X3058">
        <v>0.97440079999999996</v>
      </c>
      <c r="Y3058">
        <v>-0.543126</v>
      </c>
      <c r="Z3058">
        <v>-1.6711170000000001E-2</v>
      </c>
      <c r="AA3058">
        <v>0.83948489999999998</v>
      </c>
      <c r="AB3058">
        <v>24</v>
      </c>
      <c r="AC3058">
        <v>-35.777999999999999</v>
      </c>
      <c r="AD3058">
        <v>4.12542399999999</v>
      </c>
      <c r="AE3058">
        <v>-51.727699999999999</v>
      </c>
      <c r="AF3058">
        <v>-34.0556565187525</v>
      </c>
      <c r="AG3058">
        <v>4.12542399999999</v>
      </c>
      <c r="AH3058">
        <v>52.556756509135496</v>
      </c>
      <c r="AI3058">
        <v>86.231136639470606</v>
      </c>
      <c r="AJ3058">
        <v>122.942376242964</v>
      </c>
      <c r="AK3058">
        <v>62.761608638271703</v>
      </c>
      <c r="AL3058">
        <v>79.457227483611405</v>
      </c>
      <c r="AM3058">
        <v>97.635895391147301</v>
      </c>
      <c r="AN3058">
        <v>1.0000000255902599</v>
      </c>
    </row>
    <row r="3059" spans="1:40" x14ac:dyDescent="0.25">
      <c r="A3059" t="str">
        <f>"20190303170315959"</f>
        <v>20190303170315959</v>
      </c>
      <c r="B3059" t="str">
        <f>"1551603795948608"</f>
        <v>1551603795948608</v>
      </c>
      <c r="C3059" t="s">
        <v>40</v>
      </c>
      <c r="D3059">
        <v>4.6183209999999999</v>
      </c>
      <c r="E3059">
        <v>0.3203143</v>
      </c>
      <c r="F3059" t="s">
        <v>66</v>
      </c>
      <c r="G3059">
        <v>-512.82690000000002</v>
      </c>
      <c r="H3059">
        <v>5.2418040000000001</v>
      </c>
      <c r="I3059">
        <v>230.43270000000001</v>
      </c>
      <c r="J3059">
        <v>-477.15949999999998</v>
      </c>
      <c r="K3059">
        <v>1.128692</v>
      </c>
      <c r="L3059">
        <v>282.5822</v>
      </c>
      <c r="M3059">
        <v>-0.92240840000000002</v>
      </c>
      <c r="N3059">
        <v>-1.477856E-2</v>
      </c>
      <c r="O3059">
        <v>-0.38593369999999999</v>
      </c>
      <c r="P3059">
        <v>-0.85183109999999995</v>
      </c>
      <c r="Q3059">
        <v>0.1709753</v>
      </c>
      <c r="R3059">
        <v>-0.49512840000000002</v>
      </c>
      <c r="S3059">
        <v>-1.8875120000000001</v>
      </c>
      <c r="T3059">
        <v>0.21699370000000001</v>
      </c>
      <c r="U3059">
        <v>-2.7539370000000001</v>
      </c>
      <c r="V3059">
        <v>-0.13109019999999999</v>
      </c>
      <c r="W3059">
        <v>0.18320429999999999</v>
      </c>
      <c r="X3059">
        <v>0.97429540000000003</v>
      </c>
      <c r="Y3059">
        <v>-0.54290469999999902</v>
      </c>
      <c r="Z3059">
        <v>-1.710265E-2</v>
      </c>
      <c r="AA3059">
        <v>0.83962009999999898</v>
      </c>
      <c r="AB3059">
        <v>24</v>
      </c>
      <c r="AC3059">
        <v>-35.667400000000001</v>
      </c>
      <c r="AD3059">
        <v>4.1131120000000001</v>
      </c>
      <c r="AE3059">
        <v>-52.149499999999897</v>
      </c>
      <c r="AF3059">
        <v>-34.196695534278</v>
      </c>
      <c r="AG3059">
        <v>4.1131120000000001</v>
      </c>
      <c r="AH3059">
        <v>52.808127201138497</v>
      </c>
      <c r="AI3059">
        <v>86.259484103778703</v>
      </c>
      <c r="AJ3059">
        <v>122.925681410312</v>
      </c>
      <c r="AK3059">
        <v>63.047838775649403</v>
      </c>
      <c r="AL3059">
        <v>79.443542758052203</v>
      </c>
      <c r="AM3059">
        <v>97.663052671214601</v>
      </c>
      <c r="AN3059">
        <v>0.999999991267845</v>
      </c>
    </row>
    <row r="3060" spans="1:40" x14ac:dyDescent="0.25">
      <c r="A3060" t="str">
        <f>"20190303170315970"</f>
        <v>20190303170315970</v>
      </c>
      <c r="B3060" t="str">
        <f>"1551603795958368"</f>
        <v>1551603795958368</v>
      </c>
      <c r="C3060" t="s">
        <v>40</v>
      </c>
      <c r="D3060">
        <v>4.6250999999999998</v>
      </c>
      <c r="E3060">
        <v>0.32083250000000002</v>
      </c>
      <c r="F3060" t="s">
        <v>66</v>
      </c>
      <c r="G3060">
        <v>-512.82690000000002</v>
      </c>
      <c r="H3060">
        <v>5.2281779999999998</v>
      </c>
      <c r="I3060">
        <v>229.98679999999999</v>
      </c>
      <c r="J3060">
        <v>-477.2681</v>
      </c>
      <c r="K3060">
        <v>1.1286689999999999</v>
      </c>
      <c r="L3060">
        <v>282.53039999999999</v>
      </c>
      <c r="M3060">
        <v>-0.92029729999999998</v>
      </c>
      <c r="N3060">
        <v>-1.4776630000000001E-2</v>
      </c>
      <c r="O3060">
        <v>-0.39094119999999999</v>
      </c>
      <c r="P3060">
        <v>-0.84903819999999997</v>
      </c>
      <c r="Q3060">
        <v>0.17090739999999999</v>
      </c>
      <c r="R3060">
        <v>-0.49992530000000002</v>
      </c>
      <c r="S3060">
        <v>-1.873108</v>
      </c>
      <c r="T3060">
        <v>0.2152907</v>
      </c>
      <c r="U3060">
        <v>-2.7620849999999999</v>
      </c>
      <c r="V3060">
        <v>-0.131274</v>
      </c>
      <c r="W3060">
        <v>0.1831382</v>
      </c>
      <c r="X3060">
        <v>0.97428309999999996</v>
      </c>
      <c r="Y3060">
        <v>-0.542500599999999</v>
      </c>
      <c r="Z3060">
        <v>-1.7485980000000002E-2</v>
      </c>
      <c r="AA3060">
        <v>0.83987339999999999</v>
      </c>
      <c r="AB3060">
        <v>24</v>
      </c>
      <c r="AC3060">
        <v>-35.558799999999998</v>
      </c>
      <c r="AD3060">
        <v>4.0995089999999896</v>
      </c>
      <c r="AE3060">
        <v>-52.543599999999998</v>
      </c>
      <c r="AF3060">
        <v>-34.314818145734499</v>
      </c>
      <c r="AG3060">
        <v>4.0995089999999896</v>
      </c>
      <c r="AH3060">
        <v>53.050436393628601</v>
      </c>
      <c r="AI3060">
        <v>86.287566288609</v>
      </c>
      <c r="AJ3060">
        <v>122.896156187109</v>
      </c>
      <c r="AK3060">
        <v>63.313991502434497</v>
      </c>
      <c r="AL3060">
        <v>79.447395400625595</v>
      </c>
      <c r="AM3060">
        <v>97.673764733543294</v>
      </c>
      <c r="AN3060">
        <v>1.0000000111604199</v>
      </c>
    </row>
    <row r="3061" spans="1:40" x14ac:dyDescent="0.25">
      <c r="A3061" t="str">
        <f>"20190303170315982"</f>
        <v>20190303170315982</v>
      </c>
      <c r="B3061" t="str">
        <f>"1551603795978864"</f>
        <v>1551603795978864</v>
      </c>
      <c r="C3061" t="s">
        <v>40</v>
      </c>
      <c r="D3061">
        <v>4.605264</v>
      </c>
      <c r="E3061">
        <v>0.32187290000000002</v>
      </c>
      <c r="F3061" t="s">
        <v>66</v>
      </c>
      <c r="G3061">
        <v>-512.82690000000002</v>
      </c>
      <c r="H3061">
        <v>5.20336</v>
      </c>
      <c r="I3061">
        <v>229.5933</v>
      </c>
      <c r="J3061">
        <v>-477.38310000000001</v>
      </c>
      <c r="K3061">
        <v>1.1286400000000001</v>
      </c>
      <c r="L3061">
        <v>282.47480000000002</v>
      </c>
      <c r="M3061">
        <v>-0.91803279999999998</v>
      </c>
      <c r="N3061">
        <v>-1.4773949999999999E-2</v>
      </c>
      <c r="O3061">
        <v>-0.39622940000000001</v>
      </c>
      <c r="P3061">
        <v>-0.84607860000000001</v>
      </c>
      <c r="Q3061">
        <v>0.1708325</v>
      </c>
      <c r="R3061">
        <v>-0.50494340000000004</v>
      </c>
      <c r="S3061">
        <v>-1.8600460000000001</v>
      </c>
      <c r="T3061">
        <v>0.21314559999999999</v>
      </c>
      <c r="U3061">
        <v>-2.7690730000000001</v>
      </c>
      <c r="V3061">
        <v>-0.131417899999999</v>
      </c>
      <c r="W3061">
        <v>0.18306649999999999</v>
      </c>
      <c r="X3061">
        <v>0.97427710000000001</v>
      </c>
      <c r="Y3061">
        <v>-0.54138949999999997</v>
      </c>
      <c r="Z3061">
        <v>-1.789164E-2</v>
      </c>
      <c r="AA3061">
        <v>0.84058149999999998</v>
      </c>
      <c r="AB3061">
        <v>24</v>
      </c>
      <c r="AC3061">
        <v>-35.443800000000003</v>
      </c>
      <c r="AD3061">
        <v>4.0747200000000001</v>
      </c>
      <c r="AE3061">
        <v>-52.881500000000003</v>
      </c>
      <c r="AF3061">
        <v>-34.3660457480538</v>
      </c>
      <c r="AG3061">
        <v>4.0747200000000001</v>
      </c>
      <c r="AH3061">
        <v>53.2793315372748</v>
      </c>
      <c r="AI3061">
        <v>86.322725595266903</v>
      </c>
      <c r="AJ3061">
        <v>122.82268202831899</v>
      </c>
      <c r="AK3061">
        <v>63.532004631481399</v>
      </c>
      <c r="AL3061">
        <v>79.451573371071007</v>
      </c>
      <c r="AM3061">
        <v>97.682122913319006</v>
      </c>
      <c r="AN3061">
        <v>0.99999993772353302</v>
      </c>
    </row>
    <row r="3062" spans="1:40" x14ac:dyDescent="0.25">
      <c r="A3062" t="str">
        <f>"20190303170315993"</f>
        <v>20190303170315993</v>
      </c>
      <c r="B3062" t="str">
        <f>"1551603795988624"</f>
        <v>1551603795988624</v>
      </c>
      <c r="C3062" t="s">
        <v>40</v>
      </c>
      <c r="D3062">
        <v>4.6175199999999998</v>
      </c>
      <c r="E3062">
        <v>0.32245639999999998</v>
      </c>
      <c r="F3062" t="s">
        <v>66</v>
      </c>
      <c r="G3062">
        <v>-512.82680000000005</v>
      </c>
      <c r="H3062">
        <v>5.1415600000000001</v>
      </c>
      <c r="I3062">
        <v>229.29830000000001</v>
      </c>
      <c r="J3062">
        <v>-477.483</v>
      </c>
      <c r="K3062">
        <v>1.1286119999999999</v>
      </c>
      <c r="L3062">
        <v>282.42590000000001</v>
      </c>
      <c r="M3062">
        <v>-0.9160393</v>
      </c>
      <c r="N3062">
        <v>-1.477144E-2</v>
      </c>
      <c r="O3062">
        <v>-0.40081670000000003</v>
      </c>
      <c r="P3062">
        <v>-0.84364269999999997</v>
      </c>
      <c r="Q3062">
        <v>0.1704727</v>
      </c>
      <c r="R3062">
        <v>-0.5091232</v>
      </c>
      <c r="S3062">
        <v>-1.8484499999999999</v>
      </c>
      <c r="T3062">
        <v>0.20928250000000001</v>
      </c>
      <c r="U3062">
        <v>-2.7732239999999999</v>
      </c>
      <c r="V3062">
        <v>-0.13131889999999999</v>
      </c>
      <c r="W3062">
        <v>0.1827154</v>
      </c>
      <c r="X3062">
        <v>0.97435640000000001</v>
      </c>
      <c r="Y3062">
        <v>-0.54020649999999903</v>
      </c>
      <c r="Z3062">
        <v>-1.816856E-2</v>
      </c>
      <c r="AA3062">
        <v>0.84133630000000004</v>
      </c>
      <c r="AB3062">
        <v>24</v>
      </c>
      <c r="AC3062">
        <v>-35.343800000000002</v>
      </c>
      <c r="AD3062">
        <v>4.0129479999999997</v>
      </c>
      <c r="AE3062">
        <v>-53.127600000000001</v>
      </c>
      <c r="AF3062">
        <v>-34.368417237476798</v>
      </c>
      <c r="AG3062">
        <v>4.0129479999999997</v>
      </c>
      <c r="AH3062">
        <v>53.465133898268597</v>
      </c>
      <c r="AI3062">
        <v>86.387273774694904</v>
      </c>
      <c r="AJ3062">
        <v>122.73368998804899</v>
      </c>
      <c r="AK3062">
        <v>63.6852604439975</v>
      </c>
      <c r="AL3062">
        <v>79.472035520886394</v>
      </c>
      <c r="AM3062">
        <v>97.675787520277098</v>
      </c>
      <c r="AN3062">
        <v>0.99999998255766398</v>
      </c>
    </row>
    <row r="3063" spans="1:40" x14ac:dyDescent="0.25">
      <c r="A3063" t="str">
        <f>"20190303170316005"</f>
        <v>20190303170316005</v>
      </c>
      <c r="B3063" t="str">
        <f>"1551603795998384"</f>
        <v>1551603795998384</v>
      </c>
      <c r="C3063" t="s">
        <v>40</v>
      </c>
      <c r="D3063">
        <v>4.6264120000000002</v>
      </c>
      <c r="E3063">
        <v>0.32245639999999998</v>
      </c>
      <c r="F3063" t="s">
        <v>66</v>
      </c>
      <c r="G3063">
        <v>-512.82680000000005</v>
      </c>
      <c r="H3063">
        <v>5.1078609999999998</v>
      </c>
      <c r="I3063">
        <v>228.96510000000001</v>
      </c>
      <c r="J3063">
        <v>-477.59339999999997</v>
      </c>
      <c r="K3063">
        <v>1.1285810000000001</v>
      </c>
      <c r="L3063">
        <v>282.37090000000001</v>
      </c>
      <c r="M3063">
        <v>-0.91381040000000002</v>
      </c>
      <c r="N3063">
        <v>-1.476762E-2</v>
      </c>
      <c r="O3063">
        <v>-0.40587279999999998</v>
      </c>
      <c r="P3063">
        <v>-0.84106890000000001</v>
      </c>
      <c r="Q3063">
        <v>0.17019110000000001</v>
      </c>
      <c r="R3063">
        <v>-0.51345719999999995</v>
      </c>
      <c r="S3063">
        <v>-1.837189</v>
      </c>
      <c r="T3063">
        <v>0.20684540000000001</v>
      </c>
      <c r="U3063">
        <v>-2.7789000000000001</v>
      </c>
      <c r="V3063">
        <v>-0.13090450000000001</v>
      </c>
      <c r="W3063">
        <v>0.1824481</v>
      </c>
      <c r="X3063">
        <v>0.9744623</v>
      </c>
      <c r="Y3063">
        <v>-0.53872849999999906</v>
      </c>
      <c r="Z3063">
        <v>-1.8533600000000001E-2</v>
      </c>
      <c r="AA3063">
        <v>0.84227559999999901</v>
      </c>
      <c r="AB3063">
        <v>24</v>
      </c>
      <c r="AC3063">
        <v>-35.233400000000003</v>
      </c>
      <c r="AD3063">
        <v>3.9792800000000002</v>
      </c>
      <c r="AE3063">
        <v>-53.405799999999999</v>
      </c>
      <c r="AF3063">
        <v>-34.373293030193402</v>
      </c>
      <c r="AG3063">
        <v>3.9792800000000002</v>
      </c>
      <c r="AH3063">
        <v>53.6708687061194</v>
      </c>
      <c r="AI3063">
        <v>86.427360136928399</v>
      </c>
      <c r="AJ3063">
        <v>122.637367776134</v>
      </c>
      <c r="AK3063">
        <v>63.858594493830303</v>
      </c>
      <c r="AL3063">
        <v>79.487613087136594</v>
      </c>
      <c r="AM3063">
        <v>97.651030932431695</v>
      </c>
      <c r="AN3063">
        <v>1.00000003571757</v>
      </c>
    </row>
    <row r="3064" spans="1:40" x14ac:dyDescent="0.25">
      <c r="A3064" t="str">
        <f>"20190303170316018"</f>
        <v>20190303170316018</v>
      </c>
      <c r="B3064" t="str">
        <f>"1551603796008144"</f>
        <v>1551603796008144</v>
      </c>
      <c r="C3064" t="s">
        <v>40</v>
      </c>
      <c r="D3064">
        <v>4.6211409999999997</v>
      </c>
      <c r="E3064">
        <v>0.33432590000000001</v>
      </c>
      <c r="F3064" t="s">
        <v>66</v>
      </c>
      <c r="G3064">
        <v>-512.82680000000005</v>
      </c>
      <c r="H3064">
        <v>5.112393</v>
      </c>
      <c r="I3064">
        <v>228.49080000000001</v>
      </c>
      <c r="J3064">
        <v>-477.71409999999997</v>
      </c>
      <c r="K3064">
        <v>1.1285419999999999</v>
      </c>
      <c r="L3064">
        <v>282.31029999999998</v>
      </c>
      <c r="M3064">
        <v>-0.91134649999999995</v>
      </c>
      <c r="N3064">
        <v>-1.4763149999999999E-2</v>
      </c>
      <c r="O3064">
        <v>-0.41137560000000001</v>
      </c>
      <c r="P3064">
        <v>-0.83822129999999995</v>
      </c>
      <c r="Q3064">
        <v>0.16951140000000001</v>
      </c>
      <c r="R3064">
        <v>-0.51831590000000005</v>
      </c>
      <c r="S3064">
        <v>-1.8231200000000001</v>
      </c>
      <c r="T3064">
        <v>0.20614109999999999</v>
      </c>
      <c r="U3064">
        <v>-2.7879640000000001</v>
      </c>
      <c r="V3064">
        <v>-0.130583</v>
      </c>
      <c r="W3064">
        <v>0.18178330000000001</v>
      </c>
      <c r="X3064">
        <v>0.97462959999999998</v>
      </c>
      <c r="Y3064">
        <v>-0.53789069999999894</v>
      </c>
      <c r="Z3064">
        <v>-1.8979989999999999E-2</v>
      </c>
      <c r="AA3064">
        <v>0.84280089999999996</v>
      </c>
      <c r="AB3064">
        <v>24</v>
      </c>
      <c r="AC3064">
        <v>-35.112699999999997</v>
      </c>
      <c r="AD3064">
        <v>3.983851</v>
      </c>
      <c r="AE3064">
        <v>-53.819499999999898</v>
      </c>
      <c r="AF3064">
        <v>-34.474970762808503</v>
      </c>
      <c r="AG3064">
        <v>3.983851</v>
      </c>
      <c r="AH3064">
        <v>53.938451942208701</v>
      </c>
      <c r="AI3064">
        <v>86.438882074490493</v>
      </c>
      <c r="AJ3064">
        <v>122.584837699237</v>
      </c>
      <c r="AK3064">
        <v>64.138531911859801</v>
      </c>
      <c r="AL3064">
        <v>79.526350464590394</v>
      </c>
      <c r="AM3064">
        <v>97.631167155700098</v>
      </c>
      <c r="AN3064">
        <v>0.999999972622024</v>
      </c>
    </row>
    <row r="3065" spans="1:40" x14ac:dyDescent="0.25">
      <c r="A3065" t="str">
        <f>"20190303170316031"</f>
        <v>20190303170316031</v>
      </c>
      <c r="B3065" t="str">
        <f>"1551603796018880"</f>
        <v>1551603796018880</v>
      </c>
      <c r="C3065" t="s">
        <v>40</v>
      </c>
      <c r="D3065">
        <v>4.6142079999999996</v>
      </c>
      <c r="E3065">
        <v>0.33509480000000003</v>
      </c>
      <c r="F3065" t="s">
        <v>66</v>
      </c>
      <c r="G3065">
        <v>-512.82650000000001</v>
      </c>
      <c r="H3065">
        <v>4.1919440000000003</v>
      </c>
      <c r="I3065">
        <v>230.96080000000001</v>
      </c>
      <c r="J3065">
        <v>-477.83600000000001</v>
      </c>
      <c r="K3065">
        <v>1.128495</v>
      </c>
      <c r="L3065">
        <v>282.24790000000002</v>
      </c>
      <c r="M3065">
        <v>-0.90882529999999995</v>
      </c>
      <c r="N3065">
        <v>-1.475742E-2</v>
      </c>
      <c r="O3065">
        <v>-0.4169158</v>
      </c>
      <c r="P3065">
        <v>-0.8350419</v>
      </c>
      <c r="Q3065">
        <v>0.16952210000000001</v>
      </c>
      <c r="R3065">
        <v>-0.52341910000000003</v>
      </c>
      <c r="S3065">
        <v>-1.8621829999999999</v>
      </c>
      <c r="T3065">
        <v>0.16246959999999999</v>
      </c>
      <c r="U3065">
        <v>-2.7232970000000001</v>
      </c>
      <c r="V3065">
        <v>-0.130577</v>
      </c>
      <c r="W3065">
        <v>0.18180199999999999</v>
      </c>
      <c r="X3065">
        <v>0.97462700000000002</v>
      </c>
      <c r="Y3065">
        <v>-0.51518649999999999</v>
      </c>
      <c r="Z3065">
        <v>-1.7977739999999999E-2</v>
      </c>
      <c r="AA3065">
        <v>0.85688949999999997</v>
      </c>
      <c r="AB3065">
        <v>24</v>
      </c>
      <c r="AC3065">
        <v>-34.990499999999997</v>
      </c>
      <c r="AD3065">
        <v>3.0634489999999999</v>
      </c>
      <c r="AE3065">
        <v>-51.287100000000002</v>
      </c>
      <c r="AF3065">
        <v>-31.948626797373102</v>
      </c>
      <c r="AG3065">
        <v>3.0634489999999999</v>
      </c>
      <c r="AH3065">
        <v>53.059267292491697</v>
      </c>
      <c r="AI3065">
        <v>87.168346144039106</v>
      </c>
      <c r="AJ3065">
        <v>121.05344728524901</v>
      </c>
      <c r="AK3065">
        <v>62.011170926128401</v>
      </c>
      <c r="AL3065">
        <v>79.525261746293594</v>
      </c>
      <c r="AM3065">
        <v>97.630840768940502</v>
      </c>
      <c r="AN3065">
        <v>1.00000005463099</v>
      </c>
    </row>
    <row r="3066" spans="1:40" x14ac:dyDescent="0.25">
      <c r="A3066" t="str">
        <f>"20190303170316044"</f>
        <v>20190303170316044</v>
      </c>
      <c r="B3066" t="str">
        <f>"1551603796038400"</f>
        <v>1551603796038400</v>
      </c>
      <c r="C3066" t="s">
        <v>40</v>
      </c>
      <c r="D3066">
        <v>4.623348</v>
      </c>
      <c r="E3066">
        <v>0.3358005</v>
      </c>
      <c r="F3066" t="s">
        <v>66</v>
      </c>
      <c r="G3066">
        <v>-512.82650000000001</v>
      </c>
      <c r="H3066">
        <v>4.1475269999999904</v>
      </c>
      <c r="I3066">
        <v>230.5966</v>
      </c>
      <c r="J3066">
        <v>-477.95370000000003</v>
      </c>
      <c r="K3066">
        <v>1.128447</v>
      </c>
      <c r="L3066">
        <v>282.18680000000001</v>
      </c>
      <c r="M3066">
        <v>-0.90636439999999996</v>
      </c>
      <c r="N3066">
        <v>-1.4750920000000001E-2</v>
      </c>
      <c r="O3066">
        <v>-0.42223939999999999</v>
      </c>
      <c r="P3066">
        <v>-0.83210890000000004</v>
      </c>
      <c r="Q3066">
        <v>0.1692806</v>
      </c>
      <c r="R3066">
        <v>-0.52814700000000003</v>
      </c>
      <c r="S3066">
        <v>-1.849213</v>
      </c>
      <c r="T3066">
        <v>0.15955539999999999</v>
      </c>
      <c r="U3066">
        <v>-2.7297060000000002</v>
      </c>
      <c r="V3066">
        <v>-0.13034280000000001</v>
      </c>
      <c r="W3066">
        <v>0.18157280000000001</v>
      </c>
      <c r="X3066">
        <v>0.97470100000000004</v>
      </c>
      <c r="Y3066">
        <v>-0.51388599999999995</v>
      </c>
      <c r="Z3066">
        <v>-1.821675E-2</v>
      </c>
      <c r="AA3066">
        <v>0.85766509999999996</v>
      </c>
      <c r="AB3066">
        <v>24</v>
      </c>
      <c r="AC3066">
        <v>-34.872799999999899</v>
      </c>
      <c r="AD3066">
        <v>3.01907999999999</v>
      </c>
      <c r="AE3066">
        <v>-51.590200000000003</v>
      </c>
      <c r="AF3066">
        <v>-31.963201474887899</v>
      </c>
      <c r="AG3066">
        <v>3.01907999999999</v>
      </c>
      <c r="AH3066">
        <v>53.271465669351201</v>
      </c>
      <c r="AI3066">
        <v>87.217786470336605</v>
      </c>
      <c r="AJ3066">
        <v>120.96401124008899</v>
      </c>
      <c r="AK3066">
        <v>62.198152280687097</v>
      </c>
      <c r="AL3066">
        <v>79.538615450785002</v>
      </c>
      <c r="AM3066">
        <v>97.616743585296703</v>
      </c>
      <c r="AN3066">
        <v>0.99999998330633999</v>
      </c>
    </row>
    <row r="3067" spans="1:40" x14ac:dyDescent="0.25">
      <c r="A3067" t="str">
        <f>"20190303170316058"</f>
        <v>20190303170316058</v>
      </c>
      <c r="B3067" t="str">
        <f>"1551603796048159"</f>
        <v>1551603796048159</v>
      </c>
      <c r="C3067" t="s">
        <v>40</v>
      </c>
      <c r="D3067">
        <v>4.5829950000000004</v>
      </c>
      <c r="E3067">
        <v>0.33642139999999998</v>
      </c>
      <c r="F3067" t="s">
        <v>66</v>
      </c>
      <c r="G3067">
        <v>-512.82650000000001</v>
      </c>
      <c r="H3067">
        <v>4.1012769999999996</v>
      </c>
      <c r="I3067">
        <v>230.24979999999999</v>
      </c>
      <c r="J3067">
        <v>-478.0881</v>
      </c>
      <c r="K3067">
        <v>1.1283920000000001</v>
      </c>
      <c r="L3067">
        <v>282.11619999999999</v>
      </c>
      <c r="M3067">
        <v>-0.90352339999999998</v>
      </c>
      <c r="N3067">
        <v>-1.474291E-2</v>
      </c>
      <c r="O3067">
        <v>-0.42828519999999998</v>
      </c>
      <c r="P3067">
        <v>-0.82886079999999995</v>
      </c>
      <c r="Q3067">
        <v>0.16877120000000001</v>
      </c>
      <c r="R3067">
        <v>-0.53339119999999995</v>
      </c>
      <c r="S3067">
        <v>-1.836975</v>
      </c>
      <c r="T3067">
        <v>0.15660099999999999</v>
      </c>
      <c r="U3067">
        <v>-2.73584</v>
      </c>
      <c r="V3067">
        <v>-0.12990860000000001</v>
      </c>
      <c r="W3067">
        <v>0.1810813</v>
      </c>
      <c r="X3067">
        <v>0.97485040000000001</v>
      </c>
      <c r="Y3067">
        <v>-0.51169100000000001</v>
      </c>
      <c r="Z3067">
        <v>-1.8504989999999999E-2</v>
      </c>
      <c r="AA3067">
        <v>0.85897029999999996</v>
      </c>
      <c r="AB3067">
        <v>24</v>
      </c>
      <c r="AC3067">
        <v>-34.738399999999999</v>
      </c>
      <c r="AD3067">
        <v>2.9728850000000002</v>
      </c>
      <c r="AE3067">
        <v>-51.866399999999999</v>
      </c>
      <c r="AF3067">
        <v>-31.915654358920801</v>
      </c>
      <c r="AG3067">
        <v>2.9728850000000002</v>
      </c>
      <c r="AH3067">
        <v>53.485089063345299</v>
      </c>
      <c r="AI3067">
        <v>87.267270790980405</v>
      </c>
      <c r="AJ3067">
        <v>120.825397901356</v>
      </c>
      <c r="AK3067">
        <v>62.354645300052098</v>
      </c>
      <c r="AL3067">
        <v>79.567251114839905</v>
      </c>
      <c r="AM3067">
        <v>97.590517091801004</v>
      </c>
      <c r="AN3067">
        <v>0.99999999197190403</v>
      </c>
    </row>
    <row r="3068" spans="1:40" x14ac:dyDescent="0.25">
      <c r="A3068" t="str">
        <f>"20190303170316072"</f>
        <v>20190303170316072</v>
      </c>
      <c r="B3068" t="str">
        <f>"1551603796068656"</f>
        <v>1551603796068656</v>
      </c>
      <c r="C3068" t="s">
        <v>40</v>
      </c>
      <c r="D3068">
        <v>4.6141969999999999</v>
      </c>
      <c r="E3068">
        <v>0.33778380000000002</v>
      </c>
      <c r="F3068" t="s">
        <v>66</v>
      </c>
      <c r="G3068">
        <v>-512.82650000000001</v>
      </c>
      <c r="H3068">
        <v>4.0445510000000002</v>
      </c>
      <c r="I3068">
        <v>229.83969999999999</v>
      </c>
      <c r="J3068">
        <v>-478.2235</v>
      </c>
      <c r="K3068">
        <v>1.1283319999999999</v>
      </c>
      <c r="L3068">
        <v>282.04390000000001</v>
      </c>
      <c r="M3068">
        <v>-0.90062619999999904</v>
      </c>
      <c r="N3068">
        <v>-1.473373E-2</v>
      </c>
      <c r="O3068">
        <v>-0.43434450000000002</v>
      </c>
      <c r="P3068">
        <v>-0.82554780000000005</v>
      </c>
      <c r="Q3068">
        <v>0.16870729999999901</v>
      </c>
      <c r="R3068">
        <v>-0.53852440000000001</v>
      </c>
      <c r="S3068">
        <v>-1.822937</v>
      </c>
      <c r="T3068">
        <v>0.15303159999999999</v>
      </c>
      <c r="U3068">
        <v>-2.7432560000000001</v>
      </c>
      <c r="V3068">
        <v>-0.12937650000000001</v>
      </c>
      <c r="W3068">
        <v>0.18103630000000001</v>
      </c>
      <c r="X3068">
        <v>0.9749295</v>
      </c>
      <c r="Y3068">
        <v>-0.51003989999999999</v>
      </c>
      <c r="Z3068">
        <v>-1.873418E-2</v>
      </c>
      <c r="AA3068">
        <v>0.85994669999999895</v>
      </c>
      <c r="AB3068">
        <v>24</v>
      </c>
      <c r="AC3068">
        <v>-34.603000000000002</v>
      </c>
      <c r="AD3068">
        <v>2.9162189999999999</v>
      </c>
      <c r="AE3068">
        <v>-52.2042</v>
      </c>
      <c r="AF3068">
        <v>-31.921118243764202</v>
      </c>
      <c r="AG3068">
        <v>2.9162189999999999</v>
      </c>
      <c r="AH3068">
        <v>53.728342642950501</v>
      </c>
      <c r="AI3068">
        <v>87.328354558212794</v>
      </c>
      <c r="AJ3068">
        <v>120.715421646591</v>
      </c>
      <c r="AK3068">
        <v>62.5635431089595</v>
      </c>
      <c r="AL3068">
        <v>79.569872579063698</v>
      </c>
      <c r="AM3068">
        <v>97.559180706226996</v>
      </c>
      <c r="AN3068">
        <v>0.99999997532009399</v>
      </c>
    </row>
    <row r="3069" spans="1:40" x14ac:dyDescent="0.25">
      <c r="A3069" t="str">
        <f>"20190303170316088"</f>
        <v>20190303170316088</v>
      </c>
      <c r="B3069" t="str">
        <f>"1551603796078417"</f>
        <v>1551603796078417</v>
      </c>
      <c r="C3069" t="s">
        <v>40</v>
      </c>
      <c r="D3069">
        <v>4.6305230000000002</v>
      </c>
      <c r="E3069">
        <v>0.33778380000000002</v>
      </c>
      <c r="F3069" t="s">
        <v>66</v>
      </c>
      <c r="G3069">
        <v>-512.82650000000001</v>
      </c>
      <c r="H3069">
        <v>3.9612970000000001</v>
      </c>
      <c r="I3069">
        <v>229.6156</v>
      </c>
      <c r="J3069">
        <v>-478.35480000000001</v>
      </c>
      <c r="K3069">
        <v>1.1282730000000001</v>
      </c>
      <c r="L3069">
        <v>281.97250000000003</v>
      </c>
      <c r="M3069">
        <v>-0.8977908</v>
      </c>
      <c r="N3069">
        <v>-1.472382E-2</v>
      </c>
      <c r="O3069">
        <v>-0.44017600000000001</v>
      </c>
      <c r="P3069">
        <v>-0.82234079999999998</v>
      </c>
      <c r="Q3069">
        <v>0.16805919999999999</v>
      </c>
      <c r="R3069">
        <v>-0.54361000000000004</v>
      </c>
      <c r="S3069">
        <v>-1.8123469999999999</v>
      </c>
      <c r="T3069">
        <v>0.14838080000000001</v>
      </c>
      <c r="U3069">
        <v>-2.7459410000000002</v>
      </c>
      <c r="V3069">
        <v>-0.12897600000000001</v>
      </c>
      <c r="W3069">
        <v>0.18040500000000001</v>
      </c>
      <c r="X3069">
        <v>0.97509959999999996</v>
      </c>
      <c r="Y3069">
        <v>-0.50715480000000002</v>
      </c>
      <c r="Z3069">
        <v>-1.8894020000000001E-2</v>
      </c>
      <c r="AA3069">
        <v>0.86164789999999902</v>
      </c>
      <c r="AB3069">
        <v>24</v>
      </c>
      <c r="AC3069">
        <v>-34.471699999999998</v>
      </c>
      <c r="AD3069">
        <v>2.833024</v>
      </c>
      <c r="AE3069">
        <v>-52.356900000000003</v>
      </c>
      <c r="AF3069">
        <v>-31.770488075139699</v>
      </c>
      <c r="AG3069">
        <v>2.833024</v>
      </c>
      <c r="AH3069">
        <v>53.890408807769902</v>
      </c>
      <c r="AI3069">
        <v>87.407066562993705</v>
      </c>
      <c r="AJ3069">
        <v>120.521000265469</v>
      </c>
      <c r="AK3069">
        <v>62.622408920335602</v>
      </c>
      <c r="AL3069">
        <v>79.606649221432903</v>
      </c>
      <c r="AM3069">
        <v>97.534750231293003</v>
      </c>
      <c r="AN3069">
        <v>1.0000000012605701</v>
      </c>
    </row>
    <row r="3070" spans="1:40" x14ac:dyDescent="0.25">
      <c r="A3070" t="str">
        <f>"20190303170316102"</f>
        <v>20190303170316102</v>
      </c>
      <c r="B3070" t="str">
        <f>"1551603796098913"</f>
        <v>1551603796098913</v>
      </c>
      <c r="C3070" t="s">
        <v>40</v>
      </c>
      <c r="D3070">
        <v>4.6638070000000003</v>
      </c>
      <c r="E3070">
        <v>0.34632190000000002</v>
      </c>
      <c r="F3070" t="s">
        <v>66</v>
      </c>
      <c r="G3070">
        <v>-512.82650000000001</v>
      </c>
      <c r="H3070">
        <v>3.9403779999999999</v>
      </c>
      <c r="I3070">
        <v>229.04730000000001</v>
      </c>
      <c r="J3070">
        <v>-478.48590000000002</v>
      </c>
      <c r="K3070">
        <v>1.1282110000000001</v>
      </c>
      <c r="L3070">
        <v>281.90030000000002</v>
      </c>
      <c r="M3070">
        <v>-0.89492989999999994</v>
      </c>
      <c r="N3070">
        <v>-1.4713489999999999E-2</v>
      </c>
      <c r="O3070">
        <v>-0.44596439999999998</v>
      </c>
      <c r="P3070">
        <v>-0.81908449999999999</v>
      </c>
      <c r="Q3070">
        <v>0.167627</v>
      </c>
      <c r="R3070">
        <v>-0.54863669999999998</v>
      </c>
      <c r="S3070">
        <v>-1.795715</v>
      </c>
      <c r="T3070">
        <v>0.14649219999999999</v>
      </c>
      <c r="U3070">
        <v>-2.7569889999999999</v>
      </c>
      <c r="V3070">
        <v>-0.1285782</v>
      </c>
      <c r="W3070">
        <v>0.1799895</v>
      </c>
      <c r="X3070">
        <v>0.97522889999999995</v>
      </c>
      <c r="Y3070">
        <v>-0.50682150000000004</v>
      </c>
      <c r="Z3070">
        <v>-1.9146E-2</v>
      </c>
      <c r="AA3070">
        <v>0.86183849999999995</v>
      </c>
      <c r="AB3070">
        <v>24</v>
      </c>
      <c r="AC3070">
        <v>-34.340599999999903</v>
      </c>
      <c r="AD3070">
        <v>2.8121670000000001</v>
      </c>
      <c r="AE3070">
        <v>-52.853000000000002</v>
      </c>
      <c r="AF3070">
        <v>-31.9249521541654</v>
      </c>
      <c r="AG3070">
        <v>2.8121670000000001</v>
      </c>
      <c r="AH3070">
        <v>54.200962940205798</v>
      </c>
      <c r="AI3070">
        <v>87.440267681374607</v>
      </c>
      <c r="AJ3070">
        <v>120.498544221373</v>
      </c>
      <c r="AK3070">
        <v>62.967096462574901</v>
      </c>
      <c r="AL3070">
        <v>79.630851689543306</v>
      </c>
      <c r="AM3070">
        <v>97.510792059048697</v>
      </c>
      <c r="AN3070">
        <v>0.99999999051034905</v>
      </c>
    </row>
    <row r="3071" spans="1:40" x14ac:dyDescent="0.25">
      <c r="A3071" t="str">
        <f>"20190303170316113"</f>
        <v>20190303170316113</v>
      </c>
      <c r="B3071" t="str">
        <f>"1551603796108672"</f>
        <v>1551603796108672</v>
      </c>
      <c r="C3071" t="s">
        <v>40</v>
      </c>
      <c r="D3071">
        <v>4.6415639999999998</v>
      </c>
      <c r="E3071">
        <v>0.34675080000000003</v>
      </c>
      <c r="F3071" t="s">
        <v>66</v>
      </c>
      <c r="G3071">
        <v>-512.82619999999997</v>
      </c>
      <c r="H3071">
        <v>3.2350099999999999</v>
      </c>
      <c r="I3071">
        <v>230.6866</v>
      </c>
      <c r="J3071">
        <v>-478.60039999999998</v>
      </c>
      <c r="K3071">
        <v>1.128158</v>
      </c>
      <c r="L3071">
        <v>281.83659999999998</v>
      </c>
      <c r="M3071">
        <v>-0.89240940000000002</v>
      </c>
      <c r="N3071">
        <v>-1.4704210000000001E-2</v>
      </c>
      <c r="O3071">
        <v>-0.45098700000000003</v>
      </c>
      <c r="P3071">
        <v>-0.81649110000000003</v>
      </c>
      <c r="Q3071">
        <v>0.16682720000000001</v>
      </c>
      <c r="R3071">
        <v>-0.55273070000000002</v>
      </c>
      <c r="S3071">
        <v>-1.820862</v>
      </c>
      <c r="T3071">
        <v>0.11171399999999999</v>
      </c>
      <c r="U3071">
        <v>-2.7155459999999998</v>
      </c>
      <c r="V3071">
        <v>-0.12786839999999999</v>
      </c>
      <c r="W3071">
        <v>0.17921119999999999</v>
      </c>
      <c r="X3071">
        <v>0.97546549999999999</v>
      </c>
      <c r="Y3071">
        <v>-0.49032490000000001</v>
      </c>
      <c r="Z3071">
        <v>-1.7484510000000002E-2</v>
      </c>
      <c r="AA3071">
        <v>0.87136440000000004</v>
      </c>
      <c r="AB3071">
        <v>24</v>
      </c>
      <c r="AC3071">
        <v>-34.2257999999999</v>
      </c>
      <c r="AD3071">
        <v>2.1068519999999999</v>
      </c>
      <c r="AE3071">
        <v>-51.149999999999899</v>
      </c>
      <c r="AF3071">
        <v>-30.179249191190799</v>
      </c>
      <c r="AG3071">
        <v>2.1068519999999999</v>
      </c>
      <c r="AH3071">
        <v>53.554446448268799</v>
      </c>
      <c r="AI3071">
        <v>88.037064790793096</v>
      </c>
      <c r="AJ3071">
        <v>119.40233006519</v>
      </c>
      <c r="AK3071">
        <v>61.508573723297999</v>
      </c>
      <c r="AL3071">
        <v>79.676181784609</v>
      </c>
      <c r="AM3071">
        <v>97.4680078163654</v>
      </c>
      <c r="AN3071">
        <v>0.99999996180712403</v>
      </c>
    </row>
    <row r="3072" spans="1:40" x14ac:dyDescent="0.25">
      <c r="A3072" t="str">
        <f>"20190303170316126"</f>
        <v>20190303170316126</v>
      </c>
      <c r="B3072" t="str">
        <f>"1551603796118432"</f>
        <v>1551603796118432</v>
      </c>
      <c r="C3072" t="s">
        <v>40</v>
      </c>
      <c r="D3072">
        <v>4.6455789999999997</v>
      </c>
      <c r="E3072">
        <v>0.34738540000000001</v>
      </c>
      <c r="F3072" t="s">
        <v>66</v>
      </c>
      <c r="G3072">
        <v>-512.82619999999997</v>
      </c>
      <c r="H3072">
        <v>3.1753179999999999</v>
      </c>
      <c r="I3072">
        <v>230.37989999999999</v>
      </c>
      <c r="J3072">
        <v>-478.70620000000002</v>
      </c>
      <c r="K3072">
        <v>1.128107</v>
      </c>
      <c r="L3072">
        <v>281.77659999999997</v>
      </c>
      <c r="M3072">
        <v>-0.89007009999999898</v>
      </c>
      <c r="N3072">
        <v>-1.469439E-2</v>
      </c>
      <c r="O3072">
        <v>-0.45558720000000003</v>
      </c>
      <c r="P3072">
        <v>-0.81396069999999998</v>
      </c>
      <c r="Q3072">
        <v>0.16647029999999999</v>
      </c>
      <c r="R3072">
        <v>-0.55655719999999997</v>
      </c>
      <c r="S3072">
        <v>-1.809998</v>
      </c>
      <c r="T3072">
        <v>0.108265</v>
      </c>
      <c r="U3072">
        <v>-2.721222</v>
      </c>
      <c r="V3072">
        <v>-0.1273504</v>
      </c>
      <c r="W3072">
        <v>0.17887020000000001</v>
      </c>
      <c r="X3072">
        <v>0.97559589999999996</v>
      </c>
      <c r="Y3072">
        <v>-0.48907149999999999</v>
      </c>
      <c r="Z3072">
        <v>-1.7495750000000001E-2</v>
      </c>
      <c r="AA3072">
        <v>0.87206819999999896</v>
      </c>
      <c r="AB3072">
        <v>24</v>
      </c>
      <c r="AC3072">
        <v>-34.119999999999898</v>
      </c>
      <c r="AD3072">
        <v>2.0472109999999999</v>
      </c>
      <c r="AE3072">
        <v>-51.396699999999903</v>
      </c>
      <c r="AF3072">
        <v>-30.1720592338575</v>
      </c>
      <c r="AG3072">
        <v>2.0472109999999999</v>
      </c>
      <c r="AH3072">
        <v>53.731496279938703</v>
      </c>
      <c r="AI3072">
        <v>88.097253922070706</v>
      </c>
      <c r="AJ3072">
        <v>119.315689358772</v>
      </c>
      <c r="AK3072">
        <v>61.657261727804602</v>
      </c>
      <c r="AL3072">
        <v>79.696041099827895</v>
      </c>
      <c r="AM3072">
        <v>97.437110996856703</v>
      </c>
      <c r="AN3072">
        <v>1.0000000164625</v>
      </c>
    </row>
    <row r="3073" spans="1:40" x14ac:dyDescent="0.25">
      <c r="A3073" t="str">
        <f>"20190303170316137"</f>
        <v>20190303170316137</v>
      </c>
      <c r="B3073" t="str">
        <f>"1551603796128192"</f>
        <v>1551603796128192</v>
      </c>
      <c r="C3073" t="s">
        <v>40</v>
      </c>
      <c r="D3073">
        <v>4.5197459999999996</v>
      </c>
      <c r="E3073">
        <v>0.34738540000000001</v>
      </c>
      <c r="F3073" t="s">
        <v>66</v>
      </c>
      <c r="G3073">
        <v>-512.82619999999997</v>
      </c>
      <c r="H3073">
        <v>3.1106289999999999</v>
      </c>
      <c r="I3073">
        <v>230.1036</v>
      </c>
      <c r="J3073">
        <v>-478.81389999999999</v>
      </c>
      <c r="K3073">
        <v>1.1280520000000001</v>
      </c>
      <c r="L3073">
        <v>281.71519999999998</v>
      </c>
      <c r="M3073">
        <v>-0.88766849999999997</v>
      </c>
      <c r="N3073">
        <v>-1.46845E-2</v>
      </c>
      <c r="O3073">
        <v>-0.46024920000000002</v>
      </c>
      <c r="P3073">
        <v>-0.81113440000000003</v>
      </c>
      <c r="Q3073">
        <v>0.16591330000000001</v>
      </c>
      <c r="R3073">
        <v>-0.56083319999999903</v>
      </c>
      <c r="S3073">
        <v>-1.800171</v>
      </c>
      <c r="T3073">
        <v>0.1046009</v>
      </c>
      <c r="U3073">
        <v>-2.7262569999999999</v>
      </c>
      <c r="V3073">
        <v>-0.1272837</v>
      </c>
      <c r="W3073">
        <v>0.17832219999999999</v>
      </c>
      <c r="X3073">
        <v>0.97570489999999999</v>
      </c>
      <c r="Y3073">
        <v>-0.48742049999999998</v>
      </c>
      <c r="Z3073">
        <v>-1.748599E-2</v>
      </c>
      <c r="AA3073">
        <v>0.87299230000000005</v>
      </c>
      <c r="AB3073">
        <v>24</v>
      </c>
      <c r="AC3073">
        <v>-34.012299999999897</v>
      </c>
      <c r="AD3073">
        <v>1.982577</v>
      </c>
      <c r="AE3073">
        <v>-51.611599999999903</v>
      </c>
      <c r="AF3073">
        <v>-30.132105254410899</v>
      </c>
      <c r="AG3073">
        <v>1.982577</v>
      </c>
      <c r="AH3073">
        <v>53.896205158042399</v>
      </c>
      <c r="AI3073">
        <v>88.160987591156299</v>
      </c>
      <c r="AJ3073">
        <v>119.208532679725</v>
      </c>
      <c r="AK3073">
        <v>61.779246588653201</v>
      </c>
      <c r="AL3073">
        <v>79.727952064519101</v>
      </c>
      <c r="AM3073">
        <v>97.432438253001195</v>
      </c>
      <c r="AN3073">
        <v>0.99999999959126995</v>
      </c>
    </row>
    <row r="3074" spans="1:40" x14ac:dyDescent="0.25">
      <c r="A3074" t="str">
        <f>"20190303170316147"</f>
        <v>20190303170316147</v>
      </c>
      <c r="B3074" t="str">
        <f>"1551603796138928"</f>
        <v>1551603796138928</v>
      </c>
      <c r="C3074" t="s">
        <v>40</v>
      </c>
      <c r="D3074">
        <v>4.6537430000000004</v>
      </c>
      <c r="E3074">
        <v>0.3470452</v>
      </c>
      <c r="F3074" t="s">
        <v>66</v>
      </c>
      <c r="G3074">
        <v>-512.82619999999997</v>
      </c>
      <c r="H3074">
        <v>3.0829849999999999</v>
      </c>
      <c r="I3074">
        <v>229.62469999999999</v>
      </c>
      <c r="J3074">
        <v>-478.90910000000002</v>
      </c>
      <c r="K3074">
        <v>1.1280030000000001</v>
      </c>
      <c r="L3074">
        <v>281.66019999999997</v>
      </c>
      <c r="M3074">
        <v>-0.88553519999999897</v>
      </c>
      <c r="N3074">
        <v>-1.46751E-2</v>
      </c>
      <c r="O3074">
        <v>-0.46434049999999999</v>
      </c>
      <c r="P3074">
        <v>-0.80873600000000001</v>
      </c>
      <c r="Q3074">
        <v>0.165790299999999</v>
      </c>
      <c r="R3074">
        <v>-0.5643222</v>
      </c>
      <c r="S3074">
        <v>-1.7861629999999999</v>
      </c>
      <c r="T3074">
        <v>0.1026667</v>
      </c>
      <c r="U3074">
        <v>-2.735535</v>
      </c>
      <c r="V3074">
        <v>-0.12694949999999999</v>
      </c>
      <c r="W3074">
        <v>0.17821049999999999</v>
      </c>
      <c r="X3074">
        <v>0.97576890000000005</v>
      </c>
      <c r="Y3074">
        <v>-0.4878789</v>
      </c>
      <c r="Z3074">
        <v>-1.7537520000000001E-2</v>
      </c>
      <c r="AA3074">
        <v>0.87273519999999905</v>
      </c>
      <c r="AB3074">
        <v>24</v>
      </c>
      <c r="AC3074">
        <v>-33.917099999999898</v>
      </c>
      <c r="AD3074">
        <v>1.954982</v>
      </c>
      <c r="AE3074">
        <v>-52.0354999999999</v>
      </c>
      <c r="AF3074">
        <v>-30.303429630268301</v>
      </c>
      <c r="AG3074">
        <v>1.954982</v>
      </c>
      <c r="AH3074">
        <v>54.1491691499605</v>
      </c>
      <c r="AI3074">
        <v>88.195457453190201</v>
      </c>
      <c r="AJ3074">
        <v>119.232629040015</v>
      </c>
      <c r="AK3074">
        <v>62.082624957454797</v>
      </c>
      <c r="AL3074">
        <v>79.734456728516705</v>
      </c>
      <c r="AM3074">
        <v>97.412659939413402</v>
      </c>
      <c r="AN3074">
        <v>1.0000000520338499</v>
      </c>
    </row>
    <row r="3075" spans="1:40" x14ac:dyDescent="0.25">
      <c r="A3075" t="str">
        <f>"20190303170316169"</f>
        <v>20190303170316169</v>
      </c>
      <c r="B3075" t="str">
        <f>"1551603796158449"</f>
        <v>1551603796158449</v>
      </c>
      <c r="C3075" t="s">
        <v>40</v>
      </c>
      <c r="D3075">
        <v>4.5972720000000002</v>
      </c>
      <c r="E3075">
        <v>0.34819600000000001</v>
      </c>
      <c r="F3075" t="s">
        <v>66</v>
      </c>
      <c r="G3075">
        <v>-512.82619999999997</v>
      </c>
      <c r="H3075">
        <v>3.201851</v>
      </c>
      <c r="I3075">
        <v>229.12620000000001</v>
      </c>
      <c r="J3075">
        <v>-479.09609999999998</v>
      </c>
      <c r="K3075">
        <v>1.1279079999999999</v>
      </c>
      <c r="L3075">
        <v>281.5505</v>
      </c>
      <c r="M3075">
        <v>-0.88130719999999996</v>
      </c>
      <c r="N3075">
        <v>-1.4656290000000001E-2</v>
      </c>
      <c r="O3075">
        <v>-0.47231649999999997</v>
      </c>
      <c r="P3075">
        <v>-0.80366579999999999</v>
      </c>
      <c r="Q3075">
        <v>0.16557040000000001</v>
      </c>
      <c r="R3075">
        <v>-0.57158350000000002</v>
      </c>
      <c r="S3075">
        <v>-1.7720640000000001</v>
      </c>
      <c r="T3075">
        <v>0.1083549</v>
      </c>
      <c r="U3075">
        <v>-2.74472</v>
      </c>
      <c r="V3075">
        <v>-0.12686449999999999</v>
      </c>
      <c r="W3075">
        <v>0.1780013</v>
      </c>
      <c r="X3075">
        <v>0.97581810000000002</v>
      </c>
      <c r="Y3075">
        <v>-0.48450530000000003</v>
      </c>
      <c r="Z3075">
        <v>-1.8365719999999999E-2</v>
      </c>
      <c r="AA3075">
        <v>0.87459560000000003</v>
      </c>
      <c r="AB3075">
        <v>24</v>
      </c>
      <c r="AC3075">
        <v>-33.730099999999901</v>
      </c>
      <c r="AD3075">
        <v>2.0739429999999999</v>
      </c>
      <c r="AE3075">
        <v>-52.424299999999903</v>
      </c>
      <c r="AF3075">
        <v>-30.240409470697301</v>
      </c>
      <c r="AG3075">
        <v>2.0739429999999999</v>
      </c>
      <c r="AH3075">
        <v>54.433044135078497</v>
      </c>
      <c r="AI3075">
        <v>88.092403705387994</v>
      </c>
      <c r="AJ3075">
        <v>119.054466875153</v>
      </c>
      <c r="AK3075">
        <v>62.303610636415797</v>
      </c>
      <c r="AL3075">
        <v>79.746637371716005</v>
      </c>
      <c r="AM3075">
        <v>97.407382534404107</v>
      </c>
      <c r="AN3075">
        <v>1.00000001422477</v>
      </c>
    </row>
    <row r="3076" spans="1:40" x14ac:dyDescent="0.25">
      <c r="A3076" t="str">
        <f>"20190303170316180"</f>
        <v>20190303170316180</v>
      </c>
      <c r="B3076" t="str">
        <f>"1551603796168208"</f>
        <v>1551603796168208</v>
      </c>
      <c r="C3076" t="s">
        <v>40</v>
      </c>
      <c r="D3076">
        <v>4.689171</v>
      </c>
      <c r="E3076">
        <v>0.3485914</v>
      </c>
      <c r="F3076" t="s">
        <v>66</v>
      </c>
      <c r="G3076">
        <v>-512.82619999999997</v>
      </c>
      <c r="H3076">
        <v>3.139405</v>
      </c>
      <c r="I3076">
        <v>228.5702</v>
      </c>
      <c r="J3076">
        <v>-479.19819999999999</v>
      </c>
      <c r="K3076">
        <v>1.1278619999999999</v>
      </c>
      <c r="L3076">
        <v>281.4898</v>
      </c>
      <c r="M3076">
        <v>-0.87897839999999905</v>
      </c>
      <c r="N3076">
        <v>-1.4646060000000001E-2</v>
      </c>
      <c r="O3076">
        <v>-0.47663680000000003</v>
      </c>
      <c r="P3076">
        <v>-0.80100760000000004</v>
      </c>
      <c r="Q3076">
        <v>0.16564309999999999</v>
      </c>
      <c r="R3076">
        <v>-0.57528219999999997</v>
      </c>
      <c r="S3076">
        <v>-1.7530209999999999</v>
      </c>
      <c r="T3076">
        <v>0.1045444</v>
      </c>
      <c r="U3076">
        <v>-2.753479</v>
      </c>
      <c r="V3076">
        <v>-0.12656019999999901</v>
      </c>
      <c r="W3076">
        <v>0.17808289999999999</v>
      </c>
      <c r="X3076">
        <v>0.97584269999999995</v>
      </c>
      <c r="Y3076">
        <v>-0.485765</v>
      </c>
      <c r="Z3076">
        <v>-1.8281039999999998E-2</v>
      </c>
      <c r="AA3076">
        <v>0.87389830000000002</v>
      </c>
      <c r="AB3076">
        <v>24</v>
      </c>
      <c r="AC3076">
        <v>-33.627999999999901</v>
      </c>
      <c r="AD3076">
        <v>2.0115430000000001</v>
      </c>
      <c r="AE3076">
        <v>-52.919600000000003</v>
      </c>
      <c r="AF3076">
        <v>-30.458761140124601</v>
      </c>
      <c r="AG3076">
        <v>2.0115430000000001</v>
      </c>
      <c r="AH3076">
        <v>54.731254181717397</v>
      </c>
      <c r="AI3076">
        <v>88.160584141105701</v>
      </c>
      <c r="AJ3076">
        <v>119.096591761212</v>
      </c>
      <c r="AK3076">
        <v>62.668114857044898</v>
      </c>
      <c r="AL3076">
        <v>79.7418858666489</v>
      </c>
      <c r="AM3076">
        <v>97.389627410461799</v>
      </c>
      <c r="AN3076">
        <v>0.999999989319869</v>
      </c>
    </row>
    <row r="3077" spans="1:40" x14ac:dyDescent="0.25">
      <c r="A3077" t="str">
        <f>"20190303170316192"</f>
        <v>20190303170316192</v>
      </c>
      <c r="B3077" t="str">
        <f>"1551603796178944"</f>
        <v>1551603796178944</v>
      </c>
      <c r="C3077" t="s">
        <v>40</v>
      </c>
      <c r="D3077">
        <v>4.6486580000000002</v>
      </c>
      <c r="E3077">
        <v>0.34902309999999998</v>
      </c>
      <c r="F3077" t="s">
        <v>66</v>
      </c>
      <c r="G3077">
        <v>-512.82619999999997</v>
      </c>
      <c r="H3077">
        <v>3.174922</v>
      </c>
      <c r="I3077">
        <v>228.20079999999999</v>
      </c>
      <c r="J3077">
        <v>-479.303</v>
      </c>
      <c r="K3077">
        <v>1.1278220000000001</v>
      </c>
      <c r="L3077">
        <v>281.42669999999998</v>
      </c>
      <c r="M3077">
        <v>-0.87656769999999995</v>
      </c>
      <c r="N3077">
        <v>-1.4635769999999999E-2</v>
      </c>
      <c r="O3077">
        <v>-0.48105599999999998</v>
      </c>
      <c r="P3077">
        <v>-0.79819949999999995</v>
      </c>
      <c r="Q3077">
        <v>0.1656338</v>
      </c>
      <c r="R3077">
        <v>-0.57917430000000003</v>
      </c>
      <c r="S3077">
        <v>-1.741425</v>
      </c>
      <c r="T3077">
        <v>0.1060097</v>
      </c>
      <c r="U3077">
        <v>-2.7595519999999998</v>
      </c>
      <c r="V3077">
        <v>-0.1263765</v>
      </c>
      <c r="W3077">
        <v>0.17808009999999999</v>
      </c>
      <c r="X3077">
        <v>0.97586700000000004</v>
      </c>
      <c r="Y3077">
        <v>-0.48486279999999998</v>
      </c>
      <c r="Z3077">
        <v>-1.861587E-2</v>
      </c>
      <c r="AA3077">
        <v>0.87439210000000001</v>
      </c>
      <c r="AB3077">
        <v>24</v>
      </c>
      <c r="AC3077">
        <v>-33.523199999999903</v>
      </c>
      <c r="AD3077">
        <v>2.0470999999999999</v>
      </c>
      <c r="AE3077">
        <v>-53.225900000000003</v>
      </c>
      <c r="AF3077">
        <v>-30.500535480471701</v>
      </c>
      <c r="AG3077">
        <v>2.0470999999999999</v>
      </c>
      <c r="AH3077">
        <v>54.937698929005599</v>
      </c>
      <c r="AI3077">
        <v>88.134068454258795</v>
      </c>
      <c r="AJ3077">
        <v>119.038337075258</v>
      </c>
      <c r="AK3077">
        <v>62.869897778027102</v>
      </c>
      <c r="AL3077">
        <v>79.742048718410402</v>
      </c>
      <c r="AM3077">
        <v>97.378838065643293</v>
      </c>
      <c r="AN3077">
        <v>0.99999997172862898</v>
      </c>
    </row>
    <row r="3078" spans="1:40" x14ac:dyDescent="0.25">
      <c r="A3078" t="str">
        <f>"20190303170316203"</f>
        <v>20190303170316203</v>
      </c>
      <c r="B3078" t="str">
        <f>"1551603796198465"</f>
        <v>1551603796198465</v>
      </c>
      <c r="C3078" t="s">
        <v>40</v>
      </c>
      <c r="D3078">
        <v>4.5018050000000001</v>
      </c>
      <c r="E3078">
        <v>0.34864289999999998</v>
      </c>
      <c r="F3078" t="s">
        <v>66</v>
      </c>
      <c r="G3078">
        <v>-512.82619999999997</v>
      </c>
      <c r="H3078">
        <v>3.182525</v>
      </c>
      <c r="I3078">
        <v>227.85749999999999</v>
      </c>
      <c r="J3078">
        <v>-479.40069999999997</v>
      </c>
      <c r="K3078">
        <v>1.127788</v>
      </c>
      <c r="L3078">
        <v>281.36720000000003</v>
      </c>
      <c r="M3078">
        <v>-0.87430799999999997</v>
      </c>
      <c r="N3078">
        <v>-1.4626409999999999E-2</v>
      </c>
      <c r="O3078">
        <v>-0.485151</v>
      </c>
      <c r="P3078">
        <v>-0.79572049999999905</v>
      </c>
      <c r="Q3078">
        <v>0.16539200000000001</v>
      </c>
      <c r="R3078">
        <v>-0.58264450000000001</v>
      </c>
      <c r="S3078">
        <v>-1.7302550000000001</v>
      </c>
      <c r="T3078">
        <v>0.1060537</v>
      </c>
      <c r="U3078">
        <v>-2.7648929999999998</v>
      </c>
      <c r="V3078">
        <v>-0.12601560000000001</v>
      </c>
      <c r="W3078">
        <v>0.17784739999999999</v>
      </c>
      <c r="X3078">
        <v>0.97595609999999999</v>
      </c>
      <c r="Y3078">
        <v>-0.48407030000000001</v>
      </c>
      <c r="Z3078">
        <v>-1.8827219999999999E-2</v>
      </c>
      <c r="AA3078">
        <v>0.87482660000000001</v>
      </c>
      <c r="AB3078">
        <v>24</v>
      </c>
      <c r="AC3078">
        <v>-33.4255</v>
      </c>
      <c r="AD3078">
        <v>2.0547369999999998</v>
      </c>
      <c r="AE3078">
        <v>-53.509700000000002</v>
      </c>
      <c r="AF3078">
        <v>-30.5384253594843</v>
      </c>
      <c r="AG3078">
        <v>2.0547369999999998</v>
      </c>
      <c r="AH3078">
        <v>55.131897732408198</v>
      </c>
      <c r="AI3078">
        <v>88.132701239412597</v>
      </c>
      <c r="AJ3078">
        <v>118.982758240075</v>
      </c>
      <c r="AK3078">
        <v>63.058254932662798</v>
      </c>
      <c r="AL3078">
        <v>79.755597702065501</v>
      </c>
      <c r="AM3078">
        <v>97.357332785397006</v>
      </c>
      <c r="AN3078">
        <v>0.99999996912866396</v>
      </c>
    </row>
    <row r="3079" spans="1:40" x14ac:dyDescent="0.25">
      <c r="A3079" t="str">
        <f>"20190303170316214"</f>
        <v>20190303170316214</v>
      </c>
      <c r="B3079" t="str">
        <f>"1551603796208224"</f>
        <v>1551603796208224</v>
      </c>
      <c r="C3079" t="s">
        <v>40</v>
      </c>
      <c r="D3079">
        <v>4.5109719999999998</v>
      </c>
      <c r="E3079">
        <v>0.34854039999999997</v>
      </c>
      <c r="F3079" t="s">
        <v>66</v>
      </c>
      <c r="G3079">
        <v>-512.82619999999997</v>
      </c>
      <c r="H3079">
        <v>3.2828740000000001</v>
      </c>
      <c r="I3079">
        <v>227.30009999999999</v>
      </c>
      <c r="J3079">
        <v>-479.50009999999997</v>
      </c>
      <c r="K3079">
        <v>1.127753</v>
      </c>
      <c r="L3079">
        <v>281.30630000000002</v>
      </c>
      <c r="M3079">
        <v>-0.87199020000000005</v>
      </c>
      <c r="N3079">
        <v>-1.461723E-2</v>
      </c>
      <c r="O3079">
        <v>-0.48930509999999999</v>
      </c>
      <c r="P3079">
        <v>-0.79313159999999905</v>
      </c>
      <c r="Q3079">
        <v>0.16524910000000001</v>
      </c>
      <c r="R3079">
        <v>-0.58620410000000001</v>
      </c>
      <c r="S3079">
        <v>-1.7154240000000001</v>
      </c>
      <c r="T3079">
        <v>0.11060349999999999</v>
      </c>
      <c r="U3079">
        <v>-2.77475</v>
      </c>
      <c r="V3079">
        <v>-0.1257125</v>
      </c>
      <c r="W3079">
        <v>0.17771129999999999</v>
      </c>
      <c r="X3079">
        <v>0.97602</v>
      </c>
      <c r="Y3079">
        <v>-0.48469269999999998</v>
      </c>
      <c r="Z3079">
        <v>-1.9387100000000001E-2</v>
      </c>
      <c r="AA3079">
        <v>0.87446959999999996</v>
      </c>
      <c r="AB3079">
        <v>24</v>
      </c>
      <c r="AC3079">
        <v>-33.326099999999997</v>
      </c>
      <c r="AD3079">
        <v>2.1551209999999901</v>
      </c>
      <c r="AE3079">
        <v>-54.0062</v>
      </c>
      <c r="AF3079">
        <v>-30.754067481019401</v>
      </c>
      <c r="AG3079">
        <v>2.1551209999999901</v>
      </c>
      <c r="AH3079">
        <v>55.427546080379201</v>
      </c>
      <c r="AI3079">
        <v>88.052754578765402</v>
      </c>
      <c r="AJ3079">
        <v>119.02377770378401</v>
      </c>
      <c r="AK3079">
        <v>63.424522683614299</v>
      </c>
      <c r="AL3079">
        <v>79.763522099044593</v>
      </c>
      <c r="AM3079">
        <v>97.339354404282105</v>
      </c>
      <c r="AN3079">
        <v>0.99999998960196901</v>
      </c>
    </row>
    <row r="3080" spans="1:40" x14ac:dyDescent="0.25">
      <c r="A3080" t="str">
        <f>"20190303170316225"</f>
        <v>20190303170316225</v>
      </c>
      <c r="B3080" t="str">
        <f>"1551603796218962"</f>
        <v>1551603796218962</v>
      </c>
      <c r="C3080" t="s">
        <v>40</v>
      </c>
      <c r="D3080">
        <v>4.529604</v>
      </c>
      <c r="E3080">
        <v>0.34861690000000001</v>
      </c>
      <c r="F3080" t="s">
        <v>66</v>
      </c>
      <c r="G3080">
        <v>-512.82619999999997</v>
      </c>
      <c r="H3080">
        <v>3.3222119999999999</v>
      </c>
      <c r="I3080">
        <v>226.82980000000001</v>
      </c>
      <c r="J3080">
        <v>-479.59629999999999</v>
      </c>
      <c r="K3080">
        <v>1.127723</v>
      </c>
      <c r="L3080">
        <v>281.24639999999999</v>
      </c>
      <c r="M3080">
        <v>-0.86973239999999996</v>
      </c>
      <c r="N3080">
        <v>-1.4608650000000001E-2</v>
      </c>
      <c r="O3080">
        <v>-0.49330770000000002</v>
      </c>
      <c r="P3080">
        <v>-0.7904217</v>
      </c>
      <c r="Q3080">
        <v>0.16499359999999999</v>
      </c>
      <c r="R3080">
        <v>-0.58992460000000002</v>
      </c>
      <c r="S3080">
        <v>-1.7023619999999999</v>
      </c>
      <c r="T3080">
        <v>0.1120999</v>
      </c>
      <c r="U3080">
        <v>-2.7827449999999998</v>
      </c>
      <c r="V3080">
        <v>-0.12577049999999901</v>
      </c>
      <c r="W3080">
        <v>0.177456</v>
      </c>
      <c r="X3080">
        <v>0.97605900000000001</v>
      </c>
      <c r="Y3080">
        <v>-0.48478329999999997</v>
      </c>
      <c r="Z3080">
        <v>-1.9708360000000001E-2</v>
      </c>
      <c r="AA3080">
        <v>0.87441219999999997</v>
      </c>
      <c r="AB3080">
        <v>24</v>
      </c>
      <c r="AC3080">
        <v>-33.229899999999901</v>
      </c>
      <c r="AD3080">
        <v>2.1944889999999999</v>
      </c>
      <c r="AE3080">
        <v>-54.416599999999903</v>
      </c>
      <c r="AF3080">
        <v>-30.902004837882998</v>
      </c>
      <c r="AG3080">
        <v>2.1944889999999999</v>
      </c>
      <c r="AH3080">
        <v>55.685224518455001</v>
      </c>
      <c r="AI3080">
        <v>88.026454505026706</v>
      </c>
      <c r="AJ3080">
        <v>119.02768287583601</v>
      </c>
      <c r="AK3080">
        <v>63.722789601856</v>
      </c>
      <c r="AL3080">
        <v>79.778386183842301</v>
      </c>
      <c r="AM3080">
        <v>97.342413430560995</v>
      </c>
      <c r="AN3080">
        <v>1.00000001104362</v>
      </c>
    </row>
    <row r="3081" spans="1:40" x14ac:dyDescent="0.25">
      <c r="A3081" t="str">
        <f>"20190303170316237"</f>
        <v>20190303170316237</v>
      </c>
      <c r="B3081" t="str">
        <f>"1551603796228720"</f>
        <v>1551603796228720</v>
      </c>
      <c r="C3081" t="s">
        <v>40</v>
      </c>
      <c r="D3081">
        <v>4.5311050000000002</v>
      </c>
      <c r="E3081">
        <v>0.34873680000000001</v>
      </c>
      <c r="F3081" t="s">
        <v>66</v>
      </c>
      <c r="G3081">
        <v>-512.82629999999995</v>
      </c>
      <c r="H3081">
        <v>3.3478569999999999</v>
      </c>
      <c r="I3081">
        <v>226.36670000000001</v>
      </c>
      <c r="J3081">
        <v>-479.69619999999998</v>
      </c>
      <c r="K3081">
        <v>1.1276930000000001</v>
      </c>
      <c r="L3081">
        <v>281.18389999999999</v>
      </c>
      <c r="M3081">
        <v>-0.86736759999999902</v>
      </c>
      <c r="N3081">
        <v>-1.460003E-2</v>
      </c>
      <c r="O3081">
        <v>-0.49745400000000001</v>
      </c>
      <c r="P3081">
        <v>-0.78778879999999996</v>
      </c>
      <c r="Q3081">
        <v>0.1646715</v>
      </c>
      <c r="R3081">
        <v>-0.59352539999999998</v>
      </c>
      <c r="S3081">
        <v>-1.689484</v>
      </c>
      <c r="T3081">
        <v>0.1128793</v>
      </c>
      <c r="U3081">
        <v>-2.7901919999999998</v>
      </c>
      <c r="V3081">
        <v>-0.1255125</v>
      </c>
      <c r="W3081">
        <v>0.17713970000000001</v>
      </c>
      <c r="X3081">
        <v>0.97614970000000001</v>
      </c>
      <c r="Y3081">
        <v>-0.48459859999999999</v>
      </c>
      <c r="Z3081">
        <v>-1.9985220000000001E-2</v>
      </c>
      <c r="AA3081">
        <v>0.87450830000000002</v>
      </c>
      <c r="AB3081">
        <v>24</v>
      </c>
      <c r="AC3081">
        <v>-33.130099999999899</v>
      </c>
      <c r="AD3081">
        <v>2.220164</v>
      </c>
      <c r="AE3081">
        <v>-54.8171999999999</v>
      </c>
      <c r="AF3081">
        <v>-31.031986461748399</v>
      </c>
      <c r="AG3081">
        <v>2.220164</v>
      </c>
      <c r="AH3081">
        <v>55.943759617313098</v>
      </c>
      <c r="AI3081">
        <v>88.012399547007107</v>
      </c>
      <c r="AJ3081">
        <v>119.01711871451</v>
      </c>
      <c r="AK3081">
        <v>64.012635878151002</v>
      </c>
      <c r="AL3081">
        <v>79.796800963845001</v>
      </c>
      <c r="AM3081">
        <v>97.326841945845004</v>
      </c>
      <c r="AN3081">
        <v>1.00000004889121</v>
      </c>
    </row>
    <row r="3082" spans="1:40" x14ac:dyDescent="0.25">
      <c r="A3082" t="str">
        <f>"20190303170316248"</f>
        <v>20190303170316248</v>
      </c>
      <c r="B3082" t="str">
        <f>"1551603796238481"</f>
        <v>1551603796238481</v>
      </c>
      <c r="C3082" t="s">
        <v>40</v>
      </c>
      <c r="D3082">
        <v>4.5163060000000002</v>
      </c>
      <c r="E3082">
        <v>0.3489468</v>
      </c>
      <c r="F3082" t="s">
        <v>66</v>
      </c>
      <c r="G3082">
        <v>-512.82629999999995</v>
      </c>
      <c r="H3082">
        <v>3.3543319999999999</v>
      </c>
      <c r="I3082">
        <v>225.94579999999999</v>
      </c>
      <c r="J3082">
        <v>-479.79300000000001</v>
      </c>
      <c r="K3082">
        <v>1.127664</v>
      </c>
      <c r="L3082">
        <v>281.1225</v>
      </c>
      <c r="M3082">
        <v>-0.86506119999999898</v>
      </c>
      <c r="N3082">
        <v>-1.4591720000000001E-2</v>
      </c>
      <c r="O3082">
        <v>-0.50145439999999997</v>
      </c>
      <c r="P3082">
        <v>-0.78532219999999997</v>
      </c>
      <c r="Q3082">
        <v>0.1643297</v>
      </c>
      <c r="R3082">
        <v>-0.59687950000000001</v>
      </c>
      <c r="S3082">
        <v>-1.6774290000000001</v>
      </c>
      <c r="T3082">
        <v>0.1127412</v>
      </c>
      <c r="U3082">
        <v>-2.796783</v>
      </c>
      <c r="V3082">
        <v>-0.1251148</v>
      </c>
      <c r="W3082">
        <v>0.17680509999999999</v>
      </c>
      <c r="X3082">
        <v>0.97626139999999995</v>
      </c>
      <c r="Y3082">
        <v>-0.48424139999999999</v>
      </c>
      <c r="Z3082">
        <v>-2.0181560000000001E-2</v>
      </c>
      <c r="AA3082">
        <v>0.87470159999999997</v>
      </c>
      <c r="AB3082">
        <v>24</v>
      </c>
      <c r="AC3082">
        <v>-33.033299999999898</v>
      </c>
      <c r="AD3082">
        <v>2.2266680000000001</v>
      </c>
      <c r="AE3082">
        <v>-55.176699999999997</v>
      </c>
      <c r="AF3082">
        <v>-31.132519026018802</v>
      </c>
      <c r="AG3082">
        <v>2.2266680000000001</v>
      </c>
      <c r="AH3082">
        <v>56.183049877575698</v>
      </c>
      <c r="AI3082">
        <v>88.014582811592305</v>
      </c>
      <c r="AJ3082">
        <v>118.992000086823</v>
      </c>
      <c r="AK3082">
        <v>64.270731167723696</v>
      </c>
      <c r="AL3082">
        <v>79.8162794815985</v>
      </c>
      <c r="AM3082">
        <v>97.303050477906396</v>
      </c>
      <c r="AN3082">
        <v>1.0000000388475001</v>
      </c>
    </row>
    <row r="3083" spans="1:40" x14ac:dyDescent="0.25">
      <c r="A3083" t="str">
        <f>"20190303170316260"</f>
        <v>20190303170316260</v>
      </c>
      <c r="B3083" t="str">
        <f>"1551603796248241"</f>
        <v>1551603796248241</v>
      </c>
      <c r="C3083" t="s">
        <v>40</v>
      </c>
      <c r="D3083">
        <v>4.5380880000000001</v>
      </c>
      <c r="E3083">
        <v>0.34920109999999999</v>
      </c>
      <c r="F3083" t="s">
        <v>66</v>
      </c>
      <c r="G3083">
        <v>-512.82629999999995</v>
      </c>
      <c r="H3083">
        <v>3.3584320000000001</v>
      </c>
      <c r="I3083">
        <v>225.5771</v>
      </c>
      <c r="J3083">
        <v>-479.89940000000001</v>
      </c>
      <c r="K3083">
        <v>1.1276349999999999</v>
      </c>
      <c r="L3083">
        <v>281.05439999999999</v>
      </c>
      <c r="M3083">
        <v>-0.86250469999999901</v>
      </c>
      <c r="N3083">
        <v>-1.458279E-2</v>
      </c>
      <c r="O3083">
        <v>-0.50583909999999999</v>
      </c>
      <c r="P3083">
        <v>-0.78270240000000002</v>
      </c>
      <c r="Q3083">
        <v>0.163966</v>
      </c>
      <c r="R3083">
        <v>-0.60041</v>
      </c>
      <c r="S3083">
        <v>-1.666595</v>
      </c>
      <c r="T3083">
        <v>0.1125497</v>
      </c>
      <c r="U3083">
        <v>-2.802368</v>
      </c>
      <c r="V3083">
        <v>-0.124498</v>
      </c>
      <c r="W3083">
        <v>0.17645169999999999</v>
      </c>
      <c r="X3083">
        <v>0.9764041</v>
      </c>
      <c r="Y3083">
        <v>-0.48306490000000002</v>
      </c>
      <c r="Z3083">
        <v>-2.0401679999999998E-2</v>
      </c>
      <c r="AA3083">
        <v>0.87534679999999998</v>
      </c>
      <c r="AB3083">
        <v>24</v>
      </c>
      <c r="AC3083">
        <v>-32.926899999999897</v>
      </c>
      <c r="AD3083">
        <v>2.2307969999999999</v>
      </c>
      <c r="AE3083">
        <v>-55.4772999999999</v>
      </c>
      <c r="AF3083">
        <v>-31.1597743980785</v>
      </c>
      <c r="AG3083">
        <v>2.2307969999999999</v>
      </c>
      <c r="AH3083">
        <v>56.400752926553999</v>
      </c>
      <c r="AI3083">
        <v>88.017186711305996</v>
      </c>
      <c r="AJ3083">
        <v>118.91937268887099</v>
      </c>
      <c r="AK3083">
        <v>64.474436224573196</v>
      </c>
      <c r="AL3083">
        <v>79.836850441699795</v>
      </c>
      <c r="AM3083">
        <v>97.266382454319796</v>
      </c>
      <c r="AN3083">
        <v>0.99999996046684902</v>
      </c>
    </row>
    <row r="3084" spans="1:40" x14ac:dyDescent="0.25">
      <c r="A3084" t="str">
        <f>"20190303170316274"</f>
        <v>20190303170316274</v>
      </c>
      <c r="B3084" t="str">
        <f>"1551603796268737"</f>
        <v>1551603796268737</v>
      </c>
      <c r="C3084" t="s">
        <v>40</v>
      </c>
      <c r="D3084">
        <v>4.5169129999999997</v>
      </c>
      <c r="E3084">
        <v>0.34954299999999999</v>
      </c>
      <c r="F3084" t="s">
        <v>66</v>
      </c>
      <c r="G3084">
        <v>-512.82629999999995</v>
      </c>
      <c r="H3084">
        <v>3.3627060000000002</v>
      </c>
      <c r="I3084">
        <v>225.1874</v>
      </c>
      <c r="J3084">
        <v>-480.02120000000002</v>
      </c>
      <c r="K3084">
        <v>1.1276040000000001</v>
      </c>
      <c r="L3084">
        <v>280.97579999999999</v>
      </c>
      <c r="M3084">
        <v>-0.85954959999999903</v>
      </c>
      <c r="N3084">
        <v>-1.4572770000000001E-2</v>
      </c>
      <c r="O3084">
        <v>-0.51084439999999998</v>
      </c>
      <c r="P3084">
        <v>-0.77952030000000005</v>
      </c>
      <c r="Q3084">
        <v>0.16359860000000001</v>
      </c>
      <c r="R3084">
        <v>-0.60463489999999998</v>
      </c>
      <c r="S3084">
        <v>-1.6551209999999901</v>
      </c>
      <c r="T3084">
        <v>0.1123521</v>
      </c>
      <c r="U3084">
        <v>-2.8082280000000002</v>
      </c>
      <c r="V3084">
        <v>-0.12404569999999999</v>
      </c>
      <c r="W3084">
        <v>0.17609169999999999</v>
      </c>
      <c r="X3084">
        <v>0.97652669999999997</v>
      </c>
      <c r="Y3084">
        <v>-0.48142950000000001</v>
      </c>
      <c r="Z3084">
        <v>-2.0657109999999999E-2</v>
      </c>
      <c r="AA3084">
        <v>0.87624139999999995</v>
      </c>
      <c r="AB3084">
        <v>23</v>
      </c>
      <c r="AC3084">
        <v>-32.805099999999896</v>
      </c>
      <c r="AD3084">
        <v>2.2351019999999902</v>
      </c>
      <c r="AE3084">
        <v>-55.788400000000003</v>
      </c>
      <c r="AF3084">
        <v>-31.1607443197267</v>
      </c>
      <c r="AG3084">
        <v>2.2351019999999902</v>
      </c>
      <c r="AH3084">
        <v>56.635277512250099</v>
      </c>
      <c r="AI3084">
        <v>88.019684587138002</v>
      </c>
      <c r="AJ3084">
        <v>118.81960217964701</v>
      </c>
      <c r="AK3084">
        <v>64.680308644898801</v>
      </c>
      <c r="AL3084">
        <v>79.857805538840395</v>
      </c>
      <c r="AM3084">
        <v>97.2393650468141</v>
      </c>
      <c r="AN3084">
        <v>1.00000000915513</v>
      </c>
    </row>
    <row r="3085" spans="1:40" x14ac:dyDescent="0.25">
      <c r="A3085" t="str">
        <f>"20190303170316288"</f>
        <v>20190303170316288</v>
      </c>
      <c r="B3085" t="str">
        <f>"1551603796278497"</f>
        <v>1551603796278497</v>
      </c>
      <c r="C3085" t="s">
        <v>40</v>
      </c>
      <c r="D3085">
        <v>4.5213210000000004</v>
      </c>
      <c r="E3085">
        <v>0.34979650000000001</v>
      </c>
      <c r="F3085" t="s">
        <v>66</v>
      </c>
      <c r="G3085">
        <v>-512.82629999999995</v>
      </c>
      <c r="H3085">
        <v>3.3758780000000002</v>
      </c>
      <c r="I3085">
        <v>224.70359999999999</v>
      </c>
      <c r="J3085">
        <v>-480.13369999999998</v>
      </c>
      <c r="K3085">
        <v>1.127575</v>
      </c>
      <c r="L3085">
        <v>280.90190000000001</v>
      </c>
      <c r="M3085">
        <v>-0.85679269999999996</v>
      </c>
      <c r="N3085">
        <v>-1.4563680000000001E-2</v>
      </c>
      <c r="O3085">
        <v>-0.51545540000000001</v>
      </c>
      <c r="P3085">
        <v>-0.77656969999999903</v>
      </c>
      <c r="Q3085">
        <v>0.16366220000000001</v>
      </c>
      <c r="R3085">
        <v>-0.60840329999999998</v>
      </c>
      <c r="S3085">
        <v>-1.64123499999999</v>
      </c>
      <c r="T3085">
        <v>0.1124836</v>
      </c>
      <c r="U3085">
        <v>-2.815277</v>
      </c>
      <c r="V3085">
        <v>-0.12352349999999999</v>
      </c>
      <c r="W3085">
        <v>0.17616209999999999</v>
      </c>
      <c r="X3085">
        <v>0.97658020000000001</v>
      </c>
      <c r="Y3085">
        <v>-0.480902</v>
      </c>
      <c r="Z3085">
        <v>-2.0910789999999999E-2</v>
      </c>
      <c r="AA3085">
        <v>0.87652489999999905</v>
      </c>
      <c r="AB3085">
        <v>23</v>
      </c>
      <c r="AC3085">
        <v>-32.692599999999899</v>
      </c>
      <c r="AD3085">
        <v>2.2483029999999999</v>
      </c>
      <c r="AE3085">
        <v>-56.198300000000003</v>
      </c>
      <c r="AF3085">
        <v>-31.264646767761</v>
      </c>
      <c r="AG3085">
        <v>2.2483029999999999</v>
      </c>
      <c r="AH3085">
        <v>56.916476110933097</v>
      </c>
      <c r="AI3085">
        <v>88.017084909996299</v>
      </c>
      <c r="AJ3085">
        <v>118.780322060795</v>
      </c>
      <c r="AK3085">
        <v>64.977059465468997</v>
      </c>
      <c r="AL3085">
        <v>79.853707906318903</v>
      </c>
      <c r="AM3085">
        <v>97.208819730859901</v>
      </c>
      <c r="AN3085">
        <v>1.00000001378035</v>
      </c>
    </row>
    <row r="3086" spans="1:40" x14ac:dyDescent="0.25">
      <c r="A3086" t="str">
        <f>"20190303170316300"</f>
        <v>20190303170316300</v>
      </c>
      <c r="B3086" t="str">
        <f>"1551603796288256"</f>
        <v>1551603796288256</v>
      </c>
      <c r="C3086" t="s">
        <v>40</v>
      </c>
      <c r="D3086">
        <v>4.5552279999999996</v>
      </c>
      <c r="E3086">
        <v>0.35008119999999998</v>
      </c>
      <c r="F3086" t="s">
        <v>66</v>
      </c>
      <c r="G3086">
        <v>-512.82629999999995</v>
      </c>
      <c r="H3086">
        <v>3.401637</v>
      </c>
      <c r="I3086">
        <v>224.2527</v>
      </c>
      <c r="J3086">
        <v>-480.24689999999998</v>
      </c>
      <c r="K3086">
        <v>1.127553</v>
      </c>
      <c r="L3086">
        <v>280.82679999999999</v>
      </c>
      <c r="M3086">
        <v>-0.85399099999999994</v>
      </c>
      <c r="N3086">
        <v>-1.455475E-2</v>
      </c>
      <c r="O3086">
        <v>-0.5200844</v>
      </c>
      <c r="P3086">
        <v>-0.77351559999999997</v>
      </c>
      <c r="Q3086">
        <v>0.16388150000000001</v>
      </c>
      <c r="R3086">
        <v>-0.61222270000000001</v>
      </c>
      <c r="S3086">
        <v>-1.6285099999999999</v>
      </c>
      <c r="T3086">
        <v>0.11328009999999999</v>
      </c>
      <c r="U3086">
        <v>-2.8218380000000001</v>
      </c>
      <c r="V3086">
        <v>-0.1230653</v>
      </c>
      <c r="W3086">
        <v>0.17638789999999999</v>
      </c>
      <c r="X3086">
        <v>0.9765973</v>
      </c>
      <c r="Y3086">
        <v>-0.4800085</v>
      </c>
      <c r="Z3086">
        <v>-2.123071E-2</v>
      </c>
      <c r="AA3086">
        <v>0.87700689999999903</v>
      </c>
      <c r="AB3086">
        <v>23</v>
      </c>
      <c r="AC3086">
        <v>-32.5793999999999</v>
      </c>
      <c r="AD3086">
        <v>2.2740840000000002</v>
      </c>
      <c r="AE3086">
        <v>-56.574099999999902</v>
      </c>
      <c r="AF3086">
        <v>-31.335032671142301</v>
      </c>
      <c r="AG3086">
        <v>2.2740840000000002</v>
      </c>
      <c r="AH3086">
        <v>57.182494707095898</v>
      </c>
      <c r="AI3086">
        <v>88.0025739090066</v>
      </c>
      <c r="AJ3086">
        <v>118.721990409962</v>
      </c>
      <c r="AK3086">
        <v>65.244872836627295</v>
      </c>
      <c r="AL3086">
        <v>79.840564802716102</v>
      </c>
      <c r="AM3086">
        <v>97.182234541249798</v>
      </c>
      <c r="AN3086">
        <v>1.0000000228488899</v>
      </c>
    </row>
    <row r="3087" spans="1:40" x14ac:dyDescent="0.25">
      <c r="A3087" t="str">
        <f>"20190303170316312"</f>
        <v>20190303170316312</v>
      </c>
      <c r="B3087" t="str">
        <f>"1551603796308753"</f>
        <v>1551603796308753</v>
      </c>
      <c r="C3087" t="s">
        <v>40</v>
      </c>
      <c r="D3087">
        <v>4.5618349999999896</v>
      </c>
      <c r="E3087">
        <v>0.35056809999999899</v>
      </c>
      <c r="F3087" t="s">
        <v>66</v>
      </c>
      <c r="G3087">
        <v>-512.82629999999995</v>
      </c>
      <c r="H3087">
        <v>3.424461</v>
      </c>
      <c r="I3087">
        <v>223.8073</v>
      </c>
      <c r="J3087">
        <v>-480.35359999999997</v>
      </c>
      <c r="K3087">
        <v>1.127529</v>
      </c>
      <c r="L3087">
        <v>280.75540000000001</v>
      </c>
      <c r="M3087">
        <v>-0.85132629999999998</v>
      </c>
      <c r="N3087">
        <v>-1.454652E-2</v>
      </c>
      <c r="O3087">
        <v>-0.52443490000000004</v>
      </c>
      <c r="P3087">
        <v>-0.77062089999999905</v>
      </c>
      <c r="Q3087">
        <v>0.163988299999999</v>
      </c>
      <c r="R3087">
        <v>-0.61583390000000005</v>
      </c>
      <c r="S3087">
        <v>-1.6159059999999901</v>
      </c>
      <c r="T3087">
        <v>0.113927</v>
      </c>
      <c r="U3087">
        <v>-2.8280940000000001</v>
      </c>
      <c r="V3087">
        <v>-0.1226511</v>
      </c>
      <c r="W3087">
        <v>0.1765005</v>
      </c>
      <c r="X3087">
        <v>0.97662899999999997</v>
      </c>
      <c r="Y3087">
        <v>-0.4793174</v>
      </c>
      <c r="Z3087">
        <v>-2.1523710000000001E-2</v>
      </c>
      <c r="AA3087">
        <v>0.87737770000000004</v>
      </c>
      <c r="AB3087">
        <v>23</v>
      </c>
      <c r="AC3087">
        <v>-32.472699999999897</v>
      </c>
      <c r="AD3087">
        <v>2.296932</v>
      </c>
      <c r="AE3087">
        <v>-56.948099999999997</v>
      </c>
      <c r="AF3087">
        <v>-31.416357420655501</v>
      </c>
      <c r="AG3087">
        <v>2.296932</v>
      </c>
      <c r="AH3087">
        <v>57.4459957801893</v>
      </c>
      <c r="AI3087">
        <v>87.990840338684805</v>
      </c>
      <c r="AJ3087">
        <v>118.673590624271</v>
      </c>
      <c r="AK3087">
        <v>65.515691566009906</v>
      </c>
      <c r="AL3087">
        <v>79.834009831740403</v>
      </c>
      <c r="AM3087">
        <v>97.158082586373098</v>
      </c>
      <c r="AN3087">
        <v>0.99999996123622903</v>
      </c>
    </row>
    <row r="3088" spans="1:40" x14ac:dyDescent="0.25">
      <c r="A3088" t="str">
        <f>"20190303170316326"</f>
        <v>20190303170316326</v>
      </c>
      <c r="B3088" t="str">
        <f>"1551603796318513"</f>
        <v>1551603796318513</v>
      </c>
      <c r="C3088" t="s">
        <v>40</v>
      </c>
      <c r="D3088">
        <v>4.5824689999999997</v>
      </c>
      <c r="E3088">
        <v>0.35072569999999997</v>
      </c>
      <c r="F3088" t="s">
        <v>66</v>
      </c>
      <c r="G3088">
        <v>-512.82629999999995</v>
      </c>
      <c r="H3088">
        <v>3.457287</v>
      </c>
      <c r="I3088">
        <v>223.44810000000001</v>
      </c>
      <c r="J3088">
        <v>-480.46379999999999</v>
      </c>
      <c r="K3088">
        <v>1.1274999999999999</v>
      </c>
      <c r="L3088">
        <v>280.68049999999999</v>
      </c>
      <c r="M3088">
        <v>-0.84854879999999999</v>
      </c>
      <c r="N3088">
        <v>-1.453778E-2</v>
      </c>
      <c r="O3088">
        <v>-0.52891739999999998</v>
      </c>
      <c r="P3088">
        <v>-0.76732339999999999</v>
      </c>
      <c r="Q3088">
        <v>0.16391610000000001</v>
      </c>
      <c r="R3088">
        <v>-0.61995690000000003</v>
      </c>
      <c r="S3088">
        <v>-1.6049800000000001</v>
      </c>
      <c r="T3088">
        <v>0.11515209999999999</v>
      </c>
      <c r="U3088">
        <v>-2.8324280000000002</v>
      </c>
      <c r="V3088">
        <v>-0.1227152</v>
      </c>
      <c r="W3088">
        <v>0.17642729999999901</v>
      </c>
      <c r="X3088">
        <v>0.97663420000000001</v>
      </c>
      <c r="Y3088">
        <v>-0.47782980000000003</v>
      </c>
      <c r="Z3088">
        <v>-2.189226E-2</v>
      </c>
      <c r="AA3088">
        <v>0.87817959999999995</v>
      </c>
      <c r="AB3088">
        <v>23</v>
      </c>
      <c r="AC3088">
        <v>-32.362499999999898</v>
      </c>
      <c r="AD3088">
        <v>2.3297870000000001</v>
      </c>
      <c r="AE3088">
        <v>-57.232399999999899</v>
      </c>
      <c r="AF3088">
        <v>-31.411277479768199</v>
      </c>
      <c r="AG3088">
        <v>2.3297870000000001</v>
      </c>
      <c r="AH3088">
        <v>57.666066800261802</v>
      </c>
      <c r="AI3088">
        <v>87.968040020137906</v>
      </c>
      <c r="AJ3088">
        <v>118.577567397946</v>
      </c>
      <c r="AK3088">
        <v>65.707469290702605</v>
      </c>
      <c r="AL3088">
        <v>79.838271009059099</v>
      </c>
      <c r="AM3088">
        <v>97.161746977212303</v>
      </c>
      <c r="AN3088">
        <v>0.99999998655298405</v>
      </c>
    </row>
    <row r="3089" spans="1:40" x14ac:dyDescent="0.25">
      <c r="A3089" t="str">
        <f>"20190303170316337"</f>
        <v>20190303170316337</v>
      </c>
      <c r="B3089" t="str">
        <f>"1551603796328272"</f>
        <v>1551603796328272</v>
      </c>
      <c r="C3089" t="s">
        <v>40</v>
      </c>
      <c r="D3089">
        <v>4.5935589999999999</v>
      </c>
      <c r="E3089">
        <v>0.35091260000000002</v>
      </c>
      <c r="F3089" t="s">
        <v>66</v>
      </c>
      <c r="G3089">
        <v>-512.82629999999995</v>
      </c>
      <c r="H3089">
        <v>3.4953370000000001</v>
      </c>
      <c r="I3089">
        <v>222.86750000000001</v>
      </c>
      <c r="J3089">
        <v>-480.55779999999999</v>
      </c>
      <c r="K3089">
        <v>1.1274740000000001</v>
      </c>
      <c r="L3089">
        <v>280.61630000000002</v>
      </c>
      <c r="M3089">
        <v>-0.8461632</v>
      </c>
      <c r="N3089">
        <v>-1.4530410000000001E-2</v>
      </c>
      <c r="O3089">
        <v>-0.53272580000000003</v>
      </c>
      <c r="P3089">
        <v>-0.76457659999999905</v>
      </c>
      <c r="Q3089">
        <v>0.1636599</v>
      </c>
      <c r="R3089">
        <v>-0.62340859999999998</v>
      </c>
      <c r="S3089">
        <v>-1.589966</v>
      </c>
      <c r="T3089">
        <v>0.116334199999999</v>
      </c>
      <c r="U3089">
        <v>-2.8403320000000001</v>
      </c>
      <c r="V3089">
        <v>-0.1226831</v>
      </c>
      <c r="W3089">
        <v>0.17617289999999999</v>
      </c>
      <c r="X3089">
        <v>0.9766842</v>
      </c>
      <c r="Y3089">
        <v>-0.4784619</v>
      </c>
      <c r="Z3089">
        <v>-2.2199179999999999E-2</v>
      </c>
      <c r="AA3089">
        <v>0.87782759999999904</v>
      </c>
      <c r="AB3089">
        <v>23</v>
      </c>
      <c r="AC3089">
        <v>-32.268499999999896</v>
      </c>
      <c r="AD3089">
        <v>2.3678629999999998</v>
      </c>
      <c r="AE3089">
        <v>-57.748800000000003</v>
      </c>
      <c r="AF3089">
        <v>-31.637456091624902</v>
      </c>
      <c r="AG3089">
        <v>2.3678629999999998</v>
      </c>
      <c r="AH3089">
        <v>58.000511453474999</v>
      </c>
      <c r="AI3089">
        <v>87.947411773192798</v>
      </c>
      <c r="AJ3089">
        <v>118.61107899463801</v>
      </c>
      <c r="AK3089">
        <v>66.110473693666407</v>
      </c>
      <c r="AL3089">
        <v>79.853079447928906</v>
      </c>
      <c r="AM3089">
        <v>97.159530305816205</v>
      </c>
      <c r="AN3089">
        <v>1.00000003012482</v>
      </c>
    </row>
    <row r="3090" spans="1:40" x14ac:dyDescent="0.25">
      <c r="A3090" t="str">
        <f>"20190303170316347"</f>
        <v>20190303170316347</v>
      </c>
      <c r="B3090" t="str">
        <f>"1551603796339009"</f>
        <v>1551603796339009</v>
      </c>
      <c r="C3090" t="s">
        <v>40</v>
      </c>
      <c r="D3090">
        <v>4.555294</v>
      </c>
      <c r="E3090">
        <v>0.35127380000000002</v>
      </c>
      <c r="F3090" t="s">
        <v>66</v>
      </c>
      <c r="G3090">
        <v>-512.80960000000005</v>
      </c>
      <c r="H3090">
        <v>3.5066489999999999</v>
      </c>
      <c r="I3090">
        <v>222.446</v>
      </c>
      <c r="J3090">
        <v>-480.65539999999999</v>
      </c>
      <c r="K3090">
        <v>1.1274439999999999</v>
      </c>
      <c r="L3090">
        <v>280.5487</v>
      </c>
      <c r="M3090">
        <v>-0.84366939999999901</v>
      </c>
      <c r="N3090">
        <v>-1.4522409999999999E-2</v>
      </c>
      <c r="O3090">
        <v>-0.5366668</v>
      </c>
      <c r="P3090">
        <v>-0.76163419999999904</v>
      </c>
      <c r="Q3090">
        <v>0.163134</v>
      </c>
      <c r="R3090">
        <v>-0.62713719999999995</v>
      </c>
      <c r="S3090">
        <v>-1.5780940000000001</v>
      </c>
      <c r="T3090">
        <v>0.1164166</v>
      </c>
      <c r="U3090">
        <v>-2.8462830000000001</v>
      </c>
      <c r="V3090">
        <v>-0.1228201</v>
      </c>
      <c r="W3090">
        <v>0.17564669999999999</v>
      </c>
      <c r="X3090">
        <v>0.97676169999999995</v>
      </c>
      <c r="Y3090">
        <v>-0.4779467</v>
      </c>
      <c r="Z3090">
        <v>-2.242038E-2</v>
      </c>
      <c r="AA3090">
        <v>0.87810270000000001</v>
      </c>
      <c r="AB3090">
        <v>23</v>
      </c>
      <c r="AC3090">
        <v>-32.154200000000003</v>
      </c>
      <c r="AD3090">
        <v>2.3792049999999998</v>
      </c>
      <c r="AE3090">
        <v>-58.102699999999999</v>
      </c>
      <c r="AF3090">
        <v>-31.726000295726902</v>
      </c>
      <c r="AG3090">
        <v>2.3792049999999998</v>
      </c>
      <c r="AH3090">
        <v>58.24068817101</v>
      </c>
      <c r="AI3090">
        <v>87.945457324146901</v>
      </c>
      <c r="AJ3090">
        <v>118.578872953803</v>
      </c>
      <c r="AK3090">
        <v>66.3639772002049</v>
      </c>
      <c r="AL3090">
        <v>79.883705550548299</v>
      </c>
      <c r="AM3090">
        <v>97.166879459476903</v>
      </c>
      <c r="AN3090">
        <v>0.99999997938589402</v>
      </c>
    </row>
    <row r="3091" spans="1:40" x14ac:dyDescent="0.25">
      <c r="A3091" t="str">
        <f>"20190303170316359"</f>
        <v>20190303170316359</v>
      </c>
      <c r="B3091" t="str">
        <f>"1551603796348769"</f>
        <v>1551603796348769</v>
      </c>
      <c r="C3091" t="s">
        <v>40</v>
      </c>
      <c r="D3091">
        <v>4.58805</v>
      </c>
      <c r="E3091">
        <v>0.35162090000000001</v>
      </c>
      <c r="F3091" t="s">
        <v>66</v>
      </c>
      <c r="G3091">
        <v>-512.57029999999997</v>
      </c>
      <c r="H3091">
        <v>3.4556879999999999</v>
      </c>
      <c r="I3091">
        <v>222.446</v>
      </c>
      <c r="J3091">
        <v>-480.74599999999998</v>
      </c>
      <c r="K3091">
        <v>1.1274120000000001</v>
      </c>
      <c r="L3091">
        <v>280.48559999999998</v>
      </c>
      <c r="M3091">
        <v>-0.84133930000000001</v>
      </c>
      <c r="N3091">
        <v>-1.451499E-2</v>
      </c>
      <c r="O3091">
        <v>-0.54031269999999998</v>
      </c>
      <c r="P3091">
        <v>-0.75875879999999996</v>
      </c>
      <c r="Q3091">
        <v>0.1629292</v>
      </c>
      <c r="R3091">
        <v>-0.63066599999999995</v>
      </c>
      <c r="S3091">
        <v>-1.566376</v>
      </c>
      <c r="T3091">
        <v>0.1142722</v>
      </c>
      <c r="U3091">
        <v>-2.8516539999999999</v>
      </c>
      <c r="V3091">
        <v>-0.1230888</v>
      </c>
      <c r="W3091">
        <v>0.17543919999999999</v>
      </c>
      <c r="X3091">
        <v>0.9767652</v>
      </c>
      <c r="Y3091">
        <v>-0.47761130000000002</v>
      </c>
      <c r="Z3091">
        <v>-2.2402990000000001E-2</v>
      </c>
      <c r="AA3091">
        <v>0.87828549999999905</v>
      </c>
      <c r="AB3091">
        <v>23</v>
      </c>
      <c r="AC3091">
        <v>-31.824299999999901</v>
      </c>
      <c r="AD3091">
        <v>2.3282759999999998</v>
      </c>
      <c r="AE3091">
        <v>-58.039599999999901</v>
      </c>
      <c r="AF3091">
        <v>-31.600153775793899</v>
      </c>
      <c r="AG3091">
        <v>2.3282759999999998</v>
      </c>
      <c r="AH3091">
        <v>58.068837335704401</v>
      </c>
      <c r="AI3091">
        <v>87.982985067326297</v>
      </c>
      <c r="AJ3091">
        <v>118.554341532783</v>
      </c>
      <c r="AK3091">
        <v>66.151193922003401</v>
      </c>
      <c r="AL3091">
        <v>79.895782270446603</v>
      </c>
      <c r="AM3091">
        <v>97.182369783219102</v>
      </c>
      <c r="AN3091">
        <v>1.0000000107565501</v>
      </c>
    </row>
    <row r="3092" spans="1:40" x14ac:dyDescent="0.25">
      <c r="A3092" t="str">
        <f>"20190303170316370"</f>
        <v>20190303170316370</v>
      </c>
      <c r="B3092" t="str">
        <f>"1551603796358529"</f>
        <v>1551603796358529</v>
      </c>
      <c r="C3092" t="s">
        <v>40</v>
      </c>
      <c r="D3092">
        <v>4.5928129999999996</v>
      </c>
      <c r="E3092">
        <v>0.35195530000000003</v>
      </c>
      <c r="F3092" t="s">
        <v>66</v>
      </c>
      <c r="G3092">
        <v>-512.34090000000003</v>
      </c>
      <c r="H3092">
        <v>3.4230200000000002</v>
      </c>
      <c r="I3092">
        <v>222.446</v>
      </c>
      <c r="J3092">
        <v>-480.83980000000003</v>
      </c>
      <c r="K3092">
        <v>1.127383</v>
      </c>
      <c r="L3092">
        <v>280.41950000000003</v>
      </c>
      <c r="M3092">
        <v>-0.83890819999999999</v>
      </c>
      <c r="N3092">
        <v>-1.450719E-2</v>
      </c>
      <c r="O3092">
        <v>-0.54407969999999894</v>
      </c>
      <c r="P3092">
        <v>-0.75588480000000002</v>
      </c>
      <c r="Q3092">
        <v>0.16228970000000001</v>
      </c>
      <c r="R3092">
        <v>-0.63427180000000005</v>
      </c>
      <c r="S3092">
        <v>-1.555115</v>
      </c>
      <c r="T3092">
        <v>0.11299339999999999</v>
      </c>
      <c r="U3092">
        <v>-2.8567200000000001</v>
      </c>
      <c r="V3092">
        <v>-0.12326330000000001</v>
      </c>
      <c r="W3092">
        <v>0.1748007</v>
      </c>
      <c r="X3092">
        <v>0.97685770000000005</v>
      </c>
      <c r="Y3092">
        <v>-0.47699459999999999</v>
      </c>
      <c r="Z3092">
        <v>-2.2476630000000001E-2</v>
      </c>
      <c r="AA3092">
        <v>0.87861880000000003</v>
      </c>
      <c r="AB3092">
        <v>23</v>
      </c>
      <c r="AC3092">
        <v>-31.501100000000001</v>
      </c>
      <c r="AD3092">
        <v>2.2956370000000001</v>
      </c>
      <c r="AE3092">
        <v>-57.973500000000001</v>
      </c>
      <c r="AF3092">
        <v>-31.4605624376028</v>
      </c>
      <c r="AG3092">
        <v>2.2956370000000001</v>
      </c>
      <c r="AH3092">
        <v>57.9047340407135</v>
      </c>
      <c r="AI3092">
        <v>88.004879680939595</v>
      </c>
      <c r="AJ3092">
        <v>118.51593649961799</v>
      </c>
      <c r="AK3092">
        <v>65.939329405536398</v>
      </c>
      <c r="AL3092">
        <v>79.932940175583795</v>
      </c>
      <c r="AM3092">
        <v>97.191771564129695</v>
      </c>
      <c r="AN3092">
        <v>1.00000004594833</v>
      </c>
    </row>
    <row r="3093" spans="1:40" x14ac:dyDescent="0.25">
      <c r="A3093" t="str">
        <f>"20190303170316381"</f>
        <v>20190303170316381</v>
      </c>
      <c r="B3093" t="str">
        <f>"1551603796368288"</f>
        <v>1551603796368288</v>
      </c>
      <c r="C3093" t="s">
        <v>40</v>
      </c>
      <c r="D3093">
        <v>4.5480790000000004</v>
      </c>
      <c r="E3093">
        <v>0.35234379999999998</v>
      </c>
      <c r="F3093" t="s">
        <v>66</v>
      </c>
      <c r="G3093">
        <v>-512.10299999999995</v>
      </c>
      <c r="H3093">
        <v>3.3607079999999998</v>
      </c>
      <c r="I3093">
        <v>222.446</v>
      </c>
      <c r="J3093">
        <v>-480.9366</v>
      </c>
      <c r="K3093">
        <v>1.1273439999999999</v>
      </c>
      <c r="L3093">
        <v>280.35059999999999</v>
      </c>
      <c r="M3093">
        <v>-0.83639030000000003</v>
      </c>
      <c r="N3093">
        <v>-1.4498830000000001E-2</v>
      </c>
      <c r="O3093">
        <v>-0.54794299999999996</v>
      </c>
      <c r="P3093">
        <v>-0.75271369999999904</v>
      </c>
      <c r="Q3093">
        <v>0.162193</v>
      </c>
      <c r="R3093">
        <v>-0.63805679999999998</v>
      </c>
      <c r="S3093">
        <v>-1.543488</v>
      </c>
      <c r="T3093">
        <v>0.11026370000000001</v>
      </c>
      <c r="U3093">
        <v>-2.8621829999999999</v>
      </c>
      <c r="V3093">
        <v>-0.12363349999999999</v>
      </c>
      <c r="W3093">
        <v>0.1747002</v>
      </c>
      <c r="X3093">
        <v>0.97682880000000005</v>
      </c>
      <c r="Y3093">
        <v>-0.47640120000000002</v>
      </c>
      <c r="Z3093">
        <v>-2.240062E-2</v>
      </c>
      <c r="AA3093">
        <v>0.87894259999999902</v>
      </c>
      <c r="AB3093">
        <v>23</v>
      </c>
      <c r="AC3093">
        <v>-31.166399999999999</v>
      </c>
      <c r="AD3093">
        <v>2.2333639999999999</v>
      </c>
      <c r="AE3093">
        <v>-57.904599999999903</v>
      </c>
      <c r="AF3093">
        <v>-31.320596303302398</v>
      </c>
      <c r="AG3093">
        <v>2.2333639999999999</v>
      </c>
      <c r="AH3093">
        <v>57.7351612231543</v>
      </c>
      <c r="AI3093">
        <v>88.052586164006897</v>
      </c>
      <c r="AJ3093">
        <v>118.479272449926</v>
      </c>
      <c r="AK3093">
        <v>65.721507202852294</v>
      </c>
      <c r="AL3093">
        <v>79.938787447751807</v>
      </c>
      <c r="AM3093">
        <v>97.213354801464007</v>
      </c>
      <c r="AN3093">
        <v>0.999999953355864</v>
      </c>
    </row>
    <row r="3094" spans="1:40" x14ac:dyDescent="0.25">
      <c r="A3094" t="str">
        <f>"20190303170316392"</f>
        <v>20190303170316392</v>
      </c>
      <c r="B3094" t="str">
        <f>"1551603796388784"</f>
        <v>1551603796388784</v>
      </c>
      <c r="C3094" t="s">
        <v>40</v>
      </c>
      <c r="D3094">
        <v>4.6029289999999996</v>
      </c>
      <c r="E3094">
        <v>0.35316940000000002</v>
      </c>
      <c r="F3094" t="s">
        <v>66</v>
      </c>
      <c r="G3094">
        <v>-511.9597</v>
      </c>
      <c r="H3094">
        <v>3.3374280000000001</v>
      </c>
      <c r="I3094">
        <v>222.24</v>
      </c>
      <c r="J3094">
        <v>-481.02960000000002</v>
      </c>
      <c r="K3094">
        <v>1.1273089999999999</v>
      </c>
      <c r="L3094">
        <v>280.28410000000002</v>
      </c>
      <c r="M3094">
        <v>-0.83395680000000005</v>
      </c>
      <c r="N3094">
        <v>-1.449075E-2</v>
      </c>
      <c r="O3094">
        <v>-0.55163960000000001</v>
      </c>
      <c r="P3094">
        <v>-0.74954739999999997</v>
      </c>
      <c r="Q3094">
        <v>0.162242</v>
      </c>
      <c r="R3094">
        <v>-0.64176029999999995</v>
      </c>
      <c r="S3094">
        <v>-1.5310360000000001</v>
      </c>
      <c r="T3094">
        <v>0.1090734</v>
      </c>
      <c r="U3094">
        <v>-2.8678279999999998</v>
      </c>
      <c r="V3094">
        <v>-0.1241192</v>
      </c>
      <c r="W3094">
        <v>0.17474389999999901</v>
      </c>
      <c r="X3094">
        <v>0.97675940000000006</v>
      </c>
      <c r="Y3094">
        <v>-0.47619600000000001</v>
      </c>
      <c r="Z3094">
        <v>-2.2466130000000001E-2</v>
      </c>
      <c r="AA3094">
        <v>0.87905219999999995</v>
      </c>
      <c r="AB3094">
        <v>23</v>
      </c>
      <c r="AC3094">
        <v>-30.9300999999999</v>
      </c>
      <c r="AD3094">
        <v>2.2101190000000002</v>
      </c>
      <c r="AE3094">
        <v>-58.0441</v>
      </c>
      <c r="AF3094">
        <v>-31.311935480259901</v>
      </c>
      <c r="AG3094">
        <v>2.2101190000000002</v>
      </c>
      <c r="AH3094">
        <v>57.754641349490498</v>
      </c>
      <c r="AI3094">
        <v>88.073220528329799</v>
      </c>
      <c r="AJ3094">
        <v>118.46453201406101</v>
      </c>
      <c r="AK3094">
        <v>65.733709213176198</v>
      </c>
      <c r="AL3094">
        <v>79.936244634002904</v>
      </c>
      <c r="AM3094">
        <v>97.241901622638906</v>
      </c>
      <c r="AN3094">
        <v>0.99999996594210405</v>
      </c>
    </row>
    <row r="3095" spans="1:40" x14ac:dyDescent="0.25">
      <c r="A3095" t="str">
        <f>"20190303170316406"</f>
        <v>20190303170316406</v>
      </c>
      <c r="B3095" t="str">
        <f>"1551603796398545"</f>
        <v>1551603796398545</v>
      </c>
      <c r="C3095" t="s">
        <v>40</v>
      </c>
      <c r="D3095">
        <v>4.6633760000000004</v>
      </c>
      <c r="E3095">
        <v>0.35316940000000002</v>
      </c>
      <c r="F3095" t="s">
        <v>66</v>
      </c>
      <c r="G3095">
        <v>-511.9597</v>
      </c>
      <c r="H3095">
        <v>3.3228960000000001</v>
      </c>
      <c r="I3095">
        <v>221.92359999999999</v>
      </c>
      <c r="J3095">
        <v>-481.13279999999997</v>
      </c>
      <c r="K3095">
        <v>1.12727</v>
      </c>
      <c r="L3095">
        <v>280.20920000000001</v>
      </c>
      <c r="M3095">
        <v>-0.83124880000000001</v>
      </c>
      <c r="N3095">
        <v>-1.448116E-2</v>
      </c>
      <c r="O3095">
        <v>-0.55571199999999998</v>
      </c>
      <c r="P3095">
        <v>-0.74614250000000004</v>
      </c>
      <c r="Q3095">
        <v>0.16228860000000001</v>
      </c>
      <c r="R3095">
        <v>-0.64570459999999996</v>
      </c>
      <c r="S3095">
        <v>-1.5213319999999999</v>
      </c>
      <c r="T3095">
        <v>0.10799499999999999</v>
      </c>
      <c r="U3095">
        <v>-2.870514</v>
      </c>
      <c r="V3095">
        <v>-0.12448149999999999</v>
      </c>
      <c r="W3095">
        <v>0.17478850000000001</v>
      </c>
      <c r="X3095">
        <v>0.97670539999999995</v>
      </c>
      <c r="Y3095">
        <v>-0.47455229999999998</v>
      </c>
      <c r="Z3095">
        <v>-2.257632E-2</v>
      </c>
      <c r="AA3095">
        <v>0.87993770000000004</v>
      </c>
      <c r="AB3095">
        <v>23</v>
      </c>
      <c r="AC3095">
        <v>-30.826899999999998</v>
      </c>
      <c r="AD3095">
        <v>2.1956259999999999</v>
      </c>
      <c r="AE3095">
        <v>-58.285600000000002</v>
      </c>
      <c r="AF3095">
        <v>-31.287546163355501</v>
      </c>
      <c r="AG3095">
        <v>2.1956259999999999</v>
      </c>
      <c r="AH3095">
        <v>57.956646314090101</v>
      </c>
      <c r="AI3095">
        <v>88.090668850440693</v>
      </c>
      <c r="AJ3095">
        <v>118.362124401175</v>
      </c>
      <c r="AK3095">
        <v>65.899197039360899</v>
      </c>
      <c r="AL3095">
        <v>79.933650164810601</v>
      </c>
      <c r="AM3095">
        <v>97.263212369515401</v>
      </c>
      <c r="AN3095">
        <v>1.0000000509818201</v>
      </c>
    </row>
    <row r="3096" spans="1:40" x14ac:dyDescent="0.25">
      <c r="A3096" t="str">
        <f>"20190303170316417"</f>
        <v>20190303170316417</v>
      </c>
      <c r="B3096" t="str">
        <f>"1551603796408305"</f>
        <v>1551603796408305</v>
      </c>
      <c r="C3096" t="s">
        <v>40</v>
      </c>
      <c r="D3096">
        <v>4.6219250000000001</v>
      </c>
      <c r="E3096">
        <v>0.37787549999999998</v>
      </c>
      <c r="F3096" t="s">
        <v>66</v>
      </c>
      <c r="G3096">
        <v>-511.9597</v>
      </c>
      <c r="H3096">
        <v>3.3411019999999998</v>
      </c>
      <c r="I3096">
        <v>221.2885</v>
      </c>
      <c r="J3096">
        <v>-481.22879999999998</v>
      </c>
      <c r="K3096">
        <v>1.12723</v>
      </c>
      <c r="L3096">
        <v>280.13920000000002</v>
      </c>
      <c r="M3096">
        <v>-0.82871459999999997</v>
      </c>
      <c r="N3096">
        <v>-1.4472169999999999E-2</v>
      </c>
      <c r="O3096">
        <v>-0.55948439999999999</v>
      </c>
      <c r="P3096">
        <v>-0.74256099999999903</v>
      </c>
      <c r="Q3096">
        <v>0.16275110000000001</v>
      </c>
      <c r="R3096">
        <v>-0.64970399999999995</v>
      </c>
      <c r="S3096">
        <v>-1.5060420000000001</v>
      </c>
      <c r="T3096">
        <v>0.1081587</v>
      </c>
      <c r="U3096">
        <v>-2.8785400000000001</v>
      </c>
      <c r="V3096">
        <v>-0.125336999999999</v>
      </c>
      <c r="W3096">
        <v>0.1752406</v>
      </c>
      <c r="X3096">
        <v>0.97651489999999996</v>
      </c>
      <c r="Y3096">
        <v>-0.4752306</v>
      </c>
      <c r="Z3096">
        <v>-2.277264E-2</v>
      </c>
      <c r="AA3096">
        <v>0.87956650000000003</v>
      </c>
      <c r="AB3096">
        <v>23</v>
      </c>
      <c r="AC3096">
        <v>-30.730899999999998</v>
      </c>
      <c r="AD3096">
        <v>2.2138719999999998</v>
      </c>
      <c r="AE3096">
        <v>-58.850700000000003</v>
      </c>
      <c r="AF3096">
        <v>-31.545203921520098</v>
      </c>
      <c r="AG3096">
        <v>2.2138719999999998</v>
      </c>
      <c r="AH3096">
        <v>58.334441643764002</v>
      </c>
      <c r="AI3096">
        <v>88.088008610391597</v>
      </c>
      <c r="AJ3096">
        <v>118.402955564111</v>
      </c>
      <c r="AK3096">
        <v>66.354413580201197</v>
      </c>
      <c r="AL3096">
        <v>79.907340064504297</v>
      </c>
      <c r="AM3096">
        <v>97.314001466451401</v>
      </c>
      <c r="AN3096">
        <v>0.99999999068968404</v>
      </c>
    </row>
    <row r="3097" spans="1:40" x14ac:dyDescent="0.25">
      <c r="A3097" t="str">
        <f>"20190303170316427"</f>
        <v>20190303170316427</v>
      </c>
      <c r="B3097" t="str">
        <f>"1551603796418064"</f>
        <v>1551603796418064</v>
      </c>
      <c r="C3097" t="s">
        <v>40</v>
      </c>
      <c r="D3097">
        <v>4.6598509999999997</v>
      </c>
      <c r="E3097">
        <v>0.3832158</v>
      </c>
      <c r="F3097" t="s">
        <v>66</v>
      </c>
      <c r="G3097">
        <v>-512.82579999999996</v>
      </c>
      <c r="H3097">
        <v>1.9237629999999999</v>
      </c>
      <c r="I3097">
        <v>226.75960000000001</v>
      </c>
      <c r="J3097">
        <v>-481.31819999999999</v>
      </c>
      <c r="K3097">
        <v>1.1271899999999999</v>
      </c>
      <c r="L3097">
        <v>280.07319999999999</v>
      </c>
      <c r="M3097">
        <v>-0.82635599999999998</v>
      </c>
      <c r="N3097">
        <v>-1.4462900000000001E-2</v>
      </c>
      <c r="O3097">
        <v>-0.56296250000000003</v>
      </c>
      <c r="P3097">
        <v>-0.73949100000000001</v>
      </c>
      <c r="Q3097">
        <v>0.1630858</v>
      </c>
      <c r="R3097">
        <v>-0.65311300000000005</v>
      </c>
      <c r="S3097">
        <v>-1.6266780000000001</v>
      </c>
      <c r="T3097">
        <v>4.1010379999999999E-2</v>
      </c>
      <c r="U3097">
        <v>-2.7480769999999999</v>
      </c>
      <c r="V3097">
        <v>-0.12575230000000001</v>
      </c>
      <c r="W3097">
        <v>0.17557249999999999</v>
      </c>
      <c r="X3097">
        <v>0.97640190000000004</v>
      </c>
      <c r="Y3097">
        <v>-0.42450009999999999</v>
      </c>
      <c r="Z3097">
        <v>-1.5669840000000001E-2</v>
      </c>
      <c r="AA3097">
        <v>0.90529230000000005</v>
      </c>
      <c r="AB3097">
        <v>23</v>
      </c>
      <c r="AC3097">
        <v>-31.507599999999901</v>
      </c>
      <c r="AD3097">
        <v>0.79657299999999998</v>
      </c>
      <c r="AE3097">
        <v>-53.313599999999902</v>
      </c>
      <c r="AF3097">
        <v>-26.316812253726098</v>
      </c>
      <c r="AG3097">
        <v>0.79657299999999998</v>
      </c>
      <c r="AH3097">
        <v>56.046636413975698</v>
      </c>
      <c r="AI3097">
        <v>89.262928657409802</v>
      </c>
      <c r="AJ3097">
        <v>115.152498349235</v>
      </c>
      <c r="AK3097">
        <v>61.922811540357102</v>
      </c>
      <c r="AL3097">
        <v>79.8880242891276</v>
      </c>
      <c r="AM3097">
        <v>97.338812433897502</v>
      </c>
      <c r="AN3097">
        <v>1.0000000070175701</v>
      </c>
    </row>
    <row r="3098" spans="1:40" x14ac:dyDescent="0.25">
      <c r="A3098" t="str">
        <f>"20190303170316438"</f>
        <v>20190303170316438</v>
      </c>
      <c r="B3098" t="str">
        <f>"1551603796428801"</f>
        <v>1551603796428801</v>
      </c>
      <c r="C3098" t="s">
        <v>40</v>
      </c>
      <c r="D3098">
        <v>4.6980399999999998</v>
      </c>
      <c r="E3098">
        <v>0.38993270000000002</v>
      </c>
      <c r="F3098" t="s">
        <v>66</v>
      </c>
      <c r="G3098">
        <v>-512.82569999999998</v>
      </c>
      <c r="H3098">
        <v>1.6179619999999999</v>
      </c>
      <c r="I3098">
        <v>227.8082</v>
      </c>
      <c r="J3098">
        <v>-481.40359999999998</v>
      </c>
      <c r="K3098">
        <v>1.127149</v>
      </c>
      <c r="L3098">
        <v>280.00970000000001</v>
      </c>
      <c r="M3098">
        <v>-0.82409539999999903</v>
      </c>
      <c r="N3098">
        <v>-1.445393E-2</v>
      </c>
      <c r="O3098">
        <v>-0.56626650000000001</v>
      </c>
      <c r="P3098">
        <v>-0.73648359999999902</v>
      </c>
      <c r="Q3098">
        <v>0.16314319999999999</v>
      </c>
      <c r="R3098">
        <v>-0.65648790000000001</v>
      </c>
      <c r="S3098">
        <v>-1.6434329999999999</v>
      </c>
      <c r="T3098">
        <v>2.5602099999999999E-2</v>
      </c>
      <c r="U3098">
        <v>-2.7261350000000002</v>
      </c>
      <c r="V3098">
        <v>-0.12629849999999901</v>
      </c>
      <c r="W3098">
        <v>0.175626</v>
      </c>
      <c r="X3098">
        <v>0.97632180000000002</v>
      </c>
      <c r="Y3098">
        <v>-0.41352559999999999</v>
      </c>
      <c r="Z3098">
        <v>-1.388327E-2</v>
      </c>
      <c r="AA3098">
        <v>0.91038660000000005</v>
      </c>
      <c r="AB3098">
        <v>23</v>
      </c>
      <c r="AC3098">
        <v>-31.4221</v>
      </c>
      <c r="AD3098">
        <v>0.490813</v>
      </c>
      <c r="AE3098">
        <v>-52.201500000000003</v>
      </c>
      <c r="AF3098">
        <v>-25.2267332365914</v>
      </c>
      <c r="AG3098">
        <v>0.490813</v>
      </c>
      <c r="AH3098">
        <v>55.456966676514199</v>
      </c>
      <c r="AI3098">
        <v>89.538434529043499</v>
      </c>
      <c r="AJ3098">
        <v>114.46023944399199</v>
      </c>
      <c r="AK3098">
        <v>60.927039318771399</v>
      </c>
      <c r="AL3098">
        <v>79.884910818950303</v>
      </c>
      <c r="AM3098">
        <v>97.370936564935405</v>
      </c>
      <c r="AN3098">
        <v>1.00000003006674</v>
      </c>
    </row>
    <row r="3099" spans="1:40" x14ac:dyDescent="0.25">
      <c r="A3099" t="str">
        <f>"20190303170316449"</f>
        <v>20190303170316449</v>
      </c>
      <c r="B3099" t="str">
        <f>"1551603796438561"</f>
        <v>1551603796438561</v>
      </c>
      <c r="C3099" t="s">
        <v>40</v>
      </c>
      <c r="D3099">
        <v>4.7153839999999896</v>
      </c>
      <c r="E3099">
        <v>0.39594240000000003</v>
      </c>
      <c r="F3099" t="s">
        <v>66</v>
      </c>
      <c r="G3099">
        <v>-512.82560000000001</v>
      </c>
      <c r="H3099">
        <v>1.2597689999999999</v>
      </c>
      <c r="I3099">
        <v>229.22200000000001</v>
      </c>
      <c r="J3099">
        <v>-481.49329999999998</v>
      </c>
      <c r="K3099">
        <v>1.1271009999999999</v>
      </c>
      <c r="L3099">
        <v>279.9425</v>
      </c>
      <c r="M3099">
        <v>-0.82172019999999901</v>
      </c>
      <c r="N3099">
        <v>-1.4443839999999999E-2</v>
      </c>
      <c r="O3099">
        <v>-0.5697082</v>
      </c>
      <c r="P3099">
        <v>-0.73358230000000002</v>
      </c>
      <c r="Q3099">
        <v>0.1628887</v>
      </c>
      <c r="R3099">
        <v>-0.65979149999999998</v>
      </c>
      <c r="S3099">
        <v>-1.668274</v>
      </c>
      <c r="T3099">
        <v>7.0446730000000004E-3</v>
      </c>
      <c r="U3099">
        <v>-2.6964419999999998</v>
      </c>
      <c r="V3099">
        <v>-0.1265473</v>
      </c>
      <c r="W3099">
        <v>0.1753739</v>
      </c>
      <c r="X3099">
        <v>0.97633490000000001</v>
      </c>
      <c r="Y3099">
        <v>-0.3991112</v>
      </c>
      <c r="Z3099">
        <v>-1.1586590000000001E-2</v>
      </c>
      <c r="AA3099">
        <v>0.91682929999999996</v>
      </c>
      <c r="AB3099">
        <v>23</v>
      </c>
      <c r="AC3099">
        <v>-31.3323</v>
      </c>
      <c r="AD3099">
        <v>0.13266800000000001</v>
      </c>
      <c r="AE3099">
        <v>-50.720499999999902</v>
      </c>
      <c r="AF3099">
        <v>-23.830157356930599</v>
      </c>
      <c r="AG3099">
        <v>0.13266800000000001</v>
      </c>
      <c r="AH3099">
        <v>54.6476947596964</v>
      </c>
      <c r="AI3099">
        <v>89.872498792316406</v>
      </c>
      <c r="AJ3099">
        <v>113.56051626035099</v>
      </c>
      <c r="AK3099">
        <v>59.617652947790901</v>
      </c>
      <c r="AL3099">
        <v>79.899582805848794</v>
      </c>
      <c r="AM3099">
        <v>97.385198697704794</v>
      </c>
      <c r="AN3099">
        <v>1.0000000304482499</v>
      </c>
    </row>
    <row r="3100" spans="1:40" x14ac:dyDescent="0.25">
      <c r="A3100" t="str">
        <f>"20190303170316462"</f>
        <v>20190303170316462</v>
      </c>
      <c r="B3100" t="str">
        <f>"1551603796448320"</f>
        <v>1551603796448320</v>
      </c>
      <c r="C3100" t="s">
        <v>40</v>
      </c>
      <c r="D3100">
        <v>4.7161119999999999</v>
      </c>
      <c r="E3100">
        <v>0.40053539999999999</v>
      </c>
      <c r="F3100" t="s">
        <v>66</v>
      </c>
      <c r="G3100">
        <v>-512.82539999999995</v>
      </c>
      <c r="H3100">
        <v>0.91607369999999999</v>
      </c>
      <c r="I3100">
        <v>230.4177</v>
      </c>
      <c r="J3100">
        <v>-481.59410000000003</v>
      </c>
      <c r="K3100">
        <v>1.1270439999999999</v>
      </c>
      <c r="L3100">
        <v>279.86630000000002</v>
      </c>
      <c r="M3100">
        <v>-0.819046099999999</v>
      </c>
      <c r="N3100">
        <v>-1.4432209999999999E-2</v>
      </c>
      <c r="O3100">
        <v>-0.57354620000000001</v>
      </c>
      <c r="P3100">
        <v>-0.73030209999999995</v>
      </c>
      <c r="Q3100">
        <v>0.1628677</v>
      </c>
      <c r="R3100">
        <v>-0.6634253</v>
      </c>
      <c r="S3100">
        <v>-1.689789</v>
      </c>
      <c r="T3100">
        <v>-1.137733E-2</v>
      </c>
      <c r="U3100">
        <v>-2.6709290000000001</v>
      </c>
      <c r="V3100">
        <v>-0.1268001</v>
      </c>
      <c r="W3100">
        <v>0.1753547</v>
      </c>
      <c r="X3100">
        <v>0.97630550000000005</v>
      </c>
      <c r="Y3100">
        <v>-0.38553510000000002</v>
      </c>
      <c r="Z3100">
        <v>-9.1756440000000002E-3</v>
      </c>
      <c r="AA3100">
        <v>0.92264749999999995</v>
      </c>
      <c r="AB3100">
        <v>23</v>
      </c>
      <c r="AC3100">
        <v>-31.231299999999901</v>
      </c>
      <c r="AD3100">
        <v>-0.2109703</v>
      </c>
      <c r="AE3100">
        <v>-49.448599999999999</v>
      </c>
      <c r="AF3100">
        <v>-22.5901478682689</v>
      </c>
      <c r="AG3100">
        <v>-0.2109703</v>
      </c>
      <c r="AH3100">
        <v>53.945846417886401</v>
      </c>
      <c r="AI3100">
        <v>90.206680370659299</v>
      </c>
      <c r="AJ3100">
        <v>112.721791548064</v>
      </c>
      <c r="AK3100">
        <v>58.485157389887597</v>
      </c>
      <c r="AL3100">
        <v>79.900699713601</v>
      </c>
      <c r="AM3100">
        <v>97.400008918354899</v>
      </c>
      <c r="AN3100">
        <v>0.99999998275117497</v>
      </c>
    </row>
    <row r="3101" spans="1:40" x14ac:dyDescent="0.25">
      <c r="A3101" t="str">
        <f>"20190303170316474"</f>
        <v>20190303170316474</v>
      </c>
      <c r="B3101" t="str">
        <f>"1551603796468816"</f>
        <v>1551603796468816</v>
      </c>
      <c r="C3101" t="s">
        <v>40</v>
      </c>
      <c r="D3101">
        <v>4.7259820000000001</v>
      </c>
      <c r="E3101">
        <v>0.40661989999999998</v>
      </c>
      <c r="F3101" t="s">
        <v>66</v>
      </c>
      <c r="G3101">
        <v>-512.82539999999995</v>
      </c>
      <c r="H3101">
        <v>0.68401000000000001</v>
      </c>
      <c r="I3101">
        <v>231.18950000000001</v>
      </c>
      <c r="J3101">
        <v>-481.69439999999997</v>
      </c>
      <c r="K3101">
        <v>1.1269830000000001</v>
      </c>
      <c r="L3101">
        <v>279.79000000000002</v>
      </c>
      <c r="M3101">
        <v>-0.81638339999999998</v>
      </c>
      <c r="N3101">
        <v>-1.442061E-2</v>
      </c>
      <c r="O3101">
        <v>-0.57733049999999997</v>
      </c>
      <c r="P3101">
        <v>-0.72715839999999998</v>
      </c>
      <c r="Q3101">
        <v>0.16258549999999999</v>
      </c>
      <c r="R3101">
        <v>-0.66693829999999998</v>
      </c>
      <c r="S3101">
        <v>-1.7026060000000001</v>
      </c>
      <c r="T3101">
        <v>-2.4148699999999999E-2</v>
      </c>
      <c r="U3101">
        <v>-2.6536559999999998</v>
      </c>
      <c r="V3101">
        <v>-0.1269238</v>
      </c>
      <c r="W3101">
        <v>0.1750787</v>
      </c>
      <c r="X3101">
        <v>0.97633899999999996</v>
      </c>
      <c r="Y3101">
        <v>-0.37534329999999999</v>
      </c>
      <c r="Z3101">
        <v>-7.4161779999999998E-3</v>
      </c>
      <c r="AA3101">
        <v>0.92685620000000002</v>
      </c>
      <c r="AB3101">
        <v>23</v>
      </c>
      <c r="AC3101">
        <v>-31.130999999999901</v>
      </c>
      <c r="AD3101">
        <v>-0.44297300000000001</v>
      </c>
      <c r="AE3101">
        <v>-48.600499999999997</v>
      </c>
      <c r="AF3101">
        <v>-21.704740707481999</v>
      </c>
      <c r="AG3101">
        <v>-0.44297300000000001</v>
      </c>
      <c r="AH3101">
        <v>53.4757849553176</v>
      </c>
      <c r="AI3101">
        <v>90.439764323079302</v>
      </c>
      <c r="AJ3101">
        <v>112.09123964586099</v>
      </c>
      <c r="AK3101">
        <v>57.714396564853097</v>
      </c>
      <c r="AL3101">
        <v>79.916762237392902</v>
      </c>
      <c r="AM3101">
        <v>97.406896547057499</v>
      </c>
      <c r="AN3101">
        <v>1.0000000225605601</v>
      </c>
    </row>
    <row r="3102" spans="1:40" x14ac:dyDescent="0.25">
      <c r="A3102" t="str">
        <f>"20190303170316485"</f>
        <v>20190303170316485</v>
      </c>
      <c r="B3102" t="str">
        <f>"1551603796478576"</f>
        <v>1551603796478576</v>
      </c>
      <c r="C3102" t="s">
        <v>40</v>
      </c>
      <c r="D3102">
        <v>4.7660720000000003</v>
      </c>
      <c r="E3102">
        <v>0.40886640000000002</v>
      </c>
      <c r="F3102" t="s">
        <v>45</v>
      </c>
      <c r="G3102">
        <v>-501.92290000000003</v>
      </c>
      <c r="H3102">
        <v>0.63623439999999998</v>
      </c>
      <c r="I3102">
        <v>248.95480000000001</v>
      </c>
      <c r="J3102">
        <v>-481.786</v>
      </c>
      <c r="K3102">
        <v>1.126922</v>
      </c>
      <c r="L3102">
        <v>279.71929999999998</v>
      </c>
      <c r="M3102">
        <v>-0.81395640000000002</v>
      </c>
      <c r="N3102">
        <v>-1.440936E-2</v>
      </c>
      <c r="O3102">
        <v>-0.58074720000000002</v>
      </c>
      <c r="P3102">
        <v>-0.724194</v>
      </c>
      <c r="Q3102">
        <v>0.16218339999999901</v>
      </c>
      <c r="R3102">
        <v>-0.67025389999999996</v>
      </c>
      <c r="S3102">
        <v>-1.7242740000000001</v>
      </c>
      <c r="T3102">
        <v>-4.183137E-2</v>
      </c>
      <c r="U3102">
        <v>-2.628387</v>
      </c>
      <c r="V3102">
        <v>-0.1272113</v>
      </c>
      <c r="W3102">
        <v>0.17467959999999999</v>
      </c>
      <c r="X3102">
        <v>0.97637309999999999</v>
      </c>
      <c r="Y3102">
        <v>-0.36198740000000001</v>
      </c>
      <c r="Z3102">
        <v>-4.8680939999999999E-3</v>
      </c>
      <c r="AA3102">
        <v>0.93217030000000001</v>
      </c>
      <c r="AB3102">
        <v>23</v>
      </c>
      <c r="AC3102">
        <v>-20.136900000000001</v>
      </c>
      <c r="AD3102">
        <v>-0.4906876</v>
      </c>
      <c r="AE3102">
        <v>-30.764499999999899</v>
      </c>
      <c r="AF3102">
        <v>-13.345522657544199</v>
      </c>
      <c r="AG3102">
        <v>-0.4906876</v>
      </c>
      <c r="AH3102">
        <v>34.254412954046899</v>
      </c>
      <c r="AI3102">
        <v>90.764714065365197</v>
      </c>
      <c r="AJ3102">
        <v>111.285893178541</v>
      </c>
      <c r="AK3102">
        <v>36.765589294205498</v>
      </c>
      <c r="AL3102">
        <v>79.939987195610399</v>
      </c>
      <c r="AM3102">
        <v>97.423230893373599</v>
      </c>
      <c r="AN3102">
        <v>1.0000000539537199</v>
      </c>
    </row>
    <row r="3103" spans="1:40" x14ac:dyDescent="0.25">
      <c r="A3103" t="str">
        <f>"20190303170316499"</f>
        <v>20190303170316499</v>
      </c>
      <c r="B3103" t="str">
        <f>"1551603796488336"</f>
        <v>1551603796488336</v>
      </c>
      <c r="C3103" t="s">
        <v>40</v>
      </c>
      <c r="D3103">
        <v>4.7654629999999996</v>
      </c>
      <c r="E3103">
        <v>0.41061199999999998</v>
      </c>
      <c r="F3103" t="s">
        <v>45</v>
      </c>
      <c r="G3103">
        <v>-501.90280000000001</v>
      </c>
      <c r="H3103">
        <v>0.54639090000000001</v>
      </c>
      <c r="I3103">
        <v>249.11279999999999</v>
      </c>
      <c r="J3103">
        <v>-481.89179999999999</v>
      </c>
      <c r="K3103">
        <v>1.1268530000000001</v>
      </c>
      <c r="L3103">
        <v>279.63740000000001</v>
      </c>
      <c r="M3103">
        <v>-0.8111524</v>
      </c>
      <c r="N3103">
        <v>-1.439651E-2</v>
      </c>
      <c r="O3103">
        <v>-0.58465749999999905</v>
      </c>
      <c r="P3103">
        <v>-0.72079749999999998</v>
      </c>
      <c r="Q3103">
        <v>0.162026799999999</v>
      </c>
      <c r="R3103">
        <v>-0.67394270000000001</v>
      </c>
      <c r="S3103">
        <v>-1.7248540000000001</v>
      </c>
      <c r="T3103">
        <v>-4.977608E-2</v>
      </c>
      <c r="U3103">
        <v>-2.6242679999999998</v>
      </c>
      <c r="V3103">
        <v>-0.12744710000000001</v>
      </c>
      <c r="W3103">
        <v>0.17452790000000001</v>
      </c>
      <c r="X3103">
        <v>0.97636940000000005</v>
      </c>
      <c r="Y3103">
        <v>-0.3566685</v>
      </c>
      <c r="Z3103">
        <v>-3.6757769999999999E-3</v>
      </c>
      <c r="AA3103">
        <v>0.93422380000000005</v>
      </c>
      <c r="AB3103">
        <v>23</v>
      </c>
      <c r="AC3103">
        <v>-20.010999999999999</v>
      </c>
      <c r="AD3103">
        <v>-0.58046209999999998</v>
      </c>
      <c r="AE3103">
        <v>-30.5246</v>
      </c>
      <c r="AF3103">
        <v>-13.058573090071301</v>
      </c>
      <c r="AG3103">
        <v>-0.58046209999999998</v>
      </c>
      <c r="AH3103">
        <v>34.073323554924201</v>
      </c>
      <c r="AI3103">
        <v>90.911352521226803</v>
      </c>
      <c r="AJ3103">
        <v>110.96928908503401</v>
      </c>
      <c r="AK3103">
        <v>36.494583782759101</v>
      </c>
      <c r="AL3103">
        <v>79.948813794866794</v>
      </c>
      <c r="AM3103">
        <v>97.436864643371393</v>
      </c>
      <c r="AN3103">
        <v>0.99999997821658904</v>
      </c>
    </row>
    <row r="3104" spans="1:40" x14ac:dyDescent="0.25">
      <c r="A3104" t="str">
        <f>"20190303170316512"</f>
        <v>20190303170316512</v>
      </c>
      <c r="B3104" t="str">
        <f>"1551603796508607"</f>
        <v>1551603796508607</v>
      </c>
      <c r="C3104" t="s">
        <v>40</v>
      </c>
      <c r="D3104">
        <v>4.75305</v>
      </c>
      <c r="E3104">
        <v>0.41339550000000003</v>
      </c>
      <c r="F3104" t="s">
        <v>45</v>
      </c>
      <c r="G3104">
        <v>-501.88839999999999</v>
      </c>
      <c r="H3104">
        <v>0.48207270000000002</v>
      </c>
      <c r="I3104">
        <v>249.16730000000001</v>
      </c>
      <c r="J3104">
        <v>-482.0027</v>
      </c>
      <c r="K3104">
        <v>1.1267799999999999</v>
      </c>
      <c r="L3104">
        <v>279.55059999999997</v>
      </c>
      <c r="M3104">
        <v>-0.80821929999999997</v>
      </c>
      <c r="N3104">
        <v>-1.4382519999999999E-2</v>
      </c>
      <c r="O3104">
        <v>-0.58870630000000002</v>
      </c>
      <c r="P3104">
        <v>-0.71745619999999999</v>
      </c>
      <c r="Q3104">
        <v>0.1618579</v>
      </c>
      <c r="R3104">
        <v>-0.6775388</v>
      </c>
      <c r="S3104">
        <v>-1.721649</v>
      </c>
      <c r="T3104">
        <v>-5.5513739999999999E-2</v>
      </c>
      <c r="U3104">
        <v>-2.623383</v>
      </c>
      <c r="V3104">
        <v>-0.12739249999999999</v>
      </c>
      <c r="W3104">
        <v>0.1743683</v>
      </c>
      <c r="X3104">
        <v>0.97640510000000003</v>
      </c>
      <c r="Y3104">
        <v>-0.35263840000000002</v>
      </c>
      <c r="Z3104">
        <v>-2.7760749999999998E-3</v>
      </c>
      <c r="AA3104">
        <v>0.93575560000000002</v>
      </c>
      <c r="AB3104">
        <v>23</v>
      </c>
      <c r="AC3104">
        <v>-19.8856999999999</v>
      </c>
      <c r="AD3104">
        <v>-0.64470729999999898</v>
      </c>
      <c r="AE3104">
        <v>-30.383299999999899</v>
      </c>
      <c r="AF3104">
        <v>-12.8468096223122</v>
      </c>
      <c r="AG3104">
        <v>-0.64470729999999898</v>
      </c>
      <c r="AH3104">
        <v>33.9516503840604</v>
      </c>
      <c r="AI3104">
        <v>91.017471409937002</v>
      </c>
      <c r="AJ3104">
        <v>110.725911986291</v>
      </c>
      <c r="AK3104">
        <v>36.306621004660798</v>
      </c>
      <c r="AL3104">
        <v>79.958101190292297</v>
      </c>
      <c r="AM3104">
        <v>97.433445478241197</v>
      </c>
      <c r="AN3104">
        <v>1.0000000362035699</v>
      </c>
    </row>
    <row r="3105" spans="1:40" x14ac:dyDescent="0.25">
      <c r="A3105" t="str">
        <f>"20190303170316525"</f>
        <v>20190303170316525</v>
      </c>
      <c r="B3105" t="str">
        <f>"1551603796518368"</f>
        <v>1551603796518368</v>
      </c>
      <c r="C3105" t="s">
        <v>40</v>
      </c>
      <c r="D3105">
        <v>4.7732979999999996</v>
      </c>
      <c r="E3105">
        <v>0.41456720000000002</v>
      </c>
      <c r="F3105" t="s">
        <v>45</v>
      </c>
      <c r="G3105">
        <v>-501.86869999999999</v>
      </c>
      <c r="H3105">
        <v>0.39407999999999999</v>
      </c>
      <c r="I3105">
        <v>249.40610000000001</v>
      </c>
      <c r="J3105">
        <v>-482.10270000000003</v>
      </c>
      <c r="K3105">
        <v>1.126717</v>
      </c>
      <c r="L3105">
        <v>279.47149999999999</v>
      </c>
      <c r="M3105">
        <v>-0.80558540000000001</v>
      </c>
      <c r="N3105">
        <v>-1.436953E-2</v>
      </c>
      <c r="O3105">
        <v>-0.59230559999999999</v>
      </c>
      <c r="P3105">
        <v>-0.71423570000000003</v>
      </c>
      <c r="Q3105">
        <v>0.16176460000000001</v>
      </c>
      <c r="R3105">
        <v>-0.68095509999999904</v>
      </c>
      <c r="S3105">
        <v>-1.724548</v>
      </c>
      <c r="T3105">
        <v>-6.3605190000000006E-2</v>
      </c>
      <c r="U3105">
        <v>-2.6168209999999998</v>
      </c>
      <c r="V3105">
        <v>-0.1276563</v>
      </c>
      <c r="W3105">
        <v>0.17427860000000001</v>
      </c>
      <c r="X3105">
        <v>0.97638659999999999</v>
      </c>
      <c r="Y3105">
        <v>-0.34664879999999998</v>
      </c>
      <c r="Z3105">
        <v>-1.487096E-3</v>
      </c>
      <c r="AA3105">
        <v>0.93799379999999999</v>
      </c>
      <c r="AB3105">
        <v>23</v>
      </c>
      <c r="AC3105">
        <v>-19.765999999999899</v>
      </c>
      <c r="AD3105">
        <v>-0.73263699999999998</v>
      </c>
      <c r="AE3105">
        <v>-30.065399999999901</v>
      </c>
      <c r="AF3105">
        <v>-12.508839080151301</v>
      </c>
      <c r="AG3105">
        <v>-0.73263699999999998</v>
      </c>
      <c r="AH3105">
        <v>33.720603958656703</v>
      </c>
      <c r="AI3105">
        <v>91.166970236723003</v>
      </c>
      <c r="AJ3105">
        <v>110.35260597963899</v>
      </c>
      <c r="AK3105">
        <v>35.973419957566797</v>
      </c>
      <c r="AL3105">
        <v>79.963319937524801</v>
      </c>
      <c r="AM3105">
        <v>97.448805272912097</v>
      </c>
      <c r="AN3105">
        <v>0.99999997700360399</v>
      </c>
    </row>
    <row r="3106" spans="1:40" x14ac:dyDescent="0.25">
      <c r="A3106" t="str">
        <f>"20190303170316538"</f>
        <v>20190303170316538</v>
      </c>
      <c r="B3106" t="str">
        <f>"1551603796528128"</f>
        <v>1551603796528128</v>
      </c>
      <c r="C3106" t="s">
        <v>40</v>
      </c>
      <c r="D3106">
        <v>4.7892839999999897</v>
      </c>
      <c r="E3106">
        <v>0.41568349999999998</v>
      </c>
      <c r="F3106" t="s">
        <v>45</v>
      </c>
      <c r="G3106">
        <v>-501.85809999999998</v>
      </c>
      <c r="H3106">
        <v>0.34680040000000001</v>
      </c>
      <c r="I3106">
        <v>249.3802</v>
      </c>
      <c r="J3106">
        <v>-482.20819999999998</v>
      </c>
      <c r="K3106">
        <v>1.12664599999999</v>
      </c>
      <c r="L3106">
        <v>279.38760000000002</v>
      </c>
      <c r="M3106">
        <v>-0.80280200000000002</v>
      </c>
      <c r="N3106">
        <v>-1.4355959999999999E-2</v>
      </c>
      <c r="O3106">
        <v>-0.59607299999999996</v>
      </c>
      <c r="P3106">
        <v>-0.71072950000000001</v>
      </c>
      <c r="Q3106">
        <v>0.16183149999999999</v>
      </c>
      <c r="R3106">
        <v>-0.68459809999999999</v>
      </c>
      <c r="S3106">
        <v>-1.719147</v>
      </c>
      <c r="T3106">
        <v>-6.7869540000000006E-2</v>
      </c>
      <c r="U3106">
        <v>-2.6185909999999999</v>
      </c>
      <c r="V3106">
        <v>-0.12805649999999999</v>
      </c>
      <c r="W3106">
        <v>0.17434759999999999</v>
      </c>
      <c r="X3106">
        <v>0.97632189999999996</v>
      </c>
      <c r="Y3106">
        <v>-0.3438909</v>
      </c>
      <c r="Z3106">
        <v>-7.7345850000000004E-4</v>
      </c>
      <c r="AA3106">
        <v>0.93900930000000005</v>
      </c>
      <c r="AB3106">
        <v>23</v>
      </c>
      <c r="AC3106">
        <v>-19.649899999999999</v>
      </c>
      <c r="AD3106">
        <v>-0.77984559999999903</v>
      </c>
      <c r="AE3106">
        <v>-30.007400000000001</v>
      </c>
      <c r="AF3106">
        <v>-12.372651932094801</v>
      </c>
      <c r="AG3106">
        <v>-0.77984559999999903</v>
      </c>
      <c r="AH3106">
        <v>33.649140442309097</v>
      </c>
      <c r="AI3106">
        <v>91.246099021172398</v>
      </c>
      <c r="AJ3106">
        <v>110.188269587573</v>
      </c>
      <c r="AK3106">
        <v>35.860219289609098</v>
      </c>
      <c r="AL3106">
        <v>79.959305321874993</v>
      </c>
      <c r="AM3106">
        <v>97.472383239653595</v>
      </c>
      <c r="AN3106">
        <v>1.0000000026188001</v>
      </c>
    </row>
    <row r="3107" spans="1:40" x14ac:dyDescent="0.25">
      <c r="A3107" t="str">
        <f>"20190303170316548"</f>
        <v>20190303170316548</v>
      </c>
      <c r="B3107" t="str">
        <f>"1551603796538865"</f>
        <v>1551603796538865</v>
      </c>
      <c r="C3107" t="s">
        <v>40</v>
      </c>
      <c r="D3107">
        <v>4.7476820000000002</v>
      </c>
      <c r="E3107">
        <v>0.41658479999999998</v>
      </c>
      <c r="F3107" t="s">
        <v>45</v>
      </c>
      <c r="G3107">
        <v>-501.84890000000001</v>
      </c>
      <c r="H3107">
        <v>0.30578719999999998</v>
      </c>
      <c r="I3107">
        <v>249.31970000000001</v>
      </c>
      <c r="J3107">
        <v>-482.29480000000001</v>
      </c>
      <c r="K3107">
        <v>1.126593</v>
      </c>
      <c r="L3107">
        <v>279.31799999999998</v>
      </c>
      <c r="M3107">
        <v>-0.80052599999999996</v>
      </c>
      <c r="N3107">
        <v>-1.434465E-2</v>
      </c>
      <c r="O3107">
        <v>-0.59912670000000001</v>
      </c>
      <c r="P3107">
        <v>-0.70785299999999995</v>
      </c>
      <c r="Q3107">
        <v>0.1615567</v>
      </c>
      <c r="R3107">
        <v>-0.68763660000000004</v>
      </c>
      <c r="S3107">
        <v>-1.7123109999999999</v>
      </c>
      <c r="T3107">
        <v>-7.1563840000000004E-2</v>
      </c>
      <c r="U3107">
        <v>-2.6213679999999999</v>
      </c>
      <c r="V3107">
        <v>-0.12845709999999999</v>
      </c>
      <c r="W3107">
        <v>0.17407300000000001</v>
      </c>
      <c r="X3107">
        <v>0.97631829999999997</v>
      </c>
      <c r="Y3107">
        <v>-0.34248089999999998</v>
      </c>
      <c r="Z3107">
        <v>-1.6144010000000001E-4</v>
      </c>
      <c r="AA3107">
        <v>0.93952480000000005</v>
      </c>
      <c r="AB3107">
        <v>23</v>
      </c>
      <c r="AC3107">
        <v>-19.554099999999998</v>
      </c>
      <c r="AD3107">
        <v>-0.82080579999999903</v>
      </c>
      <c r="AE3107">
        <v>-29.998299999999901</v>
      </c>
      <c r="AF3107">
        <v>-12.293839121843501</v>
      </c>
      <c r="AG3107">
        <v>-0.82080579999999903</v>
      </c>
      <c r="AH3107">
        <v>33.612140161497898</v>
      </c>
      <c r="AI3107">
        <v>91.313792754873006</v>
      </c>
      <c r="AJ3107">
        <v>110.09029191190101</v>
      </c>
      <c r="AK3107">
        <v>35.799276092558998</v>
      </c>
      <c r="AL3107">
        <v>79.975283338277094</v>
      </c>
      <c r="AM3107">
        <v>97.495521082416403</v>
      </c>
      <c r="AN3107">
        <v>1.0000000293921401</v>
      </c>
    </row>
    <row r="3108" spans="1:40" x14ac:dyDescent="0.25">
      <c r="A3108" t="str">
        <f>"20190303170316560"</f>
        <v>20190303170316560</v>
      </c>
      <c r="B3108" t="str">
        <f>"1551603796548624"</f>
        <v>1551603796548624</v>
      </c>
      <c r="C3108" t="s">
        <v>40</v>
      </c>
      <c r="D3108">
        <v>4.7935910000000002</v>
      </c>
      <c r="E3108">
        <v>0.41748410000000002</v>
      </c>
      <c r="F3108" t="s">
        <v>45</v>
      </c>
      <c r="G3108">
        <v>-501.84109999999998</v>
      </c>
      <c r="H3108">
        <v>0.27071489999999998</v>
      </c>
      <c r="I3108">
        <v>249.2775</v>
      </c>
      <c r="J3108">
        <v>-482.38409999999999</v>
      </c>
      <c r="K3108">
        <v>1.1265369999999999</v>
      </c>
      <c r="L3108">
        <v>279.24579999999997</v>
      </c>
      <c r="M3108">
        <v>-0.79817939999999998</v>
      </c>
      <c r="N3108">
        <v>-1.4333200000000001E-2</v>
      </c>
      <c r="O3108">
        <v>-0.60224960000000005</v>
      </c>
      <c r="P3108">
        <v>-0.70516969999999901</v>
      </c>
      <c r="Q3108">
        <v>0.1610674</v>
      </c>
      <c r="R3108">
        <v>-0.69050239999999996</v>
      </c>
      <c r="S3108">
        <v>-1.706879</v>
      </c>
      <c r="T3108">
        <v>-7.473958E-2</v>
      </c>
      <c r="U3108">
        <v>-2.623291</v>
      </c>
      <c r="V3108">
        <v>-0.12850780000000001</v>
      </c>
      <c r="W3108">
        <v>0.1735902</v>
      </c>
      <c r="X3108">
        <v>0.97639759999999998</v>
      </c>
      <c r="Y3108">
        <v>-0.34048790000000001</v>
      </c>
      <c r="Z3108">
        <v>3.9490590000000001E-4</v>
      </c>
      <c r="AA3108">
        <v>0.9402488</v>
      </c>
      <c r="AB3108">
        <v>23</v>
      </c>
      <c r="AC3108">
        <v>-19.456999999999901</v>
      </c>
      <c r="AD3108">
        <v>-0.85582210000000003</v>
      </c>
      <c r="AE3108">
        <v>-29.9682999999999</v>
      </c>
      <c r="AF3108">
        <v>-12.196363460459001</v>
      </c>
      <c r="AG3108">
        <v>-0.85582210000000003</v>
      </c>
      <c r="AH3108">
        <v>33.562761640353997</v>
      </c>
      <c r="AI3108">
        <v>91.372878504978203</v>
      </c>
      <c r="AJ3108">
        <v>109.970625669916</v>
      </c>
      <c r="AK3108">
        <v>35.720339892751397</v>
      </c>
      <c r="AL3108">
        <v>80.003373535059396</v>
      </c>
      <c r="AM3108">
        <v>97.497843717655499</v>
      </c>
      <c r="AN3108">
        <v>1.00000004274131</v>
      </c>
    </row>
    <row r="3109" spans="1:40" x14ac:dyDescent="0.25">
      <c r="A3109" t="str">
        <f>"20190303170316572"</f>
        <v>20190303170316572</v>
      </c>
      <c r="B3109" t="str">
        <f>"1551603796568144"</f>
        <v>1551603796568144</v>
      </c>
      <c r="C3109" t="s">
        <v>40</v>
      </c>
      <c r="D3109">
        <v>4.8130730000000002</v>
      </c>
      <c r="E3109">
        <v>0.418991</v>
      </c>
      <c r="F3109" t="s">
        <v>45</v>
      </c>
      <c r="G3109">
        <v>-501.83</v>
      </c>
      <c r="H3109">
        <v>0.22145129999999999</v>
      </c>
      <c r="I3109">
        <v>249.24029999999999</v>
      </c>
      <c r="J3109">
        <v>-482.47559999999999</v>
      </c>
      <c r="K3109">
        <v>1.126485</v>
      </c>
      <c r="L3109">
        <v>279.17129999999997</v>
      </c>
      <c r="M3109">
        <v>-0.79577690000000001</v>
      </c>
      <c r="N3109">
        <v>-1.432162E-2</v>
      </c>
      <c r="O3109">
        <v>-0.60542089999999904</v>
      </c>
      <c r="P3109">
        <v>-0.70233429999999997</v>
      </c>
      <c r="Q3109">
        <v>0.16080759999999999</v>
      </c>
      <c r="R3109">
        <v>-0.69344659999999902</v>
      </c>
      <c r="S3109">
        <v>-1.701508</v>
      </c>
      <c r="T3109">
        <v>-7.9194310000000004E-2</v>
      </c>
      <c r="U3109">
        <v>-2.6254580000000001</v>
      </c>
      <c r="V3109">
        <v>-0.12864690000000001</v>
      </c>
      <c r="W3109">
        <v>0.1733333</v>
      </c>
      <c r="X3109">
        <v>0.97642490000000004</v>
      </c>
      <c r="Y3109">
        <v>-0.33845039999999998</v>
      </c>
      <c r="Z3109">
        <v>1.1520160000000001E-3</v>
      </c>
      <c r="AA3109">
        <v>0.94098349999999997</v>
      </c>
      <c r="AB3109">
        <v>23</v>
      </c>
      <c r="AC3109">
        <v>-19.354399999999998</v>
      </c>
      <c r="AD3109">
        <v>-0.90503370000000005</v>
      </c>
      <c r="AE3109">
        <v>-29.930999999999901</v>
      </c>
      <c r="AF3109">
        <v>-12.0942811989853</v>
      </c>
      <c r="AG3109">
        <v>-0.90503370000000005</v>
      </c>
      <c r="AH3109">
        <v>33.504467366601098</v>
      </c>
      <c r="AI3109">
        <v>91.455438244527599</v>
      </c>
      <c r="AJ3109">
        <v>109.848324325858</v>
      </c>
      <c r="AK3109">
        <v>35.632008885802499</v>
      </c>
      <c r="AL3109">
        <v>80.018319176657698</v>
      </c>
      <c r="AM3109">
        <v>97.505659616579393</v>
      </c>
      <c r="AN3109">
        <v>1.0000000215542499</v>
      </c>
    </row>
    <row r="3110" spans="1:40" x14ac:dyDescent="0.25">
      <c r="A3110" t="str">
        <f>"20190303170316583"</f>
        <v>20190303170316583</v>
      </c>
      <c r="B3110" t="str">
        <f>"1551603796578880"</f>
        <v>1551603796578880</v>
      </c>
      <c r="C3110" t="s">
        <v>40</v>
      </c>
      <c r="D3110">
        <v>4.7997880000000004</v>
      </c>
      <c r="E3110">
        <v>0.4197168</v>
      </c>
      <c r="F3110" t="s">
        <v>45</v>
      </c>
      <c r="G3110">
        <v>-501.61270000000002</v>
      </c>
      <c r="H3110">
        <v>0.18532760000000001</v>
      </c>
      <c r="I3110">
        <v>249.61510000000001</v>
      </c>
      <c r="J3110">
        <v>-482.56189999999998</v>
      </c>
      <c r="K3110">
        <v>1.1264350000000001</v>
      </c>
      <c r="L3110">
        <v>279.10039999999998</v>
      </c>
      <c r="M3110">
        <v>-0.79351359999999904</v>
      </c>
      <c r="N3110">
        <v>-1.4310969999999999E-2</v>
      </c>
      <c r="O3110">
        <v>-0.60838449999999999</v>
      </c>
      <c r="P3110">
        <v>-0.69974709999999996</v>
      </c>
      <c r="Q3110">
        <v>0.16089909999999999</v>
      </c>
      <c r="R3110">
        <v>-0.69603599999999999</v>
      </c>
      <c r="S3110">
        <v>-1.6993100000000001</v>
      </c>
      <c r="T3110">
        <v>-8.3571430000000002E-2</v>
      </c>
      <c r="U3110">
        <v>-2.6244809999999998</v>
      </c>
      <c r="V3110">
        <v>-0.128606</v>
      </c>
      <c r="W3110">
        <v>0.17342959999999999</v>
      </c>
      <c r="X3110">
        <v>0.97641319999999998</v>
      </c>
      <c r="Y3110">
        <v>-0.33533180000000001</v>
      </c>
      <c r="Z3110">
        <v>1.9291110000000001E-3</v>
      </c>
      <c r="AA3110">
        <v>0.94209810000000005</v>
      </c>
      <c r="AB3110">
        <v>23</v>
      </c>
      <c r="AC3110">
        <v>-19.050799999999999</v>
      </c>
      <c r="AD3110">
        <v>-0.94110740000000004</v>
      </c>
      <c r="AE3110">
        <v>-29.485299999999899</v>
      </c>
      <c r="AF3110">
        <v>-11.7995018777164</v>
      </c>
      <c r="AG3110">
        <v>-0.94110740000000004</v>
      </c>
      <c r="AH3110">
        <v>33.035105474666203</v>
      </c>
      <c r="AI3110">
        <v>91.536769226145395</v>
      </c>
      <c r="AJ3110">
        <v>109.65574665658301</v>
      </c>
      <c r="AK3110">
        <v>35.091767145911703</v>
      </c>
      <c r="AL3110">
        <v>80.012716861074495</v>
      </c>
      <c r="AM3110">
        <v>97.503389461539399</v>
      </c>
      <c r="AN3110">
        <v>1.00000003326319</v>
      </c>
    </row>
    <row r="3111" spans="1:40" x14ac:dyDescent="0.25">
      <c r="A3111" t="str">
        <f>"20190303170316594"</f>
        <v>20190303170316594</v>
      </c>
      <c r="B3111" t="str">
        <f>"1551603796588640"</f>
        <v>1551603796588640</v>
      </c>
      <c r="C3111" t="s">
        <v>40</v>
      </c>
      <c r="D3111">
        <v>4.8073769999999998</v>
      </c>
      <c r="E3111">
        <v>0.42041299999999998</v>
      </c>
      <c r="F3111" t="s">
        <v>45</v>
      </c>
      <c r="G3111">
        <v>-501.61270000000002</v>
      </c>
      <c r="H3111">
        <v>0.16489000000000001</v>
      </c>
      <c r="I3111">
        <v>249.5591</v>
      </c>
      <c r="J3111">
        <v>-482.65179999999998</v>
      </c>
      <c r="K3111">
        <v>1.1263890000000001</v>
      </c>
      <c r="L3111">
        <v>279.02620000000002</v>
      </c>
      <c r="M3111">
        <v>-0.79114890000000004</v>
      </c>
      <c r="N3111">
        <v>-1.430025E-2</v>
      </c>
      <c r="O3111">
        <v>-0.61145640000000001</v>
      </c>
      <c r="P3111">
        <v>-0.69716579999999995</v>
      </c>
      <c r="Q3111">
        <v>0.16074550000000001</v>
      </c>
      <c r="R3111">
        <v>-0.69865619999999995</v>
      </c>
      <c r="S3111">
        <v>-1.6940310000000001</v>
      </c>
      <c r="T3111">
        <v>-8.5502389999999998E-2</v>
      </c>
      <c r="U3111">
        <v>-2.626862</v>
      </c>
      <c r="V3111">
        <v>-0.12844040000000001</v>
      </c>
      <c r="W3111">
        <v>0.17328209999999999</v>
      </c>
      <c r="X3111">
        <v>0.97646120000000003</v>
      </c>
      <c r="Y3111">
        <v>-0.33340389999999998</v>
      </c>
      <c r="Z3111">
        <v>2.3234570000000001E-3</v>
      </c>
      <c r="AA3111">
        <v>0.94278119999999999</v>
      </c>
      <c r="AB3111">
        <v>23</v>
      </c>
      <c r="AC3111">
        <v>-18.960899999999999</v>
      </c>
      <c r="AD3111">
        <v>-0.96149899999999999</v>
      </c>
      <c r="AE3111">
        <v>-29.467099999999999</v>
      </c>
      <c r="AF3111">
        <v>-11.711480439462701</v>
      </c>
      <c r="AG3111">
        <v>-0.96149899999999999</v>
      </c>
      <c r="AH3111">
        <v>32.997273563509303</v>
      </c>
      <c r="AI3111">
        <v>91.572971503004695</v>
      </c>
      <c r="AJ3111">
        <v>109.540927436706</v>
      </c>
      <c r="AK3111">
        <v>35.027179690006299</v>
      </c>
      <c r="AL3111">
        <v>80.021298068600103</v>
      </c>
      <c r="AM3111">
        <v>97.493473384673194</v>
      </c>
      <c r="AN3111">
        <v>1.000000048819</v>
      </c>
    </row>
    <row r="3112" spans="1:40" x14ac:dyDescent="0.25">
      <c r="A3112" t="str">
        <f>"20190303170316605"</f>
        <v>20190303170316605</v>
      </c>
      <c r="B3112" t="str">
        <f>"1551603796598086"</f>
        <v>1551603796598086</v>
      </c>
      <c r="C3112" t="s">
        <v>40</v>
      </c>
      <c r="D3112">
        <v>4.8169519999999997</v>
      </c>
      <c r="E3112">
        <v>0.42041299999999998</v>
      </c>
      <c r="F3112" t="s">
        <v>45</v>
      </c>
      <c r="G3112">
        <v>-501.61270000000002</v>
      </c>
      <c r="H3112">
        <v>0.14334829999999901</v>
      </c>
      <c r="I3112">
        <v>249.49799999999999</v>
      </c>
      <c r="J3112">
        <v>-482.73930000000001</v>
      </c>
      <c r="K3112">
        <v>1.126352</v>
      </c>
      <c r="L3112">
        <v>278.95319999999998</v>
      </c>
      <c r="M3112">
        <v>-0.78885719999999904</v>
      </c>
      <c r="N3112">
        <v>-1.428985E-2</v>
      </c>
      <c r="O3112">
        <v>-0.61441060000000003</v>
      </c>
      <c r="P3112">
        <v>-0.69470940000000003</v>
      </c>
      <c r="Q3112">
        <v>0.16085099999999999</v>
      </c>
      <c r="R3112">
        <v>-0.70107519999999901</v>
      </c>
      <c r="S3112">
        <v>-1.6883539999999999</v>
      </c>
      <c r="T3112">
        <v>-8.7533830000000007E-2</v>
      </c>
      <c r="U3112">
        <v>-2.6293030000000002</v>
      </c>
      <c r="V3112">
        <v>-0.128180399999999</v>
      </c>
      <c r="W3112">
        <v>0.17339350000000001</v>
      </c>
      <c r="X3112">
        <v>0.97647550000000005</v>
      </c>
      <c r="Y3112">
        <v>-0.33171620000000002</v>
      </c>
      <c r="Z3112">
        <v>2.7324659999999998E-3</v>
      </c>
      <c r="AA3112">
        <v>0.94337530000000003</v>
      </c>
      <c r="AB3112">
        <v>23</v>
      </c>
      <c r="AC3112">
        <v>-18.8734</v>
      </c>
      <c r="AD3112">
        <v>-0.98300370000000004</v>
      </c>
      <c r="AE3112">
        <v>-29.455199999999898</v>
      </c>
      <c r="AF3112">
        <v>-11.631932327199801</v>
      </c>
      <c r="AG3112">
        <v>-0.98300370000000004</v>
      </c>
      <c r="AH3112">
        <v>32.963341439812801</v>
      </c>
      <c r="AI3112">
        <v>91.610825142809404</v>
      </c>
      <c r="AJ3112">
        <v>109.43665263686501</v>
      </c>
      <c r="AK3112">
        <v>34.969272580602102</v>
      </c>
      <c r="AL3112">
        <v>80.014816333300402</v>
      </c>
      <c r="AM3112">
        <v>97.478368047259494</v>
      </c>
      <c r="AN3112">
        <v>0.99999996144332903</v>
      </c>
    </row>
    <row r="3113" spans="1:40" x14ac:dyDescent="0.25">
      <c r="A3113" t="str">
        <f>"20190303170316616"</f>
        <v>20190303170316616</v>
      </c>
      <c r="B3113" t="str">
        <f>"1551603796608822"</f>
        <v>1551603796608822</v>
      </c>
      <c r="C3113" t="s">
        <v>40</v>
      </c>
      <c r="D3113">
        <v>4.8059010000000004</v>
      </c>
      <c r="E3113">
        <v>0.43527569999999999</v>
      </c>
      <c r="F3113" t="s">
        <v>45</v>
      </c>
      <c r="G3113">
        <v>-501.61270000000002</v>
      </c>
      <c r="H3113">
        <v>0.14637530000000001</v>
      </c>
      <c r="I3113">
        <v>249.32069999999999</v>
      </c>
      <c r="J3113">
        <v>-482.8245</v>
      </c>
      <c r="K3113">
        <v>1.126315</v>
      </c>
      <c r="L3113">
        <v>278.8818</v>
      </c>
      <c r="M3113">
        <v>-0.7866168</v>
      </c>
      <c r="N3113">
        <v>-1.4280040000000001E-2</v>
      </c>
      <c r="O3113">
        <v>-0.61727659999999995</v>
      </c>
      <c r="P3113">
        <v>-0.69237689999999996</v>
      </c>
      <c r="Q3113">
        <v>0.16094420000000001</v>
      </c>
      <c r="R3113">
        <v>-0.70335719999999902</v>
      </c>
      <c r="S3113">
        <v>-1.6787110000000001</v>
      </c>
      <c r="T3113">
        <v>-8.7164759999999994E-2</v>
      </c>
      <c r="U3113">
        <v>-2.6356809999999999</v>
      </c>
      <c r="V3113">
        <v>-0.1278386</v>
      </c>
      <c r="W3113">
        <v>0.17349300000000001</v>
      </c>
      <c r="X3113">
        <v>0.97650269999999995</v>
      </c>
      <c r="Y3113">
        <v>-0.33177499999999999</v>
      </c>
      <c r="Z3113">
        <v>2.736484E-3</v>
      </c>
      <c r="AA3113">
        <v>0.94335460000000004</v>
      </c>
      <c r="AB3113">
        <v>23</v>
      </c>
      <c r="AC3113">
        <v>-18.7882</v>
      </c>
      <c r="AD3113">
        <v>-0.97993969999999897</v>
      </c>
      <c r="AE3113">
        <v>-29.5611</v>
      </c>
      <c r="AF3113">
        <v>-11.6478115047271</v>
      </c>
      <c r="AG3113">
        <v>-0.97993969999999897</v>
      </c>
      <c r="AH3113">
        <v>33.004018975092897</v>
      </c>
      <c r="AI3113">
        <v>91.603805498796902</v>
      </c>
      <c r="AJ3113">
        <v>109.439007038687</v>
      </c>
      <c r="AK3113">
        <v>35.012812842923402</v>
      </c>
      <c r="AL3113">
        <v>80.009028319861301</v>
      </c>
      <c r="AM3113">
        <v>97.458445976789505</v>
      </c>
      <c r="AN3113">
        <v>1.0000000259031201</v>
      </c>
    </row>
    <row r="3114" spans="1:40" x14ac:dyDescent="0.25">
      <c r="A3114" t="str">
        <f>"20190303170316628"</f>
        <v>20190303170316628</v>
      </c>
      <c r="B3114" t="str">
        <f>"1551603796618582"</f>
        <v>1551603796618582</v>
      </c>
      <c r="C3114" t="s">
        <v>40</v>
      </c>
      <c r="D3114">
        <v>4.8414519999999897</v>
      </c>
      <c r="E3114">
        <v>0.43605050000000001</v>
      </c>
      <c r="F3114" t="s">
        <v>42</v>
      </c>
      <c r="G3114">
        <v>-498.93529999999998</v>
      </c>
      <c r="H3114" s="1">
        <v>-4.4435239999999997E-6</v>
      </c>
      <c r="I3114">
        <v>255.38669999999999</v>
      </c>
      <c r="J3114">
        <v>-482.91320000000002</v>
      </c>
      <c r="K3114">
        <v>1.1262829999999999</v>
      </c>
      <c r="L3114">
        <v>278.80680000000001</v>
      </c>
      <c r="M3114">
        <v>-0.78428430000000005</v>
      </c>
      <c r="N3114">
        <v>-1.4270039999999999E-2</v>
      </c>
      <c r="O3114">
        <v>-0.62023759999999994</v>
      </c>
      <c r="P3114">
        <v>-0.689882</v>
      </c>
      <c r="Q3114">
        <v>0.16086429999999999</v>
      </c>
      <c r="R3114">
        <v>-0.70582270000000003</v>
      </c>
      <c r="S3114">
        <v>-1.7575989999999999</v>
      </c>
      <c r="T3114">
        <v>-0.1228746</v>
      </c>
      <c r="U3114">
        <v>-2.5631710000000001</v>
      </c>
      <c r="V3114">
        <v>-0.12761220000000001</v>
      </c>
      <c r="W3114">
        <v>0.1734174</v>
      </c>
      <c r="X3114">
        <v>0.97654569999999996</v>
      </c>
      <c r="Y3114">
        <v>-0.295979299999999</v>
      </c>
      <c r="Z3114">
        <v>9.2746129999999993E-3</v>
      </c>
      <c r="AA3114">
        <v>0.95514929999999998</v>
      </c>
      <c r="AB3114">
        <v>23</v>
      </c>
      <c r="AC3114">
        <v>-16.022099999999899</v>
      </c>
      <c r="AD3114">
        <v>-1.126287443524</v>
      </c>
      <c r="AE3114">
        <v>-23.420100000000001</v>
      </c>
      <c r="AF3114">
        <v>-8.4181037797977591</v>
      </c>
      <c r="AG3114">
        <v>-1.126287443524</v>
      </c>
      <c r="AH3114">
        <v>27.052046818617701</v>
      </c>
      <c r="AI3114">
        <v>92.276526180144401</v>
      </c>
      <c r="AJ3114">
        <v>107.285189423098</v>
      </c>
      <c r="AK3114">
        <v>28.353945611317801</v>
      </c>
      <c r="AL3114">
        <v>80.013426149542198</v>
      </c>
      <c r="AM3114">
        <v>97.445061356299604</v>
      </c>
      <c r="AN3114">
        <v>0.99999998620004404</v>
      </c>
    </row>
    <row r="3115" spans="1:40" x14ac:dyDescent="0.25">
      <c r="A3115" t="str">
        <f>"20190303170316639"</f>
        <v>20190303170316639</v>
      </c>
      <c r="B3115" t="str">
        <f>"1551603796628344"</f>
        <v>1551603796628344</v>
      </c>
      <c r="C3115" t="s">
        <v>40</v>
      </c>
      <c r="D3115">
        <v>4.843178</v>
      </c>
      <c r="E3115">
        <v>0.43627880000000002</v>
      </c>
      <c r="F3115" t="s">
        <v>42</v>
      </c>
      <c r="G3115">
        <v>-498.5788</v>
      </c>
      <c r="H3115" s="1">
        <v>-4.5482330000000002E-6</v>
      </c>
      <c r="I3115">
        <v>255.88030000000001</v>
      </c>
      <c r="J3115">
        <v>-482.99459999999999</v>
      </c>
      <c r="K3115">
        <v>1.1262529999999999</v>
      </c>
      <c r="L3115">
        <v>278.73759999999999</v>
      </c>
      <c r="M3115">
        <v>-0.78213889999999997</v>
      </c>
      <c r="N3115">
        <v>-1.426118E-2</v>
      </c>
      <c r="O3115">
        <v>-0.62294099999999997</v>
      </c>
      <c r="P3115">
        <v>-0.68763769999999902</v>
      </c>
      <c r="Q3115">
        <v>0.16057189999999999</v>
      </c>
      <c r="R3115">
        <v>-0.70807609999999999</v>
      </c>
      <c r="S3115">
        <v>-1.7530520000000001</v>
      </c>
      <c r="T3115">
        <v>-0.12603699999999901</v>
      </c>
      <c r="U3115">
        <v>-2.565582</v>
      </c>
      <c r="V3115">
        <v>-0.12737699999999999</v>
      </c>
      <c r="W3115">
        <v>0.17313000000000001</v>
      </c>
      <c r="X3115">
        <v>0.97662740000000003</v>
      </c>
      <c r="Y3115">
        <v>-0.29425709999999999</v>
      </c>
      <c r="Z3115">
        <v>9.9229699999999997E-3</v>
      </c>
      <c r="AA3115">
        <v>0.95567480000000005</v>
      </c>
      <c r="AB3115">
        <v>23</v>
      </c>
      <c r="AC3115">
        <v>-15.584199999999999</v>
      </c>
      <c r="AD3115">
        <v>-1.1262575482329999</v>
      </c>
      <c r="AE3115">
        <v>-22.857299999999899</v>
      </c>
      <c r="AF3115">
        <v>-8.1568574389747095</v>
      </c>
      <c r="AG3115">
        <v>-1.1262575482329999</v>
      </c>
      <c r="AH3115">
        <v>26.386710872580501</v>
      </c>
      <c r="AI3115">
        <v>92.3351591634041</v>
      </c>
      <c r="AJ3115">
        <v>107.177816230198</v>
      </c>
      <c r="AK3115">
        <v>27.641658597447901</v>
      </c>
      <c r="AL3115">
        <v>80.030145879529897</v>
      </c>
      <c r="AM3115">
        <v>97.430878266595201</v>
      </c>
      <c r="AN3115">
        <v>0.99999998772987997</v>
      </c>
    </row>
    <row r="3116" spans="1:40" x14ac:dyDescent="0.25">
      <c r="A3116" t="str">
        <f>"20190303170316649"</f>
        <v>20190303170316649</v>
      </c>
      <c r="B3116" t="str">
        <f>"1551603796638102"</f>
        <v>1551603796638102</v>
      </c>
      <c r="C3116" t="s">
        <v>40</v>
      </c>
      <c r="D3116">
        <v>4.8244069999999999</v>
      </c>
      <c r="E3116">
        <v>0.43650549999999999</v>
      </c>
      <c r="F3116" t="s">
        <v>42</v>
      </c>
      <c r="G3116">
        <v>-498.26900000000001</v>
      </c>
      <c r="H3116" s="1">
        <v>-4.6206529999999901E-6</v>
      </c>
      <c r="I3116">
        <v>256.25459999999998</v>
      </c>
      <c r="J3116">
        <v>-483.07929999999999</v>
      </c>
      <c r="K3116">
        <v>1.1262239999999999</v>
      </c>
      <c r="L3116">
        <v>278.6651</v>
      </c>
      <c r="M3116">
        <v>-0.77989909999999996</v>
      </c>
      <c r="N3116">
        <v>-1.4252229999999999E-2</v>
      </c>
      <c r="O3116">
        <v>-0.6257431</v>
      </c>
      <c r="P3116">
        <v>-0.68530570000000002</v>
      </c>
      <c r="Q3116">
        <v>0.16018060000000001</v>
      </c>
      <c r="R3116">
        <v>-0.71042159999999999</v>
      </c>
      <c r="S3116">
        <v>-1.7461850000000001</v>
      </c>
      <c r="T3116">
        <v>-0.1287546</v>
      </c>
      <c r="U3116">
        <v>-2.5702820000000002</v>
      </c>
      <c r="V3116">
        <v>-0.1271362</v>
      </c>
      <c r="W3116">
        <v>0.17274210000000001</v>
      </c>
      <c r="X3116">
        <v>0.97672749999999997</v>
      </c>
      <c r="Y3116">
        <v>-0.29339009999999999</v>
      </c>
      <c r="Z3116">
        <v>1.0485799999999899E-2</v>
      </c>
      <c r="AA3116">
        <v>0.95593530000000004</v>
      </c>
      <c r="AB3116">
        <v>23</v>
      </c>
      <c r="AC3116">
        <v>-15.1897</v>
      </c>
      <c r="AD3116">
        <v>-1.1262286206529999</v>
      </c>
      <c r="AE3116">
        <v>-22.410499999999999</v>
      </c>
      <c r="AF3116">
        <v>-7.96011301011049</v>
      </c>
      <c r="AG3116">
        <v>-1.1262286206529999</v>
      </c>
      <c r="AH3116">
        <v>25.827579931657901</v>
      </c>
      <c r="AI3116">
        <v>92.386214621818596</v>
      </c>
      <c r="AJ3116">
        <v>107.129405151764</v>
      </c>
      <c r="AK3116">
        <v>27.049873847504099</v>
      </c>
      <c r="AL3116">
        <v>80.052711301987998</v>
      </c>
      <c r="AM3116">
        <v>97.4162354426104</v>
      </c>
      <c r="AN3116">
        <v>1.00000002785954</v>
      </c>
    </row>
    <row r="3117" spans="1:40" x14ac:dyDescent="0.25">
      <c r="A3117" t="str">
        <f>"20190303170316661"</f>
        <v>20190303170316661</v>
      </c>
      <c r="B3117" t="str">
        <f>"1551603796648837"</f>
        <v>1551603796648837</v>
      </c>
      <c r="C3117" t="s">
        <v>40</v>
      </c>
      <c r="D3117">
        <v>4.8476990000000004</v>
      </c>
      <c r="E3117">
        <v>0.43660729999999998</v>
      </c>
      <c r="F3117" t="s">
        <v>42</v>
      </c>
      <c r="G3117">
        <v>-497.99869999999999</v>
      </c>
      <c r="H3117" s="1">
        <v>-4.6814380000000004E-6</v>
      </c>
      <c r="I3117">
        <v>256.57409999999999</v>
      </c>
      <c r="J3117">
        <v>-483.16750000000002</v>
      </c>
      <c r="K3117">
        <v>1.1261969999999999</v>
      </c>
      <c r="L3117">
        <v>278.58890000000002</v>
      </c>
      <c r="M3117">
        <v>-0.77755529999999995</v>
      </c>
      <c r="N3117">
        <v>-1.424345E-2</v>
      </c>
      <c r="O3117">
        <v>-0.62865309999999996</v>
      </c>
      <c r="P3117">
        <v>-0.68280200000000002</v>
      </c>
      <c r="Q3117">
        <v>0.15975929999999999</v>
      </c>
      <c r="R3117">
        <v>-0.71292250000000001</v>
      </c>
      <c r="S3117">
        <v>-1.73904399999999</v>
      </c>
      <c r="T3117">
        <v>-0.1312759</v>
      </c>
      <c r="U3117">
        <v>-2.5749819999999999</v>
      </c>
      <c r="V3117">
        <v>-0.12698029999999999</v>
      </c>
      <c r="W3117">
        <v>0.17232310000000001</v>
      </c>
      <c r="X3117">
        <v>0.97682179999999996</v>
      </c>
      <c r="Y3117">
        <v>-0.2924505</v>
      </c>
      <c r="Z3117">
        <v>1.1028680000000001E-2</v>
      </c>
      <c r="AA3117">
        <v>0.95621710000000004</v>
      </c>
      <c r="AB3117">
        <v>23</v>
      </c>
      <c r="AC3117">
        <v>-14.8311999999999</v>
      </c>
      <c r="AD3117">
        <v>-1.12620168143799</v>
      </c>
      <c r="AE3117">
        <v>-22.014800000000001</v>
      </c>
      <c r="AF3117">
        <v>-7.7808301826411403</v>
      </c>
      <c r="AG3117">
        <v>-1.12620168143799</v>
      </c>
      <c r="AH3117">
        <v>25.328734006912502</v>
      </c>
      <c r="AI3117">
        <v>92.433785534658796</v>
      </c>
      <c r="AJ3117">
        <v>107.076633464655</v>
      </c>
      <c r="AK3117">
        <v>26.520829831498499</v>
      </c>
      <c r="AL3117">
        <v>80.077083830000007</v>
      </c>
      <c r="AM3117">
        <v>97.406535243763898</v>
      </c>
      <c r="AN3117">
        <v>1.0000000381684599</v>
      </c>
    </row>
    <row r="3118" spans="1:40" x14ac:dyDescent="0.25">
      <c r="A3118" t="str">
        <f>"20190303170316674"</f>
        <v>20190303170316674</v>
      </c>
      <c r="B3118" t="str">
        <f>"1551603796668358"</f>
        <v>1551603796668358</v>
      </c>
      <c r="C3118" t="s">
        <v>40</v>
      </c>
      <c r="D3118">
        <v>4.8476549999999996</v>
      </c>
      <c r="E3118">
        <v>0.43723339999999999</v>
      </c>
      <c r="F3118" t="s">
        <v>42</v>
      </c>
      <c r="G3118">
        <v>-497.6653</v>
      </c>
      <c r="H3118" s="1">
        <v>-4.7570969999999999E-6</v>
      </c>
      <c r="I3118">
        <v>256.97019999999998</v>
      </c>
      <c r="J3118">
        <v>-483.26459999999997</v>
      </c>
      <c r="K3118">
        <v>1.12617099999999</v>
      </c>
      <c r="L3118">
        <v>278.50470000000001</v>
      </c>
      <c r="M3118">
        <v>-0.77496599999999904</v>
      </c>
      <c r="N3118">
        <v>-1.423432E-2</v>
      </c>
      <c r="O3118">
        <v>-0.63184300000000004</v>
      </c>
      <c r="P3118">
        <v>-0.68009750000000002</v>
      </c>
      <c r="Q3118">
        <v>0.1592462</v>
      </c>
      <c r="R3118">
        <v>-0.71561770000000002</v>
      </c>
      <c r="S3118">
        <v>-1.730621</v>
      </c>
      <c r="T3118">
        <v>-0.13443620000000001</v>
      </c>
      <c r="U3118">
        <v>-2.5806580000000001</v>
      </c>
      <c r="V3118">
        <v>-0.12673699999999999</v>
      </c>
      <c r="W3118">
        <v>0.17181299999999999</v>
      </c>
      <c r="X3118">
        <v>0.97694320000000001</v>
      </c>
      <c r="Y3118">
        <v>-0.29165049999999998</v>
      </c>
      <c r="Z3118">
        <v>1.1689669999999999E-2</v>
      </c>
      <c r="AA3118">
        <v>0.95645349999999996</v>
      </c>
      <c r="AB3118">
        <v>23</v>
      </c>
      <c r="AC3118">
        <v>-14.400700000000001</v>
      </c>
      <c r="AD3118">
        <v>-1.1261757570969999</v>
      </c>
      <c r="AE3118">
        <v>-21.534500000000001</v>
      </c>
      <c r="AF3118">
        <v>-7.57597389472431</v>
      </c>
      <c r="AG3118">
        <v>-1.1261757570969999</v>
      </c>
      <c r="AH3118">
        <v>24.722259178204698</v>
      </c>
      <c r="AI3118">
        <v>92.493882287062107</v>
      </c>
      <c r="AJ3118">
        <v>107.03733918831701</v>
      </c>
      <c r="AK3118">
        <v>25.8815330141733</v>
      </c>
      <c r="AL3118">
        <v>80.106752488303599</v>
      </c>
      <c r="AM3118">
        <v>97.391592635657503</v>
      </c>
      <c r="AN3118">
        <v>0.99999999508212001</v>
      </c>
    </row>
    <row r="3119" spans="1:40" x14ac:dyDescent="0.25">
      <c r="A3119" t="str">
        <f>"20190303170316685"</f>
        <v>20190303170316685</v>
      </c>
      <c r="B3119" t="str">
        <f>"1551603796678117"</f>
        <v>1551603796678117</v>
      </c>
      <c r="C3119" t="s">
        <v>40</v>
      </c>
      <c r="D3119">
        <v>4.8587989999999897</v>
      </c>
      <c r="E3119">
        <v>0.4375483</v>
      </c>
      <c r="F3119" t="s">
        <v>42</v>
      </c>
      <c r="G3119">
        <v>-497.2885</v>
      </c>
      <c r="H3119" s="1">
        <v>-4.8679950000000003E-6</v>
      </c>
      <c r="I3119">
        <v>257.49250000000001</v>
      </c>
      <c r="J3119">
        <v>-483.34809999999999</v>
      </c>
      <c r="K3119">
        <v>1.1261540000000001</v>
      </c>
      <c r="L3119">
        <v>278.43150000000003</v>
      </c>
      <c r="M3119">
        <v>-0.77272750000000001</v>
      </c>
      <c r="N3119">
        <v>-1.4227160000000001E-2</v>
      </c>
      <c r="O3119">
        <v>-0.63457859999999999</v>
      </c>
      <c r="P3119">
        <v>-0.67729530000000004</v>
      </c>
      <c r="Q3119">
        <v>0.159554</v>
      </c>
      <c r="R3119">
        <v>-0.7182018</v>
      </c>
      <c r="S3119">
        <v>-1.7246090000000001</v>
      </c>
      <c r="T3119">
        <v>-0.1384937</v>
      </c>
      <c r="U3119">
        <v>-2.584015</v>
      </c>
      <c r="V3119">
        <v>-0.1270461</v>
      </c>
      <c r="W3119">
        <v>0.17211499999999999</v>
      </c>
      <c r="X3119">
        <v>0.97684990000000005</v>
      </c>
      <c r="Y3119">
        <v>-0.2903868</v>
      </c>
      <c r="Z3119">
        <v>1.2505499999999999E-2</v>
      </c>
      <c r="AA3119">
        <v>0.9568276</v>
      </c>
      <c r="AB3119">
        <v>23</v>
      </c>
      <c r="AC3119">
        <v>-13.9404</v>
      </c>
      <c r="AD3119">
        <v>-1.1261588679950001</v>
      </c>
      <c r="AE3119">
        <v>-20.939</v>
      </c>
      <c r="AF3119">
        <v>-7.3199323372520002</v>
      </c>
      <c r="AG3119">
        <v>-1.1261588679950001</v>
      </c>
      <c r="AH3119">
        <v>24.0138751837599</v>
      </c>
      <c r="AI3119">
        <v>92.568476733428298</v>
      </c>
      <c r="AJ3119">
        <v>106.95231991116501</v>
      </c>
      <c r="AK3119">
        <v>25.129979000371499</v>
      </c>
      <c r="AL3119">
        <v>80.0891876099342</v>
      </c>
      <c r="AM3119">
        <v>97.410119798705296</v>
      </c>
      <c r="AN3119">
        <v>1.00000000594011</v>
      </c>
    </row>
    <row r="3120" spans="1:40" x14ac:dyDescent="0.25">
      <c r="A3120" t="str">
        <f>"20190303170316698"</f>
        <v>20190303170316698</v>
      </c>
      <c r="B3120" t="str">
        <f>"1551603796688854"</f>
        <v>1551603796688854</v>
      </c>
      <c r="C3120" t="s">
        <v>40</v>
      </c>
      <c r="D3120">
        <v>4.8424199999999997</v>
      </c>
      <c r="E3120">
        <v>0.4378938</v>
      </c>
      <c r="F3120" t="s">
        <v>42</v>
      </c>
      <c r="G3120">
        <v>-497.32940000000002</v>
      </c>
      <c r="H3120" s="1">
        <v>-4.82612E-6</v>
      </c>
      <c r="I3120">
        <v>257.34809999999999</v>
      </c>
      <c r="J3120">
        <v>-483.44290000000001</v>
      </c>
      <c r="K3120">
        <v>1.126136</v>
      </c>
      <c r="L3120">
        <v>278.34789999999998</v>
      </c>
      <c r="M3120">
        <v>-0.77017000000000002</v>
      </c>
      <c r="N3120">
        <v>-1.4219399999999899E-2</v>
      </c>
      <c r="O3120">
        <v>-0.63768049999999998</v>
      </c>
      <c r="P3120">
        <v>-0.6744</v>
      </c>
      <c r="Q3120">
        <v>0.1597671</v>
      </c>
      <c r="R3120">
        <v>-0.72087440000000003</v>
      </c>
      <c r="S3120">
        <v>-1.7167969999999999</v>
      </c>
      <c r="T3120">
        <v>-0.1382833</v>
      </c>
      <c r="U3120">
        <v>-2.588867</v>
      </c>
      <c r="V3120">
        <v>-0.1270078</v>
      </c>
      <c r="W3120">
        <v>0.17232500000000001</v>
      </c>
      <c r="X3120">
        <v>0.97681779999999996</v>
      </c>
      <c r="Y3120">
        <v>-0.28937269999999998</v>
      </c>
      <c r="Z3120">
        <v>1.261895E-2</v>
      </c>
      <c r="AA3120">
        <v>0.95713340000000002</v>
      </c>
      <c r="AB3120">
        <v>23</v>
      </c>
      <c r="AC3120">
        <v>-13.8865</v>
      </c>
      <c r="AD3120">
        <v>-1.1261408261200001</v>
      </c>
      <c r="AE3120">
        <v>-20.9998</v>
      </c>
      <c r="AF3120">
        <v>-7.30438904480578</v>
      </c>
      <c r="AG3120">
        <v>-1.1261408261200001</v>
      </c>
      <c r="AH3120">
        <v>24.040457333324799</v>
      </c>
      <c r="AI3120">
        <v>92.566301488177501</v>
      </c>
      <c r="AJ3120">
        <v>106.90074107366</v>
      </c>
      <c r="AK3120">
        <v>25.1508624359791</v>
      </c>
      <c r="AL3120">
        <v>80.076972437426605</v>
      </c>
      <c r="AM3120">
        <v>97.408151453380398</v>
      </c>
      <c r="AN3120">
        <v>0.99999995064133795</v>
      </c>
    </row>
    <row r="3121" spans="1:40" x14ac:dyDescent="0.25">
      <c r="A3121" t="str">
        <f>"20190303170316709"</f>
        <v>20190303170316709</v>
      </c>
      <c r="B3121" t="str">
        <f>"1551603796698522"</f>
        <v>1551603796698522</v>
      </c>
      <c r="C3121" t="s">
        <v>40</v>
      </c>
      <c r="D3121">
        <v>4.8709629999999997</v>
      </c>
      <c r="E3121">
        <v>0.4378938</v>
      </c>
      <c r="F3121" t="s">
        <v>42</v>
      </c>
      <c r="G3121">
        <v>-497.22829999999999</v>
      </c>
      <c r="H3121" s="1">
        <v>-4.8285499999999997E-6</v>
      </c>
      <c r="I3121">
        <v>257.40800000000002</v>
      </c>
      <c r="J3121">
        <v>-483.53379999999999</v>
      </c>
      <c r="K3121">
        <v>1.126125</v>
      </c>
      <c r="L3121">
        <v>278.267</v>
      </c>
      <c r="M3121">
        <v>-0.76770190000000005</v>
      </c>
      <c r="N3121">
        <v>-1.4212590000000001E-2</v>
      </c>
      <c r="O3121">
        <v>-0.64064960000000004</v>
      </c>
      <c r="P3121">
        <v>-0.67147690000000004</v>
      </c>
      <c r="Q3121">
        <v>0.16050410000000001</v>
      </c>
      <c r="R3121">
        <v>-0.72343459999999904</v>
      </c>
      <c r="S3121">
        <v>-1.708099</v>
      </c>
      <c r="T3121">
        <v>-0.13953670000000001</v>
      </c>
      <c r="U3121">
        <v>-2.5946039999999999</v>
      </c>
      <c r="V3121">
        <v>-0.1270667</v>
      </c>
      <c r="W3121">
        <v>0.17305719999999999</v>
      </c>
      <c r="X3121">
        <v>0.97668080000000002</v>
      </c>
      <c r="Y3121">
        <v>-0.28888960000000002</v>
      </c>
      <c r="Z3121">
        <v>1.2959490000000001E-2</v>
      </c>
      <c r="AA3121">
        <v>0.95727470000000003</v>
      </c>
      <c r="AB3121">
        <v>23</v>
      </c>
      <c r="AC3121">
        <v>-13.6945</v>
      </c>
      <c r="AD3121">
        <v>-1.1261298285500001</v>
      </c>
      <c r="AE3121">
        <v>-20.858999999999899</v>
      </c>
      <c r="AF3121">
        <v>-7.2261309609700097</v>
      </c>
      <c r="AG3121">
        <v>-1.1261298285500001</v>
      </c>
      <c r="AH3121">
        <v>23.830476992976202</v>
      </c>
      <c r="AI3121">
        <v>92.589294349526099</v>
      </c>
      <c r="AJ3121">
        <v>106.868911634247</v>
      </c>
      <c r="AK3121">
        <v>24.927430087528201</v>
      </c>
      <c r="AL3121">
        <v>80.034381695759606</v>
      </c>
      <c r="AM3121">
        <v>97.412576868067703</v>
      </c>
      <c r="AN3121">
        <v>1.0000000629046799</v>
      </c>
    </row>
    <row r="3122" spans="1:40" x14ac:dyDescent="0.25">
      <c r="A3122" t="str">
        <f>"20190303170316720"</f>
        <v>20190303170316720</v>
      </c>
      <c r="B3122" t="str">
        <f>"1551603796708280"</f>
        <v>1551603796708280</v>
      </c>
      <c r="C3122" t="s">
        <v>40</v>
      </c>
      <c r="D3122">
        <v>4.8373010000000001</v>
      </c>
      <c r="E3122">
        <v>0.419769</v>
      </c>
      <c r="F3122" t="s">
        <v>42</v>
      </c>
      <c r="G3122">
        <v>-497.48180000000002</v>
      </c>
      <c r="H3122" s="1">
        <v>-4.7010149999999997E-6</v>
      </c>
      <c r="I3122">
        <v>256.90109999999999</v>
      </c>
      <c r="J3122">
        <v>-483.61489999999998</v>
      </c>
      <c r="K3122">
        <v>1.1261159999999999</v>
      </c>
      <c r="L3122">
        <v>278.19439999999997</v>
      </c>
      <c r="M3122">
        <v>-0.76548539999999998</v>
      </c>
      <c r="N3122">
        <v>-1.420683E-2</v>
      </c>
      <c r="O3122">
        <v>-0.64329650000000005</v>
      </c>
      <c r="P3122">
        <v>-0.66898040000000003</v>
      </c>
      <c r="Q3122">
        <v>0.16089700000000001</v>
      </c>
      <c r="R3122">
        <v>-0.72565669999999904</v>
      </c>
      <c r="S3122">
        <v>-1.698059</v>
      </c>
      <c r="T3122">
        <v>-0.1370971</v>
      </c>
      <c r="U3122">
        <v>-2.6011350000000002</v>
      </c>
      <c r="V3122">
        <v>-0.1269931</v>
      </c>
      <c r="W3122">
        <v>0.1734474</v>
      </c>
      <c r="X3122">
        <v>0.97662110000000002</v>
      </c>
      <c r="Y3122">
        <v>-0.28927399999999998</v>
      </c>
      <c r="Z3122">
        <v>1.263973E-2</v>
      </c>
      <c r="AA3122">
        <v>0.95716290000000004</v>
      </c>
      <c r="AB3122">
        <v>23</v>
      </c>
      <c r="AC3122">
        <v>-13.866899999999999</v>
      </c>
      <c r="AD3122">
        <v>-1.1261207010149901</v>
      </c>
      <c r="AE3122">
        <v>-21.293299999999899</v>
      </c>
      <c r="AF3122">
        <v>-7.3654606071159403</v>
      </c>
      <c r="AG3122">
        <v>-1.1261207010149901</v>
      </c>
      <c r="AH3122">
        <v>24.267605718271501</v>
      </c>
      <c r="AI3122">
        <v>92.542497924994507</v>
      </c>
      <c r="AJ3122">
        <v>106.883567578833</v>
      </c>
      <c r="AK3122">
        <v>25.3857212835428</v>
      </c>
      <c r="AL3122">
        <v>80.011681072227205</v>
      </c>
      <c r="AM3122">
        <v>97.408778872182396</v>
      </c>
      <c r="AN3122">
        <v>1.0000000104897899</v>
      </c>
    </row>
    <row r="3123" spans="1:40" x14ac:dyDescent="0.25">
      <c r="A3123" t="str">
        <f>"20190303170316729"</f>
        <v>20190303170316729</v>
      </c>
      <c r="B3123" t="str">
        <f>"1551603796719017"</f>
        <v>1551603796719017</v>
      </c>
      <c r="C3123" t="s">
        <v>40</v>
      </c>
      <c r="D3123">
        <v>4.7595700000000001</v>
      </c>
      <c r="E3123">
        <v>0.41091729999999999</v>
      </c>
      <c r="F3123" t="s">
        <v>42</v>
      </c>
      <c r="G3123">
        <v>-502.8066</v>
      </c>
      <c r="H3123">
        <v>7.9986710000000003E-2</v>
      </c>
      <c r="I3123">
        <v>245.4058</v>
      </c>
      <c r="J3123">
        <v>-483.68900000000002</v>
      </c>
      <c r="K3123">
        <v>1.126112</v>
      </c>
      <c r="L3123">
        <v>278.1277</v>
      </c>
      <c r="M3123">
        <v>-0.76344820000000002</v>
      </c>
      <c r="N3123">
        <v>-1.420182E-2</v>
      </c>
      <c r="O3123">
        <v>-0.64571299999999998</v>
      </c>
      <c r="P3123">
        <v>-0.66648580000000002</v>
      </c>
      <c r="Q3123">
        <v>0.16159660000000001</v>
      </c>
      <c r="R3123">
        <v>-0.72779359999999904</v>
      </c>
      <c r="S3123">
        <v>-1.5789489999999999</v>
      </c>
      <c r="T3123">
        <v>-8.6067679999999994E-2</v>
      </c>
      <c r="U3123">
        <v>-2.6976010000000001</v>
      </c>
      <c r="V3123">
        <v>-0.12714500000000001</v>
      </c>
      <c r="W3123">
        <v>0.17414060000000001</v>
      </c>
      <c r="X3123">
        <v>0.97647799999999996</v>
      </c>
      <c r="Y3123">
        <v>-0.33261449999999998</v>
      </c>
      <c r="Z3123">
        <v>3.1517559999999999E-3</v>
      </c>
      <c r="AA3123">
        <v>0.9430577</v>
      </c>
      <c r="AB3123">
        <v>23</v>
      </c>
      <c r="AC3123">
        <v>-19.1175999999999</v>
      </c>
      <c r="AD3123">
        <v>-1.04612529</v>
      </c>
      <c r="AE3123">
        <v>-32.721899999999998</v>
      </c>
      <c r="AF3123">
        <v>-12.628643667876799</v>
      </c>
      <c r="AG3123">
        <v>-1.04612529</v>
      </c>
      <c r="AH3123">
        <v>35.700650854296903</v>
      </c>
      <c r="AI3123">
        <v>91.582407827320097</v>
      </c>
      <c r="AJ3123">
        <v>109.480574863418</v>
      </c>
      <c r="AK3123">
        <v>37.882891790793799</v>
      </c>
      <c r="AL3123">
        <v>79.971350198147803</v>
      </c>
      <c r="AM3123">
        <v>97.418617004116498</v>
      </c>
      <c r="AN3123">
        <v>1.0000000420386701</v>
      </c>
    </row>
    <row r="3124" spans="1:40" x14ac:dyDescent="0.25">
      <c r="A3124" t="str">
        <f>"20190303170316741"</f>
        <v>20190303170316741</v>
      </c>
      <c r="B3124" t="str">
        <f>"1551603796728777"</f>
        <v>1551603796728777</v>
      </c>
      <c r="C3124" t="s">
        <v>40</v>
      </c>
      <c r="D3124">
        <v>4.7314939999999996</v>
      </c>
      <c r="E3124">
        <v>0.40329999999999999</v>
      </c>
      <c r="F3124" t="s">
        <v>66</v>
      </c>
      <c r="G3124">
        <v>-512.8252</v>
      </c>
      <c r="H3124">
        <v>3.8879749999999998E-2</v>
      </c>
      <c r="I3124">
        <v>225.34649999999999</v>
      </c>
      <c r="J3124">
        <v>-483.76889999999997</v>
      </c>
      <c r="K3124">
        <v>1.126109</v>
      </c>
      <c r="L3124">
        <v>278.05509999999998</v>
      </c>
      <c r="M3124">
        <v>-0.76123359999999995</v>
      </c>
      <c r="N3124">
        <v>-1.4196719999999999E-2</v>
      </c>
      <c r="O3124">
        <v>-0.64832230000000002</v>
      </c>
      <c r="P3124">
        <v>-0.66390169999999904</v>
      </c>
      <c r="Q3124">
        <v>0.1614245</v>
      </c>
      <c r="R3124">
        <v>-0.73018969999999905</v>
      </c>
      <c r="S3124">
        <v>-1.516022</v>
      </c>
      <c r="T3124">
        <v>-5.6567430000000002E-2</v>
      </c>
      <c r="U3124">
        <v>-2.7463069999999998</v>
      </c>
      <c r="V3124">
        <v>-0.1272887</v>
      </c>
      <c r="W3124">
        <v>0.17396400000000001</v>
      </c>
      <c r="X3124">
        <v>0.97649070000000004</v>
      </c>
      <c r="Y3124">
        <v>-0.35305579999999998</v>
      </c>
      <c r="Z3124">
        <v>-1.9899340000000001E-3</v>
      </c>
      <c r="AA3124">
        <v>0.93560019999999999</v>
      </c>
      <c r="AB3124">
        <v>23</v>
      </c>
      <c r="AC3124">
        <v>-29.0563</v>
      </c>
      <c r="AD3124">
        <v>-1.08722925</v>
      </c>
      <c r="AE3124">
        <v>-52.708599999999898</v>
      </c>
      <c r="AF3124">
        <v>-21.2809117272012</v>
      </c>
      <c r="AG3124">
        <v>-1.08722925</v>
      </c>
      <c r="AH3124">
        <v>56.278103215223801</v>
      </c>
      <c r="AI3124">
        <v>91.035228183753702</v>
      </c>
      <c r="AJ3124">
        <v>110.71353001701</v>
      </c>
      <c r="AK3124">
        <v>60.177106717474999</v>
      </c>
      <c r="AL3124">
        <v>79.981624910964399</v>
      </c>
      <c r="AM3124">
        <v>97.426812499502603</v>
      </c>
      <c r="AN3124">
        <v>0.99999998681508995</v>
      </c>
    </row>
    <row r="3125" spans="1:40" x14ac:dyDescent="0.25">
      <c r="A3125" t="str">
        <f>"20190303170316751"</f>
        <v>20190303170316751</v>
      </c>
      <c r="B3125" t="str">
        <f>"1551603796738537"</f>
        <v>1551603796738537</v>
      </c>
      <c r="C3125" t="s">
        <v>40</v>
      </c>
      <c r="D3125">
        <v>4.7608069999999998</v>
      </c>
      <c r="E3125">
        <v>0.39804919999999999</v>
      </c>
      <c r="F3125" t="s">
        <v>66</v>
      </c>
      <c r="G3125">
        <v>-512.82529999999997</v>
      </c>
      <c r="H3125">
        <v>0.4397932</v>
      </c>
      <c r="I3125">
        <v>222.54060000000001</v>
      </c>
      <c r="J3125">
        <v>-483.84410000000003</v>
      </c>
      <c r="K3125">
        <v>1.1261030000000001</v>
      </c>
      <c r="L3125">
        <v>277.98649999999998</v>
      </c>
      <c r="M3125">
        <v>-0.75913790000000003</v>
      </c>
      <c r="N3125">
        <v>-1.4192160000000001E-2</v>
      </c>
      <c r="O3125">
        <v>-0.65077510000000005</v>
      </c>
      <c r="P3125">
        <v>-0.6614584</v>
      </c>
      <c r="Q3125">
        <v>0.16151309999999999</v>
      </c>
      <c r="R3125">
        <v>-0.73238400000000003</v>
      </c>
      <c r="S3125">
        <v>-1.4597169999999999</v>
      </c>
      <c r="T3125">
        <v>-3.4475209999999999E-2</v>
      </c>
      <c r="U3125">
        <v>-2.7888790000000001</v>
      </c>
      <c r="V3125">
        <v>-0.12738450000000001</v>
      </c>
      <c r="W3125">
        <v>0.17404849999999999</v>
      </c>
      <c r="X3125">
        <v>0.97646310000000003</v>
      </c>
      <c r="Y3125">
        <v>-0.37077100000000002</v>
      </c>
      <c r="Z3125">
        <v>-5.7793389999999997E-3</v>
      </c>
      <c r="AA3125">
        <v>0.92870629999999998</v>
      </c>
      <c r="AB3125">
        <v>23</v>
      </c>
      <c r="AC3125">
        <v>-28.981199999999902</v>
      </c>
      <c r="AD3125">
        <v>-0.68630979999999997</v>
      </c>
      <c r="AE3125">
        <v>-55.445899999999902</v>
      </c>
      <c r="AF3125">
        <v>-23.230385176276901</v>
      </c>
      <c r="AG3125">
        <v>-0.68630979999999997</v>
      </c>
      <c r="AH3125">
        <v>58.082399335309098</v>
      </c>
      <c r="AI3125">
        <v>90.628577025658004</v>
      </c>
      <c r="AJ3125">
        <v>111.79922006480901</v>
      </c>
      <c r="AK3125">
        <v>62.559467142280603</v>
      </c>
      <c r="AL3125">
        <v>79.976707924130807</v>
      </c>
      <c r="AM3125">
        <v>97.432547324329207</v>
      </c>
      <c r="AN3125">
        <v>0.99999993842705304</v>
      </c>
    </row>
    <row r="3126" spans="1:40" x14ac:dyDescent="0.25">
      <c r="A3126" t="str">
        <f>"20190303170316761"</f>
        <v>20190303170316761</v>
      </c>
      <c r="B3126" t="str">
        <f>"1551603796748296"</f>
        <v>1551603796748296</v>
      </c>
      <c r="C3126" t="s">
        <v>40</v>
      </c>
      <c r="D3126">
        <v>4.7235110000000002</v>
      </c>
      <c r="E3126">
        <v>0.39443479999999997</v>
      </c>
      <c r="F3126" t="s">
        <v>66</v>
      </c>
      <c r="G3126">
        <v>-511.95890000000003</v>
      </c>
      <c r="H3126">
        <v>0.78084809999999905</v>
      </c>
      <c r="I3126">
        <v>222.08330000000001</v>
      </c>
      <c r="J3126">
        <v>-483.92180000000002</v>
      </c>
      <c r="K3126">
        <v>1.1260939999999999</v>
      </c>
      <c r="L3126">
        <v>277.91489999999999</v>
      </c>
      <c r="M3126">
        <v>-0.75695459999999903</v>
      </c>
      <c r="N3126">
        <v>-1.4187740000000001E-2</v>
      </c>
      <c r="O3126">
        <v>-0.65331359999999905</v>
      </c>
      <c r="P3126">
        <v>-0.65904010000000002</v>
      </c>
      <c r="Q3126">
        <v>0.1611148</v>
      </c>
      <c r="R3126">
        <v>-0.73464849999999904</v>
      </c>
      <c r="S3126">
        <v>-1.4179379999999999</v>
      </c>
      <c r="T3126">
        <v>-1.7409210000000001E-2</v>
      </c>
      <c r="U3126">
        <v>-2.8193969999999999</v>
      </c>
      <c r="V3126">
        <v>-0.1273946</v>
      </c>
      <c r="W3126">
        <v>0.17364749999999901</v>
      </c>
      <c r="X3126">
        <v>0.97653319999999999</v>
      </c>
      <c r="Y3126">
        <v>-0.38271840000000001</v>
      </c>
      <c r="Z3126">
        <v>-8.6335289999999992E-3</v>
      </c>
      <c r="AA3126">
        <v>0.92382470000000005</v>
      </c>
      <c r="AB3126">
        <v>23</v>
      </c>
      <c r="AC3126">
        <v>-28.037099999999999</v>
      </c>
      <c r="AD3126">
        <v>-0.34524589999999999</v>
      </c>
      <c r="AE3126">
        <v>-55.831599999999902</v>
      </c>
      <c r="AF3126">
        <v>-23.946644157658898</v>
      </c>
      <c r="AG3126">
        <v>-0.34524589999999999</v>
      </c>
      <c r="AH3126">
        <v>57.702395011062997</v>
      </c>
      <c r="AI3126">
        <v>90.316626318874597</v>
      </c>
      <c r="AJ3126">
        <v>112.538577293964</v>
      </c>
      <c r="AK3126">
        <v>62.475013814786401</v>
      </c>
      <c r="AL3126">
        <v>80.000039068122703</v>
      </c>
      <c r="AM3126">
        <v>97.432602425064502</v>
      </c>
      <c r="AN3126">
        <v>0.999999964533824</v>
      </c>
    </row>
    <row r="3127" spans="1:40" x14ac:dyDescent="0.25">
      <c r="A3127" t="str">
        <f>"20190303170316772"</f>
        <v>20190303170316772</v>
      </c>
      <c r="B3127" t="str">
        <f>"1551603796759034"</f>
        <v>1551603796759034</v>
      </c>
      <c r="C3127" t="s">
        <v>40</v>
      </c>
      <c r="D3127">
        <v>4.7281899999999997</v>
      </c>
      <c r="E3127">
        <v>0.39195020000000003</v>
      </c>
      <c r="F3127" t="s">
        <v>66</v>
      </c>
      <c r="G3127">
        <v>-511.959</v>
      </c>
      <c r="H3127">
        <v>0.98783390000000004</v>
      </c>
      <c r="I3127">
        <v>220.44919999999999</v>
      </c>
      <c r="J3127">
        <v>-484.00729999999999</v>
      </c>
      <c r="K3127">
        <v>1.12609</v>
      </c>
      <c r="L3127">
        <v>277.83580000000001</v>
      </c>
      <c r="M3127">
        <v>-0.75453630000000005</v>
      </c>
      <c r="N3127">
        <v>-1.4183080000000001E-2</v>
      </c>
      <c r="O3127">
        <v>-0.65610539999999995</v>
      </c>
      <c r="P3127">
        <v>-0.6562403</v>
      </c>
      <c r="Q3127">
        <v>0.16028899999999999</v>
      </c>
      <c r="R3127">
        <v>-0.73733040000000005</v>
      </c>
      <c r="S3127">
        <v>-1.3863219999999901</v>
      </c>
      <c r="T3127">
        <v>-6.8331959999999997E-3</v>
      </c>
      <c r="U3127">
        <v>-2.841431</v>
      </c>
      <c r="V3127">
        <v>-0.12762809999999999</v>
      </c>
      <c r="W3127">
        <v>0.17281769999999999</v>
      </c>
      <c r="X3127">
        <v>0.97664989999999996</v>
      </c>
      <c r="Y3127">
        <v>-0.39045970000000002</v>
      </c>
      <c r="Z3127">
        <v>-1.0395990000000001E-2</v>
      </c>
      <c r="AA3127">
        <v>0.92056130000000003</v>
      </c>
      <c r="AB3127">
        <v>23</v>
      </c>
      <c r="AC3127">
        <v>-27.951699999999999</v>
      </c>
      <c r="AD3127">
        <v>-0.13825609999999999</v>
      </c>
      <c r="AE3127">
        <v>-57.386600000000001</v>
      </c>
      <c r="AF3127">
        <v>-24.9633993297731</v>
      </c>
      <c r="AG3127">
        <v>-0.13825609999999999</v>
      </c>
      <c r="AH3127">
        <v>58.747849808507198</v>
      </c>
      <c r="AI3127">
        <v>90.124099518942202</v>
      </c>
      <c r="AJ3127">
        <v>113.02182675397199</v>
      </c>
      <c r="AK3127">
        <v>63.831812428990503</v>
      </c>
      <c r="AL3127">
        <v>80.048312902069597</v>
      </c>
      <c r="AM3127">
        <v>97.445193066659201</v>
      </c>
      <c r="AN3127">
        <v>0.99999995825645405</v>
      </c>
    </row>
    <row r="3128" spans="1:40" x14ac:dyDescent="0.25">
      <c r="A3128" t="str">
        <f>"20190303170316784"</f>
        <v>20190303170316784</v>
      </c>
      <c r="B3128" t="str">
        <f>"1551603796778553"</f>
        <v>1551603796778553</v>
      </c>
      <c r="C3128" t="s">
        <v>40</v>
      </c>
      <c r="D3128">
        <v>4.717581</v>
      </c>
      <c r="E3128">
        <v>0.38894050000000002</v>
      </c>
      <c r="F3128" t="s">
        <v>66</v>
      </c>
      <c r="G3128">
        <v>-511.959</v>
      </c>
      <c r="H3128">
        <v>1.1053189999999999</v>
      </c>
      <c r="I3128">
        <v>219.0378</v>
      </c>
      <c r="J3128">
        <v>-484.08760000000001</v>
      </c>
      <c r="K3128">
        <v>1.126088</v>
      </c>
      <c r="L3128">
        <v>277.76080000000002</v>
      </c>
      <c r="M3128">
        <v>-0.75224399999999902</v>
      </c>
      <c r="N3128">
        <v>-1.417906E-2</v>
      </c>
      <c r="O3128">
        <v>-0.6587324</v>
      </c>
      <c r="P3128">
        <v>-0.65361579999999997</v>
      </c>
      <c r="Q3128">
        <v>0.15978680000000001</v>
      </c>
      <c r="R3128">
        <v>-0.73976679999999995</v>
      </c>
      <c r="S3128">
        <v>-1.3592219999999999</v>
      </c>
      <c r="T3128">
        <v>-1.006961E-3</v>
      </c>
      <c r="U3128">
        <v>-2.8591920000000002</v>
      </c>
      <c r="V3128">
        <v>-0.1277691</v>
      </c>
      <c r="W3128">
        <v>0.172312299999999</v>
      </c>
      <c r="X3128">
        <v>0.97672079999999994</v>
      </c>
      <c r="Y3128">
        <v>-0.39660020000000001</v>
      </c>
      <c r="Z3128">
        <v>-1.138692E-2</v>
      </c>
      <c r="AA3128">
        <v>0.91792079999999998</v>
      </c>
      <c r="AB3128">
        <v>23</v>
      </c>
      <c r="AC3128">
        <v>-27.871399999999898</v>
      </c>
      <c r="AD3128">
        <v>-2.0768999999999999E-2</v>
      </c>
      <c r="AE3128">
        <v>-58.722999999999999</v>
      </c>
      <c r="AF3128">
        <v>-25.8168169863206</v>
      </c>
      <c r="AG3128">
        <v>-2.0768999999999999E-2</v>
      </c>
      <c r="AH3128">
        <v>59.654813426514302</v>
      </c>
      <c r="AI3128">
        <v>90.018306879439706</v>
      </c>
      <c r="AJ3128">
        <v>113.40151600172101</v>
      </c>
      <c r="AK3128">
        <v>65.001578716280093</v>
      </c>
      <c r="AL3128">
        <v>80.077711602601397</v>
      </c>
      <c r="AM3128">
        <v>97.452790928268101</v>
      </c>
      <c r="AN3128">
        <v>0.99999999639936898</v>
      </c>
    </row>
    <row r="3129" spans="1:40" x14ac:dyDescent="0.25">
      <c r="A3129" t="str">
        <f>"20190303170316796"</f>
        <v>20190303170316796</v>
      </c>
      <c r="B3129" t="str">
        <f>"1551603796788313"</f>
        <v>1551603796788313</v>
      </c>
      <c r="C3129" t="s">
        <v>40</v>
      </c>
      <c r="D3129">
        <v>4.7061010000000003</v>
      </c>
      <c r="E3129">
        <v>0.38816529999999999</v>
      </c>
      <c r="F3129" t="s">
        <v>74</v>
      </c>
      <c r="G3129">
        <v>-515.78210000000001</v>
      </c>
      <c r="H3129">
        <v>1.2456579999999999</v>
      </c>
      <c r="I3129">
        <v>209.2</v>
      </c>
      <c r="J3129">
        <v>-484.17099999999999</v>
      </c>
      <c r="K3129">
        <v>1.1260889999999999</v>
      </c>
      <c r="L3129">
        <v>277.68259999999998</v>
      </c>
      <c r="M3129">
        <v>-0.74984689999999998</v>
      </c>
      <c r="N3129">
        <v>-1.4175E-2</v>
      </c>
      <c r="O3129">
        <v>-0.66145949999999998</v>
      </c>
      <c r="P3129">
        <v>-0.65083550000000001</v>
      </c>
      <c r="Q3129">
        <v>0.15931519999999999</v>
      </c>
      <c r="R3129">
        <v>-0.74231530000000001</v>
      </c>
      <c r="S3129">
        <v>-1.330719</v>
      </c>
      <c r="T3129">
        <v>5.0227639999999999E-3</v>
      </c>
      <c r="U3129">
        <v>-2.878571</v>
      </c>
      <c r="V3129">
        <v>-0.12795689999999901</v>
      </c>
      <c r="W3129">
        <v>0.17183599999999999</v>
      </c>
      <c r="X3129">
        <v>0.97678010000000004</v>
      </c>
      <c r="Y3129">
        <v>-0.40312930000000002</v>
      </c>
      <c r="Z3129">
        <v>-1.2412360000000001E-2</v>
      </c>
      <c r="AA3129">
        <v>0.91505890000000001</v>
      </c>
      <c r="AB3129">
        <v>23</v>
      </c>
      <c r="AC3129">
        <v>-31.6111</v>
      </c>
      <c r="AD3129">
        <v>0.11956899999999999</v>
      </c>
      <c r="AE3129">
        <v>-68.482599999999906</v>
      </c>
      <c r="AF3129">
        <v>-30.444985624467801</v>
      </c>
      <c r="AG3129">
        <v>0.11956899999999999</v>
      </c>
      <c r="AH3129">
        <v>69.008712514523793</v>
      </c>
      <c r="AI3129">
        <v>89.9091721364248</v>
      </c>
      <c r="AJ3129">
        <v>113.805919469803</v>
      </c>
      <c r="AK3129">
        <v>75.426214602961593</v>
      </c>
      <c r="AL3129">
        <v>80.105414554425707</v>
      </c>
      <c r="AM3129">
        <v>97.4631739107367</v>
      </c>
      <c r="AN3129">
        <v>0.99999997145480901</v>
      </c>
    </row>
    <row r="3130" spans="1:40" x14ac:dyDescent="0.25">
      <c r="A3130" t="str">
        <f>"20190303170316805"</f>
        <v>20190303170316805</v>
      </c>
      <c r="B3130" t="str">
        <f>"1551603796798072"</f>
        <v>1551603796798072</v>
      </c>
      <c r="C3130" t="s">
        <v>40</v>
      </c>
      <c r="D3130">
        <v>4.6934610000000001</v>
      </c>
      <c r="E3130">
        <v>0.38760810000000001</v>
      </c>
      <c r="F3130" t="s">
        <v>74</v>
      </c>
      <c r="G3130">
        <v>-514.80330000000004</v>
      </c>
      <c r="H3130">
        <v>1.255028</v>
      </c>
      <c r="I3130">
        <v>210.4254</v>
      </c>
      <c r="J3130">
        <v>-484.24740000000003</v>
      </c>
      <c r="K3130">
        <v>1.1260859999999999</v>
      </c>
      <c r="L3130">
        <v>277.61020000000002</v>
      </c>
      <c r="M3130">
        <v>-0.74763299999999999</v>
      </c>
      <c r="N3130">
        <v>-1.417151E-2</v>
      </c>
      <c r="O3130">
        <v>-0.66396080000000002</v>
      </c>
      <c r="P3130">
        <v>-0.64826260000000002</v>
      </c>
      <c r="Q3130">
        <v>0.1593512</v>
      </c>
      <c r="R3130">
        <v>-0.74455559999999998</v>
      </c>
      <c r="S3130">
        <v>-1.315002</v>
      </c>
      <c r="T3130">
        <v>5.5377480000000003E-3</v>
      </c>
      <c r="U3130">
        <v>-2.887238</v>
      </c>
      <c r="V3130">
        <v>-0.1280684</v>
      </c>
      <c r="W3130">
        <v>0.1718684</v>
      </c>
      <c r="X3130">
        <v>0.97675979999999996</v>
      </c>
      <c r="Y3130">
        <v>-0.40523559999999997</v>
      </c>
      <c r="Z3130">
        <v>-1.253612E-2</v>
      </c>
      <c r="AA3130">
        <v>0.91412629999999995</v>
      </c>
      <c r="AB3130">
        <v>23</v>
      </c>
      <c r="AC3130">
        <v>-30.555900000000001</v>
      </c>
      <c r="AD3130">
        <v>0.128941999999999</v>
      </c>
      <c r="AE3130">
        <v>-67.184799999999996</v>
      </c>
      <c r="AF3130">
        <v>-29.944571268375299</v>
      </c>
      <c r="AG3130">
        <v>0.128941999999999</v>
      </c>
      <c r="AH3130">
        <v>67.459245292818807</v>
      </c>
      <c r="AI3130">
        <v>89.899903042213694</v>
      </c>
      <c r="AJ3130">
        <v>113.936017802462</v>
      </c>
      <c r="AK3130">
        <v>73.806800160709201</v>
      </c>
      <c r="AL3130">
        <v>80.103530266008903</v>
      </c>
      <c r="AM3130">
        <v>97.469757306430296</v>
      </c>
      <c r="AN3130">
        <v>0.999999984446579</v>
      </c>
    </row>
    <row r="3131" spans="1:40" x14ac:dyDescent="0.25">
      <c r="A3131" t="str">
        <f>"20190303170316818"</f>
        <v>20190303170316818</v>
      </c>
      <c r="B3131" t="str">
        <f>"1551603796808809"</f>
        <v>1551603796808809</v>
      </c>
      <c r="C3131" t="s">
        <v>40</v>
      </c>
      <c r="D3131">
        <v>4.7513339999999999</v>
      </c>
      <c r="E3131">
        <v>0.3872255</v>
      </c>
      <c r="F3131" t="s">
        <v>74</v>
      </c>
      <c r="G3131">
        <v>-514.45699999999999</v>
      </c>
      <c r="H3131">
        <v>1.277782</v>
      </c>
      <c r="I3131">
        <v>210.4254</v>
      </c>
      <c r="J3131">
        <v>-484.33249999999998</v>
      </c>
      <c r="K3131">
        <v>1.1260840000000001</v>
      </c>
      <c r="L3131">
        <v>277.5292</v>
      </c>
      <c r="M3131">
        <v>-0.74514910000000001</v>
      </c>
      <c r="N3131">
        <v>-1.416771E-2</v>
      </c>
      <c r="O3131">
        <v>-0.66674750000000005</v>
      </c>
      <c r="P3131">
        <v>-0.64529910000000001</v>
      </c>
      <c r="Q3131">
        <v>0.15939589999999901</v>
      </c>
      <c r="R3131">
        <v>-0.74711619999999901</v>
      </c>
      <c r="S3131">
        <v>-1.3015749999999999</v>
      </c>
      <c r="T3131">
        <v>6.5383910000000002E-3</v>
      </c>
      <c r="U3131">
        <v>-2.8946230000000002</v>
      </c>
      <c r="V3131">
        <v>-0.1282953</v>
      </c>
      <c r="W3131">
        <v>0.1719069</v>
      </c>
      <c r="X3131">
        <v>0.97672329999999996</v>
      </c>
      <c r="Y3131">
        <v>-0.40622589999999997</v>
      </c>
      <c r="Z3131">
        <v>-1.273605E-2</v>
      </c>
      <c r="AA3131">
        <v>0.91368400000000005</v>
      </c>
      <c r="AB3131">
        <v>23</v>
      </c>
      <c r="AC3131">
        <v>-30.124500000000001</v>
      </c>
      <c r="AD3131">
        <v>0.151697999999999</v>
      </c>
      <c r="AE3131">
        <v>-67.103800000000007</v>
      </c>
      <c r="AF3131">
        <v>-29.919774821186</v>
      </c>
      <c r="AG3131">
        <v>0.151697999999999</v>
      </c>
      <c r="AH3131">
        <v>67.194988838951005</v>
      </c>
      <c r="AI3131">
        <v>89.881835012876493</v>
      </c>
      <c r="AJ3131">
        <v>114.00187741723801</v>
      </c>
      <c r="AK3131">
        <v>73.555302070621806</v>
      </c>
      <c r="AL3131">
        <v>80.101291561856897</v>
      </c>
      <c r="AM3131">
        <v>97.483118166889298</v>
      </c>
      <c r="AN3131">
        <v>1.0000000355162899</v>
      </c>
    </row>
    <row r="3132" spans="1:40" x14ac:dyDescent="0.25">
      <c r="A3132" t="str">
        <f>"20190303170316829"</f>
        <v>20190303170316829</v>
      </c>
      <c r="B3132" t="str">
        <f>"1551603796818569"</f>
        <v>1551603796818569</v>
      </c>
      <c r="C3132" t="s">
        <v>40</v>
      </c>
      <c r="D3132">
        <v>4.6912209999999996</v>
      </c>
      <c r="E3132">
        <v>0.3868973</v>
      </c>
      <c r="F3132" t="s">
        <v>74</v>
      </c>
      <c r="G3132">
        <v>-514.12819999999999</v>
      </c>
      <c r="H3132">
        <v>1.3065739999999999</v>
      </c>
      <c r="I3132">
        <v>210.4254</v>
      </c>
      <c r="J3132">
        <v>-484.41500000000002</v>
      </c>
      <c r="K3132">
        <v>1.1260810000000001</v>
      </c>
      <c r="L3132">
        <v>277.44990000000001</v>
      </c>
      <c r="M3132">
        <v>-0.74271669999999901</v>
      </c>
      <c r="N3132">
        <v>-1.416427E-2</v>
      </c>
      <c r="O3132">
        <v>-0.6694561</v>
      </c>
      <c r="P3132">
        <v>-0.64267350000000001</v>
      </c>
      <c r="Q3132">
        <v>0.15958849999999999</v>
      </c>
      <c r="R3132">
        <v>-0.74933499999999997</v>
      </c>
      <c r="S3132">
        <v>-1.2881769999999999</v>
      </c>
      <c r="T3132">
        <v>7.8058240000000003E-3</v>
      </c>
      <c r="U3132">
        <v>-2.9011230000000001</v>
      </c>
      <c r="V3132">
        <v>-0.12813730000000001</v>
      </c>
      <c r="W3132">
        <v>0.17209859999999999</v>
      </c>
      <c r="X3132">
        <v>0.97671030000000003</v>
      </c>
      <c r="Y3132">
        <v>-0.4071861</v>
      </c>
      <c r="Z3132">
        <v>-1.2979849999999999E-2</v>
      </c>
      <c r="AA3132">
        <v>0.91325299999999998</v>
      </c>
      <c r="AB3132">
        <v>23</v>
      </c>
      <c r="AC3132">
        <v>-29.713199999999901</v>
      </c>
      <c r="AD3132">
        <v>0.18049299999999999</v>
      </c>
      <c r="AE3132">
        <v>-67.024500000000003</v>
      </c>
      <c r="AF3132">
        <v>-29.891347088473498</v>
      </c>
      <c r="AG3132">
        <v>0.18049299999999999</v>
      </c>
      <c r="AH3132">
        <v>66.944753856240595</v>
      </c>
      <c r="AI3132">
        <v>89.858944787609502</v>
      </c>
      <c r="AJ3132">
        <v>114.06112895822901</v>
      </c>
      <c r="AK3132">
        <v>73.315245872596506</v>
      </c>
      <c r="AL3132">
        <v>80.090141964852194</v>
      </c>
      <c r="AM3132">
        <v>97.474105060002998</v>
      </c>
      <c r="AN3132">
        <v>1.00000005294966</v>
      </c>
    </row>
    <row r="3133" spans="1:40" x14ac:dyDescent="0.25">
      <c r="A3133" t="str">
        <f>"20190303170316841"</f>
        <v>20190303170316841</v>
      </c>
      <c r="B3133" t="str">
        <f>"1551603796828329"</f>
        <v>1551603796828329</v>
      </c>
      <c r="C3133" t="s">
        <v>40</v>
      </c>
      <c r="D3133">
        <v>4.6531880000000001</v>
      </c>
      <c r="E3133">
        <v>0.3866926</v>
      </c>
      <c r="F3133" t="s">
        <v>74</v>
      </c>
      <c r="G3133">
        <v>-513.83910000000003</v>
      </c>
      <c r="H3133">
        <v>1.33863</v>
      </c>
      <c r="I3133">
        <v>210.4254</v>
      </c>
      <c r="J3133">
        <v>-484.4873</v>
      </c>
      <c r="K3133">
        <v>1.1260790000000001</v>
      </c>
      <c r="L3133">
        <v>277.38010000000003</v>
      </c>
      <c r="M3133">
        <v>-0.74057189999999995</v>
      </c>
      <c r="N3133">
        <v>-1.416131E-2</v>
      </c>
      <c r="O3133">
        <v>-0.67182810000000004</v>
      </c>
      <c r="P3133">
        <v>-0.64033329999999999</v>
      </c>
      <c r="Q3133">
        <v>0.15996109999999999</v>
      </c>
      <c r="R3133">
        <v>-0.75125620000000004</v>
      </c>
      <c r="S3133">
        <v>-1.2762150000000001</v>
      </c>
      <c r="T3133">
        <v>9.2215539999999999E-3</v>
      </c>
      <c r="U3133">
        <v>-2.9070429999999998</v>
      </c>
      <c r="V3133">
        <v>-0.12800310000000001</v>
      </c>
      <c r="W3133">
        <v>0.1724696</v>
      </c>
      <c r="X3133">
        <v>0.97666240000000004</v>
      </c>
      <c r="Y3133">
        <v>-0.40810419999999997</v>
      </c>
      <c r="Z3133">
        <v>-1.324491E-2</v>
      </c>
      <c r="AA3133">
        <v>0.91283930000000002</v>
      </c>
      <c r="AB3133">
        <v>23</v>
      </c>
      <c r="AC3133">
        <v>-29.351800000000001</v>
      </c>
      <c r="AD3133">
        <v>0.21255099999999999</v>
      </c>
      <c r="AE3133">
        <v>-66.954700000000003</v>
      </c>
      <c r="AF3133">
        <v>-29.868143831844002</v>
      </c>
      <c r="AG3133">
        <v>0.21255099999999999</v>
      </c>
      <c r="AH3133">
        <v>66.725284897561593</v>
      </c>
      <c r="AI3133">
        <v>89.833414837705504</v>
      </c>
      <c r="AJ3133">
        <v>114.114653039229</v>
      </c>
      <c r="AK3133">
        <v>73.105504844355494</v>
      </c>
      <c r="AL3133">
        <v>80.068562030733702</v>
      </c>
      <c r="AM3133">
        <v>97.466727739647098</v>
      </c>
      <c r="AN3133">
        <v>1.0000000000537601</v>
      </c>
    </row>
    <row r="3134" spans="1:40" x14ac:dyDescent="0.25">
      <c r="A3134" t="str">
        <f>"20190303170316851"</f>
        <v>20190303170316851</v>
      </c>
      <c r="B3134" t="str">
        <f>"1551603796839064"</f>
        <v>1551603796839064</v>
      </c>
      <c r="C3134" t="s">
        <v>40</v>
      </c>
      <c r="D3134">
        <v>4.6545160000000001</v>
      </c>
      <c r="E3134">
        <v>0.38630959999999998</v>
      </c>
      <c r="F3134" t="s">
        <v>74</v>
      </c>
      <c r="G3134">
        <v>-513.60580000000004</v>
      </c>
      <c r="H3134">
        <v>1.3820650000000001</v>
      </c>
      <c r="I3134">
        <v>210.4254</v>
      </c>
      <c r="J3134">
        <v>-484.57139999999998</v>
      </c>
      <c r="K3134">
        <v>1.1260779999999999</v>
      </c>
      <c r="L3134">
        <v>277.29829999999998</v>
      </c>
      <c r="M3134">
        <v>-0.73805859999999901</v>
      </c>
      <c r="N3134">
        <v>-1.4157970000000001E-2</v>
      </c>
      <c r="O3134">
        <v>-0.67458830000000003</v>
      </c>
      <c r="P3134">
        <v>-0.63754109999999997</v>
      </c>
      <c r="Q3134">
        <v>0.15986649999999999</v>
      </c>
      <c r="R3134">
        <v>-0.75364730000000002</v>
      </c>
      <c r="S3134">
        <v>-1.2662960000000001</v>
      </c>
      <c r="T3134">
        <v>1.113486E-2</v>
      </c>
      <c r="U3134">
        <v>-2.9116819999999999</v>
      </c>
      <c r="V3134">
        <v>-0.1279941</v>
      </c>
      <c r="W3134">
        <v>0.1723729</v>
      </c>
      <c r="X3134">
        <v>0.97668060000000001</v>
      </c>
      <c r="Y3134">
        <v>-0.40784740000000003</v>
      </c>
      <c r="Z3134">
        <v>-1.359349E-2</v>
      </c>
      <c r="AA3134">
        <v>0.91294900000000001</v>
      </c>
      <c r="AB3134">
        <v>23</v>
      </c>
      <c r="AC3134">
        <v>-29.034400000000002</v>
      </c>
      <c r="AD3134">
        <v>0.25598699999999902</v>
      </c>
      <c r="AE3134">
        <v>-66.872899999999902</v>
      </c>
      <c r="AF3134">
        <v>-29.772464689119101</v>
      </c>
      <c r="AG3134">
        <v>0.25598699999999902</v>
      </c>
      <c r="AH3134">
        <v>66.546603428278303</v>
      </c>
      <c r="AI3134">
        <v>89.798816087892206</v>
      </c>
      <c r="AJ3134">
        <v>114.103393666927</v>
      </c>
      <c r="AK3134">
        <v>72.903467755996004</v>
      </c>
      <c r="AL3134">
        <v>80.074186274337904</v>
      </c>
      <c r="AM3134">
        <v>97.466071111474207</v>
      </c>
      <c r="AN3134">
        <v>0.99999995035278799</v>
      </c>
    </row>
    <row r="3135" spans="1:40" x14ac:dyDescent="0.25">
      <c r="A3135" t="str">
        <f>"20190303170316863"</f>
        <v>20190303170316863</v>
      </c>
      <c r="B3135" t="str">
        <f>"1551603796858585"</f>
        <v>1551603796858585</v>
      </c>
      <c r="C3135" t="s">
        <v>40</v>
      </c>
      <c r="D3135">
        <v>4.6437970000000002</v>
      </c>
      <c r="E3135">
        <v>0.38601740000000001</v>
      </c>
      <c r="F3135" t="s">
        <v>74</v>
      </c>
      <c r="G3135">
        <v>-513.29190000000006</v>
      </c>
      <c r="H3135">
        <v>1.4110879999999999</v>
      </c>
      <c r="I3135">
        <v>210.4254</v>
      </c>
      <c r="J3135">
        <v>-484.65339999999998</v>
      </c>
      <c r="K3135">
        <v>1.1260730000000001</v>
      </c>
      <c r="L3135">
        <v>277.21769999999998</v>
      </c>
      <c r="M3135">
        <v>-0.73558299999999999</v>
      </c>
      <c r="N3135">
        <v>-1.415481E-2</v>
      </c>
      <c r="O3135">
        <v>-0.67728679999999997</v>
      </c>
      <c r="P3135">
        <v>-0.63456820000000003</v>
      </c>
      <c r="Q3135">
        <v>0.159669899999999</v>
      </c>
      <c r="R3135">
        <v>-0.75619409999999998</v>
      </c>
      <c r="S3135">
        <v>-1.253174</v>
      </c>
      <c r="T3135">
        <v>1.243854E-2</v>
      </c>
      <c r="U3135">
        <v>-2.9178769999999998</v>
      </c>
      <c r="V3135">
        <v>-0.12829160000000001</v>
      </c>
      <c r="W3135">
        <v>0.17217089999999999</v>
      </c>
      <c r="X3135">
        <v>0.97667720000000002</v>
      </c>
      <c r="Y3135">
        <v>-0.40867609999999999</v>
      </c>
      <c r="Z3135">
        <v>-1.384984E-2</v>
      </c>
      <c r="AA3135">
        <v>0.91257440000000001</v>
      </c>
      <c r="AB3135">
        <v>23</v>
      </c>
      <c r="AC3135">
        <v>-28.638500000000001</v>
      </c>
      <c r="AD3135">
        <v>0.28501500000000002</v>
      </c>
      <c r="AE3135">
        <v>-66.792299999999898</v>
      </c>
      <c r="AF3135">
        <v>-29.737322500632899</v>
      </c>
      <c r="AG3135">
        <v>0.28501500000000002</v>
      </c>
      <c r="AH3135">
        <v>66.309156295953699</v>
      </c>
      <c r="AI3135">
        <v>89.775290569504904</v>
      </c>
      <c r="AJ3135">
        <v>114.154555289576</v>
      </c>
      <c r="AK3135">
        <v>72.672510564436195</v>
      </c>
      <c r="AL3135">
        <v>80.085935711387705</v>
      </c>
      <c r="AM3135">
        <v>97.483253998212703</v>
      </c>
      <c r="AN3135">
        <v>0.99999995321860302</v>
      </c>
    </row>
    <row r="3136" spans="1:40" x14ac:dyDescent="0.25">
      <c r="A3136" t="str">
        <f>"20190303170316874"</f>
        <v>20190303170316874</v>
      </c>
      <c r="B3136" t="str">
        <f>"1551603796868345"</f>
        <v>1551603796868345</v>
      </c>
      <c r="C3136" t="s">
        <v>40</v>
      </c>
      <c r="D3136">
        <v>4.6265020000000003</v>
      </c>
      <c r="E3136">
        <v>0.38588549999999999</v>
      </c>
      <c r="F3136" t="s">
        <v>74</v>
      </c>
      <c r="G3136">
        <v>-512.96429999999998</v>
      </c>
      <c r="H3136">
        <v>1.4142129999999999</v>
      </c>
      <c r="I3136">
        <v>210.4254</v>
      </c>
      <c r="J3136">
        <v>-484.73520000000002</v>
      </c>
      <c r="K3136">
        <v>1.1260680000000001</v>
      </c>
      <c r="L3136">
        <v>277.13709999999998</v>
      </c>
      <c r="M3136">
        <v>-0.73309950000000002</v>
      </c>
      <c r="N3136">
        <v>-1.415172E-2</v>
      </c>
      <c r="O3136">
        <v>-0.67997439999999998</v>
      </c>
      <c r="P3136">
        <v>-0.63156840000000003</v>
      </c>
      <c r="Q3136">
        <v>0.15962689999999999</v>
      </c>
      <c r="R3136">
        <v>-0.75871</v>
      </c>
      <c r="S3136">
        <v>-1.2395320000000001</v>
      </c>
      <c r="T3136">
        <v>1.261818E-2</v>
      </c>
      <c r="U3136">
        <v>-2.924347</v>
      </c>
      <c r="V3136">
        <v>-0.12859080000000001</v>
      </c>
      <c r="W3136">
        <v>0.1721221</v>
      </c>
      <c r="X3136">
        <v>0.97664649999999997</v>
      </c>
      <c r="Y3136">
        <v>-0.40967100000000001</v>
      </c>
      <c r="Z3136">
        <v>-1.392386E-2</v>
      </c>
      <c r="AA3136">
        <v>0.91212709999999997</v>
      </c>
      <c r="AB3136">
        <v>23</v>
      </c>
      <c r="AC3136">
        <v>-28.229099999999899</v>
      </c>
      <c r="AD3136">
        <v>0.28814499999999899</v>
      </c>
      <c r="AE3136">
        <v>-66.711699999999894</v>
      </c>
      <c r="AF3136">
        <v>-29.713749080051901</v>
      </c>
      <c r="AG3136">
        <v>0.28814499999999899</v>
      </c>
      <c r="AH3136">
        <v>66.062546637007202</v>
      </c>
      <c r="AI3136">
        <v>89.772087057391403</v>
      </c>
      <c r="AJ3136">
        <v>114.21736078812501</v>
      </c>
      <c r="AK3136">
        <v>72.437904304998099</v>
      </c>
      <c r="AL3136">
        <v>80.088774573034996</v>
      </c>
      <c r="AM3136">
        <v>97.500740954370002</v>
      </c>
      <c r="AN3136">
        <v>0.99999999855764898</v>
      </c>
    </row>
    <row r="3137" spans="1:40" x14ac:dyDescent="0.25">
      <c r="A3137" t="str">
        <f>"20190303170316885"</f>
        <v>20190303170316885</v>
      </c>
      <c r="B3137" t="str">
        <f>"1551603796878104"</f>
        <v>1551603796878104</v>
      </c>
      <c r="C3137" t="s">
        <v>40</v>
      </c>
      <c r="D3137">
        <v>4.6371520000000004</v>
      </c>
      <c r="E3137">
        <v>0.3858663</v>
      </c>
      <c r="F3137" t="s">
        <v>74</v>
      </c>
      <c r="G3137">
        <v>-512.67859999999996</v>
      </c>
      <c r="H3137">
        <v>1.4031940000000001</v>
      </c>
      <c r="I3137">
        <v>210.4254</v>
      </c>
      <c r="J3137">
        <v>-484.81610000000001</v>
      </c>
      <c r="K3137">
        <v>1.126061</v>
      </c>
      <c r="L3137">
        <v>277.0564</v>
      </c>
      <c r="M3137">
        <v>-0.73061980000000004</v>
      </c>
      <c r="N3137">
        <v>-1.4148880000000001E-2</v>
      </c>
      <c r="O3137">
        <v>-0.68263819999999997</v>
      </c>
      <c r="P3137">
        <v>-0.62847819999999899</v>
      </c>
      <c r="Q3137">
        <v>0.1591766</v>
      </c>
      <c r="R3137">
        <v>-0.76136610000000005</v>
      </c>
      <c r="S3137">
        <v>-1.2272639999999999</v>
      </c>
      <c r="T3137">
        <v>1.217389E-2</v>
      </c>
      <c r="U3137">
        <v>-2.929932</v>
      </c>
      <c r="V3137">
        <v>-0.12907069999999901</v>
      </c>
      <c r="W3137">
        <v>0.17166500000000001</v>
      </c>
      <c r="X3137">
        <v>0.97666359999999997</v>
      </c>
      <c r="Y3137">
        <v>-0.4102189</v>
      </c>
      <c r="Z3137">
        <v>-1.38929E-2</v>
      </c>
      <c r="AA3137">
        <v>0.91188130000000001</v>
      </c>
      <c r="AB3137">
        <v>23</v>
      </c>
      <c r="AC3137">
        <v>-27.862499999999901</v>
      </c>
      <c r="AD3137">
        <v>0.27713300000000002</v>
      </c>
      <c r="AE3137">
        <v>-66.631</v>
      </c>
      <c r="AF3137">
        <v>-29.664447861515601</v>
      </c>
      <c r="AG3137">
        <v>0.27713300000000002</v>
      </c>
      <c r="AH3137">
        <v>65.847368955142002</v>
      </c>
      <c r="AI3137">
        <v>89.780140128545995</v>
      </c>
      <c r="AJ3137">
        <v>114.251715027695</v>
      </c>
      <c r="AK3137">
        <v>72.221411423087403</v>
      </c>
      <c r="AL3137">
        <v>80.115359729022401</v>
      </c>
      <c r="AM3137">
        <v>97.528282873356702</v>
      </c>
      <c r="AN3137">
        <v>0.99999995269422304</v>
      </c>
    </row>
    <row r="3138" spans="1:40" x14ac:dyDescent="0.25">
      <c r="A3138" t="str">
        <f>"20190303170316898"</f>
        <v>20190303170316898</v>
      </c>
      <c r="B3138" t="str">
        <f>"1551603796888840"</f>
        <v>1551603796888840</v>
      </c>
      <c r="C3138" t="s">
        <v>40</v>
      </c>
      <c r="D3138">
        <v>4.6334999999999997</v>
      </c>
      <c r="E3138">
        <v>0.38588689999999998</v>
      </c>
      <c r="F3138" t="s">
        <v>74</v>
      </c>
      <c r="G3138">
        <v>-512.4067</v>
      </c>
      <c r="H3138">
        <v>1.3582970000000001</v>
      </c>
      <c r="I3138">
        <v>210.4254</v>
      </c>
      <c r="J3138">
        <v>-484.90370000000001</v>
      </c>
      <c r="K3138">
        <v>1.1260540000000001</v>
      </c>
      <c r="L3138">
        <v>276.96870000000001</v>
      </c>
      <c r="M3138">
        <v>-0.72791759999999905</v>
      </c>
      <c r="N3138">
        <v>-1.414588E-2</v>
      </c>
      <c r="O3138">
        <v>-0.68551890000000004</v>
      </c>
      <c r="P3138">
        <v>-0.6250348</v>
      </c>
      <c r="Q3138">
        <v>0.15881500000000001</v>
      </c>
      <c r="R3138">
        <v>-0.76427069999999997</v>
      </c>
      <c r="S3138">
        <v>-1.2153320000000001</v>
      </c>
      <c r="T3138">
        <v>1.023233E-2</v>
      </c>
      <c r="U3138">
        <v>-2.9349980000000002</v>
      </c>
      <c r="V3138">
        <v>-0.12967190000000001</v>
      </c>
      <c r="W3138">
        <v>0.17129529999999901</v>
      </c>
      <c r="X3138">
        <v>0.97664890000000004</v>
      </c>
      <c r="Y3138">
        <v>-0.410333</v>
      </c>
      <c r="Z3138">
        <v>-1.3613170000000001E-2</v>
      </c>
      <c r="AA3138">
        <v>0.91183420000000004</v>
      </c>
      <c r="AB3138">
        <v>23</v>
      </c>
      <c r="AC3138">
        <v>-27.502999999999901</v>
      </c>
      <c r="AD3138">
        <v>0.23224299999999901</v>
      </c>
      <c r="AE3138">
        <v>-66.543300000000002</v>
      </c>
      <c r="AF3138">
        <v>-29.5868610998604</v>
      </c>
      <c r="AG3138">
        <v>0.23224299999999901</v>
      </c>
      <c r="AH3138">
        <v>65.642482907099605</v>
      </c>
      <c r="AI3138">
        <v>89.815193200283304</v>
      </c>
      <c r="AJ3138">
        <v>114.262391167096</v>
      </c>
      <c r="AK3138">
        <v>72.0025822367666</v>
      </c>
      <c r="AL3138">
        <v>80.136860706523507</v>
      </c>
      <c r="AM3138">
        <v>97.563056494141307</v>
      </c>
      <c r="AN3138">
        <v>0.99999997766145399</v>
      </c>
    </row>
    <row r="3139" spans="1:40" x14ac:dyDescent="0.25">
      <c r="A3139" t="str">
        <f>"20190303170316911"</f>
        <v>20190303170316911</v>
      </c>
      <c r="B3139" t="str">
        <f>"1551603796898600"</f>
        <v>1551603796898600</v>
      </c>
      <c r="C3139" t="s">
        <v>40</v>
      </c>
      <c r="D3139">
        <v>4.5984379999999998</v>
      </c>
      <c r="E3139">
        <v>0.38596390000000003</v>
      </c>
      <c r="F3139" t="s">
        <v>74</v>
      </c>
      <c r="G3139">
        <v>-512.11620000000005</v>
      </c>
      <c r="H3139">
        <v>1.3213440000000001</v>
      </c>
      <c r="I3139">
        <v>210.4254</v>
      </c>
      <c r="J3139">
        <v>-484.995</v>
      </c>
      <c r="K3139">
        <v>1.1260479999999999</v>
      </c>
      <c r="L3139">
        <v>276.87630000000001</v>
      </c>
      <c r="M3139">
        <v>-0.72507159999999904</v>
      </c>
      <c r="N3139">
        <v>-1.414285E-2</v>
      </c>
      <c r="O3139">
        <v>-0.68852840000000004</v>
      </c>
      <c r="P3139">
        <v>-0.62157450000000003</v>
      </c>
      <c r="Q3139">
        <v>0.15856039999999999</v>
      </c>
      <c r="R3139">
        <v>-0.76714019999999905</v>
      </c>
      <c r="S3139">
        <v>-1.202393</v>
      </c>
      <c r="T3139">
        <v>8.6315869999999996E-3</v>
      </c>
      <c r="U3139">
        <v>-2.9402159999999999</v>
      </c>
      <c r="V3139">
        <v>-0.1300742</v>
      </c>
      <c r="W3139">
        <v>0.17103499999999999</v>
      </c>
      <c r="X3139">
        <v>0.97664110000000004</v>
      </c>
      <c r="Y3139">
        <v>-0.41055649999999999</v>
      </c>
      <c r="Z3139">
        <v>-1.3388819999999999E-2</v>
      </c>
      <c r="AA3139">
        <v>0.91173680000000001</v>
      </c>
      <c r="AB3139">
        <v>23</v>
      </c>
      <c r="AC3139">
        <v>-27.121200000000002</v>
      </c>
      <c r="AD3139">
        <v>0.195296</v>
      </c>
      <c r="AE3139">
        <v>-66.450900000000004</v>
      </c>
      <c r="AF3139">
        <v>-29.510673983056002</v>
      </c>
      <c r="AG3139">
        <v>0.195296</v>
      </c>
      <c r="AH3139">
        <v>65.424196144146293</v>
      </c>
      <c r="AI3139">
        <v>89.844094843868007</v>
      </c>
      <c r="AJ3139">
        <v>114.27854865835999</v>
      </c>
      <c r="AK3139">
        <v>71.772163549453893</v>
      </c>
      <c r="AL3139">
        <v>80.151998946011105</v>
      </c>
      <c r="AM3139">
        <v>97.586307489060303</v>
      </c>
      <c r="AN3139">
        <v>1.00000005346992</v>
      </c>
    </row>
    <row r="3140" spans="1:40" x14ac:dyDescent="0.25">
      <c r="A3140" t="str">
        <f>"20190303170316923"</f>
        <v>20190303170316923</v>
      </c>
      <c r="B3140" t="str">
        <f>"1551603796918121"</f>
        <v>1551603796918121</v>
      </c>
      <c r="C3140" t="s">
        <v>40</v>
      </c>
      <c r="D3140">
        <v>4.6099800000000002</v>
      </c>
      <c r="E3140">
        <v>0.38615559999999899</v>
      </c>
      <c r="F3140" t="s">
        <v>74</v>
      </c>
      <c r="G3140">
        <v>-511.83</v>
      </c>
      <c r="H3140">
        <v>1.303625</v>
      </c>
      <c r="I3140">
        <v>210.4255</v>
      </c>
      <c r="J3140">
        <v>-485.07479999999998</v>
      </c>
      <c r="K3140">
        <v>1.126045</v>
      </c>
      <c r="L3140">
        <v>276.79489999999998</v>
      </c>
      <c r="M3140">
        <v>-0.72256319999999996</v>
      </c>
      <c r="N3140">
        <v>-1.414028E-2</v>
      </c>
      <c r="O3140">
        <v>-0.69116040000000001</v>
      </c>
      <c r="P3140">
        <v>-0.61860349999999997</v>
      </c>
      <c r="Q3140">
        <v>0.15842899999999999</v>
      </c>
      <c r="R3140">
        <v>-0.7695651</v>
      </c>
      <c r="S3140">
        <v>-1.189392</v>
      </c>
      <c r="T3140">
        <v>7.8732969999999996E-3</v>
      </c>
      <c r="U3140">
        <v>-2.9452509999999998</v>
      </c>
      <c r="V3140">
        <v>-0.13031619999999999</v>
      </c>
      <c r="W3140">
        <v>0.1709002</v>
      </c>
      <c r="X3140">
        <v>0.97663239999999996</v>
      </c>
      <c r="Y3140">
        <v>-0.4112402</v>
      </c>
      <c r="Z3140">
        <v>-1.3300340000000001E-2</v>
      </c>
      <c r="AA3140">
        <v>0.91142999999999996</v>
      </c>
      <c r="AB3140">
        <v>23</v>
      </c>
      <c r="AC3140">
        <v>-26.755199999999999</v>
      </c>
      <c r="AD3140">
        <v>0.17757999999999999</v>
      </c>
      <c r="AE3140">
        <v>-66.369399999999899</v>
      </c>
      <c r="AF3140">
        <v>-29.466712611576501</v>
      </c>
      <c r="AG3140">
        <v>0.17757999999999999</v>
      </c>
      <c r="AH3140">
        <v>65.210334783196302</v>
      </c>
      <c r="AI3140">
        <v>89.857815521391203</v>
      </c>
      <c r="AJ3140">
        <v>114.316869795805</v>
      </c>
      <c r="AK3140">
        <v>71.559111574461198</v>
      </c>
      <c r="AL3140">
        <v>80.159837474199193</v>
      </c>
      <c r="AM3140">
        <v>97.600323713892905</v>
      </c>
      <c r="AN3140">
        <v>1.0000000175361199</v>
      </c>
    </row>
    <row r="3141" spans="1:40" x14ac:dyDescent="0.25">
      <c r="A3141" t="str">
        <f>"20190303170316933"</f>
        <v>20190303170316933</v>
      </c>
      <c r="B3141" t="str">
        <f>"1551603796928856"</f>
        <v>1551603796928856</v>
      </c>
      <c r="C3141" t="s">
        <v>40</v>
      </c>
      <c r="D3141">
        <v>4.6005250000000002</v>
      </c>
      <c r="E3141">
        <v>0.38638899999999998</v>
      </c>
      <c r="F3141" t="s">
        <v>74</v>
      </c>
      <c r="G3141">
        <v>-511.60680000000002</v>
      </c>
      <c r="H3141">
        <v>1.268794</v>
      </c>
      <c r="I3141">
        <v>210.4254</v>
      </c>
      <c r="J3141">
        <v>-485.15449999999998</v>
      </c>
      <c r="K3141">
        <v>1.1260410000000001</v>
      </c>
      <c r="L3141">
        <v>276.7133</v>
      </c>
      <c r="M3141">
        <v>-0.72004569999999901</v>
      </c>
      <c r="N3141">
        <v>-1.4137769999999999E-2</v>
      </c>
      <c r="O3141">
        <v>-0.69378289999999998</v>
      </c>
      <c r="P3141">
        <v>-0.61551</v>
      </c>
      <c r="Q3141">
        <v>0.1584352</v>
      </c>
      <c r="R3141">
        <v>-0.77204019999999995</v>
      </c>
      <c r="S3141">
        <v>-1.1790160000000001</v>
      </c>
      <c r="T3141">
        <v>6.3461069999999897E-3</v>
      </c>
      <c r="U3141">
        <v>-2.9492799999999999</v>
      </c>
      <c r="V3141">
        <v>-0.13068270000000001</v>
      </c>
      <c r="W3141">
        <v>0.17090069999999999</v>
      </c>
      <c r="X3141">
        <v>0.97658330000000004</v>
      </c>
      <c r="Y3141">
        <v>-0.4111165</v>
      </c>
      <c r="Z3141">
        <v>-1.307584E-2</v>
      </c>
      <c r="AA3141">
        <v>0.91148899999999999</v>
      </c>
      <c r="AB3141">
        <v>23</v>
      </c>
      <c r="AC3141">
        <v>-26.452300000000001</v>
      </c>
      <c r="AD3141">
        <v>0.14275299999999899</v>
      </c>
      <c r="AE3141">
        <v>-66.287899999999993</v>
      </c>
      <c r="AF3141">
        <v>-29.380976990070199</v>
      </c>
      <c r="AG3141">
        <v>0.14275299999999899</v>
      </c>
      <c r="AH3141">
        <v>65.042503766502705</v>
      </c>
      <c r="AI3141">
        <v>89.885399194651498</v>
      </c>
      <c r="AJ3141">
        <v>114.30962907191</v>
      </c>
      <c r="AK3141">
        <v>71.370788727080495</v>
      </c>
      <c r="AL3141">
        <v>80.159808021439105</v>
      </c>
      <c r="AM3141">
        <v>97.621826565166799</v>
      </c>
      <c r="AN3141">
        <v>0.99999997958933395</v>
      </c>
    </row>
    <row r="3142" spans="1:40" x14ac:dyDescent="0.25">
      <c r="A3142" t="str">
        <f>"20190303170316944"</f>
        <v>20190303170316944</v>
      </c>
      <c r="B3142" t="str">
        <f>"1551603796938617"</f>
        <v>1551603796938617</v>
      </c>
      <c r="C3142" t="s">
        <v>40</v>
      </c>
      <c r="D3142">
        <v>4.5759829999999999</v>
      </c>
      <c r="E3142">
        <v>0.38653769999999998</v>
      </c>
      <c r="F3142" t="s">
        <v>74</v>
      </c>
      <c r="G3142">
        <v>-511.39620000000002</v>
      </c>
      <c r="H3142">
        <v>1.253876</v>
      </c>
      <c r="I3142">
        <v>210.4254</v>
      </c>
      <c r="J3142">
        <v>-485.21929999999998</v>
      </c>
      <c r="K3142">
        <v>1.126039</v>
      </c>
      <c r="L3142">
        <v>276.64620000000002</v>
      </c>
      <c r="M3142">
        <v>-0.7179778</v>
      </c>
      <c r="N3142">
        <v>-1.4135780000000001E-2</v>
      </c>
      <c r="O3142">
        <v>-0.69592259999999995</v>
      </c>
      <c r="P3142">
        <v>-0.61287959999999997</v>
      </c>
      <c r="Q3142">
        <v>0.1586979</v>
      </c>
      <c r="R3142">
        <v>-0.77407619999999999</v>
      </c>
      <c r="S3142">
        <v>-1.1689149999999999</v>
      </c>
      <c r="T3142">
        <v>5.6970120000000004E-3</v>
      </c>
      <c r="U3142">
        <v>-2.952728</v>
      </c>
      <c r="V3142">
        <v>-0.13106279999999901</v>
      </c>
      <c r="W3142">
        <v>0.17115720000000001</v>
      </c>
      <c r="X3142">
        <v>0.97648749999999995</v>
      </c>
      <c r="Y3142">
        <v>-0.41146179999999899</v>
      </c>
      <c r="Z3142">
        <v>-1.2994550000000001E-2</v>
      </c>
      <c r="AA3142">
        <v>0.91133439999999999</v>
      </c>
      <c r="AB3142">
        <v>23</v>
      </c>
      <c r="AC3142">
        <v>-26.1769</v>
      </c>
      <c r="AD3142">
        <v>0.12783699999999901</v>
      </c>
      <c r="AE3142">
        <v>-66.220799999999997</v>
      </c>
      <c r="AF3142">
        <v>-29.330801022977401</v>
      </c>
      <c r="AG3142">
        <v>0.12783699999999901</v>
      </c>
      <c r="AH3142">
        <v>64.885251584326795</v>
      </c>
      <c r="AI3142">
        <v>89.897137286192702</v>
      </c>
      <c r="AJ3142">
        <v>114.324924117682</v>
      </c>
      <c r="AK3142">
        <v>71.206798159371303</v>
      </c>
      <c r="AL3142">
        <v>80.144892492058702</v>
      </c>
      <c r="AM3142">
        <v>97.644474501102096</v>
      </c>
      <c r="AN3142">
        <v>1.00000004115596</v>
      </c>
    </row>
    <row r="3143" spans="1:40" x14ac:dyDescent="0.25">
      <c r="A3143" t="str">
        <f>"20190303170316952"</f>
        <v>20190303170316952</v>
      </c>
      <c r="B3143" t="str">
        <f>"1551603796938617"</f>
        <v>1551603796938617</v>
      </c>
      <c r="C3143" t="s">
        <v>40</v>
      </c>
      <c r="D3143">
        <v>4.5759829999999999</v>
      </c>
      <c r="E3143">
        <v>0.38653769999999998</v>
      </c>
      <c r="F3143" t="s">
        <v>74</v>
      </c>
      <c r="G3143">
        <v>-511.20420000000001</v>
      </c>
      <c r="H3143">
        <v>1.2528509999999999</v>
      </c>
      <c r="I3143">
        <v>210.4254</v>
      </c>
      <c r="J3143">
        <v>-485.28149999999999</v>
      </c>
      <c r="K3143">
        <v>1.1260380000000001</v>
      </c>
      <c r="L3143">
        <v>276.58170000000001</v>
      </c>
      <c r="M3143">
        <v>-0.71598649999999997</v>
      </c>
      <c r="N3143">
        <v>-1.41339E-2</v>
      </c>
      <c r="O3143">
        <v>-0.69797100000000001</v>
      </c>
      <c r="P3143">
        <v>-0.61048519999999995</v>
      </c>
      <c r="Q3143">
        <v>0.15897420000000001</v>
      </c>
      <c r="R3143">
        <v>-0.77590950000000003</v>
      </c>
      <c r="S3143">
        <v>-1.1599429999999999</v>
      </c>
      <c r="T3143">
        <v>5.6635139999999997E-3</v>
      </c>
      <c r="U3143">
        <v>-2.9560240000000002</v>
      </c>
      <c r="V3143">
        <v>-0.13125110000000001</v>
      </c>
      <c r="W3143">
        <v>0.1714301</v>
      </c>
      <c r="X3143">
        <v>0.97641429999999996</v>
      </c>
      <c r="Y3143">
        <v>-0.41160000000000002</v>
      </c>
      <c r="Z3143">
        <v>-1.301533E-2</v>
      </c>
      <c r="AA3143">
        <v>0.91127170000000002</v>
      </c>
      <c r="AB3143">
        <v>22</v>
      </c>
      <c r="AC3143">
        <v>-25.922699999999999</v>
      </c>
      <c r="AD3143">
        <v>0.12681300000000001</v>
      </c>
      <c r="AE3143">
        <v>-66.156300000000002</v>
      </c>
      <c r="AF3143">
        <v>-29.276556695767098</v>
      </c>
      <c r="AG3143">
        <v>0.12681300000000001</v>
      </c>
      <c r="AH3143">
        <v>64.741744416560707</v>
      </c>
      <c r="AI3143">
        <v>89.897741356815899</v>
      </c>
      <c r="AJ3143">
        <v>114.332732569608</v>
      </c>
      <c r="AK3143">
        <v>71.053686206956897</v>
      </c>
      <c r="AL3143">
        <v>80.129021575351402</v>
      </c>
      <c r="AM3143">
        <v>97.655894385349498</v>
      </c>
      <c r="AN3143">
        <v>1.00000000784085</v>
      </c>
    </row>
    <row r="3144" spans="1:40" x14ac:dyDescent="0.25">
      <c r="A3144" t="str">
        <f>"20190303170316963"</f>
        <v>20190303170316963</v>
      </c>
      <c r="B3144" t="str">
        <f>"1551603796958137"</f>
        <v>1551603796958137</v>
      </c>
      <c r="C3144" t="s">
        <v>40</v>
      </c>
      <c r="D3144">
        <v>4.5420509999999998</v>
      </c>
      <c r="E3144">
        <v>0.38693610000000001</v>
      </c>
      <c r="F3144" t="s">
        <v>74</v>
      </c>
      <c r="G3144">
        <v>-511.0591</v>
      </c>
      <c r="H3144">
        <v>1.2632080000000001</v>
      </c>
      <c r="I3144">
        <v>210.3176</v>
      </c>
      <c r="J3144">
        <v>-485.3528</v>
      </c>
      <c r="K3144">
        <v>1.1260380000000001</v>
      </c>
      <c r="L3144">
        <v>276.50700000000001</v>
      </c>
      <c r="M3144">
        <v>-0.71368330000000002</v>
      </c>
      <c r="N3144">
        <v>-1.4131690000000001E-2</v>
      </c>
      <c r="O3144">
        <v>-0.70032629999999996</v>
      </c>
      <c r="P3144">
        <v>-0.60790909999999998</v>
      </c>
      <c r="Q3144">
        <v>0.15951409999999999</v>
      </c>
      <c r="R3144">
        <v>-0.77781880000000003</v>
      </c>
      <c r="S3144">
        <v>-1.1512450000000001</v>
      </c>
      <c r="T3144">
        <v>6.1287879999999996E-3</v>
      </c>
      <c r="U3144">
        <v>-2.959381</v>
      </c>
      <c r="V3144">
        <v>-0.13119620000000001</v>
      </c>
      <c r="W3144">
        <v>0.17196900000000001</v>
      </c>
      <c r="X3144">
        <v>0.9763269</v>
      </c>
      <c r="Y3144">
        <v>-0.41127380000000002</v>
      </c>
      <c r="Z3144">
        <v>-1.3123269999999999E-2</v>
      </c>
      <c r="AA3144">
        <v>0.91141740000000004</v>
      </c>
      <c r="AB3144">
        <v>22</v>
      </c>
      <c r="AC3144">
        <v>-25.706299999999999</v>
      </c>
      <c r="AD3144">
        <v>0.13716999999999999</v>
      </c>
      <c r="AE3144">
        <v>-66.189400000000006</v>
      </c>
      <c r="AF3144">
        <v>-29.238274930065199</v>
      </c>
      <c r="AG3144">
        <v>0.13716999999999999</v>
      </c>
      <c r="AH3144">
        <v>64.706538928896194</v>
      </c>
      <c r="AI3144">
        <v>89.889315229682694</v>
      </c>
      <c r="AJ3144">
        <v>114.31629143525601</v>
      </c>
      <c r="AK3144">
        <v>71.005856917945493</v>
      </c>
      <c r="AL3144">
        <v>80.097679327878197</v>
      </c>
      <c r="AM3144">
        <v>97.653406965346505</v>
      </c>
      <c r="AN3144">
        <v>0.99999999775952397</v>
      </c>
    </row>
    <row r="3145" spans="1:40" x14ac:dyDescent="0.25">
      <c r="A3145" t="str">
        <f>"20190303170316974"</f>
        <v>20190303170316974</v>
      </c>
      <c r="B3145" t="str">
        <f>"1551603796968873"</f>
        <v>1551603796968873</v>
      </c>
      <c r="C3145" t="s">
        <v>40</v>
      </c>
      <c r="D3145">
        <v>4.5641669999999896</v>
      </c>
      <c r="E3145">
        <v>0.38717610000000002</v>
      </c>
      <c r="F3145" t="s">
        <v>74</v>
      </c>
      <c r="G3145">
        <v>-511.0591</v>
      </c>
      <c r="H3145">
        <v>1.2679450000000001</v>
      </c>
      <c r="I3145">
        <v>209.98060000000001</v>
      </c>
      <c r="J3145">
        <v>-485.43049999999999</v>
      </c>
      <c r="K3145">
        <v>1.1260349999999999</v>
      </c>
      <c r="L3145">
        <v>276.42540000000002</v>
      </c>
      <c r="M3145">
        <v>-0.71116359999999901</v>
      </c>
      <c r="N3145">
        <v>-1.4129299999999999E-2</v>
      </c>
      <c r="O3145">
        <v>-0.70288490000000003</v>
      </c>
      <c r="P3145">
        <v>-0.60466299999999995</v>
      </c>
      <c r="Q3145">
        <v>0.1600067</v>
      </c>
      <c r="R3145">
        <v>-0.7802443</v>
      </c>
      <c r="S3145">
        <v>-1.1442870000000001</v>
      </c>
      <c r="T3145">
        <v>6.3195229999999996E-3</v>
      </c>
      <c r="U3145">
        <v>-2.9613339999999999</v>
      </c>
      <c r="V3145">
        <v>-0.13169049999999999</v>
      </c>
      <c r="W3145">
        <v>0.17245369999999999</v>
      </c>
      <c r="X3145">
        <v>0.97617480000000001</v>
      </c>
      <c r="Y3145">
        <v>-0.41006530000000002</v>
      </c>
      <c r="Z3145">
        <v>-1.318298E-2</v>
      </c>
      <c r="AA3145">
        <v>0.91196080000000002</v>
      </c>
      <c r="AB3145">
        <v>22</v>
      </c>
      <c r="AC3145">
        <v>-25.628599999999999</v>
      </c>
      <c r="AD3145">
        <v>0.14190999999999901</v>
      </c>
      <c r="AE3145">
        <v>-66.444800000000001</v>
      </c>
      <c r="AF3145">
        <v>-29.241963054779202</v>
      </c>
      <c r="AG3145">
        <v>0.14190999999999901</v>
      </c>
      <c r="AH3145">
        <v>64.935382535614707</v>
      </c>
      <c r="AI3145">
        <v>89.885828307929501</v>
      </c>
      <c r="AJ3145">
        <v>114.24318250161799</v>
      </c>
      <c r="AK3145">
        <v>71.215984489381199</v>
      </c>
      <c r="AL3145">
        <v>80.0694864224767</v>
      </c>
      <c r="AM3145">
        <v>97.683081195857994</v>
      </c>
      <c r="AN3145">
        <v>0.99999995329448799</v>
      </c>
    </row>
    <row r="3146" spans="1:40" x14ac:dyDescent="0.25">
      <c r="A3146" t="str">
        <f>"20190303170316985"</f>
        <v>20190303170316985</v>
      </c>
      <c r="B3146" t="str">
        <f>"1551603796978633"</f>
        <v>1551603796978633</v>
      </c>
      <c r="C3146" t="s">
        <v>40</v>
      </c>
      <c r="D3146">
        <v>4.5791130000000004</v>
      </c>
      <c r="E3146">
        <v>0.38742349999999998</v>
      </c>
      <c r="F3146" t="s">
        <v>74</v>
      </c>
      <c r="G3146">
        <v>-511.0591</v>
      </c>
      <c r="H3146">
        <v>1.2808729999999999</v>
      </c>
      <c r="I3146">
        <v>209.39769999999999</v>
      </c>
      <c r="J3146">
        <v>-485.50409999999999</v>
      </c>
      <c r="K3146">
        <v>1.1260330000000001</v>
      </c>
      <c r="L3146">
        <v>276.34710000000001</v>
      </c>
      <c r="M3146">
        <v>-0.70874890000000001</v>
      </c>
      <c r="N3146">
        <v>-1.412715E-2</v>
      </c>
      <c r="O3146">
        <v>-0.70531949999999999</v>
      </c>
      <c r="P3146">
        <v>-0.60169340000000004</v>
      </c>
      <c r="Q3146">
        <v>0.1602759</v>
      </c>
      <c r="R3146">
        <v>-0.78248139999999999</v>
      </c>
      <c r="S3146">
        <v>-1.1336980000000001</v>
      </c>
      <c r="T3146">
        <v>6.8520309999999997E-3</v>
      </c>
      <c r="U3146">
        <v>-2.9649960000000002</v>
      </c>
      <c r="V3146">
        <v>-0.132014299999999</v>
      </c>
      <c r="W3146">
        <v>0.1727176</v>
      </c>
      <c r="X3146">
        <v>0.97608450000000002</v>
      </c>
      <c r="Y3146">
        <v>-0.41015580000000001</v>
      </c>
      <c r="Z3146">
        <v>-1.330748E-2</v>
      </c>
      <c r="AA3146">
        <v>0.91191840000000002</v>
      </c>
      <c r="AB3146">
        <v>22</v>
      </c>
      <c r="AC3146">
        <v>-25.555</v>
      </c>
      <c r="AD3146">
        <v>0.15483999999999901</v>
      </c>
      <c r="AE3146">
        <v>-66.949399999999997</v>
      </c>
      <c r="AF3146">
        <v>-29.428670581114599</v>
      </c>
      <c r="AG3146">
        <v>0.15483999999999901</v>
      </c>
      <c r="AH3146">
        <v>65.339005063383397</v>
      </c>
      <c r="AI3146">
        <v>89.876198737155804</v>
      </c>
      <c r="AJ3146">
        <v>114.24678874044</v>
      </c>
      <c r="AK3146">
        <v>71.660701993981306</v>
      </c>
      <c r="AL3146">
        <v>80.054136671726994</v>
      </c>
      <c r="AM3146">
        <v>97.702449807138194</v>
      </c>
      <c r="AN3146">
        <v>1.00000004794724</v>
      </c>
    </row>
    <row r="3147" spans="1:40" x14ac:dyDescent="0.25">
      <c r="A3147" t="str">
        <f>"20190303170316996"</f>
        <v>20190303170316996</v>
      </c>
      <c r="B3147" t="str">
        <f>"1551603796988393"</f>
        <v>1551603796988393</v>
      </c>
      <c r="C3147" t="s">
        <v>40</v>
      </c>
      <c r="D3147">
        <v>4.5554160000000001</v>
      </c>
      <c r="E3147">
        <v>0.38767469999999998</v>
      </c>
      <c r="F3147" t="s">
        <v>74</v>
      </c>
      <c r="G3147">
        <v>-511.0591</v>
      </c>
      <c r="H3147">
        <v>1.2857909999999999</v>
      </c>
      <c r="I3147">
        <v>208.8631</v>
      </c>
      <c r="J3147">
        <v>-485.57569999999998</v>
      </c>
      <c r="K3147">
        <v>1.1260289999999999</v>
      </c>
      <c r="L3147">
        <v>276.27089999999998</v>
      </c>
      <c r="M3147">
        <v>-0.70639399999999997</v>
      </c>
      <c r="N3147">
        <v>-1.412508E-2</v>
      </c>
      <c r="O3147">
        <v>-0.70767769999999997</v>
      </c>
      <c r="P3147">
        <v>-0.59875710000000004</v>
      </c>
      <c r="Q3147">
        <v>0.16057679999999999</v>
      </c>
      <c r="R3147">
        <v>-0.7846687</v>
      </c>
      <c r="S3147">
        <v>-1.124023</v>
      </c>
      <c r="T3147">
        <v>7.0295330000000001E-3</v>
      </c>
      <c r="U3147">
        <v>-2.9682309999999998</v>
      </c>
      <c r="V3147">
        <v>-0.13237689999999999</v>
      </c>
      <c r="W3147">
        <v>0.17301349999999999</v>
      </c>
      <c r="X3147">
        <v>0.97598300000000004</v>
      </c>
      <c r="Y3147">
        <v>-0.41004459999999998</v>
      </c>
      <c r="Z3147">
        <v>-1.33687999999999E-2</v>
      </c>
      <c r="AA3147">
        <v>0.91196750000000004</v>
      </c>
      <c r="AB3147">
        <v>22</v>
      </c>
      <c r="AC3147">
        <v>-25.4834</v>
      </c>
      <c r="AD3147">
        <v>0.15976199999999899</v>
      </c>
      <c r="AE3147">
        <v>-67.407799999999895</v>
      </c>
      <c r="AF3147">
        <v>-29.585241741108799</v>
      </c>
      <c r="AG3147">
        <v>0.15976199999999899</v>
      </c>
      <c r="AH3147">
        <v>65.710559274010095</v>
      </c>
      <c r="AI3147">
        <v>89.872977871686203</v>
      </c>
      <c r="AJ3147">
        <v>114.238976291057</v>
      </c>
      <c r="AK3147">
        <v>72.063788776886298</v>
      </c>
      <c r="AL3147">
        <v>80.0369238950219</v>
      </c>
      <c r="AM3147">
        <v>97.724144421358105</v>
      </c>
      <c r="AN3147">
        <v>1.0000000655624199</v>
      </c>
    </row>
    <row r="3148" spans="1:40" x14ac:dyDescent="0.25">
      <c r="A3148" t="str">
        <f>"20190303170317006"</f>
        <v>20190303170317006</v>
      </c>
      <c r="B3148" t="str">
        <f>"1551603796998153"</f>
        <v>1551603796998153</v>
      </c>
      <c r="C3148" t="s">
        <v>40</v>
      </c>
      <c r="D3148">
        <v>4.5341370000000003</v>
      </c>
      <c r="E3148">
        <v>0.38757039999999998</v>
      </c>
      <c r="F3148" t="s">
        <v>74</v>
      </c>
      <c r="G3148">
        <v>-511.0591</v>
      </c>
      <c r="H3148">
        <v>1.291245</v>
      </c>
      <c r="I3148">
        <v>208.34960000000001</v>
      </c>
      <c r="J3148">
        <v>-485.6533</v>
      </c>
      <c r="K3148">
        <v>1.126026</v>
      </c>
      <c r="L3148">
        <v>276.18720000000002</v>
      </c>
      <c r="M3148">
        <v>-0.70381300000000002</v>
      </c>
      <c r="N3148">
        <v>-1.412276E-2</v>
      </c>
      <c r="O3148">
        <v>-0.71024529999999997</v>
      </c>
      <c r="P3148">
        <v>-0.59546759999999999</v>
      </c>
      <c r="Q3148">
        <v>0.1605521</v>
      </c>
      <c r="R3148">
        <v>-0.78717369999999898</v>
      </c>
      <c r="S3148">
        <v>-1.114746</v>
      </c>
      <c r="T3148">
        <v>7.2298049999999997E-3</v>
      </c>
      <c r="U3148">
        <v>-2.97113</v>
      </c>
      <c r="V3148">
        <v>-0.13291040000000001</v>
      </c>
      <c r="W3148">
        <v>0.1729821</v>
      </c>
      <c r="X3148">
        <v>0.97591600000000001</v>
      </c>
      <c r="Y3148">
        <v>-0.4095126</v>
      </c>
      <c r="Z3148">
        <v>-1.343513E-2</v>
      </c>
      <c r="AA3148">
        <v>0.9122055</v>
      </c>
      <c r="AB3148">
        <v>22</v>
      </c>
      <c r="AC3148">
        <v>-25.405799999999999</v>
      </c>
      <c r="AD3148">
        <v>0.165219</v>
      </c>
      <c r="AE3148">
        <v>-67.837599999999995</v>
      </c>
      <c r="AF3148">
        <v>-29.7034340020505</v>
      </c>
      <c r="AG3148">
        <v>0.165219</v>
      </c>
      <c r="AH3148">
        <v>66.068495227876198</v>
      </c>
      <c r="AI3148">
        <v>89.869319055765402</v>
      </c>
      <c r="AJ3148">
        <v>114.20798998748</v>
      </c>
      <c r="AK3148">
        <v>72.438714445440297</v>
      </c>
      <c r="AL3148">
        <v>80.038749966822095</v>
      </c>
      <c r="AM3148">
        <v>97.755421832626595</v>
      </c>
      <c r="AN3148">
        <v>1.0000000102022799</v>
      </c>
    </row>
    <row r="3149" spans="1:40" x14ac:dyDescent="0.25">
      <c r="A3149" t="str">
        <f>"20190303170317030"</f>
        <v>20190303170317030</v>
      </c>
      <c r="B3149" t="str">
        <f>"1551603797018649"</f>
        <v>1551603797018649</v>
      </c>
      <c r="C3149" t="s">
        <v>40</v>
      </c>
      <c r="D3149">
        <v>4.549423</v>
      </c>
      <c r="E3149">
        <v>0.38748179999999999</v>
      </c>
      <c r="F3149" t="s">
        <v>74</v>
      </c>
      <c r="G3149">
        <v>-511.0591</v>
      </c>
      <c r="H3149">
        <v>1.3365309999999999</v>
      </c>
      <c r="I3149">
        <v>207.56800000000001</v>
      </c>
      <c r="J3149">
        <v>-485.80590000000001</v>
      </c>
      <c r="K3149">
        <v>1.1260139999999901</v>
      </c>
      <c r="L3149">
        <v>276.0215</v>
      </c>
      <c r="M3149">
        <v>-0.69869049999999999</v>
      </c>
      <c r="N3149">
        <v>-1.411836E-2</v>
      </c>
      <c r="O3149">
        <v>-0.71528459999999905</v>
      </c>
      <c r="P3149">
        <v>-0.58883859999999999</v>
      </c>
      <c r="Q3149">
        <v>0.1609545</v>
      </c>
      <c r="R3149">
        <v>-0.79206209999999999</v>
      </c>
      <c r="S3149">
        <v>-1.1017760000000001</v>
      </c>
      <c r="T3149">
        <v>9.1315509999999999E-3</v>
      </c>
      <c r="U3149">
        <v>-2.9758</v>
      </c>
      <c r="V3149">
        <v>-0.13403380000000001</v>
      </c>
      <c r="W3149">
        <v>0.173369</v>
      </c>
      <c r="X3149">
        <v>0.97569360000000005</v>
      </c>
      <c r="Y3149">
        <v>-0.40692149999999999</v>
      </c>
      <c r="Z3149">
        <v>-1.382837E-2</v>
      </c>
      <c r="AA3149">
        <v>0.91335840000000001</v>
      </c>
      <c r="AB3149">
        <v>22</v>
      </c>
      <c r="AC3149">
        <v>-25.2532</v>
      </c>
      <c r="AD3149">
        <v>0.21051700000000001</v>
      </c>
      <c r="AE3149">
        <v>-68.453500000000005</v>
      </c>
      <c r="AF3149">
        <v>-29.767307129100001</v>
      </c>
      <c r="AG3149">
        <v>0.21051700000000001</v>
      </c>
      <c r="AH3149">
        <v>66.613996765424801</v>
      </c>
      <c r="AI3149">
        <v>89.834686138165495</v>
      </c>
      <c r="AJ3149">
        <v>114.078083952727</v>
      </c>
      <c r="AK3149">
        <v>72.962740191069301</v>
      </c>
      <c r="AL3149">
        <v>80.016241404189799</v>
      </c>
      <c r="AM3149">
        <v>97.821925799777802</v>
      </c>
      <c r="AN3149">
        <v>0.999999935392198</v>
      </c>
    </row>
    <row r="3150" spans="1:40" x14ac:dyDescent="0.25">
      <c r="A3150" t="str">
        <f>"20190303170317042"</f>
        <v>20190303170317042</v>
      </c>
      <c r="B3150" t="str">
        <f>"1551603797038169"</f>
        <v>1551603797038169</v>
      </c>
      <c r="C3150" t="s">
        <v>40</v>
      </c>
      <c r="D3150">
        <v>4.4660539999999997</v>
      </c>
      <c r="E3150">
        <v>0.38758359999999997</v>
      </c>
      <c r="F3150" t="s">
        <v>74</v>
      </c>
      <c r="G3150">
        <v>-511.92570000000001</v>
      </c>
      <c r="H3150">
        <v>1.4376899999999999</v>
      </c>
      <c r="I3150">
        <v>203.6018</v>
      </c>
      <c r="J3150">
        <v>-485.88099999999997</v>
      </c>
      <c r="K3150">
        <v>1.12601</v>
      </c>
      <c r="L3150">
        <v>275.93889999999999</v>
      </c>
      <c r="M3150">
        <v>-0.69613939999999996</v>
      </c>
      <c r="N3150">
        <v>-1.411626E-2</v>
      </c>
      <c r="O3150">
        <v>-0.71776779999999996</v>
      </c>
      <c r="P3150">
        <v>-0.58562309999999995</v>
      </c>
      <c r="Q3150">
        <v>0.1612886</v>
      </c>
      <c r="R3150">
        <v>-0.79437489999999999</v>
      </c>
      <c r="S3150">
        <v>-1.076508</v>
      </c>
      <c r="T3150">
        <v>1.2847900000000001E-2</v>
      </c>
      <c r="U3150">
        <v>-2.9847109999999999</v>
      </c>
      <c r="V3150">
        <v>-0.1344697</v>
      </c>
      <c r="W3150">
        <v>0.17369679999999901</v>
      </c>
      <c r="X3150">
        <v>0.97557539999999998</v>
      </c>
      <c r="Y3150">
        <v>-0.41138429999999998</v>
      </c>
      <c r="Z3150">
        <v>-1.454795E-2</v>
      </c>
      <c r="AA3150">
        <v>0.91134590000000004</v>
      </c>
      <c r="AB3150">
        <v>22</v>
      </c>
      <c r="AC3150">
        <v>-26.044699999999999</v>
      </c>
      <c r="AD3150">
        <v>0.31168000000000001</v>
      </c>
      <c r="AE3150">
        <v>-72.337099999999893</v>
      </c>
      <c r="AF3150">
        <v>-31.665293954730199</v>
      </c>
      <c r="AG3150">
        <v>0.31168000000000001</v>
      </c>
      <c r="AH3150">
        <v>70.057814048150206</v>
      </c>
      <c r="AI3150">
        <v>89.767722848545304</v>
      </c>
      <c r="AJ3150">
        <v>114.32239931717299</v>
      </c>
      <c r="AK3150">
        <v>76.8822820607392</v>
      </c>
      <c r="AL3150">
        <v>79.997171357176796</v>
      </c>
      <c r="AM3150">
        <v>97.847986482955605</v>
      </c>
      <c r="AN3150">
        <v>1.00000001981674</v>
      </c>
    </row>
    <row r="3151" spans="1:40" x14ac:dyDescent="0.25">
      <c r="A3151" t="str">
        <f>"20190303170317052"</f>
        <v>20190303170317052</v>
      </c>
      <c r="B3151" t="str">
        <f>"1551603797048905"</f>
        <v>1551603797048905</v>
      </c>
      <c r="C3151" t="s">
        <v>40</v>
      </c>
      <c r="D3151">
        <v>4.4981039999999997</v>
      </c>
      <c r="E3151">
        <v>0.38766</v>
      </c>
      <c r="F3151" t="s">
        <v>74</v>
      </c>
      <c r="G3151">
        <v>-511.92570000000001</v>
      </c>
      <c r="H3151">
        <v>1.482818</v>
      </c>
      <c r="I3151">
        <v>202.85679999999999</v>
      </c>
      <c r="J3151">
        <v>-485.95400000000001</v>
      </c>
      <c r="K3151">
        <v>1.1260049999999999</v>
      </c>
      <c r="L3151">
        <v>275.85809999999998</v>
      </c>
      <c r="M3151">
        <v>-0.69364179999999998</v>
      </c>
      <c r="N3151">
        <v>-1.411426E-2</v>
      </c>
      <c r="O3151">
        <v>-0.72018190000000004</v>
      </c>
      <c r="P3151">
        <v>-0.58254849999999903</v>
      </c>
      <c r="Q3151">
        <v>0.1616561</v>
      </c>
      <c r="R3151">
        <v>-0.79655819999999999</v>
      </c>
      <c r="S3151">
        <v>-1.0650329999999999</v>
      </c>
      <c r="T3151">
        <v>1.4593119999999999E-2</v>
      </c>
      <c r="U3151">
        <v>-2.9884949999999999</v>
      </c>
      <c r="V3151">
        <v>-0.1348019</v>
      </c>
      <c r="W3151">
        <v>0.174059299999999</v>
      </c>
      <c r="X3151">
        <v>0.97546489999999997</v>
      </c>
      <c r="Y3151">
        <v>-0.41169129999999998</v>
      </c>
      <c r="Z3151">
        <v>-1.490003E-2</v>
      </c>
      <c r="AA3151">
        <v>0.9112015</v>
      </c>
      <c r="AB3151">
        <v>22</v>
      </c>
      <c r="AC3151">
        <v>-25.971699999999998</v>
      </c>
      <c r="AD3151">
        <v>0.35681299999999999</v>
      </c>
      <c r="AE3151">
        <v>-73.001299999999901</v>
      </c>
      <c r="AF3151">
        <v>-31.934906760420699</v>
      </c>
      <c r="AG3151">
        <v>0.35681299999999999</v>
      </c>
      <c r="AH3151">
        <v>70.594802286348695</v>
      </c>
      <c r="AI3151">
        <v>89.736148685449294</v>
      </c>
      <c r="AJ3151">
        <v>114.340525929135</v>
      </c>
      <c r="AK3151">
        <v>77.482847748146099</v>
      </c>
      <c r="AL3151">
        <v>79.976079975766297</v>
      </c>
      <c r="AM3151">
        <v>97.868012049345793</v>
      </c>
      <c r="AN3151">
        <v>0.99999998164605397</v>
      </c>
    </row>
    <row r="3152" spans="1:40" x14ac:dyDescent="0.25">
      <c r="A3152" t="str">
        <f>"20190303170317065"</f>
        <v>20190303170317065</v>
      </c>
      <c r="B3152" t="str">
        <f>"1551603797058665"</f>
        <v>1551603797058665</v>
      </c>
      <c r="C3152" t="s">
        <v>40</v>
      </c>
      <c r="D3152">
        <v>4.4865649999999997</v>
      </c>
      <c r="E3152">
        <v>0.38778279999999998</v>
      </c>
      <c r="F3152" t="s">
        <v>74</v>
      </c>
      <c r="G3152">
        <v>-511.92570000000001</v>
      </c>
      <c r="H3152">
        <v>1.5200260000000001</v>
      </c>
      <c r="I3152">
        <v>202.11089999999999</v>
      </c>
      <c r="J3152">
        <v>-486.03320000000002</v>
      </c>
      <c r="K3152">
        <v>1.126001</v>
      </c>
      <c r="L3152">
        <v>275.7697</v>
      </c>
      <c r="M3152">
        <v>-0.69091099999999905</v>
      </c>
      <c r="N3152">
        <v>-1.4112080000000001E-2</v>
      </c>
      <c r="O3152">
        <v>-0.72280199999999994</v>
      </c>
      <c r="P3152">
        <v>-0.57918179999999997</v>
      </c>
      <c r="Q3152">
        <v>0.162016299999999</v>
      </c>
      <c r="R3152">
        <v>-0.79893619999999899</v>
      </c>
      <c r="S3152">
        <v>-1.0538019999999999</v>
      </c>
      <c r="T3152">
        <v>1.5989779999999999E-2</v>
      </c>
      <c r="U3152">
        <v>-2.9922789999999999</v>
      </c>
      <c r="V3152">
        <v>-0.13517799999999999</v>
      </c>
      <c r="W3152">
        <v>0.174414299999999</v>
      </c>
      <c r="X3152">
        <v>0.97534949999999998</v>
      </c>
      <c r="Y3152">
        <v>-0.41164859999999998</v>
      </c>
      <c r="Z3152">
        <v>-1.519423E-2</v>
      </c>
      <c r="AA3152">
        <v>0.91121600000000003</v>
      </c>
      <c r="AB3152">
        <v>22</v>
      </c>
      <c r="AC3152">
        <v>-25.892499999999899</v>
      </c>
      <c r="AD3152">
        <v>0.39402500000000001</v>
      </c>
      <c r="AE3152">
        <v>-73.658799999999999</v>
      </c>
      <c r="AF3152">
        <v>-32.178911048267203</v>
      </c>
      <c r="AG3152">
        <v>0.39402500000000001</v>
      </c>
      <c r="AH3152">
        <v>71.135417043118096</v>
      </c>
      <c r="AI3152">
        <v>89.710845559336093</v>
      </c>
      <c r="AJ3152">
        <v>114.34015610023</v>
      </c>
      <c r="AK3152">
        <v>78.076149558307804</v>
      </c>
      <c r="AL3152">
        <v>79.955424642579302</v>
      </c>
      <c r="AM3152">
        <v>97.890609615813702</v>
      </c>
      <c r="AN3152">
        <v>1.0000000434393601</v>
      </c>
    </row>
    <row r="3153" spans="1:40" x14ac:dyDescent="0.25">
      <c r="A3153" t="str">
        <f>"20190303170317077"</f>
        <v>20190303170317077</v>
      </c>
      <c r="B3153" t="str">
        <f>"1551603797068426"</f>
        <v>1551603797068426</v>
      </c>
      <c r="C3153" t="s">
        <v>40</v>
      </c>
      <c r="D3153">
        <v>4.4834189999999996</v>
      </c>
      <c r="E3153">
        <v>0.38798280000000002</v>
      </c>
      <c r="F3153" t="s">
        <v>74</v>
      </c>
      <c r="G3153">
        <v>-511.92570000000001</v>
      </c>
      <c r="H3153">
        <v>1.552306</v>
      </c>
      <c r="I3153">
        <v>201.31039999999999</v>
      </c>
      <c r="J3153">
        <v>-486.11239999999998</v>
      </c>
      <c r="K3153">
        <v>1.125993</v>
      </c>
      <c r="L3153">
        <v>275.68090000000001</v>
      </c>
      <c r="M3153">
        <v>-0.68816060000000001</v>
      </c>
      <c r="N3153">
        <v>-1.410993E-2</v>
      </c>
      <c r="O3153">
        <v>-0.72542130000000005</v>
      </c>
      <c r="P3153">
        <v>-0.57558330000000002</v>
      </c>
      <c r="Q3153">
        <v>0.16265019999999999</v>
      </c>
      <c r="R3153">
        <v>-0.80140449999999996</v>
      </c>
      <c r="S3153">
        <v>-1.041901</v>
      </c>
      <c r="T3153">
        <v>1.71565999999999E-2</v>
      </c>
      <c r="U3153">
        <v>-2.9961850000000001</v>
      </c>
      <c r="V3153">
        <v>-0.13577609999999901</v>
      </c>
      <c r="W3153">
        <v>0.17503969999999999</v>
      </c>
      <c r="X3153">
        <v>0.97515430000000003</v>
      </c>
      <c r="Y3153">
        <v>-0.41178700000000001</v>
      </c>
      <c r="Z3153">
        <v>-1.5450119999999999E-2</v>
      </c>
      <c r="AA3153">
        <v>0.91114910000000005</v>
      </c>
      <c r="AB3153">
        <v>22</v>
      </c>
      <c r="AC3153">
        <v>-25.813300000000002</v>
      </c>
      <c r="AD3153">
        <v>0.426313</v>
      </c>
      <c r="AE3153">
        <v>-74.370500000000007</v>
      </c>
      <c r="AF3153">
        <v>-32.455606850687502</v>
      </c>
      <c r="AG3153">
        <v>0.426313</v>
      </c>
      <c r="AH3153">
        <v>71.718671498672293</v>
      </c>
      <c r="AI3153">
        <v>89.689716616447598</v>
      </c>
      <c r="AJ3153">
        <v>114.348680172586</v>
      </c>
      <c r="AK3153">
        <v>78.7217631938897</v>
      </c>
      <c r="AL3153">
        <v>79.919031359392505</v>
      </c>
      <c r="AM3153">
        <v>97.926645496021294</v>
      </c>
      <c r="AN3153">
        <v>0.99999997735789403</v>
      </c>
    </row>
    <row r="3154" spans="1:40" x14ac:dyDescent="0.25">
      <c r="A3154" t="str">
        <f>"20190303170317088"</f>
        <v>20190303170317088</v>
      </c>
      <c r="B3154" t="str">
        <f>"1551603797078186"</f>
        <v>1551603797078186</v>
      </c>
      <c r="C3154" t="s">
        <v>40</v>
      </c>
      <c r="D3154">
        <v>4.4744539999999997</v>
      </c>
      <c r="E3154">
        <v>0.38818970000000003</v>
      </c>
      <c r="F3154" t="s">
        <v>74</v>
      </c>
      <c r="G3154">
        <v>-511.92570000000001</v>
      </c>
      <c r="H3154">
        <v>1.5983050000000001</v>
      </c>
      <c r="I3154">
        <v>200.53569999999999</v>
      </c>
      <c r="J3154">
        <v>-486.18950000000001</v>
      </c>
      <c r="K3154">
        <v>1.1259870000000001</v>
      </c>
      <c r="L3154">
        <v>275.59350000000001</v>
      </c>
      <c r="M3154">
        <v>-0.68545900000000004</v>
      </c>
      <c r="N3154">
        <v>-1.410786E-2</v>
      </c>
      <c r="O3154">
        <v>-0.72797469999999997</v>
      </c>
      <c r="P3154">
        <v>-0.57212589999999997</v>
      </c>
      <c r="Q3154">
        <v>0.163002799999999</v>
      </c>
      <c r="R3154">
        <v>-0.80380490000000004</v>
      </c>
      <c r="S3154">
        <v>-1.0303960000000001</v>
      </c>
      <c r="T3154">
        <v>1.8855569999999999E-2</v>
      </c>
      <c r="U3154">
        <v>-2.9995729999999998</v>
      </c>
      <c r="V3154">
        <v>-0.1363046</v>
      </c>
      <c r="W3154">
        <v>0.1753847</v>
      </c>
      <c r="X3154">
        <v>0.97501859999999996</v>
      </c>
      <c r="Y3154">
        <v>-0.4118445</v>
      </c>
      <c r="Z3154">
        <v>-1.580461E-2</v>
      </c>
      <c r="AA3154">
        <v>0.91111710000000001</v>
      </c>
      <c r="AB3154">
        <v>22</v>
      </c>
      <c r="AC3154">
        <v>-25.7362</v>
      </c>
      <c r="AD3154">
        <v>0.47231799999999902</v>
      </c>
      <c r="AE3154">
        <v>-75.0578</v>
      </c>
      <c r="AF3154">
        <v>-32.7158350071876</v>
      </c>
      <c r="AG3154">
        <v>0.47231799999999902</v>
      </c>
      <c r="AH3154">
        <v>72.285913746652199</v>
      </c>
      <c r="AI3154">
        <v>89.658937356302701</v>
      </c>
      <c r="AJ3154">
        <v>114.351001209114</v>
      </c>
      <c r="AK3154">
        <v>79.3460917166</v>
      </c>
      <c r="AL3154">
        <v>79.898953996308705</v>
      </c>
      <c r="AM3154">
        <v>97.958198283688603</v>
      </c>
      <c r="AN3154">
        <v>1.0000000036606</v>
      </c>
    </row>
    <row r="3155" spans="1:40" x14ac:dyDescent="0.25">
      <c r="A3155" t="str">
        <f>"20190303170317100"</f>
        <v>20190303170317100</v>
      </c>
      <c r="B3155" t="str">
        <f>"1551603797088920"</f>
        <v>1551603797088920</v>
      </c>
      <c r="C3155" t="s">
        <v>40</v>
      </c>
      <c r="D3155">
        <v>4.5004780000000002</v>
      </c>
      <c r="E3155">
        <v>0.38835120000000001</v>
      </c>
      <c r="F3155" t="s">
        <v>74</v>
      </c>
      <c r="G3155">
        <v>-511.92570000000001</v>
      </c>
      <c r="H3155">
        <v>1.619834</v>
      </c>
      <c r="I3155">
        <v>199.6986</v>
      </c>
      <c r="J3155">
        <v>-486.26260000000002</v>
      </c>
      <c r="K3155">
        <v>1.125985</v>
      </c>
      <c r="L3155">
        <v>275.51029999999997</v>
      </c>
      <c r="M3155">
        <v>-0.68288369999999998</v>
      </c>
      <c r="N3155">
        <v>-1.410585E-2</v>
      </c>
      <c r="O3155">
        <v>-0.73039089999999995</v>
      </c>
      <c r="P3155">
        <v>-0.56837090000000001</v>
      </c>
      <c r="Q3155">
        <v>0.16338720000000001</v>
      </c>
      <c r="R3155">
        <v>-0.80638639999999995</v>
      </c>
      <c r="S3155">
        <v>-1.0184629999999999</v>
      </c>
      <c r="T3155">
        <v>1.9545320000000001E-2</v>
      </c>
      <c r="U3155">
        <v>-3.003387</v>
      </c>
      <c r="V3155">
        <v>-0.1373586</v>
      </c>
      <c r="W3155">
        <v>0.17575560000000001</v>
      </c>
      <c r="X3155">
        <v>0.97480389999999995</v>
      </c>
      <c r="Y3155">
        <v>-0.41222609999999899</v>
      </c>
      <c r="Z3155">
        <v>-1.5975050000000001E-2</v>
      </c>
      <c r="AA3155">
        <v>0.91094149999999996</v>
      </c>
      <c r="AB3155">
        <v>22</v>
      </c>
      <c r="AC3155">
        <v>-25.663099999999901</v>
      </c>
      <c r="AD3155">
        <v>0.49384899999999998</v>
      </c>
      <c r="AE3155">
        <v>-75.811699999999902</v>
      </c>
      <c r="AF3155">
        <v>-33.028508431428897</v>
      </c>
      <c r="AG3155">
        <v>0.49384899999999998</v>
      </c>
      <c r="AH3155">
        <v>72.901566810868104</v>
      </c>
      <c r="AI3155">
        <v>89.646463648211196</v>
      </c>
      <c r="AJ3155">
        <v>114.373199121311</v>
      </c>
      <c r="AK3155">
        <v>80.036021262424399</v>
      </c>
      <c r="AL3155">
        <v>79.877367956134094</v>
      </c>
      <c r="AM3155">
        <v>98.020682224725206</v>
      </c>
      <c r="AN3155">
        <v>1.00000002969026</v>
      </c>
    </row>
    <row r="3156" spans="1:40" x14ac:dyDescent="0.25">
      <c r="A3156" t="str">
        <f>"20190303170317113"</f>
        <v>20190303170317113</v>
      </c>
      <c r="B3156" t="str">
        <f>"1551603797098681"</f>
        <v>1551603797098681</v>
      </c>
      <c r="C3156" t="s">
        <v>40</v>
      </c>
      <c r="D3156">
        <v>4.5161290000000003</v>
      </c>
      <c r="E3156">
        <v>0.38834370000000001</v>
      </c>
      <c r="F3156" t="s">
        <v>74</v>
      </c>
      <c r="G3156">
        <v>-511.92570000000001</v>
      </c>
      <c r="H3156">
        <v>1.62765</v>
      </c>
      <c r="I3156">
        <v>198.81450000000001</v>
      </c>
      <c r="J3156">
        <v>-486.3426</v>
      </c>
      <c r="K3156">
        <v>1.1259809999999999</v>
      </c>
      <c r="L3156">
        <v>275.41840000000002</v>
      </c>
      <c r="M3156">
        <v>-0.68003789999999997</v>
      </c>
      <c r="N3156">
        <v>-1.4103579999999999E-2</v>
      </c>
      <c r="O3156">
        <v>-0.73304119999999995</v>
      </c>
      <c r="P3156">
        <v>-0.5642665</v>
      </c>
      <c r="Q3156">
        <v>0.16335189999999999</v>
      </c>
      <c r="R3156">
        <v>-0.80927090000000002</v>
      </c>
      <c r="S3156">
        <v>-1.006195</v>
      </c>
      <c r="T3156">
        <v>1.9671319999999999E-2</v>
      </c>
      <c r="U3156">
        <v>-3.00705</v>
      </c>
      <c r="V3156">
        <v>-0.13852500000000001</v>
      </c>
      <c r="W3156">
        <v>0.17570629999999901</v>
      </c>
      <c r="X3156">
        <v>0.97464770000000001</v>
      </c>
      <c r="Y3156">
        <v>-0.41235859999999902</v>
      </c>
      <c r="Z3156">
        <v>-1.6046120000000001E-2</v>
      </c>
      <c r="AA3156">
        <v>0.91088029999999998</v>
      </c>
      <c r="AB3156">
        <v>22</v>
      </c>
      <c r="AC3156">
        <v>-25.583100000000002</v>
      </c>
      <c r="AD3156">
        <v>0.50166900000000003</v>
      </c>
      <c r="AE3156">
        <v>-76.603899999999996</v>
      </c>
      <c r="AF3156">
        <v>-33.342121211612103</v>
      </c>
      <c r="AG3156">
        <v>0.50166900000000003</v>
      </c>
      <c r="AH3156">
        <v>73.555775704490102</v>
      </c>
      <c r="AI3156">
        <v>89.644091018827794</v>
      </c>
      <c r="AJ3156">
        <v>114.384326789837</v>
      </c>
      <c r="AK3156">
        <v>80.761382220493502</v>
      </c>
      <c r="AL3156">
        <v>79.880237081365607</v>
      </c>
      <c r="AM3156">
        <v>98.089172564821794</v>
      </c>
      <c r="AN3156">
        <v>1.0000000092999899</v>
      </c>
    </row>
    <row r="3157" spans="1:40" x14ac:dyDescent="0.25">
      <c r="A3157" t="str">
        <f>"20190303170317125"</f>
        <v>20190303170317125</v>
      </c>
      <c r="B3157" t="str">
        <f>"1551603797109417"</f>
        <v>1551603797109417</v>
      </c>
      <c r="C3157" t="s">
        <v>40</v>
      </c>
      <c r="D3157">
        <v>4.5636989999999997</v>
      </c>
      <c r="E3157">
        <v>0.38834370000000001</v>
      </c>
      <c r="F3157" t="s">
        <v>74</v>
      </c>
      <c r="G3157">
        <v>-511.92570000000001</v>
      </c>
      <c r="H3157">
        <v>1.599302</v>
      </c>
      <c r="I3157">
        <v>197.68090000000001</v>
      </c>
      <c r="J3157">
        <v>-486.4228</v>
      </c>
      <c r="K3157">
        <v>1.125972</v>
      </c>
      <c r="L3157">
        <v>275.3254</v>
      </c>
      <c r="M3157">
        <v>-0.67715999999999998</v>
      </c>
      <c r="N3157">
        <v>-1.410136E-2</v>
      </c>
      <c r="O3157">
        <v>-0.73570069999999999</v>
      </c>
      <c r="P3157">
        <v>-0.56010319999999902</v>
      </c>
      <c r="Q3157">
        <v>0.16333819999999999</v>
      </c>
      <c r="R3157">
        <v>-0.81216080000000002</v>
      </c>
      <c r="S3157">
        <v>-0.99130249999999998</v>
      </c>
      <c r="T3157">
        <v>1.8342489999999999E-2</v>
      </c>
      <c r="U3157">
        <v>-3.0121769999999999</v>
      </c>
      <c r="V3157">
        <v>-0.13971259999999999</v>
      </c>
      <c r="W3157">
        <v>0.17567769999999999</v>
      </c>
      <c r="X3157">
        <v>0.97448330000000005</v>
      </c>
      <c r="Y3157">
        <v>-0.41330919999999999</v>
      </c>
      <c r="Z3157">
        <v>-1.5849129999999999E-2</v>
      </c>
      <c r="AA3157">
        <v>0.91045279999999995</v>
      </c>
      <c r="AB3157">
        <v>22</v>
      </c>
      <c r="AC3157">
        <v>-25.5029</v>
      </c>
      <c r="AD3157">
        <v>0.47332999999999997</v>
      </c>
      <c r="AE3157">
        <v>-77.644499999999994</v>
      </c>
      <c r="AF3157">
        <v>-33.8174758519867</v>
      </c>
      <c r="AG3157">
        <v>0.47332999999999997</v>
      </c>
      <c r="AH3157">
        <v>74.3975574573996</v>
      </c>
      <c r="AI3157">
        <v>89.668152539745705</v>
      </c>
      <c r="AJ3157">
        <v>114.444212815234</v>
      </c>
      <c r="AK3157">
        <v>81.724184118996703</v>
      </c>
      <c r="AL3157">
        <v>79.881901367892496</v>
      </c>
      <c r="AM3157">
        <v>98.158950680525805</v>
      </c>
      <c r="AN3157">
        <v>0.99999998342746899</v>
      </c>
    </row>
    <row r="3158" spans="1:40" x14ac:dyDescent="0.25">
      <c r="A3158" t="str">
        <f>"20190303170317136"</f>
        <v>20190303170317136</v>
      </c>
      <c r="B3158" t="str">
        <f>"1551603797128937"</f>
        <v>1551603797128937</v>
      </c>
      <c r="C3158" t="s">
        <v>40</v>
      </c>
      <c r="D3158">
        <v>4.4113410000000002</v>
      </c>
      <c r="E3158">
        <v>0.35307280000000002</v>
      </c>
      <c r="F3158" t="s">
        <v>74</v>
      </c>
      <c r="G3158">
        <v>-511.92570000000001</v>
      </c>
      <c r="H3158">
        <v>1.591278</v>
      </c>
      <c r="I3158">
        <v>196.48609999999999</v>
      </c>
      <c r="J3158">
        <v>-486.4957</v>
      </c>
      <c r="K3158">
        <v>1.1259619999999999</v>
      </c>
      <c r="L3158">
        <v>275.2405</v>
      </c>
      <c r="M3158">
        <v>-0.67452690000000004</v>
      </c>
      <c r="N3158">
        <v>-1.409941E-2</v>
      </c>
      <c r="O3158">
        <v>-0.73811579999999999</v>
      </c>
      <c r="P3158">
        <v>-0.55650759999999999</v>
      </c>
      <c r="Q3158">
        <v>0.1626068</v>
      </c>
      <c r="R3158">
        <v>-0.81477529999999998</v>
      </c>
      <c r="S3158">
        <v>-0.97601320000000003</v>
      </c>
      <c r="T3158">
        <v>1.780963E-2</v>
      </c>
      <c r="U3158">
        <v>-3.0172119999999998</v>
      </c>
      <c r="V3158">
        <v>-0.1406287</v>
      </c>
      <c r="W3158">
        <v>0.17493689999999901</v>
      </c>
      <c r="X3158">
        <v>0.97448480000000004</v>
      </c>
      <c r="Y3158">
        <v>-0.41467520000000002</v>
      </c>
      <c r="Z3158">
        <v>-1.5795650000000001E-2</v>
      </c>
      <c r="AA3158">
        <v>0.90983239999999999</v>
      </c>
      <c r="AB3158">
        <v>22</v>
      </c>
      <c r="AC3158">
        <v>-25.43</v>
      </c>
      <c r="AD3158">
        <v>0.46531599999999901</v>
      </c>
      <c r="AE3158">
        <v>-78.754400000000004</v>
      </c>
      <c r="AF3158">
        <v>-34.354000824011401</v>
      </c>
      <c r="AG3158">
        <v>0.46531599999999901</v>
      </c>
      <c r="AH3158">
        <v>75.288179877840093</v>
      </c>
      <c r="AI3158">
        <v>89.677842625649205</v>
      </c>
      <c r="AJ3158">
        <v>114.527216770506</v>
      </c>
      <c r="AK3158">
        <v>82.757017351485302</v>
      </c>
      <c r="AL3158">
        <v>79.925013776336399</v>
      </c>
      <c r="AM3158">
        <v>98.211709431891606</v>
      </c>
      <c r="AN3158">
        <v>0.99999998783816901</v>
      </c>
    </row>
    <row r="3159" spans="1:40" x14ac:dyDescent="0.25">
      <c r="A3159" t="str">
        <f>"20190303170317146"</f>
        <v>20190303170317146</v>
      </c>
      <c r="B3159" t="str">
        <f>"1551603797138697"</f>
        <v>1551603797138697</v>
      </c>
      <c r="C3159" t="s">
        <v>40</v>
      </c>
      <c r="D3159">
        <v>4.5427839999999904</v>
      </c>
      <c r="E3159">
        <v>0.35054809999999997</v>
      </c>
      <c r="F3159" t="s">
        <v>74</v>
      </c>
      <c r="G3159">
        <v>-511.92680000000001</v>
      </c>
      <c r="H3159">
        <v>4.8685460000000003</v>
      </c>
      <c r="I3159">
        <v>164.0891</v>
      </c>
      <c r="J3159">
        <v>-486.56169999999997</v>
      </c>
      <c r="K3159">
        <v>1.125956</v>
      </c>
      <c r="L3159">
        <v>275.1628</v>
      </c>
      <c r="M3159">
        <v>-0.67211860000000001</v>
      </c>
      <c r="N3159">
        <v>-1.4097709999999999E-2</v>
      </c>
      <c r="O3159">
        <v>-0.74030929999999995</v>
      </c>
      <c r="P3159">
        <v>-0.55312749999999999</v>
      </c>
      <c r="Q3159">
        <v>0.16217819999999999</v>
      </c>
      <c r="R3159">
        <v>-0.81715859999999996</v>
      </c>
      <c r="S3159">
        <v>-0.72436519999999904</v>
      </c>
      <c r="T3159">
        <v>0.1066024</v>
      </c>
      <c r="U3159">
        <v>-3.1659549999999999</v>
      </c>
      <c r="V3159">
        <v>-0.14154359999999999</v>
      </c>
      <c r="W3159">
        <v>0.17449790000000001</v>
      </c>
      <c r="X3159">
        <v>0.97443109999999999</v>
      </c>
      <c r="Y3159">
        <v>-0.49032160000000002</v>
      </c>
      <c r="Z3159">
        <v>-3.1425259999999997E-2</v>
      </c>
      <c r="AA3159">
        <v>0.87097479999999905</v>
      </c>
      <c r="AB3159">
        <v>22</v>
      </c>
      <c r="AC3159">
        <v>-25.365100000000002</v>
      </c>
      <c r="AD3159">
        <v>3.7425899999999999</v>
      </c>
      <c r="AE3159">
        <v>-111.0737</v>
      </c>
      <c r="AF3159">
        <v>-55.821998129527103</v>
      </c>
      <c r="AG3159">
        <v>3.7425899999999999</v>
      </c>
      <c r="AH3159">
        <v>99.180093630566105</v>
      </c>
      <c r="AI3159">
        <v>88.116538231832607</v>
      </c>
      <c r="AJ3159">
        <v>119.37231902235899</v>
      </c>
      <c r="AK3159">
        <v>113.871828946622</v>
      </c>
      <c r="AL3159">
        <v>79.950560064976898</v>
      </c>
      <c r="AM3159">
        <v>98.264846603197</v>
      </c>
      <c r="AN3159">
        <v>1.0000000382262799</v>
      </c>
    </row>
    <row r="3160" spans="1:40" x14ac:dyDescent="0.25">
      <c r="A3160" t="str">
        <f>"20190303170317157"</f>
        <v>20190303170317157</v>
      </c>
      <c r="B3160" t="str">
        <f>"1551603797148457"</f>
        <v>1551603797148457</v>
      </c>
      <c r="C3160" t="s">
        <v>40</v>
      </c>
      <c r="D3160">
        <v>4.5700399999999997</v>
      </c>
      <c r="E3160">
        <v>0.34978369999999998</v>
      </c>
      <c r="F3160" t="s">
        <v>74</v>
      </c>
      <c r="G3160">
        <v>-511.92680000000001</v>
      </c>
      <c r="H3160">
        <v>4.9784490000000003</v>
      </c>
      <c r="I3160">
        <v>159.04490000000001</v>
      </c>
      <c r="J3160">
        <v>-486.62430000000001</v>
      </c>
      <c r="K3160">
        <v>1.1259509999999999</v>
      </c>
      <c r="L3160">
        <v>275.08890000000002</v>
      </c>
      <c r="M3160">
        <v>-0.66982609999999998</v>
      </c>
      <c r="N3160">
        <v>-1.409616E-2</v>
      </c>
      <c r="O3160">
        <v>-0.74238400000000004</v>
      </c>
      <c r="P3160">
        <v>-0.54998530000000001</v>
      </c>
      <c r="Q3160">
        <v>0.1617632</v>
      </c>
      <c r="R3160">
        <v>-0.81935879999999905</v>
      </c>
      <c r="S3160">
        <v>-0.69467159999999994</v>
      </c>
      <c r="T3160">
        <v>0.1055083</v>
      </c>
      <c r="U3160">
        <v>-3.1800839999999999</v>
      </c>
      <c r="V3160">
        <v>-0.14232339999999999</v>
      </c>
      <c r="W3160">
        <v>0.174074799999999</v>
      </c>
      <c r="X3160">
        <v>0.97439310000000001</v>
      </c>
      <c r="Y3160">
        <v>-0.49620130000000001</v>
      </c>
      <c r="Z3160">
        <v>-3.1256140000000002E-2</v>
      </c>
      <c r="AA3160">
        <v>0.86764470000000005</v>
      </c>
      <c r="AB3160">
        <v>22</v>
      </c>
      <c r="AC3160">
        <v>-25.302499999999998</v>
      </c>
      <c r="AD3160">
        <v>3.8524980000000002</v>
      </c>
      <c r="AE3160">
        <v>-116.044</v>
      </c>
      <c r="AF3160">
        <v>-58.8890357798903</v>
      </c>
      <c r="AG3160">
        <v>3.8524980000000002</v>
      </c>
      <c r="AH3160">
        <v>102.99937478454299</v>
      </c>
      <c r="AI3160">
        <v>88.140223821605602</v>
      </c>
      <c r="AJ3160">
        <v>119.758403406385</v>
      </c>
      <c r="AK3160">
        <v>118.708177822473</v>
      </c>
      <c r="AL3160">
        <v>79.975177800305602</v>
      </c>
      <c r="AM3160">
        <v>98.310065181810501</v>
      </c>
      <c r="AN3160">
        <v>0.99999994975510298</v>
      </c>
    </row>
    <row r="3161" spans="1:40" x14ac:dyDescent="0.25">
      <c r="A3161" t="str">
        <f>"20190303170317166"</f>
        <v>20190303170317166</v>
      </c>
      <c r="B3161" t="str">
        <f>"1551603797158216"</f>
        <v>1551603797158216</v>
      </c>
      <c r="C3161" t="s">
        <v>40</v>
      </c>
      <c r="D3161">
        <v>4.5428620000000004</v>
      </c>
      <c r="E3161">
        <v>0.34939809999999999</v>
      </c>
      <c r="F3161" t="s">
        <v>74</v>
      </c>
      <c r="G3161">
        <v>-511.92680000000001</v>
      </c>
      <c r="H3161">
        <v>4.930968</v>
      </c>
      <c r="I3161">
        <v>156.0874</v>
      </c>
      <c r="J3161">
        <v>-486.685</v>
      </c>
      <c r="K3161">
        <v>1.1259520000000001</v>
      </c>
      <c r="L3161">
        <v>275.01650000000001</v>
      </c>
      <c r="M3161">
        <v>-0.66757829999999996</v>
      </c>
      <c r="N3161">
        <v>-1.4094789999999999E-2</v>
      </c>
      <c r="O3161">
        <v>-0.74440620000000002</v>
      </c>
      <c r="P3161">
        <v>-0.54707269999999997</v>
      </c>
      <c r="Q3161">
        <v>0.1617094</v>
      </c>
      <c r="R3161">
        <v>-0.82131719999999897</v>
      </c>
      <c r="S3161">
        <v>-0.67752080000000003</v>
      </c>
      <c r="T3161">
        <v>0.1018869</v>
      </c>
      <c r="U3161">
        <v>-3.1864620000000001</v>
      </c>
      <c r="V3161">
        <v>-0.14284340000000001</v>
      </c>
      <c r="W3161">
        <v>0.1740138</v>
      </c>
      <c r="X3161">
        <v>0.97432790000000002</v>
      </c>
      <c r="Y3161">
        <v>-0.4983918</v>
      </c>
      <c r="Z3161">
        <v>-3.0700290000000002E-2</v>
      </c>
      <c r="AA3161">
        <v>0.86640819999999996</v>
      </c>
      <c r="AB3161">
        <v>22</v>
      </c>
      <c r="AC3161">
        <v>-25.241800000000001</v>
      </c>
      <c r="AD3161">
        <v>3.8050160000000002</v>
      </c>
      <c r="AE3161">
        <v>-118.92910000000001</v>
      </c>
      <c r="AF3161">
        <v>-60.551044305027702</v>
      </c>
      <c r="AG3161">
        <v>3.8050160000000002</v>
      </c>
      <c r="AH3161">
        <v>105.28977406329101</v>
      </c>
      <c r="AI3161">
        <v>88.205653654720393</v>
      </c>
      <c r="AJ3161">
        <v>119.902755817353</v>
      </c>
      <c r="AK3161">
        <v>121.518902379377</v>
      </c>
      <c r="AL3161">
        <v>79.978726995134195</v>
      </c>
      <c r="AM3161">
        <v>98.340551204948198</v>
      </c>
      <c r="AN3161">
        <v>0.99999994811620296</v>
      </c>
    </row>
    <row r="3162" spans="1:40" x14ac:dyDescent="0.25">
      <c r="A3162" t="str">
        <f>"20190303170317176"</f>
        <v>20190303170317176</v>
      </c>
      <c r="B3162" t="str">
        <f>"1551603797168953"</f>
        <v>1551603797168953</v>
      </c>
      <c r="C3162" t="s">
        <v>40</v>
      </c>
      <c r="D3162">
        <v>4.5629939999999998</v>
      </c>
      <c r="E3162">
        <v>0.34929729999999998</v>
      </c>
      <c r="F3162" t="s">
        <v>74</v>
      </c>
      <c r="G3162">
        <v>-511.92680000000001</v>
      </c>
      <c r="H3162">
        <v>4.9636440000000004</v>
      </c>
      <c r="I3162">
        <v>153.64599999999999</v>
      </c>
      <c r="J3162">
        <v>-486.7482</v>
      </c>
      <c r="K3162">
        <v>1.12595499999999</v>
      </c>
      <c r="L3162">
        <v>274.94099999999997</v>
      </c>
      <c r="M3162">
        <v>-0.66522769999999898</v>
      </c>
      <c r="N3162">
        <v>-1.409345E-2</v>
      </c>
      <c r="O3162">
        <v>-0.74650780000000005</v>
      </c>
      <c r="P3162">
        <v>-0.54389860000000001</v>
      </c>
      <c r="Q3162">
        <v>0.1620933</v>
      </c>
      <c r="R3162">
        <v>-0.8233473</v>
      </c>
      <c r="S3162">
        <v>-0.66360469999999905</v>
      </c>
      <c r="T3162">
        <v>0.10089289999999999</v>
      </c>
      <c r="U3162">
        <v>-3.1907960000000002</v>
      </c>
      <c r="V3162">
        <v>-0.14348610000000001</v>
      </c>
      <c r="W3162">
        <v>0.1743885</v>
      </c>
      <c r="X3162">
        <v>0.97416650000000005</v>
      </c>
      <c r="Y3162">
        <v>-0.49951380000000001</v>
      </c>
      <c r="Z3162">
        <v>-3.0616629999999999E-2</v>
      </c>
      <c r="AA3162">
        <v>0.86576469999999905</v>
      </c>
      <c r="AB3162">
        <v>22</v>
      </c>
      <c r="AC3162">
        <v>-25.178599999999999</v>
      </c>
      <c r="AD3162">
        <v>3.8376890000000001</v>
      </c>
      <c r="AE3162">
        <v>-121.29499999999901</v>
      </c>
      <c r="AF3162">
        <v>-61.839560485679399</v>
      </c>
      <c r="AG3162">
        <v>3.8376890000000001</v>
      </c>
      <c r="AH3162">
        <v>107.204917408713</v>
      </c>
      <c r="AI3162">
        <v>88.223905568193302</v>
      </c>
      <c r="AJ3162">
        <v>119.97785779034299</v>
      </c>
      <c r="AK3162">
        <v>123.82145781136499</v>
      </c>
      <c r="AL3162">
        <v>79.956925336078996</v>
      </c>
      <c r="AM3162">
        <v>98.378914998823006</v>
      </c>
      <c r="AN3162">
        <v>0.99999998977385496</v>
      </c>
    </row>
    <row r="3163" spans="1:40" x14ac:dyDescent="0.25">
      <c r="A3163" t="str">
        <f>"20190303170317186"</f>
        <v>20190303170317186</v>
      </c>
      <c r="B3163" t="str">
        <f>"1551603797178713"</f>
        <v>1551603797178713</v>
      </c>
      <c r="C3163" t="s">
        <v>40</v>
      </c>
      <c r="D3163">
        <v>4.413519</v>
      </c>
      <c r="E3163">
        <v>0.34778740000000002</v>
      </c>
      <c r="F3163" t="s">
        <v>74</v>
      </c>
      <c r="G3163">
        <v>-511.45249999999999</v>
      </c>
      <c r="H3163">
        <v>4.9692150000000002</v>
      </c>
      <c r="I3163">
        <v>153.596</v>
      </c>
      <c r="J3163">
        <v>-486.81349999999998</v>
      </c>
      <c r="K3163">
        <v>1.1259629999999901</v>
      </c>
      <c r="L3163">
        <v>274.86219999999997</v>
      </c>
      <c r="M3163">
        <v>-0.66276899999999905</v>
      </c>
      <c r="N3163">
        <v>-1.4092449999999999E-2</v>
      </c>
      <c r="O3163">
        <v>-0.74869140000000001</v>
      </c>
      <c r="P3163">
        <v>-0.54079200000000005</v>
      </c>
      <c r="Q3163">
        <v>0.1626088</v>
      </c>
      <c r="R3163">
        <v>-0.8252891</v>
      </c>
      <c r="S3163">
        <v>-0.65029910000000002</v>
      </c>
      <c r="T3163">
        <v>0.10116790000000001</v>
      </c>
      <c r="U3163">
        <v>-3.1941830000000002</v>
      </c>
      <c r="V3163">
        <v>-0.1438933</v>
      </c>
      <c r="W3163">
        <v>0.174896</v>
      </c>
      <c r="X3163">
        <v>0.97401550000000003</v>
      </c>
      <c r="Y3163">
        <v>-0.50030859999999899</v>
      </c>
      <c r="Z3163">
        <v>-3.076427E-2</v>
      </c>
      <c r="AA3163">
        <v>0.86530039999999997</v>
      </c>
      <c r="AB3163">
        <v>22</v>
      </c>
      <c r="AC3163">
        <v>-24.638999999999999</v>
      </c>
      <c r="AD3163">
        <v>3.8432520000000001</v>
      </c>
      <c r="AE3163">
        <v>-121.266199999999</v>
      </c>
      <c r="AF3163">
        <v>-61.870934745700097</v>
      </c>
      <c r="AG3163">
        <v>3.8432520000000001</v>
      </c>
      <c r="AH3163">
        <v>107.028316504118</v>
      </c>
      <c r="AI3163">
        <v>88.219359294213504</v>
      </c>
      <c r="AJ3163">
        <v>120.031350186471</v>
      </c>
      <c r="AK3163">
        <v>123.684452078456</v>
      </c>
      <c r="AL3163">
        <v>79.927394432637598</v>
      </c>
      <c r="AM3163">
        <v>98.403638585199303</v>
      </c>
      <c r="AN3163">
        <v>1.00000004342056</v>
      </c>
    </row>
    <row r="3164" spans="1:40" x14ac:dyDescent="0.25">
      <c r="A3164" t="str">
        <f>"20190303170317197"</f>
        <v>20190303170317197</v>
      </c>
      <c r="B3164" t="str">
        <f>"1551603797188475"</f>
        <v>1551603797188475</v>
      </c>
      <c r="C3164" t="s">
        <v>40</v>
      </c>
      <c r="D3164">
        <v>4.3978010000000003</v>
      </c>
      <c r="E3164">
        <v>0.34674929999999998</v>
      </c>
      <c r="F3164" t="s">
        <v>74</v>
      </c>
      <c r="G3164">
        <v>-511.06040000000002</v>
      </c>
      <c r="H3164">
        <v>5.3790490000000002</v>
      </c>
      <c r="I3164">
        <v>151.24289999999999</v>
      </c>
      <c r="J3164">
        <v>-486.87920000000003</v>
      </c>
      <c r="K3164">
        <v>1.1259729999999999</v>
      </c>
      <c r="L3164">
        <v>274.78250000000003</v>
      </c>
      <c r="M3164">
        <v>-0.66027840000000004</v>
      </c>
      <c r="N3164">
        <v>-1.4091569999999999E-2</v>
      </c>
      <c r="O3164">
        <v>-0.75088900000000003</v>
      </c>
      <c r="P3164">
        <v>-0.53770340000000005</v>
      </c>
      <c r="Q3164">
        <v>0.16366259999999999</v>
      </c>
      <c r="R3164">
        <v>-0.82709750000000004</v>
      </c>
      <c r="S3164">
        <v>-0.62802119999999995</v>
      </c>
      <c r="T3164">
        <v>0.1101596</v>
      </c>
      <c r="U3164">
        <v>-3.2018430000000002</v>
      </c>
      <c r="V3164">
        <v>-0.14417439999999901</v>
      </c>
      <c r="W3164">
        <v>0.1759415</v>
      </c>
      <c r="X3164">
        <v>0.97378560000000003</v>
      </c>
      <c r="Y3164">
        <v>-0.50364259999999905</v>
      </c>
      <c r="Z3164">
        <v>-3.2408180000000002E-2</v>
      </c>
      <c r="AA3164">
        <v>0.86330399999999996</v>
      </c>
      <c r="AB3164">
        <v>22</v>
      </c>
      <c r="AC3164">
        <v>-24.181199999999901</v>
      </c>
      <c r="AD3164">
        <v>4.2530760000000001</v>
      </c>
      <c r="AE3164">
        <v>-123.53959999999999</v>
      </c>
      <c r="AF3164">
        <v>-63.347106718476603</v>
      </c>
      <c r="AG3164">
        <v>4.2530760000000001</v>
      </c>
      <c r="AH3164">
        <v>108.617640418486</v>
      </c>
      <c r="AI3164">
        <v>88.062751185299902</v>
      </c>
      <c r="AJ3164">
        <v>120.251248183952</v>
      </c>
      <c r="AK3164">
        <v>125.812306215026</v>
      </c>
      <c r="AL3164">
        <v>79.866548089871401</v>
      </c>
      <c r="AM3164">
        <v>98.421779565902796</v>
      </c>
      <c r="AN3164">
        <v>1.00000003190248</v>
      </c>
    </row>
    <row r="3165" spans="1:40" x14ac:dyDescent="0.25">
      <c r="A3165" t="str">
        <f>"20190303170317207"</f>
        <v>20190303170317207</v>
      </c>
      <c r="B3165" t="str">
        <f>"1551603797198233"</f>
        <v>1551603797198233</v>
      </c>
      <c r="C3165" t="s">
        <v>40</v>
      </c>
      <c r="D3165">
        <v>4.4097549999999996</v>
      </c>
      <c r="E3165">
        <v>0.34591929999999999</v>
      </c>
      <c r="F3165" t="s">
        <v>74</v>
      </c>
      <c r="G3165">
        <v>-510.17559999999997</v>
      </c>
      <c r="H3165">
        <v>5.6410869999999997</v>
      </c>
      <c r="I3165">
        <v>152.18129999999999</v>
      </c>
      <c r="J3165">
        <v>-486.94580000000002</v>
      </c>
      <c r="K3165">
        <v>1.1259859999999999</v>
      </c>
      <c r="L3165">
        <v>274.70089999999999</v>
      </c>
      <c r="M3165">
        <v>-0.65771650000000004</v>
      </c>
      <c r="N3165">
        <v>-1.4091029999999999E-2</v>
      </c>
      <c r="O3165">
        <v>-0.75313379999999996</v>
      </c>
      <c r="P3165">
        <v>-0.53476219999999997</v>
      </c>
      <c r="Q3165">
        <v>0.1643126</v>
      </c>
      <c r="R3165">
        <v>-0.82887330000000004</v>
      </c>
      <c r="S3165">
        <v>-0.60949709999999901</v>
      </c>
      <c r="T3165">
        <v>0.1181276</v>
      </c>
      <c r="U3165">
        <v>-3.2075499999999999</v>
      </c>
      <c r="V3165">
        <v>-0.14424149999999999</v>
      </c>
      <c r="W3165">
        <v>0.17658589999999999</v>
      </c>
      <c r="X3165">
        <v>0.97365900000000005</v>
      </c>
      <c r="Y3165">
        <v>-0.50581209999999999</v>
      </c>
      <c r="Z3165">
        <v>-3.3897789999999997E-2</v>
      </c>
      <c r="AA3165">
        <v>0.86197739999999901</v>
      </c>
      <c r="AB3165">
        <v>22</v>
      </c>
      <c r="AC3165">
        <v>-23.229799999999901</v>
      </c>
      <c r="AD3165">
        <v>4.5151009999999996</v>
      </c>
      <c r="AE3165">
        <v>-122.5196</v>
      </c>
      <c r="AF3165">
        <v>-63.011671824873098</v>
      </c>
      <c r="AG3165">
        <v>4.5151009999999996</v>
      </c>
      <c r="AH3165">
        <v>107.422125130607</v>
      </c>
      <c r="AI3165">
        <v>87.923680122128701</v>
      </c>
      <c r="AJ3165">
        <v>120.39503405578201</v>
      </c>
      <c r="AK3165">
        <v>124.620904710171</v>
      </c>
      <c r="AL3165">
        <v>79.829039286979693</v>
      </c>
      <c r="AM3165">
        <v>98.426722698176206</v>
      </c>
      <c r="AN3165">
        <v>1.0000000193410199</v>
      </c>
    </row>
    <row r="3166" spans="1:40" x14ac:dyDescent="0.25">
      <c r="A3166" t="str">
        <f>"20190303170317219"</f>
        <v>20190303170317219</v>
      </c>
      <c r="B3166" t="str">
        <f>"1551603797208969"</f>
        <v>1551603797208969</v>
      </c>
      <c r="C3166" t="s">
        <v>40</v>
      </c>
      <c r="D3166">
        <v>4.4203890000000001</v>
      </c>
      <c r="E3166">
        <v>0.34540019999999999</v>
      </c>
      <c r="F3166" t="s">
        <v>48</v>
      </c>
      <c r="G3166">
        <v>0</v>
      </c>
      <c r="H3166">
        <v>0</v>
      </c>
      <c r="I3166">
        <v>0</v>
      </c>
      <c r="J3166">
        <v>-487.01499999999999</v>
      </c>
      <c r="K3166">
        <v>1.1259999999999999</v>
      </c>
      <c r="L3166">
        <v>274.6157</v>
      </c>
      <c r="M3166">
        <v>-0.65502989999999905</v>
      </c>
      <c r="N3166">
        <v>-1.4090770000000001E-2</v>
      </c>
      <c r="O3166">
        <v>-0.75547180000000003</v>
      </c>
      <c r="P3166">
        <v>-0.53169040000000001</v>
      </c>
      <c r="Q3166">
        <v>0.16458970000000001</v>
      </c>
      <c r="R3166">
        <v>-0.83079219999999898</v>
      </c>
      <c r="S3166">
        <v>-0.59213260000000001</v>
      </c>
      <c r="T3166">
        <v>0.123748499999999</v>
      </c>
      <c r="U3166">
        <v>-3.212799</v>
      </c>
      <c r="V3166">
        <v>-0.14434949999999999</v>
      </c>
      <c r="W3166">
        <v>0.17685770000000001</v>
      </c>
      <c r="X3166">
        <v>0.97359370000000001</v>
      </c>
      <c r="Y3166">
        <v>-0.50751029999999997</v>
      </c>
      <c r="Z3166">
        <v>-3.4993429999999999E-2</v>
      </c>
      <c r="AA3166">
        <v>0.8609348</v>
      </c>
      <c r="AB3166">
        <v>22</v>
      </c>
      <c r="AC3166">
        <v>-0.59213260000000001</v>
      </c>
      <c r="AD3166">
        <v>0.123748499999999</v>
      </c>
      <c r="AE3166">
        <v>-3.212799</v>
      </c>
      <c r="AF3166">
        <v>-1.6549295937564901</v>
      </c>
      <c r="AG3166">
        <v>0.123748499999999</v>
      </c>
      <c r="AH3166">
        <v>2.8112888290112901</v>
      </c>
      <c r="AI3166">
        <v>87.827599099192</v>
      </c>
      <c r="AJ3166">
        <v>120.48416953058801</v>
      </c>
      <c r="AK3166">
        <v>3.2645750920551602</v>
      </c>
      <c r="AL3166">
        <v>79.813217671667502</v>
      </c>
      <c r="AM3166">
        <v>98.433498938589906</v>
      </c>
      <c r="AN3166">
        <v>1.00000005843961</v>
      </c>
    </row>
    <row r="3167" spans="1:40" x14ac:dyDescent="0.25">
      <c r="A3167" t="str">
        <f>"20190303170317230"</f>
        <v>20190303170317230</v>
      </c>
      <c r="B3167" t="str">
        <f>"1551603797218729"</f>
        <v>1551603797218729</v>
      </c>
      <c r="C3167" t="s">
        <v>40</v>
      </c>
      <c r="D3167">
        <v>4.4248789999999998</v>
      </c>
      <c r="E3167">
        <v>0.34502949999999999</v>
      </c>
      <c r="F3167" t="s">
        <v>48</v>
      </c>
      <c r="G3167">
        <v>0</v>
      </c>
      <c r="H3167">
        <v>0</v>
      </c>
      <c r="I3167">
        <v>0</v>
      </c>
      <c r="J3167">
        <v>-487.08390000000003</v>
      </c>
      <c r="K3167">
        <v>1.126015</v>
      </c>
      <c r="L3167">
        <v>274.53030000000001</v>
      </c>
      <c r="M3167">
        <v>-0.65232449999999997</v>
      </c>
      <c r="N3167">
        <v>-1.409092E-2</v>
      </c>
      <c r="O3167">
        <v>-0.75780899999999995</v>
      </c>
      <c r="P3167">
        <v>-0.52840919999999902</v>
      </c>
      <c r="Q3167">
        <v>0.16508909999999999</v>
      </c>
      <c r="R3167">
        <v>-0.83278449999999904</v>
      </c>
      <c r="S3167">
        <v>-0.57678219999999902</v>
      </c>
      <c r="T3167">
        <v>0.12732599999999999</v>
      </c>
      <c r="U3167">
        <v>-3.2167050000000001</v>
      </c>
      <c r="V3167">
        <v>-0.1446559</v>
      </c>
      <c r="W3167">
        <v>0.17734710000000001</v>
      </c>
      <c r="X3167">
        <v>0.97345910000000002</v>
      </c>
      <c r="Y3167">
        <v>-0.50860050000000001</v>
      </c>
      <c r="Z3167">
        <v>-3.5747309999999997E-2</v>
      </c>
      <c r="AA3167">
        <v>0.86026019999999903</v>
      </c>
      <c r="AB3167">
        <v>22</v>
      </c>
      <c r="AC3167">
        <v>-0.57678219999999902</v>
      </c>
      <c r="AD3167">
        <v>0.12732599999999999</v>
      </c>
      <c r="AE3167">
        <v>-3.2167050000000001</v>
      </c>
      <c r="AF3167">
        <v>-1.6588912707440699</v>
      </c>
      <c r="AG3167">
        <v>0.12732599999999999</v>
      </c>
      <c r="AH3167">
        <v>2.8099107412619801</v>
      </c>
      <c r="AI3167">
        <v>87.765423380563206</v>
      </c>
      <c r="AJ3167">
        <v>120.556392233661</v>
      </c>
      <c r="AK3167">
        <v>3.2655367908333699</v>
      </c>
      <c r="AL3167">
        <v>79.784725846841098</v>
      </c>
      <c r="AM3167">
        <v>98.452293514352306</v>
      </c>
      <c r="AN3167">
        <v>0.99999997132801399</v>
      </c>
    </row>
    <row r="3168" spans="1:40" x14ac:dyDescent="0.25">
      <c r="A3168" t="str">
        <f>"20190303170317243"</f>
        <v>20190303170317243</v>
      </c>
      <c r="B3168" t="str">
        <f>"1551603797238249"</f>
        <v>1551603797238249</v>
      </c>
      <c r="C3168" t="s">
        <v>40</v>
      </c>
      <c r="D3168">
        <v>4.4430820000000004</v>
      </c>
      <c r="E3168">
        <v>0.34410000000000002</v>
      </c>
      <c r="F3168" t="s">
        <v>48</v>
      </c>
      <c r="G3168">
        <v>0</v>
      </c>
      <c r="H3168">
        <v>0</v>
      </c>
      <c r="I3168">
        <v>0</v>
      </c>
      <c r="J3168">
        <v>-487.15629999999999</v>
      </c>
      <c r="K3168">
        <v>1.1260349999999999</v>
      </c>
      <c r="L3168">
        <v>274.43970000000002</v>
      </c>
      <c r="M3168">
        <v>-0.6494415</v>
      </c>
      <c r="N3168">
        <v>-1.4091569999999999E-2</v>
      </c>
      <c r="O3168">
        <v>-0.76028099999999998</v>
      </c>
      <c r="P3168">
        <v>-0.52515089999999998</v>
      </c>
      <c r="Q3168">
        <v>0.16514119999999999</v>
      </c>
      <c r="R3168">
        <v>-0.83483209999999997</v>
      </c>
      <c r="S3168">
        <v>-0.5625</v>
      </c>
      <c r="T3168">
        <v>0.1307297</v>
      </c>
      <c r="U3168">
        <v>-3.2196039999999999</v>
      </c>
      <c r="V3168">
        <v>-0.1447647</v>
      </c>
      <c r="W3168">
        <v>0.1773922</v>
      </c>
      <c r="X3168">
        <v>0.97343469999999999</v>
      </c>
      <c r="Y3168">
        <v>-0.50917259999999998</v>
      </c>
      <c r="Z3168">
        <v>-3.6495229999999997E-2</v>
      </c>
      <c r="AA3168">
        <v>0.8598903</v>
      </c>
      <c r="AB3168">
        <v>22</v>
      </c>
      <c r="AC3168">
        <v>-0.5625</v>
      </c>
      <c r="AD3168">
        <v>0.1307297</v>
      </c>
      <c r="AE3168">
        <v>-3.2196039999999999</v>
      </c>
      <c r="AF3168">
        <v>-1.66079446654284</v>
      </c>
      <c r="AG3168">
        <v>0.1307297</v>
      </c>
      <c r="AH3168">
        <v>2.8089000070990902</v>
      </c>
      <c r="AI3168">
        <v>87.705820060009998</v>
      </c>
      <c r="AJ3168">
        <v>120.594190959676</v>
      </c>
      <c r="AK3168">
        <v>3.2657690923337901</v>
      </c>
      <c r="AL3168">
        <v>79.782100090024002</v>
      </c>
      <c r="AM3168">
        <v>98.458767756472099</v>
      </c>
      <c r="AN3168">
        <v>0.99999996307550898</v>
      </c>
    </row>
    <row r="3169" spans="1:40" x14ac:dyDescent="0.25">
      <c r="A3169" t="str">
        <f>"20190303170317253"</f>
        <v>20190303170317253</v>
      </c>
      <c r="B3169" t="str">
        <f>"1551603797248985"</f>
        <v>1551603797248985</v>
      </c>
      <c r="C3169" t="s">
        <v>40</v>
      </c>
      <c r="D3169">
        <v>4.4223670000000004</v>
      </c>
      <c r="E3169">
        <v>0.34381</v>
      </c>
      <c r="F3169" t="s">
        <v>48</v>
      </c>
      <c r="G3169">
        <v>0</v>
      </c>
      <c r="H3169">
        <v>0</v>
      </c>
      <c r="I3169">
        <v>0</v>
      </c>
      <c r="J3169">
        <v>-487.22640000000001</v>
      </c>
      <c r="K3169">
        <v>1.126053</v>
      </c>
      <c r="L3169">
        <v>274.35149999999999</v>
      </c>
      <c r="M3169">
        <v>-0.64662129999999995</v>
      </c>
      <c r="N3169">
        <v>-1.409234E-2</v>
      </c>
      <c r="O3169">
        <v>-0.76268119999999995</v>
      </c>
      <c r="P3169">
        <v>-0.52190729999999996</v>
      </c>
      <c r="Q3169">
        <v>0.16521189999999999</v>
      </c>
      <c r="R3169">
        <v>-0.83685030000000005</v>
      </c>
      <c r="S3169">
        <v>-0.5427246</v>
      </c>
      <c r="T3169">
        <v>0.13830729999999999</v>
      </c>
      <c r="U3169">
        <v>-3.2247309999999998</v>
      </c>
      <c r="V3169">
        <v>-0.14493719999999999</v>
      </c>
      <c r="W3169">
        <v>0.17745459999999999</v>
      </c>
      <c r="X3169">
        <v>0.97339770000000003</v>
      </c>
      <c r="Y3169">
        <v>-0.51135350000000002</v>
      </c>
      <c r="Z3169">
        <v>-3.796186E-2</v>
      </c>
      <c r="AA3169">
        <v>0.85853159999999895</v>
      </c>
      <c r="AB3169">
        <v>22</v>
      </c>
      <c r="AC3169">
        <v>-0.5427246</v>
      </c>
      <c r="AD3169">
        <v>0.13830729999999999</v>
      </c>
      <c r="AE3169">
        <v>-3.2247309999999998</v>
      </c>
      <c r="AF3169">
        <v>-1.6684350441446301</v>
      </c>
      <c r="AG3169">
        <v>0.13830729999999999</v>
      </c>
      <c r="AH3169">
        <v>2.8056388061336301</v>
      </c>
      <c r="AI3169">
        <v>87.573806017736004</v>
      </c>
      <c r="AJ3169">
        <v>120.738767257375</v>
      </c>
      <c r="AK3169">
        <v>3.26717209773929</v>
      </c>
      <c r="AL3169">
        <v>79.778467625860998</v>
      </c>
      <c r="AM3169">
        <v>98.469018290340401</v>
      </c>
      <c r="AN3169">
        <v>1.0000000046851401</v>
      </c>
    </row>
    <row r="3170" spans="1:40" x14ac:dyDescent="0.25">
      <c r="A3170" t="str">
        <f>"20190303170317264"</f>
        <v>20190303170317264</v>
      </c>
      <c r="B3170" t="str">
        <f>"1551603797258745"</f>
        <v>1551603797258745</v>
      </c>
      <c r="C3170" t="s">
        <v>40</v>
      </c>
      <c r="D3170">
        <v>4.4013549999999997</v>
      </c>
      <c r="E3170">
        <v>0.34381060000000002</v>
      </c>
      <c r="F3170" t="s">
        <v>48</v>
      </c>
      <c r="G3170">
        <v>0</v>
      </c>
      <c r="H3170">
        <v>0</v>
      </c>
      <c r="I3170">
        <v>0</v>
      </c>
      <c r="J3170">
        <v>-487.28960000000001</v>
      </c>
      <c r="K3170">
        <v>1.1260650000000001</v>
      </c>
      <c r="L3170">
        <v>274.27109999999999</v>
      </c>
      <c r="M3170">
        <v>-0.64403100000000002</v>
      </c>
      <c r="N3170">
        <v>-1.409352E-2</v>
      </c>
      <c r="O3170">
        <v>-0.76486960000000004</v>
      </c>
      <c r="P3170">
        <v>-0.51879470000000005</v>
      </c>
      <c r="Q3170">
        <v>0.16529240000000001</v>
      </c>
      <c r="R3170">
        <v>-0.83876719999999905</v>
      </c>
      <c r="S3170">
        <v>-0.52859500000000004</v>
      </c>
      <c r="T3170">
        <v>0.14069279999999901</v>
      </c>
      <c r="U3170">
        <v>-3.2274780000000001</v>
      </c>
      <c r="V3170">
        <v>-0.1452523</v>
      </c>
      <c r="W3170">
        <v>0.1775255</v>
      </c>
      <c r="X3170">
        <v>0.97333780000000003</v>
      </c>
      <c r="Y3170">
        <v>-0.5122215</v>
      </c>
      <c r="Z3170">
        <v>-3.8520560000000002E-2</v>
      </c>
      <c r="AA3170">
        <v>0.85798909999999995</v>
      </c>
      <c r="AB3170">
        <v>22</v>
      </c>
      <c r="AC3170">
        <v>-0.52859500000000004</v>
      </c>
      <c r="AD3170">
        <v>0.14069279999999901</v>
      </c>
      <c r="AE3170">
        <v>-3.2274780000000001</v>
      </c>
      <c r="AF3170">
        <v>-1.67136280491894</v>
      </c>
      <c r="AG3170">
        <v>0.14069279999999901</v>
      </c>
      <c r="AH3170">
        <v>2.8041208938736202</v>
      </c>
      <c r="AI3170">
        <v>87.532156830862903</v>
      </c>
      <c r="AJ3170">
        <v>120.796551597925</v>
      </c>
      <c r="AK3170">
        <v>3.2674672266293499</v>
      </c>
      <c r="AL3170">
        <v>79.774339802481705</v>
      </c>
      <c r="AM3170">
        <v>98.487677147052693</v>
      </c>
      <c r="AN3170">
        <v>1.0000000033571901</v>
      </c>
    </row>
    <row r="3171" spans="1:40" x14ac:dyDescent="0.25">
      <c r="A3171" t="str">
        <f>"20190303170317276"</f>
        <v>20190303170317276</v>
      </c>
      <c r="B3171" t="str">
        <f>"1551603797268505"</f>
        <v>1551603797268505</v>
      </c>
      <c r="C3171" t="s">
        <v>40</v>
      </c>
      <c r="D3171">
        <v>4.4097629999999999</v>
      </c>
      <c r="E3171">
        <v>0.34393109999999999</v>
      </c>
      <c r="F3171" t="s">
        <v>48</v>
      </c>
      <c r="G3171">
        <v>0</v>
      </c>
      <c r="H3171">
        <v>0</v>
      </c>
      <c r="I3171">
        <v>0</v>
      </c>
      <c r="J3171">
        <v>-487.35590000000002</v>
      </c>
      <c r="K3171">
        <v>1.126085</v>
      </c>
      <c r="L3171">
        <v>274.18619999999999</v>
      </c>
      <c r="M3171">
        <v>-0.641289</v>
      </c>
      <c r="N3171">
        <v>-1.40947E-2</v>
      </c>
      <c r="O3171">
        <v>-0.76717019999999903</v>
      </c>
      <c r="P3171">
        <v>-0.51549699999999998</v>
      </c>
      <c r="Q3171">
        <v>0.1655759</v>
      </c>
      <c r="R3171">
        <v>-0.84074249999999995</v>
      </c>
      <c r="S3171">
        <v>-0.516571</v>
      </c>
      <c r="T3171">
        <v>0.14032030000000001</v>
      </c>
      <c r="U3171">
        <v>-3.2294309999999999</v>
      </c>
      <c r="V3171">
        <v>-0.1455671</v>
      </c>
      <c r="W3171">
        <v>0.1777986</v>
      </c>
      <c r="X3171">
        <v>0.97324089999999996</v>
      </c>
      <c r="Y3171">
        <v>-0.51234279999999999</v>
      </c>
      <c r="Z3171">
        <v>-3.8606219999999997E-2</v>
      </c>
      <c r="AA3171">
        <v>0.85791280000000003</v>
      </c>
      <c r="AB3171">
        <v>22</v>
      </c>
      <c r="AC3171">
        <v>-0.516571</v>
      </c>
      <c r="AD3171">
        <v>0.14032030000000001</v>
      </c>
      <c r="AE3171">
        <v>-3.2294309999999999</v>
      </c>
      <c r="AF3171">
        <v>-1.6717892710373301</v>
      </c>
      <c r="AG3171">
        <v>0.14032030000000001</v>
      </c>
      <c r="AH3171">
        <v>2.8039115023489698</v>
      </c>
      <c r="AI3171">
        <v>87.538711681005395</v>
      </c>
      <c r="AJ3171">
        <v>120.804862787831</v>
      </c>
      <c r="AK3171">
        <v>3.2674896887905298</v>
      </c>
      <c r="AL3171">
        <v>79.758439195402502</v>
      </c>
      <c r="AM3171">
        <v>98.506637868555899</v>
      </c>
      <c r="AN3171">
        <v>0.99999998609858898</v>
      </c>
    </row>
    <row r="3172" spans="1:40" x14ac:dyDescent="0.25">
      <c r="A3172" t="str">
        <f>"20190303170317289"</f>
        <v>20190303170317289</v>
      </c>
      <c r="B3172" t="str">
        <f>"1551603797278264"</f>
        <v>1551603797278264</v>
      </c>
      <c r="C3172" t="s">
        <v>40</v>
      </c>
      <c r="D3172">
        <v>4.4268809999999998</v>
      </c>
      <c r="E3172">
        <v>0.34393309999999999</v>
      </c>
      <c r="F3172" t="s">
        <v>48</v>
      </c>
      <c r="G3172">
        <v>0</v>
      </c>
      <c r="H3172">
        <v>0</v>
      </c>
      <c r="I3172">
        <v>0</v>
      </c>
      <c r="J3172">
        <v>-487.43490000000003</v>
      </c>
      <c r="K3172">
        <v>1.1261099999999999</v>
      </c>
      <c r="L3172">
        <v>274.084</v>
      </c>
      <c r="M3172">
        <v>-0.63796439999999999</v>
      </c>
      <c r="N3172">
        <v>-1.4096600000000001E-2</v>
      </c>
      <c r="O3172">
        <v>-0.76993690000000004</v>
      </c>
      <c r="P3172">
        <v>-0.51136029999999999</v>
      </c>
      <c r="Q3172">
        <v>0.16576930000000001</v>
      </c>
      <c r="R3172">
        <v>-0.84322659999999905</v>
      </c>
      <c r="S3172">
        <v>-0.50515750000000004</v>
      </c>
      <c r="T3172">
        <v>0.1405547</v>
      </c>
      <c r="U3172">
        <v>-3.2308650000000001</v>
      </c>
      <c r="V3172">
        <v>-0.14612749999999999</v>
      </c>
      <c r="W3172">
        <v>0.17797779999999999</v>
      </c>
      <c r="X3172">
        <v>0.97312410000000005</v>
      </c>
      <c r="Y3172">
        <v>-0.51164529999999997</v>
      </c>
      <c r="Z3172">
        <v>-3.8845230000000001E-2</v>
      </c>
      <c r="AA3172">
        <v>0.85831829999999998</v>
      </c>
      <c r="AB3172">
        <v>22</v>
      </c>
      <c r="AC3172">
        <v>-0.50515750000000004</v>
      </c>
      <c r="AD3172">
        <v>0.1405547</v>
      </c>
      <c r="AE3172">
        <v>-3.2308650000000001</v>
      </c>
      <c r="AF3172">
        <v>-1.66931960309326</v>
      </c>
      <c r="AG3172">
        <v>0.1405547</v>
      </c>
      <c r="AH3172">
        <v>2.8049318680943802</v>
      </c>
      <c r="AI3172">
        <v>87.534313104301503</v>
      </c>
      <c r="AJ3172">
        <v>120.75845544009201</v>
      </c>
      <c r="AK3172">
        <v>3.2671128455587399</v>
      </c>
      <c r="AL3172">
        <v>79.748004785499504</v>
      </c>
      <c r="AM3172">
        <v>98.539914398283997</v>
      </c>
      <c r="AN3172">
        <v>0.99999992877494703</v>
      </c>
    </row>
    <row r="3173" spans="1:40" x14ac:dyDescent="0.25">
      <c r="A3173" t="str">
        <f>"20190303170317301"</f>
        <v>20190303170317301</v>
      </c>
      <c r="B3173" t="str">
        <f>"1551603797289001"</f>
        <v>1551603797289001</v>
      </c>
      <c r="C3173" t="s">
        <v>40</v>
      </c>
      <c r="D3173">
        <v>4.4532059999999998</v>
      </c>
      <c r="E3173">
        <v>0.3439508</v>
      </c>
      <c r="F3173" t="s">
        <v>48</v>
      </c>
      <c r="G3173">
        <v>0</v>
      </c>
      <c r="H3173">
        <v>0</v>
      </c>
      <c r="I3173">
        <v>0</v>
      </c>
      <c r="J3173">
        <v>-487.5043</v>
      </c>
      <c r="K3173">
        <v>1.1261300000000001</v>
      </c>
      <c r="L3173">
        <v>273.99360000000001</v>
      </c>
      <c r="M3173">
        <v>-0.63500259999999997</v>
      </c>
      <c r="N3173">
        <v>-1.409821E-2</v>
      </c>
      <c r="O3173">
        <v>-0.7723816</v>
      </c>
      <c r="P3173">
        <v>-0.50763040000000004</v>
      </c>
      <c r="Q3173">
        <v>0.1661966</v>
      </c>
      <c r="R3173">
        <v>-0.84539370000000003</v>
      </c>
      <c r="S3173">
        <v>-0.4894714</v>
      </c>
      <c r="T3173">
        <v>0.14240849999999999</v>
      </c>
      <c r="U3173">
        <v>-3.2329409999999998</v>
      </c>
      <c r="V3173">
        <v>-0.14665029999999901</v>
      </c>
      <c r="W3173">
        <v>0.1783921</v>
      </c>
      <c r="X3173">
        <v>0.97296970000000005</v>
      </c>
      <c r="Y3173">
        <v>-0.51250150000000005</v>
      </c>
      <c r="Z3173">
        <v>-3.9339970000000002E-2</v>
      </c>
      <c r="AA3173">
        <v>0.85778469999999996</v>
      </c>
      <c r="AB3173">
        <v>22</v>
      </c>
      <c r="AC3173">
        <v>-0.4894714</v>
      </c>
      <c r="AD3173">
        <v>0.14240849999999999</v>
      </c>
      <c r="AE3173">
        <v>-3.2329409999999998</v>
      </c>
      <c r="AF3173">
        <v>-1.67186210117763</v>
      </c>
      <c r="AG3173">
        <v>0.14240849999999999</v>
      </c>
      <c r="AH3173">
        <v>2.8028417058692399</v>
      </c>
      <c r="AI3173">
        <v>87.5014558299698</v>
      </c>
      <c r="AJ3173">
        <v>120.815579251125</v>
      </c>
      <c r="AK3173">
        <v>3.2666993578207202</v>
      </c>
      <c r="AL3173">
        <v>79.723882292828094</v>
      </c>
      <c r="AM3173">
        <v>98.571354520948105</v>
      </c>
      <c r="AN3173">
        <v>1.0000000444752899</v>
      </c>
    </row>
    <row r="3174" spans="1:40" x14ac:dyDescent="0.25">
      <c r="A3174" t="str">
        <f>"20190303170317313"</f>
        <v>20190303170317313</v>
      </c>
      <c r="B3174" t="str">
        <f>"1551603797308523"</f>
        <v>1551603797308523</v>
      </c>
      <c r="C3174" t="s">
        <v>40</v>
      </c>
      <c r="D3174">
        <v>4.4196619999999998</v>
      </c>
      <c r="E3174">
        <v>0.34426590000000001</v>
      </c>
      <c r="F3174" t="s">
        <v>48</v>
      </c>
      <c r="G3174">
        <v>0</v>
      </c>
      <c r="H3174">
        <v>0</v>
      </c>
      <c r="I3174">
        <v>0</v>
      </c>
      <c r="J3174">
        <v>-487.57810000000001</v>
      </c>
      <c r="K3174">
        <v>1.1261509999999999</v>
      </c>
      <c r="L3174">
        <v>273.89679999999998</v>
      </c>
      <c r="M3174">
        <v>-0.63181849999999995</v>
      </c>
      <c r="N3174">
        <v>-1.409989E-2</v>
      </c>
      <c r="O3174">
        <v>-0.77498809999999996</v>
      </c>
      <c r="P3174">
        <v>-0.50357149999999995</v>
      </c>
      <c r="Q3174">
        <v>0.16647690000000001</v>
      </c>
      <c r="R3174">
        <v>-0.84776260000000003</v>
      </c>
      <c r="S3174">
        <v>-0.47525020000000001</v>
      </c>
      <c r="T3174">
        <v>0.14425109999999999</v>
      </c>
      <c r="U3174">
        <v>-3.2349239999999999</v>
      </c>
      <c r="V3174">
        <v>-0.1472889</v>
      </c>
      <c r="W3174">
        <v>0.1786586</v>
      </c>
      <c r="X3174">
        <v>0.97282429999999998</v>
      </c>
      <c r="Y3174">
        <v>-0.51273859999999905</v>
      </c>
      <c r="Z3174">
        <v>-3.9853189999999997E-2</v>
      </c>
      <c r="AA3174">
        <v>0.85761929999999997</v>
      </c>
      <c r="AB3174">
        <v>22</v>
      </c>
      <c r="AC3174">
        <v>-0.47525020000000001</v>
      </c>
      <c r="AD3174">
        <v>0.14425109999999999</v>
      </c>
      <c r="AE3174">
        <v>-3.2349239999999999</v>
      </c>
      <c r="AF3174">
        <v>-1.67248282737176</v>
      </c>
      <c r="AG3174">
        <v>0.14425109999999999</v>
      </c>
      <c r="AH3174">
        <v>2.8021244907627998</v>
      </c>
      <c r="AI3174">
        <v>87.468938650283505</v>
      </c>
      <c r="AJ3174">
        <v>120.831389992243</v>
      </c>
      <c r="AK3174">
        <v>3.2664826418392798</v>
      </c>
      <c r="AL3174">
        <v>79.708363380964499</v>
      </c>
      <c r="AM3174">
        <v>98.609388500536099</v>
      </c>
      <c r="AN3174">
        <v>1.0000000170438299</v>
      </c>
    </row>
    <row r="3175" spans="1:40" x14ac:dyDescent="0.25">
      <c r="A3175" t="str">
        <f>"20190303170317325"</f>
        <v>20190303170317325</v>
      </c>
      <c r="B3175" t="str">
        <f>"1551603797318282"</f>
        <v>1551603797318282</v>
      </c>
      <c r="C3175" t="s">
        <v>40</v>
      </c>
      <c r="D3175">
        <v>4.4478280000000003</v>
      </c>
      <c r="E3175">
        <v>0.34463690000000002</v>
      </c>
      <c r="F3175" t="s">
        <v>48</v>
      </c>
      <c r="G3175">
        <v>0</v>
      </c>
      <c r="H3175">
        <v>0</v>
      </c>
      <c r="I3175">
        <v>0</v>
      </c>
      <c r="J3175">
        <v>-487.64260000000002</v>
      </c>
      <c r="K3175">
        <v>1.1261639999999999</v>
      </c>
      <c r="L3175">
        <v>273.81110000000001</v>
      </c>
      <c r="M3175">
        <v>-0.62898089999999995</v>
      </c>
      <c r="N3175">
        <v>-1.410141E-2</v>
      </c>
      <c r="O3175">
        <v>-0.77729280000000001</v>
      </c>
      <c r="P3175">
        <v>-0.49979249999999997</v>
      </c>
      <c r="Q3175">
        <v>0.16708899999999999</v>
      </c>
      <c r="R3175">
        <v>-0.84987610000000002</v>
      </c>
      <c r="S3175">
        <v>-0.4623718</v>
      </c>
      <c r="T3175">
        <v>0.14486740000000001</v>
      </c>
      <c r="U3175">
        <v>-3.2355960000000001</v>
      </c>
      <c r="V3175">
        <v>-0.14800170000000001</v>
      </c>
      <c r="W3175">
        <v>0.17925679999999999</v>
      </c>
      <c r="X3175">
        <v>0.97260610000000003</v>
      </c>
      <c r="Y3175">
        <v>-0.5129705</v>
      </c>
      <c r="Z3175">
        <v>-4.013241E-2</v>
      </c>
      <c r="AA3175">
        <v>0.8574676</v>
      </c>
      <c r="AB3175">
        <v>22</v>
      </c>
      <c r="AC3175">
        <v>-0.4623718</v>
      </c>
      <c r="AD3175">
        <v>0.14486740000000001</v>
      </c>
      <c r="AE3175">
        <v>-3.2355960000000001</v>
      </c>
      <c r="AF3175">
        <v>-1.6726106606604001</v>
      </c>
      <c r="AG3175">
        <v>0.14486740000000001</v>
      </c>
      <c r="AH3175">
        <v>2.8006058217571601</v>
      </c>
      <c r="AI3175">
        <v>87.457175339229707</v>
      </c>
      <c r="AJ3175">
        <v>120.84698895821199</v>
      </c>
      <c r="AK3175">
        <v>3.2652727228514502</v>
      </c>
      <c r="AL3175">
        <v>79.673527165612299</v>
      </c>
      <c r="AM3175">
        <v>98.652335893310905</v>
      </c>
      <c r="AN3175">
        <v>1.0000000646531599</v>
      </c>
    </row>
    <row r="3176" spans="1:40" x14ac:dyDescent="0.25">
      <c r="A3176" t="str">
        <f>"20190303170317337"</f>
        <v>20190303170317337</v>
      </c>
      <c r="B3176" t="str">
        <f>"1551603797329017"</f>
        <v>1551603797329017</v>
      </c>
      <c r="C3176" t="s">
        <v>40</v>
      </c>
      <c r="D3176">
        <v>4.4472310000000004</v>
      </c>
      <c r="E3176">
        <v>0.34497060000000002</v>
      </c>
      <c r="F3176" t="s">
        <v>48</v>
      </c>
      <c r="G3176">
        <v>0</v>
      </c>
      <c r="H3176">
        <v>0</v>
      </c>
      <c r="I3176">
        <v>0</v>
      </c>
      <c r="J3176">
        <v>-487.714</v>
      </c>
      <c r="K3176">
        <v>1.126177</v>
      </c>
      <c r="L3176">
        <v>273.71589999999998</v>
      </c>
      <c r="M3176">
        <v>-0.625816699999999</v>
      </c>
      <c r="N3176">
        <v>-1.4103020000000001E-2</v>
      </c>
      <c r="O3176">
        <v>-0.7798427</v>
      </c>
      <c r="P3176">
        <v>-0.49548950000000003</v>
      </c>
      <c r="Q3176">
        <v>0.16758190000000001</v>
      </c>
      <c r="R3176">
        <v>-0.85229500000000002</v>
      </c>
      <c r="S3176">
        <v>-0.4507446</v>
      </c>
      <c r="T3176">
        <v>0.14545820000000001</v>
      </c>
      <c r="U3176">
        <v>-3.2362980000000001</v>
      </c>
      <c r="V3176">
        <v>-0.14891879999999999</v>
      </c>
      <c r="W3176">
        <v>0.17973339999999999</v>
      </c>
      <c r="X3176">
        <v>0.97237810000000002</v>
      </c>
      <c r="Y3176">
        <v>-0.51253019999999905</v>
      </c>
      <c r="Z3176">
        <v>-4.0431349999999998E-2</v>
      </c>
      <c r="AA3176">
        <v>0.85771679999999995</v>
      </c>
      <c r="AB3176">
        <v>22</v>
      </c>
      <c r="AC3176">
        <v>-0.4507446</v>
      </c>
      <c r="AD3176">
        <v>0.14545820000000001</v>
      </c>
      <c r="AE3176">
        <v>-3.2362980000000001</v>
      </c>
      <c r="AF3176">
        <v>-1.67067511049387</v>
      </c>
      <c r="AG3176">
        <v>0.14545820000000001</v>
      </c>
      <c r="AH3176">
        <v>2.8006158953392699</v>
      </c>
      <c r="AI3176">
        <v>87.446049965958693</v>
      </c>
      <c r="AJ3176">
        <v>120.817701977615</v>
      </c>
      <c r="AK3176">
        <v>3.2643165909571201</v>
      </c>
      <c r="AL3176">
        <v>79.645768884982701</v>
      </c>
      <c r="AM3176">
        <v>98.707141587552002</v>
      </c>
      <c r="AN3176">
        <v>1.0000000367143</v>
      </c>
    </row>
    <row r="3177" spans="1:40" x14ac:dyDescent="0.25">
      <c r="A3177" t="str">
        <f>"20190303170317354"</f>
        <v>20190303170317354</v>
      </c>
      <c r="B3177" t="str">
        <f>"1551603797348537"</f>
        <v>1551603797348537</v>
      </c>
      <c r="C3177" t="s">
        <v>40</v>
      </c>
      <c r="D3177">
        <v>4.4899399999999998</v>
      </c>
      <c r="E3177">
        <v>0.34553260000000002</v>
      </c>
      <c r="F3177" t="s">
        <v>48</v>
      </c>
      <c r="G3177">
        <v>0</v>
      </c>
      <c r="H3177">
        <v>0</v>
      </c>
      <c r="I3177">
        <v>0</v>
      </c>
      <c r="J3177">
        <v>-487.81459999999998</v>
      </c>
      <c r="K3177">
        <v>1.1261950000000001</v>
      </c>
      <c r="L3177">
        <v>273.58</v>
      </c>
      <c r="M3177">
        <v>-0.62127299999999996</v>
      </c>
      <c r="N3177">
        <v>-1.4105349999999999E-2</v>
      </c>
      <c r="O3177">
        <v>-0.78346729999999998</v>
      </c>
      <c r="P3177">
        <v>-0.4889848</v>
      </c>
      <c r="Q3177">
        <v>0.1674165</v>
      </c>
      <c r="R3177">
        <v>-0.85607599999999995</v>
      </c>
      <c r="S3177">
        <v>-0.4367065</v>
      </c>
      <c r="T3177">
        <v>0.14655009999999999</v>
      </c>
      <c r="U3177">
        <v>-3.2372130000000001</v>
      </c>
      <c r="V3177">
        <v>-0.15070120000000001</v>
      </c>
      <c r="W3177">
        <v>0.17954200000000001</v>
      </c>
      <c r="X3177">
        <v>0.97213879999999997</v>
      </c>
      <c r="Y3177">
        <v>-0.51122520000000005</v>
      </c>
      <c r="Z3177">
        <v>-4.0911639999999999E-2</v>
      </c>
      <c r="AA3177">
        <v>0.85847249999999997</v>
      </c>
      <c r="AB3177">
        <v>22</v>
      </c>
      <c r="AC3177">
        <v>-0.4367065</v>
      </c>
      <c r="AD3177">
        <v>0.14655009999999999</v>
      </c>
      <c r="AE3177">
        <v>-3.2372130000000001</v>
      </c>
      <c r="AF3177">
        <v>-1.6658607208207501</v>
      </c>
      <c r="AG3177">
        <v>0.14655009999999999</v>
      </c>
      <c r="AH3177">
        <v>2.8022034379823002</v>
      </c>
      <c r="AI3177">
        <v>87.426037574794606</v>
      </c>
      <c r="AJ3177">
        <v>120.730739690601</v>
      </c>
      <c r="AK3177">
        <v>3.2632672248565999</v>
      </c>
      <c r="AL3177">
        <v>79.656916401118096</v>
      </c>
      <c r="AM3177">
        <v>98.811866012166504</v>
      </c>
      <c r="AN3177">
        <v>1.0000000139554399</v>
      </c>
    </row>
    <row r="3178" spans="1:40" x14ac:dyDescent="0.25">
      <c r="A3178" t="str">
        <f>"20190303170317365"</f>
        <v>20190303170317365</v>
      </c>
      <c r="B3178" t="str">
        <f>"1551603797358297"</f>
        <v>1551603797358297</v>
      </c>
      <c r="C3178" t="s">
        <v>40</v>
      </c>
      <c r="D3178">
        <v>4.4952139999999998</v>
      </c>
      <c r="E3178">
        <v>0.34577770000000002</v>
      </c>
      <c r="F3178" t="s">
        <v>48</v>
      </c>
      <c r="G3178">
        <v>0</v>
      </c>
      <c r="H3178">
        <v>0</v>
      </c>
      <c r="I3178">
        <v>0</v>
      </c>
      <c r="J3178">
        <v>-487.87560000000002</v>
      </c>
      <c r="K3178">
        <v>1.1262110000000001</v>
      </c>
      <c r="L3178">
        <v>273.49650000000003</v>
      </c>
      <c r="M3178">
        <v>-0.61846979999999996</v>
      </c>
      <c r="N3178">
        <v>-1.410665E-2</v>
      </c>
      <c r="O3178">
        <v>-0.78568199999999999</v>
      </c>
      <c r="P3178">
        <v>-0.48532019999999998</v>
      </c>
      <c r="Q3178">
        <v>0.1673521</v>
      </c>
      <c r="R3178">
        <v>-0.85817140000000003</v>
      </c>
      <c r="S3178">
        <v>-0.41607670000000002</v>
      </c>
      <c r="T3178">
        <v>0.14603070000000001</v>
      </c>
      <c r="U3178">
        <v>-3.2381289999999998</v>
      </c>
      <c r="V3178">
        <v>-0.15139620000000001</v>
      </c>
      <c r="W3178">
        <v>0.1794674</v>
      </c>
      <c r="X3178">
        <v>0.97204460000000004</v>
      </c>
      <c r="Y3178">
        <v>-0.51356080000000004</v>
      </c>
      <c r="Z3178">
        <v>-4.095671E-2</v>
      </c>
      <c r="AA3178">
        <v>0.85707520000000004</v>
      </c>
      <c r="AB3178">
        <v>22</v>
      </c>
      <c r="AC3178">
        <v>-0.41607670000000002</v>
      </c>
      <c r="AD3178">
        <v>0.14603070000000001</v>
      </c>
      <c r="AE3178">
        <v>-3.2381289999999998</v>
      </c>
      <c r="AF3178">
        <v>-1.6726012822461001</v>
      </c>
      <c r="AG3178">
        <v>0.14603070000000001</v>
      </c>
      <c r="AH3178">
        <v>2.7961548449042501</v>
      </c>
      <c r="AI3178">
        <v>87.433777976954204</v>
      </c>
      <c r="AJ3178">
        <v>120.886980146423</v>
      </c>
      <c r="AK3178">
        <v>3.2615030172292299</v>
      </c>
      <c r="AL3178">
        <v>79.661261414065905</v>
      </c>
      <c r="AM3178">
        <v>98.852706464145498</v>
      </c>
      <c r="AN3178">
        <v>1.00000003071317</v>
      </c>
    </row>
    <row r="3179" spans="1:40" x14ac:dyDescent="0.25">
      <c r="A3179" t="str">
        <f>"20190303170317376"</f>
        <v>20190303170317376</v>
      </c>
      <c r="B3179" t="str">
        <f>"1551603797369033"</f>
        <v>1551603797369033</v>
      </c>
      <c r="C3179" t="s">
        <v>40</v>
      </c>
      <c r="D3179">
        <v>4.4754449999999997</v>
      </c>
      <c r="E3179">
        <v>0.34608800000000001</v>
      </c>
      <c r="F3179" t="s">
        <v>48</v>
      </c>
      <c r="G3179">
        <v>0</v>
      </c>
      <c r="H3179">
        <v>0</v>
      </c>
      <c r="I3179">
        <v>0</v>
      </c>
      <c r="J3179">
        <v>-487.93729999999999</v>
      </c>
      <c r="K3179">
        <v>1.12622</v>
      </c>
      <c r="L3179">
        <v>273.4119</v>
      </c>
      <c r="M3179">
        <v>-0.61561719999999998</v>
      </c>
      <c r="N3179">
        <v>-1.410791E-2</v>
      </c>
      <c r="O3179">
        <v>-0.78791899999999904</v>
      </c>
      <c r="P3179">
        <v>-0.48170800000000003</v>
      </c>
      <c r="Q3179">
        <v>0.167160999999999</v>
      </c>
      <c r="R3179">
        <v>-0.86024089999999998</v>
      </c>
      <c r="S3179">
        <v>-0.4033813</v>
      </c>
      <c r="T3179">
        <v>0.14588789999999999</v>
      </c>
      <c r="U3179">
        <v>-3.2392270000000001</v>
      </c>
      <c r="V3179">
        <v>-0.15198349999999999</v>
      </c>
      <c r="W3179">
        <v>0.17926800000000001</v>
      </c>
      <c r="X3179">
        <v>0.97198969999999996</v>
      </c>
      <c r="Y3179">
        <v>-0.51379300000000006</v>
      </c>
      <c r="Z3179">
        <v>-4.1088050000000001E-2</v>
      </c>
      <c r="AA3179">
        <v>0.85692969999999902</v>
      </c>
      <c r="AB3179">
        <v>22</v>
      </c>
      <c r="AC3179">
        <v>-0.4033813</v>
      </c>
      <c r="AD3179">
        <v>0.14588789999999999</v>
      </c>
      <c r="AE3179">
        <v>-3.2392270000000001</v>
      </c>
      <c r="AF3179">
        <v>-1.67311703406263</v>
      </c>
      <c r="AG3179">
        <v>0.14588789999999999</v>
      </c>
      <c r="AH3179">
        <v>2.7952724481467599</v>
      </c>
      <c r="AI3179">
        <v>87.435897113020602</v>
      </c>
      <c r="AJ3179">
        <v>120.902731303455</v>
      </c>
      <c r="AK3179">
        <v>3.2610047452288899</v>
      </c>
      <c r="AL3179">
        <v>79.672874091794995</v>
      </c>
      <c r="AM3179">
        <v>98.886994961757907</v>
      </c>
      <c r="AN3179">
        <v>0.999999988501169</v>
      </c>
    </row>
    <row r="3180" spans="1:40" x14ac:dyDescent="0.25">
      <c r="A3180" t="str">
        <f>"20190303170317387"</f>
        <v>20190303170317387</v>
      </c>
      <c r="B3180" t="str">
        <f>"1551603797378793"</f>
        <v>1551603797378793</v>
      </c>
      <c r="C3180" t="s">
        <v>40</v>
      </c>
      <c r="D3180">
        <v>4.4876849999999999</v>
      </c>
      <c r="E3180">
        <v>0.34654239999999997</v>
      </c>
      <c r="F3180" t="s">
        <v>48</v>
      </c>
      <c r="G3180">
        <v>0</v>
      </c>
      <c r="H3180">
        <v>0</v>
      </c>
      <c r="I3180">
        <v>0</v>
      </c>
      <c r="J3180">
        <v>-488.00009999999997</v>
      </c>
      <c r="K3180">
        <v>1.126223</v>
      </c>
      <c r="L3180">
        <v>273.3245</v>
      </c>
      <c r="M3180">
        <v>-0.61266129999999996</v>
      </c>
      <c r="N3180">
        <v>-1.4109170000000001E-2</v>
      </c>
      <c r="O3180">
        <v>-0.79021980000000003</v>
      </c>
      <c r="P3180">
        <v>-0.47779650000000001</v>
      </c>
      <c r="Q3180">
        <v>0.16738979999999901</v>
      </c>
      <c r="R3180">
        <v>-0.86237540000000001</v>
      </c>
      <c r="S3180">
        <v>-0.39172360000000001</v>
      </c>
      <c r="T3180">
        <v>0.1447107</v>
      </c>
      <c r="U3180">
        <v>-3.239868</v>
      </c>
      <c r="V3180">
        <v>-0.15273699999999901</v>
      </c>
      <c r="W3180">
        <v>0.1794848</v>
      </c>
      <c r="X3180">
        <v>0.97183160000000002</v>
      </c>
      <c r="Y3180">
        <v>-0.51363610000000004</v>
      </c>
      <c r="Z3180">
        <v>-4.1034609999999999E-2</v>
      </c>
      <c r="AA3180">
        <v>0.85702630000000002</v>
      </c>
      <c r="AB3180">
        <v>22</v>
      </c>
      <c r="AC3180">
        <v>-0.39172360000000001</v>
      </c>
      <c r="AD3180">
        <v>0.1447107</v>
      </c>
      <c r="AE3180">
        <v>-3.239868</v>
      </c>
      <c r="AF3180">
        <v>-1.6722724098164301</v>
      </c>
      <c r="AG3180">
        <v>0.1447107</v>
      </c>
      <c r="AH3180">
        <v>2.79498441058599</v>
      </c>
      <c r="AI3180">
        <v>87.456029113004902</v>
      </c>
      <c r="AJ3180">
        <v>120.892584824957</v>
      </c>
      <c r="AK3180">
        <v>3.2602720829320999</v>
      </c>
      <c r="AL3180">
        <v>79.660247917818296</v>
      </c>
      <c r="AM3180">
        <v>98.931775660959602</v>
      </c>
      <c r="AN3180">
        <v>1.0000000216792899</v>
      </c>
    </row>
    <row r="3181" spans="1:40" x14ac:dyDescent="0.25">
      <c r="A3181" t="str">
        <f>"20190303170317399"</f>
        <v>20190303170317399</v>
      </c>
      <c r="B3181" t="str">
        <f>"1551603797388553"</f>
        <v>1551603797388553</v>
      </c>
      <c r="C3181" t="s">
        <v>40</v>
      </c>
      <c r="D3181">
        <v>4.4945279999999999</v>
      </c>
      <c r="E3181">
        <v>0.34654239999999997</v>
      </c>
      <c r="F3181" t="s">
        <v>48</v>
      </c>
      <c r="G3181">
        <v>0</v>
      </c>
      <c r="H3181">
        <v>0</v>
      </c>
      <c r="I3181">
        <v>0</v>
      </c>
      <c r="J3181">
        <v>-488.06259999999997</v>
      </c>
      <c r="K3181">
        <v>1.126234</v>
      </c>
      <c r="L3181">
        <v>273.23739999999998</v>
      </c>
      <c r="M3181">
        <v>-0.60970419999999903</v>
      </c>
      <c r="N3181">
        <v>-1.411041E-2</v>
      </c>
      <c r="O3181">
        <v>-0.79250339999999997</v>
      </c>
      <c r="P3181">
        <v>-0.47428759999999998</v>
      </c>
      <c r="Q3181">
        <v>0.16735050000000001</v>
      </c>
      <c r="R3181">
        <v>-0.86431769999999997</v>
      </c>
      <c r="S3181">
        <v>-0.38095089999999998</v>
      </c>
      <c r="T3181">
        <v>0.144103799999999</v>
      </c>
      <c r="U3181">
        <v>-3.239716</v>
      </c>
      <c r="V3181">
        <v>-0.15306310000000001</v>
      </c>
      <c r="W3181">
        <v>0.17944019999999999</v>
      </c>
      <c r="X3181">
        <v>0.97178850000000006</v>
      </c>
      <c r="Y3181">
        <v>-0.51323459999999999</v>
      </c>
      <c r="Z3181">
        <v>-4.1094779999999997E-2</v>
      </c>
      <c r="AA3181">
        <v>0.85726399999999903</v>
      </c>
      <c r="AB3181">
        <v>22</v>
      </c>
      <c r="AC3181">
        <v>-0.38095089999999998</v>
      </c>
      <c r="AD3181">
        <v>0.144103799999999</v>
      </c>
      <c r="AE3181">
        <v>-3.239716</v>
      </c>
      <c r="AF3181">
        <v>-1.6702706502531599</v>
      </c>
      <c r="AG3181">
        <v>0.144103799999999</v>
      </c>
      <c r="AH3181">
        <v>2.7945784571444698</v>
      </c>
      <c r="AI3181">
        <v>87.465615180745004</v>
      </c>
      <c r="AJ3181">
        <v>120.866022338858</v>
      </c>
      <c r="AK3181">
        <v>3.2588707712039602</v>
      </c>
      <c r="AL3181">
        <v>79.662845185337403</v>
      </c>
      <c r="AM3181">
        <v>98.950927507586798</v>
      </c>
      <c r="AN3181">
        <v>0.99999999334495004</v>
      </c>
    </row>
    <row r="3182" spans="1:40" x14ac:dyDescent="0.25">
      <c r="A3182" t="str">
        <f>"20190303170317410"</f>
        <v>20190303170317410</v>
      </c>
      <c r="B3182" t="str">
        <f>"1551603797398313"</f>
        <v>1551603797398313</v>
      </c>
      <c r="C3182" t="s">
        <v>40</v>
      </c>
      <c r="D3182">
        <v>4.4755630000000002</v>
      </c>
      <c r="E3182">
        <v>0.36098449999999999</v>
      </c>
      <c r="F3182" t="s">
        <v>48</v>
      </c>
      <c r="G3182">
        <v>0</v>
      </c>
      <c r="H3182">
        <v>0</v>
      </c>
      <c r="I3182">
        <v>0</v>
      </c>
      <c r="J3182">
        <v>-488.1234</v>
      </c>
      <c r="K3182">
        <v>1.1262430000000001</v>
      </c>
      <c r="L3182">
        <v>273.15159999999997</v>
      </c>
      <c r="M3182">
        <v>-0.60678500000000002</v>
      </c>
      <c r="N3182">
        <v>-1.411166E-2</v>
      </c>
      <c r="O3182">
        <v>-0.79474089999999997</v>
      </c>
      <c r="P3182">
        <v>-0.47127910000000001</v>
      </c>
      <c r="Q3182">
        <v>0.16726820000000001</v>
      </c>
      <c r="R3182">
        <v>-0.86597789999999997</v>
      </c>
      <c r="S3182">
        <v>-0.36721799999999999</v>
      </c>
      <c r="T3182">
        <v>0.14452989999999999</v>
      </c>
      <c r="U3182">
        <v>-3.2414860000000001</v>
      </c>
      <c r="V3182">
        <v>-0.1528796</v>
      </c>
      <c r="W3182">
        <v>0.17935909999999999</v>
      </c>
      <c r="X3182">
        <v>0.97183240000000004</v>
      </c>
      <c r="Y3182">
        <v>-0.51371719999999998</v>
      </c>
      <c r="Z3182">
        <v>-4.1324979999999997E-2</v>
      </c>
      <c r="AA3182">
        <v>0.85696380000000005</v>
      </c>
      <c r="AB3182">
        <v>22</v>
      </c>
      <c r="AC3182">
        <v>-0.36721799999999999</v>
      </c>
      <c r="AD3182">
        <v>0.14452989999999999</v>
      </c>
      <c r="AE3182">
        <v>-3.2414860000000001</v>
      </c>
      <c r="AF3182">
        <v>-1.67192674304834</v>
      </c>
      <c r="AG3182">
        <v>0.14452989999999999</v>
      </c>
      <c r="AH3182">
        <v>2.7937584745744601</v>
      </c>
      <c r="AI3182">
        <v>87.458245152463306</v>
      </c>
      <c r="AJ3182">
        <v>120.898441497264</v>
      </c>
      <c r="AK3182">
        <v>3.2590357991852201</v>
      </c>
      <c r="AL3182">
        <v>79.667568951263803</v>
      </c>
      <c r="AM3182">
        <v>98.939972774697296</v>
      </c>
      <c r="AN3182">
        <v>1.00000003626936</v>
      </c>
    </row>
    <row r="3183" spans="1:40" x14ac:dyDescent="0.25">
      <c r="A3183" t="str">
        <f>"20190303170317422"</f>
        <v>20190303170317422</v>
      </c>
      <c r="B3183" t="str">
        <f>"1551603797408073"</f>
        <v>1551603797408073</v>
      </c>
      <c r="C3183" t="s">
        <v>40</v>
      </c>
      <c r="D3183">
        <v>4.479495</v>
      </c>
      <c r="E3183">
        <v>0.3614715</v>
      </c>
      <c r="F3183" t="s">
        <v>48</v>
      </c>
      <c r="G3183">
        <v>0</v>
      </c>
      <c r="H3183">
        <v>0</v>
      </c>
      <c r="I3183">
        <v>0</v>
      </c>
      <c r="J3183">
        <v>-488.18720000000002</v>
      </c>
      <c r="K3183">
        <v>1.1262540000000001</v>
      </c>
      <c r="L3183">
        <v>273.0609</v>
      </c>
      <c r="M3183">
        <v>-0.60368599999999994</v>
      </c>
      <c r="N3183">
        <v>-1.411301E-2</v>
      </c>
      <c r="O3183">
        <v>-0.79709739999999996</v>
      </c>
      <c r="P3183">
        <v>-0.46812419999999999</v>
      </c>
      <c r="Q3183">
        <v>0.1674358</v>
      </c>
      <c r="R3183">
        <v>-0.86765499999999995</v>
      </c>
      <c r="S3183">
        <v>-0.45889279999999999</v>
      </c>
      <c r="T3183">
        <v>0.10081519999999999</v>
      </c>
      <c r="U3183">
        <v>-3.1951290000000001</v>
      </c>
      <c r="V3183">
        <v>-0.152618</v>
      </c>
      <c r="W3183">
        <v>0.17952789999999999</v>
      </c>
      <c r="X3183">
        <v>0.97184230000000005</v>
      </c>
      <c r="Y3183">
        <v>-0.48443219999999998</v>
      </c>
      <c r="Z3183">
        <v>-3.3460650000000002E-2</v>
      </c>
      <c r="AA3183">
        <v>0.87418869999999904</v>
      </c>
      <c r="AB3183">
        <v>22</v>
      </c>
      <c r="AC3183">
        <v>-0.45889279999999999</v>
      </c>
      <c r="AD3183">
        <v>0.10081519999999999</v>
      </c>
      <c r="AE3183">
        <v>-3.1951290000000001</v>
      </c>
      <c r="AF3183">
        <v>-1.56170452113141</v>
      </c>
      <c r="AG3183">
        <v>0.10081519999999999</v>
      </c>
      <c r="AH3183">
        <v>2.8213849812162399</v>
      </c>
      <c r="AI3183">
        <v>88.209358568079793</v>
      </c>
      <c r="AJ3183">
        <v>118.965583991229</v>
      </c>
      <c r="AK3183">
        <v>3.22634435981435</v>
      </c>
      <c r="AL3183">
        <v>79.657737348178401</v>
      </c>
      <c r="AM3183">
        <v>98.924832145657106</v>
      </c>
      <c r="AN3183">
        <v>0.99999998843585003</v>
      </c>
    </row>
    <row r="3184" spans="1:40" x14ac:dyDescent="0.25">
      <c r="A3184" t="str">
        <f>"20190303170317432"</f>
        <v>20190303170317432</v>
      </c>
      <c r="B3184" t="str">
        <f>"1551603797418809"</f>
        <v>1551603797418809</v>
      </c>
      <c r="C3184" t="s">
        <v>40</v>
      </c>
      <c r="D3184">
        <v>4.4884190000000004</v>
      </c>
      <c r="E3184">
        <v>0.36218020000000001</v>
      </c>
      <c r="F3184" t="s">
        <v>48</v>
      </c>
      <c r="G3184">
        <v>0</v>
      </c>
      <c r="H3184">
        <v>0</v>
      </c>
      <c r="I3184">
        <v>0</v>
      </c>
      <c r="J3184">
        <v>-488.24790000000002</v>
      </c>
      <c r="K3184">
        <v>1.1262700000000001</v>
      </c>
      <c r="L3184">
        <v>272.97410000000002</v>
      </c>
      <c r="M3184">
        <v>-0.60071359999999996</v>
      </c>
      <c r="N3184">
        <v>-1.411428E-2</v>
      </c>
      <c r="O3184">
        <v>-0.79933980000000004</v>
      </c>
      <c r="P3184">
        <v>-0.46528969999999997</v>
      </c>
      <c r="Q3184">
        <v>0.1680374</v>
      </c>
      <c r="R3184">
        <v>-0.86906240000000001</v>
      </c>
      <c r="S3184">
        <v>-0.45117190000000001</v>
      </c>
      <c r="T3184">
        <v>9.9119780000000005E-2</v>
      </c>
      <c r="U3184">
        <v>-3.1950379999999998</v>
      </c>
      <c r="V3184">
        <v>-0.1521102</v>
      </c>
      <c r="W3184">
        <v>0.18013299999999999</v>
      </c>
      <c r="X3184">
        <v>0.97180999999999995</v>
      </c>
      <c r="Y3184">
        <v>-0.4832381</v>
      </c>
      <c r="Z3184">
        <v>-3.3253400000000002E-2</v>
      </c>
      <c r="AA3184">
        <v>0.8748572</v>
      </c>
      <c r="AB3184">
        <v>22</v>
      </c>
      <c r="AC3184">
        <v>-0.45117190000000001</v>
      </c>
      <c r="AD3184">
        <v>9.9119780000000005E-2</v>
      </c>
      <c r="AE3184">
        <v>-3.1950379999999998</v>
      </c>
      <c r="AF3184">
        <v>-1.5573487414649101</v>
      </c>
      <c r="AG3184">
        <v>9.9119780000000005E-2</v>
      </c>
      <c r="AH3184">
        <v>2.82256392628272</v>
      </c>
      <c r="AI3184">
        <v>88.2388661542563</v>
      </c>
      <c r="AJ3184">
        <v>118.887703665225</v>
      </c>
      <c r="AK3184">
        <v>3.2252173494637701</v>
      </c>
      <c r="AL3184">
        <v>79.622493682339694</v>
      </c>
      <c r="AM3184">
        <v>98.895903508418101</v>
      </c>
      <c r="AN3184">
        <v>1.0000000433665099</v>
      </c>
    </row>
    <row r="3185" spans="1:40" x14ac:dyDescent="0.25">
      <c r="A3185" t="str">
        <f>"20190303170317444"</f>
        <v>20190303170317444</v>
      </c>
      <c r="B3185" t="str">
        <f>"1551603797428568"</f>
        <v>1551603797428568</v>
      </c>
      <c r="C3185" t="s">
        <v>40</v>
      </c>
      <c r="D3185">
        <v>4.4888870000000001</v>
      </c>
      <c r="E3185">
        <v>0.36297980000000002</v>
      </c>
      <c r="F3185" t="s">
        <v>48</v>
      </c>
      <c r="G3185">
        <v>0</v>
      </c>
      <c r="H3185">
        <v>0</v>
      </c>
      <c r="I3185">
        <v>0</v>
      </c>
      <c r="J3185">
        <v>-488.31180000000001</v>
      </c>
      <c r="K3185">
        <v>1.1262840000000001</v>
      </c>
      <c r="L3185">
        <v>272.88139999999999</v>
      </c>
      <c r="M3185">
        <v>-0.59752569999999905</v>
      </c>
      <c r="N3185">
        <v>-1.41158E-2</v>
      </c>
      <c r="O3185">
        <v>-0.80172569999999999</v>
      </c>
      <c r="P3185">
        <v>-0.46229579999999998</v>
      </c>
      <c r="Q3185">
        <v>0.16878959999999901</v>
      </c>
      <c r="R3185">
        <v>-0.87051319999999999</v>
      </c>
      <c r="S3185">
        <v>-0.4454651</v>
      </c>
      <c r="T3185">
        <v>9.9550600000000003E-2</v>
      </c>
      <c r="U3185">
        <v>-3.1942750000000002</v>
      </c>
      <c r="V3185">
        <v>-0.15150949999999999</v>
      </c>
      <c r="W3185">
        <v>0.18088899999999999</v>
      </c>
      <c r="X3185">
        <v>0.97176340000000005</v>
      </c>
      <c r="Y3185">
        <v>-0.4812554</v>
      </c>
      <c r="Z3185">
        <v>-3.3483359999999997E-2</v>
      </c>
      <c r="AA3185">
        <v>0.87594069999999902</v>
      </c>
      <c r="AB3185">
        <v>22</v>
      </c>
      <c r="AC3185">
        <v>-0.4454651</v>
      </c>
      <c r="AD3185">
        <v>9.9550600000000003E-2</v>
      </c>
      <c r="AE3185">
        <v>-3.1942750000000002</v>
      </c>
      <c r="AF3185">
        <v>-1.5501979912247299</v>
      </c>
      <c r="AG3185">
        <v>9.9550600000000003E-2</v>
      </c>
      <c r="AH3185">
        <v>2.8246992344664199</v>
      </c>
      <c r="AI3185">
        <v>88.230351370554601</v>
      </c>
      <c r="AJ3185">
        <v>118.75802766455701</v>
      </c>
      <c r="AK3185">
        <v>3.2236547425480802</v>
      </c>
      <c r="AL3185">
        <v>79.5784545257915</v>
      </c>
      <c r="AM3185">
        <v>98.861749407432598</v>
      </c>
      <c r="AN3185">
        <v>1.0000000322453999</v>
      </c>
    </row>
    <row r="3186" spans="1:40" x14ac:dyDescent="0.25">
      <c r="A3186" t="str">
        <f>"20190303170317455"</f>
        <v>20190303170317455</v>
      </c>
      <c r="B3186" t="str">
        <f>"1551603797448089"</f>
        <v>1551603797448089</v>
      </c>
      <c r="C3186" t="s">
        <v>40</v>
      </c>
      <c r="D3186">
        <v>4.5292260000000004</v>
      </c>
      <c r="E3186">
        <v>0.36401210000000001</v>
      </c>
      <c r="F3186" t="s">
        <v>48</v>
      </c>
      <c r="G3186">
        <v>0</v>
      </c>
      <c r="H3186">
        <v>0</v>
      </c>
      <c r="I3186">
        <v>0</v>
      </c>
      <c r="J3186">
        <v>-488.37439999999998</v>
      </c>
      <c r="K3186">
        <v>1.126296</v>
      </c>
      <c r="L3186">
        <v>272.79050000000001</v>
      </c>
      <c r="M3186">
        <v>-0.59438840000000004</v>
      </c>
      <c r="N3186">
        <v>-1.4117289999999999E-2</v>
      </c>
      <c r="O3186">
        <v>-0.8040543</v>
      </c>
      <c r="P3186">
        <v>-0.4591751</v>
      </c>
      <c r="Q3186">
        <v>0.169208</v>
      </c>
      <c r="R3186">
        <v>-0.87208209999999997</v>
      </c>
      <c r="S3186">
        <v>-0.44024659999999899</v>
      </c>
      <c r="T3186">
        <v>9.8362089999999999E-2</v>
      </c>
      <c r="U3186">
        <v>-3.193298</v>
      </c>
      <c r="V3186">
        <v>-0.15115239999999999</v>
      </c>
      <c r="W3186">
        <v>0.1813092</v>
      </c>
      <c r="X3186">
        <v>0.97174070000000001</v>
      </c>
      <c r="Y3186">
        <v>-0.47919469999999997</v>
      </c>
      <c r="Z3186">
        <v>-3.3385810000000002E-2</v>
      </c>
      <c r="AA3186">
        <v>0.87707349999999995</v>
      </c>
      <c r="AB3186">
        <v>22</v>
      </c>
      <c r="AC3186">
        <v>-0.44024659999999899</v>
      </c>
      <c r="AD3186">
        <v>9.8362089999999999E-2</v>
      </c>
      <c r="AE3186">
        <v>-3.193298</v>
      </c>
      <c r="AF3186">
        <v>-1.5427943565943301</v>
      </c>
      <c r="AG3186">
        <v>9.8362089999999999E-2</v>
      </c>
      <c r="AH3186">
        <v>2.8269120165859101</v>
      </c>
      <c r="AI3186">
        <v>88.250590219226098</v>
      </c>
      <c r="AJ3186">
        <v>118.623615941753</v>
      </c>
      <c r="AK3186">
        <v>3.22200575372023</v>
      </c>
      <c r="AL3186">
        <v>79.553974038785299</v>
      </c>
      <c r="AM3186">
        <v>98.841396353078906</v>
      </c>
      <c r="AN3186">
        <v>1.00000003103344</v>
      </c>
    </row>
    <row r="3187" spans="1:40" x14ac:dyDescent="0.25">
      <c r="A3187" t="str">
        <f>"20190303170317465"</f>
        <v>20190303170317465</v>
      </c>
      <c r="B3187" t="str">
        <f>"1551603797458825"</f>
        <v>1551603797458825</v>
      </c>
      <c r="C3187" t="s">
        <v>40</v>
      </c>
      <c r="D3187">
        <v>4.5589950000000004</v>
      </c>
      <c r="E3187">
        <v>0.36460779999999998</v>
      </c>
      <c r="F3187" t="s">
        <v>48</v>
      </c>
      <c r="G3187">
        <v>0</v>
      </c>
      <c r="H3187">
        <v>0</v>
      </c>
      <c r="I3187">
        <v>0</v>
      </c>
      <c r="J3187">
        <v>-488.43099999999998</v>
      </c>
      <c r="K3187">
        <v>1.1263049999999999</v>
      </c>
      <c r="L3187">
        <v>272.70710000000003</v>
      </c>
      <c r="M3187">
        <v>-0.59149779999999996</v>
      </c>
      <c r="N3187">
        <v>-1.411885E-2</v>
      </c>
      <c r="O3187">
        <v>-0.80618299999999998</v>
      </c>
      <c r="P3187">
        <v>-0.45627230000000002</v>
      </c>
      <c r="Q3187">
        <v>0.16960220000000001</v>
      </c>
      <c r="R3187">
        <v>-0.87352790000000002</v>
      </c>
      <c r="S3187">
        <v>-0.43646239999999997</v>
      </c>
      <c r="T3187">
        <v>9.974682E-2</v>
      </c>
      <c r="U3187">
        <v>-3.190887</v>
      </c>
      <c r="V3187">
        <v>-0.15085860000000001</v>
      </c>
      <c r="W3187">
        <v>0.18170359999999999</v>
      </c>
      <c r="X3187">
        <v>0.97171260000000004</v>
      </c>
      <c r="Y3187">
        <v>-0.47697610000000001</v>
      </c>
      <c r="Z3187">
        <v>-3.3806950000000002E-2</v>
      </c>
      <c r="AA3187">
        <v>0.87826589999999904</v>
      </c>
      <c r="AB3187">
        <v>22</v>
      </c>
      <c r="AC3187">
        <v>-0.43646239999999997</v>
      </c>
      <c r="AD3187">
        <v>9.974682E-2</v>
      </c>
      <c r="AE3187">
        <v>-3.190887</v>
      </c>
      <c r="AF3187">
        <v>-1.53421545784747</v>
      </c>
      <c r="AG3187">
        <v>9.974682E-2</v>
      </c>
      <c r="AH3187">
        <v>2.8281746659304501</v>
      </c>
      <c r="AI3187">
        <v>88.224329711995296</v>
      </c>
      <c r="AJ3187">
        <v>118.478746448317</v>
      </c>
      <c r="AK3187">
        <v>3.2190586264013601</v>
      </c>
      <c r="AL3187">
        <v>79.530993996989096</v>
      </c>
      <c r="AM3187">
        <v>98.824732942835297</v>
      </c>
      <c r="AN3187">
        <v>0.99999994622283805</v>
      </c>
    </row>
    <row r="3188" spans="1:40" x14ac:dyDescent="0.25">
      <c r="A3188" t="str">
        <f>"20190303170317477"</f>
        <v>20190303170317477</v>
      </c>
      <c r="B3188" t="str">
        <f>"1551603797468586"</f>
        <v>1551603797468586</v>
      </c>
      <c r="C3188" t="s">
        <v>40</v>
      </c>
      <c r="D3188">
        <v>4.544448</v>
      </c>
      <c r="E3188">
        <v>0.36501289999999997</v>
      </c>
      <c r="F3188" t="s">
        <v>48</v>
      </c>
      <c r="G3188">
        <v>0</v>
      </c>
      <c r="H3188">
        <v>0</v>
      </c>
      <c r="I3188">
        <v>0</v>
      </c>
      <c r="J3188">
        <v>-488.48869999999999</v>
      </c>
      <c r="K3188">
        <v>1.126315</v>
      </c>
      <c r="L3188">
        <v>272.62169999999998</v>
      </c>
      <c r="M3188">
        <v>-0.58852759999999904</v>
      </c>
      <c r="N3188">
        <v>-1.412042E-2</v>
      </c>
      <c r="O3188">
        <v>-0.80835380000000001</v>
      </c>
      <c r="P3188">
        <v>-0.45339609999999902</v>
      </c>
      <c r="Q3188">
        <v>0.16984589999999999</v>
      </c>
      <c r="R3188">
        <v>-0.87497669999999905</v>
      </c>
      <c r="S3188">
        <v>-0.43008420000000003</v>
      </c>
      <c r="T3188">
        <v>0.10035090000000001</v>
      </c>
      <c r="U3188">
        <v>-3.190277</v>
      </c>
      <c r="V3188">
        <v>-0.15045910000000001</v>
      </c>
      <c r="W3188">
        <v>0.18194969999999999</v>
      </c>
      <c r="X3188">
        <v>0.9717285</v>
      </c>
      <c r="Y3188">
        <v>-0.47544439999999999</v>
      </c>
      <c r="Z3188">
        <v>-3.4060930000000003E-2</v>
      </c>
      <c r="AA3188">
        <v>0.87908609999999898</v>
      </c>
      <c r="AB3188">
        <v>22</v>
      </c>
      <c r="AC3188">
        <v>-0.43008420000000003</v>
      </c>
      <c r="AD3188">
        <v>0.10035090000000001</v>
      </c>
      <c r="AE3188">
        <v>-3.190277</v>
      </c>
      <c r="AF3188">
        <v>-1.5285729993847099</v>
      </c>
      <c r="AG3188">
        <v>0.10035090000000001</v>
      </c>
      <c r="AH3188">
        <v>2.8295217007808899</v>
      </c>
      <c r="AI3188">
        <v>88.2127494049912</v>
      </c>
      <c r="AJ3188">
        <v>118.378942385816</v>
      </c>
      <c r="AK3188">
        <v>3.2175765372044798</v>
      </c>
      <c r="AL3188">
        <v>79.516654576254695</v>
      </c>
      <c r="AM3188">
        <v>98.801588143524498</v>
      </c>
      <c r="AN3188">
        <v>0.99999995590757396</v>
      </c>
    </row>
    <row r="3189" spans="1:40" x14ac:dyDescent="0.25">
      <c r="A3189" t="str">
        <f>"20190303170317489"</f>
        <v>20190303170317489</v>
      </c>
      <c r="B3189" t="str">
        <f>"1551603797478345"</f>
        <v>1551603797478345</v>
      </c>
      <c r="C3189" t="s">
        <v>40</v>
      </c>
      <c r="D3189">
        <v>4.5663099999999996</v>
      </c>
      <c r="E3189">
        <v>0.36501289999999997</v>
      </c>
      <c r="F3189" t="s">
        <v>48</v>
      </c>
      <c r="G3189">
        <v>0</v>
      </c>
      <c r="H3189">
        <v>0</v>
      </c>
      <c r="I3189">
        <v>0</v>
      </c>
      <c r="J3189">
        <v>-488.55329999999998</v>
      </c>
      <c r="K3189">
        <v>1.126328</v>
      </c>
      <c r="L3189">
        <v>272.52499999999998</v>
      </c>
      <c r="M3189">
        <v>-0.58515319999999904</v>
      </c>
      <c r="N3189">
        <v>-1.4122350000000001E-2</v>
      </c>
      <c r="O3189">
        <v>-0.81079969999999901</v>
      </c>
      <c r="P3189">
        <v>-0.45000240000000002</v>
      </c>
      <c r="Q3189">
        <v>0.1698781</v>
      </c>
      <c r="R3189">
        <v>-0.87672070000000002</v>
      </c>
      <c r="S3189">
        <v>-0.42211910000000002</v>
      </c>
      <c r="T3189">
        <v>0.1015383</v>
      </c>
      <c r="U3189">
        <v>-3.1902469999999998</v>
      </c>
      <c r="V3189">
        <v>-0.15017559999999999</v>
      </c>
      <c r="W3189">
        <v>0.18198259999999999</v>
      </c>
      <c r="X3189">
        <v>0.97176620000000002</v>
      </c>
      <c r="Y3189">
        <v>-0.47393469999999999</v>
      </c>
      <c r="Z3189">
        <v>-3.4448409999999999E-2</v>
      </c>
      <c r="AA3189">
        <v>0.87988599999999995</v>
      </c>
      <c r="AB3189">
        <v>22</v>
      </c>
      <c r="AC3189">
        <v>-0.42211910000000002</v>
      </c>
      <c r="AD3189">
        <v>0.1015383</v>
      </c>
      <c r="AE3189">
        <v>-3.1902469999999998</v>
      </c>
      <c r="AF3189">
        <v>-1.5231649324416401</v>
      </c>
      <c r="AG3189">
        <v>0.1015383</v>
      </c>
      <c r="AH3189">
        <v>2.8311198745020301</v>
      </c>
      <c r="AI3189">
        <v>88.190963898014601</v>
      </c>
      <c r="AJ3189">
        <v>118.28060368619801</v>
      </c>
      <c r="AK3189">
        <v>3.2164547535426702</v>
      </c>
      <c r="AL3189">
        <v>79.514737609613206</v>
      </c>
      <c r="AM3189">
        <v>98.784927346108702</v>
      </c>
      <c r="AN3189">
        <v>0.999999962500279</v>
      </c>
    </row>
    <row r="3190" spans="1:40" x14ac:dyDescent="0.25">
      <c r="A3190" t="str">
        <f>"20190303170317500"</f>
        <v>20190303170317500</v>
      </c>
      <c r="B3190" t="str">
        <f>"1551603797488105"</f>
        <v>1551603797488105</v>
      </c>
      <c r="C3190" t="s">
        <v>40</v>
      </c>
      <c r="D3190">
        <v>4.5296510000000003</v>
      </c>
      <c r="E3190">
        <v>0.3723767</v>
      </c>
      <c r="F3190" t="s">
        <v>48</v>
      </c>
      <c r="G3190">
        <v>0</v>
      </c>
      <c r="H3190">
        <v>0</v>
      </c>
      <c r="I3190">
        <v>0</v>
      </c>
      <c r="J3190">
        <v>-488.61099999999999</v>
      </c>
      <c r="K3190">
        <v>1.1263399999999999</v>
      </c>
      <c r="L3190">
        <v>272.43799999999999</v>
      </c>
      <c r="M3190">
        <v>-0.58210509999999904</v>
      </c>
      <c r="N3190">
        <v>-1.4124090000000001E-2</v>
      </c>
      <c r="O3190">
        <v>-0.81299100000000002</v>
      </c>
      <c r="P3190">
        <v>-0.44714229999999999</v>
      </c>
      <c r="Q3190">
        <v>0.169901</v>
      </c>
      <c r="R3190">
        <v>-0.87817880000000004</v>
      </c>
      <c r="S3190">
        <v>-0.40963749999999999</v>
      </c>
      <c r="T3190">
        <v>0.10198840000000001</v>
      </c>
      <c r="U3190">
        <v>-3.1918639999999998</v>
      </c>
      <c r="V3190">
        <v>-0.14969560000000001</v>
      </c>
      <c r="W3190">
        <v>0.1820097</v>
      </c>
      <c r="X3190">
        <v>0.97183520000000001</v>
      </c>
      <c r="Y3190">
        <v>-0.47407100000000002</v>
      </c>
      <c r="Z3190">
        <v>-3.4655709999999999E-2</v>
      </c>
      <c r="AA3190">
        <v>0.87980429999999998</v>
      </c>
      <c r="AB3190">
        <v>22</v>
      </c>
      <c r="AC3190">
        <v>-0.40963749999999999</v>
      </c>
      <c r="AD3190">
        <v>0.10198840000000001</v>
      </c>
      <c r="AE3190">
        <v>-3.1918639999999998</v>
      </c>
      <c r="AF3190">
        <v>-1.5235903538693201</v>
      </c>
      <c r="AG3190">
        <v>0.10198840000000001</v>
      </c>
      <c r="AH3190">
        <v>2.8308477781614201</v>
      </c>
      <c r="AI3190">
        <v>88.182928674362998</v>
      </c>
      <c r="AJ3190">
        <v>118.289578324917</v>
      </c>
      <c r="AK3190">
        <v>3.2164309946367</v>
      </c>
      <c r="AL3190">
        <v>79.513158704977997</v>
      </c>
      <c r="AM3190">
        <v>98.756672267264307</v>
      </c>
      <c r="AN3190">
        <v>0.999999979756244</v>
      </c>
    </row>
    <row r="3191" spans="1:40" x14ac:dyDescent="0.25">
      <c r="A3191" t="str">
        <f>"20190303170317512"</f>
        <v>20190303170317512</v>
      </c>
      <c r="B3191" t="str">
        <f>"1551603797498841"</f>
        <v>1551603797498841</v>
      </c>
      <c r="C3191" t="s">
        <v>40</v>
      </c>
      <c r="D3191">
        <v>4.5510679999999999</v>
      </c>
      <c r="E3191">
        <v>0.37317440000000002</v>
      </c>
      <c r="F3191" t="s">
        <v>48</v>
      </c>
      <c r="G3191">
        <v>0</v>
      </c>
      <c r="H3191">
        <v>0</v>
      </c>
      <c r="I3191">
        <v>0</v>
      </c>
      <c r="J3191">
        <v>-488.67540000000002</v>
      </c>
      <c r="K3191">
        <v>1.126355</v>
      </c>
      <c r="L3191">
        <v>272.34010000000001</v>
      </c>
      <c r="M3191">
        <v>-0.5786616</v>
      </c>
      <c r="N3191">
        <v>-1.4126049999999999E-2</v>
      </c>
      <c r="O3191">
        <v>-0.81544550000000005</v>
      </c>
      <c r="P3191">
        <v>-0.44401629999999997</v>
      </c>
      <c r="Q3191">
        <v>0.1697854</v>
      </c>
      <c r="R3191">
        <v>-0.87978579999999995</v>
      </c>
      <c r="S3191">
        <v>-0.4526367</v>
      </c>
      <c r="T3191">
        <v>7.4630740000000001E-2</v>
      </c>
      <c r="U3191">
        <v>-3.1712950000000002</v>
      </c>
      <c r="V3191">
        <v>-0.14905689999999999</v>
      </c>
      <c r="W3191">
        <v>0.18190049999999999</v>
      </c>
      <c r="X3191">
        <v>0.97195379999999998</v>
      </c>
      <c r="Y3191">
        <v>-0.45778170000000001</v>
      </c>
      <c r="Z3191">
        <v>-2.9224320000000002E-2</v>
      </c>
      <c r="AA3191">
        <v>0.88858419999999905</v>
      </c>
      <c r="AB3191">
        <v>22</v>
      </c>
      <c r="AC3191">
        <v>-0.4526367</v>
      </c>
      <c r="AD3191">
        <v>7.4630740000000001E-2</v>
      </c>
      <c r="AE3191">
        <v>-3.1712950000000002</v>
      </c>
      <c r="AF3191">
        <v>-1.4653569235987001</v>
      </c>
      <c r="AG3191">
        <v>7.4630740000000001E-2</v>
      </c>
      <c r="AH3191">
        <v>2.8466806307405301</v>
      </c>
      <c r="AI3191">
        <v>88.664691670167798</v>
      </c>
      <c r="AJ3191">
        <v>117.23759162179</v>
      </c>
      <c r="AK3191">
        <v>3.2025663575209302</v>
      </c>
      <c r="AL3191">
        <v>79.519521521574404</v>
      </c>
      <c r="AM3191">
        <v>98.718838316910706</v>
      </c>
      <c r="AN3191">
        <v>0.99999997033614896</v>
      </c>
    </row>
    <row r="3192" spans="1:40" x14ac:dyDescent="0.25">
      <c r="A3192" t="str">
        <f>"20190303170317525"</f>
        <v>20190303170317525</v>
      </c>
      <c r="B3192" t="str">
        <f>"1551603797508601"</f>
        <v>1551603797508601</v>
      </c>
      <c r="C3192" t="s">
        <v>40</v>
      </c>
      <c r="D3192">
        <v>4.5367300000000004</v>
      </c>
      <c r="E3192">
        <v>0.37369730000000001</v>
      </c>
      <c r="F3192" t="s">
        <v>48</v>
      </c>
      <c r="G3192">
        <v>0</v>
      </c>
      <c r="H3192">
        <v>0</v>
      </c>
      <c r="I3192">
        <v>0</v>
      </c>
      <c r="J3192">
        <v>-488.73559999999998</v>
      </c>
      <c r="K3192">
        <v>1.1263650000000001</v>
      </c>
      <c r="L3192">
        <v>272.24740000000003</v>
      </c>
      <c r="M3192">
        <v>-0.57538559999999905</v>
      </c>
      <c r="N3192">
        <v>-1.4127829999999999E-2</v>
      </c>
      <c r="O3192">
        <v>-0.81776019999999905</v>
      </c>
      <c r="P3192">
        <v>-0.4410367</v>
      </c>
      <c r="Q3192">
        <v>0.17024800000000001</v>
      </c>
      <c r="R3192">
        <v>-0.88119360000000002</v>
      </c>
      <c r="S3192">
        <v>-0.44686890000000001</v>
      </c>
      <c r="T3192">
        <v>7.0910100000000004E-2</v>
      </c>
      <c r="U3192">
        <v>-3.1707459999999998</v>
      </c>
      <c r="V3192">
        <v>-0.1484037</v>
      </c>
      <c r="W3192">
        <v>0.18236840000000001</v>
      </c>
      <c r="X3192">
        <v>0.97196610000000006</v>
      </c>
      <c r="Y3192">
        <v>-0.45577000000000001</v>
      </c>
      <c r="Z3192">
        <v>-2.8544799999999999E-2</v>
      </c>
      <c r="AA3192">
        <v>0.88963979999999998</v>
      </c>
      <c r="AB3192">
        <v>22</v>
      </c>
      <c r="AC3192">
        <v>-0.44686890000000001</v>
      </c>
      <c r="AD3192">
        <v>7.0910100000000004E-2</v>
      </c>
      <c r="AE3192">
        <v>-3.1707459999999998</v>
      </c>
      <c r="AF3192">
        <v>-1.45840046276999</v>
      </c>
      <c r="AG3192">
        <v>7.0910100000000004E-2</v>
      </c>
      <c r="AH3192">
        <v>2.8489192702964998</v>
      </c>
      <c r="AI3192">
        <v>88.730770052271694</v>
      </c>
      <c r="AJ3192">
        <v>117.108523202697</v>
      </c>
      <c r="AK3192">
        <v>3.2012967936067001</v>
      </c>
      <c r="AL3192">
        <v>79.492257052960497</v>
      </c>
      <c r="AM3192">
        <v>98.681105601705696</v>
      </c>
      <c r="AN3192">
        <v>0.99999999552073005</v>
      </c>
    </row>
    <row r="3193" spans="1:40" x14ac:dyDescent="0.25">
      <c r="A3193" t="str">
        <f>"20190303170317545"</f>
        <v>20190303170317545</v>
      </c>
      <c r="B3193" t="str">
        <f>"1551603797528121"</f>
        <v>1551603797528121</v>
      </c>
      <c r="C3193" t="s">
        <v>40</v>
      </c>
      <c r="D3193">
        <v>4.5392479999999997</v>
      </c>
      <c r="E3193">
        <v>0.37412380000000001</v>
      </c>
      <c r="F3193" t="s">
        <v>48</v>
      </c>
      <c r="G3193">
        <v>0</v>
      </c>
      <c r="H3193">
        <v>0</v>
      </c>
      <c r="I3193">
        <v>0</v>
      </c>
      <c r="J3193">
        <v>-488.84309999999999</v>
      </c>
      <c r="K3193">
        <v>1.1263920000000001</v>
      </c>
      <c r="L3193">
        <v>272.08</v>
      </c>
      <c r="M3193">
        <v>-0.56944689999999998</v>
      </c>
      <c r="N3193">
        <v>-1.41307E-2</v>
      </c>
      <c r="O3193">
        <v>-0.82190659999999904</v>
      </c>
      <c r="P3193">
        <v>-0.435506</v>
      </c>
      <c r="Q3193">
        <v>0.171153</v>
      </c>
      <c r="R3193">
        <v>-0.88376549999999998</v>
      </c>
      <c r="S3193">
        <v>-0.4400635</v>
      </c>
      <c r="T3193">
        <v>6.9136500000000004E-2</v>
      </c>
      <c r="U3193">
        <v>-3.1709290000000001</v>
      </c>
      <c r="V3193">
        <v>-0.1473682</v>
      </c>
      <c r="W3193">
        <v>0.18328259999999999</v>
      </c>
      <c r="X3193">
        <v>0.97195169999999997</v>
      </c>
      <c r="Y3193">
        <v>-0.45119290000000001</v>
      </c>
      <c r="Z3193">
        <v>-2.834565E-2</v>
      </c>
      <c r="AA3193">
        <v>0.89197610000000005</v>
      </c>
      <c r="AB3193">
        <v>22</v>
      </c>
      <c r="AC3193">
        <v>-0.4400635</v>
      </c>
      <c r="AD3193">
        <v>6.9136500000000004E-2</v>
      </c>
      <c r="AE3193">
        <v>-3.1709290000000001</v>
      </c>
      <c r="AF3193">
        <v>-1.44345562245801</v>
      </c>
      <c r="AG3193">
        <v>6.9136500000000004E-2</v>
      </c>
      <c r="AH3193">
        <v>2.85575374386391</v>
      </c>
      <c r="AI3193">
        <v>88.762241434703796</v>
      </c>
      <c r="AJ3193">
        <v>116.814553794883</v>
      </c>
      <c r="AK3193">
        <v>3.2005739227880099</v>
      </c>
      <c r="AL3193">
        <v>79.438979346587502</v>
      </c>
      <c r="AM3193">
        <v>98.621571549783198</v>
      </c>
      <c r="AN3193">
        <v>1.0000000024834399</v>
      </c>
    </row>
    <row r="3194" spans="1:40" x14ac:dyDescent="0.25">
      <c r="A3194" t="str">
        <f>"20190303170317557"</f>
        <v>20190303170317557</v>
      </c>
      <c r="B3194" t="str">
        <f>"1551603797548617"</f>
        <v>1551603797548617</v>
      </c>
      <c r="C3194" t="s">
        <v>40</v>
      </c>
      <c r="D3194">
        <v>4.6060249999999998</v>
      </c>
      <c r="E3194">
        <v>0.37533509999999998</v>
      </c>
      <c r="F3194" t="s">
        <v>48</v>
      </c>
      <c r="G3194">
        <v>0</v>
      </c>
      <c r="H3194">
        <v>0</v>
      </c>
      <c r="I3194">
        <v>0</v>
      </c>
      <c r="J3194">
        <v>-488.9051</v>
      </c>
      <c r="K3194">
        <v>1.126403</v>
      </c>
      <c r="L3194">
        <v>271.98250000000002</v>
      </c>
      <c r="M3194">
        <v>-0.56596849999999999</v>
      </c>
      <c r="N3194">
        <v>-1.413213E-2</v>
      </c>
      <c r="O3194">
        <v>-0.82430579999999998</v>
      </c>
      <c r="P3194">
        <v>-0.4322279</v>
      </c>
      <c r="Q3194">
        <v>0.17150969999999999</v>
      </c>
      <c r="R3194">
        <v>-0.88530429999999904</v>
      </c>
      <c r="S3194">
        <v>-0.42337039999999998</v>
      </c>
      <c r="T3194">
        <v>6.8936349999999993E-2</v>
      </c>
      <c r="U3194">
        <v>-3.1726679999999998</v>
      </c>
      <c r="V3194">
        <v>-0.14682979999999901</v>
      </c>
      <c r="W3194">
        <v>0.1836449</v>
      </c>
      <c r="X3194">
        <v>0.97196479999999996</v>
      </c>
      <c r="Y3194">
        <v>-0.45209549999999998</v>
      </c>
      <c r="Z3194">
        <v>-2.8396060000000001E-2</v>
      </c>
      <c r="AA3194">
        <v>0.89151740000000002</v>
      </c>
      <c r="AB3194">
        <v>22</v>
      </c>
      <c r="AC3194">
        <v>-0.42337039999999998</v>
      </c>
      <c r="AD3194">
        <v>6.8936349999999993E-2</v>
      </c>
      <c r="AE3194">
        <v>-3.1726679999999998</v>
      </c>
      <c r="AF3194">
        <v>-1.4461170849560201</v>
      </c>
      <c r="AG3194">
        <v>6.8936349999999993E-2</v>
      </c>
      <c r="AH3194">
        <v>2.8538241499163699</v>
      </c>
      <c r="AI3194">
        <v>88.765623150376499</v>
      </c>
      <c r="AJ3194">
        <v>116.872680903654</v>
      </c>
      <c r="AK3194">
        <v>3.20004986248636</v>
      </c>
      <c r="AL3194">
        <v>79.417862698146394</v>
      </c>
      <c r="AM3194">
        <v>98.590429930088703</v>
      </c>
      <c r="AN3194">
        <v>1.0000000059515399</v>
      </c>
    </row>
    <row r="3195" spans="1:40" x14ac:dyDescent="0.25">
      <c r="A3195" t="str">
        <f>"20190303170317568"</f>
        <v>20190303170317568</v>
      </c>
      <c r="B3195" t="str">
        <f>"1551603797558378"</f>
        <v>1551603797558378</v>
      </c>
      <c r="C3195" t="s">
        <v>40</v>
      </c>
      <c r="D3195">
        <v>4.5778080000000001</v>
      </c>
      <c r="E3195">
        <v>0.37529610000000002</v>
      </c>
      <c r="F3195" t="s">
        <v>48</v>
      </c>
      <c r="G3195">
        <v>0</v>
      </c>
      <c r="H3195">
        <v>0</v>
      </c>
      <c r="I3195">
        <v>0</v>
      </c>
      <c r="J3195">
        <v>-488.95979999999997</v>
      </c>
      <c r="K3195">
        <v>1.126414</v>
      </c>
      <c r="L3195">
        <v>271.89510000000001</v>
      </c>
      <c r="M3195">
        <v>-0.5628455</v>
      </c>
      <c r="N3195">
        <v>-1.413318E-2</v>
      </c>
      <c r="O3195">
        <v>-0.82644130000000005</v>
      </c>
      <c r="P3195">
        <v>-0.42932670000000001</v>
      </c>
      <c r="Q3195">
        <v>0.17195199999999999</v>
      </c>
      <c r="R3195">
        <v>-0.886629</v>
      </c>
      <c r="S3195">
        <v>-0.41918949999999999</v>
      </c>
      <c r="T3195">
        <v>9.6074699999999999E-2</v>
      </c>
      <c r="U3195">
        <v>-3.1654659999999999</v>
      </c>
      <c r="V3195">
        <v>-0.14629120000000001</v>
      </c>
      <c r="W3195">
        <v>0.18409349999999999</v>
      </c>
      <c r="X3195">
        <v>0.97196110000000002</v>
      </c>
      <c r="Y3195">
        <v>-0.44966159999999999</v>
      </c>
      <c r="Z3195">
        <v>-3.4400269999999997E-2</v>
      </c>
      <c r="AA3195">
        <v>0.89253629999999995</v>
      </c>
      <c r="AB3195">
        <v>22</v>
      </c>
      <c r="AC3195">
        <v>-0.41918949999999999</v>
      </c>
      <c r="AD3195">
        <v>9.6074699999999999E-2</v>
      </c>
      <c r="AE3195">
        <v>-3.1654659999999999</v>
      </c>
      <c r="AF3195">
        <v>-1.4340778512607599</v>
      </c>
      <c r="AG3195">
        <v>9.6074699999999999E-2</v>
      </c>
      <c r="AH3195">
        <v>2.849715756548</v>
      </c>
      <c r="AI3195">
        <v>88.275033189288607</v>
      </c>
      <c r="AJ3195">
        <v>116.713159025753</v>
      </c>
      <c r="AK3195">
        <v>3.1916593685064099</v>
      </c>
      <c r="AL3195">
        <v>79.391713457966006</v>
      </c>
      <c r="AM3195">
        <v>98.5594182595473</v>
      </c>
      <c r="AN3195">
        <v>0.99999995592644897</v>
      </c>
    </row>
    <row r="3196" spans="1:40" x14ac:dyDescent="0.25">
      <c r="A3196" t="str">
        <f>"20190303170317577"</f>
        <v>20190303170317577</v>
      </c>
      <c r="B3196" t="str">
        <f>"1551603797568137"</f>
        <v>1551603797568137</v>
      </c>
      <c r="C3196" t="s">
        <v>40</v>
      </c>
      <c r="D3196">
        <v>4.582795</v>
      </c>
      <c r="E3196">
        <v>0.37532880000000002</v>
      </c>
      <c r="F3196" t="s">
        <v>48</v>
      </c>
      <c r="G3196">
        <v>0</v>
      </c>
      <c r="H3196">
        <v>0</v>
      </c>
      <c r="I3196">
        <v>0</v>
      </c>
      <c r="J3196">
        <v>-489.01119999999997</v>
      </c>
      <c r="K3196">
        <v>1.1264179999999999</v>
      </c>
      <c r="L3196">
        <v>271.81279999999998</v>
      </c>
      <c r="M3196">
        <v>-0.55989869999999997</v>
      </c>
      <c r="N3196">
        <v>-1.4134000000000001E-2</v>
      </c>
      <c r="O3196">
        <v>-0.82844050000000002</v>
      </c>
      <c r="P3196">
        <v>-0.42670439999999998</v>
      </c>
      <c r="Q3196">
        <v>0.17270639999999901</v>
      </c>
      <c r="R3196">
        <v>-0.88774759999999997</v>
      </c>
      <c r="S3196">
        <v>-0.40853879999999998</v>
      </c>
      <c r="T3196">
        <v>0.1007097</v>
      </c>
      <c r="U3196">
        <v>-3.1662599999999999</v>
      </c>
      <c r="V3196">
        <v>-0.1456277</v>
      </c>
      <c r="W3196">
        <v>0.18485460000000001</v>
      </c>
      <c r="X3196">
        <v>0.97191629999999996</v>
      </c>
      <c r="Y3196">
        <v>-0.44947090000000001</v>
      </c>
      <c r="Z3196">
        <v>-3.5513389999999999E-2</v>
      </c>
      <c r="AA3196">
        <v>0.89258879999999996</v>
      </c>
      <c r="AB3196">
        <v>22</v>
      </c>
      <c r="AC3196">
        <v>-0.40853879999999998</v>
      </c>
      <c r="AD3196">
        <v>0.1007097</v>
      </c>
      <c r="AE3196">
        <v>-3.1662599999999999</v>
      </c>
      <c r="AF3196">
        <v>-1.4330520007188401</v>
      </c>
      <c r="AG3196">
        <v>0.1007097</v>
      </c>
      <c r="AH3196">
        <v>2.84924791015743</v>
      </c>
      <c r="AI3196">
        <v>88.191370371627301</v>
      </c>
      <c r="AJ3196">
        <v>116.700474946954</v>
      </c>
      <c r="AK3196">
        <v>3.1909237117134102</v>
      </c>
      <c r="AL3196">
        <v>79.347344318646606</v>
      </c>
      <c r="AM3196">
        <v>98.521555428386307</v>
      </c>
      <c r="AN3196">
        <v>0.99999997217706904</v>
      </c>
    </row>
    <row r="3197" spans="1:40" x14ac:dyDescent="0.25">
      <c r="A3197" t="str">
        <f>"20190303170317588"</f>
        <v>20190303170317588</v>
      </c>
      <c r="B3197" t="str">
        <f>"1551603797578875"</f>
        <v>1551603797578875</v>
      </c>
      <c r="C3197" t="s">
        <v>40</v>
      </c>
      <c r="D3197">
        <v>4.5547029999999999</v>
      </c>
      <c r="E3197">
        <v>0.37576029999999999</v>
      </c>
      <c r="F3197" t="s">
        <v>48</v>
      </c>
      <c r="G3197">
        <v>0</v>
      </c>
      <c r="H3197">
        <v>0</v>
      </c>
      <c r="I3197">
        <v>0</v>
      </c>
      <c r="J3197">
        <v>-489.06319999999999</v>
      </c>
      <c r="K3197">
        <v>1.12642</v>
      </c>
      <c r="L3197">
        <v>271.7285</v>
      </c>
      <c r="M3197">
        <v>-0.55687559999999903</v>
      </c>
      <c r="N3197">
        <v>-1.4134529999999999E-2</v>
      </c>
      <c r="O3197">
        <v>-0.83047569999999904</v>
      </c>
      <c r="P3197">
        <v>-0.42381190000000002</v>
      </c>
      <c r="Q3197">
        <v>0.17288039999999999</v>
      </c>
      <c r="R3197">
        <v>-0.88909850000000001</v>
      </c>
      <c r="S3197">
        <v>-0.39981080000000002</v>
      </c>
      <c r="T3197">
        <v>0.1044942</v>
      </c>
      <c r="U3197">
        <v>-3.1668090000000002</v>
      </c>
      <c r="V3197">
        <v>-0.1452311</v>
      </c>
      <c r="W3197">
        <v>0.18503449999999999</v>
      </c>
      <c r="X3197">
        <v>0.97194139999999996</v>
      </c>
      <c r="Y3197">
        <v>-0.44866260000000002</v>
      </c>
      <c r="Z3197">
        <v>-3.6454359999999998E-2</v>
      </c>
      <c r="AA3197">
        <v>0.89295740000000001</v>
      </c>
      <c r="AB3197">
        <v>22</v>
      </c>
      <c r="AC3197">
        <v>-0.39981080000000002</v>
      </c>
      <c r="AD3197">
        <v>0.1044942</v>
      </c>
      <c r="AE3197">
        <v>-3.1668090000000002</v>
      </c>
      <c r="AF3197">
        <v>-1.4300958147056899</v>
      </c>
      <c r="AG3197">
        <v>0.1044942</v>
      </c>
      <c r="AH3197">
        <v>2.8498334791789501</v>
      </c>
      <c r="AI3197">
        <v>88.122980100081705</v>
      </c>
      <c r="AJ3197">
        <v>116.648290675113</v>
      </c>
      <c r="AK3197">
        <v>3.1902419870789802</v>
      </c>
      <c r="AL3197">
        <v>79.336855759163797</v>
      </c>
      <c r="AM3197">
        <v>98.498471060378705</v>
      </c>
      <c r="AN3197">
        <v>0.99999996181570905</v>
      </c>
    </row>
    <row r="3198" spans="1:40" x14ac:dyDescent="0.25">
      <c r="A3198" t="str">
        <f>"20190303170317600"</f>
        <v>20190303170317600</v>
      </c>
      <c r="B3198" t="str">
        <f>"1551603797588633"</f>
        <v>1551603797588633</v>
      </c>
      <c r="C3198" t="s">
        <v>40</v>
      </c>
      <c r="D3198">
        <v>4.5588749999999996</v>
      </c>
      <c r="E3198">
        <v>0.37625069999999999</v>
      </c>
      <c r="F3198" t="s">
        <v>48</v>
      </c>
      <c r="G3198">
        <v>0</v>
      </c>
      <c r="H3198">
        <v>0</v>
      </c>
      <c r="I3198">
        <v>0</v>
      </c>
      <c r="J3198">
        <v>-489.11799999999999</v>
      </c>
      <c r="K3198">
        <v>1.1264179999999999</v>
      </c>
      <c r="L3198">
        <v>271.63920000000002</v>
      </c>
      <c r="M3198">
        <v>-0.55366689999999996</v>
      </c>
      <c r="N3198">
        <v>-1.4134910000000001E-2</v>
      </c>
      <c r="O3198">
        <v>-0.83261830000000003</v>
      </c>
      <c r="P3198">
        <v>-0.4208153</v>
      </c>
      <c r="Q3198">
        <v>0.17324879999999901</v>
      </c>
      <c r="R3198">
        <v>-0.89044889999999999</v>
      </c>
      <c r="S3198">
        <v>-0.39224239999999999</v>
      </c>
      <c r="T3198">
        <v>0.1008034</v>
      </c>
      <c r="U3198">
        <v>-3.1675420000000001</v>
      </c>
      <c r="V3198">
        <v>-0.14471539999999999</v>
      </c>
      <c r="W3198">
        <v>0.1854103</v>
      </c>
      <c r="X3198">
        <v>0.97194669999999905</v>
      </c>
      <c r="Y3198">
        <v>-0.44733319999999999</v>
      </c>
      <c r="Z3198">
        <v>-3.5768809999999998E-2</v>
      </c>
      <c r="AA3198">
        <v>0.8936518</v>
      </c>
      <c r="AB3198">
        <v>22</v>
      </c>
      <c r="AC3198">
        <v>-0.39224239999999999</v>
      </c>
      <c r="AD3198">
        <v>0.1008034</v>
      </c>
      <c r="AE3198">
        <v>-3.1675420000000001</v>
      </c>
      <c r="AF3198">
        <v>-1.4258952290356299</v>
      </c>
      <c r="AG3198">
        <v>0.1008034</v>
      </c>
      <c r="AH3198">
        <v>2.8519654509238599</v>
      </c>
      <c r="AI3198">
        <v>88.189246835416697</v>
      </c>
      <c r="AJ3198">
        <v>116.56364492232299</v>
      </c>
      <c r="AK3198">
        <v>3.1901481882353799</v>
      </c>
      <c r="AL3198">
        <v>79.314944819846204</v>
      </c>
      <c r="AM3198">
        <v>98.468686759619899</v>
      </c>
      <c r="AN3198">
        <v>0.99999995699206801</v>
      </c>
    </row>
    <row r="3199" spans="1:40" x14ac:dyDescent="0.25">
      <c r="A3199" t="str">
        <f>"20190303170317611"</f>
        <v>20190303170317611</v>
      </c>
      <c r="B3199" t="str">
        <f>"1551603797598393"</f>
        <v>1551603797598393</v>
      </c>
      <c r="C3199" t="s">
        <v>40</v>
      </c>
      <c r="D3199">
        <v>4.5549049999999998</v>
      </c>
      <c r="E3199">
        <v>0.3767839</v>
      </c>
      <c r="F3199" t="s">
        <v>48</v>
      </c>
      <c r="G3199">
        <v>0</v>
      </c>
      <c r="H3199">
        <v>0</v>
      </c>
      <c r="I3199">
        <v>0</v>
      </c>
      <c r="J3199">
        <v>-489.17500000000001</v>
      </c>
      <c r="K3199">
        <v>1.1264130000000001</v>
      </c>
      <c r="L3199">
        <v>271.54520000000002</v>
      </c>
      <c r="M3199">
        <v>-0.55029059999999996</v>
      </c>
      <c r="N3199">
        <v>-1.413508E-2</v>
      </c>
      <c r="O3199">
        <v>-0.83485359999999997</v>
      </c>
      <c r="P3199">
        <v>-0.4175394</v>
      </c>
      <c r="Q3199">
        <v>0.17302219999999999</v>
      </c>
      <c r="R3199">
        <v>-0.89203369999999904</v>
      </c>
      <c r="S3199">
        <v>-0.3861694</v>
      </c>
      <c r="T3199">
        <v>9.7136500000000001E-2</v>
      </c>
      <c r="U3199">
        <v>-3.167694</v>
      </c>
      <c r="V3199">
        <v>-0.14437059999999999</v>
      </c>
      <c r="W3199">
        <v>0.18519099999999999</v>
      </c>
      <c r="X3199">
        <v>0.97203980000000001</v>
      </c>
      <c r="Y3199">
        <v>-0.44539649999999997</v>
      </c>
      <c r="Z3199">
        <v>-3.509085E-2</v>
      </c>
      <c r="AA3199">
        <v>0.89464549999999998</v>
      </c>
      <c r="AB3199">
        <v>21</v>
      </c>
      <c r="AC3199">
        <v>-0.3861694</v>
      </c>
      <c r="AD3199">
        <v>9.7136500000000001E-2</v>
      </c>
      <c r="AE3199">
        <v>-3.167694</v>
      </c>
      <c r="AF3199">
        <v>-1.4195838939582499</v>
      </c>
      <c r="AG3199">
        <v>9.7136500000000001E-2</v>
      </c>
      <c r="AH3199">
        <v>2.8547064379842899</v>
      </c>
      <c r="AI3199">
        <v>88.2548759298964</v>
      </c>
      <c r="AJ3199">
        <v>116.44016717347</v>
      </c>
      <c r="AK3199">
        <v>3.1896712649874899</v>
      </c>
      <c r="AL3199">
        <v>79.327731412622001</v>
      </c>
      <c r="AM3199">
        <v>98.448003239639604</v>
      </c>
      <c r="AN3199">
        <v>0.99999997470469904</v>
      </c>
    </row>
    <row r="3200" spans="1:40" x14ac:dyDescent="0.25">
      <c r="A3200" t="str">
        <f>"20190303170317623"</f>
        <v>20190303170317623</v>
      </c>
      <c r="B3200" t="str">
        <f>"1551603797618393"</f>
        <v>1551603797618393</v>
      </c>
      <c r="C3200" t="s">
        <v>40</v>
      </c>
      <c r="D3200">
        <v>4.5853529999999996</v>
      </c>
      <c r="E3200">
        <v>0.37783630000000001</v>
      </c>
      <c r="F3200" t="s">
        <v>45</v>
      </c>
      <c r="G3200">
        <v>-502.09949999999998</v>
      </c>
      <c r="H3200">
        <v>4.2954410000000003</v>
      </c>
      <c r="I3200">
        <v>163.30950000000001</v>
      </c>
      <c r="J3200">
        <v>-489.2328</v>
      </c>
      <c r="K3200">
        <v>1.126404</v>
      </c>
      <c r="L3200">
        <v>271.44900000000001</v>
      </c>
      <c r="M3200">
        <v>-0.5468324</v>
      </c>
      <c r="N3200">
        <v>-1.4134819999999999E-2</v>
      </c>
      <c r="O3200">
        <v>-0.837122699999999</v>
      </c>
      <c r="P3200">
        <v>-0.41395739999999998</v>
      </c>
      <c r="Q3200">
        <v>0.17280699999999999</v>
      </c>
      <c r="R3200">
        <v>-0.89374310000000001</v>
      </c>
      <c r="S3200">
        <v>-0.37829590000000002</v>
      </c>
      <c r="T3200">
        <v>9.275651E-2</v>
      </c>
      <c r="U3200">
        <v>-3.1680299999999999</v>
      </c>
      <c r="V3200">
        <v>-0.1442657</v>
      </c>
      <c r="W3200">
        <v>0.18498020000000001</v>
      </c>
      <c r="X3200">
        <v>0.9720955</v>
      </c>
      <c r="Y3200">
        <v>-0.44388709999999998</v>
      </c>
      <c r="Z3200">
        <v>-3.4245200000000003E-2</v>
      </c>
      <c r="AA3200">
        <v>0.89542809999999995</v>
      </c>
      <c r="AB3200">
        <v>21</v>
      </c>
      <c r="AC3200">
        <v>-12.8666999999999</v>
      </c>
      <c r="AD3200">
        <v>3.1690369999999999</v>
      </c>
      <c r="AE3200">
        <v>-108.1395</v>
      </c>
      <c r="AF3200">
        <v>-48.3270872051258</v>
      </c>
      <c r="AG3200">
        <v>3.1690369999999999</v>
      </c>
      <c r="AH3200">
        <v>97.489158188654898</v>
      </c>
      <c r="AI3200">
        <v>88.331762485295698</v>
      </c>
      <c r="AJ3200">
        <v>116.368422339635</v>
      </c>
      <c r="AK3200">
        <v>108.85626356609799</v>
      </c>
      <c r="AL3200">
        <v>79.340021593079001</v>
      </c>
      <c r="AM3200">
        <v>98.441476641538898</v>
      </c>
      <c r="AN3200">
        <v>0.99999996385438905</v>
      </c>
    </row>
    <row r="3201" spans="1:40" x14ac:dyDescent="0.25">
      <c r="A3201" t="str">
        <f>"20190303170317634"</f>
        <v>20190303170317634</v>
      </c>
      <c r="B3201" t="str">
        <f>"1551603797629129"</f>
        <v>1551603797629129</v>
      </c>
      <c r="C3201" t="s">
        <v>40</v>
      </c>
      <c r="D3201">
        <v>4.5998140000000003</v>
      </c>
      <c r="E3201">
        <v>0.37837340000000003</v>
      </c>
      <c r="F3201" t="s">
        <v>48</v>
      </c>
      <c r="G3201">
        <v>0</v>
      </c>
      <c r="H3201">
        <v>0</v>
      </c>
      <c r="I3201">
        <v>0</v>
      </c>
      <c r="J3201">
        <v>-489.28960000000001</v>
      </c>
      <c r="K3201">
        <v>1.126393</v>
      </c>
      <c r="L3201">
        <v>271.35419999999999</v>
      </c>
      <c r="M3201">
        <v>-0.5434177</v>
      </c>
      <c r="N3201">
        <v>-1.413445E-2</v>
      </c>
      <c r="O3201">
        <v>-0.83934339999999996</v>
      </c>
      <c r="P3201">
        <v>-0.41029280000000001</v>
      </c>
      <c r="Q3201">
        <v>0.17294179999999901</v>
      </c>
      <c r="R3201">
        <v>-0.89540580000000003</v>
      </c>
      <c r="S3201">
        <v>-0.37353520000000001</v>
      </c>
      <c r="T3201">
        <v>8.488047E-2</v>
      </c>
      <c r="U3201">
        <v>-3.1672359999999999</v>
      </c>
      <c r="V3201">
        <v>-0.14427119999999999</v>
      </c>
      <c r="W3201">
        <v>0.18511749999999999</v>
      </c>
      <c r="X3201">
        <v>0.97206859999999995</v>
      </c>
      <c r="Y3201">
        <v>-0.44152160000000001</v>
      </c>
      <c r="Z3201">
        <v>-3.2614919999999999E-2</v>
      </c>
      <c r="AA3201">
        <v>0.89665759999999906</v>
      </c>
      <c r="AB3201">
        <v>21</v>
      </c>
      <c r="AC3201">
        <v>-0.37353520000000001</v>
      </c>
      <c r="AD3201">
        <v>8.488047E-2</v>
      </c>
      <c r="AE3201">
        <v>-3.1672359999999999</v>
      </c>
      <c r="AF3201">
        <v>-1.40675199064012</v>
      </c>
      <c r="AG3201">
        <v>8.488047E-2</v>
      </c>
      <c r="AH3201">
        <v>2.8596445880477099</v>
      </c>
      <c r="AI3201">
        <v>88.474348571798004</v>
      </c>
      <c r="AJ3201">
        <v>116.19407028795401</v>
      </c>
      <c r="AK3201">
        <v>3.1880594453849098</v>
      </c>
      <c r="AL3201">
        <v>79.332017188885104</v>
      </c>
      <c r="AM3201">
        <v>98.442024070997206</v>
      </c>
      <c r="AN3201">
        <v>1.00000001553082</v>
      </c>
    </row>
    <row r="3202" spans="1:40" x14ac:dyDescent="0.25">
      <c r="A3202" t="str">
        <f>"20190303170317645"</f>
        <v>20190303170317645</v>
      </c>
      <c r="B3202" t="str">
        <f>"1551603797638889"</f>
        <v>1551603797638889</v>
      </c>
      <c r="C3202" t="s">
        <v>40</v>
      </c>
      <c r="D3202">
        <v>4.6158010000000003</v>
      </c>
      <c r="E3202">
        <v>0.37884499999999999</v>
      </c>
      <c r="F3202" t="s">
        <v>48</v>
      </c>
      <c r="G3202">
        <v>0</v>
      </c>
      <c r="H3202">
        <v>0</v>
      </c>
      <c r="I3202">
        <v>0</v>
      </c>
      <c r="J3202">
        <v>-489.33980000000003</v>
      </c>
      <c r="K3202">
        <v>1.1263840000000001</v>
      </c>
      <c r="L3202">
        <v>271.26889999999997</v>
      </c>
      <c r="M3202">
        <v>-0.54035069999999996</v>
      </c>
      <c r="N3202">
        <v>-1.413375E-2</v>
      </c>
      <c r="O3202">
        <v>-0.84132129999999905</v>
      </c>
      <c r="P3202">
        <v>-0.40717720000000002</v>
      </c>
      <c r="Q3202">
        <v>0.1729192</v>
      </c>
      <c r="R3202">
        <v>-0.8968313</v>
      </c>
      <c r="S3202">
        <v>-0.36468509999999998</v>
      </c>
      <c r="T3202">
        <v>8.1876399999999905E-2</v>
      </c>
      <c r="U3202">
        <v>-3.1675420000000001</v>
      </c>
      <c r="V3202">
        <v>-0.14410020000000001</v>
      </c>
      <c r="W3202">
        <v>0.18509970000000001</v>
      </c>
      <c r="X3202">
        <v>0.97209730000000005</v>
      </c>
      <c r="Y3202">
        <v>-0.44072309999999998</v>
      </c>
      <c r="Z3202">
        <v>-3.2037690000000001E-2</v>
      </c>
      <c r="AA3202">
        <v>0.89707119999999996</v>
      </c>
      <c r="AB3202">
        <v>21</v>
      </c>
      <c r="AC3202">
        <v>-0.36468509999999998</v>
      </c>
      <c r="AD3202">
        <v>8.1876399999999905E-2</v>
      </c>
      <c r="AE3202">
        <v>-3.1675420000000001</v>
      </c>
      <c r="AF3202">
        <v>-1.40398060983002</v>
      </c>
      <c r="AG3202">
        <v>8.1876399999999905E-2</v>
      </c>
      <c r="AH3202">
        <v>2.86037790357148</v>
      </c>
      <c r="AI3202">
        <v>88.528059479117402</v>
      </c>
      <c r="AJ3202">
        <v>116.143533747375</v>
      </c>
      <c r="AK3202">
        <v>3.1874169869811002</v>
      </c>
      <c r="AL3202">
        <v>79.333054428753798</v>
      </c>
      <c r="AM3202">
        <v>98.431916579402596</v>
      </c>
      <c r="AN3202">
        <v>0.99999996362370902</v>
      </c>
    </row>
    <row r="3203" spans="1:40" x14ac:dyDescent="0.25">
      <c r="A3203" t="str">
        <f>"20190303170317656"</f>
        <v>20190303170317656</v>
      </c>
      <c r="B3203" t="str">
        <f>"1551603797648649"</f>
        <v>1551603797648649</v>
      </c>
      <c r="C3203" t="s">
        <v>40</v>
      </c>
      <c r="D3203">
        <v>4.6336539999999999</v>
      </c>
      <c r="E3203">
        <v>0.3792973</v>
      </c>
      <c r="F3203" t="s">
        <v>48</v>
      </c>
      <c r="G3203">
        <v>0</v>
      </c>
      <c r="H3203">
        <v>0</v>
      </c>
      <c r="I3203">
        <v>0</v>
      </c>
      <c r="J3203">
        <v>-489.39120000000003</v>
      </c>
      <c r="K3203">
        <v>1.126374</v>
      </c>
      <c r="L3203">
        <v>271.18130000000002</v>
      </c>
      <c r="M3203">
        <v>-0.53719469999999903</v>
      </c>
      <c r="N3203">
        <v>-1.4133079999999999E-2</v>
      </c>
      <c r="O3203">
        <v>-0.84333979999999997</v>
      </c>
      <c r="P3203">
        <v>-0.40382430000000002</v>
      </c>
      <c r="Q3203">
        <v>0.17298459999999999</v>
      </c>
      <c r="R3203">
        <v>-0.8983331</v>
      </c>
      <c r="S3203">
        <v>-0.35675050000000003</v>
      </c>
      <c r="T3203">
        <v>7.9173090000000002E-2</v>
      </c>
      <c r="U3203">
        <v>-3.1678470000000001</v>
      </c>
      <c r="V3203">
        <v>-0.14407919999999999</v>
      </c>
      <c r="W3203">
        <v>0.1851681</v>
      </c>
      <c r="X3203">
        <v>0.97208740000000005</v>
      </c>
      <c r="Y3203">
        <v>-0.439583</v>
      </c>
      <c r="Z3203">
        <v>-3.1524580000000003E-2</v>
      </c>
      <c r="AA3203">
        <v>0.89764859999999902</v>
      </c>
      <c r="AB3203">
        <v>21</v>
      </c>
      <c r="AC3203">
        <v>-0.35675050000000003</v>
      </c>
      <c r="AD3203">
        <v>7.9173090000000002E-2</v>
      </c>
      <c r="AE3203">
        <v>-3.1678470000000001</v>
      </c>
      <c r="AF3203">
        <v>-1.4001650784260999</v>
      </c>
      <c r="AG3203">
        <v>7.9173090000000002E-2</v>
      </c>
      <c r="AH3203">
        <v>2.8617369063516098</v>
      </c>
      <c r="AI3203">
        <v>88.576433303453697</v>
      </c>
      <c r="AJ3203">
        <v>116.071165890092</v>
      </c>
      <c r="AK3203">
        <v>3.1868901371398199</v>
      </c>
      <c r="AL3203">
        <v>79.329066604862007</v>
      </c>
      <c r="AM3203">
        <v>98.430790067820297</v>
      </c>
      <c r="AN3203">
        <v>0.99999997718450395</v>
      </c>
    </row>
    <row r="3204" spans="1:40" x14ac:dyDescent="0.25">
      <c r="A3204" t="str">
        <f>"20190303170317667"</f>
        <v>20190303170317667</v>
      </c>
      <c r="B3204" t="str">
        <f>"1551603797658409"</f>
        <v>1551603797658409</v>
      </c>
      <c r="C3204" t="s">
        <v>40</v>
      </c>
      <c r="D3204">
        <v>4.5771050000000004</v>
      </c>
      <c r="E3204">
        <v>0.37959300000000001</v>
      </c>
      <c r="F3204" t="s">
        <v>48</v>
      </c>
      <c r="G3204">
        <v>0</v>
      </c>
      <c r="H3204">
        <v>0</v>
      </c>
      <c r="I3204">
        <v>0</v>
      </c>
      <c r="J3204">
        <v>-489.44420000000002</v>
      </c>
      <c r="K3204">
        <v>1.1263620000000001</v>
      </c>
      <c r="L3204">
        <v>271.08980000000003</v>
      </c>
      <c r="M3204">
        <v>-0.53390789999999999</v>
      </c>
      <c r="N3204">
        <v>-1.413212E-2</v>
      </c>
      <c r="O3204">
        <v>-0.84542450000000002</v>
      </c>
      <c r="P3204">
        <v>-0.40040009999999998</v>
      </c>
      <c r="Q3204">
        <v>0.17293520000000001</v>
      </c>
      <c r="R3204">
        <v>-0.89987399999999995</v>
      </c>
      <c r="S3204">
        <v>-0.348999</v>
      </c>
      <c r="T3204">
        <v>7.7215790000000006E-2</v>
      </c>
      <c r="U3204">
        <v>-3.167694</v>
      </c>
      <c r="V3204">
        <v>-0.1439966</v>
      </c>
      <c r="W3204">
        <v>0.1851226</v>
      </c>
      <c r="X3204">
        <v>0.97210830000000004</v>
      </c>
      <c r="Y3204">
        <v>-0.43824750000000001</v>
      </c>
      <c r="Z3204">
        <v>-3.118015E-2</v>
      </c>
      <c r="AA3204">
        <v>0.89831329999999998</v>
      </c>
      <c r="AB3204">
        <v>21</v>
      </c>
      <c r="AC3204">
        <v>-0.348999</v>
      </c>
      <c r="AD3204">
        <v>7.7215790000000006E-2</v>
      </c>
      <c r="AE3204">
        <v>-3.167694</v>
      </c>
      <c r="AF3204">
        <v>-1.3955247633060599</v>
      </c>
      <c r="AG3204">
        <v>7.7215790000000006E-2</v>
      </c>
      <c r="AH3204">
        <v>2.8629848324257199</v>
      </c>
      <c r="AI3204">
        <v>88.611213790769895</v>
      </c>
      <c r="AJ3204">
        <v>115.98631741670199</v>
      </c>
      <c r="AK3204">
        <v>3.1859274621255098</v>
      </c>
      <c r="AL3204">
        <v>79.331719375348897</v>
      </c>
      <c r="AM3204">
        <v>98.425847581499696</v>
      </c>
      <c r="AN3204">
        <v>0.99999997238560401</v>
      </c>
    </row>
    <row r="3205" spans="1:40" x14ac:dyDescent="0.25">
      <c r="A3205" t="str">
        <f>"20190303170317677"</f>
        <v>20190303170317677</v>
      </c>
      <c r="B3205" t="str">
        <f>"1551603797669145"</f>
        <v>1551603797669145</v>
      </c>
      <c r="C3205" t="s">
        <v>40</v>
      </c>
      <c r="D3205">
        <v>4.6347290000000001</v>
      </c>
      <c r="E3205">
        <v>0.37980720000000001</v>
      </c>
      <c r="F3205" t="s">
        <v>48</v>
      </c>
      <c r="G3205">
        <v>0</v>
      </c>
      <c r="H3205">
        <v>0</v>
      </c>
      <c r="I3205">
        <v>0</v>
      </c>
      <c r="J3205">
        <v>-489.49419999999998</v>
      </c>
      <c r="K3205">
        <v>1.1263529999999999</v>
      </c>
      <c r="L3205">
        <v>271.00319999999999</v>
      </c>
      <c r="M3205">
        <v>-0.53078930000000002</v>
      </c>
      <c r="N3205">
        <v>-1.413118E-2</v>
      </c>
      <c r="O3205">
        <v>-0.84738630000000004</v>
      </c>
      <c r="P3205">
        <v>-0.3969994</v>
      </c>
      <c r="Q3205">
        <v>0.17283519999999999</v>
      </c>
      <c r="R3205">
        <v>-0.90139930000000001</v>
      </c>
      <c r="S3205">
        <v>-0.3392944</v>
      </c>
      <c r="T3205">
        <v>7.4585200000000004E-2</v>
      </c>
      <c r="U3205">
        <v>-3.1685490000000001</v>
      </c>
      <c r="V3205">
        <v>-0.1440902</v>
      </c>
      <c r="W3205">
        <v>0.18502370000000001</v>
      </c>
      <c r="X3205">
        <v>0.97211329999999996</v>
      </c>
      <c r="Y3205">
        <v>-0.43767669999999997</v>
      </c>
      <c r="Z3205">
        <v>-3.0666800000000001E-2</v>
      </c>
      <c r="AA3205">
        <v>0.89860930000000006</v>
      </c>
      <c r="AB3205">
        <v>21</v>
      </c>
      <c r="AC3205">
        <v>-0.3392944</v>
      </c>
      <c r="AD3205">
        <v>7.4585200000000004E-2</v>
      </c>
      <c r="AE3205">
        <v>-3.1685490000000001</v>
      </c>
      <c r="AF3205">
        <v>-1.3936938740473701</v>
      </c>
      <c r="AG3205">
        <v>7.4585200000000004E-2</v>
      </c>
      <c r="AH3205">
        <v>2.8637953963768101</v>
      </c>
      <c r="AI3205">
        <v>88.658478684963399</v>
      </c>
      <c r="AJ3205">
        <v>115.950321112073</v>
      </c>
      <c r="AK3205">
        <v>3.18579183860547</v>
      </c>
      <c r="AL3205">
        <v>79.337485963804099</v>
      </c>
      <c r="AM3205">
        <v>98.431203071216601</v>
      </c>
      <c r="AN3205">
        <v>1.00000001166731</v>
      </c>
    </row>
    <row r="3206" spans="1:40" x14ac:dyDescent="0.25">
      <c r="A3206" t="str">
        <f>"20190303170317689"</f>
        <v>20190303170317689</v>
      </c>
      <c r="B3206" t="str">
        <f>"1551603797678905"</f>
        <v>1551603797678905</v>
      </c>
      <c r="C3206" t="s">
        <v>40</v>
      </c>
      <c r="D3206">
        <v>4.6006470000000004</v>
      </c>
      <c r="E3206">
        <v>0.38009680000000001</v>
      </c>
      <c r="F3206" t="s">
        <v>48</v>
      </c>
      <c r="G3206">
        <v>0</v>
      </c>
      <c r="H3206">
        <v>0</v>
      </c>
      <c r="I3206">
        <v>0</v>
      </c>
      <c r="J3206">
        <v>-489.54969999999997</v>
      </c>
      <c r="K3206">
        <v>1.1263430000000001</v>
      </c>
      <c r="L3206">
        <v>270.9058</v>
      </c>
      <c r="M3206">
        <v>-0.52728929999999996</v>
      </c>
      <c r="N3206">
        <v>-1.4129890000000001E-2</v>
      </c>
      <c r="O3206">
        <v>-0.84956830000000005</v>
      </c>
      <c r="P3206">
        <v>-0.39341809999999999</v>
      </c>
      <c r="Q3206">
        <v>0.17291999999999999</v>
      </c>
      <c r="R3206">
        <v>-0.90295139999999996</v>
      </c>
      <c r="S3206">
        <v>-0.32870480000000002</v>
      </c>
      <c r="T3206">
        <v>7.2805399999999895E-2</v>
      </c>
      <c r="U3206">
        <v>-3.1694640000000001</v>
      </c>
      <c r="V3206">
        <v>-0.14392639999999901</v>
      </c>
      <c r="W3206">
        <v>0.18511330000000001</v>
      </c>
      <c r="X3206">
        <v>0.97212050000000005</v>
      </c>
      <c r="Y3206">
        <v>-0.43696160000000001</v>
      </c>
      <c r="Z3206">
        <v>-3.0351719999999999E-2</v>
      </c>
      <c r="AA3206">
        <v>0.89896790000000004</v>
      </c>
      <c r="AB3206">
        <v>21</v>
      </c>
      <c r="AC3206">
        <v>-0.32870480000000002</v>
      </c>
      <c r="AD3206">
        <v>7.2805399999999895E-2</v>
      </c>
      <c r="AE3206">
        <v>-3.1694640000000001</v>
      </c>
      <c r="AF3206">
        <v>-1.3913799177408099</v>
      </c>
      <c r="AG3206">
        <v>7.2805399999999895E-2</v>
      </c>
      <c r="AH3206">
        <v>2.8647893221939298</v>
      </c>
      <c r="AI3206">
        <v>88.690431200389398</v>
      </c>
      <c r="AJ3206">
        <v>115.905064818586</v>
      </c>
      <c r="AK3206">
        <v>3.1856328354532502</v>
      </c>
      <c r="AL3206">
        <v>79.332261944179905</v>
      </c>
      <c r="AM3206">
        <v>98.421694631811405</v>
      </c>
      <c r="AN3206">
        <v>1.0000000044870501</v>
      </c>
    </row>
    <row r="3207" spans="1:40" x14ac:dyDescent="0.25">
      <c r="A3207" t="str">
        <f>"20190303170317702"</f>
        <v>20190303170317702</v>
      </c>
      <c r="B3207" t="str">
        <f>"1551603797688665"</f>
        <v>1551603797688665</v>
      </c>
      <c r="C3207" t="s">
        <v>40</v>
      </c>
      <c r="D3207">
        <v>4.6218690000000002</v>
      </c>
      <c r="E3207">
        <v>0.38009680000000001</v>
      </c>
      <c r="F3207" t="s">
        <v>48</v>
      </c>
      <c r="G3207">
        <v>0</v>
      </c>
      <c r="H3207">
        <v>0</v>
      </c>
      <c r="I3207">
        <v>0</v>
      </c>
      <c r="J3207">
        <v>-489.60640000000001</v>
      </c>
      <c r="K3207">
        <v>1.1263339999999999</v>
      </c>
      <c r="L3207">
        <v>270.80540000000002</v>
      </c>
      <c r="M3207">
        <v>-0.52368159999999997</v>
      </c>
      <c r="N3207">
        <v>-1.4128450000000001E-2</v>
      </c>
      <c r="O3207">
        <v>-0.85179689999999997</v>
      </c>
      <c r="P3207">
        <v>-0.38962560000000002</v>
      </c>
      <c r="Q3207">
        <v>0.17297000000000001</v>
      </c>
      <c r="R3207">
        <v>-0.90458430000000001</v>
      </c>
      <c r="S3207">
        <v>-0.31835940000000001</v>
      </c>
      <c r="T3207">
        <v>7.1557399999999993E-2</v>
      </c>
      <c r="U3207">
        <v>-3.1700439999999999</v>
      </c>
      <c r="V3207">
        <v>-0.14387349999999999</v>
      </c>
      <c r="W3207">
        <v>0.1851662</v>
      </c>
      <c r="X3207">
        <v>0.97211829999999999</v>
      </c>
      <c r="Y3207">
        <v>-0.43606509999999998</v>
      </c>
      <c r="Z3207">
        <v>-3.0158560000000001E-2</v>
      </c>
      <c r="AA3207">
        <v>0.89940959999999903</v>
      </c>
      <c r="AB3207">
        <v>21</v>
      </c>
      <c r="AC3207">
        <v>-0.31835940000000001</v>
      </c>
      <c r="AD3207">
        <v>7.1557399999999993E-2</v>
      </c>
      <c r="AE3207">
        <v>-3.1700439999999999</v>
      </c>
      <c r="AF3207">
        <v>-1.3883544555962399</v>
      </c>
      <c r="AG3207">
        <v>7.1557399999999993E-2</v>
      </c>
      <c r="AH3207">
        <v>2.8657931530418401</v>
      </c>
      <c r="AI3207">
        <v>88.712703079006403</v>
      </c>
      <c r="AJ3207">
        <v>115.84820746646</v>
      </c>
      <c r="AK3207">
        <v>3.1851874280629402</v>
      </c>
      <c r="AL3207">
        <v>79.329178140666698</v>
      </c>
      <c r="AM3207">
        <v>98.418662393323103</v>
      </c>
      <c r="AN3207">
        <v>1.0000000474097801</v>
      </c>
    </row>
    <row r="3208" spans="1:40" x14ac:dyDescent="0.25">
      <c r="A3208" t="str">
        <f>"20190303170317714"</f>
        <v>20190303170317714</v>
      </c>
      <c r="B3208" t="str">
        <f>"1551603797708184"</f>
        <v>1551603797708184</v>
      </c>
      <c r="C3208" t="s">
        <v>40</v>
      </c>
      <c r="D3208">
        <v>4.606808</v>
      </c>
      <c r="E3208">
        <v>0.38794309999999999</v>
      </c>
      <c r="F3208" t="s">
        <v>48</v>
      </c>
      <c r="G3208">
        <v>0</v>
      </c>
      <c r="H3208">
        <v>0</v>
      </c>
      <c r="I3208">
        <v>0</v>
      </c>
      <c r="J3208">
        <v>-489.66109999999998</v>
      </c>
      <c r="K3208">
        <v>1.1263259999999999</v>
      </c>
      <c r="L3208">
        <v>270.7079</v>
      </c>
      <c r="M3208">
        <v>-0.52017939999999996</v>
      </c>
      <c r="N3208">
        <v>-1.4127010000000001E-2</v>
      </c>
      <c r="O3208">
        <v>-0.85394040000000004</v>
      </c>
      <c r="P3208">
        <v>-0.3861793</v>
      </c>
      <c r="Q3208">
        <v>0.17304629999999999</v>
      </c>
      <c r="R3208">
        <v>-0.90604700000000005</v>
      </c>
      <c r="S3208">
        <v>-0.30493160000000002</v>
      </c>
      <c r="T3208">
        <v>7.1428420000000006E-2</v>
      </c>
      <c r="U3208">
        <v>-3.1714479999999998</v>
      </c>
      <c r="V3208">
        <v>-0.14357</v>
      </c>
      <c r="W3208">
        <v>0.1852482</v>
      </c>
      <c r="X3208">
        <v>0.97214750000000005</v>
      </c>
      <c r="Y3208">
        <v>-0.43618069999999998</v>
      </c>
      <c r="Z3208">
        <v>-3.021182E-2</v>
      </c>
      <c r="AA3208">
        <v>0.89935180000000003</v>
      </c>
      <c r="AB3208">
        <v>21</v>
      </c>
      <c r="AC3208">
        <v>-0.30493160000000002</v>
      </c>
      <c r="AD3208">
        <v>7.1428420000000006E-2</v>
      </c>
      <c r="AE3208">
        <v>-3.1714479999999998</v>
      </c>
      <c r="AF3208">
        <v>-1.3887688846697199</v>
      </c>
      <c r="AG3208">
        <v>7.1428420000000006E-2</v>
      </c>
      <c r="AH3208">
        <v>2.8656919464244202</v>
      </c>
      <c r="AI3208">
        <v>88.715058768999896</v>
      </c>
      <c r="AJ3208">
        <v>115.85571186980501</v>
      </c>
      <c r="AK3208">
        <v>3.1852741429918199</v>
      </c>
      <c r="AL3208">
        <v>79.324396673958901</v>
      </c>
      <c r="AM3208">
        <v>98.400908264605405</v>
      </c>
      <c r="AN3208">
        <v>1.0000000011297401</v>
      </c>
    </row>
    <row r="3209" spans="1:40" x14ac:dyDescent="0.25">
      <c r="A3209" t="str">
        <f>"20190303170317735"</f>
        <v>20190303170317735</v>
      </c>
      <c r="B3209" t="str">
        <f>"1551603797728681"</f>
        <v>1551603797728681</v>
      </c>
      <c r="C3209" t="s">
        <v>40</v>
      </c>
      <c r="D3209">
        <v>4.6208489999999998</v>
      </c>
      <c r="E3209">
        <v>0.38870769999999999</v>
      </c>
      <c r="F3209" t="s">
        <v>48</v>
      </c>
      <c r="G3209">
        <v>0</v>
      </c>
      <c r="H3209">
        <v>0</v>
      </c>
      <c r="I3209">
        <v>0</v>
      </c>
      <c r="J3209">
        <v>-489.75599999999997</v>
      </c>
      <c r="K3209">
        <v>1.1263080000000001</v>
      </c>
      <c r="L3209">
        <v>270.536</v>
      </c>
      <c r="M3209">
        <v>-0.51400729999999994</v>
      </c>
      <c r="N3209">
        <v>-1.412413E-2</v>
      </c>
      <c r="O3209">
        <v>-0.85766980000000004</v>
      </c>
      <c r="P3209">
        <v>-0.38004969999999999</v>
      </c>
      <c r="Q3209">
        <v>0.17304849999999999</v>
      </c>
      <c r="R3209">
        <v>-0.90863479999999996</v>
      </c>
      <c r="S3209">
        <v>-0.35223389999999999</v>
      </c>
      <c r="T3209">
        <v>3.2632109999999999E-2</v>
      </c>
      <c r="U3209">
        <v>-3.1546940000000001</v>
      </c>
      <c r="V3209">
        <v>-0.1431172</v>
      </c>
      <c r="W3209">
        <v>0.18525900000000001</v>
      </c>
      <c r="X3209">
        <v>0.97221219999999997</v>
      </c>
      <c r="Y3209">
        <v>-0.41572209999999898</v>
      </c>
      <c r="Z3209">
        <v>-2.1361160000000001E-2</v>
      </c>
      <c r="AA3209">
        <v>0.90924079999999996</v>
      </c>
      <c r="AB3209">
        <v>21</v>
      </c>
      <c r="AC3209">
        <v>-0.35223389999999999</v>
      </c>
      <c r="AD3209">
        <v>3.2632109999999999E-2</v>
      </c>
      <c r="AE3209">
        <v>-3.1546940000000001</v>
      </c>
      <c r="AF3209">
        <v>-1.31942723870993</v>
      </c>
      <c r="AG3209">
        <v>3.2632109999999999E-2</v>
      </c>
      <c r="AH3209">
        <v>2.8867187850646499</v>
      </c>
      <c r="AI3209">
        <v>89.410951858358203</v>
      </c>
      <c r="AJ3209">
        <v>114.563631105737</v>
      </c>
      <c r="AK3209">
        <v>3.1741295557834199</v>
      </c>
      <c r="AL3209">
        <v>79.3237669237662</v>
      </c>
      <c r="AM3209">
        <v>98.374239877881607</v>
      </c>
      <c r="AN3209">
        <v>0.99999999592283995</v>
      </c>
    </row>
    <row r="3210" spans="1:40" x14ac:dyDescent="0.25">
      <c r="A3210" t="str">
        <f>"20190303170317746"</f>
        <v>20190303170317746</v>
      </c>
      <c r="B3210" t="str">
        <f>"1551603797738442"</f>
        <v>1551603797738442</v>
      </c>
      <c r="C3210" t="s">
        <v>40</v>
      </c>
      <c r="D3210">
        <v>4.6594069999999999</v>
      </c>
      <c r="E3210">
        <v>0.38870769999999999</v>
      </c>
      <c r="F3210" t="s">
        <v>48</v>
      </c>
      <c r="G3210">
        <v>0</v>
      </c>
      <c r="H3210">
        <v>0</v>
      </c>
      <c r="I3210">
        <v>0</v>
      </c>
      <c r="J3210">
        <v>-489.80739999999997</v>
      </c>
      <c r="K3210">
        <v>1.126301</v>
      </c>
      <c r="L3210">
        <v>270.44139999999999</v>
      </c>
      <c r="M3210">
        <v>-0.51061219999999996</v>
      </c>
      <c r="N3210">
        <v>-1.412247E-2</v>
      </c>
      <c r="O3210">
        <v>-0.8596954</v>
      </c>
      <c r="P3210">
        <v>-0.37671850000000001</v>
      </c>
      <c r="Q3210">
        <v>0.17279149999999999</v>
      </c>
      <c r="R3210">
        <v>-0.91006980000000004</v>
      </c>
      <c r="S3210">
        <v>-0.33621220000000002</v>
      </c>
      <c r="T3210">
        <v>3.1770350000000003E-2</v>
      </c>
      <c r="U3210">
        <v>-3.154938</v>
      </c>
      <c r="V3210">
        <v>-0.14285239999999999</v>
      </c>
      <c r="W3210">
        <v>0.1850078</v>
      </c>
      <c r="X3210">
        <v>0.97229900000000002</v>
      </c>
      <c r="Y3210">
        <v>-0.4166955</v>
      </c>
      <c r="Z3210">
        <v>-2.1207710000000001E-2</v>
      </c>
      <c r="AA3210">
        <v>0.90879880000000002</v>
      </c>
      <c r="AB3210">
        <v>21</v>
      </c>
      <c r="AC3210">
        <v>-0.33621220000000002</v>
      </c>
      <c r="AD3210">
        <v>3.1770350000000003E-2</v>
      </c>
      <c r="AE3210">
        <v>-3.154938</v>
      </c>
      <c r="AF3210">
        <v>-1.3219087573805399</v>
      </c>
      <c r="AG3210">
        <v>3.1770350000000003E-2</v>
      </c>
      <c r="AH3210">
        <v>2.88395756864238</v>
      </c>
      <c r="AI3210">
        <v>89.426239443484306</v>
      </c>
      <c r="AJ3210">
        <v>114.625122382741</v>
      </c>
      <c r="AK3210">
        <v>3.1726429637934599</v>
      </c>
      <c r="AL3210">
        <v>79.338413058929603</v>
      </c>
      <c r="AM3210">
        <v>98.3582290266597</v>
      </c>
      <c r="AN3210">
        <v>1.0000000198237999</v>
      </c>
    </row>
    <row r="3211" spans="1:40" x14ac:dyDescent="0.25">
      <c r="A3211" t="str">
        <f>"20190303170317758"</f>
        <v>20190303170317758</v>
      </c>
      <c r="B3211" t="str">
        <f>"1551603797748201"</f>
        <v>1551603797748201</v>
      </c>
      <c r="C3211" t="s">
        <v>40</v>
      </c>
      <c r="D3211">
        <v>4.7110139999999996</v>
      </c>
      <c r="E3211">
        <v>0.40839320000000001</v>
      </c>
      <c r="F3211" t="s">
        <v>48</v>
      </c>
      <c r="G3211">
        <v>0</v>
      </c>
      <c r="H3211">
        <v>0</v>
      </c>
      <c r="I3211">
        <v>0</v>
      </c>
      <c r="J3211">
        <v>-489.85969999999998</v>
      </c>
      <c r="K3211">
        <v>1.126295</v>
      </c>
      <c r="L3211">
        <v>270.34460000000001</v>
      </c>
      <c r="M3211">
        <v>-0.50713790000000003</v>
      </c>
      <c r="N3211">
        <v>-1.4120799999999999E-2</v>
      </c>
      <c r="O3211">
        <v>-0.86174949999999995</v>
      </c>
      <c r="P3211">
        <v>-0.37308069999999999</v>
      </c>
      <c r="Q3211">
        <v>0.17273369999999999</v>
      </c>
      <c r="R3211">
        <v>-0.911578</v>
      </c>
      <c r="S3211">
        <v>-0.3251038</v>
      </c>
      <c r="T3211">
        <v>3.0923490000000001E-2</v>
      </c>
      <c r="U3211">
        <v>-3.1559750000000002</v>
      </c>
      <c r="V3211">
        <v>-0.14281170000000001</v>
      </c>
      <c r="W3211">
        <v>0.18495210000000001</v>
      </c>
      <c r="X3211">
        <v>0.9723155</v>
      </c>
      <c r="Y3211">
        <v>-0.41622029999999899</v>
      </c>
      <c r="Z3211">
        <v>-2.1051830000000001E-2</v>
      </c>
      <c r="AA3211">
        <v>0.9090201</v>
      </c>
      <c r="AB3211">
        <v>21</v>
      </c>
      <c r="AC3211">
        <v>-0.3251038</v>
      </c>
      <c r="AD3211">
        <v>3.0923490000000001E-2</v>
      </c>
      <c r="AE3211">
        <v>-3.1559750000000002</v>
      </c>
      <c r="AF3211">
        <v>-1.3203624236529501</v>
      </c>
      <c r="AG3211">
        <v>3.0923490000000001E-2</v>
      </c>
      <c r="AH3211">
        <v>2.88454528472663</v>
      </c>
      <c r="AI3211">
        <v>89.441513135980401</v>
      </c>
      <c r="AJ3211">
        <v>114.595311333971</v>
      </c>
      <c r="AK3211">
        <v>3.1725249710076602</v>
      </c>
      <c r="AL3211">
        <v>79.341659683370395</v>
      </c>
      <c r="AM3211">
        <v>98.355741519016902</v>
      </c>
      <c r="AN3211">
        <v>0.99999994624577304</v>
      </c>
    </row>
    <row r="3212" spans="1:40" x14ac:dyDescent="0.25">
      <c r="A3212" t="str">
        <f>"20190303170317768"</f>
        <v>20190303170317768</v>
      </c>
      <c r="B3212" t="str">
        <f>"1551603797758938"</f>
        <v>1551603797758938</v>
      </c>
      <c r="C3212" t="s">
        <v>40</v>
      </c>
      <c r="D3212">
        <v>4.7141449999999896</v>
      </c>
      <c r="E3212">
        <v>0.4183093</v>
      </c>
      <c r="F3212" t="s">
        <v>44</v>
      </c>
      <c r="G3212">
        <v>-524.49860000000001</v>
      </c>
      <c r="H3212">
        <v>-0.05</v>
      </c>
      <c r="I3212">
        <v>36.062390000000001</v>
      </c>
      <c r="J3212">
        <v>-489.90750000000003</v>
      </c>
      <c r="K3212">
        <v>1.1262909999999999</v>
      </c>
      <c r="L3212">
        <v>270.2552</v>
      </c>
      <c r="M3212">
        <v>-0.50392590000000004</v>
      </c>
      <c r="N3212">
        <v>-1.411918E-2</v>
      </c>
      <c r="O3212">
        <v>-0.8636315</v>
      </c>
      <c r="P3212">
        <v>-0.3699171</v>
      </c>
      <c r="Q3212">
        <v>0.172983</v>
      </c>
      <c r="R3212">
        <v>-0.91281900000000005</v>
      </c>
      <c r="S3212">
        <v>-0.45922849999999998</v>
      </c>
      <c r="T3212">
        <v>-1.559484E-2</v>
      </c>
      <c r="U3212">
        <v>-3.1060180000000002</v>
      </c>
      <c r="V3212">
        <v>-0.1425382</v>
      </c>
      <c r="W3212">
        <v>0.18520510000000001</v>
      </c>
      <c r="X3212">
        <v>0.97230749999999999</v>
      </c>
      <c r="Y3212">
        <v>-0.37218420000000002</v>
      </c>
      <c r="Z3212">
        <v>-9.7622119999999993E-3</v>
      </c>
      <c r="AA3212">
        <v>0.92810760000000003</v>
      </c>
      <c r="AB3212">
        <v>21</v>
      </c>
      <c r="AC3212">
        <v>-34.591099999999898</v>
      </c>
      <c r="AD3212">
        <v>-1.176291</v>
      </c>
      <c r="AE3212">
        <v>-234.19281000000001</v>
      </c>
      <c r="AF3212">
        <v>-88.148468154792297</v>
      </c>
      <c r="AG3212">
        <v>-1.176291</v>
      </c>
      <c r="AH3212">
        <v>219.70411192856099</v>
      </c>
      <c r="AI3212">
        <v>90.284698106171106</v>
      </c>
      <c r="AJ3212">
        <v>111.861370414915</v>
      </c>
      <c r="AK3212">
        <v>236.730718109988</v>
      </c>
      <c r="AL3212">
        <v>79.326909281359505</v>
      </c>
      <c r="AM3212">
        <v>98.340032303851004</v>
      </c>
      <c r="AN3212">
        <v>0.999999971040749</v>
      </c>
    </row>
    <row r="3213" spans="1:40" x14ac:dyDescent="0.25">
      <c r="A3213" t="str">
        <f>"20190303170317779"</f>
        <v>20190303170317779</v>
      </c>
      <c r="B3213" t="str">
        <f>"1551603797768697"</f>
        <v>1551603797768697</v>
      </c>
      <c r="C3213" t="s">
        <v>40</v>
      </c>
      <c r="D3213">
        <v>4.7118099999999998</v>
      </c>
      <c r="E3213">
        <v>0.42485250000000002</v>
      </c>
      <c r="F3213" t="s">
        <v>42</v>
      </c>
      <c r="G3213">
        <v>-503.39789999999999</v>
      </c>
      <c r="H3213">
        <v>7.9986639999999998E-2</v>
      </c>
      <c r="I3213">
        <v>190.7227</v>
      </c>
      <c r="J3213">
        <v>-489.95370000000003</v>
      </c>
      <c r="K3213">
        <v>1.1262829999999999</v>
      </c>
      <c r="L3213">
        <v>270.16789999999997</v>
      </c>
      <c r="M3213">
        <v>-0.5007933</v>
      </c>
      <c r="N3213">
        <v>-1.4117650000000001E-2</v>
      </c>
      <c r="O3213">
        <v>-0.86545190000000005</v>
      </c>
      <c r="P3213">
        <v>-0.3665911</v>
      </c>
      <c r="Q3213">
        <v>0.17323910000000001</v>
      </c>
      <c r="R3213">
        <v>-0.91411129999999996</v>
      </c>
      <c r="S3213">
        <v>-0.52282709999999999</v>
      </c>
      <c r="T3213">
        <v>-4.0549870000000002E-2</v>
      </c>
      <c r="U3213">
        <v>-3.082306</v>
      </c>
      <c r="V3213">
        <v>-0.1425303</v>
      </c>
      <c r="W3213">
        <v>0.1854624</v>
      </c>
      <c r="X3213">
        <v>0.9722596</v>
      </c>
      <c r="Y3213">
        <v>-0.34897319999999998</v>
      </c>
      <c r="Z3213">
        <v>-3.4381210000000001E-3</v>
      </c>
      <c r="AA3213">
        <v>0.93712640000000003</v>
      </c>
      <c r="AB3213">
        <v>21</v>
      </c>
      <c r="AC3213">
        <v>-13.444199999999899</v>
      </c>
      <c r="AD3213">
        <v>-1.0462963599999999</v>
      </c>
      <c r="AE3213">
        <v>-79.4451999999999</v>
      </c>
      <c r="AF3213">
        <v>-28.148371528754499</v>
      </c>
      <c r="AG3213">
        <v>-1.0462963599999999</v>
      </c>
      <c r="AH3213">
        <v>75.4835517081398</v>
      </c>
      <c r="AI3213">
        <v>90.744093177918401</v>
      </c>
      <c r="AJ3213">
        <v>110.450855342918</v>
      </c>
      <c r="AK3213">
        <v>80.567934901356196</v>
      </c>
      <c r="AL3213">
        <v>79.311907044736699</v>
      </c>
      <c r="AM3213">
        <v>98.3399816535686</v>
      </c>
      <c r="AN3213">
        <v>0.999999959012004</v>
      </c>
    </row>
    <row r="3214" spans="1:40" x14ac:dyDescent="0.25">
      <c r="A3214" t="str">
        <f>"20190303170317790"</f>
        <v>20190303170317790</v>
      </c>
      <c r="B3214" t="str">
        <f>"1551603797778457"</f>
        <v>1551603797778457</v>
      </c>
      <c r="C3214" t="s">
        <v>40</v>
      </c>
      <c r="D3214">
        <v>4.6769049999999996</v>
      </c>
      <c r="E3214">
        <v>0.43001699999999998</v>
      </c>
      <c r="F3214" t="s">
        <v>57</v>
      </c>
      <c r="G3214">
        <v>-500.0711</v>
      </c>
      <c r="H3214">
        <v>7.9981239999999995E-2</v>
      </c>
      <c r="I3214">
        <v>214.77590000000001</v>
      </c>
      <c r="J3214">
        <v>-490.00069999999999</v>
      </c>
      <c r="K3214">
        <v>1.1262779999999999</v>
      </c>
      <c r="L3214">
        <v>270.07850000000002</v>
      </c>
      <c r="M3214">
        <v>-0.4975813</v>
      </c>
      <c r="N3214">
        <v>-1.4116109999999999E-2</v>
      </c>
      <c r="O3214">
        <v>-0.86730249999999998</v>
      </c>
      <c r="P3214">
        <v>-0.36349949999999998</v>
      </c>
      <c r="Q3214">
        <v>0.1731317</v>
      </c>
      <c r="R3214">
        <v>-0.9153654</v>
      </c>
      <c r="S3214">
        <v>-0.56039430000000001</v>
      </c>
      <c r="T3214">
        <v>-5.795372E-2</v>
      </c>
      <c r="U3214">
        <v>-3.0681150000000001</v>
      </c>
      <c r="V3214">
        <v>-0.14221639999999999</v>
      </c>
      <c r="W3214">
        <v>0.1853602</v>
      </c>
      <c r="X3214">
        <v>0.97232510000000005</v>
      </c>
      <c r="Y3214">
        <v>-0.33359800000000001</v>
      </c>
      <c r="Z3214">
        <v>1.077195E-3</v>
      </c>
      <c r="AA3214">
        <v>0.94271479999999996</v>
      </c>
      <c r="AB3214">
        <v>21</v>
      </c>
      <c r="AC3214">
        <v>-10.070399999999999</v>
      </c>
      <c r="AD3214">
        <v>-1.0462967599999999</v>
      </c>
      <c r="AE3214">
        <v>-55.302599999999998</v>
      </c>
      <c r="AF3214">
        <v>-18.778821750748499</v>
      </c>
      <c r="AG3214">
        <v>-1.0462967599999999</v>
      </c>
      <c r="AH3214">
        <v>52.961854575454801</v>
      </c>
      <c r="AI3214">
        <v>91.0667155439223</v>
      </c>
      <c r="AJ3214">
        <v>109.523111209468</v>
      </c>
      <c r="AK3214">
        <v>56.202285748250397</v>
      </c>
      <c r="AL3214">
        <v>79.317866483516895</v>
      </c>
      <c r="AM3214">
        <v>98.321318949950793</v>
      </c>
      <c r="AN3214">
        <v>1.0000000041315</v>
      </c>
    </row>
    <row r="3215" spans="1:40" x14ac:dyDescent="0.25">
      <c r="A3215" t="str">
        <f>"20190303170317801"</f>
        <v>20190303170317801</v>
      </c>
      <c r="B3215" t="str">
        <f>"1551603797788217"</f>
        <v>1551603797788217</v>
      </c>
      <c r="C3215" t="s">
        <v>40</v>
      </c>
      <c r="D3215">
        <v>4.6899819999999997</v>
      </c>
      <c r="E3215">
        <v>0.4335657</v>
      </c>
      <c r="F3215" t="s">
        <v>57</v>
      </c>
      <c r="G3215">
        <v>-498.96710000000002</v>
      </c>
      <c r="H3215" s="1">
        <v>2.847389E-6</v>
      </c>
      <c r="I3215">
        <v>223.53579999999999</v>
      </c>
      <c r="J3215">
        <v>-490.04840000000002</v>
      </c>
      <c r="K3215">
        <v>1.1262650000000001</v>
      </c>
      <c r="L3215">
        <v>269.98660000000001</v>
      </c>
      <c r="M3215">
        <v>-0.49428050000000001</v>
      </c>
      <c r="N3215">
        <v>-1.411448E-2</v>
      </c>
      <c r="O3215">
        <v>-0.86918799999999996</v>
      </c>
      <c r="P3215">
        <v>-0.36015370000000002</v>
      </c>
      <c r="Q3215">
        <v>0.17313539999999999</v>
      </c>
      <c r="R3215">
        <v>-0.91668640000000001</v>
      </c>
      <c r="S3215">
        <v>-0.58901979999999998</v>
      </c>
      <c r="T3215">
        <v>-7.398689E-2</v>
      </c>
      <c r="U3215">
        <v>-3.0574650000000001</v>
      </c>
      <c r="V3215">
        <v>-0.1420669</v>
      </c>
      <c r="W3215">
        <v>0.18536630000000001</v>
      </c>
      <c r="X3215">
        <v>0.97234580000000004</v>
      </c>
      <c r="Y3215">
        <v>-0.32087149999999998</v>
      </c>
      <c r="Z3215">
        <v>5.2969940000000002E-3</v>
      </c>
      <c r="AA3215">
        <v>0.9471079</v>
      </c>
      <c r="AB3215">
        <v>21</v>
      </c>
      <c r="AC3215">
        <v>-8.9186999999999994</v>
      </c>
      <c r="AD3215">
        <v>-1.1262621526109999</v>
      </c>
      <c r="AE3215">
        <v>-46.450800000000001</v>
      </c>
      <c r="AF3215">
        <v>-15.2005926038229</v>
      </c>
      <c r="AG3215">
        <v>-1.1262621526109999</v>
      </c>
      <c r="AH3215">
        <v>44.761894932160502</v>
      </c>
      <c r="AI3215">
        <v>91.364808720756201</v>
      </c>
      <c r="AJ3215">
        <v>108.756859561227</v>
      </c>
      <c r="AK3215">
        <v>47.2858723072926</v>
      </c>
      <c r="AL3215">
        <v>79.317510900761704</v>
      </c>
      <c r="AM3215">
        <v>98.312519261367399</v>
      </c>
      <c r="AN3215">
        <v>1.0000000120144701</v>
      </c>
    </row>
    <row r="3216" spans="1:40" x14ac:dyDescent="0.25">
      <c r="A3216" t="str">
        <f>"20190303170317815"</f>
        <v>20190303170317815</v>
      </c>
      <c r="B3216" t="str">
        <f>"1551603797808714"</f>
        <v>1551603797808714</v>
      </c>
      <c r="C3216" t="s">
        <v>40</v>
      </c>
      <c r="D3216">
        <v>4.6905669999999997</v>
      </c>
      <c r="E3216">
        <v>0.43817660000000003</v>
      </c>
      <c r="F3216" t="s">
        <v>57</v>
      </c>
      <c r="G3216">
        <v>-498.11770000000001</v>
      </c>
      <c r="H3216" s="1">
        <v>4.3809599999999998E-6</v>
      </c>
      <c r="I3216">
        <v>229.25120000000001</v>
      </c>
      <c r="J3216">
        <v>-490.10770000000002</v>
      </c>
      <c r="K3216">
        <v>1.126255</v>
      </c>
      <c r="L3216">
        <v>269.87180000000001</v>
      </c>
      <c r="M3216">
        <v>-0.49015259999999999</v>
      </c>
      <c r="N3216">
        <v>-1.411243E-2</v>
      </c>
      <c r="O3216">
        <v>-0.87152240000000003</v>
      </c>
      <c r="P3216">
        <v>-0.35592370000000001</v>
      </c>
      <c r="Q3216">
        <v>0.173341299999999</v>
      </c>
      <c r="R3216">
        <v>-0.91829780000000005</v>
      </c>
      <c r="S3216">
        <v>-0.60440059999999995</v>
      </c>
      <c r="T3216">
        <v>-8.4357979999999999E-2</v>
      </c>
      <c r="U3216">
        <v>-3.0511170000000001</v>
      </c>
      <c r="V3216">
        <v>-0.14191709999999999</v>
      </c>
      <c r="W3216">
        <v>0.1855753</v>
      </c>
      <c r="X3216">
        <v>0.97232779999999996</v>
      </c>
      <c r="Y3216">
        <v>-0.3113978</v>
      </c>
      <c r="Z3216">
        <v>8.105849E-3</v>
      </c>
      <c r="AA3216">
        <v>0.95024509999999995</v>
      </c>
      <c r="AB3216">
        <v>21</v>
      </c>
      <c r="AC3216">
        <v>-8.0099999999999891</v>
      </c>
      <c r="AD3216">
        <v>-1.1262506190399999</v>
      </c>
      <c r="AE3216">
        <v>-40.620600000000003</v>
      </c>
      <c r="AF3216">
        <v>-12.921124658987999</v>
      </c>
      <c r="AG3216">
        <v>-1.1262506190399999</v>
      </c>
      <c r="AH3216">
        <v>39.3027189137919</v>
      </c>
      <c r="AI3216">
        <v>91.559343462629002</v>
      </c>
      <c r="AJ3216">
        <v>108.198747773804</v>
      </c>
      <c r="AK3216">
        <v>41.387529727280601</v>
      </c>
      <c r="AL3216">
        <v>79.305324550657502</v>
      </c>
      <c r="AM3216">
        <v>98.304028134221099</v>
      </c>
      <c r="AN3216">
        <v>1.0000000029476599</v>
      </c>
    </row>
    <row r="3217" spans="1:40" x14ac:dyDescent="0.25">
      <c r="A3217" t="str">
        <f>"20190303170317828"</f>
        <v>20190303170317828</v>
      </c>
      <c r="B3217" t="str">
        <f>"1551603797818473"</f>
        <v>1551603797818473</v>
      </c>
      <c r="C3217" t="s">
        <v>40</v>
      </c>
      <c r="D3217">
        <v>4.6541249999999996</v>
      </c>
      <c r="E3217">
        <v>0.43967709999999999</v>
      </c>
      <c r="F3217" t="s">
        <v>42</v>
      </c>
      <c r="G3217">
        <v>-497.33159999999998</v>
      </c>
      <c r="H3217" s="1">
        <v>-3.9320889999999999E-6</v>
      </c>
      <c r="I3217">
        <v>234.71979999999999</v>
      </c>
      <c r="J3217">
        <v>-490.16289999999998</v>
      </c>
      <c r="K3217">
        <v>1.126247</v>
      </c>
      <c r="L3217">
        <v>269.76310000000001</v>
      </c>
      <c r="M3217">
        <v>-0.48624519999999999</v>
      </c>
      <c r="N3217">
        <v>-1.4110599999999999E-2</v>
      </c>
      <c r="O3217">
        <v>-0.873708499999999</v>
      </c>
      <c r="P3217">
        <v>-0.35186260000000003</v>
      </c>
      <c r="Q3217">
        <v>0.17329939999999999</v>
      </c>
      <c r="R3217">
        <v>-0.91986950000000001</v>
      </c>
      <c r="S3217">
        <v>-0.62533570000000005</v>
      </c>
      <c r="T3217">
        <v>-9.749389E-2</v>
      </c>
      <c r="U3217">
        <v>-3.0429080000000002</v>
      </c>
      <c r="V3217">
        <v>-0.14185880000000001</v>
      </c>
      <c r="W3217">
        <v>0.18553500000000001</v>
      </c>
      <c r="X3217">
        <v>0.97234399999999999</v>
      </c>
      <c r="Y3217">
        <v>-0.30035329999999999</v>
      </c>
      <c r="Z3217">
        <v>1.1684E-2</v>
      </c>
      <c r="AA3217">
        <v>0.95375650000000001</v>
      </c>
      <c r="AB3217">
        <v>21</v>
      </c>
      <c r="AC3217">
        <v>-7.1687000000000003</v>
      </c>
      <c r="AD3217">
        <v>-1.126250932089</v>
      </c>
      <c r="AE3217">
        <v>-35.043300000000002</v>
      </c>
      <c r="AF3217">
        <v>-10.7666807656509</v>
      </c>
      <c r="AG3217">
        <v>-1.126250932089</v>
      </c>
      <c r="AH3217">
        <v>34.072989379066698</v>
      </c>
      <c r="AI3217">
        <v>91.805249795400798</v>
      </c>
      <c r="AJ3217">
        <v>107.535949262336</v>
      </c>
      <c r="AK3217">
        <v>35.751342088059602</v>
      </c>
      <c r="AL3217">
        <v>79.307674398586997</v>
      </c>
      <c r="AM3217">
        <v>98.300527986103006</v>
      </c>
      <c r="AN3217">
        <v>1.0000000048492199</v>
      </c>
    </row>
    <row r="3218" spans="1:40" x14ac:dyDescent="0.25">
      <c r="A3218" t="str">
        <f>"20190303170317839"</f>
        <v>20190303170317839</v>
      </c>
      <c r="B3218" t="str">
        <f>"1551603797828233"</f>
        <v>1551603797828233</v>
      </c>
      <c r="C3218" t="s">
        <v>40</v>
      </c>
      <c r="D3218">
        <v>4.6180269999999997</v>
      </c>
      <c r="E3218">
        <v>0.44123069999999998</v>
      </c>
      <c r="F3218" t="s">
        <v>42</v>
      </c>
      <c r="G3218">
        <v>-497.04239999999999</v>
      </c>
      <c r="H3218" s="1">
        <v>-4.3731219999999999E-6</v>
      </c>
      <c r="I3218">
        <v>236.16659999999999</v>
      </c>
      <c r="J3218">
        <v>-490.21120000000002</v>
      </c>
      <c r="K3218">
        <v>1.126239</v>
      </c>
      <c r="L3218">
        <v>269.66739999999999</v>
      </c>
      <c r="M3218">
        <v>-0.48280469999999998</v>
      </c>
      <c r="N3218">
        <v>-1.410897E-2</v>
      </c>
      <c r="O3218">
        <v>-0.87561449999999996</v>
      </c>
      <c r="P3218">
        <v>-0.34813179999999999</v>
      </c>
      <c r="Q3218">
        <v>0.17315929999999999</v>
      </c>
      <c r="R3218">
        <v>-0.92131459999999998</v>
      </c>
      <c r="S3218">
        <v>-0.62295529999999999</v>
      </c>
      <c r="T3218">
        <v>-0.1019856</v>
      </c>
      <c r="U3218">
        <v>-3.0422669999999998</v>
      </c>
      <c r="V3218">
        <v>-0.1419832</v>
      </c>
      <c r="W3218">
        <v>0.1853949</v>
      </c>
      <c r="X3218">
        <v>0.97235260000000001</v>
      </c>
      <c r="Y3218">
        <v>-0.29727740000000002</v>
      </c>
      <c r="Z3218">
        <v>1.2946890000000001E-2</v>
      </c>
      <c r="AA3218">
        <v>0.95470339999999998</v>
      </c>
      <c r="AB3218">
        <v>21</v>
      </c>
      <c r="AC3218">
        <v>-6.83119999999996</v>
      </c>
      <c r="AD3218">
        <v>-1.1262433731219901</v>
      </c>
      <c r="AE3218">
        <v>-33.500799999999998</v>
      </c>
      <c r="AF3218">
        <v>-10.182810434893501</v>
      </c>
      <c r="AG3218">
        <v>-1.1262433731219901</v>
      </c>
      <c r="AH3218">
        <v>32.599793565500903</v>
      </c>
      <c r="AI3218">
        <v>91.888717671768404</v>
      </c>
      <c r="AJ3218">
        <v>107.346618771012</v>
      </c>
      <c r="AK3218">
        <v>34.171692861222901</v>
      </c>
      <c r="AL3218">
        <v>79.315843622248394</v>
      </c>
      <c r="AM3218">
        <v>98.307632951271799</v>
      </c>
      <c r="AN3218">
        <v>1.0000000383775001</v>
      </c>
    </row>
    <row r="3219" spans="1:40" x14ac:dyDescent="0.25">
      <c r="A3219" t="str">
        <f>"20190303170317850"</f>
        <v>20190303170317850</v>
      </c>
      <c r="B3219" t="str">
        <f>"1551603797838969"</f>
        <v>1551603797838969</v>
      </c>
      <c r="C3219" t="s">
        <v>40</v>
      </c>
      <c r="D3219">
        <v>4.6371739999999999</v>
      </c>
      <c r="E3219">
        <v>0.44237569999999998</v>
      </c>
      <c r="F3219" t="s">
        <v>42</v>
      </c>
      <c r="G3219">
        <v>-496.77730000000003</v>
      </c>
      <c r="H3219" s="1">
        <v>-4.8074989999999999E-6</v>
      </c>
      <c r="I3219">
        <v>237.5812</v>
      </c>
      <c r="J3219">
        <v>-490.25760000000002</v>
      </c>
      <c r="K3219">
        <v>1.1262319999999999</v>
      </c>
      <c r="L3219">
        <v>269.57420000000002</v>
      </c>
      <c r="M3219">
        <v>-0.47945280000000001</v>
      </c>
      <c r="N3219">
        <v>-1.410732E-2</v>
      </c>
      <c r="O3219">
        <v>-0.87745430000000002</v>
      </c>
      <c r="P3219">
        <v>-0.34461989999999998</v>
      </c>
      <c r="Q3219">
        <v>0.17307249999999999</v>
      </c>
      <c r="R3219">
        <v>-0.92265030000000003</v>
      </c>
      <c r="S3219">
        <v>-0.62234500000000004</v>
      </c>
      <c r="T3219">
        <v>-0.1067467</v>
      </c>
      <c r="U3219">
        <v>-3.0411679999999999</v>
      </c>
      <c r="V3219">
        <v>-0.1419725</v>
      </c>
      <c r="W3219">
        <v>0.18530869999999999</v>
      </c>
      <c r="X3219">
        <v>0.97237059999999997</v>
      </c>
      <c r="Y3219">
        <v>-0.29374220000000001</v>
      </c>
      <c r="Z3219">
        <v>1.429368E-2</v>
      </c>
      <c r="AA3219">
        <v>0.95577780000000001</v>
      </c>
      <c r="AB3219">
        <v>21</v>
      </c>
      <c r="AC3219">
        <v>-6.5197000000000003</v>
      </c>
      <c r="AD3219">
        <v>-1.1262368074989999</v>
      </c>
      <c r="AE3219">
        <v>-31.992999999999999</v>
      </c>
      <c r="AF3219">
        <v>-9.6079200110714194</v>
      </c>
      <c r="AG3219">
        <v>-1.1262368074989999</v>
      </c>
      <c r="AH3219">
        <v>31.1643082995956</v>
      </c>
      <c r="AI3219">
        <v>91.977906149703799</v>
      </c>
      <c r="AJ3219">
        <v>107.134469593617</v>
      </c>
      <c r="AK3219">
        <v>32.631191337092702</v>
      </c>
      <c r="AL3219">
        <v>79.320869672415796</v>
      </c>
      <c r="AM3219">
        <v>98.306863987482004</v>
      </c>
      <c r="AN3219">
        <v>1.0000000443981401</v>
      </c>
    </row>
    <row r="3220" spans="1:40" x14ac:dyDescent="0.25">
      <c r="A3220" t="str">
        <f>"20190303170317868"</f>
        <v>20190303170317868</v>
      </c>
      <c r="B3220" t="str">
        <f>"1551603797858489"</f>
        <v>1551603797858489</v>
      </c>
      <c r="C3220" t="s">
        <v>40</v>
      </c>
      <c r="D3220">
        <v>4.6315520000000001</v>
      </c>
      <c r="E3220">
        <v>0.44432480000000002</v>
      </c>
      <c r="F3220" t="s">
        <v>42</v>
      </c>
      <c r="G3220">
        <v>-496.58819999999997</v>
      </c>
      <c r="H3220" s="1">
        <v>-5.0832620000000003E-6</v>
      </c>
      <c r="I3220">
        <v>238.49010000000001</v>
      </c>
      <c r="J3220">
        <v>-490.32889999999998</v>
      </c>
      <c r="K3220">
        <v>1.1262219999999901</v>
      </c>
      <c r="L3220">
        <v>269.42939999999999</v>
      </c>
      <c r="M3220">
        <v>-0.4742403</v>
      </c>
      <c r="N3220">
        <v>-1.41045999999999E-2</v>
      </c>
      <c r="O3220">
        <v>-0.88028249999999997</v>
      </c>
      <c r="P3220">
        <v>-0.33879130000000002</v>
      </c>
      <c r="Q3220">
        <v>0.17289260000000001</v>
      </c>
      <c r="R3220">
        <v>-0.9248402</v>
      </c>
      <c r="S3220">
        <v>-0.61929319999999999</v>
      </c>
      <c r="T3220">
        <v>-0.1101751</v>
      </c>
      <c r="U3220">
        <v>-3.0408330000000001</v>
      </c>
      <c r="V3220">
        <v>-0.14235120000000001</v>
      </c>
      <c r="W3220">
        <v>0.18512590000000001</v>
      </c>
      <c r="X3220">
        <v>0.97235000000000005</v>
      </c>
      <c r="Y3220">
        <v>-0.28897230000000002</v>
      </c>
      <c r="Z3220">
        <v>1.5352660000000001E-2</v>
      </c>
      <c r="AA3220">
        <v>0.95721440000000002</v>
      </c>
      <c r="AB3220">
        <v>21</v>
      </c>
      <c r="AC3220">
        <v>-6.2592999999999899</v>
      </c>
      <c r="AD3220">
        <v>-1.1262270832619901</v>
      </c>
      <c r="AE3220">
        <v>-30.9392999999999</v>
      </c>
      <c r="AF3220">
        <v>-9.1519718735110906</v>
      </c>
      <c r="AG3220">
        <v>-1.1262270832619901</v>
      </c>
      <c r="AH3220">
        <v>30.168337582261501</v>
      </c>
      <c r="AI3220">
        <v>92.045951853823297</v>
      </c>
      <c r="AJ3220">
        <v>106.875881262454</v>
      </c>
      <c r="AK3220">
        <v>31.546086430711199</v>
      </c>
      <c r="AL3220">
        <v>79.331527193392304</v>
      </c>
      <c r="AM3220">
        <v>98.328885423182996</v>
      </c>
      <c r="AN3220">
        <v>0.99999999274612394</v>
      </c>
    </row>
    <row r="3221" spans="1:40" x14ac:dyDescent="0.25">
      <c r="A3221" t="str">
        <f>"20190303170317878"</f>
        <v>20190303170317878</v>
      </c>
      <c r="B3221" t="str">
        <f>"1551603797868249"</f>
        <v>1551603797868249</v>
      </c>
      <c r="C3221" t="s">
        <v>40</v>
      </c>
      <c r="D3221">
        <v>4.6233269999999997</v>
      </c>
      <c r="E3221">
        <v>0.44520779999999899</v>
      </c>
      <c r="F3221" t="s">
        <v>42</v>
      </c>
      <c r="G3221">
        <v>-496.38299999999998</v>
      </c>
      <c r="H3221" s="1">
        <v>-5.3903610000000001E-6</v>
      </c>
      <c r="I3221">
        <v>239.49950000000001</v>
      </c>
      <c r="J3221">
        <v>-490.37279999999998</v>
      </c>
      <c r="K3221">
        <v>1.1262160000000001</v>
      </c>
      <c r="L3221">
        <v>269.33940000000001</v>
      </c>
      <c r="M3221">
        <v>-0.47100150000000002</v>
      </c>
      <c r="N3221">
        <v>-1.4102969999999999E-2</v>
      </c>
      <c r="O3221">
        <v>-0.88201960000000001</v>
      </c>
      <c r="P3221">
        <v>-0.33511940000000001</v>
      </c>
      <c r="Q3221">
        <v>0.172787</v>
      </c>
      <c r="R3221">
        <v>-0.92619620000000003</v>
      </c>
      <c r="S3221">
        <v>-0.61489869999999902</v>
      </c>
      <c r="T3221">
        <v>-0.1143885</v>
      </c>
      <c r="U3221">
        <v>-3.039917</v>
      </c>
      <c r="V3221">
        <v>-0.14264070000000001</v>
      </c>
      <c r="W3221">
        <v>0.18501670000000001</v>
      </c>
      <c r="X3221">
        <v>0.97232839999999998</v>
      </c>
      <c r="Y3221">
        <v>-0.28672730000000002</v>
      </c>
      <c r="Z3221">
        <v>1.656262E-2</v>
      </c>
      <c r="AA3221">
        <v>0.95786910000000003</v>
      </c>
      <c r="AB3221">
        <v>21</v>
      </c>
      <c r="AC3221">
        <v>-6.0102000000000499</v>
      </c>
      <c r="AD3221">
        <v>-1.1262213903610001</v>
      </c>
      <c r="AE3221">
        <v>-29.8399</v>
      </c>
      <c r="AF3221">
        <v>-8.7424268175786004</v>
      </c>
      <c r="AG3221">
        <v>-1.1262213903610001</v>
      </c>
      <c r="AH3221">
        <v>29.113236845452501</v>
      </c>
      <c r="AI3221">
        <v>92.121823877468302</v>
      </c>
      <c r="AJ3221">
        <v>106.71451018152899</v>
      </c>
      <c r="AK3221">
        <v>30.4183983947255</v>
      </c>
      <c r="AL3221">
        <v>79.337894310737894</v>
      </c>
      <c r="AM3221">
        <v>98.345768353120803</v>
      </c>
      <c r="AN3221">
        <v>1.00000003301096</v>
      </c>
    </row>
    <row r="3222" spans="1:40" x14ac:dyDescent="0.25">
      <c r="A3222" t="str">
        <f>"20190303170317890"</f>
        <v>20190303170317890</v>
      </c>
      <c r="B3222" t="str">
        <f>"1551603797878985"</f>
        <v>1551603797878985</v>
      </c>
      <c r="C3222" t="s">
        <v>40</v>
      </c>
      <c r="D3222">
        <v>4.6197749999999997</v>
      </c>
      <c r="E3222">
        <v>0.44604169999999999</v>
      </c>
      <c r="F3222" t="s">
        <v>42</v>
      </c>
      <c r="G3222">
        <v>-496.29250000000002</v>
      </c>
      <c r="H3222" s="1">
        <v>-1.7617340000000001E-6</v>
      </c>
      <c r="I3222">
        <v>239.79300000000001</v>
      </c>
      <c r="J3222">
        <v>-490.41800000000001</v>
      </c>
      <c r="K3222">
        <v>1.1262099999999999</v>
      </c>
      <c r="L3222">
        <v>269.2457</v>
      </c>
      <c r="M3222">
        <v>-0.46762710000000002</v>
      </c>
      <c r="N3222">
        <v>-1.410136E-2</v>
      </c>
      <c r="O3222">
        <v>-0.88381359999999998</v>
      </c>
      <c r="P3222">
        <v>-0.33136539999999998</v>
      </c>
      <c r="Q3222">
        <v>0.172822</v>
      </c>
      <c r="R3222">
        <v>-0.92753969999999997</v>
      </c>
      <c r="S3222">
        <v>-0.60913090000000003</v>
      </c>
      <c r="T3222">
        <v>-0.115886</v>
      </c>
      <c r="U3222">
        <v>-3.0402830000000001</v>
      </c>
      <c r="V3222">
        <v>-0.14285780000000001</v>
      </c>
      <c r="W3222">
        <v>0.18504999999999999</v>
      </c>
      <c r="X3222">
        <v>0.97229019999999999</v>
      </c>
      <c r="Y3222">
        <v>-0.28483570000000002</v>
      </c>
      <c r="Z3222">
        <v>1.7055210000000001E-2</v>
      </c>
      <c r="AA3222">
        <v>0.95842459999999996</v>
      </c>
      <c r="AB3222">
        <v>21</v>
      </c>
      <c r="AC3222">
        <v>-5.87450000000001</v>
      </c>
      <c r="AD3222">
        <v>-1.1262117617339999</v>
      </c>
      <c r="AE3222">
        <v>-29.4527</v>
      </c>
      <c r="AF3222">
        <v>-8.5697183699048001</v>
      </c>
      <c r="AG3222">
        <v>-1.1262117617339999</v>
      </c>
      <c r="AH3222">
        <v>28.740213106358802</v>
      </c>
      <c r="AI3222">
        <v>92.150565102840801</v>
      </c>
      <c r="AJ3222">
        <v>106.60345793955599</v>
      </c>
      <c r="AK3222">
        <v>30.011802266286399</v>
      </c>
      <c r="AL3222">
        <v>79.335952947103806</v>
      </c>
      <c r="AM3222">
        <v>98.358615097214695</v>
      </c>
      <c r="AN3222">
        <v>1.00000004326843</v>
      </c>
    </row>
    <row r="3223" spans="1:40" x14ac:dyDescent="0.25">
      <c r="A3223" t="str">
        <f>"20190303170317905"</f>
        <v>20190303170317905</v>
      </c>
      <c r="B3223" t="str">
        <f>"1551603797898505"</f>
        <v>1551603797898505</v>
      </c>
      <c r="C3223" t="s">
        <v>40</v>
      </c>
      <c r="D3223">
        <v>4.5959029999999998</v>
      </c>
      <c r="E3223">
        <v>0.44748890000000002</v>
      </c>
      <c r="F3223" t="s">
        <v>42</v>
      </c>
      <c r="G3223">
        <v>-496.18209999999999</v>
      </c>
      <c r="H3223" s="1">
        <v>-1.903322E-6</v>
      </c>
      <c r="I3223">
        <v>240.19149999999999</v>
      </c>
      <c r="J3223">
        <v>-490.4744</v>
      </c>
      <c r="K3223">
        <v>1.1262019999999999</v>
      </c>
      <c r="L3223">
        <v>269.12729999999999</v>
      </c>
      <c r="M3223">
        <v>-0.46335880000000002</v>
      </c>
      <c r="N3223">
        <v>-1.409932E-2</v>
      </c>
      <c r="O3223">
        <v>-0.88605840000000002</v>
      </c>
      <c r="P3223">
        <v>-0.32685389999999998</v>
      </c>
      <c r="Q3223">
        <v>0.17284229999999901</v>
      </c>
      <c r="R3223">
        <v>-0.92913500000000004</v>
      </c>
      <c r="S3223">
        <v>-0.60327149999999996</v>
      </c>
      <c r="T3223">
        <v>-0.1178688</v>
      </c>
      <c r="U3223">
        <v>-3.0408019999999998</v>
      </c>
      <c r="V3223">
        <v>-0.14288819999999999</v>
      </c>
      <c r="W3223">
        <v>0.18507009999999999</v>
      </c>
      <c r="X3223">
        <v>0.97228190000000003</v>
      </c>
      <c r="Y3223">
        <v>-0.28202100000000002</v>
      </c>
      <c r="Z3223">
        <v>1.7706610000000001E-2</v>
      </c>
      <c r="AA3223">
        <v>0.95924480000000001</v>
      </c>
      <c r="AB3223">
        <v>21</v>
      </c>
      <c r="AC3223">
        <v>-5.7076999999999796</v>
      </c>
      <c r="AD3223">
        <v>-1.1262039033219999</v>
      </c>
      <c r="AE3223">
        <v>-28.9358</v>
      </c>
      <c r="AF3223">
        <v>-8.3389745665865807</v>
      </c>
      <c r="AG3223">
        <v>-1.1262039033219999</v>
      </c>
      <c r="AH3223">
        <v>28.245154114174699</v>
      </c>
      <c r="AI3223">
        <v>92.189962144897805</v>
      </c>
      <c r="AJ3223">
        <v>106.448475773225</v>
      </c>
      <c r="AK3223">
        <v>29.4719453546506</v>
      </c>
      <c r="AL3223">
        <v>79.334780985482396</v>
      </c>
      <c r="AM3223">
        <v>98.360439025273706</v>
      </c>
      <c r="AN3223">
        <v>1.00000003634042</v>
      </c>
    </row>
    <row r="3224" spans="1:40" x14ac:dyDescent="0.25">
      <c r="A3224" t="str">
        <f>"20190303170317918"</f>
        <v>20190303170317918</v>
      </c>
      <c r="B3224" t="str">
        <f>"1551603797908266"</f>
        <v>1551603797908266</v>
      </c>
      <c r="C3224" t="s">
        <v>40</v>
      </c>
      <c r="D3224">
        <v>4.5837149999999998</v>
      </c>
      <c r="E3224">
        <v>0.4481734</v>
      </c>
      <c r="F3224" t="s">
        <v>42</v>
      </c>
      <c r="G3224">
        <v>-496.0933</v>
      </c>
      <c r="H3224" s="1">
        <v>-2.0695959999999999E-6</v>
      </c>
      <c r="I3224">
        <v>240.63419999999999</v>
      </c>
      <c r="J3224">
        <v>-490.52760000000001</v>
      </c>
      <c r="K3224">
        <v>1.1261950000000001</v>
      </c>
      <c r="L3224">
        <v>269.0147</v>
      </c>
      <c r="M3224">
        <v>-0.45930169999999998</v>
      </c>
      <c r="N3224">
        <v>-1.409737E-2</v>
      </c>
      <c r="O3224">
        <v>-0.88816849999999903</v>
      </c>
      <c r="P3224">
        <v>-0.3224689</v>
      </c>
      <c r="Q3224">
        <v>0.17279</v>
      </c>
      <c r="R3224">
        <v>-0.93067610000000001</v>
      </c>
      <c r="S3224">
        <v>-0.59954830000000003</v>
      </c>
      <c r="T3224">
        <v>-0.1201687</v>
      </c>
      <c r="U3224">
        <v>-3.0402830000000001</v>
      </c>
      <c r="V3224">
        <v>-0.14302690000000001</v>
      </c>
      <c r="W3224">
        <v>0.18501719999999999</v>
      </c>
      <c r="X3224">
        <v>0.97227149999999996</v>
      </c>
      <c r="Y3224">
        <v>-0.27873350000000002</v>
      </c>
      <c r="Z3224">
        <v>1.845337E-2</v>
      </c>
      <c r="AA3224">
        <v>0.96019120000000002</v>
      </c>
      <c r="AB3224">
        <v>21</v>
      </c>
      <c r="AC3224">
        <v>-5.5656999999999899</v>
      </c>
      <c r="AD3224">
        <v>-1.126197069596</v>
      </c>
      <c r="AE3224">
        <v>-28.380500000000001</v>
      </c>
      <c r="AF3224">
        <v>-8.0804835473943992</v>
      </c>
      <c r="AG3224">
        <v>-1.126197069596</v>
      </c>
      <c r="AH3224">
        <v>27.723720902979899</v>
      </c>
      <c r="AI3224">
        <v>92.233367981703495</v>
      </c>
      <c r="AJ3224">
        <v>106.24953485992199</v>
      </c>
      <c r="AK3224">
        <v>28.8992601100028</v>
      </c>
      <c r="AL3224">
        <v>79.337864415856998</v>
      </c>
      <c r="AM3224">
        <v>98.3685277885087</v>
      </c>
      <c r="AN3224">
        <v>0.99999996406584901</v>
      </c>
    </row>
    <row r="3225" spans="1:40" x14ac:dyDescent="0.25">
      <c r="A3225" t="str">
        <f>"20190303170317930"</f>
        <v>20190303170317930</v>
      </c>
      <c r="B3225" t="str">
        <f>"1551603797919002"</f>
        <v>1551603797919002</v>
      </c>
      <c r="C3225" t="s">
        <v>40</v>
      </c>
      <c r="D3225">
        <v>4.593572</v>
      </c>
      <c r="E3225">
        <v>0.44882109999999897</v>
      </c>
      <c r="F3225" t="s">
        <v>42</v>
      </c>
      <c r="G3225">
        <v>-495.96339999999998</v>
      </c>
      <c r="H3225" s="1">
        <v>-2.2020860000000001E-6</v>
      </c>
      <c r="I3225">
        <v>241.02359999999999</v>
      </c>
      <c r="J3225">
        <v>-490.57639999999998</v>
      </c>
      <c r="K3225">
        <v>1.126187</v>
      </c>
      <c r="L3225">
        <v>268.90969999999999</v>
      </c>
      <c r="M3225">
        <v>-0.45551550000000002</v>
      </c>
      <c r="N3225">
        <v>-1.4095440000000001E-2</v>
      </c>
      <c r="O3225">
        <v>-0.89011620000000002</v>
      </c>
      <c r="P3225">
        <v>-0.31841550000000002</v>
      </c>
      <c r="Q3225">
        <v>0.17275799999999999</v>
      </c>
      <c r="R3225">
        <v>-0.93207640000000003</v>
      </c>
      <c r="S3225">
        <v>-0.59066770000000002</v>
      </c>
      <c r="T3225">
        <v>-0.12237430000000001</v>
      </c>
      <c r="U3225">
        <v>-3.0415649999999999</v>
      </c>
      <c r="V3225">
        <v>-0.1431182</v>
      </c>
      <c r="W3225">
        <v>0.18498439999999999</v>
      </c>
      <c r="X3225">
        <v>0.97226429999999997</v>
      </c>
      <c r="Y3225">
        <v>-0.27742250000000002</v>
      </c>
      <c r="Z3225">
        <v>1.9139900000000001E-2</v>
      </c>
      <c r="AA3225">
        <v>0.96055729999999995</v>
      </c>
      <c r="AB3225">
        <v>21</v>
      </c>
      <c r="AC3225">
        <v>-5.3869999999999996</v>
      </c>
      <c r="AD3225">
        <v>-1.126189202086</v>
      </c>
      <c r="AE3225">
        <v>-27.886099999999999</v>
      </c>
      <c r="AF3225">
        <v>-7.8958661918027699</v>
      </c>
      <c r="AG3225">
        <v>-1.126189202086</v>
      </c>
      <c r="AH3225">
        <v>27.2356201506086</v>
      </c>
      <c r="AI3225">
        <v>92.274282366361703</v>
      </c>
      <c r="AJ3225">
        <v>106.167378157532</v>
      </c>
      <c r="AK3225">
        <v>28.3794293463767</v>
      </c>
      <c r="AL3225">
        <v>79.339776664213701</v>
      </c>
      <c r="AM3225">
        <v>98.373855177201904</v>
      </c>
      <c r="AN3225">
        <v>0.99999995823454402</v>
      </c>
    </row>
    <row r="3226" spans="1:40" x14ac:dyDescent="0.25">
      <c r="A3226" t="str">
        <f>"20190303170317947"</f>
        <v>20190303170317947</v>
      </c>
      <c r="B3226" t="str">
        <f>"1551603797938521"</f>
        <v>1551603797938521</v>
      </c>
      <c r="C3226" t="s">
        <v>40</v>
      </c>
      <c r="D3226">
        <v>4.582325</v>
      </c>
      <c r="E3226">
        <v>0.45016970000000001</v>
      </c>
      <c r="F3226" t="s">
        <v>42</v>
      </c>
      <c r="G3226">
        <v>-495.87540000000001</v>
      </c>
      <c r="H3226" s="1">
        <v>-2.2557770000000001E-6</v>
      </c>
      <c r="I3226">
        <v>241.20330000000001</v>
      </c>
      <c r="J3226">
        <v>-490.63920000000002</v>
      </c>
      <c r="K3226">
        <v>1.126172</v>
      </c>
      <c r="L3226">
        <v>268.77330000000001</v>
      </c>
      <c r="M3226">
        <v>-0.45059510000000003</v>
      </c>
      <c r="N3226">
        <v>-1.4093069999999999E-2</v>
      </c>
      <c r="O3226">
        <v>-0.89261729999999995</v>
      </c>
      <c r="P3226">
        <v>-0.31374849999999999</v>
      </c>
      <c r="Q3226">
        <v>0.17263239999999999</v>
      </c>
      <c r="R3226">
        <v>-0.93368119999999999</v>
      </c>
      <c r="S3226">
        <v>-0.58193969999999995</v>
      </c>
      <c r="T3226">
        <v>-0.12368079999999999</v>
      </c>
      <c r="U3226">
        <v>-3.042786</v>
      </c>
      <c r="V3226">
        <v>-0.14261889999999999</v>
      </c>
      <c r="W3226">
        <v>0.1848668</v>
      </c>
      <c r="X3226">
        <v>0.97236009999999995</v>
      </c>
      <c r="Y3226">
        <v>-0.27484910000000001</v>
      </c>
      <c r="Z3226">
        <v>1.9629919999999999E-2</v>
      </c>
      <c r="AA3226">
        <v>0.961287</v>
      </c>
      <c r="AB3226">
        <v>21</v>
      </c>
      <c r="AC3226">
        <v>-5.2361999999999904</v>
      </c>
      <c r="AD3226">
        <v>-1.126174255777</v>
      </c>
      <c r="AE3226">
        <v>-27.57</v>
      </c>
      <c r="AF3226">
        <v>-7.7372925116622602</v>
      </c>
      <c r="AG3226">
        <v>-1.126174255777</v>
      </c>
      <c r="AH3226">
        <v>26.9281743244951</v>
      </c>
      <c r="AI3226">
        <v>92.301769405266896</v>
      </c>
      <c r="AJ3226">
        <v>106.03098591593201</v>
      </c>
      <c r="AK3226">
        <v>28.040337664083101</v>
      </c>
      <c r="AL3226">
        <v>79.346633612206105</v>
      </c>
      <c r="AM3226">
        <v>98.344242607693005</v>
      </c>
      <c r="AN3226">
        <v>1.0000000242257201</v>
      </c>
    </row>
    <row r="3227" spans="1:40" x14ac:dyDescent="0.25">
      <c r="A3227" t="str">
        <f>"20190303170317959"</f>
        <v>20190303170317959</v>
      </c>
      <c r="B3227" t="str">
        <f>"1551603797948280"</f>
        <v>1551603797948280</v>
      </c>
      <c r="C3227" t="s">
        <v>40</v>
      </c>
      <c r="D3227">
        <v>4.516705</v>
      </c>
      <c r="E3227">
        <v>0.45016970000000001</v>
      </c>
      <c r="F3227" t="s">
        <v>42</v>
      </c>
      <c r="G3227">
        <v>-495.79349999999999</v>
      </c>
      <c r="H3227" s="1">
        <v>-2.3833679999999999E-6</v>
      </c>
      <c r="I3227">
        <v>241.5515</v>
      </c>
      <c r="J3227">
        <v>-490.6848</v>
      </c>
      <c r="K3227">
        <v>1.1261650000000001</v>
      </c>
      <c r="L3227">
        <v>268.67270000000002</v>
      </c>
      <c r="M3227">
        <v>-0.44696550000000002</v>
      </c>
      <c r="N3227">
        <v>-1.4091289999999999E-2</v>
      </c>
      <c r="O3227">
        <v>-0.89444049999999997</v>
      </c>
      <c r="P3227">
        <v>-0.31070130000000001</v>
      </c>
      <c r="Q3227">
        <v>0.1721212</v>
      </c>
      <c r="R3227">
        <v>-0.93479380000000001</v>
      </c>
      <c r="S3227">
        <v>-0.57614140000000003</v>
      </c>
      <c r="T3227">
        <v>-0.1258811</v>
      </c>
      <c r="U3227">
        <v>-3.042786</v>
      </c>
      <c r="V3227">
        <v>-0.14187249999999901</v>
      </c>
      <c r="W3227">
        <v>0.18436630000000001</v>
      </c>
      <c r="X3227">
        <v>0.97256430000000005</v>
      </c>
      <c r="Y3227">
        <v>-0.27271269999999997</v>
      </c>
      <c r="Z3227">
        <v>2.0335410000000002E-2</v>
      </c>
      <c r="AA3227">
        <v>0.96188059999999997</v>
      </c>
      <c r="AB3227">
        <v>21</v>
      </c>
      <c r="AC3227">
        <v>-5.10869999999999</v>
      </c>
      <c r="AD3227">
        <v>-1.1261673833679999</v>
      </c>
      <c r="AE3227">
        <v>-27.121200000000002</v>
      </c>
      <c r="AF3227">
        <v>-7.5410038220942903</v>
      </c>
      <c r="AG3227">
        <v>-1.1261673833679999</v>
      </c>
      <c r="AH3227">
        <v>26.5002147515969</v>
      </c>
      <c r="AI3227">
        <v>92.340595459617205</v>
      </c>
      <c r="AJ3227">
        <v>105.88443838672301</v>
      </c>
      <c r="AK3227">
        <v>27.575285556109101</v>
      </c>
      <c r="AL3227">
        <v>79.375811745611401</v>
      </c>
      <c r="AM3227">
        <v>98.299464264138194</v>
      </c>
      <c r="AN3227">
        <v>1.00000002823321</v>
      </c>
    </row>
    <row r="3228" spans="1:40" x14ac:dyDescent="0.25">
      <c r="A3228" t="str">
        <f>"20190303170317969"</f>
        <v>20190303170317969</v>
      </c>
      <c r="B3228" t="str">
        <f>"1551603797959017"</f>
        <v>1551603797959017</v>
      </c>
      <c r="C3228" t="s">
        <v>40</v>
      </c>
      <c r="D3228">
        <v>4.5820160000000003</v>
      </c>
      <c r="E3228">
        <v>0.46612199999999998</v>
      </c>
      <c r="F3228" t="s">
        <v>42</v>
      </c>
      <c r="G3228">
        <v>-495.69499999999999</v>
      </c>
      <c r="H3228" s="1">
        <v>-2.4301959999999999E-6</v>
      </c>
      <c r="I3228">
        <v>241.7217</v>
      </c>
      <c r="J3228">
        <v>-490.72770000000003</v>
      </c>
      <c r="K3228">
        <v>1.1261589999999999</v>
      </c>
      <c r="L3228">
        <v>268.57729999999998</v>
      </c>
      <c r="M3228">
        <v>-0.44352180000000002</v>
      </c>
      <c r="N3228">
        <v>-1.408946E-2</v>
      </c>
      <c r="O3228">
        <v>-0.89615299999999998</v>
      </c>
      <c r="P3228">
        <v>-0.30776049999999999</v>
      </c>
      <c r="Q3228">
        <v>0.1717021</v>
      </c>
      <c r="R3228">
        <v>-0.93584290000000003</v>
      </c>
      <c r="S3228">
        <v>-0.56597900000000001</v>
      </c>
      <c r="T3228">
        <v>-0.12721789999999999</v>
      </c>
      <c r="U3228">
        <v>-3.0445250000000001</v>
      </c>
      <c r="V3228">
        <v>-0.1412147</v>
      </c>
      <c r="W3228">
        <v>0.1839566</v>
      </c>
      <c r="X3228">
        <v>0.97273759999999998</v>
      </c>
      <c r="Y3228">
        <v>-0.27221519999999999</v>
      </c>
      <c r="Z3228">
        <v>2.0776639999999999E-2</v>
      </c>
      <c r="AA3228">
        <v>0.96201210000000004</v>
      </c>
      <c r="AB3228">
        <v>21</v>
      </c>
      <c r="AC3228">
        <v>-4.9672999999999599</v>
      </c>
      <c r="AD3228">
        <v>-1.1261614301959999</v>
      </c>
      <c r="AE3228">
        <v>-26.8555999999999</v>
      </c>
      <c r="AF3228">
        <v>-7.4476595010918096</v>
      </c>
      <c r="AG3228">
        <v>-1.1261614301959999</v>
      </c>
      <c r="AH3228">
        <v>26.227841389473401</v>
      </c>
      <c r="AI3228">
        <v>92.365237517241894</v>
      </c>
      <c r="AJ3228">
        <v>105.85242898838101</v>
      </c>
      <c r="AK3228">
        <v>27.288010839239199</v>
      </c>
      <c r="AL3228">
        <v>79.399694335593594</v>
      </c>
      <c r="AM3228">
        <v>98.260064151430299</v>
      </c>
      <c r="AN3228">
        <v>1.0000000303167</v>
      </c>
    </row>
    <row r="3229" spans="1:40" x14ac:dyDescent="0.25">
      <c r="A3229" t="str">
        <f>"20190303170317981"</f>
        <v>20190303170317981</v>
      </c>
      <c r="B3229" t="str">
        <f>"1551603797968777"</f>
        <v>1551603797968777</v>
      </c>
      <c r="C3229" t="s">
        <v>40</v>
      </c>
      <c r="D3229">
        <v>4.5127920000000001</v>
      </c>
      <c r="E3229">
        <v>0.46707029999999999</v>
      </c>
      <c r="F3229" t="s">
        <v>42</v>
      </c>
      <c r="G3229">
        <v>-495.28899999999999</v>
      </c>
      <c r="H3229" s="1">
        <v>-4.7893570000000001E-6</v>
      </c>
      <c r="I3229">
        <v>248.30359999999999</v>
      </c>
      <c r="J3229">
        <v>-490.76900000000001</v>
      </c>
      <c r="K3229">
        <v>1.1261490000000001</v>
      </c>
      <c r="L3229">
        <v>268.48430000000002</v>
      </c>
      <c r="M3229">
        <v>-0.44016420000000001</v>
      </c>
      <c r="N3229">
        <v>-1.408774E-2</v>
      </c>
      <c r="O3229">
        <v>-0.89780689999999996</v>
      </c>
      <c r="P3229">
        <v>-0.30472189999999999</v>
      </c>
      <c r="Q3229">
        <v>0.17134839999999901</v>
      </c>
      <c r="R3229">
        <v>-0.93690169999999995</v>
      </c>
      <c r="S3229">
        <v>-0.67797850000000004</v>
      </c>
      <c r="T3229">
        <v>-0.16738839999999999</v>
      </c>
      <c r="U3229">
        <v>-3.0133969999999999</v>
      </c>
      <c r="V3229">
        <v>-0.14075090000000001</v>
      </c>
      <c r="W3229">
        <v>0.1836102</v>
      </c>
      <c r="X3229">
        <v>0.97287020000000002</v>
      </c>
      <c r="Y3229">
        <v>-0.23238600000000001</v>
      </c>
      <c r="Z3229">
        <v>3.2420530000000003E-2</v>
      </c>
      <c r="AA3229">
        <v>0.97208320000000004</v>
      </c>
      <c r="AB3229">
        <v>21</v>
      </c>
      <c r="AC3229">
        <v>-4.51999999999998</v>
      </c>
      <c r="AD3229">
        <v>-1.1261537893569999</v>
      </c>
      <c r="AE3229">
        <v>-20.180700000000002</v>
      </c>
      <c r="AF3229">
        <v>-4.8109470099002296</v>
      </c>
      <c r="AG3229">
        <v>-1.1261537893569999</v>
      </c>
      <c r="AH3229">
        <v>20.050452216692999</v>
      </c>
      <c r="AI3229">
        <v>93.126150557752794</v>
      </c>
      <c r="AJ3229">
        <v>103.49259486698099</v>
      </c>
      <c r="AK3229">
        <v>20.650280084861802</v>
      </c>
      <c r="AL3229">
        <v>79.419884908505097</v>
      </c>
      <c r="AM3229">
        <v>98.232200844215498</v>
      </c>
      <c r="AN3229">
        <v>0.999999973721444</v>
      </c>
    </row>
    <row r="3230" spans="1:40" x14ac:dyDescent="0.25">
      <c r="A3230" t="str">
        <f>"20190303170317991"</f>
        <v>20190303170317991</v>
      </c>
      <c r="B3230" t="str">
        <f>"1551603797978537"</f>
        <v>1551603797978537</v>
      </c>
      <c r="C3230" t="s">
        <v>40</v>
      </c>
      <c r="D3230">
        <v>4.566522</v>
      </c>
      <c r="E3230">
        <v>0.46690330000000002</v>
      </c>
      <c r="F3230" t="s">
        <v>42</v>
      </c>
      <c r="G3230">
        <v>-495.26150000000001</v>
      </c>
      <c r="H3230" s="1">
        <v>-4.8264129999999998E-6</v>
      </c>
      <c r="I3230">
        <v>248.42689999999999</v>
      </c>
      <c r="J3230">
        <v>-490.80860000000001</v>
      </c>
      <c r="K3230">
        <v>1.1261399999999999</v>
      </c>
      <c r="L3230">
        <v>268.39460000000003</v>
      </c>
      <c r="M3230">
        <v>-0.43692409999999998</v>
      </c>
      <c r="N3230">
        <v>-1.408614E-2</v>
      </c>
      <c r="O3230">
        <v>-0.89938830000000003</v>
      </c>
      <c r="P3230">
        <v>-0.30177359999999998</v>
      </c>
      <c r="Q3230">
        <v>0.171013</v>
      </c>
      <c r="R3230">
        <v>-0.93791690000000005</v>
      </c>
      <c r="S3230">
        <v>-0.67495729999999998</v>
      </c>
      <c r="T3230">
        <v>-0.16919729999999999</v>
      </c>
      <c r="U3230">
        <v>-3.0134889999999999</v>
      </c>
      <c r="V3230">
        <v>-0.14032259999999999</v>
      </c>
      <c r="W3230">
        <v>0.18328120000000001</v>
      </c>
      <c r="X3230">
        <v>0.97299409999999997</v>
      </c>
      <c r="Y3230">
        <v>-0.22981750000000001</v>
      </c>
      <c r="Z3230">
        <v>3.3055080000000001E-2</v>
      </c>
      <c r="AA3230">
        <v>0.97267219999999999</v>
      </c>
      <c r="AB3230">
        <v>21</v>
      </c>
      <c r="AC3230">
        <v>-4.4528999999999996</v>
      </c>
      <c r="AD3230">
        <v>-1.1261448264129901</v>
      </c>
      <c r="AE3230">
        <v>-19.967700000000001</v>
      </c>
      <c r="AF3230">
        <v>-4.7056918997403603</v>
      </c>
      <c r="AG3230">
        <v>-1.1261448264129901</v>
      </c>
      <c r="AH3230">
        <v>19.846130680094799</v>
      </c>
      <c r="AI3230">
        <v>93.160261282263207</v>
      </c>
      <c r="AJ3230">
        <v>103.338998356752</v>
      </c>
      <c r="AK3230">
        <v>20.427448235076699</v>
      </c>
      <c r="AL3230">
        <v>79.439060643850894</v>
      </c>
      <c r="AM3230">
        <v>98.206461444491296</v>
      </c>
      <c r="AN3230">
        <v>0.99999997448950395</v>
      </c>
    </row>
    <row r="3231" spans="1:40" x14ac:dyDescent="0.25">
      <c r="A3231" t="str">
        <f>"20190303170318003"</f>
        <v>20190303170318003</v>
      </c>
      <c r="B3231" t="str">
        <f>"1551603797988298"</f>
        <v>1551603797988298</v>
      </c>
      <c r="C3231" t="s">
        <v>40</v>
      </c>
      <c r="D3231">
        <v>4.569286</v>
      </c>
      <c r="E3231">
        <v>0.46715200000000001</v>
      </c>
      <c r="F3231" t="s">
        <v>42</v>
      </c>
      <c r="G3231">
        <v>-495.20650000000001</v>
      </c>
      <c r="H3231" s="1">
        <v>-4.8162730000000003E-6</v>
      </c>
      <c r="I3231">
        <v>248.42570000000001</v>
      </c>
      <c r="J3231">
        <v>-490.8519</v>
      </c>
      <c r="K3231">
        <v>1.126142</v>
      </c>
      <c r="L3231">
        <v>268.29509999999999</v>
      </c>
      <c r="M3231">
        <v>-0.4333323</v>
      </c>
      <c r="N3231">
        <v>-1.4084269999999999E-2</v>
      </c>
      <c r="O3231">
        <v>-0.90112420000000004</v>
      </c>
      <c r="P3231">
        <v>-0.29860419999999999</v>
      </c>
      <c r="Q3231">
        <v>0.17071839999999999</v>
      </c>
      <c r="R3231">
        <v>-0.93898409999999999</v>
      </c>
      <c r="S3231">
        <v>-0.66421509999999995</v>
      </c>
      <c r="T3231">
        <v>-0.17008029999999999</v>
      </c>
      <c r="U3231">
        <v>-3.0158689999999999</v>
      </c>
      <c r="V3231">
        <v>-0.13974230000000001</v>
      </c>
      <c r="W3231">
        <v>0.1829953</v>
      </c>
      <c r="X3231">
        <v>0.97313139999999998</v>
      </c>
      <c r="Y3231">
        <v>-0.22940240000000001</v>
      </c>
      <c r="Z3231">
        <v>3.3405089999999998E-2</v>
      </c>
      <c r="AA3231">
        <v>0.97275829999999996</v>
      </c>
      <c r="AB3231">
        <v>21</v>
      </c>
      <c r="AC3231">
        <v>-4.3545999999999996</v>
      </c>
      <c r="AD3231">
        <v>-1.126146816273</v>
      </c>
      <c r="AE3231">
        <v>-19.869399999999899</v>
      </c>
      <c r="AF3231">
        <v>-4.6721613427798001</v>
      </c>
      <c r="AG3231">
        <v>-1.126146816273</v>
      </c>
      <c r="AH3231">
        <v>19.733263964875501</v>
      </c>
      <c r="AI3231">
        <v>93.178549509043606</v>
      </c>
      <c r="AJ3231">
        <v>103.320389550222</v>
      </c>
      <c r="AK3231">
        <v>20.310071515684498</v>
      </c>
      <c r="AL3231">
        <v>79.455723123015105</v>
      </c>
      <c r="AM3231">
        <v>98.171845735664107</v>
      </c>
      <c r="AN3231">
        <v>0.99999995594866897</v>
      </c>
    </row>
    <row r="3232" spans="1:40" x14ac:dyDescent="0.25">
      <c r="A3232" t="str">
        <f>"20190303170318016"</f>
        <v>20190303170318016</v>
      </c>
      <c r="B3232" t="str">
        <f>"1551603798008794"</f>
        <v>1551603798008794</v>
      </c>
      <c r="C3232" t="s">
        <v>40</v>
      </c>
      <c r="D3232">
        <v>4.5448180000000002</v>
      </c>
      <c r="E3232">
        <v>0.4680298</v>
      </c>
      <c r="F3232" t="s">
        <v>42</v>
      </c>
      <c r="G3232">
        <v>-495.19970000000001</v>
      </c>
      <c r="H3232" s="1">
        <v>-4.7657869999999996E-6</v>
      </c>
      <c r="I3232">
        <v>248.2809</v>
      </c>
      <c r="J3232">
        <v>-490.89760000000001</v>
      </c>
      <c r="K3232">
        <v>1.126134</v>
      </c>
      <c r="L3232">
        <v>268.18939999999998</v>
      </c>
      <c r="M3232">
        <v>-0.42951319999999998</v>
      </c>
      <c r="N3232">
        <v>-1.40822999999999E-2</v>
      </c>
      <c r="O3232">
        <v>-0.9029509</v>
      </c>
      <c r="P3232">
        <v>-0.29511340000000003</v>
      </c>
      <c r="Q3232">
        <v>0.17064260000000001</v>
      </c>
      <c r="R3232">
        <v>-0.94010039999999995</v>
      </c>
      <c r="S3232">
        <v>-0.65548709999999999</v>
      </c>
      <c r="T3232">
        <v>-0.16977929999999999</v>
      </c>
      <c r="U3232">
        <v>-3.0173649999999999</v>
      </c>
      <c r="V3232">
        <v>-0.1392388</v>
      </c>
      <c r="W3232">
        <v>0.18292629999999999</v>
      </c>
      <c r="X3232">
        <v>0.97321659999999999</v>
      </c>
      <c r="Y3232">
        <v>-0.22806899999999999</v>
      </c>
      <c r="Z3232">
        <v>3.3456149999999997E-2</v>
      </c>
      <c r="AA3232">
        <v>0.97306999999999999</v>
      </c>
      <c r="AB3232">
        <v>21</v>
      </c>
      <c r="AC3232">
        <v>-4.3020999999999896</v>
      </c>
      <c r="AD3232">
        <v>-1.1261387657869999</v>
      </c>
      <c r="AE3232">
        <v>-19.908499999999901</v>
      </c>
      <c r="AF3232">
        <v>-4.65261796609808</v>
      </c>
      <c r="AG3232">
        <v>-1.1261387657869999</v>
      </c>
      <c r="AH3232">
        <v>19.765747867511799</v>
      </c>
      <c r="AI3232">
        <v>93.174289665127702</v>
      </c>
      <c r="AJ3232">
        <v>103.245611491679</v>
      </c>
      <c r="AK3232">
        <v>20.337153960677899</v>
      </c>
      <c r="AL3232">
        <v>79.459745014276095</v>
      </c>
      <c r="AM3232">
        <v>98.142094341499302</v>
      </c>
      <c r="AN3232">
        <v>1.00000001258634</v>
      </c>
    </row>
    <row r="3233" spans="1:40" x14ac:dyDescent="0.25">
      <c r="A3233" t="str">
        <f>"20190303170318028"</f>
        <v>20190303170318028</v>
      </c>
      <c r="B3233" t="str">
        <f>"1551603798018553"</f>
        <v>1551603798018553</v>
      </c>
      <c r="C3233" t="s">
        <v>40</v>
      </c>
      <c r="D3233">
        <v>4.5114359999999998</v>
      </c>
      <c r="E3233">
        <v>0.46865180000000001</v>
      </c>
      <c r="F3233" t="s">
        <v>42</v>
      </c>
      <c r="G3233">
        <v>-495.2799</v>
      </c>
      <c r="H3233" s="1">
        <v>-4.6423770000000002E-6</v>
      </c>
      <c r="I3233">
        <v>247.87649999999999</v>
      </c>
      <c r="J3233">
        <v>-490.94229999999999</v>
      </c>
      <c r="K3233">
        <v>1.126128</v>
      </c>
      <c r="L3233">
        <v>268.08390000000003</v>
      </c>
      <c r="M3233">
        <v>-0.42570419999999998</v>
      </c>
      <c r="N3233">
        <v>-1.408031E-2</v>
      </c>
      <c r="O3233">
        <v>-0.90475300000000003</v>
      </c>
      <c r="P3233">
        <v>-0.29169659999999997</v>
      </c>
      <c r="Q3233">
        <v>0.17042950000000001</v>
      </c>
      <c r="R3233">
        <v>-0.94120559999999998</v>
      </c>
      <c r="S3233">
        <v>-0.65093990000000002</v>
      </c>
      <c r="T3233">
        <v>-0.16727259999999999</v>
      </c>
      <c r="U3233">
        <v>-3.0172119999999998</v>
      </c>
      <c r="V3233">
        <v>-0.13868169999999999</v>
      </c>
      <c r="W3233">
        <v>0.18272099999999999</v>
      </c>
      <c r="X3233">
        <v>0.9733347</v>
      </c>
      <c r="Y3233">
        <v>-0.22535450000000001</v>
      </c>
      <c r="Z3233">
        <v>3.2927339999999999E-2</v>
      </c>
      <c r="AA3233">
        <v>0.97372029999999998</v>
      </c>
      <c r="AB3233">
        <v>21</v>
      </c>
      <c r="AC3233">
        <v>-4.3376000000000001</v>
      </c>
      <c r="AD3233">
        <v>-1.1261326423769999</v>
      </c>
      <c r="AE3233">
        <v>-20.2074</v>
      </c>
      <c r="AF3233">
        <v>-4.6645329794120496</v>
      </c>
      <c r="AG3233">
        <v>-1.1261326423769999</v>
      </c>
      <c r="AH3233">
        <v>20.071642230596101</v>
      </c>
      <c r="AI3233">
        <v>93.128064675951606</v>
      </c>
      <c r="AJ3233">
        <v>103.082980937662</v>
      </c>
      <c r="AK3233">
        <v>20.6372688231098</v>
      </c>
      <c r="AL3233">
        <v>79.471709441327206</v>
      </c>
      <c r="AM3233">
        <v>98.108980792376002</v>
      </c>
      <c r="AN3233">
        <v>1.00000000798999</v>
      </c>
    </row>
    <row r="3234" spans="1:40" x14ac:dyDescent="0.25">
      <c r="A3234" t="str">
        <f>"20190303170318041"</f>
        <v>20190303170318041</v>
      </c>
      <c r="B3234" t="str">
        <f>"1551603798028313"</f>
        <v>1551603798028313</v>
      </c>
      <c r="C3234" t="s">
        <v>40</v>
      </c>
      <c r="D3234">
        <v>4.4559329999999999</v>
      </c>
      <c r="E3234">
        <v>0.46888740000000001</v>
      </c>
      <c r="F3234" t="s">
        <v>42</v>
      </c>
      <c r="G3234">
        <v>-495.28210000000001</v>
      </c>
      <c r="H3234" s="1">
        <v>-4.6072940000000002E-6</v>
      </c>
      <c r="I3234">
        <v>247.7723</v>
      </c>
      <c r="J3234">
        <v>-490.98849999999999</v>
      </c>
      <c r="K3234">
        <v>1.126123</v>
      </c>
      <c r="L3234">
        <v>267.9742</v>
      </c>
      <c r="M3234">
        <v>-0.42173919999999998</v>
      </c>
      <c r="N3234">
        <v>-1.4078240000000001E-2</v>
      </c>
      <c r="O3234">
        <v>-0.90660790000000002</v>
      </c>
      <c r="P3234">
        <v>-0.2880742</v>
      </c>
      <c r="Q3234">
        <v>0.17059779999999999</v>
      </c>
      <c r="R3234">
        <v>-0.9422895</v>
      </c>
      <c r="S3234">
        <v>-0.64480590000000004</v>
      </c>
      <c r="T3234">
        <v>-0.1673229</v>
      </c>
      <c r="U3234">
        <v>-3.017944</v>
      </c>
      <c r="V3234">
        <v>-0.13814849999999901</v>
      </c>
      <c r="W3234">
        <v>0.18289630000000001</v>
      </c>
      <c r="X3234">
        <v>0.97337759999999995</v>
      </c>
      <c r="Y3234">
        <v>-0.2230316</v>
      </c>
      <c r="Z3234">
        <v>3.3091679999999998E-2</v>
      </c>
      <c r="AA3234">
        <v>0.97424940000000004</v>
      </c>
      <c r="AB3234">
        <v>21</v>
      </c>
      <c r="AC3234">
        <v>-4.2936000000000201</v>
      </c>
      <c r="AD3234">
        <v>-1.1261276072939901</v>
      </c>
      <c r="AE3234">
        <v>-20.201899999999899</v>
      </c>
      <c r="AF3234">
        <v>-4.6140621377002997</v>
      </c>
      <c r="AG3234">
        <v>-1.1261276072939901</v>
      </c>
      <c r="AH3234">
        <v>20.0683117048805</v>
      </c>
      <c r="AI3234">
        <v>93.130265945763398</v>
      </c>
      <c r="AJ3234">
        <v>102.94829151114899</v>
      </c>
      <c r="AK3234">
        <v>20.622678474987499</v>
      </c>
      <c r="AL3234">
        <v>79.461493338956899</v>
      </c>
      <c r="AM3234">
        <v>98.077864557745599</v>
      </c>
      <c r="AN3234">
        <v>1.0000000083938401</v>
      </c>
    </row>
    <row r="3235" spans="1:40" x14ac:dyDescent="0.25">
      <c r="A3235" t="str">
        <f>"20190303170318055"</f>
        <v>20190303170318055</v>
      </c>
      <c r="B3235" t="str">
        <f>"1551603798039049"</f>
        <v>1551603798039049</v>
      </c>
      <c r="C3235" t="s">
        <v>40</v>
      </c>
      <c r="D3235">
        <v>4.5610879999999998</v>
      </c>
      <c r="E3235">
        <v>0.46888740000000001</v>
      </c>
      <c r="F3235" t="s">
        <v>42</v>
      </c>
      <c r="G3235">
        <v>-495.26830000000001</v>
      </c>
      <c r="H3235" s="1">
        <v>-4.5558789999999999E-6</v>
      </c>
      <c r="I3235">
        <v>247.6284</v>
      </c>
      <c r="J3235">
        <v>-491.03739999999999</v>
      </c>
      <c r="K3235">
        <v>1.1261139999999901</v>
      </c>
      <c r="L3235">
        <v>267.85680000000002</v>
      </c>
      <c r="M3235">
        <v>-0.41749579999999997</v>
      </c>
      <c r="N3235">
        <v>-1.407603E-2</v>
      </c>
      <c r="O3235">
        <v>-0.90856979999999998</v>
      </c>
      <c r="P3235">
        <v>-0.28433609999999998</v>
      </c>
      <c r="Q3235">
        <v>0.17106779999999999</v>
      </c>
      <c r="R3235">
        <v>-0.94333900000000004</v>
      </c>
      <c r="S3235">
        <v>-0.63522339999999999</v>
      </c>
      <c r="T3235">
        <v>-0.16714599999999999</v>
      </c>
      <c r="U3235">
        <v>-3.0198360000000002</v>
      </c>
      <c r="V3235">
        <v>-0.1374203</v>
      </c>
      <c r="W3235">
        <v>0.1833745</v>
      </c>
      <c r="X3235">
        <v>0.97339070000000005</v>
      </c>
      <c r="Y3235">
        <v>-0.22155849999999999</v>
      </c>
      <c r="Z3235">
        <v>3.317966E-2</v>
      </c>
      <c r="AA3235">
        <v>0.97458239999999996</v>
      </c>
      <c r="AB3235">
        <v>21</v>
      </c>
      <c r="AC3235">
        <v>-4.2309000000000196</v>
      </c>
      <c r="AD3235">
        <v>-1.1261185558789999</v>
      </c>
      <c r="AE3235">
        <v>-20.228400000000001</v>
      </c>
      <c r="AF3235">
        <v>-4.5880369292814303</v>
      </c>
      <c r="AG3235">
        <v>-1.1261185558789999</v>
      </c>
      <c r="AH3235">
        <v>20.087647058173001</v>
      </c>
      <c r="AI3235">
        <v>93.128264745037001</v>
      </c>
      <c r="AJ3235">
        <v>102.865716476778</v>
      </c>
      <c r="AK3235">
        <v>20.635692142500901</v>
      </c>
      <c r="AL3235">
        <v>79.433623063454306</v>
      </c>
      <c r="AM3235">
        <v>98.035735900043093</v>
      </c>
      <c r="AN3235">
        <v>1.0000000004744101</v>
      </c>
    </row>
    <row r="3236" spans="1:40" x14ac:dyDescent="0.25">
      <c r="A3236" t="str">
        <f>"20190303170318070"</f>
        <v>20190303170318070</v>
      </c>
      <c r="B3236" t="str">
        <f>"1551603798058570"</f>
        <v>1551603798058570</v>
      </c>
      <c r="C3236" t="s">
        <v>40</v>
      </c>
      <c r="D3236">
        <v>4.5181440000000004</v>
      </c>
      <c r="E3236">
        <v>0.44036779999999998</v>
      </c>
      <c r="F3236" t="s">
        <v>42</v>
      </c>
      <c r="G3236">
        <v>-495.2765</v>
      </c>
      <c r="H3236" s="1">
        <v>-4.4485760000000002E-6</v>
      </c>
      <c r="I3236">
        <v>247.30879999999999</v>
      </c>
      <c r="J3236">
        <v>-491.08890000000002</v>
      </c>
      <c r="K3236">
        <v>1.126104</v>
      </c>
      <c r="L3236">
        <v>267.73090000000002</v>
      </c>
      <c r="M3236">
        <v>-0.41294649999999999</v>
      </c>
      <c r="N3236">
        <v>-1.407344E-2</v>
      </c>
      <c r="O3236">
        <v>-0.91064659999999997</v>
      </c>
      <c r="P3236">
        <v>-0.28022320000000001</v>
      </c>
      <c r="Q3236">
        <v>0.17123650000000001</v>
      </c>
      <c r="R3236">
        <v>-0.94453849999999995</v>
      </c>
      <c r="S3236">
        <v>-0.62350459999999996</v>
      </c>
      <c r="T3236">
        <v>-0.16563510000000001</v>
      </c>
      <c r="U3236">
        <v>-3.0223080000000002</v>
      </c>
      <c r="V3236">
        <v>-0.1367765</v>
      </c>
      <c r="W3236">
        <v>0.18355160000000001</v>
      </c>
      <c r="X3236">
        <v>0.97344799999999998</v>
      </c>
      <c r="Y3236">
        <v>-0.22046289999999999</v>
      </c>
      <c r="Z3236">
        <v>3.2893640000000002E-2</v>
      </c>
      <c r="AA3236">
        <v>0.97484059999999995</v>
      </c>
      <c r="AB3236">
        <v>21</v>
      </c>
      <c r="AC3236">
        <v>-4.1875999999999696</v>
      </c>
      <c r="AD3236">
        <v>-1.126108448576</v>
      </c>
      <c r="AE3236">
        <v>-20.4221</v>
      </c>
      <c r="AF3236">
        <v>-4.60682602375394</v>
      </c>
      <c r="AG3236">
        <v>-1.126108448576</v>
      </c>
      <c r="AH3236">
        <v>20.2694384097986</v>
      </c>
      <c r="AI3236">
        <v>93.100987064567406</v>
      </c>
      <c r="AJ3236">
        <v>102.80463020702901</v>
      </c>
      <c r="AK3236">
        <v>20.8168465359119</v>
      </c>
      <c r="AL3236">
        <v>79.423300822500707</v>
      </c>
      <c r="AM3236">
        <v>97.998112914417504</v>
      </c>
      <c r="AN3236">
        <v>1.0000000047594</v>
      </c>
    </row>
    <row r="3237" spans="1:40" x14ac:dyDescent="0.25">
      <c r="A3237" t="str">
        <f>"20190303170318083"</f>
        <v>20190303170318083</v>
      </c>
      <c r="B3237" t="str">
        <f>"1551603798079065"</f>
        <v>1551603798079065</v>
      </c>
      <c r="C3237" t="s">
        <v>40</v>
      </c>
      <c r="D3237">
        <v>4.5248759999999999</v>
      </c>
      <c r="E3237">
        <v>0.43715850000000001</v>
      </c>
      <c r="F3237" t="s">
        <v>57</v>
      </c>
      <c r="G3237">
        <v>-496.54520000000002</v>
      </c>
      <c r="H3237" s="1">
        <v>3.6685900000000001E-6</v>
      </c>
      <c r="I3237">
        <v>224.76259999999999</v>
      </c>
      <c r="J3237">
        <v>-491.13220000000001</v>
      </c>
      <c r="K3237">
        <v>1.1260969999999999</v>
      </c>
      <c r="L3237">
        <v>267.62380000000002</v>
      </c>
      <c r="M3237">
        <v>-0.4090763</v>
      </c>
      <c r="N3237">
        <v>-1.407126E-2</v>
      </c>
      <c r="O3237">
        <v>-0.91239170000000003</v>
      </c>
      <c r="P3237">
        <v>-0.27641779999999999</v>
      </c>
      <c r="Q3237">
        <v>0.17126079999999999</v>
      </c>
      <c r="R3237">
        <v>-0.94565520000000003</v>
      </c>
      <c r="S3237">
        <v>-0.3904724</v>
      </c>
      <c r="T3237">
        <v>-8.0587389999999995E-2</v>
      </c>
      <c r="U3237">
        <v>-3.074951</v>
      </c>
      <c r="V3237">
        <v>-0.1365567</v>
      </c>
      <c r="W3237">
        <v>0.18357879999999999</v>
      </c>
      <c r="X3237">
        <v>0.9734737</v>
      </c>
      <c r="Y3237">
        <v>-0.29082639999999998</v>
      </c>
      <c r="Z3237">
        <v>8.442069E-3</v>
      </c>
      <c r="AA3237">
        <v>0.95673859999999999</v>
      </c>
      <c r="AB3237">
        <v>21</v>
      </c>
      <c r="AC3237">
        <v>-5.41300000000001</v>
      </c>
      <c r="AD3237">
        <v>-1.1260933314099999</v>
      </c>
      <c r="AE3237">
        <v>-42.861199999999997</v>
      </c>
      <c r="AF3237">
        <v>-12.587419354850001</v>
      </c>
      <c r="AG3237">
        <v>-1.1260933314099999</v>
      </c>
      <c r="AH3237">
        <v>41.296565455863103</v>
      </c>
      <c r="AI3237">
        <v>91.494146362193803</v>
      </c>
      <c r="AJ3237">
        <v>106.95150857135199</v>
      </c>
      <c r="AK3237">
        <v>43.187006502607701</v>
      </c>
      <c r="AL3237">
        <v>79.421715133814004</v>
      </c>
      <c r="AM3237">
        <v>97.985217766457097</v>
      </c>
      <c r="AN3237">
        <v>0.99999997635800897</v>
      </c>
    </row>
    <row r="3238" spans="1:40" x14ac:dyDescent="0.25">
      <c r="A3238" t="str">
        <f>"20190303170318096"</f>
        <v>20190303170318096</v>
      </c>
      <c r="B3238" t="str">
        <f>"1551603798088825"</f>
        <v>1551603798088825</v>
      </c>
      <c r="C3238" t="s">
        <v>40</v>
      </c>
      <c r="D3238">
        <v>4.4765439999999996</v>
      </c>
      <c r="E3238">
        <v>0.43629010000000001</v>
      </c>
      <c r="F3238" t="s">
        <v>57</v>
      </c>
      <c r="G3238">
        <v>-497.78089999999997</v>
      </c>
      <c r="H3238" s="1">
        <v>1.712413E-6</v>
      </c>
      <c r="I3238">
        <v>209.66759999999999</v>
      </c>
      <c r="J3238">
        <v>-491.17829999999998</v>
      </c>
      <c r="K3238">
        <v>1.126088</v>
      </c>
      <c r="L3238">
        <v>267.50869999999998</v>
      </c>
      <c r="M3238">
        <v>-0.4049122</v>
      </c>
      <c r="N3238">
        <v>-1.406896E-2</v>
      </c>
      <c r="O3238">
        <v>-0.91424760000000005</v>
      </c>
      <c r="P3238">
        <v>-0.27232319999999999</v>
      </c>
      <c r="Q3238">
        <v>0.1710535</v>
      </c>
      <c r="R3238">
        <v>-0.94687949999999999</v>
      </c>
      <c r="S3238">
        <v>-0.35333249999999999</v>
      </c>
      <c r="T3238">
        <v>-5.9843899999999998E-2</v>
      </c>
      <c r="U3238">
        <v>-3.0799560000000001</v>
      </c>
      <c r="V3238">
        <v>-0.13633919999999999</v>
      </c>
      <c r="W3238">
        <v>0.18337539999999999</v>
      </c>
      <c r="X3238">
        <v>0.97354249999999998</v>
      </c>
      <c r="Y3238">
        <v>-0.29803079999999998</v>
      </c>
      <c r="Z3238">
        <v>2.7231E-3</v>
      </c>
      <c r="AA3238">
        <v>0.95455239999999997</v>
      </c>
      <c r="AB3238">
        <v>21</v>
      </c>
      <c r="AC3238">
        <v>-6.60259999999999</v>
      </c>
      <c r="AD3238">
        <v>-1.1260862875869999</v>
      </c>
      <c r="AE3238">
        <v>-57.841099999999898</v>
      </c>
      <c r="AF3238">
        <v>-17.3793697108663</v>
      </c>
      <c r="AG3238">
        <v>-1.1260862875869999</v>
      </c>
      <c r="AH3238">
        <v>55.539265087065303</v>
      </c>
      <c r="AI3238">
        <v>91.108548736133898</v>
      </c>
      <c r="AJ3238">
        <v>107.375966794306</v>
      </c>
      <c r="AK3238">
        <v>58.20584616931</v>
      </c>
      <c r="AL3238">
        <v>79.433570143585499</v>
      </c>
      <c r="AM3238">
        <v>97.972106835585805</v>
      </c>
      <c r="AN3238">
        <v>0.999999957044024</v>
      </c>
    </row>
    <row r="3239" spans="1:40" x14ac:dyDescent="0.25">
      <c r="A3239" t="str">
        <f>"20190303170318108"</f>
        <v>20190303170318108</v>
      </c>
      <c r="B3239" t="str">
        <f>"1551603798098585"</f>
        <v>1551603798098585</v>
      </c>
      <c r="C3239" t="s">
        <v>40</v>
      </c>
      <c r="D3239">
        <v>4.4970939999999997</v>
      </c>
      <c r="E3239">
        <v>0.4359034</v>
      </c>
      <c r="F3239" t="s">
        <v>57</v>
      </c>
      <c r="G3239">
        <v>-498.48930000000001</v>
      </c>
      <c r="H3239" s="1">
        <v>5.2654740000000001E-8</v>
      </c>
      <c r="I3239">
        <v>199.78630000000001</v>
      </c>
      <c r="J3239">
        <v>-491.22160000000002</v>
      </c>
      <c r="K3239">
        <v>1.1260749999999999</v>
      </c>
      <c r="L3239">
        <v>267.39830000000001</v>
      </c>
      <c r="M3239">
        <v>-0.40092519999999998</v>
      </c>
      <c r="N3239">
        <v>-1.406658E-2</v>
      </c>
      <c r="O3239">
        <v>-0.91600300000000001</v>
      </c>
      <c r="P3239">
        <v>-0.26830029999999999</v>
      </c>
      <c r="Q3239">
        <v>0.1710477</v>
      </c>
      <c r="R3239">
        <v>-0.94802839999999999</v>
      </c>
      <c r="S3239">
        <v>-0.33270260000000001</v>
      </c>
      <c r="T3239">
        <v>-5.1244970000000001E-2</v>
      </c>
      <c r="U3239">
        <v>-3.0818479999999999</v>
      </c>
      <c r="V3239">
        <v>-0.13622790000000001</v>
      </c>
      <c r="W3239">
        <v>0.18337210000000001</v>
      </c>
      <c r="X3239">
        <v>0.9735587</v>
      </c>
      <c r="Y3239">
        <v>-0.30025469999999999</v>
      </c>
      <c r="Z3239">
        <v>3.7139920000000003E-4</v>
      </c>
      <c r="AA3239">
        <v>0.95385900000000001</v>
      </c>
      <c r="AB3239">
        <v>21</v>
      </c>
      <c r="AC3239">
        <v>-7.2676999999999898</v>
      </c>
      <c r="AD3239">
        <v>-1.12607494734526</v>
      </c>
      <c r="AE3239">
        <v>-67.611999999999995</v>
      </c>
      <c r="AF3239">
        <v>-20.446532414084199</v>
      </c>
      <c r="AG3239">
        <v>-1.12607494734526</v>
      </c>
      <c r="AH3239">
        <v>64.835224012422202</v>
      </c>
      <c r="AI3239">
        <v>90.948966521275807</v>
      </c>
      <c r="AJ3239">
        <v>107.503267252226</v>
      </c>
      <c r="AK3239">
        <v>67.992168705581093</v>
      </c>
      <c r="AL3239">
        <v>79.433762459997197</v>
      </c>
      <c r="AM3239">
        <v>97.965551558544206</v>
      </c>
      <c r="AN3239">
        <v>0.99999995507125405</v>
      </c>
    </row>
    <row r="3240" spans="1:40" x14ac:dyDescent="0.25">
      <c r="A3240" t="str">
        <f>"20190303170318122"</f>
        <v>20190303170318122</v>
      </c>
      <c r="B3240" t="str">
        <f>"1551603798118644"</f>
        <v>1551603798118644</v>
      </c>
      <c r="C3240" t="s">
        <v>40</v>
      </c>
      <c r="D3240">
        <v>4.460858</v>
      </c>
      <c r="E3240">
        <v>0.43574629999999998</v>
      </c>
      <c r="F3240" t="s">
        <v>42</v>
      </c>
      <c r="G3240">
        <v>-498.98610000000002</v>
      </c>
      <c r="H3240" s="1">
        <v>-3.2617820000000002E-6</v>
      </c>
      <c r="I3240">
        <v>191.8877</v>
      </c>
      <c r="J3240">
        <v>-491.26519999999999</v>
      </c>
      <c r="K3240">
        <v>1.1260619999999999</v>
      </c>
      <c r="L3240">
        <v>267.28620000000001</v>
      </c>
      <c r="M3240">
        <v>-0.39687539999999999</v>
      </c>
      <c r="N3240">
        <v>-1.406408E-2</v>
      </c>
      <c r="O3240">
        <v>-0.91776489999999999</v>
      </c>
      <c r="P3240">
        <v>-0.26413399999999998</v>
      </c>
      <c r="Q3240">
        <v>0.17097809999999999</v>
      </c>
      <c r="R3240">
        <v>-0.94921</v>
      </c>
      <c r="S3240">
        <v>-0.31701659999999998</v>
      </c>
      <c r="T3240">
        <v>-4.5976879999999998E-2</v>
      </c>
      <c r="U3240">
        <v>-3.0830380000000002</v>
      </c>
      <c r="V3240">
        <v>-0.1362032</v>
      </c>
      <c r="W3240">
        <v>0.1833032</v>
      </c>
      <c r="X3240">
        <v>0.97357519999999997</v>
      </c>
      <c r="Y3240">
        <v>-0.300884599999999</v>
      </c>
      <c r="Z3240">
        <v>-1.060681E-3</v>
      </c>
      <c r="AA3240">
        <v>0.95365999999999995</v>
      </c>
      <c r="AB3240">
        <v>21</v>
      </c>
      <c r="AC3240">
        <v>-7.7209000000000199</v>
      </c>
      <c r="AD3240">
        <v>-1.1260652617819999</v>
      </c>
      <c r="AE3240">
        <v>-75.398499999999999</v>
      </c>
      <c r="AF3240">
        <v>-22.8350539626305</v>
      </c>
      <c r="AG3240">
        <v>-1.1260652617819999</v>
      </c>
      <c r="AH3240">
        <v>72.253520350780406</v>
      </c>
      <c r="AI3240">
        <v>90.851377604193502</v>
      </c>
      <c r="AJ3240">
        <v>107.538656955235</v>
      </c>
      <c r="AK3240">
        <v>75.784423963837597</v>
      </c>
      <c r="AL3240">
        <v>79.437778925993499</v>
      </c>
      <c r="AM3240">
        <v>97.963992584121399</v>
      </c>
      <c r="AN3240">
        <v>1.0000000224377501</v>
      </c>
    </row>
    <row r="3241" spans="1:40" x14ac:dyDescent="0.25">
      <c r="A3241" t="str">
        <f>"20190303170318138"</f>
        <v>20190303170318138</v>
      </c>
      <c r="B3241" t="str">
        <f>"1551603798128403"</f>
        <v>1551603798128403</v>
      </c>
      <c r="C3241" t="s">
        <v>40</v>
      </c>
      <c r="D3241">
        <v>4.4534969999999996</v>
      </c>
      <c r="E3241">
        <v>0.43593890000000002</v>
      </c>
      <c r="F3241" t="s">
        <v>42</v>
      </c>
      <c r="G3241">
        <v>-499.54509999999999</v>
      </c>
      <c r="H3241" s="1">
        <v>-3.650199E-6</v>
      </c>
      <c r="I3241">
        <v>182.73769999999999</v>
      </c>
      <c r="J3241">
        <v>-491.31709999999998</v>
      </c>
      <c r="K3241">
        <v>1.126055</v>
      </c>
      <c r="L3241">
        <v>267.15109999999999</v>
      </c>
      <c r="M3241">
        <v>-0.39199859999999997</v>
      </c>
      <c r="N3241">
        <v>-1.4060939999999999E-2</v>
      </c>
      <c r="O3241">
        <v>-0.91985850000000002</v>
      </c>
      <c r="P3241">
        <v>-0.25946780000000003</v>
      </c>
      <c r="Q3241">
        <v>0.1709416</v>
      </c>
      <c r="R3241">
        <v>-0.95050290000000004</v>
      </c>
      <c r="S3241">
        <v>-0.30200199999999999</v>
      </c>
      <c r="T3241">
        <v>-4.1072249999999998E-2</v>
      </c>
      <c r="U3241">
        <v>-3.0838320000000001</v>
      </c>
      <c r="V3241">
        <v>-0.13581399999999999</v>
      </c>
      <c r="W3241">
        <v>0.18327270000000001</v>
      </c>
      <c r="X3241">
        <v>0.97363529999999998</v>
      </c>
      <c r="Y3241">
        <v>-0.30044880000000002</v>
      </c>
      <c r="Z3241">
        <v>-2.3892050000000001E-3</v>
      </c>
      <c r="AA3241">
        <v>0.95379499999999995</v>
      </c>
      <c r="AB3241">
        <v>21</v>
      </c>
      <c r="AC3241">
        <v>-8.2279999999999998</v>
      </c>
      <c r="AD3241">
        <v>-1.126058650199</v>
      </c>
      <c r="AE3241">
        <v>-84.413399999999996</v>
      </c>
      <c r="AF3241">
        <v>-25.519360248220799</v>
      </c>
      <c r="AG3241">
        <v>-1.126058650199</v>
      </c>
      <c r="AH3241">
        <v>80.867477951978401</v>
      </c>
      <c r="AI3241">
        <v>90.760798965800205</v>
      </c>
      <c r="AJ3241">
        <v>107.514139624267</v>
      </c>
      <c r="AK3241">
        <v>84.805982960377705</v>
      </c>
      <c r="AL3241">
        <v>79.439556442531</v>
      </c>
      <c r="AM3241">
        <v>97.941042312425296</v>
      </c>
      <c r="AN3241">
        <v>1.00000001128369</v>
      </c>
    </row>
    <row r="3242" spans="1:40" x14ac:dyDescent="0.25">
      <c r="A3242" t="str">
        <f>"20190303170318150"</f>
        <v>20190303170318150</v>
      </c>
      <c r="B3242" t="str">
        <f>"1551603798139140"</f>
        <v>1551603798139140</v>
      </c>
      <c r="C3242" t="s">
        <v>40</v>
      </c>
      <c r="D3242">
        <v>4.4333689999999999</v>
      </c>
      <c r="E3242">
        <v>0.4361584</v>
      </c>
      <c r="F3242" t="s">
        <v>42</v>
      </c>
      <c r="G3242">
        <v>-499.27789999999999</v>
      </c>
      <c r="H3242" s="1">
        <v>-3.384886E-6</v>
      </c>
      <c r="I3242">
        <v>182.09729999999999</v>
      </c>
      <c r="J3242">
        <v>-491.35739999999998</v>
      </c>
      <c r="K3242">
        <v>1.126047</v>
      </c>
      <c r="L3242">
        <v>267.04450000000003</v>
      </c>
      <c r="M3242">
        <v>-0.38815460000000002</v>
      </c>
      <c r="N3242">
        <v>-1.4058340000000001E-2</v>
      </c>
      <c r="O3242">
        <v>-0.92148730000000001</v>
      </c>
      <c r="P3242">
        <v>-0.25552639999999999</v>
      </c>
      <c r="Q3242">
        <v>0.17108579999999901</v>
      </c>
      <c r="R3242">
        <v>-0.95154419999999995</v>
      </c>
      <c r="S3242">
        <v>-0.28872680000000001</v>
      </c>
      <c r="T3242">
        <v>-4.0840509999999997E-2</v>
      </c>
      <c r="U3242">
        <v>-3.084778</v>
      </c>
      <c r="V3242">
        <v>-0.13577030000000001</v>
      </c>
      <c r="W3242">
        <v>0.18341850000000001</v>
      </c>
      <c r="X3242">
        <v>0.97361390000000003</v>
      </c>
      <c r="Y3242">
        <v>-0.30056240000000001</v>
      </c>
      <c r="Z3242">
        <v>-2.4357150000000002E-3</v>
      </c>
      <c r="AA3242">
        <v>0.95375909999999997</v>
      </c>
      <c r="AB3242">
        <v>21</v>
      </c>
      <c r="AC3242">
        <v>-7.9204999999999997</v>
      </c>
      <c r="AD3242">
        <v>-1.126050384886</v>
      </c>
      <c r="AE3242">
        <v>-84.947199999999995</v>
      </c>
      <c r="AF3242">
        <v>-25.6720654495346</v>
      </c>
      <c r="AG3242">
        <v>-1.126050384886</v>
      </c>
      <c r="AH3242">
        <v>81.345994659964205</v>
      </c>
      <c r="AI3242">
        <v>90.756314012130204</v>
      </c>
      <c r="AJ3242">
        <v>107.515228323464</v>
      </c>
      <c r="AK3242">
        <v>85.308228097490201</v>
      </c>
      <c r="AL3242">
        <v>79.431058262991996</v>
      </c>
      <c r="AM3242">
        <v>97.938692018433002</v>
      </c>
      <c r="AN3242">
        <v>0.999999973388774</v>
      </c>
    </row>
    <row r="3243" spans="1:40" x14ac:dyDescent="0.25">
      <c r="A3243" t="str">
        <f>"20190303170318163"</f>
        <v>20190303170318163</v>
      </c>
      <c r="B3243" t="str">
        <f>"1551603798158661"</f>
        <v>1551603798158661</v>
      </c>
      <c r="C3243" t="s">
        <v>40</v>
      </c>
      <c r="D3243">
        <v>4.4048290000000003</v>
      </c>
      <c r="E3243">
        <v>0.43678349999999999</v>
      </c>
      <c r="F3243" t="s">
        <v>42</v>
      </c>
      <c r="G3243">
        <v>-499.17039999999997</v>
      </c>
      <c r="H3243" s="1">
        <v>-2.7155539999999999E-6</v>
      </c>
      <c r="I3243">
        <v>180.23140000000001</v>
      </c>
      <c r="J3243">
        <v>-491.3972</v>
      </c>
      <c r="K3243">
        <v>1.126037</v>
      </c>
      <c r="L3243">
        <v>266.93770000000001</v>
      </c>
      <c r="M3243">
        <v>-0.38430429999999999</v>
      </c>
      <c r="N3243">
        <v>-1.405561E-2</v>
      </c>
      <c r="O3243">
        <v>-0.92309980000000003</v>
      </c>
      <c r="P3243">
        <v>-0.25193670000000001</v>
      </c>
      <c r="Q3243">
        <v>0.17145639999999901</v>
      </c>
      <c r="R3243">
        <v>-0.95243480000000003</v>
      </c>
      <c r="S3243">
        <v>-0.27767940000000002</v>
      </c>
      <c r="T3243">
        <v>-4.0020470000000002E-2</v>
      </c>
      <c r="U3243">
        <v>-3.085388</v>
      </c>
      <c r="V3243">
        <v>-0.13534879999999999</v>
      </c>
      <c r="W3243">
        <v>0.18379400000000001</v>
      </c>
      <c r="X3243">
        <v>0.97360179999999996</v>
      </c>
      <c r="Y3243">
        <v>-0.29998540000000001</v>
      </c>
      <c r="Z3243">
        <v>-2.6423190000000002E-3</v>
      </c>
      <c r="AA3243">
        <v>0.95394020000000002</v>
      </c>
      <c r="AB3243">
        <v>21</v>
      </c>
      <c r="AC3243">
        <v>-7.7731999999999699</v>
      </c>
      <c r="AD3243">
        <v>-1.1260397155540001</v>
      </c>
      <c r="AE3243">
        <v>-86.706299999999999</v>
      </c>
      <c r="AF3243">
        <v>-26.144365580532401</v>
      </c>
      <c r="AG3243">
        <v>-1.1260397155540001</v>
      </c>
      <c r="AH3243">
        <v>83.020129798372906</v>
      </c>
      <c r="AI3243">
        <v>90.741200770705603</v>
      </c>
      <c r="AJ3243">
        <v>107.480047804927</v>
      </c>
      <c r="AK3243">
        <v>87.046756222091503</v>
      </c>
      <c r="AL3243">
        <v>79.409171890644402</v>
      </c>
      <c r="AM3243">
        <v>97.914456180064406</v>
      </c>
      <c r="AN3243">
        <v>0.99999999853033905</v>
      </c>
    </row>
    <row r="3244" spans="1:40" x14ac:dyDescent="0.25">
      <c r="A3244" t="str">
        <f>"20190303170318174"</f>
        <v>20190303170318174</v>
      </c>
      <c r="B3244" t="str">
        <f>"1551603798168420"</f>
        <v>1551603798168420</v>
      </c>
      <c r="C3244" t="s">
        <v>40</v>
      </c>
      <c r="D3244">
        <v>4.4064670000000001</v>
      </c>
      <c r="E3244">
        <v>0.43708900000000001</v>
      </c>
      <c r="F3244" t="s">
        <v>42</v>
      </c>
      <c r="G3244">
        <v>-499.77140000000003</v>
      </c>
      <c r="H3244" s="1">
        <v>-3.2524590000000001E-6</v>
      </c>
      <c r="I3244">
        <v>171.45089999999999</v>
      </c>
      <c r="J3244">
        <v>-491.43439999999998</v>
      </c>
      <c r="K3244">
        <v>1.126026</v>
      </c>
      <c r="L3244">
        <v>266.83699999999999</v>
      </c>
      <c r="M3244">
        <v>-0.3806755</v>
      </c>
      <c r="N3244">
        <v>-1.4053029999999999E-2</v>
      </c>
      <c r="O3244">
        <v>-0.92460220000000004</v>
      </c>
      <c r="P3244">
        <v>-0.24869150000000001</v>
      </c>
      <c r="Q3244">
        <v>0.17157999999999901</v>
      </c>
      <c r="R3244">
        <v>-0.95326469999999996</v>
      </c>
      <c r="S3244">
        <v>-0.27053829999999901</v>
      </c>
      <c r="T3244">
        <v>-3.6378029999999999E-2</v>
      </c>
      <c r="U3244">
        <v>-3.0848080000000002</v>
      </c>
      <c r="V3244">
        <v>-0.13482640000000001</v>
      </c>
      <c r="W3244">
        <v>0.1839247</v>
      </c>
      <c r="X3244">
        <v>0.9736496</v>
      </c>
      <c r="Y3244">
        <v>-0.29841630000000002</v>
      </c>
      <c r="Z3244">
        <v>-3.6326069999999999E-3</v>
      </c>
      <c r="AA3244">
        <v>0.95442890000000002</v>
      </c>
      <c r="AB3244">
        <v>21</v>
      </c>
      <c r="AC3244">
        <v>-8.3370000000000406</v>
      </c>
      <c r="AD3244">
        <v>-1.1260292524590001</v>
      </c>
      <c r="AE3244">
        <v>-95.386099999999999</v>
      </c>
      <c r="AF3244">
        <v>-28.601604013015098</v>
      </c>
      <c r="AG3244">
        <v>-1.1260292524590001</v>
      </c>
      <c r="AH3244">
        <v>91.364251938667493</v>
      </c>
      <c r="AI3244">
        <v>90.673867813896706</v>
      </c>
      <c r="AJ3244">
        <v>107.38274344516</v>
      </c>
      <c r="AK3244">
        <v>95.743126261403305</v>
      </c>
      <c r="AL3244">
        <v>79.401553457084802</v>
      </c>
      <c r="AM3244">
        <v>97.883911780277003</v>
      </c>
      <c r="AN3244">
        <v>0.99999999849360499</v>
      </c>
    </row>
    <row r="3245" spans="1:40" x14ac:dyDescent="0.25">
      <c r="A3245" t="str">
        <f>"20190303170318185"</f>
        <v>20190303170318185</v>
      </c>
      <c r="B3245" t="str">
        <f>"1551603798179156"</f>
        <v>1551603798179156</v>
      </c>
      <c r="C3245" t="s">
        <v>40</v>
      </c>
      <c r="D3245">
        <v>4.3990919999999996</v>
      </c>
      <c r="E3245">
        <v>0.43742900000000001</v>
      </c>
      <c r="F3245" t="s">
        <v>42</v>
      </c>
      <c r="G3245">
        <v>-499.89850000000001</v>
      </c>
      <c r="H3245" s="1">
        <v>-5.6245699999999999E-6</v>
      </c>
      <c r="I3245">
        <v>167.3605</v>
      </c>
      <c r="J3245">
        <v>-491.46870000000001</v>
      </c>
      <c r="K3245">
        <v>1.1260159999999999</v>
      </c>
      <c r="L3245">
        <v>266.74270000000001</v>
      </c>
      <c r="M3245">
        <v>-0.37728469999999997</v>
      </c>
      <c r="N3245">
        <v>-1.4050480000000001E-2</v>
      </c>
      <c r="O3245">
        <v>-0.92599089999999995</v>
      </c>
      <c r="P3245">
        <v>-0.2456631</v>
      </c>
      <c r="Q3245">
        <v>0.17142289999999999</v>
      </c>
      <c r="R3245">
        <v>-0.95407759999999997</v>
      </c>
      <c r="S3245">
        <v>-0.26248169999999998</v>
      </c>
      <c r="T3245">
        <v>-3.4919739999999998E-2</v>
      </c>
      <c r="U3245">
        <v>-3.0849000000000002</v>
      </c>
      <c r="V3245">
        <v>-0.13435339999999901</v>
      </c>
      <c r="W3245">
        <v>0.1837752</v>
      </c>
      <c r="X3245">
        <v>0.97374320000000003</v>
      </c>
      <c r="Y3245">
        <v>-0.29739660000000001</v>
      </c>
      <c r="Z3245">
        <v>-4.0217439999999998E-3</v>
      </c>
      <c r="AA3245">
        <v>0.95474550000000002</v>
      </c>
      <c r="AB3245">
        <v>21</v>
      </c>
      <c r="AC3245">
        <v>-8.4298000000000002</v>
      </c>
      <c r="AD3245">
        <v>-1.1260216245700001</v>
      </c>
      <c r="AE3245">
        <v>-99.382199999999997</v>
      </c>
      <c r="AF3245">
        <v>-29.688607862647299</v>
      </c>
      <c r="AG3245">
        <v>-1.1260216245700001</v>
      </c>
      <c r="AH3245">
        <v>95.204697380928593</v>
      </c>
      <c r="AI3245">
        <v>90.646905613615502</v>
      </c>
      <c r="AJ3245">
        <v>107.319553599518</v>
      </c>
      <c r="AK3245">
        <v>99.732721635956807</v>
      </c>
      <c r="AL3245">
        <v>79.410267624420896</v>
      </c>
      <c r="AM3245">
        <v>97.855853545264495</v>
      </c>
      <c r="AN3245">
        <v>0.99999998988642003</v>
      </c>
    </row>
    <row r="3246" spans="1:40" x14ac:dyDescent="0.25">
      <c r="A3246" t="str">
        <f>"20190303170318196"</f>
        <v>20190303170318196</v>
      </c>
      <c r="B3246" t="str">
        <f>"1551603798188916"</f>
        <v>1551603798188916</v>
      </c>
      <c r="C3246" t="s">
        <v>40</v>
      </c>
      <c r="D3246">
        <v>4.4055049999999998</v>
      </c>
      <c r="E3246">
        <v>0.43762309999999999</v>
      </c>
      <c r="F3246" t="s">
        <v>42</v>
      </c>
      <c r="G3246">
        <v>-499.6259</v>
      </c>
      <c r="H3246" s="1">
        <v>-5.8386210000000003E-6</v>
      </c>
      <c r="I3246">
        <v>168.04390000000001</v>
      </c>
      <c r="J3246">
        <v>-491.50310000000002</v>
      </c>
      <c r="K3246">
        <v>1.126004</v>
      </c>
      <c r="L3246">
        <v>266.6474</v>
      </c>
      <c r="M3246">
        <v>-0.37385360000000001</v>
      </c>
      <c r="N3246">
        <v>-1.404796E-2</v>
      </c>
      <c r="O3246">
        <v>-0.92738140000000002</v>
      </c>
      <c r="P3246">
        <v>-0.2426855</v>
      </c>
      <c r="Q3246">
        <v>0.17163429999999999</v>
      </c>
      <c r="R3246">
        <v>-0.95480149999999997</v>
      </c>
      <c r="S3246">
        <v>-0.25497439999999999</v>
      </c>
      <c r="T3246">
        <v>-3.5196659999999998E-2</v>
      </c>
      <c r="U3246">
        <v>-3.085083</v>
      </c>
      <c r="V3246">
        <v>-0.133767</v>
      </c>
      <c r="W3246">
        <v>0.18399409999999999</v>
      </c>
      <c r="X3246">
        <v>0.97378260000000005</v>
      </c>
      <c r="Y3246">
        <v>-0.29617329999999997</v>
      </c>
      <c r="Z3246">
        <v>-3.9243869999999997E-3</v>
      </c>
      <c r="AA3246">
        <v>0.95512620000000004</v>
      </c>
      <c r="AB3246">
        <v>21</v>
      </c>
      <c r="AC3246">
        <v>-8.1227999999999803</v>
      </c>
      <c r="AD3246">
        <v>-1.126009838621</v>
      </c>
      <c r="AE3246">
        <v>-98.603499999999997</v>
      </c>
      <c r="AF3246">
        <v>-29.329433601008098</v>
      </c>
      <c r="AG3246">
        <v>-1.126009838621</v>
      </c>
      <c r="AH3246">
        <v>94.476870783378502</v>
      </c>
      <c r="AI3246">
        <v>90.652140772767098</v>
      </c>
      <c r="AJ3246">
        <v>107.246451900534</v>
      </c>
      <c r="AK3246">
        <v>98.931100704135602</v>
      </c>
      <c r="AL3246">
        <v>79.397508060021195</v>
      </c>
      <c r="AM3246">
        <v>97.821678606593096</v>
      </c>
      <c r="AN3246">
        <v>0.99999999559328501</v>
      </c>
    </row>
    <row r="3247" spans="1:40" x14ac:dyDescent="0.25">
      <c r="A3247" t="str">
        <f>"20190303170318207"</f>
        <v>20190303170318207</v>
      </c>
      <c r="B3247" t="str">
        <f>"1551603798198676"</f>
        <v>1551603798198676</v>
      </c>
      <c r="C3247" t="s">
        <v>40</v>
      </c>
      <c r="D3247">
        <v>4.3967519999999896</v>
      </c>
      <c r="E3247">
        <v>0.43781009999999998</v>
      </c>
      <c r="F3247" t="s">
        <v>42</v>
      </c>
      <c r="G3247">
        <v>-499.71600000000001</v>
      </c>
      <c r="H3247" s="1">
        <v>-4.2859809999999998E-6</v>
      </c>
      <c r="I3247">
        <v>163.95910000000001</v>
      </c>
      <c r="J3247">
        <v>-491.53660000000002</v>
      </c>
      <c r="K3247">
        <v>1.1259950000000001</v>
      </c>
      <c r="L3247">
        <v>266.55329999999998</v>
      </c>
      <c r="M3247">
        <v>-0.37047330000000001</v>
      </c>
      <c r="N3247">
        <v>-1.4045449999999999E-2</v>
      </c>
      <c r="O3247">
        <v>-0.92873700000000003</v>
      </c>
      <c r="P3247">
        <v>-0.23971319999999999</v>
      </c>
      <c r="Q3247">
        <v>0.17168829999999999</v>
      </c>
      <c r="R3247">
        <v>-0.95554229999999996</v>
      </c>
      <c r="S3247">
        <v>-0.24676509999999999</v>
      </c>
      <c r="T3247">
        <v>-3.3832189999999998E-2</v>
      </c>
      <c r="U3247">
        <v>-3.085388</v>
      </c>
      <c r="V3247">
        <v>-0.1332412</v>
      </c>
      <c r="W3247">
        <v>0.184055</v>
      </c>
      <c r="X3247">
        <v>0.97384320000000002</v>
      </c>
      <c r="Y3247">
        <v>-0.29522799999999999</v>
      </c>
      <c r="Z3247">
        <v>-4.2913509999999997E-3</v>
      </c>
      <c r="AA3247">
        <v>0.95541719999999997</v>
      </c>
      <c r="AB3247">
        <v>21</v>
      </c>
      <c r="AC3247">
        <v>-8.1793999999999798</v>
      </c>
      <c r="AD3247">
        <v>-1.125999285981</v>
      </c>
      <c r="AE3247">
        <v>-102.59419999999901</v>
      </c>
      <c r="AF3247">
        <v>-30.411258139533</v>
      </c>
      <c r="AG3247">
        <v>-1.125999285981</v>
      </c>
      <c r="AH3247">
        <v>98.311202529476006</v>
      </c>
      <c r="AI3247">
        <v>90.626897769940896</v>
      </c>
      <c r="AJ3247">
        <v>107.18875483986</v>
      </c>
      <c r="AK3247">
        <v>102.91358043918601</v>
      </c>
      <c r="AL3247">
        <v>79.393958374188898</v>
      </c>
      <c r="AM3247">
        <v>97.790833279552601</v>
      </c>
      <c r="AN3247">
        <v>1.0000000192943399</v>
      </c>
    </row>
    <row r="3248" spans="1:40" x14ac:dyDescent="0.25">
      <c r="A3248" t="str">
        <f>"20190303170318218"</f>
        <v>20190303170318218</v>
      </c>
      <c r="B3248" t="str">
        <f>"1551603798209122"</f>
        <v>1551603798209122</v>
      </c>
      <c r="C3248" t="s">
        <v>40</v>
      </c>
      <c r="D3248">
        <v>4.3733700000000004</v>
      </c>
      <c r="E3248">
        <v>0.43809629999999999</v>
      </c>
      <c r="F3248" t="s">
        <v>42</v>
      </c>
      <c r="G3248">
        <v>-499.53309999999999</v>
      </c>
      <c r="H3248" s="1">
        <v>-3.9712670000000001E-6</v>
      </c>
      <c r="I3248">
        <v>163.22399999999999</v>
      </c>
      <c r="J3248">
        <v>-491.56810000000002</v>
      </c>
      <c r="K3248">
        <v>1.125985</v>
      </c>
      <c r="L3248">
        <v>266.46429999999998</v>
      </c>
      <c r="M3248">
        <v>-0.36727860000000001</v>
      </c>
      <c r="N3248">
        <v>-1.4043089999999999E-2</v>
      </c>
      <c r="O3248">
        <v>-0.93000519999999998</v>
      </c>
      <c r="P3248">
        <v>-0.23660120000000001</v>
      </c>
      <c r="Q3248">
        <v>0.17168949999999999</v>
      </c>
      <c r="R3248">
        <v>-0.95631759999999999</v>
      </c>
      <c r="S3248">
        <v>-0.23880000000000001</v>
      </c>
      <c r="T3248">
        <v>-3.3625719999999998E-2</v>
      </c>
      <c r="U3248">
        <v>-3.0857239999999999</v>
      </c>
      <c r="V3248">
        <v>-0.13305899999999901</v>
      </c>
      <c r="W3248">
        <v>0.18405969999999999</v>
      </c>
      <c r="X3248">
        <v>0.97386719999999904</v>
      </c>
      <c r="Y3248">
        <v>-0.29440319999999998</v>
      </c>
      <c r="Z3248">
        <v>-4.3343380000000001E-3</v>
      </c>
      <c r="AA3248">
        <v>0.95567150000000001</v>
      </c>
      <c r="AB3248">
        <v>21</v>
      </c>
      <c r="AC3248">
        <v>-7.9649999999999697</v>
      </c>
      <c r="AD3248">
        <v>-1.1259889712669999</v>
      </c>
      <c r="AE3248">
        <v>-103.2403</v>
      </c>
      <c r="AF3248">
        <v>-30.5098557425043</v>
      </c>
      <c r="AG3248">
        <v>-1.1259889712669999</v>
      </c>
      <c r="AH3248">
        <v>98.937425775209107</v>
      </c>
      <c r="AI3248">
        <v>90.623093301045202</v>
      </c>
      <c r="AJ3248">
        <v>107.138468859182</v>
      </c>
      <c r="AK3248">
        <v>103.54097434164299</v>
      </c>
      <c r="AL3248">
        <v>79.393684163539803</v>
      </c>
      <c r="AM3248">
        <v>97.780120923645399</v>
      </c>
      <c r="AN3248">
        <v>0.99999999694046404</v>
      </c>
    </row>
    <row r="3249" spans="1:40" x14ac:dyDescent="0.25">
      <c r="A3249" t="str">
        <f>"20190303170318229"</f>
        <v>20190303170318229</v>
      </c>
      <c r="B3249" t="str">
        <f>"1551603798218882"</f>
        <v>1551603798218882</v>
      </c>
      <c r="C3249" t="s">
        <v>40</v>
      </c>
      <c r="D3249">
        <v>4.3740079999999999</v>
      </c>
      <c r="E3249">
        <v>0.43846760000000001</v>
      </c>
      <c r="F3249" t="s">
        <v>42</v>
      </c>
      <c r="G3249">
        <v>-499.37689999999998</v>
      </c>
      <c r="H3249" s="1">
        <v>-3.4854289999999999E-6</v>
      </c>
      <c r="I3249">
        <v>162.03100000000001</v>
      </c>
      <c r="J3249">
        <v>-491.60199999999998</v>
      </c>
      <c r="K3249">
        <v>1.1259749999999999</v>
      </c>
      <c r="L3249">
        <v>266.36660000000001</v>
      </c>
      <c r="M3249">
        <v>-0.36377369999999998</v>
      </c>
      <c r="N3249">
        <v>-1.404043E-2</v>
      </c>
      <c r="O3249">
        <v>-0.93138149999999997</v>
      </c>
      <c r="P3249">
        <v>-0.2331512</v>
      </c>
      <c r="Q3249">
        <v>0.17156749999999901</v>
      </c>
      <c r="R3249">
        <v>-0.95718610000000004</v>
      </c>
      <c r="S3249">
        <v>-0.23074339999999999</v>
      </c>
      <c r="T3249">
        <v>-3.3271910000000002E-2</v>
      </c>
      <c r="U3249">
        <v>-3.0859070000000002</v>
      </c>
      <c r="V3249">
        <v>-0.1329042</v>
      </c>
      <c r="W3249">
        <v>0.18394070000000001</v>
      </c>
      <c r="X3249">
        <v>0.97391079999999997</v>
      </c>
      <c r="Y3249">
        <v>-0.29328969999999999</v>
      </c>
      <c r="Z3249">
        <v>-4.416489E-3</v>
      </c>
      <c r="AA3249">
        <v>0.95601340000000001</v>
      </c>
      <c r="AB3249">
        <v>21</v>
      </c>
      <c r="AC3249">
        <v>-7.7748999999999997</v>
      </c>
      <c r="AD3249">
        <v>-1.125978485429</v>
      </c>
      <c r="AE3249">
        <v>-104.3356</v>
      </c>
      <c r="AF3249">
        <v>-30.712620752209201</v>
      </c>
      <c r="AG3249">
        <v>-1.125978485429</v>
      </c>
      <c r="AH3249">
        <v>100.00283100622499</v>
      </c>
      <c r="AI3249">
        <v>90.616667783543093</v>
      </c>
      <c r="AJ3249">
        <v>107.072639087013</v>
      </c>
      <c r="AK3249">
        <v>104.618827704569</v>
      </c>
      <c r="AL3249">
        <v>79.400620581360101</v>
      </c>
      <c r="AM3249">
        <v>97.7708365934472</v>
      </c>
      <c r="AN3249">
        <v>0.999999976925384</v>
      </c>
    </row>
    <row r="3250" spans="1:40" x14ac:dyDescent="0.25">
      <c r="A3250" t="str">
        <f>"20190303170318240"</f>
        <v>20190303170318240</v>
      </c>
      <c r="B3250" t="str">
        <f>"1551603798228641"</f>
        <v>1551603798228641</v>
      </c>
      <c r="C3250" t="s">
        <v>40</v>
      </c>
      <c r="D3250">
        <v>4.380166</v>
      </c>
      <c r="E3250">
        <v>0.43880370000000002</v>
      </c>
      <c r="F3250" t="s">
        <v>42</v>
      </c>
      <c r="G3250">
        <v>-499.03989999999999</v>
      </c>
      <c r="H3250" s="1">
        <v>-3.9921069999999901E-6</v>
      </c>
      <c r="I3250">
        <v>163.5061</v>
      </c>
      <c r="J3250">
        <v>-491.63229999999999</v>
      </c>
      <c r="K3250">
        <v>1.125966</v>
      </c>
      <c r="L3250">
        <v>266.27859999999998</v>
      </c>
      <c r="M3250">
        <v>-0.36061840000000001</v>
      </c>
      <c r="N3250">
        <v>-1.403805E-2</v>
      </c>
      <c r="O3250">
        <v>-0.93260779999999999</v>
      </c>
      <c r="P3250">
        <v>-0.2303114</v>
      </c>
      <c r="Q3250">
        <v>0.17170879999999999</v>
      </c>
      <c r="R3250">
        <v>-0.95784829999999999</v>
      </c>
      <c r="S3250">
        <v>-0.2231445</v>
      </c>
      <c r="T3250">
        <v>-3.3780690000000002E-2</v>
      </c>
      <c r="U3250">
        <v>-3.0859380000000001</v>
      </c>
      <c r="V3250">
        <v>-0.1324825</v>
      </c>
      <c r="W3250">
        <v>0.1840878</v>
      </c>
      <c r="X3250">
        <v>0.97394049999999999</v>
      </c>
      <c r="Y3250">
        <v>-0.29239480000000001</v>
      </c>
      <c r="Z3250">
        <v>-4.2560549999999999E-3</v>
      </c>
      <c r="AA3250">
        <v>0.95628820000000003</v>
      </c>
      <c r="AB3250">
        <v>21</v>
      </c>
      <c r="AC3250">
        <v>-7.4076000000000004</v>
      </c>
      <c r="AD3250">
        <v>-1.1259699921070001</v>
      </c>
      <c r="AE3250">
        <v>-102.772499999999</v>
      </c>
      <c r="AF3250">
        <v>-30.152639831188701</v>
      </c>
      <c r="AG3250">
        <v>-1.1259699921070001</v>
      </c>
      <c r="AH3250">
        <v>98.515696426905293</v>
      </c>
      <c r="AI3250">
        <v>90.626155060037604</v>
      </c>
      <c r="AJ3250">
        <v>107.017746374691</v>
      </c>
      <c r="AK3250">
        <v>103.03296530572401</v>
      </c>
      <c r="AL3250">
        <v>79.392046348190306</v>
      </c>
      <c r="AM3250">
        <v>97.746246507808493</v>
      </c>
      <c r="AN3250">
        <v>1.0000000142276699</v>
      </c>
    </row>
    <row r="3251" spans="1:40" x14ac:dyDescent="0.25">
      <c r="A3251" t="str">
        <f>"20190303170318252"</f>
        <v>20190303170318252</v>
      </c>
      <c r="B3251" t="str">
        <f>"1551603798238402"</f>
        <v>1551603798238402</v>
      </c>
      <c r="C3251" t="s">
        <v>40</v>
      </c>
      <c r="D3251">
        <v>4.3474719999999998</v>
      </c>
      <c r="E3251">
        <v>0.43918679999999899</v>
      </c>
      <c r="F3251" t="s">
        <v>42</v>
      </c>
      <c r="G3251">
        <v>-498.9597</v>
      </c>
      <c r="H3251" s="1">
        <v>-3.3176869999999999E-6</v>
      </c>
      <c r="I3251">
        <v>161.7869</v>
      </c>
      <c r="J3251">
        <v>-491.66660000000002</v>
      </c>
      <c r="K3251">
        <v>1.125956</v>
      </c>
      <c r="L3251">
        <v>266.178</v>
      </c>
      <c r="M3251">
        <v>-0.35701300000000002</v>
      </c>
      <c r="N3251">
        <v>-1.403533E-2</v>
      </c>
      <c r="O3251">
        <v>-0.93399399999999999</v>
      </c>
      <c r="P3251">
        <v>-0.22713140000000001</v>
      </c>
      <c r="Q3251">
        <v>0.17183960000000001</v>
      </c>
      <c r="R3251">
        <v>-0.95858399999999999</v>
      </c>
      <c r="S3251">
        <v>-0.21640010000000001</v>
      </c>
      <c r="T3251">
        <v>-3.3253070000000003E-2</v>
      </c>
      <c r="U3251">
        <v>-3.0859380000000001</v>
      </c>
      <c r="V3251">
        <v>-0.1319389</v>
      </c>
      <c r="W3251">
        <v>0.18422469999999999</v>
      </c>
      <c r="X3251">
        <v>0.97398839999999998</v>
      </c>
      <c r="Y3251">
        <v>-0.29078039999999999</v>
      </c>
      <c r="Z3251">
        <v>-4.3853199999999998E-3</v>
      </c>
      <c r="AA3251">
        <v>0.95677979999999996</v>
      </c>
      <c r="AB3251">
        <v>21</v>
      </c>
      <c r="AC3251">
        <v>-7.2930999999999804</v>
      </c>
      <c r="AD3251">
        <v>-1.125959317687</v>
      </c>
      <c r="AE3251">
        <v>-104.39109999999999</v>
      </c>
      <c r="AF3251">
        <v>-30.456741456171699</v>
      </c>
      <c r="AG3251">
        <v>-1.125959317687</v>
      </c>
      <c r="AH3251">
        <v>100.10266149396701</v>
      </c>
      <c r="AI3251">
        <v>90.616535490488999</v>
      </c>
      <c r="AJ3251">
        <v>106.92264851451399</v>
      </c>
      <c r="AK3251">
        <v>104.63949408654901</v>
      </c>
      <c r="AL3251">
        <v>79.3840660064117</v>
      </c>
      <c r="AM3251">
        <v>97.714470954916806</v>
      </c>
      <c r="AN3251">
        <v>1.00000000837893</v>
      </c>
    </row>
    <row r="3252" spans="1:40" x14ac:dyDescent="0.25">
      <c r="A3252" t="str">
        <f>"20190303170318262"</f>
        <v>20190303170318262</v>
      </c>
      <c r="B3252" t="str">
        <f>"1551603798249137"</f>
        <v>1551603798249137</v>
      </c>
      <c r="C3252" t="s">
        <v>40</v>
      </c>
      <c r="D3252">
        <v>4.3142829999999996</v>
      </c>
      <c r="E3252">
        <v>0.43950919999999999</v>
      </c>
      <c r="F3252" t="s">
        <v>75</v>
      </c>
      <c r="G3252">
        <v>-498.88220000000001</v>
      </c>
      <c r="H3252" s="1">
        <v>-2.4286840000000001E-6</v>
      </c>
      <c r="I3252">
        <v>159.47049999999999</v>
      </c>
      <c r="J3252">
        <v>-491.69589999999999</v>
      </c>
      <c r="K3252">
        <v>1.1259479999999999</v>
      </c>
      <c r="L3252">
        <v>266.09050000000002</v>
      </c>
      <c r="M3252">
        <v>-0.35387950000000001</v>
      </c>
      <c r="N3252">
        <v>-1.403304E-2</v>
      </c>
      <c r="O3252">
        <v>-0.93518579999999996</v>
      </c>
      <c r="P3252">
        <v>-0.2244295</v>
      </c>
      <c r="Q3252">
        <v>0.1718914</v>
      </c>
      <c r="R3252">
        <v>-0.95921080000000003</v>
      </c>
      <c r="S3252">
        <v>-0.20867920000000001</v>
      </c>
      <c r="T3252">
        <v>-3.2563210000000002E-2</v>
      </c>
      <c r="U3252">
        <v>-3.0860289999999999</v>
      </c>
      <c r="V3252">
        <v>-0.13140979999999999</v>
      </c>
      <c r="W3252">
        <v>0.18428330000000001</v>
      </c>
      <c r="X3252">
        <v>0.9740489</v>
      </c>
      <c r="Y3252">
        <v>-0.28995739999999998</v>
      </c>
      <c r="Z3252">
        <v>-4.5671109999999996E-3</v>
      </c>
      <c r="AA3252">
        <v>0.95702860000000001</v>
      </c>
      <c r="AB3252">
        <v>21</v>
      </c>
      <c r="AC3252">
        <v>-7.1863000000000099</v>
      </c>
      <c r="AD3252">
        <v>-1.1259504286840001</v>
      </c>
      <c r="AE3252">
        <v>-106.62</v>
      </c>
      <c r="AF3252">
        <v>-31.0097160833567</v>
      </c>
      <c r="AG3252">
        <v>-1.1259504286840001</v>
      </c>
      <c r="AH3252">
        <v>102.25130663984</v>
      </c>
      <c r="AI3252">
        <v>90.603741622753205</v>
      </c>
      <c r="AJ3252">
        <v>106.870957162701</v>
      </c>
      <c r="AK3252">
        <v>106.855977677867</v>
      </c>
      <c r="AL3252">
        <v>79.380650594046699</v>
      </c>
      <c r="AM3252">
        <v>97.683433237099507</v>
      </c>
      <c r="AN3252">
        <v>1.00000006489306</v>
      </c>
    </row>
    <row r="3253" spans="1:40" x14ac:dyDescent="0.25">
      <c r="A3253" t="str">
        <f>"20190303170318273"</f>
        <v>20190303170318273</v>
      </c>
      <c r="B3253" t="str">
        <f>"1551603798268658"</f>
        <v>1551603798268658</v>
      </c>
      <c r="C3253" t="s">
        <v>40</v>
      </c>
      <c r="D3253">
        <v>4.3465740000000004</v>
      </c>
      <c r="E3253">
        <v>0.44876169999999999</v>
      </c>
      <c r="F3253" t="s">
        <v>75</v>
      </c>
      <c r="G3253">
        <v>-498.73430000000002</v>
      </c>
      <c r="H3253" s="1">
        <v>-2.6630039999999999E-6</v>
      </c>
      <c r="I3253">
        <v>158.75399999999999</v>
      </c>
      <c r="J3253">
        <v>-491.73</v>
      </c>
      <c r="K3253">
        <v>1.1259380000000001</v>
      </c>
      <c r="L3253">
        <v>265.98820000000001</v>
      </c>
      <c r="M3253">
        <v>-0.35021330000000001</v>
      </c>
      <c r="N3253">
        <v>-1.403044E-2</v>
      </c>
      <c r="O3253">
        <v>-0.93656499999999998</v>
      </c>
      <c r="P3253">
        <v>-0.22112660000000001</v>
      </c>
      <c r="Q3253">
        <v>0.1719811</v>
      </c>
      <c r="R3253">
        <v>-0.95996159999999997</v>
      </c>
      <c r="S3253">
        <v>-0.20236209999999999</v>
      </c>
      <c r="T3253">
        <v>-3.237247E-2</v>
      </c>
      <c r="U3253">
        <v>-3.0860599999999998</v>
      </c>
      <c r="V3253">
        <v>-0.13093689999999999</v>
      </c>
      <c r="W3253">
        <v>0.18437890000000001</v>
      </c>
      <c r="X3253">
        <v>0.97409449999999997</v>
      </c>
      <c r="Y3253">
        <v>-0.28815940000000001</v>
      </c>
      <c r="Z3253">
        <v>-4.6011860000000002E-3</v>
      </c>
      <c r="AA3253">
        <v>0.95757139999999996</v>
      </c>
      <c r="AB3253">
        <v>21</v>
      </c>
      <c r="AC3253">
        <v>-7.0042999999999997</v>
      </c>
      <c r="AD3253">
        <v>-1.1259406630040001</v>
      </c>
      <c r="AE3253">
        <v>-107.2342</v>
      </c>
      <c r="AF3253">
        <v>-30.994506255532599</v>
      </c>
      <c r="AG3253">
        <v>-1.1259406630040001</v>
      </c>
      <c r="AH3253">
        <v>102.88362057588201</v>
      </c>
      <c r="AI3253">
        <v>90.600360526360504</v>
      </c>
      <c r="AJ3253">
        <v>106.765344170329</v>
      </c>
      <c r="AK3253">
        <v>107.45681245599501</v>
      </c>
      <c r="AL3253">
        <v>79.375077704886095</v>
      </c>
      <c r="AM3253">
        <v>97.655757518178802</v>
      </c>
      <c r="AN3253">
        <v>1.0000000727385301</v>
      </c>
    </row>
    <row r="3254" spans="1:40" x14ac:dyDescent="0.25">
      <c r="A3254" t="str">
        <f>"20190303170318284"</f>
        <v>20190303170318284</v>
      </c>
      <c r="B3254" t="str">
        <f>"1551603798278418"</f>
        <v>1551603798278418</v>
      </c>
      <c r="C3254" t="s">
        <v>40</v>
      </c>
      <c r="D3254">
        <v>4.3071840000000003</v>
      </c>
      <c r="E3254">
        <v>0.44881989999999999</v>
      </c>
      <c r="F3254" t="s">
        <v>42</v>
      </c>
      <c r="G3254">
        <v>-498.02289999999999</v>
      </c>
      <c r="H3254" s="1">
        <v>-3.356056E-6</v>
      </c>
      <c r="I3254">
        <v>192.66669999999999</v>
      </c>
      <c r="J3254">
        <v>-491.75709999999998</v>
      </c>
      <c r="K3254">
        <v>1.1259330000000001</v>
      </c>
      <c r="L3254">
        <v>265.9051</v>
      </c>
      <c r="M3254">
        <v>-0.34723959999999998</v>
      </c>
      <c r="N3254">
        <v>-1.402844E-2</v>
      </c>
      <c r="O3254">
        <v>-0.93767149999999999</v>
      </c>
      <c r="P3254">
        <v>-0.2187228</v>
      </c>
      <c r="Q3254">
        <v>0.1718536</v>
      </c>
      <c r="R3254">
        <v>-0.96053489999999997</v>
      </c>
      <c r="S3254">
        <v>-0.26373289999999999</v>
      </c>
      <c r="T3254">
        <v>-4.718733E-2</v>
      </c>
      <c r="U3254">
        <v>-3.072845</v>
      </c>
      <c r="V3254">
        <v>-0.13028679999999901</v>
      </c>
      <c r="W3254">
        <v>0.1842589</v>
      </c>
      <c r="X3254">
        <v>0.97420430000000002</v>
      </c>
      <c r="Y3254">
        <v>-0.26575470000000001</v>
      </c>
      <c r="Z3254">
        <v>-1.8722610000000001E-4</v>
      </c>
      <c r="AA3254">
        <v>0.96404069999999997</v>
      </c>
      <c r="AB3254">
        <v>21</v>
      </c>
      <c r="AC3254">
        <v>-6.2658000000000103</v>
      </c>
      <c r="AD3254">
        <v>-1.1259363560560001</v>
      </c>
      <c r="AE3254">
        <v>-73.238399999999999</v>
      </c>
      <c r="AF3254">
        <v>-19.553347616208999</v>
      </c>
      <c r="AG3254">
        <v>-1.1259363560560001</v>
      </c>
      <c r="AH3254">
        <v>70.839646441153604</v>
      </c>
      <c r="AI3254">
        <v>90.877772430519698</v>
      </c>
      <c r="AJ3254">
        <v>105.430711442405</v>
      </c>
      <c r="AK3254">
        <v>73.497324057314103</v>
      </c>
      <c r="AL3254">
        <v>79.382072328505402</v>
      </c>
      <c r="AM3254">
        <v>97.617345744905904</v>
      </c>
      <c r="AN3254">
        <v>1.0000000053109599</v>
      </c>
    </row>
    <row r="3255" spans="1:40" x14ac:dyDescent="0.25">
      <c r="A3255" t="str">
        <f>"20190303170318296"</f>
        <v>20190303170318296</v>
      </c>
      <c r="B3255" t="str">
        <f>"1551603798289154"</f>
        <v>1551603798289154</v>
      </c>
      <c r="C3255" t="s">
        <v>40</v>
      </c>
      <c r="D3255">
        <v>4.3220830000000001</v>
      </c>
      <c r="E3255">
        <v>0.44970320000000003</v>
      </c>
      <c r="F3255" t="s">
        <v>42</v>
      </c>
      <c r="G3255">
        <v>-497.43380000000002</v>
      </c>
      <c r="H3255" s="1">
        <v>-4.9789389999999999E-6</v>
      </c>
      <c r="I3255">
        <v>197.74279999999999</v>
      </c>
      <c r="J3255">
        <v>-491.79199999999997</v>
      </c>
      <c r="K3255">
        <v>1.1259250000000001</v>
      </c>
      <c r="L3255">
        <v>265.79790000000003</v>
      </c>
      <c r="M3255">
        <v>-0.34340140000000002</v>
      </c>
      <c r="N3255">
        <v>-1.4025930000000001E-2</v>
      </c>
      <c r="O3255">
        <v>-0.93908400000000003</v>
      </c>
      <c r="P3255">
        <v>-0.21529110000000001</v>
      </c>
      <c r="Q3255">
        <v>0.17187559999999999</v>
      </c>
      <c r="R3255">
        <v>-0.96130559999999998</v>
      </c>
      <c r="S3255">
        <v>-0.25601200000000002</v>
      </c>
      <c r="T3255">
        <v>-5.0778869999999997E-2</v>
      </c>
      <c r="U3255">
        <v>-3.0740660000000002</v>
      </c>
      <c r="V3255">
        <v>-0.1297751</v>
      </c>
      <c r="W3255">
        <v>0.18428710000000001</v>
      </c>
      <c r="X3255">
        <v>0.9742672</v>
      </c>
      <c r="Y3255">
        <v>-0.26424599999999998</v>
      </c>
      <c r="Z3255">
        <v>8.7724729999999896E-4</v>
      </c>
      <c r="AA3255">
        <v>0.9644549</v>
      </c>
      <c r="AB3255">
        <v>21</v>
      </c>
      <c r="AC3255">
        <v>-5.6418000000000399</v>
      </c>
      <c r="AD3255">
        <v>-1.125929978939</v>
      </c>
      <c r="AE3255">
        <v>-68.055099999999996</v>
      </c>
      <c r="AF3255">
        <v>-18.068958314858399</v>
      </c>
      <c r="AG3255">
        <v>-1.125929978939</v>
      </c>
      <c r="AH3255">
        <v>65.835437915596103</v>
      </c>
      <c r="AI3255">
        <v>90.944854154264803</v>
      </c>
      <c r="AJ3255">
        <v>105.347291886725</v>
      </c>
      <c r="AK3255">
        <v>68.279278397181898</v>
      </c>
      <c r="AL3255">
        <v>79.3804277816905</v>
      </c>
      <c r="AM3255">
        <v>97.587293774387803</v>
      </c>
      <c r="AN3255">
        <v>0.99999994440112805</v>
      </c>
    </row>
    <row r="3256" spans="1:40" x14ac:dyDescent="0.25">
      <c r="A3256" t="str">
        <f>"20190303170318309"</f>
        <v>20190303170318309</v>
      </c>
      <c r="B3256" t="str">
        <f>"1551603798298914"</f>
        <v>1551603798298914</v>
      </c>
      <c r="C3256" t="s">
        <v>40</v>
      </c>
      <c r="D3256">
        <v>4.3143469999999997</v>
      </c>
      <c r="E3256">
        <v>0.45003870000000001</v>
      </c>
      <c r="F3256" t="s">
        <v>42</v>
      </c>
      <c r="G3256">
        <v>-497.47989999999999</v>
      </c>
      <c r="H3256" s="1">
        <v>-4.5274699999999999E-6</v>
      </c>
      <c r="I3256">
        <v>196.392</v>
      </c>
      <c r="J3256">
        <v>-491.82830000000001</v>
      </c>
      <c r="K3256">
        <v>1.125918</v>
      </c>
      <c r="L3256">
        <v>265.68419999999998</v>
      </c>
      <c r="M3256">
        <v>-0.33932909999999999</v>
      </c>
      <c r="N3256">
        <v>-1.4023310000000001E-2</v>
      </c>
      <c r="O3256">
        <v>-0.9405635</v>
      </c>
      <c r="P3256">
        <v>-0.21159149999999999</v>
      </c>
      <c r="Q3256">
        <v>0.172007299999999</v>
      </c>
      <c r="R3256">
        <v>-0.96210370000000001</v>
      </c>
      <c r="S3256">
        <v>-0.25186160000000002</v>
      </c>
      <c r="T3256">
        <v>-4.9855829999999997E-2</v>
      </c>
      <c r="U3256">
        <v>-3.0732729999999999</v>
      </c>
      <c r="V3256">
        <v>-0.1292904</v>
      </c>
      <c r="W3256">
        <v>0.1844239</v>
      </c>
      <c r="X3256">
        <v>0.9743058</v>
      </c>
      <c r="Y3256">
        <v>-0.26134010000000002</v>
      </c>
      <c r="Z3256">
        <v>6.5341269999999896E-4</v>
      </c>
      <c r="AA3256">
        <v>0.96524659999999995</v>
      </c>
      <c r="AB3256">
        <v>20</v>
      </c>
      <c r="AC3256">
        <v>-5.65159999999997</v>
      </c>
      <c r="AD3256">
        <v>-1.12592252747</v>
      </c>
      <c r="AE3256">
        <v>-69.292199999999895</v>
      </c>
      <c r="AF3256">
        <v>-18.194183346789401</v>
      </c>
      <c r="AG3256">
        <v>-1.12592252747</v>
      </c>
      <c r="AH3256">
        <v>67.080450578433002</v>
      </c>
      <c r="AI3256">
        <v>90.928074726422395</v>
      </c>
      <c r="AJ3256">
        <v>105.175202511771</v>
      </c>
      <c r="AK3256">
        <v>69.513184785334403</v>
      </c>
      <c r="AL3256">
        <v>79.372453488159096</v>
      </c>
      <c r="AM3256">
        <v>97.5589881029791</v>
      </c>
      <c r="AN3256">
        <v>0.99999998716850402</v>
      </c>
    </row>
    <row r="3257" spans="1:40" x14ac:dyDescent="0.25">
      <c r="A3257" t="str">
        <f>"20190303170318323"</f>
        <v>20190303170318323</v>
      </c>
      <c r="B3257" t="str">
        <f>"1551603798308643"</f>
        <v>1551603798308643</v>
      </c>
      <c r="C3257" t="s">
        <v>40</v>
      </c>
      <c r="D3257">
        <v>4.3184389999999997</v>
      </c>
      <c r="E3257">
        <v>0.4501754</v>
      </c>
      <c r="F3257" t="s">
        <v>42</v>
      </c>
      <c r="G3257">
        <v>-497.13580000000002</v>
      </c>
      <c r="H3257" s="1">
        <v>-5.1505479999999997E-6</v>
      </c>
      <c r="I3257">
        <v>198.4024</v>
      </c>
      <c r="J3257">
        <v>-491.86489999999998</v>
      </c>
      <c r="K3257">
        <v>1.1259110000000001</v>
      </c>
      <c r="L3257">
        <v>265.56779999999998</v>
      </c>
      <c r="M3257">
        <v>-0.33516319999999999</v>
      </c>
      <c r="N3257">
        <v>-1.4020700000000001E-2</v>
      </c>
      <c r="O3257">
        <v>-0.94205589999999995</v>
      </c>
      <c r="P3257">
        <v>-0.2078615</v>
      </c>
      <c r="Q3257">
        <v>0.172009299999999</v>
      </c>
      <c r="R3257">
        <v>-0.96291570000000004</v>
      </c>
      <c r="S3257">
        <v>-0.24249270000000001</v>
      </c>
      <c r="T3257">
        <v>-5.1442269999999998E-2</v>
      </c>
      <c r="U3257">
        <v>-3.074036</v>
      </c>
      <c r="V3257">
        <v>-0.12874940000000001</v>
      </c>
      <c r="W3257">
        <v>0.1844314</v>
      </c>
      <c r="X3257">
        <v>0.97437600000000002</v>
      </c>
      <c r="Y3257">
        <v>-0.26000980000000001</v>
      </c>
      <c r="Z3257">
        <v>1.14474E-3</v>
      </c>
      <c r="AA3257">
        <v>0.9656053</v>
      </c>
      <c r="AB3257">
        <v>20</v>
      </c>
      <c r="AC3257">
        <v>-5.2709000000000401</v>
      </c>
      <c r="AD3257">
        <v>-1.125916150548</v>
      </c>
      <c r="AE3257">
        <v>-67.165399999999906</v>
      </c>
      <c r="AF3257">
        <v>-17.542710932483399</v>
      </c>
      <c r="AG3257">
        <v>-1.125916150548</v>
      </c>
      <c r="AH3257">
        <v>65.028396293562395</v>
      </c>
      <c r="AI3257">
        <v>90.957702658687197</v>
      </c>
      <c r="AJ3257">
        <v>105.097292167094</v>
      </c>
      <c r="AK3257">
        <v>67.362502318065197</v>
      </c>
      <c r="AL3257">
        <v>79.372016078131693</v>
      </c>
      <c r="AM3257">
        <v>97.527185789867701</v>
      </c>
      <c r="AN3257">
        <v>0.99999996934115898</v>
      </c>
    </row>
    <row r="3258" spans="1:40" x14ac:dyDescent="0.25">
      <c r="A3258" t="str">
        <f>"20190303170318339"</f>
        <v>20190303170318339</v>
      </c>
      <c r="B3258" t="str">
        <f>"1551603798329139"</f>
        <v>1551603798329139</v>
      </c>
      <c r="C3258" t="s">
        <v>40</v>
      </c>
      <c r="D3258">
        <v>4.2998260000000004</v>
      </c>
      <c r="E3258">
        <v>0.4508451</v>
      </c>
      <c r="F3258" t="s">
        <v>42</v>
      </c>
      <c r="G3258">
        <v>-497.13040000000001</v>
      </c>
      <c r="H3258" s="1">
        <v>-4.178444E-6</v>
      </c>
      <c r="I3258">
        <v>195.54859999999999</v>
      </c>
      <c r="J3258">
        <v>-491.90789999999998</v>
      </c>
      <c r="K3258">
        <v>1.1259030000000001</v>
      </c>
      <c r="L3258">
        <v>265.42919999999998</v>
      </c>
      <c r="M3258">
        <v>-0.33019739999999997</v>
      </c>
      <c r="N3258">
        <v>-1.4017719999999999E-2</v>
      </c>
      <c r="O3258">
        <v>-0.94380779999999997</v>
      </c>
      <c r="P3258">
        <v>-0.20327590000000001</v>
      </c>
      <c r="Q3258">
        <v>0.1721096</v>
      </c>
      <c r="R3258">
        <v>-0.96387610000000001</v>
      </c>
      <c r="S3258">
        <v>-0.2312012</v>
      </c>
      <c r="T3258">
        <v>-4.9437639999999998E-2</v>
      </c>
      <c r="U3258">
        <v>-3.0744630000000002</v>
      </c>
      <c r="V3258">
        <v>-0.12824639999999901</v>
      </c>
      <c r="W3258">
        <v>0.1845368</v>
      </c>
      <c r="X3258">
        <v>0.97442240000000002</v>
      </c>
      <c r="Y3258">
        <v>-0.25846200000000003</v>
      </c>
      <c r="Z3258">
        <v>5.9759379999999897E-4</v>
      </c>
      <c r="AA3258">
        <v>0.96602120000000002</v>
      </c>
      <c r="AB3258">
        <v>20</v>
      </c>
      <c r="AC3258">
        <v>-5.2225000000000197</v>
      </c>
      <c r="AD3258">
        <v>-1.125907178444</v>
      </c>
      <c r="AE3258">
        <v>-69.880599999999902</v>
      </c>
      <c r="AF3258">
        <v>-18.142455878580499</v>
      </c>
      <c r="AG3258">
        <v>-1.125907178444</v>
      </c>
      <c r="AH3258">
        <v>67.667493708306594</v>
      </c>
      <c r="AI3258">
        <v>90.920733315571695</v>
      </c>
      <c r="AJ3258">
        <v>105.008694119232</v>
      </c>
      <c r="AK3258">
        <v>70.066440447937893</v>
      </c>
      <c r="AL3258">
        <v>79.365871876435506</v>
      </c>
      <c r="AM3258">
        <v>97.497760741493593</v>
      </c>
      <c r="AN3258">
        <v>0.99999999164447995</v>
      </c>
    </row>
    <row r="3259" spans="1:40" x14ac:dyDescent="0.25">
      <c r="A3259" t="str">
        <f>"20190303170318349"</f>
        <v>20190303170318349</v>
      </c>
      <c r="B3259" t="str">
        <f>"1551603798338899"</f>
        <v>1551603798338899</v>
      </c>
      <c r="C3259" t="s">
        <v>40</v>
      </c>
      <c r="D3259">
        <v>4.3053780000000001</v>
      </c>
      <c r="E3259">
        <v>0.45164090000000001</v>
      </c>
      <c r="F3259" t="s">
        <v>42</v>
      </c>
      <c r="G3259">
        <v>-497.27100000000002</v>
      </c>
      <c r="H3259" s="1">
        <v>-2.6284519999999999E-6</v>
      </c>
      <c r="I3259">
        <v>191.2064</v>
      </c>
      <c r="J3259">
        <v>-491.93680000000001</v>
      </c>
      <c r="K3259">
        <v>1.1258969999999999</v>
      </c>
      <c r="L3259">
        <v>265.33429999999998</v>
      </c>
      <c r="M3259">
        <v>-0.32679409999999998</v>
      </c>
      <c r="N3259">
        <v>-1.401577E-2</v>
      </c>
      <c r="O3259">
        <v>-0.94499180000000005</v>
      </c>
      <c r="P3259">
        <v>-0.19982569999999999</v>
      </c>
      <c r="Q3259">
        <v>0.17245339999999901</v>
      </c>
      <c r="R3259">
        <v>-0.96453610000000001</v>
      </c>
      <c r="S3259">
        <v>-0.2221069</v>
      </c>
      <c r="T3259">
        <v>-4.6628120000000002E-2</v>
      </c>
      <c r="U3259">
        <v>-3.0738530000000002</v>
      </c>
      <c r="V3259">
        <v>-0.12820219999999999</v>
      </c>
      <c r="W3259">
        <v>0.18487990000000001</v>
      </c>
      <c r="X3259">
        <v>0.97436319999999998</v>
      </c>
      <c r="Y3259">
        <v>-0.25781090000000001</v>
      </c>
      <c r="Z3259">
        <v>-1.976007E-4</v>
      </c>
      <c r="AA3259">
        <v>0.96619540000000004</v>
      </c>
      <c r="AB3259">
        <v>20</v>
      </c>
      <c r="AC3259">
        <v>-5.3341999999999503</v>
      </c>
      <c r="AD3259">
        <v>-1.125899628452</v>
      </c>
      <c r="AE3259">
        <v>-74.127899999999897</v>
      </c>
      <c r="AF3259">
        <v>-19.181264284498099</v>
      </c>
      <c r="AG3259">
        <v>-1.125899628452</v>
      </c>
      <c r="AH3259">
        <v>71.784008811726906</v>
      </c>
      <c r="AI3259">
        <v>90.868131500832504</v>
      </c>
      <c r="AJ3259">
        <v>104.960372356843</v>
      </c>
      <c r="AK3259">
        <v>74.311052143050702</v>
      </c>
      <c r="AL3259">
        <v>79.345869756953107</v>
      </c>
      <c r="AM3259">
        <v>97.495656243309895</v>
      </c>
      <c r="AN3259">
        <v>1.0000000135115401</v>
      </c>
    </row>
    <row r="3260" spans="1:40" x14ac:dyDescent="0.25">
      <c r="A3260" t="str">
        <f>"20190303170318361"</f>
        <v>20190303170318361</v>
      </c>
      <c r="B3260" t="str">
        <f>"1551603798348658"</f>
        <v>1551603798348658</v>
      </c>
      <c r="C3260" t="s">
        <v>40</v>
      </c>
      <c r="D3260">
        <v>4.4764819999999999</v>
      </c>
      <c r="E3260">
        <v>0.45164090000000001</v>
      </c>
      <c r="F3260" t="s">
        <v>42</v>
      </c>
      <c r="G3260">
        <v>-497.09289999999999</v>
      </c>
      <c r="H3260" s="1">
        <v>-3.0153120000000001E-6</v>
      </c>
      <c r="I3260">
        <v>192.21870000000001</v>
      </c>
      <c r="J3260">
        <v>-491.96359999999999</v>
      </c>
      <c r="K3260">
        <v>1.125894</v>
      </c>
      <c r="L3260">
        <v>265.24509999999998</v>
      </c>
      <c r="M3260">
        <v>-0.32359710000000003</v>
      </c>
      <c r="N3260">
        <v>-1.4013960000000001E-2</v>
      </c>
      <c r="O3260">
        <v>-0.94609129999999997</v>
      </c>
      <c r="P3260">
        <v>-0.1968462</v>
      </c>
      <c r="Q3260">
        <v>0.17232629999999999</v>
      </c>
      <c r="R3260">
        <v>-0.96517140000000001</v>
      </c>
      <c r="S3260">
        <v>-0.2167664</v>
      </c>
      <c r="T3260">
        <v>-4.7333479999999997E-2</v>
      </c>
      <c r="U3260">
        <v>-3.0738219999999998</v>
      </c>
      <c r="V3260">
        <v>-0.12792039999999999</v>
      </c>
      <c r="W3260">
        <v>0.18475610000000001</v>
      </c>
      <c r="X3260">
        <v>0.9744237</v>
      </c>
      <c r="Y3260">
        <v>-0.25621310000000003</v>
      </c>
      <c r="Z3260" s="1">
        <v>3.4278379999999999E-5</v>
      </c>
      <c r="AA3260">
        <v>0.96662029999999999</v>
      </c>
      <c r="AB3260">
        <v>20</v>
      </c>
      <c r="AC3260">
        <v>-5.1292999999999997</v>
      </c>
      <c r="AD3260">
        <v>-1.125897015312</v>
      </c>
      <c r="AE3260">
        <v>-73.026399999999896</v>
      </c>
      <c r="AF3260">
        <v>-18.775746123079202</v>
      </c>
      <c r="AG3260">
        <v>-1.125897015312</v>
      </c>
      <c r="AH3260">
        <v>70.739676165829493</v>
      </c>
      <c r="AI3260">
        <v>90.881335377334295</v>
      </c>
      <c r="AJ3260">
        <v>104.86472602036</v>
      </c>
      <c r="AK3260">
        <v>73.1976643794994</v>
      </c>
      <c r="AL3260">
        <v>79.353087126136302</v>
      </c>
      <c r="AM3260">
        <v>97.478907733121403</v>
      </c>
      <c r="AN3260">
        <v>0.99999999617252999</v>
      </c>
    </row>
    <row r="3261" spans="1:40" x14ac:dyDescent="0.25">
      <c r="A3261" t="str">
        <f>"20190303170318372"</f>
        <v>20190303170318372</v>
      </c>
      <c r="B3261" t="str">
        <f>"1551603798358419"</f>
        <v>1551603798358419</v>
      </c>
      <c r="C3261" t="s">
        <v>40</v>
      </c>
      <c r="D3261">
        <v>4.3136159999999997</v>
      </c>
      <c r="E3261">
        <v>0.45971070000000003</v>
      </c>
      <c r="F3261" t="s">
        <v>42</v>
      </c>
      <c r="G3261">
        <v>-496.87619999999998</v>
      </c>
      <c r="H3261" s="1">
        <v>-3.095621E-6</v>
      </c>
      <c r="I3261">
        <v>192.5403</v>
      </c>
      <c r="J3261">
        <v>-491.99310000000003</v>
      </c>
      <c r="K3261">
        <v>1.125893</v>
      </c>
      <c r="L3261">
        <v>265.14589999999998</v>
      </c>
      <c r="M3261">
        <v>-0.3200383</v>
      </c>
      <c r="N3261">
        <v>-1.401196E-2</v>
      </c>
      <c r="O3261">
        <v>-0.94730110000000001</v>
      </c>
      <c r="P3261">
        <v>-0.19327510000000001</v>
      </c>
      <c r="Q3261">
        <v>0.1727417</v>
      </c>
      <c r="R3261">
        <v>-0.96581850000000002</v>
      </c>
      <c r="S3261">
        <v>-0.20773320000000001</v>
      </c>
      <c r="T3261">
        <v>-4.7609810000000002E-2</v>
      </c>
      <c r="U3261">
        <v>-3.0744020000000001</v>
      </c>
      <c r="V3261">
        <v>-0.12783919999999999</v>
      </c>
      <c r="W3261">
        <v>0.1851709</v>
      </c>
      <c r="X3261">
        <v>0.97435559999999999</v>
      </c>
      <c r="Y3261">
        <v>-0.2554188</v>
      </c>
      <c r="Z3261">
        <v>1.368388E-4</v>
      </c>
      <c r="AA3261">
        <v>0.96683050000000004</v>
      </c>
      <c r="AB3261">
        <v>20</v>
      </c>
      <c r="AC3261">
        <v>-4.88309999999995</v>
      </c>
      <c r="AD3261">
        <v>-1.125896095621</v>
      </c>
      <c r="AE3261">
        <v>-72.605599999999896</v>
      </c>
      <c r="AF3261">
        <v>-18.608177454169201</v>
      </c>
      <c r="AG3261">
        <v>-1.125896095621</v>
      </c>
      <c r="AH3261">
        <v>70.332205815257296</v>
      </c>
      <c r="AI3261">
        <v>90.886625285838505</v>
      </c>
      <c r="AJ3261">
        <v>104.819497742015</v>
      </c>
      <c r="AK3261">
        <v>72.760917290972202</v>
      </c>
      <c r="AL3261">
        <v>79.328903375883499</v>
      </c>
      <c r="AM3261">
        <v>97.474730523830701</v>
      </c>
      <c r="AN3261">
        <v>0.99999997925740403</v>
      </c>
    </row>
    <row r="3262" spans="1:40" x14ac:dyDescent="0.25">
      <c r="A3262" t="str">
        <f>"20190303170318383"</f>
        <v>20190303170318383</v>
      </c>
      <c r="B3262" t="str">
        <f>"1551603798368179"</f>
        <v>1551603798368179</v>
      </c>
      <c r="C3262" t="s">
        <v>40</v>
      </c>
      <c r="D3262">
        <v>4.2947170000000003</v>
      </c>
      <c r="E3262">
        <v>0.46004410000000001</v>
      </c>
      <c r="F3262" t="s">
        <v>42</v>
      </c>
      <c r="G3262">
        <v>-497.8408</v>
      </c>
      <c r="H3262" s="1">
        <v>-4.4642289999999997E-6</v>
      </c>
      <c r="I3262">
        <v>196.0181</v>
      </c>
      <c r="J3262">
        <v>-492.02030000000002</v>
      </c>
      <c r="K3262">
        <v>1.125888</v>
      </c>
      <c r="L3262">
        <v>265.053</v>
      </c>
      <c r="M3262">
        <v>-0.31670789999999999</v>
      </c>
      <c r="N3262">
        <v>-1.4010109999999999E-2</v>
      </c>
      <c r="O3262">
        <v>-0.94841969999999998</v>
      </c>
      <c r="P3262">
        <v>-0.18998110000000001</v>
      </c>
      <c r="Q3262">
        <v>0.17276540000000001</v>
      </c>
      <c r="R3262">
        <v>-0.96646750000000003</v>
      </c>
      <c r="S3262">
        <v>-0.25912479999999999</v>
      </c>
      <c r="T3262">
        <v>-4.989147E-2</v>
      </c>
      <c r="U3262">
        <v>-3.0632320000000002</v>
      </c>
      <c r="V3262">
        <v>-0.1277345</v>
      </c>
      <c r="W3262">
        <v>0.18519530000000001</v>
      </c>
      <c r="X3262">
        <v>0.97436469999999997</v>
      </c>
      <c r="Y3262">
        <v>-0.2356095</v>
      </c>
      <c r="Z3262">
        <v>9.5870389999999997E-4</v>
      </c>
      <c r="AA3262">
        <v>0.97184740000000003</v>
      </c>
      <c r="AB3262">
        <v>20</v>
      </c>
      <c r="AC3262">
        <v>-5.8204999999999796</v>
      </c>
      <c r="AD3262">
        <v>-1.125892464229</v>
      </c>
      <c r="AE3262">
        <v>-69.034899999999993</v>
      </c>
      <c r="AF3262">
        <v>-16.340908962638</v>
      </c>
      <c r="AG3262">
        <v>-1.125892464229</v>
      </c>
      <c r="AH3262">
        <v>67.306285507912193</v>
      </c>
      <c r="AI3262">
        <v>90.931298988816295</v>
      </c>
      <c r="AJ3262">
        <v>103.646477565803</v>
      </c>
      <c r="AK3262">
        <v>69.270693719918995</v>
      </c>
      <c r="AL3262">
        <v>79.3274808164945</v>
      </c>
      <c r="AM3262">
        <v>97.468608911465395</v>
      </c>
      <c r="AN3262">
        <v>0.99999998511921395</v>
      </c>
    </row>
    <row r="3263" spans="1:40" x14ac:dyDescent="0.25">
      <c r="A3263" t="str">
        <f>"20190303170318394"</f>
        <v>20190303170318394</v>
      </c>
      <c r="B3263" t="str">
        <f>"1551603798388675"</f>
        <v>1551603798388675</v>
      </c>
      <c r="C3263" t="s">
        <v>40</v>
      </c>
      <c r="D3263">
        <v>4.2801479999999996</v>
      </c>
      <c r="E3263">
        <v>0.46066299999999999</v>
      </c>
      <c r="F3263" t="s">
        <v>57</v>
      </c>
      <c r="G3263">
        <v>-497.04109999999997</v>
      </c>
      <c r="H3263" s="1">
        <v>8.1374209999999902E-7</v>
      </c>
      <c r="I3263">
        <v>203.80850000000001</v>
      </c>
      <c r="J3263">
        <v>-492.05059999999997</v>
      </c>
      <c r="K3263">
        <v>1.1258840000000001</v>
      </c>
      <c r="L3263">
        <v>264.94839999999999</v>
      </c>
      <c r="M3263">
        <v>-0.31295279999999998</v>
      </c>
      <c r="N3263">
        <v>-1.4008069999999999E-2</v>
      </c>
      <c r="O3263">
        <v>-0.94966569999999995</v>
      </c>
      <c r="P3263">
        <v>-0.186359</v>
      </c>
      <c r="Q3263">
        <v>0.1727003</v>
      </c>
      <c r="R3263">
        <v>-0.9671843</v>
      </c>
      <c r="S3263">
        <v>-0.25125120000000001</v>
      </c>
      <c r="T3263">
        <v>-5.6340929999999997E-2</v>
      </c>
      <c r="U3263">
        <v>-3.0647579999999999</v>
      </c>
      <c r="V3263">
        <v>-0.12752930000000001</v>
      </c>
      <c r="W3263">
        <v>0.18513250000000001</v>
      </c>
      <c r="X3263">
        <v>0.97440360000000004</v>
      </c>
      <c r="Y3263">
        <v>-0.23428089999999999</v>
      </c>
      <c r="Z3263">
        <v>2.8929020000000001E-3</v>
      </c>
      <c r="AA3263">
        <v>0.97216460000000005</v>
      </c>
      <c r="AB3263">
        <v>20</v>
      </c>
      <c r="AC3263">
        <v>-4.9904999999999902</v>
      </c>
      <c r="AD3263">
        <v>-1.1258831862579</v>
      </c>
      <c r="AE3263">
        <v>-61.139899999999898</v>
      </c>
      <c r="AF3263">
        <v>-14.3911563938979</v>
      </c>
      <c r="AG3263">
        <v>-1.1258831862579</v>
      </c>
      <c r="AH3263">
        <v>59.610008676972598</v>
      </c>
      <c r="AI3263">
        <v>91.051832954044201</v>
      </c>
      <c r="AJ3263">
        <v>103.57273553530599</v>
      </c>
      <c r="AK3263">
        <v>61.3329122883585</v>
      </c>
      <c r="AL3263">
        <v>79.331143226749603</v>
      </c>
      <c r="AM3263">
        <v>97.456451701218398</v>
      </c>
      <c r="AN3263">
        <v>1.0000000703038401</v>
      </c>
    </row>
    <row r="3264" spans="1:40" x14ac:dyDescent="0.25">
      <c r="A3264" t="str">
        <f>"20190303170318406"</f>
        <v>20190303170318406</v>
      </c>
      <c r="B3264" t="str">
        <f>"1551603798398435"</f>
        <v>1551603798398435</v>
      </c>
      <c r="C3264" t="s">
        <v>40</v>
      </c>
      <c r="D3264">
        <v>4.2846710000000003</v>
      </c>
      <c r="E3264">
        <v>0.46100970000000002</v>
      </c>
      <c r="F3264" t="s">
        <v>57</v>
      </c>
      <c r="G3264">
        <v>-496.72649999999999</v>
      </c>
      <c r="H3264" s="1">
        <v>1.461267E-6</v>
      </c>
      <c r="I3264">
        <v>206.32380000000001</v>
      </c>
      <c r="J3264">
        <v>-492.07760000000002</v>
      </c>
      <c r="K3264">
        <v>1.1258729999999999</v>
      </c>
      <c r="L3264">
        <v>264.85309999999998</v>
      </c>
      <c r="M3264">
        <v>-0.30952940000000001</v>
      </c>
      <c r="N3264">
        <v>-1.4006269999999999E-2</v>
      </c>
      <c r="O3264">
        <v>-0.95078689999999999</v>
      </c>
      <c r="P3264">
        <v>-0.18296709999999999</v>
      </c>
      <c r="Q3264">
        <v>0.17265459999999999</v>
      </c>
      <c r="R3264">
        <v>-0.96783980000000003</v>
      </c>
      <c r="S3264">
        <v>-0.24447630000000001</v>
      </c>
      <c r="T3264">
        <v>-5.8866139999999997E-2</v>
      </c>
      <c r="U3264">
        <v>-3.0651549999999999</v>
      </c>
      <c r="V3264">
        <v>-0.1274342</v>
      </c>
      <c r="W3264">
        <v>0.1850879</v>
      </c>
      <c r="X3264">
        <v>0.97442439999999997</v>
      </c>
      <c r="Y3264">
        <v>-0.23292260000000001</v>
      </c>
      <c r="Z3264">
        <v>3.6711930000000001E-3</v>
      </c>
      <c r="AA3264">
        <v>0.97248829999999997</v>
      </c>
      <c r="AB3264">
        <v>20</v>
      </c>
      <c r="AC3264">
        <v>-4.6488999999999603</v>
      </c>
      <c r="AD3264">
        <v>-1.1258715387329901</v>
      </c>
      <c r="AE3264">
        <v>-58.5292999999999</v>
      </c>
      <c r="AF3264">
        <v>-13.6927322270296</v>
      </c>
      <c r="AG3264">
        <v>-1.1258715387329901</v>
      </c>
      <c r="AH3264">
        <v>57.072467425411403</v>
      </c>
      <c r="AI3264">
        <v>91.098952413902694</v>
      </c>
      <c r="AJ3264">
        <v>103.49130979826199</v>
      </c>
      <c r="AK3264">
        <v>58.702853768684101</v>
      </c>
      <c r="AL3264">
        <v>79.333742353358005</v>
      </c>
      <c r="AM3264">
        <v>97.450796582729595</v>
      </c>
      <c r="AN3264">
        <v>0.99999995868570402</v>
      </c>
    </row>
    <row r="3265" spans="1:40" x14ac:dyDescent="0.25">
      <c r="A3265" t="str">
        <f>"20190303170318417"</f>
        <v>20190303170318417</v>
      </c>
      <c r="B3265" t="str">
        <f>"1551603798408195"</f>
        <v>1551603798408195</v>
      </c>
      <c r="C3265" t="s">
        <v>40</v>
      </c>
      <c r="D3265">
        <v>4.3165839999999998</v>
      </c>
      <c r="E3265">
        <v>0.46132099999999998</v>
      </c>
      <c r="F3265" t="s">
        <v>57</v>
      </c>
      <c r="G3265">
        <v>-496.42</v>
      </c>
      <c r="H3265" s="1">
        <v>1.802111E-6</v>
      </c>
      <c r="I3265">
        <v>208.48750000000001</v>
      </c>
      <c r="J3265">
        <v>-492.1046</v>
      </c>
      <c r="K3265">
        <v>1.125867</v>
      </c>
      <c r="L3265">
        <v>264.75729999999999</v>
      </c>
      <c r="M3265">
        <v>-0.30608610000000003</v>
      </c>
      <c r="N3265">
        <v>-1.40045E-2</v>
      </c>
      <c r="O3265">
        <v>-0.95190090000000005</v>
      </c>
      <c r="P3265">
        <v>-0.1795717</v>
      </c>
      <c r="Q3265">
        <v>0.17262959999999999</v>
      </c>
      <c r="R3265">
        <v>-0.96847989999999995</v>
      </c>
      <c r="S3265">
        <v>-0.2362061</v>
      </c>
      <c r="T3265">
        <v>-6.124127E-2</v>
      </c>
      <c r="U3265">
        <v>-3.065979</v>
      </c>
      <c r="V3265">
        <v>-0.1273233</v>
      </c>
      <c r="W3265">
        <v>0.18506400000000001</v>
      </c>
      <c r="X3265">
        <v>0.97444350000000002</v>
      </c>
      <c r="Y3265">
        <v>-0.23202970000000001</v>
      </c>
      <c r="Z3265">
        <v>4.4030909999999996E-3</v>
      </c>
      <c r="AA3265">
        <v>0.97269870000000003</v>
      </c>
      <c r="AB3265">
        <v>20</v>
      </c>
      <c r="AC3265">
        <v>-4.3154000000000101</v>
      </c>
      <c r="AD3265">
        <v>-1.125865197889</v>
      </c>
      <c r="AE3265">
        <v>-56.269799999999897</v>
      </c>
      <c r="AF3265">
        <v>-13.111637505929901</v>
      </c>
      <c r="AG3265">
        <v>-1.125865197889</v>
      </c>
      <c r="AH3265">
        <v>54.867699048500398</v>
      </c>
      <c r="AI3265">
        <v>91.143339995704494</v>
      </c>
      <c r="AJ3265">
        <v>103.439824349109</v>
      </c>
      <c r="AK3265">
        <v>56.423815977010399</v>
      </c>
      <c r="AL3265">
        <v>79.3351364650633</v>
      </c>
      <c r="AM3265">
        <v>97.444240983416506</v>
      </c>
      <c r="AN3265">
        <v>1.0000000207555599</v>
      </c>
    </row>
    <row r="3266" spans="1:40" x14ac:dyDescent="0.25">
      <c r="A3266" t="str">
        <f>"20190303170318428"</f>
        <v>20190303170318428</v>
      </c>
      <c r="B3266" t="str">
        <f>"1551603798418932"</f>
        <v>1551603798418932</v>
      </c>
      <c r="C3266" t="s">
        <v>40</v>
      </c>
      <c r="D3266">
        <v>4.3316330000000001</v>
      </c>
      <c r="E3266">
        <v>0.46113130000000002</v>
      </c>
      <c r="F3266" t="s">
        <v>57</v>
      </c>
      <c r="G3266">
        <v>-496.31240000000003</v>
      </c>
      <c r="H3266" s="1">
        <v>1.772894E-6</v>
      </c>
      <c r="I3266">
        <v>208.12260000000001</v>
      </c>
      <c r="J3266">
        <v>-492.13290000000001</v>
      </c>
      <c r="K3266">
        <v>1.1258619999999999</v>
      </c>
      <c r="L3266">
        <v>264.65469999999999</v>
      </c>
      <c r="M3266">
        <v>-0.30239670000000002</v>
      </c>
      <c r="N3266">
        <v>-1.40026E-2</v>
      </c>
      <c r="O3266">
        <v>-0.95307949999999997</v>
      </c>
      <c r="P3266">
        <v>-0.17588709999999999</v>
      </c>
      <c r="Q3266">
        <v>0.1725824</v>
      </c>
      <c r="R3266">
        <v>-0.96916409999999997</v>
      </c>
      <c r="S3266">
        <v>-0.22781370000000001</v>
      </c>
      <c r="T3266">
        <v>-6.0955410000000002E-2</v>
      </c>
      <c r="U3266">
        <v>-3.0662539999999998</v>
      </c>
      <c r="V3266">
        <v>-0.12725429999999999</v>
      </c>
      <c r="W3266">
        <v>0.18501770000000001</v>
      </c>
      <c r="X3266">
        <v>0.97446129999999997</v>
      </c>
      <c r="Y3266">
        <v>-0.23091610000000001</v>
      </c>
      <c r="Z3266">
        <v>4.3494520000000002E-3</v>
      </c>
      <c r="AA3266">
        <v>0.97296389999999999</v>
      </c>
      <c r="AB3266">
        <v>20</v>
      </c>
      <c r="AC3266">
        <v>-4.1795000000000098</v>
      </c>
      <c r="AD3266">
        <v>-1.1258602271060001</v>
      </c>
      <c r="AE3266">
        <v>-56.5320999999999</v>
      </c>
      <c r="AF3266">
        <v>-13.107837283153399</v>
      </c>
      <c r="AG3266">
        <v>-1.1258602271060001</v>
      </c>
      <c r="AH3266">
        <v>55.127103398995601</v>
      </c>
      <c r="AI3266">
        <v>91.138262603780205</v>
      </c>
      <c r="AJ3266">
        <v>103.375122991156</v>
      </c>
      <c r="AK3266">
        <v>56.6752193525191</v>
      </c>
      <c r="AL3266">
        <v>79.337835821543194</v>
      </c>
      <c r="AM3266">
        <v>97.440117571398204</v>
      </c>
      <c r="AN3266">
        <v>1.00000001568973</v>
      </c>
    </row>
    <row r="3267" spans="1:40" x14ac:dyDescent="0.25">
      <c r="A3267" t="str">
        <f>"20190303170318441"</f>
        <v>20190303170318441</v>
      </c>
      <c r="B3267" t="str">
        <f>"1551603798428691"</f>
        <v>1551603798428691</v>
      </c>
      <c r="C3267" t="s">
        <v>40</v>
      </c>
      <c r="D3267">
        <v>4.4557260000000003</v>
      </c>
      <c r="E3267">
        <v>0.46113130000000002</v>
      </c>
      <c r="F3267" t="s">
        <v>57</v>
      </c>
      <c r="G3267">
        <v>-496.10489999999999</v>
      </c>
      <c r="H3267" s="1">
        <v>1.7971140000000001E-6</v>
      </c>
      <c r="I3267">
        <v>208.02760000000001</v>
      </c>
      <c r="J3267">
        <v>-492.16079999999999</v>
      </c>
      <c r="K3267">
        <v>1.1258629999999901</v>
      </c>
      <c r="L3267">
        <v>264.55239999999998</v>
      </c>
      <c r="M3267">
        <v>-0.29871950000000003</v>
      </c>
      <c r="N3267">
        <v>-1.4000719999999999E-2</v>
      </c>
      <c r="O3267">
        <v>-0.95423829999999998</v>
      </c>
      <c r="P3267">
        <v>-0.17192579999999999</v>
      </c>
      <c r="Q3267">
        <v>0.17256459999999901</v>
      </c>
      <c r="R3267">
        <v>-0.96987769999999995</v>
      </c>
      <c r="S3267">
        <v>-0.2151489</v>
      </c>
      <c r="T3267">
        <v>-6.0983900000000001E-2</v>
      </c>
      <c r="U3267">
        <v>-3.067291</v>
      </c>
      <c r="V3267">
        <v>-0.12747729999999999</v>
      </c>
      <c r="W3267">
        <v>0.18499750000000001</v>
      </c>
      <c r="X3267">
        <v>0.97443599999999997</v>
      </c>
      <c r="Y3267">
        <v>-0.23118530000000001</v>
      </c>
      <c r="Z3267">
        <v>4.3789789999999999E-3</v>
      </c>
      <c r="AA3267">
        <v>0.97289990000000004</v>
      </c>
      <c r="AB3267">
        <v>20</v>
      </c>
      <c r="AC3267">
        <v>-3.9440999999999899</v>
      </c>
      <c r="AD3267">
        <v>-1.12586120288599</v>
      </c>
      <c r="AE3267">
        <v>-56.5247999999999</v>
      </c>
      <c r="AF3267">
        <v>-13.117555455063499</v>
      </c>
      <c r="AG3267">
        <v>-1.12586120288599</v>
      </c>
      <c r="AH3267">
        <v>55.099955103130903</v>
      </c>
      <c r="AI3267">
        <v>91.1387490277735</v>
      </c>
      <c r="AJ3267">
        <v>103.39103987703599</v>
      </c>
      <c r="AK3267">
        <v>56.651062451924702</v>
      </c>
      <c r="AL3267">
        <v>79.339013654908499</v>
      </c>
      <c r="AM3267">
        <v>97.453200488171106</v>
      </c>
      <c r="AN3267">
        <v>1.0000000275587599</v>
      </c>
    </row>
    <row r="3268" spans="1:40" x14ac:dyDescent="0.25">
      <c r="A3268" t="str">
        <f>"20190303170318451"</f>
        <v>20190303170318451</v>
      </c>
      <c r="B3268" t="str">
        <f>"1551603798438451"</f>
        <v>1551603798438451</v>
      </c>
      <c r="C3268" t="s">
        <v>40</v>
      </c>
      <c r="D3268">
        <v>4.3951989999999999</v>
      </c>
      <c r="E3268">
        <v>0.42284680000000002</v>
      </c>
      <c r="F3268" t="s">
        <v>57</v>
      </c>
      <c r="G3268">
        <v>-495.89100000000002</v>
      </c>
      <c r="H3268" s="1">
        <v>1.8296119999999999E-6</v>
      </c>
      <c r="I3268">
        <v>207.98650000000001</v>
      </c>
      <c r="J3268">
        <v>-492.18579999999997</v>
      </c>
      <c r="K3268">
        <v>1.125856</v>
      </c>
      <c r="L3268">
        <v>264.45960000000002</v>
      </c>
      <c r="M3268">
        <v>-0.2953808</v>
      </c>
      <c r="N3268">
        <v>-1.3999050000000001E-2</v>
      </c>
      <c r="O3268">
        <v>-0.95527720000000005</v>
      </c>
      <c r="P3268">
        <v>-0.16842679999999999</v>
      </c>
      <c r="Q3268">
        <v>0.17295429999999901</v>
      </c>
      <c r="R3268">
        <v>-0.97042260000000002</v>
      </c>
      <c r="S3268">
        <v>-0.2023315</v>
      </c>
      <c r="T3268">
        <v>-6.1067580000000003E-2</v>
      </c>
      <c r="U3268">
        <v>-3.0681759999999998</v>
      </c>
      <c r="V3268">
        <v>-0.1275654</v>
      </c>
      <c r="W3268">
        <v>0.18538450000000001</v>
      </c>
      <c r="X3268">
        <v>0.97435090000000002</v>
      </c>
      <c r="Y3268">
        <v>-0.231848</v>
      </c>
      <c r="Z3268">
        <v>4.4214520000000002E-3</v>
      </c>
      <c r="AA3268">
        <v>0.972742</v>
      </c>
      <c r="AB3268">
        <v>20</v>
      </c>
      <c r="AC3268">
        <v>-3.7051999999999898</v>
      </c>
      <c r="AD3268">
        <v>-1.1258541703880001</v>
      </c>
      <c r="AE3268">
        <v>-56.473100000000002</v>
      </c>
      <c r="AF3268">
        <v>-13.137662999999399</v>
      </c>
      <c r="AG3268">
        <v>-1.1258541703880001</v>
      </c>
      <c r="AH3268">
        <v>55.025519083476802</v>
      </c>
      <c r="AI3268">
        <v>91.140105167040304</v>
      </c>
      <c r="AJ3268">
        <v>103.42831054112401</v>
      </c>
      <c r="AK3268">
        <v>56.583332237688197</v>
      </c>
      <c r="AL3268">
        <v>79.316449705701899</v>
      </c>
      <c r="AM3268">
        <v>97.458937524025998</v>
      </c>
      <c r="AN3268">
        <v>1.00000001022411</v>
      </c>
    </row>
    <row r="3269" spans="1:40" x14ac:dyDescent="0.25">
      <c r="A3269" t="str">
        <f>"20190303170318461"</f>
        <v>20190303170318461</v>
      </c>
      <c r="B3269" t="str">
        <f>"1551603798448211"</f>
        <v>1551603798448211</v>
      </c>
      <c r="C3269" t="s">
        <v>40</v>
      </c>
      <c r="D3269">
        <v>4.3045059999999999</v>
      </c>
      <c r="E3269">
        <v>0.41306530000000002</v>
      </c>
      <c r="F3269" t="s">
        <v>76</v>
      </c>
      <c r="G3269">
        <v>-484.25349999999997</v>
      </c>
      <c r="H3269">
        <v>2.4989750000000002</v>
      </c>
      <c r="I3269">
        <v>37.867820000000002</v>
      </c>
      <c r="J3269">
        <v>-492.20909999999998</v>
      </c>
      <c r="K3269">
        <v>1.1258520000000001</v>
      </c>
      <c r="L3269">
        <v>264.37130000000002</v>
      </c>
      <c r="M3269">
        <v>-0.29220550000000001</v>
      </c>
      <c r="N3269">
        <v>-1.399746E-2</v>
      </c>
      <c r="O3269">
        <v>-0.95625320000000003</v>
      </c>
      <c r="P3269">
        <v>-0.16518849999999999</v>
      </c>
      <c r="Q3269">
        <v>0.17306009999999999</v>
      </c>
      <c r="R3269">
        <v>-0.97096000000000005</v>
      </c>
      <c r="S3269">
        <v>0.1087646</v>
      </c>
      <c r="T3269">
        <v>1.8828149999999998E-2</v>
      </c>
      <c r="U3269">
        <v>-3.106995</v>
      </c>
      <c r="V3269">
        <v>-0.12757209999999999</v>
      </c>
      <c r="W3269">
        <v>0.1854905</v>
      </c>
      <c r="X3269">
        <v>0.97432980000000002</v>
      </c>
      <c r="Y3269">
        <v>-0.32548820000000001</v>
      </c>
      <c r="Z3269">
        <v>-1.9565659999999999E-2</v>
      </c>
      <c r="AA3269">
        <v>0.94534370000000001</v>
      </c>
      <c r="AB3269">
        <v>20</v>
      </c>
      <c r="AC3269">
        <v>7.9555999999999996</v>
      </c>
      <c r="AD3269">
        <v>1.3731229999999901</v>
      </c>
      <c r="AE3269">
        <v>-226.50348</v>
      </c>
      <c r="AF3269">
        <v>-73.797645840291395</v>
      </c>
      <c r="AG3269">
        <v>1.3731229999999901</v>
      </c>
      <c r="AH3269">
        <v>214.28311824772101</v>
      </c>
      <c r="AI3269">
        <v>89.652863643502201</v>
      </c>
      <c r="AJ3269">
        <v>109.003358755547</v>
      </c>
      <c r="AK3269">
        <v>226.63899215340001</v>
      </c>
      <c r="AL3269">
        <v>79.310268644400793</v>
      </c>
      <c r="AM3269">
        <v>97.4594845905944</v>
      </c>
      <c r="AN3269">
        <v>0.99999996272834901</v>
      </c>
    </row>
    <row r="3270" spans="1:40" x14ac:dyDescent="0.25">
      <c r="A3270" t="str">
        <f>"20190303170318472"</f>
        <v>20190303170318472</v>
      </c>
      <c r="B3270" t="str">
        <f>"1551603798468707"</f>
        <v>1551603798468707</v>
      </c>
      <c r="C3270" t="s">
        <v>40</v>
      </c>
      <c r="D3270">
        <v>4.3016719999999999</v>
      </c>
      <c r="E3270">
        <v>0.40198840000000002</v>
      </c>
      <c r="F3270" t="s">
        <v>76</v>
      </c>
      <c r="G3270">
        <v>-479.64960000000002</v>
      </c>
      <c r="H3270">
        <v>3.3980079999999999</v>
      </c>
      <c r="I3270">
        <v>64.450009999999907</v>
      </c>
      <c r="J3270">
        <v>-492.23340000000002</v>
      </c>
      <c r="K3270">
        <v>1.125847</v>
      </c>
      <c r="L3270">
        <v>264.27850000000001</v>
      </c>
      <c r="M3270">
        <v>-0.2888675</v>
      </c>
      <c r="N3270">
        <v>-1.3995799999999999E-2</v>
      </c>
      <c r="O3270">
        <v>-0.95726690000000003</v>
      </c>
      <c r="P3270">
        <v>-0.16163050000000001</v>
      </c>
      <c r="Q3270">
        <v>0.1732004</v>
      </c>
      <c r="R3270">
        <v>-0.9715338</v>
      </c>
      <c r="S3270">
        <v>0.1958008</v>
      </c>
      <c r="T3270">
        <v>3.5423040000000003E-2</v>
      </c>
      <c r="U3270">
        <v>-3.1167600000000002</v>
      </c>
      <c r="V3270">
        <v>-0.12773409999999999</v>
      </c>
      <c r="W3270">
        <v>0.18562819999999999</v>
      </c>
      <c r="X3270">
        <v>0.97428239999999999</v>
      </c>
      <c r="Y3270">
        <v>-0.34832649999999998</v>
      </c>
      <c r="Z3270">
        <v>-2.4393580000000002E-2</v>
      </c>
      <c r="AA3270">
        <v>0.93705579999999999</v>
      </c>
      <c r="AB3270">
        <v>20</v>
      </c>
      <c r="AC3270">
        <v>12.583799999999901</v>
      </c>
      <c r="AD3270">
        <v>2.2721610000000001</v>
      </c>
      <c r="AE3270">
        <v>-199.82848999999999</v>
      </c>
      <c r="AF3270">
        <v>-69.767853166482794</v>
      </c>
      <c r="AG3270">
        <v>2.2721610000000001</v>
      </c>
      <c r="AH3270">
        <v>187.648343093254</v>
      </c>
      <c r="AI3270">
        <v>89.349747262894297</v>
      </c>
      <c r="AJ3270">
        <v>110.395187660209</v>
      </c>
      <c r="AK3270">
        <v>200.21143003513399</v>
      </c>
      <c r="AL3270">
        <v>79.302240107569901</v>
      </c>
      <c r="AM3270">
        <v>97.469209554012295</v>
      </c>
      <c r="AN3270">
        <v>1.0000000119439001</v>
      </c>
    </row>
    <row r="3271" spans="1:40" x14ac:dyDescent="0.25">
      <c r="A3271" t="str">
        <f>"20190303170318486"</f>
        <v>20190303170318486</v>
      </c>
      <c r="B3271" t="str">
        <f>"1551603798478468"</f>
        <v>1551603798478468</v>
      </c>
      <c r="C3271" t="s">
        <v>40</v>
      </c>
      <c r="D3271">
        <v>4.2977660000000002</v>
      </c>
      <c r="E3271">
        <v>0.39898869999999997</v>
      </c>
      <c r="F3271" t="s">
        <v>76</v>
      </c>
      <c r="G3271">
        <v>-473.43430000000001</v>
      </c>
      <c r="H3271">
        <v>4.4826119999999996</v>
      </c>
      <c r="I3271">
        <v>64.450009999999907</v>
      </c>
      <c r="J3271">
        <v>-492.2629</v>
      </c>
      <c r="K3271">
        <v>1.1258410000000001</v>
      </c>
      <c r="L3271">
        <v>264.16320000000002</v>
      </c>
      <c r="M3271">
        <v>-0.28472140000000001</v>
      </c>
      <c r="N3271">
        <v>-1.399357E-2</v>
      </c>
      <c r="O3271">
        <v>-0.95850829999999998</v>
      </c>
      <c r="P3271">
        <v>-0.15736240000000001</v>
      </c>
      <c r="Q3271">
        <v>0.17325950000000001</v>
      </c>
      <c r="R3271">
        <v>-0.97222359999999997</v>
      </c>
      <c r="S3271">
        <v>0.29421999999999998</v>
      </c>
      <c r="T3271">
        <v>5.253625E-2</v>
      </c>
      <c r="U3271">
        <v>-3.127472</v>
      </c>
      <c r="V3271">
        <v>-0.12778980000000001</v>
      </c>
      <c r="W3271">
        <v>0.18568670000000001</v>
      </c>
      <c r="X3271">
        <v>0.97426389999999996</v>
      </c>
      <c r="Y3271">
        <v>-0.37324740000000001</v>
      </c>
      <c r="Z3271">
        <v>-2.9290219999999999E-2</v>
      </c>
      <c r="AA3271">
        <v>0.92726929999999996</v>
      </c>
      <c r="AB3271">
        <v>20</v>
      </c>
      <c r="AC3271">
        <v>18.828599999999899</v>
      </c>
      <c r="AD3271">
        <v>3.35677099999999</v>
      </c>
      <c r="AE3271">
        <v>-199.71319</v>
      </c>
      <c r="AF3271">
        <v>-74.896341960638196</v>
      </c>
      <c r="AG3271">
        <v>3.35677099999999</v>
      </c>
      <c r="AH3271">
        <v>186.03194897086399</v>
      </c>
      <c r="AI3271">
        <v>89.041047540462401</v>
      </c>
      <c r="AJ3271">
        <v>111.929683825273</v>
      </c>
      <c r="AK3271">
        <v>200.57072565190001</v>
      </c>
      <c r="AL3271">
        <v>79.298828494610305</v>
      </c>
      <c r="AM3271">
        <v>97.472570082064195</v>
      </c>
      <c r="AN3271">
        <v>0.99999996519206902</v>
      </c>
    </row>
    <row r="3272" spans="1:40" x14ac:dyDescent="0.25">
      <c r="A3272" t="str">
        <f>"20190303170318498"</f>
        <v>20190303170318498</v>
      </c>
      <c r="B3272" t="str">
        <f>"1551603798488227"</f>
        <v>1551603798488227</v>
      </c>
      <c r="C3272" t="s">
        <v>40</v>
      </c>
      <c r="D3272">
        <v>4.3052250000000001</v>
      </c>
      <c r="E3272">
        <v>0.39723239999999999</v>
      </c>
      <c r="F3272" t="s">
        <v>77</v>
      </c>
      <c r="G3272">
        <v>-473.57749999999999</v>
      </c>
      <c r="H3272">
        <v>4.4158119999999998</v>
      </c>
      <c r="I3272">
        <v>88.168759999999907</v>
      </c>
      <c r="J3272">
        <v>-492.291</v>
      </c>
      <c r="K3272">
        <v>1.125831</v>
      </c>
      <c r="L3272">
        <v>264.0523</v>
      </c>
      <c r="M3272">
        <v>-0.28073169999999997</v>
      </c>
      <c r="N3272">
        <v>-1.399132E-2</v>
      </c>
      <c r="O3272">
        <v>-0.95968430000000005</v>
      </c>
      <c r="P3272">
        <v>-0.15325440000000001</v>
      </c>
      <c r="Q3272">
        <v>0.173390299999999</v>
      </c>
      <c r="R3272">
        <v>-0.97285630000000001</v>
      </c>
      <c r="S3272">
        <v>0.33221440000000002</v>
      </c>
      <c r="T3272">
        <v>5.8494329999999997E-2</v>
      </c>
      <c r="U3272">
        <v>-3.129089</v>
      </c>
      <c r="V3272">
        <v>-0.12784329999999999</v>
      </c>
      <c r="W3272">
        <v>0.18581700000000001</v>
      </c>
      <c r="X3272">
        <v>0.97423210000000005</v>
      </c>
      <c r="Y3272">
        <v>-0.3804787</v>
      </c>
      <c r="Z3272">
        <v>-3.1007920000000001E-2</v>
      </c>
      <c r="AA3272">
        <v>0.92426969999999997</v>
      </c>
      <c r="AB3272">
        <v>20</v>
      </c>
      <c r="AC3272">
        <v>18.7135</v>
      </c>
      <c r="AD3272">
        <v>3.2899809999999898</v>
      </c>
      <c r="AE3272">
        <v>-175.88353999999899</v>
      </c>
      <c r="AF3272">
        <v>-67.3184383091847</v>
      </c>
      <c r="AG3272">
        <v>3.2899809999999898</v>
      </c>
      <c r="AH3272">
        <v>163.498641793144</v>
      </c>
      <c r="AI3272">
        <v>88.934026103643603</v>
      </c>
      <c r="AJ3272">
        <v>112.378777149667</v>
      </c>
      <c r="AK3272">
        <v>176.845701049165</v>
      </c>
      <c r="AL3272">
        <v>79.291231282422402</v>
      </c>
      <c r="AM3272">
        <v>97.475904396946703</v>
      </c>
      <c r="AN3272">
        <v>1.00000002575714</v>
      </c>
    </row>
    <row r="3273" spans="1:40" x14ac:dyDescent="0.25">
      <c r="A3273" t="str">
        <f>"20190303170318512"</f>
        <v>20190303170318512</v>
      </c>
      <c r="B3273" t="str">
        <f>"1551603798498963"</f>
        <v>1551603798498963</v>
      </c>
      <c r="C3273" t="s">
        <v>40</v>
      </c>
      <c r="D3273">
        <v>4.3063900000000004</v>
      </c>
      <c r="E3273">
        <v>0.39626260000000002</v>
      </c>
      <c r="F3273" t="s">
        <v>77</v>
      </c>
      <c r="G3273">
        <v>-473.40390000000002</v>
      </c>
      <c r="H3273">
        <v>4.3393519999999999</v>
      </c>
      <c r="I3273">
        <v>99.129630000000006</v>
      </c>
      <c r="J3273">
        <v>-492.32089999999999</v>
      </c>
      <c r="K3273">
        <v>1.12582</v>
      </c>
      <c r="L3273">
        <v>263.93200000000002</v>
      </c>
      <c r="M3273">
        <v>-0.27641070000000001</v>
      </c>
      <c r="N3273">
        <v>-1.398869E-2</v>
      </c>
      <c r="O3273">
        <v>-0.96093770000000001</v>
      </c>
      <c r="P3273">
        <v>-0.1486344</v>
      </c>
      <c r="Q3273">
        <v>0.1734581</v>
      </c>
      <c r="R3273">
        <v>-0.97356039999999999</v>
      </c>
      <c r="S3273">
        <v>0.35836790000000002</v>
      </c>
      <c r="T3273">
        <v>6.0974960000000002E-2</v>
      </c>
      <c r="U3273">
        <v>-3.1293030000000002</v>
      </c>
      <c r="V3273">
        <v>-0.1280772</v>
      </c>
      <c r="W3273">
        <v>0.1858831</v>
      </c>
      <c r="X3273">
        <v>0.97418870000000002</v>
      </c>
      <c r="Y3273">
        <v>-0.38393949999999999</v>
      </c>
      <c r="Z3273">
        <v>-3.1743809999999997E-2</v>
      </c>
      <c r="AA3273">
        <v>0.92281250000000004</v>
      </c>
      <c r="AB3273">
        <v>20</v>
      </c>
      <c r="AC3273">
        <v>18.916999999999899</v>
      </c>
      <c r="AD3273">
        <v>3.2135319999999998</v>
      </c>
      <c r="AE3273">
        <v>-164.80237</v>
      </c>
      <c r="AF3273">
        <v>-63.713528780383903</v>
      </c>
      <c r="AG3273">
        <v>3.2135319999999998</v>
      </c>
      <c r="AH3273">
        <v>153.09349542545399</v>
      </c>
      <c r="AI3273">
        <v>88.8897826959886</v>
      </c>
      <c r="AJ3273">
        <v>112.595807575809</v>
      </c>
      <c r="AK3273">
        <v>165.85342588908901</v>
      </c>
      <c r="AL3273">
        <v>79.2873761636518</v>
      </c>
      <c r="AM3273">
        <v>97.489756921448901</v>
      </c>
      <c r="AN3273">
        <v>0.99999995961656896</v>
      </c>
    </row>
    <row r="3274" spans="1:40" x14ac:dyDescent="0.25">
      <c r="A3274" t="str">
        <f>"20190303170318529"</f>
        <v>20190303170318529</v>
      </c>
      <c r="B3274" t="str">
        <f>"1551603798518483"</f>
        <v>1551603798518483</v>
      </c>
      <c r="C3274" t="s">
        <v>40</v>
      </c>
      <c r="D3274">
        <v>4.3251879999999998</v>
      </c>
      <c r="E3274">
        <v>0.3947253</v>
      </c>
      <c r="F3274" t="s">
        <v>77</v>
      </c>
      <c r="G3274">
        <v>-473.52539999999999</v>
      </c>
      <c r="H3274">
        <v>4.1488430000000003</v>
      </c>
      <c r="I3274">
        <v>109.7255</v>
      </c>
      <c r="J3274">
        <v>-492.3546</v>
      </c>
      <c r="K3274">
        <v>1.125802</v>
      </c>
      <c r="L3274">
        <v>263.79289999999997</v>
      </c>
      <c r="M3274">
        <v>-0.27142329999999998</v>
      </c>
      <c r="N3274">
        <v>-1.3985310000000001E-2</v>
      </c>
      <c r="O3274">
        <v>-0.96235859999999995</v>
      </c>
      <c r="P3274">
        <v>-0.14333959999999901</v>
      </c>
      <c r="Q3274">
        <v>0.1729637</v>
      </c>
      <c r="R3274">
        <v>-0.97444219999999904</v>
      </c>
      <c r="S3274">
        <v>0.38134770000000001</v>
      </c>
      <c r="T3274">
        <v>6.1335800000000003E-2</v>
      </c>
      <c r="U3274">
        <v>-3.1287539999999998</v>
      </c>
      <c r="V3274">
        <v>-0.12833330000000001</v>
      </c>
      <c r="W3274">
        <v>0.18538830000000001</v>
      </c>
      <c r="X3274">
        <v>0.97424929999999998</v>
      </c>
      <c r="Y3274">
        <v>-0.38585249999999999</v>
      </c>
      <c r="Z3274">
        <v>-3.1883370000000001E-2</v>
      </c>
      <c r="AA3274">
        <v>0.92200939999999998</v>
      </c>
      <c r="AB3274">
        <v>20</v>
      </c>
      <c r="AC3274">
        <v>18.8292</v>
      </c>
      <c r="AD3274">
        <v>3.0230410000000001</v>
      </c>
      <c r="AE3274">
        <v>-154.067399999999</v>
      </c>
      <c r="AF3274">
        <v>-59.921048587368098</v>
      </c>
      <c r="AG3274">
        <v>3.0230410000000001</v>
      </c>
      <c r="AH3274">
        <v>143.11709643731501</v>
      </c>
      <c r="AI3274">
        <v>88.883789007162903</v>
      </c>
      <c r="AJ3274">
        <v>112.71835231868501</v>
      </c>
      <c r="AK3274">
        <v>155.18432309142901</v>
      </c>
      <c r="AL3274">
        <v>79.316227793922295</v>
      </c>
      <c r="AM3274">
        <v>97.504101246032604</v>
      </c>
      <c r="AN3274">
        <v>0.99999997810813401</v>
      </c>
    </row>
    <row r="3275" spans="1:40" x14ac:dyDescent="0.25">
      <c r="A3275" t="str">
        <f>"20190303170318542"</f>
        <v>20190303170318542</v>
      </c>
      <c r="B3275" t="str">
        <f>"1551603798528243"</f>
        <v>1551603798528243</v>
      </c>
      <c r="C3275" t="s">
        <v>40</v>
      </c>
      <c r="D3275">
        <v>4.3652300000000004</v>
      </c>
      <c r="E3275">
        <v>0.39435360000000003</v>
      </c>
      <c r="F3275" t="s">
        <v>77</v>
      </c>
      <c r="G3275">
        <v>-473.44389999999999</v>
      </c>
      <c r="H3275">
        <v>3.9389569999999998</v>
      </c>
      <c r="I3275">
        <v>119.8177</v>
      </c>
      <c r="J3275">
        <v>-492.3827</v>
      </c>
      <c r="K3275">
        <v>1.1257839999999999</v>
      </c>
      <c r="L3275">
        <v>263.67450000000002</v>
      </c>
      <c r="M3275">
        <v>-0.26718920000000002</v>
      </c>
      <c r="N3275">
        <v>-1.398202E-2</v>
      </c>
      <c r="O3275">
        <v>-0.96354280000000003</v>
      </c>
      <c r="P3275">
        <v>-0.138578799999999</v>
      </c>
      <c r="Q3275">
        <v>0.1727785</v>
      </c>
      <c r="R3275">
        <v>-0.97516329999999996</v>
      </c>
      <c r="S3275">
        <v>0.4108887</v>
      </c>
      <c r="T3275">
        <v>6.1124919999999999E-2</v>
      </c>
      <c r="U3275">
        <v>-3.1282960000000002</v>
      </c>
      <c r="V3275">
        <v>-0.12880810000000001</v>
      </c>
      <c r="W3275">
        <v>0.18520039999999999</v>
      </c>
      <c r="X3275">
        <v>0.97422240000000004</v>
      </c>
      <c r="Y3275">
        <v>-0.39037709999999998</v>
      </c>
      <c r="Z3275">
        <v>-3.1841580000000001E-2</v>
      </c>
      <c r="AA3275">
        <v>0.92010429999999999</v>
      </c>
      <c r="AB3275">
        <v>20</v>
      </c>
      <c r="AC3275">
        <v>18.938800000000001</v>
      </c>
      <c r="AD3275">
        <v>2.8131729999999999</v>
      </c>
      <c r="AE3275">
        <v>-143.85679999999999</v>
      </c>
      <c r="AF3275">
        <v>-56.6695591510287</v>
      </c>
      <c r="AG3275">
        <v>2.8131729999999999</v>
      </c>
      <c r="AH3275">
        <v>133.514790014721</v>
      </c>
      <c r="AI3275">
        <v>88.888866774160604</v>
      </c>
      <c r="AJ3275">
        <v>112.99850667628399</v>
      </c>
      <c r="AK3275">
        <v>145.070851756564</v>
      </c>
      <c r="AL3275">
        <v>79.3271836218928</v>
      </c>
      <c r="AM3275">
        <v>97.531751913523195</v>
      </c>
      <c r="AN3275">
        <v>0.99999999972376497</v>
      </c>
    </row>
    <row r="3276" spans="1:40" x14ac:dyDescent="0.25">
      <c r="A3276" t="str">
        <f>"20190303170318557"</f>
        <v>20190303170318557</v>
      </c>
      <c r="B3276" t="str">
        <f>"1551603798548740"</f>
        <v>1551603798548740</v>
      </c>
      <c r="C3276" t="s">
        <v>40</v>
      </c>
      <c r="D3276">
        <v>4.3494080000000004</v>
      </c>
      <c r="E3276">
        <v>0.3943624</v>
      </c>
      <c r="F3276" t="s">
        <v>77</v>
      </c>
      <c r="G3276">
        <v>-472.64909999999998</v>
      </c>
      <c r="H3276">
        <v>3.8006099999999998</v>
      </c>
      <c r="I3276">
        <v>119.8177</v>
      </c>
      <c r="J3276">
        <v>-492.4126</v>
      </c>
      <c r="K3276">
        <v>1.125758</v>
      </c>
      <c r="L3276">
        <v>263.54689999999999</v>
      </c>
      <c r="M3276">
        <v>-0.26263760000000003</v>
      </c>
      <c r="N3276">
        <v>-1.397807E-2</v>
      </c>
      <c r="O3276">
        <v>-0.96479329999999996</v>
      </c>
      <c r="P3276">
        <v>-0.1333549</v>
      </c>
      <c r="Q3276">
        <v>0.172814</v>
      </c>
      <c r="R3276">
        <v>-0.97588520000000001</v>
      </c>
      <c r="S3276">
        <v>0.42895509999999898</v>
      </c>
      <c r="T3276">
        <v>5.814445E-2</v>
      </c>
      <c r="U3276">
        <v>-3.127075</v>
      </c>
      <c r="V3276">
        <v>-0.1294158</v>
      </c>
      <c r="W3276">
        <v>0.18523229999999999</v>
      </c>
      <c r="X3276">
        <v>0.9741358</v>
      </c>
      <c r="Y3276">
        <v>-0.39130029999999999</v>
      </c>
      <c r="Z3276">
        <v>-3.1017059999999999E-2</v>
      </c>
      <c r="AA3276">
        <v>0.91974020000000001</v>
      </c>
      <c r="AB3276">
        <v>20</v>
      </c>
      <c r="AC3276">
        <v>19.763500000000001</v>
      </c>
      <c r="AD3276">
        <v>2.674852</v>
      </c>
      <c r="AE3276">
        <v>-143.72919999999999</v>
      </c>
      <c r="AF3276">
        <v>-56.802627451631402</v>
      </c>
      <c r="AG3276">
        <v>2.674852</v>
      </c>
      <c r="AH3276">
        <v>133.44601157738001</v>
      </c>
      <c r="AI3276">
        <v>88.943405528654097</v>
      </c>
      <c r="AJ3276">
        <v>113.057513556621</v>
      </c>
      <c r="AK3276">
        <v>145.056993366542</v>
      </c>
      <c r="AL3276">
        <v>79.325323768720395</v>
      </c>
      <c r="AM3276">
        <v>97.5675398502066</v>
      </c>
      <c r="AN3276">
        <v>1.00000000554728</v>
      </c>
    </row>
    <row r="3277" spans="1:40" x14ac:dyDescent="0.25">
      <c r="A3277" t="str">
        <f>"20190303170318569"</f>
        <v>20190303170318569</v>
      </c>
      <c r="B3277" t="str">
        <f>"1551603798558499"</f>
        <v>1551603798558499</v>
      </c>
      <c r="C3277" t="s">
        <v>40</v>
      </c>
      <c r="D3277">
        <v>4.3260189999999996</v>
      </c>
      <c r="E3277">
        <v>0.39452110000000001</v>
      </c>
      <c r="F3277" t="s">
        <v>77</v>
      </c>
      <c r="G3277">
        <v>-471.928</v>
      </c>
      <c r="H3277">
        <v>3.667532</v>
      </c>
      <c r="I3277">
        <v>119.8177</v>
      </c>
      <c r="J3277">
        <v>-492.4375</v>
      </c>
      <c r="K3277">
        <v>1.125739</v>
      </c>
      <c r="L3277">
        <v>263.43759999999997</v>
      </c>
      <c r="M3277">
        <v>-0.25876080000000001</v>
      </c>
      <c r="N3277">
        <v>-1.3974149999999999E-2</v>
      </c>
      <c r="O3277">
        <v>-0.96584029999999998</v>
      </c>
      <c r="P3277">
        <v>-0.12873760000000001</v>
      </c>
      <c r="Q3277">
        <v>0.17279539999999999</v>
      </c>
      <c r="R3277">
        <v>-0.97650800000000004</v>
      </c>
      <c r="S3277">
        <v>0.44540410000000002</v>
      </c>
      <c r="T3277">
        <v>5.5267810000000001E-2</v>
      </c>
      <c r="U3277">
        <v>-3.1251829999999998</v>
      </c>
      <c r="V3277">
        <v>-0.13010189999999999</v>
      </c>
      <c r="W3277">
        <v>0.18520980000000001</v>
      </c>
      <c r="X3277">
        <v>0.97404869999999999</v>
      </c>
      <c r="Y3277">
        <v>-0.39242850000000001</v>
      </c>
      <c r="Z3277">
        <v>-3.0216320000000001E-2</v>
      </c>
      <c r="AA3277">
        <v>0.91928609999999999</v>
      </c>
      <c r="AB3277">
        <v>20</v>
      </c>
      <c r="AC3277">
        <v>20.5094999999999</v>
      </c>
      <c r="AD3277">
        <v>2.5417930000000002</v>
      </c>
      <c r="AE3277">
        <v>-143.61989999999901</v>
      </c>
      <c r="AF3277">
        <v>-56.960183223670398</v>
      </c>
      <c r="AG3277">
        <v>2.5417930000000002</v>
      </c>
      <c r="AH3277">
        <v>133.378923811851</v>
      </c>
      <c r="AI3277">
        <v>88.995954737893598</v>
      </c>
      <c r="AJ3277">
        <v>113.125164466085</v>
      </c>
      <c r="AK3277">
        <v>145.054681074885</v>
      </c>
      <c r="AL3277">
        <v>79.326635802590303</v>
      </c>
      <c r="AM3277">
        <v>97.607862951277497</v>
      </c>
      <c r="AN3277">
        <v>1.00000002218566</v>
      </c>
    </row>
    <row r="3278" spans="1:40" x14ac:dyDescent="0.25">
      <c r="A3278" t="str">
        <f>"20190303170318585"</f>
        <v>20190303170318585</v>
      </c>
      <c r="B3278" t="str">
        <f>"1551603798578996"</f>
        <v>1551603798578996</v>
      </c>
      <c r="C3278" t="s">
        <v>40</v>
      </c>
      <c r="D3278">
        <v>4.2924189999999998</v>
      </c>
      <c r="E3278">
        <v>0.39373599999999997</v>
      </c>
      <c r="F3278" t="s">
        <v>77</v>
      </c>
      <c r="G3278">
        <v>-471.34910000000002</v>
      </c>
      <c r="H3278">
        <v>3.5796779999999999</v>
      </c>
      <c r="I3278">
        <v>119.8177</v>
      </c>
      <c r="J3278">
        <v>-492.4674</v>
      </c>
      <c r="K3278">
        <v>1.125704</v>
      </c>
      <c r="L3278">
        <v>263.30419999999998</v>
      </c>
      <c r="M3278">
        <v>-0.25405260000000002</v>
      </c>
      <c r="N3278">
        <v>-1.396874E-2</v>
      </c>
      <c r="O3278">
        <v>-0.96708959999999999</v>
      </c>
      <c r="P3278">
        <v>-0.1228153</v>
      </c>
      <c r="Q3278">
        <v>0.17306270000000001</v>
      </c>
      <c r="R3278">
        <v>-0.97722339999999996</v>
      </c>
      <c r="S3278">
        <v>0.45858759999999998</v>
      </c>
      <c r="T3278">
        <v>5.3364160000000001E-2</v>
      </c>
      <c r="U3278">
        <v>-3.1231689999999999</v>
      </c>
      <c r="V3278">
        <v>-0.13123969999999999</v>
      </c>
      <c r="W3278">
        <v>0.1854693</v>
      </c>
      <c r="X3278">
        <v>0.97384660000000001</v>
      </c>
      <c r="Y3278">
        <v>-0.39183230000000002</v>
      </c>
      <c r="Z3278">
        <v>-2.970281E-2</v>
      </c>
      <c r="AA3278">
        <v>0.91955710000000002</v>
      </c>
      <c r="AB3278">
        <v>20</v>
      </c>
      <c r="AC3278">
        <v>21.118299999999898</v>
      </c>
      <c r="AD3278">
        <v>2.4539740000000001</v>
      </c>
      <c r="AE3278">
        <v>-143.48649999999901</v>
      </c>
      <c r="AF3278">
        <v>-56.865672197688703</v>
      </c>
      <c r="AG3278">
        <v>2.4539740000000001</v>
      </c>
      <c r="AH3278">
        <v>133.37396596054401</v>
      </c>
      <c r="AI3278">
        <v>89.030359359239895</v>
      </c>
      <c r="AJ3278">
        <v>113.091587065024</v>
      </c>
      <c r="AK3278">
        <v>145.01152181441299</v>
      </c>
      <c r="AL3278">
        <v>79.311504736870106</v>
      </c>
      <c r="AM3278">
        <v>97.675181257991994</v>
      </c>
      <c r="AN3278">
        <v>0.99999996021506898</v>
      </c>
    </row>
    <row r="3279" spans="1:40" x14ac:dyDescent="0.25">
      <c r="A3279" t="str">
        <f>"20190303170318596"</f>
        <v>20190303170318596</v>
      </c>
      <c r="B3279" t="str">
        <f>"1551603798588756"</f>
        <v>1551603798588756</v>
      </c>
      <c r="C3279" t="s">
        <v>40</v>
      </c>
      <c r="D3279">
        <v>4.3001399999999999</v>
      </c>
      <c r="E3279">
        <v>0.39350940000000001</v>
      </c>
      <c r="F3279" t="s">
        <v>77</v>
      </c>
      <c r="G3279">
        <v>-470.19970000000001</v>
      </c>
      <c r="H3279">
        <v>3.8010290000000002</v>
      </c>
      <c r="I3279">
        <v>119.395</v>
      </c>
      <c r="J3279">
        <v>-492.48899999999998</v>
      </c>
      <c r="K3279">
        <v>1.125677</v>
      </c>
      <c r="L3279">
        <v>263.20650000000001</v>
      </c>
      <c r="M3279">
        <v>-0.25061440000000001</v>
      </c>
      <c r="N3279">
        <v>-1.3964519999999999E-2</v>
      </c>
      <c r="O3279">
        <v>-0.96798620000000002</v>
      </c>
      <c r="P3279">
        <v>-0.1191994</v>
      </c>
      <c r="Q3279">
        <v>0.1728846</v>
      </c>
      <c r="R3279">
        <v>-0.97770259999999998</v>
      </c>
      <c r="S3279">
        <v>0.48281859999999999</v>
      </c>
      <c r="T3279">
        <v>5.8008669999999998E-2</v>
      </c>
      <c r="U3279">
        <v>-3.1203310000000002</v>
      </c>
      <c r="V3279">
        <v>-0.13137509999999999</v>
      </c>
      <c r="W3279">
        <v>0.1852946</v>
      </c>
      <c r="X3279">
        <v>0.97386159999999999</v>
      </c>
      <c r="Y3279">
        <v>-0.39565909999999999</v>
      </c>
      <c r="Z3279">
        <v>-3.1069530000000001E-2</v>
      </c>
      <c r="AA3279">
        <v>0.91787180000000002</v>
      </c>
      <c r="AB3279">
        <v>20</v>
      </c>
      <c r="AC3279">
        <v>22.289300000000001</v>
      </c>
      <c r="AD3279">
        <v>2.6753520000000002</v>
      </c>
      <c r="AE3279">
        <v>-143.8115</v>
      </c>
      <c r="AF3279">
        <v>-57.603122521546901</v>
      </c>
      <c r="AG3279">
        <v>2.6753520000000002</v>
      </c>
      <c r="AH3279">
        <v>133.58941926457999</v>
      </c>
      <c r="AI3279">
        <v>88.946454870162398</v>
      </c>
      <c r="AJ3279">
        <v>113.32547579864701</v>
      </c>
      <c r="AK3279">
        <v>145.503986790754</v>
      </c>
      <c r="AL3279">
        <v>79.321690877460895</v>
      </c>
      <c r="AM3279">
        <v>97.682888284165799</v>
      </c>
      <c r="AN3279">
        <v>0.99999996082186404</v>
      </c>
    </row>
    <row r="3280" spans="1:40" x14ac:dyDescent="0.25">
      <c r="A3280" t="str">
        <f>"20190303170318610"</f>
        <v>20190303170318610</v>
      </c>
      <c r="B3280" t="str">
        <f>"1551603798598515"</f>
        <v>1551603798598515</v>
      </c>
      <c r="C3280" t="s">
        <v>40</v>
      </c>
      <c r="D3280">
        <v>4.2891649999999997</v>
      </c>
      <c r="E3280">
        <v>0.39322970000000002</v>
      </c>
      <c r="F3280" t="s">
        <v>77</v>
      </c>
      <c r="G3280">
        <v>-469.6087</v>
      </c>
      <c r="H3280">
        <v>3.8405</v>
      </c>
      <c r="I3280">
        <v>119.395</v>
      </c>
      <c r="J3280">
        <v>-492.51510000000002</v>
      </c>
      <c r="K3280">
        <v>1.125637</v>
      </c>
      <c r="L3280">
        <v>263.0856</v>
      </c>
      <c r="M3280">
        <v>-0.24640509999999999</v>
      </c>
      <c r="N3280">
        <v>-1.3958440000000001E-2</v>
      </c>
      <c r="O3280">
        <v>-0.9690666</v>
      </c>
      <c r="P3280">
        <v>-0.1146168</v>
      </c>
      <c r="Q3280">
        <v>0.1724927</v>
      </c>
      <c r="R3280">
        <v>-0.97831979999999996</v>
      </c>
      <c r="S3280">
        <v>0.49615480000000001</v>
      </c>
      <c r="T3280">
        <v>5.8871149999999997E-2</v>
      </c>
      <c r="U3280">
        <v>-3.1185299999999998</v>
      </c>
      <c r="V3280">
        <v>-0.13170200000000001</v>
      </c>
      <c r="W3280">
        <v>0.1849075</v>
      </c>
      <c r="X3280">
        <v>0.97389110000000001</v>
      </c>
      <c r="Y3280">
        <v>-0.39557789999999998</v>
      </c>
      <c r="Z3280">
        <v>-3.1351179999999999E-2</v>
      </c>
      <c r="AA3280">
        <v>0.91789719999999997</v>
      </c>
      <c r="AB3280">
        <v>20</v>
      </c>
      <c r="AC3280">
        <v>22.906400000000001</v>
      </c>
      <c r="AD3280">
        <v>2.7148629999999998</v>
      </c>
      <c r="AE3280">
        <v>-143.69059999999999</v>
      </c>
      <c r="AF3280">
        <v>-57.589476658386403</v>
      </c>
      <c r="AG3280">
        <v>2.7148629999999998</v>
      </c>
      <c r="AH3280">
        <v>133.56799990783699</v>
      </c>
      <c r="AI3280">
        <v>88.930714911498498</v>
      </c>
      <c r="AJ3280">
        <v>113.323880657462</v>
      </c>
      <c r="AK3280">
        <v>145.47965116220101</v>
      </c>
      <c r="AL3280">
        <v>79.3442609087938</v>
      </c>
      <c r="AM3280">
        <v>97.701545904905004</v>
      </c>
      <c r="AN3280">
        <v>1.00000003750972</v>
      </c>
    </row>
    <row r="3281" spans="1:40" x14ac:dyDescent="0.25">
      <c r="A3281" t="str">
        <f>"20190303170318621"</f>
        <v>20190303170318621</v>
      </c>
      <c r="B3281" t="str">
        <f>"1551603798608275"</f>
        <v>1551603798608275</v>
      </c>
      <c r="C3281" t="s">
        <v>40</v>
      </c>
      <c r="D3281">
        <v>4.3082529999999997</v>
      </c>
      <c r="E3281">
        <v>0.3931095</v>
      </c>
      <c r="F3281" t="s">
        <v>77</v>
      </c>
      <c r="G3281">
        <v>-468.86149999999998</v>
      </c>
      <c r="H3281">
        <v>3.8866480000000001</v>
      </c>
      <c r="I3281">
        <v>119.395</v>
      </c>
      <c r="J3281">
        <v>-492.53489999999999</v>
      </c>
      <c r="K3281">
        <v>1.1256010000000001</v>
      </c>
      <c r="L3281">
        <v>262.99220000000003</v>
      </c>
      <c r="M3281">
        <v>-0.24317569999999999</v>
      </c>
      <c r="N3281">
        <v>-1.395338E-2</v>
      </c>
      <c r="O3281">
        <v>-0.96988209999999997</v>
      </c>
      <c r="P3281">
        <v>-0.11152819999999999</v>
      </c>
      <c r="Q3281">
        <v>0.1717996</v>
      </c>
      <c r="R3281">
        <v>-0.97879890000000003</v>
      </c>
      <c r="S3281">
        <v>0.51293949999999999</v>
      </c>
      <c r="T3281">
        <v>5.9875009999999999E-2</v>
      </c>
      <c r="U3281">
        <v>-3.116028</v>
      </c>
      <c r="V3281">
        <v>-0.1315395</v>
      </c>
      <c r="W3281">
        <v>0.18422379999999999</v>
      </c>
      <c r="X3281">
        <v>0.97404259999999998</v>
      </c>
      <c r="Y3281">
        <v>-0.39744960000000001</v>
      </c>
      <c r="Z3281">
        <v>-3.1665409999999998E-2</v>
      </c>
      <c r="AA3281">
        <v>0.91707749999999999</v>
      </c>
      <c r="AB3281">
        <v>20</v>
      </c>
      <c r="AC3281">
        <v>23.673400000000001</v>
      </c>
      <c r="AD3281">
        <v>2.761047</v>
      </c>
      <c r="AE3281">
        <v>-143.59719999999999</v>
      </c>
      <c r="AF3281">
        <v>-57.864553327159904</v>
      </c>
      <c r="AG3281">
        <v>2.761047</v>
      </c>
      <c r="AH3281">
        <v>133.48048790035901</v>
      </c>
      <c r="AI3281">
        <v>88.912744533317905</v>
      </c>
      <c r="AJ3281">
        <v>113.43700722899101</v>
      </c>
      <c r="AK3281">
        <v>145.50934871136599</v>
      </c>
      <c r="AL3281">
        <v>79.384118569395596</v>
      </c>
      <c r="AM3281">
        <v>97.690975126187595</v>
      </c>
      <c r="AN3281">
        <v>1.00000001758072</v>
      </c>
    </row>
    <row r="3282" spans="1:40" x14ac:dyDescent="0.25">
      <c r="A3282" t="str">
        <f>"20190303170318632"</f>
        <v>20190303170318632</v>
      </c>
      <c r="B3282" t="str">
        <f>"1551603798628771"</f>
        <v>1551603798628771</v>
      </c>
      <c r="C3282" t="s">
        <v>40</v>
      </c>
      <c r="D3282">
        <v>4.2950189999999999</v>
      </c>
      <c r="E3282">
        <v>0.39328990000000003</v>
      </c>
      <c r="F3282" t="s">
        <v>77</v>
      </c>
      <c r="G3282">
        <v>-468.38330000000002</v>
      </c>
      <c r="H3282">
        <v>3.840322</v>
      </c>
      <c r="I3282">
        <v>119.395</v>
      </c>
      <c r="J3282">
        <v>-492.55599999999998</v>
      </c>
      <c r="K3282">
        <v>1.125559</v>
      </c>
      <c r="L3282">
        <v>262.89159999999998</v>
      </c>
      <c r="M3282">
        <v>-0.23971310000000001</v>
      </c>
      <c r="N3282">
        <v>-1.394777E-2</v>
      </c>
      <c r="O3282">
        <v>-0.97074369999999999</v>
      </c>
      <c r="P3282">
        <v>-0.1082058</v>
      </c>
      <c r="Q3282">
        <v>0.17074729999999999</v>
      </c>
      <c r="R3282">
        <v>-0.9793558</v>
      </c>
      <c r="S3282">
        <v>0.52380369999999998</v>
      </c>
      <c r="T3282">
        <v>5.8878300000000001E-2</v>
      </c>
      <c r="U3282">
        <v>-3.1143800000000001</v>
      </c>
      <c r="V3282">
        <v>-0.13138620000000001</v>
      </c>
      <c r="W3282">
        <v>0.18318229999999999</v>
      </c>
      <c r="X3282">
        <v>0.97425969999999995</v>
      </c>
      <c r="Y3282">
        <v>-0.39736650000000001</v>
      </c>
      <c r="Z3282">
        <v>-3.1400360000000002E-2</v>
      </c>
      <c r="AA3282">
        <v>0.91712260000000001</v>
      </c>
      <c r="AB3282">
        <v>20</v>
      </c>
      <c r="AC3282">
        <v>24.172699999999899</v>
      </c>
      <c r="AD3282">
        <v>2.714763</v>
      </c>
      <c r="AE3282">
        <v>-143.4966</v>
      </c>
      <c r="AF3282">
        <v>-57.848999557750197</v>
      </c>
      <c r="AG3282">
        <v>2.714763</v>
      </c>
      <c r="AH3282">
        <v>133.470426320737</v>
      </c>
      <c r="AI3282">
        <v>88.930852879259902</v>
      </c>
      <c r="AJ3282">
        <v>113.43296268635901</v>
      </c>
      <c r="AK3282">
        <v>145.493063031259</v>
      </c>
      <c r="AL3282">
        <v>79.444825332920303</v>
      </c>
      <c r="AM3282">
        <v>97.680427519286496</v>
      </c>
      <c r="AN3282">
        <v>1.0000000258138999</v>
      </c>
    </row>
    <row r="3283" spans="1:40" x14ac:dyDescent="0.25">
      <c r="A3283" t="str">
        <f>"20190303170318644"</f>
        <v>20190303170318644</v>
      </c>
      <c r="B3283" t="str">
        <f>"1551603798638531"</f>
        <v>1551603798638531</v>
      </c>
      <c r="C3283" t="s">
        <v>40</v>
      </c>
      <c r="D3283">
        <v>4.2987880000000001</v>
      </c>
      <c r="E3283">
        <v>0.3934204</v>
      </c>
      <c r="F3283" t="s">
        <v>77</v>
      </c>
      <c r="G3283">
        <v>-467.9984</v>
      </c>
      <c r="H3283">
        <v>3.683233</v>
      </c>
      <c r="I3283">
        <v>119.395</v>
      </c>
      <c r="J3283">
        <v>-492.5761</v>
      </c>
      <c r="K3283">
        <v>1.1255139999999999</v>
      </c>
      <c r="L3283">
        <v>262.79329999999999</v>
      </c>
      <c r="M3283">
        <v>-0.23637559999999999</v>
      </c>
      <c r="N3283">
        <v>-1.3941449999999999E-2</v>
      </c>
      <c r="O3283">
        <v>-0.97156169999999997</v>
      </c>
      <c r="P3283">
        <v>-0.1050241</v>
      </c>
      <c r="Q3283">
        <v>0.169936</v>
      </c>
      <c r="R3283">
        <v>-0.97984289999999996</v>
      </c>
      <c r="S3283">
        <v>0.53265379999999996</v>
      </c>
      <c r="T3283">
        <v>5.5476900000000003E-2</v>
      </c>
      <c r="U3283">
        <v>-3.112457</v>
      </c>
      <c r="V3283">
        <v>-0.13120860000000001</v>
      </c>
      <c r="W3283">
        <v>0.18238199999999999</v>
      </c>
      <c r="X3283">
        <v>0.97443369999999996</v>
      </c>
      <c r="Y3283">
        <v>-0.3968428</v>
      </c>
      <c r="Z3283">
        <v>-3.0433330000000001E-2</v>
      </c>
      <c r="AA3283">
        <v>0.91738189999999997</v>
      </c>
      <c r="AB3283">
        <v>20</v>
      </c>
      <c r="AC3283">
        <v>24.5777</v>
      </c>
      <c r="AD3283">
        <v>2.5577190000000001</v>
      </c>
      <c r="AE3283">
        <v>-143.39830000000001</v>
      </c>
      <c r="AF3283">
        <v>-57.762376756807001</v>
      </c>
      <c r="AG3283">
        <v>2.5577190000000001</v>
      </c>
      <c r="AH3283">
        <v>133.482455108056</v>
      </c>
      <c r="AI3283">
        <v>88.992525983887205</v>
      </c>
      <c r="AJ3283">
        <v>113.399768750108</v>
      </c>
      <c r="AK3283">
        <v>145.46683442198201</v>
      </c>
      <c r="AL3283">
        <v>79.491464195257393</v>
      </c>
      <c r="AM3283">
        <v>97.668815927480097</v>
      </c>
      <c r="AN3283">
        <v>0.99999996316682405</v>
      </c>
    </row>
    <row r="3284" spans="1:40" x14ac:dyDescent="0.25">
      <c r="A3284" t="str">
        <f>"20190303170318657"</f>
        <v>20190303170318657</v>
      </c>
      <c r="B3284" t="str">
        <f>"1551603798648291"</f>
        <v>1551603798648291</v>
      </c>
      <c r="C3284" t="s">
        <v>40</v>
      </c>
      <c r="D3284">
        <v>4.2979120000000002</v>
      </c>
      <c r="E3284">
        <v>0.39361740000000001</v>
      </c>
      <c r="F3284" t="s">
        <v>77</v>
      </c>
      <c r="G3284">
        <v>-467.61009999999999</v>
      </c>
      <c r="H3284">
        <v>3.5559590000000001</v>
      </c>
      <c r="I3284">
        <v>119.395</v>
      </c>
      <c r="J3284">
        <v>-492.59739999999999</v>
      </c>
      <c r="K3284">
        <v>1.125459</v>
      </c>
      <c r="L3284">
        <v>262.68889999999999</v>
      </c>
      <c r="M3284">
        <v>-0.2328432</v>
      </c>
      <c r="N3284">
        <v>-1.39347E-2</v>
      </c>
      <c r="O3284">
        <v>-0.97241460000000002</v>
      </c>
      <c r="P3284">
        <v>-0.1016508</v>
      </c>
      <c r="Q3284">
        <v>0.16950489999999999</v>
      </c>
      <c r="R3284">
        <v>-0.98027319999999996</v>
      </c>
      <c r="S3284">
        <v>0.54156490000000002</v>
      </c>
      <c r="T3284">
        <v>5.2722329999999998E-2</v>
      </c>
      <c r="U3284">
        <v>-3.1106259999999999</v>
      </c>
      <c r="V3284">
        <v>-0.13101409999999999</v>
      </c>
      <c r="W3284">
        <v>0.1819624</v>
      </c>
      <c r="X3284">
        <v>0.97453829999999997</v>
      </c>
      <c r="Y3284">
        <v>-0.39615060000000002</v>
      </c>
      <c r="Z3284">
        <v>-2.965195E-2</v>
      </c>
      <c r="AA3284">
        <v>0.91770660000000004</v>
      </c>
      <c r="AB3284">
        <v>20</v>
      </c>
      <c r="AC3284">
        <v>24.987300000000001</v>
      </c>
      <c r="AD3284">
        <v>2.4304999999999901</v>
      </c>
      <c r="AE3284">
        <v>-143.29390000000001</v>
      </c>
      <c r="AF3284">
        <v>-57.652519499883603</v>
      </c>
      <c r="AG3284">
        <v>2.4304999999999901</v>
      </c>
      <c r="AH3284">
        <v>133.49863002886201</v>
      </c>
      <c r="AI3284">
        <v>89.042438192104001</v>
      </c>
      <c r="AJ3284">
        <v>113.35751234004999</v>
      </c>
      <c r="AK3284">
        <v>145.435912189932</v>
      </c>
      <c r="AL3284">
        <v>79.515914544137004</v>
      </c>
      <c r="AM3284">
        <v>97.656770716042402</v>
      </c>
      <c r="AN3284">
        <v>0.99999995378972895</v>
      </c>
    </row>
    <row r="3285" spans="1:40" x14ac:dyDescent="0.25">
      <c r="A3285" t="str">
        <f>"20190303170318667"</f>
        <v>20190303170318667</v>
      </c>
      <c r="B3285" t="str">
        <f>"1551603798659028"</f>
        <v>1551603798659028</v>
      </c>
      <c r="C3285" t="s">
        <v>40</v>
      </c>
      <c r="D3285">
        <v>4.30558</v>
      </c>
      <c r="E3285">
        <v>0.39378459999999899</v>
      </c>
      <c r="F3285" t="s">
        <v>77</v>
      </c>
      <c r="G3285">
        <v>-467.21839999999997</v>
      </c>
      <c r="H3285">
        <v>3.4889429999999999</v>
      </c>
      <c r="I3285">
        <v>119.395</v>
      </c>
      <c r="J3285">
        <v>-492.61689999999999</v>
      </c>
      <c r="K3285">
        <v>1.125408</v>
      </c>
      <c r="L3285">
        <v>262.59050000000002</v>
      </c>
      <c r="M3285">
        <v>-0.22956550000000001</v>
      </c>
      <c r="N3285">
        <v>-1.392764E-2</v>
      </c>
      <c r="O3285">
        <v>-0.97319359999999999</v>
      </c>
      <c r="P3285">
        <v>-9.8881179999999999E-2</v>
      </c>
      <c r="Q3285">
        <v>0.169103799999999</v>
      </c>
      <c r="R3285">
        <v>-0.98062550000000004</v>
      </c>
      <c r="S3285">
        <v>0.55056759999999905</v>
      </c>
      <c r="T3285">
        <v>5.1273939999999997E-2</v>
      </c>
      <c r="U3285">
        <v>-3.1086119999999999</v>
      </c>
      <c r="V3285">
        <v>-0.1304747</v>
      </c>
      <c r="W3285">
        <v>0.18157509999999999</v>
      </c>
      <c r="X3285">
        <v>0.97468290000000002</v>
      </c>
      <c r="Y3285">
        <v>-0.3957367</v>
      </c>
      <c r="Z3285">
        <v>-2.9248239999999998E-2</v>
      </c>
      <c r="AA3285">
        <v>0.91789810000000005</v>
      </c>
      <c r="AB3285">
        <v>20</v>
      </c>
      <c r="AC3285">
        <v>25.398499999999999</v>
      </c>
      <c r="AD3285">
        <v>2.3635350000000002</v>
      </c>
      <c r="AE3285">
        <v>-143.19550000000001</v>
      </c>
      <c r="AF3285">
        <v>-57.580779707611299</v>
      </c>
      <c r="AG3285">
        <v>2.3635350000000002</v>
      </c>
      <c r="AH3285">
        <v>133.50400990341299</v>
      </c>
      <c r="AI3285">
        <v>89.068665767176597</v>
      </c>
      <c r="AJ3285">
        <v>113.330717590433</v>
      </c>
      <c r="AK3285">
        <v>145.41132400787501</v>
      </c>
      <c r="AL3285">
        <v>79.538481195464499</v>
      </c>
      <c r="AM3285">
        <v>97.624500621579003</v>
      </c>
      <c r="AN3285">
        <v>0.99999995991625401</v>
      </c>
    </row>
    <row r="3286" spans="1:40" x14ac:dyDescent="0.25">
      <c r="A3286" t="str">
        <f>"20190303170318678"</f>
        <v>20190303170318678</v>
      </c>
      <c r="B3286" t="str">
        <f>"1551603798668787"</f>
        <v>1551603798668787</v>
      </c>
      <c r="C3286" t="s">
        <v>40</v>
      </c>
      <c r="D3286">
        <v>4.2616160000000001</v>
      </c>
      <c r="E3286">
        <v>0.39401409999999998</v>
      </c>
      <c r="F3286" t="s">
        <v>77</v>
      </c>
      <c r="G3286">
        <v>-466.8698</v>
      </c>
      <c r="H3286">
        <v>3.4593129999999999</v>
      </c>
      <c r="I3286">
        <v>119.395</v>
      </c>
      <c r="J3286">
        <v>-492.63490000000002</v>
      </c>
      <c r="K3286">
        <v>1.1253649999999999</v>
      </c>
      <c r="L3286">
        <v>262.49880000000002</v>
      </c>
      <c r="M3286">
        <v>-0.22652530000000001</v>
      </c>
      <c r="N3286">
        <v>-1.392113E-2</v>
      </c>
      <c r="O3286">
        <v>-0.97390589999999999</v>
      </c>
      <c r="P3286">
        <v>-9.6387169999999994E-2</v>
      </c>
      <c r="Q3286">
        <v>0.16870060000000001</v>
      </c>
      <c r="R3286">
        <v>-0.98094360000000003</v>
      </c>
      <c r="S3286">
        <v>0.55862429999999996</v>
      </c>
      <c r="T3286">
        <v>5.0638679999999998E-2</v>
      </c>
      <c r="U3286">
        <v>-3.1068730000000002</v>
      </c>
      <c r="V3286">
        <v>-0.1299014</v>
      </c>
      <c r="W3286">
        <v>0.18118590000000001</v>
      </c>
      <c r="X3286">
        <v>0.97483189999999997</v>
      </c>
      <c r="Y3286">
        <v>-0.39526430000000001</v>
      </c>
      <c r="Z3286">
        <v>-2.9079600000000001E-2</v>
      </c>
      <c r="AA3286">
        <v>0.91810700000000001</v>
      </c>
      <c r="AB3286">
        <v>20</v>
      </c>
      <c r="AC3286">
        <v>25.7651</v>
      </c>
      <c r="AD3286">
        <v>2.3339479999999999</v>
      </c>
      <c r="AE3286">
        <v>-143.10380000000001</v>
      </c>
      <c r="AF3286">
        <v>-57.500166708610301</v>
      </c>
      <c r="AG3286">
        <v>2.3339479999999999</v>
      </c>
      <c r="AH3286">
        <v>133.51171620275801</v>
      </c>
      <c r="AI3286">
        <v>89.080165243143796</v>
      </c>
      <c r="AJ3286">
        <v>113.300339420547</v>
      </c>
      <c r="AK3286">
        <v>145.38602012638799</v>
      </c>
      <c r="AL3286">
        <v>79.561156927328</v>
      </c>
      <c r="AM3286">
        <v>97.590243665657496</v>
      </c>
      <c r="AN3286">
        <v>0.99999996866918905</v>
      </c>
    </row>
    <row r="3287" spans="1:40" x14ac:dyDescent="0.25">
      <c r="A3287" t="str">
        <f>"20190303170318689"</f>
        <v>20190303170318689</v>
      </c>
      <c r="B3287" t="str">
        <f>"1551603798678548"</f>
        <v>1551603798678548</v>
      </c>
      <c r="C3287" t="s">
        <v>40</v>
      </c>
      <c r="D3287">
        <v>4.2979019999999997</v>
      </c>
      <c r="E3287">
        <v>0.3941654</v>
      </c>
      <c r="F3287" t="s">
        <v>76</v>
      </c>
      <c r="G3287">
        <v>-474.17140000000001</v>
      </c>
      <c r="H3287">
        <v>2.7568450000000002</v>
      </c>
      <c r="I3287">
        <v>160.9649</v>
      </c>
      <c r="J3287">
        <v>-492.65390000000002</v>
      </c>
      <c r="K3287">
        <v>1.125318</v>
      </c>
      <c r="L3287">
        <v>262.40010000000001</v>
      </c>
      <c r="M3287">
        <v>-0.22328890000000001</v>
      </c>
      <c r="N3287">
        <v>-1.391383E-2</v>
      </c>
      <c r="O3287">
        <v>-0.97465290000000004</v>
      </c>
      <c r="P3287">
        <v>-9.371438E-2</v>
      </c>
      <c r="Q3287">
        <v>0.1683579</v>
      </c>
      <c r="R3287">
        <v>-0.98126100000000005</v>
      </c>
      <c r="S3287">
        <v>0.56466669999999997</v>
      </c>
      <c r="T3287">
        <v>4.9895290000000002E-2</v>
      </c>
      <c r="U3287">
        <v>-3.105194</v>
      </c>
      <c r="V3287">
        <v>-0.12930829999999999</v>
      </c>
      <c r="W3287">
        <v>0.18085709999999999</v>
      </c>
      <c r="X3287">
        <v>0.97497180000000006</v>
      </c>
      <c r="Y3287">
        <v>-0.39402979999999999</v>
      </c>
      <c r="Z3287">
        <v>-2.8880369999999999E-2</v>
      </c>
      <c r="AA3287">
        <v>0.91864380000000001</v>
      </c>
      <c r="AB3287">
        <v>20</v>
      </c>
      <c r="AC3287">
        <v>18.482500000000002</v>
      </c>
      <c r="AD3287">
        <v>1.6315269999999999</v>
      </c>
      <c r="AE3287">
        <v>-101.43519999999999</v>
      </c>
      <c r="AF3287">
        <v>-40.657136772796498</v>
      </c>
      <c r="AG3287">
        <v>1.6315269999999999</v>
      </c>
      <c r="AH3287">
        <v>94.722637594854007</v>
      </c>
      <c r="AI3287">
        <v>89.093206533510696</v>
      </c>
      <c r="AJ3287">
        <v>113.230123493362</v>
      </c>
      <c r="AK3287">
        <v>103.09239896248199</v>
      </c>
      <c r="AL3287">
        <v>79.580312245415399</v>
      </c>
      <c r="AM3287">
        <v>97.554917970970195</v>
      </c>
      <c r="AN3287">
        <v>0.99999996893226895</v>
      </c>
    </row>
    <row r="3288" spans="1:40" x14ac:dyDescent="0.25">
      <c r="A3288" t="str">
        <f>"20190303170318702"</f>
        <v>20190303170318702</v>
      </c>
      <c r="B3288" t="str">
        <f>"1551603798699043"</f>
        <v>1551603798699043</v>
      </c>
      <c r="C3288" t="s">
        <v>40</v>
      </c>
      <c r="D3288">
        <v>4.2884409999999997</v>
      </c>
      <c r="E3288">
        <v>0.39414440000000001</v>
      </c>
      <c r="F3288" t="s">
        <v>76</v>
      </c>
      <c r="G3288">
        <v>-474.17140000000001</v>
      </c>
      <c r="H3288">
        <v>2.7342979999999999</v>
      </c>
      <c r="I3288">
        <v>162.05350000000001</v>
      </c>
      <c r="J3288">
        <v>-492.67399999999998</v>
      </c>
      <c r="K3288">
        <v>1.125267</v>
      </c>
      <c r="L3288">
        <v>262.29430000000002</v>
      </c>
      <c r="M3288">
        <v>-0.21985489999999999</v>
      </c>
      <c r="N3288">
        <v>-1.390598E-2</v>
      </c>
      <c r="O3288">
        <v>-0.97543360000000001</v>
      </c>
      <c r="P3288">
        <v>-9.0692389999999998E-2</v>
      </c>
      <c r="Q3288">
        <v>0.16825999999999999</v>
      </c>
      <c r="R3288">
        <v>-0.98156200000000005</v>
      </c>
      <c r="S3288">
        <v>0.57159419999999905</v>
      </c>
      <c r="T3288">
        <v>4.975951E-2</v>
      </c>
      <c r="U3288">
        <v>-3.1033330000000001</v>
      </c>
      <c r="V3288">
        <v>-0.1288571</v>
      </c>
      <c r="W3288">
        <v>0.18077090000000001</v>
      </c>
      <c r="X3288">
        <v>0.97504760000000001</v>
      </c>
      <c r="Y3288">
        <v>-0.39287369999999999</v>
      </c>
      <c r="Z3288">
        <v>-2.8859880000000001E-2</v>
      </c>
      <c r="AA3288">
        <v>0.91913940000000005</v>
      </c>
      <c r="AB3288">
        <v>20</v>
      </c>
      <c r="AC3288">
        <v>18.502600000000001</v>
      </c>
      <c r="AD3288">
        <v>1.6090310000000001</v>
      </c>
      <c r="AE3288">
        <v>-100.24079999999999</v>
      </c>
      <c r="AF3288">
        <v>-40.080373310572597</v>
      </c>
      <c r="AG3288">
        <v>1.6090310000000001</v>
      </c>
      <c r="AH3288">
        <v>93.696060961955496</v>
      </c>
      <c r="AI3288">
        <v>89.095435389985795</v>
      </c>
      <c r="AJ3288">
        <v>113.15979087942399</v>
      </c>
      <c r="AK3288">
        <v>101.92142633058199</v>
      </c>
      <c r="AL3288">
        <v>79.585334728016406</v>
      </c>
      <c r="AM3288">
        <v>97.528280679878904</v>
      </c>
      <c r="AN3288">
        <v>1.00000004638648</v>
      </c>
    </row>
    <row r="3289" spans="1:40" x14ac:dyDescent="0.25">
      <c r="A3289" t="str">
        <f>"20190303170318720"</f>
        <v>20190303170318720</v>
      </c>
      <c r="B3289" t="str">
        <f>"1551603798708803"</f>
        <v>1551603798708803</v>
      </c>
      <c r="C3289" t="s">
        <v>40</v>
      </c>
      <c r="D3289">
        <v>4.345472</v>
      </c>
      <c r="E3289">
        <v>0.37681799999999999</v>
      </c>
      <c r="F3289" t="s">
        <v>76</v>
      </c>
      <c r="G3289">
        <v>-474.17140000000001</v>
      </c>
      <c r="H3289">
        <v>2.7229009999999998</v>
      </c>
      <c r="I3289">
        <v>163.5343</v>
      </c>
      <c r="J3289">
        <v>-492.70179999999999</v>
      </c>
      <c r="K3289">
        <v>1.125202</v>
      </c>
      <c r="L3289">
        <v>262.14510000000001</v>
      </c>
      <c r="M3289">
        <v>-0.21507029999999999</v>
      </c>
      <c r="N3289">
        <v>-1.389488E-2</v>
      </c>
      <c r="O3289">
        <v>-0.97649989999999998</v>
      </c>
      <c r="P3289">
        <v>-8.6523790000000003E-2</v>
      </c>
      <c r="Q3289">
        <v>0.16768720000000001</v>
      </c>
      <c r="R3289">
        <v>-0.98203609999999997</v>
      </c>
      <c r="S3289">
        <v>0.58105469999999904</v>
      </c>
      <c r="T3289">
        <v>5.0171849999999997E-2</v>
      </c>
      <c r="U3289">
        <v>-3.1014400000000002</v>
      </c>
      <c r="V3289">
        <v>-0.12820309999999999</v>
      </c>
      <c r="W3289">
        <v>0.1802155</v>
      </c>
      <c r="X3289">
        <v>0.97523649999999995</v>
      </c>
      <c r="Y3289">
        <v>-0.39117449999999998</v>
      </c>
      <c r="Z3289">
        <v>-2.9004820000000001E-2</v>
      </c>
      <c r="AA3289">
        <v>0.91985930000000005</v>
      </c>
      <c r="AB3289">
        <v>20</v>
      </c>
      <c r="AC3289">
        <v>18.530399999999901</v>
      </c>
      <c r="AD3289">
        <v>1.59769899999999</v>
      </c>
      <c r="AE3289">
        <v>-98.610799999999998</v>
      </c>
      <c r="AF3289">
        <v>-39.2970118204057</v>
      </c>
      <c r="AG3289">
        <v>1.59769899999999</v>
      </c>
      <c r="AH3289">
        <v>92.2935919749372</v>
      </c>
      <c r="AI3289">
        <v>89.087504142917695</v>
      </c>
      <c r="AJ3289">
        <v>113.063464209316</v>
      </c>
      <c r="AK3289">
        <v>100.324049458461</v>
      </c>
      <c r="AL3289">
        <v>79.6176871156473</v>
      </c>
      <c r="AM3289">
        <v>97.489072269739594</v>
      </c>
      <c r="AN3289">
        <v>0.99999994611105303</v>
      </c>
    </row>
    <row r="3290" spans="1:40" x14ac:dyDescent="0.25">
      <c r="A3290" t="str">
        <f>"20190303170318733"</f>
        <v>20190303170318733</v>
      </c>
      <c r="B3290" t="str">
        <f>"1551603798728324"</f>
        <v>1551603798728324</v>
      </c>
      <c r="C3290" t="s">
        <v>40</v>
      </c>
      <c r="D3290">
        <v>4.2694219999999996</v>
      </c>
      <c r="E3290">
        <v>0.36503809999999998</v>
      </c>
      <c r="F3290" t="s">
        <v>76</v>
      </c>
      <c r="G3290">
        <v>-473.59699999999998</v>
      </c>
      <c r="H3290">
        <v>3.0504169999999999</v>
      </c>
      <c r="I3290">
        <v>180.99950000000001</v>
      </c>
      <c r="J3290">
        <v>-492.72320000000002</v>
      </c>
      <c r="K3290">
        <v>1.125148</v>
      </c>
      <c r="L3290">
        <v>262.02730000000003</v>
      </c>
      <c r="M3290">
        <v>-0.2113429</v>
      </c>
      <c r="N3290">
        <v>-1.3886010000000001E-2</v>
      </c>
      <c r="O3290">
        <v>-0.9773134</v>
      </c>
      <c r="P3290">
        <v>-8.2785070000000002E-2</v>
      </c>
      <c r="Q3290">
        <v>0.16744400000000001</v>
      </c>
      <c r="R3290">
        <v>-0.98239989999999999</v>
      </c>
      <c r="S3290">
        <v>0.73144529999999996</v>
      </c>
      <c r="T3290">
        <v>7.3709010000000005E-2</v>
      </c>
      <c r="U3290">
        <v>-3.1067499999999999</v>
      </c>
      <c r="V3290">
        <v>-0.1281785</v>
      </c>
      <c r="W3290">
        <v>0.1799801</v>
      </c>
      <c r="X3290">
        <v>0.97528329999999996</v>
      </c>
      <c r="Y3290">
        <v>-0.4296084</v>
      </c>
      <c r="Z3290">
        <v>-3.5693469999999998E-2</v>
      </c>
      <c r="AA3290">
        <v>0.90230969999999999</v>
      </c>
      <c r="AB3290">
        <v>20</v>
      </c>
      <c r="AC3290">
        <v>19.126200000000001</v>
      </c>
      <c r="AD3290">
        <v>1.9252689999999999</v>
      </c>
      <c r="AE3290">
        <v>-81.027799999999999</v>
      </c>
      <c r="AF3290">
        <v>-35.801247749542902</v>
      </c>
      <c r="AG3290">
        <v>1.9252689999999999</v>
      </c>
      <c r="AH3290">
        <v>75.114440554451207</v>
      </c>
      <c r="AI3290">
        <v>88.674557448064505</v>
      </c>
      <c r="AJ3290">
        <v>115.483528890908</v>
      </c>
      <c r="AK3290">
        <v>83.232296501746802</v>
      </c>
      <c r="AL3290">
        <v>79.631399727521796</v>
      </c>
      <c r="AM3290">
        <v>97.487296324672002</v>
      </c>
      <c r="AN3290">
        <v>1.00000003975857</v>
      </c>
    </row>
    <row r="3291" spans="1:40" x14ac:dyDescent="0.25">
      <c r="A3291" t="str">
        <f>"20190303170318745"</f>
        <v>20190303170318745</v>
      </c>
      <c r="B3291" t="str">
        <f>"1551603798739060"</f>
        <v>1551603798739060</v>
      </c>
      <c r="C3291" t="s">
        <v>40</v>
      </c>
      <c r="D3291">
        <v>4.2404029999999997</v>
      </c>
      <c r="E3291">
        <v>0.36182249999999999</v>
      </c>
      <c r="F3291" t="s">
        <v>78</v>
      </c>
      <c r="G3291">
        <v>-473.6995</v>
      </c>
      <c r="H3291">
        <v>3.4436149999999999</v>
      </c>
      <c r="I3291">
        <v>191.36009999999999</v>
      </c>
      <c r="J3291">
        <v>-492.74310000000003</v>
      </c>
      <c r="K3291">
        <v>1.125102</v>
      </c>
      <c r="L3291">
        <v>261.91559999999998</v>
      </c>
      <c r="M3291">
        <v>-0.20786109999999999</v>
      </c>
      <c r="N3291">
        <v>-1.3877459999999999E-2</v>
      </c>
      <c r="O3291">
        <v>-0.97805989999999998</v>
      </c>
      <c r="P3291">
        <v>-7.9534499999999994E-2</v>
      </c>
      <c r="Q3291">
        <v>0.16692979999999999</v>
      </c>
      <c r="R3291">
        <v>-0.98275539999999995</v>
      </c>
      <c r="S3291">
        <v>0.83636469999999896</v>
      </c>
      <c r="T3291">
        <v>0.1019306</v>
      </c>
      <c r="U3291">
        <v>-3.1068120000000001</v>
      </c>
      <c r="V3291">
        <v>-0.12792590000000001</v>
      </c>
      <c r="W3291">
        <v>0.17947539999999901</v>
      </c>
      <c r="X3291">
        <v>0.97540939999999998</v>
      </c>
      <c r="Y3291">
        <v>-0.45480280000000001</v>
      </c>
      <c r="Z3291">
        <v>-4.3647640000000001E-2</v>
      </c>
      <c r="AA3291">
        <v>0.88952199999999904</v>
      </c>
      <c r="AB3291">
        <v>20</v>
      </c>
      <c r="AC3291">
        <v>19.043600000000001</v>
      </c>
      <c r="AD3291">
        <v>2.3185129999999998</v>
      </c>
      <c r="AE3291">
        <v>-70.555499999999995</v>
      </c>
      <c r="AF3291">
        <v>-33.261253942148798</v>
      </c>
      <c r="AG3291">
        <v>2.3185129999999998</v>
      </c>
      <c r="AH3291">
        <v>64.989933621064097</v>
      </c>
      <c r="AI3291">
        <v>88.181042612117494</v>
      </c>
      <c r="AJ3291">
        <v>117.102951533615</v>
      </c>
      <c r="AK3291">
        <v>73.043671788907204</v>
      </c>
      <c r="AL3291">
        <v>79.660794914373398</v>
      </c>
      <c r="AM3291">
        <v>97.471752960316095</v>
      </c>
      <c r="AN3291">
        <v>0.99999997635216398</v>
      </c>
    </row>
    <row r="3292" spans="1:40" x14ac:dyDescent="0.25">
      <c r="A3292" t="str">
        <f>"20190303170318759"</f>
        <v>20190303170318759</v>
      </c>
      <c r="B3292" t="str">
        <f>"1551603798748819"</f>
        <v>1551603798748819</v>
      </c>
      <c r="C3292" t="s">
        <v>40</v>
      </c>
      <c r="D3292">
        <v>4.2306549999999996</v>
      </c>
      <c r="E3292">
        <v>0.35943009999999997</v>
      </c>
      <c r="F3292" t="s">
        <v>78</v>
      </c>
      <c r="G3292">
        <v>-473.6995</v>
      </c>
      <c r="H3292">
        <v>3.5337010000000002</v>
      </c>
      <c r="I3292">
        <v>194.10339999999999</v>
      </c>
      <c r="J3292">
        <v>-492.76409999999998</v>
      </c>
      <c r="K3292">
        <v>1.1250519999999999</v>
      </c>
      <c r="L3292">
        <v>261.79590000000002</v>
      </c>
      <c r="M3292">
        <v>-0.2041588</v>
      </c>
      <c r="N3292">
        <v>-1.386831E-2</v>
      </c>
      <c r="O3292">
        <v>-0.97883960000000003</v>
      </c>
      <c r="P3292">
        <v>-7.6191659999999994E-2</v>
      </c>
      <c r="Q3292">
        <v>0.1664446</v>
      </c>
      <c r="R3292">
        <v>-0.98310310000000001</v>
      </c>
      <c r="S3292">
        <v>0.871826199999999</v>
      </c>
      <c r="T3292">
        <v>0.1102679</v>
      </c>
      <c r="U3292">
        <v>-3.1044619999999998</v>
      </c>
      <c r="V3292">
        <v>-0.1275432</v>
      </c>
      <c r="W3292">
        <v>0.1790011</v>
      </c>
      <c r="X3292">
        <v>0.97554669999999999</v>
      </c>
      <c r="Y3292">
        <v>-0.46101560000000003</v>
      </c>
      <c r="Z3292">
        <v>-4.6007810000000003E-2</v>
      </c>
      <c r="AA3292">
        <v>0.8861985</v>
      </c>
      <c r="AB3292">
        <v>20</v>
      </c>
      <c r="AC3292">
        <v>19.064599999999899</v>
      </c>
      <c r="AD3292">
        <v>2.408649</v>
      </c>
      <c r="AE3292">
        <v>-67.692499999999995</v>
      </c>
      <c r="AF3292">
        <v>-32.446266181264903</v>
      </c>
      <c r="AG3292">
        <v>2.408649</v>
      </c>
      <c r="AH3292">
        <v>62.3008069375011</v>
      </c>
      <c r="AI3292">
        <v>88.036097988738405</v>
      </c>
      <c r="AJ3292">
        <v>117.51050456502701</v>
      </c>
      <c r="AK3292">
        <v>70.284794402306403</v>
      </c>
      <c r="AL3292">
        <v>79.688418013917598</v>
      </c>
      <c r="AM3292">
        <v>97.448615381686807</v>
      </c>
      <c r="AN3292">
        <v>1.0000000127741699</v>
      </c>
    </row>
    <row r="3293" spans="1:40" x14ac:dyDescent="0.25">
      <c r="A3293" t="str">
        <f>"20190303170318775"</f>
        <v>20190303170318775</v>
      </c>
      <c r="B3293" t="str">
        <f>"1551603798768340"</f>
        <v>1551603798768340</v>
      </c>
      <c r="C3293" t="s">
        <v>40</v>
      </c>
      <c r="D3293">
        <v>4.2853940000000001</v>
      </c>
      <c r="E3293">
        <v>0.35661799999999999</v>
      </c>
      <c r="F3293" t="s">
        <v>45</v>
      </c>
      <c r="G3293">
        <v>-476.48849999999999</v>
      </c>
      <c r="H3293">
        <v>3.2224360000000001</v>
      </c>
      <c r="I3293">
        <v>205.8073</v>
      </c>
      <c r="J3293">
        <v>-492.78730000000002</v>
      </c>
      <c r="K3293">
        <v>1.124994</v>
      </c>
      <c r="L3293">
        <v>261.66120000000001</v>
      </c>
      <c r="M3293">
        <v>-0.20004830000000001</v>
      </c>
      <c r="N3293">
        <v>-1.385788E-2</v>
      </c>
      <c r="O3293">
        <v>-0.979688</v>
      </c>
      <c r="P3293">
        <v>-7.2671860000000005E-2</v>
      </c>
      <c r="Q3293">
        <v>0.16600770000000001</v>
      </c>
      <c r="R3293">
        <v>-0.98344310000000001</v>
      </c>
      <c r="S3293">
        <v>0.90167240000000004</v>
      </c>
      <c r="T3293">
        <v>0.1161954</v>
      </c>
      <c r="U3293">
        <v>-3.1017760000000001</v>
      </c>
      <c r="V3293">
        <v>-0.12692600000000001</v>
      </c>
      <c r="W3293">
        <v>0.17857790000000001</v>
      </c>
      <c r="X3293">
        <v>0.97570469999999998</v>
      </c>
      <c r="Y3293">
        <v>-0.46535169999999998</v>
      </c>
      <c r="Z3293">
        <v>-4.7695510000000003E-2</v>
      </c>
      <c r="AA3293">
        <v>0.88383979999999995</v>
      </c>
      <c r="AB3293">
        <v>20</v>
      </c>
      <c r="AC3293">
        <v>16.2988</v>
      </c>
      <c r="AD3293">
        <v>2.097442</v>
      </c>
      <c r="AE3293">
        <v>-55.853900000000003</v>
      </c>
      <c r="AF3293">
        <v>-27.108595760141998</v>
      </c>
      <c r="AG3293">
        <v>2.097442</v>
      </c>
      <c r="AH3293">
        <v>51.397000474194698</v>
      </c>
      <c r="AI3293">
        <v>87.932769365680699</v>
      </c>
      <c r="AJ3293">
        <v>117.808749680581</v>
      </c>
      <c r="AK3293">
        <v>58.145738319970903</v>
      </c>
      <c r="AL3293">
        <v>79.713062220502493</v>
      </c>
      <c r="AM3293">
        <v>97.411785247594395</v>
      </c>
      <c r="AN3293">
        <v>0.99999996872324903</v>
      </c>
    </row>
    <row r="3294" spans="1:40" x14ac:dyDescent="0.25">
      <c r="A3294" t="str">
        <f>"20190303170318785"</f>
        <v>20190303170318785</v>
      </c>
      <c r="B3294" t="str">
        <f>"1551603798779075"</f>
        <v>1551603798779075</v>
      </c>
      <c r="C3294" t="s">
        <v>40</v>
      </c>
      <c r="D3294">
        <v>4.2797029999999996</v>
      </c>
      <c r="E3294">
        <v>0.35589860000000001</v>
      </c>
      <c r="F3294" t="s">
        <v>78</v>
      </c>
      <c r="G3294">
        <v>-473.13780000000003</v>
      </c>
      <c r="H3294">
        <v>3.7744749999999998</v>
      </c>
      <c r="I3294">
        <v>196.565</v>
      </c>
      <c r="J3294">
        <v>-492.80380000000002</v>
      </c>
      <c r="K3294">
        <v>1.1249499999999999</v>
      </c>
      <c r="L3294">
        <v>261.56240000000003</v>
      </c>
      <c r="M3294">
        <v>-0.19708909999999999</v>
      </c>
      <c r="N3294">
        <v>-1.384896E-2</v>
      </c>
      <c r="O3294">
        <v>-0.98028800000000005</v>
      </c>
      <c r="P3294">
        <v>-6.9510329999999995E-2</v>
      </c>
      <c r="Q3294">
        <v>0.16589329999999999</v>
      </c>
      <c r="R3294">
        <v>-0.98369119999999999</v>
      </c>
      <c r="S3294">
        <v>0.93524169999999995</v>
      </c>
      <c r="T3294">
        <v>0.12610669999999999</v>
      </c>
      <c r="U3294">
        <v>-3.098328</v>
      </c>
      <c r="V3294">
        <v>-0.1271012</v>
      </c>
      <c r="W3294">
        <v>0.17846619999999999</v>
      </c>
      <c r="X3294">
        <v>0.97570230000000002</v>
      </c>
      <c r="Y3294">
        <v>-0.47170240000000002</v>
      </c>
      <c r="Z3294">
        <v>-5.0494410000000003E-2</v>
      </c>
      <c r="AA3294">
        <v>0.88031079999999995</v>
      </c>
      <c r="AB3294">
        <v>20</v>
      </c>
      <c r="AC3294">
        <v>19.666</v>
      </c>
      <c r="AD3294">
        <v>2.6495250000000001</v>
      </c>
      <c r="AE3294">
        <v>-64.997399999999999</v>
      </c>
      <c r="AF3294">
        <v>-32.042913852848201</v>
      </c>
      <c r="AG3294">
        <v>2.6495250000000001</v>
      </c>
      <c r="AH3294">
        <v>59.754976896194698</v>
      </c>
      <c r="AI3294">
        <v>87.762240845121894</v>
      </c>
      <c r="AJ3294">
        <v>118.20191866160199</v>
      </c>
      <c r="AK3294">
        <v>67.855917757933597</v>
      </c>
      <c r="AL3294">
        <v>79.719566337086405</v>
      </c>
      <c r="AM3294">
        <v>97.421920038200199</v>
      </c>
      <c r="AN3294">
        <v>0.99999993890458305</v>
      </c>
    </row>
    <row r="3295" spans="1:40" x14ac:dyDescent="0.25">
      <c r="A3295" t="str">
        <f>"20190303170318797"</f>
        <v>20190303170318797</v>
      </c>
      <c r="B3295" t="str">
        <f>"1551603798788836"</f>
        <v>1551603798788836</v>
      </c>
      <c r="C3295" t="s">
        <v>40</v>
      </c>
      <c r="D3295">
        <v>4.2630439999999998</v>
      </c>
      <c r="E3295">
        <v>0.35563499999999998</v>
      </c>
      <c r="F3295" t="s">
        <v>78</v>
      </c>
      <c r="G3295">
        <v>-472.83879999999999</v>
      </c>
      <c r="H3295">
        <v>3.8500760000000001</v>
      </c>
      <c r="I3295">
        <v>196.565</v>
      </c>
      <c r="J3295">
        <v>-492.81869999999998</v>
      </c>
      <c r="K3295">
        <v>1.124914</v>
      </c>
      <c r="L3295">
        <v>261.47269999999997</v>
      </c>
      <c r="M3295">
        <v>-0.19440950000000001</v>
      </c>
      <c r="N3295">
        <v>-1.3839829999999999E-2</v>
      </c>
      <c r="O3295">
        <v>-0.980823</v>
      </c>
      <c r="P3295">
        <v>-6.6419270000000002E-2</v>
      </c>
      <c r="Q3295">
        <v>0.16581199999999999</v>
      </c>
      <c r="R3295">
        <v>-0.98391870000000003</v>
      </c>
      <c r="S3295">
        <v>0.95068359999999996</v>
      </c>
      <c r="T3295">
        <v>0.12976480000000001</v>
      </c>
      <c r="U3295">
        <v>-3.0950009999999999</v>
      </c>
      <c r="V3295">
        <v>-0.12748699999999999</v>
      </c>
      <c r="W3295">
        <v>0.17838370000000001</v>
      </c>
      <c r="X3295">
        <v>0.97566710000000001</v>
      </c>
      <c r="Y3295">
        <v>-0.4735605</v>
      </c>
      <c r="Z3295">
        <v>-5.155962E-2</v>
      </c>
      <c r="AA3295">
        <v>0.87925089999999995</v>
      </c>
      <c r="AB3295">
        <v>20</v>
      </c>
      <c r="AC3295">
        <v>19.979899999999901</v>
      </c>
      <c r="AD3295">
        <v>2.7251620000000001</v>
      </c>
      <c r="AE3295">
        <v>-64.907699999999906</v>
      </c>
      <c r="AF3295">
        <v>-32.166704651898897</v>
      </c>
      <c r="AG3295">
        <v>2.7251620000000001</v>
      </c>
      <c r="AH3295">
        <v>59.688288772514497</v>
      </c>
      <c r="AI3295">
        <v>87.698422206651799</v>
      </c>
      <c r="AJ3295">
        <v>118.320737686623</v>
      </c>
      <c r="AK3295">
        <v>67.858788765198497</v>
      </c>
      <c r="AL3295">
        <v>79.724370803109295</v>
      </c>
      <c r="AM3295">
        <v>97.444461619429902</v>
      </c>
      <c r="AN3295">
        <v>0.99999998480854901</v>
      </c>
    </row>
    <row r="3296" spans="1:40" x14ac:dyDescent="0.25">
      <c r="A3296" t="str">
        <f>"20190303170318810"</f>
        <v>20190303170318810</v>
      </c>
      <c r="B3296" t="str">
        <f>"1551603798798596"</f>
        <v>1551603798798596</v>
      </c>
      <c r="C3296" t="s">
        <v>40</v>
      </c>
      <c r="D3296">
        <v>4.2724270000000004</v>
      </c>
      <c r="E3296">
        <v>0.35550859999999901</v>
      </c>
      <c r="F3296" t="s">
        <v>78</v>
      </c>
      <c r="G3296">
        <v>-472.6096</v>
      </c>
      <c r="H3296">
        <v>3.8425180000000001</v>
      </c>
      <c r="I3296">
        <v>196.565</v>
      </c>
      <c r="J3296">
        <v>-492.8374</v>
      </c>
      <c r="K3296">
        <v>1.1248659999999999</v>
      </c>
      <c r="L3296">
        <v>261.35759999999999</v>
      </c>
      <c r="M3296">
        <v>-0.1910162</v>
      </c>
      <c r="N3296">
        <v>-1.382194E-2</v>
      </c>
      <c r="O3296">
        <v>-0.98148970000000002</v>
      </c>
      <c r="P3296">
        <v>-6.2780989999999995E-2</v>
      </c>
      <c r="Q3296">
        <v>0.165667799999999</v>
      </c>
      <c r="R3296">
        <v>-0.98418159999999999</v>
      </c>
      <c r="S3296">
        <v>0.96276859999999997</v>
      </c>
      <c r="T3296">
        <v>0.12946779999999999</v>
      </c>
      <c r="U3296">
        <v>-3.0921940000000001</v>
      </c>
      <c r="V3296">
        <v>-0.12770399999999901</v>
      </c>
      <c r="W3296">
        <v>0.17823449999999999</v>
      </c>
      <c r="X3296">
        <v>0.97566600000000003</v>
      </c>
      <c r="Y3296">
        <v>-0.47387600000000002</v>
      </c>
      <c r="Z3296">
        <v>-5.1503010000000002E-2</v>
      </c>
      <c r="AA3296">
        <v>0.87908419999999898</v>
      </c>
      <c r="AB3296">
        <v>20</v>
      </c>
      <c r="AC3296">
        <v>20.227799999999998</v>
      </c>
      <c r="AD3296">
        <v>2.7176520000000002</v>
      </c>
      <c r="AE3296">
        <v>-64.792599999999993</v>
      </c>
      <c r="AF3296">
        <v>-32.181300285084703</v>
      </c>
      <c r="AG3296">
        <v>2.7176520000000002</v>
      </c>
      <c r="AH3296">
        <v>59.639525463974202</v>
      </c>
      <c r="AI3296">
        <v>87.703540362376103</v>
      </c>
      <c r="AJ3296">
        <v>118.351159574731</v>
      </c>
      <c r="AK3296">
        <v>67.822523677609695</v>
      </c>
      <c r="AL3296">
        <v>79.733058675964301</v>
      </c>
      <c r="AM3296">
        <v>97.456998915982993</v>
      </c>
      <c r="AN3296">
        <v>0.999999996081125</v>
      </c>
    </row>
    <row r="3297" spans="1:40" x14ac:dyDescent="0.25">
      <c r="A3297" t="str">
        <f>"20190303170318824"</f>
        <v>20190303170318824</v>
      </c>
      <c r="B3297" t="str">
        <f>"1551603798819092"</f>
        <v>1551603798819092</v>
      </c>
      <c r="C3297" t="s">
        <v>40</v>
      </c>
      <c r="D3297">
        <v>4.3283420000000001</v>
      </c>
      <c r="E3297">
        <v>0.3555738</v>
      </c>
      <c r="F3297" t="s">
        <v>78</v>
      </c>
      <c r="G3297">
        <v>-472.3897</v>
      </c>
      <c r="H3297">
        <v>3.827766</v>
      </c>
      <c r="I3297">
        <v>196.565</v>
      </c>
      <c r="J3297">
        <v>-492.85649999999998</v>
      </c>
      <c r="K3297">
        <v>1.124814</v>
      </c>
      <c r="L3297">
        <v>261.23750000000001</v>
      </c>
      <c r="M3297">
        <v>-0.1875163</v>
      </c>
      <c r="N3297">
        <v>-1.3783719999999999E-2</v>
      </c>
      <c r="O3297">
        <v>-0.98216490000000001</v>
      </c>
      <c r="P3297">
        <v>-5.9140989999999997E-2</v>
      </c>
      <c r="Q3297">
        <v>0.16569159999999999</v>
      </c>
      <c r="R3297">
        <v>-0.98440300000000003</v>
      </c>
      <c r="S3297">
        <v>0.97476200000000002</v>
      </c>
      <c r="T3297">
        <v>0.1288511</v>
      </c>
      <c r="U3297">
        <v>-3.0887150000000001</v>
      </c>
      <c r="V3297">
        <v>-0.12781329999999999</v>
      </c>
      <c r="W3297">
        <v>0.17823449999999999</v>
      </c>
      <c r="X3297">
        <v>0.97565170000000001</v>
      </c>
      <c r="Y3297">
        <v>-0.47412880000000002</v>
      </c>
      <c r="Z3297">
        <v>-5.1341690000000002E-2</v>
      </c>
      <c r="AA3297">
        <v>0.87895730000000005</v>
      </c>
      <c r="AB3297">
        <v>20</v>
      </c>
      <c r="AC3297">
        <v>20.4667999999999</v>
      </c>
      <c r="AD3297">
        <v>2.7029519999999998</v>
      </c>
      <c r="AE3297">
        <v>-64.672499999999999</v>
      </c>
      <c r="AF3297">
        <v>-32.180883096525299</v>
      </c>
      <c r="AG3297">
        <v>2.7029519999999998</v>
      </c>
      <c r="AH3297">
        <v>59.592245714724903</v>
      </c>
      <c r="AI3297">
        <v>87.714540598078301</v>
      </c>
      <c r="AJ3297">
        <v>118.369843098136</v>
      </c>
      <c r="AK3297">
        <v>67.780166241391598</v>
      </c>
      <c r="AL3297">
        <v>79.733058801529793</v>
      </c>
      <c r="AM3297">
        <v>97.463417488647195</v>
      </c>
      <c r="AN3297">
        <v>1.00000000818001</v>
      </c>
    </row>
    <row r="3298" spans="1:40" x14ac:dyDescent="0.25">
      <c r="A3298" t="str">
        <f>"20190303170318836"</f>
        <v>20190303170318836</v>
      </c>
      <c r="B3298" t="str">
        <f>"1551603798828852"</f>
        <v>1551603798828852</v>
      </c>
      <c r="C3298" t="s">
        <v>40</v>
      </c>
      <c r="D3298">
        <v>4.3129109999999997</v>
      </c>
      <c r="E3298">
        <v>0.35573830000000001</v>
      </c>
      <c r="F3298" t="s">
        <v>78</v>
      </c>
      <c r="G3298">
        <v>-472.18259999999998</v>
      </c>
      <c r="H3298">
        <v>3.8348110000000002</v>
      </c>
      <c r="I3298">
        <v>196.565</v>
      </c>
      <c r="J3298">
        <v>-492.87400000000002</v>
      </c>
      <c r="K3298">
        <v>1.124763</v>
      </c>
      <c r="L3298">
        <v>261.12610000000001</v>
      </c>
      <c r="M3298">
        <v>-0.18429760000000001</v>
      </c>
      <c r="N3298">
        <v>-1.3732640000000001E-2</v>
      </c>
      <c r="O3298">
        <v>-0.98277460000000005</v>
      </c>
      <c r="P3298">
        <v>-5.5989129999999998E-2</v>
      </c>
      <c r="Q3298">
        <v>0.16569029999999901</v>
      </c>
      <c r="R3298">
        <v>-0.9845874</v>
      </c>
      <c r="S3298">
        <v>0.98620609999999997</v>
      </c>
      <c r="T3298">
        <v>0.1292758</v>
      </c>
      <c r="U3298">
        <v>-3.0850520000000001</v>
      </c>
      <c r="V3298">
        <v>-0.12772169999999999</v>
      </c>
      <c r="W3298">
        <v>0.17819740000000001</v>
      </c>
      <c r="X3298">
        <v>0.9756705</v>
      </c>
      <c r="Y3298">
        <v>-0.47450419999999999</v>
      </c>
      <c r="Z3298">
        <v>-5.146448E-2</v>
      </c>
      <c r="AA3298">
        <v>0.87874750000000001</v>
      </c>
      <c r="AB3298">
        <v>20</v>
      </c>
      <c r="AC3298">
        <v>20.691400000000002</v>
      </c>
      <c r="AD3298">
        <v>2.710048</v>
      </c>
      <c r="AE3298">
        <v>-64.561099999999996</v>
      </c>
      <c r="AF3298">
        <v>-32.185047900156199</v>
      </c>
      <c r="AG3298">
        <v>2.710048</v>
      </c>
      <c r="AH3298">
        <v>59.546106255729001</v>
      </c>
      <c r="AI3298">
        <v>87.707241192178003</v>
      </c>
      <c r="AJ3298">
        <v>118.391502899036</v>
      </c>
      <c r="AK3298">
        <v>67.741866218138796</v>
      </c>
      <c r="AL3298">
        <v>79.7352193389424</v>
      </c>
      <c r="AM3298">
        <v>97.457986824106101</v>
      </c>
      <c r="AN3298">
        <v>1.00000003529394</v>
      </c>
    </row>
    <row r="3299" spans="1:40" x14ac:dyDescent="0.25">
      <c r="A3299" t="str">
        <f>"20190303170318852"</f>
        <v>20190303170318852</v>
      </c>
      <c r="B3299" t="str">
        <f>"1551603798838612"</f>
        <v>1551603798838612</v>
      </c>
      <c r="C3299" t="s">
        <v>40</v>
      </c>
      <c r="D3299">
        <v>4.2951240000000004</v>
      </c>
      <c r="E3299">
        <v>0.3559541</v>
      </c>
      <c r="F3299" t="s">
        <v>78</v>
      </c>
      <c r="G3299">
        <v>-472.03269999999998</v>
      </c>
      <c r="H3299">
        <v>3.8465159999999998</v>
      </c>
      <c r="I3299">
        <v>196.565</v>
      </c>
      <c r="J3299">
        <v>-492.89400000000001</v>
      </c>
      <c r="K3299">
        <v>1.124692</v>
      </c>
      <c r="L3299">
        <v>260.99579999999997</v>
      </c>
      <c r="M3299">
        <v>-0.1805976</v>
      </c>
      <c r="N3299">
        <v>-1.3634479999999999E-2</v>
      </c>
      <c r="O3299">
        <v>-0.98346279999999997</v>
      </c>
      <c r="P3299">
        <v>-5.3450339999999999E-2</v>
      </c>
      <c r="Q3299">
        <v>0.16557189999999999</v>
      </c>
      <c r="R3299">
        <v>-0.98474850000000003</v>
      </c>
      <c r="S3299">
        <v>0.99481200000000003</v>
      </c>
      <c r="T3299">
        <v>0.129917899999999</v>
      </c>
      <c r="U3299">
        <v>-3.0816650000000001</v>
      </c>
      <c r="V3299">
        <v>-0.12654189999999901</v>
      </c>
      <c r="W3299">
        <v>0.17800929999999901</v>
      </c>
      <c r="X3299">
        <v>0.97585849999999996</v>
      </c>
      <c r="Y3299">
        <v>-0.47369420000000001</v>
      </c>
      <c r="Z3299">
        <v>-5.1619400000000003E-2</v>
      </c>
      <c r="AA3299">
        <v>0.87917529999999999</v>
      </c>
      <c r="AB3299">
        <v>20</v>
      </c>
      <c r="AC3299">
        <v>20.8613</v>
      </c>
      <c r="AD3299">
        <v>2.7218239999999998</v>
      </c>
      <c r="AE3299">
        <v>-64.430799999999905</v>
      </c>
      <c r="AF3299">
        <v>-32.103486959640897</v>
      </c>
      <c r="AG3299">
        <v>2.7218239999999998</v>
      </c>
      <c r="AH3299">
        <v>59.507202262136502</v>
      </c>
      <c r="AI3299">
        <v>87.694806207829402</v>
      </c>
      <c r="AJ3299">
        <v>118.34637774477601</v>
      </c>
      <c r="AK3299">
        <v>67.669412011052898</v>
      </c>
      <c r="AL3299">
        <v>79.7461712912488</v>
      </c>
      <c r="AM3299">
        <v>97.388452407245296</v>
      </c>
      <c r="AN3299">
        <v>0.99999998768217402</v>
      </c>
    </row>
    <row r="3300" spans="1:40" x14ac:dyDescent="0.25">
      <c r="A3300" t="str">
        <f>"20190303170318864"</f>
        <v>20190303170318864</v>
      </c>
      <c r="B3300" t="str">
        <f>"1551603798859107"</f>
        <v>1551603798859107</v>
      </c>
      <c r="C3300" t="s">
        <v>40</v>
      </c>
      <c r="D3300">
        <v>4.2904119999999999</v>
      </c>
      <c r="E3300">
        <v>0.356568099999999</v>
      </c>
      <c r="F3300" t="s">
        <v>78</v>
      </c>
      <c r="G3300">
        <v>-471.94349999999997</v>
      </c>
      <c r="H3300">
        <v>3.854603</v>
      </c>
      <c r="I3300">
        <v>196.565</v>
      </c>
      <c r="J3300">
        <v>-492.90989999999999</v>
      </c>
      <c r="K3300">
        <v>1.124625</v>
      </c>
      <c r="L3300">
        <v>260.88940000000002</v>
      </c>
      <c r="M3300">
        <v>-0.17762990000000001</v>
      </c>
      <c r="N3300">
        <v>-1.3536339999999999E-2</v>
      </c>
      <c r="O3300">
        <v>-0.9840044</v>
      </c>
      <c r="P3300">
        <v>-5.1284629999999998E-2</v>
      </c>
      <c r="Q3300">
        <v>0.1652206</v>
      </c>
      <c r="R3300">
        <v>-0.98492259999999998</v>
      </c>
      <c r="S3300">
        <v>1.00116</v>
      </c>
      <c r="T3300">
        <v>0.1304544</v>
      </c>
      <c r="U3300">
        <v>-3.0789179999999998</v>
      </c>
      <c r="V3300">
        <v>-0.12573129999999999</v>
      </c>
      <c r="W3300">
        <v>0.1775822</v>
      </c>
      <c r="X3300">
        <v>0.97604109999999999</v>
      </c>
      <c r="Y3300">
        <v>-0.47290559999999998</v>
      </c>
      <c r="Z3300">
        <v>-5.1732430000000003E-2</v>
      </c>
      <c r="AA3300">
        <v>0.87959310000000002</v>
      </c>
      <c r="AB3300">
        <v>20</v>
      </c>
      <c r="AC3300">
        <v>20.9664</v>
      </c>
      <c r="AD3300">
        <v>2.729978</v>
      </c>
      <c r="AE3300">
        <v>-64.324399999999997</v>
      </c>
      <c r="AF3300">
        <v>-32.007783413541503</v>
      </c>
      <c r="AG3300">
        <v>2.729978</v>
      </c>
      <c r="AH3300">
        <v>59.4798363416838</v>
      </c>
      <c r="AI3300">
        <v>87.685531845398103</v>
      </c>
      <c r="AJ3300">
        <v>118.285952279358</v>
      </c>
      <c r="AK3300">
        <v>67.600309985695702</v>
      </c>
      <c r="AL3300">
        <v>79.771038782554598</v>
      </c>
      <c r="AM3300">
        <v>97.3402830625771</v>
      </c>
      <c r="AN3300">
        <v>1.0000000132228699</v>
      </c>
    </row>
    <row r="3301" spans="1:40" x14ac:dyDescent="0.25">
      <c r="A3301" t="str">
        <f>"20190303170318876"</f>
        <v>20190303170318876</v>
      </c>
      <c r="B3301" t="str">
        <f>"1551603798868867"</f>
        <v>1551603798868867</v>
      </c>
      <c r="C3301" t="s">
        <v>40</v>
      </c>
      <c r="D3301">
        <v>4.3461210000000001</v>
      </c>
      <c r="E3301">
        <v>0.35687970000000002</v>
      </c>
      <c r="F3301" t="s">
        <v>78</v>
      </c>
      <c r="G3301">
        <v>-471.93349999999998</v>
      </c>
      <c r="H3301">
        <v>3.8090299999999999</v>
      </c>
      <c r="I3301">
        <v>196.565</v>
      </c>
      <c r="J3301">
        <v>-492.92520000000002</v>
      </c>
      <c r="K3301">
        <v>1.1245609999999999</v>
      </c>
      <c r="L3301">
        <v>260.78680000000003</v>
      </c>
      <c r="M3301">
        <v>-0.17479140000000001</v>
      </c>
      <c r="N3301">
        <v>-1.343607E-2</v>
      </c>
      <c r="O3301">
        <v>-0.984514</v>
      </c>
      <c r="P3301">
        <v>-4.9235859999999999E-2</v>
      </c>
      <c r="Q3301">
        <v>0.16486789999999901</v>
      </c>
      <c r="R3301">
        <v>-0.98508609999999996</v>
      </c>
      <c r="S3301">
        <v>1.003296</v>
      </c>
      <c r="T3301">
        <v>0.12839519999999999</v>
      </c>
      <c r="U3301">
        <v>-3.0765989999999999</v>
      </c>
      <c r="V3301">
        <v>-0.12493410000000001</v>
      </c>
      <c r="W3301">
        <v>0.1771519</v>
      </c>
      <c r="X3301">
        <v>0.97622160000000002</v>
      </c>
      <c r="Y3301">
        <v>-0.47111940000000002</v>
      </c>
      <c r="Z3301">
        <v>-5.1102120000000001E-2</v>
      </c>
      <c r="AA3301">
        <v>0.88058789999999998</v>
      </c>
      <c r="AB3301">
        <v>20</v>
      </c>
      <c r="AC3301">
        <v>20.991700000000002</v>
      </c>
      <c r="AD3301">
        <v>2.684469</v>
      </c>
      <c r="AE3301">
        <v>-64.221800000000002</v>
      </c>
      <c r="AF3301">
        <v>-31.844644529539401</v>
      </c>
      <c r="AG3301">
        <v>2.684469</v>
      </c>
      <c r="AH3301">
        <v>59.469580351429698</v>
      </c>
      <c r="AI3301">
        <v>87.7211683427509</v>
      </c>
      <c r="AJ3301">
        <v>118.16806426593401</v>
      </c>
      <c r="AK3301">
        <v>67.512359951343996</v>
      </c>
      <c r="AL3301">
        <v>79.796089895212205</v>
      </c>
      <c r="AM3301">
        <v>97.292910618009003</v>
      </c>
      <c r="AN3301">
        <v>0.99999996866148899</v>
      </c>
    </row>
    <row r="3302" spans="1:40" x14ac:dyDescent="0.25">
      <c r="A3302" t="str">
        <f>"20190303170318887"</f>
        <v>20190303170318887</v>
      </c>
      <c r="B3302" t="str">
        <f>"1551603798878627"</f>
        <v>1551603798878627</v>
      </c>
      <c r="C3302" t="s">
        <v>40</v>
      </c>
      <c r="D3302">
        <v>4.3077329999999998</v>
      </c>
      <c r="E3302">
        <v>0.35718159999999999</v>
      </c>
      <c r="F3302" t="s">
        <v>78</v>
      </c>
      <c r="G3302">
        <v>-471.87819999999999</v>
      </c>
      <c r="H3302">
        <v>3.7791320000000002</v>
      </c>
      <c r="I3302">
        <v>196.565</v>
      </c>
      <c r="J3302">
        <v>-492.93939999999998</v>
      </c>
      <c r="K3302">
        <v>1.1244959999999999</v>
      </c>
      <c r="L3302">
        <v>260.68880000000001</v>
      </c>
      <c r="M3302">
        <v>-0.17214019999999999</v>
      </c>
      <c r="N3302">
        <v>-1.333405E-2</v>
      </c>
      <c r="O3302">
        <v>-0.98498229999999998</v>
      </c>
      <c r="P3302">
        <v>-4.7122490000000003E-2</v>
      </c>
      <c r="Q3302">
        <v>0.16451470000000001</v>
      </c>
      <c r="R3302">
        <v>-0.98524849999999997</v>
      </c>
      <c r="S3302">
        <v>1.0075989999999999</v>
      </c>
      <c r="T3302">
        <v>0.12708530000000001</v>
      </c>
      <c r="U3302">
        <v>-3.0745239999999998</v>
      </c>
      <c r="V3302">
        <v>-0.1243858</v>
      </c>
      <c r="W3302">
        <v>0.17671870000000001</v>
      </c>
      <c r="X3302">
        <v>0.97637019999999997</v>
      </c>
      <c r="Y3302">
        <v>-0.47003879999999998</v>
      </c>
      <c r="Z3302">
        <v>-5.0669579999999999E-2</v>
      </c>
      <c r="AA3302">
        <v>0.88119020000000003</v>
      </c>
      <c r="AB3302">
        <v>20</v>
      </c>
      <c r="AC3302">
        <v>21.0611999999999</v>
      </c>
      <c r="AD3302">
        <v>2.654636</v>
      </c>
      <c r="AE3302">
        <v>-64.123800000000003</v>
      </c>
      <c r="AF3302">
        <v>-31.736920166602602</v>
      </c>
      <c r="AG3302">
        <v>2.654636</v>
      </c>
      <c r="AH3302">
        <v>59.448651987128599</v>
      </c>
      <c r="AI3302">
        <v>87.744153869002602</v>
      </c>
      <c r="AJ3302">
        <v>118.095722153987</v>
      </c>
      <c r="AK3302">
        <v>67.441985565673605</v>
      </c>
      <c r="AL3302">
        <v>79.821309115793298</v>
      </c>
      <c r="AM3302">
        <v>97.260153126913906</v>
      </c>
      <c r="AN3302">
        <v>1.0000000468096799</v>
      </c>
    </row>
    <row r="3303" spans="1:40" x14ac:dyDescent="0.25">
      <c r="A3303" t="str">
        <f>"20190303170318898"</f>
        <v>20190303170318898</v>
      </c>
      <c r="B3303" t="str">
        <f>"1551603798888388"</f>
        <v>1551603798888388</v>
      </c>
      <c r="C3303" t="s">
        <v>40</v>
      </c>
      <c r="D3303">
        <v>4.3406269999999996</v>
      </c>
      <c r="E3303">
        <v>0.3575045</v>
      </c>
      <c r="F3303" t="s">
        <v>78</v>
      </c>
      <c r="G3303">
        <v>-471.8159</v>
      </c>
      <c r="H3303">
        <v>3.7390379999999999</v>
      </c>
      <c r="I3303">
        <v>196.565</v>
      </c>
      <c r="J3303">
        <v>-492.95260000000002</v>
      </c>
      <c r="K3303">
        <v>1.1244379999999901</v>
      </c>
      <c r="L3303">
        <v>260.59690000000001</v>
      </c>
      <c r="M3303">
        <v>-0.16967460000000001</v>
      </c>
      <c r="N3303">
        <v>-1.323938E-2</v>
      </c>
      <c r="O3303">
        <v>-0.98541120000000004</v>
      </c>
      <c r="P3303">
        <v>-4.4974409999999999E-2</v>
      </c>
      <c r="Q3303">
        <v>0.1644168</v>
      </c>
      <c r="R3303">
        <v>-0.98536489999999999</v>
      </c>
      <c r="S3303">
        <v>1.0121150000000001</v>
      </c>
      <c r="T3303">
        <v>0.12527449999999901</v>
      </c>
      <c r="U3303">
        <v>-3.0724179999999999</v>
      </c>
      <c r="V3303">
        <v>-0.1240531</v>
      </c>
      <c r="W3303">
        <v>0.17654410000000001</v>
      </c>
      <c r="X3303">
        <v>0.97644410000000004</v>
      </c>
      <c r="Y3303">
        <v>-0.46918530000000003</v>
      </c>
      <c r="Z3303">
        <v>-5.009342E-2</v>
      </c>
      <c r="AA3303">
        <v>0.88167779999999996</v>
      </c>
      <c r="AB3303">
        <v>20</v>
      </c>
      <c r="AC3303">
        <v>21.136700000000001</v>
      </c>
      <c r="AD3303">
        <v>2.6145999999999998</v>
      </c>
      <c r="AE3303">
        <v>-64.031899999999993</v>
      </c>
      <c r="AF3303">
        <v>-31.648123509301101</v>
      </c>
      <c r="AG3303">
        <v>2.6145999999999998</v>
      </c>
      <c r="AH3303">
        <v>59.427258804269798</v>
      </c>
      <c r="AI3303">
        <v>87.776141503686503</v>
      </c>
      <c r="AJ3303">
        <v>118.037635852533</v>
      </c>
      <c r="AK3303">
        <v>67.379811099539694</v>
      </c>
      <c r="AL3303">
        <v>79.831472645975794</v>
      </c>
      <c r="AM3303">
        <v>97.2403982664854</v>
      </c>
      <c r="AN3303">
        <v>1.0000000356446099</v>
      </c>
    </row>
    <row r="3304" spans="1:40" x14ac:dyDescent="0.25">
      <c r="A3304" t="str">
        <f>"20190303170318911"</f>
        <v>20190303170318911</v>
      </c>
      <c r="B3304" t="str">
        <f>"1551603798899123"</f>
        <v>1551603798899123</v>
      </c>
      <c r="C3304" t="s">
        <v>40</v>
      </c>
      <c r="D3304">
        <v>4.3612399999999996</v>
      </c>
      <c r="E3304">
        <v>0.35787550000000001</v>
      </c>
      <c r="F3304" t="s">
        <v>78</v>
      </c>
      <c r="G3304">
        <v>-471.7636</v>
      </c>
      <c r="H3304">
        <v>3.709546</v>
      </c>
      <c r="I3304">
        <v>196.565</v>
      </c>
      <c r="J3304">
        <v>-492.96940000000001</v>
      </c>
      <c r="K3304">
        <v>1.124358</v>
      </c>
      <c r="L3304">
        <v>260.47719999999998</v>
      </c>
      <c r="M3304">
        <v>-0.16652120000000001</v>
      </c>
      <c r="N3304">
        <v>-1.311842E-2</v>
      </c>
      <c r="O3304">
        <v>-0.98595060000000001</v>
      </c>
      <c r="P3304">
        <v>-4.217104E-2</v>
      </c>
      <c r="Q3304">
        <v>0.16426399999999999</v>
      </c>
      <c r="R3304">
        <v>-0.98551480000000002</v>
      </c>
      <c r="S3304">
        <v>1.0159910000000001</v>
      </c>
      <c r="T3304">
        <v>0.1239545</v>
      </c>
      <c r="U3304">
        <v>-3.0702509999999998</v>
      </c>
      <c r="V3304">
        <v>-0.1236825</v>
      </c>
      <c r="W3304">
        <v>0.17629439999999999</v>
      </c>
      <c r="X3304">
        <v>0.97653619999999997</v>
      </c>
      <c r="Y3304">
        <v>-0.46755390000000002</v>
      </c>
      <c r="Z3304">
        <v>-4.964644E-2</v>
      </c>
      <c r="AA3304">
        <v>0.8825693</v>
      </c>
      <c r="AB3304">
        <v>20</v>
      </c>
      <c r="AC3304">
        <v>21.2058</v>
      </c>
      <c r="AD3304">
        <v>2.585188</v>
      </c>
      <c r="AE3304">
        <v>-63.912199999999899</v>
      </c>
      <c r="AF3304">
        <v>-31.506885770700599</v>
      </c>
      <c r="AG3304">
        <v>2.585188</v>
      </c>
      <c r="AH3304">
        <v>59.400627185617999</v>
      </c>
      <c r="AI3304">
        <v>87.798199488109006</v>
      </c>
      <c r="AJ3304">
        <v>117.94207614558999</v>
      </c>
      <c r="AK3304">
        <v>67.288940829887494</v>
      </c>
      <c r="AL3304">
        <v>79.846007145798296</v>
      </c>
      <c r="AM3304">
        <v>97.218322944659405</v>
      </c>
      <c r="AN3304">
        <v>1.0000000130940201</v>
      </c>
    </row>
    <row r="3305" spans="1:40" x14ac:dyDescent="0.25">
      <c r="A3305" t="str">
        <f>"20190303170318926"</f>
        <v>20190303170318926</v>
      </c>
      <c r="B3305" t="str">
        <f>"1551603798918644"</f>
        <v>1551603798918644</v>
      </c>
      <c r="C3305" t="s">
        <v>40</v>
      </c>
      <c r="D3305">
        <v>4.4119630000000001</v>
      </c>
      <c r="E3305">
        <v>0.35847129999999999</v>
      </c>
      <c r="F3305" t="s">
        <v>78</v>
      </c>
      <c r="G3305">
        <v>-471.68900000000002</v>
      </c>
      <c r="H3305">
        <v>3.6668430000000001</v>
      </c>
      <c r="I3305">
        <v>196.565</v>
      </c>
      <c r="J3305">
        <v>-492.98630000000003</v>
      </c>
      <c r="K3305">
        <v>1.1242760000000001</v>
      </c>
      <c r="L3305">
        <v>260.35500000000002</v>
      </c>
      <c r="M3305">
        <v>-0.1633695</v>
      </c>
      <c r="N3305">
        <v>-1.299752E-2</v>
      </c>
      <c r="O3305">
        <v>-0.98647949999999995</v>
      </c>
      <c r="P3305">
        <v>-3.938593E-2</v>
      </c>
      <c r="Q3305">
        <v>0.1641918</v>
      </c>
      <c r="R3305">
        <v>-0.98564240000000003</v>
      </c>
      <c r="S3305">
        <v>1.0213620000000001</v>
      </c>
      <c r="T3305">
        <v>0.1220285</v>
      </c>
      <c r="U3305">
        <v>-3.0674739999999998</v>
      </c>
      <c r="V3305">
        <v>-0.1232943</v>
      </c>
      <c r="W3305">
        <v>0.1761259</v>
      </c>
      <c r="X3305">
        <v>0.97661569999999998</v>
      </c>
      <c r="Y3305">
        <v>-0.46636719999999998</v>
      </c>
      <c r="Z3305">
        <v>-4.9020670000000002E-2</v>
      </c>
      <c r="AA3305">
        <v>0.88323189999999996</v>
      </c>
      <c r="AB3305">
        <v>20</v>
      </c>
      <c r="AC3305">
        <v>21.2973</v>
      </c>
      <c r="AD3305">
        <v>2.542567</v>
      </c>
      <c r="AE3305">
        <v>-63.79</v>
      </c>
      <c r="AF3305">
        <v>-31.388474641810301</v>
      </c>
      <c r="AG3305">
        <v>2.542567</v>
      </c>
      <c r="AH3305">
        <v>59.368351175884797</v>
      </c>
      <c r="AI3305">
        <v>87.831760717029894</v>
      </c>
      <c r="AJ3305">
        <v>117.865730649604</v>
      </c>
      <c r="AK3305">
        <v>67.2034382203191</v>
      </c>
      <c r="AL3305">
        <v>79.855815035342999</v>
      </c>
      <c r="AM3305">
        <v>97.195325152702395</v>
      </c>
      <c r="AN3305">
        <v>1.0000000212748901</v>
      </c>
    </row>
    <row r="3306" spans="1:40" x14ac:dyDescent="0.25">
      <c r="A3306" t="str">
        <f>"20190303170318943"</f>
        <v>20190303170318943</v>
      </c>
      <c r="B3306" t="str">
        <f>"1551603798928403"</f>
        <v>1551603798928403</v>
      </c>
      <c r="C3306" t="s">
        <v>40</v>
      </c>
      <c r="D3306">
        <v>4.3964840000000001</v>
      </c>
      <c r="E3306">
        <v>0.35881489999999999</v>
      </c>
      <c r="F3306" t="s">
        <v>78</v>
      </c>
      <c r="G3306">
        <v>-471.64030000000002</v>
      </c>
      <c r="H3306">
        <v>3.656882</v>
      </c>
      <c r="I3306">
        <v>196.565</v>
      </c>
      <c r="J3306">
        <v>-493.0061</v>
      </c>
      <c r="K3306">
        <v>1.12418</v>
      </c>
      <c r="L3306">
        <v>260.20870000000002</v>
      </c>
      <c r="M3306">
        <v>-0.15967329999999999</v>
      </c>
      <c r="N3306">
        <v>-1.285471E-2</v>
      </c>
      <c r="O3306">
        <v>-0.98708620000000002</v>
      </c>
      <c r="P3306">
        <v>-3.6692250000000003E-2</v>
      </c>
      <c r="Q3306">
        <v>0.16407089999999999</v>
      </c>
      <c r="R3306">
        <v>-0.98576609999999998</v>
      </c>
      <c r="S3306">
        <v>1.025452</v>
      </c>
      <c r="T3306">
        <v>0.1216661</v>
      </c>
      <c r="U3306">
        <v>-3.0644230000000001</v>
      </c>
      <c r="V3306">
        <v>-0.12227010000000001</v>
      </c>
      <c r="W3306">
        <v>0.17589730000000001</v>
      </c>
      <c r="X3306">
        <v>0.97678560000000003</v>
      </c>
      <c r="Y3306">
        <v>-0.46437929999999999</v>
      </c>
      <c r="Z3306">
        <v>-4.8843919999999999E-2</v>
      </c>
      <c r="AA3306">
        <v>0.88428850000000003</v>
      </c>
      <c r="AB3306">
        <v>20</v>
      </c>
      <c r="AC3306">
        <v>21.365799999999901</v>
      </c>
      <c r="AD3306">
        <v>2.532702</v>
      </c>
      <c r="AE3306">
        <v>-63.643700000000003</v>
      </c>
      <c r="AF3306">
        <v>-31.2102490353886</v>
      </c>
      <c r="AG3306">
        <v>2.532702</v>
      </c>
      <c r="AH3306">
        <v>59.3307381739139</v>
      </c>
      <c r="AI3306">
        <v>87.836418528037299</v>
      </c>
      <c r="AJ3306">
        <v>117.74609534829899</v>
      </c>
      <c r="AK3306">
        <v>67.086740243756793</v>
      </c>
      <c r="AL3306">
        <v>79.869120080240094</v>
      </c>
      <c r="AM3306">
        <v>97.134944227709497</v>
      </c>
      <c r="AN3306">
        <v>0.99999997293432896</v>
      </c>
    </row>
    <row r="3307" spans="1:40" x14ac:dyDescent="0.25">
      <c r="A3307" t="str">
        <f>"20190303170318955"</f>
        <v>20190303170318955</v>
      </c>
      <c r="B3307" t="str">
        <f>"1551603798939139"</f>
        <v>1551603798939139</v>
      </c>
      <c r="C3307" t="s">
        <v>40</v>
      </c>
      <c r="D3307">
        <v>4.3841559999999999</v>
      </c>
      <c r="E3307">
        <v>0.35909679999999999</v>
      </c>
      <c r="F3307" t="s">
        <v>78</v>
      </c>
      <c r="G3307">
        <v>-471.56299999999999</v>
      </c>
      <c r="H3307">
        <v>3.6591450000000001</v>
      </c>
      <c r="I3307">
        <v>196.565</v>
      </c>
      <c r="J3307">
        <v>-493.0206</v>
      </c>
      <c r="K3307">
        <v>1.1241080000000001</v>
      </c>
      <c r="L3307">
        <v>260.09989999999999</v>
      </c>
      <c r="M3307">
        <v>-0.15697900000000001</v>
      </c>
      <c r="N3307">
        <v>-1.274978E-2</v>
      </c>
      <c r="O3307">
        <v>-0.98751990000000001</v>
      </c>
      <c r="P3307">
        <v>-3.4166809999999999E-2</v>
      </c>
      <c r="Q3307">
        <v>0.16379579999999999</v>
      </c>
      <c r="R3307">
        <v>-0.98590270000000002</v>
      </c>
      <c r="S3307">
        <v>1.0314939999999999</v>
      </c>
      <c r="T3307">
        <v>0.1219426</v>
      </c>
      <c r="U3307">
        <v>-3.061493</v>
      </c>
      <c r="V3307">
        <v>-0.12208570000000001</v>
      </c>
      <c r="W3307">
        <v>0.17553869999999999</v>
      </c>
      <c r="X3307">
        <v>0.9768732</v>
      </c>
      <c r="Y3307">
        <v>-0.46378530000000001</v>
      </c>
      <c r="Z3307">
        <v>-4.8866430000000002E-2</v>
      </c>
      <c r="AA3307">
        <v>0.88459900000000002</v>
      </c>
      <c r="AB3307">
        <v>20</v>
      </c>
      <c r="AC3307">
        <v>21.4575999999999</v>
      </c>
      <c r="AD3307">
        <v>2.535037</v>
      </c>
      <c r="AE3307">
        <v>-63.534899999999901</v>
      </c>
      <c r="AF3307">
        <v>-31.121504351221699</v>
      </c>
      <c r="AG3307">
        <v>2.535037</v>
      </c>
      <c r="AH3307">
        <v>59.293665389354203</v>
      </c>
      <c r="AI3307">
        <v>87.832031778961806</v>
      </c>
      <c r="AJ3307">
        <v>117.693662374205</v>
      </c>
      <c r="AK3307">
        <v>67.012783862328703</v>
      </c>
      <c r="AL3307">
        <v>79.889991376868693</v>
      </c>
      <c r="AM3307">
        <v>97.123662110313205</v>
      </c>
      <c r="AN3307">
        <v>1.0000000011102099</v>
      </c>
    </row>
    <row r="3308" spans="1:40" x14ac:dyDescent="0.25">
      <c r="A3308" t="str">
        <f>"20190303170318966"</f>
        <v>20190303170318966</v>
      </c>
      <c r="B3308" t="str">
        <f>"1551603798958659"</f>
        <v>1551603798958659</v>
      </c>
      <c r="C3308" t="s">
        <v>40</v>
      </c>
      <c r="D3308">
        <v>4.4114170000000001</v>
      </c>
      <c r="E3308">
        <v>0.35988300000000001</v>
      </c>
      <c r="F3308" t="s">
        <v>78</v>
      </c>
      <c r="G3308">
        <v>-471.46800000000002</v>
      </c>
      <c r="H3308">
        <v>3.639939</v>
      </c>
      <c r="I3308">
        <v>196.565</v>
      </c>
      <c r="J3308">
        <v>-493.0342</v>
      </c>
      <c r="K3308">
        <v>1.1240349999999999</v>
      </c>
      <c r="L3308">
        <v>259.99529999999999</v>
      </c>
      <c r="M3308">
        <v>-0.15447839999999999</v>
      </c>
      <c r="N3308">
        <v>-1.265231E-2</v>
      </c>
      <c r="O3308">
        <v>-0.98791519999999999</v>
      </c>
      <c r="P3308">
        <v>-3.2088060000000002E-2</v>
      </c>
      <c r="Q3308">
        <v>0.16350039999999999</v>
      </c>
      <c r="R3308">
        <v>-0.98602140000000005</v>
      </c>
      <c r="S3308">
        <v>1.037598</v>
      </c>
      <c r="T3308">
        <v>0.1211195</v>
      </c>
      <c r="U3308">
        <v>-3.058716</v>
      </c>
      <c r="V3308">
        <v>-0.1216522</v>
      </c>
      <c r="W3308">
        <v>0.1751692</v>
      </c>
      <c r="X3308">
        <v>0.97699360000000002</v>
      </c>
      <c r="Y3308">
        <v>-0.4633736</v>
      </c>
      <c r="Z3308">
        <v>-4.8568800000000002E-2</v>
      </c>
      <c r="AA3308">
        <v>0.88483109999999998</v>
      </c>
      <c r="AB3308">
        <v>20</v>
      </c>
      <c r="AC3308">
        <v>21.566199999999899</v>
      </c>
      <c r="AD3308">
        <v>2.5159039999999999</v>
      </c>
      <c r="AE3308">
        <v>-63.430299999999903</v>
      </c>
      <c r="AF3308">
        <v>-31.0628709416848</v>
      </c>
      <c r="AG3308">
        <v>2.5159039999999999</v>
      </c>
      <c r="AH3308">
        <v>59.253431734773997</v>
      </c>
      <c r="AI3308">
        <v>87.846359000028301</v>
      </c>
      <c r="AJ3308">
        <v>117.665213743582</v>
      </c>
      <c r="AK3308">
        <v>66.949241193791806</v>
      </c>
      <c r="AL3308">
        <v>79.911495354896701</v>
      </c>
      <c r="AM3308">
        <v>97.097760148052004</v>
      </c>
      <c r="AN3308">
        <v>1.00000000041721</v>
      </c>
    </row>
    <row r="3309" spans="1:40" x14ac:dyDescent="0.25">
      <c r="A3309" t="str">
        <f>"20190303170318980"</f>
        <v>20190303170318980</v>
      </c>
      <c r="B3309" t="str">
        <f>"1551603798968420"</f>
        <v>1551603798968420</v>
      </c>
      <c r="C3309" t="s">
        <v>40</v>
      </c>
      <c r="D3309">
        <v>4.4483790000000001</v>
      </c>
      <c r="E3309">
        <v>0.3602129</v>
      </c>
      <c r="F3309" t="s">
        <v>78</v>
      </c>
      <c r="G3309">
        <v>-471.49489999999997</v>
      </c>
      <c r="H3309">
        <v>3.605985</v>
      </c>
      <c r="I3309">
        <v>196.565</v>
      </c>
      <c r="J3309">
        <v>-493.04880000000003</v>
      </c>
      <c r="K3309">
        <v>1.1239629999999901</v>
      </c>
      <c r="L3309">
        <v>259.88229999999999</v>
      </c>
      <c r="M3309">
        <v>-0.15182019999999999</v>
      </c>
      <c r="N3309">
        <v>-1.2550220000000001E-2</v>
      </c>
      <c r="O3309">
        <v>-0.98832850000000005</v>
      </c>
      <c r="P3309">
        <v>-2.952227E-2</v>
      </c>
      <c r="Q3309">
        <v>0.1633474</v>
      </c>
      <c r="R3309">
        <v>-0.98612699999999998</v>
      </c>
      <c r="S3309">
        <v>1.037903</v>
      </c>
      <c r="T3309">
        <v>0.1195972</v>
      </c>
      <c r="U3309">
        <v>-3.0564580000000001</v>
      </c>
      <c r="V3309">
        <v>-0.12154230000000001</v>
      </c>
      <c r="W3309">
        <v>0.17493549999999999</v>
      </c>
      <c r="X3309">
        <v>0.97704919999999995</v>
      </c>
      <c r="Y3309">
        <v>-0.46127299999999899</v>
      </c>
      <c r="Z3309">
        <v>-4.8080900000000003E-2</v>
      </c>
      <c r="AA3309">
        <v>0.88595460000000004</v>
      </c>
      <c r="AB3309">
        <v>20</v>
      </c>
      <c r="AC3309">
        <v>21.553899999999999</v>
      </c>
      <c r="AD3309">
        <v>2.4820220000000002</v>
      </c>
      <c r="AE3309">
        <v>-63.317299999999904</v>
      </c>
      <c r="AF3309">
        <v>-30.875095668042</v>
      </c>
      <c r="AG3309">
        <v>2.4820220000000002</v>
      </c>
      <c r="AH3309">
        <v>59.229081442868399</v>
      </c>
      <c r="AI3309">
        <v>87.8718851629543</v>
      </c>
      <c r="AJ3309">
        <v>117.53225189883899</v>
      </c>
      <c r="AK3309">
        <v>66.839479757738701</v>
      </c>
      <c r="AL3309">
        <v>79.925095874798004</v>
      </c>
      <c r="AM3309">
        <v>97.091013941998497</v>
      </c>
      <c r="AN3309">
        <v>1.00000004953508</v>
      </c>
    </row>
    <row r="3310" spans="1:40" x14ac:dyDescent="0.25">
      <c r="A3310" t="str">
        <f>"20190303170318992"</f>
        <v>20190303170318992</v>
      </c>
      <c r="B3310" t="str">
        <f>"1551603798978179"</f>
        <v>1551603798978179</v>
      </c>
      <c r="C3310" t="s">
        <v>40</v>
      </c>
      <c r="D3310">
        <v>4.4741229999999996</v>
      </c>
      <c r="E3310">
        <v>0.3602129</v>
      </c>
      <c r="F3310" t="s">
        <v>78</v>
      </c>
      <c r="G3310">
        <v>-471.423</v>
      </c>
      <c r="H3310">
        <v>3.587288</v>
      </c>
      <c r="I3310">
        <v>196.565</v>
      </c>
      <c r="J3310">
        <v>-493.06279999999998</v>
      </c>
      <c r="K3310">
        <v>1.123896</v>
      </c>
      <c r="L3310">
        <v>259.77190000000002</v>
      </c>
      <c r="M3310">
        <v>-0.14928269999999999</v>
      </c>
      <c r="N3310">
        <v>-1.245478E-2</v>
      </c>
      <c r="O3310">
        <v>-0.98871620000000005</v>
      </c>
      <c r="P3310">
        <v>-2.6766310000000001E-2</v>
      </c>
      <c r="Q3310">
        <v>0.16325020000000001</v>
      </c>
      <c r="R3310">
        <v>-0.98622180000000004</v>
      </c>
      <c r="S3310">
        <v>1.042999</v>
      </c>
      <c r="T3310">
        <v>0.1188058</v>
      </c>
      <c r="U3310">
        <v>-3.053741</v>
      </c>
      <c r="V3310">
        <v>-0.1217413</v>
      </c>
      <c r="W3310">
        <v>0.17476129999999901</v>
      </c>
      <c r="X3310">
        <v>0.97705549999999997</v>
      </c>
      <c r="Y3310">
        <v>-0.46056390000000003</v>
      </c>
      <c r="Z3310">
        <v>-4.779622E-2</v>
      </c>
      <c r="AA3310">
        <v>0.88633879999999998</v>
      </c>
      <c r="AB3310">
        <v>20</v>
      </c>
      <c r="AC3310">
        <v>21.639799999999902</v>
      </c>
      <c r="AD3310">
        <v>2.4633919999999998</v>
      </c>
      <c r="AE3310">
        <v>-63.206899999999997</v>
      </c>
      <c r="AF3310">
        <v>-30.7918427717483</v>
      </c>
      <c r="AG3310">
        <v>2.4633919999999998</v>
      </c>
      <c r="AH3310">
        <v>59.187360780347802</v>
      </c>
      <c r="AI3310">
        <v>87.885457571144997</v>
      </c>
      <c r="AJ3310">
        <v>117.48541484219101</v>
      </c>
      <c r="AK3310">
        <v>66.763384857036698</v>
      </c>
      <c r="AL3310">
        <v>79.935231976336595</v>
      </c>
      <c r="AM3310">
        <v>97.102460182153393</v>
      </c>
      <c r="AN3310">
        <v>0.999999953091813</v>
      </c>
    </row>
    <row r="3311" spans="1:40" x14ac:dyDescent="0.25">
      <c r="A3311" t="str">
        <f>"20190303170319009"</f>
        <v>20190303170319009</v>
      </c>
      <c r="B3311" t="str">
        <f>"1551603798998677"</f>
        <v>1551603798998677</v>
      </c>
      <c r="C3311" t="s">
        <v>40</v>
      </c>
      <c r="D3311">
        <v>4.4712160000000001</v>
      </c>
      <c r="E3311">
        <v>0.3721353</v>
      </c>
      <c r="F3311" t="s">
        <v>78</v>
      </c>
      <c r="G3311">
        <v>-471.2758</v>
      </c>
      <c r="H3311">
        <v>3.5731540000000002</v>
      </c>
      <c r="I3311">
        <v>196.565</v>
      </c>
      <c r="J3311">
        <v>-493.08030000000002</v>
      </c>
      <c r="K3311">
        <v>1.123812</v>
      </c>
      <c r="L3311">
        <v>259.63080000000002</v>
      </c>
      <c r="M3311">
        <v>-0.14616289999999901</v>
      </c>
      <c r="N3311">
        <v>-1.234183E-2</v>
      </c>
      <c r="O3311">
        <v>-0.9891837</v>
      </c>
      <c r="P3311">
        <v>-2.350611E-2</v>
      </c>
      <c r="Q3311">
        <v>0.16397639999999999</v>
      </c>
      <c r="R3311">
        <v>-0.98618439999999996</v>
      </c>
      <c r="S3311">
        <v>1.051636</v>
      </c>
      <c r="T3311">
        <v>0.1182238</v>
      </c>
      <c r="U3311">
        <v>-3.0509029999999999</v>
      </c>
      <c r="V3311">
        <v>-0.1218409</v>
      </c>
      <c r="W3311">
        <v>0.1753979</v>
      </c>
      <c r="X3311">
        <v>0.97692909999999999</v>
      </c>
      <c r="Y3311">
        <v>-0.46026420000000001</v>
      </c>
      <c r="Z3311">
        <v>-4.7549880000000003E-2</v>
      </c>
      <c r="AA3311">
        <v>0.88650769999999901</v>
      </c>
      <c r="AB3311">
        <v>20</v>
      </c>
      <c r="AC3311">
        <v>21.804500000000001</v>
      </c>
      <c r="AD3311">
        <v>2.4493419999999899</v>
      </c>
      <c r="AE3311">
        <v>-63.065800000000003</v>
      </c>
      <c r="AF3311">
        <v>-30.747449662051601</v>
      </c>
      <c r="AG3311">
        <v>2.4493419999999899</v>
      </c>
      <c r="AH3311">
        <v>59.121496447060203</v>
      </c>
      <c r="AI3311">
        <v>87.895019385874505</v>
      </c>
      <c r="AJ3311">
        <v>117.477690032827</v>
      </c>
      <c r="AK3311">
        <v>66.684003172373494</v>
      </c>
      <c r="AL3311">
        <v>79.8981862295974</v>
      </c>
      <c r="AM3311">
        <v>97.109121776225805</v>
      </c>
      <c r="AN3311">
        <v>1.0000000473320101</v>
      </c>
    </row>
    <row r="3312" spans="1:40" x14ac:dyDescent="0.25">
      <c r="A3312" t="str">
        <f>"20190303170319023"</f>
        <v>20190303170319023</v>
      </c>
      <c r="B3312" t="str">
        <f>"1551603799008436"</f>
        <v>1551603799008436</v>
      </c>
      <c r="C3312" t="s">
        <v>40</v>
      </c>
      <c r="D3312">
        <v>4.4832409999999996</v>
      </c>
      <c r="E3312">
        <v>0.3724153</v>
      </c>
      <c r="F3312" t="s">
        <v>78</v>
      </c>
      <c r="G3312">
        <v>-473.07040000000001</v>
      </c>
      <c r="H3312">
        <v>3.0702970000000001</v>
      </c>
      <c r="I3312">
        <v>196.565</v>
      </c>
      <c r="J3312">
        <v>-493.09449999999998</v>
      </c>
      <c r="K3312">
        <v>1.1237379999999999</v>
      </c>
      <c r="L3312">
        <v>259.51490000000001</v>
      </c>
      <c r="M3312">
        <v>-0.14368649999999999</v>
      </c>
      <c r="N3312">
        <v>-1.2251400000000001E-2</v>
      </c>
      <c r="O3312">
        <v>-0.98954759999999997</v>
      </c>
      <c r="P3312">
        <v>-2.1086779999999999E-2</v>
      </c>
      <c r="Q3312">
        <v>0.16431270000000001</v>
      </c>
      <c r="R3312">
        <v>-0.98618300000000003</v>
      </c>
      <c r="S3312">
        <v>0.96755979999999997</v>
      </c>
      <c r="T3312">
        <v>9.4121579999999996E-2</v>
      </c>
      <c r="U3312">
        <v>-3.0494690000000002</v>
      </c>
      <c r="V3312">
        <v>-0.1217554</v>
      </c>
      <c r="W3312">
        <v>0.17566590000000001</v>
      </c>
      <c r="X3312">
        <v>0.97689159999999997</v>
      </c>
      <c r="Y3312">
        <v>-0.43604920000000003</v>
      </c>
      <c r="Z3312">
        <v>-4.0652279999999999E-2</v>
      </c>
      <c r="AA3312">
        <v>0.89900419999999903</v>
      </c>
      <c r="AB3312">
        <v>20</v>
      </c>
      <c r="AC3312">
        <v>20.024099999999901</v>
      </c>
      <c r="AD3312">
        <v>1.9465589999999999</v>
      </c>
      <c r="AE3312">
        <v>-62.9499</v>
      </c>
      <c r="AF3312">
        <v>-28.836971834017898</v>
      </c>
      <c r="AG3312">
        <v>1.9465589999999999</v>
      </c>
      <c r="AH3312">
        <v>59.367627723480901</v>
      </c>
      <c r="AI3312">
        <v>88.310663760557503</v>
      </c>
      <c r="AJ3312">
        <v>115.90749731651501</v>
      </c>
      <c r="AK3312">
        <v>66.029351488639094</v>
      </c>
      <c r="AL3312">
        <v>79.882588737064694</v>
      </c>
      <c r="AM3312">
        <v>97.104453971399906</v>
      </c>
      <c r="AN3312">
        <v>1.00000004200126</v>
      </c>
    </row>
    <row r="3313" spans="1:40" x14ac:dyDescent="0.25">
      <c r="A3313" t="str">
        <f>"20190303170319043"</f>
        <v>20190303170319043</v>
      </c>
      <c r="B3313" t="str">
        <f>"1551603799028931"</f>
        <v>1551603799028931</v>
      </c>
      <c r="C3313" t="s">
        <v>40</v>
      </c>
      <c r="D3313">
        <v>4.4547100000000004</v>
      </c>
      <c r="E3313">
        <v>0.37373440000000002</v>
      </c>
      <c r="F3313" t="s">
        <v>78</v>
      </c>
      <c r="G3313">
        <v>-473.00529999999998</v>
      </c>
      <c r="H3313">
        <v>3.0940650000000001</v>
      </c>
      <c r="I3313">
        <v>196.565</v>
      </c>
      <c r="J3313">
        <v>-493.11619999999999</v>
      </c>
      <c r="K3313">
        <v>1.123618</v>
      </c>
      <c r="L3313">
        <v>259.33440000000002</v>
      </c>
      <c r="M3313">
        <v>-0.139995799999999</v>
      </c>
      <c r="N3313">
        <v>-1.211111E-2</v>
      </c>
      <c r="O3313">
        <v>-0.99007820000000002</v>
      </c>
      <c r="P3313">
        <v>-1.8043719999999999E-2</v>
      </c>
      <c r="Q3313">
        <v>0.16427939999999999</v>
      </c>
      <c r="R3313">
        <v>-0.98624909999999999</v>
      </c>
      <c r="S3313">
        <v>0.97238159999999896</v>
      </c>
      <c r="T3313">
        <v>9.5371479999999995E-2</v>
      </c>
      <c r="U3313">
        <v>-3.046967</v>
      </c>
      <c r="V3313">
        <v>-0.1210753</v>
      </c>
      <c r="W3313">
        <v>0.17553450000000001</v>
      </c>
      <c r="X3313">
        <v>0.97699970000000003</v>
      </c>
      <c r="Y3313">
        <v>-0.43419479999999999</v>
      </c>
      <c r="Z3313">
        <v>-4.0930069999999999E-2</v>
      </c>
      <c r="AA3313">
        <v>0.89988869999999899</v>
      </c>
      <c r="AB3313">
        <v>20</v>
      </c>
      <c r="AC3313">
        <v>20.110900000000001</v>
      </c>
      <c r="AD3313">
        <v>1.9704470000000001</v>
      </c>
      <c r="AE3313">
        <v>-62.769399999999997</v>
      </c>
      <c r="AF3313">
        <v>-28.675288771492699</v>
      </c>
      <c r="AG3313">
        <v>1.9704470000000001</v>
      </c>
      <c r="AH3313">
        <v>59.2825333785201</v>
      </c>
      <c r="AI3313">
        <v>88.286127165586393</v>
      </c>
      <c r="AJ3313">
        <v>115.813310505031</v>
      </c>
      <c r="AK3313">
        <v>65.883029767032198</v>
      </c>
      <c r="AL3313">
        <v>79.890235817307598</v>
      </c>
      <c r="AM3313">
        <v>97.064398325626399</v>
      </c>
      <c r="AN3313">
        <v>1.0000000013802099</v>
      </c>
    </row>
    <row r="3314" spans="1:40" x14ac:dyDescent="0.25">
      <c r="A3314" t="str">
        <f>"20190303170319056"</f>
        <v>20190303170319056</v>
      </c>
      <c r="B3314" t="str">
        <f>"1551603799048451"</f>
        <v>1551603799048451</v>
      </c>
      <c r="C3314" t="s">
        <v>40</v>
      </c>
      <c r="D3314">
        <v>4.5253290000000002</v>
      </c>
      <c r="E3314">
        <v>0.37456919999999999</v>
      </c>
      <c r="F3314" t="s">
        <v>78</v>
      </c>
      <c r="G3314">
        <v>-473.07209999999998</v>
      </c>
      <c r="H3314">
        <v>2.9453809999999998</v>
      </c>
      <c r="I3314">
        <v>196.565</v>
      </c>
      <c r="J3314">
        <v>-493.13</v>
      </c>
      <c r="K3314">
        <v>1.1235329999999999</v>
      </c>
      <c r="L3314">
        <v>259.2176</v>
      </c>
      <c r="M3314">
        <v>-0.13769670000000001</v>
      </c>
      <c r="N3314">
        <v>-1.2019190000000001E-2</v>
      </c>
      <c r="O3314">
        <v>-0.99040159999999999</v>
      </c>
      <c r="P3314">
        <v>-1.640167E-2</v>
      </c>
      <c r="Q3314">
        <v>0.163687</v>
      </c>
      <c r="R3314">
        <v>-0.98637629999999998</v>
      </c>
      <c r="S3314">
        <v>0.97232059999999998</v>
      </c>
      <c r="T3314">
        <v>8.8372950000000006E-2</v>
      </c>
      <c r="U3314">
        <v>-3.044861</v>
      </c>
      <c r="V3314">
        <v>-0.120408399999999</v>
      </c>
      <c r="W3314">
        <v>0.17488099999999901</v>
      </c>
      <c r="X3314">
        <v>0.97719929999999999</v>
      </c>
      <c r="Y3314">
        <v>-0.43228729999999999</v>
      </c>
      <c r="Z3314">
        <v>-3.878326E-2</v>
      </c>
      <c r="AA3314">
        <v>0.90090159999999997</v>
      </c>
      <c r="AB3314">
        <v>20</v>
      </c>
      <c r="AC3314">
        <v>20.0579</v>
      </c>
      <c r="AD3314">
        <v>1.8218479999999999</v>
      </c>
      <c r="AE3314">
        <v>-62.6526</v>
      </c>
      <c r="AF3314">
        <v>-28.4726510542386</v>
      </c>
      <c r="AG3314">
        <v>1.8218479999999999</v>
      </c>
      <c r="AH3314">
        <v>59.248165793722301</v>
      </c>
      <c r="AI3314">
        <v>88.412441937002399</v>
      </c>
      <c r="AJ3314">
        <v>115.667354459752</v>
      </c>
      <c r="AK3314">
        <v>65.759836816342101</v>
      </c>
      <c r="AL3314">
        <v>79.928266976196397</v>
      </c>
      <c r="AM3314">
        <v>97.024455826284495</v>
      </c>
      <c r="AN3314">
        <v>1.00000000943602</v>
      </c>
    </row>
    <row r="3315" spans="1:40" x14ac:dyDescent="0.25">
      <c r="A3315" t="str">
        <f>"20190303170319068"</f>
        <v>20190303170319068</v>
      </c>
      <c r="B3315" t="str">
        <f>"1551603799058211"</f>
        <v>1551603799058211</v>
      </c>
      <c r="C3315" t="s">
        <v>40</v>
      </c>
      <c r="D3315">
        <v>4.460572</v>
      </c>
      <c r="E3315">
        <v>0.3750309</v>
      </c>
      <c r="F3315" t="s">
        <v>78</v>
      </c>
      <c r="G3315">
        <v>-473.25209999999998</v>
      </c>
      <c r="H3315">
        <v>2.815331</v>
      </c>
      <c r="I3315">
        <v>196.90129999999999</v>
      </c>
      <c r="J3315">
        <v>-493.14389999999997</v>
      </c>
      <c r="K3315">
        <v>1.1234409999999999</v>
      </c>
      <c r="L3315">
        <v>259.09840000000003</v>
      </c>
      <c r="M3315">
        <v>-0.13546529999999901</v>
      </c>
      <c r="N3315">
        <v>-1.192264E-2</v>
      </c>
      <c r="O3315">
        <v>-0.99071039999999999</v>
      </c>
      <c r="P3315">
        <v>-1.4442969999999999E-2</v>
      </c>
      <c r="Q3315">
        <v>0.163012299999999</v>
      </c>
      <c r="R3315">
        <v>-0.98651849999999996</v>
      </c>
      <c r="S3315">
        <v>0.97094729999999996</v>
      </c>
      <c r="T3315">
        <v>8.2638030000000001E-2</v>
      </c>
      <c r="U3315">
        <v>-3.0438540000000001</v>
      </c>
      <c r="V3315">
        <v>-0.12012390000000001</v>
      </c>
      <c r="W3315">
        <v>0.17413870000000001</v>
      </c>
      <c r="X3315">
        <v>0.97736690000000004</v>
      </c>
      <c r="Y3315">
        <v>-0.4299886</v>
      </c>
      <c r="Z3315">
        <v>-3.6998209999999997E-2</v>
      </c>
      <c r="AA3315">
        <v>0.90207590000000004</v>
      </c>
      <c r="AB3315">
        <v>20</v>
      </c>
      <c r="AC3315">
        <v>19.8917999999999</v>
      </c>
      <c r="AD3315">
        <v>1.6918899999999999</v>
      </c>
      <c r="AE3315">
        <v>-62.197099999999999</v>
      </c>
      <c r="AF3315">
        <v>-28.115686564209401</v>
      </c>
      <c r="AG3315">
        <v>1.6918899999999999</v>
      </c>
      <c r="AH3315">
        <v>58.8893190711484</v>
      </c>
      <c r="AI3315">
        <v>88.514844192122993</v>
      </c>
      <c r="AJ3315">
        <v>115.521335187546</v>
      </c>
      <c r="AK3315">
        <v>65.278681232179395</v>
      </c>
      <c r="AL3315">
        <v>79.971460806622503</v>
      </c>
      <c r="AM3315">
        <v>97.006833935329794</v>
      </c>
      <c r="AN3315">
        <v>1.0000000477022499</v>
      </c>
    </row>
    <row r="3316" spans="1:40" x14ac:dyDescent="0.25">
      <c r="A3316" t="str">
        <f>"20190303170319082"</f>
        <v>20190303170319082</v>
      </c>
      <c r="B3316" t="str">
        <f>"1551603799068949"</f>
        <v>1551603799068949</v>
      </c>
      <c r="C3316" t="s">
        <v>40</v>
      </c>
      <c r="D3316">
        <v>4.4983040000000001</v>
      </c>
      <c r="E3316">
        <v>0.3750309</v>
      </c>
      <c r="F3316" t="s">
        <v>78</v>
      </c>
      <c r="G3316">
        <v>-473.24520000000001</v>
      </c>
      <c r="H3316">
        <v>2.7081330000000001</v>
      </c>
      <c r="I3316">
        <v>196.90129999999999</v>
      </c>
      <c r="J3316">
        <v>-493.15660000000003</v>
      </c>
      <c r="K3316">
        <v>1.123356</v>
      </c>
      <c r="L3316">
        <v>258.98840000000001</v>
      </c>
      <c r="M3316">
        <v>-0.1334688</v>
      </c>
      <c r="N3316">
        <v>-1.1831940000000001E-2</v>
      </c>
      <c r="O3316">
        <v>-0.99098269999999999</v>
      </c>
      <c r="P3316">
        <v>-1.270364E-2</v>
      </c>
      <c r="Q3316">
        <v>0.1626261</v>
      </c>
      <c r="R3316">
        <v>-0.98660639999999999</v>
      </c>
      <c r="S3316">
        <v>0.9733887</v>
      </c>
      <c r="T3316">
        <v>7.7519660000000004E-2</v>
      </c>
      <c r="U3316">
        <v>-3.0424799999999999</v>
      </c>
      <c r="V3316">
        <v>-0.1198521</v>
      </c>
      <c r="W3316">
        <v>0.17368739999999999</v>
      </c>
      <c r="X3316">
        <v>0.97748049999999997</v>
      </c>
      <c r="Y3316">
        <v>-0.42895800000000001</v>
      </c>
      <c r="Z3316">
        <v>-3.5389999999999998E-2</v>
      </c>
      <c r="AA3316">
        <v>0.90263090000000001</v>
      </c>
      <c r="AB3316">
        <v>20</v>
      </c>
      <c r="AC3316">
        <v>19.9114</v>
      </c>
      <c r="AD3316">
        <v>1.5847770000000001</v>
      </c>
      <c r="AE3316">
        <v>-62.0871</v>
      </c>
      <c r="AF3316">
        <v>-28.003952452448502</v>
      </c>
      <c r="AG3316">
        <v>1.5847770000000001</v>
      </c>
      <c r="AH3316">
        <v>58.839033768464802</v>
      </c>
      <c r="AI3316">
        <v>88.606835997483699</v>
      </c>
      <c r="AJ3316">
        <v>115.451726971499</v>
      </c>
      <c r="AK3316">
        <v>65.182549550514494</v>
      </c>
      <c r="AL3316">
        <v>79.997717881628105</v>
      </c>
      <c r="AM3316">
        <v>96.990332444505896</v>
      </c>
      <c r="AN3316">
        <v>0.99999998333670903</v>
      </c>
    </row>
    <row r="3317" spans="1:40" x14ac:dyDescent="0.25">
      <c r="A3317" t="str">
        <f>"20190303170319098"</f>
        <v>20190303170319098</v>
      </c>
      <c r="B3317" t="str">
        <f>"1551603799088468"</f>
        <v>1551603799088468</v>
      </c>
      <c r="C3317" t="s">
        <v>40</v>
      </c>
      <c r="D3317">
        <v>4.5145869999999997</v>
      </c>
      <c r="E3317">
        <v>0.38068990000000003</v>
      </c>
      <c r="F3317" t="s">
        <v>78</v>
      </c>
      <c r="G3317">
        <v>-473.18119999999999</v>
      </c>
      <c r="H3317">
        <v>2.668031</v>
      </c>
      <c r="I3317">
        <v>196.90129999999999</v>
      </c>
      <c r="J3317">
        <v>-493.17250000000001</v>
      </c>
      <c r="K3317">
        <v>1.123248</v>
      </c>
      <c r="L3317">
        <v>258.84789999999998</v>
      </c>
      <c r="M3317">
        <v>-0.1310104</v>
      </c>
      <c r="N3317">
        <v>-1.171381E-2</v>
      </c>
      <c r="O3317">
        <v>-0.99131210000000003</v>
      </c>
      <c r="P3317">
        <v>-1.068845E-2</v>
      </c>
      <c r="Q3317">
        <v>0.161802799999999</v>
      </c>
      <c r="R3317">
        <v>-0.98676569999999997</v>
      </c>
      <c r="S3317">
        <v>0.97833250000000005</v>
      </c>
      <c r="T3317">
        <v>7.5654750000000007E-2</v>
      </c>
      <c r="U3317">
        <v>-3.0408170000000001</v>
      </c>
      <c r="V3317">
        <v>-0.1193975</v>
      </c>
      <c r="W3317">
        <v>0.17277960000000001</v>
      </c>
      <c r="X3317">
        <v>0.97769700000000004</v>
      </c>
      <c r="Y3317">
        <v>-0.42819679999999999</v>
      </c>
      <c r="Z3317">
        <v>-3.472857E-2</v>
      </c>
      <c r="AA3317">
        <v>0.90301790000000004</v>
      </c>
      <c r="AB3317">
        <v>20</v>
      </c>
      <c r="AC3317">
        <v>19.991299999999999</v>
      </c>
      <c r="AD3317">
        <v>1.544783</v>
      </c>
      <c r="AE3317">
        <v>-61.946599999999897</v>
      </c>
      <c r="AF3317">
        <v>-27.919449791876001</v>
      </c>
      <c r="AG3317">
        <v>1.544783</v>
      </c>
      <c r="AH3317">
        <v>58.7602669377059</v>
      </c>
      <c r="AI3317">
        <v>88.639739458830107</v>
      </c>
      <c r="AJ3317">
        <v>115.414339315402</v>
      </c>
      <c r="AK3317">
        <v>65.0741961286394</v>
      </c>
      <c r="AL3317">
        <v>80.050529514846204</v>
      </c>
      <c r="AM3317">
        <v>96.962551934478597</v>
      </c>
      <c r="AN3317">
        <v>0.99999998849570404</v>
      </c>
    </row>
    <row r="3318" spans="1:40" x14ac:dyDescent="0.25">
      <c r="A3318" t="str">
        <f>"20190303170319109"</f>
        <v>20190303170319109</v>
      </c>
      <c r="B3318" t="str">
        <f>"1551603799098228"</f>
        <v>1551603799098228</v>
      </c>
      <c r="C3318" t="s">
        <v>40</v>
      </c>
      <c r="D3318">
        <v>4.5051649999999999</v>
      </c>
      <c r="E3318">
        <v>0.38090010000000002</v>
      </c>
      <c r="F3318" t="s">
        <v>78</v>
      </c>
      <c r="G3318">
        <v>-473.85019999999997</v>
      </c>
      <c r="H3318">
        <v>2.1629260000000001</v>
      </c>
      <c r="I3318">
        <v>196.2978</v>
      </c>
      <c r="J3318">
        <v>-493.18400000000003</v>
      </c>
      <c r="K3318">
        <v>1.12317</v>
      </c>
      <c r="L3318">
        <v>258.74529999999999</v>
      </c>
      <c r="M3318">
        <v>-0.12930739999999999</v>
      </c>
      <c r="N3318">
        <v>-1.162502E-2</v>
      </c>
      <c r="O3318">
        <v>-0.99153639999999998</v>
      </c>
      <c r="P3318">
        <v>-9.4372689999999999E-3</v>
      </c>
      <c r="Q3318">
        <v>0.16217129999999999</v>
      </c>
      <c r="R3318">
        <v>-0.98671750000000003</v>
      </c>
      <c r="S3318">
        <v>0.93975830000000005</v>
      </c>
      <c r="T3318">
        <v>5.0567029999999999E-2</v>
      </c>
      <c r="U3318">
        <v>-3.04216</v>
      </c>
      <c r="V3318">
        <v>-0.118922</v>
      </c>
      <c r="W3318">
        <v>0.1730826</v>
      </c>
      <c r="X3318">
        <v>0.97770140000000005</v>
      </c>
      <c r="Y3318">
        <v>-0.41612680000000002</v>
      </c>
      <c r="Z3318">
        <v>-2.715118E-2</v>
      </c>
      <c r="AA3318">
        <v>0.90890119999999996</v>
      </c>
      <c r="AB3318">
        <v>20</v>
      </c>
      <c r="AC3318">
        <v>19.3338</v>
      </c>
      <c r="AD3318">
        <v>1.0397559999999899</v>
      </c>
      <c r="AE3318">
        <v>-62.447499999999899</v>
      </c>
      <c r="AF3318">
        <v>-27.2400406767451</v>
      </c>
      <c r="AG3318">
        <v>1.0397559999999899</v>
      </c>
      <c r="AH3318">
        <v>59.407953152227897</v>
      </c>
      <c r="AI3318">
        <v>89.088543100731698</v>
      </c>
      <c r="AJ3318">
        <v>114.63264652253901</v>
      </c>
      <c r="AK3318">
        <v>65.363642847898006</v>
      </c>
      <c r="AL3318">
        <v>80.032903734132901</v>
      </c>
      <c r="AM3318">
        <v>96.935063262649905</v>
      </c>
      <c r="AN3318">
        <v>1.00000002803435</v>
      </c>
    </row>
    <row r="3319" spans="1:40" x14ac:dyDescent="0.25">
      <c r="A3319" t="str">
        <f>"20190303170319123"</f>
        <v>20190303170319123</v>
      </c>
      <c r="B3319" t="str">
        <f>"1551603799108963"</f>
        <v>1551603799108963</v>
      </c>
      <c r="C3319" t="s">
        <v>40</v>
      </c>
      <c r="D3319">
        <v>4.4658230000000003</v>
      </c>
      <c r="E3319">
        <v>0.38090010000000002</v>
      </c>
      <c r="F3319" t="s">
        <v>78</v>
      </c>
      <c r="G3319">
        <v>-473.85019999999997</v>
      </c>
      <c r="H3319">
        <v>2.1250900000000001</v>
      </c>
      <c r="I3319">
        <v>196.30799999999999</v>
      </c>
      <c r="J3319">
        <v>-493.19709999999998</v>
      </c>
      <c r="K3319">
        <v>1.1230850000000001</v>
      </c>
      <c r="L3319">
        <v>258.6275</v>
      </c>
      <c r="M3319">
        <v>-0.12742439999999999</v>
      </c>
      <c r="N3319">
        <v>-1.1524309999999999E-2</v>
      </c>
      <c r="O3319">
        <v>-0.99178140000000004</v>
      </c>
      <c r="P3319">
        <v>-7.7712959999999996E-3</v>
      </c>
      <c r="Q3319">
        <v>0.16235949999999999</v>
      </c>
      <c r="R3319">
        <v>-0.98670100000000005</v>
      </c>
      <c r="S3319">
        <v>0.94177250000000001</v>
      </c>
      <c r="T3319">
        <v>4.8805950000000001E-2</v>
      </c>
      <c r="U3319">
        <v>-3.0413670000000002</v>
      </c>
      <c r="V3319">
        <v>-0.11868049999999999</v>
      </c>
      <c r="W3319">
        <v>0.1731943</v>
      </c>
      <c r="X3319">
        <v>0.977711</v>
      </c>
      <c r="Y3319">
        <v>-0.4150201</v>
      </c>
      <c r="Z3319">
        <v>-2.6525150000000001E-2</v>
      </c>
      <c r="AA3319">
        <v>0.9094255</v>
      </c>
      <c r="AB3319">
        <v>20</v>
      </c>
      <c r="AC3319">
        <v>19.346900000000002</v>
      </c>
      <c r="AD3319">
        <v>1.002005</v>
      </c>
      <c r="AE3319">
        <v>-62.319499999999998</v>
      </c>
      <c r="AF3319">
        <v>-27.124324593880601</v>
      </c>
      <c r="AG3319">
        <v>1.002005</v>
      </c>
      <c r="AH3319">
        <v>59.332000784925903</v>
      </c>
      <c r="AI3319">
        <v>89.120052455963105</v>
      </c>
      <c r="AJ3319">
        <v>114.568069304771</v>
      </c>
      <c r="AK3319">
        <v>65.245837536479399</v>
      </c>
      <c r="AL3319">
        <v>80.026406011601196</v>
      </c>
      <c r="AM3319">
        <v>96.921049372063806</v>
      </c>
      <c r="AN3319">
        <v>1.00000006307686</v>
      </c>
    </row>
    <row r="3320" spans="1:40" x14ac:dyDescent="0.25">
      <c r="A3320" t="str">
        <f>"20190303170319137"</f>
        <v>20190303170319137</v>
      </c>
      <c r="B3320" t="str">
        <f>"1551603799128484"</f>
        <v>1551603799128484</v>
      </c>
      <c r="C3320" t="s">
        <v>40</v>
      </c>
      <c r="D3320">
        <v>4.4755630000000002</v>
      </c>
      <c r="E3320">
        <v>0.37926609999999999</v>
      </c>
      <c r="F3320" t="s">
        <v>78</v>
      </c>
      <c r="G3320">
        <v>-473.85019999999997</v>
      </c>
      <c r="H3320">
        <v>2.1278990000000002</v>
      </c>
      <c r="I3320">
        <v>196.53370000000001</v>
      </c>
      <c r="J3320">
        <v>-493.21089999999998</v>
      </c>
      <c r="K3320">
        <v>1.1229979999999999</v>
      </c>
      <c r="L3320">
        <v>258.50279999999998</v>
      </c>
      <c r="M3320">
        <v>-0.1255018</v>
      </c>
      <c r="N3320">
        <v>-1.141941E-2</v>
      </c>
      <c r="O3320">
        <v>-0.99202769999999996</v>
      </c>
      <c r="P3320">
        <v>-6.2329909999999898E-3</v>
      </c>
      <c r="Q3320">
        <v>0.1624437</v>
      </c>
      <c r="R3320">
        <v>-0.98669839999999998</v>
      </c>
      <c r="S3320">
        <v>0.94714359999999997</v>
      </c>
      <c r="T3320">
        <v>4.919279E-2</v>
      </c>
      <c r="U3320">
        <v>-3.039825</v>
      </c>
      <c r="V3320">
        <v>-0.1182747</v>
      </c>
      <c r="W3320">
        <v>0.1732004</v>
      </c>
      <c r="X3320">
        <v>0.97775900000000004</v>
      </c>
      <c r="Y3320">
        <v>-0.41485240000000001</v>
      </c>
      <c r="Z3320">
        <v>-2.6543049999999999E-2</v>
      </c>
      <c r="AA3320">
        <v>0.90950149999999996</v>
      </c>
      <c r="AB3320">
        <v>20</v>
      </c>
      <c r="AC3320">
        <v>19.360700000000001</v>
      </c>
      <c r="AD3320">
        <v>1.004901</v>
      </c>
      <c r="AE3320">
        <v>-61.969099999999898</v>
      </c>
      <c r="AF3320">
        <v>-26.9788794192913</v>
      </c>
      <c r="AG3320">
        <v>1.004901</v>
      </c>
      <c r="AH3320">
        <v>59.034965894007399</v>
      </c>
      <c r="AI3320">
        <v>89.113015258543498</v>
      </c>
      <c r="AJ3320">
        <v>114.560320408891</v>
      </c>
      <c r="AK3320">
        <v>64.915306044469006</v>
      </c>
      <c r="AL3320">
        <v>80.0260502331803</v>
      </c>
      <c r="AM3320">
        <v>96.897277490568001</v>
      </c>
      <c r="AN3320">
        <v>0.99999997265062401</v>
      </c>
    </row>
    <row r="3321" spans="1:40" x14ac:dyDescent="0.25">
      <c r="A3321" t="str">
        <f>"20190303170319149"</f>
        <v>20190303170319149</v>
      </c>
      <c r="B3321" t="str">
        <f>"1551603799138244"</f>
        <v>1551603799138244</v>
      </c>
      <c r="C3321" t="s">
        <v>40</v>
      </c>
      <c r="D3321">
        <v>4.4630219999999996</v>
      </c>
      <c r="E3321">
        <v>0.37925550000000002</v>
      </c>
      <c r="F3321" t="s">
        <v>45</v>
      </c>
      <c r="G3321">
        <v>-476.47050000000002</v>
      </c>
      <c r="H3321">
        <v>2.52861</v>
      </c>
      <c r="I3321">
        <v>205.8073</v>
      </c>
      <c r="J3321">
        <v>-493.22340000000003</v>
      </c>
      <c r="K3321">
        <v>1.122922</v>
      </c>
      <c r="L3321">
        <v>258.38760000000002</v>
      </c>
      <c r="M3321">
        <v>-0.1238233</v>
      </c>
      <c r="N3321">
        <v>-1.132653E-2</v>
      </c>
      <c r="O3321">
        <v>-0.99223989999999995</v>
      </c>
      <c r="P3321">
        <v>-4.6032679999999998E-3</v>
      </c>
      <c r="Q3321">
        <v>0.16249769999999999</v>
      </c>
      <c r="R3321">
        <v>-0.98669859999999998</v>
      </c>
      <c r="S3321">
        <v>0.96359249999999996</v>
      </c>
      <c r="T3321">
        <v>8.0908300000000002E-2</v>
      </c>
      <c r="U3321">
        <v>-3.0332029999999999</v>
      </c>
      <c r="V3321">
        <v>-0.1182066</v>
      </c>
      <c r="W3321">
        <v>0.17318259999999999</v>
      </c>
      <c r="X3321">
        <v>0.97777040000000004</v>
      </c>
      <c r="Y3321">
        <v>-0.41829189999999999</v>
      </c>
      <c r="Z3321">
        <v>-3.6069900000000002E-2</v>
      </c>
      <c r="AA3321">
        <v>0.90759619999999996</v>
      </c>
      <c r="AB3321">
        <v>20</v>
      </c>
      <c r="AC3321">
        <v>16.7529</v>
      </c>
      <c r="AD3321">
        <v>1.4056879999999901</v>
      </c>
      <c r="AE3321">
        <v>-52.580300000000001</v>
      </c>
      <c r="AF3321">
        <v>-23.120038802138399</v>
      </c>
      <c r="AG3321">
        <v>1.4056879999999901</v>
      </c>
      <c r="AH3321">
        <v>50.068586336437903</v>
      </c>
      <c r="AI3321">
        <v>88.5399060312849</v>
      </c>
      <c r="AJ3321">
        <v>114.78595131374701</v>
      </c>
      <c r="AK3321">
        <v>55.166796995068196</v>
      </c>
      <c r="AL3321">
        <v>80.027085862657302</v>
      </c>
      <c r="AM3321">
        <v>96.893264813544704</v>
      </c>
      <c r="AN3321">
        <v>0.99999998417123903</v>
      </c>
    </row>
    <row r="3322" spans="1:40" x14ac:dyDescent="0.25">
      <c r="A3322" t="str">
        <f>"20190303170319166"</f>
        <v>20190303170319166</v>
      </c>
      <c r="B3322" t="str">
        <f>"1551603799158740"</f>
        <v>1551603799158740</v>
      </c>
      <c r="C3322" t="s">
        <v>40</v>
      </c>
      <c r="D3322">
        <v>4.6592289999999998</v>
      </c>
      <c r="E3322">
        <v>0.38254680000000002</v>
      </c>
      <c r="F3322" t="s">
        <v>45</v>
      </c>
      <c r="G3322">
        <v>-476.43169999999998</v>
      </c>
      <c r="H3322">
        <v>2.5062039999999999</v>
      </c>
      <c r="I3322">
        <v>205.8073</v>
      </c>
      <c r="J3322">
        <v>-493.23950000000002</v>
      </c>
      <c r="K3322">
        <v>1.122833</v>
      </c>
      <c r="L3322">
        <v>258.23860000000002</v>
      </c>
      <c r="M3322">
        <v>-0.1217398</v>
      </c>
      <c r="N3322">
        <v>-1.1212150000000001E-2</v>
      </c>
      <c r="O3322">
        <v>-0.99249869999999996</v>
      </c>
      <c r="P3322">
        <v>-2.7650940000000001E-3</v>
      </c>
      <c r="Q3322">
        <v>0.1618521</v>
      </c>
      <c r="R3322">
        <v>-0.98681099999999999</v>
      </c>
      <c r="S3322">
        <v>0.96823119999999996</v>
      </c>
      <c r="T3322">
        <v>7.9761390000000001E-2</v>
      </c>
      <c r="U3322">
        <v>-3.0318299999999998</v>
      </c>
      <c r="V3322">
        <v>-0.117952</v>
      </c>
      <c r="W3322">
        <v>0.17244949999999901</v>
      </c>
      <c r="X3322">
        <v>0.97793070000000004</v>
      </c>
      <c r="Y3322">
        <v>-0.41776839999999998</v>
      </c>
      <c r="Z3322">
        <v>-3.5621439999999997E-2</v>
      </c>
      <c r="AA3322">
        <v>0.90785499999999997</v>
      </c>
      <c r="AB3322">
        <v>20</v>
      </c>
      <c r="AC3322">
        <v>16.8078</v>
      </c>
      <c r="AD3322">
        <v>1.3833709999999999</v>
      </c>
      <c r="AE3322">
        <v>-52.4313</v>
      </c>
      <c r="AF3322">
        <v>-23.051594247246399</v>
      </c>
      <c r="AG3322">
        <v>1.3833709999999999</v>
      </c>
      <c r="AH3322">
        <v>49.963422157562803</v>
      </c>
      <c r="AI3322">
        <v>88.559835831954103</v>
      </c>
      <c r="AJ3322">
        <v>114.767154725258</v>
      </c>
      <c r="AK3322">
        <v>55.042104487003101</v>
      </c>
      <c r="AL3322">
        <v>80.069730984541906</v>
      </c>
      <c r="AM3322">
        <v>96.877443396610502</v>
      </c>
      <c r="AN3322">
        <v>0.99999997917836903</v>
      </c>
    </row>
    <row r="3323" spans="1:40" x14ac:dyDescent="0.25">
      <c r="A3323" t="str">
        <f>"20190303170319180"</f>
        <v>20190303170319180</v>
      </c>
      <c r="B3323" t="str">
        <f>"1551603799168500"</f>
        <v>1551603799168500</v>
      </c>
      <c r="C3323" t="s">
        <v>40</v>
      </c>
      <c r="D3323">
        <v>4.4695799999999997</v>
      </c>
      <c r="E3323">
        <v>0.38254680000000002</v>
      </c>
      <c r="F3323" t="s">
        <v>78</v>
      </c>
      <c r="G3323">
        <v>-474.05829999999997</v>
      </c>
      <c r="H3323">
        <v>2.4692919999999998</v>
      </c>
      <c r="I3323">
        <v>196.90129999999999</v>
      </c>
      <c r="J3323">
        <v>-493.25220000000002</v>
      </c>
      <c r="K3323">
        <v>1.122768</v>
      </c>
      <c r="L3323">
        <v>258.1198</v>
      </c>
      <c r="M3323">
        <v>-0.12014370000000001</v>
      </c>
      <c r="N3323">
        <v>-1.1125639999999999E-2</v>
      </c>
      <c r="O3323">
        <v>-0.99269419999999997</v>
      </c>
      <c r="P3323">
        <v>-1.188782E-3</v>
      </c>
      <c r="Q3323">
        <v>0.16157949999999999</v>
      </c>
      <c r="R3323">
        <v>-0.98685909999999999</v>
      </c>
      <c r="S3323">
        <v>0.94812010000000002</v>
      </c>
      <c r="T3323">
        <v>6.6556329999999997E-2</v>
      </c>
      <c r="U3323">
        <v>-3.03186</v>
      </c>
      <c r="V3323">
        <v>-0.11792279999999999</v>
      </c>
      <c r="W3323">
        <v>0.17210889999999901</v>
      </c>
      <c r="X3323">
        <v>0.97799429999999998</v>
      </c>
      <c r="Y3323">
        <v>-0.41084910000000002</v>
      </c>
      <c r="Z3323">
        <v>-3.1582989999999998E-2</v>
      </c>
      <c r="AA3323">
        <v>0.91115619999999997</v>
      </c>
      <c r="AB3323">
        <v>20</v>
      </c>
      <c r="AC3323">
        <v>19.193899999999999</v>
      </c>
      <c r="AD3323">
        <v>1.3465239999999901</v>
      </c>
      <c r="AE3323">
        <v>-61.218499999999999</v>
      </c>
      <c r="AF3323">
        <v>-26.3986955542549</v>
      </c>
      <c r="AG3323">
        <v>1.3465239999999901</v>
      </c>
      <c r="AH3323">
        <v>58.443096712470101</v>
      </c>
      <c r="AI3323">
        <v>88.797124535352594</v>
      </c>
      <c r="AJ3323">
        <v>114.30865232292901</v>
      </c>
      <c r="AK3323">
        <v>64.142807914776796</v>
      </c>
      <c r="AL3323">
        <v>80.089542905085295</v>
      </c>
      <c r="AM3323">
        <v>96.875314271457299</v>
      </c>
      <c r="AN3323">
        <v>1.00000005552576</v>
      </c>
    </row>
    <row r="3324" spans="1:40" x14ac:dyDescent="0.25">
      <c r="A3324" t="str">
        <f>"20190303170319191"</f>
        <v>20190303170319191</v>
      </c>
      <c r="B3324" t="str">
        <f>"1551603799178259"</f>
        <v>1551603799178259</v>
      </c>
      <c r="C3324" t="s">
        <v>40</v>
      </c>
      <c r="D3324">
        <v>4.6181669999999997</v>
      </c>
      <c r="E3324">
        <v>0.43936629999999899</v>
      </c>
      <c r="F3324" t="s">
        <v>78</v>
      </c>
      <c r="G3324">
        <v>-474.0059</v>
      </c>
      <c r="H3324">
        <v>2.4450509999999999</v>
      </c>
      <c r="I3324">
        <v>196.90129999999999</v>
      </c>
      <c r="J3324">
        <v>-493.26400000000001</v>
      </c>
      <c r="K3324">
        <v>1.1227129999999901</v>
      </c>
      <c r="L3324">
        <v>258.00839999999999</v>
      </c>
      <c r="M3324">
        <v>-0.118700399999999</v>
      </c>
      <c r="N3324">
        <v>-1.104864E-2</v>
      </c>
      <c r="O3324">
        <v>-0.9928688</v>
      </c>
      <c r="P3324">
        <v>2.41203E-4</v>
      </c>
      <c r="Q3324">
        <v>0.1616281</v>
      </c>
      <c r="R3324">
        <v>-0.98685179999999995</v>
      </c>
      <c r="S3324">
        <v>0.95272829999999997</v>
      </c>
      <c r="T3324">
        <v>6.5456749999999994E-2</v>
      </c>
      <c r="U3324">
        <v>-3.030411</v>
      </c>
      <c r="V3324">
        <v>-0.1178969</v>
      </c>
      <c r="W3324">
        <v>0.17209579999999999</v>
      </c>
      <c r="X3324">
        <v>0.97799970000000003</v>
      </c>
      <c r="Y3324">
        <v>-0.41091230000000001</v>
      </c>
      <c r="Z3324">
        <v>-3.117866E-2</v>
      </c>
      <c r="AA3324">
        <v>0.9111416</v>
      </c>
      <c r="AB3324">
        <v>20</v>
      </c>
      <c r="AC3324">
        <v>19.258099999999999</v>
      </c>
      <c r="AD3324">
        <v>1.322338</v>
      </c>
      <c r="AE3324">
        <v>-61.107100000000003</v>
      </c>
      <c r="AF3324">
        <v>-26.364579207607299</v>
      </c>
      <c r="AG3324">
        <v>1.322338</v>
      </c>
      <c r="AH3324">
        <v>58.364082507128103</v>
      </c>
      <c r="AI3324">
        <v>88.817137361616503</v>
      </c>
      <c r="AJ3324">
        <v>114.309935900686</v>
      </c>
      <c r="AK3324">
        <v>64.056270118383395</v>
      </c>
      <c r="AL3324">
        <v>80.090304576172898</v>
      </c>
      <c r="AM3324">
        <v>96.873781069253099</v>
      </c>
      <c r="AN3324">
        <v>1.0000000283036601</v>
      </c>
    </row>
    <row r="3325" spans="1:40" x14ac:dyDescent="0.25">
      <c r="A3325" t="str">
        <f>"20190303170319204"</f>
        <v>20190303170319204</v>
      </c>
      <c r="B3325" t="str">
        <f>"1551603799198755"</f>
        <v>1551603799198755</v>
      </c>
      <c r="C3325" t="s">
        <v>40</v>
      </c>
      <c r="D3325">
        <v>4.5619209999999999</v>
      </c>
      <c r="E3325">
        <v>0.44868789999999997</v>
      </c>
      <c r="F3325" t="s">
        <v>77</v>
      </c>
      <c r="G3325">
        <v>-470.19139999999999</v>
      </c>
      <c r="H3325">
        <v>0.8761949</v>
      </c>
      <c r="I3325">
        <v>119.395</v>
      </c>
      <c r="J3325">
        <v>-493.27539999999999</v>
      </c>
      <c r="K3325">
        <v>1.1226609999999999</v>
      </c>
      <c r="L3325">
        <v>257.89909999999998</v>
      </c>
      <c r="M3325">
        <v>-0.11734269999999999</v>
      </c>
      <c r="N3325">
        <v>-1.0978450000000001E-2</v>
      </c>
      <c r="O3325">
        <v>-0.99303079999999999</v>
      </c>
      <c r="P3325">
        <v>1.7256350000000001E-3</v>
      </c>
      <c r="Q3325">
        <v>0.16185089999999999</v>
      </c>
      <c r="R3325">
        <v>-0.98681390000000002</v>
      </c>
      <c r="S3325">
        <v>0.50613399999999997</v>
      </c>
      <c r="T3325">
        <v>-5.4072139999999996E-3</v>
      </c>
      <c r="U3325">
        <v>-3.0407259999999998</v>
      </c>
      <c r="V3325">
        <v>-0.1180105</v>
      </c>
      <c r="W3325">
        <v>0.1722602</v>
      </c>
      <c r="X3325">
        <v>0.97795699999999997</v>
      </c>
      <c r="Y3325">
        <v>-0.27878890000000001</v>
      </c>
      <c r="Z3325">
        <v>-9.3731769999999999E-3</v>
      </c>
      <c r="AA3325">
        <v>0.96030660000000001</v>
      </c>
      <c r="AB3325">
        <v>20</v>
      </c>
      <c r="AC3325">
        <v>23.084</v>
      </c>
      <c r="AD3325">
        <v>-0.24646609999999999</v>
      </c>
      <c r="AE3325">
        <v>-138.50409999999999</v>
      </c>
      <c r="AF3325">
        <v>-39.1778082888233</v>
      </c>
      <c r="AG3325">
        <v>-0.24646609999999999</v>
      </c>
      <c r="AH3325">
        <v>134.837808570069</v>
      </c>
      <c r="AI3325">
        <v>90.100570008003203</v>
      </c>
      <c r="AJ3325">
        <v>106.201490425361</v>
      </c>
      <c r="AK3325">
        <v>140.414372582841</v>
      </c>
      <c r="AL3325">
        <v>80.080741804770597</v>
      </c>
      <c r="AM3325">
        <v>96.880638399942498</v>
      </c>
      <c r="AN3325">
        <v>0.999999974231644</v>
      </c>
    </row>
    <row r="3326" spans="1:40" x14ac:dyDescent="0.25">
      <c r="A3326" t="str">
        <f>"20190303170319221"</f>
        <v>20190303170319221</v>
      </c>
      <c r="B3326" t="str">
        <f>"1551603799208516"</f>
        <v>1551603799208516</v>
      </c>
      <c r="C3326" t="s">
        <v>40</v>
      </c>
      <c r="D3326">
        <v>4.575399</v>
      </c>
      <c r="E3326">
        <v>0.45228760000000001</v>
      </c>
      <c r="F3326" t="s">
        <v>77</v>
      </c>
      <c r="G3326">
        <v>-473.43430000000001</v>
      </c>
      <c r="H3326">
        <v>0.91467600000000004</v>
      </c>
      <c r="I3326">
        <v>119.8177</v>
      </c>
      <c r="J3326">
        <v>-493.29050000000001</v>
      </c>
      <c r="K3326">
        <v>1.122611</v>
      </c>
      <c r="L3326">
        <v>257.75360000000001</v>
      </c>
      <c r="M3326">
        <v>-0.115583199999999</v>
      </c>
      <c r="N3326">
        <v>-1.08901E-2</v>
      </c>
      <c r="O3326">
        <v>-0.99323819999999996</v>
      </c>
      <c r="P3326">
        <v>3.853773E-3</v>
      </c>
      <c r="Q3326">
        <v>0.162475799999999</v>
      </c>
      <c r="R3326">
        <v>-0.98670539999999995</v>
      </c>
      <c r="S3326">
        <v>0.43682860000000001</v>
      </c>
      <c r="T3326">
        <v>-4.5784709999999998E-3</v>
      </c>
      <c r="U3326">
        <v>-3.0400700000000001</v>
      </c>
      <c r="V3326">
        <v>-0.11835809999999999</v>
      </c>
      <c r="W3326">
        <v>0.17280879999999901</v>
      </c>
      <c r="X3326">
        <v>0.97781830000000003</v>
      </c>
      <c r="Y3326">
        <v>-0.25566759999999999</v>
      </c>
      <c r="Z3326">
        <v>-9.5224869999999996E-3</v>
      </c>
      <c r="AA3326">
        <v>0.96671779999999996</v>
      </c>
      <c r="AB3326">
        <v>20</v>
      </c>
      <c r="AC3326">
        <v>19.856200000000001</v>
      </c>
      <c r="AD3326">
        <v>-0.20793500000000001</v>
      </c>
      <c r="AE3326">
        <v>-137.9359</v>
      </c>
      <c r="AF3326">
        <v>-35.667041247107797</v>
      </c>
      <c r="AG3326">
        <v>-0.20793500000000001</v>
      </c>
      <c r="AH3326">
        <v>134.71583753325899</v>
      </c>
      <c r="AI3326">
        <v>90.085490875060202</v>
      </c>
      <c r="AJ3326">
        <v>104.829248873738</v>
      </c>
      <c r="AK3326">
        <v>139.35759021515301</v>
      </c>
      <c r="AL3326">
        <v>80.048831792428501</v>
      </c>
      <c r="AM3326">
        <v>96.901679583061707</v>
      </c>
      <c r="AN3326">
        <v>1.0000000745039599</v>
      </c>
    </row>
    <row r="3327" spans="1:40" x14ac:dyDescent="0.25">
      <c r="A3327" t="str">
        <f>"20190303170319232"</f>
        <v>20190303170319232</v>
      </c>
      <c r="B3327" t="str">
        <f>"1551603799218276"</f>
        <v>1551603799218276</v>
      </c>
      <c r="C3327" t="s">
        <v>40</v>
      </c>
      <c r="D3327">
        <v>4.5327659999999996</v>
      </c>
      <c r="E3327">
        <v>0.45466489999999998</v>
      </c>
      <c r="F3327" t="s">
        <v>77</v>
      </c>
      <c r="G3327">
        <v>-473.15</v>
      </c>
      <c r="H3327">
        <v>0.84526659999999998</v>
      </c>
      <c r="I3327">
        <v>110.0177</v>
      </c>
      <c r="J3327">
        <v>-493.30189999999999</v>
      </c>
      <c r="K3327">
        <v>1.1225799999999999</v>
      </c>
      <c r="L3327">
        <v>257.64240000000001</v>
      </c>
      <c r="M3327">
        <v>-0.11427759999999999</v>
      </c>
      <c r="N3327">
        <v>-1.082691E-2</v>
      </c>
      <c r="O3327">
        <v>-0.99339</v>
      </c>
      <c r="P3327">
        <v>5.3811819999999896E-3</v>
      </c>
      <c r="Q3327">
        <v>0.162665</v>
      </c>
      <c r="R3327">
        <v>-0.98666699999999996</v>
      </c>
      <c r="S3327">
        <v>0.41439819999999999</v>
      </c>
      <c r="T3327">
        <v>-5.7059529999999997E-3</v>
      </c>
      <c r="U3327">
        <v>-3.039749</v>
      </c>
      <c r="V3327">
        <v>-0.118572</v>
      </c>
      <c r="W3327">
        <v>0.17294309999999999</v>
      </c>
      <c r="X3327">
        <v>0.97776850000000004</v>
      </c>
      <c r="Y3327">
        <v>-0.2474064</v>
      </c>
      <c r="Z3327">
        <v>-9.0905399999999994E-3</v>
      </c>
      <c r="AA3327">
        <v>0.96886910000000004</v>
      </c>
      <c r="AB3327">
        <v>20</v>
      </c>
      <c r="AC3327">
        <v>20.151900000000001</v>
      </c>
      <c r="AD3327">
        <v>-0.27731339999999899</v>
      </c>
      <c r="AE3327">
        <v>-147.62469999999999</v>
      </c>
      <c r="AF3327">
        <v>-36.890921606022196</v>
      </c>
      <c r="AG3327">
        <v>-0.27731339999999899</v>
      </c>
      <c r="AH3327">
        <v>144.35393040064301</v>
      </c>
      <c r="AI3327">
        <v>90.106641515202895</v>
      </c>
      <c r="AJ3327">
        <v>104.33561154718799</v>
      </c>
      <c r="AK3327">
        <v>148.99353751682401</v>
      </c>
      <c r="AL3327">
        <v>80.041017962224501</v>
      </c>
      <c r="AM3327">
        <v>96.914380599462802</v>
      </c>
      <c r="AN3327">
        <v>0.99999993730692804</v>
      </c>
    </row>
    <row r="3328" spans="1:40" x14ac:dyDescent="0.25">
      <c r="A3328" t="str">
        <f>"20190303170319256"</f>
        <v>20190303170319256</v>
      </c>
      <c r="B3328" t="str">
        <f>"1551603799248532"</f>
        <v>1551603799248532</v>
      </c>
      <c r="C3328" t="s">
        <v>40</v>
      </c>
      <c r="D3328">
        <v>4.5413370000000004</v>
      </c>
      <c r="E3328">
        <v>0.4572503</v>
      </c>
      <c r="F3328" t="s">
        <v>77</v>
      </c>
      <c r="G3328">
        <v>-473.57749999999999</v>
      </c>
      <c r="H3328">
        <v>0.69103749999999997</v>
      </c>
      <c r="I3328">
        <v>107.8134</v>
      </c>
      <c r="J3328">
        <v>-493.32240000000002</v>
      </c>
      <c r="K3328">
        <v>1.1225400000000001</v>
      </c>
      <c r="L3328">
        <v>257.4391</v>
      </c>
      <c r="M3328">
        <v>-0.11196639999999999</v>
      </c>
      <c r="N3328">
        <v>-1.07233E-2</v>
      </c>
      <c r="O3328">
        <v>-0.99365440000000005</v>
      </c>
      <c r="P3328">
        <v>8.562666E-3</v>
      </c>
      <c r="Q3328">
        <v>0.16258629999999999</v>
      </c>
      <c r="R3328">
        <v>-0.98665749999999997</v>
      </c>
      <c r="S3328">
        <v>0.400177</v>
      </c>
      <c r="T3328">
        <v>-8.7548490000000003E-3</v>
      </c>
      <c r="U3328">
        <v>-3.0398100000000001</v>
      </c>
      <c r="V3328">
        <v>-0.11943819999999999</v>
      </c>
      <c r="W3328">
        <v>0.172769799999999</v>
      </c>
      <c r="X3328">
        <v>0.97769379999999995</v>
      </c>
      <c r="Y3328">
        <v>-0.24069180000000001</v>
      </c>
      <c r="Z3328">
        <v>-8.0042369999999904E-3</v>
      </c>
      <c r="AA3328">
        <v>0.9705686</v>
      </c>
      <c r="AB3328">
        <v>20</v>
      </c>
      <c r="AC3328">
        <v>19.744900000000001</v>
      </c>
      <c r="AD3328">
        <v>-0.43150249999999901</v>
      </c>
      <c r="AE3328">
        <v>-149.62569999999999</v>
      </c>
      <c r="AF3328">
        <v>-36.374442160370499</v>
      </c>
      <c r="AG3328">
        <v>-0.43150249999999901</v>
      </c>
      <c r="AH3328">
        <v>146.47265529706499</v>
      </c>
      <c r="AI3328">
        <v>90.163814852255598</v>
      </c>
      <c r="AJ3328">
        <v>103.946479718587</v>
      </c>
      <c r="AK3328">
        <v>150.922248150027</v>
      </c>
      <c r="AL3328">
        <v>80.051099973409706</v>
      </c>
      <c r="AM3328">
        <v>96.964924580654596</v>
      </c>
      <c r="AN3328">
        <v>1.0000000269848499</v>
      </c>
    </row>
    <row r="3329" spans="1:40" x14ac:dyDescent="0.25">
      <c r="A3329" t="str">
        <f>"20190303170319266"</f>
        <v>20190303170319266</v>
      </c>
      <c r="B3329" t="str">
        <f>"1551603799258291"</f>
        <v>1551603799258291</v>
      </c>
      <c r="C3329" t="s">
        <v>40</v>
      </c>
      <c r="D3329">
        <v>4.5512379999999997</v>
      </c>
      <c r="E3329">
        <v>0.45788269999999998</v>
      </c>
      <c r="F3329" t="s">
        <v>77</v>
      </c>
      <c r="G3329">
        <v>-473.15</v>
      </c>
      <c r="H3329">
        <v>0.38144030000000001</v>
      </c>
      <c r="I3329">
        <v>99.758859999999999</v>
      </c>
      <c r="J3329">
        <v>-493.3322</v>
      </c>
      <c r="K3329">
        <v>1.122533</v>
      </c>
      <c r="L3329">
        <v>257.34100000000001</v>
      </c>
      <c r="M3329">
        <v>-0.11087760000000001</v>
      </c>
      <c r="N3329">
        <v>-1.0678969999999999E-2</v>
      </c>
      <c r="O3329">
        <v>-0.99377669999999996</v>
      </c>
      <c r="P3329">
        <v>9.6186870000000008E-3</v>
      </c>
      <c r="Q3329">
        <v>0.1624565</v>
      </c>
      <c r="R3329">
        <v>-0.98666900000000002</v>
      </c>
      <c r="S3329">
        <v>0.38885500000000001</v>
      </c>
      <c r="T3329">
        <v>-1.428521E-2</v>
      </c>
      <c r="U3329">
        <v>-3.0395509999999999</v>
      </c>
      <c r="V3329">
        <v>-0.11941300000000001</v>
      </c>
      <c r="W3329">
        <v>0.17259829999999901</v>
      </c>
      <c r="X3329">
        <v>0.97772709999999996</v>
      </c>
      <c r="Y3329">
        <v>-0.23608080000000001</v>
      </c>
      <c r="Z3329">
        <v>-6.1839499999999997E-3</v>
      </c>
      <c r="AA3329">
        <v>0.97171370000000001</v>
      </c>
      <c r="AB3329">
        <v>20</v>
      </c>
      <c r="AC3329">
        <v>20.182200000000002</v>
      </c>
      <c r="AD3329">
        <v>-0.74109269999999905</v>
      </c>
      <c r="AE3329">
        <v>-157.58213999999899</v>
      </c>
      <c r="AF3329">
        <v>-37.530252794801797</v>
      </c>
      <c r="AG3329">
        <v>-0.74109269999999905</v>
      </c>
      <c r="AH3329">
        <v>154.369147720813</v>
      </c>
      <c r="AI3329">
        <v>90.267276950025604</v>
      </c>
      <c r="AJ3329">
        <v>103.66464905741</v>
      </c>
      <c r="AK3329">
        <v>158.86756390554299</v>
      </c>
      <c r="AL3329">
        <v>80.061075394033793</v>
      </c>
      <c r="AM3329">
        <v>96.963234658712096</v>
      </c>
      <c r="AN3329">
        <v>0.99999995990314905</v>
      </c>
    </row>
    <row r="3330" spans="1:40" x14ac:dyDescent="0.25">
      <c r="A3330" t="str">
        <f>"20190303170319277"</f>
        <v>20190303170319277</v>
      </c>
      <c r="B3330" t="str">
        <f>"1551603799269028"</f>
        <v>1551603799269028</v>
      </c>
      <c r="C3330" t="s">
        <v>40</v>
      </c>
      <c r="D3330">
        <v>4.5702280000000002</v>
      </c>
      <c r="E3330">
        <v>0.45855390000000001</v>
      </c>
      <c r="F3330" t="s">
        <v>77</v>
      </c>
      <c r="G3330">
        <v>-473.17169999999999</v>
      </c>
      <c r="H3330">
        <v>0.30232419999999999</v>
      </c>
      <c r="I3330">
        <v>99.129630000000006</v>
      </c>
      <c r="J3330">
        <v>-493.34190000000001</v>
      </c>
      <c r="K3330">
        <v>1.122525</v>
      </c>
      <c r="L3330">
        <v>257.24329999999998</v>
      </c>
      <c r="M3330">
        <v>-0.10979709999999999</v>
      </c>
      <c r="N3330">
        <v>-1.063622E-2</v>
      </c>
      <c r="O3330">
        <v>-0.99389729999999998</v>
      </c>
      <c r="P3330">
        <v>1.038067E-2</v>
      </c>
      <c r="Q3330">
        <v>0.1622198</v>
      </c>
      <c r="R3330">
        <v>-0.98670020000000003</v>
      </c>
      <c r="S3330">
        <v>0.38729859999999999</v>
      </c>
      <c r="T3330">
        <v>-1.5756490000000001E-2</v>
      </c>
      <c r="U3330">
        <v>-3.0393829999999999</v>
      </c>
      <c r="V3330">
        <v>-0.1191069</v>
      </c>
      <c r="W3330">
        <v>0.17232259999999999</v>
      </c>
      <c r="X3330">
        <v>0.97781309999999999</v>
      </c>
      <c r="Y3330">
        <v>-0.2345411</v>
      </c>
      <c r="Z3330">
        <v>-5.6667449999999999E-3</v>
      </c>
      <c r="AA3330">
        <v>0.97208969999999995</v>
      </c>
      <c r="AB3330">
        <v>20</v>
      </c>
      <c r="AC3330">
        <v>20.170200000000001</v>
      </c>
      <c r="AD3330">
        <v>-0.82020079999999995</v>
      </c>
      <c r="AE3330">
        <v>-158.11366999999899</v>
      </c>
      <c r="AF3330">
        <v>-37.408648338012</v>
      </c>
      <c r="AG3330">
        <v>-0.82020079999999995</v>
      </c>
      <c r="AH3330">
        <v>154.93875316770601</v>
      </c>
      <c r="AI3330">
        <v>90.294832776449496</v>
      </c>
      <c r="AJ3330">
        <v>103.57380254157199</v>
      </c>
      <c r="AK3330">
        <v>159.39290113738701</v>
      </c>
      <c r="AL3330">
        <v>80.077112483421104</v>
      </c>
      <c r="AM3330">
        <v>96.944954960626703</v>
      </c>
      <c r="AN3330">
        <v>0.99999999531498995</v>
      </c>
    </row>
    <row r="3331" spans="1:40" x14ac:dyDescent="0.25">
      <c r="A3331" t="str">
        <f>"20190303170319289"</f>
        <v>20190303170319289</v>
      </c>
      <c r="B3331" t="str">
        <f>"1551603799278788"</f>
        <v>1551603799278788</v>
      </c>
      <c r="C3331" t="s">
        <v>40</v>
      </c>
      <c r="D3331">
        <v>4.5486839999999997</v>
      </c>
      <c r="E3331">
        <v>0.45893200000000001</v>
      </c>
      <c r="F3331" t="s">
        <v>77</v>
      </c>
      <c r="G3331">
        <v>-473.3279</v>
      </c>
      <c r="H3331">
        <v>0.2127349</v>
      </c>
      <c r="I3331">
        <v>99.129630000000006</v>
      </c>
      <c r="J3331">
        <v>-493.3526</v>
      </c>
      <c r="K3331">
        <v>1.1225229999999999</v>
      </c>
      <c r="L3331">
        <v>257.13409999999999</v>
      </c>
      <c r="M3331">
        <v>-0.1085965</v>
      </c>
      <c r="N3331">
        <v>-1.059265E-2</v>
      </c>
      <c r="O3331">
        <v>-0.99402939999999995</v>
      </c>
      <c r="P3331">
        <v>1.1221399999999999E-2</v>
      </c>
      <c r="Q3331">
        <v>0.1617372</v>
      </c>
      <c r="R3331">
        <v>-0.98677040000000005</v>
      </c>
      <c r="S3331">
        <v>0.38470460000000001</v>
      </c>
      <c r="T3331">
        <v>-1.7487530000000001E-2</v>
      </c>
      <c r="U3331">
        <v>-3.0392610000000002</v>
      </c>
      <c r="V3331">
        <v>-0.11876680000000001</v>
      </c>
      <c r="W3331">
        <v>0.17179839999999999</v>
      </c>
      <c r="X3331">
        <v>0.97794669999999895</v>
      </c>
      <c r="Y3331">
        <v>-0.23255490000000001</v>
      </c>
      <c r="Z3331">
        <v>-5.0643800000000003E-3</v>
      </c>
      <c r="AA3331">
        <v>0.97257009999999999</v>
      </c>
      <c r="AB3331">
        <v>20</v>
      </c>
      <c r="AC3331">
        <v>20.024699999999999</v>
      </c>
      <c r="AD3331">
        <v>-0.90978809999999999</v>
      </c>
      <c r="AE3331">
        <v>-158.004469999999</v>
      </c>
      <c r="AF3331">
        <v>-37.064745795018602</v>
      </c>
      <c r="AG3331">
        <v>-0.90978809999999999</v>
      </c>
      <c r="AH3331">
        <v>154.890123705386</v>
      </c>
      <c r="AI3331">
        <v>90.327297662192706</v>
      </c>
      <c r="AJ3331">
        <v>103.45764333704101</v>
      </c>
      <c r="AK3331">
        <v>159.26573239936499</v>
      </c>
      <c r="AL3331">
        <v>80.107601637244102</v>
      </c>
      <c r="AM3331">
        <v>96.924380161728294</v>
      </c>
      <c r="AN3331">
        <v>0.99999999553284402</v>
      </c>
    </row>
    <row r="3332" spans="1:40" x14ac:dyDescent="0.25">
      <c r="A3332" t="str">
        <f>"20190303170319302"</f>
        <v>20190303170319302</v>
      </c>
      <c r="B3332" t="str">
        <f>"1551603799288548"</f>
        <v>1551603799288548</v>
      </c>
      <c r="C3332" t="s">
        <v>40</v>
      </c>
      <c r="D3332">
        <v>4.5580879999999997</v>
      </c>
      <c r="E3332">
        <v>0.45954159999999999</v>
      </c>
      <c r="F3332" t="s">
        <v>44</v>
      </c>
      <c r="G3332">
        <v>-469.44979999999998</v>
      </c>
      <c r="H3332">
        <v>-0.05</v>
      </c>
      <c r="I3332">
        <v>68.572490000000002</v>
      </c>
      <c r="J3332">
        <v>-493.36219999999997</v>
      </c>
      <c r="K3332">
        <v>1.122525</v>
      </c>
      <c r="L3332">
        <v>257.03449999999998</v>
      </c>
      <c r="M3332">
        <v>-0.107504</v>
      </c>
      <c r="N3332">
        <v>-1.0558359999999999E-2</v>
      </c>
      <c r="O3332">
        <v>-0.99414880000000005</v>
      </c>
      <c r="P3332">
        <v>1.182153E-2</v>
      </c>
      <c r="Q3332">
        <v>0.16105610000000001</v>
      </c>
      <c r="R3332">
        <v>-0.98687460000000005</v>
      </c>
      <c r="S3332">
        <v>0.38522339999999999</v>
      </c>
      <c r="T3332">
        <v>-1.8896699999999999E-2</v>
      </c>
      <c r="U3332">
        <v>-3.03891</v>
      </c>
      <c r="V3332">
        <v>-0.1182986</v>
      </c>
      <c r="W3332">
        <v>0.17108480000000001</v>
      </c>
      <c r="X3332">
        <v>0.97812860000000001</v>
      </c>
      <c r="Y3332">
        <v>-0.23166320000000001</v>
      </c>
      <c r="Z3332">
        <v>-4.5754699999999999E-3</v>
      </c>
      <c r="AA3332">
        <v>0.97278529999999996</v>
      </c>
      <c r="AB3332">
        <v>20</v>
      </c>
      <c r="AC3332">
        <v>23.912399999999899</v>
      </c>
      <c r="AD3332">
        <v>-1.172525</v>
      </c>
      <c r="AE3332">
        <v>-188.46200999999999</v>
      </c>
      <c r="AF3332">
        <v>-44.033671460513197</v>
      </c>
      <c r="AG3332">
        <v>-1.172525</v>
      </c>
      <c r="AH3332">
        <v>184.79182447301699</v>
      </c>
      <c r="AI3332">
        <v>90.353642085858894</v>
      </c>
      <c r="AJ3332">
        <v>103.402948405915</v>
      </c>
      <c r="AK3332">
        <v>189.96935918519699</v>
      </c>
      <c r="AL3332">
        <v>80.149103024191007</v>
      </c>
      <c r="AM3332">
        <v>96.896076156387394</v>
      </c>
      <c r="AN3332">
        <v>1.0000000628454699</v>
      </c>
    </row>
    <row r="3333" spans="1:40" x14ac:dyDescent="0.25">
      <c r="A3333" t="str">
        <f>"20190303170319314"</f>
        <v>20190303170319314</v>
      </c>
      <c r="B3333" t="str">
        <f>"1551603799309044"</f>
        <v>1551603799309044</v>
      </c>
      <c r="C3333" t="s">
        <v>40</v>
      </c>
      <c r="D3333">
        <v>4.5552999999999999</v>
      </c>
      <c r="E3333">
        <v>0.46014500000000003</v>
      </c>
      <c r="F3333" t="s">
        <v>44</v>
      </c>
      <c r="G3333">
        <v>-473.36329999999998</v>
      </c>
      <c r="H3333">
        <v>-0.05</v>
      </c>
      <c r="I3333">
        <v>98.008269999999996</v>
      </c>
      <c r="J3333">
        <v>-493.3741</v>
      </c>
      <c r="K3333">
        <v>1.1225339999999999</v>
      </c>
      <c r="L3333">
        <v>256.90989999999999</v>
      </c>
      <c r="M3333">
        <v>-0.1061381</v>
      </c>
      <c r="N3333">
        <v>-1.052107E-2</v>
      </c>
      <c r="O3333">
        <v>-0.9942957</v>
      </c>
      <c r="P3333">
        <v>1.250006E-2</v>
      </c>
      <c r="Q3333">
        <v>0.1603395</v>
      </c>
      <c r="R3333">
        <v>-0.9869829</v>
      </c>
      <c r="S3333">
        <v>0.3821716</v>
      </c>
      <c r="T3333">
        <v>-2.2406579999999999E-2</v>
      </c>
      <c r="U3333">
        <v>-3.0389400000000002</v>
      </c>
      <c r="V3333">
        <v>-0.1176425</v>
      </c>
      <c r="W3333">
        <v>0.1703317</v>
      </c>
      <c r="X3333">
        <v>0.97833910000000002</v>
      </c>
      <c r="Y3333">
        <v>-0.22936280000000001</v>
      </c>
      <c r="Z3333">
        <v>-3.407794E-3</v>
      </c>
      <c r="AA3333">
        <v>0.97333499999999995</v>
      </c>
      <c r="AB3333">
        <v>20</v>
      </c>
      <c r="AC3333">
        <v>20.0108</v>
      </c>
      <c r="AD3333">
        <v>-1.172534</v>
      </c>
      <c r="AE3333">
        <v>-158.90163000000001</v>
      </c>
      <c r="AF3333">
        <v>-36.762235195220804</v>
      </c>
      <c r="AG3333">
        <v>-1.172534</v>
      </c>
      <c r="AH3333">
        <v>155.87157773578099</v>
      </c>
      <c r="AI3333">
        <v>90.419487046113005</v>
      </c>
      <c r="AJ3333">
        <v>103.27066847245401</v>
      </c>
      <c r="AK3333">
        <v>160.15238218138199</v>
      </c>
      <c r="AL3333">
        <v>80.192894851138604</v>
      </c>
      <c r="AM3333">
        <v>96.856733300813701</v>
      </c>
      <c r="AN3333">
        <v>1.0000000202099699</v>
      </c>
    </row>
    <row r="3334" spans="1:40" x14ac:dyDescent="0.25">
      <c r="A3334" t="str">
        <f>"20190303170319328"</f>
        <v>20190303170319328</v>
      </c>
      <c r="B3334" t="str">
        <f>"1551603799318804"</f>
        <v>1551603799318804</v>
      </c>
      <c r="C3334" t="s">
        <v>40</v>
      </c>
      <c r="D3334">
        <v>4.5412140000000001</v>
      </c>
      <c r="E3334">
        <v>0.46047919999999998</v>
      </c>
      <c r="F3334" t="s">
        <v>75</v>
      </c>
      <c r="G3334">
        <v>-477.03539999999998</v>
      </c>
      <c r="H3334">
        <v>7.9986580000000002E-2</v>
      </c>
      <c r="I3334">
        <v>126.0998</v>
      </c>
      <c r="J3334">
        <v>-493.38529999999997</v>
      </c>
      <c r="K3334">
        <v>1.1225459999999901</v>
      </c>
      <c r="L3334">
        <v>256.791</v>
      </c>
      <c r="M3334">
        <v>-0.1048279</v>
      </c>
      <c r="N3334">
        <v>-1.049637E-2</v>
      </c>
      <c r="O3334">
        <v>-0.99443519999999996</v>
      </c>
      <c r="P3334">
        <v>1.369514E-2</v>
      </c>
      <c r="Q3334">
        <v>0.15993889999999999</v>
      </c>
      <c r="R3334">
        <v>-0.98703209999999997</v>
      </c>
      <c r="S3334">
        <v>0.37954710000000003</v>
      </c>
      <c r="T3334">
        <v>-2.4218199999999999E-2</v>
      </c>
      <c r="U3334">
        <v>-3.0386959999999998</v>
      </c>
      <c r="V3334">
        <v>-0.11755110000000001</v>
      </c>
      <c r="W3334">
        <v>0.16990269999999999</v>
      </c>
      <c r="X3334">
        <v>0.97842470000000004</v>
      </c>
      <c r="Y3334">
        <v>-0.22726160000000001</v>
      </c>
      <c r="Z3334">
        <v>-2.7961240000000001E-3</v>
      </c>
      <c r="AA3334">
        <v>0.97382970000000002</v>
      </c>
      <c r="AB3334">
        <v>20</v>
      </c>
      <c r="AC3334">
        <v>16.349899999999899</v>
      </c>
      <c r="AD3334">
        <v>-1.0425594199999999</v>
      </c>
      <c r="AE3334">
        <v>-130.69119999999899</v>
      </c>
      <c r="AF3334">
        <v>-29.958767067775302</v>
      </c>
      <c r="AG3334">
        <v>-1.0425594199999999</v>
      </c>
      <c r="AH3334">
        <v>128.249006262162</v>
      </c>
      <c r="AI3334">
        <v>90.453547761297799</v>
      </c>
      <c r="AJ3334">
        <v>103.148426362742</v>
      </c>
      <c r="AK3334">
        <v>131.70581711373799</v>
      </c>
      <c r="AL3334">
        <v>80.217838526430299</v>
      </c>
      <c r="AM3334">
        <v>96.850863036696595</v>
      </c>
      <c r="AN3334">
        <v>1.00000004107429</v>
      </c>
    </row>
    <row r="3335" spans="1:40" x14ac:dyDescent="0.25">
      <c r="A3335" t="str">
        <f>"20190303170319346"</f>
        <v>20190303170319346</v>
      </c>
      <c r="B3335" t="str">
        <f>"1551603799338323"</f>
        <v>1551603799338323</v>
      </c>
      <c r="C3335" t="s">
        <v>40</v>
      </c>
      <c r="D3335">
        <v>4.5535030000000001</v>
      </c>
      <c r="E3335">
        <v>0.46096589999999998</v>
      </c>
      <c r="F3335" t="s">
        <v>75</v>
      </c>
      <c r="G3335">
        <v>-477.42930000000001</v>
      </c>
      <c r="H3335">
        <v>6.8422720000000006E-2</v>
      </c>
      <c r="I3335">
        <v>129.59780000000001</v>
      </c>
      <c r="J3335">
        <v>-493.40010000000001</v>
      </c>
      <c r="K3335">
        <v>1.1225689999999999</v>
      </c>
      <c r="L3335">
        <v>256.63200000000001</v>
      </c>
      <c r="M3335">
        <v>-0.1030681</v>
      </c>
      <c r="N3335">
        <v>-1.047055E-2</v>
      </c>
      <c r="O3335">
        <v>-0.99461929999999998</v>
      </c>
      <c r="P3335">
        <v>1.524025E-2</v>
      </c>
      <c r="Q3335">
        <v>0.15995760000000001</v>
      </c>
      <c r="R3335">
        <v>-0.98700639999999995</v>
      </c>
      <c r="S3335">
        <v>0.38113399999999997</v>
      </c>
      <c r="T3335">
        <v>-2.5179389999999999E-2</v>
      </c>
      <c r="U3335">
        <v>-3.038208</v>
      </c>
      <c r="V3335">
        <v>-0.11736149999999999</v>
      </c>
      <c r="W3335">
        <v>0.16988909999999999</v>
      </c>
      <c r="X3335">
        <v>0.97844980000000004</v>
      </c>
      <c r="Y3335">
        <v>-0.22605810000000001</v>
      </c>
      <c r="Z3335">
        <v>-2.4564560000000001E-3</v>
      </c>
      <c r="AA3335">
        <v>0.9741107</v>
      </c>
      <c r="AB3335">
        <v>20</v>
      </c>
      <c r="AC3335">
        <v>15.970799999999899</v>
      </c>
      <c r="AD3335">
        <v>-1.0541462800000001</v>
      </c>
      <c r="AE3335">
        <v>-127.0342</v>
      </c>
      <c r="AF3335">
        <v>-28.977660665072701</v>
      </c>
      <c r="AG3335">
        <v>-1.0541462800000001</v>
      </c>
      <c r="AH3335">
        <v>124.702956588292</v>
      </c>
      <c r="AI3335">
        <v>90.471755715993197</v>
      </c>
      <c r="AJ3335">
        <v>103.08185559170801</v>
      </c>
      <c r="AK3335">
        <v>128.02985364305201</v>
      </c>
      <c r="AL3335">
        <v>80.218629031844102</v>
      </c>
      <c r="AM3335">
        <v>96.839744140276593</v>
      </c>
      <c r="AN3335">
        <v>1.0000000195505401</v>
      </c>
    </row>
    <row r="3336" spans="1:40" x14ac:dyDescent="0.25">
      <c r="A3336" t="str">
        <f>"20190303170319360"</f>
        <v>20190303170319360</v>
      </c>
      <c r="B3336" t="str">
        <f>"1551603799349060"</f>
        <v>1551603799349060</v>
      </c>
      <c r="C3336" t="s">
        <v>40</v>
      </c>
      <c r="D3336">
        <v>4.5757059999999896</v>
      </c>
      <c r="E3336">
        <v>0.4612501</v>
      </c>
      <c r="F3336" t="s">
        <v>75</v>
      </c>
      <c r="G3336">
        <v>-477.10759999999999</v>
      </c>
      <c r="H3336">
        <v>7.9986570000000007E-2</v>
      </c>
      <c r="I3336">
        <v>127.1473</v>
      </c>
      <c r="J3336">
        <v>-493.4117</v>
      </c>
      <c r="K3336">
        <v>1.1225909999999999</v>
      </c>
      <c r="L3336">
        <v>256.505</v>
      </c>
      <c r="M3336">
        <v>-0.1016519</v>
      </c>
      <c r="N3336">
        <v>-1.0455300000000001E-2</v>
      </c>
      <c r="O3336">
        <v>-0.99476520000000002</v>
      </c>
      <c r="P3336">
        <v>1.6321390000000002E-2</v>
      </c>
      <c r="Q3336">
        <v>0.15997729999999999</v>
      </c>
      <c r="R3336">
        <v>-0.98698580000000002</v>
      </c>
      <c r="S3336">
        <v>0.38220209999999999</v>
      </c>
      <c r="T3336">
        <v>-2.4457690000000001E-2</v>
      </c>
      <c r="U3336">
        <v>-3.0375519999999998</v>
      </c>
      <c r="V3336">
        <v>-0.1170489</v>
      </c>
      <c r="W3336">
        <v>0.16988909999999999</v>
      </c>
      <c r="X3336">
        <v>0.97848729999999995</v>
      </c>
      <c r="Y3336">
        <v>-0.2250346</v>
      </c>
      <c r="Z3336">
        <v>-2.6677910000000001E-3</v>
      </c>
      <c r="AA3336">
        <v>0.97434710000000002</v>
      </c>
      <c r="AB3336">
        <v>20</v>
      </c>
      <c r="AC3336">
        <v>16.304099999999998</v>
      </c>
      <c r="AD3336">
        <v>-1.0426044299999999</v>
      </c>
      <c r="AE3336">
        <v>-129.35769999999999</v>
      </c>
      <c r="AF3336">
        <v>-29.367931328230899</v>
      </c>
      <c r="AG3336">
        <v>-1.0426044299999999</v>
      </c>
      <c r="AH3336">
        <v>127.022002015864</v>
      </c>
      <c r="AI3336">
        <v>90.458190394652107</v>
      </c>
      <c r="AJ3336">
        <v>103.018238219701</v>
      </c>
      <c r="AK3336">
        <v>130.376958894643</v>
      </c>
      <c r="AL3336">
        <v>80.218629567453405</v>
      </c>
      <c r="AM3336">
        <v>96.821438967885499</v>
      </c>
      <c r="AN3336">
        <v>1.00000007377565</v>
      </c>
    </row>
    <row r="3337" spans="1:40" x14ac:dyDescent="0.25">
      <c r="A3337" t="str">
        <f>"20190303170319372"</f>
        <v>20190303170319372</v>
      </c>
      <c r="B3337" t="str">
        <f>"1551603799358820"</f>
        <v>1551603799358820</v>
      </c>
      <c r="C3337" t="s">
        <v>40</v>
      </c>
      <c r="D3337">
        <v>4.5884229999999997</v>
      </c>
      <c r="E3337">
        <v>0.46141450000000001</v>
      </c>
      <c r="F3337" t="s">
        <v>75</v>
      </c>
      <c r="G3337">
        <v>-477.38810000000001</v>
      </c>
      <c r="H3337">
        <v>7.9666819999999999E-2</v>
      </c>
      <c r="I3337">
        <v>129.5866</v>
      </c>
      <c r="J3337">
        <v>-493.42239999999998</v>
      </c>
      <c r="K3337">
        <v>1.122609</v>
      </c>
      <c r="L3337">
        <v>256.38529999999997</v>
      </c>
      <c r="M3337">
        <v>-0.10030849999999999</v>
      </c>
      <c r="N3337">
        <v>-1.0444200000000001E-2</v>
      </c>
      <c r="O3337">
        <v>-0.99490149999999999</v>
      </c>
      <c r="P3337">
        <v>1.7228899999999998E-2</v>
      </c>
      <c r="Q3337">
        <v>0.1602721</v>
      </c>
      <c r="R3337">
        <v>-0.98692259999999998</v>
      </c>
      <c r="S3337">
        <v>0.3834534</v>
      </c>
      <c r="T3337">
        <v>-2.4957779999999999E-2</v>
      </c>
      <c r="U3337">
        <v>-3.0372309999999998</v>
      </c>
      <c r="V3337">
        <v>-0.1166311</v>
      </c>
      <c r="W3337">
        <v>0.1701686</v>
      </c>
      <c r="X3337">
        <v>0.97848849999999998</v>
      </c>
      <c r="Y3337">
        <v>-0.22412670000000001</v>
      </c>
      <c r="Z3337">
        <v>-2.4921790000000002E-3</v>
      </c>
      <c r="AA3337">
        <v>0.9745568</v>
      </c>
      <c r="AB3337">
        <v>20</v>
      </c>
      <c r="AC3337">
        <v>16.034299999999899</v>
      </c>
      <c r="AD3337">
        <v>-1.0429421800000001</v>
      </c>
      <c r="AE3337">
        <v>-126.798699999999</v>
      </c>
      <c r="AF3337">
        <v>-28.671193079817801</v>
      </c>
      <c r="AG3337">
        <v>-1.0429421800000001</v>
      </c>
      <c r="AH3337">
        <v>124.54234840426901</v>
      </c>
      <c r="AI3337">
        <v>90.467565492463805</v>
      </c>
      <c r="AJ3337">
        <v>102.96432223844501</v>
      </c>
      <c r="AK3337">
        <v>127.80423149121999</v>
      </c>
      <c r="AL3337">
        <v>80.202377599284802</v>
      </c>
      <c r="AM3337">
        <v>96.797310158548299</v>
      </c>
      <c r="AN3337">
        <v>0.99999995527270802</v>
      </c>
    </row>
    <row r="3338" spans="1:40" x14ac:dyDescent="0.25">
      <c r="A3338" t="str">
        <f>"20190303170319389"</f>
        <v>20190303170319389</v>
      </c>
      <c r="B3338" t="str">
        <f>"1551603799378340"</f>
        <v>1551603799378340</v>
      </c>
      <c r="C3338" t="s">
        <v>40</v>
      </c>
      <c r="D3338">
        <v>4.5808470000000003</v>
      </c>
      <c r="E3338">
        <v>0.4615417</v>
      </c>
      <c r="F3338" t="s">
        <v>44</v>
      </c>
      <c r="G3338">
        <v>-473.52789999999999</v>
      </c>
      <c r="H3338">
        <v>-0.05</v>
      </c>
      <c r="I3338">
        <v>99.420090000000002</v>
      </c>
      <c r="J3338">
        <v>-493.43509999999998</v>
      </c>
      <c r="K3338">
        <v>1.1226339999999999</v>
      </c>
      <c r="L3338">
        <v>256.2407</v>
      </c>
      <c r="M3338">
        <v>-9.8670499999999994E-2</v>
      </c>
      <c r="N3338">
        <v>-1.043327E-2</v>
      </c>
      <c r="O3338">
        <v>-0.99506559999999999</v>
      </c>
      <c r="P3338">
        <v>1.8646820000000001E-2</v>
      </c>
      <c r="Q3338">
        <v>0.1600772</v>
      </c>
      <c r="R3338">
        <v>-0.98692869999999999</v>
      </c>
      <c r="S3338">
        <v>0.3848877</v>
      </c>
      <c r="T3338">
        <v>-2.2685770000000001E-2</v>
      </c>
      <c r="U3338">
        <v>-3.0367130000000002</v>
      </c>
      <c r="V3338">
        <v>-0.1164376</v>
      </c>
      <c r="W3338">
        <v>0.1699572</v>
      </c>
      <c r="X3338">
        <v>0.97854830000000004</v>
      </c>
      <c r="Y3338">
        <v>-0.22299669999999999</v>
      </c>
      <c r="Z3338">
        <v>-3.2064480000000002E-3</v>
      </c>
      <c r="AA3338">
        <v>0.97481390000000001</v>
      </c>
      <c r="AB3338">
        <v>20</v>
      </c>
      <c r="AC3338">
        <v>19.9071999999999</v>
      </c>
      <c r="AD3338">
        <v>-1.172634</v>
      </c>
      <c r="AE3338">
        <v>-156.82060999999999</v>
      </c>
      <c r="AF3338">
        <v>-35.282512137224799</v>
      </c>
      <c r="AG3338">
        <v>-1.172634</v>
      </c>
      <c r="AH3338">
        <v>154.08242844621901</v>
      </c>
      <c r="AI3338">
        <v>90.4250368690941</v>
      </c>
      <c r="AJ3338">
        <v>102.897500275938</v>
      </c>
      <c r="AK3338">
        <v>158.074746525482</v>
      </c>
      <c r="AL3338">
        <v>80.214669118856804</v>
      </c>
      <c r="AM3338">
        <v>96.785727312702207</v>
      </c>
      <c r="AN3338">
        <v>0.99999996997924401</v>
      </c>
    </row>
    <row r="3339" spans="1:40" x14ac:dyDescent="0.25">
      <c r="A3339" t="str">
        <f>"20190303170319401"</f>
        <v>20190303170319401</v>
      </c>
      <c r="B3339" t="str">
        <f>"1551603799390052"</f>
        <v>1551603799390052</v>
      </c>
      <c r="C3339" t="s">
        <v>40</v>
      </c>
      <c r="D3339">
        <v>4.5898289999999999</v>
      </c>
      <c r="E3339">
        <v>0.46157229999999999</v>
      </c>
      <c r="F3339" t="s">
        <v>44</v>
      </c>
      <c r="G3339">
        <v>-472.25580000000002</v>
      </c>
      <c r="H3339">
        <v>-0.05</v>
      </c>
      <c r="I3339">
        <v>90.877859999999998</v>
      </c>
      <c r="J3339">
        <v>-493.44439999999997</v>
      </c>
      <c r="K3339">
        <v>1.12264599999999</v>
      </c>
      <c r="L3339">
        <v>256.13330000000002</v>
      </c>
      <c r="M3339">
        <v>-9.7447759999999994E-2</v>
      </c>
      <c r="N3339">
        <v>-1.042884E-2</v>
      </c>
      <c r="O3339">
        <v>-0.99518609999999996</v>
      </c>
      <c r="P3339">
        <v>1.9731660000000002E-2</v>
      </c>
      <c r="Q3339">
        <v>0.1599091</v>
      </c>
      <c r="R3339">
        <v>-0.9869348</v>
      </c>
      <c r="S3339">
        <v>0.38882450000000002</v>
      </c>
      <c r="T3339">
        <v>-2.152801E-2</v>
      </c>
      <c r="U3339">
        <v>-3.0358429999999998</v>
      </c>
      <c r="V3339">
        <v>-0.1163189</v>
      </c>
      <c r="W3339">
        <v>0.169781399999999</v>
      </c>
      <c r="X3339">
        <v>0.97859289999999999</v>
      </c>
      <c r="Y3339">
        <v>-0.2230779</v>
      </c>
      <c r="Z3339">
        <v>-3.5713849999999998E-3</v>
      </c>
      <c r="AA3339">
        <v>0.9747941</v>
      </c>
      <c r="AB3339">
        <v>20</v>
      </c>
      <c r="AC3339">
        <v>21.188599999999902</v>
      </c>
      <c r="AD3339">
        <v>-1.1726460000000001</v>
      </c>
      <c r="AE3339">
        <v>-165.25543999999999</v>
      </c>
      <c r="AF3339">
        <v>-37.190549165252897</v>
      </c>
      <c r="AG3339">
        <v>-1.1726460000000001</v>
      </c>
      <c r="AH3339">
        <v>162.395905981044</v>
      </c>
      <c r="AI3339">
        <v>90.403280602557601</v>
      </c>
      <c r="AJ3339">
        <v>102.89896801131199</v>
      </c>
      <c r="AK3339">
        <v>166.604148583577</v>
      </c>
      <c r="AL3339">
        <v>80.224889940737199</v>
      </c>
      <c r="AM3339">
        <v>96.778568068310406</v>
      </c>
      <c r="AN3339">
        <v>0.99999993710678803</v>
      </c>
    </row>
    <row r="3340" spans="1:40" x14ac:dyDescent="0.25">
      <c r="A3340" t="str">
        <f>"20190303170319412"</f>
        <v>20190303170319412</v>
      </c>
      <c r="B3340" t="str">
        <f>"1551603799398836"</f>
        <v>1551603799398836</v>
      </c>
      <c r="C3340" t="s">
        <v>40</v>
      </c>
      <c r="D3340">
        <v>4.5928849999999999</v>
      </c>
      <c r="E3340">
        <v>0.46167989999999998</v>
      </c>
      <c r="F3340" t="s">
        <v>44</v>
      </c>
      <c r="G3340">
        <v>-471.57150000000001</v>
      </c>
      <c r="H3340">
        <v>-0.05</v>
      </c>
      <c r="I3340">
        <v>86.71669</v>
      </c>
      <c r="J3340">
        <v>-493.45359999999999</v>
      </c>
      <c r="K3340">
        <v>1.12266</v>
      </c>
      <c r="L3340">
        <v>256.02480000000003</v>
      </c>
      <c r="M3340">
        <v>-9.6207420000000002E-2</v>
      </c>
      <c r="N3340">
        <v>-1.0428160000000001E-2</v>
      </c>
      <c r="O3340">
        <v>-0.99530700000000005</v>
      </c>
      <c r="P3340">
        <v>2.1133059999999999E-2</v>
      </c>
      <c r="Q3340">
        <v>0.15977949999999999</v>
      </c>
      <c r="R3340">
        <v>-0.98692690000000005</v>
      </c>
      <c r="S3340">
        <v>0.39187620000000001</v>
      </c>
      <c r="T3340">
        <v>-2.100921E-2</v>
      </c>
      <c r="U3340">
        <v>-3.0352779999999999</v>
      </c>
      <c r="V3340">
        <v>-0.116496699999999</v>
      </c>
      <c r="W3340">
        <v>0.16964660000000001</v>
      </c>
      <c r="X3340">
        <v>0.9785952</v>
      </c>
      <c r="Y3340">
        <v>-0.2228502</v>
      </c>
      <c r="Z3340">
        <v>-3.7349530000000001E-3</v>
      </c>
      <c r="AA3340">
        <v>0.97484550000000003</v>
      </c>
      <c r="AB3340">
        <v>20</v>
      </c>
      <c r="AC3340">
        <v>21.882099999999902</v>
      </c>
      <c r="AD3340">
        <v>-1.17266</v>
      </c>
      <c r="AE3340">
        <v>-169.30811</v>
      </c>
      <c r="AF3340">
        <v>-38.068365439500802</v>
      </c>
      <c r="AG3340">
        <v>-1.17266</v>
      </c>
      <c r="AH3340">
        <v>166.40947057374899</v>
      </c>
      <c r="AI3340">
        <v>90.393580306719997</v>
      </c>
      <c r="AJ3340">
        <v>102.88544406779999</v>
      </c>
      <c r="AK3340">
        <v>170.712294446963</v>
      </c>
      <c r="AL3340">
        <v>80.232727799818505</v>
      </c>
      <c r="AM3340">
        <v>96.788817051697507</v>
      </c>
      <c r="AN3340">
        <v>1.00000000773274</v>
      </c>
    </row>
    <row r="3341" spans="1:40" x14ac:dyDescent="0.25">
      <c r="A3341" t="str">
        <f>"20190303170319423"</f>
        <v>20190303170319423</v>
      </c>
      <c r="B3341" t="str">
        <f>"1551603799408595"</f>
        <v>1551603799408595</v>
      </c>
      <c r="C3341" t="s">
        <v>40</v>
      </c>
      <c r="D3341">
        <v>4.5293890000000001</v>
      </c>
      <c r="E3341">
        <v>0.46191110000000002</v>
      </c>
      <c r="F3341" t="s">
        <v>44</v>
      </c>
      <c r="G3341">
        <v>-471.56990000000002</v>
      </c>
      <c r="H3341">
        <v>-0.05</v>
      </c>
      <c r="I3341">
        <v>87.889629999999997</v>
      </c>
      <c r="J3341">
        <v>-493.46159999999998</v>
      </c>
      <c r="K3341">
        <v>1.122673</v>
      </c>
      <c r="L3341">
        <v>255.9298</v>
      </c>
      <c r="M3341">
        <v>-9.5115099999999994E-2</v>
      </c>
      <c r="N3341">
        <v>-1.043433E-2</v>
      </c>
      <c r="O3341">
        <v>-0.99541159999999995</v>
      </c>
      <c r="P3341">
        <v>2.1971859999999999E-2</v>
      </c>
      <c r="Q3341">
        <v>0.15968399999999999</v>
      </c>
      <c r="R3341">
        <v>-0.98692340000000001</v>
      </c>
      <c r="S3341">
        <v>0.39498899999999998</v>
      </c>
      <c r="T3341">
        <v>-2.116585E-2</v>
      </c>
      <c r="U3341">
        <v>-3.0347439999999999</v>
      </c>
      <c r="V3341">
        <v>-0.1162591</v>
      </c>
      <c r="W3341">
        <v>0.16955580000000001</v>
      </c>
      <c r="X3341">
        <v>0.97863920000000004</v>
      </c>
      <c r="Y3341">
        <v>-0.2227855</v>
      </c>
      <c r="Z3341">
        <v>-3.6886660000000002E-3</v>
      </c>
      <c r="AA3341">
        <v>0.97486050000000002</v>
      </c>
      <c r="AB3341">
        <v>20</v>
      </c>
      <c r="AC3341">
        <v>21.891699999999901</v>
      </c>
      <c r="AD3341">
        <v>-1.1726729999999901</v>
      </c>
      <c r="AE3341">
        <v>-168.04016999999999</v>
      </c>
      <c r="AF3341">
        <v>-37.774657089031301</v>
      </c>
      <c r="AG3341">
        <v>-1.1726729999999901</v>
      </c>
      <c r="AH3341">
        <v>165.18798508953401</v>
      </c>
      <c r="AI3341">
        <v>90.396502394335897</v>
      </c>
      <c r="AJ3341">
        <v>102.880738104137</v>
      </c>
      <c r="AK3341">
        <v>169.456101389412</v>
      </c>
      <c r="AL3341">
        <v>80.238006812303894</v>
      </c>
      <c r="AM3341">
        <v>96.774798027393601</v>
      </c>
      <c r="AN3341">
        <v>1.0000000157115401</v>
      </c>
    </row>
    <row r="3342" spans="1:40" x14ac:dyDescent="0.25">
      <c r="A3342" t="str">
        <f>"20190303170319436"</f>
        <v>20190303170319436</v>
      </c>
      <c r="B3342" t="str">
        <f>"1551603799428623"</f>
        <v>1551603799428623</v>
      </c>
      <c r="C3342" t="s">
        <v>40</v>
      </c>
      <c r="D3342">
        <v>4.5490349999999999</v>
      </c>
      <c r="E3342">
        <v>0.46243630000000002</v>
      </c>
      <c r="F3342" t="s">
        <v>44</v>
      </c>
      <c r="G3342">
        <v>-472.44659999999999</v>
      </c>
      <c r="H3342">
        <v>-0.05</v>
      </c>
      <c r="I3342">
        <v>94.766639999999995</v>
      </c>
      <c r="J3342">
        <v>-493.47160000000002</v>
      </c>
      <c r="K3342">
        <v>1.122687</v>
      </c>
      <c r="L3342">
        <v>255.80969999999999</v>
      </c>
      <c r="M3342">
        <v>-9.3733040000000004E-2</v>
      </c>
      <c r="N3342">
        <v>-1.044523E-2</v>
      </c>
      <c r="O3342">
        <v>-0.99554290000000001</v>
      </c>
      <c r="P3342">
        <v>2.297685E-2</v>
      </c>
      <c r="Q3342">
        <v>0.1600608</v>
      </c>
      <c r="R3342">
        <v>-0.98684039999999995</v>
      </c>
      <c r="S3342">
        <v>0.39569090000000001</v>
      </c>
      <c r="T3342">
        <v>-2.2080180000000001E-2</v>
      </c>
      <c r="U3342">
        <v>-3.0345309999999999</v>
      </c>
      <c r="V3342">
        <v>-0.1158971</v>
      </c>
      <c r="W3342">
        <v>0.1699408</v>
      </c>
      <c r="X3342">
        <v>0.97861529999999997</v>
      </c>
      <c r="Y3342">
        <v>-0.2216622</v>
      </c>
      <c r="Z3342">
        <v>-3.4018659999999999E-3</v>
      </c>
      <c r="AA3342">
        <v>0.97511760000000003</v>
      </c>
      <c r="AB3342">
        <v>20</v>
      </c>
      <c r="AC3342">
        <v>21.024999999999999</v>
      </c>
      <c r="AD3342">
        <v>-1.172687</v>
      </c>
      <c r="AE3342">
        <v>-161.04306</v>
      </c>
      <c r="AF3342">
        <v>-36.026420487060797</v>
      </c>
      <c r="AG3342">
        <v>-1.172687</v>
      </c>
      <c r="AH3342">
        <v>158.35486936476201</v>
      </c>
      <c r="AI3342">
        <v>90.413721236491</v>
      </c>
      <c r="AJ3342">
        <v>102.816884229461</v>
      </c>
      <c r="AK3342">
        <v>162.405488883354</v>
      </c>
      <c r="AL3342">
        <v>80.215622535599394</v>
      </c>
      <c r="AM3342">
        <v>96.754061694186802</v>
      </c>
      <c r="AN3342">
        <v>0.999999959343569</v>
      </c>
    </row>
    <row r="3343" spans="1:40" x14ac:dyDescent="0.25">
      <c r="A3343" t="str">
        <f>"20190303170319447"</f>
        <v>20190303170319447</v>
      </c>
      <c r="B3343" t="str">
        <f>"1551603799438383"</f>
        <v>1551603799438383</v>
      </c>
      <c r="C3343" t="s">
        <v>40</v>
      </c>
      <c r="D3343">
        <v>4.5298420000000004</v>
      </c>
      <c r="E3343">
        <v>0.4626461</v>
      </c>
      <c r="F3343" t="s">
        <v>44</v>
      </c>
      <c r="G3343">
        <v>-473.01179999999999</v>
      </c>
      <c r="H3343">
        <v>-0.05</v>
      </c>
      <c r="I3343">
        <v>98.398229999999998</v>
      </c>
      <c r="J3343">
        <v>-493.47989999999999</v>
      </c>
      <c r="K3343">
        <v>1.1226989999999999</v>
      </c>
      <c r="L3343">
        <v>255.70679999999999</v>
      </c>
      <c r="M3343">
        <v>-9.2545870000000002E-2</v>
      </c>
      <c r="N3343">
        <v>-1.0459120000000001E-2</v>
      </c>
      <c r="O3343">
        <v>-0.99565369999999997</v>
      </c>
      <c r="P3343">
        <v>2.3752470000000001E-2</v>
      </c>
      <c r="Q3343">
        <v>0.16070119999999999</v>
      </c>
      <c r="R3343">
        <v>-0.98671779999999998</v>
      </c>
      <c r="S3343">
        <v>0.39440920000000002</v>
      </c>
      <c r="T3343">
        <v>-2.2606250000000001E-2</v>
      </c>
      <c r="U3343">
        <v>-3.0344699999999998</v>
      </c>
      <c r="V3343">
        <v>-0.11549379999999999</v>
      </c>
      <c r="W3343">
        <v>0.17059289999999999</v>
      </c>
      <c r="X3343">
        <v>0.97854949999999996</v>
      </c>
      <c r="Y3343">
        <v>-0.22009670000000001</v>
      </c>
      <c r="Z3343">
        <v>-3.2425959999999999E-3</v>
      </c>
      <c r="AA3343">
        <v>0.97547269999999997</v>
      </c>
      <c r="AB3343">
        <v>20</v>
      </c>
      <c r="AC3343">
        <v>20.4681</v>
      </c>
      <c r="AD3343">
        <v>-1.1726989999999999</v>
      </c>
      <c r="AE3343">
        <v>-157.30856999999901</v>
      </c>
      <c r="AF3343">
        <v>-34.937392441785597</v>
      </c>
      <c r="AG3343">
        <v>-1.1726989999999999</v>
      </c>
      <c r="AH3343">
        <v>154.73059717450499</v>
      </c>
      <c r="AI3343">
        <v>90.423571909525705</v>
      </c>
      <c r="AJ3343">
        <v>102.723730418869</v>
      </c>
      <c r="AK3343">
        <v>158.63024401278199</v>
      </c>
      <c r="AL3343">
        <v>80.177706107015794</v>
      </c>
      <c r="AM3343">
        <v>96.731223280806901</v>
      </c>
      <c r="AN3343">
        <v>0.99999993965954803</v>
      </c>
    </row>
    <row r="3344" spans="1:40" x14ac:dyDescent="0.25">
      <c r="A3344" t="str">
        <f>"20190303170319458"</f>
        <v>20190303170319458</v>
      </c>
      <c r="B3344" t="str">
        <f>"1551603799449120"</f>
        <v>1551603799449120</v>
      </c>
      <c r="C3344" t="s">
        <v>40</v>
      </c>
      <c r="D3344">
        <v>4.538259</v>
      </c>
      <c r="E3344">
        <v>0.46274589999999999</v>
      </c>
      <c r="F3344" t="s">
        <v>44</v>
      </c>
      <c r="G3344">
        <v>-471.41590000000002</v>
      </c>
      <c r="H3344">
        <v>-0.05</v>
      </c>
      <c r="I3344">
        <v>86.448269999999994</v>
      </c>
      <c r="J3344">
        <v>-493.48790000000002</v>
      </c>
      <c r="K3344">
        <v>1.122708</v>
      </c>
      <c r="L3344">
        <v>255.60720000000001</v>
      </c>
      <c r="M3344">
        <v>-9.1395370000000004E-2</v>
      </c>
      <c r="N3344">
        <v>-1.047324E-2</v>
      </c>
      <c r="O3344">
        <v>-0.99575970000000003</v>
      </c>
      <c r="P3344">
        <v>2.450391E-2</v>
      </c>
      <c r="Q3344">
        <v>0.16122139999999999</v>
      </c>
      <c r="R3344">
        <v>-0.98661430000000006</v>
      </c>
      <c r="S3344">
        <v>0.39553830000000001</v>
      </c>
      <c r="T3344">
        <v>-2.1022800000000001E-2</v>
      </c>
      <c r="U3344">
        <v>-3.0342709999999999</v>
      </c>
      <c r="V3344">
        <v>-0.1151046</v>
      </c>
      <c r="W3344">
        <v>0.17112569999999999</v>
      </c>
      <c r="X3344">
        <v>0.97850239999999999</v>
      </c>
      <c r="Y3344">
        <v>-0.219335</v>
      </c>
      <c r="Z3344">
        <v>-3.764107E-3</v>
      </c>
      <c r="AA3344">
        <v>0.97564229999999996</v>
      </c>
      <c r="AB3344">
        <v>20</v>
      </c>
      <c r="AC3344">
        <v>22.071999999999999</v>
      </c>
      <c r="AD3344">
        <v>-1.1727080000000001</v>
      </c>
      <c r="AE3344">
        <v>-169.15893</v>
      </c>
      <c r="AF3344">
        <v>-37.439031926703699</v>
      </c>
      <c r="AG3344">
        <v>-1.1727080000000001</v>
      </c>
      <c r="AH3344">
        <v>166.425615149782</v>
      </c>
      <c r="AI3344">
        <v>90.393881337566896</v>
      </c>
      <c r="AJ3344">
        <v>102.678177676335</v>
      </c>
      <c r="AK3344">
        <v>170.58880893436501</v>
      </c>
      <c r="AL3344">
        <v>80.146724029855207</v>
      </c>
      <c r="AM3344">
        <v>96.7090669639325</v>
      </c>
      <c r="AN3344">
        <v>1.0000000104736999</v>
      </c>
    </row>
    <row r="3345" spans="1:40" x14ac:dyDescent="0.25">
      <c r="A3345" t="str">
        <f>"20190303170319470"</f>
        <v>20190303170319470</v>
      </c>
      <c r="B3345" t="str">
        <f>"1551603799458880"</f>
        <v>1551603799458880</v>
      </c>
      <c r="C3345" t="s">
        <v>40</v>
      </c>
      <c r="D3345">
        <v>4.5306360000000003</v>
      </c>
      <c r="E3345">
        <v>0.462893</v>
      </c>
      <c r="F3345" t="s">
        <v>44</v>
      </c>
      <c r="G3345">
        <v>-469.48230000000001</v>
      </c>
      <c r="H3345">
        <v>-0.05</v>
      </c>
      <c r="I3345">
        <v>72.587719999999905</v>
      </c>
      <c r="J3345">
        <v>-493.49639999999999</v>
      </c>
      <c r="K3345">
        <v>1.1227229999999999</v>
      </c>
      <c r="L3345">
        <v>255.49959999999999</v>
      </c>
      <c r="M3345">
        <v>-9.0153529999999996E-2</v>
      </c>
      <c r="N3345">
        <v>-1.0490019999999999E-2</v>
      </c>
      <c r="O3345">
        <v>-0.99587289999999995</v>
      </c>
      <c r="P3345">
        <v>2.5287110000000002E-2</v>
      </c>
      <c r="Q3345">
        <v>0.1610269</v>
      </c>
      <c r="R3345">
        <v>-0.98662660000000002</v>
      </c>
      <c r="S3345">
        <v>0.3979492</v>
      </c>
      <c r="T3345">
        <v>-1.9440410000000002E-2</v>
      </c>
      <c r="U3345">
        <v>-3.0339809999999998</v>
      </c>
      <c r="V3345">
        <v>-0.1146659</v>
      </c>
      <c r="W3345">
        <v>0.17094809999999999</v>
      </c>
      <c r="X3345">
        <v>0.97858489999999998</v>
      </c>
      <c r="Y3345">
        <v>-0.2188928</v>
      </c>
      <c r="Z3345">
        <v>-4.2885249999999996E-3</v>
      </c>
      <c r="AA3345">
        <v>0.97573949999999998</v>
      </c>
      <c r="AB3345">
        <v>21</v>
      </c>
      <c r="AC3345">
        <v>24.0140999999999</v>
      </c>
      <c r="AD3345">
        <v>-1.172723</v>
      </c>
      <c r="AE3345">
        <v>-182.91188</v>
      </c>
      <c r="AF3345">
        <v>-40.405722813980702</v>
      </c>
      <c r="AG3345">
        <v>-1.172723</v>
      </c>
      <c r="AH3345">
        <v>179.99461107508</v>
      </c>
      <c r="AI3345">
        <v>90.364230991199506</v>
      </c>
      <c r="AJ3345">
        <v>102.652183542103</v>
      </c>
      <c r="AK3345">
        <v>184.47779739422401</v>
      </c>
      <c r="AL3345">
        <v>80.157051484060403</v>
      </c>
      <c r="AM3345">
        <v>96.683169991701604</v>
      </c>
      <c r="AN3345">
        <v>0.99999996401221403</v>
      </c>
    </row>
    <row r="3346" spans="1:40" x14ac:dyDescent="0.25">
      <c r="A3346" t="str">
        <f>"20190303170319482"</f>
        <v>20190303170319482</v>
      </c>
      <c r="B3346" t="str">
        <f>"1551603799468641"</f>
        <v>1551603799468641</v>
      </c>
      <c r="C3346" t="s">
        <v>40</v>
      </c>
      <c r="D3346">
        <v>4.5654979999999998</v>
      </c>
      <c r="E3346">
        <v>0.46294079999999899</v>
      </c>
      <c r="F3346" t="s">
        <v>44</v>
      </c>
      <c r="G3346">
        <v>-470.04399999999998</v>
      </c>
      <c r="H3346">
        <v>-0.05</v>
      </c>
      <c r="I3346">
        <v>77.249709999999993</v>
      </c>
      <c r="J3346">
        <v>-493.50470000000001</v>
      </c>
      <c r="K3346">
        <v>1.1227309999999999</v>
      </c>
      <c r="L3346">
        <v>255.3922</v>
      </c>
      <c r="M3346">
        <v>-8.8913110000000004E-2</v>
      </c>
      <c r="N3346">
        <v>-1.051056E-2</v>
      </c>
      <c r="O3346">
        <v>-0.99598410000000004</v>
      </c>
      <c r="P3346">
        <v>2.6243550000000001E-2</v>
      </c>
      <c r="Q3346">
        <v>0.16071759999999999</v>
      </c>
      <c r="R3346">
        <v>-0.98665170000000002</v>
      </c>
      <c r="S3346">
        <v>0.39913939999999998</v>
      </c>
      <c r="T3346">
        <v>-1.9958730000000001E-2</v>
      </c>
      <c r="U3346">
        <v>-3.0336609999999999</v>
      </c>
      <c r="V3346">
        <v>-0.114401</v>
      </c>
      <c r="W3346">
        <v>0.17065920000000001</v>
      </c>
      <c r="X3346">
        <v>0.97866640000000005</v>
      </c>
      <c r="Y3346">
        <v>-0.21806700000000001</v>
      </c>
      <c r="Z3346">
        <v>-4.1393030000000004E-3</v>
      </c>
      <c r="AA3346">
        <v>0.97592500000000004</v>
      </c>
      <c r="AB3346">
        <v>21</v>
      </c>
      <c r="AC3346">
        <v>23.4606999999999</v>
      </c>
      <c r="AD3346">
        <v>-1.172731</v>
      </c>
      <c r="AE3346">
        <v>-178.14248999999899</v>
      </c>
      <c r="AF3346">
        <v>-39.206175928135202</v>
      </c>
      <c r="AG3346">
        <v>-1.172731</v>
      </c>
      <c r="AH3346">
        <v>175.343310498953</v>
      </c>
      <c r="AI3346">
        <v>90.373965861569999</v>
      </c>
      <c r="AJ3346">
        <v>102.60382863087899</v>
      </c>
      <c r="AK3346">
        <v>179.676865694052</v>
      </c>
      <c r="AL3346">
        <v>80.173851827893799</v>
      </c>
      <c r="AM3346">
        <v>96.667319505234701</v>
      </c>
      <c r="AN3346">
        <v>1.0000000369172899</v>
      </c>
    </row>
    <row r="3347" spans="1:40" x14ac:dyDescent="0.25">
      <c r="A3347" t="str">
        <f>"20190303170319494"</f>
        <v>20190303170319494</v>
      </c>
      <c r="B3347" t="str">
        <f>"1551603799489136"</f>
        <v>1551603799489136</v>
      </c>
      <c r="C3347" t="s">
        <v>40</v>
      </c>
      <c r="D3347">
        <v>4.5514330000000003</v>
      </c>
      <c r="E3347">
        <v>0.46342430000000001</v>
      </c>
      <c r="F3347" t="s">
        <v>44</v>
      </c>
      <c r="G3347">
        <v>-470.6472</v>
      </c>
      <c r="H3347">
        <v>-0.05</v>
      </c>
      <c r="I3347">
        <v>82.532869999999903</v>
      </c>
      <c r="J3347">
        <v>-493.51339999999999</v>
      </c>
      <c r="K3347">
        <v>1.122741</v>
      </c>
      <c r="L3347">
        <v>255.27869999999999</v>
      </c>
      <c r="M3347">
        <v>-8.7603500000000001E-2</v>
      </c>
      <c r="N3347">
        <v>-1.053489E-2</v>
      </c>
      <c r="O3347">
        <v>-0.99609970000000003</v>
      </c>
      <c r="P3347">
        <v>2.7264259999999998E-2</v>
      </c>
      <c r="Q3347">
        <v>0.1605385</v>
      </c>
      <c r="R3347">
        <v>-0.98665259999999999</v>
      </c>
      <c r="S3347">
        <v>0.40109250000000002</v>
      </c>
      <c r="T3347">
        <v>-2.05785E-2</v>
      </c>
      <c r="U3347">
        <v>-3.0332490000000001</v>
      </c>
      <c r="V3347">
        <v>-0.1141307</v>
      </c>
      <c r="W3347">
        <v>0.17050360000000001</v>
      </c>
      <c r="X3347">
        <v>0.97872499999999996</v>
      </c>
      <c r="Y3347">
        <v>-0.21741849999999999</v>
      </c>
      <c r="Z3347">
        <v>-3.961137E-3</v>
      </c>
      <c r="AA3347">
        <v>0.97607049999999995</v>
      </c>
      <c r="AB3347">
        <v>21</v>
      </c>
      <c r="AC3347">
        <v>22.8661999999999</v>
      </c>
      <c r="AD3347">
        <v>-1.172741</v>
      </c>
      <c r="AE3347">
        <v>-172.74583000000001</v>
      </c>
      <c r="AF3347">
        <v>-37.910541602233501</v>
      </c>
      <c r="AG3347">
        <v>-1.172741</v>
      </c>
      <c r="AH3347">
        <v>170.070647862058</v>
      </c>
      <c r="AI3347">
        <v>90.385619041698803</v>
      </c>
      <c r="AJ3347">
        <v>102.566384567569</v>
      </c>
      <c r="AK3347">
        <v>174.2487008567</v>
      </c>
      <c r="AL3347">
        <v>80.182898896632096</v>
      </c>
      <c r="AM3347">
        <v>96.6513129872083</v>
      </c>
      <c r="AN3347">
        <v>0.99999995996022395</v>
      </c>
    </row>
    <row r="3348" spans="1:40" x14ac:dyDescent="0.25">
      <c r="A3348" t="str">
        <f>"20190303170319512"</f>
        <v>20190303170319512</v>
      </c>
      <c r="B3348" t="str">
        <f>"1551603799498896"</f>
        <v>1551603799498896</v>
      </c>
      <c r="C3348" t="s">
        <v>40</v>
      </c>
      <c r="D3348">
        <v>4.5026409999999997</v>
      </c>
      <c r="E3348">
        <v>0.46357540000000003</v>
      </c>
      <c r="F3348" t="s">
        <v>44</v>
      </c>
      <c r="G3348">
        <v>-472.3039</v>
      </c>
      <c r="H3348">
        <v>-0.05</v>
      </c>
      <c r="I3348">
        <v>94.889070000000004</v>
      </c>
      <c r="J3348">
        <v>-493.52510000000001</v>
      </c>
      <c r="K3348">
        <v>1.12276</v>
      </c>
      <c r="L3348">
        <v>255.1216</v>
      </c>
      <c r="M3348">
        <v>-8.5795239999999995E-2</v>
      </c>
      <c r="N3348">
        <v>-1.0583810000000001E-2</v>
      </c>
      <c r="O3348">
        <v>-0.9962567</v>
      </c>
      <c r="P3348">
        <v>2.830353E-2</v>
      </c>
      <c r="Q3348">
        <v>0.1602025</v>
      </c>
      <c r="R3348">
        <v>-0.98667839999999996</v>
      </c>
      <c r="S3348">
        <v>0.40109250000000002</v>
      </c>
      <c r="T3348">
        <v>-2.2177700000000002E-2</v>
      </c>
      <c r="U3348">
        <v>-3.0331269999999999</v>
      </c>
      <c r="V3348">
        <v>-0.11338959999999999</v>
      </c>
      <c r="W3348">
        <v>0.17021800000000001</v>
      </c>
      <c r="X3348">
        <v>0.97886090000000003</v>
      </c>
      <c r="Y3348">
        <v>-0.21565110000000001</v>
      </c>
      <c r="Z3348">
        <v>-3.4900399999999998E-3</v>
      </c>
      <c r="AA3348">
        <v>0.97646429999999995</v>
      </c>
      <c r="AB3348">
        <v>21</v>
      </c>
      <c r="AC3348">
        <v>21.2212</v>
      </c>
      <c r="AD3348">
        <v>-1.17276</v>
      </c>
      <c r="AE3348">
        <v>-160.23253</v>
      </c>
      <c r="AF3348">
        <v>-34.889064116511101</v>
      </c>
      <c r="AG3348">
        <v>-1.17276</v>
      </c>
      <c r="AH3348">
        <v>157.812565057054</v>
      </c>
      <c r="AI3348">
        <v>90.415738750505895</v>
      </c>
      <c r="AJ3348">
        <v>102.466380187399</v>
      </c>
      <c r="AK3348">
        <v>161.62743532838201</v>
      </c>
      <c r="AL3348">
        <v>80.1995058759599</v>
      </c>
      <c r="AM3348">
        <v>96.607597017605997</v>
      </c>
      <c r="AN3348">
        <v>1.00000001523048</v>
      </c>
    </row>
    <row r="3349" spans="1:40" x14ac:dyDescent="0.25">
      <c r="A3349" t="str">
        <f>"20190303170319525"</f>
        <v>20190303170319525</v>
      </c>
      <c r="B3349" t="str">
        <f>"1551603799518415"</f>
        <v>1551603799518415</v>
      </c>
      <c r="C3349" t="s">
        <v>40</v>
      </c>
      <c r="D3349">
        <v>4.494491</v>
      </c>
      <c r="E3349">
        <v>0.46384720000000002</v>
      </c>
      <c r="F3349" t="s">
        <v>44</v>
      </c>
      <c r="G3349">
        <v>-473.24880000000002</v>
      </c>
      <c r="H3349">
        <v>-0.05</v>
      </c>
      <c r="I3349">
        <v>102.4706</v>
      </c>
      <c r="J3349">
        <v>-493.53370000000001</v>
      </c>
      <c r="K3349">
        <v>1.122771</v>
      </c>
      <c r="L3349">
        <v>255.0042</v>
      </c>
      <c r="M3349">
        <v>-8.4446610000000005E-2</v>
      </c>
      <c r="N3349">
        <v>-1.0627569999999999E-2</v>
      </c>
      <c r="O3349">
        <v>-0.99637149999999997</v>
      </c>
      <c r="P3349">
        <v>2.9006520000000001E-2</v>
      </c>
      <c r="Q3349">
        <v>0.15993289999999999</v>
      </c>
      <c r="R3349">
        <v>-0.98670190000000002</v>
      </c>
      <c r="S3349">
        <v>0.40283200000000002</v>
      </c>
      <c r="T3349">
        <v>-2.3299340000000002E-2</v>
      </c>
      <c r="U3349">
        <v>-3.0327299999999999</v>
      </c>
      <c r="V3349">
        <v>-0.1127653</v>
      </c>
      <c r="W3349">
        <v>0.1699938</v>
      </c>
      <c r="X3349">
        <v>0.97897199999999995</v>
      </c>
      <c r="Y3349">
        <v>-0.214896</v>
      </c>
      <c r="Z3349">
        <v>-3.1689019999999999E-3</v>
      </c>
      <c r="AA3349">
        <v>0.97663180000000005</v>
      </c>
      <c r="AB3349">
        <v>21</v>
      </c>
      <c r="AC3349">
        <v>20.2849</v>
      </c>
      <c r="AD3349">
        <v>-1.172771</v>
      </c>
      <c r="AE3349">
        <v>-152.53359999999901</v>
      </c>
      <c r="AF3349">
        <v>-33.092182750492498</v>
      </c>
      <c r="AG3349">
        <v>-1.172771</v>
      </c>
      <c r="AH3349">
        <v>150.26687324157999</v>
      </c>
      <c r="AI3349">
        <v>90.436697168991003</v>
      </c>
      <c r="AJ3349">
        <v>102.419590922691</v>
      </c>
      <c r="AK3349">
        <v>153.872028467852</v>
      </c>
      <c r="AL3349">
        <v>80.212541827846707</v>
      </c>
      <c r="AM3349">
        <v>96.570796760709499</v>
      </c>
      <c r="AN3349">
        <v>1.0000000408532601</v>
      </c>
    </row>
    <row r="3350" spans="1:40" x14ac:dyDescent="0.25">
      <c r="A3350" t="str">
        <f>"20190303170319538"</f>
        <v>20190303170319538</v>
      </c>
      <c r="B3350" t="str">
        <f>"1551603799529151"</f>
        <v>1551603799529151</v>
      </c>
      <c r="C3350" t="s">
        <v>40</v>
      </c>
      <c r="D3350">
        <v>4.553661</v>
      </c>
      <c r="E3350">
        <v>0.4641168</v>
      </c>
      <c r="F3350" t="s">
        <v>75</v>
      </c>
      <c r="G3350">
        <v>-476.7996</v>
      </c>
      <c r="H3350">
        <v>7.9986559999999998E-2</v>
      </c>
      <c r="I3350">
        <v>129.0437</v>
      </c>
      <c r="J3350">
        <v>-493.54289999999997</v>
      </c>
      <c r="K3350">
        <v>1.1227769999999999</v>
      </c>
      <c r="L3350">
        <v>254.8759</v>
      </c>
      <c r="M3350">
        <v>-8.2975149999999998E-2</v>
      </c>
      <c r="N3350">
        <v>-1.0679009999999999E-2</v>
      </c>
      <c r="O3350">
        <v>-0.9964944</v>
      </c>
      <c r="P3350">
        <v>2.9753189999999999E-2</v>
      </c>
      <c r="Q3350">
        <v>0.15976309999999999</v>
      </c>
      <c r="R3350">
        <v>-0.98670709999999995</v>
      </c>
      <c r="S3350">
        <v>0.4028931</v>
      </c>
      <c r="T3350">
        <v>-2.510619E-2</v>
      </c>
      <c r="U3350">
        <v>-3.0326390000000001</v>
      </c>
      <c r="V3350">
        <v>-0.1120622</v>
      </c>
      <c r="W3350">
        <v>0.16987729999999901</v>
      </c>
      <c r="X3350">
        <v>0.97907290000000002</v>
      </c>
      <c r="Y3350">
        <v>-0.21347630000000001</v>
      </c>
      <c r="Z3350">
        <v>-2.6335210000000002E-3</v>
      </c>
      <c r="AA3350">
        <v>0.9769447</v>
      </c>
      <c r="AB3350">
        <v>21</v>
      </c>
      <c r="AC3350">
        <v>16.743299999999898</v>
      </c>
      <c r="AD3350">
        <v>-1.0427904400000001</v>
      </c>
      <c r="AE3350">
        <v>-125.8322</v>
      </c>
      <c r="AF3350">
        <v>-27.125266654325799</v>
      </c>
      <c r="AG3350">
        <v>-1.0427904400000001</v>
      </c>
      <c r="AH3350">
        <v>124.00050789001099</v>
      </c>
      <c r="AI3350">
        <v>90.470691594660295</v>
      </c>
      <c r="AJ3350">
        <v>102.339155871161</v>
      </c>
      <c r="AK3350">
        <v>126.936966483175</v>
      </c>
      <c r="AL3350">
        <v>80.219314788992804</v>
      </c>
      <c r="AM3350">
        <v>96.529515155196606</v>
      </c>
      <c r="AN3350">
        <v>0.99999998861926997</v>
      </c>
    </row>
    <row r="3351" spans="1:40" x14ac:dyDescent="0.25">
      <c r="A3351" t="str">
        <f>"20190303170319553"</f>
        <v>20190303170319553</v>
      </c>
      <c r="B3351" t="str">
        <f>"1551603799538911"</f>
        <v>1551603799538911</v>
      </c>
      <c r="C3351" t="s">
        <v>40</v>
      </c>
      <c r="D3351">
        <v>4.527069</v>
      </c>
      <c r="E3351">
        <v>0.46437499999999998</v>
      </c>
      <c r="F3351" t="s">
        <v>75</v>
      </c>
      <c r="G3351">
        <v>-476.8922</v>
      </c>
      <c r="H3351">
        <v>3.8679199999999997E-2</v>
      </c>
      <c r="I3351">
        <v>129.6163</v>
      </c>
      <c r="J3351">
        <v>-493.5523</v>
      </c>
      <c r="K3351">
        <v>1.1227830000000001</v>
      </c>
      <c r="L3351">
        <v>254.74160000000001</v>
      </c>
      <c r="M3351">
        <v>-8.1440310000000002E-2</v>
      </c>
      <c r="N3351">
        <v>-1.0736030000000001E-2</v>
      </c>
      <c r="O3351">
        <v>-0.99662039999999996</v>
      </c>
      <c r="P3351">
        <v>3.0709730000000001E-2</v>
      </c>
      <c r="Q3351">
        <v>0.15983310000000001</v>
      </c>
      <c r="R3351">
        <v>-0.9866665</v>
      </c>
      <c r="S3351">
        <v>0.40310669999999998</v>
      </c>
      <c r="T3351">
        <v>-2.6245589999999999E-2</v>
      </c>
      <c r="U3351">
        <v>-3.032486</v>
      </c>
      <c r="V3351">
        <v>-0.1115023</v>
      </c>
      <c r="W3351">
        <v>0.17000509999999999</v>
      </c>
      <c r="X3351">
        <v>0.9791147</v>
      </c>
      <c r="Y3351">
        <v>-0.21204509999999999</v>
      </c>
      <c r="Z3351">
        <v>-2.3186320000000002E-3</v>
      </c>
      <c r="AA3351">
        <v>0.97725709999999999</v>
      </c>
      <c r="AB3351">
        <v>21</v>
      </c>
      <c r="AC3351">
        <v>16.6601</v>
      </c>
      <c r="AD3351">
        <v>-1.0841038000000001</v>
      </c>
      <c r="AE3351">
        <v>-125.1253</v>
      </c>
      <c r="AF3351">
        <v>-26.793606652532301</v>
      </c>
      <c r="AG3351">
        <v>-1.0841038000000001</v>
      </c>
      <c r="AH3351">
        <v>123.34363369299101</v>
      </c>
      <c r="AI3351">
        <v>90.492100508438099</v>
      </c>
      <c r="AJ3351">
        <v>102.25580165318399</v>
      </c>
      <c r="AK3351">
        <v>126.224896954169</v>
      </c>
      <c r="AL3351">
        <v>80.211884876565904</v>
      </c>
      <c r="AM3351">
        <v>96.496896165265099</v>
      </c>
      <c r="AN3351">
        <v>1.00000004634369</v>
      </c>
    </row>
    <row r="3352" spans="1:40" x14ac:dyDescent="0.25">
      <c r="A3352" t="str">
        <f>"20190303170319568"</f>
        <v>20190303170319568</v>
      </c>
      <c r="B3352" t="str">
        <f>"1551603799558431"</f>
        <v>1551603799558431</v>
      </c>
      <c r="C3352" t="s">
        <v>40</v>
      </c>
      <c r="D3352">
        <v>4.4378880000000001</v>
      </c>
      <c r="E3352">
        <v>0.46465200000000001</v>
      </c>
      <c r="F3352" t="s">
        <v>75</v>
      </c>
      <c r="G3352">
        <v>-476.87529999999998</v>
      </c>
      <c r="H3352">
        <v>3.111179E-2</v>
      </c>
      <c r="I3352">
        <v>129.6163</v>
      </c>
      <c r="J3352">
        <v>-493.5616</v>
      </c>
      <c r="K3352">
        <v>1.1227860000000001</v>
      </c>
      <c r="L3352">
        <v>254.60659999999999</v>
      </c>
      <c r="M3352">
        <v>-7.9903489999999994E-2</v>
      </c>
      <c r="N3352">
        <v>-1.079188E-2</v>
      </c>
      <c r="O3352">
        <v>-0.99674450000000003</v>
      </c>
      <c r="P3352">
        <v>3.0590740000000002E-2</v>
      </c>
      <c r="Q3352">
        <v>0.15992010000000001</v>
      </c>
      <c r="R3352">
        <v>-0.98665619999999998</v>
      </c>
      <c r="S3352">
        <v>0.40414430000000001</v>
      </c>
      <c r="T3352">
        <v>-2.6455159999999998E-2</v>
      </c>
      <c r="U3352">
        <v>-3.0322420000000001</v>
      </c>
      <c r="V3352">
        <v>-0.10986940000000001</v>
      </c>
      <c r="W3352">
        <v>0.1701541</v>
      </c>
      <c r="X3352">
        <v>0.97927339999999996</v>
      </c>
      <c r="Y3352">
        <v>-0.21087690000000001</v>
      </c>
      <c r="Z3352">
        <v>-2.3029349999999999E-3</v>
      </c>
      <c r="AA3352">
        <v>0.97750990000000004</v>
      </c>
      <c r="AB3352">
        <v>21</v>
      </c>
      <c r="AC3352">
        <v>16.686299999999999</v>
      </c>
      <c r="AD3352">
        <v>-1.0916742100000001</v>
      </c>
      <c r="AE3352">
        <v>-124.9903</v>
      </c>
      <c r="AF3352">
        <v>-26.618685747476199</v>
      </c>
      <c r="AG3352">
        <v>-1.0916742100000001</v>
      </c>
      <c r="AH3352">
        <v>123.24800214862699</v>
      </c>
      <c r="AI3352">
        <v>90.496049545699606</v>
      </c>
      <c r="AJ3352">
        <v>102.187352810302</v>
      </c>
      <c r="AK3352">
        <v>126.09447338060301</v>
      </c>
      <c r="AL3352">
        <v>80.203221594692295</v>
      </c>
      <c r="AM3352">
        <v>96.4015189903688</v>
      </c>
      <c r="AN3352">
        <v>1.0000000473753601</v>
      </c>
    </row>
    <row r="3353" spans="1:40" x14ac:dyDescent="0.25">
      <c r="A3353" t="str">
        <f>"20190303170319581"</f>
        <v>20190303170319581</v>
      </c>
      <c r="B3353" t="str">
        <f>"1551603799568192"</f>
        <v>1551603799568192</v>
      </c>
      <c r="C3353" t="s">
        <v>40</v>
      </c>
      <c r="D3353">
        <v>4.4041399999999999</v>
      </c>
      <c r="E3353">
        <v>0.46479290000000001</v>
      </c>
      <c r="F3353" t="s">
        <v>75</v>
      </c>
      <c r="G3353">
        <v>-476.98669999999998</v>
      </c>
      <c r="H3353">
        <v>1.8041539999999998E-2</v>
      </c>
      <c r="I3353">
        <v>129.6163</v>
      </c>
      <c r="J3353">
        <v>-493.56979999999999</v>
      </c>
      <c r="K3353">
        <v>1.122787</v>
      </c>
      <c r="L3353">
        <v>254.48480000000001</v>
      </c>
      <c r="M3353">
        <v>-7.8524780000000002E-2</v>
      </c>
      <c r="N3353">
        <v>-1.0841669999999999E-2</v>
      </c>
      <c r="O3353">
        <v>-0.99685319999999999</v>
      </c>
      <c r="P3353">
        <v>3.1067049999999999E-2</v>
      </c>
      <c r="Q3353">
        <v>0.15967310000000001</v>
      </c>
      <c r="R3353">
        <v>-0.98668109999999998</v>
      </c>
      <c r="S3353">
        <v>0.40213009999999999</v>
      </c>
      <c r="T3353">
        <v>-2.6802659999999999E-2</v>
      </c>
      <c r="U3353">
        <v>-3.0324399999999998</v>
      </c>
      <c r="V3353">
        <v>-0.10898670000000001</v>
      </c>
      <c r="W3353">
        <v>0.16996140000000001</v>
      </c>
      <c r="X3353">
        <v>0.97940550000000004</v>
      </c>
      <c r="Y3353">
        <v>-0.20887810000000001</v>
      </c>
      <c r="Z3353">
        <v>-2.2363000000000001E-3</v>
      </c>
      <c r="AA3353">
        <v>0.97793909999999995</v>
      </c>
      <c r="AB3353">
        <v>21</v>
      </c>
      <c r="AC3353">
        <v>16.583100000000002</v>
      </c>
      <c r="AD3353">
        <v>-1.10474546</v>
      </c>
      <c r="AE3353">
        <v>-124.8685</v>
      </c>
      <c r="AF3353">
        <v>-26.3357102451</v>
      </c>
      <c r="AG3353">
        <v>-1.10474546</v>
      </c>
      <c r="AH3353">
        <v>123.171146054096</v>
      </c>
      <c r="AI3353">
        <v>90.502525122220703</v>
      </c>
      <c r="AJ3353">
        <v>102.068911602074</v>
      </c>
      <c r="AK3353">
        <v>125.959998876329</v>
      </c>
      <c r="AL3353">
        <v>80.214425772348903</v>
      </c>
      <c r="AM3353">
        <v>96.349660959239799</v>
      </c>
      <c r="AN3353">
        <v>1.00000005584854</v>
      </c>
    </row>
    <row r="3354" spans="1:40" x14ac:dyDescent="0.25">
      <c r="A3354" t="str">
        <f>"20190303170319593"</f>
        <v>20190303170319593</v>
      </c>
      <c r="B3354" t="str">
        <f>"1551603799588688"</f>
        <v>1551603799588688</v>
      </c>
      <c r="C3354" t="s">
        <v>40</v>
      </c>
      <c r="D3354">
        <v>4.437786</v>
      </c>
      <c r="E3354">
        <v>0.48812759999999999</v>
      </c>
      <c r="F3354" t="s">
        <v>75</v>
      </c>
      <c r="G3354">
        <v>-477.56079999999997</v>
      </c>
      <c r="H3354" s="1">
        <v>-3.667912E-6</v>
      </c>
      <c r="I3354">
        <v>133.8383</v>
      </c>
      <c r="J3354">
        <v>-493.57729999999998</v>
      </c>
      <c r="K3354">
        <v>1.1227819999999999</v>
      </c>
      <c r="L3354">
        <v>254.37110000000001</v>
      </c>
      <c r="M3354">
        <v>-7.724259E-2</v>
      </c>
      <c r="N3354">
        <v>-1.0887819999999999E-2</v>
      </c>
      <c r="O3354">
        <v>-0.99695279999999997</v>
      </c>
      <c r="P3354">
        <v>3.1700800000000001E-2</v>
      </c>
      <c r="Q3354">
        <v>0.15976270000000001</v>
      </c>
      <c r="R3354">
        <v>-0.98664640000000003</v>
      </c>
      <c r="S3354">
        <v>0.40237430000000002</v>
      </c>
      <c r="T3354">
        <v>-2.8220530000000001E-2</v>
      </c>
      <c r="U3354">
        <v>-3.0323639999999998</v>
      </c>
      <c r="V3354">
        <v>-0.1083522</v>
      </c>
      <c r="W3354">
        <v>0.17010049999999999</v>
      </c>
      <c r="X3354">
        <v>0.97945170000000004</v>
      </c>
      <c r="Y3354">
        <v>-0.2077003</v>
      </c>
      <c r="Z3354">
        <v>-1.820859E-3</v>
      </c>
      <c r="AA3354">
        <v>0.97819080000000003</v>
      </c>
      <c r="AB3354">
        <v>21</v>
      </c>
      <c r="AC3354">
        <v>16.016500000000001</v>
      </c>
      <c r="AD3354">
        <v>-1.1227856679120001</v>
      </c>
      <c r="AE3354">
        <v>-120.53279999999999</v>
      </c>
      <c r="AF3354">
        <v>-25.277305190607098</v>
      </c>
      <c r="AG3354">
        <v>-1.1227856679120001</v>
      </c>
      <c r="AH3354">
        <v>118.925274931435</v>
      </c>
      <c r="AI3354">
        <v>90.529100474992006</v>
      </c>
      <c r="AJ3354">
        <v>101.99951952665199</v>
      </c>
      <c r="AK3354">
        <v>121.58710385099501</v>
      </c>
      <c r="AL3354">
        <v>80.206337670840995</v>
      </c>
      <c r="AM3354">
        <v>96.312698380339199</v>
      </c>
      <c r="AN3354">
        <v>1.00000000598899</v>
      </c>
    </row>
    <row r="3355" spans="1:40" x14ac:dyDescent="0.25">
      <c r="A3355" t="str">
        <f>"20190303170319605"</f>
        <v>20190303170319605</v>
      </c>
      <c r="B3355" t="str">
        <f>"1551603799598448"</f>
        <v>1551603799598448</v>
      </c>
      <c r="C3355" t="s">
        <v>40</v>
      </c>
      <c r="D3355">
        <v>4.4949219999999999</v>
      </c>
      <c r="E3355">
        <v>0.49512929999999999</v>
      </c>
      <c r="F3355" t="s">
        <v>42</v>
      </c>
      <c r="G3355">
        <v>-489.4572</v>
      </c>
      <c r="H3355" s="1">
        <v>-3.3817440000000001E-6</v>
      </c>
      <c r="I3355">
        <v>197.29130000000001</v>
      </c>
      <c r="J3355">
        <v>-493.5838</v>
      </c>
      <c r="K3355">
        <v>1.122781</v>
      </c>
      <c r="L3355">
        <v>254.26929999999999</v>
      </c>
      <c r="M3355">
        <v>-7.6106759999999996E-2</v>
      </c>
      <c r="N3355">
        <v>-1.093126E-2</v>
      </c>
      <c r="O3355">
        <v>-0.99703989999999998</v>
      </c>
      <c r="P3355">
        <v>3.2259839999999998E-2</v>
      </c>
      <c r="Q3355">
        <v>0.15946199999999999</v>
      </c>
      <c r="R3355">
        <v>-0.98667700000000003</v>
      </c>
      <c r="S3355">
        <v>0.21966550000000001</v>
      </c>
      <c r="T3355">
        <v>-5.986226E-2</v>
      </c>
      <c r="U3355">
        <v>-3.0432589999999999</v>
      </c>
      <c r="V3355">
        <v>-0.107789</v>
      </c>
      <c r="W3355">
        <v>0.16984769999999999</v>
      </c>
      <c r="X3355">
        <v>0.97955769999999998</v>
      </c>
      <c r="Y3355">
        <v>-0.14767139999999901</v>
      </c>
      <c r="Z3355">
        <v>8.4875249999999992E-3</v>
      </c>
      <c r="AA3355">
        <v>0.98900010000000005</v>
      </c>
      <c r="AB3355">
        <v>21</v>
      </c>
      <c r="AC3355">
        <v>4.1265999999999901</v>
      </c>
      <c r="AD3355">
        <v>-1.122784381744</v>
      </c>
      <c r="AE3355">
        <v>-56.977999999999902</v>
      </c>
      <c r="AF3355">
        <v>-8.4480361925420997</v>
      </c>
      <c r="AG3355">
        <v>-1.122784381744</v>
      </c>
      <c r="AH3355">
        <v>56.476828581825103</v>
      </c>
      <c r="AI3355">
        <v>91.126386775764203</v>
      </c>
      <c r="AJ3355">
        <v>98.507459849521695</v>
      </c>
      <c r="AK3355">
        <v>57.116215971816999</v>
      </c>
      <c r="AL3355">
        <v>80.221035852813102</v>
      </c>
      <c r="AM3355">
        <v>96.279474529999106</v>
      </c>
      <c r="AN3355">
        <v>0.99999999867278999</v>
      </c>
    </row>
    <row r="3356" spans="1:40" x14ac:dyDescent="0.25">
      <c r="A3356" t="str">
        <f>"20190303170319616"</f>
        <v>20190303170319616</v>
      </c>
      <c r="B3356" t="str">
        <f>"1551603799608208"</f>
        <v>1551603799608208</v>
      </c>
      <c r="C3356" t="s">
        <v>40</v>
      </c>
      <c r="D3356">
        <v>4.4985970000000002</v>
      </c>
      <c r="E3356">
        <v>0.49938320000000003</v>
      </c>
      <c r="F3356" t="s">
        <v>57</v>
      </c>
      <c r="G3356">
        <v>-490.77980000000002</v>
      </c>
      <c r="H3356" s="1">
        <v>9.4424940000000005E-7</v>
      </c>
      <c r="I3356">
        <v>202.6644</v>
      </c>
      <c r="J3356">
        <v>-493.59039999999999</v>
      </c>
      <c r="K3356">
        <v>1.1227739999999999</v>
      </c>
      <c r="L3356">
        <v>254.16540000000001</v>
      </c>
      <c r="M3356">
        <v>-7.4951649999999995E-2</v>
      </c>
      <c r="N3356">
        <v>-1.097625E-2</v>
      </c>
      <c r="O3356">
        <v>-0.99712699999999999</v>
      </c>
      <c r="P3356">
        <v>3.2631840000000002E-2</v>
      </c>
      <c r="Q3356">
        <v>0.15935679999999999</v>
      </c>
      <c r="R3356">
        <v>-0.98668199999999995</v>
      </c>
      <c r="S3356">
        <v>0.165496799999999</v>
      </c>
      <c r="T3356">
        <v>-6.6268679999999996E-2</v>
      </c>
      <c r="U3356">
        <v>-3.0458219999999998</v>
      </c>
      <c r="V3356">
        <v>-0.1070188</v>
      </c>
      <c r="W3356">
        <v>0.16979269999999999</v>
      </c>
      <c r="X3356">
        <v>0.97965170000000001</v>
      </c>
      <c r="Y3356">
        <v>-0.1289225</v>
      </c>
      <c r="Z3356">
        <v>1.055625E-2</v>
      </c>
      <c r="AA3356">
        <v>0.99159850000000005</v>
      </c>
      <c r="AB3356">
        <v>21</v>
      </c>
      <c r="AC3356">
        <v>2.81059999999996</v>
      </c>
      <c r="AD3356">
        <v>-1.1227730557505999</v>
      </c>
      <c r="AE3356">
        <v>-51.500999999999998</v>
      </c>
      <c r="AF3356">
        <v>-6.6598539334788498</v>
      </c>
      <c r="AG3356">
        <v>-1.1227730557505999</v>
      </c>
      <c r="AH3356">
        <v>51.121222317746899</v>
      </c>
      <c r="AI3356">
        <v>91.247642863678905</v>
      </c>
      <c r="AJ3356">
        <v>97.422446507936996</v>
      </c>
      <c r="AK3356">
        <v>51.565430716813601</v>
      </c>
      <c r="AL3356">
        <v>80.224233767165998</v>
      </c>
      <c r="AM3356">
        <v>96.234366008893701</v>
      </c>
      <c r="AN3356">
        <v>1.0000000189198099</v>
      </c>
    </row>
    <row r="3357" spans="1:40" x14ac:dyDescent="0.25">
      <c r="A3357" t="str">
        <f>"20190303170319627"</f>
        <v>20190303170319627</v>
      </c>
      <c r="B3357" t="str">
        <f>"1551603799618944"</f>
        <v>1551603799618944</v>
      </c>
      <c r="C3357" t="s">
        <v>40</v>
      </c>
      <c r="D3357">
        <v>4.5527980000000001</v>
      </c>
      <c r="E3357">
        <v>0.50204939999999998</v>
      </c>
      <c r="F3357" t="s">
        <v>57</v>
      </c>
      <c r="G3357">
        <v>-491.49779999999998</v>
      </c>
      <c r="H3357" s="1">
        <v>1.8385189999999999E-6</v>
      </c>
      <c r="I3357">
        <v>205.99199999999999</v>
      </c>
      <c r="J3357">
        <v>-493.59699999999998</v>
      </c>
      <c r="K3357">
        <v>1.122763</v>
      </c>
      <c r="L3357">
        <v>254.06049999999999</v>
      </c>
      <c r="M3357">
        <v>-7.3803419999999995E-2</v>
      </c>
      <c r="N3357">
        <v>-1.1024610000000001E-2</v>
      </c>
      <c r="O3357">
        <v>-0.99721190000000004</v>
      </c>
      <c r="P3357">
        <v>3.3060840000000001E-2</v>
      </c>
      <c r="Q3357">
        <v>0.15915389999999999</v>
      </c>
      <c r="R3357">
        <v>-0.98670009999999997</v>
      </c>
      <c r="S3357">
        <v>0.13238529999999901</v>
      </c>
      <c r="T3357">
        <v>-7.1030259999999998E-2</v>
      </c>
      <c r="U3357">
        <v>-3.0476070000000002</v>
      </c>
      <c r="V3357">
        <v>-0.106311</v>
      </c>
      <c r="W3357">
        <v>0.16964470000000001</v>
      </c>
      <c r="X3357">
        <v>0.97975440000000003</v>
      </c>
      <c r="Y3357">
        <v>-0.11699279999999999</v>
      </c>
      <c r="Z3357">
        <v>1.207357E-2</v>
      </c>
      <c r="AA3357">
        <v>0.99305940000000004</v>
      </c>
      <c r="AB3357">
        <v>21</v>
      </c>
      <c r="AC3357">
        <v>2.09919999999999</v>
      </c>
      <c r="AD3357">
        <v>-1.122761161481</v>
      </c>
      <c r="AE3357">
        <v>-48.068499999999901</v>
      </c>
      <c r="AF3357">
        <v>-5.6382393619788598</v>
      </c>
      <c r="AG3357">
        <v>-1.122761161481</v>
      </c>
      <c r="AH3357">
        <v>47.756449432024098</v>
      </c>
      <c r="AI3357">
        <v>91.337498278108697</v>
      </c>
      <c r="AJ3357">
        <v>96.733306113796104</v>
      </c>
      <c r="AK3357">
        <v>48.101234891447099</v>
      </c>
      <c r="AL3357">
        <v>80.2328383705172</v>
      </c>
      <c r="AM3357">
        <v>96.192810548057395</v>
      </c>
      <c r="AN3357">
        <v>1.0000000186392199</v>
      </c>
    </row>
    <row r="3358" spans="1:40" x14ac:dyDescent="0.25">
      <c r="A3358" t="str">
        <f>"20190303170319640"</f>
        <v>20190303170319640</v>
      </c>
      <c r="B3358" t="str">
        <f>"1551603799628704"</f>
        <v>1551603799628704</v>
      </c>
      <c r="C3358" t="s">
        <v>40</v>
      </c>
      <c r="D3358">
        <v>4.2994450000000004</v>
      </c>
      <c r="E3358">
        <v>0.50395859999999904</v>
      </c>
      <c r="F3358" t="s">
        <v>57</v>
      </c>
      <c r="G3358">
        <v>-491.86649999999997</v>
      </c>
      <c r="H3358" s="1">
        <v>2.1260679999999998E-6</v>
      </c>
      <c r="I3358">
        <v>207.0258</v>
      </c>
      <c r="J3358">
        <v>-493.60379999999998</v>
      </c>
      <c r="K3358">
        <v>1.122752</v>
      </c>
      <c r="L3358">
        <v>253.94990000000001</v>
      </c>
      <c r="M3358">
        <v>-7.2602910000000007E-2</v>
      </c>
      <c r="N3358">
        <v>-1.1076549999999999E-2</v>
      </c>
      <c r="O3358">
        <v>-0.99729939999999995</v>
      </c>
      <c r="P3358">
        <v>3.3731940000000002E-2</v>
      </c>
      <c r="Q3358">
        <v>0.15890219999999999</v>
      </c>
      <c r="R3358">
        <v>-0.98671790000000004</v>
      </c>
      <c r="S3358">
        <v>0.1121521</v>
      </c>
      <c r="T3358">
        <v>-7.2768449999999998E-2</v>
      </c>
      <c r="U3358">
        <v>-3.048416</v>
      </c>
      <c r="V3358">
        <v>-0.10579180000000001</v>
      </c>
      <c r="W3358">
        <v>0.16945109999999999</v>
      </c>
      <c r="X3358">
        <v>0.9798441</v>
      </c>
      <c r="Y3358">
        <v>-0.10920249999999999</v>
      </c>
      <c r="Z3358">
        <v>1.260056E-2</v>
      </c>
      <c r="AA3358">
        <v>0.99393960000000003</v>
      </c>
      <c r="AB3358">
        <v>21</v>
      </c>
      <c r="AC3358">
        <v>1.7373000000000001</v>
      </c>
      <c r="AD3358">
        <v>-1.1227498739320001</v>
      </c>
      <c r="AE3358">
        <v>-46.924100000000003</v>
      </c>
      <c r="AF3358">
        <v>-5.1368130616835499</v>
      </c>
      <c r="AG3358">
        <v>-1.1227498739320001</v>
      </c>
      <c r="AH3358">
        <v>46.647438831273703</v>
      </c>
      <c r="AI3358">
        <v>91.370495546359393</v>
      </c>
      <c r="AJ3358">
        <v>96.284088173396597</v>
      </c>
      <c r="AK3358">
        <v>46.942847860217498</v>
      </c>
      <c r="AL3358">
        <v>80.244093805866399</v>
      </c>
      <c r="AM3358">
        <v>96.162239660466597</v>
      </c>
      <c r="AN3358">
        <v>1.0000000202716199</v>
      </c>
    </row>
    <row r="3359" spans="1:40" x14ac:dyDescent="0.25">
      <c r="A3359" t="str">
        <f>"20190303170319652"</f>
        <v>20190303170319652</v>
      </c>
      <c r="B3359" t="str">
        <f>"1551603799638463"</f>
        <v>1551603799638463</v>
      </c>
      <c r="C3359" t="s">
        <v>40</v>
      </c>
      <c r="D3359">
        <v>4.4907370000000002</v>
      </c>
      <c r="E3359">
        <v>0.50538369999999999</v>
      </c>
      <c r="F3359" t="s">
        <v>57</v>
      </c>
      <c r="G3359">
        <v>-492.10340000000002</v>
      </c>
      <c r="H3359" s="1">
        <v>2.3716380000000001E-6</v>
      </c>
      <c r="I3359">
        <v>207.88630000000001</v>
      </c>
      <c r="J3359">
        <v>-493.61020000000002</v>
      </c>
      <c r="K3359">
        <v>1.122738</v>
      </c>
      <c r="L3359">
        <v>253.84299999999999</v>
      </c>
      <c r="M3359">
        <v>-7.1457439999999997E-2</v>
      </c>
      <c r="N3359">
        <v>-1.1128010000000001E-2</v>
      </c>
      <c r="O3359">
        <v>-0.99738190000000004</v>
      </c>
      <c r="P3359">
        <v>3.4612480000000001E-2</v>
      </c>
      <c r="Q3359">
        <v>0.15871640000000001</v>
      </c>
      <c r="R3359">
        <v>-0.98671759999999997</v>
      </c>
      <c r="S3359">
        <v>9.9304199999999995E-2</v>
      </c>
      <c r="T3359">
        <v>-7.4313760000000006E-2</v>
      </c>
      <c r="U3359">
        <v>-3.0489039999999998</v>
      </c>
      <c r="V3359">
        <v>-0.105534</v>
      </c>
      <c r="W3359">
        <v>0.16932230000000001</v>
      </c>
      <c r="X3359">
        <v>0.97989420000000005</v>
      </c>
      <c r="Y3359">
        <v>-0.10387059999999999</v>
      </c>
      <c r="Z3359">
        <v>1.3061730000000001E-2</v>
      </c>
      <c r="AA3359">
        <v>0.99450499999999997</v>
      </c>
      <c r="AB3359">
        <v>21</v>
      </c>
      <c r="AC3359">
        <v>1.5067999999999899</v>
      </c>
      <c r="AD3359">
        <v>-1.122735628362</v>
      </c>
      <c r="AE3359">
        <v>-45.956699999999898</v>
      </c>
      <c r="AF3359">
        <v>-4.7842456667670499</v>
      </c>
      <c r="AG3359">
        <v>-1.122735628362</v>
      </c>
      <c r="AH3359">
        <v>45.7042765695249</v>
      </c>
      <c r="AI3359">
        <v>91.399556545735607</v>
      </c>
      <c r="AJ3359">
        <v>95.975860904698905</v>
      </c>
      <c r="AK3359">
        <v>45.967710826566098</v>
      </c>
      <c r="AL3359">
        <v>80.251582044768298</v>
      </c>
      <c r="AM3359">
        <v>96.147026353928098</v>
      </c>
      <c r="AN3359">
        <v>1.00000005481346</v>
      </c>
    </row>
    <row r="3360" spans="1:40" x14ac:dyDescent="0.25">
      <c r="A3360" t="str">
        <f>"20190303170319667"</f>
        <v>20190303170319667</v>
      </c>
      <c r="B3360" t="str">
        <f>"1551603799658960"</f>
        <v>1551603799658960</v>
      </c>
      <c r="C3360" t="s">
        <v>40</v>
      </c>
      <c r="D3360">
        <v>4.1832089999999997</v>
      </c>
      <c r="E3360">
        <v>0.5070964</v>
      </c>
      <c r="F3360" t="s">
        <v>57</v>
      </c>
      <c r="G3360">
        <v>-492.2627</v>
      </c>
      <c r="H3360" s="1">
        <v>2.440733E-6</v>
      </c>
      <c r="I3360">
        <v>208.155</v>
      </c>
      <c r="J3360">
        <v>-493.61869999999999</v>
      </c>
      <c r="K3360">
        <v>1.1227180000000001</v>
      </c>
      <c r="L3360">
        <v>253.7</v>
      </c>
      <c r="M3360">
        <v>-6.9957149999999996E-2</v>
      </c>
      <c r="N3360">
        <v>-1.11979E-2</v>
      </c>
      <c r="O3360">
        <v>-0.99748720000000002</v>
      </c>
      <c r="P3360">
        <v>3.5404659999999998E-2</v>
      </c>
      <c r="Q3360">
        <v>0.1586746</v>
      </c>
      <c r="R3360">
        <v>-0.98669620000000002</v>
      </c>
      <c r="S3360">
        <v>8.9935299999999996E-2</v>
      </c>
      <c r="T3360">
        <v>-7.4932579999999999E-2</v>
      </c>
      <c r="U3360">
        <v>-3.0492710000000001</v>
      </c>
      <c r="V3360">
        <v>-0.1048338</v>
      </c>
      <c r="W3360">
        <v>0.16935939999999999</v>
      </c>
      <c r="X3360">
        <v>0.97996289999999997</v>
      </c>
      <c r="Y3360">
        <v>-9.9317580000000003E-2</v>
      </c>
      <c r="Z3360">
        <v>1.320254E-2</v>
      </c>
      <c r="AA3360">
        <v>0.99496819999999997</v>
      </c>
      <c r="AB3360">
        <v>21</v>
      </c>
      <c r="AC3360">
        <v>1.3559999999999901</v>
      </c>
      <c r="AD3360">
        <v>-1.122715559267</v>
      </c>
      <c r="AE3360">
        <v>-45.544999999999902</v>
      </c>
      <c r="AF3360">
        <v>-4.5363212999826796</v>
      </c>
      <c r="AG3360">
        <v>-1.122715559267</v>
      </c>
      <c r="AH3360">
        <v>45.311023642730099</v>
      </c>
      <c r="AI3360">
        <v>91.412325774250505</v>
      </c>
      <c r="AJ3360">
        <v>95.717127065994603</v>
      </c>
      <c r="AK3360">
        <v>45.551372808245297</v>
      </c>
      <c r="AL3360">
        <v>80.249424767463907</v>
      </c>
      <c r="AM3360">
        <v>96.106126191623702</v>
      </c>
      <c r="AN3360">
        <v>1.0000000086836001</v>
      </c>
    </row>
    <row r="3361" spans="1:40" x14ac:dyDescent="0.25">
      <c r="A3361" t="str">
        <f>"20190303170319679"</f>
        <v>20190303170319679</v>
      </c>
      <c r="B3361" t="str">
        <f>"1551603799668720"</f>
        <v>1551603799668720</v>
      </c>
      <c r="C3361" t="s">
        <v>40</v>
      </c>
      <c r="D3361">
        <v>4.4338579999999999</v>
      </c>
      <c r="E3361">
        <v>0.50775159999999997</v>
      </c>
      <c r="F3361" t="s">
        <v>57</v>
      </c>
      <c r="G3361">
        <v>-492.43549999999999</v>
      </c>
      <c r="H3361" s="1">
        <v>2.304873E-6</v>
      </c>
      <c r="I3361">
        <v>207.76589999999999</v>
      </c>
      <c r="J3361">
        <v>-493.62509999999997</v>
      </c>
      <c r="K3361">
        <v>1.1226989999999999</v>
      </c>
      <c r="L3361">
        <v>253.5899</v>
      </c>
      <c r="M3361">
        <v>-6.8823099999999998E-2</v>
      </c>
      <c r="N3361">
        <v>-1.125222E-2</v>
      </c>
      <c r="O3361">
        <v>-0.99756560000000005</v>
      </c>
      <c r="P3361">
        <v>3.6473619999999998E-2</v>
      </c>
      <c r="Q3361">
        <v>0.1588881</v>
      </c>
      <c r="R3361">
        <v>-0.98662300000000003</v>
      </c>
      <c r="S3361">
        <v>7.8552250000000004E-2</v>
      </c>
      <c r="T3361">
        <v>-7.4537989999999998E-2</v>
      </c>
      <c r="U3361">
        <v>-3.0496059999999998</v>
      </c>
      <c r="V3361">
        <v>-0.104769</v>
      </c>
      <c r="W3361">
        <v>0.1696329</v>
      </c>
      <c r="X3361">
        <v>0.97992250000000003</v>
      </c>
      <c r="Y3361">
        <v>-9.4471970000000002E-2</v>
      </c>
      <c r="Z3361">
        <v>1.302855E-2</v>
      </c>
      <c r="AA3361">
        <v>0.9954423</v>
      </c>
      <c r="AB3361">
        <v>21</v>
      </c>
      <c r="AC3361">
        <v>1.18959999999998</v>
      </c>
      <c r="AD3361">
        <v>-1.1226966951270001</v>
      </c>
      <c r="AE3361">
        <v>-45.823999999999998</v>
      </c>
      <c r="AF3361">
        <v>-4.3381255527805198</v>
      </c>
      <c r="AG3361">
        <v>-1.1226966951270001</v>
      </c>
      <c r="AH3361">
        <v>45.606097854947102</v>
      </c>
      <c r="AI3361">
        <v>91.403845464825807</v>
      </c>
      <c r="AJ3361">
        <v>95.433717961082607</v>
      </c>
      <c r="AK3361">
        <v>45.825712681156901</v>
      </c>
      <c r="AL3361">
        <v>80.233524072743805</v>
      </c>
      <c r="AM3361">
        <v>96.102630041369395</v>
      </c>
      <c r="AN3361">
        <v>0.99999998506482901</v>
      </c>
    </row>
    <row r="3362" spans="1:40" x14ac:dyDescent="0.25">
      <c r="A3362" t="str">
        <f>"20190303170319692"</f>
        <v>20190303170319692</v>
      </c>
      <c r="B3362" t="str">
        <f>"1551603799678479"</f>
        <v>1551603799678479</v>
      </c>
      <c r="C3362" t="s">
        <v>40</v>
      </c>
      <c r="D3362">
        <v>4.3744540000000001</v>
      </c>
      <c r="E3362">
        <v>0.50828139999999999</v>
      </c>
      <c r="F3362" t="s">
        <v>57</v>
      </c>
      <c r="G3362">
        <v>-492.46089999999998</v>
      </c>
      <c r="H3362" s="1">
        <v>2.0868329999999999E-6</v>
      </c>
      <c r="I3362">
        <v>207.0693</v>
      </c>
      <c r="J3362">
        <v>-493.6318</v>
      </c>
      <c r="K3362">
        <v>1.1226780000000001</v>
      </c>
      <c r="L3362">
        <v>253.47229999999999</v>
      </c>
      <c r="M3362">
        <v>-6.7640649999999997E-2</v>
      </c>
      <c r="N3362">
        <v>-1.131066E-2</v>
      </c>
      <c r="O3362">
        <v>-0.99764589999999997</v>
      </c>
      <c r="P3362">
        <v>3.8053009999999998E-2</v>
      </c>
      <c r="Q3362">
        <v>0.1591659</v>
      </c>
      <c r="R3362">
        <v>-0.98651840000000002</v>
      </c>
      <c r="S3362">
        <v>7.6324459999999997E-2</v>
      </c>
      <c r="T3362">
        <v>-7.3600170000000006E-2</v>
      </c>
      <c r="U3362">
        <v>-3.049728</v>
      </c>
      <c r="V3362">
        <v>-0.1051622</v>
      </c>
      <c r="W3362">
        <v>0.1699736</v>
      </c>
      <c r="X3362">
        <v>0.97982130000000001</v>
      </c>
      <c r="Y3362">
        <v>-9.2564690000000005E-2</v>
      </c>
      <c r="Z3362">
        <v>1.2669379999999999E-2</v>
      </c>
      <c r="AA3362">
        <v>0.99562609999999996</v>
      </c>
      <c r="AB3362">
        <v>21</v>
      </c>
      <c r="AC3362">
        <v>1.17090000000001</v>
      </c>
      <c r="AD3362">
        <v>-1.1226759131669899</v>
      </c>
      <c r="AE3362">
        <v>-46.402999999999899</v>
      </c>
      <c r="AF3362">
        <v>-4.3046289243190898</v>
      </c>
      <c r="AG3362">
        <v>-1.1226759131669899</v>
      </c>
      <c r="AH3362">
        <v>46.190485962182002</v>
      </c>
      <c r="AI3362">
        <v>91.386315176398398</v>
      </c>
      <c r="AJ3362">
        <v>95.324186435867702</v>
      </c>
      <c r="AK3362">
        <v>46.404215593032298</v>
      </c>
      <c r="AL3362">
        <v>80.213715361956005</v>
      </c>
      <c r="AM3362">
        <v>96.125987375752302</v>
      </c>
      <c r="AN3362">
        <v>0.999999946469743</v>
      </c>
    </row>
    <row r="3363" spans="1:40" x14ac:dyDescent="0.25">
      <c r="A3363" t="str">
        <f>"20190303170319702"</f>
        <v>20190303170319702</v>
      </c>
      <c r="B3363" t="str">
        <f>"1551603799689215"</f>
        <v>1551603799689215</v>
      </c>
      <c r="C3363" t="s">
        <v>40</v>
      </c>
      <c r="D3363">
        <v>4.3738789999999996</v>
      </c>
      <c r="E3363">
        <v>0.50870090000000001</v>
      </c>
      <c r="F3363" t="s">
        <v>57</v>
      </c>
      <c r="G3363">
        <v>-492.44639999999998</v>
      </c>
      <c r="H3363" s="1">
        <v>1.8642789999999999E-6</v>
      </c>
      <c r="I3363">
        <v>206.3467</v>
      </c>
      <c r="J3363">
        <v>-493.63729999999998</v>
      </c>
      <c r="K3363">
        <v>1.122657</v>
      </c>
      <c r="L3363">
        <v>253.37540000000001</v>
      </c>
      <c r="M3363">
        <v>-6.6697469999999995E-2</v>
      </c>
      <c r="N3363">
        <v>-1.1361370000000001E-2</v>
      </c>
      <c r="O3363">
        <v>-0.99770859999999995</v>
      </c>
      <c r="P3363">
        <v>3.9377540000000003E-2</v>
      </c>
      <c r="Q3363">
        <v>0.15938749999999999</v>
      </c>
      <c r="R3363">
        <v>-0.98643069999999999</v>
      </c>
      <c r="S3363">
        <v>7.6721189999999995E-2</v>
      </c>
      <c r="T3363">
        <v>-7.2655440000000002E-2</v>
      </c>
      <c r="U3363">
        <v>-3.0497890000000001</v>
      </c>
      <c r="V3363">
        <v>-0.1055388</v>
      </c>
      <c r="W3363">
        <v>0.1702504</v>
      </c>
      <c r="X3363">
        <v>0.97973279999999996</v>
      </c>
      <c r="Y3363">
        <v>-9.175266E-2</v>
      </c>
      <c r="Z3363">
        <v>1.2313579999999999E-2</v>
      </c>
      <c r="AA3363">
        <v>0.99570570000000003</v>
      </c>
      <c r="AB3363">
        <v>21</v>
      </c>
      <c r="AC3363">
        <v>1.1908999999999901</v>
      </c>
      <c r="AD3363">
        <v>-1.122655135721</v>
      </c>
      <c r="AE3363">
        <v>-47.028700000000001</v>
      </c>
      <c r="AF3363">
        <v>-4.3226837153825199</v>
      </c>
      <c r="AG3363">
        <v>-1.122655135721</v>
      </c>
      <c r="AH3363">
        <v>46.817867471133603</v>
      </c>
      <c r="AI3363">
        <v>91.367828243547905</v>
      </c>
      <c r="AJ3363">
        <v>95.275151172479099</v>
      </c>
      <c r="AK3363">
        <v>47.0304014824627</v>
      </c>
      <c r="AL3363">
        <v>80.197621826330703</v>
      </c>
      <c r="AM3363">
        <v>96.148308742086002</v>
      </c>
      <c r="AN3363">
        <v>0.99999999820072005</v>
      </c>
    </row>
    <row r="3364" spans="1:40" x14ac:dyDescent="0.25">
      <c r="A3364" t="str">
        <f>"20190303170319713"</f>
        <v>20190303170319713</v>
      </c>
      <c r="B3364" t="str">
        <f>"1551603799708736"</f>
        <v>1551603799708736</v>
      </c>
      <c r="C3364" t="s">
        <v>40</v>
      </c>
      <c r="D3364">
        <v>4.374269</v>
      </c>
      <c r="E3364">
        <v>0.50954840000000001</v>
      </c>
      <c r="F3364" t="s">
        <v>57</v>
      </c>
      <c r="G3364">
        <v>-492.44470000000001</v>
      </c>
      <c r="H3364" s="1">
        <v>1.8108920000000001E-6</v>
      </c>
      <c r="I3364">
        <v>206.1739</v>
      </c>
      <c r="J3364">
        <v>-493.6429</v>
      </c>
      <c r="K3364">
        <v>1.1226290000000001</v>
      </c>
      <c r="L3364">
        <v>253.27420000000001</v>
      </c>
      <c r="M3364">
        <v>-6.5723019999999993E-2</v>
      </c>
      <c r="N3364">
        <v>-1.1415359999999999E-2</v>
      </c>
      <c r="O3364">
        <v>-0.99777260000000001</v>
      </c>
      <c r="P3364">
        <v>4.0929529999999999E-2</v>
      </c>
      <c r="Q3364">
        <v>0.160250799999999</v>
      </c>
      <c r="R3364">
        <v>-0.98622750000000003</v>
      </c>
      <c r="S3364">
        <v>7.7056879999999994E-2</v>
      </c>
      <c r="T3364">
        <v>-7.2539690000000004E-2</v>
      </c>
      <c r="U3364">
        <v>-3.0498959999999999</v>
      </c>
      <c r="V3364">
        <v>-0.10610509999999999</v>
      </c>
      <c r="W3364">
        <v>0.1711703</v>
      </c>
      <c r="X3364">
        <v>0.97951129999999997</v>
      </c>
      <c r="Y3364">
        <v>-9.0888880000000005E-2</v>
      </c>
      <c r="Z3364">
        <v>1.22243E-2</v>
      </c>
      <c r="AA3364">
        <v>0.99578599999999995</v>
      </c>
      <c r="AB3364">
        <v>21</v>
      </c>
      <c r="AC3364">
        <v>1.1981999999999799</v>
      </c>
      <c r="AD3364">
        <v>-1.122627189108</v>
      </c>
      <c r="AE3364">
        <v>-47.100299999999997</v>
      </c>
      <c r="AF3364">
        <v>-4.2889497603114597</v>
      </c>
      <c r="AG3364">
        <v>-1.122627189108</v>
      </c>
      <c r="AH3364">
        <v>46.893074270828997</v>
      </c>
      <c r="AI3364">
        <v>91.365709290831504</v>
      </c>
      <c r="AJ3364">
        <v>95.225865690673501</v>
      </c>
      <c r="AK3364">
        <v>47.102184624724998</v>
      </c>
      <c r="AL3364">
        <v>80.144130019765697</v>
      </c>
      <c r="AM3364">
        <v>96.182431553081898</v>
      </c>
      <c r="AN3364">
        <v>0.99999997533789398</v>
      </c>
    </row>
    <row r="3365" spans="1:40" x14ac:dyDescent="0.25">
      <c r="A3365" t="str">
        <f>"20190303170319728"</f>
        <v>20190303170319728</v>
      </c>
      <c r="B3365" t="str">
        <f>"1551603799718495"</f>
        <v>1551603799718495</v>
      </c>
      <c r="C3365" t="s">
        <v>40</v>
      </c>
      <c r="D3365">
        <v>4.3728899999999999</v>
      </c>
      <c r="E3365">
        <v>0.50989189999999995</v>
      </c>
      <c r="F3365" t="s">
        <v>57</v>
      </c>
      <c r="G3365">
        <v>-492.43</v>
      </c>
      <c r="H3365" s="1">
        <v>1.2369209999999999E-6</v>
      </c>
      <c r="I3365">
        <v>203.91589999999999</v>
      </c>
      <c r="J3365">
        <v>-493.64980000000003</v>
      </c>
      <c r="K3365">
        <v>1.122595</v>
      </c>
      <c r="L3365">
        <v>253.1497</v>
      </c>
      <c r="M3365">
        <v>-6.458142E-2</v>
      </c>
      <c r="N3365">
        <v>-1.148884E-2</v>
      </c>
      <c r="O3365">
        <v>-0.99784649999999997</v>
      </c>
      <c r="P3365">
        <v>4.2613089999999999E-2</v>
      </c>
      <c r="Q3365">
        <v>0.1600231</v>
      </c>
      <c r="R3365">
        <v>-0.98619310000000004</v>
      </c>
      <c r="S3365">
        <v>7.4951169999999998E-2</v>
      </c>
      <c r="T3365">
        <v>-6.9371940000000007E-2</v>
      </c>
      <c r="U3365">
        <v>-3.0500639999999999</v>
      </c>
      <c r="V3365">
        <v>-0.10664170000000001</v>
      </c>
      <c r="W3365">
        <v>0.1710237</v>
      </c>
      <c r="X3365">
        <v>0.97947870000000004</v>
      </c>
      <c r="Y3365">
        <v>-8.9062039999999995E-2</v>
      </c>
      <c r="Z3365">
        <v>1.112223E-2</v>
      </c>
      <c r="AA3365">
        <v>0.99596399999999996</v>
      </c>
      <c r="AB3365">
        <v>21</v>
      </c>
      <c r="AC3365">
        <v>1.21980000000002</v>
      </c>
      <c r="AD3365">
        <v>-1.1225937630789999</v>
      </c>
      <c r="AE3365">
        <v>-49.233800000000002</v>
      </c>
      <c r="AF3365">
        <v>-4.3947677865816503</v>
      </c>
      <c r="AG3365">
        <v>-1.1225937630789999</v>
      </c>
      <c r="AH3365">
        <v>49.0267531053887</v>
      </c>
      <c r="AI3365">
        <v>91.306468559707994</v>
      </c>
      <c r="AJ3365">
        <v>95.122314326612695</v>
      </c>
      <c r="AK3365">
        <v>49.236132267996197</v>
      </c>
      <c r="AL3365">
        <v>80.1526559458528</v>
      </c>
      <c r="AM3365">
        <v>96.213658888544501</v>
      </c>
      <c r="AN3365">
        <v>1.0000000409471299</v>
      </c>
    </row>
    <row r="3366" spans="1:40" x14ac:dyDescent="0.25">
      <c r="A3366" t="str">
        <f>"20190303170319748"</f>
        <v>20190303170319748</v>
      </c>
      <c r="B3366" t="str">
        <f>"1551603799738991"</f>
        <v>1551603799738991</v>
      </c>
      <c r="C3366" t="s">
        <v>40</v>
      </c>
      <c r="D3366">
        <v>4.1110569999999997</v>
      </c>
      <c r="E3366">
        <v>0.51052829999999905</v>
      </c>
      <c r="F3366" t="s">
        <v>57</v>
      </c>
      <c r="G3366">
        <v>-492.40929999999997</v>
      </c>
      <c r="H3366" s="1">
        <v>1.269351E-6</v>
      </c>
      <c r="I3366">
        <v>204.14689999999999</v>
      </c>
      <c r="J3366">
        <v>-493.66</v>
      </c>
      <c r="K3366">
        <v>1.122536</v>
      </c>
      <c r="L3366">
        <v>252.95939999999999</v>
      </c>
      <c r="M3366">
        <v>-6.2911019999999998E-2</v>
      </c>
      <c r="N3366">
        <v>-1.1616410000000001E-2</v>
      </c>
      <c r="O3366">
        <v>-0.9979517</v>
      </c>
      <c r="P3366">
        <v>4.5149069999999999E-2</v>
      </c>
      <c r="Q3366">
        <v>0.15916520000000001</v>
      </c>
      <c r="R3366">
        <v>-0.98621950000000003</v>
      </c>
      <c r="S3366">
        <v>7.7209470000000002E-2</v>
      </c>
      <c r="T3366">
        <v>-6.9872500000000004E-2</v>
      </c>
      <c r="U3366">
        <v>-3.0500340000000001</v>
      </c>
      <c r="V3366">
        <v>-0.1074996</v>
      </c>
      <c r="W3366">
        <v>0.17030819999999999</v>
      </c>
      <c r="X3366">
        <v>0.97950950000000003</v>
      </c>
      <c r="Y3366">
        <v>-8.8131879999999996E-2</v>
      </c>
      <c r="Z3366">
        <v>1.116232E-2</v>
      </c>
      <c r="AA3366">
        <v>0.99604619999999999</v>
      </c>
      <c r="AB3366">
        <v>21</v>
      </c>
      <c r="AC3366">
        <v>1.2507000000000501</v>
      </c>
      <c r="AD3366">
        <v>-1.1225347306489999</v>
      </c>
      <c r="AE3366">
        <v>-48.8125</v>
      </c>
      <c r="AF3366">
        <v>-4.3169914999836401</v>
      </c>
      <c r="AG3366">
        <v>-1.1225347306489999</v>
      </c>
      <c r="AH3366">
        <v>48.611416551844201</v>
      </c>
      <c r="AI3366">
        <v>91.317655106653106</v>
      </c>
      <c r="AJ3366">
        <v>95.074902937623904</v>
      </c>
      <c r="AK3366">
        <v>48.815636009473003</v>
      </c>
      <c r="AL3366">
        <v>80.194260609141097</v>
      </c>
      <c r="AM3366">
        <v>96.263054802206497</v>
      </c>
      <c r="AN3366">
        <v>0.999999953788823</v>
      </c>
    </row>
    <row r="3367" spans="1:40" x14ac:dyDescent="0.25">
      <c r="A3367" t="str">
        <f>"20190303170319762"</f>
        <v>20190303170319762</v>
      </c>
      <c r="B3367" t="str">
        <f>"1551603799748752"</f>
        <v>1551603799748752</v>
      </c>
      <c r="C3367" t="s">
        <v>40</v>
      </c>
      <c r="D3367">
        <v>4.3734070000000003</v>
      </c>
      <c r="E3367">
        <v>0.51083389999999995</v>
      </c>
      <c r="F3367" t="s">
        <v>57</v>
      </c>
      <c r="G3367">
        <v>-492.41759999999999</v>
      </c>
      <c r="H3367" s="1">
        <v>1.7032320000000001E-6</v>
      </c>
      <c r="I3367">
        <v>205.8186</v>
      </c>
      <c r="J3367">
        <v>-493.6669</v>
      </c>
      <c r="K3367">
        <v>1.1224959999999999</v>
      </c>
      <c r="L3367">
        <v>252.83</v>
      </c>
      <c r="M3367">
        <v>-6.1835580000000001E-2</v>
      </c>
      <c r="N3367">
        <v>-1.171585E-2</v>
      </c>
      <c r="O3367">
        <v>-0.99801770000000001</v>
      </c>
      <c r="P3367">
        <v>4.6609209999999998E-2</v>
      </c>
      <c r="Q3367">
        <v>0.15845529999999999</v>
      </c>
      <c r="R3367">
        <v>-0.98626579999999997</v>
      </c>
      <c r="S3367">
        <v>8.0383300000000005E-2</v>
      </c>
      <c r="T3367">
        <v>-7.2626350000000006E-2</v>
      </c>
      <c r="U3367">
        <v>-3.0499420000000002</v>
      </c>
      <c r="V3367">
        <v>-0.1078799</v>
      </c>
      <c r="W3367">
        <v>0.1697091</v>
      </c>
      <c r="X3367">
        <v>0.97957169999999905</v>
      </c>
      <c r="Y3367">
        <v>-8.8094190000000003E-2</v>
      </c>
      <c r="Z3367">
        <v>1.196317E-2</v>
      </c>
      <c r="AA3367">
        <v>0.99604029999999999</v>
      </c>
      <c r="AB3367">
        <v>21</v>
      </c>
      <c r="AC3367">
        <v>1.2493000000000001</v>
      </c>
      <c r="AD3367">
        <v>-1.1224942967679901</v>
      </c>
      <c r="AE3367">
        <v>-47.011400000000002</v>
      </c>
      <c r="AF3367">
        <v>-4.1517200438039001</v>
      </c>
      <c r="AG3367">
        <v>-1.1224942967679901</v>
      </c>
      <c r="AH3367">
        <v>46.8174952993067</v>
      </c>
      <c r="AI3367">
        <v>91.368091360173295</v>
      </c>
      <c r="AJ3367">
        <v>95.067665696020597</v>
      </c>
      <c r="AK3367">
        <v>47.014621543398697</v>
      </c>
      <c r="AL3367">
        <v>80.229093884155603</v>
      </c>
      <c r="AM3367">
        <v>96.284638641189602</v>
      </c>
      <c r="AN3367">
        <v>0.99999998344385399</v>
      </c>
    </row>
    <row r="3368" spans="1:40" x14ac:dyDescent="0.25">
      <c r="A3368" t="str">
        <f>"20190303170319779"</f>
        <v>20190303170319779</v>
      </c>
      <c r="B3368" t="str">
        <f>"1551603799768271"</f>
        <v>1551603799768271</v>
      </c>
      <c r="C3368" t="s">
        <v>40</v>
      </c>
      <c r="D3368">
        <v>4.160336</v>
      </c>
      <c r="E3368">
        <v>0.51135889999999995</v>
      </c>
      <c r="F3368" t="s">
        <v>57</v>
      </c>
      <c r="G3368">
        <v>-492.4307</v>
      </c>
      <c r="H3368" s="1">
        <v>2.0908240000000002E-6</v>
      </c>
      <c r="I3368">
        <v>207.0735</v>
      </c>
      <c r="J3368">
        <v>-493.67500000000001</v>
      </c>
      <c r="K3368">
        <v>1.1224499999999999</v>
      </c>
      <c r="L3368">
        <v>252.67339999999999</v>
      </c>
      <c r="M3368">
        <v>-6.0594519999999999E-2</v>
      </c>
      <c r="N3368">
        <v>-1.18467E-2</v>
      </c>
      <c r="O3368">
        <v>-0.99809219999999998</v>
      </c>
      <c r="P3368">
        <v>4.8837199999999997E-2</v>
      </c>
      <c r="Q3368">
        <v>0.15785920000000001</v>
      </c>
      <c r="R3368">
        <v>-0.98625359999999995</v>
      </c>
      <c r="S3368">
        <v>8.2397460000000006E-2</v>
      </c>
      <c r="T3368">
        <v>-7.4819799999999895E-2</v>
      </c>
      <c r="U3368">
        <v>-3.0498959999999999</v>
      </c>
      <c r="V3368">
        <v>-0.1088558</v>
      </c>
      <c r="W3368">
        <v>0.16925560000000001</v>
      </c>
      <c r="X3368">
        <v>0.97954220000000003</v>
      </c>
      <c r="Y3368">
        <v>-8.7512629999999994E-2</v>
      </c>
      <c r="Z3368">
        <v>1.255087E-2</v>
      </c>
      <c r="AA3368">
        <v>0.99608430000000003</v>
      </c>
      <c r="AB3368">
        <v>21</v>
      </c>
      <c r="AC3368">
        <v>1.2443</v>
      </c>
      <c r="AD3368">
        <v>-1.122447909176</v>
      </c>
      <c r="AE3368">
        <v>-45.599899999999899</v>
      </c>
      <c r="AF3368">
        <v>-4.0028875228355298</v>
      </c>
      <c r="AG3368">
        <v>-1.122447909176</v>
      </c>
      <c r="AH3368">
        <v>45.413198102886902</v>
      </c>
      <c r="AI3368">
        <v>91.410387480666699</v>
      </c>
      <c r="AJ3368">
        <v>95.037243880136103</v>
      </c>
      <c r="AK3368">
        <v>45.603087173582203</v>
      </c>
      <c r="AL3368">
        <v>80.255458928472706</v>
      </c>
      <c r="AM3368">
        <v>96.341218927569003</v>
      </c>
      <c r="AN3368">
        <v>0.99999998245291899</v>
      </c>
    </row>
    <row r="3369" spans="1:40" x14ac:dyDescent="0.25">
      <c r="A3369" t="str">
        <f>"20190303170319792"</f>
        <v>20190303170319792</v>
      </c>
      <c r="B3369" t="str">
        <f>"1551603799779008"</f>
        <v>1551603799779008</v>
      </c>
      <c r="C3369" t="s">
        <v>40</v>
      </c>
      <c r="D3369">
        <v>4.1567970000000001</v>
      </c>
      <c r="E3369">
        <v>0.51162169999999996</v>
      </c>
      <c r="F3369" t="s">
        <v>57</v>
      </c>
      <c r="G3369">
        <v>-492.43200000000002</v>
      </c>
      <c r="H3369" s="1">
        <v>2.3931500000000001E-6</v>
      </c>
      <c r="I3369">
        <v>208.04990000000001</v>
      </c>
      <c r="J3369">
        <v>-493.68119999999999</v>
      </c>
      <c r="K3369">
        <v>1.12242</v>
      </c>
      <c r="L3369">
        <v>252.5548</v>
      </c>
      <c r="M3369">
        <v>-5.9699370000000002E-2</v>
      </c>
      <c r="N3369">
        <v>-1.1951399999999999E-2</v>
      </c>
      <c r="O3369">
        <v>-0.99814499999999995</v>
      </c>
      <c r="P3369">
        <v>5.039341E-2</v>
      </c>
      <c r="Q3369">
        <v>0.15792999999999999</v>
      </c>
      <c r="R3369">
        <v>-0.98616389999999998</v>
      </c>
      <c r="S3369">
        <v>8.4960939999999999E-2</v>
      </c>
      <c r="T3369">
        <v>-7.671654E-2</v>
      </c>
      <c r="U3369">
        <v>-3.0499109999999998</v>
      </c>
      <c r="V3369">
        <v>-0.1095048</v>
      </c>
      <c r="W3369">
        <v>0.16943929999999999</v>
      </c>
      <c r="X3369">
        <v>0.97943809999999998</v>
      </c>
      <c r="Y3369">
        <v>-8.7455060000000001E-2</v>
      </c>
      <c r="Z3369">
        <v>1.3066070000000001E-2</v>
      </c>
      <c r="AA3369">
        <v>0.99608280000000005</v>
      </c>
      <c r="AB3369">
        <v>20</v>
      </c>
      <c r="AC3369">
        <v>1.2492000000000301</v>
      </c>
      <c r="AD3369">
        <v>-1.12241760685</v>
      </c>
      <c r="AE3369">
        <v>-44.5048999999999</v>
      </c>
      <c r="AF3369">
        <v>-3.90159581951555</v>
      </c>
      <c r="AG3369">
        <v>-1.12241760685</v>
      </c>
      <c r="AH3369">
        <v>44.322758625289097</v>
      </c>
      <c r="AI3369">
        <v>91.445047395305494</v>
      </c>
      <c r="AJ3369">
        <v>95.030603989235701</v>
      </c>
      <c r="AK3369">
        <v>44.508304880984397</v>
      </c>
      <c r="AL3369">
        <v>80.244779465323305</v>
      </c>
      <c r="AM3369">
        <v>96.379387046358502</v>
      </c>
      <c r="AN3369">
        <v>0.99999998466956896</v>
      </c>
    </row>
    <row r="3370" spans="1:40" x14ac:dyDescent="0.25">
      <c r="A3370" t="str">
        <f>"20190303170319806"</f>
        <v>20190303170319806</v>
      </c>
      <c r="B3370" t="str">
        <f>"1551603799798528"</f>
        <v>1551603799798528</v>
      </c>
      <c r="C3370" t="s">
        <v>40</v>
      </c>
      <c r="D3370">
        <v>4.1454870000000001</v>
      </c>
      <c r="E3370">
        <v>0.51218279999999905</v>
      </c>
      <c r="F3370" t="s">
        <v>57</v>
      </c>
      <c r="G3370">
        <v>-492.39</v>
      </c>
      <c r="H3370" s="1">
        <v>2.2412330000000001E-6</v>
      </c>
      <c r="I3370">
        <v>207.54740000000001</v>
      </c>
      <c r="J3370">
        <v>-493.68729999999999</v>
      </c>
      <c r="K3370">
        <v>1.1223890000000001</v>
      </c>
      <c r="L3370">
        <v>252.43549999999999</v>
      </c>
      <c r="M3370">
        <v>-5.8848280000000003E-2</v>
      </c>
      <c r="N3370">
        <v>-1.205503E-2</v>
      </c>
      <c r="O3370">
        <v>-0.99819429999999998</v>
      </c>
      <c r="P3370">
        <v>5.219265E-2</v>
      </c>
      <c r="Q3370">
        <v>0.1579787</v>
      </c>
      <c r="R3370">
        <v>-0.98606249999999995</v>
      </c>
      <c r="S3370">
        <v>8.7493899999999999E-2</v>
      </c>
      <c r="T3370">
        <v>-7.6057550000000002E-2</v>
      </c>
      <c r="U3370">
        <v>-3.0498050000000001</v>
      </c>
      <c r="V3370">
        <v>-0.11044039999999999</v>
      </c>
      <c r="W3370">
        <v>0.16959769999999999</v>
      </c>
      <c r="X3370">
        <v>0.9793056</v>
      </c>
      <c r="Y3370">
        <v>-8.7433330000000004E-2</v>
      </c>
      <c r="Z3370">
        <v>1.274981E-2</v>
      </c>
      <c r="AA3370">
        <v>0.9960888</v>
      </c>
      <c r="AB3370">
        <v>20</v>
      </c>
      <c r="AC3370">
        <v>1.2972999999999999</v>
      </c>
      <c r="AD3370">
        <v>-1.12238675876699</v>
      </c>
      <c r="AE3370">
        <v>-44.888099999999902</v>
      </c>
      <c r="AF3370">
        <v>-3.9343726739246199</v>
      </c>
      <c r="AG3370">
        <v>-1.12238675876699</v>
      </c>
      <c r="AH3370">
        <v>44.706018334942598</v>
      </c>
      <c r="AI3370">
        <v>91.432627678783007</v>
      </c>
      <c r="AJ3370">
        <v>95.029382697091606</v>
      </c>
      <c r="AK3370">
        <v>44.892840361663502</v>
      </c>
      <c r="AL3370">
        <v>80.235570289564805</v>
      </c>
      <c r="AM3370">
        <v>96.434300085778503</v>
      </c>
      <c r="AN3370">
        <v>0.99999995999440405</v>
      </c>
    </row>
    <row r="3371" spans="1:40" x14ac:dyDescent="0.25">
      <c r="A3371" t="str">
        <f>"20190303170319820"</f>
        <v>20190303170319820</v>
      </c>
      <c r="B3371" t="str">
        <f>"1551603799808287"</f>
        <v>1551603799808287</v>
      </c>
      <c r="C3371" t="s">
        <v>40</v>
      </c>
      <c r="D3371">
        <v>4.1767059999999896</v>
      </c>
      <c r="E3371">
        <v>0.51218279999999905</v>
      </c>
      <c r="F3371" t="s">
        <v>57</v>
      </c>
      <c r="G3371">
        <v>-492.3612</v>
      </c>
      <c r="H3371" s="1">
        <v>1.9252499999999999E-6</v>
      </c>
      <c r="I3371">
        <v>206.51920000000001</v>
      </c>
      <c r="J3371">
        <v>-493.69349999999997</v>
      </c>
      <c r="K3371">
        <v>1.122357</v>
      </c>
      <c r="L3371">
        <v>252.3126</v>
      </c>
      <c r="M3371">
        <v>-5.8003840000000001E-2</v>
      </c>
      <c r="N3371">
        <v>-1.215873E-2</v>
      </c>
      <c r="O3371">
        <v>-0.99824219999999997</v>
      </c>
      <c r="P3371">
        <v>5.3710529999999999E-2</v>
      </c>
      <c r="Q3371">
        <v>0.15807889999999999</v>
      </c>
      <c r="R3371">
        <v>-0.98596470000000003</v>
      </c>
      <c r="S3371">
        <v>8.8073730000000003E-2</v>
      </c>
      <c r="T3371">
        <v>-7.4546219999999996E-2</v>
      </c>
      <c r="U3371">
        <v>-3.049652</v>
      </c>
      <c r="V3371">
        <v>-0.1111022</v>
      </c>
      <c r="W3371">
        <v>0.16980870000000001</v>
      </c>
      <c r="X3371">
        <v>0.97919420000000001</v>
      </c>
      <c r="Y3371">
        <v>-8.6781759999999999E-2</v>
      </c>
      <c r="Z3371">
        <v>1.215688E-2</v>
      </c>
      <c r="AA3371">
        <v>0.99615319999999996</v>
      </c>
      <c r="AB3371">
        <v>20</v>
      </c>
      <c r="AC3371">
        <v>1.3322999999999701</v>
      </c>
      <c r="AD3371">
        <v>-1.12235507475</v>
      </c>
      <c r="AE3371">
        <v>-45.793399999999899</v>
      </c>
      <c r="AF3371">
        <v>-3.9840550844790998</v>
      </c>
      <c r="AG3371">
        <v>-1.12235507475</v>
      </c>
      <c r="AH3371">
        <v>45.611629179723998</v>
      </c>
      <c r="AI3371">
        <v>91.404235359103197</v>
      </c>
      <c r="AJ3371">
        <v>94.991964918705307</v>
      </c>
      <c r="AK3371">
        <v>45.7990512157035</v>
      </c>
      <c r="AL3371">
        <v>80.223303214733093</v>
      </c>
      <c r="AM3371">
        <v>96.473260687317804</v>
      </c>
      <c r="AN3371">
        <v>0.99999998737708495</v>
      </c>
    </row>
    <row r="3372" spans="1:40" x14ac:dyDescent="0.25">
      <c r="A3372" t="str">
        <f>"20190303170319836"</f>
        <v>20190303170319836</v>
      </c>
      <c r="B3372" t="str">
        <f>"1551603799828784"</f>
        <v>1551603799828784</v>
      </c>
      <c r="C3372" t="s">
        <v>40</v>
      </c>
      <c r="D3372">
        <v>4.1420960000000004</v>
      </c>
      <c r="E3372">
        <v>0.51858839999999995</v>
      </c>
      <c r="F3372" t="s">
        <v>57</v>
      </c>
      <c r="G3372">
        <v>-492.29809999999998</v>
      </c>
      <c r="H3372" s="1">
        <v>1.817922E-6</v>
      </c>
      <c r="I3372">
        <v>206.15459999999999</v>
      </c>
      <c r="J3372">
        <v>-493.7013</v>
      </c>
      <c r="K3372">
        <v>1.122317</v>
      </c>
      <c r="L3372">
        <v>252.1557</v>
      </c>
      <c r="M3372">
        <v>-5.699427E-2</v>
      </c>
      <c r="N3372">
        <v>-1.228243E-2</v>
      </c>
      <c r="O3372">
        <v>-0.99829920000000005</v>
      </c>
      <c r="P3372">
        <v>5.6396780000000001E-2</v>
      </c>
      <c r="Q3372">
        <v>0.1584227</v>
      </c>
      <c r="R3372">
        <v>-0.98575970000000002</v>
      </c>
      <c r="S3372">
        <v>9.2193600000000001E-2</v>
      </c>
      <c r="T3372">
        <v>-7.4152469999999998E-2</v>
      </c>
      <c r="U3372">
        <v>-3.0495909999999999</v>
      </c>
      <c r="V3372">
        <v>-0.1127586</v>
      </c>
      <c r="W3372">
        <v>0.17028279999999901</v>
      </c>
      <c r="X3372">
        <v>0.97892250000000003</v>
      </c>
      <c r="Y3372">
        <v>-8.7119299999999997E-2</v>
      </c>
      <c r="Z3372">
        <v>1.1906119999999999E-2</v>
      </c>
      <c r="AA3372">
        <v>0.99612670000000003</v>
      </c>
      <c r="AB3372">
        <v>20</v>
      </c>
      <c r="AC3372">
        <v>1.40320000000002</v>
      </c>
      <c r="AD3372">
        <v>-1.122315182078</v>
      </c>
      <c r="AE3372">
        <v>-46.001100000000001</v>
      </c>
      <c r="AF3372">
        <v>-4.0205240479289097</v>
      </c>
      <c r="AG3372">
        <v>-1.122315182078</v>
      </c>
      <c r="AH3372">
        <v>45.819085766807703</v>
      </c>
      <c r="AI3372">
        <v>91.3977816060099</v>
      </c>
      <c r="AJ3372">
        <v>95.014734403242201</v>
      </c>
      <c r="AK3372">
        <v>46.008834211420599</v>
      </c>
      <c r="AL3372">
        <v>80.1957379268962</v>
      </c>
      <c r="AM3372">
        <v>96.570739100459406</v>
      </c>
      <c r="AN3372">
        <v>0.99999999742802503</v>
      </c>
    </row>
    <row r="3373" spans="1:40" x14ac:dyDescent="0.25">
      <c r="A3373" t="str">
        <f>"20190303170319848"</f>
        <v>20190303170319848</v>
      </c>
      <c r="B3373" t="str">
        <f>"1551603799838543"</f>
        <v>1551603799838543</v>
      </c>
      <c r="C3373" t="s">
        <v>40</v>
      </c>
      <c r="D3373">
        <v>4.0344660000000001</v>
      </c>
      <c r="E3373">
        <v>0.48611409999999999</v>
      </c>
      <c r="F3373" t="s">
        <v>42</v>
      </c>
      <c r="G3373">
        <v>-492.80399999999997</v>
      </c>
      <c r="H3373" s="1">
        <v>-3.432931E-6</v>
      </c>
      <c r="I3373">
        <v>195.85230000000001</v>
      </c>
      <c r="J3373">
        <v>-493.70659999999998</v>
      </c>
      <c r="K3373">
        <v>1.1222909999999999</v>
      </c>
      <c r="L3373">
        <v>252.04929999999999</v>
      </c>
      <c r="M3373">
        <v>-5.6361389999999997E-2</v>
      </c>
      <c r="N3373">
        <v>-1.2359230000000001E-2</v>
      </c>
      <c r="O3373">
        <v>-0.9983341</v>
      </c>
      <c r="P3373">
        <v>5.7900689999999998E-2</v>
      </c>
      <c r="Q3373">
        <v>0.15813089999999999</v>
      </c>
      <c r="R3373">
        <v>-0.98571940000000002</v>
      </c>
      <c r="S3373">
        <v>4.8614499999999998E-2</v>
      </c>
      <c r="T3373">
        <v>-6.0803059999999999E-2</v>
      </c>
      <c r="U3373">
        <v>-3.0503079999999998</v>
      </c>
      <c r="V3373">
        <v>-0.11362120000000001</v>
      </c>
      <c r="W3373">
        <v>0.17007369999999999</v>
      </c>
      <c r="X3373">
        <v>0.97885909999999998</v>
      </c>
      <c r="Y3373">
        <v>-7.2253860000000003E-2</v>
      </c>
      <c r="Z3373">
        <v>7.4907769999999997E-3</v>
      </c>
      <c r="AA3373">
        <v>0.99735810000000003</v>
      </c>
      <c r="AB3373">
        <v>20</v>
      </c>
      <c r="AC3373">
        <v>0.90259999999995</v>
      </c>
      <c r="AD3373">
        <v>-1.1222944329309901</v>
      </c>
      <c r="AE3373">
        <v>-56.196999999999903</v>
      </c>
      <c r="AF3373">
        <v>-4.0671258087779902</v>
      </c>
      <c r="AG3373">
        <v>-1.1222944329309901</v>
      </c>
      <c r="AH3373">
        <v>56.0344394071099</v>
      </c>
      <c r="AI3373">
        <v>91.1443942633191</v>
      </c>
      <c r="AJ3373">
        <v>94.151397199238502</v>
      </c>
      <c r="AK3373">
        <v>56.193055236458598</v>
      </c>
      <c r="AL3373">
        <v>80.207895735530798</v>
      </c>
      <c r="AM3373">
        <v>96.620985496082696</v>
      </c>
      <c r="AN3373">
        <v>0.99999998908696996</v>
      </c>
    </row>
    <row r="3374" spans="1:40" x14ac:dyDescent="0.25">
      <c r="A3374" t="str">
        <f>"20190303170319863"</f>
        <v>20190303170319863</v>
      </c>
      <c r="B3374" t="str">
        <f>"1551603799859040"</f>
        <v>1551603799859040</v>
      </c>
      <c r="C3374" t="s">
        <v>40</v>
      </c>
      <c r="D3374">
        <v>4.3039690000000004</v>
      </c>
      <c r="E3374">
        <v>0.474078</v>
      </c>
      <c r="F3374" t="s">
        <v>42</v>
      </c>
      <c r="G3374">
        <v>-487.79149999999998</v>
      </c>
      <c r="H3374" s="1">
        <v>-2.4590140000000001E-6</v>
      </c>
      <c r="I3374">
        <v>194.45160000000001</v>
      </c>
      <c r="J3374">
        <v>-493.71359999999999</v>
      </c>
      <c r="K3374">
        <v>1.1222540000000001</v>
      </c>
      <c r="L3374">
        <v>251.9057</v>
      </c>
      <c r="M3374">
        <v>-5.5545909999999997E-2</v>
      </c>
      <c r="N3374">
        <v>-1.245843E-2</v>
      </c>
      <c r="O3374">
        <v>-0.99837869999999995</v>
      </c>
      <c r="P3374">
        <v>5.9850769999999998E-2</v>
      </c>
      <c r="Q3374">
        <v>0.15769720000000001</v>
      </c>
      <c r="R3374">
        <v>-0.98567229999999995</v>
      </c>
      <c r="S3374">
        <v>0.31164550000000002</v>
      </c>
      <c r="T3374">
        <v>-5.9129710000000002E-2</v>
      </c>
      <c r="U3374">
        <v>-3.0346220000000002</v>
      </c>
      <c r="V3374">
        <v>-0.1147446</v>
      </c>
      <c r="W3374">
        <v>0.16974810000000001</v>
      </c>
      <c r="X3374">
        <v>0.9787846</v>
      </c>
      <c r="Y3374">
        <v>-0.1572277</v>
      </c>
      <c r="Z3374">
        <v>6.7712960000000004E-3</v>
      </c>
      <c r="AA3374">
        <v>0.98753919999999995</v>
      </c>
      <c r="AB3374">
        <v>20</v>
      </c>
      <c r="AC3374">
        <v>5.9221000000000004</v>
      </c>
      <c r="AD3374">
        <v>-1.1222564590140001</v>
      </c>
      <c r="AE3374">
        <v>-57.454099999999897</v>
      </c>
      <c r="AF3374">
        <v>-9.1011067335373692</v>
      </c>
      <c r="AG3374">
        <v>-1.1222564590140001</v>
      </c>
      <c r="AH3374">
        <v>57.014886109345497</v>
      </c>
      <c r="AI3374">
        <v>91.113545704891195</v>
      </c>
      <c r="AJ3374">
        <v>99.069429511736203</v>
      </c>
      <c r="AK3374">
        <v>57.7476132961066</v>
      </c>
      <c r="AL3374">
        <v>80.226826780736999</v>
      </c>
      <c r="AM3374">
        <v>96.686363266847906</v>
      </c>
      <c r="AN3374">
        <v>1.0000000169399601</v>
      </c>
    </row>
    <row r="3375" spans="1:40" x14ac:dyDescent="0.25">
      <c r="A3375" t="str">
        <f>"20190303170319880"</f>
        <v>20190303170319880</v>
      </c>
      <c r="B3375" t="str">
        <f>"1551603799868800"</f>
        <v>1551603799868800</v>
      </c>
      <c r="C3375" t="s">
        <v>40</v>
      </c>
      <c r="D3375">
        <v>4.1460660000000003</v>
      </c>
      <c r="E3375">
        <v>0.40773860000000001</v>
      </c>
      <c r="F3375" t="s">
        <v>42</v>
      </c>
      <c r="G3375">
        <v>-484.31079999999997</v>
      </c>
      <c r="H3375" s="1">
        <v>-2.6309149999999999E-6</v>
      </c>
      <c r="I3375">
        <v>182.93090000000001</v>
      </c>
      <c r="J3375">
        <v>-493.72059999999999</v>
      </c>
      <c r="K3375">
        <v>1.1222179999999999</v>
      </c>
      <c r="L3375">
        <v>251.7636</v>
      </c>
      <c r="M3375">
        <v>-5.4786000000000001E-2</v>
      </c>
      <c r="N3375">
        <v>-1.2551420000000001E-2</v>
      </c>
      <c r="O3375">
        <v>-0.99841950000000002</v>
      </c>
      <c r="P3375">
        <v>6.3201309999999997E-2</v>
      </c>
      <c r="Q3375">
        <v>0.15744149999999901</v>
      </c>
      <c r="R3375">
        <v>-0.9855043</v>
      </c>
      <c r="S3375">
        <v>0.41256710000000002</v>
      </c>
      <c r="T3375">
        <v>-4.9241300000000002E-2</v>
      </c>
      <c r="U3375">
        <v>-3.0264129999999998</v>
      </c>
      <c r="V3375">
        <v>-0.1173163</v>
      </c>
      <c r="W3375">
        <v>0.16958879999999901</v>
      </c>
      <c r="X3375">
        <v>0.97850729999999997</v>
      </c>
      <c r="Y3375">
        <v>-0.1891234</v>
      </c>
      <c r="Z3375">
        <v>3.4130369999999998E-3</v>
      </c>
      <c r="AA3375">
        <v>0.98194740000000003</v>
      </c>
      <c r="AB3375">
        <v>20</v>
      </c>
      <c r="AC3375">
        <v>9.4098000000000095</v>
      </c>
      <c r="AD3375">
        <v>-1.122220630915</v>
      </c>
      <c r="AE3375">
        <v>-68.832699999999903</v>
      </c>
      <c r="AF3375">
        <v>-13.1635949519232</v>
      </c>
      <c r="AG3375">
        <v>-1.122220630915</v>
      </c>
      <c r="AH3375">
        <v>68.195945044209097</v>
      </c>
      <c r="AI3375">
        <v>90.925680085939405</v>
      </c>
      <c r="AJ3375">
        <v>100.925213616633</v>
      </c>
      <c r="AK3375">
        <v>69.463850538791306</v>
      </c>
      <c r="AL3375">
        <v>80.236088168460597</v>
      </c>
      <c r="AM3375">
        <v>96.836736889944305</v>
      </c>
      <c r="AN3375">
        <v>1.0000000057422</v>
      </c>
    </row>
    <row r="3376" spans="1:40" x14ac:dyDescent="0.25">
      <c r="A3376" t="str">
        <f>"20190303170319892"</f>
        <v>20190303170319892</v>
      </c>
      <c r="B3376" t="str">
        <f>"1551603799878559"</f>
        <v>1551603799878559</v>
      </c>
      <c r="C3376" t="s">
        <v>40</v>
      </c>
      <c r="D3376">
        <v>4.1732969999999998</v>
      </c>
      <c r="E3376">
        <v>0.4021826</v>
      </c>
      <c r="F3376" t="s">
        <v>78</v>
      </c>
      <c r="G3376">
        <v>-473.26389999999998</v>
      </c>
      <c r="H3376">
        <v>2.0280209999999999</v>
      </c>
      <c r="I3376">
        <v>187.39830000000001</v>
      </c>
      <c r="J3376">
        <v>-493.72609999999997</v>
      </c>
      <c r="K3376">
        <v>1.122193</v>
      </c>
      <c r="L3376">
        <v>251.6497</v>
      </c>
      <c r="M3376">
        <v>-5.4213409999999997E-2</v>
      </c>
      <c r="N3376">
        <v>-1.262218E-2</v>
      </c>
      <c r="O3376">
        <v>-0.99844960000000005</v>
      </c>
      <c r="P3376">
        <v>6.4537899999999995E-2</v>
      </c>
      <c r="Q3376">
        <v>0.1577461</v>
      </c>
      <c r="R3376">
        <v>-0.98536849999999998</v>
      </c>
      <c r="S3376">
        <v>0.94607540000000001</v>
      </c>
      <c r="T3376">
        <v>4.1892770000000003E-2</v>
      </c>
      <c r="U3376">
        <v>-2.9767299999999999</v>
      </c>
      <c r="V3376">
        <v>-0.11806709999999999</v>
      </c>
      <c r="W3376">
        <v>0.16996989999999901</v>
      </c>
      <c r="X3376">
        <v>0.97835090000000002</v>
      </c>
      <c r="Y3376">
        <v>-0.35401830000000001</v>
      </c>
      <c r="Z3376">
        <v>-2.598497E-2</v>
      </c>
      <c r="AA3376">
        <v>0.93487750000000003</v>
      </c>
      <c r="AB3376">
        <v>20</v>
      </c>
      <c r="AC3376">
        <v>20.462199999999999</v>
      </c>
      <c r="AD3376">
        <v>0.90582799999999997</v>
      </c>
      <c r="AE3376">
        <v>-64.251399999999904</v>
      </c>
      <c r="AF3376">
        <v>-23.911352931800799</v>
      </c>
      <c r="AG3376">
        <v>0.90582799999999997</v>
      </c>
      <c r="AH3376">
        <v>63.036105742177803</v>
      </c>
      <c r="AI3376">
        <v>89.2302303177852</v>
      </c>
      <c r="AJ3376">
        <v>110.77313345722099</v>
      </c>
      <c r="AK3376">
        <v>67.424950504496096</v>
      </c>
      <c r="AL3376">
        <v>80.213931463020501</v>
      </c>
      <c r="AM3376">
        <v>96.881161827514006</v>
      </c>
      <c r="AN3376">
        <v>1.0000000452696101</v>
      </c>
    </row>
    <row r="3377" spans="1:40" x14ac:dyDescent="0.25">
      <c r="A3377" t="str">
        <f>"20190303170319904"</f>
        <v>20190303170319904</v>
      </c>
      <c r="B3377" t="str">
        <f>"1551603799888320"</f>
        <v>1551603799888320</v>
      </c>
      <c r="C3377" t="s">
        <v>40</v>
      </c>
      <c r="D3377">
        <v>4.1816430000000002</v>
      </c>
      <c r="E3377">
        <v>0.39563910000000002</v>
      </c>
      <c r="F3377" t="s">
        <v>76</v>
      </c>
      <c r="G3377">
        <v>-469.96530000000001</v>
      </c>
      <c r="H3377">
        <v>1.919764</v>
      </c>
      <c r="I3377">
        <v>180.59059999999999</v>
      </c>
      <c r="J3377">
        <v>-493.73140000000001</v>
      </c>
      <c r="K3377">
        <v>1.1221699999999999</v>
      </c>
      <c r="L3377">
        <v>251.541</v>
      </c>
      <c r="M3377">
        <v>-5.3702439999999997E-2</v>
      </c>
      <c r="N3377">
        <v>-1.2685129999999999E-2</v>
      </c>
      <c r="O3377">
        <v>-0.99847660000000005</v>
      </c>
      <c r="P3377">
        <v>6.6090549999999998E-2</v>
      </c>
      <c r="Q3377">
        <v>0.1587944</v>
      </c>
      <c r="R3377">
        <v>-0.98509749999999996</v>
      </c>
      <c r="S3377">
        <v>0.99447629999999998</v>
      </c>
      <c r="T3377">
        <v>3.3381340000000002E-2</v>
      </c>
      <c r="U3377">
        <v>-2.974091</v>
      </c>
      <c r="V3377">
        <v>-0.11908870000000001</v>
      </c>
      <c r="W3377">
        <v>0.17108480000000001</v>
      </c>
      <c r="X3377">
        <v>0.97803260000000003</v>
      </c>
      <c r="Y3377">
        <v>-0.36750709999999998</v>
      </c>
      <c r="Z3377">
        <v>-2.331488E-2</v>
      </c>
      <c r="AA3377">
        <v>0.92972840000000001</v>
      </c>
      <c r="AB3377">
        <v>20</v>
      </c>
      <c r="AC3377">
        <v>23.766099999999899</v>
      </c>
      <c r="AD3377">
        <v>0.79759399999999903</v>
      </c>
      <c r="AE3377">
        <v>-70.950400000000002</v>
      </c>
      <c r="AF3377">
        <v>-27.5391859454902</v>
      </c>
      <c r="AG3377">
        <v>0.79759399999999903</v>
      </c>
      <c r="AH3377">
        <v>69.563696791263894</v>
      </c>
      <c r="AI3377">
        <v>89.389212080661807</v>
      </c>
      <c r="AJ3377">
        <v>111.59784251598199</v>
      </c>
      <c r="AK3377">
        <v>74.820791428559602</v>
      </c>
      <c r="AL3377">
        <v>80.149101871239395</v>
      </c>
      <c r="AM3377">
        <v>96.942360894869594</v>
      </c>
      <c r="AN3377">
        <v>0.99999994696074301</v>
      </c>
    </row>
    <row r="3378" spans="1:40" x14ac:dyDescent="0.25">
      <c r="A3378" t="str">
        <f>"20190303170319917"</f>
        <v>20190303170319917</v>
      </c>
      <c r="B3378" t="str">
        <f>"1551603799908816"</f>
        <v>1551603799908816</v>
      </c>
      <c r="C3378" t="s">
        <v>40</v>
      </c>
      <c r="D3378">
        <v>4.2241770000000001</v>
      </c>
      <c r="E3378">
        <v>0.39079659999999999</v>
      </c>
      <c r="F3378" t="s">
        <v>76</v>
      </c>
      <c r="G3378">
        <v>-468.88130000000001</v>
      </c>
      <c r="H3378">
        <v>2.3365640000000001</v>
      </c>
      <c r="I3378">
        <v>181.34530000000001</v>
      </c>
      <c r="J3378">
        <v>-493.73689999999999</v>
      </c>
      <c r="K3378">
        <v>1.1221460000000001</v>
      </c>
      <c r="L3378">
        <v>251.4272</v>
      </c>
      <c r="M3378">
        <v>-5.318502E-2</v>
      </c>
      <c r="N3378">
        <v>-1.274864E-2</v>
      </c>
      <c r="O3378">
        <v>-0.99850340000000004</v>
      </c>
      <c r="P3378">
        <v>6.7370250000000007E-2</v>
      </c>
      <c r="Q3378">
        <v>0.1593349</v>
      </c>
      <c r="R3378">
        <v>-0.98492349999999995</v>
      </c>
      <c r="S3378">
        <v>1.0502320000000001</v>
      </c>
      <c r="T3378">
        <v>5.1323529999999999E-2</v>
      </c>
      <c r="U3378">
        <v>-2.9666600000000001</v>
      </c>
      <c r="V3378">
        <v>-0.1198364</v>
      </c>
      <c r="W3378">
        <v>0.17169409999999999</v>
      </c>
      <c r="X3378">
        <v>0.97783450000000005</v>
      </c>
      <c r="Y3378">
        <v>-0.38325310000000001</v>
      </c>
      <c r="Z3378">
        <v>-2.8972959999999999E-2</v>
      </c>
      <c r="AA3378">
        <v>0.92318889999999998</v>
      </c>
      <c r="AB3378">
        <v>20</v>
      </c>
      <c r="AC3378">
        <v>24.8555999999999</v>
      </c>
      <c r="AD3378">
        <v>1.214418</v>
      </c>
      <c r="AE3378">
        <v>-70.081899999999905</v>
      </c>
      <c r="AF3378">
        <v>-28.540412803882301</v>
      </c>
      <c r="AG3378">
        <v>1.214418</v>
      </c>
      <c r="AH3378">
        <v>68.642333537667596</v>
      </c>
      <c r="AI3378">
        <v>89.064090224230398</v>
      </c>
      <c r="AJ3378">
        <v>112.576780090895</v>
      </c>
      <c r="AK3378">
        <v>74.349175702163194</v>
      </c>
      <c r="AL3378">
        <v>80.113667447401397</v>
      </c>
      <c r="AM3378">
        <v>96.986920477367306</v>
      </c>
      <c r="AN3378">
        <v>0.99999996806500902</v>
      </c>
    </row>
    <row r="3379" spans="1:40" x14ac:dyDescent="0.25">
      <c r="A3379" t="str">
        <f>"20190303170319929"</f>
        <v>20190303170319929</v>
      </c>
      <c r="B3379" t="str">
        <f>"1551603799919224"</f>
        <v>1551603799919224</v>
      </c>
      <c r="C3379" t="s">
        <v>40</v>
      </c>
      <c r="D3379">
        <v>4.186617</v>
      </c>
      <c r="E3379">
        <v>0.389598</v>
      </c>
      <c r="F3379" t="s">
        <v>78</v>
      </c>
      <c r="G3379">
        <v>-473.52100000000002</v>
      </c>
      <c r="H3379">
        <v>1.9766600000000001</v>
      </c>
      <c r="I3379">
        <v>196.6301</v>
      </c>
      <c r="J3379">
        <v>-493.74239999999998</v>
      </c>
      <c r="K3379">
        <v>1.122117</v>
      </c>
      <c r="L3379">
        <v>251.31110000000001</v>
      </c>
      <c r="M3379">
        <v>-5.2698979999999999E-2</v>
      </c>
      <c r="N3379">
        <v>-1.2807239999999999E-2</v>
      </c>
      <c r="O3379">
        <v>-0.99852850000000004</v>
      </c>
      <c r="P3379">
        <v>6.8329619999999994E-2</v>
      </c>
      <c r="Q3379">
        <v>0.1599846</v>
      </c>
      <c r="R3379">
        <v>-0.98475190000000001</v>
      </c>
      <c r="S3379">
        <v>1.0933839999999999</v>
      </c>
      <c r="T3379">
        <v>4.621828E-2</v>
      </c>
      <c r="U3379">
        <v>-2.9636990000000001</v>
      </c>
      <c r="V3379">
        <v>-0.1202944</v>
      </c>
      <c r="W3379">
        <v>0.17240810000000001</v>
      </c>
      <c r="X3379">
        <v>0.97765270000000004</v>
      </c>
      <c r="Y3379">
        <v>-0.39496110000000001</v>
      </c>
      <c r="Z3379">
        <v>-2.7376069999999999E-2</v>
      </c>
      <c r="AA3379">
        <v>0.91828989999999999</v>
      </c>
      <c r="AB3379">
        <v>20</v>
      </c>
      <c r="AC3379">
        <v>20.221399999999999</v>
      </c>
      <c r="AD3379">
        <v>0.85454299999999905</v>
      </c>
      <c r="AE3379">
        <v>-54.680999999999997</v>
      </c>
      <c r="AF3379">
        <v>-23.0702088207413</v>
      </c>
      <c r="AG3379">
        <v>0.85454299999999905</v>
      </c>
      <c r="AH3379">
        <v>53.527770614745201</v>
      </c>
      <c r="AI3379">
        <v>89.160059598314106</v>
      </c>
      <c r="AJ3379">
        <v>113.315807218716</v>
      </c>
      <c r="AK3379">
        <v>58.293970578064403</v>
      </c>
      <c r="AL3379">
        <v>80.072139796000599</v>
      </c>
      <c r="AM3379">
        <v>97.014649373246598</v>
      </c>
      <c r="AN3379">
        <v>1.0000000487171199</v>
      </c>
    </row>
    <row r="3380" spans="1:40" x14ac:dyDescent="0.25">
      <c r="A3380" t="str">
        <f>"20190303170319944"</f>
        <v>20190303170319944</v>
      </c>
      <c r="B3380" t="str">
        <f>"1551603799928983"</f>
        <v>1551603799928983</v>
      </c>
      <c r="C3380" t="s">
        <v>40</v>
      </c>
      <c r="D3380">
        <v>4.1700089999999896</v>
      </c>
      <c r="E3380">
        <v>0.38842599999999999</v>
      </c>
      <c r="F3380" t="s">
        <v>78</v>
      </c>
      <c r="G3380">
        <v>-473.31049999999999</v>
      </c>
      <c r="H3380">
        <v>1.9633560000000001</v>
      </c>
      <c r="I3380">
        <v>196.6301</v>
      </c>
      <c r="J3380">
        <v>-493.74849999999998</v>
      </c>
      <c r="K3380">
        <v>1.12209</v>
      </c>
      <c r="L3380">
        <v>251.1841</v>
      </c>
      <c r="M3380">
        <v>-5.2195999999999999E-2</v>
      </c>
      <c r="N3380">
        <v>-1.286662E-2</v>
      </c>
      <c r="O3380">
        <v>-0.99855400000000005</v>
      </c>
      <c r="P3380">
        <v>6.9461880000000004E-2</v>
      </c>
      <c r="Q3380">
        <v>0.15984129999999999</v>
      </c>
      <c r="R3380">
        <v>-0.98469589999999996</v>
      </c>
      <c r="S3380">
        <v>1.106873</v>
      </c>
      <c r="T3380">
        <v>4.5574549999999998E-2</v>
      </c>
      <c r="U3380">
        <v>-2.96225</v>
      </c>
      <c r="V3380">
        <v>-0.1209142</v>
      </c>
      <c r="W3380">
        <v>0.17233200000000001</v>
      </c>
      <c r="X3380">
        <v>0.97758959999999995</v>
      </c>
      <c r="Y3380">
        <v>-0.39831719999999998</v>
      </c>
      <c r="Z3380">
        <v>-2.722053E-2</v>
      </c>
      <c r="AA3380">
        <v>0.91684379999999999</v>
      </c>
      <c r="AB3380">
        <v>20</v>
      </c>
      <c r="AC3380">
        <v>20.437999999999899</v>
      </c>
      <c r="AD3380">
        <v>0.84126599999999996</v>
      </c>
      <c r="AE3380">
        <v>-54.553999999999903</v>
      </c>
      <c r="AF3380">
        <v>-23.253022736460501</v>
      </c>
      <c r="AG3380">
        <v>0.84126599999999996</v>
      </c>
      <c r="AH3380">
        <v>53.401616822736898</v>
      </c>
      <c r="AI3380">
        <v>89.172496277395496</v>
      </c>
      <c r="AJ3380">
        <v>113.53007570918101</v>
      </c>
      <c r="AK3380">
        <v>58.2506950529135</v>
      </c>
      <c r="AL3380">
        <v>80.076565710310604</v>
      </c>
      <c r="AM3380">
        <v>97.050879046163004</v>
      </c>
      <c r="AN3380">
        <v>0.99999999400689898</v>
      </c>
    </row>
    <row r="3381" spans="1:40" x14ac:dyDescent="0.25">
      <c r="A3381" t="str">
        <f>"20190303170319959"</f>
        <v>20190303170319959</v>
      </c>
      <c r="B3381" t="str">
        <f>"1551603799948504"</f>
        <v>1551603799948504</v>
      </c>
      <c r="C3381" t="s">
        <v>40</v>
      </c>
      <c r="D3381">
        <v>4.2093290000000003</v>
      </c>
      <c r="E3381">
        <v>0.3870961</v>
      </c>
      <c r="F3381" t="s">
        <v>45</v>
      </c>
      <c r="G3381">
        <v>-476.55290000000002</v>
      </c>
      <c r="H3381">
        <v>1.8528929999999999</v>
      </c>
      <c r="I3381">
        <v>205.7321</v>
      </c>
      <c r="J3381">
        <v>-493.7552</v>
      </c>
      <c r="K3381">
        <v>1.1220540000000001</v>
      </c>
      <c r="L3381">
        <v>251.04429999999999</v>
      </c>
      <c r="M3381">
        <v>-5.1674909999999998E-2</v>
      </c>
      <c r="N3381">
        <v>-1.292684E-2</v>
      </c>
      <c r="O3381">
        <v>-0.99858060000000004</v>
      </c>
      <c r="P3381">
        <v>7.1477979999999997E-2</v>
      </c>
      <c r="Q3381">
        <v>0.15891839999999999</v>
      </c>
      <c r="R3381">
        <v>-0.9847011</v>
      </c>
      <c r="S3381">
        <v>1.119812</v>
      </c>
      <c r="T3381">
        <v>4.7591330000000001E-2</v>
      </c>
      <c r="U3381">
        <v>-2.9599299999999999</v>
      </c>
      <c r="V3381">
        <v>-0.12240139999999999</v>
      </c>
      <c r="W3381">
        <v>0.17147660000000001</v>
      </c>
      <c r="X3381">
        <v>0.9775549</v>
      </c>
      <c r="Y3381">
        <v>-0.40157759999999998</v>
      </c>
      <c r="Z3381">
        <v>-2.790049E-2</v>
      </c>
      <c r="AA3381">
        <v>0.91539990000000004</v>
      </c>
      <c r="AB3381">
        <v>20</v>
      </c>
      <c r="AC3381">
        <v>17.202299999999902</v>
      </c>
      <c r="AD3381">
        <v>0.73083900000000002</v>
      </c>
      <c r="AE3381">
        <v>-45.312199999999898</v>
      </c>
      <c r="AF3381">
        <v>-19.516574451113801</v>
      </c>
      <c r="AG3381">
        <v>0.73083900000000002</v>
      </c>
      <c r="AH3381">
        <v>44.352565075352601</v>
      </c>
      <c r="AI3381">
        <v>89.135911840785994</v>
      </c>
      <c r="AJ3381">
        <v>113.75105927355</v>
      </c>
      <c r="AK3381">
        <v>48.462158770665397</v>
      </c>
      <c r="AL3381">
        <v>80.126316747986095</v>
      </c>
      <c r="AM3381">
        <v>97.136964089390503</v>
      </c>
      <c r="AN3381">
        <v>0.99999995479176396</v>
      </c>
    </row>
    <row r="3382" spans="1:40" x14ac:dyDescent="0.25">
      <c r="A3382" t="str">
        <f>"20190303170319973"</f>
        <v>20190303170319973</v>
      </c>
      <c r="B3382" t="str">
        <f>"1551603799959240"</f>
        <v>1551603799959240</v>
      </c>
      <c r="C3382" t="s">
        <v>40</v>
      </c>
      <c r="D3382">
        <v>4.1582840000000001</v>
      </c>
      <c r="E3382">
        <v>0.38653969999999999</v>
      </c>
      <c r="F3382" t="s">
        <v>45</v>
      </c>
      <c r="G3382">
        <v>-476.36619999999999</v>
      </c>
      <c r="H3382">
        <v>1.786958</v>
      </c>
      <c r="I3382">
        <v>205.77699999999999</v>
      </c>
      <c r="J3382">
        <v>-493.76119999999997</v>
      </c>
      <c r="K3382">
        <v>1.1220250000000001</v>
      </c>
      <c r="L3382">
        <v>250.91679999999999</v>
      </c>
      <c r="M3382">
        <v>-5.1230770000000002E-2</v>
      </c>
      <c r="N3382">
        <v>-1.297709E-2</v>
      </c>
      <c r="O3382">
        <v>-0.9986024</v>
      </c>
      <c r="P3382">
        <v>7.2898229999999994E-2</v>
      </c>
      <c r="Q3382">
        <v>0.15829869999999999</v>
      </c>
      <c r="R3382">
        <v>-0.98469660000000003</v>
      </c>
      <c r="S3382">
        <v>1.135956</v>
      </c>
      <c r="T3382">
        <v>4.3435809999999998E-2</v>
      </c>
      <c r="U3382">
        <v>-2.9571529999999999</v>
      </c>
      <c r="V3382">
        <v>-0.12337099999999999</v>
      </c>
      <c r="W3382">
        <v>0.1709138</v>
      </c>
      <c r="X3382">
        <v>0.97753159999999895</v>
      </c>
      <c r="Y3382">
        <v>-0.40582220000000002</v>
      </c>
      <c r="Z3382">
        <v>-2.6641950000000001E-2</v>
      </c>
      <c r="AA3382">
        <v>0.91356369999999998</v>
      </c>
      <c r="AB3382">
        <v>20</v>
      </c>
      <c r="AC3382">
        <v>17.3949999999999</v>
      </c>
      <c r="AD3382">
        <v>0.664933</v>
      </c>
      <c r="AE3382">
        <v>-45.139799999999902</v>
      </c>
      <c r="AF3382">
        <v>-19.6811771062827</v>
      </c>
      <c r="AG3382">
        <v>0.664933</v>
      </c>
      <c r="AH3382">
        <v>44.180932714233798</v>
      </c>
      <c r="AI3382">
        <v>89.212356177809497</v>
      </c>
      <c r="AJ3382">
        <v>114.011426480472</v>
      </c>
      <c r="AK3382">
        <v>48.370917746958298</v>
      </c>
      <c r="AL3382">
        <v>80.159046241136394</v>
      </c>
      <c r="AM3382">
        <v>97.193079194410103</v>
      </c>
      <c r="AN3382">
        <v>0.999999979834999</v>
      </c>
    </row>
    <row r="3383" spans="1:40" x14ac:dyDescent="0.25">
      <c r="A3383" t="str">
        <f>"20190303170319986"</f>
        <v>20190303170319986</v>
      </c>
      <c r="B3383" t="str">
        <f>"1551603799978760"</f>
        <v>1551603799978760</v>
      </c>
      <c r="C3383" t="s">
        <v>40</v>
      </c>
      <c r="D3383">
        <v>4.2385710000000003</v>
      </c>
      <c r="E3383">
        <v>0.38624259999999999</v>
      </c>
      <c r="F3383" t="s">
        <v>78</v>
      </c>
      <c r="G3383">
        <v>-470.15</v>
      </c>
      <c r="H3383">
        <v>1.9910209999999999</v>
      </c>
      <c r="I3383">
        <v>189.9837</v>
      </c>
      <c r="J3383">
        <v>-493.76679999999999</v>
      </c>
      <c r="K3383">
        <v>1.122001</v>
      </c>
      <c r="L3383">
        <v>250.7971</v>
      </c>
      <c r="M3383">
        <v>-5.0845620000000001E-2</v>
      </c>
      <c r="N3383">
        <v>-1.301955E-2</v>
      </c>
      <c r="O3383">
        <v>-0.99862169999999895</v>
      </c>
      <c r="P3383">
        <v>7.4150019999999997E-2</v>
      </c>
      <c r="Q3383">
        <v>0.15829170000000001</v>
      </c>
      <c r="R3383">
        <v>-0.98460420000000004</v>
      </c>
      <c r="S3383">
        <v>1.145081</v>
      </c>
      <c r="T3383">
        <v>4.2145490000000001E-2</v>
      </c>
      <c r="U3383">
        <v>-2.9550779999999999</v>
      </c>
      <c r="V3383">
        <v>-0.1242297</v>
      </c>
      <c r="W3383">
        <v>0.17095279999999999</v>
      </c>
      <c r="X3383">
        <v>0.97741599999999995</v>
      </c>
      <c r="Y3383">
        <v>-0.40814080000000003</v>
      </c>
      <c r="Z3383">
        <v>-2.627759E-2</v>
      </c>
      <c r="AA3383">
        <v>0.91254069999999998</v>
      </c>
      <c r="AB3383">
        <v>20</v>
      </c>
      <c r="AC3383">
        <v>23.616800000000001</v>
      </c>
      <c r="AD3383">
        <v>0.86901999999999902</v>
      </c>
      <c r="AE3383">
        <v>-60.813400000000001</v>
      </c>
      <c r="AF3383">
        <v>-26.6738710191043</v>
      </c>
      <c r="AG3383">
        <v>0.86901999999999902</v>
      </c>
      <c r="AH3383">
        <v>59.523251566508499</v>
      </c>
      <c r="AI3383">
        <v>89.236688529714101</v>
      </c>
      <c r="AJ3383">
        <v>114.13835527838</v>
      </c>
      <c r="AK3383">
        <v>65.2324157758555</v>
      </c>
      <c r="AL3383">
        <v>80.156778107093899</v>
      </c>
      <c r="AM3383">
        <v>97.2434629024538</v>
      </c>
      <c r="AN3383">
        <v>0.99999995762296401</v>
      </c>
    </row>
    <row r="3384" spans="1:40" x14ac:dyDescent="0.25">
      <c r="A3384" t="str">
        <f>"20190303170320004"</f>
        <v>20190303170320004</v>
      </c>
      <c r="B3384" t="str">
        <f>"1551603799999256"</f>
        <v>1551603799999256</v>
      </c>
      <c r="C3384" t="s">
        <v>40</v>
      </c>
      <c r="D3384">
        <v>4.1430910000000001</v>
      </c>
      <c r="E3384">
        <v>0.3853741</v>
      </c>
      <c r="F3384" t="s">
        <v>78</v>
      </c>
      <c r="G3384">
        <v>-470.15</v>
      </c>
      <c r="H3384">
        <v>1.928839</v>
      </c>
      <c r="I3384">
        <v>190.1857</v>
      </c>
      <c r="J3384">
        <v>-493.77420000000001</v>
      </c>
      <c r="K3384">
        <v>1.1219760000000001</v>
      </c>
      <c r="L3384">
        <v>250.64060000000001</v>
      </c>
      <c r="M3384">
        <v>-5.037034E-2</v>
      </c>
      <c r="N3384">
        <v>-1.307091E-2</v>
      </c>
      <c r="O3384">
        <v>-0.998645</v>
      </c>
      <c r="P3384">
        <v>7.5318720000000006E-2</v>
      </c>
      <c r="Q3384">
        <v>0.158665</v>
      </c>
      <c r="R3384">
        <v>-0.98445550000000004</v>
      </c>
      <c r="S3384">
        <v>1.15097</v>
      </c>
      <c r="T3384">
        <v>3.9322610000000001E-2</v>
      </c>
      <c r="U3384">
        <v>-2.9538880000000001</v>
      </c>
      <c r="V3384">
        <v>-0.1249133</v>
      </c>
      <c r="W3384">
        <v>0.1713817</v>
      </c>
      <c r="X3384">
        <v>0.97725379999999995</v>
      </c>
      <c r="Y3384">
        <v>-0.4094159</v>
      </c>
      <c r="Z3384">
        <v>-2.544658E-2</v>
      </c>
      <c r="AA3384">
        <v>0.9119929</v>
      </c>
      <c r="AB3384">
        <v>20</v>
      </c>
      <c r="AC3384">
        <v>23.624199999999998</v>
      </c>
      <c r="AD3384">
        <v>0.806862999999999</v>
      </c>
      <c r="AE3384">
        <v>-60.454900000000002</v>
      </c>
      <c r="AF3384">
        <v>-26.635484727155401</v>
      </c>
      <c r="AG3384">
        <v>0.806862999999999</v>
      </c>
      <c r="AH3384">
        <v>59.178940164131603</v>
      </c>
      <c r="AI3384">
        <v>89.287677431549199</v>
      </c>
      <c r="AJ3384">
        <v>114.23174000858999</v>
      </c>
      <c r="AK3384">
        <v>64.9018261183856</v>
      </c>
      <c r="AL3384">
        <v>80.131836316130503</v>
      </c>
      <c r="AM3384">
        <v>97.284090579880797</v>
      </c>
      <c r="AN3384">
        <v>1.0000000046131099</v>
      </c>
    </row>
    <row r="3385" spans="1:40" x14ac:dyDescent="0.25">
      <c r="A3385" t="str">
        <f>"20190303170320017"</f>
        <v>20190303170320017</v>
      </c>
      <c r="B3385" t="str">
        <f>"1551603800009017"</f>
        <v>1551603800009017</v>
      </c>
      <c r="C3385" t="s">
        <v>40</v>
      </c>
      <c r="D3385">
        <v>4.2036829999999998</v>
      </c>
      <c r="E3385">
        <v>0.38552579999999997</v>
      </c>
      <c r="F3385" t="s">
        <v>78</v>
      </c>
      <c r="G3385">
        <v>-470.34609999999998</v>
      </c>
      <c r="H3385">
        <v>2.0382600000000002</v>
      </c>
      <c r="I3385">
        <v>191.09639999999999</v>
      </c>
      <c r="J3385">
        <v>-493.77969999999999</v>
      </c>
      <c r="K3385">
        <v>1.1219629999999901</v>
      </c>
      <c r="L3385">
        <v>250.52529999999999</v>
      </c>
      <c r="M3385">
        <v>-5.003879E-2</v>
      </c>
      <c r="N3385">
        <v>-1.310594E-2</v>
      </c>
      <c r="O3385">
        <v>-0.99866140000000003</v>
      </c>
      <c r="P3385">
        <v>7.5721670000000005E-2</v>
      </c>
      <c r="Q3385">
        <v>0.1591138</v>
      </c>
      <c r="R3385">
        <v>-0.98435240000000002</v>
      </c>
      <c r="S3385">
        <v>1.1611940000000001</v>
      </c>
      <c r="T3385">
        <v>4.5416239999999997E-2</v>
      </c>
      <c r="U3385">
        <v>-2.9512330000000002</v>
      </c>
      <c r="V3385">
        <v>-0.1249789</v>
      </c>
      <c r="W3385">
        <v>0.1718684</v>
      </c>
      <c r="X3385">
        <v>0.97715989999999997</v>
      </c>
      <c r="Y3385">
        <v>-0.41211389999999998</v>
      </c>
      <c r="Z3385">
        <v>-2.7374740000000002E-2</v>
      </c>
      <c r="AA3385">
        <v>0.910721</v>
      </c>
      <c r="AB3385">
        <v>20</v>
      </c>
      <c r="AC3385">
        <v>23.433599999999998</v>
      </c>
      <c r="AD3385">
        <v>0.91629700000000003</v>
      </c>
      <c r="AE3385">
        <v>-59.428899999999999</v>
      </c>
      <c r="AF3385">
        <v>-26.372818546368801</v>
      </c>
      <c r="AG3385">
        <v>0.91629700000000003</v>
      </c>
      <c r="AH3385">
        <v>58.169781878357497</v>
      </c>
      <c r="AI3385">
        <v>89.178062127970705</v>
      </c>
      <c r="AJ3385">
        <v>114.388427958336</v>
      </c>
      <c r="AK3385">
        <v>63.875571872567903</v>
      </c>
      <c r="AL3385">
        <v>80.103530134253702</v>
      </c>
      <c r="AM3385">
        <v>97.288567603673698</v>
      </c>
      <c r="AN3385">
        <v>0.99999997126588902</v>
      </c>
    </row>
    <row r="3386" spans="1:40" x14ac:dyDescent="0.25">
      <c r="A3386" t="str">
        <f>"20190303170320038"</f>
        <v>20190303170320038</v>
      </c>
      <c r="B3386" t="str">
        <f>"1551603800029124"</f>
        <v>1551603800029124</v>
      </c>
      <c r="C3386" t="s">
        <v>40</v>
      </c>
      <c r="D3386">
        <v>4.1995659999999999</v>
      </c>
      <c r="E3386">
        <v>0.38509569999999999</v>
      </c>
      <c r="F3386" t="s">
        <v>78</v>
      </c>
      <c r="G3386">
        <v>-470.34609999999998</v>
      </c>
      <c r="H3386">
        <v>2.0118680000000002</v>
      </c>
      <c r="I3386">
        <v>190.99789999999999</v>
      </c>
      <c r="J3386">
        <v>-493.78859999999997</v>
      </c>
      <c r="K3386">
        <v>1.1219539999999999</v>
      </c>
      <c r="L3386">
        <v>250.33430000000001</v>
      </c>
      <c r="M3386">
        <v>-4.9528219999999998E-2</v>
      </c>
      <c r="N3386">
        <v>-1.31571E-2</v>
      </c>
      <c r="O3386">
        <v>-0.99868619999999997</v>
      </c>
      <c r="P3386">
        <v>7.6468120000000001E-2</v>
      </c>
      <c r="Q3386">
        <v>0.15981289999999901</v>
      </c>
      <c r="R3386">
        <v>-0.98418150000000004</v>
      </c>
      <c r="S3386">
        <v>1.1617740000000001</v>
      </c>
      <c r="T3386">
        <v>4.4120550000000001E-2</v>
      </c>
      <c r="U3386">
        <v>-2.951187</v>
      </c>
      <c r="V3386">
        <v>-0.12520819999999999</v>
      </c>
      <c r="W3386">
        <v>0.17262089999999999</v>
      </c>
      <c r="X3386">
        <v>0.97699789999999997</v>
      </c>
      <c r="Y3386">
        <v>-0.41181020000000002</v>
      </c>
      <c r="Z3386">
        <v>-2.702303E-2</v>
      </c>
      <c r="AA3386">
        <v>0.91086889999999998</v>
      </c>
      <c r="AB3386">
        <v>20</v>
      </c>
      <c r="AC3386">
        <v>23.4424999999999</v>
      </c>
      <c r="AD3386">
        <v>0.88991399999999998</v>
      </c>
      <c r="AE3386">
        <v>-59.336399999999998</v>
      </c>
      <c r="AF3386">
        <v>-26.347678564356201</v>
      </c>
      <c r="AG3386">
        <v>0.88991399999999998</v>
      </c>
      <c r="AH3386">
        <v>58.091097198784901</v>
      </c>
      <c r="AI3386">
        <v>89.200698514379098</v>
      </c>
      <c r="AJ3386">
        <v>114.397045504437</v>
      </c>
      <c r="AK3386">
        <v>63.793163320348903</v>
      </c>
      <c r="AL3386">
        <v>80.059761004627802</v>
      </c>
      <c r="AM3386">
        <v>97.302993491533201</v>
      </c>
      <c r="AN3386">
        <v>0.99999998253422895</v>
      </c>
    </row>
    <row r="3387" spans="1:40" x14ac:dyDescent="0.25">
      <c r="A3387" t="str">
        <f>"20190303170320050"</f>
        <v>20190303170320050</v>
      </c>
      <c r="B3387" t="str">
        <f>"1551603800038884"</f>
        <v>1551603800038884</v>
      </c>
      <c r="C3387" t="s">
        <v>40</v>
      </c>
      <c r="D3387">
        <v>4.1632059999999997</v>
      </c>
      <c r="E3387">
        <v>0.38484279999999998</v>
      </c>
      <c r="F3387" t="s">
        <v>78</v>
      </c>
      <c r="G3387">
        <v>-470.34609999999998</v>
      </c>
      <c r="H3387">
        <v>2.1247389999999999</v>
      </c>
      <c r="I3387">
        <v>191.09639999999999</v>
      </c>
      <c r="J3387">
        <v>-493.79410000000001</v>
      </c>
      <c r="K3387">
        <v>1.1219490000000001</v>
      </c>
      <c r="L3387">
        <v>250.21680000000001</v>
      </c>
      <c r="M3387">
        <v>-4.9229490000000001E-2</v>
      </c>
      <c r="N3387">
        <v>-1.3185199999999999E-2</v>
      </c>
      <c r="O3387">
        <v>-0.9987007</v>
      </c>
      <c r="P3387">
        <v>7.6733309999999999E-2</v>
      </c>
      <c r="Q3387">
        <v>0.15974650000000001</v>
      </c>
      <c r="R3387">
        <v>-0.98417149999999998</v>
      </c>
      <c r="S3387">
        <v>1.167206</v>
      </c>
      <c r="T3387">
        <v>4.9930330000000002E-2</v>
      </c>
      <c r="U3387">
        <v>-2.9494479999999998</v>
      </c>
      <c r="V3387">
        <v>-0.12517590000000001</v>
      </c>
      <c r="W3387">
        <v>0.17258470000000001</v>
      </c>
      <c r="X3387">
        <v>0.97700849999999995</v>
      </c>
      <c r="Y3387">
        <v>-0.41315740000000001</v>
      </c>
      <c r="Z3387">
        <v>-2.8858910000000002E-2</v>
      </c>
      <c r="AA3387">
        <v>0.91020230000000002</v>
      </c>
      <c r="AB3387">
        <v>20</v>
      </c>
      <c r="AC3387">
        <v>23.448</v>
      </c>
      <c r="AD3387">
        <v>1.0027899999999901</v>
      </c>
      <c r="AE3387">
        <v>-59.120399999999997</v>
      </c>
      <c r="AF3387">
        <v>-26.3237396447715</v>
      </c>
      <c r="AG3387">
        <v>1.0027899999999901</v>
      </c>
      <c r="AH3387">
        <v>57.879881698392303</v>
      </c>
      <c r="AI3387">
        <v>89.096467703149102</v>
      </c>
      <c r="AJ3387">
        <v>114.456015616287</v>
      </c>
      <c r="AK3387">
        <v>63.592653365697103</v>
      </c>
      <c r="AL3387">
        <v>80.061867361026898</v>
      </c>
      <c r="AM3387">
        <v>97.301051508447799</v>
      </c>
      <c r="AN3387">
        <v>1.0000000468435699</v>
      </c>
    </row>
    <row r="3388" spans="1:40" x14ac:dyDescent="0.25">
      <c r="A3388" t="str">
        <f>"20190303170320065"</f>
        <v>20190303170320065</v>
      </c>
      <c r="B3388" t="str">
        <f>"1551603800058404"</f>
        <v>1551603800058404</v>
      </c>
      <c r="C3388" t="s">
        <v>40</v>
      </c>
      <c r="D3388">
        <v>4.1937439999999997</v>
      </c>
      <c r="E3388">
        <v>0.384662</v>
      </c>
      <c r="F3388" t="s">
        <v>78</v>
      </c>
      <c r="G3388">
        <v>-470.34609999999998</v>
      </c>
      <c r="H3388">
        <v>2.145289</v>
      </c>
      <c r="I3388">
        <v>191.1037</v>
      </c>
      <c r="J3388">
        <v>-493.7996</v>
      </c>
      <c r="K3388">
        <v>1.121945</v>
      </c>
      <c r="L3388">
        <v>250.09690000000001</v>
      </c>
      <c r="M3388">
        <v>-4.8933629999999999E-2</v>
      </c>
      <c r="N3388">
        <v>-1.321137E-2</v>
      </c>
      <c r="O3388">
        <v>-0.99871469999999996</v>
      </c>
      <c r="P3388">
        <v>7.7096129999999999E-2</v>
      </c>
      <c r="Q3388">
        <v>0.1595975</v>
      </c>
      <c r="R3388">
        <v>-0.98416720000000002</v>
      </c>
      <c r="S3388">
        <v>1.169678</v>
      </c>
      <c r="T3388">
        <v>5.1049709999999998E-2</v>
      </c>
      <c r="U3388">
        <v>-2.9487760000000001</v>
      </c>
      <c r="V3388">
        <v>-0.12524569999999999</v>
      </c>
      <c r="W3388">
        <v>0.17246310000000001</v>
      </c>
      <c r="X3388">
        <v>0.97702100000000003</v>
      </c>
      <c r="Y3388">
        <v>-0.4136148</v>
      </c>
      <c r="Z3388">
        <v>-2.9232930000000001E-2</v>
      </c>
      <c r="AA3388">
        <v>0.90998259999999997</v>
      </c>
      <c r="AB3388">
        <v>20</v>
      </c>
      <c r="AC3388">
        <v>23.453499999999998</v>
      </c>
      <c r="AD3388">
        <v>1.023344</v>
      </c>
      <c r="AE3388">
        <v>-58.993200000000002</v>
      </c>
      <c r="AF3388">
        <v>-26.305566511380899</v>
      </c>
      <c r="AG3388">
        <v>1.023344</v>
      </c>
      <c r="AH3388">
        <v>57.759742288067599</v>
      </c>
      <c r="AI3388">
        <v>89.076253687385901</v>
      </c>
      <c r="AJ3388">
        <v>114.48598197718999</v>
      </c>
      <c r="AK3388">
        <v>63.476120640844201</v>
      </c>
      <c r="AL3388">
        <v>80.068940322256296</v>
      </c>
      <c r="AM3388">
        <v>97.304986270537199</v>
      </c>
      <c r="AN3388">
        <v>1.0000000203355499</v>
      </c>
    </row>
    <row r="3389" spans="1:40" x14ac:dyDescent="0.25">
      <c r="A3389" t="str">
        <f>"20190303170320079"</f>
        <v>20190303170320079</v>
      </c>
      <c r="B3389" t="str">
        <f>"1551603800069140"</f>
        <v>1551603800069140</v>
      </c>
      <c r="C3389" t="s">
        <v>40</v>
      </c>
      <c r="D3389">
        <v>4.1745729999999996</v>
      </c>
      <c r="E3389">
        <v>0.38449759999999999</v>
      </c>
      <c r="F3389" t="s">
        <v>78</v>
      </c>
      <c r="G3389">
        <v>-470.34609999999998</v>
      </c>
      <c r="H3389">
        <v>2.1112410000000001</v>
      </c>
      <c r="I3389">
        <v>191.09469999999999</v>
      </c>
      <c r="J3389">
        <v>-493.80549999999999</v>
      </c>
      <c r="K3389">
        <v>1.1219410000000001</v>
      </c>
      <c r="L3389">
        <v>249.97</v>
      </c>
      <c r="M3389">
        <v>-4.8627450000000003E-2</v>
      </c>
      <c r="N3389">
        <v>-1.323714E-2</v>
      </c>
      <c r="O3389">
        <v>-0.99872950000000005</v>
      </c>
      <c r="P3389">
        <v>7.7417280000000005E-2</v>
      </c>
      <c r="Q3389">
        <v>0.1594554</v>
      </c>
      <c r="R3389">
        <v>-0.98416510000000001</v>
      </c>
      <c r="S3389">
        <v>1.1720280000000001</v>
      </c>
      <c r="T3389">
        <v>4.9438830000000003E-2</v>
      </c>
      <c r="U3389">
        <v>-2.9484560000000002</v>
      </c>
      <c r="V3389">
        <v>-0.1252646</v>
      </c>
      <c r="W3389">
        <v>0.17234749999999999</v>
      </c>
      <c r="X3389">
        <v>0.97703899999999999</v>
      </c>
      <c r="Y3389">
        <v>-0.41399979999999997</v>
      </c>
      <c r="Z3389">
        <v>-2.8755260000000001E-2</v>
      </c>
      <c r="AA3389">
        <v>0.90982269999999998</v>
      </c>
      <c r="AB3389">
        <v>20</v>
      </c>
      <c r="AC3389">
        <v>23.459399999999999</v>
      </c>
      <c r="AD3389">
        <v>0.98929999999999996</v>
      </c>
      <c r="AE3389">
        <v>-58.875300000000003</v>
      </c>
      <c r="AF3389">
        <v>-26.288442677488501</v>
      </c>
      <c r="AG3389">
        <v>0.98929999999999996</v>
      </c>
      <c r="AH3389">
        <v>57.650719564152702</v>
      </c>
      <c r="AI3389">
        <v>89.105481203015998</v>
      </c>
      <c r="AJ3389">
        <v>114.51275095408199</v>
      </c>
      <c r="AK3389">
        <v>63.3692859290854</v>
      </c>
      <c r="AL3389">
        <v>80.075664638604295</v>
      </c>
      <c r="AM3389">
        <v>97.305943562219895</v>
      </c>
      <c r="AN3389">
        <v>1.0000000441451999</v>
      </c>
    </row>
    <row r="3390" spans="1:40" x14ac:dyDescent="0.25">
      <c r="A3390" t="str">
        <f>"20190303170320093"</f>
        <v>20190303170320093</v>
      </c>
      <c r="B3390" t="str">
        <f>"1551603800088660"</f>
        <v>1551603800088660</v>
      </c>
      <c r="C3390" t="s">
        <v>40</v>
      </c>
      <c r="D3390">
        <v>4.1647270000000001</v>
      </c>
      <c r="E3390">
        <v>0.38425209999999999</v>
      </c>
      <c r="F3390" t="s">
        <v>78</v>
      </c>
      <c r="G3390">
        <v>-470.34609999999998</v>
      </c>
      <c r="H3390">
        <v>2.1002589999999999</v>
      </c>
      <c r="I3390">
        <v>191.06450000000001</v>
      </c>
      <c r="J3390">
        <v>-493.81150000000002</v>
      </c>
      <c r="K3390">
        <v>1.1219399999999999</v>
      </c>
      <c r="L3390">
        <v>249.83850000000001</v>
      </c>
      <c r="M3390">
        <v>-4.8319000000000001E-2</v>
      </c>
      <c r="N3390">
        <v>-1.326133E-2</v>
      </c>
      <c r="O3390">
        <v>-0.99874410000000002</v>
      </c>
      <c r="P3390">
        <v>7.6866299999999999E-2</v>
      </c>
      <c r="Q3390">
        <v>0.15970419999999999</v>
      </c>
      <c r="R3390">
        <v>-0.98416780000000004</v>
      </c>
      <c r="S3390">
        <v>1.174042</v>
      </c>
      <c r="T3390">
        <v>4.8962119999999998E-2</v>
      </c>
      <c r="U3390">
        <v>-2.9479519999999999</v>
      </c>
      <c r="V3390">
        <v>-0.12441049999999999</v>
      </c>
      <c r="W3390">
        <v>0.17262230000000001</v>
      </c>
      <c r="X3390">
        <v>0.97709950000000001</v>
      </c>
      <c r="Y3390">
        <v>-0.4143096</v>
      </c>
      <c r="Z3390">
        <v>-2.8630510000000001E-2</v>
      </c>
      <c r="AA3390">
        <v>0.90968559999999998</v>
      </c>
      <c r="AB3390">
        <v>20</v>
      </c>
      <c r="AC3390">
        <v>23.465399999999999</v>
      </c>
      <c r="AD3390">
        <v>0.97831900000000005</v>
      </c>
      <c r="AE3390">
        <v>-58.773999999999901</v>
      </c>
      <c r="AF3390">
        <v>-26.271858286584902</v>
      </c>
      <c r="AG3390">
        <v>0.97831900000000005</v>
      </c>
      <c r="AH3390">
        <v>57.557658093100599</v>
      </c>
      <c r="AI3390">
        <v>89.114128788734305</v>
      </c>
      <c r="AJ3390">
        <v>114.534051166042</v>
      </c>
      <c r="AK3390">
        <v>63.277576210364103</v>
      </c>
      <c r="AL3390">
        <v>80.059679059934695</v>
      </c>
      <c r="AM3390">
        <v>97.256217228952806</v>
      </c>
      <c r="AN3390">
        <v>0.99999993193389203</v>
      </c>
    </row>
    <row r="3391" spans="1:40" x14ac:dyDescent="0.25">
      <c r="A3391" t="str">
        <f>"20190303170320106"</f>
        <v>20190303170320106</v>
      </c>
      <c r="B3391" t="str">
        <f>"1551603800098420"</f>
        <v>1551603800098420</v>
      </c>
      <c r="C3391" t="s">
        <v>40</v>
      </c>
      <c r="D3391">
        <v>4.2092530000000004</v>
      </c>
      <c r="E3391">
        <v>0.38415700000000003</v>
      </c>
      <c r="F3391" t="s">
        <v>78</v>
      </c>
      <c r="G3391">
        <v>-470.15</v>
      </c>
      <c r="H3391">
        <v>2.1177739999999998</v>
      </c>
      <c r="I3391">
        <v>190.4659</v>
      </c>
      <c r="J3391">
        <v>-493.81670000000003</v>
      </c>
      <c r="K3391">
        <v>1.1219460000000001</v>
      </c>
      <c r="L3391">
        <v>249.72649999999999</v>
      </c>
      <c r="M3391">
        <v>-4.8062889999999997E-2</v>
      </c>
      <c r="N3391">
        <v>-1.327965E-2</v>
      </c>
      <c r="O3391">
        <v>-0.99875619999999998</v>
      </c>
      <c r="P3391">
        <v>7.6692389999999999E-2</v>
      </c>
      <c r="Q3391">
        <v>0.15986989999999901</v>
      </c>
      <c r="R3391">
        <v>-0.98415459999999999</v>
      </c>
      <c r="S3391">
        <v>1.175049</v>
      </c>
      <c r="T3391">
        <v>4.9455399999999997E-2</v>
      </c>
      <c r="U3391">
        <v>-2.9484710000000001</v>
      </c>
      <c r="V3391">
        <v>-0.12398530000000001</v>
      </c>
      <c r="W3391">
        <v>0.17280690000000001</v>
      </c>
      <c r="X3391">
        <v>0.97712100000000002</v>
      </c>
      <c r="Y3391">
        <v>-0.41428799999999999</v>
      </c>
      <c r="Z3391">
        <v>-2.8798879999999999E-2</v>
      </c>
      <c r="AA3391">
        <v>0.90969009999999995</v>
      </c>
      <c r="AB3391">
        <v>20</v>
      </c>
      <c r="AC3391">
        <v>23.666699999999999</v>
      </c>
      <c r="AD3391">
        <v>0.99582800000000005</v>
      </c>
      <c r="AE3391">
        <v>-59.260599999999897</v>
      </c>
      <c r="AF3391">
        <v>-26.481380997982399</v>
      </c>
      <c r="AG3391">
        <v>0.99582800000000005</v>
      </c>
      <c r="AH3391">
        <v>58.040375939308497</v>
      </c>
      <c r="AI3391">
        <v>89.105712367747003</v>
      </c>
      <c r="AJ3391">
        <v>114.525218314912</v>
      </c>
      <c r="AK3391">
        <v>63.803921918187399</v>
      </c>
      <c r="AL3391">
        <v>80.048941708700596</v>
      </c>
      <c r="AM3391">
        <v>97.231523075937602</v>
      </c>
      <c r="AN3391">
        <v>1.0000000139723499</v>
      </c>
    </row>
    <row r="3392" spans="1:40" x14ac:dyDescent="0.25">
      <c r="A3392" t="str">
        <f>"20190303170320117"</f>
        <v>20190303170320117</v>
      </c>
      <c r="B3392" t="str">
        <f>"1551603800109156"</f>
        <v>1551603800109156</v>
      </c>
      <c r="C3392" t="s">
        <v>40</v>
      </c>
      <c r="D3392">
        <v>4.3072379999999999</v>
      </c>
      <c r="E3392">
        <v>0.38434879999999999</v>
      </c>
      <c r="F3392" t="s">
        <v>78</v>
      </c>
      <c r="G3392">
        <v>-470.15</v>
      </c>
      <c r="H3392">
        <v>2.1260759999999999</v>
      </c>
      <c r="I3392">
        <v>190.35249999999999</v>
      </c>
      <c r="J3392">
        <v>-493.82130000000001</v>
      </c>
      <c r="K3392">
        <v>1.1219479999999999</v>
      </c>
      <c r="L3392">
        <v>249.62350000000001</v>
      </c>
      <c r="M3392">
        <v>-4.7828919999999997E-2</v>
      </c>
      <c r="N3392">
        <v>-1.329574E-2</v>
      </c>
      <c r="O3392">
        <v>-0.99876719999999997</v>
      </c>
      <c r="P3392">
        <v>7.6476269999999999E-2</v>
      </c>
      <c r="Q3392">
        <v>0.16011639999999999</v>
      </c>
      <c r="R3392">
        <v>-0.98413119999999998</v>
      </c>
      <c r="S3392">
        <v>1.1753229999999999</v>
      </c>
      <c r="T3392">
        <v>4.9867990000000001E-2</v>
      </c>
      <c r="U3392">
        <v>-2.9485929999999998</v>
      </c>
      <c r="V3392">
        <v>-0.1235382</v>
      </c>
      <c r="W3392">
        <v>0.17306939999999901</v>
      </c>
      <c r="X3392">
        <v>0.97713110000000003</v>
      </c>
      <c r="Y3392">
        <v>-0.41413369999999999</v>
      </c>
      <c r="Z3392">
        <v>-2.894292E-2</v>
      </c>
      <c r="AA3392">
        <v>0.9097558</v>
      </c>
      <c r="AB3392">
        <v>20</v>
      </c>
      <c r="AC3392">
        <v>23.671299999999999</v>
      </c>
      <c r="AD3392">
        <v>1.0041279999999999</v>
      </c>
      <c r="AE3392">
        <v>-59.271000000000001</v>
      </c>
      <c r="AF3392">
        <v>-26.472769773843901</v>
      </c>
      <c r="AG3392">
        <v>1.0041279999999999</v>
      </c>
      <c r="AH3392">
        <v>58.0565116725801</v>
      </c>
      <c r="AI3392">
        <v>89.098416852211599</v>
      </c>
      <c r="AJ3392">
        <v>114.512169159205</v>
      </c>
      <c r="AK3392">
        <v>63.815157761520602</v>
      </c>
      <c r="AL3392">
        <v>80.033670794418796</v>
      </c>
      <c r="AM3392">
        <v>97.205646567488898</v>
      </c>
      <c r="AN3392">
        <v>0.99999994533140302</v>
      </c>
    </row>
    <row r="3393" spans="1:40" x14ac:dyDescent="0.25">
      <c r="A3393" t="str">
        <f>"20190303170320128"</f>
        <v>20190303170320128</v>
      </c>
      <c r="B3393" t="str">
        <f>"1551603800118531"</f>
        <v>1551603800118531</v>
      </c>
      <c r="C3393" t="s">
        <v>40</v>
      </c>
      <c r="D3393">
        <v>4.2165460000000001</v>
      </c>
      <c r="E3393">
        <v>0.38423180000000001</v>
      </c>
      <c r="F3393" t="s">
        <v>45</v>
      </c>
      <c r="G3393">
        <v>-476.39359999999999</v>
      </c>
      <c r="H3393">
        <v>1.8349219999999999</v>
      </c>
      <c r="I3393">
        <v>205.8073</v>
      </c>
      <c r="J3393">
        <v>-493.82580000000002</v>
      </c>
      <c r="K3393">
        <v>1.1219539999999999</v>
      </c>
      <c r="L3393">
        <v>249.52520000000001</v>
      </c>
      <c r="M3393">
        <v>-4.7608270000000001E-2</v>
      </c>
      <c r="N3393">
        <v>-1.330952E-2</v>
      </c>
      <c r="O3393">
        <v>-0.99877740000000004</v>
      </c>
      <c r="P3393">
        <v>7.6513129999999999E-2</v>
      </c>
      <c r="Q3393">
        <v>0.1601282</v>
      </c>
      <c r="R3393">
        <v>-0.98412639999999996</v>
      </c>
      <c r="S3393">
        <v>1.1730959999999999</v>
      </c>
      <c r="T3393">
        <v>4.7991869999999999E-2</v>
      </c>
      <c r="U3393">
        <v>-2.9493710000000002</v>
      </c>
      <c r="V3393">
        <v>-0.1233587</v>
      </c>
      <c r="W3393">
        <v>0.1730952</v>
      </c>
      <c r="X3393">
        <v>0.97714920000000005</v>
      </c>
      <c r="Y3393">
        <v>-0.41326109999999999</v>
      </c>
      <c r="Z3393">
        <v>-2.8373869999999999E-2</v>
      </c>
      <c r="AA3393">
        <v>0.91017040000000005</v>
      </c>
      <c r="AB3393">
        <v>20</v>
      </c>
      <c r="AC3393">
        <v>17.432200000000002</v>
      </c>
      <c r="AD3393">
        <v>0.71296800000000005</v>
      </c>
      <c r="AE3393">
        <v>-43.7179</v>
      </c>
      <c r="AF3393">
        <v>-19.489475418086201</v>
      </c>
      <c r="AG3393">
        <v>0.71296800000000005</v>
      </c>
      <c r="AH3393">
        <v>42.828500187125897</v>
      </c>
      <c r="AI3393">
        <v>89.131921794210996</v>
      </c>
      <c r="AJ3393">
        <v>114.468314584034</v>
      </c>
      <c r="AK3393">
        <v>47.059838543282901</v>
      </c>
      <c r="AL3393">
        <v>80.032169838066196</v>
      </c>
      <c r="AM3393">
        <v>97.195154746829402</v>
      </c>
      <c r="AN3393">
        <v>0.99999993809468302</v>
      </c>
    </row>
    <row r="3394" spans="1:40" x14ac:dyDescent="0.25">
      <c r="A3394" t="str">
        <f>"20190303170320149"</f>
        <v>20190303170320149</v>
      </c>
      <c r="B3394" t="str">
        <f>"1551603800139026"</f>
        <v>1551603800139026</v>
      </c>
      <c r="C3394" t="s">
        <v>40</v>
      </c>
      <c r="D3394">
        <v>4.2377310000000001</v>
      </c>
      <c r="E3394">
        <v>0.38396269999999999</v>
      </c>
      <c r="F3394" t="s">
        <v>45</v>
      </c>
      <c r="G3394">
        <v>-476.42689999999999</v>
      </c>
      <c r="H3394">
        <v>1.8330280000000001</v>
      </c>
      <c r="I3394">
        <v>205.8073</v>
      </c>
      <c r="J3394">
        <v>-493.83409999999998</v>
      </c>
      <c r="K3394">
        <v>1.121961</v>
      </c>
      <c r="L3394">
        <v>249.33969999999999</v>
      </c>
      <c r="M3394">
        <v>-4.7194699999999902E-2</v>
      </c>
      <c r="N3394">
        <v>-1.333318E-2</v>
      </c>
      <c r="O3394">
        <v>-0.99879680000000004</v>
      </c>
      <c r="P3394">
        <v>7.6822710000000002E-2</v>
      </c>
      <c r="Q3394">
        <v>0.16056129999999999</v>
      </c>
      <c r="R3394">
        <v>-0.98403200000000002</v>
      </c>
      <c r="S3394">
        <v>1.173767</v>
      </c>
      <c r="T3394">
        <v>4.7970649999999997E-2</v>
      </c>
      <c r="U3394">
        <v>-2.9493100000000001</v>
      </c>
      <c r="V3394">
        <v>-0.1232588</v>
      </c>
      <c r="W3394">
        <v>0.17355029999999999</v>
      </c>
      <c r="X3394">
        <v>0.97708110000000004</v>
      </c>
      <c r="Y3394">
        <v>-0.41306929999999997</v>
      </c>
      <c r="Z3394">
        <v>-2.8390970000000001E-2</v>
      </c>
      <c r="AA3394">
        <v>0.91025699999999998</v>
      </c>
      <c r="AB3394">
        <v>20</v>
      </c>
      <c r="AC3394">
        <v>17.4071999999999</v>
      </c>
      <c r="AD3394">
        <v>0.71106699999999901</v>
      </c>
      <c r="AE3394">
        <v>-43.532400000000003</v>
      </c>
      <c r="AF3394">
        <v>-19.4380096536112</v>
      </c>
      <c r="AG3394">
        <v>0.71106699999999901</v>
      </c>
      <c r="AH3394">
        <v>42.652471892696298</v>
      </c>
      <c r="AI3394">
        <v>89.130883611491896</v>
      </c>
      <c r="AJ3394">
        <v>114.500176131996</v>
      </c>
      <c r="AK3394">
        <v>46.878301954418397</v>
      </c>
      <c r="AL3394">
        <v>80.005694007199594</v>
      </c>
      <c r="AM3394">
        <v>97.189884702119599</v>
      </c>
      <c r="AN3394">
        <v>0.999999957192369</v>
      </c>
    </row>
    <row r="3395" spans="1:40" x14ac:dyDescent="0.25">
      <c r="A3395" t="str">
        <f>"20190303170320163"</f>
        <v>20190303170320163</v>
      </c>
      <c r="B3395" t="str">
        <f>"1551603800148786"</f>
        <v>1551603800148786</v>
      </c>
      <c r="C3395" t="s">
        <v>40</v>
      </c>
      <c r="D3395">
        <v>4.3634740000000001</v>
      </c>
      <c r="E3395">
        <v>0.38416729999999999</v>
      </c>
      <c r="F3395" t="s">
        <v>45</v>
      </c>
      <c r="G3395">
        <v>-476.45920000000001</v>
      </c>
      <c r="H3395">
        <v>1.8677299999999999</v>
      </c>
      <c r="I3395">
        <v>205.8073</v>
      </c>
      <c r="J3395">
        <v>-493.83960000000002</v>
      </c>
      <c r="K3395">
        <v>1.1219650000000001</v>
      </c>
      <c r="L3395">
        <v>249.21559999999999</v>
      </c>
      <c r="M3395">
        <v>-4.6920080000000003E-2</v>
      </c>
      <c r="N3395">
        <v>-1.334715E-2</v>
      </c>
      <c r="O3395">
        <v>-0.99880979999999997</v>
      </c>
      <c r="P3395">
        <v>7.7189229999999998E-2</v>
      </c>
      <c r="Q3395">
        <v>0.16076170000000001</v>
      </c>
      <c r="R3395">
        <v>-0.98397069999999998</v>
      </c>
      <c r="S3395">
        <v>1.176849</v>
      </c>
      <c r="T3395">
        <v>5.0512790000000002E-2</v>
      </c>
      <c r="U3395">
        <v>-2.948563</v>
      </c>
      <c r="V3395">
        <v>-0.1233533</v>
      </c>
      <c r="W3395">
        <v>0.1737631</v>
      </c>
      <c r="X3395">
        <v>0.97703139999999999</v>
      </c>
      <c r="Y3395">
        <v>-0.41371259999999999</v>
      </c>
      <c r="Z3395">
        <v>-2.9194580000000001E-2</v>
      </c>
      <c r="AA3395">
        <v>0.90993930000000001</v>
      </c>
      <c r="AB3395">
        <v>20</v>
      </c>
      <c r="AC3395">
        <v>17.380400000000002</v>
      </c>
      <c r="AD3395">
        <v>0.74576500000000001</v>
      </c>
      <c r="AE3395">
        <v>-43.408299999999997</v>
      </c>
      <c r="AF3395">
        <v>-19.393223074196101</v>
      </c>
      <c r="AG3395">
        <v>0.74576500000000001</v>
      </c>
      <c r="AH3395">
        <v>42.534101674559899</v>
      </c>
      <c r="AI3395">
        <v>89.086018231553595</v>
      </c>
      <c r="AJ3395">
        <v>114.510390427556</v>
      </c>
      <c r="AK3395">
        <v>46.752572890724998</v>
      </c>
      <c r="AL3395">
        <v>79.993313830102593</v>
      </c>
      <c r="AM3395">
        <v>97.195701466228698</v>
      </c>
      <c r="AN3395">
        <v>1.0000000040642201</v>
      </c>
    </row>
    <row r="3396" spans="1:40" x14ac:dyDescent="0.25">
      <c r="A3396" t="str">
        <f>"20190303170320178"</f>
        <v>20190303170320178</v>
      </c>
      <c r="B3396" t="str">
        <f>"1551603800168306"</f>
        <v>1551603800168306</v>
      </c>
      <c r="C3396" t="s">
        <v>40</v>
      </c>
      <c r="D3396">
        <v>4.2352460000000001</v>
      </c>
      <c r="E3396">
        <v>0.38391320000000001</v>
      </c>
      <c r="F3396" t="s">
        <v>45</v>
      </c>
      <c r="G3396">
        <v>-476.50959999999998</v>
      </c>
      <c r="H3396">
        <v>1.8361749999999999</v>
      </c>
      <c r="I3396">
        <v>205.78630000000001</v>
      </c>
      <c r="J3396">
        <v>-493.84550000000002</v>
      </c>
      <c r="K3396">
        <v>1.121974</v>
      </c>
      <c r="L3396">
        <v>249.0838</v>
      </c>
      <c r="M3396">
        <v>-4.6630240000000003E-2</v>
      </c>
      <c r="N3396">
        <v>-1.3360729999999999E-2</v>
      </c>
      <c r="O3396">
        <v>-0.99882289999999996</v>
      </c>
      <c r="P3396">
        <v>7.7195570000000005E-2</v>
      </c>
      <c r="Q3396">
        <v>0.16082360000000001</v>
      </c>
      <c r="R3396">
        <v>-0.9839599</v>
      </c>
      <c r="S3396">
        <v>1.176636</v>
      </c>
      <c r="T3396">
        <v>4.8491949999999999E-2</v>
      </c>
      <c r="U3396">
        <v>-2.9486690000000002</v>
      </c>
      <c r="V3396">
        <v>-0.1230763</v>
      </c>
      <c r="W3396">
        <v>0.17383770000000001</v>
      </c>
      <c r="X3396">
        <v>0.97705299999999995</v>
      </c>
      <c r="Y3396">
        <v>-0.41338510000000001</v>
      </c>
      <c r="Z3396">
        <v>-2.8579779999999999E-2</v>
      </c>
      <c r="AA3396">
        <v>0.91010769999999996</v>
      </c>
      <c r="AB3396">
        <v>20</v>
      </c>
      <c r="AC3396">
        <v>17.335899999999999</v>
      </c>
      <c r="AD3396">
        <v>0.71420099999999898</v>
      </c>
      <c r="AE3396">
        <v>-43.2974999999999</v>
      </c>
      <c r="AF3396">
        <v>-19.3316586859826</v>
      </c>
      <c r="AG3396">
        <v>0.71420099999999898</v>
      </c>
      <c r="AH3396">
        <v>42.431993826605201</v>
      </c>
      <c r="AI3396">
        <v>89.122472638708302</v>
      </c>
      <c r="AJ3396">
        <v>114.493609844199</v>
      </c>
      <c r="AK3396">
        <v>46.633648910639501</v>
      </c>
      <c r="AL3396">
        <v>79.988972893457202</v>
      </c>
      <c r="AM3396">
        <v>97.179554667052003</v>
      </c>
      <c r="AN3396">
        <v>0.99999994318598795</v>
      </c>
    </row>
    <row r="3397" spans="1:40" x14ac:dyDescent="0.25">
      <c r="A3397" t="str">
        <f>"20190303170320192"</f>
        <v>20190303170320192</v>
      </c>
      <c r="B3397" t="str">
        <f>"1551603800179042"</f>
        <v>1551603800179042</v>
      </c>
      <c r="C3397" t="s">
        <v>40</v>
      </c>
      <c r="D3397">
        <v>4.2458169999999997</v>
      </c>
      <c r="E3397">
        <v>0.38380769999999997</v>
      </c>
      <c r="F3397" t="s">
        <v>45</v>
      </c>
      <c r="G3397">
        <v>-476.52820000000003</v>
      </c>
      <c r="H3397">
        <v>1.858031</v>
      </c>
      <c r="I3397">
        <v>205.76310000000001</v>
      </c>
      <c r="J3397">
        <v>-493.85140000000001</v>
      </c>
      <c r="K3397">
        <v>1.1219779999999999</v>
      </c>
      <c r="L3397">
        <v>248.9494</v>
      </c>
      <c r="M3397">
        <v>-4.6337120000000002E-2</v>
      </c>
      <c r="N3397">
        <v>-1.3373100000000001E-2</v>
      </c>
      <c r="O3397">
        <v>-0.99883650000000002</v>
      </c>
      <c r="P3397">
        <v>7.7390139999999996E-2</v>
      </c>
      <c r="Q3397">
        <v>0.16114189999999901</v>
      </c>
      <c r="R3397">
        <v>-0.98389269999999995</v>
      </c>
      <c r="S3397">
        <v>1.178558</v>
      </c>
      <c r="T3397">
        <v>5.0093409999999998E-2</v>
      </c>
      <c r="U3397">
        <v>-2.9482569999999999</v>
      </c>
      <c r="V3397">
        <v>-0.12298149999999999</v>
      </c>
      <c r="W3397">
        <v>0.17416690000000001</v>
      </c>
      <c r="X3397">
        <v>0.97700640000000005</v>
      </c>
      <c r="Y3397">
        <v>-0.41366930000000002</v>
      </c>
      <c r="Z3397">
        <v>-2.908962E-2</v>
      </c>
      <c r="AA3397">
        <v>0.90996239999999995</v>
      </c>
      <c r="AB3397">
        <v>20</v>
      </c>
      <c r="AC3397">
        <v>17.3231999999999</v>
      </c>
      <c r="AD3397">
        <v>0.73605299999999996</v>
      </c>
      <c r="AE3397">
        <v>-43.186299999999903</v>
      </c>
      <c r="AF3397">
        <v>-19.301066915825199</v>
      </c>
      <c r="AG3397">
        <v>0.73605299999999996</v>
      </c>
      <c r="AH3397">
        <v>42.326533526422203</v>
      </c>
      <c r="AI3397">
        <v>89.093515947599997</v>
      </c>
      <c r="AJ3397">
        <v>114.51317365673</v>
      </c>
      <c r="AK3397">
        <v>46.525352212222103</v>
      </c>
      <c r="AL3397">
        <v>79.969819832911597</v>
      </c>
      <c r="AM3397">
        <v>97.174420842603794</v>
      </c>
      <c r="AN3397">
        <v>1.0000000320194</v>
      </c>
    </row>
    <row r="3398" spans="1:40" x14ac:dyDescent="0.25">
      <c r="A3398" t="str">
        <f>"20190303170320205"</f>
        <v>20190303170320205</v>
      </c>
      <c r="B3398" t="str">
        <f>"1551603800198563"</f>
        <v>1551603800198563</v>
      </c>
      <c r="C3398" t="s">
        <v>40</v>
      </c>
      <c r="D3398">
        <v>4.2362690000000001</v>
      </c>
      <c r="E3398">
        <v>0.38352890000000001</v>
      </c>
      <c r="F3398" t="s">
        <v>45</v>
      </c>
      <c r="G3398">
        <v>-476.55459999999999</v>
      </c>
      <c r="H3398">
        <v>1.877831</v>
      </c>
      <c r="I3398">
        <v>205.73</v>
      </c>
      <c r="J3398">
        <v>-493.85629999999998</v>
      </c>
      <c r="K3398">
        <v>1.1219760000000001</v>
      </c>
      <c r="L3398">
        <v>248.8398</v>
      </c>
      <c r="M3398">
        <v>-4.6100660000000002E-2</v>
      </c>
      <c r="N3398">
        <v>-1.338202E-2</v>
      </c>
      <c r="O3398">
        <v>-0.99884720000000005</v>
      </c>
      <c r="P3398">
        <v>7.7623109999999995E-2</v>
      </c>
      <c r="Q3398">
        <v>0.1611108</v>
      </c>
      <c r="R3398">
        <v>-0.98387910000000001</v>
      </c>
      <c r="S3398">
        <v>1.1797789999999999</v>
      </c>
      <c r="T3398">
        <v>5.1554919999999997E-2</v>
      </c>
      <c r="U3398">
        <v>-2.9478909999999998</v>
      </c>
      <c r="V3398">
        <v>-0.12298239999999901</v>
      </c>
      <c r="W3398">
        <v>0.1741443</v>
      </c>
      <c r="X3398">
        <v>0.9770103</v>
      </c>
      <c r="Y3398">
        <v>-0.41381370000000001</v>
      </c>
      <c r="Z3398">
        <v>-2.9553380000000001E-2</v>
      </c>
      <c r="AA3398">
        <v>0.90988170000000002</v>
      </c>
      <c r="AB3398">
        <v>20</v>
      </c>
      <c r="AC3398">
        <v>17.301699999999901</v>
      </c>
      <c r="AD3398">
        <v>0.75585499999999906</v>
      </c>
      <c r="AE3398">
        <v>-43.1098</v>
      </c>
      <c r="AF3398">
        <v>-19.265768700817599</v>
      </c>
      <c r="AG3398">
        <v>0.75585499999999906</v>
      </c>
      <c r="AH3398">
        <v>42.2550784565966</v>
      </c>
      <c r="AI3398">
        <v>89.067536619951298</v>
      </c>
      <c r="AJ3398">
        <v>114.510126560964</v>
      </c>
      <c r="AK3398">
        <v>46.446020451568998</v>
      </c>
      <c r="AL3398">
        <v>79.971134661839301</v>
      </c>
      <c r="AM3398">
        <v>97.174444458741505</v>
      </c>
      <c r="AN3398">
        <v>1.0000000171191601</v>
      </c>
    </row>
    <row r="3399" spans="1:40" x14ac:dyDescent="0.25">
      <c r="A3399" t="str">
        <f>"20190303170320217"</f>
        <v>20190303170320217</v>
      </c>
      <c r="B3399" t="str">
        <f>"1551603800208322"</f>
        <v>1551603800208322</v>
      </c>
      <c r="C3399" t="s">
        <v>40</v>
      </c>
      <c r="D3399">
        <v>4.2477519999999904</v>
      </c>
      <c r="E3399">
        <v>0.38340150000000001</v>
      </c>
      <c r="F3399" t="s">
        <v>45</v>
      </c>
      <c r="G3399">
        <v>-476.55500000000001</v>
      </c>
      <c r="H3399">
        <v>1.888509</v>
      </c>
      <c r="I3399">
        <v>205.7295</v>
      </c>
      <c r="J3399">
        <v>-493.86079999999998</v>
      </c>
      <c r="K3399">
        <v>1.1219760000000001</v>
      </c>
      <c r="L3399">
        <v>248.7363</v>
      </c>
      <c r="M3399">
        <v>-4.5878330000000002E-2</v>
      </c>
      <c r="N3399">
        <v>-1.3390040000000001E-2</v>
      </c>
      <c r="O3399">
        <v>-0.99885740000000001</v>
      </c>
      <c r="P3399">
        <v>7.7803810000000001E-2</v>
      </c>
      <c r="Q3399">
        <v>0.1613001</v>
      </c>
      <c r="R3399">
        <v>-0.98383399999999999</v>
      </c>
      <c r="S3399">
        <v>1.1828000000000001</v>
      </c>
      <c r="T3399">
        <v>5.2403930000000001E-2</v>
      </c>
      <c r="U3399">
        <v>-2.947235</v>
      </c>
      <c r="V3399">
        <v>-0.1229432</v>
      </c>
      <c r="W3399">
        <v>0.17434059999999901</v>
      </c>
      <c r="X3399">
        <v>0.97698019999999997</v>
      </c>
      <c r="Y3399">
        <v>-0.41448220000000002</v>
      </c>
      <c r="Z3399">
        <v>-2.982346E-2</v>
      </c>
      <c r="AA3399">
        <v>0.90956859999999995</v>
      </c>
      <c r="AB3399">
        <v>20</v>
      </c>
      <c r="AC3399">
        <v>17.305799999999898</v>
      </c>
      <c r="AD3399">
        <v>0.76653299999999902</v>
      </c>
      <c r="AE3399">
        <v>-43.006799999999998</v>
      </c>
      <c r="AF3399">
        <v>-19.255566571577901</v>
      </c>
      <c r="AG3399">
        <v>0.76653299999999902</v>
      </c>
      <c r="AH3399">
        <v>42.155949188361802</v>
      </c>
      <c r="AI3399">
        <v>89.052439883812895</v>
      </c>
      <c r="AJ3399">
        <v>114.549491311189</v>
      </c>
      <c r="AK3399">
        <v>46.351790351660597</v>
      </c>
      <c r="AL3399">
        <v>79.959712534933004</v>
      </c>
      <c r="AM3399">
        <v>97.172400127972907</v>
      </c>
      <c r="AN3399">
        <v>0.99999999321332</v>
      </c>
    </row>
    <row r="3400" spans="1:40" x14ac:dyDescent="0.25">
      <c r="A3400" t="str">
        <f>"20190303170320227"</f>
        <v>20190303170320227</v>
      </c>
      <c r="B3400" t="str">
        <f>"1551603800218588"</f>
        <v>1551603800218588</v>
      </c>
      <c r="C3400" t="s">
        <v>40</v>
      </c>
      <c r="D3400">
        <v>4.246524</v>
      </c>
      <c r="E3400">
        <v>0.38326260000000001</v>
      </c>
      <c r="F3400" t="s">
        <v>78</v>
      </c>
      <c r="G3400">
        <v>-472.93169999999998</v>
      </c>
      <c r="H3400">
        <v>2.0644330000000002</v>
      </c>
      <c r="I3400">
        <v>196.6301</v>
      </c>
      <c r="J3400">
        <v>-493.86500000000001</v>
      </c>
      <c r="K3400">
        <v>1.1219779999999999</v>
      </c>
      <c r="L3400">
        <v>248.63910000000001</v>
      </c>
      <c r="M3400">
        <v>-4.5672829999999998E-2</v>
      </c>
      <c r="N3400">
        <v>-1.339665E-2</v>
      </c>
      <c r="O3400">
        <v>-0.9988667</v>
      </c>
      <c r="P3400">
        <v>7.8270640000000002E-2</v>
      </c>
      <c r="Q3400">
        <v>0.1613549</v>
      </c>
      <c r="R3400">
        <v>-0.983788</v>
      </c>
      <c r="S3400">
        <v>1.1836850000000001</v>
      </c>
      <c r="T3400">
        <v>5.3304079999999997E-2</v>
      </c>
      <c r="U3400">
        <v>-2.9469449999999999</v>
      </c>
      <c r="V3400">
        <v>-0.123206</v>
      </c>
      <c r="W3400">
        <v>0.17440159999999999</v>
      </c>
      <c r="X3400">
        <v>0.97693620000000003</v>
      </c>
      <c r="Y3400">
        <v>-0.4145587</v>
      </c>
      <c r="Z3400">
        <v>-3.0110359999999999E-2</v>
      </c>
      <c r="AA3400">
        <v>0.90952429999999995</v>
      </c>
      <c r="AB3400">
        <v>20</v>
      </c>
      <c r="AC3400">
        <v>20.933299999999999</v>
      </c>
      <c r="AD3400">
        <v>0.94245499999999904</v>
      </c>
      <c r="AE3400">
        <v>-52.009</v>
      </c>
      <c r="AF3400">
        <v>-23.2804835364241</v>
      </c>
      <c r="AG3400">
        <v>0.94245499999999904</v>
      </c>
      <c r="AH3400">
        <v>50.984139946375102</v>
      </c>
      <c r="AI3400">
        <v>89.036651921480399</v>
      </c>
      <c r="AJ3400">
        <v>114.54248541051599</v>
      </c>
      <c r="AK3400">
        <v>56.055790612463099</v>
      </c>
      <c r="AL3400">
        <v>79.956163059274402</v>
      </c>
      <c r="AM3400">
        <v>97.1878918131776</v>
      </c>
      <c r="AN3400">
        <v>0.99999998769450005</v>
      </c>
    </row>
    <row r="3401" spans="1:40" x14ac:dyDescent="0.25">
      <c r="A3401" t="str">
        <f>"20190303170320241"</f>
        <v>20190303170320241</v>
      </c>
      <c r="B3401" t="str">
        <f>"1551603800229325"</f>
        <v>1551603800229325</v>
      </c>
      <c r="C3401" t="s">
        <v>40</v>
      </c>
      <c r="D3401">
        <v>4.2389679999999998</v>
      </c>
      <c r="E3401">
        <v>0.38312279999999999</v>
      </c>
      <c r="F3401" t="s">
        <v>78</v>
      </c>
      <c r="G3401">
        <v>-472.92500000000001</v>
      </c>
      <c r="H3401">
        <v>2.0732159999999999</v>
      </c>
      <c r="I3401">
        <v>196.6301</v>
      </c>
      <c r="J3401">
        <v>-493.8698</v>
      </c>
      <c r="K3401">
        <v>1.1219840000000001</v>
      </c>
      <c r="L3401">
        <v>248.52789999999999</v>
      </c>
      <c r="M3401">
        <v>-4.5439939999999998E-2</v>
      </c>
      <c r="N3401">
        <v>-1.3403740000000001E-2</v>
      </c>
      <c r="O3401">
        <v>-0.99887749999999997</v>
      </c>
      <c r="P3401">
        <v>7.8349719999999998E-2</v>
      </c>
      <c r="Q3401">
        <v>0.16150989999999901</v>
      </c>
      <c r="R3401">
        <v>-0.98375630000000003</v>
      </c>
      <c r="S3401">
        <v>1.186218</v>
      </c>
      <c r="T3401">
        <v>5.3887839999999999E-2</v>
      </c>
      <c r="U3401">
        <v>-2.9462130000000002</v>
      </c>
      <c r="V3401">
        <v>-0.1230547</v>
      </c>
      <c r="W3401">
        <v>0.17456360000000001</v>
      </c>
      <c r="X3401">
        <v>0.97692630000000003</v>
      </c>
      <c r="Y3401">
        <v>-0.41509609999999902</v>
      </c>
      <c r="Z3401">
        <v>-3.0298220000000001E-2</v>
      </c>
      <c r="AA3401">
        <v>0.90927290000000005</v>
      </c>
      <c r="AB3401">
        <v>20</v>
      </c>
      <c r="AC3401">
        <v>20.944799999999901</v>
      </c>
      <c r="AD3401">
        <v>0.95123199999999997</v>
      </c>
      <c r="AE3401">
        <v>-51.897799999999897</v>
      </c>
      <c r="AF3401">
        <v>-23.274881589655799</v>
      </c>
      <c r="AG3401">
        <v>0.95123199999999997</v>
      </c>
      <c r="AH3401">
        <v>50.877669739745699</v>
      </c>
      <c r="AI3401">
        <v>89.025959043699004</v>
      </c>
      <c r="AJ3401">
        <v>114.58255598237599</v>
      </c>
      <c r="AK3401">
        <v>55.956788984688501</v>
      </c>
      <c r="AL3401">
        <v>79.946736186391405</v>
      </c>
      <c r="AM3401">
        <v>97.179229053096293</v>
      </c>
      <c r="AN3401">
        <v>0.99999995263436803</v>
      </c>
    </row>
    <row r="3402" spans="1:40" x14ac:dyDescent="0.25">
      <c r="A3402" t="str">
        <f>"20190303170320254"</f>
        <v>20190303170320254</v>
      </c>
      <c r="B3402" t="str">
        <f>"1551603800239084"</f>
        <v>1551603800239084</v>
      </c>
      <c r="C3402" t="s">
        <v>40</v>
      </c>
      <c r="D3402">
        <v>4.2631880000000004</v>
      </c>
      <c r="E3402">
        <v>0.38300030000000002</v>
      </c>
      <c r="F3402" t="s">
        <v>78</v>
      </c>
      <c r="G3402">
        <v>-472.96260000000001</v>
      </c>
      <c r="H3402">
        <v>2.0839479999999999</v>
      </c>
      <c r="I3402">
        <v>196.6301</v>
      </c>
      <c r="J3402">
        <v>-493.87520000000001</v>
      </c>
      <c r="K3402">
        <v>1.1219859999999999</v>
      </c>
      <c r="L3402">
        <v>248.40369999999999</v>
      </c>
      <c r="M3402">
        <v>-4.5182960000000001E-2</v>
      </c>
      <c r="N3402">
        <v>-1.3410969999999999E-2</v>
      </c>
      <c r="O3402">
        <v>-0.99888889999999997</v>
      </c>
      <c r="P3402">
        <v>7.863829E-2</v>
      </c>
      <c r="Q3402">
        <v>0.1616763</v>
      </c>
      <c r="R3402">
        <v>-0.98370570000000002</v>
      </c>
      <c r="S3402">
        <v>1.1868289999999999</v>
      </c>
      <c r="T3402">
        <v>5.4609060000000001E-2</v>
      </c>
      <c r="U3402">
        <v>-2.9460449999999998</v>
      </c>
      <c r="V3402">
        <v>-0.12308860000000001</v>
      </c>
      <c r="W3402">
        <v>0.1747368</v>
      </c>
      <c r="X3402">
        <v>0.97689110000000001</v>
      </c>
      <c r="Y3402">
        <v>-0.41504010000000002</v>
      </c>
      <c r="Z3402">
        <v>-3.0530129999999999E-2</v>
      </c>
      <c r="AA3402">
        <v>0.90929070000000001</v>
      </c>
      <c r="AB3402">
        <v>20</v>
      </c>
      <c r="AC3402">
        <v>20.912600000000001</v>
      </c>
      <c r="AD3402">
        <v>0.96196199999999898</v>
      </c>
      <c r="AE3402">
        <v>-51.773599999999902</v>
      </c>
      <c r="AF3402">
        <v>-23.2238403597208</v>
      </c>
      <c r="AG3402">
        <v>0.96196199999999898</v>
      </c>
      <c r="AH3402">
        <v>50.760671946964599</v>
      </c>
      <c r="AI3402">
        <v>89.012722235746196</v>
      </c>
      <c r="AJ3402">
        <v>114.58487214473</v>
      </c>
      <c r="AK3402">
        <v>55.829364571438603</v>
      </c>
      <c r="AL3402">
        <v>79.936658004687999</v>
      </c>
      <c r="AM3402">
        <v>97.181442250098598</v>
      </c>
      <c r="AN3402">
        <v>0.999999986991704</v>
      </c>
    </row>
    <row r="3403" spans="1:40" x14ac:dyDescent="0.25">
      <c r="A3403" t="str">
        <f>"20190303170320266"</f>
        <v>20190303170320266</v>
      </c>
      <c r="B3403" t="str">
        <f>"1551603800258604"</f>
        <v>1551603800258604</v>
      </c>
      <c r="C3403" t="s">
        <v>40</v>
      </c>
      <c r="D3403">
        <v>4.2911820000000001</v>
      </c>
      <c r="E3403">
        <v>0.3828878</v>
      </c>
      <c r="F3403" t="s">
        <v>78</v>
      </c>
      <c r="G3403">
        <v>-472.97629999999998</v>
      </c>
      <c r="H3403">
        <v>2.0952109999999999</v>
      </c>
      <c r="I3403">
        <v>196.6301</v>
      </c>
      <c r="J3403">
        <v>-493.87959999999998</v>
      </c>
      <c r="K3403">
        <v>1.121985</v>
      </c>
      <c r="L3403">
        <v>248.30009999999999</v>
      </c>
      <c r="M3403">
        <v>-4.4973649999999997E-2</v>
      </c>
      <c r="N3403">
        <v>-1.341608E-2</v>
      </c>
      <c r="O3403">
        <v>-0.99889819999999996</v>
      </c>
      <c r="P3403">
        <v>7.8647030000000007E-2</v>
      </c>
      <c r="Q3403">
        <v>0.16218299999999999</v>
      </c>
      <c r="R3403">
        <v>-0.98362190000000005</v>
      </c>
      <c r="S3403">
        <v>1.188995</v>
      </c>
      <c r="T3403">
        <v>5.5371049999999998E-2</v>
      </c>
      <c r="U3403">
        <v>-2.9455260000000001</v>
      </c>
      <c r="V3403">
        <v>-0.1228877</v>
      </c>
      <c r="W3403">
        <v>0.1752486</v>
      </c>
      <c r="X3403">
        <v>0.97682480000000005</v>
      </c>
      <c r="Y3403">
        <v>-0.41547810000000002</v>
      </c>
      <c r="Z3403">
        <v>-3.0771059999999999E-2</v>
      </c>
      <c r="AA3403">
        <v>0.90908259999999996</v>
      </c>
      <c r="AB3403">
        <v>20</v>
      </c>
      <c r="AC3403">
        <v>20.903300000000002</v>
      </c>
      <c r="AD3403">
        <v>0.97322600000000004</v>
      </c>
      <c r="AE3403">
        <v>-51.669999999999902</v>
      </c>
      <c r="AF3403">
        <v>-23.199070229971898</v>
      </c>
      <c r="AG3403">
        <v>0.97322600000000004</v>
      </c>
      <c r="AH3403">
        <v>50.662081674712098</v>
      </c>
      <c r="AI3403">
        <v>88.999372740352698</v>
      </c>
      <c r="AJ3403">
        <v>114.603887697772</v>
      </c>
      <c r="AK3403">
        <v>55.729620023802802</v>
      </c>
      <c r="AL3403">
        <v>79.9068753457789</v>
      </c>
      <c r="AM3403">
        <v>97.170324658025507</v>
      </c>
      <c r="AN3403">
        <v>1.0000000742541399</v>
      </c>
    </row>
    <row r="3404" spans="1:40" x14ac:dyDescent="0.25">
      <c r="A3404" t="str">
        <f>"20190303170320283"</f>
        <v>20190303170320283</v>
      </c>
      <c r="B3404" t="str">
        <f>"1551603800268364"</f>
        <v>1551603800268364</v>
      </c>
      <c r="C3404" t="s">
        <v>40</v>
      </c>
      <c r="D3404">
        <v>4.2469210000000004</v>
      </c>
      <c r="E3404">
        <v>0.38281670000000001</v>
      </c>
      <c r="F3404" t="s">
        <v>78</v>
      </c>
      <c r="G3404">
        <v>-473.00830000000002</v>
      </c>
      <c r="H3404">
        <v>2.0985719999999999</v>
      </c>
      <c r="I3404">
        <v>196.6301</v>
      </c>
      <c r="J3404">
        <v>-493.88580000000002</v>
      </c>
      <c r="K3404">
        <v>1.12198</v>
      </c>
      <c r="L3404">
        <v>248.1551</v>
      </c>
      <c r="M3404">
        <v>-4.4685259999999997E-2</v>
      </c>
      <c r="N3404">
        <v>-1.3422679999999999E-2</v>
      </c>
      <c r="O3404">
        <v>-0.99891110000000005</v>
      </c>
      <c r="P3404">
        <v>7.8817300000000007E-2</v>
      </c>
      <c r="Q3404">
        <v>0.1623685</v>
      </c>
      <c r="R3404">
        <v>-0.98357749999999999</v>
      </c>
      <c r="S3404">
        <v>1.1898500000000001</v>
      </c>
      <c r="T3404">
        <v>5.5675860000000001E-2</v>
      </c>
      <c r="U3404">
        <v>-2.9456329999999999</v>
      </c>
      <c r="V3404">
        <v>-0.12277159999999999</v>
      </c>
      <c r="W3404">
        <v>0.17544199999999999</v>
      </c>
      <c r="X3404">
        <v>0.97680460000000002</v>
      </c>
      <c r="Y3404">
        <v>-0.41542990000000002</v>
      </c>
      <c r="Z3404">
        <v>-3.0870939999999999E-2</v>
      </c>
      <c r="AA3404">
        <v>0.90910119999999905</v>
      </c>
      <c r="AB3404">
        <v>20</v>
      </c>
      <c r="AC3404">
        <v>20.877500000000001</v>
      </c>
      <c r="AD3404">
        <v>0.97659200000000002</v>
      </c>
      <c r="AE3404">
        <v>-51.524999999999999</v>
      </c>
      <c r="AF3404">
        <v>-23.1521127900495</v>
      </c>
      <c r="AG3404">
        <v>0.97659200000000002</v>
      </c>
      <c r="AH3404">
        <v>50.5249316999763</v>
      </c>
      <c r="AI3404">
        <v>88.993307166655498</v>
      </c>
      <c r="AJ3404">
        <v>114.618740580345</v>
      </c>
      <c r="AK3404">
        <v>55.585454768895303</v>
      </c>
      <c r="AL3404">
        <v>79.8956191422632</v>
      </c>
      <c r="AM3404">
        <v>97.163767398538297</v>
      </c>
      <c r="AN3404">
        <v>0.99999999385585903</v>
      </c>
    </row>
    <row r="3405" spans="1:40" x14ac:dyDescent="0.25">
      <c r="A3405" t="str">
        <f>"20190303170320295"</f>
        <v>20190303170320295</v>
      </c>
      <c r="B3405" t="str">
        <f>"1551603800288861"</f>
        <v>1551603800288861</v>
      </c>
      <c r="C3405" t="s">
        <v>40</v>
      </c>
      <c r="D3405">
        <v>4.2794509999999999</v>
      </c>
      <c r="E3405">
        <v>0.38260739999999999</v>
      </c>
      <c r="F3405" t="s">
        <v>78</v>
      </c>
      <c r="G3405">
        <v>-473.04539999999997</v>
      </c>
      <c r="H3405">
        <v>2.1027049999999998</v>
      </c>
      <c r="I3405">
        <v>196.6301</v>
      </c>
      <c r="J3405">
        <v>-493.89060000000001</v>
      </c>
      <c r="K3405">
        <v>1.1219779999999999</v>
      </c>
      <c r="L3405">
        <v>248.041</v>
      </c>
      <c r="M3405">
        <v>-4.4462210000000002E-2</v>
      </c>
      <c r="N3405">
        <v>-1.3427379999999999E-2</v>
      </c>
      <c r="O3405">
        <v>-0.99892099999999995</v>
      </c>
      <c r="P3405">
        <v>7.8842319999999994E-2</v>
      </c>
      <c r="Q3405">
        <v>0.16226389999999999</v>
      </c>
      <c r="R3405">
        <v>-0.98359300000000005</v>
      </c>
      <c r="S3405">
        <v>1.1913149999999999</v>
      </c>
      <c r="T3405">
        <v>5.606353E-2</v>
      </c>
      <c r="U3405">
        <v>-2.9453429999999998</v>
      </c>
      <c r="V3405">
        <v>-0.1225763</v>
      </c>
      <c r="W3405">
        <v>0.17534340000000001</v>
      </c>
      <c r="X3405">
        <v>0.97684680000000002</v>
      </c>
      <c r="Y3405">
        <v>-0.4156453</v>
      </c>
      <c r="Z3405">
        <v>-3.0995249999999998E-2</v>
      </c>
      <c r="AA3405">
        <v>0.90899850000000004</v>
      </c>
      <c r="AB3405">
        <v>20</v>
      </c>
      <c r="AC3405">
        <v>20.845199999999998</v>
      </c>
      <c r="AD3405">
        <v>0.98072699999999902</v>
      </c>
      <c r="AE3405">
        <v>-51.410899999999998</v>
      </c>
      <c r="AF3405">
        <v>-23.103409331726599</v>
      </c>
      <c r="AG3405">
        <v>0.98072699999999902</v>
      </c>
      <c r="AH3405">
        <v>50.417385192106302</v>
      </c>
      <c r="AI3405">
        <v>88.986893953203094</v>
      </c>
      <c r="AJ3405">
        <v>114.619283195151</v>
      </c>
      <c r="AK3405">
        <v>55.467486672888498</v>
      </c>
      <c r="AL3405">
        <v>79.901357153268407</v>
      </c>
      <c r="AM3405">
        <v>97.152183899859907</v>
      </c>
      <c r="AN3405">
        <v>0.99999996395774404</v>
      </c>
    </row>
    <row r="3406" spans="1:40" x14ac:dyDescent="0.25">
      <c r="A3406" t="str">
        <f>"20190303170320306"</f>
        <v>20190303170320306</v>
      </c>
      <c r="B3406" t="str">
        <f>"1551603800298621"</f>
        <v>1551603800298621</v>
      </c>
      <c r="C3406" t="s">
        <v>40</v>
      </c>
      <c r="D3406">
        <v>4.6786699999999897</v>
      </c>
      <c r="E3406">
        <v>0.38260739999999999</v>
      </c>
      <c r="F3406" t="s">
        <v>78</v>
      </c>
      <c r="G3406">
        <v>-473.07330000000002</v>
      </c>
      <c r="H3406">
        <v>2.0977830000000002</v>
      </c>
      <c r="I3406">
        <v>196.6301</v>
      </c>
      <c r="J3406">
        <v>-493.89499999999998</v>
      </c>
      <c r="K3406">
        <v>1.121983</v>
      </c>
      <c r="L3406">
        <v>247.9385</v>
      </c>
      <c r="M3406">
        <v>-4.4267830000000001E-2</v>
      </c>
      <c r="N3406">
        <v>-1.3431E-2</v>
      </c>
      <c r="O3406">
        <v>-0.99892959999999997</v>
      </c>
      <c r="P3406">
        <v>7.9157740000000004E-2</v>
      </c>
      <c r="Q3406">
        <v>0.1622316</v>
      </c>
      <c r="R3406">
        <v>-0.98357289999999997</v>
      </c>
      <c r="S3406">
        <v>1.192596</v>
      </c>
      <c r="T3406">
        <v>5.590415E-2</v>
      </c>
      <c r="U3406">
        <v>-2.945236</v>
      </c>
      <c r="V3406">
        <v>-0.1226989</v>
      </c>
      <c r="W3406">
        <v>0.17531569999999999</v>
      </c>
      <c r="X3406">
        <v>0.97683640000000005</v>
      </c>
      <c r="Y3406">
        <v>-0.41582019999999997</v>
      </c>
      <c r="Z3406">
        <v>-3.094765E-2</v>
      </c>
      <c r="AA3406">
        <v>0.90892019999999996</v>
      </c>
      <c r="AB3406">
        <v>20</v>
      </c>
      <c r="AC3406">
        <v>20.8216999999999</v>
      </c>
      <c r="AD3406">
        <v>0.9758</v>
      </c>
      <c r="AE3406">
        <v>-51.308399999999999</v>
      </c>
      <c r="AF3406">
        <v>-23.065637674485298</v>
      </c>
      <c r="AG3406">
        <v>0.9758</v>
      </c>
      <c r="AH3406">
        <v>50.320651581483503</v>
      </c>
      <c r="AI3406">
        <v>88.990095035555996</v>
      </c>
      <c r="AJ3406">
        <v>114.62545201872599</v>
      </c>
      <c r="AK3406">
        <v>55.3637408648991</v>
      </c>
      <c r="AL3406">
        <v>79.902969417476896</v>
      </c>
      <c r="AM3406">
        <v>97.159338706302606</v>
      </c>
      <c r="AN3406">
        <v>0.99999998354632902</v>
      </c>
    </row>
    <row r="3407" spans="1:40" x14ac:dyDescent="0.25">
      <c r="A3407" t="str">
        <f>"20190303170320319"</f>
        <v>20190303170320319</v>
      </c>
      <c r="B3407" t="str">
        <f>"1551603800308380"</f>
        <v>1551603800308380</v>
      </c>
      <c r="C3407" t="s">
        <v>40</v>
      </c>
      <c r="D3407">
        <v>4.4410239999999996</v>
      </c>
      <c r="E3407">
        <v>0.4176455</v>
      </c>
      <c r="F3407" t="s">
        <v>78</v>
      </c>
      <c r="G3407">
        <v>-473.10419999999999</v>
      </c>
      <c r="H3407">
        <v>2.0908899999999999</v>
      </c>
      <c r="I3407">
        <v>196.6301</v>
      </c>
      <c r="J3407">
        <v>-493.89909999999998</v>
      </c>
      <c r="K3407">
        <v>1.121982</v>
      </c>
      <c r="L3407">
        <v>247.83879999999999</v>
      </c>
      <c r="M3407">
        <v>-4.4080870000000001E-2</v>
      </c>
      <c r="N3407">
        <v>-1.3434349999999999E-2</v>
      </c>
      <c r="O3407">
        <v>-0.99893770000000004</v>
      </c>
      <c r="P3407">
        <v>7.9481280000000001E-2</v>
      </c>
      <c r="Q3407">
        <v>0.1620568</v>
      </c>
      <c r="R3407">
        <v>-0.98357550000000005</v>
      </c>
      <c r="S3407">
        <v>1.193298</v>
      </c>
      <c r="T3407">
        <v>5.5612920000000003E-2</v>
      </c>
      <c r="U3407">
        <v>-2.9448699999999999</v>
      </c>
      <c r="V3407">
        <v>-0.1228368</v>
      </c>
      <c r="W3407">
        <v>0.17514579999999999</v>
      </c>
      <c r="X3407">
        <v>0.97684959999999998</v>
      </c>
      <c r="Y3407">
        <v>-0.41587610000000003</v>
      </c>
      <c r="Z3407">
        <v>-3.086125E-2</v>
      </c>
      <c r="AA3407">
        <v>0.90889750000000002</v>
      </c>
      <c r="AB3407">
        <v>20</v>
      </c>
      <c r="AC3407">
        <v>20.794899999999899</v>
      </c>
      <c r="AD3407">
        <v>0.96890799999999999</v>
      </c>
      <c r="AE3407">
        <v>-51.208699999999901</v>
      </c>
      <c r="AF3407">
        <v>-23.025134589451799</v>
      </c>
      <c r="AG3407">
        <v>0.96890799999999999</v>
      </c>
      <c r="AH3407">
        <v>50.226738880530299</v>
      </c>
      <c r="AI3407">
        <v>88.995371148928299</v>
      </c>
      <c r="AJ3407">
        <v>114.627850130982</v>
      </c>
      <c r="AK3407">
        <v>55.261387099382603</v>
      </c>
      <c r="AL3407">
        <v>79.912857489793893</v>
      </c>
      <c r="AM3407">
        <v>97.167205536315706</v>
      </c>
      <c r="AN3407">
        <v>1.0000000358560099</v>
      </c>
    </row>
    <row r="3408" spans="1:40" x14ac:dyDescent="0.25">
      <c r="A3408" t="str">
        <f>"20190303170320329"</f>
        <v>20190303170320329</v>
      </c>
      <c r="B3408" t="str">
        <f>"1551603800319118"</f>
        <v>1551603800319118</v>
      </c>
      <c r="C3408" t="s">
        <v>40</v>
      </c>
      <c r="D3408">
        <v>4.3115839999999999</v>
      </c>
      <c r="E3408">
        <v>0.4176455</v>
      </c>
      <c r="F3408" t="s">
        <v>76</v>
      </c>
      <c r="G3408">
        <v>-473.2627</v>
      </c>
      <c r="H3408">
        <v>0.6990345</v>
      </c>
      <c r="I3408">
        <v>180.99870000000001</v>
      </c>
      <c r="J3408">
        <v>-493.90350000000001</v>
      </c>
      <c r="K3408">
        <v>1.121982</v>
      </c>
      <c r="L3408">
        <v>247.73410000000001</v>
      </c>
      <c r="M3408">
        <v>-4.3889209999999998E-2</v>
      </c>
      <c r="N3408">
        <v>-1.343747E-2</v>
      </c>
      <c r="O3408">
        <v>-0.99894609999999995</v>
      </c>
      <c r="P3408">
        <v>8.0196169999999997E-2</v>
      </c>
      <c r="Q3408">
        <v>0.16185539999999901</v>
      </c>
      <c r="R3408">
        <v>-0.9835507</v>
      </c>
      <c r="S3408">
        <v>0.91970830000000003</v>
      </c>
      <c r="T3408">
        <v>-1.8849609999999999E-2</v>
      </c>
      <c r="U3408">
        <v>-2.978882</v>
      </c>
      <c r="V3408">
        <v>-0.1233606</v>
      </c>
      <c r="W3408">
        <v>0.1749472</v>
      </c>
      <c r="X3408">
        <v>0.9768192</v>
      </c>
      <c r="Y3408">
        <v>-0.33660669999999998</v>
      </c>
      <c r="Z3408">
        <v>-7.5328239999999996E-3</v>
      </c>
      <c r="AA3408">
        <v>0.94161519999999999</v>
      </c>
      <c r="AB3408">
        <v>20</v>
      </c>
      <c r="AC3408">
        <v>20.640799999999999</v>
      </c>
      <c r="AD3408">
        <v>-0.42294749999999998</v>
      </c>
      <c r="AE3408">
        <v>-66.735399999999998</v>
      </c>
      <c r="AF3408">
        <v>-23.549271977580599</v>
      </c>
      <c r="AG3408">
        <v>-0.42294749999999998</v>
      </c>
      <c r="AH3408">
        <v>65.7626814965964</v>
      </c>
      <c r="AI3408">
        <v>90.3469166101155</v>
      </c>
      <c r="AJ3408">
        <v>109.70218005298101</v>
      </c>
      <c r="AK3408">
        <v>69.853255993436704</v>
      </c>
      <c r="AL3408">
        <v>79.924415069741201</v>
      </c>
      <c r="AM3408">
        <v>97.197669702746396</v>
      </c>
      <c r="AN3408">
        <v>1.0000000549544099</v>
      </c>
    </row>
    <row r="3409" spans="1:40" x14ac:dyDescent="0.25">
      <c r="A3409" t="str">
        <f>"20190303170320344"</f>
        <v>20190303170320344</v>
      </c>
      <c r="B3409" t="str">
        <f>"1551603800338637"</f>
        <v>1551603800338637</v>
      </c>
      <c r="C3409" t="s">
        <v>40</v>
      </c>
      <c r="D3409">
        <v>4.3509919999999997</v>
      </c>
      <c r="E3409">
        <v>0.46269070000000001</v>
      </c>
      <c r="F3409" t="s">
        <v>76</v>
      </c>
      <c r="G3409">
        <v>-473.25439999999998</v>
      </c>
      <c r="H3409">
        <v>0.67714269999999999</v>
      </c>
      <c r="I3409">
        <v>180.99870000000001</v>
      </c>
      <c r="J3409">
        <v>-493.90859999999998</v>
      </c>
      <c r="K3409">
        <v>1.121982</v>
      </c>
      <c r="L3409">
        <v>247.61410000000001</v>
      </c>
      <c r="M3409">
        <v>-4.3674039999999997E-2</v>
      </c>
      <c r="N3409">
        <v>-1.344067E-2</v>
      </c>
      <c r="O3409">
        <v>-0.99895560000000005</v>
      </c>
      <c r="P3409">
        <v>8.0641560000000001E-2</v>
      </c>
      <c r="Q3409">
        <v>0.1623358</v>
      </c>
      <c r="R3409">
        <v>-0.98343510000000001</v>
      </c>
      <c r="S3409">
        <v>0.92153929999999995</v>
      </c>
      <c r="T3409">
        <v>-1.9852519999999999E-2</v>
      </c>
      <c r="U3409">
        <v>-2.9783019999999998</v>
      </c>
      <c r="V3409">
        <v>-0.1235888</v>
      </c>
      <c r="W3409">
        <v>0.17543029999999901</v>
      </c>
      <c r="X3409">
        <v>0.97670360000000001</v>
      </c>
      <c r="Y3409">
        <v>-0.3369839</v>
      </c>
      <c r="Z3409">
        <v>-7.2166089999999997E-3</v>
      </c>
      <c r="AA3409">
        <v>0.94148279999999995</v>
      </c>
      <c r="AB3409">
        <v>20</v>
      </c>
      <c r="AC3409">
        <v>20.654199999999999</v>
      </c>
      <c r="AD3409">
        <v>-0.44483929999999999</v>
      </c>
      <c r="AE3409">
        <v>-66.615399999999994</v>
      </c>
      <c r="AF3409">
        <v>-23.543157082846299</v>
      </c>
      <c r="AG3409">
        <v>-0.44483929999999999</v>
      </c>
      <c r="AH3409">
        <v>65.647022091757606</v>
      </c>
      <c r="AI3409">
        <v>90.365452984125696</v>
      </c>
      <c r="AJ3409">
        <v>109.729484666429</v>
      </c>
      <c r="AK3409">
        <v>69.742452186212304</v>
      </c>
      <c r="AL3409">
        <v>79.896299635556304</v>
      </c>
      <c r="AM3409">
        <v>97.211688842385499</v>
      </c>
      <c r="AN3409">
        <v>0.99999995194824298</v>
      </c>
    </row>
    <row r="3410" spans="1:40" x14ac:dyDescent="0.25">
      <c r="A3410" t="str">
        <f>"20190303170320362"</f>
        <v>20190303170320362</v>
      </c>
      <c r="B3410" t="str">
        <f>"1551603800348396"</f>
        <v>1551603800348396</v>
      </c>
      <c r="C3410" t="s">
        <v>40</v>
      </c>
      <c r="D3410">
        <v>4.3237249999999996</v>
      </c>
      <c r="E3410">
        <v>0.46428989999999998</v>
      </c>
      <c r="F3410" t="s">
        <v>57</v>
      </c>
      <c r="G3410">
        <v>-485.221</v>
      </c>
      <c r="H3410" s="1">
        <v>2.3884650000000001E-7</v>
      </c>
      <c r="I3410">
        <v>201.4203</v>
      </c>
      <c r="J3410">
        <v>-493.91469999999998</v>
      </c>
      <c r="K3410">
        <v>1.121982</v>
      </c>
      <c r="L3410">
        <v>247.4648</v>
      </c>
      <c r="M3410">
        <v>-4.3411539999999998E-2</v>
      </c>
      <c r="N3410">
        <v>-1.344413E-2</v>
      </c>
      <c r="O3410">
        <v>-0.99896680000000004</v>
      </c>
      <c r="P3410">
        <v>8.1461030000000004E-2</v>
      </c>
      <c r="Q3410">
        <v>0.16311349999999999</v>
      </c>
      <c r="R3410">
        <v>-0.98323870000000002</v>
      </c>
      <c r="S3410">
        <v>0.56723020000000002</v>
      </c>
      <c r="T3410">
        <v>-7.3257089999999997E-2</v>
      </c>
      <c r="U3410">
        <v>-3.0161129999999998</v>
      </c>
      <c r="V3410">
        <v>-0.1241394</v>
      </c>
      <c r="W3410">
        <v>0.17620999999999901</v>
      </c>
      <c r="X3410">
        <v>0.97649350000000001</v>
      </c>
      <c r="Y3410">
        <v>-0.22725329999999999</v>
      </c>
      <c r="Z3410">
        <v>1.022467E-2</v>
      </c>
      <c r="AA3410">
        <v>0.97378200000000004</v>
      </c>
      <c r="AB3410">
        <v>20</v>
      </c>
      <c r="AC3410">
        <v>8.6936999999999696</v>
      </c>
      <c r="AD3410">
        <v>-1.1219817611534999</v>
      </c>
      <c r="AE3410">
        <v>-46.044499999999999</v>
      </c>
      <c r="AF3410">
        <v>-10.678423851822201</v>
      </c>
      <c r="AG3410">
        <v>-1.1219817611534999</v>
      </c>
      <c r="AH3410">
        <v>45.597501481688901</v>
      </c>
      <c r="AI3410">
        <v>91.372429713797402</v>
      </c>
      <c r="AJ3410">
        <v>103.18049697975</v>
      </c>
      <c r="AK3410">
        <v>46.8446338485439</v>
      </c>
      <c r="AL3410">
        <v>79.850920248409196</v>
      </c>
      <c r="AM3410">
        <v>97.245019042643904</v>
      </c>
      <c r="AN3410">
        <v>1.0000000551373001</v>
      </c>
    </row>
    <row r="3411" spans="1:40" x14ac:dyDescent="0.25">
      <c r="A3411" t="str">
        <f>"20190303170320376"</f>
        <v>20190303170320376</v>
      </c>
      <c r="B3411" t="str">
        <f>"1551603800368893"</f>
        <v>1551603800368893</v>
      </c>
      <c r="C3411" t="s">
        <v>40</v>
      </c>
      <c r="D3411">
        <v>4.3282740000000004</v>
      </c>
      <c r="E3411">
        <v>0.46457290000000001</v>
      </c>
      <c r="F3411" t="s">
        <v>42</v>
      </c>
      <c r="G3411">
        <v>-485.05290000000002</v>
      </c>
      <c r="H3411" s="1">
        <v>-5.0954200000000001E-6</v>
      </c>
      <c r="I3411">
        <v>199.4648</v>
      </c>
      <c r="J3411">
        <v>-493.92020000000002</v>
      </c>
      <c r="K3411">
        <v>1.121982</v>
      </c>
      <c r="L3411">
        <v>247.334</v>
      </c>
      <c r="M3411">
        <v>-4.318578E-2</v>
      </c>
      <c r="N3411">
        <v>-1.3446680000000001E-2</v>
      </c>
      <c r="O3411">
        <v>-0.9989768</v>
      </c>
      <c r="P3411">
        <v>8.1847879999999998E-2</v>
      </c>
      <c r="Q3411">
        <v>0.16357140000000001</v>
      </c>
      <c r="R3411">
        <v>-0.98313079999999997</v>
      </c>
      <c r="S3411">
        <v>0.55694580000000005</v>
      </c>
      <c r="T3411">
        <v>-7.0514439999999998E-2</v>
      </c>
      <c r="U3411">
        <v>-3.0166930000000001</v>
      </c>
      <c r="V3411">
        <v>-0.1242994</v>
      </c>
      <c r="W3411">
        <v>0.17666989999999999</v>
      </c>
      <c r="X3411">
        <v>0.97638999999999998</v>
      </c>
      <c r="Y3411">
        <v>-0.2237932</v>
      </c>
      <c r="Z3411">
        <v>9.3479170000000007E-3</v>
      </c>
      <c r="AA3411">
        <v>0.97459189999999996</v>
      </c>
      <c r="AB3411">
        <v>20</v>
      </c>
      <c r="AC3411">
        <v>8.8673000000000002</v>
      </c>
      <c r="AD3411">
        <v>-1.12198709542</v>
      </c>
      <c r="AE3411">
        <v>-47.869199999999999</v>
      </c>
      <c r="AF3411">
        <v>-10.9206805748364</v>
      </c>
      <c r="AG3411">
        <v>-1.12198709542</v>
      </c>
      <c r="AH3411">
        <v>47.4163721524775</v>
      </c>
      <c r="AI3411">
        <v>91.320936054090097</v>
      </c>
      <c r="AJ3411">
        <v>102.96988042356899</v>
      </c>
      <c r="AK3411">
        <v>48.670653040226803</v>
      </c>
      <c r="AL3411">
        <v>79.824149501278697</v>
      </c>
      <c r="AM3411">
        <v>97.255018324469603</v>
      </c>
      <c r="AN3411">
        <v>1.0000000132531801</v>
      </c>
    </row>
    <row r="3412" spans="1:40" x14ac:dyDescent="0.25">
      <c r="A3412" t="str">
        <f>"20190303170320388"</f>
        <v>20190303170320388</v>
      </c>
      <c r="B3412" t="str">
        <f>"1551603800378652"</f>
        <v>1551603800378652</v>
      </c>
      <c r="C3412" t="s">
        <v>40</v>
      </c>
      <c r="D3412">
        <v>4.3621790000000003</v>
      </c>
      <c r="E3412">
        <v>0.46449319999999999</v>
      </c>
      <c r="F3412" t="s">
        <v>42</v>
      </c>
      <c r="G3412">
        <v>-485.06740000000002</v>
      </c>
      <c r="H3412" s="1">
        <v>-5.0272969999999901E-6</v>
      </c>
      <c r="I3412">
        <v>199.31200000000001</v>
      </c>
      <c r="J3412">
        <v>-493.9248</v>
      </c>
      <c r="K3412">
        <v>1.1219840000000001</v>
      </c>
      <c r="L3412">
        <v>247.22059999999999</v>
      </c>
      <c r="M3412">
        <v>-4.2993080000000003E-2</v>
      </c>
      <c r="N3412">
        <v>-1.344854E-2</v>
      </c>
      <c r="O3412">
        <v>-0.99898489999999995</v>
      </c>
      <c r="P3412">
        <v>8.2362530000000003E-2</v>
      </c>
      <c r="Q3412">
        <v>0.16373879999999999</v>
      </c>
      <c r="R3412">
        <v>-0.98305960000000003</v>
      </c>
      <c r="S3412">
        <v>0.55615230000000004</v>
      </c>
      <c r="T3412">
        <v>-7.0486309999999996E-2</v>
      </c>
      <c r="U3412">
        <v>-3.0168759999999999</v>
      </c>
      <c r="V3412">
        <v>-0.124621</v>
      </c>
      <c r="W3412">
        <v>0.17683840000000001</v>
      </c>
      <c r="X3412">
        <v>0.97631849999999998</v>
      </c>
      <c r="Y3412">
        <v>-0.22334689999999999</v>
      </c>
      <c r="Z3412">
        <v>9.3379099999999996E-3</v>
      </c>
      <c r="AA3412">
        <v>0.97469430000000001</v>
      </c>
      <c r="AB3412">
        <v>20</v>
      </c>
      <c r="AC3412">
        <v>8.8573999999999806</v>
      </c>
      <c r="AD3412">
        <v>-1.1219890272969999</v>
      </c>
      <c r="AE3412">
        <v>-47.9085999999999</v>
      </c>
      <c r="AF3412">
        <v>-10.9033506894877</v>
      </c>
      <c r="AG3412">
        <v>-1.1219890272969999</v>
      </c>
      <c r="AH3412">
        <v>47.4582839466321</v>
      </c>
      <c r="AI3412">
        <v>91.319936066293593</v>
      </c>
      <c r="AJ3412">
        <v>102.938941554154</v>
      </c>
      <c r="AK3412">
        <v>48.707603418711599</v>
      </c>
      <c r="AL3412">
        <v>79.814340725172599</v>
      </c>
      <c r="AM3412">
        <v>97.274115445393903</v>
      </c>
      <c r="AN3412">
        <v>1.0000000133989</v>
      </c>
    </row>
    <row r="3413" spans="1:40" x14ac:dyDescent="0.25">
      <c r="A3413" t="str">
        <f>"20190303170320406"</f>
        <v>20190303170320406</v>
      </c>
      <c r="B3413" t="str">
        <f>"1551603800399149"</f>
        <v>1551603800399149</v>
      </c>
      <c r="C3413" t="s">
        <v>40</v>
      </c>
      <c r="D3413">
        <v>4.3453980000000003</v>
      </c>
      <c r="E3413">
        <v>0.46396349999999997</v>
      </c>
      <c r="F3413" t="s">
        <v>42</v>
      </c>
      <c r="G3413">
        <v>-485.03870000000001</v>
      </c>
      <c r="H3413" s="1">
        <v>-4.9967519999999997E-6</v>
      </c>
      <c r="I3413">
        <v>199.22890000000001</v>
      </c>
      <c r="J3413">
        <v>-493.93119999999999</v>
      </c>
      <c r="K3413">
        <v>1.1219779999999999</v>
      </c>
      <c r="L3413">
        <v>247.06450000000001</v>
      </c>
      <c r="M3413">
        <v>-4.2728519999999999E-2</v>
      </c>
      <c r="N3413">
        <v>-1.3450729999999999E-2</v>
      </c>
      <c r="O3413">
        <v>-0.99899610000000005</v>
      </c>
      <c r="P3413">
        <v>8.3138989999999996E-2</v>
      </c>
      <c r="Q3413">
        <v>0.1629767</v>
      </c>
      <c r="R3413">
        <v>-0.98312069999999996</v>
      </c>
      <c r="S3413">
        <v>0.55856319999999904</v>
      </c>
      <c r="T3413">
        <v>-7.0525879999999999E-2</v>
      </c>
      <c r="U3413">
        <v>-3.0166629999999999</v>
      </c>
      <c r="V3413">
        <v>-0.12513969999999999</v>
      </c>
      <c r="W3413">
        <v>0.1760795</v>
      </c>
      <c r="X3413">
        <v>0.97638930000000002</v>
      </c>
      <c r="Y3413">
        <v>-0.2238541</v>
      </c>
      <c r="Z3413">
        <v>9.3476150000000001E-3</v>
      </c>
      <c r="AA3413">
        <v>0.97457780000000005</v>
      </c>
      <c r="AB3413">
        <v>20</v>
      </c>
      <c r="AC3413">
        <v>8.8924999999999805</v>
      </c>
      <c r="AD3413">
        <v>-1.1219829967520001</v>
      </c>
      <c r="AE3413">
        <v>-47.835599999999999</v>
      </c>
      <c r="AF3413">
        <v>-10.9226983944561</v>
      </c>
      <c r="AG3413">
        <v>-1.1219829967520001</v>
      </c>
      <c r="AH3413">
        <v>47.386708669109403</v>
      </c>
      <c r="AI3413">
        <v>91.321703835563</v>
      </c>
      <c r="AJ3413">
        <v>102.980041332919</v>
      </c>
      <c r="AK3413">
        <v>48.642207439139803</v>
      </c>
      <c r="AL3413">
        <v>79.8585155489436</v>
      </c>
      <c r="AM3413">
        <v>97.3035417113162</v>
      </c>
      <c r="AN3413">
        <v>0.999999999995414</v>
      </c>
    </row>
    <row r="3414" spans="1:40" x14ac:dyDescent="0.25">
      <c r="A3414" t="str">
        <f>"20190303170320418"</f>
        <v>20190303170320418</v>
      </c>
      <c r="B3414" t="str">
        <f>"1551603800408909"</f>
        <v>1551603800408909</v>
      </c>
      <c r="C3414" t="s">
        <v>40</v>
      </c>
      <c r="D3414">
        <v>4.3693689999999998</v>
      </c>
      <c r="E3414">
        <v>0.46407599999999999</v>
      </c>
      <c r="F3414" t="s">
        <v>57</v>
      </c>
      <c r="G3414">
        <v>-485.12470000000002</v>
      </c>
      <c r="H3414" s="1">
        <v>5.9019279999999997E-8</v>
      </c>
      <c r="I3414">
        <v>200.06209999999999</v>
      </c>
      <c r="J3414">
        <v>-493.93540000000002</v>
      </c>
      <c r="K3414">
        <v>1.1219760000000001</v>
      </c>
      <c r="L3414">
        <v>246.96090000000001</v>
      </c>
      <c r="M3414">
        <v>-4.2553279999999999E-2</v>
      </c>
      <c r="N3414">
        <v>-1.3451970000000001E-2</v>
      </c>
      <c r="O3414">
        <v>-0.9990038</v>
      </c>
      <c r="P3414">
        <v>8.368138E-2</v>
      </c>
      <c r="Q3414">
        <v>0.16263320000000001</v>
      </c>
      <c r="R3414">
        <v>-0.9831318</v>
      </c>
      <c r="S3414">
        <v>0.56503300000000001</v>
      </c>
      <c r="T3414">
        <v>-7.1986679999999997E-2</v>
      </c>
      <c r="U3414">
        <v>-3.015701</v>
      </c>
      <c r="V3414">
        <v>-0.1255096</v>
      </c>
      <c r="W3414">
        <v>0.1757377</v>
      </c>
      <c r="X3414">
        <v>0.97640340000000003</v>
      </c>
      <c r="Y3414">
        <v>-0.22575700000000001</v>
      </c>
      <c r="Z3414">
        <v>9.8169360000000001E-3</v>
      </c>
      <c r="AA3414">
        <v>0.97413419999999895</v>
      </c>
      <c r="AB3414">
        <v>20</v>
      </c>
      <c r="AC3414">
        <v>8.81069999999999</v>
      </c>
      <c r="AD3414">
        <v>-1.12197594098072</v>
      </c>
      <c r="AE3414">
        <v>-46.898800000000001</v>
      </c>
      <c r="AF3414">
        <v>-10.792629515400399</v>
      </c>
      <c r="AG3414">
        <v>-1.12197594098072</v>
      </c>
      <c r="AH3414">
        <v>46.4556718842029</v>
      </c>
      <c r="AI3414">
        <v>91.347635920209001</v>
      </c>
      <c r="AJ3414">
        <v>103.07900402754601</v>
      </c>
      <c r="AK3414">
        <v>47.706070180654699</v>
      </c>
      <c r="AL3414">
        <v>79.878409454144204</v>
      </c>
      <c r="AM3414">
        <v>97.324791475544899</v>
      </c>
      <c r="AN3414">
        <v>0.99999999921250404</v>
      </c>
    </row>
    <row r="3415" spans="1:40" x14ac:dyDescent="0.25">
      <c r="A3415" t="str">
        <f>"20190303170320430"</f>
        <v>20190303170320430</v>
      </c>
      <c r="B3415" t="str">
        <f>"1551603800418669"</f>
        <v>1551603800418669</v>
      </c>
      <c r="C3415" t="s">
        <v>40</v>
      </c>
      <c r="D3415">
        <v>4.3670669999999996</v>
      </c>
      <c r="E3415">
        <v>0.46414420000000001</v>
      </c>
      <c r="F3415" t="s">
        <v>57</v>
      </c>
      <c r="G3415">
        <v>-485.57159999999999</v>
      </c>
      <c r="H3415" s="1">
        <v>4.586634E-7</v>
      </c>
      <c r="I3415">
        <v>202.3526</v>
      </c>
      <c r="J3415">
        <v>-493.93979999999999</v>
      </c>
      <c r="K3415">
        <v>1.121977</v>
      </c>
      <c r="L3415">
        <v>246.85210000000001</v>
      </c>
      <c r="M3415">
        <v>-4.2369440000000001E-2</v>
      </c>
      <c r="N3415">
        <v>-1.3453059999999999E-2</v>
      </c>
      <c r="O3415">
        <v>-0.9990116</v>
      </c>
      <c r="P3415">
        <v>8.4529610000000005E-2</v>
      </c>
      <c r="Q3415">
        <v>0.1622825</v>
      </c>
      <c r="R3415">
        <v>-0.98311720000000002</v>
      </c>
      <c r="S3415">
        <v>0.56546019999999997</v>
      </c>
      <c r="T3415">
        <v>-7.5855140000000001E-2</v>
      </c>
      <c r="U3415">
        <v>-3.0158999999999998</v>
      </c>
      <c r="V3415">
        <v>-0.12617690000000001</v>
      </c>
      <c r="W3415">
        <v>0.1753866</v>
      </c>
      <c r="X3415">
        <v>0.97638049999999998</v>
      </c>
      <c r="Y3415">
        <v>-0.22569510000000001</v>
      </c>
      <c r="Z3415">
        <v>1.106737E-2</v>
      </c>
      <c r="AA3415">
        <v>0.97413510000000003</v>
      </c>
      <c r="AB3415">
        <v>20</v>
      </c>
      <c r="AC3415">
        <v>8.3681999999999999</v>
      </c>
      <c r="AD3415">
        <v>-1.1219765413366001</v>
      </c>
      <c r="AE3415">
        <v>-44.499499999999998</v>
      </c>
      <c r="AF3415">
        <v>-10.239986026179601</v>
      </c>
      <c r="AG3415">
        <v>-1.1219765413366001</v>
      </c>
      <c r="AH3415">
        <v>44.077881208207401</v>
      </c>
      <c r="AI3415">
        <v>91.4203078217529</v>
      </c>
      <c r="AJ3415">
        <v>103.078717021584</v>
      </c>
      <c r="AK3415">
        <v>45.265613405547803</v>
      </c>
      <c r="AL3415">
        <v>79.898843129539301</v>
      </c>
      <c r="AM3415">
        <v>97.363479909707706</v>
      </c>
      <c r="AN3415">
        <v>0.99999997516670902</v>
      </c>
    </row>
    <row r="3416" spans="1:40" x14ac:dyDescent="0.25">
      <c r="A3416" t="str">
        <f>"20190303170320443"</f>
        <v>20190303170320443</v>
      </c>
      <c r="B3416" t="str">
        <f>"1551603800428428"</f>
        <v>1551603800428428</v>
      </c>
      <c r="C3416" t="s">
        <v>40</v>
      </c>
      <c r="D3416">
        <v>4.3690619999999996</v>
      </c>
      <c r="E3416">
        <v>0.46401910000000002</v>
      </c>
      <c r="F3416" t="s">
        <v>57</v>
      </c>
      <c r="G3416">
        <v>-485.91820000000001</v>
      </c>
      <c r="H3416" s="1">
        <v>1.0833690000000001E-6</v>
      </c>
      <c r="I3416">
        <v>204.27</v>
      </c>
      <c r="J3416">
        <v>-493.94389999999999</v>
      </c>
      <c r="K3416">
        <v>1.1219760000000001</v>
      </c>
      <c r="L3416">
        <v>246.75</v>
      </c>
      <c r="M3416">
        <v>-4.2196339999999999E-2</v>
      </c>
      <c r="N3416">
        <v>-1.345388E-2</v>
      </c>
      <c r="O3416">
        <v>-0.99901879999999998</v>
      </c>
      <c r="P3416">
        <v>8.5662000000000002E-2</v>
      </c>
      <c r="Q3416">
        <v>0.162103</v>
      </c>
      <c r="R3416">
        <v>-0.9830487</v>
      </c>
      <c r="S3416">
        <v>0.56811519999999904</v>
      </c>
      <c r="T3416">
        <v>-7.9462050000000006E-2</v>
      </c>
      <c r="U3416">
        <v>-3.0158079999999998</v>
      </c>
      <c r="V3416">
        <v>-0.12713540000000001</v>
      </c>
      <c r="W3416">
        <v>0.17520629999999901</v>
      </c>
      <c r="X3416">
        <v>0.97628859999999995</v>
      </c>
      <c r="Y3416">
        <v>-0.22635549999999999</v>
      </c>
      <c r="Z3416">
        <v>1.22314E-2</v>
      </c>
      <c r="AA3416">
        <v>0.97396799999999994</v>
      </c>
      <c r="AB3416">
        <v>20</v>
      </c>
      <c r="AC3416">
        <v>8.0256999999999703</v>
      </c>
      <c r="AD3416">
        <v>-1.121974916631</v>
      </c>
      <c r="AE3416">
        <v>-42.479999999999897</v>
      </c>
      <c r="AF3416">
        <v>-9.8046093681928799</v>
      </c>
      <c r="AG3416">
        <v>-1.121974916631</v>
      </c>
      <c r="AH3416">
        <v>42.075132579042197</v>
      </c>
      <c r="AI3416">
        <v>91.4876484830951</v>
      </c>
      <c r="AJ3416">
        <v>103.11733377500499</v>
      </c>
      <c r="AK3416">
        <v>43.216963962319099</v>
      </c>
      <c r="AL3416">
        <v>79.909336735954398</v>
      </c>
      <c r="AM3416">
        <v>97.419486176749302</v>
      </c>
      <c r="AN3416">
        <v>1.0000000439914001</v>
      </c>
    </row>
    <row r="3417" spans="1:40" x14ac:dyDescent="0.25">
      <c r="A3417" t="str">
        <f>"20190303170320454"</f>
        <v>20190303170320454</v>
      </c>
      <c r="B3417" t="str">
        <f>"1551603800439165"</f>
        <v>1551603800439165</v>
      </c>
      <c r="C3417" t="s">
        <v>40</v>
      </c>
      <c r="D3417">
        <v>4.3851120000000003</v>
      </c>
      <c r="E3417">
        <v>0.46398030000000001</v>
      </c>
      <c r="F3417" t="s">
        <v>57</v>
      </c>
      <c r="G3417">
        <v>-485.94130000000001</v>
      </c>
      <c r="H3417" s="1">
        <v>1.178429E-6</v>
      </c>
      <c r="I3417">
        <v>204.5702</v>
      </c>
      <c r="J3417">
        <v>-493.94819999999999</v>
      </c>
      <c r="K3417">
        <v>1.12198</v>
      </c>
      <c r="L3417">
        <v>246.6429</v>
      </c>
      <c r="M3417">
        <v>-4.2014570000000001E-2</v>
      </c>
      <c r="N3417">
        <v>-1.345463E-2</v>
      </c>
      <c r="O3417">
        <v>-0.99902639999999998</v>
      </c>
      <c r="P3417">
        <v>8.6549940000000006E-2</v>
      </c>
      <c r="Q3417">
        <v>0.1620394</v>
      </c>
      <c r="R3417">
        <v>-0.98298140000000001</v>
      </c>
      <c r="S3417">
        <v>0.572052</v>
      </c>
      <c r="T3417">
        <v>-8.0202220000000005E-2</v>
      </c>
      <c r="U3417">
        <v>-3.0151370000000002</v>
      </c>
      <c r="V3417">
        <v>-0.12784219999999999</v>
      </c>
      <c r="W3417">
        <v>0.17514199999999999</v>
      </c>
      <c r="X3417">
        <v>0.97620779999999996</v>
      </c>
      <c r="Y3417">
        <v>-0.22744410000000001</v>
      </c>
      <c r="Z3417">
        <v>1.2469650000000001E-2</v>
      </c>
      <c r="AA3417">
        <v>0.97371129999999995</v>
      </c>
      <c r="AB3417">
        <v>20</v>
      </c>
      <c r="AC3417">
        <v>8.0068999999999697</v>
      </c>
      <c r="AD3417">
        <v>-1.121978821571</v>
      </c>
      <c r="AE3417">
        <v>-42.072699999999998</v>
      </c>
      <c r="AF3417">
        <v>-9.7609560360369798</v>
      </c>
      <c r="AG3417">
        <v>-1.121978821571</v>
      </c>
      <c r="AH3417">
        <v>41.670507396464899</v>
      </c>
      <c r="AI3417">
        <v>91.501688227736096</v>
      </c>
      <c r="AJ3417">
        <v>103.183351823047</v>
      </c>
      <c r="AK3417">
        <v>42.813155523651098</v>
      </c>
      <c r="AL3417">
        <v>79.913078353385103</v>
      </c>
      <c r="AM3417">
        <v>97.460881429871407</v>
      </c>
      <c r="AN3417">
        <v>1.00000000852284</v>
      </c>
    </row>
    <row r="3418" spans="1:40" x14ac:dyDescent="0.25">
      <c r="A3418" t="str">
        <f>"20190303170320466"</f>
        <v>20190303170320466</v>
      </c>
      <c r="B3418" t="str">
        <f>"1551603800458684"</f>
        <v>1551603800458684</v>
      </c>
      <c r="C3418" t="s">
        <v>40</v>
      </c>
      <c r="D3418">
        <v>4.3770429999999996</v>
      </c>
      <c r="E3418">
        <v>0.4640456</v>
      </c>
      <c r="F3418" t="s">
        <v>57</v>
      </c>
      <c r="G3418">
        <v>-486.00650000000002</v>
      </c>
      <c r="H3418" s="1">
        <v>1.2401420000000001E-6</v>
      </c>
      <c r="I3418">
        <v>204.93090000000001</v>
      </c>
      <c r="J3418">
        <v>-493.95240000000001</v>
      </c>
      <c r="K3418">
        <v>1.121985</v>
      </c>
      <c r="L3418">
        <v>246.5386</v>
      </c>
      <c r="M3418">
        <v>-4.1832960000000002E-2</v>
      </c>
      <c r="N3418">
        <v>-1.3455180000000001E-2</v>
      </c>
      <c r="O3418">
        <v>-0.99903430000000004</v>
      </c>
      <c r="P3418">
        <v>8.7800119999999995E-2</v>
      </c>
      <c r="Q3418">
        <v>0.16232289999999999</v>
      </c>
      <c r="R3418">
        <v>-0.98282400000000003</v>
      </c>
      <c r="S3418">
        <v>0.57400509999999905</v>
      </c>
      <c r="T3418">
        <v>-8.1092949999999997E-2</v>
      </c>
      <c r="U3418">
        <v>-3.0148009999999998</v>
      </c>
      <c r="V3418">
        <v>-0.1289081</v>
      </c>
      <c r="W3418">
        <v>0.1754223</v>
      </c>
      <c r="X3418">
        <v>0.97601729999999998</v>
      </c>
      <c r="Y3418">
        <v>-0.2278945</v>
      </c>
      <c r="Z3418">
        <v>1.275771E-2</v>
      </c>
      <c r="AA3418">
        <v>0.97360219999999997</v>
      </c>
      <c r="AB3418">
        <v>20</v>
      </c>
      <c r="AC3418">
        <v>7.9458999999999902</v>
      </c>
      <c r="AD3418">
        <v>-1.121983759858</v>
      </c>
      <c r="AE3418">
        <v>-41.607700000000001</v>
      </c>
      <c r="AF3418">
        <v>-9.6728872089564408</v>
      </c>
      <c r="AG3418">
        <v>-1.121983759858</v>
      </c>
      <c r="AH3418">
        <v>41.209928792074599</v>
      </c>
      <c r="AI3418">
        <v>91.518308343565707</v>
      </c>
      <c r="AJ3418">
        <v>103.20946920869299</v>
      </c>
      <c r="AK3418">
        <v>42.344796912518497</v>
      </c>
      <c r="AL3418">
        <v>79.896765975234999</v>
      </c>
      <c r="AM3418">
        <v>97.523829365372805</v>
      </c>
      <c r="AN3418">
        <v>1.0000000257410899</v>
      </c>
    </row>
    <row r="3419" spans="1:40" x14ac:dyDescent="0.25">
      <c r="A3419" t="str">
        <f>"20190303170320484"</f>
        <v>20190303170320484</v>
      </c>
      <c r="B3419" t="str">
        <f>"1551603800479181"</f>
        <v>1551603800479181</v>
      </c>
      <c r="C3419" t="s">
        <v>40</v>
      </c>
      <c r="D3419">
        <v>4.3995680000000004</v>
      </c>
      <c r="E3419">
        <v>0.46406140000000001</v>
      </c>
      <c r="F3419" t="s">
        <v>57</v>
      </c>
      <c r="G3419">
        <v>-485.90300000000002</v>
      </c>
      <c r="H3419" s="1">
        <v>1.142979E-6</v>
      </c>
      <c r="I3419">
        <v>204.46680000000001</v>
      </c>
      <c r="J3419">
        <v>-493.95839999999998</v>
      </c>
      <c r="K3419">
        <v>1.121996</v>
      </c>
      <c r="L3419">
        <v>246.3888</v>
      </c>
      <c r="M3419">
        <v>-4.1562809999999999E-2</v>
      </c>
      <c r="N3419">
        <v>-1.345584E-2</v>
      </c>
      <c r="O3419">
        <v>-0.99904550000000003</v>
      </c>
      <c r="P3419">
        <v>8.9797979999999999E-2</v>
      </c>
      <c r="Q3419">
        <v>0.16247899999999901</v>
      </c>
      <c r="R3419">
        <v>-0.98261770000000004</v>
      </c>
      <c r="S3419">
        <v>0.576690699999999</v>
      </c>
      <c r="T3419">
        <v>-8.0383780000000002E-2</v>
      </c>
      <c r="U3419">
        <v>-3.0142060000000002</v>
      </c>
      <c r="V3419">
        <v>-0.13063419999999901</v>
      </c>
      <c r="W3419">
        <v>0.17557300000000001</v>
      </c>
      <c r="X3419">
        <v>0.97576059999999998</v>
      </c>
      <c r="Y3419">
        <v>-0.22850419999999999</v>
      </c>
      <c r="Z3419">
        <v>1.2529E-2</v>
      </c>
      <c r="AA3419">
        <v>0.9734623</v>
      </c>
      <c r="AB3419">
        <v>20</v>
      </c>
      <c r="AC3419">
        <v>8.0553999999999597</v>
      </c>
      <c r="AD3419">
        <v>-1.1219948570209901</v>
      </c>
      <c r="AE3419">
        <v>-41.921999999999997</v>
      </c>
      <c r="AF3419">
        <v>-9.7842325798661491</v>
      </c>
      <c r="AG3419">
        <v>-1.1219948570209901</v>
      </c>
      <c r="AH3419">
        <v>41.522249548236303</v>
      </c>
      <c r="AI3419">
        <v>91.506600704472007</v>
      </c>
      <c r="AJ3419">
        <v>103.25920454634399</v>
      </c>
      <c r="AK3419">
        <v>42.674199315067497</v>
      </c>
      <c r="AL3419">
        <v>79.887994714142494</v>
      </c>
      <c r="AM3419">
        <v>97.625379459493004</v>
      </c>
      <c r="AN3419">
        <v>0.999999960525499</v>
      </c>
    </row>
    <row r="3420" spans="1:40" x14ac:dyDescent="0.25">
      <c r="A3420" t="str">
        <f>"20190303170320496"</f>
        <v>20190303170320496</v>
      </c>
      <c r="B3420" t="str">
        <f>"1551603800488940"</f>
        <v>1551603800488940</v>
      </c>
      <c r="C3420" t="s">
        <v>40</v>
      </c>
      <c r="D3420">
        <v>4.4258519999999999</v>
      </c>
      <c r="E3420">
        <v>0.46413100000000002</v>
      </c>
      <c r="F3420" t="s">
        <v>57</v>
      </c>
      <c r="G3420">
        <v>-485.87139999999999</v>
      </c>
      <c r="H3420" s="1">
        <v>1.161422E-6</v>
      </c>
      <c r="I3420">
        <v>204.53530000000001</v>
      </c>
      <c r="J3420">
        <v>-493.96269999999998</v>
      </c>
      <c r="K3420">
        <v>1.122001</v>
      </c>
      <c r="L3420">
        <v>246.27940000000001</v>
      </c>
      <c r="M3420">
        <v>-4.1357070000000003E-2</v>
      </c>
      <c r="N3420">
        <v>-1.345623E-2</v>
      </c>
      <c r="O3420">
        <v>-0.99905409999999994</v>
      </c>
      <c r="P3420">
        <v>9.0818869999999996E-2</v>
      </c>
      <c r="Q3420">
        <v>0.16274420000000001</v>
      </c>
      <c r="R3420">
        <v>-0.98247980000000001</v>
      </c>
      <c r="S3420">
        <v>0.58221440000000002</v>
      </c>
      <c r="T3420">
        <v>-8.0777290000000002E-2</v>
      </c>
      <c r="U3420">
        <v>-3.0132140000000001</v>
      </c>
      <c r="V3420">
        <v>-0.1314505</v>
      </c>
      <c r="W3420">
        <v>0.1758335</v>
      </c>
      <c r="X3420">
        <v>0.97560409999999997</v>
      </c>
      <c r="Y3420">
        <v>-0.2300825</v>
      </c>
      <c r="Z3420">
        <v>1.2655130000000001E-2</v>
      </c>
      <c r="AA3420">
        <v>0.97308890000000003</v>
      </c>
      <c r="AB3420">
        <v>20</v>
      </c>
      <c r="AC3420">
        <v>8.0912999999999897</v>
      </c>
      <c r="AD3420">
        <v>-1.1219998385779999</v>
      </c>
      <c r="AE3420">
        <v>-41.744100000000003</v>
      </c>
      <c r="AF3420">
        <v>-9.8041192574791598</v>
      </c>
      <c r="AG3420">
        <v>-1.1219998385779999</v>
      </c>
      <c r="AH3420">
        <v>41.344928660476597</v>
      </c>
      <c r="AI3420">
        <v>91.512561016441495</v>
      </c>
      <c r="AJ3420">
        <v>103.340144447784</v>
      </c>
      <c r="AK3420">
        <v>42.506267349563203</v>
      </c>
      <c r="AL3420">
        <v>79.872833773092296</v>
      </c>
      <c r="AM3420">
        <v>97.673678770282294</v>
      </c>
      <c r="AN3420">
        <v>1.00000000680465</v>
      </c>
    </row>
    <row r="3421" spans="1:40" x14ac:dyDescent="0.25">
      <c r="A3421" t="str">
        <f>"20190303170320509"</f>
        <v>20190303170320509</v>
      </c>
      <c r="B3421" t="str">
        <f>"1551603800498701"</f>
        <v>1551603800498701</v>
      </c>
      <c r="C3421" t="s">
        <v>40</v>
      </c>
      <c r="D3421">
        <v>4.3933330000000002</v>
      </c>
      <c r="E3421">
        <v>0.46415729999999999</v>
      </c>
      <c r="F3421" t="s">
        <v>57</v>
      </c>
      <c r="G3421">
        <v>-485.91849999999999</v>
      </c>
      <c r="H3421" s="1">
        <v>1.2150480000000001E-6</v>
      </c>
      <c r="I3421">
        <v>204.80029999999999</v>
      </c>
      <c r="J3421">
        <v>-493.96699999999998</v>
      </c>
      <c r="K3421">
        <v>1.1220129999999999</v>
      </c>
      <c r="L3421">
        <v>246.16800000000001</v>
      </c>
      <c r="M3421">
        <v>-4.1130029999999998E-2</v>
      </c>
      <c r="N3421">
        <v>-1.3456539999999999E-2</v>
      </c>
      <c r="O3421">
        <v>-0.99906309999999998</v>
      </c>
      <c r="P3421">
        <v>9.1284920000000006E-2</v>
      </c>
      <c r="Q3421">
        <v>0.1629592</v>
      </c>
      <c r="R3421">
        <v>-0.98240070000000002</v>
      </c>
      <c r="S3421">
        <v>0.58432010000000001</v>
      </c>
      <c r="T3421">
        <v>-8.1501009999999999E-2</v>
      </c>
      <c r="U3421">
        <v>-3.0129999999999999</v>
      </c>
      <c r="V3421">
        <v>-0.13169629999999999</v>
      </c>
      <c r="W3421">
        <v>0.17604330000000001</v>
      </c>
      <c r="X3421">
        <v>0.97553310000000004</v>
      </c>
      <c r="Y3421">
        <v>-0.2305286</v>
      </c>
      <c r="Z3421">
        <v>1.288828E-2</v>
      </c>
      <c r="AA3421">
        <v>0.97298019999999996</v>
      </c>
      <c r="AB3421">
        <v>20</v>
      </c>
      <c r="AC3421">
        <v>8.04849999999999</v>
      </c>
      <c r="AD3421">
        <v>-1.1220117849519999</v>
      </c>
      <c r="AE3421">
        <v>-41.367699999999999</v>
      </c>
      <c r="AF3421">
        <v>-9.73639574137278</v>
      </c>
      <c r="AG3421">
        <v>-1.1220117849519999</v>
      </c>
      <c r="AH3421">
        <v>40.972581162422799</v>
      </c>
      <c r="AI3421">
        <v>91.5261444084788</v>
      </c>
      <c r="AJ3421">
        <v>103.36737656974</v>
      </c>
      <c r="AK3421">
        <v>42.128478723893103</v>
      </c>
      <c r="AL3421">
        <v>79.860622508638599</v>
      </c>
      <c r="AM3421">
        <v>97.688409209788006</v>
      </c>
      <c r="AN3421">
        <v>0.99999999405209505</v>
      </c>
    </row>
    <row r="3422" spans="1:40" x14ac:dyDescent="0.25">
      <c r="A3422" t="str">
        <f>"20190303170320522"</f>
        <v>20190303170320522</v>
      </c>
      <c r="B3422" t="str">
        <f>"1551603800508461"</f>
        <v>1551603800508461</v>
      </c>
      <c r="C3422" t="s">
        <v>40</v>
      </c>
      <c r="D3422">
        <v>4.4401999999999999</v>
      </c>
      <c r="E3422">
        <v>0.46413379999999999</v>
      </c>
      <c r="F3422" t="s">
        <v>57</v>
      </c>
      <c r="G3422">
        <v>-485.82060000000001</v>
      </c>
      <c r="H3422" s="1">
        <v>1.0654110000000001E-6</v>
      </c>
      <c r="I3422">
        <v>204.24</v>
      </c>
      <c r="J3422">
        <v>-493.97120000000001</v>
      </c>
      <c r="K3422">
        <v>1.1220300000000001</v>
      </c>
      <c r="L3422">
        <v>246.06129999999999</v>
      </c>
      <c r="M3422">
        <v>-4.0898129999999998E-2</v>
      </c>
      <c r="N3422">
        <v>-1.345679E-2</v>
      </c>
      <c r="O3422">
        <v>-0.99907299999999999</v>
      </c>
      <c r="P3422">
        <v>9.1689960000000001E-2</v>
      </c>
      <c r="Q3422">
        <v>0.1630954</v>
      </c>
      <c r="R3422">
        <v>-0.98234080000000001</v>
      </c>
      <c r="S3422">
        <v>0.58535769999999998</v>
      </c>
      <c r="T3422">
        <v>-8.0621360000000003E-2</v>
      </c>
      <c r="U3422">
        <v>-3.0127109999999999</v>
      </c>
      <c r="V3422">
        <v>-0.13187869999999999</v>
      </c>
      <c r="W3422">
        <v>0.17617379999999999</v>
      </c>
      <c r="X3422">
        <v>0.97548489999999999</v>
      </c>
      <c r="Y3422">
        <v>-0.23064419999999999</v>
      </c>
      <c r="Z3422">
        <v>1.2605089999999999E-2</v>
      </c>
      <c r="AA3422">
        <v>0.9729565</v>
      </c>
      <c r="AB3422">
        <v>20</v>
      </c>
      <c r="AC3422">
        <v>8.1505999999999901</v>
      </c>
      <c r="AD3422">
        <v>-1.12202893458899</v>
      </c>
      <c r="AE3422">
        <v>-41.821299999999901</v>
      </c>
      <c r="AF3422">
        <v>-9.8475177875773401</v>
      </c>
      <c r="AG3422">
        <v>-1.12202893458899</v>
      </c>
      <c r="AH3422">
        <v>41.424202180554097</v>
      </c>
      <c r="AI3422">
        <v>91.509505497292196</v>
      </c>
      <c r="AJ3422">
        <v>103.37235469736299</v>
      </c>
      <c r="AK3422">
        <v>42.593392466462802</v>
      </c>
      <c r="AL3422">
        <v>79.853026699360996</v>
      </c>
      <c r="AM3422">
        <v>97.699305915544002</v>
      </c>
      <c r="AN3422">
        <v>0.99999999472406897</v>
      </c>
    </row>
    <row r="3423" spans="1:40" x14ac:dyDescent="0.25">
      <c r="A3423" t="str">
        <f>"20190303170320533"</f>
        <v>20190303170320533</v>
      </c>
      <c r="B3423" t="str">
        <f>"1551603800519197"</f>
        <v>1551603800519197</v>
      </c>
      <c r="C3423" t="s">
        <v>40</v>
      </c>
      <c r="D3423">
        <v>4.4306910000000004</v>
      </c>
      <c r="E3423">
        <v>0.46418359999999897</v>
      </c>
      <c r="F3423" t="s">
        <v>57</v>
      </c>
      <c r="G3423">
        <v>-485.75479999999999</v>
      </c>
      <c r="H3423" s="1">
        <v>9.5226700000000001E-7</v>
      </c>
      <c r="I3423">
        <v>203.89359999999999</v>
      </c>
      <c r="J3423">
        <v>-493.9753</v>
      </c>
      <c r="K3423">
        <v>1.12205</v>
      </c>
      <c r="L3423">
        <v>245.9554</v>
      </c>
      <c r="M3423">
        <v>-4.0655030000000002E-2</v>
      </c>
      <c r="N3423">
        <v>-1.345701E-2</v>
      </c>
      <c r="O3423">
        <v>-0.99908280000000005</v>
      </c>
      <c r="P3423">
        <v>9.1830780000000001E-2</v>
      </c>
      <c r="Q3423">
        <v>0.1634941</v>
      </c>
      <c r="R3423">
        <v>-0.98226139999999995</v>
      </c>
      <c r="S3423">
        <v>0.58697509999999997</v>
      </c>
      <c r="T3423">
        <v>-8.0157399999999907E-2</v>
      </c>
      <c r="U3423">
        <v>-3.012451</v>
      </c>
      <c r="V3423">
        <v>-0.1317875</v>
      </c>
      <c r="W3423">
        <v>0.17656529999999901</v>
      </c>
      <c r="X3423">
        <v>0.97542640000000003</v>
      </c>
      <c r="Y3423">
        <v>-0.23092699999999999</v>
      </c>
      <c r="Z3423">
        <v>1.2455219999999999E-2</v>
      </c>
      <c r="AA3423">
        <v>0.97289130000000001</v>
      </c>
      <c r="AB3423">
        <v>20</v>
      </c>
      <c r="AC3423">
        <v>8.2205000000000101</v>
      </c>
      <c r="AD3423">
        <v>-1.1220490477330001</v>
      </c>
      <c r="AE3423">
        <v>-42.061799999999998</v>
      </c>
      <c r="AF3423">
        <v>-9.9170831457932795</v>
      </c>
      <c r="AG3423">
        <v>-1.1220490477330001</v>
      </c>
      <c r="AH3423">
        <v>41.664225658993402</v>
      </c>
      <c r="AI3423">
        <v>91.500738892378493</v>
      </c>
      <c r="AJ3423">
        <v>103.38863176495801</v>
      </c>
      <c r="AK3423">
        <v>42.842913439093103</v>
      </c>
      <c r="AL3423">
        <v>79.830237771615899</v>
      </c>
      <c r="AM3423">
        <v>97.694501216011304</v>
      </c>
      <c r="AN3423">
        <v>0.999999956068649</v>
      </c>
    </row>
    <row r="3424" spans="1:40" x14ac:dyDescent="0.25">
      <c r="A3424" t="str">
        <f>"20190303170320551"</f>
        <v>20190303170320551</v>
      </c>
      <c r="B3424" t="str">
        <f>"1551603800538717"</f>
        <v>1551603800538717</v>
      </c>
      <c r="C3424" t="s">
        <v>40</v>
      </c>
      <c r="D3424">
        <v>4.4598979999999999</v>
      </c>
      <c r="E3424">
        <v>0.46403420000000001</v>
      </c>
      <c r="F3424" t="s">
        <v>57</v>
      </c>
      <c r="G3424">
        <v>-485.62979999999999</v>
      </c>
      <c r="H3424" s="1">
        <v>7.1086690000000004E-7</v>
      </c>
      <c r="I3424">
        <v>203.15010000000001</v>
      </c>
      <c r="J3424">
        <v>-493.98090000000002</v>
      </c>
      <c r="K3424">
        <v>1.1221030000000001</v>
      </c>
      <c r="L3424">
        <v>245.8058</v>
      </c>
      <c r="M3424">
        <v>-4.0252660000000003E-2</v>
      </c>
      <c r="N3424">
        <v>-1.3457220000000001E-2</v>
      </c>
      <c r="O3424">
        <v>-0.99909910000000002</v>
      </c>
      <c r="P3424">
        <v>9.1401839999999998E-2</v>
      </c>
      <c r="Q3424">
        <v>0.1638396</v>
      </c>
      <c r="R3424">
        <v>-0.9822438</v>
      </c>
      <c r="S3424">
        <v>0.58731080000000002</v>
      </c>
      <c r="T3424">
        <v>-7.896388E-2</v>
      </c>
      <c r="U3424">
        <v>-3.0124050000000002</v>
      </c>
      <c r="V3424">
        <v>-0.13098270000000001</v>
      </c>
      <c r="W3424">
        <v>0.1768989</v>
      </c>
      <c r="X3424">
        <v>0.97547439999999996</v>
      </c>
      <c r="Y3424">
        <v>-0.23064399999999999</v>
      </c>
      <c r="Z3424">
        <v>1.20707E-2</v>
      </c>
      <c r="AA3424">
        <v>0.97296329999999998</v>
      </c>
      <c r="AB3424">
        <v>20</v>
      </c>
      <c r="AC3424">
        <v>8.3511000000000202</v>
      </c>
      <c r="AD3424">
        <v>-1.1221022891331001</v>
      </c>
      <c r="AE3424">
        <v>-42.655700000000003</v>
      </c>
      <c r="AF3424">
        <v>-10.0547899011395</v>
      </c>
      <c r="AG3424">
        <v>-1.1221022891331001</v>
      </c>
      <c r="AH3424">
        <v>42.256775810148298</v>
      </c>
      <c r="AI3424">
        <v>91.479800511739299</v>
      </c>
      <c r="AJ3424">
        <v>103.384353044447</v>
      </c>
      <c r="AK3424">
        <v>43.451041591341301</v>
      </c>
      <c r="AL3424">
        <v>79.810818634551396</v>
      </c>
      <c r="AM3424">
        <v>97.647698401341302</v>
      </c>
      <c r="AN3424">
        <v>0.99999999678792995</v>
      </c>
    </row>
    <row r="3425" spans="1:40" x14ac:dyDescent="0.25">
      <c r="A3425" t="str">
        <f>"20190303170320565"</f>
        <v>20190303170320565</v>
      </c>
      <c r="B3425" t="str">
        <f>"1551603800548477"</f>
        <v>1551603800548477</v>
      </c>
      <c r="C3425" t="s">
        <v>40</v>
      </c>
      <c r="D3425">
        <v>4.4511190000000003</v>
      </c>
      <c r="E3425">
        <v>0.46399829999999997</v>
      </c>
      <c r="F3425" t="s">
        <v>57</v>
      </c>
      <c r="G3425">
        <v>-485.44470000000001</v>
      </c>
      <c r="H3425" s="1">
        <v>3.7630829999999898E-7</v>
      </c>
      <c r="I3425">
        <v>202.12309999999999</v>
      </c>
      <c r="J3425">
        <v>-493.98540000000003</v>
      </c>
      <c r="K3425">
        <v>1.122152</v>
      </c>
      <c r="L3425">
        <v>245.68539999999999</v>
      </c>
      <c r="M3425">
        <v>-3.9870610000000001E-2</v>
      </c>
      <c r="N3425">
        <v>-1.3457469999999999E-2</v>
      </c>
      <c r="O3425">
        <v>-0.99911450000000002</v>
      </c>
      <c r="P3425">
        <v>9.1579820000000006E-2</v>
      </c>
      <c r="Q3425">
        <v>0.1630471</v>
      </c>
      <c r="R3425">
        <v>-0.98235910000000004</v>
      </c>
      <c r="S3425">
        <v>0.5886536</v>
      </c>
      <c r="T3425">
        <v>-7.7379580000000003E-2</v>
      </c>
      <c r="U3425">
        <v>-3.0123289999999998</v>
      </c>
      <c r="V3425">
        <v>-0.1308107</v>
      </c>
      <c r="W3425">
        <v>0.176094</v>
      </c>
      <c r="X3425">
        <v>0.97564309999999999</v>
      </c>
      <c r="Y3425">
        <v>-0.23069619999999999</v>
      </c>
      <c r="Z3425">
        <v>1.155783E-2</v>
      </c>
      <c r="AA3425">
        <v>0.97295719999999997</v>
      </c>
      <c r="AB3425">
        <v>19</v>
      </c>
      <c r="AC3425">
        <v>8.54070000000001</v>
      </c>
      <c r="AD3425">
        <v>-1.1221516236917</v>
      </c>
      <c r="AE3425">
        <v>-43.562299999999901</v>
      </c>
      <c r="AF3425">
        <v>-10.264361010178799</v>
      </c>
      <c r="AG3425">
        <v>-1.1221516236917</v>
      </c>
      <c r="AH3425">
        <v>43.1595226361095</v>
      </c>
      <c r="AI3425">
        <v>91.448964786088695</v>
      </c>
      <c r="AJ3425">
        <v>103.377778104179</v>
      </c>
      <c r="AK3425">
        <v>44.377479935105399</v>
      </c>
      <c r="AL3425">
        <v>79.857671545338505</v>
      </c>
      <c r="AM3425">
        <v>97.636469374183307</v>
      </c>
      <c r="AN3425">
        <v>0.99999999732404998</v>
      </c>
    </row>
    <row r="3426" spans="1:40" x14ac:dyDescent="0.25">
      <c r="A3426" t="str">
        <f>"20190303170320580"</f>
        <v>20190303170320580</v>
      </c>
      <c r="B3426" t="str">
        <f>"1551603800568973"</f>
        <v>1551603800568973</v>
      </c>
      <c r="C3426" t="s">
        <v>40</v>
      </c>
      <c r="D3426">
        <v>4.4775150000000004</v>
      </c>
      <c r="E3426">
        <v>0.46394790000000002</v>
      </c>
      <c r="F3426" t="s">
        <v>57</v>
      </c>
      <c r="G3426">
        <v>-485.63330000000002</v>
      </c>
      <c r="H3426" s="1">
        <v>6.7702039999999897E-7</v>
      </c>
      <c r="I3426">
        <v>203.03989999999999</v>
      </c>
      <c r="J3426">
        <v>-493.99020000000002</v>
      </c>
      <c r="K3426">
        <v>1.1222179999999999</v>
      </c>
      <c r="L3426">
        <v>245.55170000000001</v>
      </c>
      <c r="M3426">
        <v>-3.9386659999999997E-2</v>
      </c>
      <c r="N3426">
        <v>-1.345791E-2</v>
      </c>
      <c r="O3426">
        <v>-0.99913370000000001</v>
      </c>
      <c r="P3426">
        <v>9.2004730000000007E-2</v>
      </c>
      <c r="Q3426">
        <v>0.16251699999999999</v>
      </c>
      <c r="R3426">
        <v>-0.98240729999999998</v>
      </c>
      <c r="S3426">
        <v>0.58990480000000001</v>
      </c>
      <c r="T3426">
        <v>-7.9257129999999995E-2</v>
      </c>
      <c r="U3426">
        <v>-3.0120390000000001</v>
      </c>
      <c r="V3426">
        <v>-0.13079109999999999</v>
      </c>
      <c r="W3426">
        <v>0.17554529999999999</v>
      </c>
      <c r="X3426">
        <v>0.97574459999999996</v>
      </c>
      <c r="Y3426">
        <v>-0.23062949999999999</v>
      </c>
      <c r="Z3426">
        <v>1.216823E-2</v>
      </c>
      <c r="AA3426">
        <v>0.97296550000000004</v>
      </c>
      <c r="AB3426">
        <v>19</v>
      </c>
      <c r="AC3426">
        <v>8.3568999999999907</v>
      </c>
      <c r="AD3426">
        <v>-1.1222173229796</v>
      </c>
      <c r="AE3426">
        <v>-42.511800000000001</v>
      </c>
      <c r="AF3426">
        <v>-10.018241820945599</v>
      </c>
      <c r="AG3426">
        <v>-1.1222173229796</v>
      </c>
      <c r="AH3426">
        <v>42.121366748506098</v>
      </c>
      <c r="AI3426">
        <v>91.484742011238893</v>
      </c>
      <c r="AJ3426">
        <v>103.378780978389</v>
      </c>
      <c r="AK3426">
        <v>43.310900217671403</v>
      </c>
      <c r="AL3426">
        <v>79.889607190664705</v>
      </c>
      <c r="AM3426">
        <v>97.634553781149293</v>
      </c>
      <c r="AN3426">
        <v>0.99999999431022901</v>
      </c>
    </row>
    <row r="3427" spans="1:40" x14ac:dyDescent="0.25">
      <c r="A3427" t="str">
        <f>"20190303170320597"</f>
        <v>20190303170320597</v>
      </c>
      <c r="B3427" t="str">
        <f>"1551603800588493"</f>
        <v>1551603800588493</v>
      </c>
      <c r="C3427" t="s">
        <v>40</v>
      </c>
      <c r="D3427">
        <v>4.4512359999999997</v>
      </c>
      <c r="E3427">
        <v>0.46396199999999999</v>
      </c>
      <c r="F3427" t="s">
        <v>57</v>
      </c>
      <c r="G3427">
        <v>-485.76650000000001</v>
      </c>
      <c r="H3427" s="1">
        <v>8.9300320000000003E-7</v>
      </c>
      <c r="I3427">
        <v>203.69890000000001</v>
      </c>
      <c r="J3427">
        <v>-493.99540000000002</v>
      </c>
      <c r="K3427">
        <v>1.1222909999999999</v>
      </c>
      <c r="L3427">
        <v>245.40309999999999</v>
      </c>
      <c r="M3427">
        <v>-3.875667E-2</v>
      </c>
      <c r="N3427">
        <v>-1.345874E-2</v>
      </c>
      <c r="O3427">
        <v>-0.99915830000000005</v>
      </c>
      <c r="P3427">
        <v>9.2772359999999998E-2</v>
      </c>
      <c r="Q3427">
        <v>0.16046340000000001</v>
      </c>
      <c r="R3427">
        <v>-0.98267230000000005</v>
      </c>
      <c r="S3427">
        <v>0.59176640000000003</v>
      </c>
      <c r="T3427">
        <v>-8.0753329999999998E-2</v>
      </c>
      <c r="U3427">
        <v>-3.011673</v>
      </c>
      <c r="V3427">
        <v>-0.1309862</v>
      </c>
      <c r="W3427">
        <v>0.17346909999999999</v>
      </c>
      <c r="X3427">
        <v>0.97608969999999995</v>
      </c>
      <c r="Y3427">
        <v>-0.2306155</v>
      </c>
      <c r="Z3427">
        <v>1.265515E-2</v>
      </c>
      <c r="AA3427">
        <v>0.97296269999999996</v>
      </c>
      <c r="AB3427">
        <v>19</v>
      </c>
      <c r="AC3427">
        <v>8.2289000000000101</v>
      </c>
      <c r="AD3427">
        <v>-1.1222901069968001</v>
      </c>
      <c r="AE3427">
        <v>-41.704199999999901</v>
      </c>
      <c r="AF3427">
        <v>-9.8323246234344399</v>
      </c>
      <c r="AG3427">
        <v>-1.1222901069968001</v>
      </c>
      <c r="AH3427">
        <v>41.325101894680003</v>
      </c>
      <c r="AI3427">
        <v>91.513406823890307</v>
      </c>
      <c r="AJ3427">
        <v>103.383332042455</v>
      </c>
      <c r="AK3427">
        <v>42.493507612228797</v>
      </c>
      <c r="AL3427">
        <v>80.010418589856997</v>
      </c>
      <c r="AM3427">
        <v>97.643136320077204</v>
      </c>
      <c r="AN3427">
        <v>1.0000000078456699</v>
      </c>
    </row>
    <row r="3428" spans="1:40" x14ac:dyDescent="0.25">
      <c r="A3428" t="str">
        <f>"20190303170320617"</f>
        <v>20190303170320617</v>
      </c>
      <c r="B3428" t="str">
        <f>"1551603800608989"</f>
        <v>1551603800608989</v>
      </c>
      <c r="C3428" t="s">
        <v>40</v>
      </c>
      <c r="D3428">
        <v>4.4535559999999998</v>
      </c>
      <c r="E3428">
        <v>0.46391159999999998</v>
      </c>
      <c r="F3428" t="s">
        <v>57</v>
      </c>
      <c r="G3428">
        <v>-486.37630000000001</v>
      </c>
      <c r="H3428" s="1">
        <v>1.58581E-6</v>
      </c>
      <c r="I3428">
        <v>206.7861</v>
      </c>
      <c r="J3428">
        <v>-494.00119999999998</v>
      </c>
      <c r="K3428">
        <v>1.1223879999999999</v>
      </c>
      <c r="L3428">
        <v>245.22919999999999</v>
      </c>
      <c r="M3428">
        <v>-3.7875730000000003E-2</v>
      </c>
      <c r="N3428">
        <v>-1.346017E-2</v>
      </c>
      <c r="O3428">
        <v>-0.99919179999999996</v>
      </c>
      <c r="P3428">
        <v>9.287832E-2</v>
      </c>
      <c r="Q3428">
        <v>0.15942539999999999</v>
      </c>
      <c r="R3428">
        <v>-0.98283120000000002</v>
      </c>
      <c r="S3428">
        <v>0.59408570000000005</v>
      </c>
      <c r="T3428">
        <v>-8.7509039999999996E-2</v>
      </c>
      <c r="U3428">
        <v>-3.0111080000000001</v>
      </c>
      <c r="V3428">
        <v>-0.13028210000000001</v>
      </c>
      <c r="W3428">
        <v>0.17240059999999999</v>
      </c>
      <c r="X3428">
        <v>0.97637320000000005</v>
      </c>
      <c r="Y3428">
        <v>-0.2305043</v>
      </c>
      <c r="Z3428">
        <v>1.4847229999999999E-2</v>
      </c>
      <c r="AA3428">
        <v>0.97295799999999999</v>
      </c>
      <c r="AB3428">
        <v>19</v>
      </c>
      <c r="AC3428">
        <v>7.6248999999999603</v>
      </c>
      <c r="AD3428">
        <v>-1.12238641419</v>
      </c>
      <c r="AE3428">
        <v>-38.443099999999902</v>
      </c>
      <c r="AF3428">
        <v>-9.06818298887932</v>
      </c>
      <c r="AG3428">
        <v>-1.12238641419</v>
      </c>
      <c r="AH3428">
        <v>38.095441833946097</v>
      </c>
      <c r="AI3428">
        <v>91.641742432233002</v>
      </c>
      <c r="AJ3428">
        <v>103.38942291112301</v>
      </c>
      <c r="AK3428">
        <v>39.175941373579398</v>
      </c>
      <c r="AL3428">
        <v>80.072575649041795</v>
      </c>
      <c r="AM3428">
        <v>97.600351743472302</v>
      </c>
      <c r="AN3428">
        <v>1.0000000090695</v>
      </c>
    </row>
    <row r="3429" spans="1:40" x14ac:dyDescent="0.25">
      <c r="A3429" t="str">
        <f>"20190303170320629"</f>
        <v>20190303170320629</v>
      </c>
      <c r="B3429" t="str">
        <f>"1551603800618749"</f>
        <v>1551603800618749</v>
      </c>
      <c r="C3429" t="s">
        <v>40</v>
      </c>
      <c r="D3429">
        <v>4.4837339999999903</v>
      </c>
      <c r="E3429">
        <v>0.46395029999999998</v>
      </c>
      <c r="F3429" t="s">
        <v>57</v>
      </c>
      <c r="G3429">
        <v>-486.55840000000001</v>
      </c>
      <c r="H3429" s="1">
        <v>1.8657950000000001E-6</v>
      </c>
      <c r="I3429">
        <v>207.5856</v>
      </c>
      <c r="J3429">
        <v>-494.00450000000001</v>
      </c>
      <c r="K3429">
        <v>1.1224510000000001</v>
      </c>
      <c r="L3429">
        <v>245.12620000000001</v>
      </c>
      <c r="M3429">
        <v>-3.727072E-2</v>
      </c>
      <c r="N3429">
        <v>-1.3461249999999999E-2</v>
      </c>
      <c r="O3429">
        <v>-0.99921479999999996</v>
      </c>
      <c r="P3429">
        <v>9.2621350000000005E-2</v>
      </c>
      <c r="Q3429">
        <v>0.15911689999999901</v>
      </c>
      <c r="R3429">
        <v>-0.98290569999999999</v>
      </c>
      <c r="S3429">
        <v>0.59527589999999997</v>
      </c>
      <c r="T3429">
        <v>-8.9768769999999998E-2</v>
      </c>
      <c r="U3429">
        <v>-3.010742</v>
      </c>
      <c r="V3429">
        <v>-0.1294641</v>
      </c>
      <c r="W3429">
        <v>0.17207510000000001</v>
      </c>
      <c r="X3429">
        <v>0.97653939999999995</v>
      </c>
      <c r="Y3429">
        <v>-0.2303046</v>
      </c>
      <c r="Z3429">
        <v>1.558271E-2</v>
      </c>
      <c r="AA3429">
        <v>0.97299389999999997</v>
      </c>
      <c r="AB3429">
        <v>19</v>
      </c>
      <c r="AC3429">
        <v>7.4461000000000004</v>
      </c>
      <c r="AD3429">
        <v>-1.122449134205</v>
      </c>
      <c r="AE3429">
        <v>-37.540599999999998</v>
      </c>
      <c r="AF3429">
        <v>-8.8326198130344196</v>
      </c>
      <c r="AG3429">
        <v>-1.122449134205</v>
      </c>
      <c r="AH3429">
        <v>37.204963970440403</v>
      </c>
      <c r="AI3429">
        <v>91.681347894207207</v>
      </c>
      <c r="AJ3429">
        <v>103.35502991913999</v>
      </c>
      <c r="AK3429">
        <v>38.255514750977497</v>
      </c>
      <c r="AL3429">
        <v>80.091508241370207</v>
      </c>
      <c r="AM3429">
        <v>97.551913548300504</v>
      </c>
      <c r="AN3429">
        <v>0.99999999649058902</v>
      </c>
    </row>
    <row r="3430" spans="1:40" x14ac:dyDescent="0.25">
      <c r="A3430" t="str">
        <f>"20190303170320641"</f>
        <v>20190303170320641</v>
      </c>
      <c r="B3430" t="str">
        <f>"1551603800628509"</f>
        <v>1551603800628509</v>
      </c>
      <c r="C3430" t="s">
        <v>40</v>
      </c>
      <c r="D3430">
        <v>4.480048</v>
      </c>
      <c r="E3430">
        <v>0.46392610000000001</v>
      </c>
      <c r="F3430" t="s">
        <v>57</v>
      </c>
      <c r="G3430">
        <v>-486.6053</v>
      </c>
      <c r="H3430" s="1">
        <v>1.9052749999999999E-6</v>
      </c>
      <c r="I3430">
        <v>207.68620000000001</v>
      </c>
      <c r="J3430">
        <v>-494.00740000000002</v>
      </c>
      <c r="K3430">
        <v>1.122517</v>
      </c>
      <c r="L3430">
        <v>245.02979999999999</v>
      </c>
      <c r="M3430">
        <v>-3.6654270000000003E-2</v>
      </c>
      <c r="N3430">
        <v>-1.346235E-2</v>
      </c>
      <c r="O3430">
        <v>-0.9992375</v>
      </c>
      <c r="P3430">
        <v>9.2435199999999995E-2</v>
      </c>
      <c r="Q3430">
        <v>0.1592855</v>
      </c>
      <c r="R3430">
        <v>-0.98289570000000004</v>
      </c>
      <c r="S3430">
        <v>0.59500120000000001</v>
      </c>
      <c r="T3430">
        <v>-9.0261939999999999E-2</v>
      </c>
      <c r="U3430">
        <v>-3.010742</v>
      </c>
      <c r="V3430">
        <v>-0.1287016</v>
      </c>
      <c r="W3430">
        <v>0.1722263</v>
      </c>
      <c r="X3430">
        <v>0.97661350000000002</v>
      </c>
      <c r="Y3430">
        <v>-0.22961819999999999</v>
      </c>
      <c r="Z3430">
        <v>1.5745840000000001E-2</v>
      </c>
      <c r="AA3430">
        <v>0.97315339999999995</v>
      </c>
      <c r="AB3430">
        <v>19</v>
      </c>
      <c r="AC3430">
        <v>7.4021000000000097</v>
      </c>
      <c r="AD3430">
        <v>-1.122515094725</v>
      </c>
      <c r="AE3430">
        <v>-37.343599999999903</v>
      </c>
      <c r="AF3430">
        <v>-8.7584366357874401</v>
      </c>
      <c r="AG3430">
        <v>-1.122515094725</v>
      </c>
      <c r="AH3430">
        <v>37.014977176686202</v>
      </c>
      <c r="AI3430">
        <v>91.690369817926793</v>
      </c>
      <c r="AJ3430">
        <v>103.312411608774</v>
      </c>
      <c r="AK3430">
        <v>38.053630415922001</v>
      </c>
      <c r="AL3430">
        <v>80.082713502030899</v>
      </c>
      <c r="AM3430">
        <v>97.507381043236606</v>
      </c>
      <c r="AN3430">
        <v>0.999999964318249</v>
      </c>
    </row>
    <row r="3431" spans="1:40" x14ac:dyDescent="0.25">
      <c r="A3431" t="str">
        <f>"20190303170320653"</f>
        <v>20190303170320653</v>
      </c>
      <c r="B3431" t="str">
        <f>"1551603800639245"</f>
        <v>1551603800639245</v>
      </c>
      <c r="C3431" t="s">
        <v>40</v>
      </c>
      <c r="D3431">
        <v>4.5091659999999996</v>
      </c>
      <c r="E3431">
        <v>0.46386539999999998</v>
      </c>
      <c r="F3431" t="s">
        <v>57</v>
      </c>
      <c r="G3431">
        <v>-486.47789999999998</v>
      </c>
      <c r="H3431" s="1">
        <v>1.6580959999999999E-6</v>
      </c>
      <c r="I3431">
        <v>206.96129999999999</v>
      </c>
      <c r="J3431">
        <v>-494.01089999999999</v>
      </c>
      <c r="K3431">
        <v>1.1225969999999901</v>
      </c>
      <c r="L3431">
        <v>244.91139999999999</v>
      </c>
      <c r="M3431">
        <v>-3.5835880000000001E-2</v>
      </c>
      <c r="N3431">
        <v>-1.346377E-2</v>
      </c>
      <c r="O3431">
        <v>-0.99926720000000002</v>
      </c>
      <c r="P3431">
        <v>9.25618E-2</v>
      </c>
      <c r="Q3431">
        <v>0.1593791</v>
      </c>
      <c r="R3431">
        <v>-0.98286870000000004</v>
      </c>
      <c r="S3431">
        <v>0.59545899999999996</v>
      </c>
      <c r="T3431">
        <v>-8.8772420000000005E-2</v>
      </c>
      <c r="U3431">
        <v>-3.0105900000000001</v>
      </c>
      <c r="V3431">
        <v>-0.12805910000000001</v>
      </c>
      <c r="W3431">
        <v>0.17229820000000001</v>
      </c>
      <c r="X3431">
        <v>0.97668529999999998</v>
      </c>
      <c r="Y3431">
        <v>-0.22897519999999999</v>
      </c>
      <c r="Z3431">
        <v>1.52675E-2</v>
      </c>
      <c r="AA3431">
        <v>0.97331250000000002</v>
      </c>
      <c r="AB3431">
        <v>19</v>
      </c>
      <c r="AC3431">
        <v>7.5330000000000101</v>
      </c>
      <c r="AD3431">
        <v>-1.12259534190399</v>
      </c>
      <c r="AE3431">
        <v>-37.9500999999999</v>
      </c>
      <c r="AF3431">
        <v>-8.8807824837063194</v>
      </c>
      <c r="AG3431">
        <v>-1.12259534190399</v>
      </c>
      <c r="AH3431">
        <v>37.62406969061</v>
      </c>
      <c r="AI3431">
        <v>91.663354249812599</v>
      </c>
      <c r="AJ3431">
        <v>103.281002981805</v>
      </c>
      <c r="AK3431">
        <v>38.6742697139642</v>
      </c>
      <c r="AL3431">
        <v>80.078531665492406</v>
      </c>
      <c r="AM3431">
        <v>97.469784303208598</v>
      </c>
      <c r="AN3431">
        <v>0.99999998902606901</v>
      </c>
    </row>
    <row r="3432" spans="1:40" x14ac:dyDescent="0.25">
      <c r="A3432" t="str">
        <f>"20190303170320665"</f>
        <v>20190303170320665</v>
      </c>
      <c r="B3432" t="str">
        <f>"1551603800658893"</f>
        <v>1551603800658893</v>
      </c>
      <c r="C3432" t="s">
        <v>40</v>
      </c>
      <c r="D3432">
        <v>4.4825699999999999</v>
      </c>
      <c r="E3432">
        <v>0.4638486</v>
      </c>
      <c r="F3432" t="s">
        <v>57</v>
      </c>
      <c r="G3432">
        <v>-486.36590000000001</v>
      </c>
      <c r="H3432" s="1">
        <v>1.460461E-6</v>
      </c>
      <c r="I3432">
        <v>206.35409999999999</v>
      </c>
      <c r="J3432">
        <v>-494.01339999999999</v>
      </c>
      <c r="K3432">
        <v>1.122671</v>
      </c>
      <c r="L3432">
        <v>244.81630000000001</v>
      </c>
      <c r="M3432">
        <v>-3.5065489999999998E-2</v>
      </c>
      <c r="N3432">
        <v>-1.346526E-2</v>
      </c>
      <c r="O3432">
        <v>-0.99929449999999997</v>
      </c>
      <c r="P3432">
        <v>9.3120750000000002E-2</v>
      </c>
      <c r="Q3432">
        <v>0.1592259</v>
      </c>
      <c r="R3432">
        <v>-0.98284099999999996</v>
      </c>
      <c r="S3432">
        <v>0.59686280000000003</v>
      </c>
      <c r="T3432">
        <v>-8.7644459999999993E-2</v>
      </c>
      <c r="U3432">
        <v>-3.010284</v>
      </c>
      <c r="V3432">
        <v>-0.1278917</v>
      </c>
      <c r="W3432">
        <v>0.172125799999999</v>
      </c>
      <c r="X3432">
        <v>0.97673759999999998</v>
      </c>
      <c r="Y3432">
        <v>-0.228682</v>
      </c>
      <c r="Z3432">
        <v>1.490521E-2</v>
      </c>
      <c r="AA3432">
        <v>0.97338709999999995</v>
      </c>
      <c r="AB3432">
        <v>19</v>
      </c>
      <c r="AC3432">
        <v>7.6474999999999698</v>
      </c>
      <c r="AD3432">
        <v>-1.1226695395389901</v>
      </c>
      <c r="AE3432">
        <v>-38.462200000000003</v>
      </c>
      <c r="AF3432">
        <v>-8.9842505612206196</v>
      </c>
      <c r="AG3432">
        <v>-1.1226695395389901</v>
      </c>
      <c r="AH3432">
        <v>38.139096066551403</v>
      </c>
      <c r="AI3432">
        <v>91.641187116712004</v>
      </c>
      <c r="AJ3432">
        <v>103.25524574691001</v>
      </c>
      <c r="AK3432">
        <v>39.199078991928303</v>
      </c>
      <c r="AL3432">
        <v>80.088558966766598</v>
      </c>
      <c r="AM3432">
        <v>97.459734832824296</v>
      </c>
      <c r="AN3432">
        <v>0.99999995860414403</v>
      </c>
    </row>
    <row r="3433" spans="1:40" x14ac:dyDescent="0.25">
      <c r="A3433" t="str">
        <f>"20190303170320678"</f>
        <v>20190303170320678</v>
      </c>
      <c r="B3433" t="str">
        <f>"1551603800668653"</f>
        <v>1551603800668653</v>
      </c>
      <c r="C3433" t="s">
        <v>40</v>
      </c>
      <c r="D3433">
        <v>4.479393</v>
      </c>
      <c r="E3433">
        <v>0.46384599999999998</v>
      </c>
      <c r="F3433" t="s">
        <v>57</v>
      </c>
      <c r="G3433">
        <v>-486.36919999999998</v>
      </c>
      <c r="H3433" s="1">
        <v>1.461228E-6</v>
      </c>
      <c r="I3433">
        <v>206.35769999999999</v>
      </c>
      <c r="J3433">
        <v>-494.0163</v>
      </c>
      <c r="K3433">
        <v>1.12276</v>
      </c>
      <c r="L3433">
        <v>244.70830000000001</v>
      </c>
      <c r="M3433">
        <v>-3.4146429999999998E-2</v>
      </c>
      <c r="N3433">
        <v>-1.3467089999999999E-2</v>
      </c>
      <c r="O3433">
        <v>-0.9993263</v>
      </c>
      <c r="P3433">
        <v>9.4224790000000003E-2</v>
      </c>
      <c r="Q3433">
        <v>0.15886239999999999</v>
      </c>
      <c r="R3433">
        <v>-0.98279459999999996</v>
      </c>
      <c r="S3433">
        <v>0.59826659999999998</v>
      </c>
      <c r="T3433">
        <v>-8.7864880000000006E-2</v>
      </c>
      <c r="U3433">
        <v>-3.0099330000000002</v>
      </c>
      <c r="V3433">
        <v>-0.1281263</v>
      </c>
      <c r="W3433">
        <v>0.1717388</v>
      </c>
      <c r="X3433">
        <v>0.97677510000000001</v>
      </c>
      <c r="Y3433">
        <v>-0.2282449</v>
      </c>
      <c r="Z3433">
        <v>1.4980739999999999E-2</v>
      </c>
      <c r="AA3433">
        <v>0.97348849999999998</v>
      </c>
      <c r="AB3433">
        <v>19</v>
      </c>
      <c r="AC3433">
        <v>7.6471000000000204</v>
      </c>
      <c r="AD3433">
        <v>-1.122758538772</v>
      </c>
      <c r="AE3433">
        <v>-38.3506</v>
      </c>
      <c r="AF3433">
        <v>-8.94492083445129</v>
      </c>
      <c r="AG3433">
        <v>-1.122758538772</v>
      </c>
      <c r="AH3433">
        <v>38.035733074515903</v>
      </c>
      <c r="AI3433">
        <v>91.645919505782899</v>
      </c>
      <c r="AJ3433">
        <v>103.233863428093</v>
      </c>
      <c r="AK3433">
        <v>39.089502247877398</v>
      </c>
      <c r="AL3433">
        <v>80.111068829388998</v>
      </c>
      <c r="AM3433">
        <v>97.472980503647605</v>
      </c>
      <c r="AN3433">
        <v>1.00000008007856</v>
      </c>
    </row>
    <row r="3434" spans="1:40" x14ac:dyDescent="0.25">
      <c r="A3434" t="str">
        <f>"20190303170320691"</f>
        <v>20190303170320691</v>
      </c>
      <c r="B3434" t="str">
        <f>"1551603800678413"</f>
        <v>1551603800678413</v>
      </c>
      <c r="C3434" t="s">
        <v>40</v>
      </c>
      <c r="D3434">
        <v>4.49336</v>
      </c>
      <c r="E3434">
        <v>0.46381349999999999</v>
      </c>
      <c r="F3434" t="s">
        <v>57</v>
      </c>
      <c r="G3434">
        <v>-486.4212</v>
      </c>
      <c r="H3434" s="1">
        <v>1.579035E-6</v>
      </c>
      <c r="I3434">
        <v>206.73849999999999</v>
      </c>
      <c r="J3434">
        <v>-494.01900000000001</v>
      </c>
      <c r="K3434">
        <v>1.1228560000000001</v>
      </c>
      <c r="L3434">
        <v>244.59639999999999</v>
      </c>
      <c r="M3434">
        <v>-3.3075359999999998E-2</v>
      </c>
      <c r="N3434">
        <v>-1.346967E-2</v>
      </c>
      <c r="O3434">
        <v>-0.99936219999999998</v>
      </c>
      <c r="P3434">
        <v>9.5692459999999993E-2</v>
      </c>
      <c r="Q3434">
        <v>0.15855429999999901</v>
      </c>
      <c r="R3434">
        <v>-0.98270219999999997</v>
      </c>
      <c r="S3434">
        <v>0.60192869999999998</v>
      </c>
      <c r="T3434">
        <v>-8.8981389999999994E-2</v>
      </c>
      <c r="U3434">
        <v>-3.009201</v>
      </c>
      <c r="V3434">
        <v>-0.12858019999999901</v>
      </c>
      <c r="W3434">
        <v>0.17140239999999901</v>
      </c>
      <c r="X3434">
        <v>0.97677449999999999</v>
      </c>
      <c r="Y3434">
        <v>-0.22838439999999999</v>
      </c>
      <c r="Z3434">
        <v>1.534573E-2</v>
      </c>
      <c r="AA3434">
        <v>0.97345009999999998</v>
      </c>
      <c r="AB3434">
        <v>19</v>
      </c>
      <c r="AC3434">
        <v>7.5978000000000003</v>
      </c>
      <c r="AD3434">
        <v>-1.12285442096499</v>
      </c>
      <c r="AE3434">
        <v>-37.857900000000001</v>
      </c>
      <c r="AF3434">
        <v>-8.8384452040605002</v>
      </c>
      <c r="AG3434">
        <v>-1.12285442096499</v>
      </c>
      <c r="AH3434">
        <v>37.554102764790301</v>
      </c>
      <c r="AI3434">
        <v>91.667091664622703</v>
      </c>
      <c r="AJ3434">
        <v>103.243679675363</v>
      </c>
      <c r="AK3434">
        <v>38.596496604540299</v>
      </c>
      <c r="AL3434">
        <v>80.130632805097804</v>
      </c>
      <c r="AM3434">
        <v>97.499158035761297</v>
      </c>
      <c r="AN3434">
        <v>1.0000000372040201</v>
      </c>
    </row>
    <row r="3435" spans="1:40" x14ac:dyDescent="0.25">
      <c r="A3435" t="str">
        <f>"20190303170320707"</f>
        <v>20190303170320707</v>
      </c>
      <c r="B3435" t="str">
        <f>"1551603800698909"</f>
        <v>1551603800698909</v>
      </c>
      <c r="C3435" t="s">
        <v>40</v>
      </c>
      <c r="D3435">
        <v>4.488073</v>
      </c>
      <c r="E3435">
        <v>0.4637117</v>
      </c>
      <c r="F3435" t="s">
        <v>57</v>
      </c>
      <c r="G3435">
        <v>-486.46870000000001</v>
      </c>
      <c r="H3435" s="1">
        <v>1.710763E-6</v>
      </c>
      <c r="I3435">
        <v>207.13659999999999</v>
      </c>
      <c r="J3435">
        <v>-494.02199999999999</v>
      </c>
      <c r="K3435">
        <v>1.1229789999999999</v>
      </c>
      <c r="L3435">
        <v>244.4573</v>
      </c>
      <c r="M3435">
        <v>-3.1610989999999999E-2</v>
      </c>
      <c r="N3435">
        <v>-1.3473769999999999E-2</v>
      </c>
      <c r="O3435">
        <v>-0.99940949999999995</v>
      </c>
      <c r="P3435">
        <v>9.7136609999999998E-2</v>
      </c>
      <c r="Q3435">
        <v>0.15942400000000001</v>
      </c>
      <c r="R3435">
        <v>-0.98241970000000001</v>
      </c>
      <c r="S3435">
        <v>0.60635380000000005</v>
      </c>
      <c r="T3435">
        <v>-9.0174439999999995E-2</v>
      </c>
      <c r="U3435">
        <v>-3.0083310000000001</v>
      </c>
      <c r="V3435">
        <v>-0.12863239999999901</v>
      </c>
      <c r="W3435">
        <v>0.17223669999999999</v>
      </c>
      <c r="X3435">
        <v>0.97662090000000001</v>
      </c>
      <c r="Y3435">
        <v>-0.2283866</v>
      </c>
      <c r="Z3435">
        <v>1.5736139999999999E-2</v>
      </c>
      <c r="AA3435">
        <v>0.97344330000000001</v>
      </c>
      <c r="AB3435">
        <v>19</v>
      </c>
      <c r="AC3435">
        <v>7.5532999999999699</v>
      </c>
      <c r="AD3435">
        <v>-1.122977289237</v>
      </c>
      <c r="AE3435">
        <v>-37.320700000000002</v>
      </c>
      <c r="AF3435">
        <v>-8.7217898163974201</v>
      </c>
      <c r="AG3435">
        <v>-1.122977289237</v>
      </c>
      <c r="AH3435">
        <v>37.031047818706298</v>
      </c>
      <c r="AI3435">
        <v>91.690744641984594</v>
      </c>
      <c r="AJ3435">
        <v>103.253130532249</v>
      </c>
      <c r="AK3435">
        <v>38.060861763035099</v>
      </c>
      <c r="AL3435">
        <v>80.082109732606696</v>
      </c>
      <c r="AM3435">
        <v>97.503334290190196</v>
      </c>
      <c r="AN3435">
        <v>1.00000007873672</v>
      </c>
    </row>
    <row r="3436" spans="1:40" x14ac:dyDescent="0.25">
      <c r="A3436" t="str">
        <f>"20190303170320719"</f>
        <v>20190303170320719</v>
      </c>
      <c r="B3436" t="str">
        <f>"1551603800708669"</f>
        <v>1551603800708669</v>
      </c>
      <c r="C3436" t="s">
        <v>40</v>
      </c>
      <c r="D3436">
        <v>4.4958609999999997</v>
      </c>
      <c r="E3436">
        <v>0.46366449999999998</v>
      </c>
      <c r="F3436" t="s">
        <v>57</v>
      </c>
      <c r="G3436">
        <v>-486.08789999999999</v>
      </c>
      <c r="H3436" s="1">
        <v>1.319821E-6</v>
      </c>
      <c r="I3436">
        <v>205.47819999999999</v>
      </c>
      <c r="J3436">
        <v>-494.024</v>
      </c>
      <c r="K3436">
        <v>1.1230719999999901</v>
      </c>
      <c r="L3436">
        <v>244.3554</v>
      </c>
      <c r="M3436">
        <v>-3.0464169999999999E-2</v>
      </c>
      <c r="N3436">
        <v>-1.347711E-2</v>
      </c>
      <c r="O3436">
        <v>-0.99944520000000003</v>
      </c>
      <c r="P3436">
        <v>9.7737340000000006E-2</v>
      </c>
      <c r="Q3436">
        <v>0.1604138</v>
      </c>
      <c r="R3436">
        <v>-0.98219920000000005</v>
      </c>
      <c r="S3436">
        <v>0.61212159999999904</v>
      </c>
      <c r="T3436">
        <v>-8.6638450000000006E-2</v>
      </c>
      <c r="U3436">
        <v>-3.007263</v>
      </c>
      <c r="V3436">
        <v>-0.12814329999999999</v>
      </c>
      <c r="W3436">
        <v>0.17320179999999999</v>
      </c>
      <c r="X3436">
        <v>0.9765144</v>
      </c>
      <c r="Y3436">
        <v>-0.2291348</v>
      </c>
      <c r="Z3436">
        <v>1.4591099999999999E-2</v>
      </c>
      <c r="AA3436">
        <v>0.97328539999999997</v>
      </c>
      <c r="AB3436">
        <v>19</v>
      </c>
      <c r="AC3436">
        <v>7.9360999999999997</v>
      </c>
      <c r="AD3436">
        <v>-1.12307068017899</v>
      </c>
      <c r="AE3436">
        <v>-38.877200000000002</v>
      </c>
      <c r="AF3436">
        <v>-9.1095870170024504</v>
      </c>
      <c r="AG3436">
        <v>-1.12307068017899</v>
      </c>
      <c r="AH3436">
        <v>38.586451508184297</v>
      </c>
      <c r="AI3436">
        <v>91.622562034086101</v>
      </c>
      <c r="AJ3436">
        <v>103.28331525888299</v>
      </c>
      <c r="AK3436">
        <v>39.663082373492898</v>
      </c>
      <c r="AL3436">
        <v>80.025968772871707</v>
      </c>
      <c r="AM3436">
        <v>97.475933577658594</v>
      </c>
      <c r="AN3436">
        <v>0.99999997113274397</v>
      </c>
    </row>
    <row r="3437" spans="1:40" x14ac:dyDescent="0.25">
      <c r="A3437" t="str">
        <f>"20190303170320732"</f>
        <v>20190303170320732</v>
      </c>
      <c r="B3437" t="str">
        <f>"1551603800718429"</f>
        <v>1551603800718429</v>
      </c>
      <c r="C3437" t="s">
        <v>40</v>
      </c>
      <c r="D3437">
        <v>4.5577540000000001</v>
      </c>
      <c r="E3437">
        <v>0.46366449999999998</v>
      </c>
      <c r="F3437" t="s">
        <v>57</v>
      </c>
      <c r="G3437">
        <v>-485.71050000000002</v>
      </c>
      <c r="H3437" s="1">
        <v>8.7815339999999996E-7</v>
      </c>
      <c r="I3437">
        <v>203.667</v>
      </c>
      <c r="J3437">
        <v>-494.02589999999998</v>
      </c>
      <c r="K3437">
        <v>1.123165</v>
      </c>
      <c r="L3437">
        <v>244.2482</v>
      </c>
      <c r="M3437">
        <v>-2.917258E-2</v>
      </c>
      <c r="N3437">
        <v>-1.3481E-2</v>
      </c>
      <c r="O3437">
        <v>-0.99948360000000003</v>
      </c>
      <c r="P3437">
        <v>9.8526219999999998E-2</v>
      </c>
      <c r="Q3437">
        <v>0.161241</v>
      </c>
      <c r="R3437">
        <v>-0.981985</v>
      </c>
      <c r="S3437">
        <v>0.61434940000000005</v>
      </c>
      <c r="T3437">
        <v>-8.2993029999999995E-2</v>
      </c>
      <c r="U3437">
        <v>-3.0068049999999999</v>
      </c>
      <c r="V3437">
        <v>-0.12770210000000001</v>
      </c>
      <c r="W3437">
        <v>0.17400489999999999</v>
      </c>
      <c r="X3437">
        <v>0.97642949999999995</v>
      </c>
      <c r="Y3437">
        <v>-0.22860340000000001</v>
      </c>
      <c r="Z3437">
        <v>1.341206E-2</v>
      </c>
      <c r="AA3437">
        <v>0.97342720000000005</v>
      </c>
      <c r="AB3437">
        <v>19</v>
      </c>
      <c r="AC3437">
        <v>8.3153999999999506</v>
      </c>
      <c r="AD3437">
        <v>-1.1231641218466</v>
      </c>
      <c r="AE3437">
        <v>-40.581200000000003</v>
      </c>
      <c r="AF3437">
        <v>-9.4888502856304804</v>
      </c>
      <c r="AG3437">
        <v>-1.1231641218466</v>
      </c>
      <c r="AH3437">
        <v>40.2917010686133</v>
      </c>
      <c r="AI3437">
        <v>91.554255426242406</v>
      </c>
      <c r="AJ3437">
        <v>103.251905181328</v>
      </c>
      <c r="AK3437">
        <v>41.409189226429</v>
      </c>
      <c r="AL3437">
        <v>79.979245859338903</v>
      </c>
      <c r="AM3437">
        <v>97.451123992788197</v>
      </c>
      <c r="AN3437">
        <v>1.00000005001933</v>
      </c>
    </row>
    <row r="3438" spans="1:40" x14ac:dyDescent="0.25">
      <c r="A3438" t="str">
        <f>"20190303170320744"</f>
        <v>20190303170320744</v>
      </c>
      <c r="B3438" t="str">
        <f>"1551603800738924"</f>
        <v>1551603800738924</v>
      </c>
      <c r="C3438" t="s">
        <v>40</v>
      </c>
      <c r="D3438">
        <v>4.6053730000000002</v>
      </c>
      <c r="E3438">
        <v>0.43073060000000002</v>
      </c>
      <c r="F3438" t="s">
        <v>57</v>
      </c>
      <c r="G3438">
        <v>-485.36599999999999</v>
      </c>
      <c r="H3438" s="1">
        <v>3.5515650000000002E-7</v>
      </c>
      <c r="I3438">
        <v>202.07740000000001</v>
      </c>
      <c r="J3438">
        <v>-494.02749999999997</v>
      </c>
      <c r="K3438">
        <v>1.1232629999999999</v>
      </c>
      <c r="L3438">
        <v>244.13570000000001</v>
      </c>
      <c r="M3438">
        <v>-2.7721079999999999E-2</v>
      </c>
      <c r="N3438">
        <v>-1.348506E-2</v>
      </c>
      <c r="O3438">
        <v>-0.99952490000000005</v>
      </c>
      <c r="P3438">
        <v>9.9737779999999998E-2</v>
      </c>
      <c r="Q3438">
        <v>0.1621109</v>
      </c>
      <c r="R3438">
        <v>-0.98171940000000002</v>
      </c>
      <c r="S3438">
        <v>0.61734009999999995</v>
      </c>
      <c r="T3438">
        <v>-8.0067280000000005E-2</v>
      </c>
      <c r="U3438">
        <v>-3.0062410000000002</v>
      </c>
      <c r="V3438">
        <v>-0.12752539999999901</v>
      </c>
      <c r="W3438">
        <v>0.17485000000000001</v>
      </c>
      <c r="X3438">
        <v>0.97630159999999999</v>
      </c>
      <c r="Y3438">
        <v>-0.228159</v>
      </c>
      <c r="Z3438">
        <v>1.2466049999999999E-2</v>
      </c>
      <c r="AA3438">
        <v>0.97354410000000002</v>
      </c>
      <c r="AB3438">
        <v>19</v>
      </c>
      <c r="AC3438">
        <v>8.6614999999999895</v>
      </c>
      <c r="AD3438">
        <v>-1.1232626448434999</v>
      </c>
      <c r="AE3438">
        <v>-42.058300000000003</v>
      </c>
      <c r="AF3438">
        <v>-9.81746040525063</v>
      </c>
      <c r="AG3438">
        <v>-1.1232626448434999</v>
      </c>
      <c r="AH3438">
        <v>41.773422197093304</v>
      </c>
      <c r="AI3438">
        <v>91.499445066475204</v>
      </c>
      <c r="AJ3438">
        <v>103.225469095189</v>
      </c>
      <c r="AK3438">
        <v>42.926251290260197</v>
      </c>
      <c r="AL3438">
        <v>79.930071171378003</v>
      </c>
      <c r="AM3438">
        <v>97.441893437703897</v>
      </c>
      <c r="AN3438">
        <v>1.00000003215385</v>
      </c>
    </row>
    <row r="3439" spans="1:40" x14ac:dyDescent="0.25">
      <c r="A3439" t="str">
        <f>"20190303170320759"</f>
        <v>20190303170320759</v>
      </c>
      <c r="B3439" t="str">
        <f>"1551603800748686"</f>
        <v>1551603800748686</v>
      </c>
      <c r="C3439" t="s">
        <v>40</v>
      </c>
      <c r="D3439">
        <v>4.5044500000000003</v>
      </c>
      <c r="E3439">
        <v>0.422323</v>
      </c>
      <c r="F3439" t="s">
        <v>76</v>
      </c>
      <c r="G3439">
        <v>-473.52499999999998</v>
      </c>
      <c r="H3439">
        <v>0.55102839999999997</v>
      </c>
      <c r="I3439">
        <v>174.93599999999901</v>
      </c>
      <c r="J3439">
        <v>-494.02910000000003</v>
      </c>
      <c r="K3439">
        <v>1.1233550000000001</v>
      </c>
      <c r="L3439">
        <v>244.0172</v>
      </c>
      <c r="M3439">
        <v>-2.612401E-2</v>
      </c>
      <c r="N3439">
        <v>-1.348914E-2</v>
      </c>
      <c r="O3439">
        <v>-0.9995676</v>
      </c>
      <c r="P3439">
        <v>0.1013367</v>
      </c>
      <c r="Q3439">
        <v>0.16287599999999999</v>
      </c>
      <c r="R3439">
        <v>-0.98142879999999999</v>
      </c>
      <c r="S3439">
        <v>0.8800964</v>
      </c>
      <c r="T3439">
        <v>-2.4563910000000001E-2</v>
      </c>
      <c r="U3439">
        <v>-2.9704899999999999</v>
      </c>
      <c r="V3439">
        <v>-0.1275935</v>
      </c>
      <c r="W3439">
        <v>0.17558850000000001</v>
      </c>
      <c r="X3439">
        <v>0.97616009999999998</v>
      </c>
      <c r="Y3439">
        <v>-0.3089788</v>
      </c>
      <c r="Z3439">
        <v>-5.6477009999999998E-3</v>
      </c>
      <c r="AA3439">
        <v>0.95105220000000001</v>
      </c>
      <c r="AB3439">
        <v>19</v>
      </c>
      <c r="AC3439">
        <v>20.504100000000001</v>
      </c>
      <c r="AD3439">
        <v>-0.57232659999999902</v>
      </c>
      <c r="AE3439">
        <v>-69.081199999999995</v>
      </c>
      <c r="AF3439">
        <v>-22.3005364728111</v>
      </c>
      <c r="AG3439">
        <v>-0.57232659999999902</v>
      </c>
      <c r="AH3439">
        <v>68.517598686642202</v>
      </c>
      <c r="AI3439">
        <v>90.455083535662894</v>
      </c>
      <c r="AJ3439">
        <v>108.028600531168</v>
      </c>
      <c r="AK3439">
        <v>72.0576353656988</v>
      </c>
      <c r="AL3439">
        <v>79.887092831870802</v>
      </c>
      <c r="AM3439">
        <v>97.446890113811193</v>
      </c>
      <c r="AN3439">
        <v>0.99999998170325399</v>
      </c>
    </row>
    <row r="3440" spans="1:40" x14ac:dyDescent="0.25">
      <c r="A3440" t="str">
        <f>"20190303170320775"</f>
        <v>20190303170320775</v>
      </c>
      <c r="B3440" t="str">
        <f>"1551603800769181"</f>
        <v>1551603800769181</v>
      </c>
      <c r="C3440" t="s">
        <v>40</v>
      </c>
      <c r="D3440">
        <v>4.4750809999999897</v>
      </c>
      <c r="E3440">
        <v>0.37341629999999998</v>
      </c>
      <c r="F3440" t="s">
        <v>76</v>
      </c>
      <c r="G3440">
        <v>-473.78300000000002</v>
      </c>
      <c r="H3440">
        <v>0.69652440000000004</v>
      </c>
      <c r="I3440">
        <v>180.99870000000001</v>
      </c>
      <c r="J3440">
        <v>-494.03059999999999</v>
      </c>
      <c r="K3440">
        <v>1.1234569999999999</v>
      </c>
      <c r="L3440">
        <v>243.87860000000001</v>
      </c>
      <c r="M3440">
        <v>-2.4146540000000001E-2</v>
      </c>
      <c r="N3440">
        <v>-1.3493639999999999E-2</v>
      </c>
      <c r="O3440">
        <v>-0.99961730000000004</v>
      </c>
      <c r="P3440">
        <v>0.1051262</v>
      </c>
      <c r="Q3440">
        <v>0.16356899999999999</v>
      </c>
      <c r="R3440">
        <v>-0.98091470000000003</v>
      </c>
      <c r="S3440">
        <v>0.95156859999999999</v>
      </c>
      <c r="T3440">
        <v>-2.0061019999999999E-2</v>
      </c>
      <c r="U3440">
        <v>-2.9618679999999999</v>
      </c>
      <c r="V3440">
        <v>-0.12947649999999999</v>
      </c>
      <c r="W3440">
        <v>0.17624519999999999</v>
      </c>
      <c r="X3440">
        <v>0.97579380000000004</v>
      </c>
      <c r="Y3440">
        <v>-0.32872630000000003</v>
      </c>
      <c r="Z3440">
        <v>-7.1249069999999998E-3</v>
      </c>
      <c r="AA3440">
        <v>0.94439830000000002</v>
      </c>
      <c r="AB3440">
        <v>19</v>
      </c>
      <c r="AC3440">
        <v>20.247599999999899</v>
      </c>
      <c r="AD3440">
        <v>-0.426932599999999</v>
      </c>
      <c r="AE3440">
        <v>-62.8798999999999</v>
      </c>
      <c r="AF3440">
        <v>-21.759256833260501</v>
      </c>
      <c r="AG3440">
        <v>-0.426932599999999</v>
      </c>
      <c r="AH3440">
        <v>62.370003621794602</v>
      </c>
      <c r="AI3440">
        <v>90.3703047465754</v>
      </c>
      <c r="AJ3440">
        <v>109.232538674509</v>
      </c>
      <c r="AK3440">
        <v>66.058041759981094</v>
      </c>
      <c r="AL3440">
        <v>79.8488711885133</v>
      </c>
      <c r="AM3440">
        <v>97.558332755053698</v>
      </c>
      <c r="AN3440">
        <v>1.00000003734686</v>
      </c>
    </row>
    <row r="3441" spans="1:40" x14ac:dyDescent="0.25">
      <c r="A3441" t="str">
        <f>"20190303170320789"</f>
        <v>20190303170320789</v>
      </c>
      <c r="B3441" t="str">
        <f>"1551603800778941"</f>
        <v>1551603800778941</v>
      </c>
      <c r="C3441" t="s">
        <v>40</v>
      </c>
      <c r="D3441">
        <v>4.47464</v>
      </c>
      <c r="E3441">
        <v>0.369813</v>
      </c>
      <c r="F3441" t="s">
        <v>45</v>
      </c>
      <c r="G3441">
        <v>-476.3836</v>
      </c>
      <c r="H3441">
        <v>1.900468</v>
      </c>
      <c r="I3441">
        <v>205.7988</v>
      </c>
      <c r="J3441">
        <v>-494.03140000000002</v>
      </c>
      <c r="K3441">
        <v>1.123524</v>
      </c>
      <c r="L3441">
        <v>243.75630000000001</v>
      </c>
      <c r="M3441">
        <v>-2.2289130000000001E-2</v>
      </c>
      <c r="N3441">
        <v>-1.3497459999999999E-2</v>
      </c>
      <c r="O3441">
        <v>-0.99966060000000001</v>
      </c>
      <c r="P3441">
        <v>0.1083961</v>
      </c>
      <c r="Q3441">
        <v>0.16333590000000001</v>
      </c>
      <c r="R3441">
        <v>-0.98059779999999996</v>
      </c>
      <c r="S3441">
        <v>1.3458859999999999</v>
      </c>
      <c r="T3441">
        <v>5.926037E-2</v>
      </c>
      <c r="U3441">
        <v>-2.904236</v>
      </c>
      <c r="V3441">
        <v>-0.1309467</v>
      </c>
      <c r="W3441">
        <v>0.17598839999999999</v>
      </c>
      <c r="X3441">
        <v>0.97564390000000001</v>
      </c>
      <c r="Y3441">
        <v>-0.440386</v>
      </c>
      <c r="Z3441">
        <v>-3.1969829999999998E-2</v>
      </c>
      <c r="AA3441">
        <v>0.89723909999999996</v>
      </c>
      <c r="AB3441">
        <v>19</v>
      </c>
      <c r="AC3441">
        <v>17.6478</v>
      </c>
      <c r="AD3441">
        <v>0.77694399999999997</v>
      </c>
      <c r="AE3441">
        <v>-37.957500000000003</v>
      </c>
      <c r="AF3441">
        <v>-18.483164013145601</v>
      </c>
      <c r="AG3441">
        <v>0.77694399999999997</v>
      </c>
      <c r="AH3441">
        <v>37.541745281431503</v>
      </c>
      <c r="AI3441">
        <v>88.936302499110695</v>
      </c>
      <c r="AJ3441">
        <v>116.21269739563201</v>
      </c>
      <c r="AK3441">
        <v>41.852283482408197</v>
      </c>
      <c r="AL3441">
        <v>79.863817867871902</v>
      </c>
      <c r="AM3441">
        <v>97.644308756379303</v>
      </c>
      <c r="AN3441">
        <v>0.99999998739133</v>
      </c>
    </row>
    <row r="3442" spans="1:40" x14ac:dyDescent="0.25">
      <c r="A3442" t="str">
        <f>"20190303170320807"</f>
        <v>20190303170320807</v>
      </c>
      <c r="B3442" t="str">
        <f>"1551603800798461"</f>
        <v>1551603800798461</v>
      </c>
      <c r="C3442" t="s">
        <v>40</v>
      </c>
      <c r="D3442">
        <v>4.5088169999999996</v>
      </c>
      <c r="E3442">
        <v>0.36620900000000001</v>
      </c>
      <c r="F3442" t="s">
        <v>78</v>
      </c>
      <c r="G3442">
        <v>-471.33870000000002</v>
      </c>
      <c r="H3442">
        <v>2.2696990000000001</v>
      </c>
      <c r="I3442">
        <v>196.25890000000001</v>
      </c>
      <c r="J3442">
        <v>-494.03199999999998</v>
      </c>
      <c r="K3442">
        <v>1.1235889999999999</v>
      </c>
      <c r="L3442">
        <v>243.60380000000001</v>
      </c>
      <c r="M3442">
        <v>-1.9897499999999999E-2</v>
      </c>
      <c r="N3442">
        <v>-1.3501880000000001E-2</v>
      </c>
      <c r="O3442">
        <v>-0.99971100000000002</v>
      </c>
      <c r="P3442">
        <v>0.11385489999999999</v>
      </c>
      <c r="Q3442">
        <v>0.1633144</v>
      </c>
      <c r="R3442">
        <v>-0.97998240000000003</v>
      </c>
      <c r="S3442">
        <v>1.383057</v>
      </c>
      <c r="T3442">
        <v>6.9858069999999994E-2</v>
      </c>
      <c r="U3442">
        <v>-2.8948209999999999</v>
      </c>
      <c r="V3442">
        <v>-0.1340779</v>
      </c>
      <c r="W3442">
        <v>0.17593259999999999</v>
      </c>
      <c r="X3442">
        <v>0.9752286</v>
      </c>
      <c r="Y3442">
        <v>-0.44872050000000002</v>
      </c>
      <c r="Z3442">
        <v>-3.5220059999999997E-2</v>
      </c>
      <c r="AA3442">
        <v>0.89297789999999999</v>
      </c>
      <c r="AB3442">
        <v>19</v>
      </c>
      <c r="AC3442">
        <v>22.693299999999901</v>
      </c>
      <c r="AD3442">
        <v>1.14611</v>
      </c>
      <c r="AE3442">
        <v>-47.344900000000003</v>
      </c>
      <c r="AF3442">
        <v>-23.619681871581601</v>
      </c>
      <c r="AG3442">
        <v>1.14611</v>
      </c>
      <c r="AH3442">
        <v>46.8616131774615</v>
      </c>
      <c r="AI3442">
        <v>88.748860307973402</v>
      </c>
      <c r="AJ3442">
        <v>116.74949724787299</v>
      </c>
      <c r="AK3442">
        <v>52.490129828767401</v>
      </c>
      <c r="AL3442">
        <v>79.867065700454702</v>
      </c>
      <c r="AM3442">
        <v>97.828152058436899</v>
      </c>
      <c r="AN3442">
        <v>0.99999999263456496</v>
      </c>
    </row>
    <row r="3443" spans="1:40" x14ac:dyDescent="0.25">
      <c r="A3443" t="str">
        <f>"20190303170320820"</f>
        <v>20190303170320820</v>
      </c>
      <c r="B3443" t="str">
        <f>"1551603800809196"</f>
        <v>1551603800809196</v>
      </c>
      <c r="C3443" t="s">
        <v>40</v>
      </c>
      <c r="D3443">
        <v>4.5261239999999896</v>
      </c>
      <c r="E3443">
        <v>0.365012</v>
      </c>
      <c r="F3443" t="s">
        <v>78</v>
      </c>
      <c r="G3443">
        <v>-470.91730000000001</v>
      </c>
      <c r="H3443">
        <v>2.3925369999999999</v>
      </c>
      <c r="I3443">
        <v>196.90129999999999</v>
      </c>
      <c r="J3443">
        <v>-494.03219999999999</v>
      </c>
      <c r="K3443">
        <v>1.1236219999999999</v>
      </c>
      <c r="L3443">
        <v>243.48840000000001</v>
      </c>
      <c r="M3443">
        <v>-1.8033549999999999E-2</v>
      </c>
      <c r="N3443">
        <v>-1.350491E-2</v>
      </c>
      <c r="O3443">
        <v>-0.99974609999999997</v>
      </c>
      <c r="P3443">
        <v>0.1172108</v>
      </c>
      <c r="Q3443">
        <v>0.16340560000000001</v>
      </c>
      <c r="R3443">
        <v>-0.97957150000000004</v>
      </c>
      <c r="S3443">
        <v>1.426666</v>
      </c>
      <c r="T3443">
        <v>7.8322409999999995E-2</v>
      </c>
      <c r="U3443">
        <v>-2.8825069999999999</v>
      </c>
      <c r="V3443">
        <v>-0.13561790000000001</v>
      </c>
      <c r="W3443">
        <v>0.17600669999999999</v>
      </c>
      <c r="X3443">
        <v>0.97500229999999999</v>
      </c>
      <c r="Y3443">
        <v>-0.45938780000000001</v>
      </c>
      <c r="Z3443">
        <v>-3.7789799999999998E-2</v>
      </c>
      <c r="AA3443">
        <v>0.88743159999999899</v>
      </c>
      <c r="AB3443">
        <v>19</v>
      </c>
      <c r="AC3443">
        <v>23.114899999999899</v>
      </c>
      <c r="AD3443">
        <v>1.268915</v>
      </c>
      <c r="AE3443">
        <v>-46.5871</v>
      </c>
      <c r="AF3443">
        <v>-23.9370975888564</v>
      </c>
      <c r="AG3443">
        <v>1.268915</v>
      </c>
      <c r="AH3443">
        <v>46.135175628555402</v>
      </c>
      <c r="AI3443">
        <v>88.601471526059299</v>
      </c>
      <c r="AJ3443">
        <v>117.422406233109</v>
      </c>
      <c r="AK3443">
        <v>51.9908570474974</v>
      </c>
      <c r="AL3443">
        <v>79.862753156455994</v>
      </c>
      <c r="AM3443">
        <v>97.918745593065793</v>
      </c>
      <c r="AN3443">
        <v>1.00000002912529</v>
      </c>
    </row>
    <row r="3444" spans="1:40" x14ac:dyDescent="0.25">
      <c r="A3444" t="str">
        <f>"20190303170320835"</f>
        <v>20190303170320835</v>
      </c>
      <c r="B3444" t="str">
        <f>"1551603800828717"</f>
        <v>1551603800828717</v>
      </c>
      <c r="C3444" t="s">
        <v>40</v>
      </c>
      <c r="D3444">
        <v>4.4689050000000003</v>
      </c>
      <c r="E3444">
        <v>0.3640949</v>
      </c>
      <c r="F3444" t="s">
        <v>78</v>
      </c>
      <c r="G3444">
        <v>-470.62380000000002</v>
      </c>
      <c r="H3444">
        <v>2.474059</v>
      </c>
      <c r="I3444">
        <v>196.90129999999999</v>
      </c>
      <c r="J3444">
        <v>-494.03230000000002</v>
      </c>
      <c r="K3444">
        <v>1.123656</v>
      </c>
      <c r="L3444">
        <v>243.36539999999999</v>
      </c>
      <c r="M3444">
        <v>-1.600563E-2</v>
      </c>
      <c r="N3444">
        <v>-1.350784E-2</v>
      </c>
      <c r="O3444">
        <v>-0.99978089999999997</v>
      </c>
      <c r="P3444">
        <v>0.1206371</v>
      </c>
      <c r="Q3444">
        <v>0.16345560000000001</v>
      </c>
      <c r="R3444">
        <v>-0.9791474</v>
      </c>
      <c r="S3444">
        <v>1.444977</v>
      </c>
      <c r="T3444">
        <v>8.3362820000000004E-2</v>
      </c>
      <c r="U3444">
        <v>-2.8757630000000001</v>
      </c>
      <c r="V3444">
        <v>-0.13706559999999901</v>
      </c>
      <c r="W3444">
        <v>0.176041899999999</v>
      </c>
      <c r="X3444">
        <v>0.97479340000000003</v>
      </c>
      <c r="Y3444">
        <v>-0.46291070000000001</v>
      </c>
      <c r="Z3444">
        <v>-3.9340559999999997E-2</v>
      </c>
      <c r="AA3444">
        <v>0.88553150000000003</v>
      </c>
      <c r="AB3444">
        <v>19</v>
      </c>
      <c r="AC3444">
        <v>23.4085</v>
      </c>
      <c r="AD3444">
        <v>1.350403</v>
      </c>
      <c r="AE3444">
        <v>-46.464100000000002</v>
      </c>
      <c r="AF3444">
        <v>-24.132997602563201</v>
      </c>
      <c r="AG3444">
        <v>1.350403</v>
      </c>
      <c r="AH3444">
        <v>46.052420061652697</v>
      </c>
      <c r="AI3444">
        <v>88.512191136889697</v>
      </c>
      <c r="AJ3444">
        <v>117.656031425108</v>
      </c>
      <c r="AK3444">
        <v>52.010100510214798</v>
      </c>
      <c r="AL3444">
        <v>79.8607035539181</v>
      </c>
      <c r="AM3444">
        <v>98.003880322693703</v>
      </c>
      <c r="AN3444">
        <v>0.99999995097126304</v>
      </c>
    </row>
    <row r="3445" spans="1:40" x14ac:dyDescent="0.25">
      <c r="A3445" t="str">
        <f>"20190303170320847"</f>
        <v>20190303170320847</v>
      </c>
      <c r="B3445" t="str">
        <f>"1551603800838477"</f>
        <v>1551603800838477</v>
      </c>
      <c r="C3445" t="s">
        <v>40</v>
      </c>
      <c r="D3445">
        <v>4.4985920000000004</v>
      </c>
      <c r="E3445">
        <v>0.36394349999999998</v>
      </c>
      <c r="F3445" t="s">
        <v>78</v>
      </c>
      <c r="G3445">
        <v>-470.53530000000001</v>
      </c>
      <c r="H3445">
        <v>2.512143</v>
      </c>
      <c r="I3445">
        <v>197.2439</v>
      </c>
      <c r="J3445">
        <v>-494.03190000000001</v>
      </c>
      <c r="K3445">
        <v>1.123667</v>
      </c>
      <c r="L3445">
        <v>243.26329999999999</v>
      </c>
      <c r="M3445">
        <v>-1.4281459999999999E-2</v>
      </c>
      <c r="N3445">
        <v>-1.350989E-2</v>
      </c>
      <c r="O3445">
        <v>-0.99980670000000005</v>
      </c>
      <c r="P3445">
        <v>0.123678</v>
      </c>
      <c r="Q3445">
        <v>0.1636263</v>
      </c>
      <c r="R3445">
        <v>-0.97873920000000003</v>
      </c>
      <c r="S3445">
        <v>1.4618230000000001</v>
      </c>
      <c r="T3445">
        <v>8.6384059999999999E-2</v>
      </c>
      <c r="U3445">
        <v>-2.869354</v>
      </c>
      <c r="V3445">
        <v>-0.1384205</v>
      </c>
      <c r="W3445">
        <v>0.17620150000000001</v>
      </c>
      <c r="X3445">
        <v>0.97457309999999997</v>
      </c>
      <c r="Y3445">
        <v>-0.46629579999999998</v>
      </c>
      <c r="Z3445">
        <v>-4.0266820000000002E-2</v>
      </c>
      <c r="AA3445">
        <v>0.88371200000000005</v>
      </c>
      <c r="AB3445">
        <v>19</v>
      </c>
      <c r="AC3445">
        <v>23.496600000000001</v>
      </c>
      <c r="AD3445">
        <v>1.388476</v>
      </c>
      <c r="AE3445">
        <v>-46.019399999999898</v>
      </c>
      <c r="AF3445">
        <v>-24.134060749133901</v>
      </c>
      <c r="AG3445">
        <v>1.388476</v>
      </c>
      <c r="AH3445">
        <v>45.646149242610797</v>
      </c>
      <c r="AI3445">
        <v>88.459632502621801</v>
      </c>
      <c r="AJ3445">
        <v>117.866332047801</v>
      </c>
      <c r="AK3445">
        <v>51.652218679589701</v>
      </c>
      <c r="AL3445">
        <v>79.851414082728795</v>
      </c>
      <c r="AM3445">
        <v>98.083761517732995</v>
      </c>
      <c r="AN3445">
        <v>0.99999996533305402</v>
      </c>
    </row>
    <row r="3446" spans="1:40" x14ac:dyDescent="0.25">
      <c r="A3446" t="str">
        <f>"20190303170320864"</f>
        <v>20190303170320864</v>
      </c>
      <c r="B3446" t="str">
        <f>"1551603800858973"</f>
        <v>1551603800858973</v>
      </c>
      <c r="C3446" t="s">
        <v>40</v>
      </c>
      <c r="D3446">
        <v>4.494631</v>
      </c>
      <c r="E3446">
        <v>0.36414679999999999</v>
      </c>
      <c r="F3446" t="s">
        <v>78</v>
      </c>
      <c r="G3446">
        <v>-470.53530000000001</v>
      </c>
      <c r="H3446">
        <v>2.489401</v>
      </c>
      <c r="I3446">
        <v>197.50569999999999</v>
      </c>
      <c r="J3446">
        <v>-494.03109999999998</v>
      </c>
      <c r="K3446">
        <v>1.123677</v>
      </c>
      <c r="L3446">
        <v>243.12219999999999</v>
      </c>
      <c r="M3446">
        <v>-1.1879610000000001E-2</v>
      </c>
      <c r="N3446">
        <v>-1.3512390000000001E-2</v>
      </c>
      <c r="O3446">
        <v>-0.99983820000000001</v>
      </c>
      <c r="P3446">
        <v>0.12880169999999999</v>
      </c>
      <c r="Q3446">
        <v>0.1636956</v>
      </c>
      <c r="R3446">
        <v>-0.97806669999999996</v>
      </c>
      <c r="S3446">
        <v>1.4711609999999999</v>
      </c>
      <c r="T3446">
        <v>8.5512879999999999E-2</v>
      </c>
      <c r="U3446">
        <v>-2.8649439999999999</v>
      </c>
      <c r="V3446">
        <v>-0.1411935</v>
      </c>
      <c r="W3446">
        <v>0.17625270000000001</v>
      </c>
      <c r="X3446">
        <v>0.97416599999999998</v>
      </c>
      <c r="Y3446">
        <v>-0.46700740000000002</v>
      </c>
      <c r="Z3446">
        <v>-4.0006460000000001E-2</v>
      </c>
      <c r="AA3446">
        <v>0.88334789999999996</v>
      </c>
      <c r="AB3446">
        <v>19</v>
      </c>
      <c r="AC3446">
        <v>23.4957999999999</v>
      </c>
      <c r="AD3446">
        <v>1.3657239999999999</v>
      </c>
      <c r="AE3446">
        <v>-45.616500000000002</v>
      </c>
      <c r="AF3446">
        <v>-24.019081875086101</v>
      </c>
      <c r="AG3446">
        <v>1.3657239999999999</v>
      </c>
      <c r="AH3446">
        <v>45.302041366341598</v>
      </c>
      <c r="AI3446">
        <v>88.474290616008602</v>
      </c>
      <c r="AJ3446">
        <v>117.93247546480301</v>
      </c>
      <c r="AK3446">
        <v>51.293824658763697</v>
      </c>
      <c r="AL3446">
        <v>79.848434326207993</v>
      </c>
      <c r="AM3446">
        <v>98.246898118624998</v>
      </c>
      <c r="AN3446">
        <v>1.0000000071277699</v>
      </c>
    </row>
    <row r="3447" spans="1:40" x14ac:dyDescent="0.25">
      <c r="A3447" t="str">
        <f>"20190303170320876"</f>
        <v>20190303170320876</v>
      </c>
      <c r="B3447" t="str">
        <f>"1551603800868732"</f>
        <v>1551603800868732</v>
      </c>
      <c r="C3447" t="s">
        <v>40</v>
      </c>
      <c r="D3447">
        <v>4.5043230000000003</v>
      </c>
      <c r="E3447">
        <v>0.3642688</v>
      </c>
      <c r="F3447" t="s">
        <v>78</v>
      </c>
      <c r="G3447">
        <v>-470.46159999999998</v>
      </c>
      <c r="H3447">
        <v>2.4384039999999998</v>
      </c>
      <c r="I3447">
        <v>197.7544</v>
      </c>
      <c r="J3447">
        <v>-494.03039999999999</v>
      </c>
      <c r="K3447">
        <v>1.123683</v>
      </c>
      <c r="L3447">
        <v>243.01669999999999</v>
      </c>
      <c r="M3447">
        <v>-1.007076E-2</v>
      </c>
      <c r="N3447">
        <v>-1.3513999999999899E-2</v>
      </c>
      <c r="O3447">
        <v>-0.99985800000000002</v>
      </c>
      <c r="P3447">
        <v>0.13150770000000001</v>
      </c>
      <c r="Q3447">
        <v>0.16348009999999999</v>
      </c>
      <c r="R3447">
        <v>-0.97774209999999995</v>
      </c>
      <c r="S3447">
        <v>1.4847410000000001</v>
      </c>
      <c r="T3447">
        <v>8.2822080000000006E-2</v>
      </c>
      <c r="U3447">
        <v>-2.8578950000000001</v>
      </c>
      <c r="V3447">
        <v>-0.14213000000000001</v>
      </c>
      <c r="W3447">
        <v>0.1760321</v>
      </c>
      <c r="X3447">
        <v>0.97406970000000004</v>
      </c>
      <c r="Y3447">
        <v>-0.46961560000000002</v>
      </c>
      <c r="Z3447">
        <v>-3.9182639999999998E-2</v>
      </c>
      <c r="AA3447">
        <v>0.88200100000000003</v>
      </c>
      <c r="AB3447">
        <v>19</v>
      </c>
      <c r="AC3447">
        <v>23.5688</v>
      </c>
      <c r="AD3447">
        <v>1.314721</v>
      </c>
      <c r="AE3447">
        <v>-45.262299999999897</v>
      </c>
      <c r="AF3447">
        <v>-24.007537154800399</v>
      </c>
      <c r="AG3447">
        <v>1.314721</v>
      </c>
      <c r="AH3447">
        <v>44.992763314170801</v>
      </c>
      <c r="AI3447">
        <v>88.523226015755398</v>
      </c>
      <c r="AJ3447">
        <v>118.083784865347</v>
      </c>
      <c r="AK3447">
        <v>51.014106697970902</v>
      </c>
      <c r="AL3447">
        <v>79.861274552756399</v>
      </c>
      <c r="AM3447">
        <v>98.301647134090601</v>
      </c>
      <c r="AN3447">
        <v>1.00000000879425</v>
      </c>
    </row>
    <row r="3448" spans="1:40" x14ac:dyDescent="0.25">
      <c r="A3448" t="str">
        <f>"20190303170320888"</f>
        <v>20190303170320888</v>
      </c>
      <c r="B3448" t="str">
        <f>"1551603800878493"</f>
        <v>1551603800878493</v>
      </c>
      <c r="C3448" t="s">
        <v>40</v>
      </c>
      <c r="D3448">
        <v>4.5401369999999996</v>
      </c>
      <c r="E3448">
        <v>0.3642724</v>
      </c>
      <c r="F3448" t="s">
        <v>78</v>
      </c>
      <c r="G3448">
        <v>-470.39339999999999</v>
      </c>
      <c r="H3448">
        <v>2.4011450000000001</v>
      </c>
      <c r="I3448">
        <v>197.7544</v>
      </c>
      <c r="J3448">
        <v>-494.02940000000001</v>
      </c>
      <c r="K3448">
        <v>1.1236809999999999</v>
      </c>
      <c r="L3448">
        <v>242.91800000000001</v>
      </c>
      <c r="M3448">
        <v>-8.3660619999999901E-3</v>
      </c>
      <c r="N3448">
        <v>-1.351514E-2</v>
      </c>
      <c r="O3448">
        <v>-0.99987369999999998</v>
      </c>
      <c r="P3448">
        <v>0.13413429999999901</v>
      </c>
      <c r="Q3448">
        <v>0.16308549999999999</v>
      </c>
      <c r="R3448">
        <v>-0.97745130000000002</v>
      </c>
      <c r="S3448">
        <v>1.4906010000000001</v>
      </c>
      <c r="T3448">
        <v>8.0561279999999999E-2</v>
      </c>
      <c r="U3448">
        <v>-2.8543240000000001</v>
      </c>
      <c r="V3448">
        <v>-0.1430864</v>
      </c>
      <c r="W3448">
        <v>0.17563399999999901</v>
      </c>
      <c r="X3448">
        <v>0.97400149999999996</v>
      </c>
      <c r="Y3448">
        <v>-0.46999619999999998</v>
      </c>
      <c r="Z3448">
        <v>-3.8493609999999998E-2</v>
      </c>
      <c r="AA3448">
        <v>0.88182870000000002</v>
      </c>
      <c r="AB3448">
        <v>19</v>
      </c>
      <c r="AC3448">
        <v>23.635999999999999</v>
      </c>
      <c r="AD3448">
        <v>1.2774639999999999</v>
      </c>
      <c r="AE3448">
        <v>-45.163600000000002</v>
      </c>
      <c r="AF3448">
        <v>-23.9979768951079</v>
      </c>
      <c r="AG3448">
        <v>1.2774639999999999</v>
      </c>
      <c r="AH3448">
        <v>44.936039094740401</v>
      </c>
      <c r="AI3448">
        <v>88.563521865229205</v>
      </c>
      <c r="AJ3448">
        <v>118.104332211729</v>
      </c>
      <c r="AK3448">
        <v>50.9586343896054</v>
      </c>
      <c r="AL3448">
        <v>79.884444610820907</v>
      </c>
      <c r="AM3448">
        <v>98.357299924297294</v>
      </c>
      <c r="AN3448">
        <v>0.99999997091160397</v>
      </c>
    </row>
    <row r="3449" spans="1:40" x14ac:dyDescent="0.25">
      <c r="A3449" t="str">
        <f>"20190303170320900"</f>
        <v>20190303170320900</v>
      </c>
      <c r="B3449" t="str">
        <f>"1551603800889229"</f>
        <v>1551603800889229</v>
      </c>
      <c r="C3449" t="s">
        <v>40</v>
      </c>
      <c r="D3449">
        <v>4.5580360000000004</v>
      </c>
      <c r="E3449">
        <v>0.36427599999999999</v>
      </c>
      <c r="F3449" t="s">
        <v>78</v>
      </c>
      <c r="G3449">
        <v>-470.28840000000002</v>
      </c>
      <c r="H3449">
        <v>2.3715860000000002</v>
      </c>
      <c r="I3449">
        <v>197.7544</v>
      </c>
      <c r="J3449">
        <v>-494.02820000000003</v>
      </c>
      <c r="K3449">
        <v>1.1236679999999999</v>
      </c>
      <c r="L3449">
        <v>242.81540000000001</v>
      </c>
      <c r="M3449">
        <v>-6.5879479999999997E-3</v>
      </c>
      <c r="N3449">
        <v>-1.3516179999999999E-2</v>
      </c>
      <c r="O3449">
        <v>-0.99988690000000002</v>
      </c>
      <c r="P3449">
        <v>0.13669779999999901</v>
      </c>
      <c r="Q3449">
        <v>0.16240199999999999</v>
      </c>
      <c r="R3449">
        <v>-0.97720989999999996</v>
      </c>
      <c r="S3449">
        <v>1.498383</v>
      </c>
      <c r="T3449">
        <v>7.8761819999999996E-2</v>
      </c>
      <c r="U3449">
        <v>-2.8504330000000002</v>
      </c>
      <c r="V3449">
        <v>-0.1439077</v>
      </c>
      <c r="W3449">
        <v>0.17494860000000001</v>
      </c>
      <c r="X3449">
        <v>0.97400390000000003</v>
      </c>
      <c r="Y3449">
        <v>-0.47081699999999999</v>
      </c>
      <c r="Z3449">
        <v>-3.7941849999999999E-2</v>
      </c>
      <c r="AA3449">
        <v>0.881414699999999</v>
      </c>
      <c r="AB3449">
        <v>19</v>
      </c>
      <c r="AC3449">
        <v>23.739799999999999</v>
      </c>
      <c r="AD3449">
        <v>1.2479180000000001</v>
      </c>
      <c r="AE3449">
        <v>-45.061</v>
      </c>
      <c r="AF3449">
        <v>-24.0217504142087</v>
      </c>
      <c r="AG3449">
        <v>1.2479180000000001</v>
      </c>
      <c r="AH3449">
        <v>44.876670284743703</v>
      </c>
      <c r="AI3449">
        <v>88.595598332362101</v>
      </c>
      <c r="AJ3449">
        <v>118.159417633149</v>
      </c>
      <c r="AK3449">
        <v>50.916768634143097</v>
      </c>
      <c r="AL3449">
        <v>79.924333222844098</v>
      </c>
      <c r="AM3449">
        <v>98.404566225327997</v>
      </c>
      <c r="AN3449">
        <v>1.00000001798823</v>
      </c>
    </row>
    <row r="3450" spans="1:40" x14ac:dyDescent="0.25">
      <c r="A3450" t="str">
        <f>"20190303170320912"</f>
        <v>20190303170320912</v>
      </c>
      <c r="B3450" t="str">
        <f>"1551603800898989"</f>
        <v>1551603800898989</v>
      </c>
      <c r="C3450" t="s">
        <v>40</v>
      </c>
      <c r="D3450">
        <v>4.5643710000000004</v>
      </c>
      <c r="E3450">
        <v>0.36421910000000002</v>
      </c>
      <c r="F3450" t="s">
        <v>78</v>
      </c>
      <c r="G3450">
        <v>-470.19869999999997</v>
      </c>
      <c r="H3450">
        <v>2.3355730000000001</v>
      </c>
      <c r="I3450">
        <v>197.7544</v>
      </c>
      <c r="J3450">
        <v>-494.02690000000001</v>
      </c>
      <c r="K3450">
        <v>1.123661</v>
      </c>
      <c r="L3450">
        <v>242.70959999999999</v>
      </c>
      <c r="M3450">
        <v>-4.7492430000000002E-3</v>
      </c>
      <c r="N3450">
        <v>-1.3517090000000001E-2</v>
      </c>
      <c r="O3450">
        <v>-0.99989729999999999</v>
      </c>
      <c r="P3450">
        <v>0.13930129999999999</v>
      </c>
      <c r="Q3450">
        <v>0.16185329999999901</v>
      </c>
      <c r="R3450">
        <v>-0.97693350000000001</v>
      </c>
      <c r="S3450">
        <v>1.5054019999999999</v>
      </c>
      <c r="T3450">
        <v>7.6562519999999995E-2</v>
      </c>
      <c r="U3450">
        <v>-2.8466640000000001</v>
      </c>
      <c r="V3450">
        <v>-0.14471020000000001</v>
      </c>
      <c r="W3450">
        <v>0.17439830000000001</v>
      </c>
      <c r="X3450">
        <v>0.97398370000000001</v>
      </c>
      <c r="Y3450">
        <v>-0.47138530000000001</v>
      </c>
      <c r="Z3450">
        <v>-3.7267370000000001E-2</v>
      </c>
      <c r="AA3450">
        <v>0.88113960000000002</v>
      </c>
      <c r="AB3450">
        <v>19</v>
      </c>
      <c r="AC3450">
        <v>23.828199999999999</v>
      </c>
      <c r="AD3450">
        <v>1.2119120000000001</v>
      </c>
      <c r="AE3450">
        <v>-44.955199999999898</v>
      </c>
      <c r="AF3450">
        <v>-24.0278217129508</v>
      </c>
      <c r="AG3450">
        <v>1.2119120000000001</v>
      </c>
      <c r="AH3450">
        <v>44.816090219755502</v>
      </c>
      <c r="AI3450">
        <v>88.634748940378898</v>
      </c>
      <c r="AJ3450">
        <v>118.197661462144</v>
      </c>
      <c r="AK3450">
        <v>50.865380068867601</v>
      </c>
      <c r="AL3450">
        <v>79.956355491597506</v>
      </c>
      <c r="AM3450">
        <v>98.450932010752595</v>
      </c>
      <c r="AN3450">
        <v>1.0000000284463</v>
      </c>
    </row>
    <row r="3451" spans="1:40" x14ac:dyDescent="0.25">
      <c r="A3451" t="str">
        <f>"20190303170320930"</f>
        <v>20190303170320930</v>
      </c>
      <c r="B3451" t="str">
        <f>"1551603800918509"</f>
        <v>1551603800918509</v>
      </c>
      <c r="C3451" t="s">
        <v>40</v>
      </c>
      <c r="D3451">
        <v>4.5650060000000003</v>
      </c>
      <c r="E3451">
        <v>0.36423309999999998</v>
      </c>
      <c r="F3451" t="s">
        <v>78</v>
      </c>
      <c r="G3451">
        <v>-470.10109999999997</v>
      </c>
      <c r="H3451">
        <v>2.3114680000000001</v>
      </c>
      <c r="I3451">
        <v>197.7544</v>
      </c>
      <c r="J3451">
        <v>-494.02449999999999</v>
      </c>
      <c r="K3451">
        <v>1.1236489999999999</v>
      </c>
      <c r="L3451">
        <v>242.56800000000001</v>
      </c>
      <c r="M3451">
        <v>-2.2766660000000001E-3</v>
      </c>
      <c r="N3451">
        <v>-1.351801E-2</v>
      </c>
      <c r="O3451">
        <v>-0.99990619999999997</v>
      </c>
      <c r="P3451">
        <v>0.14337030000000001</v>
      </c>
      <c r="Q3451">
        <v>0.16018750000000001</v>
      </c>
      <c r="R3451">
        <v>-0.97661960000000003</v>
      </c>
      <c r="S3451">
        <v>1.5129090000000001</v>
      </c>
      <c r="T3451">
        <v>7.5111150000000002E-2</v>
      </c>
      <c r="U3451">
        <v>-2.8426670000000001</v>
      </c>
      <c r="V3451">
        <v>-0.1463536</v>
      </c>
      <c r="W3451">
        <v>0.17272939999999901</v>
      </c>
      <c r="X3451">
        <v>0.97403550000000005</v>
      </c>
      <c r="Y3451">
        <v>-0.47153859999999997</v>
      </c>
      <c r="Z3451">
        <v>-3.6825179999999999E-2</v>
      </c>
      <c r="AA3451">
        <v>0.88107619999999898</v>
      </c>
      <c r="AB3451">
        <v>19</v>
      </c>
      <c r="AC3451">
        <v>23.923400000000001</v>
      </c>
      <c r="AD3451">
        <v>1.187819</v>
      </c>
      <c r="AE3451">
        <v>-44.813599999999902</v>
      </c>
      <c r="AF3451">
        <v>-24.012244408392601</v>
      </c>
      <c r="AG3451">
        <v>1.187819</v>
      </c>
      <c r="AH3451">
        <v>44.734555050509897</v>
      </c>
      <c r="AI3451">
        <v>88.659793424294406</v>
      </c>
      <c r="AJ3451">
        <v>118.225645883586</v>
      </c>
      <c r="AK3451">
        <v>50.785620120977597</v>
      </c>
      <c r="AL3451">
        <v>80.053449668394904</v>
      </c>
      <c r="AM3451">
        <v>98.545048012598997</v>
      </c>
      <c r="AN3451">
        <v>0.99999998855878403</v>
      </c>
    </row>
    <row r="3452" spans="1:40" x14ac:dyDescent="0.25">
      <c r="A3452" t="str">
        <f>"20190303170320942"</f>
        <v>20190303170320942</v>
      </c>
      <c r="B3452" t="str">
        <f>"1551603800929245"</f>
        <v>1551603800929245</v>
      </c>
      <c r="C3452" t="s">
        <v>40</v>
      </c>
      <c r="D3452">
        <v>4.5730000000000004</v>
      </c>
      <c r="E3452">
        <v>0.36426340000000001</v>
      </c>
      <c r="F3452" t="s">
        <v>78</v>
      </c>
      <c r="G3452">
        <v>-469.82740000000001</v>
      </c>
      <c r="H3452">
        <v>2.221654</v>
      </c>
      <c r="I3452">
        <v>197.51820000000001</v>
      </c>
      <c r="J3452">
        <v>-494.02269999999999</v>
      </c>
      <c r="K3452">
        <v>1.1236409999999999</v>
      </c>
      <c r="L3452">
        <v>242.46430000000001</v>
      </c>
      <c r="M3452">
        <v>-4.5714189999999997E-4</v>
      </c>
      <c r="N3452">
        <v>-1.3518519999999999E-2</v>
      </c>
      <c r="O3452">
        <v>-0.99990849999999998</v>
      </c>
      <c r="P3452">
        <v>0.14609150000000001</v>
      </c>
      <c r="Q3452">
        <v>0.1593955</v>
      </c>
      <c r="R3452">
        <v>-0.97634540000000003</v>
      </c>
      <c r="S3452">
        <v>1.523712</v>
      </c>
      <c r="T3452">
        <v>6.9144129999999998E-2</v>
      </c>
      <c r="U3452">
        <v>-2.8368069999999999</v>
      </c>
      <c r="V3452">
        <v>-0.1472926</v>
      </c>
      <c r="W3452">
        <v>0.17193510000000001</v>
      </c>
      <c r="X3452">
        <v>0.97403450000000003</v>
      </c>
      <c r="Y3452">
        <v>-0.47332180000000001</v>
      </c>
      <c r="Z3452">
        <v>-3.4980070000000002E-2</v>
      </c>
      <c r="AA3452">
        <v>0.88019480000000005</v>
      </c>
      <c r="AB3452">
        <v>19</v>
      </c>
      <c r="AC3452">
        <v>24.1952999999999</v>
      </c>
      <c r="AD3452">
        <v>1.0980129999999999</v>
      </c>
      <c r="AE3452">
        <v>-44.946100000000001</v>
      </c>
      <c r="AF3452">
        <v>-24.204646253292999</v>
      </c>
      <c r="AG3452">
        <v>1.0980129999999999</v>
      </c>
      <c r="AH3452">
        <v>44.914251129410999</v>
      </c>
      <c r="AI3452">
        <v>88.767141939034104</v>
      </c>
      <c r="AJ3452">
        <v>118.32057975750401</v>
      </c>
      <c r="AK3452">
        <v>51.032935319370097</v>
      </c>
      <c r="AL3452">
        <v>80.099651024058602</v>
      </c>
      <c r="AM3452">
        <v>98.599064445165098</v>
      </c>
      <c r="AN3452">
        <v>0.99999999790851002</v>
      </c>
    </row>
    <row r="3453" spans="1:40" x14ac:dyDescent="0.25">
      <c r="A3453" t="str">
        <f>"20190303170320956"</f>
        <v>20190303170320956</v>
      </c>
      <c r="B3453" t="str">
        <f>"1551603800939005"</f>
        <v>1551603800939005</v>
      </c>
      <c r="C3453" t="s">
        <v>40</v>
      </c>
      <c r="D3453">
        <v>4.5768599999999999</v>
      </c>
      <c r="E3453">
        <v>0.36430560000000001</v>
      </c>
      <c r="F3453" t="s">
        <v>78</v>
      </c>
      <c r="G3453">
        <v>-469.7319</v>
      </c>
      <c r="H3453">
        <v>2.1789170000000002</v>
      </c>
      <c r="I3453">
        <v>197.51820000000001</v>
      </c>
      <c r="J3453">
        <v>-494.0204</v>
      </c>
      <c r="K3453">
        <v>1.1236330000000001</v>
      </c>
      <c r="L3453">
        <v>242.34870000000001</v>
      </c>
      <c r="M3453">
        <v>1.578547E-3</v>
      </c>
      <c r="N3453">
        <v>-1.351898E-2</v>
      </c>
      <c r="O3453">
        <v>-0.9999074</v>
      </c>
      <c r="P3453">
        <v>0.14877609999999999</v>
      </c>
      <c r="Q3453">
        <v>0.15908989999999901</v>
      </c>
      <c r="R3453">
        <v>-0.97598980000000002</v>
      </c>
      <c r="S3453">
        <v>1.530945</v>
      </c>
      <c r="T3453">
        <v>6.6511509999999996E-2</v>
      </c>
      <c r="U3453">
        <v>-2.832748</v>
      </c>
      <c r="V3453">
        <v>-0.14798649999999999</v>
      </c>
      <c r="W3453">
        <v>0.17162839999999999</v>
      </c>
      <c r="X3453">
        <v>0.97398340000000005</v>
      </c>
      <c r="Y3453">
        <v>-0.47380640000000002</v>
      </c>
      <c r="Z3453">
        <v>-3.4168469999999999E-2</v>
      </c>
      <c r="AA3453">
        <v>0.87996589999999997</v>
      </c>
      <c r="AB3453">
        <v>19</v>
      </c>
      <c r="AC3453">
        <v>24.288499999999999</v>
      </c>
      <c r="AD3453">
        <v>1.0552840000000001</v>
      </c>
      <c r="AE3453">
        <v>-44.830500000000001</v>
      </c>
      <c r="AF3453">
        <v>-24.207326629212101</v>
      </c>
      <c r="AG3453">
        <v>1.0552840000000001</v>
      </c>
      <c r="AH3453">
        <v>44.8495761587956</v>
      </c>
      <c r="AI3453">
        <v>88.813810986064198</v>
      </c>
      <c r="AJ3453">
        <v>118.35772543706101</v>
      </c>
      <c r="AK3453">
        <v>50.9763942278936</v>
      </c>
      <c r="AL3453">
        <v>80.117488695517196</v>
      </c>
      <c r="AM3453">
        <v>98.639411512729296</v>
      </c>
      <c r="AN3453">
        <v>0.99999998767218401</v>
      </c>
    </row>
    <row r="3454" spans="1:40" x14ac:dyDescent="0.25">
      <c r="A3454" t="str">
        <f>"20190303170320971"</f>
        <v>20190303170320971</v>
      </c>
      <c r="B3454" t="str">
        <f>"1551603800958525"</f>
        <v>1551603800958525</v>
      </c>
      <c r="C3454" t="s">
        <v>40</v>
      </c>
      <c r="D3454">
        <v>4.5943069999999997</v>
      </c>
      <c r="E3454">
        <v>0.36442400000000003</v>
      </c>
      <c r="F3454" t="s">
        <v>78</v>
      </c>
      <c r="G3454">
        <v>-469.63729999999998</v>
      </c>
      <c r="H3454">
        <v>2.1554920000000002</v>
      </c>
      <c r="I3454">
        <v>197.51820000000001</v>
      </c>
      <c r="J3454">
        <v>-494.01749999999998</v>
      </c>
      <c r="K3454">
        <v>1.123631</v>
      </c>
      <c r="L3454">
        <v>242.22210000000001</v>
      </c>
      <c r="M3454">
        <v>3.8256729999999999E-3</v>
      </c>
      <c r="N3454">
        <v>-1.3519400000000001E-2</v>
      </c>
      <c r="O3454">
        <v>-0.99990140000000005</v>
      </c>
      <c r="P3454">
        <v>0.15161559999999999</v>
      </c>
      <c r="Q3454">
        <v>0.15912490000000001</v>
      </c>
      <c r="R3454">
        <v>-0.97554739999999995</v>
      </c>
      <c r="S3454">
        <v>1.538513</v>
      </c>
      <c r="T3454">
        <v>6.5109609999999998E-2</v>
      </c>
      <c r="U3454">
        <v>-2.8286739999999999</v>
      </c>
      <c r="V3454">
        <v>-0.1486326</v>
      </c>
      <c r="W3454">
        <v>0.17166029999999999</v>
      </c>
      <c r="X3454">
        <v>0.97387939999999995</v>
      </c>
      <c r="Y3454">
        <v>-0.4741822</v>
      </c>
      <c r="Z3454">
        <v>-3.3737219999999998E-2</v>
      </c>
      <c r="AA3454">
        <v>0.87978009999999995</v>
      </c>
      <c r="AB3454">
        <v>19</v>
      </c>
      <c r="AC3454">
        <v>24.380199999999999</v>
      </c>
      <c r="AD3454">
        <v>1.0318609999999899</v>
      </c>
      <c r="AE3454">
        <v>-44.703899999999997</v>
      </c>
      <c r="AF3454">
        <v>-24.199046191396398</v>
      </c>
      <c r="AG3454">
        <v>1.0318609999999899</v>
      </c>
      <c r="AH3454">
        <v>44.778463879449603</v>
      </c>
      <c r="AI3454">
        <v>88.838617194808194</v>
      </c>
      <c r="AJ3454">
        <v>118.387544365713</v>
      </c>
      <c r="AK3454">
        <v>50.909423499975297</v>
      </c>
      <c r="AL3454">
        <v>80.115633519777404</v>
      </c>
      <c r="AM3454">
        <v>98.677470312064401</v>
      </c>
      <c r="AN3454">
        <v>0.99999999706160403</v>
      </c>
    </row>
    <row r="3455" spans="1:40" x14ac:dyDescent="0.25">
      <c r="A3455" t="str">
        <f>"20190303170320989"</f>
        <v>20190303170320989</v>
      </c>
      <c r="B3455" t="str">
        <f>"1551603800979021"</f>
        <v>1551603800979021</v>
      </c>
      <c r="C3455" t="s">
        <v>40</v>
      </c>
      <c r="D3455">
        <v>4.5924469999999999</v>
      </c>
      <c r="E3455">
        <v>0.36458770000000001</v>
      </c>
      <c r="F3455" t="s">
        <v>78</v>
      </c>
      <c r="G3455">
        <v>-469.55900000000003</v>
      </c>
      <c r="H3455">
        <v>2.1568580000000002</v>
      </c>
      <c r="I3455">
        <v>197.51820000000001</v>
      </c>
      <c r="J3455">
        <v>-494.01389999999998</v>
      </c>
      <c r="K3455">
        <v>1.1236299999999999</v>
      </c>
      <c r="L3455">
        <v>242.07429999999999</v>
      </c>
      <c r="M3455">
        <v>6.4688259999999996E-3</v>
      </c>
      <c r="N3455">
        <v>-1.351989E-2</v>
      </c>
      <c r="O3455">
        <v>-0.99988770000000005</v>
      </c>
      <c r="P3455">
        <v>0.15552920000000001</v>
      </c>
      <c r="Q3455">
        <v>0.15947600000000001</v>
      </c>
      <c r="R3455">
        <v>-0.97487310000000005</v>
      </c>
      <c r="S3455">
        <v>1.545288</v>
      </c>
      <c r="T3455">
        <v>6.5281149999999996E-2</v>
      </c>
      <c r="U3455">
        <v>-2.8243710000000002</v>
      </c>
      <c r="V3455">
        <v>-0.1499711</v>
      </c>
      <c r="W3455">
        <v>0.1720023</v>
      </c>
      <c r="X3455">
        <v>0.97361390000000003</v>
      </c>
      <c r="Y3455">
        <v>-0.47404269999999998</v>
      </c>
      <c r="Z3455">
        <v>-3.3798370000000001E-2</v>
      </c>
      <c r="AA3455">
        <v>0.879853</v>
      </c>
      <c r="AB3455">
        <v>19</v>
      </c>
      <c r="AC3455">
        <v>24.454899999999899</v>
      </c>
      <c r="AD3455">
        <v>1.033228</v>
      </c>
      <c r="AE3455">
        <v>-44.556100000000001</v>
      </c>
      <c r="AF3455">
        <v>-24.156153555137401</v>
      </c>
      <c r="AG3455">
        <v>1.033228</v>
      </c>
      <c r="AH3455">
        <v>44.694906077086003</v>
      </c>
      <c r="AI3455">
        <v>88.834930200223397</v>
      </c>
      <c r="AJ3455">
        <v>118.389790016643</v>
      </c>
      <c r="AK3455">
        <v>50.815567928725301</v>
      </c>
      <c r="AL3455">
        <v>80.095743283193201</v>
      </c>
      <c r="AM3455">
        <v>98.756759634716502</v>
      </c>
      <c r="AN3455">
        <v>1.00000007415685</v>
      </c>
    </row>
    <row r="3456" spans="1:40" x14ac:dyDescent="0.25">
      <c r="A3456" t="str">
        <f>"20190303170321012"</f>
        <v>20190303170321012</v>
      </c>
      <c r="B3456" t="str">
        <f>"1551603800998541"</f>
        <v>1551603800998541</v>
      </c>
      <c r="C3456" t="s">
        <v>40</v>
      </c>
      <c r="D3456">
        <v>4.6013890000000002</v>
      </c>
      <c r="E3456">
        <v>0.36483529999999997</v>
      </c>
      <c r="F3456" t="s">
        <v>78</v>
      </c>
      <c r="G3456">
        <v>-469.42410000000001</v>
      </c>
      <c r="H3456">
        <v>2.1760630000000001</v>
      </c>
      <c r="I3456">
        <v>197.51820000000001</v>
      </c>
      <c r="J3456">
        <v>-494.00869999999998</v>
      </c>
      <c r="K3456">
        <v>1.123632</v>
      </c>
      <c r="L3456">
        <v>241.88849999999999</v>
      </c>
      <c r="M3456">
        <v>9.8318280000000008E-3</v>
      </c>
      <c r="N3456">
        <v>-1.352067E-2</v>
      </c>
      <c r="O3456">
        <v>-0.99986030000000004</v>
      </c>
      <c r="P3456">
        <v>0.15996179999999999</v>
      </c>
      <c r="Q3456">
        <v>0.159183399999999</v>
      </c>
      <c r="R3456">
        <v>-0.97420370000000001</v>
      </c>
      <c r="S3456">
        <v>1.5553589999999999</v>
      </c>
      <c r="T3456">
        <v>6.6570879999999999E-2</v>
      </c>
      <c r="U3456">
        <v>-2.8182680000000002</v>
      </c>
      <c r="V3456">
        <v>-0.1511285</v>
      </c>
      <c r="W3456">
        <v>0.1717012</v>
      </c>
      <c r="X3456">
        <v>0.97348800000000002</v>
      </c>
      <c r="Y3456">
        <v>-0.47429169999999998</v>
      </c>
      <c r="Z3456">
        <v>-3.4208349999999998E-2</v>
      </c>
      <c r="AA3456">
        <v>0.87970289999999995</v>
      </c>
      <c r="AB3456">
        <v>19</v>
      </c>
      <c r="AC3456">
        <v>24.584599999999899</v>
      </c>
      <c r="AD3456">
        <v>1.0524309999999999</v>
      </c>
      <c r="AE3456">
        <v>-44.370299999999901</v>
      </c>
      <c r="AF3456">
        <v>-24.1367407600357</v>
      </c>
      <c r="AG3456">
        <v>1.0524309999999999</v>
      </c>
      <c r="AH3456">
        <v>44.590694457675603</v>
      </c>
      <c r="AI3456">
        <v>88.810922180749401</v>
      </c>
      <c r="AJ3456">
        <v>118.426482466306</v>
      </c>
      <c r="AK3456">
        <v>50.715085504657402</v>
      </c>
      <c r="AL3456">
        <v>80.1132548926944</v>
      </c>
      <c r="AM3456">
        <v>98.824403562037304</v>
      </c>
      <c r="AN3456">
        <v>1.0000000058688401</v>
      </c>
    </row>
    <row r="3457" spans="1:40" x14ac:dyDescent="0.25">
      <c r="A3457" t="str">
        <f>"20190303170321034"</f>
        <v>20190303170321034</v>
      </c>
      <c r="B3457" t="str">
        <f>"1551603801019039"</f>
        <v>1551603801019039</v>
      </c>
      <c r="C3457" t="s">
        <v>40</v>
      </c>
      <c r="D3457">
        <v>4.6198519999999998</v>
      </c>
      <c r="E3457">
        <v>0.3650757</v>
      </c>
      <c r="F3457" t="s">
        <v>78</v>
      </c>
      <c r="G3457">
        <v>-469.20310000000001</v>
      </c>
      <c r="H3457">
        <v>2.1622520000000001</v>
      </c>
      <c r="I3457">
        <v>197.345</v>
      </c>
      <c r="J3457">
        <v>-494.00259999999997</v>
      </c>
      <c r="K3457">
        <v>1.12365</v>
      </c>
      <c r="L3457">
        <v>241.70009999999999</v>
      </c>
      <c r="M3457">
        <v>1.330726E-2</v>
      </c>
      <c r="N3457">
        <v>-1.3521679999999999E-2</v>
      </c>
      <c r="O3457">
        <v>-0.99982009999999999</v>
      </c>
      <c r="P3457">
        <v>0.16487579999999999</v>
      </c>
      <c r="Q3457">
        <v>0.15842879999999901</v>
      </c>
      <c r="R3457">
        <v>-0.97350729999999996</v>
      </c>
      <c r="S3457">
        <v>1.5657650000000001</v>
      </c>
      <c r="T3457">
        <v>6.5561179999999997E-2</v>
      </c>
      <c r="U3457">
        <v>-2.8116460000000001</v>
      </c>
      <c r="V3457">
        <v>-0.1526632</v>
      </c>
      <c r="W3457">
        <v>0.17093259999999999</v>
      </c>
      <c r="X3457">
        <v>0.97338380000000002</v>
      </c>
      <c r="Y3457">
        <v>-0.47460140000000001</v>
      </c>
      <c r="Z3457">
        <v>-3.390464E-2</v>
      </c>
      <c r="AA3457">
        <v>0.87954759999999998</v>
      </c>
      <c r="AB3457">
        <v>19</v>
      </c>
      <c r="AC3457">
        <v>24.799499999999899</v>
      </c>
      <c r="AD3457">
        <v>1.038602</v>
      </c>
      <c r="AE3457">
        <v>-44.355099999999901</v>
      </c>
      <c r="AF3457">
        <v>-24.196897621727398</v>
      </c>
      <c r="AG3457">
        <v>1.038602</v>
      </c>
      <c r="AH3457">
        <v>44.662559314388503</v>
      </c>
      <c r="AI3457">
        <v>88.828663367509506</v>
      </c>
      <c r="AJ3457">
        <v>118.447568280167</v>
      </c>
      <c r="AK3457">
        <v>50.806621154550598</v>
      </c>
      <c r="AL3457">
        <v>80.157953334584704</v>
      </c>
      <c r="AM3457">
        <v>98.913522044722001</v>
      </c>
      <c r="AN3457">
        <v>1.0000000142397101</v>
      </c>
    </row>
    <row r="3458" spans="1:40" x14ac:dyDescent="0.25">
      <c r="A3458" t="str">
        <f>"20190303170321051"</f>
        <v>20190303170321051</v>
      </c>
      <c r="B3458" t="str">
        <f>"1551603801038557"</f>
        <v>1551603801038557</v>
      </c>
      <c r="C3458" t="s">
        <v>40</v>
      </c>
      <c r="D3458">
        <v>4.5901370000000004</v>
      </c>
      <c r="E3458">
        <v>0.3655118</v>
      </c>
      <c r="F3458" t="s">
        <v>78</v>
      </c>
      <c r="G3458">
        <v>-469.04500000000002</v>
      </c>
      <c r="H3458">
        <v>2.100139</v>
      </c>
      <c r="I3458">
        <v>197.345</v>
      </c>
      <c r="J3458">
        <v>-493.9975</v>
      </c>
      <c r="K3458">
        <v>1.1236729999999999</v>
      </c>
      <c r="L3458">
        <v>241.5558</v>
      </c>
      <c r="M3458">
        <v>1.603131E-2</v>
      </c>
      <c r="N3458">
        <v>-1.352307E-2</v>
      </c>
      <c r="O3458">
        <v>-0.99978020000000001</v>
      </c>
      <c r="P3458">
        <v>0.16824909999999901</v>
      </c>
      <c r="Q3458">
        <v>0.1583012</v>
      </c>
      <c r="R3458">
        <v>-0.97295089999999995</v>
      </c>
      <c r="S3458">
        <v>1.5779719999999999</v>
      </c>
      <c r="T3458">
        <v>6.174147E-2</v>
      </c>
      <c r="U3458">
        <v>-2.8043819999999999</v>
      </c>
      <c r="V3458">
        <v>-0.15339520000000001</v>
      </c>
      <c r="W3458">
        <v>0.1707931</v>
      </c>
      <c r="X3458">
        <v>0.97329319999999997</v>
      </c>
      <c r="Y3458">
        <v>-0.47609980000000002</v>
      </c>
      <c r="Z3458">
        <v>-3.2721269999999997E-2</v>
      </c>
      <c r="AA3458">
        <v>0.87878230000000002</v>
      </c>
      <c r="AB3458">
        <v>19</v>
      </c>
      <c r="AC3458">
        <v>24.952499999999901</v>
      </c>
      <c r="AD3458">
        <v>0.97646599999999995</v>
      </c>
      <c r="AE3458">
        <v>-44.210799999999999</v>
      </c>
      <c r="AF3458">
        <v>-24.231506189989702</v>
      </c>
      <c r="AG3458">
        <v>0.97646599999999995</v>
      </c>
      <c r="AH3458">
        <v>44.5886789074072</v>
      </c>
      <c r="AI3458">
        <v>88.897671867661302</v>
      </c>
      <c r="AJ3458">
        <v>118.52165890442301</v>
      </c>
      <c r="AK3458">
        <v>50.756966662641801</v>
      </c>
      <c r="AL3458">
        <v>80.166065360414606</v>
      </c>
      <c r="AM3458">
        <v>98.956390234399706</v>
      </c>
      <c r="AN3458">
        <v>1.00000001177844</v>
      </c>
    </row>
    <row r="3459" spans="1:40" x14ac:dyDescent="0.25">
      <c r="A3459" t="str">
        <f>"20190303170321066"</f>
        <v>20190303170321066</v>
      </c>
      <c r="B3459" t="str">
        <f>"1551603801059053"</f>
        <v>1551603801059053</v>
      </c>
      <c r="C3459" t="s">
        <v>40</v>
      </c>
      <c r="D3459">
        <v>4.5786920000000002</v>
      </c>
      <c r="E3459">
        <v>0.36591760000000001</v>
      </c>
      <c r="F3459" t="s">
        <v>78</v>
      </c>
      <c r="G3459">
        <v>-468.99560000000002</v>
      </c>
      <c r="H3459">
        <v>2.0428480000000002</v>
      </c>
      <c r="I3459">
        <v>197.345</v>
      </c>
      <c r="J3459">
        <v>-493.99259999999998</v>
      </c>
      <c r="K3459">
        <v>1.1237060000000001</v>
      </c>
      <c r="L3459">
        <v>241.42769999999999</v>
      </c>
      <c r="M3459">
        <v>1.8505259999999999E-2</v>
      </c>
      <c r="N3459">
        <v>-1.352484E-2</v>
      </c>
      <c r="O3459">
        <v>-0.99973730000000005</v>
      </c>
      <c r="P3459">
        <v>0.17205799999999999</v>
      </c>
      <c r="Q3459">
        <v>0.15866440000000001</v>
      </c>
      <c r="R3459">
        <v>-0.97222520000000001</v>
      </c>
      <c r="S3459">
        <v>1.583496</v>
      </c>
      <c r="T3459">
        <v>5.8217999999999902E-2</v>
      </c>
      <c r="U3459">
        <v>-2.8000790000000002</v>
      </c>
      <c r="V3459">
        <v>-0.1548165</v>
      </c>
      <c r="W3459">
        <v>0.1711365</v>
      </c>
      <c r="X3459">
        <v>0.97300779999999998</v>
      </c>
      <c r="Y3459">
        <v>-0.47582950000000002</v>
      </c>
      <c r="Z3459">
        <v>-3.1632029999999998E-2</v>
      </c>
      <c r="AA3459">
        <v>0.87896849999999904</v>
      </c>
      <c r="AB3459">
        <v>19</v>
      </c>
      <c r="AC3459">
        <v>24.9969999999999</v>
      </c>
      <c r="AD3459">
        <v>0.91914200000000001</v>
      </c>
      <c r="AE3459">
        <v>-44.082699999999903</v>
      </c>
      <c r="AF3459">
        <v>-24.168931683130101</v>
      </c>
      <c r="AG3459">
        <v>0.91914200000000001</v>
      </c>
      <c r="AH3459">
        <v>44.523121846234602</v>
      </c>
      <c r="AI3459">
        <v>88.960578819318499</v>
      </c>
      <c r="AJ3459">
        <v>118.494880186334</v>
      </c>
      <c r="AK3459">
        <v>50.668436522697498</v>
      </c>
      <c r="AL3459">
        <v>80.146096011371895</v>
      </c>
      <c r="AM3459">
        <v>99.040620207116106</v>
      </c>
      <c r="AN3459">
        <v>1.00000001458267</v>
      </c>
    </row>
    <row r="3460" spans="1:40" x14ac:dyDescent="0.25">
      <c r="A3460" t="str">
        <f>"20190303170321090"</f>
        <v>20190303170321090</v>
      </c>
      <c r="B3460" t="str">
        <f>"1551603801078573"</f>
        <v>1551603801078573</v>
      </c>
      <c r="C3460" t="s">
        <v>40</v>
      </c>
      <c r="D3460">
        <v>4.6150630000000001</v>
      </c>
      <c r="E3460">
        <v>0.36621379999999998</v>
      </c>
      <c r="F3460" t="s">
        <v>78</v>
      </c>
      <c r="G3460">
        <v>-468.89</v>
      </c>
      <c r="H3460">
        <v>2.0107249999999999</v>
      </c>
      <c r="I3460">
        <v>197.345</v>
      </c>
      <c r="J3460">
        <v>-493.98439999999999</v>
      </c>
      <c r="K3460">
        <v>1.1237699999999999</v>
      </c>
      <c r="L3460">
        <v>241.2336</v>
      </c>
      <c r="M3460">
        <v>2.235384E-2</v>
      </c>
      <c r="N3460">
        <v>-1.3528419999999999E-2</v>
      </c>
      <c r="O3460">
        <v>-0.99965870000000001</v>
      </c>
      <c r="P3460">
        <v>0.17673920000000001</v>
      </c>
      <c r="Q3460">
        <v>0.159052</v>
      </c>
      <c r="R3460">
        <v>-0.97132180000000001</v>
      </c>
      <c r="S3460">
        <v>1.5915220000000001</v>
      </c>
      <c r="T3460">
        <v>5.6239600000000001E-2</v>
      </c>
      <c r="U3460">
        <v>-2.794861</v>
      </c>
      <c r="V3460">
        <v>-0.15578819999999999</v>
      </c>
      <c r="W3460">
        <v>0.17149779999999901</v>
      </c>
      <c r="X3460">
        <v>0.97278900000000001</v>
      </c>
      <c r="Y3460">
        <v>-0.4750627</v>
      </c>
      <c r="Z3460">
        <v>-3.102282E-2</v>
      </c>
      <c r="AA3460">
        <v>0.87940490000000004</v>
      </c>
      <c r="AB3460">
        <v>19</v>
      </c>
      <c r="AC3460">
        <v>25.0944</v>
      </c>
      <c r="AD3460">
        <v>0.88695499999999905</v>
      </c>
      <c r="AE3460">
        <v>-43.888599999999997</v>
      </c>
      <c r="AF3460">
        <v>-24.0995423178979</v>
      </c>
      <c r="AG3460">
        <v>0.88695499999999905</v>
      </c>
      <c r="AH3460">
        <v>44.424965156409499</v>
      </c>
      <c r="AI3460">
        <v>88.994601754714196</v>
      </c>
      <c r="AJ3460">
        <v>118.478833400916</v>
      </c>
      <c r="AK3460">
        <v>50.548512918308198</v>
      </c>
      <c r="AL3460">
        <v>80.125083751305795</v>
      </c>
      <c r="AM3460">
        <v>99.098429256801694</v>
      </c>
      <c r="AN3460">
        <v>0.99999994859253805</v>
      </c>
    </row>
    <row r="3461" spans="1:40" x14ac:dyDescent="0.25">
      <c r="A3461" t="str">
        <f>"20190303170321110"</f>
        <v>20190303170321110</v>
      </c>
      <c r="B3461" t="str">
        <f>"1551603801099070"</f>
        <v>1551603801099070</v>
      </c>
      <c r="C3461" t="s">
        <v>40</v>
      </c>
      <c r="D3461">
        <v>4.5940209999999997</v>
      </c>
      <c r="E3461">
        <v>0.37272339999999998</v>
      </c>
      <c r="F3461" t="s">
        <v>78</v>
      </c>
      <c r="G3461">
        <v>-468.75139999999999</v>
      </c>
      <c r="H3461">
        <v>2.027291</v>
      </c>
      <c r="I3461">
        <v>197.345</v>
      </c>
      <c r="J3461">
        <v>-493.97629999999998</v>
      </c>
      <c r="K3461">
        <v>1.123837</v>
      </c>
      <c r="L3461">
        <v>241.05850000000001</v>
      </c>
      <c r="M3461">
        <v>2.595254E-2</v>
      </c>
      <c r="N3461">
        <v>-1.353271E-2</v>
      </c>
      <c r="O3461">
        <v>-0.9995716</v>
      </c>
      <c r="P3461">
        <v>0.1811142</v>
      </c>
      <c r="Q3461">
        <v>0.15913089999999999</v>
      </c>
      <c r="R3461">
        <v>-0.97050259999999999</v>
      </c>
      <c r="S3461">
        <v>1.6026609999999999</v>
      </c>
      <c r="T3461">
        <v>5.738878E-2</v>
      </c>
      <c r="U3461">
        <v>-2.7875519999999998</v>
      </c>
      <c r="V3461">
        <v>-0.1567006</v>
      </c>
      <c r="W3461">
        <v>0.17154849999999999</v>
      </c>
      <c r="X3461">
        <v>0.97263350000000004</v>
      </c>
      <c r="Y3461">
        <v>-0.47552709999999998</v>
      </c>
      <c r="Z3461">
        <v>-3.1391790000000003E-2</v>
      </c>
      <c r="AA3461">
        <v>0.87914079999999994</v>
      </c>
      <c r="AB3461">
        <v>19</v>
      </c>
      <c r="AC3461">
        <v>25.224899999999899</v>
      </c>
      <c r="AD3461">
        <v>0.90345399999999998</v>
      </c>
      <c r="AE3461">
        <v>-43.713500000000003</v>
      </c>
      <c r="AF3461">
        <v>-24.074107420008598</v>
      </c>
      <c r="AG3461">
        <v>0.90345399999999998</v>
      </c>
      <c r="AH3461">
        <v>44.339275369210597</v>
      </c>
      <c r="AI3461">
        <v>88.974128854246203</v>
      </c>
      <c r="AJ3461">
        <v>118.499845449768</v>
      </c>
      <c r="AK3461">
        <v>50.461373519424903</v>
      </c>
      <c r="AL3461">
        <v>80.122135127448104</v>
      </c>
      <c r="AM3461">
        <v>99.152254996530303</v>
      </c>
      <c r="AN3461">
        <v>0.999999945607428</v>
      </c>
    </row>
    <row r="3462" spans="1:40" x14ac:dyDescent="0.25">
      <c r="A3462" t="str">
        <f>"20190303170321132"</f>
        <v>20190303170321132</v>
      </c>
      <c r="B3462" t="str">
        <f>"1551603801118589"</f>
        <v>1551603801118589</v>
      </c>
      <c r="C3462" t="s">
        <v>40</v>
      </c>
      <c r="D3462">
        <v>4.629346</v>
      </c>
      <c r="E3462">
        <v>0.37273810000000002</v>
      </c>
      <c r="F3462" t="s">
        <v>78</v>
      </c>
      <c r="G3462">
        <v>-469.56079999999997</v>
      </c>
      <c r="H3462">
        <v>1.5468109999999999</v>
      </c>
      <c r="I3462">
        <v>197.51820000000001</v>
      </c>
      <c r="J3462">
        <v>-493.96730000000002</v>
      </c>
      <c r="K3462">
        <v>1.1239220000000001</v>
      </c>
      <c r="L3462">
        <v>240.881</v>
      </c>
      <c r="M3462">
        <v>2.9739640000000001E-2</v>
      </c>
      <c r="N3462">
        <v>-1.353797E-2</v>
      </c>
      <c r="O3462">
        <v>-0.99946610000000002</v>
      </c>
      <c r="P3462">
        <v>0.18666720000000001</v>
      </c>
      <c r="Q3462">
        <v>0.15819569999999999</v>
      </c>
      <c r="R3462">
        <v>-0.96960299999999999</v>
      </c>
      <c r="S3462">
        <v>1.5669249999999999</v>
      </c>
      <c r="T3462">
        <v>2.714753E-2</v>
      </c>
      <c r="U3462">
        <v>-2.7942960000000001</v>
      </c>
      <c r="V3462">
        <v>-0.1586118</v>
      </c>
      <c r="W3462">
        <v>0.1705769</v>
      </c>
      <c r="X3462">
        <v>0.97249459999999999</v>
      </c>
      <c r="Y3462">
        <v>-0.46281559999999999</v>
      </c>
      <c r="Z3462">
        <v>-2.1963630000000001E-2</v>
      </c>
      <c r="AA3462">
        <v>0.88618249999999998</v>
      </c>
      <c r="AB3462">
        <v>19</v>
      </c>
      <c r="AC3462">
        <v>24.406500000000001</v>
      </c>
      <c r="AD3462">
        <v>0.42288900000000001</v>
      </c>
      <c r="AE3462">
        <v>-43.362799999999901</v>
      </c>
      <c r="AF3462">
        <v>-23.104321638447001</v>
      </c>
      <c r="AG3462">
        <v>0.42288900000000001</v>
      </c>
      <c r="AH3462">
        <v>44.066340400027102</v>
      </c>
      <c r="AI3462">
        <v>89.513039468551199</v>
      </c>
      <c r="AJ3462">
        <v>117.66836876371001</v>
      </c>
      <c r="AK3462">
        <v>49.757721709601903</v>
      </c>
      <c r="AL3462">
        <v>80.178636722077201</v>
      </c>
      <c r="AM3462">
        <v>99.263257346598607</v>
      </c>
      <c r="AN3462">
        <v>0.99999996447100403</v>
      </c>
    </row>
    <row r="3463" spans="1:40" x14ac:dyDescent="0.25">
      <c r="A3463" t="str">
        <f>"20190303170321146"</f>
        <v>20190303170321146</v>
      </c>
      <c r="B3463" t="str">
        <f>"1551603801128349"</f>
        <v>1551603801128349</v>
      </c>
      <c r="C3463" t="s">
        <v>40</v>
      </c>
      <c r="D3463">
        <v>4.6179860000000001</v>
      </c>
      <c r="E3463">
        <v>0.37297849999999999</v>
      </c>
      <c r="F3463" t="s">
        <v>78</v>
      </c>
      <c r="G3463">
        <v>-469.20740000000001</v>
      </c>
      <c r="H3463">
        <v>1.6478539999999999</v>
      </c>
      <c r="I3463">
        <v>197.345</v>
      </c>
      <c r="J3463">
        <v>-493.96069999999997</v>
      </c>
      <c r="K3463">
        <v>1.123983</v>
      </c>
      <c r="L3463">
        <v>240.76169999999999</v>
      </c>
      <c r="M3463">
        <v>3.2385959999999998E-2</v>
      </c>
      <c r="N3463">
        <v>-1.354225E-2</v>
      </c>
      <c r="O3463">
        <v>-0.99938369999999999</v>
      </c>
      <c r="P3463">
        <v>0.18989890000000001</v>
      </c>
      <c r="Q3463">
        <v>0.1579749</v>
      </c>
      <c r="R3463">
        <v>-0.96901119999999996</v>
      </c>
      <c r="S3463">
        <v>1.583221</v>
      </c>
      <c r="T3463">
        <v>3.3503770000000002E-2</v>
      </c>
      <c r="U3463">
        <v>-2.7838129999999999</v>
      </c>
      <c r="V3463">
        <v>-0.15930259999999999</v>
      </c>
      <c r="W3463">
        <v>0.1703326</v>
      </c>
      <c r="X3463">
        <v>0.97242459999999997</v>
      </c>
      <c r="Y3463">
        <v>-0.46580090000000002</v>
      </c>
      <c r="Z3463">
        <v>-2.3964360000000001E-2</v>
      </c>
      <c r="AA3463">
        <v>0.88456499999999905</v>
      </c>
      <c r="AB3463">
        <v>19</v>
      </c>
      <c r="AC3463">
        <v>24.7532999999999</v>
      </c>
      <c r="AD3463">
        <v>0.52387099999999998</v>
      </c>
      <c r="AE3463">
        <v>-43.416699999999899</v>
      </c>
      <c r="AF3463">
        <v>-23.331528941845299</v>
      </c>
      <c r="AG3463">
        <v>0.52387099999999998</v>
      </c>
      <c r="AH3463">
        <v>44.190798429272</v>
      </c>
      <c r="AI3463">
        <v>89.399372024394694</v>
      </c>
      <c r="AJ3463">
        <v>117.832824446609</v>
      </c>
      <c r="AK3463">
        <v>49.974607046032403</v>
      </c>
      <c r="AL3463">
        <v>80.192842892874907</v>
      </c>
      <c r="AM3463">
        <v>99.303555616517301</v>
      </c>
      <c r="AN3463">
        <v>1.00000005783733</v>
      </c>
    </row>
    <row r="3464" spans="1:40" x14ac:dyDescent="0.25">
      <c r="A3464" t="str">
        <f>"20190303170321161"</f>
        <v>20190303170321161</v>
      </c>
      <c r="B3464" t="str">
        <f>"1551603801148846"</f>
        <v>1551603801148846</v>
      </c>
      <c r="C3464" t="s">
        <v>40</v>
      </c>
      <c r="D3464">
        <v>4.5884400000000003</v>
      </c>
      <c r="E3464">
        <v>0.37368859999999998</v>
      </c>
      <c r="F3464" t="s">
        <v>78</v>
      </c>
      <c r="G3464">
        <v>-469.11290000000002</v>
      </c>
      <c r="H3464">
        <v>1.6178079999999999</v>
      </c>
      <c r="I3464">
        <v>197.345</v>
      </c>
      <c r="J3464">
        <v>-493.95400000000001</v>
      </c>
      <c r="K3464">
        <v>1.1240410000000001</v>
      </c>
      <c r="L3464">
        <v>240.6465</v>
      </c>
      <c r="M3464">
        <v>3.5003630000000001E-2</v>
      </c>
      <c r="N3464">
        <v>-1.3546809999999999E-2</v>
      </c>
      <c r="O3464">
        <v>-0.9992955</v>
      </c>
      <c r="P3464">
        <v>0.19305020000000001</v>
      </c>
      <c r="Q3464">
        <v>0.15825600000000001</v>
      </c>
      <c r="R3464">
        <v>-0.96834229999999999</v>
      </c>
      <c r="S3464">
        <v>1.5905149999999999</v>
      </c>
      <c r="T3464">
        <v>3.161216E-2</v>
      </c>
      <c r="U3464">
        <v>-2.7791139999999999</v>
      </c>
      <c r="V3464">
        <v>-0.1599487</v>
      </c>
      <c r="W3464">
        <v>0.1705892</v>
      </c>
      <c r="X3464">
        <v>0.97227350000000001</v>
      </c>
      <c r="Y3464">
        <v>-0.46588170000000001</v>
      </c>
      <c r="Z3464">
        <v>-2.3371030000000001E-2</v>
      </c>
      <c r="AA3464">
        <v>0.8845383</v>
      </c>
      <c r="AB3464">
        <v>19</v>
      </c>
      <c r="AC3464">
        <v>24.841099999999901</v>
      </c>
      <c r="AD3464">
        <v>0.49376699999999901</v>
      </c>
      <c r="AE3464">
        <v>-43.301499999999997</v>
      </c>
      <c r="AF3464">
        <v>-23.307745403238901</v>
      </c>
      <c r="AG3464">
        <v>0.49376699999999901</v>
      </c>
      <c r="AH3464">
        <v>44.140249382208303</v>
      </c>
      <c r="AI3464">
        <v>89.433251644300597</v>
      </c>
      <c r="AJ3464">
        <v>117.83577314612199</v>
      </c>
      <c r="AK3464">
        <v>49.918497745385302</v>
      </c>
      <c r="AL3464">
        <v>80.1779219557381</v>
      </c>
      <c r="AM3464">
        <v>99.342051323948397</v>
      </c>
      <c r="AN3464">
        <v>1.00000001029529</v>
      </c>
    </row>
    <row r="3465" spans="1:40" x14ac:dyDescent="0.25">
      <c r="A3465" t="str">
        <f>"20190303170321179"</f>
        <v>20190303170321179</v>
      </c>
      <c r="B3465" t="str">
        <f>"1551603801168366"</f>
        <v>1551603801168366</v>
      </c>
      <c r="C3465" t="s">
        <v>40</v>
      </c>
      <c r="D3465">
        <v>4.5930799999999996</v>
      </c>
      <c r="E3465">
        <v>0.37411080000000002</v>
      </c>
      <c r="F3465" t="s">
        <v>78</v>
      </c>
      <c r="G3465">
        <v>-469.08280000000002</v>
      </c>
      <c r="H3465">
        <v>1.5568660000000001</v>
      </c>
      <c r="I3465">
        <v>197.345</v>
      </c>
      <c r="J3465">
        <v>-493.94490000000002</v>
      </c>
      <c r="K3465">
        <v>1.1241219999999901</v>
      </c>
      <c r="L3465">
        <v>240.49959999999999</v>
      </c>
      <c r="M3465">
        <v>3.844624E-2</v>
      </c>
      <c r="N3465">
        <v>-1.355346E-2</v>
      </c>
      <c r="O3465">
        <v>-0.99916890000000003</v>
      </c>
      <c r="P3465">
        <v>0.19694010000000001</v>
      </c>
      <c r="Q3465">
        <v>0.16095219999999999</v>
      </c>
      <c r="R3465">
        <v>-0.96711389999999997</v>
      </c>
      <c r="S3465">
        <v>1.5942989999999999</v>
      </c>
      <c r="T3465">
        <v>2.7747150000000002E-2</v>
      </c>
      <c r="U3465">
        <v>-2.7757109999999998</v>
      </c>
      <c r="V3465">
        <v>-0.16057249999999901</v>
      </c>
      <c r="W3465">
        <v>0.17325019999999999</v>
      </c>
      <c r="X3465">
        <v>0.97170000000000001</v>
      </c>
      <c r="Y3465">
        <v>-0.4642174</v>
      </c>
      <c r="Z3465">
        <v>-2.2157409999999999E-2</v>
      </c>
      <c r="AA3465">
        <v>0.88544409999999896</v>
      </c>
      <c r="AB3465">
        <v>19</v>
      </c>
      <c r="AC3465">
        <v>24.862100000000002</v>
      </c>
      <c r="AD3465">
        <v>0.43274400000000002</v>
      </c>
      <c r="AE3465">
        <v>-43.154599999999903</v>
      </c>
      <c r="AF3465">
        <v>-23.182680827058501</v>
      </c>
      <c r="AG3465">
        <v>0.43274400000000002</v>
      </c>
      <c r="AH3465">
        <v>44.075303004200201</v>
      </c>
      <c r="AI3465">
        <v>89.502135829612001</v>
      </c>
      <c r="AJ3465">
        <v>117.743424678983</v>
      </c>
      <c r="AK3465">
        <v>49.802171565212497</v>
      </c>
      <c r="AL3465">
        <v>80.023153630536697</v>
      </c>
      <c r="AM3465">
        <v>99.383275754962696</v>
      </c>
      <c r="AN3465">
        <v>1.00000002477814</v>
      </c>
    </row>
    <row r="3466" spans="1:40" x14ac:dyDescent="0.25">
      <c r="A3466" t="str">
        <f>"20190303170321200"</f>
        <v>20190303170321200</v>
      </c>
      <c r="B3466" t="str">
        <f>"1551603801188861"</f>
        <v>1551603801188861</v>
      </c>
      <c r="C3466" t="s">
        <v>40</v>
      </c>
      <c r="D3466">
        <v>4.5410120000000003</v>
      </c>
      <c r="E3466">
        <v>0.37445079999999997</v>
      </c>
      <c r="F3466" t="s">
        <v>78</v>
      </c>
      <c r="G3466">
        <v>-468.98779999999999</v>
      </c>
      <c r="H3466">
        <v>1.633065</v>
      </c>
      <c r="I3466">
        <v>197.345</v>
      </c>
      <c r="J3466">
        <v>-493.93279999999999</v>
      </c>
      <c r="K3466">
        <v>1.124228</v>
      </c>
      <c r="L3466">
        <v>240.31890000000001</v>
      </c>
      <c r="M3466">
        <v>4.2848480000000001E-2</v>
      </c>
      <c r="N3466">
        <v>-1.3562619999999999E-2</v>
      </c>
      <c r="O3466">
        <v>-0.99898980000000004</v>
      </c>
      <c r="P3466">
        <v>0.20072799999999999</v>
      </c>
      <c r="Q3466">
        <v>0.16281279999999901</v>
      </c>
      <c r="R3466">
        <v>-0.96602339999999998</v>
      </c>
      <c r="S3466">
        <v>1.602142</v>
      </c>
      <c r="T3466">
        <v>3.267407E-2</v>
      </c>
      <c r="U3466">
        <v>-2.7703250000000001</v>
      </c>
      <c r="V3466">
        <v>-0.1601621</v>
      </c>
      <c r="W3466">
        <v>0.1750815</v>
      </c>
      <c r="X3466">
        <v>0.97143939999999995</v>
      </c>
      <c r="Y3466">
        <v>-0.46292499999999998</v>
      </c>
      <c r="Z3466">
        <v>-2.3713189999999999E-2</v>
      </c>
      <c r="AA3466">
        <v>0.88608009999999904</v>
      </c>
      <c r="AB3466">
        <v>19</v>
      </c>
      <c r="AC3466">
        <v>24.945</v>
      </c>
      <c r="AD3466">
        <v>0.50883699999999998</v>
      </c>
      <c r="AE3466">
        <v>-42.9739</v>
      </c>
      <c r="AF3466">
        <v>-23.078130591723799</v>
      </c>
      <c r="AG3466">
        <v>0.50883699999999998</v>
      </c>
      <c r="AH3466">
        <v>43.998764140132202</v>
      </c>
      <c r="AI3466">
        <v>89.413226722895402</v>
      </c>
      <c r="AJ3466">
        <v>117.677805616949</v>
      </c>
      <c r="AK3466">
        <v>49.686520028677897</v>
      </c>
      <c r="AL3466">
        <v>79.916598745614095</v>
      </c>
      <c r="AM3466">
        <v>99.362184784066699</v>
      </c>
      <c r="AN3466">
        <v>0.99999996889550902</v>
      </c>
    </row>
    <row r="3467" spans="1:40" x14ac:dyDescent="0.25">
      <c r="A3467" t="str">
        <f>"20190303170321222"</f>
        <v>20190303170321222</v>
      </c>
      <c r="B3467" t="str">
        <f>"1551603801208381"</f>
        <v>1551603801208381</v>
      </c>
      <c r="C3467" t="s">
        <v>40</v>
      </c>
      <c r="D3467">
        <v>4.5695899999999998</v>
      </c>
      <c r="E3467">
        <v>0.37464510000000001</v>
      </c>
      <c r="F3467" t="s">
        <v>78</v>
      </c>
      <c r="G3467">
        <v>-468.87720000000002</v>
      </c>
      <c r="H3467">
        <v>1.738211</v>
      </c>
      <c r="I3467">
        <v>197.345</v>
      </c>
      <c r="J3467">
        <v>-493.9203</v>
      </c>
      <c r="K3467">
        <v>1.1243190000000001</v>
      </c>
      <c r="L3467">
        <v>240.14609999999999</v>
      </c>
      <c r="M3467">
        <v>4.7207039999999999E-2</v>
      </c>
      <c r="N3467">
        <v>-1.357153E-2</v>
      </c>
      <c r="O3467">
        <v>-0.99879320000000005</v>
      </c>
      <c r="P3467">
        <v>0.20414299999999999</v>
      </c>
      <c r="Q3467">
        <v>0.1634149</v>
      </c>
      <c r="R3467">
        <v>-0.96520569999999895</v>
      </c>
      <c r="S3467">
        <v>1.611542</v>
      </c>
      <c r="T3467">
        <v>3.9492729999999997E-2</v>
      </c>
      <c r="U3467">
        <v>-2.764008</v>
      </c>
      <c r="V3467">
        <v>-0.15940079999999901</v>
      </c>
      <c r="W3467">
        <v>0.1756645</v>
      </c>
      <c r="X3467">
        <v>0.97145939999999997</v>
      </c>
      <c r="Y3467">
        <v>-0.46216610000000002</v>
      </c>
      <c r="Z3467">
        <v>-2.586871E-2</v>
      </c>
      <c r="AA3467">
        <v>0.88641599999999998</v>
      </c>
      <c r="AB3467">
        <v>19</v>
      </c>
      <c r="AC3467">
        <v>25.0430999999999</v>
      </c>
      <c r="AD3467">
        <v>0.61389199999999899</v>
      </c>
      <c r="AE3467">
        <v>-42.801099999999899</v>
      </c>
      <c r="AF3467">
        <v>-22.990952750119799</v>
      </c>
      <c r="AG3467">
        <v>0.61389199999999899</v>
      </c>
      <c r="AH3467">
        <v>43.928960344145402</v>
      </c>
      <c r="AI3467">
        <v>89.290631882339298</v>
      </c>
      <c r="AJ3467">
        <v>117.626060132131</v>
      </c>
      <c r="AK3467">
        <v>49.585424558668599</v>
      </c>
      <c r="AL3467">
        <v>79.882669775734399</v>
      </c>
      <c r="AM3467">
        <v>99.318277354797402</v>
      </c>
      <c r="AN3467">
        <v>0.99999999872462497</v>
      </c>
    </row>
    <row r="3468" spans="1:40" x14ac:dyDescent="0.25">
      <c r="A3468" t="str">
        <f>"20190303170321237"</f>
        <v>20190303170321237</v>
      </c>
      <c r="B3468" t="str">
        <f>"1551603801228879"</f>
        <v>1551603801228879</v>
      </c>
      <c r="C3468" t="s">
        <v>40</v>
      </c>
      <c r="D3468">
        <v>4.5865340000000003</v>
      </c>
      <c r="E3468">
        <v>0.37487530000000002</v>
      </c>
      <c r="F3468" t="s">
        <v>78</v>
      </c>
      <c r="G3468">
        <v>-468.99239999999998</v>
      </c>
      <c r="H3468">
        <v>2.3367840000000002</v>
      </c>
      <c r="I3468">
        <v>197.7544</v>
      </c>
      <c r="J3468">
        <v>-493.91079999999999</v>
      </c>
      <c r="K3468">
        <v>1.1243730000000001</v>
      </c>
      <c r="L3468">
        <v>240.02099999999999</v>
      </c>
      <c r="M3468">
        <v>5.0444999999999997E-2</v>
      </c>
      <c r="N3468">
        <v>-1.3577779999999999E-2</v>
      </c>
      <c r="O3468">
        <v>-0.99863460000000004</v>
      </c>
      <c r="P3468">
        <v>0.20733589999999999</v>
      </c>
      <c r="Q3468">
        <v>0.16383200000000001</v>
      </c>
      <c r="R3468">
        <v>-0.96445380000000003</v>
      </c>
      <c r="S3468">
        <v>1.6185609999999999</v>
      </c>
      <c r="T3468">
        <v>7.8726889999999994E-2</v>
      </c>
      <c r="U3468">
        <v>-2.752472</v>
      </c>
      <c r="V3468">
        <v>-0.15949579999999999</v>
      </c>
      <c r="W3468">
        <v>0.1760649</v>
      </c>
      <c r="X3468">
        <v>0.97137130000000005</v>
      </c>
      <c r="Y3468">
        <v>-0.46242119999999998</v>
      </c>
      <c r="Z3468">
        <v>-3.8307550000000003E-2</v>
      </c>
      <c r="AA3468">
        <v>0.88583250000000002</v>
      </c>
      <c r="AB3468">
        <v>19</v>
      </c>
      <c r="AC3468">
        <v>24.918399999999998</v>
      </c>
      <c r="AD3468">
        <v>1.2124109999999999</v>
      </c>
      <c r="AE3468">
        <v>-42.266599999999897</v>
      </c>
      <c r="AF3468">
        <v>-22.7404487854925</v>
      </c>
      <c r="AG3468">
        <v>1.2124109999999999</v>
      </c>
      <c r="AH3468">
        <v>43.443376166117503</v>
      </c>
      <c r="AI3468">
        <v>88.583633319586298</v>
      </c>
      <c r="AJ3468">
        <v>117.629822844451</v>
      </c>
      <c r="AK3468">
        <v>49.050228175914903</v>
      </c>
      <c r="AL3468">
        <v>79.859365147213595</v>
      </c>
      <c r="AM3468">
        <v>99.324564162495705</v>
      </c>
      <c r="AN3468">
        <v>0.99999998084666897</v>
      </c>
    </row>
    <row r="3469" spans="1:40" x14ac:dyDescent="0.25">
      <c r="A3469" t="str">
        <f>"20190303170321257"</f>
        <v>20190303170321257</v>
      </c>
      <c r="B3469" t="str">
        <f>"1551603801248397"</f>
        <v>1551603801248397</v>
      </c>
      <c r="C3469" t="s">
        <v>40</v>
      </c>
      <c r="D3469">
        <v>4.5552330000000003</v>
      </c>
      <c r="E3469">
        <v>0.37523770000000001</v>
      </c>
      <c r="F3469" t="s">
        <v>78</v>
      </c>
      <c r="G3469">
        <v>-468.89030000000002</v>
      </c>
      <c r="H3469">
        <v>2.3345410000000002</v>
      </c>
      <c r="I3469">
        <v>197.7544</v>
      </c>
      <c r="J3469">
        <v>-493.8972</v>
      </c>
      <c r="K3469">
        <v>1.1244479999999999</v>
      </c>
      <c r="L3469">
        <v>239.8553</v>
      </c>
      <c r="M3469">
        <v>5.4865810000000001E-2</v>
      </c>
      <c r="N3469">
        <v>-1.3586040000000001E-2</v>
      </c>
      <c r="O3469">
        <v>-0.9984016</v>
      </c>
      <c r="P3469">
        <v>0.2122781</v>
      </c>
      <c r="Q3469">
        <v>0.1639254</v>
      </c>
      <c r="R3469">
        <v>-0.96336239999999995</v>
      </c>
      <c r="S3469">
        <v>1.626465</v>
      </c>
      <c r="T3469">
        <v>7.8669310000000006E-2</v>
      </c>
      <c r="U3469">
        <v>-2.7475429999999998</v>
      </c>
      <c r="V3469">
        <v>-0.1602075</v>
      </c>
      <c r="W3469">
        <v>0.17613389999999901</v>
      </c>
      <c r="X3469">
        <v>0.97124169999999999</v>
      </c>
      <c r="Y3469">
        <v>-0.46107930000000003</v>
      </c>
      <c r="Z3469">
        <v>-3.8301849999999998E-2</v>
      </c>
      <c r="AA3469">
        <v>0.88653189999999904</v>
      </c>
      <c r="AB3469">
        <v>19</v>
      </c>
      <c r="AC3469">
        <v>25.006899999999899</v>
      </c>
      <c r="AD3469">
        <v>1.2100930000000001</v>
      </c>
      <c r="AE3469">
        <v>-42.100900000000003</v>
      </c>
      <c r="AF3469">
        <v>-22.645284399515599</v>
      </c>
      <c r="AG3469">
        <v>1.2100930000000001</v>
      </c>
      <c r="AH3469">
        <v>43.383129823695199</v>
      </c>
      <c r="AI3469">
        <v>88.583525508594505</v>
      </c>
      <c r="AJ3469">
        <v>117.563822686167</v>
      </c>
      <c r="AK3469">
        <v>48.952723968163298</v>
      </c>
      <c r="AL3469">
        <v>79.855349343792199</v>
      </c>
      <c r="AM3469">
        <v>99.3666640699726</v>
      </c>
      <c r="AN3469">
        <v>1.0000000168021701</v>
      </c>
    </row>
    <row r="3470" spans="1:40" x14ac:dyDescent="0.25">
      <c r="A3470" t="str">
        <f>"20190303170321279"</f>
        <v>20190303170321279</v>
      </c>
      <c r="B3470" t="str">
        <f>"1551603801268893"</f>
        <v>1551603801268893</v>
      </c>
      <c r="C3470" t="s">
        <v>40</v>
      </c>
      <c r="D3470">
        <v>4.5688879999999896</v>
      </c>
      <c r="E3470">
        <v>0.37544379999999999</v>
      </c>
      <c r="F3470" t="s">
        <v>78</v>
      </c>
      <c r="G3470">
        <v>-468.73840000000001</v>
      </c>
      <c r="H3470">
        <v>2.2788270000000002</v>
      </c>
      <c r="I3470">
        <v>197.7544</v>
      </c>
      <c r="J3470">
        <v>-493.88139999999999</v>
      </c>
      <c r="K3470">
        <v>1.1245229999999999</v>
      </c>
      <c r="L3470">
        <v>239.67410000000001</v>
      </c>
      <c r="M3470">
        <v>5.9850019999999997E-2</v>
      </c>
      <c r="N3470">
        <v>-1.3595589999999999E-2</v>
      </c>
      <c r="O3470">
        <v>-0.99811490000000003</v>
      </c>
      <c r="P3470">
        <v>0.2183406</v>
      </c>
      <c r="Q3470">
        <v>0.164706399999999</v>
      </c>
      <c r="R3470">
        <v>-0.96187290000000003</v>
      </c>
      <c r="S3470">
        <v>1.6376649999999999</v>
      </c>
      <c r="T3470">
        <v>7.5144050000000004E-2</v>
      </c>
      <c r="U3470">
        <v>-2.7404630000000001</v>
      </c>
      <c r="V3470">
        <v>-0.16152049999999901</v>
      </c>
      <c r="W3470">
        <v>0.1768844</v>
      </c>
      <c r="X3470">
        <v>0.97088779999999997</v>
      </c>
      <c r="Y3470">
        <v>-0.46034550000000002</v>
      </c>
      <c r="Z3470">
        <v>-3.7199339999999997E-2</v>
      </c>
      <c r="AA3470">
        <v>0.88696010000000003</v>
      </c>
      <c r="AB3470">
        <v>19</v>
      </c>
      <c r="AC3470">
        <v>25.142999999999901</v>
      </c>
      <c r="AD3470">
        <v>1.154304</v>
      </c>
      <c r="AE3470">
        <v>-41.919699999999999</v>
      </c>
      <c r="AF3470">
        <v>-22.5762041734598</v>
      </c>
      <c r="AG3470">
        <v>1.154304</v>
      </c>
      <c r="AH3470">
        <v>43.325328551435099</v>
      </c>
      <c r="AI3470">
        <v>88.646504441286396</v>
      </c>
      <c r="AJ3470">
        <v>117.523370383703</v>
      </c>
      <c r="AK3470">
        <v>48.8682054785723</v>
      </c>
      <c r="AL3470">
        <v>79.811663195312093</v>
      </c>
      <c r="AM3470">
        <v>99.445432585877398</v>
      </c>
      <c r="AN3470">
        <v>1.00000004153622</v>
      </c>
    </row>
    <row r="3471" spans="1:40" x14ac:dyDescent="0.25">
      <c r="A3471" t="str">
        <f>"20190303170321301"</f>
        <v>20190303170321301</v>
      </c>
      <c r="B3471" t="str">
        <f>"1551603801288413"</f>
        <v>1551603801288413</v>
      </c>
      <c r="C3471" t="s">
        <v>40</v>
      </c>
      <c r="D3471">
        <v>4.5801999999999996</v>
      </c>
      <c r="E3471">
        <v>0.38022299999999998</v>
      </c>
      <c r="F3471" t="s">
        <v>78</v>
      </c>
      <c r="G3471">
        <v>-468.25619999999998</v>
      </c>
      <c r="H3471">
        <v>2.2668409999999999</v>
      </c>
      <c r="I3471">
        <v>197.345</v>
      </c>
      <c r="J3471">
        <v>-493.86509999999998</v>
      </c>
      <c r="K3471">
        <v>1.1245889999999901</v>
      </c>
      <c r="L3471">
        <v>239.4984</v>
      </c>
      <c r="M3471">
        <v>6.4816159999999998E-2</v>
      </c>
      <c r="N3471">
        <v>-1.3605290000000001E-2</v>
      </c>
      <c r="O3471">
        <v>-0.99780460000000004</v>
      </c>
      <c r="P3471">
        <v>0.2244012</v>
      </c>
      <c r="Q3471">
        <v>0.16570960000000001</v>
      </c>
      <c r="R3471">
        <v>-0.96030459999999995</v>
      </c>
      <c r="S3471">
        <v>1.6532899999999999</v>
      </c>
      <c r="T3471">
        <v>7.3702340000000005E-2</v>
      </c>
      <c r="U3471">
        <v>-2.730988</v>
      </c>
      <c r="V3471">
        <v>-0.1628588</v>
      </c>
      <c r="W3471">
        <v>0.17785819999999999</v>
      </c>
      <c r="X3471">
        <v>0.97048619999999997</v>
      </c>
      <c r="Y3471">
        <v>-0.4610128</v>
      </c>
      <c r="Z3471">
        <v>-3.6752880000000002E-2</v>
      </c>
      <c r="AA3471">
        <v>0.88663210000000003</v>
      </c>
      <c r="AB3471">
        <v>18</v>
      </c>
      <c r="AC3471">
        <v>25.608899999999998</v>
      </c>
      <c r="AD3471">
        <v>1.142252</v>
      </c>
      <c r="AE3471">
        <v>-42.153399999999998</v>
      </c>
      <c r="AF3471">
        <v>-22.8103322944512</v>
      </c>
      <c r="AG3471">
        <v>1.142252</v>
      </c>
      <c r="AH3471">
        <v>43.7013300704971</v>
      </c>
      <c r="AI3471">
        <v>88.672626278414995</v>
      </c>
      <c r="AJ3471">
        <v>117.56274346331099</v>
      </c>
      <c r="AK3471">
        <v>49.309453950995298</v>
      </c>
      <c r="AL3471">
        <v>79.7549691629427</v>
      </c>
      <c r="AM3471">
        <v>99.526134800706799</v>
      </c>
      <c r="AN3471">
        <v>0.99999999621755997</v>
      </c>
    </row>
    <row r="3472" spans="1:40" x14ac:dyDescent="0.25">
      <c r="A3472" t="str">
        <f>"20190303170321316"</f>
        <v>20190303170321316</v>
      </c>
      <c r="B3472" t="str">
        <f>"1551603801308910"</f>
        <v>1551603801308910</v>
      </c>
      <c r="C3472" t="s">
        <v>40</v>
      </c>
      <c r="D3472">
        <v>4.5787529999999999</v>
      </c>
      <c r="E3472">
        <v>0.38040069999999998</v>
      </c>
      <c r="F3472" t="s">
        <v>78</v>
      </c>
      <c r="G3472">
        <v>-468.65589999999997</v>
      </c>
      <c r="H3472">
        <v>1.62324</v>
      </c>
      <c r="I3472">
        <v>197.345</v>
      </c>
      <c r="J3472">
        <v>-493.85239999999999</v>
      </c>
      <c r="K3472">
        <v>1.124633</v>
      </c>
      <c r="L3472">
        <v>239.36920000000001</v>
      </c>
      <c r="M3472">
        <v>6.8538279999999993E-2</v>
      </c>
      <c r="N3472">
        <v>-1.361238E-2</v>
      </c>
      <c r="O3472">
        <v>-0.99755570000000005</v>
      </c>
      <c r="P3472">
        <v>0.22838639999999999</v>
      </c>
      <c r="Q3472">
        <v>0.16567170000000001</v>
      </c>
      <c r="R3472">
        <v>-0.95937110000000003</v>
      </c>
      <c r="S3472">
        <v>1.636261</v>
      </c>
      <c r="T3472">
        <v>3.2368300000000003E-2</v>
      </c>
      <c r="U3472">
        <v>-2.7360530000000001</v>
      </c>
      <c r="V3472">
        <v>-0.16328609999999999</v>
      </c>
      <c r="W3472">
        <v>0.17780609999999999</v>
      </c>
      <c r="X3472">
        <v>0.97042390000000001</v>
      </c>
      <c r="Y3472">
        <v>-0.45306800000000003</v>
      </c>
      <c r="Z3472">
        <v>-2.365066E-2</v>
      </c>
      <c r="AA3472">
        <v>0.89116219999999902</v>
      </c>
      <c r="AB3472">
        <v>18</v>
      </c>
      <c r="AC3472">
        <v>25.1965</v>
      </c>
      <c r="AD3472">
        <v>0.49860699999999902</v>
      </c>
      <c r="AE3472">
        <v>-42.0242</v>
      </c>
      <c r="AF3472">
        <v>-22.254401684531601</v>
      </c>
      <c r="AG3472">
        <v>0.49860699999999902</v>
      </c>
      <c r="AH3472">
        <v>43.647926215240702</v>
      </c>
      <c r="AI3472">
        <v>89.416925276500706</v>
      </c>
      <c r="AJ3472">
        <v>117.01528849255</v>
      </c>
      <c r="AK3472">
        <v>48.996412788774897</v>
      </c>
      <c r="AL3472">
        <v>79.758002173085202</v>
      </c>
      <c r="AM3472">
        <v>99.551270959830703</v>
      </c>
      <c r="AN3472">
        <v>0.99999995267081299</v>
      </c>
    </row>
    <row r="3473" spans="1:40" x14ac:dyDescent="0.25">
      <c r="A3473" t="str">
        <f>"20190303170321334"</f>
        <v>20190303170321334</v>
      </c>
      <c r="B3473" t="str">
        <f>"1551603801318670"</f>
        <v>1551603801318670</v>
      </c>
      <c r="C3473" t="s">
        <v>40</v>
      </c>
      <c r="D3473">
        <v>4.5862530000000001</v>
      </c>
      <c r="E3473">
        <v>0.38061010000000001</v>
      </c>
      <c r="F3473" t="s">
        <v>78</v>
      </c>
      <c r="G3473">
        <v>-468.50740000000002</v>
      </c>
      <c r="H3473">
        <v>1.5996349999999999</v>
      </c>
      <c r="I3473">
        <v>197.345</v>
      </c>
      <c r="J3473">
        <v>-493.83760000000001</v>
      </c>
      <c r="K3473">
        <v>1.124681</v>
      </c>
      <c r="L3473">
        <v>239.22569999999999</v>
      </c>
      <c r="M3473">
        <v>7.2758020000000007E-2</v>
      </c>
      <c r="N3473">
        <v>-1.362002E-2</v>
      </c>
      <c r="O3473">
        <v>-0.99725680000000005</v>
      </c>
      <c r="P3473">
        <v>0.2324254</v>
      </c>
      <c r="Q3473">
        <v>0.165720799999999</v>
      </c>
      <c r="R3473">
        <v>-0.95839200000000002</v>
      </c>
      <c r="S3473">
        <v>1.6463620000000001</v>
      </c>
      <c r="T3473">
        <v>3.0857320000000001E-2</v>
      </c>
      <c r="U3473">
        <v>-2.729797</v>
      </c>
      <c r="V3473">
        <v>-0.16328960000000001</v>
      </c>
      <c r="W3473">
        <v>0.1778441</v>
      </c>
      <c r="X3473">
        <v>0.97041639999999996</v>
      </c>
      <c r="Y3473">
        <v>-0.45262210000000003</v>
      </c>
      <c r="Z3473">
        <v>-2.316733E-2</v>
      </c>
      <c r="AA3473">
        <v>0.89140140000000001</v>
      </c>
      <c r="AB3473">
        <v>18</v>
      </c>
      <c r="AC3473">
        <v>25.330199999999898</v>
      </c>
      <c r="AD3473">
        <v>0.47495399999999999</v>
      </c>
      <c r="AE3473">
        <v>-41.880699999999898</v>
      </c>
      <c r="AF3473">
        <v>-22.2135223191443</v>
      </c>
      <c r="AG3473">
        <v>0.47495399999999999</v>
      </c>
      <c r="AH3473">
        <v>43.608719217833098</v>
      </c>
      <c r="AI3473">
        <v>89.443976437908404</v>
      </c>
      <c r="AJ3473">
        <v>116.993501394376</v>
      </c>
      <c r="AK3473">
        <v>48.942686347860402</v>
      </c>
      <c r="AL3473">
        <v>79.755790195827998</v>
      </c>
      <c r="AM3473">
        <v>99.551544376987394</v>
      </c>
      <c r="AN3473">
        <v>1.00000000338096</v>
      </c>
    </row>
    <row r="3474" spans="1:40" x14ac:dyDescent="0.25">
      <c r="A3474" t="str">
        <f>"20190303170321357"</f>
        <v>20190303170321357</v>
      </c>
      <c r="B3474" t="str">
        <f>"1551603801348925"</f>
        <v>1551603801348925</v>
      </c>
      <c r="C3474" t="s">
        <v>40</v>
      </c>
      <c r="D3474">
        <v>4.5870949999999997</v>
      </c>
      <c r="E3474">
        <v>0.38146580000000002</v>
      </c>
      <c r="F3474" t="s">
        <v>78</v>
      </c>
      <c r="G3474">
        <v>-468.34690000000001</v>
      </c>
      <c r="H3474">
        <v>1.594465</v>
      </c>
      <c r="I3474">
        <v>197.345</v>
      </c>
      <c r="J3474">
        <v>-493.81779999999998</v>
      </c>
      <c r="K3474">
        <v>1.124744</v>
      </c>
      <c r="L3474">
        <v>239.04320000000001</v>
      </c>
      <c r="M3474">
        <v>7.8254089999999998E-2</v>
      </c>
      <c r="N3474">
        <v>-1.3629830000000001E-2</v>
      </c>
      <c r="O3474">
        <v>-0.99684030000000001</v>
      </c>
      <c r="P3474">
        <v>0.23694509999999999</v>
      </c>
      <c r="Q3474">
        <v>0.16664570000000001</v>
      </c>
      <c r="R3474">
        <v>-0.95712419999999998</v>
      </c>
      <c r="S3474">
        <v>1.6573789999999999</v>
      </c>
      <c r="T3474">
        <v>3.0547020000000001E-2</v>
      </c>
      <c r="U3474">
        <v>-2.7230219999999998</v>
      </c>
      <c r="V3474">
        <v>-0.1625625</v>
      </c>
      <c r="W3474">
        <v>0.1787599</v>
      </c>
      <c r="X3474">
        <v>0.97037019999999996</v>
      </c>
      <c r="Y3474">
        <v>-0.45132420000000001</v>
      </c>
      <c r="Z3474">
        <v>-2.3063719999999999E-2</v>
      </c>
      <c r="AA3474">
        <v>0.89206189999999996</v>
      </c>
      <c r="AB3474">
        <v>18</v>
      </c>
      <c r="AC3474">
        <v>25.470899999999901</v>
      </c>
      <c r="AD3474">
        <v>0.469721</v>
      </c>
      <c r="AE3474">
        <v>-41.6982</v>
      </c>
      <c r="AF3474">
        <v>-22.127374997274401</v>
      </c>
      <c r="AG3474">
        <v>0.469721</v>
      </c>
      <c r="AH3474">
        <v>43.559668172594002</v>
      </c>
      <c r="AI3474">
        <v>89.449170655235804</v>
      </c>
      <c r="AJ3474">
        <v>116.929590456516</v>
      </c>
      <c r="AK3474">
        <v>48.859861373057001</v>
      </c>
      <c r="AL3474">
        <v>79.702464143380297</v>
      </c>
      <c r="AM3474">
        <v>99.510236028279905</v>
      </c>
      <c r="AN3474">
        <v>0.99999999665114903</v>
      </c>
    </row>
    <row r="3475" spans="1:40" x14ac:dyDescent="0.25">
      <c r="A3475" t="str">
        <f>"20190303170321372"</f>
        <v>20190303170321372</v>
      </c>
      <c r="B3475" t="str">
        <f>"1551603801358685"</f>
        <v>1551603801358685</v>
      </c>
      <c r="C3475" t="s">
        <v>40</v>
      </c>
      <c r="D3475">
        <v>4.5996579999999998</v>
      </c>
      <c r="E3475">
        <v>0.3817082</v>
      </c>
      <c r="F3475" t="s">
        <v>78</v>
      </c>
      <c r="G3475">
        <v>-468.2731</v>
      </c>
      <c r="H3475">
        <v>1.590652</v>
      </c>
      <c r="I3475">
        <v>197.345</v>
      </c>
      <c r="J3475">
        <v>-493.8032</v>
      </c>
      <c r="K3475">
        <v>1.1248009999999999</v>
      </c>
      <c r="L3475">
        <v>238.91560000000001</v>
      </c>
      <c r="M3475">
        <v>8.2181859999999995E-2</v>
      </c>
      <c r="N3475">
        <v>-1.363703E-2</v>
      </c>
      <c r="O3475">
        <v>-0.99652419999999997</v>
      </c>
      <c r="P3475">
        <v>0.24048620000000001</v>
      </c>
      <c r="Q3475">
        <v>0.1675431</v>
      </c>
      <c r="R3475">
        <v>-0.95608400000000004</v>
      </c>
      <c r="S3475">
        <v>1.66449</v>
      </c>
      <c r="T3475">
        <v>3.0360939999999999E-2</v>
      </c>
      <c r="U3475">
        <v>-2.717041</v>
      </c>
      <c r="V3475">
        <v>-0.16236789999999901</v>
      </c>
      <c r="W3475">
        <v>0.17964659999999999</v>
      </c>
      <c r="X3475">
        <v>0.97023899999999996</v>
      </c>
      <c r="Y3475">
        <v>-0.45037909999999998</v>
      </c>
      <c r="Z3475">
        <v>-2.3004759999999999E-2</v>
      </c>
      <c r="AA3475">
        <v>0.89254100000000003</v>
      </c>
      <c r="AB3475">
        <v>18</v>
      </c>
      <c r="AC3475">
        <v>25.530100000000001</v>
      </c>
      <c r="AD3475">
        <v>0.46585100000000002</v>
      </c>
      <c r="AE3475">
        <v>-41.570599999999999</v>
      </c>
      <c r="AF3475">
        <v>-22.0250497147847</v>
      </c>
      <c r="AG3475">
        <v>0.46585100000000002</v>
      </c>
      <c r="AH3475">
        <v>43.524292073316701</v>
      </c>
      <c r="AI3475">
        <v>89.452837108830806</v>
      </c>
      <c r="AJ3475">
        <v>116.841252747692</v>
      </c>
      <c r="AK3475">
        <v>48.782003162809097</v>
      </c>
      <c r="AL3475">
        <v>79.650823816154301</v>
      </c>
      <c r="AM3475">
        <v>99.500320213622203</v>
      </c>
      <c r="AN3475">
        <v>0.99999997648148398</v>
      </c>
    </row>
    <row r="3476" spans="1:40" x14ac:dyDescent="0.25">
      <c r="A3476" t="str">
        <f>"20190303170321391"</f>
        <v>20190303170321391</v>
      </c>
      <c r="B3476" t="str">
        <f>"1551603801379182"</f>
        <v>1551603801379182</v>
      </c>
      <c r="C3476" t="s">
        <v>40</v>
      </c>
      <c r="D3476">
        <v>4.5900080000000001</v>
      </c>
      <c r="E3476">
        <v>0.38216499999999998</v>
      </c>
      <c r="F3476" t="s">
        <v>78</v>
      </c>
      <c r="G3476">
        <v>-468.15649999999999</v>
      </c>
      <c r="H3476">
        <v>1.599599</v>
      </c>
      <c r="I3476">
        <v>197.345</v>
      </c>
      <c r="J3476">
        <v>-493.78590000000003</v>
      </c>
      <c r="K3476">
        <v>1.124851</v>
      </c>
      <c r="L3476">
        <v>238.7704</v>
      </c>
      <c r="M3476">
        <v>8.6738209999999996E-2</v>
      </c>
      <c r="N3476">
        <v>-1.3645620000000001E-2</v>
      </c>
      <c r="O3476">
        <v>-0.99613770000000001</v>
      </c>
      <c r="P3476">
        <v>0.24499290000000001</v>
      </c>
      <c r="Q3476">
        <v>0.16883119999999999</v>
      </c>
      <c r="R3476">
        <v>-0.95471170000000005</v>
      </c>
      <c r="S3476">
        <v>1.6729130000000001</v>
      </c>
      <c r="T3476">
        <v>3.0972960000000001E-2</v>
      </c>
      <c r="U3476">
        <v>-2.7116090000000002</v>
      </c>
      <c r="V3476">
        <v>-0.16255739999999999</v>
      </c>
      <c r="W3476">
        <v>0.18091950000000001</v>
      </c>
      <c r="X3476">
        <v>0.96997069999999996</v>
      </c>
      <c r="Y3476">
        <v>-0.44910109999999998</v>
      </c>
      <c r="Z3476">
        <v>-2.319591E-2</v>
      </c>
      <c r="AA3476">
        <v>0.89317979999999997</v>
      </c>
      <c r="AB3476">
        <v>18</v>
      </c>
      <c r="AC3476">
        <v>25.6294</v>
      </c>
      <c r="AD3476">
        <v>0.474748</v>
      </c>
      <c r="AE3476">
        <v>-41.425400000000003</v>
      </c>
      <c r="AF3476">
        <v>-21.9372051490021</v>
      </c>
      <c r="AG3476">
        <v>0.474748</v>
      </c>
      <c r="AH3476">
        <v>43.488368935362601</v>
      </c>
      <c r="AI3476">
        <v>89.441567330979595</v>
      </c>
      <c r="AJ3476">
        <v>116.768133055831</v>
      </c>
      <c r="AK3476">
        <v>48.710415601502703</v>
      </c>
      <c r="AL3476">
        <v>79.576676993139699</v>
      </c>
      <c r="AM3476">
        <v>99.5137883745371</v>
      </c>
      <c r="AN3476">
        <v>0.99999996631674903</v>
      </c>
    </row>
    <row r="3477" spans="1:40" x14ac:dyDescent="0.25">
      <c r="A3477" t="str">
        <f>"20190303170321407"</f>
        <v>20190303170321407</v>
      </c>
      <c r="B3477" t="str">
        <f>"1551603801388941"</f>
        <v>1551603801388941</v>
      </c>
      <c r="C3477" t="s">
        <v>40</v>
      </c>
      <c r="D3477">
        <v>4.5931810000000004</v>
      </c>
      <c r="E3477">
        <v>0.3822527</v>
      </c>
      <c r="F3477" t="s">
        <v>78</v>
      </c>
      <c r="G3477">
        <v>-468.01859999999999</v>
      </c>
      <c r="H3477">
        <v>1.6134189999999999</v>
      </c>
      <c r="I3477">
        <v>197.345</v>
      </c>
      <c r="J3477">
        <v>-493.76979999999998</v>
      </c>
      <c r="K3477">
        <v>1.124898</v>
      </c>
      <c r="L3477">
        <v>238.6413</v>
      </c>
      <c r="M3477">
        <v>9.0863879999999994E-2</v>
      </c>
      <c r="N3477">
        <v>-1.3653480000000001E-2</v>
      </c>
      <c r="O3477">
        <v>-0.99576989999999999</v>
      </c>
      <c r="P3477">
        <v>0.24888660000000001</v>
      </c>
      <c r="Q3477">
        <v>0.16886089999999901</v>
      </c>
      <c r="R3477">
        <v>-0.95369910000000002</v>
      </c>
      <c r="S3477">
        <v>1.6824950000000001</v>
      </c>
      <c r="T3477">
        <v>3.190374E-2</v>
      </c>
      <c r="U3477">
        <v>-2.704895</v>
      </c>
      <c r="V3477">
        <v>-0.1625161</v>
      </c>
      <c r="W3477">
        <v>0.18094060000000001</v>
      </c>
      <c r="X3477">
        <v>0.96997370000000005</v>
      </c>
      <c r="Y3477">
        <v>-0.44867240000000003</v>
      </c>
      <c r="Z3477">
        <v>-2.3490440000000001E-2</v>
      </c>
      <c r="AA3477">
        <v>0.89338759999999995</v>
      </c>
      <c r="AB3477">
        <v>18</v>
      </c>
      <c r="AC3477">
        <v>25.751199999999901</v>
      </c>
      <c r="AD3477">
        <v>0.48852099999999998</v>
      </c>
      <c r="AE3477">
        <v>-41.296300000000002</v>
      </c>
      <c r="AF3477">
        <v>-21.8897588935417</v>
      </c>
      <c r="AG3477">
        <v>0.48852099999999998</v>
      </c>
      <c r="AH3477">
        <v>43.461131109401002</v>
      </c>
      <c r="AI3477">
        <v>89.424828250456102</v>
      </c>
      <c r="AJ3477">
        <v>116.73269957324899</v>
      </c>
      <c r="AK3477">
        <v>48.664875572566501</v>
      </c>
      <c r="AL3477">
        <v>79.575447920649594</v>
      </c>
      <c r="AM3477">
        <v>99.511386550614404</v>
      </c>
      <c r="AN3477">
        <v>0.99999998108962895</v>
      </c>
    </row>
    <row r="3478" spans="1:40" x14ac:dyDescent="0.25">
      <c r="A3478" t="str">
        <f>"20190303170321424"</f>
        <v>20190303170321424</v>
      </c>
      <c r="B3478" t="str">
        <f>"1551603801419198"</f>
        <v>1551603801419198</v>
      </c>
      <c r="C3478" t="s">
        <v>40</v>
      </c>
      <c r="D3478">
        <v>4.6162269999999896</v>
      </c>
      <c r="E3478">
        <v>0.38224249999999999</v>
      </c>
      <c r="F3478" t="s">
        <v>78</v>
      </c>
      <c r="G3478">
        <v>-467.85989999999998</v>
      </c>
      <c r="H3478">
        <v>1.597809</v>
      </c>
      <c r="I3478">
        <v>197.345</v>
      </c>
      <c r="J3478">
        <v>-493.75259999999997</v>
      </c>
      <c r="K3478">
        <v>1.124941</v>
      </c>
      <c r="L3478">
        <v>238.50810000000001</v>
      </c>
      <c r="M3478">
        <v>9.5191410000000004E-2</v>
      </c>
      <c r="N3478">
        <v>-1.3660780000000001E-2</v>
      </c>
      <c r="O3478">
        <v>-0.99536530000000001</v>
      </c>
      <c r="P3478">
        <v>0.25251479999999998</v>
      </c>
      <c r="Q3478">
        <v>0.16856099999999999</v>
      </c>
      <c r="R3478">
        <v>-0.95279780000000003</v>
      </c>
      <c r="S3478">
        <v>1.692993</v>
      </c>
      <c r="T3478">
        <v>3.0902860000000001E-2</v>
      </c>
      <c r="U3478">
        <v>-2.6983489999999999</v>
      </c>
      <c r="V3478">
        <v>-0.16200209999999901</v>
      </c>
      <c r="W3478">
        <v>0.1806372</v>
      </c>
      <c r="X3478">
        <v>0.97011630000000004</v>
      </c>
      <c r="Y3478">
        <v>-0.44826080000000001</v>
      </c>
      <c r="Z3478">
        <v>-2.3164549999999999E-2</v>
      </c>
      <c r="AA3478">
        <v>0.89360269999999997</v>
      </c>
      <c r="AB3478">
        <v>18</v>
      </c>
      <c r="AC3478">
        <v>25.892699999999898</v>
      </c>
      <c r="AD3478">
        <v>0.47286800000000001</v>
      </c>
      <c r="AE3478">
        <v>-41.1631</v>
      </c>
      <c r="AF3478">
        <v>-21.854293530487901</v>
      </c>
      <c r="AG3478">
        <v>0.47286800000000001</v>
      </c>
      <c r="AH3478">
        <v>43.437028262904398</v>
      </c>
      <c r="AI3478">
        <v>89.442827442916993</v>
      </c>
      <c r="AJ3478">
        <v>116.70815222348099</v>
      </c>
      <c r="AK3478">
        <v>48.627247240353903</v>
      </c>
      <c r="AL3478">
        <v>79.593123505606599</v>
      </c>
      <c r="AM3478">
        <v>99.480482902171701</v>
      </c>
      <c r="AN3478">
        <v>1.00000005697696</v>
      </c>
    </row>
    <row r="3479" spans="1:40" x14ac:dyDescent="0.25">
      <c r="A3479" t="str">
        <f>"20190303170321437"</f>
        <v>20190303170321437</v>
      </c>
      <c r="B3479" t="str">
        <f>"1551603801428957"</f>
        <v>1551603801428957</v>
      </c>
      <c r="C3479" t="s">
        <v>40</v>
      </c>
      <c r="D3479">
        <v>4.618582</v>
      </c>
      <c r="E3479">
        <v>0.38226019999999999</v>
      </c>
      <c r="F3479" t="s">
        <v>78</v>
      </c>
      <c r="G3479">
        <v>-467.69760000000002</v>
      </c>
      <c r="H3479">
        <v>1.6088450000000001</v>
      </c>
      <c r="I3479">
        <v>197.345</v>
      </c>
      <c r="J3479">
        <v>-493.73849999999999</v>
      </c>
      <c r="K3479">
        <v>1.1249720000000001</v>
      </c>
      <c r="L3479">
        <v>238.40199999999999</v>
      </c>
      <c r="M3479">
        <v>9.8688360000000003E-2</v>
      </c>
      <c r="N3479">
        <v>-1.366531E-2</v>
      </c>
      <c r="O3479">
        <v>-0.99502460000000004</v>
      </c>
      <c r="P3479">
        <v>0.25531930000000003</v>
      </c>
      <c r="Q3479">
        <v>0.16832730000000001</v>
      </c>
      <c r="R3479">
        <v>-0.95209149999999998</v>
      </c>
      <c r="S3479">
        <v>1.7036739999999999</v>
      </c>
      <c r="T3479">
        <v>3.164339E-2</v>
      </c>
      <c r="U3479">
        <v>-2.6915439999999999</v>
      </c>
      <c r="V3479">
        <v>-0.1614573</v>
      </c>
      <c r="W3479">
        <v>0.1804008</v>
      </c>
      <c r="X3479">
        <v>0.97025099999999997</v>
      </c>
      <c r="Y3479">
        <v>-0.44867040000000002</v>
      </c>
      <c r="Z3479">
        <v>-2.3394499999999999E-2</v>
      </c>
      <c r="AA3479">
        <v>0.89339109999999999</v>
      </c>
      <c r="AB3479">
        <v>18</v>
      </c>
      <c r="AC3479">
        <v>26.040899999999901</v>
      </c>
      <c r="AD3479">
        <v>0.483873</v>
      </c>
      <c r="AE3479">
        <v>-41.057000000000002</v>
      </c>
      <c r="AF3479">
        <v>-21.8593633121374</v>
      </c>
      <c r="AG3479">
        <v>0.483873</v>
      </c>
      <c r="AH3479">
        <v>43.422410812858097</v>
      </c>
      <c r="AI3479">
        <v>89.429734884949497</v>
      </c>
      <c r="AJ3479">
        <v>116.721232867381</v>
      </c>
      <c r="AK3479">
        <v>48.616578019156897</v>
      </c>
      <c r="AL3479">
        <v>79.606893398870398</v>
      </c>
      <c r="AM3479">
        <v>99.447888524794493</v>
      </c>
      <c r="AN3479">
        <v>0.99999995568246403</v>
      </c>
    </row>
    <row r="3480" spans="1:40" x14ac:dyDescent="0.25">
      <c r="A3480" t="str">
        <f>"20190303170321457"</f>
        <v>20190303170321457</v>
      </c>
      <c r="B3480" t="str">
        <f>"1551603801448477"</f>
        <v>1551603801448477</v>
      </c>
      <c r="C3480" t="s">
        <v>40</v>
      </c>
      <c r="D3480">
        <v>4.6225360000000002</v>
      </c>
      <c r="E3480">
        <v>0.38238280000000002</v>
      </c>
      <c r="F3480" t="s">
        <v>78</v>
      </c>
      <c r="G3480">
        <v>-467.58210000000003</v>
      </c>
      <c r="H3480">
        <v>1.6006549999999999</v>
      </c>
      <c r="I3480">
        <v>197.345</v>
      </c>
      <c r="J3480">
        <v>-493.71620000000001</v>
      </c>
      <c r="K3480">
        <v>1.1250209999999901</v>
      </c>
      <c r="L3480">
        <v>238.24109999999999</v>
      </c>
      <c r="M3480">
        <v>0.1040885</v>
      </c>
      <c r="N3480">
        <v>-1.3665200000000001E-2</v>
      </c>
      <c r="O3480">
        <v>-0.99447419999999997</v>
      </c>
      <c r="P3480">
        <v>0.25871830000000001</v>
      </c>
      <c r="Q3480">
        <v>0.168567299999999</v>
      </c>
      <c r="R3480">
        <v>-0.95113099999999995</v>
      </c>
      <c r="S3480">
        <v>1.71151699999999</v>
      </c>
      <c r="T3480">
        <v>3.1127930000000002E-2</v>
      </c>
      <c r="U3480">
        <v>-2.6865079999999999</v>
      </c>
      <c r="V3480">
        <v>-0.1596776</v>
      </c>
      <c r="W3480">
        <v>0.18063960000000001</v>
      </c>
      <c r="X3480">
        <v>0.97050110000000001</v>
      </c>
      <c r="Y3480">
        <v>-0.44643349999999998</v>
      </c>
      <c r="Z3480">
        <v>-2.3212429999999999E-2</v>
      </c>
      <c r="AA3480">
        <v>0.89451559999999897</v>
      </c>
      <c r="AB3480">
        <v>18</v>
      </c>
      <c r="AC3480">
        <v>26.134099999999901</v>
      </c>
      <c r="AD3480">
        <v>0.475634</v>
      </c>
      <c r="AE3480">
        <v>-40.896099999999898</v>
      </c>
      <c r="AF3480">
        <v>-21.732815700621799</v>
      </c>
      <c r="AG3480">
        <v>0.475634</v>
      </c>
      <c r="AH3480">
        <v>43.390258232849199</v>
      </c>
      <c r="AI3480">
        <v>89.438456484846398</v>
      </c>
      <c r="AJ3480">
        <v>116.604848717682</v>
      </c>
      <c r="AK3480">
        <v>48.530979956029</v>
      </c>
      <c r="AL3480">
        <v>79.592983023274002</v>
      </c>
      <c r="AM3480">
        <v>99.343228400597894</v>
      </c>
      <c r="AN3480">
        <v>0.99999999306556497</v>
      </c>
    </row>
    <row r="3481" spans="1:40" x14ac:dyDescent="0.25">
      <c r="A3481" t="str">
        <f>"20190303170321468"</f>
        <v>20190303170321468</v>
      </c>
      <c r="B3481" t="str">
        <f>"1551603801459212"</f>
        <v>1551603801459212</v>
      </c>
      <c r="C3481" t="s">
        <v>40</v>
      </c>
      <c r="D3481">
        <v>4.602214</v>
      </c>
      <c r="E3481">
        <v>0.38249420000000001</v>
      </c>
      <c r="F3481" t="s">
        <v>78</v>
      </c>
      <c r="G3481">
        <v>-467.4511</v>
      </c>
      <c r="H3481">
        <v>1.6469450000000001</v>
      </c>
      <c r="I3481">
        <v>197.345</v>
      </c>
      <c r="J3481">
        <v>-493.70179999999999</v>
      </c>
      <c r="K3481">
        <v>1.1250469999999999</v>
      </c>
      <c r="L3481">
        <v>238.14230000000001</v>
      </c>
      <c r="M3481">
        <v>0.1074596</v>
      </c>
      <c r="N3481">
        <v>-1.3657209999999999E-2</v>
      </c>
      <c r="O3481">
        <v>-0.99411570000000005</v>
      </c>
      <c r="P3481">
        <v>0.26135910000000001</v>
      </c>
      <c r="Q3481">
        <v>0.1690287</v>
      </c>
      <c r="R3481">
        <v>-0.95032689999999997</v>
      </c>
      <c r="S3481">
        <v>1.7211299999999901</v>
      </c>
      <c r="T3481">
        <v>3.4203530000000003E-2</v>
      </c>
      <c r="U3481">
        <v>-2.6798860000000002</v>
      </c>
      <c r="V3481">
        <v>-0.1591052</v>
      </c>
      <c r="W3481">
        <v>0.18108740000000001</v>
      </c>
      <c r="X3481">
        <v>0.97051169999999998</v>
      </c>
      <c r="Y3481">
        <v>-0.44666670000000003</v>
      </c>
      <c r="Z3481">
        <v>-2.4178560000000002E-2</v>
      </c>
      <c r="AA3481">
        <v>0.89437369999999905</v>
      </c>
      <c r="AB3481">
        <v>18</v>
      </c>
      <c r="AC3481">
        <v>26.250699999999899</v>
      </c>
      <c r="AD3481">
        <v>0.52189799999999997</v>
      </c>
      <c r="AE3481">
        <v>-40.7973</v>
      </c>
      <c r="AF3481">
        <v>-21.7116826890088</v>
      </c>
      <c r="AG3481">
        <v>0.52189799999999997</v>
      </c>
      <c r="AH3481">
        <v>43.3771496539457</v>
      </c>
      <c r="AI3481">
        <v>89.383571203983493</v>
      </c>
      <c r="AJ3481">
        <v>116.589464045771</v>
      </c>
      <c r="AK3481">
        <v>48.510273703736303</v>
      </c>
      <c r="AL3481">
        <v>79.566896194211594</v>
      </c>
      <c r="AM3481">
        <v>99.310223108889005</v>
      </c>
      <c r="AN3481">
        <v>1.0000000354713401</v>
      </c>
    </row>
    <row r="3482" spans="1:40" x14ac:dyDescent="0.25">
      <c r="A3482" t="str">
        <f>"20190303170321490"</f>
        <v>20190303170321490</v>
      </c>
      <c r="B3482" t="str">
        <f>"1551603801478733"</f>
        <v>1551603801478733</v>
      </c>
      <c r="C3482" t="s">
        <v>40</v>
      </c>
      <c r="D3482">
        <v>4.6026939999999996</v>
      </c>
      <c r="E3482">
        <v>0.38287310000000002</v>
      </c>
      <c r="F3482" t="s">
        <v>78</v>
      </c>
      <c r="G3482">
        <v>-467.34339999999997</v>
      </c>
      <c r="H3482">
        <v>1.6688750000000001</v>
      </c>
      <c r="I3482">
        <v>197.345</v>
      </c>
      <c r="J3482">
        <v>-493.67759999999998</v>
      </c>
      <c r="K3482">
        <v>1.1250830000000001</v>
      </c>
      <c r="L3482">
        <v>237.97970000000001</v>
      </c>
      <c r="M3482">
        <v>0.11306670000000001</v>
      </c>
      <c r="N3482">
        <v>-1.363293E-2</v>
      </c>
      <c r="O3482">
        <v>-0.99349399999999999</v>
      </c>
      <c r="P3482">
        <v>0.26551829999999998</v>
      </c>
      <c r="Q3482">
        <v>0.1703402</v>
      </c>
      <c r="R3482">
        <v>-0.94893879999999997</v>
      </c>
      <c r="S3482">
        <v>1.7283630000000001</v>
      </c>
      <c r="T3482">
        <v>3.5661699999999998E-2</v>
      </c>
      <c r="U3482">
        <v>-2.675125</v>
      </c>
      <c r="V3482">
        <v>-0.1579286</v>
      </c>
      <c r="W3482">
        <v>0.18237030000000001</v>
      </c>
      <c r="X3482">
        <v>0.97046359999999998</v>
      </c>
      <c r="Y3482">
        <v>-0.44404440000000001</v>
      </c>
      <c r="Z3482">
        <v>-2.4603679999999999E-2</v>
      </c>
      <c r="AA3482">
        <v>0.89566689999999904</v>
      </c>
      <c r="AB3482">
        <v>18</v>
      </c>
      <c r="AC3482">
        <v>26.334199999999999</v>
      </c>
      <c r="AD3482">
        <v>0.54379200000000005</v>
      </c>
      <c r="AE3482">
        <v>-40.634700000000002</v>
      </c>
      <c r="AF3482">
        <v>-21.567719896236198</v>
      </c>
      <c r="AG3482">
        <v>0.54379200000000005</v>
      </c>
      <c r="AH3482">
        <v>43.346407977996599</v>
      </c>
      <c r="AI3482">
        <v>89.356496089478497</v>
      </c>
      <c r="AJ3482">
        <v>116.45339856750699</v>
      </c>
      <c r="AK3482">
        <v>48.4187291846522</v>
      </c>
      <c r="AL3482">
        <v>79.492146211510402</v>
      </c>
      <c r="AM3482">
        <v>99.243015715084695</v>
      </c>
      <c r="AN3482">
        <v>0.999999983972504</v>
      </c>
    </row>
    <row r="3483" spans="1:40" x14ac:dyDescent="0.25">
      <c r="A3483" t="str">
        <f>"20190303170321503"</f>
        <v>20190303170321503</v>
      </c>
      <c r="B3483" t="str">
        <f>"1551603801488493"</f>
        <v>1551603801488493</v>
      </c>
      <c r="C3483" t="s">
        <v>40</v>
      </c>
      <c r="D3483">
        <v>4.5997450000000004</v>
      </c>
      <c r="E3483">
        <v>0.38306240000000003</v>
      </c>
      <c r="F3483" t="s">
        <v>78</v>
      </c>
      <c r="G3483">
        <v>-467.22480000000002</v>
      </c>
      <c r="H3483">
        <v>1.68459</v>
      </c>
      <c r="I3483">
        <v>197.345</v>
      </c>
      <c r="J3483">
        <v>-493.66180000000003</v>
      </c>
      <c r="K3483">
        <v>1.1251009999999999</v>
      </c>
      <c r="L3483">
        <v>237.87710000000001</v>
      </c>
      <c r="M3483">
        <v>0.11664919999999999</v>
      </c>
      <c r="N3483">
        <v>-1.360602E-2</v>
      </c>
      <c r="O3483">
        <v>-0.99308010000000002</v>
      </c>
      <c r="P3483">
        <v>0.268609599999999</v>
      </c>
      <c r="Q3483">
        <v>0.17138519999999999</v>
      </c>
      <c r="R3483">
        <v>-0.9478799</v>
      </c>
      <c r="S3483">
        <v>1.7373350000000001</v>
      </c>
      <c r="T3483">
        <v>3.6748889999999999E-2</v>
      </c>
      <c r="U3483">
        <v>-2.6687470000000002</v>
      </c>
      <c r="V3483">
        <v>-0.15762860000000001</v>
      </c>
      <c r="W3483">
        <v>0.1833824</v>
      </c>
      <c r="X3483">
        <v>0.97032169999999895</v>
      </c>
      <c r="Y3483">
        <v>-0.4439032</v>
      </c>
      <c r="Z3483">
        <v>-2.4915329999999999E-2</v>
      </c>
      <c r="AA3483">
        <v>0.89572830000000003</v>
      </c>
      <c r="AB3483">
        <v>18</v>
      </c>
      <c r="AC3483">
        <v>26.437000000000001</v>
      </c>
      <c r="AD3483">
        <v>0.55948900000000001</v>
      </c>
      <c r="AE3483">
        <v>-40.5321</v>
      </c>
      <c r="AF3483">
        <v>-21.525134394238499</v>
      </c>
      <c r="AG3483">
        <v>0.55948900000000001</v>
      </c>
      <c r="AH3483">
        <v>43.333690799934402</v>
      </c>
      <c r="AI3483">
        <v>89.337507262915807</v>
      </c>
      <c r="AJ3483">
        <v>116.414959021599</v>
      </c>
      <c r="AK3483">
        <v>48.388564733575997</v>
      </c>
      <c r="AL3483">
        <v>79.433163050080395</v>
      </c>
      <c r="AM3483">
        <v>99.227085920501906</v>
      </c>
      <c r="AN3483">
        <v>1.0000000408292999</v>
      </c>
    </row>
    <row r="3484" spans="1:40" x14ac:dyDescent="0.25">
      <c r="A3484" t="str">
        <f>"20190303170321516"</f>
        <v>20190303170321516</v>
      </c>
      <c r="B3484" t="str">
        <f>"1551603801508989"</f>
        <v>1551603801508989</v>
      </c>
      <c r="C3484" t="s">
        <v>40</v>
      </c>
      <c r="D3484">
        <v>4.6123750000000001</v>
      </c>
      <c r="E3484">
        <v>0.38328139999999999</v>
      </c>
      <c r="F3484" t="s">
        <v>78</v>
      </c>
      <c r="G3484">
        <v>-467.12110000000001</v>
      </c>
      <c r="H3484">
        <v>1.70672</v>
      </c>
      <c r="I3484">
        <v>197.345</v>
      </c>
      <c r="J3484">
        <v>-493.64550000000003</v>
      </c>
      <c r="K3484">
        <v>1.1251119999999999</v>
      </c>
      <c r="L3484">
        <v>237.7739</v>
      </c>
      <c r="M3484">
        <v>0.1202748</v>
      </c>
      <c r="N3484">
        <v>-1.357205E-2</v>
      </c>
      <c r="O3484">
        <v>-0.99264790000000003</v>
      </c>
      <c r="P3484">
        <v>0.27201969999999998</v>
      </c>
      <c r="Q3484">
        <v>0.17203929999999901</v>
      </c>
      <c r="R3484">
        <v>-0.94678839999999997</v>
      </c>
      <c r="S3484">
        <v>1.7442629999999999</v>
      </c>
      <c r="T3484">
        <v>3.8226370000000003E-2</v>
      </c>
      <c r="U3484">
        <v>-2.6637729999999999</v>
      </c>
      <c r="V3484">
        <v>-0.15760460000000001</v>
      </c>
      <c r="W3484">
        <v>0.18399599999999999</v>
      </c>
      <c r="X3484">
        <v>0.9702094</v>
      </c>
      <c r="Y3484">
        <v>-0.44302330000000001</v>
      </c>
      <c r="Z3484">
        <v>-2.5344950000000002E-2</v>
      </c>
      <c r="AA3484">
        <v>0.89615180000000005</v>
      </c>
      <c r="AB3484">
        <v>18</v>
      </c>
      <c r="AC3484">
        <v>26.5244</v>
      </c>
      <c r="AD3484">
        <v>0.58160799999999901</v>
      </c>
      <c r="AE3484">
        <v>-40.428899999999999</v>
      </c>
      <c r="AF3484">
        <v>-21.465682937624202</v>
      </c>
      <c r="AG3484">
        <v>0.58160799999999901</v>
      </c>
      <c r="AH3484">
        <v>43.319600848272401</v>
      </c>
      <c r="AI3484">
        <v>89.310762436360307</v>
      </c>
      <c r="AJ3484">
        <v>116.35928684127001</v>
      </c>
      <c r="AK3484">
        <v>48.349784172195797</v>
      </c>
      <c r="AL3484">
        <v>79.397397449923403</v>
      </c>
      <c r="AM3484">
        <v>99.226754688251404</v>
      </c>
      <c r="AN3484">
        <v>1.0000000089027501</v>
      </c>
    </row>
    <row r="3485" spans="1:40" x14ac:dyDescent="0.25">
      <c r="A3485" t="str">
        <f>"20190303170321534"</f>
        <v>20190303170321534</v>
      </c>
      <c r="B3485" t="str">
        <f>"1551603801528626"</f>
        <v>1551603801528626</v>
      </c>
      <c r="C3485" t="s">
        <v>40</v>
      </c>
      <c r="D3485">
        <v>4.6113949999999999</v>
      </c>
      <c r="E3485">
        <v>0.38801029999999997</v>
      </c>
      <c r="F3485" t="s">
        <v>78</v>
      </c>
      <c r="G3485">
        <v>-466.99169999999998</v>
      </c>
      <c r="H3485">
        <v>1.712925</v>
      </c>
      <c r="I3485">
        <v>197.345</v>
      </c>
      <c r="J3485">
        <v>-493.6216</v>
      </c>
      <c r="K3485">
        <v>1.125113</v>
      </c>
      <c r="L3485">
        <v>237.62690000000001</v>
      </c>
      <c r="M3485">
        <v>0.12549779999999999</v>
      </c>
      <c r="N3485">
        <v>-1.350285E-2</v>
      </c>
      <c r="O3485">
        <v>-0.99200200000000005</v>
      </c>
      <c r="P3485">
        <v>0.27738230000000003</v>
      </c>
      <c r="Q3485">
        <v>0.1720457</v>
      </c>
      <c r="R3485">
        <v>-0.94522989999999996</v>
      </c>
      <c r="S3485">
        <v>1.7524109999999999</v>
      </c>
      <c r="T3485">
        <v>3.8648960000000003E-2</v>
      </c>
      <c r="U3485">
        <v>-2.6580659999999998</v>
      </c>
      <c r="V3485">
        <v>-0.15800649999999999</v>
      </c>
      <c r="W3485">
        <v>0.18392430000000001</v>
      </c>
      <c r="X3485">
        <v>0.97015759999999995</v>
      </c>
      <c r="Y3485">
        <v>-0.44110260000000001</v>
      </c>
      <c r="Z3485">
        <v>-2.5396729999999999E-2</v>
      </c>
      <c r="AA3485">
        <v>0.89709729999999999</v>
      </c>
      <c r="AB3485">
        <v>18</v>
      </c>
      <c r="AC3485">
        <v>26.629899999999999</v>
      </c>
      <c r="AD3485">
        <v>0.587812</v>
      </c>
      <c r="AE3485">
        <v>-40.2819</v>
      </c>
      <c r="AF3485">
        <v>-21.360406794578701</v>
      </c>
      <c r="AG3485">
        <v>0.587812</v>
      </c>
      <c r="AH3485">
        <v>43.299251389181698</v>
      </c>
      <c r="AI3485">
        <v>89.302474798622796</v>
      </c>
      <c r="AJ3485">
        <v>116.25806653221299</v>
      </c>
      <c r="AK3485">
        <v>48.284963210515002</v>
      </c>
      <c r="AL3485">
        <v>79.4015766339122</v>
      </c>
      <c r="AM3485">
        <v>99.2503625491576</v>
      </c>
      <c r="AN3485">
        <v>0.99999998550524904</v>
      </c>
    </row>
    <row r="3486" spans="1:40" x14ac:dyDescent="0.25">
      <c r="A3486" t="str">
        <f>"20190303170321547"</f>
        <v>20190303170321547</v>
      </c>
      <c r="B3486" t="str">
        <f>"1551603801538386"</f>
        <v>1551603801538386</v>
      </c>
      <c r="C3486" t="s">
        <v>40</v>
      </c>
      <c r="D3486">
        <v>4.6159150000000002</v>
      </c>
      <c r="E3486">
        <v>0.3887312</v>
      </c>
      <c r="F3486" t="s">
        <v>78</v>
      </c>
      <c r="G3486">
        <v>-467.41640000000001</v>
      </c>
      <c r="H3486">
        <v>1.1279999999999999</v>
      </c>
      <c r="I3486">
        <v>197.345</v>
      </c>
      <c r="J3486">
        <v>-493.6053</v>
      </c>
      <c r="K3486">
        <v>1.1251059999999999</v>
      </c>
      <c r="L3486">
        <v>237.5309</v>
      </c>
      <c r="M3486">
        <v>0.12893850000000001</v>
      </c>
      <c r="N3486">
        <v>-1.345005E-2</v>
      </c>
      <c r="O3486">
        <v>-0.99156149999999998</v>
      </c>
      <c r="P3486">
        <v>0.28087899999999999</v>
      </c>
      <c r="Q3486">
        <v>0.17138390000000001</v>
      </c>
      <c r="R3486">
        <v>-0.94431730000000003</v>
      </c>
      <c r="S3486">
        <v>1.7337039999999999</v>
      </c>
      <c r="T3486">
        <v>1.932383E-4</v>
      </c>
      <c r="U3486">
        <v>-2.6649929999999999</v>
      </c>
      <c r="V3486">
        <v>-0.15821399999999999</v>
      </c>
      <c r="W3486">
        <v>0.18320810000000001</v>
      </c>
      <c r="X3486">
        <v>0.97025930000000005</v>
      </c>
      <c r="Y3486">
        <v>-0.43258459999999899</v>
      </c>
      <c r="Z3486">
        <v>-1.300509E-2</v>
      </c>
      <c r="AA3486">
        <v>0.90149950000000001</v>
      </c>
      <c r="AB3486">
        <v>18</v>
      </c>
      <c r="AC3486">
        <v>26.188899999999901</v>
      </c>
      <c r="AD3486">
        <v>2.89399999999995E-3</v>
      </c>
      <c r="AE3486">
        <v>-40.185899999999997</v>
      </c>
      <c r="AF3486">
        <v>-20.7882730614119</v>
      </c>
      <c r="AG3486">
        <v>2.89399999999995E-3</v>
      </c>
      <c r="AH3486">
        <v>43.227453410925101</v>
      </c>
      <c r="AI3486">
        <v>89.996543114258998</v>
      </c>
      <c r="AJ3486">
        <v>115.683106523276</v>
      </c>
      <c r="AK3486">
        <v>47.9662905970929</v>
      </c>
      <c r="AL3486">
        <v>79.443321309061105</v>
      </c>
      <c r="AM3486">
        <v>99.261346037491705</v>
      </c>
      <c r="AN3486">
        <v>0.99999999346905</v>
      </c>
    </row>
    <row r="3487" spans="1:40" x14ac:dyDescent="0.25">
      <c r="A3487" t="str">
        <f>"20190303170321561"</f>
        <v>20190303170321561</v>
      </c>
      <c r="B3487" t="str">
        <f>"1551603801549121"</f>
        <v>1551603801549121</v>
      </c>
      <c r="C3487" t="s">
        <v>40</v>
      </c>
      <c r="D3487">
        <v>4.6130269999999998</v>
      </c>
      <c r="E3487">
        <v>0.38923039999999998</v>
      </c>
      <c r="F3487" t="s">
        <v>78</v>
      </c>
      <c r="G3487">
        <v>-467.35570000000001</v>
      </c>
      <c r="H3487">
        <v>1.072163</v>
      </c>
      <c r="I3487">
        <v>197.345</v>
      </c>
      <c r="J3487">
        <v>-493.58620000000002</v>
      </c>
      <c r="K3487">
        <v>1.1250960000000001</v>
      </c>
      <c r="L3487">
        <v>237.4196</v>
      </c>
      <c r="M3487">
        <v>0.1329321</v>
      </c>
      <c r="N3487">
        <v>-1.338512E-2</v>
      </c>
      <c r="O3487">
        <v>-0.991035</v>
      </c>
      <c r="P3487">
        <v>0.28499999999999998</v>
      </c>
      <c r="Q3487">
        <v>0.17077419999999999</v>
      </c>
      <c r="R3487">
        <v>-0.94319249999999999</v>
      </c>
      <c r="S3487">
        <v>1.7379150000000001</v>
      </c>
      <c r="T3487">
        <v>-3.502846E-3</v>
      </c>
      <c r="U3487">
        <v>-2.6605829999999999</v>
      </c>
      <c r="V3487">
        <v>-0.15852569999999999</v>
      </c>
      <c r="W3487">
        <v>0.1825321</v>
      </c>
      <c r="X3487">
        <v>0.97033579999999997</v>
      </c>
      <c r="Y3487">
        <v>-0.4306412</v>
      </c>
      <c r="Z3487">
        <v>-1.1737799999999901E-2</v>
      </c>
      <c r="AA3487">
        <v>0.90244690000000005</v>
      </c>
      <c r="AB3487">
        <v>18</v>
      </c>
      <c r="AC3487">
        <v>26.230499999999999</v>
      </c>
      <c r="AD3487">
        <v>-5.2932999999999897E-2</v>
      </c>
      <c r="AE3487">
        <v>-40.074599999999997</v>
      </c>
      <c r="AF3487">
        <v>-20.6699643834733</v>
      </c>
      <c r="AG3487">
        <v>-5.2932999999999897E-2</v>
      </c>
      <c r="AH3487">
        <v>43.206014211001097</v>
      </c>
      <c r="AI3487">
        <v>90.063321557137698</v>
      </c>
      <c r="AJ3487">
        <v>115.566676044695</v>
      </c>
      <c r="AK3487">
        <v>47.895823341057302</v>
      </c>
      <c r="AL3487">
        <v>79.482717289726295</v>
      </c>
      <c r="AM3487">
        <v>99.278556049134906</v>
      </c>
      <c r="AN3487">
        <v>0.99999996492626897</v>
      </c>
    </row>
    <row r="3488" spans="1:40" x14ac:dyDescent="0.25">
      <c r="A3488" t="str">
        <f>"20190303170321574"</f>
        <v>20190303170321574</v>
      </c>
      <c r="B3488" t="str">
        <f>"1551603801568642"</f>
        <v>1551603801568642</v>
      </c>
      <c r="C3488" t="s">
        <v>40</v>
      </c>
      <c r="D3488">
        <v>4.6599830000000004</v>
      </c>
      <c r="E3488">
        <v>0.38973289999999999</v>
      </c>
      <c r="F3488" t="s">
        <v>78</v>
      </c>
      <c r="G3488">
        <v>-467.23129999999998</v>
      </c>
      <c r="H3488">
        <v>1.027579</v>
      </c>
      <c r="I3488">
        <v>197.345</v>
      </c>
      <c r="J3488">
        <v>-493.5668</v>
      </c>
      <c r="K3488">
        <v>1.1250739999999999</v>
      </c>
      <c r="L3488">
        <v>237.309</v>
      </c>
      <c r="M3488">
        <v>0.13691610000000001</v>
      </c>
      <c r="N3488">
        <v>-1.331565E-2</v>
      </c>
      <c r="O3488">
        <v>-0.99049339999999997</v>
      </c>
      <c r="P3488">
        <v>0.28950150000000002</v>
      </c>
      <c r="Q3488">
        <v>0.1702891</v>
      </c>
      <c r="R3488">
        <v>-0.94190839999999998</v>
      </c>
      <c r="S3488">
        <v>1.7456670000000001</v>
      </c>
      <c r="T3488">
        <v>-6.4568519999999999E-3</v>
      </c>
      <c r="U3488">
        <v>-2.654404</v>
      </c>
      <c r="V3488">
        <v>-0.15924440000000001</v>
      </c>
      <c r="W3488">
        <v>0.18197269999999999</v>
      </c>
      <c r="X3488">
        <v>0.97032320000000005</v>
      </c>
      <c r="Y3488">
        <v>-0.42982009999999998</v>
      </c>
      <c r="Z3488">
        <v>-1.070226E-2</v>
      </c>
      <c r="AA3488">
        <v>0.90285110000000002</v>
      </c>
      <c r="AB3488">
        <v>18</v>
      </c>
      <c r="AC3488">
        <v>26.3355</v>
      </c>
      <c r="AD3488">
        <v>-9.7494999999999804E-2</v>
      </c>
      <c r="AE3488">
        <v>-39.963999999999999</v>
      </c>
      <c r="AF3488">
        <v>-20.615160903201399</v>
      </c>
      <c r="AG3488">
        <v>-9.7494999999999804E-2</v>
      </c>
      <c r="AH3488">
        <v>43.193471575614197</v>
      </c>
      <c r="AI3488">
        <v>90.116714275646999</v>
      </c>
      <c r="AJ3488">
        <v>115.513972982344</v>
      </c>
      <c r="AK3488">
        <v>47.860948079758103</v>
      </c>
      <c r="AL3488">
        <v>79.515314628581805</v>
      </c>
      <c r="AM3488">
        <v>99.320004191502605</v>
      </c>
      <c r="AN3488">
        <v>0.99999997746744396</v>
      </c>
    </row>
    <row r="3489" spans="1:40" x14ac:dyDescent="0.25">
      <c r="A3489" t="str">
        <f>"20190303170321592"</f>
        <v>20190303170321592</v>
      </c>
      <c r="B3489" t="str">
        <f>"1551603801578401"</f>
        <v>1551603801578401</v>
      </c>
      <c r="C3489" t="s">
        <v>40</v>
      </c>
      <c r="D3489">
        <v>4.6461050000000004</v>
      </c>
      <c r="E3489">
        <v>0.3898143</v>
      </c>
      <c r="F3489" t="s">
        <v>78</v>
      </c>
      <c r="G3489">
        <v>-467.09649999999999</v>
      </c>
      <c r="H3489">
        <v>0.99814270000000005</v>
      </c>
      <c r="I3489">
        <v>197.345</v>
      </c>
      <c r="J3489">
        <v>-493.54239999999999</v>
      </c>
      <c r="K3489">
        <v>1.125051</v>
      </c>
      <c r="L3489">
        <v>237.17500000000001</v>
      </c>
      <c r="M3489">
        <v>0.14176549999999999</v>
      </c>
      <c r="N3489">
        <v>-1.3222390000000001E-2</v>
      </c>
      <c r="O3489">
        <v>-0.98981209999999997</v>
      </c>
      <c r="P3489">
        <v>0.29504180000000002</v>
      </c>
      <c r="Q3489">
        <v>0.17036289999999901</v>
      </c>
      <c r="R3489">
        <v>-0.94017390000000001</v>
      </c>
      <c r="S3489">
        <v>1.7536320000000001</v>
      </c>
      <c r="T3489">
        <v>-8.4066390000000005E-3</v>
      </c>
      <c r="U3489">
        <v>-2.6475680000000001</v>
      </c>
      <c r="V3489">
        <v>-0.1602075</v>
      </c>
      <c r="W3489">
        <v>0.18194740000000001</v>
      </c>
      <c r="X3489">
        <v>0.97016939999999996</v>
      </c>
      <c r="Y3489">
        <v>-0.42836089999999999</v>
      </c>
      <c r="Z3489">
        <v>-9.96206E-3</v>
      </c>
      <c r="AA3489">
        <v>0.90355280000000004</v>
      </c>
      <c r="AB3489">
        <v>18</v>
      </c>
      <c r="AC3489">
        <v>26.445899999999899</v>
      </c>
      <c r="AD3489">
        <v>-0.1269083</v>
      </c>
      <c r="AE3489">
        <v>-39.83</v>
      </c>
      <c r="AF3489">
        <v>-20.531599269039301</v>
      </c>
      <c r="AG3489">
        <v>-0.1269083</v>
      </c>
      <c r="AH3489">
        <v>43.1767963977505</v>
      </c>
      <c r="AI3489">
        <v>90.152087739422598</v>
      </c>
      <c r="AJ3489">
        <v>115.43220523538901</v>
      </c>
      <c r="AK3489">
        <v>47.810024277695398</v>
      </c>
      <c r="AL3489">
        <v>79.516788870822495</v>
      </c>
      <c r="AM3489">
        <v>99.376833003176699</v>
      </c>
      <c r="AN3489">
        <v>0.99999998205968399</v>
      </c>
    </row>
    <row r="3490" spans="1:40" x14ac:dyDescent="0.25">
      <c r="A3490" t="str">
        <f>"20190303170321615"</f>
        <v>20190303170321615</v>
      </c>
      <c r="B3490" t="str">
        <f>"1551603801608657"</f>
        <v>1551603801608657</v>
      </c>
      <c r="C3490" t="s">
        <v>40</v>
      </c>
      <c r="D3490">
        <v>4.6283370000000001</v>
      </c>
      <c r="E3490">
        <v>0.39054729999999999</v>
      </c>
      <c r="F3490" t="s">
        <v>78</v>
      </c>
      <c r="G3490">
        <v>-466.8399</v>
      </c>
      <c r="H3490">
        <v>0.97771600000000003</v>
      </c>
      <c r="I3490">
        <v>197.345</v>
      </c>
      <c r="J3490">
        <v>-493.50790000000001</v>
      </c>
      <c r="K3490">
        <v>1.1250169999999999</v>
      </c>
      <c r="L3490">
        <v>236.9905</v>
      </c>
      <c r="M3490">
        <v>0.1484462</v>
      </c>
      <c r="N3490">
        <v>-1.3082659999999999E-2</v>
      </c>
      <c r="O3490">
        <v>-0.98883410000000005</v>
      </c>
      <c r="P3490">
        <v>0.30245529999999998</v>
      </c>
      <c r="Q3490">
        <v>0.17074010000000001</v>
      </c>
      <c r="R3490">
        <v>-0.93774679999999999</v>
      </c>
      <c r="S3490">
        <v>1.7683409999999999</v>
      </c>
      <c r="T3490">
        <v>-9.7546579999999994E-3</v>
      </c>
      <c r="U3490">
        <v>-2.63768</v>
      </c>
      <c r="V3490">
        <v>-0.16132579999999999</v>
      </c>
      <c r="W3490">
        <v>0.18218090000000001</v>
      </c>
      <c r="X3490">
        <v>0.96994020000000003</v>
      </c>
      <c r="Y3490">
        <v>-0.42730509999999999</v>
      </c>
      <c r="Z3490">
        <v>-9.3617849999999992E-3</v>
      </c>
      <c r="AA3490">
        <v>0.90405899999999995</v>
      </c>
      <c r="AB3490">
        <v>18</v>
      </c>
      <c r="AC3490">
        <v>26.667999999999999</v>
      </c>
      <c r="AD3490">
        <v>-0.14730099999999899</v>
      </c>
      <c r="AE3490">
        <v>-39.645499999999998</v>
      </c>
      <c r="AF3490">
        <v>-20.486559387578801</v>
      </c>
      <c r="AG3490">
        <v>-0.14730099999999899</v>
      </c>
      <c r="AH3490">
        <v>43.164862841883803</v>
      </c>
      <c r="AI3490">
        <v>90.176637569247504</v>
      </c>
      <c r="AJ3490">
        <v>115.389574371186</v>
      </c>
      <c r="AK3490">
        <v>47.779976949387901</v>
      </c>
      <c r="AL3490">
        <v>79.503182488286697</v>
      </c>
      <c r="AM3490">
        <v>99.443302702238796</v>
      </c>
      <c r="AN3490">
        <v>0.999999942823243</v>
      </c>
    </row>
    <row r="3491" spans="1:40" x14ac:dyDescent="0.25">
      <c r="A3491" t="str">
        <f>"20190303170321636"</f>
        <v>20190303170321636</v>
      </c>
      <c r="B3491" t="str">
        <f>"1551603801629153"</f>
        <v>1551603801629153</v>
      </c>
      <c r="C3491" t="s">
        <v>40</v>
      </c>
      <c r="D3491">
        <v>4.6213430000000004</v>
      </c>
      <c r="E3491">
        <v>0.39599590000000001</v>
      </c>
      <c r="F3491" t="s">
        <v>78</v>
      </c>
      <c r="G3491">
        <v>-466.58</v>
      </c>
      <c r="H3491">
        <v>0.94659470000000001</v>
      </c>
      <c r="I3491">
        <v>197.345</v>
      </c>
      <c r="J3491">
        <v>-493.47559999999999</v>
      </c>
      <c r="K3491">
        <v>1.1249800000000001</v>
      </c>
      <c r="L3491">
        <v>236.82390000000001</v>
      </c>
      <c r="M3491">
        <v>0.15448319999999999</v>
      </c>
      <c r="N3491">
        <v>-1.2942530000000001E-2</v>
      </c>
      <c r="O3491">
        <v>-0.98791079999999998</v>
      </c>
      <c r="P3491">
        <v>0.30865479999999901</v>
      </c>
      <c r="Q3491">
        <v>0.1703702</v>
      </c>
      <c r="R3491">
        <v>-0.93579230000000002</v>
      </c>
      <c r="S3491">
        <v>1.7836299999999901</v>
      </c>
      <c r="T3491">
        <v>-1.181579E-2</v>
      </c>
      <c r="U3491">
        <v>-2.6259920000000001</v>
      </c>
      <c r="V3491">
        <v>-0.16180129999999901</v>
      </c>
      <c r="W3491">
        <v>0.1816768</v>
      </c>
      <c r="X3491">
        <v>0.96995560000000003</v>
      </c>
      <c r="Y3491">
        <v>-0.4272569</v>
      </c>
      <c r="Z3491">
        <v>-8.5320280000000005E-3</v>
      </c>
      <c r="AA3491">
        <v>0.90408999999999995</v>
      </c>
      <c r="AB3491">
        <v>18</v>
      </c>
      <c r="AC3491">
        <v>26.895600000000002</v>
      </c>
      <c r="AD3491">
        <v>-0.178385299999999</v>
      </c>
      <c r="AE3491">
        <v>-39.478900000000003</v>
      </c>
      <c r="AF3491">
        <v>-20.473052978811499</v>
      </c>
      <c r="AG3491">
        <v>-0.178385299999999</v>
      </c>
      <c r="AH3491">
        <v>43.159556357746098</v>
      </c>
      <c r="AI3491">
        <v>90.213959719246105</v>
      </c>
      <c r="AJ3491">
        <v>115.377668102024</v>
      </c>
      <c r="AK3491">
        <v>47.769498894021702</v>
      </c>
      <c r="AL3491">
        <v>79.532556010942002</v>
      </c>
      <c r="AM3491">
        <v>99.470485240388797</v>
      </c>
      <c r="AN3491">
        <v>0.99999999315564503</v>
      </c>
    </row>
    <row r="3492" spans="1:40" x14ac:dyDescent="0.25">
      <c r="A3492" t="str">
        <f>"20190303170321649"</f>
        <v>20190303170321649</v>
      </c>
      <c r="B3492" t="str">
        <f>"1551603801638913"</f>
        <v>1551603801638913</v>
      </c>
      <c r="C3492" t="s">
        <v>40</v>
      </c>
      <c r="D3492">
        <v>4.6537889999999997</v>
      </c>
      <c r="E3492">
        <v>0.39658130000000003</v>
      </c>
      <c r="F3492" t="s">
        <v>78</v>
      </c>
      <c r="G3492">
        <v>-467.03989999999999</v>
      </c>
      <c r="H3492">
        <v>0.56953100000000001</v>
      </c>
      <c r="I3492">
        <v>197.345</v>
      </c>
      <c r="J3492">
        <v>-493.4547</v>
      </c>
      <c r="K3492">
        <v>1.1249559999999901</v>
      </c>
      <c r="L3492">
        <v>236.71879999999999</v>
      </c>
      <c r="M3492">
        <v>0.15828519999999999</v>
      </c>
      <c r="N3492">
        <v>-1.285305E-2</v>
      </c>
      <c r="O3492">
        <v>-0.98730989999999996</v>
      </c>
      <c r="P3492">
        <v>0.31200640000000002</v>
      </c>
      <c r="Q3492">
        <v>0.1701588</v>
      </c>
      <c r="R3492">
        <v>-0.9347183</v>
      </c>
      <c r="S3492">
        <v>1.762054</v>
      </c>
      <c r="T3492">
        <v>-3.7020440000000002E-2</v>
      </c>
      <c r="U3492">
        <v>-2.631424</v>
      </c>
      <c r="V3492">
        <v>-0.16153029999999999</v>
      </c>
      <c r="W3492">
        <v>0.18138609999999999</v>
      </c>
      <c r="X3492">
        <v>0.97005520000000001</v>
      </c>
      <c r="Y3492">
        <v>-0.41778939999999998</v>
      </c>
      <c r="Z3492">
        <v>-2.9874380000000002E-4</v>
      </c>
      <c r="AA3492">
        <v>0.90854389999999996</v>
      </c>
      <c r="AB3492">
        <v>18</v>
      </c>
      <c r="AC3492">
        <v>26.4148</v>
      </c>
      <c r="AD3492">
        <v>-0.55542499999999895</v>
      </c>
      <c r="AE3492">
        <v>-39.373799999999903</v>
      </c>
      <c r="AF3492">
        <v>-19.846217430406501</v>
      </c>
      <c r="AG3492">
        <v>-0.55542499999999895</v>
      </c>
      <c r="AH3492">
        <v>43.052857887776803</v>
      </c>
      <c r="AI3492">
        <v>90.671252593066896</v>
      </c>
      <c r="AJ3492">
        <v>114.748439345192</v>
      </c>
      <c r="AK3492">
        <v>47.410224799411203</v>
      </c>
      <c r="AL3492">
        <v>79.549493621133706</v>
      </c>
      <c r="AM3492">
        <v>99.453956562403206</v>
      </c>
      <c r="AN3492">
        <v>1.0000000230691599</v>
      </c>
    </row>
    <row r="3493" spans="1:40" x14ac:dyDescent="0.25">
      <c r="A3493" t="str">
        <f>"20190303170321663"</f>
        <v>20190303170321663</v>
      </c>
      <c r="B3493" t="str">
        <f>"1551603801658433"</f>
        <v>1551603801658433</v>
      </c>
      <c r="C3493" t="s">
        <v>40</v>
      </c>
      <c r="D3493">
        <v>4.6322749999999999</v>
      </c>
      <c r="E3493">
        <v>0.39617059999999998</v>
      </c>
      <c r="F3493" t="s">
        <v>78</v>
      </c>
      <c r="G3493">
        <v>-466.95729999999998</v>
      </c>
      <c r="H3493">
        <v>0.54142999999999997</v>
      </c>
      <c r="I3493">
        <v>197.345</v>
      </c>
      <c r="J3493">
        <v>-493.43290000000002</v>
      </c>
      <c r="K3493">
        <v>1.124932</v>
      </c>
      <c r="L3493">
        <v>236.61170000000001</v>
      </c>
      <c r="M3493">
        <v>0.1621533</v>
      </c>
      <c r="N3493">
        <v>-1.2761969999999999E-2</v>
      </c>
      <c r="O3493">
        <v>-0.98668319999999998</v>
      </c>
      <c r="P3493">
        <v>0.31535600000000003</v>
      </c>
      <c r="Q3493">
        <v>0.1693837</v>
      </c>
      <c r="R3493">
        <v>-0.93373450000000002</v>
      </c>
      <c r="S3493">
        <v>1.767609</v>
      </c>
      <c r="T3493">
        <v>-3.8923859999999998E-2</v>
      </c>
      <c r="U3493">
        <v>-2.6265719999999999</v>
      </c>
      <c r="V3493">
        <v>-0.16117210000000001</v>
      </c>
      <c r="W3493">
        <v>0.18053169999999999</v>
      </c>
      <c r="X3493">
        <v>0.97027419999999998</v>
      </c>
      <c r="Y3493">
        <v>-0.416327</v>
      </c>
      <c r="Z3493">
        <v>4.2402299999999999E-4</v>
      </c>
      <c r="AA3493">
        <v>0.90921490000000005</v>
      </c>
      <c r="AB3493">
        <v>18</v>
      </c>
      <c r="AC3493">
        <v>26.4756</v>
      </c>
      <c r="AD3493">
        <v>-0.58350199999999997</v>
      </c>
      <c r="AE3493">
        <v>-39.2667</v>
      </c>
      <c r="AF3493">
        <v>-19.754411959929101</v>
      </c>
      <c r="AG3493">
        <v>-0.58350199999999997</v>
      </c>
      <c r="AH3493">
        <v>43.033865016123997</v>
      </c>
      <c r="AI3493">
        <v>90.706009648498394</v>
      </c>
      <c r="AJ3493">
        <v>114.657177079641</v>
      </c>
      <c r="AK3493">
        <v>47.354944881105901</v>
      </c>
      <c r="AL3493">
        <v>79.599269510819099</v>
      </c>
      <c r="AM3493">
        <v>99.431278308240294</v>
      </c>
      <c r="AN3493">
        <v>1.0000000818544601</v>
      </c>
    </row>
    <row r="3494" spans="1:40" x14ac:dyDescent="0.25">
      <c r="A3494" t="str">
        <f>"20190303170321679"</f>
        <v>20190303170321679</v>
      </c>
      <c r="B3494" t="str">
        <f>"1551603801669168"</f>
        <v>1551603801669168</v>
      </c>
      <c r="C3494" t="s">
        <v>40</v>
      </c>
      <c r="D3494">
        <v>4.6740250000000003</v>
      </c>
      <c r="E3494">
        <v>0.39592270000000002</v>
      </c>
      <c r="F3494" t="s">
        <v>78</v>
      </c>
      <c r="G3494">
        <v>-466.73610000000002</v>
      </c>
      <c r="H3494">
        <v>0.62948470000000001</v>
      </c>
      <c r="I3494">
        <v>197.345</v>
      </c>
      <c r="J3494">
        <v>-493.40609999999998</v>
      </c>
      <c r="K3494">
        <v>1.1249020000000001</v>
      </c>
      <c r="L3494">
        <v>236.482</v>
      </c>
      <c r="M3494">
        <v>0.16683199999999901</v>
      </c>
      <c r="N3494">
        <v>-1.264842E-2</v>
      </c>
      <c r="O3494">
        <v>-0.98590429999999996</v>
      </c>
      <c r="P3494">
        <v>0.31917030000000002</v>
      </c>
      <c r="Q3494">
        <v>0.168327799999999</v>
      </c>
      <c r="R3494">
        <v>-0.93262880000000004</v>
      </c>
      <c r="S3494">
        <v>1.7798160000000001</v>
      </c>
      <c r="T3494">
        <v>-3.3027889999999997E-2</v>
      </c>
      <c r="U3494">
        <v>-2.6178129999999999</v>
      </c>
      <c r="V3494">
        <v>-0.1604884</v>
      </c>
      <c r="W3494">
        <v>0.17937919999999999</v>
      </c>
      <c r="X3494">
        <v>0.97060109999999999</v>
      </c>
      <c r="Y3494">
        <v>-0.41633229999999999</v>
      </c>
      <c r="Z3494">
        <v>-1.344521E-3</v>
      </c>
      <c r="AA3494">
        <v>0.90921149999999995</v>
      </c>
      <c r="AB3494">
        <v>18</v>
      </c>
      <c r="AC3494">
        <v>26.669999999999899</v>
      </c>
      <c r="AD3494">
        <v>-0.4954173</v>
      </c>
      <c r="AE3494">
        <v>-39.137</v>
      </c>
      <c r="AF3494">
        <v>-19.764180357514299</v>
      </c>
      <c r="AG3494">
        <v>-0.4954173</v>
      </c>
      <c r="AH3494">
        <v>43.033475896706797</v>
      </c>
      <c r="AI3494">
        <v>90.599392704915402</v>
      </c>
      <c r="AJ3494">
        <v>114.66811480777</v>
      </c>
      <c r="AK3494">
        <v>47.357663701432102</v>
      </c>
      <c r="AL3494">
        <v>79.666397519942507</v>
      </c>
      <c r="AM3494">
        <v>99.388877769861907</v>
      </c>
      <c r="AN3494">
        <v>0.99999995962420396</v>
      </c>
    </row>
    <row r="3495" spans="1:40" x14ac:dyDescent="0.25">
      <c r="A3495" t="str">
        <f>"20190303170321693"</f>
        <v>20190303170321693</v>
      </c>
      <c r="B3495" t="str">
        <f>"1551603801688690"</f>
        <v>1551603801688690</v>
      </c>
      <c r="C3495" t="s">
        <v>40</v>
      </c>
      <c r="D3495">
        <v>4.6601720000000002</v>
      </c>
      <c r="E3495">
        <v>0.3959703</v>
      </c>
      <c r="F3495" t="s">
        <v>78</v>
      </c>
      <c r="G3495">
        <v>-466.52569999999997</v>
      </c>
      <c r="H3495">
        <v>0.63040779999999996</v>
      </c>
      <c r="I3495">
        <v>197.345</v>
      </c>
      <c r="J3495">
        <v>-493.3836</v>
      </c>
      <c r="K3495">
        <v>1.124879</v>
      </c>
      <c r="L3495">
        <v>236.37559999999999</v>
      </c>
      <c r="M3495">
        <v>0.1706686</v>
      </c>
      <c r="N3495">
        <v>-1.254804E-2</v>
      </c>
      <c r="O3495">
        <v>-0.98524869999999998</v>
      </c>
      <c r="P3495">
        <v>0.32229160000000001</v>
      </c>
      <c r="Q3495">
        <v>0.16815379999999999</v>
      </c>
      <c r="R3495">
        <v>-0.93158600000000003</v>
      </c>
      <c r="S3495">
        <v>1.7921750000000001</v>
      </c>
      <c r="T3495">
        <v>-3.296661E-2</v>
      </c>
      <c r="U3495">
        <v>-2.6093440000000001</v>
      </c>
      <c r="V3495">
        <v>-0.1599487</v>
      </c>
      <c r="W3495">
        <v>0.179116</v>
      </c>
      <c r="X3495">
        <v>0.97073880000000001</v>
      </c>
      <c r="Y3495">
        <v>-0.4170972</v>
      </c>
      <c r="Z3495">
        <v>-1.24658E-3</v>
      </c>
      <c r="AA3495">
        <v>0.90886100000000003</v>
      </c>
      <c r="AB3495">
        <v>18</v>
      </c>
      <c r="AC3495">
        <v>26.857900000000001</v>
      </c>
      <c r="AD3495">
        <v>-0.4944712</v>
      </c>
      <c r="AE3495">
        <v>-39.0305999999999</v>
      </c>
      <c r="AF3495">
        <v>-19.799813332778498</v>
      </c>
      <c r="AG3495">
        <v>-0.4944712</v>
      </c>
      <c r="AH3495">
        <v>43.037344215290297</v>
      </c>
      <c r="AI3495">
        <v>90.598015817900205</v>
      </c>
      <c r="AJ3495">
        <v>114.705325486617</v>
      </c>
      <c r="AK3495">
        <v>47.376049929113897</v>
      </c>
      <c r="AL3495">
        <v>79.681726169516097</v>
      </c>
      <c r="AM3495">
        <v>99.356559759708503</v>
      </c>
      <c r="AN3495">
        <v>0.99999997295656395</v>
      </c>
    </row>
    <row r="3496" spans="1:40" x14ac:dyDescent="0.25">
      <c r="A3496" t="str">
        <f>"20190303170321707"</f>
        <v>20190303170321707</v>
      </c>
      <c r="B3496" t="str">
        <f>"1551603801698449"</f>
        <v>1551603801698449</v>
      </c>
      <c r="C3496" t="s">
        <v>40</v>
      </c>
      <c r="D3496">
        <v>4.672307</v>
      </c>
      <c r="E3496">
        <v>0.39601189999999997</v>
      </c>
      <c r="F3496" t="s">
        <v>78</v>
      </c>
      <c r="G3496">
        <v>-466.38819999999998</v>
      </c>
      <c r="H3496">
        <v>0.66418599999999905</v>
      </c>
      <c r="I3496">
        <v>197.345</v>
      </c>
      <c r="J3496">
        <v>-493.35910000000001</v>
      </c>
      <c r="K3496">
        <v>1.12486</v>
      </c>
      <c r="L3496">
        <v>236.2628</v>
      </c>
      <c r="M3496">
        <v>0.17473159999999999</v>
      </c>
      <c r="N3496">
        <v>-1.243E-2</v>
      </c>
      <c r="O3496">
        <v>-0.98453769999999996</v>
      </c>
      <c r="P3496">
        <v>0.32606370000000001</v>
      </c>
      <c r="Q3496">
        <v>0.1680596</v>
      </c>
      <c r="R3496">
        <v>-0.93028960000000005</v>
      </c>
      <c r="S3496">
        <v>1.800354</v>
      </c>
      <c r="T3496">
        <v>-3.0721660000000001E-2</v>
      </c>
      <c r="U3496">
        <v>-2.6029819999999999</v>
      </c>
      <c r="V3496">
        <v>-0.1598714</v>
      </c>
      <c r="W3496">
        <v>0.17891000000000001</v>
      </c>
      <c r="X3496">
        <v>0.97078960000000003</v>
      </c>
      <c r="Y3496">
        <v>-0.41632039999999998</v>
      </c>
      <c r="Z3496">
        <v>-1.8380930000000001E-3</v>
      </c>
      <c r="AA3496">
        <v>0.90921609999999997</v>
      </c>
      <c r="AB3496">
        <v>18</v>
      </c>
      <c r="AC3496">
        <v>26.9709</v>
      </c>
      <c r="AD3496">
        <v>-0.46067399999999997</v>
      </c>
      <c r="AE3496">
        <v>-38.9178</v>
      </c>
      <c r="AF3496">
        <v>-19.7533536381411</v>
      </c>
      <c r="AG3496">
        <v>-0.46067399999999997</v>
      </c>
      <c r="AH3496">
        <v>43.0279588510083</v>
      </c>
      <c r="AI3496">
        <v>90.557472628594596</v>
      </c>
      <c r="AJ3496">
        <v>114.658994932624</v>
      </c>
      <c r="AK3496">
        <v>47.3477818210294</v>
      </c>
      <c r="AL3496">
        <v>79.693723690182594</v>
      </c>
      <c r="AM3496">
        <v>99.351637091907406</v>
      </c>
      <c r="AN3496">
        <v>1.0000000500530499</v>
      </c>
    </row>
    <row r="3497" spans="1:40" x14ac:dyDescent="0.25">
      <c r="A3497" t="str">
        <f>"20190303170321725"</f>
        <v>20190303170321725</v>
      </c>
      <c r="B3497" t="str">
        <f>"1551603801718945"</f>
        <v>1551603801718945</v>
      </c>
      <c r="C3497" t="s">
        <v>40</v>
      </c>
      <c r="D3497">
        <v>4.6488259999999997</v>
      </c>
      <c r="E3497">
        <v>0.39417400000000002</v>
      </c>
      <c r="F3497" t="s">
        <v>78</v>
      </c>
      <c r="G3497">
        <v>-466.21589999999998</v>
      </c>
      <c r="H3497">
        <v>0.66944840000000005</v>
      </c>
      <c r="I3497">
        <v>197.345</v>
      </c>
      <c r="J3497">
        <v>-493.32819999999998</v>
      </c>
      <c r="K3497">
        <v>1.1248359999999999</v>
      </c>
      <c r="L3497">
        <v>236.12270000000001</v>
      </c>
      <c r="M3497">
        <v>0.1797733</v>
      </c>
      <c r="N3497">
        <v>-1.227368E-2</v>
      </c>
      <c r="O3497">
        <v>-0.98363149999999999</v>
      </c>
      <c r="P3497">
        <v>0.33088459999999997</v>
      </c>
      <c r="Q3497">
        <v>0.1682727</v>
      </c>
      <c r="R3497">
        <v>-0.92854700000000001</v>
      </c>
      <c r="S3497">
        <v>1.8103940000000001</v>
      </c>
      <c r="T3497">
        <v>-3.03725E-2</v>
      </c>
      <c r="U3497">
        <v>-2.5957180000000002</v>
      </c>
      <c r="V3497">
        <v>-0.15993949999999901</v>
      </c>
      <c r="W3497">
        <v>0.17897150000000001</v>
      </c>
      <c r="X3497">
        <v>0.97076700000000005</v>
      </c>
      <c r="Y3497">
        <v>-0.41522320000000001</v>
      </c>
      <c r="Z3497">
        <v>-1.778225E-3</v>
      </c>
      <c r="AA3497">
        <v>0.90971780000000002</v>
      </c>
      <c r="AB3497">
        <v>18</v>
      </c>
      <c r="AC3497">
        <v>27.112300000000001</v>
      </c>
      <c r="AD3497">
        <v>-0.4553876</v>
      </c>
      <c r="AE3497">
        <v>-38.777700000000003</v>
      </c>
      <c r="AF3497">
        <v>-19.6969763983336</v>
      </c>
      <c r="AG3497">
        <v>-0.4553876</v>
      </c>
      <c r="AH3497">
        <v>43.0162905331442</v>
      </c>
      <c r="AI3497">
        <v>90.551473028558704</v>
      </c>
      <c r="AJ3497">
        <v>114.60284190683301</v>
      </c>
      <c r="AK3497">
        <v>47.313629202742597</v>
      </c>
      <c r="AL3497">
        <v>79.690141723233197</v>
      </c>
      <c r="AM3497">
        <v>99.355764121537405</v>
      </c>
      <c r="AN3497">
        <v>1.00000000488075</v>
      </c>
    </row>
    <row r="3498" spans="1:40" x14ac:dyDescent="0.25">
      <c r="A3498" t="str">
        <f>"20190303170321748"</f>
        <v>20190303170321748</v>
      </c>
      <c r="B3498" t="str">
        <f>"1551603801738466"</f>
        <v>1551603801738466</v>
      </c>
      <c r="C3498" t="s">
        <v>40</v>
      </c>
      <c r="D3498">
        <v>4.6408870000000002</v>
      </c>
      <c r="E3498">
        <v>0.36872709999999997</v>
      </c>
      <c r="F3498" t="s">
        <v>78</v>
      </c>
      <c r="G3498">
        <v>-465.71379999999999</v>
      </c>
      <c r="H3498">
        <v>0.78319169999999905</v>
      </c>
      <c r="I3498">
        <v>197.345</v>
      </c>
      <c r="J3498">
        <v>-493.2878</v>
      </c>
      <c r="K3498">
        <v>1.124814</v>
      </c>
      <c r="L3498">
        <v>235.9444</v>
      </c>
      <c r="M3498">
        <v>0.1861825</v>
      </c>
      <c r="N3498">
        <v>-1.20637E-2</v>
      </c>
      <c r="O3498">
        <v>-0.98244129999999996</v>
      </c>
      <c r="P3498">
        <v>0.33760970000000001</v>
      </c>
      <c r="Q3498">
        <v>0.16935449999999999</v>
      </c>
      <c r="R3498">
        <v>-0.92592600000000003</v>
      </c>
      <c r="S3498">
        <v>1.8374630000000001</v>
      </c>
      <c r="T3498">
        <v>-2.2730469999999999E-2</v>
      </c>
      <c r="U3498">
        <v>-2.5802610000000001</v>
      </c>
      <c r="V3498">
        <v>-0.160696799999999</v>
      </c>
      <c r="W3498">
        <v>0.1798389</v>
      </c>
      <c r="X3498">
        <v>0.97048160000000006</v>
      </c>
      <c r="Y3498">
        <v>-0.41820879999999999</v>
      </c>
      <c r="Z3498">
        <v>-4.0175690000000003E-3</v>
      </c>
      <c r="AA3498">
        <v>0.90834210000000004</v>
      </c>
      <c r="AB3498">
        <v>18</v>
      </c>
      <c r="AC3498">
        <v>27.574000000000002</v>
      </c>
      <c r="AD3498">
        <v>-0.34162229999999999</v>
      </c>
      <c r="AE3498">
        <v>-38.599400000000003</v>
      </c>
      <c r="AF3498">
        <v>-19.903716160884301</v>
      </c>
      <c r="AG3498">
        <v>-0.34162229999999999</v>
      </c>
      <c r="AH3498">
        <v>43.056333400701597</v>
      </c>
      <c r="AI3498">
        <v>90.4126382859628</v>
      </c>
      <c r="AJ3498">
        <v>114.809755676254</v>
      </c>
      <c r="AK3498">
        <v>47.4354558186308</v>
      </c>
      <c r="AL3498">
        <v>79.639623813922995</v>
      </c>
      <c r="AM3498">
        <v>99.401988974745507</v>
      </c>
      <c r="AN3498">
        <v>1.0000000137109999</v>
      </c>
    </row>
    <row r="3499" spans="1:40" x14ac:dyDescent="0.25">
      <c r="A3499" t="str">
        <f>"20190303170321761"</f>
        <v>20190303170321761</v>
      </c>
      <c r="B3499" t="str">
        <f>"1551603801749201"</f>
        <v>1551603801749201</v>
      </c>
      <c r="C3499" t="s">
        <v>40</v>
      </c>
      <c r="D3499">
        <v>4.6583009999999998</v>
      </c>
      <c r="E3499">
        <v>0.36805759999999899</v>
      </c>
      <c r="F3499" t="s">
        <v>78</v>
      </c>
      <c r="G3499">
        <v>-461.93340000000001</v>
      </c>
      <c r="H3499">
        <v>2.4207510000000001</v>
      </c>
      <c r="I3499">
        <v>197.7544</v>
      </c>
      <c r="J3499">
        <v>-493.26260000000002</v>
      </c>
      <c r="K3499">
        <v>1.1248009999999999</v>
      </c>
      <c r="L3499">
        <v>235.83590000000001</v>
      </c>
      <c r="M3499">
        <v>0.19008030000000001</v>
      </c>
      <c r="N3499">
        <v>-1.193487E-2</v>
      </c>
      <c r="O3499">
        <v>-0.98169620000000002</v>
      </c>
      <c r="P3499">
        <v>0.3416363</v>
      </c>
      <c r="Q3499">
        <v>0.1696338</v>
      </c>
      <c r="R3499">
        <v>-0.92439689999999997</v>
      </c>
      <c r="S3499">
        <v>2.037506</v>
      </c>
      <c r="T3499">
        <v>8.4215880000000007E-2</v>
      </c>
      <c r="U3499">
        <v>-2.4816889999999998</v>
      </c>
      <c r="V3499">
        <v>-0.16108159999999999</v>
      </c>
      <c r="W3499">
        <v>0.17998810000000001</v>
      </c>
      <c r="X3499">
        <v>0.97039010000000003</v>
      </c>
      <c r="Y3499">
        <v>-0.47562720000000003</v>
      </c>
      <c r="Z3499">
        <v>-3.813971E-2</v>
      </c>
      <c r="AA3499">
        <v>0.87881980000000004</v>
      </c>
      <c r="AB3499">
        <v>18</v>
      </c>
      <c r="AC3499">
        <v>31.3292</v>
      </c>
      <c r="AD3499">
        <v>1.2959499999999899</v>
      </c>
      <c r="AE3499">
        <v>-38.081499999999998</v>
      </c>
      <c r="AF3499">
        <v>-23.502651844153402</v>
      </c>
      <c r="AG3499">
        <v>1.2959499999999899</v>
      </c>
      <c r="AH3499">
        <v>43.312691846937597</v>
      </c>
      <c r="AI3499">
        <v>88.493552844891596</v>
      </c>
      <c r="AJ3499">
        <v>118.485468974985</v>
      </c>
      <c r="AK3499">
        <v>49.295470432259499</v>
      </c>
      <c r="AL3499">
        <v>79.630933042264104</v>
      </c>
      <c r="AM3499">
        <v>99.424971984547398</v>
      </c>
      <c r="AN3499">
        <v>0.99999997208908897</v>
      </c>
    </row>
    <row r="3500" spans="1:40" x14ac:dyDescent="0.25">
      <c r="A3500" t="str">
        <f>"20190303170321781"</f>
        <v>20190303170321781</v>
      </c>
      <c r="B3500" t="str">
        <f>"1551603801768722"</f>
        <v>1551603801768722</v>
      </c>
      <c r="C3500" t="s">
        <v>40</v>
      </c>
      <c r="D3500">
        <v>4.6538059999999897</v>
      </c>
      <c r="E3500">
        <v>0.368203</v>
      </c>
      <c r="F3500" t="s">
        <v>78</v>
      </c>
      <c r="G3500">
        <v>-461.61500000000001</v>
      </c>
      <c r="H3500">
        <v>2.4162340000000002</v>
      </c>
      <c r="I3500">
        <v>197.7544</v>
      </c>
      <c r="J3500">
        <v>-493.22660000000002</v>
      </c>
      <c r="K3500">
        <v>1.124781</v>
      </c>
      <c r="L3500">
        <v>235.68350000000001</v>
      </c>
      <c r="M3500">
        <v>0.19555059999999999</v>
      </c>
      <c r="N3500">
        <v>-1.1757109999999999E-2</v>
      </c>
      <c r="O3500">
        <v>-0.98062320000000003</v>
      </c>
      <c r="P3500">
        <v>0.3474894</v>
      </c>
      <c r="Q3500">
        <v>0.16965450000000001</v>
      </c>
      <c r="R3500">
        <v>-0.92220869999999999</v>
      </c>
      <c r="S3500">
        <v>2.0535890000000001</v>
      </c>
      <c r="T3500">
        <v>8.3802100000000004E-2</v>
      </c>
      <c r="U3500">
        <v>-2.471069</v>
      </c>
      <c r="V3500">
        <v>-0.1618262</v>
      </c>
      <c r="W3500">
        <v>0.17982719999999999</v>
      </c>
      <c r="X3500">
        <v>0.97029609999999999</v>
      </c>
      <c r="Y3500">
        <v>-0.47597499999999998</v>
      </c>
      <c r="Z3500">
        <v>-3.7803929999999999E-2</v>
      </c>
      <c r="AA3500">
        <v>0.87864589999999998</v>
      </c>
      <c r="AB3500">
        <v>18</v>
      </c>
      <c r="AC3500">
        <v>31.611599999999999</v>
      </c>
      <c r="AD3500">
        <v>1.291453</v>
      </c>
      <c r="AE3500">
        <v>-37.929099999999998</v>
      </c>
      <c r="AF3500">
        <v>-23.5675153434332</v>
      </c>
      <c r="AG3500">
        <v>1.291453</v>
      </c>
      <c r="AH3500">
        <v>43.349161700920497</v>
      </c>
      <c r="AI3500">
        <v>88.500693987217502</v>
      </c>
      <c r="AJ3500">
        <v>118.531472897016</v>
      </c>
      <c r="AK3500">
        <v>49.358337193292101</v>
      </c>
      <c r="AL3500">
        <v>79.640305468370798</v>
      </c>
      <c r="AM3500">
        <v>99.468652547947499</v>
      </c>
      <c r="AN3500">
        <v>1.00000003127074</v>
      </c>
    </row>
    <row r="3501" spans="1:40" x14ac:dyDescent="0.25">
      <c r="A3501" t="str">
        <f>"20190303170321804"</f>
        <v>20190303170321804</v>
      </c>
      <c r="B3501" t="str">
        <f>"1551603801789217"</f>
        <v>1551603801789217</v>
      </c>
      <c r="C3501" t="s">
        <v>40</v>
      </c>
      <c r="D3501">
        <v>4.5789470000000003</v>
      </c>
      <c r="E3501">
        <v>0.3678246</v>
      </c>
      <c r="F3501" t="s">
        <v>78</v>
      </c>
      <c r="G3501">
        <v>-461.31729999999999</v>
      </c>
      <c r="H3501">
        <v>2.361742</v>
      </c>
      <c r="I3501">
        <v>197.7544</v>
      </c>
      <c r="J3501">
        <v>-493.18020000000001</v>
      </c>
      <c r="K3501">
        <v>1.1247590000000001</v>
      </c>
      <c r="L3501">
        <v>235.4933</v>
      </c>
      <c r="M3501">
        <v>0.20238829999999999</v>
      </c>
      <c r="N3501">
        <v>-1.154327E-2</v>
      </c>
      <c r="O3501">
        <v>-0.97923740000000004</v>
      </c>
      <c r="P3501">
        <v>0.35497830000000002</v>
      </c>
      <c r="Q3501">
        <v>0.16873729999999901</v>
      </c>
      <c r="R3501">
        <v>-0.91952089999999997</v>
      </c>
      <c r="S3501">
        <v>2.0686040000000001</v>
      </c>
      <c r="T3501">
        <v>8.0191250000000006E-2</v>
      </c>
      <c r="U3501">
        <v>-2.458847</v>
      </c>
      <c r="V3501">
        <v>-0.16291120000000001</v>
      </c>
      <c r="W3501">
        <v>0.17868999999999999</v>
      </c>
      <c r="X3501">
        <v>0.97032459999999998</v>
      </c>
      <c r="Y3501">
        <v>-0.47516419999999998</v>
      </c>
      <c r="Z3501">
        <v>-3.6417819999999997E-2</v>
      </c>
      <c r="AA3501">
        <v>0.87914319999999901</v>
      </c>
      <c r="AB3501">
        <v>18</v>
      </c>
      <c r="AC3501">
        <v>31.8629</v>
      </c>
      <c r="AD3501">
        <v>1.2369829999999999</v>
      </c>
      <c r="AE3501">
        <v>-37.738900000000001</v>
      </c>
      <c r="AF3501">
        <v>-23.550228136863598</v>
      </c>
      <c r="AG3501">
        <v>1.2369829999999999</v>
      </c>
      <c r="AH3501">
        <v>43.379699714163401</v>
      </c>
      <c r="AI3501">
        <v>88.564443983286907</v>
      </c>
      <c r="AJ3501">
        <v>118.49691206254801</v>
      </c>
      <c r="AK3501">
        <v>49.3755174102672</v>
      </c>
      <c r="AL3501">
        <v>79.706534715942198</v>
      </c>
      <c r="AM3501">
        <v>99.530701538955597</v>
      </c>
      <c r="AN3501">
        <v>1.0000000022752999</v>
      </c>
    </row>
    <row r="3502" spans="1:40" x14ac:dyDescent="0.25">
      <c r="A3502" t="str">
        <f>"20190303170321829"</f>
        <v>20190303170321829</v>
      </c>
      <c r="B3502" t="str">
        <f>"1551603801818497"</f>
        <v>1551603801818497</v>
      </c>
      <c r="C3502" t="s">
        <v>40</v>
      </c>
      <c r="D3502">
        <v>4.6015370000000004</v>
      </c>
      <c r="E3502">
        <v>0.36816850000000001</v>
      </c>
      <c r="F3502" t="s">
        <v>78</v>
      </c>
      <c r="G3502">
        <v>-460.84230000000002</v>
      </c>
      <c r="H3502">
        <v>2.4657070000000001</v>
      </c>
      <c r="I3502">
        <v>197.7544</v>
      </c>
      <c r="J3502">
        <v>-493.13209999999998</v>
      </c>
      <c r="K3502">
        <v>1.1247450000000001</v>
      </c>
      <c r="L3502">
        <v>235.30179999999999</v>
      </c>
      <c r="M3502">
        <v>0.20927209999999999</v>
      </c>
      <c r="N3502">
        <v>-1.133818E-2</v>
      </c>
      <c r="O3502">
        <v>-0.97779170000000004</v>
      </c>
      <c r="P3502">
        <v>0.36226390000000003</v>
      </c>
      <c r="Q3502">
        <v>0.16826189999999999</v>
      </c>
      <c r="R3502">
        <v>-0.91676239999999998</v>
      </c>
      <c r="S3502">
        <v>2.0904850000000001</v>
      </c>
      <c r="T3502">
        <v>8.6687559999999997E-2</v>
      </c>
      <c r="U3502">
        <v>-2.4396209999999998</v>
      </c>
      <c r="V3502">
        <v>-0.16376930000000001</v>
      </c>
      <c r="W3502">
        <v>0.1780041</v>
      </c>
      <c r="X3502">
        <v>0.97030620000000001</v>
      </c>
      <c r="Y3502">
        <v>-0.47690250000000001</v>
      </c>
      <c r="Z3502">
        <v>-3.8287710000000003E-2</v>
      </c>
      <c r="AA3502">
        <v>0.87812190000000001</v>
      </c>
      <c r="AB3502">
        <v>18</v>
      </c>
      <c r="AC3502">
        <v>32.2897999999999</v>
      </c>
      <c r="AD3502">
        <v>1.340962</v>
      </c>
      <c r="AE3502">
        <v>-37.547399999999897</v>
      </c>
      <c r="AF3502">
        <v>-23.699223205782801</v>
      </c>
      <c r="AG3502">
        <v>1.340962</v>
      </c>
      <c r="AH3502">
        <v>43.441832875646902</v>
      </c>
      <c r="AI3502">
        <v>88.447784208193795</v>
      </c>
      <c r="AJ3502">
        <v>118.614198159049</v>
      </c>
      <c r="AK3502">
        <v>49.503981690754898</v>
      </c>
      <c r="AL3502">
        <v>79.746474011097504</v>
      </c>
      <c r="AM3502">
        <v>99.580152729159593</v>
      </c>
      <c r="AN3502">
        <v>0.99999998249886901</v>
      </c>
    </row>
    <row r="3503" spans="1:40" x14ac:dyDescent="0.25">
      <c r="A3503" t="str">
        <f>"20190303170321848"</f>
        <v>20190303170321848</v>
      </c>
      <c r="B3503" t="str">
        <f>"1551603801838994"</f>
        <v>1551603801838994</v>
      </c>
      <c r="C3503" t="s">
        <v>40</v>
      </c>
      <c r="D3503">
        <v>4.5929250000000001</v>
      </c>
      <c r="E3503">
        <v>0.36846630000000002</v>
      </c>
      <c r="F3503" t="s">
        <v>78</v>
      </c>
      <c r="G3503">
        <v>-460.48899999999998</v>
      </c>
      <c r="H3503">
        <v>2.4973770000000002</v>
      </c>
      <c r="I3503">
        <v>197.7544</v>
      </c>
      <c r="J3503">
        <v>-493.0926</v>
      </c>
      <c r="K3503">
        <v>1.1247450000000001</v>
      </c>
      <c r="L3503">
        <v>235.14840000000001</v>
      </c>
      <c r="M3503">
        <v>0.21478800000000001</v>
      </c>
      <c r="N3503">
        <v>-1.11862E-2</v>
      </c>
      <c r="O3503">
        <v>-0.97659660000000004</v>
      </c>
      <c r="P3503">
        <v>0.36751119999999998</v>
      </c>
      <c r="Q3503">
        <v>0.16824249999999999</v>
      </c>
      <c r="R3503">
        <v>-0.91467489999999996</v>
      </c>
      <c r="S3503">
        <v>2.106995</v>
      </c>
      <c r="T3503">
        <v>8.8600280000000003E-2</v>
      </c>
      <c r="U3503">
        <v>-2.4235380000000002</v>
      </c>
      <c r="V3503">
        <v>-0.1638559</v>
      </c>
      <c r="W3503">
        <v>0.177831399999999</v>
      </c>
      <c r="X3503">
        <v>0.9703233</v>
      </c>
      <c r="Y3503">
        <v>-0.47822110000000001</v>
      </c>
      <c r="Z3503">
        <v>-3.8751889999999997E-2</v>
      </c>
      <c r="AA3503">
        <v>0.8773841</v>
      </c>
      <c r="AB3503">
        <v>18</v>
      </c>
      <c r="AC3503">
        <v>32.603599999999901</v>
      </c>
      <c r="AD3503">
        <v>1.3726320000000001</v>
      </c>
      <c r="AE3503">
        <v>-37.393999999999998</v>
      </c>
      <c r="AF3503">
        <v>-23.792060242276399</v>
      </c>
      <c r="AG3503">
        <v>1.3726320000000001</v>
      </c>
      <c r="AH3503">
        <v>43.491147646548399</v>
      </c>
      <c r="AI3503">
        <v>88.413955665713502</v>
      </c>
      <c r="AJ3503">
        <v>118.68109542783399</v>
      </c>
      <c r="AK3503">
        <v>49.592601996602397</v>
      </c>
      <c r="AL3503">
        <v>79.756529962912794</v>
      </c>
      <c r="AM3503">
        <v>99.584958892012196</v>
      </c>
      <c r="AN3503">
        <v>1.0000000346568201</v>
      </c>
    </row>
    <row r="3504" spans="1:40" x14ac:dyDescent="0.25">
      <c r="A3504" t="str">
        <f>"20190303170321870"</f>
        <v>20190303170321870</v>
      </c>
      <c r="B3504" t="str">
        <f>"1551603801858514"</f>
        <v>1551603801858514</v>
      </c>
      <c r="C3504" t="s">
        <v>40</v>
      </c>
      <c r="D3504">
        <v>4.6051729999999997</v>
      </c>
      <c r="E3504">
        <v>0.36895410000000001</v>
      </c>
      <c r="F3504" t="s">
        <v>78</v>
      </c>
      <c r="G3504">
        <v>-460.24599999999998</v>
      </c>
      <c r="H3504">
        <v>2.4872510000000001</v>
      </c>
      <c r="I3504">
        <v>197.7544</v>
      </c>
      <c r="J3504">
        <v>-493.048</v>
      </c>
      <c r="K3504">
        <v>1.1247480000000001</v>
      </c>
      <c r="L3504">
        <v>234.9794</v>
      </c>
      <c r="M3504">
        <v>0.22086739999999999</v>
      </c>
      <c r="N3504">
        <v>-1.1034240000000001E-2</v>
      </c>
      <c r="O3504">
        <v>-0.97524140000000004</v>
      </c>
      <c r="P3504">
        <v>0.37270989999999998</v>
      </c>
      <c r="Q3504">
        <v>0.16872379999999901</v>
      </c>
      <c r="R3504">
        <v>-0.91247999999999996</v>
      </c>
      <c r="S3504">
        <v>2.1189580000000001</v>
      </c>
      <c r="T3504">
        <v>8.7898249999999997E-2</v>
      </c>
      <c r="U3504">
        <v>-2.4123079999999999</v>
      </c>
      <c r="V3504">
        <v>-0.16336010000000001</v>
      </c>
      <c r="W3504">
        <v>0.17816309999999999</v>
      </c>
      <c r="X3504">
        <v>0.97034600000000004</v>
      </c>
      <c r="Y3504">
        <v>-0.47724119999999998</v>
      </c>
      <c r="Z3504">
        <v>-3.836295E-2</v>
      </c>
      <c r="AA3504">
        <v>0.87793460000000001</v>
      </c>
      <c r="AB3504">
        <v>19</v>
      </c>
      <c r="AC3504">
        <v>32.802</v>
      </c>
      <c r="AD3504">
        <v>1.36250299999999</v>
      </c>
      <c r="AE3504">
        <v>-37.225000000000001</v>
      </c>
      <c r="AF3504">
        <v>-23.751615339493199</v>
      </c>
      <c r="AG3504">
        <v>1.36250299999999</v>
      </c>
      <c r="AH3504">
        <v>43.5180877867489</v>
      </c>
      <c r="AI3504">
        <v>88.425788387805696</v>
      </c>
      <c r="AJ3504">
        <v>118.62514699365499</v>
      </c>
      <c r="AK3504">
        <v>49.596568533270997</v>
      </c>
      <c r="AL3504">
        <v>79.737216033257099</v>
      </c>
      <c r="AM3504">
        <v>99.556272697884296</v>
      </c>
      <c r="AN3504">
        <v>0.99999998609481</v>
      </c>
    </row>
    <row r="3505" spans="1:40" x14ac:dyDescent="0.25">
      <c r="A3505" t="str">
        <f>"20190303170321884"</f>
        <v>20190303170321884</v>
      </c>
      <c r="B3505" t="str">
        <f>"1551603801869251"</f>
        <v>1551603801869251</v>
      </c>
      <c r="C3505" t="s">
        <v>40</v>
      </c>
      <c r="D3505">
        <v>4.6273660000000003</v>
      </c>
      <c r="E3505">
        <v>0.36924630000000003</v>
      </c>
      <c r="F3505" t="s">
        <v>78</v>
      </c>
      <c r="G3505">
        <v>-460.04390000000001</v>
      </c>
      <c r="H3505">
        <v>2.5039199999999999</v>
      </c>
      <c r="I3505">
        <v>197.7544</v>
      </c>
      <c r="J3505">
        <v>-493.0172</v>
      </c>
      <c r="K3505">
        <v>1.124749</v>
      </c>
      <c r="L3505">
        <v>234.86500000000001</v>
      </c>
      <c r="M3505">
        <v>0.22498370000000001</v>
      </c>
      <c r="N3505">
        <v>-1.0939259999999999E-2</v>
      </c>
      <c r="O3505">
        <v>-0.97430119999999998</v>
      </c>
      <c r="P3505">
        <v>0.376722</v>
      </c>
      <c r="Q3505">
        <v>0.16880599999999901</v>
      </c>
      <c r="R3505">
        <v>-0.91081570000000001</v>
      </c>
      <c r="S3505">
        <v>2.1292719999999998</v>
      </c>
      <c r="T3505">
        <v>8.8979840000000004E-2</v>
      </c>
      <c r="U3505">
        <v>-2.4015810000000002</v>
      </c>
      <c r="V3505">
        <v>-0.16354150000000001</v>
      </c>
      <c r="W3505">
        <v>0.17814769999999999</v>
      </c>
      <c r="X3505">
        <v>0.97031829999999997</v>
      </c>
      <c r="Y3505">
        <v>-0.4775816</v>
      </c>
      <c r="Z3505">
        <v>-3.8615450000000003E-2</v>
      </c>
      <c r="AA3505">
        <v>0.87773840000000003</v>
      </c>
      <c r="AB3505">
        <v>19</v>
      </c>
      <c r="AC3505">
        <v>32.973299999999902</v>
      </c>
      <c r="AD3505">
        <v>1.3791709999999999</v>
      </c>
      <c r="AE3505">
        <v>-37.110599999999998</v>
      </c>
      <c r="AF3505">
        <v>-23.759728166800901</v>
      </c>
      <c r="AG3505">
        <v>1.3791709999999999</v>
      </c>
      <c r="AH3505">
        <v>43.544352528903303</v>
      </c>
      <c r="AI3505">
        <v>88.407405344142703</v>
      </c>
      <c r="AJ3505">
        <v>118.618838576573</v>
      </c>
      <c r="AK3505">
        <v>49.623960264865303</v>
      </c>
      <c r="AL3505">
        <v>79.738113025682395</v>
      </c>
      <c r="AM3505">
        <v>99.566956303185094</v>
      </c>
      <c r="AN3505">
        <v>1.00000001427621</v>
      </c>
    </row>
    <row r="3506" spans="1:40" x14ac:dyDescent="0.25">
      <c r="A3506" t="str">
        <f>"20190303170321905"</f>
        <v>20190303170321905</v>
      </c>
      <c r="B3506" t="str">
        <f>"1551603801898530"</f>
        <v>1551603801898530</v>
      </c>
      <c r="C3506" t="s">
        <v>40</v>
      </c>
      <c r="D3506">
        <v>4.6038629999999996</v>
      </c>
      <c r="E3506">
        <v>0.37009120000000001</v>
      </c>
      <c r="F3506" t="s">
        <v>78</v>
      </c>
      <c r="G3506">
        <v>-459.87200000000001</v>
      </c>
      <c r="H3506">
        <v>2.5056829999999999</v>
      </c>
      <c r="I3506">
        <v>197.7544</v>
      </c>
      <c r="J3506">
        <v>-492.97109999999998</v>
      </c>
      <c r="K3506">
        <v>1.124752</v>
      </c>
      <c r="L3506">
        <v>234.6977</v>
      </c>
      <c r="M3506">
        <v>0.23100470000000001</v>
      </c>
      <c r="N3506">
        <v>-1.080805E-2</v>
      </c>
      <c r="O3506">
        <v>-0.9728926</v>
      </c>
      <c r="P3506">
        <v>0.38257459999999999</v>
      </c>
      <c r="Q3506">
        <v>0.16797790000000001</v>
      </c>
      <c r="R3506">
        <v>-0.90852630000000001</v>
      </c>
      <c r="S3506">
        <v>2.1374819999999999</v>
      </c>
      <c r="T3506">
        <v>8.9056490000000002E-2</v>
      </c>
      <c r="U3506">
        <v>-2.3932039999999999</v>
      </c>
      <c r="V3506">
        <v>-0.16374939999999999</v>
      </c>
      <c r="W3506">
        <v>0.1771848</v>
      </c>
      <c r="X3506">
        <v>0.97045950000000003</v>
      </c>
      <c r="Y3506">
        <v>-0.47535139999999998</v>
      </c>
      <c r="Z3506">
        <v>-3.849325E-2</v>
      </c>
      <c r="AA3506">
        <v>0.8789536</v>
      </c>
      <c r="AB3506">
        <v>19</v>
      </c>
      <c r="AC3506">
        <v>33.0991</v>
      </c>
      <c r="AD3506">
        <v>1.3809309999999999</v>
      </c>
      <c r="AE3506">
        <v>-36.943300000000001</v>
      </c>
      <c r="AF3506">
        <v>-23.650844788864902</v>
      </c>
      <c r="AG3506">
        <v>1.3809309999999999</v>
      </c>
      <c r="AH3506">
        <v>43.556697133698798</v>
      </c>
      <c r="AI3506">
        <v>88.404048772196703</v>
      </c>
      <c r="AJ3506">
        <v>118.501511505255</v>
      </c>
      <c r="AK3506">
        <v>49.582812494356403</v>
      </c>
      <c r="AL3506">
        <v>79.794174684041906</v>
      </c>
      <c r="AM3506">
        <v>99.577525064742204</v>
      </c>
      <c r="AN3506">
        <v>0.99999998024582404</v>
      </c>
    </row>
    <row r="3507" spans="1:40" x14ac:dyDescent="0.25">
      <c r="A3507" t="str">
        <f>"20190303170321927"</f>
        <v>20190303170321927</v>
      </c>
      <c r="B3507" t="str">
        <f>"1551603801919026"</f>
        <v>1551603801919026</v>
      </c>
      <c r="C3507" t="s">
        <v>40</v>
      </c>
      <c r="D3507">
        <v>4.5888869999999997</v>
      </c>
      <c r="E3507">
        <v>0.37652069999999999</v>
      </c>
      <c r="F3507" t="s">
        <v>78</v>
      </c>
      <c r="G3507">
        <v>-459.68079999999998</v>
      </c>
      <c r="H3507">
        <v>2.4097439999999999</v>
      </c>
      <c r="I3507">
        <v>197.7544</v>
      </c>
      <c r="J3507">
        <v>-492.92189999999999</v>
      </c>
      <c r="K3507">
        <v>1.1247549999999999</v>
      </c>
      <c r="L3507">
        <v>234.5231</v>
      </c>
      <c r="M3507">
        <v>0.23728949999999999</v>
      </c>
      <c r="N3507">
        <v>-1.0681970000000001E-2</v>
      </c>
      <c r="O3507">
        <v>-0.97138029999999997</v>
      </c>
      <c r="P3507">
        <v>0.38826260000000001</v>
      </c>
      <c r="Q3507">
        <v>0.16702439999999999</v>
      </c>
      <c r="R3507">
        <v>-0.90628649999999999</v>
      </c>
      <c r="S3507">
        <v>2.1470639999999999</v>
      </c>
      <c r="T3507">
        <v>8.2877870000000006E-2</v>
      </c>
      <c r="U3507">
        <v>-2.38266</v>
      </c>
      <c r="V3507">
        <v>-0.16351640000000001</v>
      </c>
      <c r="W3507">
        <v>0.17610619999999999</v>
      </c>
      <c r="X3507">
        <v>0.97069510000000003</v>
      </c>
      <c r="Y3507">
        <v>-0.47359679999999998</v>
      </c>
      <c r="Z3507">
        <v>-3.6371750000000001E-2</v>
      </c>
      <c r="AA3507">
        <v>0.87999039999999995</v>
      </c>
      <c r="AB3507">
        <v>19</v>
      </c>
      <c r="AC3507">
        <v>33.241100000000003</v>
      </c>
      <c r="AD3507">
        <v>1.2849889999999999</v>
      </c>
      <c r="AE3507">
        <v>-36.768700000000003</v>
      </c>
      <c r="AF3507">
        <v>-23.550439260955098</v>
      </c>
      <c r="AG3507">
        <v>1.2849889999999999</v>
      </c>
      <c r="AH3507">
        <v>43.577353891664004</v>
      </c>
      <c r="AI3507">
        <v>88.5139891709632</v>
      </c>
      <c r="AJ3507">
        <v>118.388046461645</v>
      </c>
      <c r="AK3507">
        <v>49.550581816093597</v>
      </c>
      <c r="AL3507">
        <v>79.856961384452404</v>
      </c>
      <c r="AM3507">
        <v>99.561870595111102</v>
      </c>
      <c r="AN3507">
        <v>0.99999999195570499</v>
      </c>
    </row>
    <row r="3508" spans="1:40" x14ac:dyDescent="0.25">
      <c r="A3508" t="str">
        <f>"20190303170321948"</f>
        <v>20190303170321948</v>
      </c>
      <c r="B3508" t="str">
        <f>"1551603801938545"</f>
        <v>1551603801938545</v>
      </c>
      <c r="C3508" t="s">
        <v>40</v>
      </c>
      <c r="D3508">
        <v>4.6333799999999998</v>
      </c>
      <c r="E3508">
        <v>0.37741259999999999</v>
      </c>
      <c r="F3508" t="s">
        <v>78</v>
      </c>
      <c r="G3508">
        <v>-460.01420000000002</v>
      </c>
      <c r="H3508">
        <v>1.7719549999999999</v>
      </c>
      <c r="I3508">
        <v>197.345</v>
      </c>
      <c r="J3508">
        <v>-492.8734</v>
      </c>
      <c r="K3508">
        <v>1.1247609999999999</v>
      </c>
      <c r="L3508">
        <v>234.35499999999999</v>
      </c>
      <c r="M3508">
        <v>0.24334420000000001</v>
      </c>
      <c r="N3508">
        <v>-1.057106E-2</v>
      </c>
      <c r="O3508">
        <v>-0.96988240000000003</v>
      </c>
      <c r="P3508">
        <v>0.3930766</v>
      </c>
      <c r="Q3508">
        <v>0.1668365</v>
      </c>
      <c r="R3508">
        <v>-0.90424380000000004</v>
      </c>
      <c r="S3508">
        <v>2.119507</v>
      </c>
      <c r="T3508">
        <v>4.1687009999999997E-2</v>
      </c>
      <c r="U3508">
        <v>-2.3945470000000002</v>
      </c>
      <c r="V3508">
        <v>-0.16261829999999999</v>
      </c>
      <c r="W3508">
        <v>0.17581240000000001</v>
      </c>
      <c r="X3508">
        <v>0.97089919999999996</v>
      </c>
      <c r="Y3508">
        <v>-0.46046569999999998</v>
      </c>
      <c r="Z3508">
        <v>-2.3041030000000001E-2</v>
      </c>
      <c r="AA3508">
        <v>0.88737849999999996</v>
      </c>
      <c r="AB3508">
        <v>19</v>
      </c>
      <c r="AC3508">
        <v>32.859199999999902</v>
      </c>
      <c r="AD3508">
        <v>0.64719399999999905</v>
      </c>
      <c r="AE3508">
        <v>-37.009999999999899</v>
      </c>
      <c r="AF3508">
        <v>-22.860759091172401</v>
      </c>
      <c r="AG3508">
        <v>0.64719399999999905</v>
      </c>
      <c r="AH3508">
        <v>43.886390978240101</v>
      </c>
      <c r="AI3508">
        <v>89.250673996413695</v>
      </c>
      <c r="AJ3508">
        <v>117.515354321565</v>
      </c>
      <c r="AK3508">
        <v>49.4878619400071</v>
      </c>
      <c r="AL3508">
        <v>79.8740616120769</v>
      </c>
      <c r="AM3508">
        <v>99.508352000314503</v>
      </c>
      <c r="AN3508">
        <v>0.99999998402464396</v>
      </c>
    </row>
    <row r="3509" spans="1:40" x14ac:dyDescent="0.25">
      <c r="A3509" t="str">
        <f>"20190303170321962"</f>
        <v>20190303170321962</v>
      </c>
      <c r="B3509" t="str">
        <f>"1551603801949281"</f>
        <v>1551603801949281</v>
      </c>
      <c r="C3509" t="s">
        <v>40</v>
      </c>
      <c r="D3509">
        <v>4.5745740000000001</v>
      </c>
      <c r="E3509">
        <v>0.37804919999999997</v>
      </c>
      <c r="F3509" t="s">
        <v>78</v>
      </c>
      <c r="G3509">
        <v>-459.88040000000001</v>
      </c>
      <c r="H3509">
        <v>1.74734399999999</v>
      </c>
      <c r="I3509">
        <v>197.345</v>
      </c>
      <c r="J3509">
        <v>-492.84089999999998</v>
      </c>
      <c r="K3509">
        <v>1.1247659999999999</v>
      </c>
      <c r="L3509">
        <v>234.24449999999999</v>
      </c>
      <c r="M3509">
        <v>0.24732280000000001</v>
      </c>
      <c r="N3509">
        <v>-1.0501399999999999E-2</v>
      </c>
      <c r="O3509">
        <v>-0.96887650000000003</v>
      </c>
      <c r="P3509">
        <v>0.39636250000000001</v>
      </c>
      <c r="Q3509">
        <v>0.16650279999999901</v>
      </c>
      <c r="R3509">
        <v>-0.90287019999999996</v>
      </c>
      <c r="S3509">
        <v>2.1268310000000001</v>
      </c>
      <c r="T3509">
        <v>4.0135860000000002E-2</v>
      </c>
      <c r="U3509">
        <v>-2.3857729999999999</v>
      </c>
      <c r="V3509">
        <v>-0.16214990000000001</v>
      </c>
      <c r="W3509">
        <v>0.1754124</v>
      </c>
      <c r="X3509">
        <v>0.97104990000000002</v>
      </c>
      <c r="Y3509">
        <v>-0.45996789999999999</v>
      </c>
      <c r="Z3509">
        <v>-2.2464020000000001E-2</v>
      </c>
      <c r="AA3509">
        <v>0.88765130000000003</v>
      </c>
      <c r="AB3509">
        <v>19</v>
      </c>
      <c r="AC3509">
        <v>32.960499999999897</v>
      </c>
      <c r="AD3509">
        <v>0.62257799999999897</v>
      </c>
      <c r="AE3509">
        <v>-36.899499999999897</v>
      </c>
      <c r="AF3509">
        <v>-22.806206998946202</v>
      </c>
      <c r="AG3509">
        <v>0.62257799999999897</v>
      </c>
      <c r="AH3509">
        <v>43.898400428327797</v>
      </c>
      <c r="AI3509">
        <v>89.278959936371507</v>
      </c>
      <c r="AJ3509">
        <v>117.45289215909899</v>
      </c>
      <c r="AK3509">
        <v>49.4730253897078</v>
      </c>
      <c r="AL3509">
        <v>79.897341917579894</v>
      </c>
      <c r="AM3509">
        <v>99.480017697380404</v>
      </c>
      <c r="AN3509">
        <v>1.0000000042168899</v>
      </c>
    </row>
    <row r="3510" spans="1:40" x14ac:dyDescent="0.25">
      <c r="A3510" t="str">
        <f>"20190303170321982"</f>
        <v>20190303170321982</v>
      </c>
      <c r="B3510" t="str">
        <f>"1551603801968803"</f>
        <v>1551603801968803</v>
      </c>
      <c r="C3510" t="s">
        <v>40</v>
      </c>
      <c r="D3510">
        <v>4.6089589999999996</v>
      </c>
      <c r="E3510">
        <v>0.37884240000000002</v>
      </c>
      <c r="F3510" t="s">
        <v>78</v>
      </c>
      <c r="G3510">
        <v>-459.80169999999998</v>
      </c>
      <c r="H3510">
        <v>1.673397</v>
      </c>
      <c r="I3510">
        <v>197.345</v>
      </c>
      <c r="J3510">
        <v>-492.79480000000001</v>
      </c>
      <c r="K3510">
        <v>1.124768</v>
      </c>
      <c r="L3510">
        <v>234.09059999999999</v>
      </c>
      <c r="M3510">
        <v>0.25286940000000002</v>
      </c>
      <c r="N3510">
        <v>-1.0407080000000001E-2</v>
      </c>
      <c r="O3510">
        <v>-0.96744459999999999</v>
      </c>
      <c r="P3510">
        <v>0.40071610000000002</v>
      </c>
      <c r="Q3510">
        <v>0.16611609999999999</v>
      </c>
      <c r="R3510">
        <v>-0.90101750000000003</v>
      </c>
      <c r="S3510">
        <v>2.1314700000000002</v>
      </c>
      <c r="T3510">
        <v>3.5396219999999999E-2</v>
      </c>
      <c r="U3510">
        <v>-2.3805079999999998</v>
      </c>
      <c r="V3510">
        <v>-0.1612576</v>
      </c>
      <c r="W3510">
        <v>0.17493729999999999</v>
      </c>
      <c r="X3510">
        <v>0.97128419999999904</v>
      </c>
      <c r="Y3510">
        <v>-0.45683469999999998</v>
      </c>
      <c r="Z3510">
        <v>-2.0825429999999999E-2</v>
      </c>
      <c r="AA3510">
        <v>0.88930779999999998</v>
      </c>
      <c r="AB3510">
        <v>19</v>
      </c>
      <c r="AC3510">
        <v>32.993099999999998</v>
      </c>
      <c r="AD3510">
        <v>0.54862900000000003</v>
      </c>
      <c r="AE3510">
        <v>-36.745600000000003</v>
      </c>
      <c r="AF3510">
        <v>-22.625588272683299</v>
      </c>
      <c r="AG3510">
        <v>0.54862900000000003</v>
      </c>
      <c r="AH3510">
        <v>43.889231551179101</v>
      </c>
      <c r="AI3510">
        <v>89.363423691021893</v>
      </c>
      <c r="AJ3510">
        <v>117.271816383364</v>
      </c>
      <c r="AK3510">
        <v>49.380997201531301</v>
      </c>
      <c r="AL3510">
        <v>79.924990977457199</v>
      </c>
      <c r="AM3510">
        <v>99.426555418246295</v>
      </c>
      <c r="AN3510">
        <v>1.0000000348293401</v>
      </c>
    </row>
    <row r="3511" spans="1:40" x14ac:dyDescent="0.25">
      <c r="A3511" t="str">
        <f>"20190303170322007"</f>
        <v>20190303170322007</v>
      </c>
      <c r="B3511" t="str">
        <f>"1551603801999058"</f>
        <v>1551603801999058</v>
      </c>
      <c r="C3511" t="s">
        <v>40</v>
      </c>
      <c r="D3511">
        <v>4.6025960000000001</v>
      </c>
      <c r="E3511">
        <v>0.37933869999999997</v>
      </c>
      <c r="F3511" t="s">
        <v>78</v>
      </c>
      <c r="G3511">
        <v>-459.6841</v>
      </c>
      <c r="H3511">
        <v>1.622304</v>
      </c>
      <c r="I3511">
        <v>197.345</v>
      </c>
      <c r="J3511">
        <v>-492.73320000000001</v>
      </c>
      <c r="K3511">
        <v>1.124765</v>
      </c>
      <c r="L3511">
        <v>233.8897</v>
      </c>
      <c r="M3511">
        <v>0.26010840000000002</v>
      </c>
      <c r="N3511">
        <v>-1.0290000000000001E-2</v>
      </c>
      <c r="O3511">
        <v>-0.96552490000000002</v>
      </c>
      <c r="P3511">
        <v>0.40691250000000001</v>
      </c>
      <c r="Q3511">
        <v>0.164739</v>
      </c>
      <c r="R3511">
        <v>-0.89848969999999995</v>
      </c>
      <c r="S3511">
        <v>2.1380620000000001</v>
      </c>
      <c r="T3511">
        <v>3.212976E-2</v>
      </c>
      <c r="U3511">
        <v>-2.3727719999999999</v>
      </c>
      <c r="V3511">
        <v>-0.1606021</v>
      </c>
      <c r="W3511">
        <v>0.17344789999999999</v>
      </c>
      <c r="X3511">
        <v>0.97165979999999996</v>
      </c>
      <c r="Y3511">
        <v>-0.45298729999999998</v>
      </c>
      <c r="Z3511">
        <v>-1.9633129999999999E-2</v>
      </c>
      <c r="AA3511">
        <v>0.89130069999999995</v>
      </c>
      <c r="AB3511">
        <v>19</v>
      </c>
      <c r="AC3511">
        <v>33.049100000000003</v>
      </c>
      <c r="AD3511">
        <v>0.49753900000000001</v>
      </c>
      <c r="AE3511">
        <v>-36.544699999999999</v>
      </c>
      <c r="AF3511">
        <v>-22.403040746997501</v>
      </c>
      <c r="AG3511">
        <v>0.49753900000000001</v>
      </c>
      <c r="AH3511">
        <v>43.879002493076598</v>
      </c>
      <c r="AI3511">
        <v>89.421402474731295</v>
      </c>
      <c r="AJ3511">
        <v>117.047222163504</v>
      </c>
      <c r="AK3511">
        <v>49.269774096859599</v>
      </c>
      <c r="AL3511">
        <v>80.011651753852703</v>
      </c>
      <c r="AM3511">
        <v>99.385356072923699</v>
      </c>
      <c r="AN3511">
        <v>0.99999998773742904</v>
      </c>
    </row>
    <row r="3512" spans="1:40" x14ac:dyDescent="0.25">
      <c r="A3512" t="str">
        <f>"20190303170322030"</f>
        <v>20190303170322030</v>
      </c>
      <c r="B3512" t="str">
        <f>"1551603802018579"</f>
        <v>1551603802018579</v>
      </c>
      <c r="C3512" t="s">
        <v>40</v>
      </c>
      <c r="D3512">
        <v>4.6239460000000001</v>
      </c>
      <c r="E3512">
        <v>0.3798242</v>
      </c>
      <c r="F3512" t="s">
        <v>78</v>
      </c>
      <c r="G3512">
        <v>-459.43</v>
      </c>
      <c r="H3512">
        <v>1.535345</v>
      </c>
      <c r="I3512">
        <v>197.345</v>
      </c>
      <c r="J3512">
        <v>-492.6773</v>
      </c>
      <c r="K3512">
        <v>1.124768</v>
      </c>
      <c r="L3512">
        <v>233.7122</v>
      </c>
      <c r="M3512">
        <v>0.26650479999999999</v>
      </c>
      <c r="N3512">
        <v>-1.019333E-2</v>
      </c>
      <c r="O3512">
        <v>-0.96377990000000002</v>
      </c>
      <c r="P3512">
        <v>0.41235549999999999</v>
      </c>
      <c r="Q3512">
        <v>0.16382430000000001</v>
      </c>
      <c r="R3512">
        <v>-0.89617230000000003</v>
      </c>
      <c r="S3512">
        <v>2.1507260000000001</v>
      </c>
      <c r="T3512">
        <v>2.651763E-2</v>
      </c>
      <c r="U3512">
        <v>-2.3600620000000001</v>
      </c>
      <c r="V3512">
        <v>-0.16000710000000001</v>
      </c>
      <c r="W3512">
        <v>0.17244010000000001</v>
      </c>
      <c r="X3512">
        <v>0.9719373</v>
      </c>
      <c r="Y3512">
        <v>-0.45209899999999997</v>
      </c>
      <c r="Z3512">
        <v>-1.77077E-2</v>
      </c>
      <c r="AA3512">
        <v>0.89179200000000003</v>
      </c>
      <c r="AB3512">
        <v>19</v>
      </c>
      <c r="AC3512">
        <v>33.247300000000003</v>
      </c>
      <c r="AD3512">
        <v>0.41057700000000003</v>
      </c>
      <c r="AE3512">
        <v>-36.367199999999997</v>
      </c>
      <c r="AF3512">
        <v>-22.350651007614601</v>
      </c>
      <c r="AG3512">
        <v>0.41057700000000003</v>
      </c>
      <c r="AH3512">
        <v>43.909765210360298</v>
      </c>
      <c r="AI3512">
        <v>89.522562061610301</v>
      </c>
      <c r="AJ3512">
        <v>116.97669557431399</v>
      </c>
      <c r="AK3512">
        <v>49.272585225113602</v>
      </c>
      <c r="AL3512">
        <v>80.070277840784897</v>
      </c>
      <c r="AM3512">
        <v>99.348577682596002</v>
      </c>
      <c r="AN3512">
        <v>0.99999998763485498</v>
      </c>
    </row>
    <row r="3513" spans="1:40" x14ac:dyDescent="0.25">
      <c r="A3513" t="str">
        <f>"20190303170322050"</f>
        <v>20190303170322050</v>
      </c>
      <c r="B3513" t="str">
        <f>"1551603802039074"</f>
        <v>1551603802039074</v>
      </c>
      <c r="C3513" t="s">
        <v>40</v>
      </c>
      <c r="D3513">
        <v>4.602538</v>
      </c>
      <c r="E3513">
        <v>0.3802603</v>
      </c>
      <c r="F3513" t="s">
        <v>78</v>
      </c>
      <c r="G3513">
        <v>-459.2706</v>
      </c>
      <c r="H3513">
        <v>1.4520919999999999</v>
      </c>
      <c r="I3513">
        <v>197.4109</v>
      </c>
      <c r="J3513">
        <v>-492.62310000000002</v>
      </c>
      <c r="K3513">
        <v>1.1247769999999999</v>
      </c>
      <c r="L3513">
        <v>233.54339999999999</v>
      </c>
      <c r="M3513">
        <v>0.27258589999999999</v>
      </c>
      <c r="N3513">
        <v>-1.0106459999999999E-2</v>
      </c>
      <c r="O3513">
        <v>-0.96207860000000001</v>
      </c>
      <c r="P3513">
        <v>0.41758679999999898</v>
      </c>
      <c r="Q3513">
        <v>0.1645027</v>
      </c>
      <c r="R3513">
        <v>-0.89362240000000004</v>
      </c>
      <c r="S3513">
        <v>2.1617130000000002</v>
      </c>
      <c r="T3513">
        <v>2.1183009999999999E-2</v>
      </c>
      <c r="U3513">
        <v>-2.3490139999999999</v>
      </c>
      <c r="V3513">
        <v>-0.1595955</v>
      </c>
      <c r="W3513">
        <v>0.17303089999999999</v>
      </c>
      <c r="X3513">
        <v>0.97189999999999999</v>
      </c>
      <c r="Y3513">
        <v>-0.4508315</v>
      </c>
      <c r="Z3513">
        <v>-1.5881889999999999E-2</v>
      </c>
      <c r="AA3513">
        <v>0.89246780000000003</v>
      </c>
      <c r="AB3513">
        <v>19</v>
      </c>
      <c r="AC3513">
        <v>33.352499999999999</v>
      </c>
      <c r="AD3513">
        <v>0.32731499999999902</v>
      </c>
      <c r="AE3513">
        <v>-36.132499999999901</v>
      </c>
      <c r="AF3513">
        <v>-22.238661971615699</v>
      </c>
      <c r="AG3513">
        <v>0.32731499999999902</v>
      </c>
      <c r="AH3513">
        <v>43.854013159958797</v>
      </c>
      <c r="AI3513">
        <v>89.618602364108</v>
      </c>
      <c r="AJ3513">
        <v>116.889869460952</v>
      </c>
      <c r="AK3513">
        <v>49.171533346346401</v>
      </c>
      <c r="AL3513">
        <v>80.035911153049796</v>
      </c>
      <c r="AM3513">
        <v>99.325304066674605</v>
      </c>
      <c r="AN3513">
        <v>1.0000000129875299</v>
      </c>
    </row>
    <row r="3514" spans="1:40" x14ac:dyDescent="0.25">
      <c r="A3514" t="str">
        <f>"20190303170322073"</f>
        <v>20190303170322073</v>
      </c>
      <c r="B3514" t="str">
        <f>"1551603802058594"</f>
        <v>1551603802058594</v>
      </c>
      <c r="C3514" t="s">
        <v>40</v>
      </c>
      <c r="D3514">
        <v>4.5998849999999996</v>
      </c>
      <c r="E3514">
        <v>0.38042100000000001</v>
      </c>
      <c r="F3514" t="s">
        <v>78</v>
      </c>
      <c r="G3514">
        <v>-459.15449999999998</v>
      </c>
      <c r="H3514">
        <v>1.459239</v>
      </c>
      <c r="I3514">
        <v>197.51820000000001</v>
      </c>
      <c r="J3514">
        <v>-492.56459999999998</v>
      </c>
      <c r="K3514">
        <v>1.124784</v>
      </c>
      <c r="L3514">
        <v>233.36539999999999</v>
      </c>
      <c r="M3514">
        <v>0.27900530000000001</v>
      </c>
      <c r="N3514">
        <v>-1.001528E-2</v>
      </c>
      <c r="O3514">
        <v>-0.96023740000000002</v>
      </c>
      <c r="P3514">
        <v>0.42299710000000001</v>
      </c>
      <c r="Q3514">
        <v>0.16507040000000001</v>
      </c>
      <c r="R3514">
        <v>-0.89096889999999995</v>
      </c>
      <c r="S3514">
        <v>2.1722109999999999</v>
      </c>
      <c r="T3514">
        <v>2.1709800000000001E-2</v>
      </c>
      <c r="U3514">
        <v>-2.3381349999999999</v>
      </c>
      <c r="V3514">
        <v>-0.15903599999999901</v>
      </c>
      <c r="W3514">
        <v>0.173508</v>
      </c>
      <c r="X3514">
        <v>0.97190670000000001</v>
      </c>
      <c r="Y3514">
        <v>-0.44908979999999998</v>
      </c>
      <c r="Z3514">
        <v>-1.593646E-2</v>
      </c>
      <c r="AA3514">
        <v>0.89334449999999999</v>
      </c>
      <c r="AB3514">
        <v>19</v>
      </c>
      <c r="AC3514">
        <v>33.4101</v>
      </c>
      <c r="AD3514">
        <v>0.334454999999999</v>
      </c>
      <c r="AE3514">
        <v>-35.847199999999901</v>
      </c>
      <c r="AF3514">
        <v>-22.080146239949698</v>
      </c>
      <c r="AG3514">
        <v>0.334454999999999</v>
      </c>
      <c r="AH3514">
        <v>43.743570581401897</v>
      </c>
      <c r="AI3514">
        <v>89.608929972083402</v>
      </c>
      <c r="AJ3514">
        <v>116.782965587977</v>
      </c>
      <c r="AK3514">
        <v>49.001476358724901</v>
      </c>
      <c r="AL3514">
        <v>80.008155936045796</v>
      </c>
      <c r="AM3514">
        <v>99.293120383953905</v>
      </c>
      <c r="AN3514">
        <v>1.0000000544324401</v>
      </c>
    </row>
    <row r="3515" spans="1:40" x14ac:dyDescent="0.25">
      <c r="A3515" t="str">
        <f>"20190303170322097"</f>
        <v>20190303170322097</v>
      </c>
      <c r="B3515" t="str">
        <f>"1551603802088850"</f>
        <v>1551603802088850</v>
      </c>
      <c r="C3515" t="s">
        <v>40</v>
      </c>
      <c r="D3515">
        <v>4.6074020000000004</v>
      </c>
      <c r="E3515">
        <v>0.38080340000000001</v>
      </c>
      <c r="F3515" t="s">
        <v>78</v>
      </c>
      <c r="G3515">
        <v>-458.8655</v>
      </c>
      <c r="H3515">
        <v>1.493466</v>
      </c>
      <c r="I3515">
        <v>197.51820000000001</v>
      </c>
      <c r="J3515">
        <v>-492.50110000000001</v>
      </c>
      <c r="K3515">
        <v>1.1247910000000001</v>
      </c>
      <c r="L3515">
        <v>233.1763</v>
      </c>
      <c r="M3515">
        <v>0.2858212</v>
      </c>
      <c r="N3515">
        <v>-9.9205439999999999E-3</v>
      </c>
      <c r="O3515">
        <v>-0.95823190000000003</v>
      </c>
      <c r="P3515">
        <v>0.42883890000000002</v>
      </c>
      <c r="Q3515">
        <v>0.16480510000000001</v>
      </c>
      <c r="R3515">
        <v>-0.88822119999999904</v>
      </c>
      <c r="S3515">
        <v>2.1856990000000001</v>
      </c>
      <c r="T3515">
        <v>2.3914689999999999E-2</v>
      </c>
      <c r="U3515">
        <v>-2.3250120000000001</v>
      </c>
      <c r="V3515">
        <v>-0.1585039</v>
      </c>
      <c r="W3515">
        <v>0.17314879999999999</v>
      </c>
      <c r="X3515">
        <v>0.97205759999999997</v>
      </c>
      <c r="Y3515">
        <v>-0.44800309999999999</v>
      </c>
      <c r="Z3515">
        <v>-1.652329E-2</v>
      </c>
      <c r="AA3515">
        <v>0.89387939999999999</v>
      </c>
      <c r="AB3515">
        <v>19</v>
      </c>
      <c r="AC3515">
        <v>33.635599999999997</v>
      </c>
      <c r="AD3515">
        <v>0.36867499999999898</v>
      </c>
      <c r="AE3515">
        <v>-35.658099999999898</v>
      </c>
      <c r="AF3515">
        <v>-22.0386958328031</v>
      </c>
      <c r="AG3515">
        <v>0.36867499999999898</v>
      </c>
      <c r="AH3515">
        <v>43.782162458151802</v>
      </c>
      <c r="AI3515">
        <v>89.569057789956005</v>
      </c>
      <c r="AJ3515">
        <v>116.719384028036</v>
      </c>
      <c r="AK3515">
        <v>49.0175252820707</v>
      </c>
      <c r="AL3515">
        <v>80.029052178810005</v>
      </c>
      <c r="AM3515">
        <v>99.261154421517006</v>
      </c>
      <c r="AN3515">
        <v>0.99999998548720404</v>
      </c>
    </row>
    <row r="3516" spans="1:40" x14ac:dyDescent="0.25">
      <c r="A3516" t="str">
        <f>"20190303170322118"</f>
        <v>20190303170322118</v>
      </c>
      <c r="B3516" t="str">
        <f>"1551603802108370"</f>
        <v>1551603802108370</v>
      </c>
      <c r="C3516" t="s">
        <v>40</v>
      </c>
      <c r="D3516">
        <v>4.6422249999999998</v>
      </c>
      <c r="E3516">
        <v>0.38629999999999998</v>
      </c>
      <c r="F3516" t="s">
        <v>78</v>
      </c>
      <c r="G3516">
        <v>-458.5804</v>
      </c>
      <c r="H3516">
        <v>1.483671</v>
      </c>
      <c r="I3516">
        <v>197.51820000000001</v>
      </c>
      <c r="J3516">
        <v>-492.44349999999997</v>
      </c>
      <c r="K3516">
        <v>1.124792</v>
      </c>
      <c r="L3516">
        <v>233.00890000000001</v>
      </c>
      <c r="M3516">
        <v>0.29186129999999999</v>
      </c>
      <c r="N3516">
        <v>-9.8401300000000008E-3</v>
      </c>
      <c r="O3516">
        <v>-0.95641010000000004</v>
      </c>
      <c r="P3516">
        <v>0.43417339999999999</v>
      </c>
      <c r="Q3516">
        <v>0.1647612</v>
      </c>
      <c r="R3516">
        <v>-0.88563359999999902</v>
      </c>
      <c r="S3516">
        <v>2.198944</v>
      </c>
      <c r="T3516">
        <v>2.3267030000000001E-2</v>
      </c>
      <c r="U3516">
        <v>-2.311569</v>
      </c>
      <c r="V3516">
        <v>-0.1582219</v>
      </c>
      <c r="W3516">
        <v>0.17302200000000001</v>
      </c>
      <c r="X3516">
        <v>0.97212609999999999</v>
      </c>
      <c r="Y3516">
        <v>-0.44764959999999998</v>
      </c>
      <c r="Z3516">
        <v>-1.621036E-2</v>
      </c>
      <c r="AA3516">
        <v>0.89406219999999903</v>
      </c>
      <c r="AB3516">
        <v>19</v>
      </c>
      <c r="AC3516">
        <v>33.863099999999903</v>
      </c>
      <c r="AD3516">
        <v>0.358878999999999</v>
      </c>
      <c r="AE3516">
        <v>-35.490699999999997</v>
      </c>
      <c r="AF3516">
        <v>-22.028535154288299</v>
      </c>
      <c r="AG3516">
        <v>0.358878999999999</v>
      </c>
      <c r="AH3516">
        <v>43.826765788295901</v>
      </c>
      <c r="AI3516">
        <v>89.5808095798632</v>
      </c>
      <c r="AJ3516">
        <v>116.685357604697</v>
      </c>
      <c r="AK3516">
        <v>49.052732387120997</v>
      </c>
      <c r="AL3516">
        <v>80.036428443810394</v>
      </c>
      <c r="AM3516">
        <v>99.244322126252698</v>
      </c>
      <c r="AN3516">
        <v>0.999999968212409</v>
      </c>
    </row>
    <row r="3517" spans="1:40" x14ac:dyDescent="0.25">
      <c r="A3517" t="str">
        <f>"20190303170322139"</f>
        <v>20190303170322139</v>
      </c>
      <c r="B3517" t="str">
        <f>"1551603802128659"</f>
        <v>1551603802128659</v>
      </c>
      <c r="C3517" t="s">
        <v>40</v>
      </c>
      <c r="D3517">
        <v>4.6496279999999999</v>
      </c>
      <c r="E3517">
        <v>0.38659460000000001</v>
      </c>
      <c r="F3517" t="s">
        <v>78</v>
      </c>
      <c r="G3517">
        <v>-459.16329999999999</v>
      </c>
      <c r="H3517">
        <v>1.298295</v>
      </c>
      <c r="I3517">
        <v>197.51820000000001</v>
      </c>
      <c r="J3517">
        <v>-492.38339999999999</v>
      </c>
      <c r="K3517">
        <v>1.1248049999999901</v>
      </c>
      <c r="L3517">
        <v>232.83770000000001</v>
      </c>
      <c r="M3517">
        <v>0.29804190000000003</v>
      </c>
      <c r="N3517">
        <v>-9.7622590000000006E-3</v>
      </c>
      <c r="O3517">
        <v>-0.95450299999999999</v>
      </c>
      <c r="P3517">
        <v>0.43970239999999999</v>
      </c>
      <c r="Q3517">
        <v>0.16487929999999901</v>
      </c>
      <c r="R3517">
        <v>-0.88287969999999905</v>
      </c>
      <c r="S3517">
        <v>2.1747130000000001</v>
      </c>
      <c r="T3517">
        <v>1.13399E-2</v>
      </c>
      <c r="U3517">
        <v>-2.319153</v>
      </c>
      <c r="V3517">
        <v>-0.1580271</v>
      </c>
      <c r="W3517">
        <v>0.1730582</v>
      </c>
      <c r="X3517">
        <v>0.9721514</v>
      </c>
      <c r="Y3517">
        <v>-0.43545030000000001</v>
      </c>
      <c r="Z3517">
        <v>-1.229974E-2</v>
      </c>
      <c r="AA3517">
        <v>0.9001287</v>
      </c>
      <c r="AB3517">
        <v>19</v>
      </c>
      <c r="AC3517">
        <v>33.220100000000002</v>
      </c>
      <c r="AD3517">
        <v>0.17349000000000001</v>
      </c>
      <c r="AE3517">
        <v>-35.319499999999998</v>
      </c>
      <c r="AF3517">
        <v>-21.182729768994999</v>
      </c>
      <c r="AG3517">
        <v>0.17349000000000001</v>
      </c>
      <c r="AH3517">
        <v>43.615064913278701</v>
      </c>
      <c r="AI3517">
        <v>89.794992107663106</v>
      </c>
      <c r="AJ3517">
        <v>115.904668784649</v>
      </c>
      <c r="AK3517">
        <v>48.487235708337501</v>
      </c>
      <c r="AL3517">
        <v>80.034323137841099</v>
      </c>
      <c r="AM3517">
        <v>99.232900667787305</v>
      </c>
      <c r="AN3517">
        <v>1.0000000247217999</v>
      </c>
    </row>
    <row r="3518" spans="1:40" x14ac:dyDescent="0.25">
      <c r="A3518" t="str">
        <f>"20190303170322160"</f>
        <v>20190303170322160</v>
      </c>
      <c r="B3518" t="str">
        <f>"1551603802149155"</f>
        <v>1551603802149155</v>
      </c>
      <c r="C3518" t="s">
        <v>40</v>
      </c>
      <c r="D3518">
        <v>4.6203120000000002</v>
      </c>
      <c r="E3518">
        <v>0.38642700000000002</v>
      </c>
      <c r="F3518" t="s">
        <v>78</v>
      </c>
      <c r="G3518">
        <v>-458.8879</v>
      </c>
      <c r="H3518">
        <v>1.3072649999999999</v>
      </c>
      <c r="I3518">
        <v>197.51820000000001</v>
      </c>
      <c r="J3518">
        <v>-492.32159999999999</v>
      </c>
      <c r="K3518">
        <v>1.124819</v>
      </c>
      <c r="L3518">
        <v>232.6652</v>
      </c>
      <c r="M3518">
        <v>0.30427599999999999</v>
      </c>
      <c r="N3518">
        <v>-9.6861719999999998E-3</v>
      </c>
      <c r="O3518">
        <v>-0.95253469999999996</v>
      </c>
      <c r="P3518">
        <v>0.44499620000000001</v>
      </c>
      <c r="Q3518">
        <v>0.1657255</v>
      </c>
      <c r="R3518">
        <v>-0.88006479999999998</v>
      </c>
      <c r="S3518">
        <v>2.1872859999999998</v>
      </c>
      <c r="T3518">
        <v>1.191711E-2</v>
      </c>
      <c r="U3518">
        <v>-2.306381</v>
      </c>
      <c r="V3518">
        <v>-0.15757349999999901</v>
      </c>
      <c r="W3518">
        <v>0.17382449999999999</v>
      </c>
      <c r="X3518">
        <v>0.97208830000000002</v>
      </c>
      <c r="Y3518">
        <v>-0.43463580000000002</v>
      </c>
      <c r="Z3518">
        <v>-1.238472E-2</v>
      </c>
      <c r="AA3518">
        <v>0.90052119999999902</v>
      </c>
      <c r="AB3518">
        <v>19</v>
      </c>
      <c r="AC3518">
        <v>33.433699999999902</v>
      </c>
      <c r="AD3518">
        <v>0.182445999999999</v>
      </c>
      <c r="AE3518">
        <v>-35.146999999999899</v>
      </c>
      <c r="AF3518">
        <v>-21.153063307605802</v>
      </c>
      <c r="AG3518">
        <v>0.182445999999999</v>
      </c>
      <c r="AH3518">
        <v>43.653238662453603</v>
      </c>
      <c r="AI3518">
        <v>89.784504266466399</v>
      </c>
      <c r="AJ3518">
        <v>115.853450650349</v>
      </c>
      <c r="AK3518">
        <v>48.5086654069109</v>
      </c>
      <c r="AL3518">
        <v>79.989741604819599</v>
      </c>
      <c r="AM3518">
        <v>99.207440501047401</v>
      </c>
      <c r="AN3518">
        <v>1.0000000138496901</v>
      </c>
    </row>
    <row r="3519" spans="1:40" x14ac:dyDescent="0.25">
      <c r="A3519" t="str">
        <f>"20190303170322184"</f>
        <v>20190303170322184</v>
      </c>
      <c r="B3519" t="str">
        <f>"1551603802178435"</f>
        <v>1551603802178435</v>
      </c>
      <c r="C3519" t="s">
        <v>40</v>
      </c>
      <c r="D3519">
        <v>4.6541579999999998</v>
      </c>
      <c r="E3519">
        <v>0.38647690000000001</v>
      </c>
      <c r="F3519" t="s">
        <v>78</v>
      </c>
      <c r="G3519">
        <v>-458.536</v>
      </c>
      <c r="H3519">
        <v>1.335815</v>
      </c>
      <c r="I3519">
        <v>197.51820000000001</v>
      </c>
      <c r="J3519">
        <v>-492.25380000000001</v>
      </c>
      <c r="K3519">
        <v>1.1248450000000001</v>
      </c>
      <c r="L3519">
        <v>232.48009999999999</v>
      </c>
      <c r="M3519">
        <v>0.31097370000000002</v>
      </c>
      <c r="N3519">
        <v>-9.6072780000000003E-3</v>
      </c>
      <c r="O3519">
        <v>-0.95037000000000005</v>
      </c>
      <c r="P3519">
        <v>0.45060440000000002</v>
      </c>
      <c r="Q3519">
        <v>0.1666463</v>
      </c>
      <c r="R3519">
        <v>-0.87703189999999998</v>
      </c>
      <c r="S3519">
        <v>2.2033390000000002</v>
      </c>
      <c r="T3519">
        <v>1.3762470000000001E-2</v>
      </c>
      <c r="U3519">
        <v>-2.2921140000000002</v>
      </c>
      <c r="V3519">
        <v>-0.15700749999999999</v>
      </c>
      <c r="W3519">
        <v>0.17466219999999999</v>
      </c>
      <c r="X3519">
        <v>0.9720297</v>
      </c>
      <c r="Y3519">
        <v>-0.43437310000000001</v>
      </c>
      <c r="Z3519">
        <v>-1.286935E-2</v>
      </c>
      <c r="AA3519">
        <v>0.90064109999999997</v>
      </c>
      <c r="AB3519">
        <v>19</v>
      </c>
      <c r="AC3519">
        <v>33.717799999999997</v>
      </c>
      <c r="AD3519">
        <v>0.21096999999999899</v>
      </c>
      <c r="AE3519">
        <v>-34.961899999999901</v>
      </c>
      <c r="AF3519">
        <v>-21.1727310725324</v>
      </c>
      <c r="AG3519">
        <v>0.21096999999999899</v>
      </c>
      <c r="AH3519">
        <v>43.7132809706317</v>
      </c>
      <c r="AI3519">
        <v>89.751134804495805</v>
      </c>
      <c r="AJ3519">
        <v>115.843443329221</v>
      </c>
      <c r="AK3519">
        <v>48.571390577458999</v>
      </c>
      <c r="AL3519">
        <v>79.940999041570393</v>
      </c>
      <c r="AM3519">
        <v>99.175474797960106</v>
      </c>
      <c r="AN3519">
        <v>0.99999998842358995</v>
      </c>
    </row>
    <row r="3520" spans="1:40" x14ac:dyDescent="0.25">
      <c r="A3520" t="str">
        <f>"20190303170322207"</f>
        <v>20190303170322207</v>
      </c>
      <c r="B3520" t="str">
        <f>"1551603802198931"</f>
        <v>1551603802198931</v>
      </c>
      <c r="C3520" t="s">
        <v>40</v>
      </c>
      <c r="D3520">
        <v>4.6597109999999997</v>
      </c>
      <c r="E3520">
        <v>0.3892388</v>
      </c>
      <c r="F3520" t="s">
        <v>79</v>
      </c>
      <c r="G3520">
        <v>-456.5059</v>
      </c>
      <c r="H3520">
        <v>1.3755999999999999</v>
      </c>
      <c r="I3520">
        <v>195.7731</v>
      </c>
      <c r="J3520">
        <v>-492.18360000000001</v>
      </c>
      <c r="K3520">
        <v>1.124876</v>
      </c>
      <c r="L3520">
        <v>232.29230000000001</v>
      </c>
      <c r="M3520">
        <v>0.31778620000000002</v>
      </c>
      <c r="N3520">
        <v>-9.5295959999999996E-3</v>
      </c>
      <c r="O3520">
        <v>-0.94811480000000004</v>
      </c>
      <c r="P3520">
        <v>0.45677489999999998</v>
      </c>
      <c r="Q3520">
        <v>0.1680053</v>
      </c>
      <c r="R3520">
        <v>-0.87357379999999996</v>
      </c>
      <c r="S3520">
        <v>2.2183839999999999</v>
      </c>
      <c r="T3520">
        <v>1.556194E-2</v>
      </c>
      <c r="U3520">
        <v>-2.2778930000000002</v>
      </c>
      <c r="V3520">
        <v>-0.1569895</v>
      </c>
      <c r="W3520">
        <v>0.17593210000000001</v>
      </c>
      <c r="X3520">
        <v>0.97180350000000004</v>
      </c>
      <c r="Y3520">
        <v>-0.43376969999999998</v>
      </c>
      <c r="Z3520">
        <v>-1.3339500000000001E-2</v>
      </c>
      <c r="AA3520">
        <v>0.90092499999999998</v>
      </c>
      <c r="AB3520">
        <v>19</v>
      </c>
      <c r="AC3520">
        <v>35.677700000000002</v>
      </c>
      <c r="AD3520">
        <v>0.250723999999999</v>
      </c>
      <c r="AE3520">
        <v>-36.519199999999998</v>
      </c>
      <c r="AF3520">
        <v>-22.221724561728799</v>
      </c>
      <c r="AG3520">
        <v>0.250723999999999</v>
      </c>
      <c r="AH3520">
        <v>45.963240561696097</v>
      </c>
      <c r="AI3520">
        <v>89.718620488045701</v>
      </c>
      <c r="AJ3520">
        <v>115.802249082882</v>
      </c>
      <c r="AK3520">
        <v>51.053769576338503</v>
      </c>
      <c r="AL3520">
        <v>79.867094107305405</v>
      </c>
      <c r="AM3520">
        <v>99.176539916173297</v>
      </c>
      <c r="AN3520">
        <v>0.99999992476645205</v>
      </c>
    </row>
    <row r="3521" spans="1:40" x14ac:dyDescent="0.25">
      <c r="A3521" t="str">
        <f>"20190303170322231"</f>
        <v>20190303170322231</v>
      </c>
      <c r="B3521" t="str">
        <f>"1551603802218450"</f>
        <v>1551603802218450</v>
      </c>
      <c r="C3521" t="s">
        <v>40</v>
      </c>
      <c r="D3521">
        <v>4.6482650000000003</v>
      </c>
      <c r="E3521">
        <v>0.39001140000000001</v>
      </c>
      <c r="F3521" t="s">
        <v>79</v>
      </c>
      <c r="G3521">
        <v>-456.5059</v>
      </c>
      <c r="H3521">
        <v>1.1171150000000001</v>
      </c>
      <c r="I3521">
        <v>195.71090000000001</v>
      </c>
      <c r="J3521">
        <v>-492.11360000000002</v>
      </c>
      <c r="K3521">
        <v>1.1248990000000001</v>
      </c>
      <c r="L3521">
        <v>232.10919999999999</v>
      </c>
      <c r="M3521">
        <v>0.32444079999999997</v>
      </c>
      <c r="N3521">
        <v>-9.4562180000000006E-3</v>
      </c>
      <c r="O3521">
        <v>-0.94585900000000001</v>
      </c>
      <c r="P3521">
        <v>0.46306039999999998</v>
      </c>
      <c r="Q3521">
        <v>0.16946069999999999</v>
      </c>
      <c r="R3521">
        <v>-0.86997619999999898</v>
      </c>
      <c r="S3521">
        <v>2.2181700000000002</v>
      </c>
      <c r="T3521">
        <v>-4.8148629999999998E-4</v>
      </c>
      <c r="U3521">
        <v>-2.2743530000000001</v>
      </c>
      <c r="V3521">
        <v>-0.15728399999999901</v>
      </c>
      <c r="W3521">
        <v>0.17729879999999901</v>
      </c>
      <c r="X3521">
        <v>0.97150749999999997</v>
      </c>
      <c r="Y3521">
        <v>-0.42811949999999999</v>
      </c>
      <c r="Z3521">
        <v>-8.1001509999999999E-3</v>
      </c>
      <c r="AA3521">
        <v>0.90368590000000004</v>
      </c>
      <c r="AB3521">
        <v>19</v>
      </c>
      <c r="AC3521">
        <v>35.607700000000001</v>
      </c>
      <c r="AD3521">
        <v>-7.7840000000000097E-3</v>
      </c>
      <c r="AE3521">
        <v>-36.3982999999999</v>
      </c>
      <c r="AF3521">
        <v>-21.871741865411501</v>
      </c>
      <c r="AG3521">
        <v>-7.7840000000000097E-3</v>
      </c>
      <c r="AH3521">
        <v>45.982293644091897</v>
      </c>
      <c r="AI3521">
        <v>90.008758820013995</v>
      </c>
      <c r="AJ3521">
        <v>115.43836494573701</v>
      </c>
      <c r="AK3521">
        <v>50.9189992202257</v>
      </c>
      <c r="AL3521">
        <v>79.787537800162895</v>
      </c>
      <c r="AM3521">
        <v>99.196213921749504</v>
      </c>
      <c r="AN3521">
        <v>0.99999997184684397</v>
      </c>
    </row>
    <row r="3522" spans="1:40" x14ac:dyDescent="0.25">
      <c r="A3522" t="str">
        <f>"20190303170322250"</f>
        <v>20190303170322250</v>
      </c>
      <c r="B3522" t="str">
        <f>"1551603802238946"</f>
        <v>1551603802238946</v>
      </c>
      <c r="C3522" t="s">
        <v>40</v>
      </c>
      <c r="D3522">
        <v>4.6668529999999997</v>
      </c>
      <c r="E3522">
        <v>0.39098339999999998</v>
      </c>
      <c r="F3522" t="s">
        <v>79</v>
      </c>
      <c r="G3522">
        <v>-456.5059</v>
      </c>
      <c r="H3522">
        <v>1.184053</v>
      </c>
      <c r="I3522">
        <v>196.00110000000001</v>
      </c>
      <c r="J3522">
        <v>-492.04989999999998</v>
      </c>
      <c r="K3522">
        <v>1.1249229999999999</v>
      </c>
      <c r="L3522">
        <v>231.94550000000001</v>
      </c>
      <c r="M3522">
        <v>0.33040269999999999</v>
      </c>
      <c r="N3522">
        <v>-9.3893599999999994E-3</v>
      </c>
      <c r="O3522">
        <v>-0.9437934</v>
      </c>
      <c r="P3522">
        <v>0.46887620000000002</v>
      </c>
      <c r="Q3522">
        <v>0.1697825</v>
      </c>
      <c r="R3522">
        <v>-0.86679259999999902</v>
      </c>
      <c r="S3522">
        <v>2.229584</v>
      </c>
      <c r="T3522">
        <v>3.7050249999999998E-3</v>
      </c>
      <c r="U3522">
        <v>-2.26091</v>
      </c>
      <c r="V3522">
        <v>-0.15769530000000001</v>
      </c>
      <c r="W3522">
        <v>0.17754049999999999</v>
      </c>
      <c r="X3522">
        <v>0.9713967</v>
      </c>
      <c r="Y3522">
        <v>-0.42740810000000001</v>
      </c>
      <c r="Z3522">
        <v>-9.3532630000000005E-3</v>
      </c>
      <c r="AA3522">
        <v>0.90401039999999999</v>
      </c>
      <c r="AB3522">
        <v>19</v>
      </c>
      <c r="AC3522">
        <v>35.543999999999897</v>
      </c>
      <c r="AD3522">
        <v>5.9130000000000099E-2</v>
      </c>
      <c r="AE3522">
        <v>-35.944400000000002</v>
      </c>
      <c r="AF3522">
        <v>-21.6709904958701</v>
      </c>
      <c r="AG3522">
        <v>5.9130000000000099E-2</v>
      </c>
      <c r="AH3522">
        <v>45.669869778536203</v>
      </c>
      <c r="AI3522">
        <v>89.932980139979094</v>
      </c>
      <c r="AJ3522">
        <v>115.384992055699</v>
      </c>
      <c r="AK3522">
        <v>50.5506907076199</v>
      </c>
      <c r="AL3522">
        <v>79.773466383773794</v>
      </c>
      <c r="AM3522">
        <v>99.220883262923806</v>
      </c>
      <c r="AN3522">
        <v>0.999999992776615</v>
      </c>
    </row>
    <row r="3523" spans="1:40" x14ac:dyDescent="0.25">
      <c r="A3523" t="str">
        <f>"20190303170322273"</f>
        <v>20190303170322273</v>
      </c>
      <c r="B3523" t="str">
        <f>"1551603802258467"</f>
        <v>1551603802258467</v>
      </c>
      <c r="C3523" t="s">
        <v>40</v>
      </c>
      <c r="D3523">
        <v>4.7077239999999998</v>
      </c>
      <c r="E3523">
        <v>0.39190439999999999</v>
      </c>
      <c r="F3523" t="s">
        <v>79</v>
      </c>
      <c r="G3523">
        <v>-456.5059</v>
      </c>
      <c r="H3523">
        <v>1.107594</v>
      </c>
      <c r="I3523">
        <v>196.22229999999999</v>
      </c>
      <c r="J3523">
        <v>-491.97930000000002</v>
      </c>
      <c r="K3523">
        <v>1.124938</v>
      </c>
      <c r="L3523">
        <v>231.7679</v>
      </c>
      <c r="M3523">
        <v>0.33688089999999998</v>
      </c>
      <c r="N3523">
        <v>-9.3164770000000001E-3</v>
      </c>
      <c r="O3523">
        <v>-0.94150129999999999</v>
      </c>
      <c r="P3523">
        <v>0.47504999999999997</v>
      </c>
      <c r="Q3523">
        <v>0.17009850000000001</v>
      </c>
      <c r="R3523">
        <v>-0.86336239999999997</v>
      </c>
      <c r="S3523">
        <v>2.2388919999999999</v>
      </c>
      <c r="T3523">
        <v>-1.0904070000000001E-3</v>
      </c>
      <c r="U3523">
        <v>-2.2501829999999998</v>
      </c>
      <c r="V3523">
        <v>-0.157988299999999</v>
      </c>
      <c r="W3523">
        <v>0.17777129999999999</v>
      </c>
      <c r="X3523">
        <v>0.97130689999999997</v>
      </c>
      <c r="Y3523">
        <v>-0.42523480000000002</v>
      </c>
      <c r="Z3523">
        <v>-7.7219069999999897E-3</v>
      </c>
      <c r="AA3523">
        <v>0.90505020000000003</v>
      </c>
      <c r="AB3523">
        <v>19</v>
      </c>
      <c r="AC3523">
        <v>35.473399999999998</v>
      </c>
      <c r="AD3523">
        <v>-1.7343999999999998E-2</v>
      </c>
      <c r="AE3523">
        <v>-35.5456</v>
      </c>
      <c r="AF3523">
        <v>-21.424543229273102</v>
      </c>
      <c r="AG3523">
        <v>-1.7343999999999998E-2</v>
      </c>
      <c r="AH3523">
        <v>45.418499894959503</v>
      </c>
      <c r="AI3523">
        <v>90.019788467063407</v>
      </c>
      <c r="AJ3523">
        <v>115.253908968941</v>
      </c>
      <c r="AK3523">
        <v>50.218039449044298</v>
      </c>
      <c r="AL3523">
        <v>79.760029001534804</v>
      </c>
      <c r="AM3523">
        <v>99.238560018855495</v>
      </c>
      <c r="AN3523">
        <v>1.0000000160140901</v>
      </c>
    </row>
    <row r="3524" spans="1:40" x14ac:dyDescent="0.25">
      <c r="A3524" t="str">
        <f>"20190303170322296"</f>
        <v>20190303170322296</v>
      </c>
      <c r="B3524" t="str">
        <f>"1551603802288723"</f>
        <v>1551603802288723</v>
      </c>
      <c r="C3524" t="s">
        <v>40</v>
      </c>
      <c r="D3524">
        <v>4.6667100000000001</v>
      </c>
      <c r="E3524">
        <v>0.39216000000000001</v>
      </c>
      <c r="F3524" t="s">
        <v>79</v>
      </c>
      <c r="G3524">
        <v>-456.5059</v>
      </c>
      <c r="H3524">
        <v>1.022494</v>
      </c>
      <c r="I3524">
        <v>196.47829999999999</v>
      </c>
      <c r="J3524">
        <v>-491.90370000000001</v>
      </c>
      <c r="K3524">
        <v>1.124954</v>
      </c>
      <c r="L3524">
        <v>231.58160000000001</v>
      </c>
      <c r="M3524">
        <v>0.34368490000000002</v>
      </c>
      <c r="N3524">
        <v>-9.2451849999999995E-3</v>
      </c>
      <c r="O3524">
        <v>-0.93903950000000003</v>
      </c>
      <c r="P3524">
        <v>0.48179850000000002</v>
      </c>
      <c r="Q3524">
        <v>0.1699164</v>
      </c>
      <c r="R3524">
        <v>-0.85965029999999998</v>
      </c>
      <c r="S3524">
        <v>2.2498170000000002</v>
      </c>
      <c r="T3524">
        <v>-6.4960720000000003E-3</v>
      </c>
      <c r="U3524">
        <v>-2.238159</v>
      </c>
      <c r="V3524">
        <v>-0.1585667</v>
      </c>
      <c r="W3524">
        <v>0.17750389999999999</v>
      </c>
      <c r="X3524">
        <v>0.97126159999999995</v>
      </c>
      <c r="Y3524">
        <v>-0.4233189</v>
      </c>
      <c r="Z3524">
        <v>-5.8976509999999899E-3</v>
      </c>
      <c r="AA3524">
        <v>0.90596160000000003</v>
      </c>
      <c r="AB3524">
        <v>20</v>
      </c>
      <c r="AC3524">
        <v>35.397799999999997</v>
      </c>
      <c r="AD3524">
        <v>-0.10246</v>
      </c>
      <c r="AE3524">
        <v>-35.103299999999997</v>
      </c>
      <c r="AF3524">
        <v>-21.176274193677401</v>
      </c>
      <c r="AG3524">
        <v>-0.10246</v>
      </c>
      <c r="AH3524">
        <v>45.130813542789397</v>
      </c>
      <c r="AI3524">
        <v>90.117758840989296</v>
      </c>
      <c r="AJ3524">
        <v>115.13690242526501</v>
      </c>
      <c r="AK3524">
        <v>49.852135539126401</v>
      </c>
      <c r="AL3524">
        <v>79.775597992994506</v>
      </c>
      <c r="AM3524">
        <v>99.272221254349105</v>
      </c>
      <c r="AN3524">
        <v>1.0000000642493201</v>
      </c>
    </row>
    <row r="3525" spans="1:40" x14ac:dyDescent="0.25">
      <c r="A3525" t="str">
        <f>"20190303170322318"</f>
        <v>20190303170322318</v>
      </c>
      <c r="B3525" t="str">
        <f>"1551603802309218"</f>
        <v>1551603802309218</v>
      </c>
      <c r="C3525" t="s">
        <v>40</v>
      </c>
      <c r="D3525">
        <v>4.7056440000000004</v>
      </c>
      <c r="E3525">
        <v>0.39270189999999999</v>
      </c>
      <c r="F3525" t="s">
        <v>79</v>
      </c>
      <c r="G3525">
        <v>-456.5059</v>
      </c>
      <c r="H3525">
        <v>1.0228729999999999</v>
      </c>
      <c r="I3525">
        <v>196.87020000000001</v>
      </c>
      <c r="J3525">
        <v>-491.82940000000002</v>
      </c>
      <c r="K3525">
        <v>1.1249739999999999</v>
      </c>
      <c r="L3525">
        <v>231.40209999999999</v>
      </c>
      <c r="M3525">
        <v>0.3502439</v>
      </c>
      <c r="N3525">
        <v>-9.1800460000000007E-3</v>
      </c>
      <c r="O3525">
        <v>-0.93661369999999999</v>
      </c>
      <c r="P3525">
        <v>0.48820570000000002</v>
      </c>
      <c r="Q3525">
        <v>0.1702698</v>
      </c>
      <c r="R3525">
        <v>-0.85595789999999905</v>
      </c>
      <c r="S3525">
        <v>2.2654109999999998</v>
      </c>
      <c r="T3525">
        <v>-6.5319540000000004E-3</v>
      </c>
      <c r="U3525">
        <v>-2.2214809999999998</v>
      </c>
      <c r="V3525">
        <v>-0.1590666</v>
      </c>
      <c r="W3525">
        <v>0.17777889999999999</v>
      </c>
      <c r="X3525">
        <v>0.97112949999999998</v>
      </c>
      <c r="Y3525">
        <v>-0.42350009999999999</v>
      </c>
      <c r="Z3525">
        <v>-5.7954909999999998E-3</v>
      </c>
      <c r="AA3525">
        <v>0.9058775</v>
      </c>
      <c r="AB3525">
        <v>20</v>
      </c>
      <c r="AC3525">
        <v>35.323500000000003</v>
      </c>
      <c r="AD3525">
        <v>-0.102101</v>
      </c>
      <c r="AE3525">
        <v>-34.531899999999901</v>
      </c>
      <c r="AF3525">
        <v>-20.9906785281648</v>
      </c>
      <c r="AG3525">
        <v>-0.102101</v>
      </c>
      <c r="AH3525">
        <v>44.716577862046201</v>
      </c>
      <c r="AI3525">
        <v>90.118424346290695</v>
      </c>
      <c r="AJ3525">
        <v>115.146113234705</v>
      </c>
      <c r="AK3525">
        <v>49.398292939932603</v>
      </c>
      <c r="AL3525">
        <v>79.759586475463607</v>
      </c>
      <c r="AM3525">
        <v>99.302186021746394</v>
      </c>
      <c r="AN3525">
        <v>1.00000001314551</v>
      </c>
    </row>
    <row r="3526" spans="1:40" x14ac:dyDescent="0.25">
      <c r="A3526" t="str">
        <f>"20190303170322339"</f>
        <v>20190303170322339</v>
      </c>
      <c r="B3526" t="str">
        <f>"1551603802328739"</f>
        <v>1551603802328739</v>
      </c>
      <c r="C3526" t="s">
        <v>40</v>
      </c>
      <c r="D3526">
        <v>4.7317669999999996</v>
      </c>
      <c r="E3526">
        <v>0.39864169999999999</v>
      </c>
      <c r="F3526" t="s">
        <v>79</v>
      </c>
      <c r="G3526">
        <v>-456.5059</v>
      </c>
      <c r="H3526">
        <v>0.99203779999999997</v>
      </c>
      <c r="I3526">
        <v>197.1883</v>
      </c>
      <c r="J3526">
        <v>-491.75920000000002</v>
      </c>
      <c r="K3526">
        <v>1.1249819999999999</v>
      </c>
      <c r="L3526">
        <v>231.23589999999999</v>
      </c>
      <c r="M3526">
        <v>0.35632229999999998</v>
      </c>
      <c r="N3526">
        <v>-9.1215900000000006E-3</v>
      </c>
      <c r="O3526">
        <v>-0.93431869999999995</v>
      </c>
      <c r="P3526">
        <v>0.49373820000000002</v>
      </c>
      <c r="Q3526">
        <v>0.17057439999999999</v>
      </c>
      <c r="R3526">
        <v>-0.85271749999999902</v>
      </c>
      <c r="S3526">
        <v>2.2785340000000001</v>
      </c>
      <c r="T3526">
        <v>-8.5738900000000007E-3</v>
      </c>
      <c r="U3526">
        <v>-2.2069549999999998</v>
      </c>
      <c r="V3526">
        <v>-0.1590782</v>
      </c>
      <c r="W3526">
        <v>0.1780186</v>
      </c>
      <c r="X3526">
        <v>0.97108369999999999</v>
      </c>
      <c r="Y3526">
        <v>-0.42320200000000002</v>
      </c>
      <c r="Z3526">
        <v>-5.061805E-3</v>
      </c>
      <c r="AA3526">
        <v>0.90602119999999997</v>
      </c>
      <c r="AB3526">
        <v>20</v>
      </c>
      <c r="AC3526">
        <v>35.253300000000003</v>
      </c>
      <c r="AD3526">
        <v>-0.13294419999999901</v>
      </c>
      <c r="AE3526">
        <v>-34.047599999999903</v>
      </c>
      <c r="AF3526">
        <v>-20.806608536410799</v>
      </c>
      <c r="AG3526">
        <v>-0.13294419999999901</v>
      </c>
      <c r="AH3526">
        <v>44.374361065057201</v>
      </c>
      <c r="AI3526">
        <v>90.155419161661399</v>
      </c>
      <c r="AJ3526">
        <v>115.121320301361</v>
      </c>
      <c r="AK3526">
        <v>49.010371890854103</v>
      </c>
      <c r="AL3526">
        <v>79.745630168432299</v>
      </c>
      <c r="AM3526">
        <v>99.303283615228494</v>
      </c>
      <c r="AN3526">
        <v>1.0000000240334399</v>
      </c>
    </row>
    <row r="3527" spans="1:40" x14ac:dyDescent="0.25">
      <c r="A3527" t="str">
        <f>"20190303170322361"</f>
        <v>20190303170322361</v>
      </c>
      <c r="B3527" t="str">
        <f>"1551603802349236"</f>
        <v>1551603802349236</v>
      </c>
      <c r="C3527" t="s">
        <v>40</v>
      </c>
      <c r="D3527">
        <v>4.7128670000000001</v>
      </c>
      <c r="E3527">
        <v>0.39881450000000002</v>
      </c>
      <c r="F3527" t="s">
        <v>79</v>
      </c>
      <c r="G3527">
        <v>-456.5059</v>
      </c>
      <c r="H3527">
        <v>0.65085319999999902</v>
      </c>
      <c r="I3527">
        <v>196.55969999999999</v>
      </c>
      <c r="J3527">
        <v>-491.68259999999998</v>
      </c>
      <c r="K3527">
        <v>1.1249880000000001</v>
      </c>
      <c r="L3527">
        <v>231.05770000000001</v>
      </c>
      <c r="M3527">
        <v>0.36283280000000001</v>
      </c>
      <c r="N3527">
        <v>-9.0636740000000007E-3</v>
      </c>
      <c r="O3527">
        <v>-0.93181029999999998</v>
      </c>
      <c r="P3527">
        <v>0.49936740000000002</v>
      </c>
      <c r="Q3527">
        <v>0.17091339999999999</v>
      </c>
      <c r="R3527">
        <v>-0.84936529999999999</v>
      </c>
      <c r="S3527">
        <v>2.25528</v>
      </c>
      <c r="T3527">
        <v>-3.033054E-2</v>
      </c>
      <c r="U3527">
        <v>-2.218353</v>
      </c>
      <c r="V3527">
        <v>-0.15876119999999999</v>
      </c>
      <c r="W3527">
        <v>0.17829589999999901</v>
      </c>
      <c r="X3527">
        <v>0.97108470000000002</v>
      </c>
      <c r="Y3527">
        <v>-0.40985539999999998</v>
      </c>
      <c r="Z3527">
        <v>1.9387180000000001E-3</v>
      </c>
      <c r="AA3527">
        <v>0.91214850000000003</v>
      </c>
      <c r="AB3527">
        <v>20</v>
      </c>
      <c r="AC3527">
        <v>35.176699999999897</v>
      </c>
      <c r="AD3527">
        <v>-0.47413480000000002</v>
      </c>
      <c r="AE3527">
        <v>-34.497999999999998</v>
      </c>
      <c r="AF3527">
        <v>-20.2599592212689</v>
      </c>
      <c r="AG3527">
        <v>-0.47413480000000002</v>
      </c>
      <c r="AH3527">
        <v>44.906533311675901</v>
      </c>
      <c r="AI3527">
        <v>90.551404822798403</v>
      </c>
      <c r="AJ3527">
        <v>114.282915394756</v>
      </c>
      <c r="AK3527">
        <v>49.267509430949602</v>
      </c>
      <c r="AL3527">
        <v>79.729483703137603</v>
      </c>
      <c r="AM3527">
        <v>99.285058472498704</v>
      </c>
      <c r="AN3527">
        <v>1.0000000205781601</v>
      </c>
    </row>
    <row r="3528" spans="1:40" x14ac:dyDescent="0.25">
      <c r="A3528" t="str">
        <f>"20190303170322385"</f>
        <v>20190303170322385</v>
      </c>
      <c r="B3528" t="str">
        <f>"1551603802379491"</f>
        <v>1551603802379491</v>
      </c>
      <c r="C3528" t="s">
        <v>40</v>
      </c>
      <c r="D3528">
        <v>4.727195</v>
      </c>
      <c r="E3528">
        <v>0.39991719999999997</v>
      </c>
      <c r="F3528" t="s">
        <v>79</v>
      </c>
      <c r="G3528">
        <v>-456.5059</v>
      </c>
      <c r="H3528">
        <v>0.71146679999999995</v>
      </c>
      <c r="I3528">
        <v>196.8861</v>
      </c>
      <c r="J3528">
        <v>-491.60219999999998</v>
      </c>
      <c r="K3528">
        <v>1.1249979999999999</v>
      </c>
      <c r="L3528">
        <v>230.8742</v>
      </c>
      <c r="M3528">
        <v>0.36953619999999998</v>
      </c>
      <c r="N3528">
        <v>-9.0107690000000001E-3</v>
      </c>
      <c r="O3528">
        <v>-0.92917280000000002</v>
      </c>
      <c r="P3528">
        <v>0.50523490000000004</v>
      </c>
      <c r="Q3528">
        <v>0.1703962</v>
      </c>
      <c r="R3528">
        <v>-0.84599269999999904</v>
      </c>
      <c r="S3528">
        <v>2.2685550000000001</v>
      </c>
      <c r="T3528">
        <v>-2.6667E-2</v>
      </c>
      <c r="U3528">
        <v>-2.203735</v>
      </c>
      <c r="V3528">
        <v>-0.15845329999999999</v>
      </c>
      <c r="W3528">
        <v>0.17772299999999999</v>
      </c>
      <c r="X3528">
        <v>0.97123999999999999</v>
      </c>
      <c r="Y3528">
        <v>-0.4089778</v>
      </c>
      <c r="Z3528">
        <v>8.4006580000000003E-4</v>
      </c>
      <c r="AA3528">
        <v>0.91254400000000002</v>
      </c>
      <c r="AB3528">
        <v>20</v>
      </c>
      <c r="AC3528">
        <v>35.0962999999999</v>
      </c>
      <c r="AD3528">
        <v>-0.41353119999999899</v>
      </c>
      <c r="AE3528">
        <v>-33.988100000000003</v>
      </c>
      <c r="AF3528">
        <v>-20.050068716993401</v>
      </c>
      <c r="AG3528">
        <v>-0.41353119999999899</v>
      </c>
      <c r="AH3528">
        <v>44.548782030357003</v>
      </c>
      <c r="AI3528">
        <v>90.484987776471797</v>
      </c>
      <c r="AJ3528">
        <v>114.23107881244</v>
      </c>
      <c r="AK3528">
        <v>48.8545826304738</v>
      </c>
      <c r="AL3528">
        <v>79.762841264177794</v>
      </c>
      <c r="AM3528">
        <v>99.265907706421302</v>
      </c>
      <c r="AN3528">
        <v>1.0000000253049399</v>
      </c>
    </row>
    <row r="3529" spans="1:40" x14ac:dyDescent="0.25">
      <c r="A3529" t="str">
        <f>"20190303170322408"</f>
        <v>20190303170322408</v>
      </c>
      <c r="B3529" t="str">
        <f>"1551603802399011"</f>
        <v>1551603802399011</v>
      </c>
      <c r="C3529" t="s">
        <v>40</v>
      </c>
      <c r="D3529">
        <v>4.7046029999999996</v>
      </c>
      <c r="E3529">
        <v>0.4004818</v>
      </c>
      <c r="F3529" t="s">
        <v>79</v>
      </c>
      <c r="G3529">
        <v>-456.5059</v>
      </c>
      <c r="H3529">
        <v>0.63351729999999995</v>
      </c>
      <c r="I3529">
        <v>197.06809999999999</v>
      </c>
      <c r="J3529">
        <v>-491.51609999999999</v>
      </c>
      <c r="K3529">
        <v>1.1250169999999999</v>
      </c>
      <c r="L3529">
        <v>230.68129999999999</v>
      </c>
      <c r="M3529">
        <v>0.37657940000000001</v>
      </c>
      <c r="N3529">
        <v>-8.961943E-3</v>
      </c>
      <c r="O3529">
        <v>-0.92634099999999997</v>
      </c>
      <c r="P3529">
        <v>0.51177839999999997</v>
      </c>
      <c r="Q3529">
        <v>0.16992760000000001</v>
      </c>
      <c r="R3529">
        <v>-0.84214469999999997</v>
      </c>
      <c r="S3529">
        <v>2.2766109999999999</v>
      </c>
      <c r="T3529">
        <v>-3.1880020000000002E-2</v>
      </c>
      <c r="U3529">
        <v>-2.192917</v>
      </c>
      <c r="V3529">
        <v>-0.1585802</v>
      </c>
      <c r="W3529">
        <v>0.17719699999999999</v>
      </c>
      <c r="X3529">
        <v>0.97131540000000005</v>
      </c>
      <c r="Y3529">
        <v>-0.40590470000000001</v>
      </c>
      <c r="Z3529">
        <v>2.5617389999999999E-3</v>
      </c>
      <c r="AA3529">
        <v>0.91391180000000005</v>
      </c>
      <c r="AB3529">
        <v>20</v>
      </c>
      <c r="AC3529">
        <v>35.010199999999998</v>
      </c>
      <c r="AD3529">
        <v>-0.49149969999999898</v>
      </c>
      <c r="AE3529">
        <v>-33.613199999999999</v>
      </c>
      <c r="AF3529">
        <v>-19.772111302325101</v>
      </c>
      <c r="AG3529">
        <v>-0.49149969999999898</v>
      </c>
      <c r="AH3529">
        <v>44.318640134039804</v>
      </c>
      <c r="AI3529">
        <v>90.5802676646572</v>
      </c>
      <c r="AJ3529">
        <v>114.04333865756099</v>
      </c>
      <c r="AK3529">
        <v>48.531637316673702</v>
      </c>
      <c r="AL3529">
        <v>79.793464965233198</v>
      </c>
      <c r="AM3529">
        <v>99.272492258438206</v>
      </c>
      <c r="AN3529">
        <v>1.00000003145909</v>
      </c>
    </row>
    <row r="3530" spans="1:40" x14ac:dyDescent="0.25">
      <c r="A3530" t="str">
        <f>"20190303170322432"</f>
        <v>20190303170322432</v>
      </c>
      <c r="B3530" t="str">
        <f>"1551603802418530"</f>
        <v>1551603802418530</v>
      </c>
      <c r="C3530" t="s">
        <v>40</v>
      </c>
      <c r="D3530">
        <v>4.7157269999999896</v>
      </c>
      <c r="E3530">
        <v>0.40097769999999999</v>
      </c>
      <c r="F3530" t="s">
        <v>79</v>
      </c>
      <c r="G3530">
        <v>-456.5059</v>
      </c>
      <c r="H3530">
        <v>0.60184190000000004</v>
      </c>
      <c r="I3530">
        <v>197.37270000000001</v>
      </c>
      <c r="J3530">
        <v>-491.4307</v>
      </c>
      <c r="K3530">
        <v>1.1250309999999999</v>
      </c>
      <c r="L3530">
        <v>230.494</v>
      </c>
      <c r="M3530">
        <v>0.3834168</v>
      </c>
      <c r="N3530">
        <v>-8.9167269999999993E-3</v>
      </c>
      <c r="O3530">
        <v>-0.92353249999999998</v>
      </c>
      <c r="P3530">
        <v>0.51874960000000003</v>
      </c>
      <c r="Q3530">
        <v>0.16961689999999999</v>
      </c>
      <c r="R3530">
        <v>-0.83793139999999999</v>
      </c>
      <c r="S3530">
        <v>2.2892760000000001</v>
      </c>
      <c r="T3530">
        <v>-3.4208660000000002E-2</v>
      </c>
      <c r="U3530">
        <v>-2.1780089999999999</v>
      </c>
      <c r="V3530">
        <v>-0.159445</v>
      </c>
      <c r="W3530">
        <v>0.17682429999999999</v>
      </c>
      <c r="X3530">
        <v>0.97124169999999999</v>
      </c>
      <c r="Y3530">
        <v>-0.40479290000000001</v>
      </c>
      <c r="Z3530">
        <v>3.363675E-3</v>
      </c>
      <c r="AA3530">
        <v>0.91440220000000005</v>
      </c>
      <c r="AB3530">
        <v>20</v>
      </c>
      <c r="AC3530">
        <v>34.924799999999998</v>
      </c>
      <c r="AD3530">
        <v>-0.52318909999999896</v>
      </c>
      <c r="AE3530">
        <v>-33.121299999999998</v>
      </c>
      <c r="AF3530">
        <v>-19.553389946230499</v>
      </c>
      <c r="AG3530">
        <v>-0.52318909999999896</v>
      </c>
      <c r="AH3530">
        <v>43.975899691531197</v>
      </c>
      <c r="AI3530">
        <v>90.622837560950501</v>
      </c>
      <c r="AJ3530">
        <v>113.97178579401201</v>
      </c>
      <c r="AK3530">
        <v>48.129913140409101</v>
      </c>
      <c r="AL3530">
        <v>79.815161294438298</v>
      </c>
      <c r="AM3530">
        <v>99.322868412060402</v>
      </c>
      <c r="AN3530">
        <v>0.99999999045719001</v>
      </c>
    </row>
    <row r="3531" spans="1:40" x14ac:dyDescent="0.25">
      <c r="A3531" t="str">
        <f>"20190303170322451"</f>
        <v>20190303170322451</v>
      </c>
      <c r="B3531" t="str">
        <f>"1551603802439028"</f>
        <v>1551603802439028</v>
      </c>
      <c r="C3531" t="s">
        <v>40</v>
      </c>
      <c r="D3531">
        <v>4.7066879999999998</v>
      </c>
      <c r="E3531">
        <v>0.4014219</v>
      </c>
      <c r="F3531" t="s">
        <v>79</v>
      </c>
      <c r="G3531">
        <v>-456.5059</v>
      </c>
      <c r="H3531">
        <v>0.55482200000000004</v>
      </c>
      <c r="I3531">
        <v>197.71559999999999</v>
      </c>
      <c r="J3531">
        <v>-491.35840000000002</v>
      </c>
      <c r="K3531">
        <v>1.125049</v>
      </c>
      <c r="L3531">
        <v>230.3382</v>
      </c>
      <c r="M3531">
        <v>0.38910109999999998</v>
      </c>
      <c r="N3531">
        <v>-8.8785469999999901E-3</v>
      </c>
      <c r="O3531">
        <v>-0.92115250000000004</v>
      </c>
      <c r="P3531">
        <v>0.52451649999999905</v>
      </c>
      <c r="Q3531">
        <v>0.16925860000000001</v>
      </c>
      <c r="R3531">
        <v>-0.834406599999999</v>
      </c>
      <c r="S3531">
        <v>2.3034059999999998</v>
      </c>
      <c r="T3531">
        <v>-3.7606000000000001E-2</v>
      </c>
      <c r="U3531">
        <v>-2.161835</v>
      </c>
      <c r="V3531">
        <v>-0.16013640000000001</v>
      </c>
      <c r="W3531">
        <v>0.1764146</v>
      </c>
      <c r="X3531">
        <v>0.97120249999999997</v>
      </c>
      <c r="Y3531">
        <v>-0.4053639</v>
      </c>
      <c r="Z3531">
        <v>4.4994600000000003E-3</v>
      </c>
      <c r="AA3531">
        <v>0.91414430000000002</v>
      </c>
      <c r="AB3531">
        <v>20</v>
      </c>
      <c r="AC3531">
        <v>34.852499999999999</v>
      </c>
      <c r="AD3531">
        <v>-0.57022699999999904</v>
      </c>
      <c r="AE3531">
        <v>-32.622599999999998</v>
      </c>
      <c r="AF3531">
        <v>-19.4089696918168</v>
      </c>
      <c r="AG3531">
        <v>-0.57022699999999904</v>
      </c>
      <c r="AH3531">
        <v>43.607023562770301</v>
      </c>
      <c r="AI3531">
        <v>90.6844569582898</v>
      </c>
      <c r="AJ3531">
        <v>113.993279933628</v>
      </c>
      <c r="AK3531">
        <v>47.734743817615701</v>
      </c>
      <c r="AL3531">
        <v>79.8390107772872</v>
      </c>
      <c r="AM3531">
        <v>99.362951974385297</v>
      </c>
      <c r="AN3531">
        <v>1.00000003685218</v>
      </c>
    </row>
    <row r="3532" spans="1:40" x14ac:dyDescent="0.25">
      <c r="A3532" t="str">
        <f>"20190303170322474"</f>
        <v>20190303170322474</v>
      </c>
      <c r="B3532" t="str">
        <f>"1551603802469284"</f>
        <v>1551603802469284</v>
      </c>
      <c r="C3532" t="s">
        <v>40</v>
      </c>
      <c r="D3532">
        <v>4.7084250000000001</v>
      </c>
      <c r="E3532">
        <v>0.40198040000000002</v>
      </c>
      <c r="F3532" t="s">
        <v>79</v>
      </c>
      <c r="G3532">
        <v>-456.5059</v>
      </c>
      <c r="H3532">
        <v>0.52327060000000003</v>
      </c>
      <c r="I3532">
        <v>197.99719999999999</v>
      </c>
      <c r="J3532">
        <v>-491.27170000000001</v>
      </c>
      <c r="K3532">
        <v>1.1250629999999999</v>
      </c>
      <c r="L3532">
        <v>230.15430000000001</v>
      </c>
      <c r="M3532">
        <v>0.39580470000000001</v>
      </c>
      <c r="N3532">
        <v>-8.8356549999999996E-3</v>
      </c>
      <c r="O3532">
        <v>-0.91829249999999996</v>
      </c>
      <c r="P3532">
        <v>0.53093359999999901</v>
      </c>
      <c r="Q3532">
        <v>0.1692216</v>
      </c>
      <c r="R3532">
        <v>-0.83034569999999996</v>
      </c>
      <c r="S3532">
        <v>2.3150629999999999</v>
      </c>
      <c r="T3532">
        <v>-3.9971710000000001E-2</v>
      </c>
      <c r="U3532">
        <v>-2.1482389999999998</v>
      </c>
      <c r="V3532">
        <v>-0.16055169999999999</v>
      </c>
      <c r="W3532">
        <v>0.1763226</v>
      </c>
      <c r="X3532">
        <v>0.97115059999999997</v>
      </c>
      <c r="Y3532">
        <v>-0.40387529999999999</v>
      </c>
      <c r="Z3532">
        <v>5.3022769999999898E-3</v>
      </c>
      <c r="AA3532">
        <v>0.91479869999999996</v>
      </c>
      <c r="AB3532">
        <v>20</v>
      </c>
      <c r="AC3532">
        <v>34.765799999999999</v>
      </c>
      <c r="AD3532">
        <v>-0.60179239999999901</v>
      </c>
      <c r="AE3532">
        <v>-32.1571</v>
      </c>
      <c r="AF3532">
        <v>-19.194886684043599</v>
      </c>
      <c r="AG3532">
        <v>-0.60179239999999901</v>
      </c>
      <c r="AH3532">
        <v>43.284779339321702</v>
      </c>
      <c r="AI3532">
        <v>90.728159658871206</v>
      </c>
      <c r="AJ3532">
        <v>113.915170258717</v>
      </c>
      <c r="AK3532">
        <v>47.353753297492098</v>
      </c>
      <c r="AL3532">
        <v>79.844365534030501</v>
      </c>
      <c r="AM3532">
        <v>99.387295080402197</v>
      </c>
      <c r="AN3532">
        <v>0.99999999776200499</v>
      </c>
    </row>
    <row r="3533" spans="1:40" x14ac:dyDescent="0.25">
      <c r="A3533" t="str">
        <f>"20190303170322497"</f>
        <v>20190303170322497</v>
      </c>
      <c r="B3533" t="str">
        <f>"1551603802488803"</f>
        <v>1551603802488803</v>
      </c>
      <c r="C3533" t="s">
        <v>40</v>
      </c>
      <c r="D3533">
        <v>4.7084130000000002</v>
      </c>
      <c r="E3533">
        <v>0.40240979999999998</v>
      </c>
      <c r="F3533" t="s">
        <v>79</v>
      </c>
      <c r="G3533">
        <v>-456.5059</v>
      </c>
      <c r="H3533">
        <v>0.53012079999999995</v>
      </c>
      <c r="I3533">
        <v>198.2961</v>
      </c>
      <c r="J3533">
        <v>-491.18299999999999</v>
      </c>
      <c r="K3533">
        <v>1.125076</v>
      </c>
      <c r="L3533">
        <v>229.97020000000001</v>
      </c>
      <c r="M3533">
        <v>0.40251140000000002</v>
      </c>
      <c r="N3533">
        <v>-8.7984869999999903E-3</v>
      </c>
      <c r="O3533">
        <v>-0.91537290000000004</v>
      </c>
      <c r="P3533">
        <v>0.53731289999999998</v>
      </c>
      <c r="Q3533">
        <v>0.16938729999999999</v>
      </c>
      <c r="R3533">
        <v>-0.82619799999999999</v>
      </c>
      <c r="S3533">
        <v>2.327515</v>
      </c>
      <c r="T3533">
        <v>-3.9829249999999997E-2</v>
      </c>
      <c r="U3533">
        <v>-2.1328580000000001</v>
      </c>
      <c r="V3533">
        <v>-0.16095200000000001</v>
      </c>
      <c r="W3533">
        <v>0.1764395</v>
      </c>
      <c r="X3533">
        <v>0.97106309999999996</v>
      </c>
      <c r="Y3533">
        <v>-0.40290490000000001</v>
      </c>
      <c r="Z3533">
        <v>5.3075969999999998E-3</v>
      </c>
      <c r="AA3533">
        <v>0.91522650000000005</v>
      </c>
      <c r="AB3533">
        <v>20</v>
      </c>
      <c r="AC3533">
        <v>34.677100000000003</v>
      </c>
      <c r="AD3533">
        <v>-0.59495519999999902</v>
      </c>
      <c r="AE3533">
        <v>-31.674099999999999</v>
      </c>
      <c r="AF3533">
        <v>-18.990975183484299</v>
      </c>
      <c r="AG3533">
        <v>-0.59495519999999902</v>
      </c>
      <c r="AH3533">
        <v>42.946303261125401</v>
      </c>
      <c r="AI3533">
        <v>90.7258973597541</v>
      </c>
      <c r="AJ3533">
        <v>113.85514806723</v>
      </c>
      <c r="AK3533">
        <v>46.961644710404599</v>
      </c>
      <c r="AL3533">
        <v>79.837560934799896</v>
      </c>
      <c r="AM3533">
        <v>99.411114852928193</v>
      </c>
      <c r="AN3533">
        <v>0.99999999382292903</v>
      </c>
    </row>
    <row r="3534" spans="1:40" x14ac:dyDescent="0.25">
      <c r="A3534" t="str">
        <f>"20190303170322520"</f>
        <v>20190303170322520</v>
      </c>
      <c r="B3534" t="str">
        <f>"1551603802509299"</f>
        <v>1551603802509299</v>
      </c>
      <c r="C3534" t="s">
        <v>40</v>
      </c>
      <c r="D3534">
        <v>4.6923779999999997</v>
      </c>
      <c r="E3534">
        <v>0.40286169999999999</v>
      </c>
      <c r="F3534" t="s">
        <v>79</v>
      </c>
      <c r="G3534">
        <v>-456.5059</v>
      </c>
      <c r="H3534">
        <v>0.510046</v>
      </c>
      <c r="I3534">
        <v>198.6105</v>
      </c>
      <c r="J3534">
        <v>-491.09480000000002</v>
      </c>
      <c r="K3534">
        <v>1.125084</v>
      </c>
      <c r="L3534">
        <v>229.7902</v>
      </c>
      <c r="M3534">
        <v>0.40905399999999997</v>
      </c>
      <c r="N3534">
        <v>-8.7669719999999996E-3</v>
      </c>
      <c r="O3534">
        <v>-0.91246830000000001</v>
      </c>
      <c r="P3534">
        <v>0.54387220000000003</v>
      </c>
      <c r="Q3534">
        <v>0.16926920000000001</v>
      </c>
      <c r="R3534">
        <v>-0.82191930000000002</v>
      </c>
      <c r="S3534">
        <v>2.3410639999999998</v>
      </c>
      <c r="T3534">
        <v>-4.1519639999999997E-2</v>
      </c>
      <c r="U3534">
        <v>-2.1170960000000001</v>
      </c>
      <c r="V3534">
        <v>-0.161726799999999</v>
      </c>
      <c r="W3534">
        <v>0.17627609999999999</v>
      </c>
      <c r="X3534">
        <v>0.97096400000000005</v>
      </c>
      <c r="Y3534">
        <v>-0.40237400000000001</v>
      </c>
      <c r="Z3534">
        <v>5.8863609999999997E-3</v>
      </c>
      <c r="AA3534">
        <v>0.91545639999999995</v>
      </c>
      <c r="AB3534">
        <v>20</v>
      </c>
      <c r="AC3534">
        <v>34.588900000000002</v>
      </c>
      <c r="AD3534">
        <v>-0.61503799999999997</v>
      </c>
      <c r="AE3534">
        <v>-31.1797</v>
      </c>
      <c r="AF3534">
        <v>-18.8045323490655</v>
      </c>
      <c r="AG3534">
        <v>-0.61503799999999997</v>
      </c>
      <c r="AH3534">
        <v>42.593413961015898</v>
      </c>
      <c r="AI3534">
        <v>90.756813343298802</v>
      </c>
      <c r="AJ3534">
        <v>113.82094065761601</v>
      </c>
      <c r="AK3534">
        <v>46.563801621677797</v>
      </c>
      <c r="AL3534">
        <v>79.847071747254802</v>
      </c>
      <c r="AM3534">
        <v>99.456550057420799</v>
      </c>
      <c r="AN3534">
        <v>0.99999995528272401</v>
      </c>
    </row>
    <row r="3535" spans="1:40" x14ac:dyDescent="0.25">
      <c r="A3535" t="str">
        <f>"20190303170322541"</f>
        <v>20190303170322541</v>
      </c>
      <c r="B3535" t="str">
        <f>"1551603802528818"</f>
        <v>1551603802528818</v>
      </c>
      <c r="C3535" t="s">
        <v>40</v>
      </c>
      <c r="D3535">
        <v>4.687036</v>
      </c>
      <c r="E3535">
        <v>0.40337590000000001</v>
      </c>
      <c r="F3535" t="s">
        <v>79</v>
      </c>
      <c r="G3535">
        <v>-456.5059</v>
      </c>
      <c r="H3535">
        <v>0.47721390000000002</v>
      </c>
      <c r="I3535">
        <v>198.92599999999999</v>
      </c>
      <c r="J3535">
        <v>-491.00940000000003</v>
      </c>
      <c r="K3535">
        <v>1.125089</v>
      </c>
      <c r="L3535">
        <v>229.6189</v>
      </c>
      <c r="M3535">
        <v>0.4152711</v>
      </c>
      <c r="N3535">
        <v>-8.739999E-3</v>
      </c>
      <c r="O3535">
        <v>-0.90965609999999997</v>
      </c>
      <c r="P3535">
        <v>0.55073000000000005</v>
      </c>
      <c r="Q3535">
        <v>0.16866909999999999</v>
      </c>
      <c r="R3535">
        <v>-0.81746430000000003</v>
      </c>
      <c r="S3535">
        <v>2.354584</v>
      </c>
      <c r="T3535">
        <v>-4.4101479999999998E-2</v>
      </c>
      <c r="U3535">
        <v>-2.1010279999999999</v>
      </c>
      <c r="V3535">
        <v>-0.16317599999999999</v>
      </c>
      <c r="W3535">
        <v>0.175628799999999</v>
      </c>
      <c r="X3535">
        <v>0.9708388</v>
      </c>
      <c r="Y3535">
        <v>-0.4022096</v>
      </c>
      <c r="Z3535">
        <v>6.7422699999999999E-3</v>
      </c>
      <c r="AA3535">
        <v>0.91552279999999997</v>
      </c>
      <c r="AB3535">
        <v>20</v>
      </c>
      <c r="AC3535">
        <v>34.503500000000003</v>
      </c>
      <c r="AD3535">
        <v>-0.64787510000000004</v>
      </c>
      <c r="AE3535">
        <v>-30.692900000000002</v>
      </c>
      <c r="AF3535">
        <v>-18.637482062943999</v>
      </c>
      <c r="AG3535">
        <v>-0.64787510000000004</v>
      </c>
      <c r="AH3535">
        <v>42.2415748819516</v>
      </c>
      <c r="AI3535">
        <v>90.803936461134697</v>
      </c>
      <c r="AJ3535">
        <v>113.807638803918</v>
      </c>
      <c r="AK3535">
        <v>46.174951308033798</v>
      </c>
      <c r="AL3535">
        <v>79.884746824498805</v>
      </c>
      <c r="AM3535">
        <v>99.540945148478301</v>
      </c>
      <c r="AN3535">
        <v>0.99999992897543699</v>
      </c>
    </row>
    <row r="3536" spans="1:40" x14ac:dyDescent="0.25">
      <c r="A3536" t="str">
        <f>"20190303170322563"</f>
        <v>20190303170322563</v>
      </c>
      <c r="B3536" t="str">
        <f>"1551603802559075"</f>
        <v>1551603802559075</v>
      </c>
      <c r="C3536" t="s">
        <v>40</v>
      </c>
      <c r="D3536">
        <v>4.6609639999999999</v>
      </c>
      <c r="E3536">
        <v>0.40387319999999999</v>
      </c>
      <c r="F3536" t="s">
        <v>79</v>
      </c>
      <c r="G3536">
        <v>-456.79259999999999</v>
      </c>
      <c r="H3536">
        <v>0.42066480000000001</v>
      </c>
      <c r="I3536">
        <v>199.4879</v>
      </c>
      <c r="J3536">
        <v>-490.91550000000001</v>
      </c>
      <c r="K3536">
        <v>1.125097</v>
      </c>
      <c r="L3536">
        <v>229.43369999999999</v>
      </c>
      <c r="M3536">
        <v>0.42198210000000003</v>
      </c>
      <c r="N3536">
        <v>-8.7137329999999995E-3</v>
      </c>
      <c r="O3536">
        <v>-0.90656250000000005</v>
      </c>
      <c r="P3536">
        <v>0.55754049999999999</v>
      </c>
      <c r="Q3536">
        <v>0.16804249999999901</v>
      </c>
      <c r="R3536">
        <v>-0.81296429999999997</v>
      </c>
      <c r="S3536">
        <v>2.3676149999999998</v>
      </c>
      <c r="T3536">
        <v>-4.874241E-2</v>
      </c>
      <c r="U3536">
        <v>-2.0849000000000002</v>
      </c>
      <c r="V3536">
        <v>-0.1640595</v>
      </c>
      <c r="W3536">
        <v>0.1749627</v>
      </c>
      <c r="X3536">
        <v>0.97081019999999896</v>
      </c>
      <c r="Y3536">
        <v>-0.40144279999999999</v>
      </c>
      <c r="Z3536">
        <v>8.2430200000000002E-3</v>
      </c>
      <c r="AA3536">
        <v>0.91584699999999997</v>
      </c>
      <c r="AB3536">
        <v>20</v>
      </c>
      <c r="AC3536">
        <v>34.122900000000001</v>
      </c>
      <c r="AD3536">
        <v>-0.70443219999999995</v>
      </c>
      <c r="AE3536">
        <v>-29.945799999999899</v>
      </c>
      <c r="AF3536">
        <v>-18.294236701722799</v>
      </c>
      <c r="AG3536">
        <v>-0.70443219999999995</v>
      </c>
      <c r="AH3536">
        <v>41.538561053466303</v>
      </c>
      <c r="AI3536">
        <v>90.889159210486298</v>
      </c>
      <c r="AJ3536">
        <v>113.769448681353</v>
      </c>
      <c r="AK3536">
        <v>45.394133713681697</v>
      </c>
      <c r="AL3536">
        <v>79.923512057317893</v>
      </c>
      <c r="AM3536">
        <v>99.591923714042593</v>
      </c>
      <c r="AN3536">
        <v>0.99999995517778795</v>
      </c>
    </row>
    <row r="3537" spans="1:40" x14ac:dyDescent="0.25">
      <c r="A3537" t="str">
        <f>"20190303170322587"</f>
        <v>20190303170322587</v>
      </c>
      <c r="B3537" t="str">
        <f>"1551603802578595"</f>
        <v>1551603802578595</v>
      </c>
      <c r="C3537" t="s">
        <v>40</v>
      </c>
      <c r="D3537">
        <v>4.6568740000000002</v>
      </c>
      <c r="E3537">
        <v>0.41252519999999998</v>
      </c>
      <c r="F3537" t="s">
        <v>79</v>
      </c>
      <c r="G3537">
        <v>-456.79259999999999</v>
      </c>
      <c r="H3537">
        <v>0.38590809999999998</v>
      </c>
      <c r="I3537">
        <v>199.8049</v>
      </c>
      <c r="J3537">
        <v>-490.81920000000002</v>
      </c>
      <c r="K3537">
        <v>1.125105</v>
      </c>
      <c r="L3537">
        <v>229.24709999999999</v>
      </c>
      <c r="M3537">
        <v>0.42871969999999998</v>
      </c>
      <c r="N3537">
        <v>-8.6902579999999993E-3</v>
      </c>
      <c r="O3537">
        <v>-0.90339590000000003</v>
      </c>
      <c r="P3537">
        <v>0.56417430000000002</v>
      </c>
      <c r="Q3537">
        <v>0.16728599999999999</v>
      </c>
      <c r="R3537">
        <v>-0.80853149999999996</v>
      </c>
      <c r="S3537">
        <v>2.3813170000000001</v>
      </c>
      <c r="T3537">
        <v>-5.1584600000000001E-2</v>
      </c>
      <c r="U3537">
        <v>-2.067688</v>
      </c>
      <c r="V3537">
        <v>-0.164707399999999</v>
      </c>
      <c r="W3537">
        <v>0.17417299999999999</v>
      </c>
      <c r="X3537">
        <v>0.97084250000000005</v>
      </c>
      <c r="Y3537">
        <v>-0.40099760000000001</v>
      </c>
      <c r="Z3537">
        <v>9.1720369999999992E-3</v>
      </c>
      <c r="AA3537">
        <v>0.91603319999999999</v>
      </c>
      <c r="AB3537">
        <v>20</v>
      </c>
      <c r="AC3537">
        <v>34.026600000000002</v>
      </c>
      <c r="AD3537">
        <v>-0.73919690000000005</v>
      </c>
      <c r="AE3537">
        <v>-29.4421999999999</v>
      </c>
      <c r="AF3537">
        <v>-18.1128333422159</v>
      </c>
      <c r="AG3537">
        <v>-0.73919690000000005</v>
      </c>
      <c r="AH3537">
        <v>41.176273930992302</v>
      </c>
      <c r="AI3537">
        <v>90.941424750902499</v>
      </c>
      <c r="AJ3537">
        <v>113.74398339684799</v>
      </c>
      <c r="AK3537">
        <v>44.990073111520701</v>
      </c>
      <c r="AL3537">
        <v>79.969464180768099</v>
      </c>
      <c r="AM3537">
        <v>99.628781668966596</v>
      </c>
      <c r="AN3537">
        <v>0.99999996067500396</v>
      </c>
    </row>
    <row r="3538" spans="1:40" x14ac:dyDescent="0.25">
      <c r="A3538" t="str">
        <f>"20190303170322608"</f>
        <v>20190303170322608</v>
      </c>
      <c r="B3538" t="str">
        <f>"1551603802599091"</f>
        <v>1551603802599091</v>
      </c>
      <c r="C3538" t="s">
        <v>40</v>
      </c>
      <c r="D3538">
        <v>4.6779479999999998</v>
      </c>
      <c r="E3538">
        <v>0.41330600000000001</v>
      </c>
      <c r="F3538" t="s">
        <v>44</v>
      </c>
      <c r="G3538">
        <v>-453.19839999999999</v>
      </c>
      <c r="H3538">
        <v>-0.05</v>
      </c>
      <c r="I3538">
        <v>195.70779999999999</v>
      </c>
      <c r="J3538">
        <v>-490.72680000000003</v>
      </c>
      <c r="K3538">
        <v>1.1251100000000001</v>
      </c>
      <c r="L3538">
        <v>229.07130000000001</v>
      </c>
      <c r="M3538">
        <v>0.43504140000000002</v>
      </c>
      <c r="N3538">
        <v>-8.6706800000000001E-3</v>
      </c>
      <c r="O3538">
        <v>-0.90036899999999997</v>
      </c>
      <c r="P3538">
        <v>0.57036600000000004</v>
      </c>
      <c r="Q3538">
        <v>0.16698479999999999</v>
      </c>
      <c r="R3538">
        <v>-0.80423829999999996</v>
      </c>
      <c r="S3538">
        <v>2.3441770000000002</v>
      </c>
      <c r="T3538">
        <v>-7.3221800000000004E-2</v>
      </c>
      <c r="U3538">
        <v>-2.0898590000000001</v>
      </c>
      <c r="V3538">
        <v>-0.16533149999999999</v>
      </c>
      <c r="W3538">
        <v>0.17384240000000001</v>
      </c>
      <c r="X3538">
        <v>0.97079570000000004</v>
      </c>
      <c r="Y3538">
        <v>-0.38243440000000001</v>
      </c>
      <c r="Z3538">
        <v>1.594798E-2</v>
      </c>
      <c r="AA3538">
        <v>0.92384500000000003</v>
      </c>
      <c r="AB3538">
        <v>20</v>
      </c>
      <c r="AC3538">
        <v>37.528399999999998</v>
      </c>
      <c r="AD3538">
        <v>-1.1751100000000001</v>
      </c>
      <c r="AE3538">
        <v>-33.363500000000002</v>
      </c>
      <c r="AF3538">
        <v>-19.265073271221699</v>
      </c>
      <c r="AG3538">
        <v>-1.1751100000000001</v>
      </c>
      <c r="AH3538">
        <v>46.3422203900246</v>
      </c>
      <c r="AI3538">
        <v>91.341311829325406</v>
      </c>
      <c r="AJ3538">
        <v>112.573301451078</v>
      </c>
      <c r="AK3538">
        <v>50.200849816863197</v>
      </c>
      <c r="AL3538">
        <v>79.9886998932583</v>
      </c>
      <c r="AM3538">
        <v>99.665036757329403</v>
      </c>
      <c r="AN3538">
        <v>0.99999998803424905</v>
      </c>
    </row>
    <row r="3539" spans="1:40" x14ac:dyDescent="0.25">
      <c r="A3539" t="str">
        <f>"20190303170322632"</f>
        <v>20190303170322632</v>
      </c>
      <c r="B3539" t="str">
        <f>"1551603802629347"</f>
        <v>1551603802629347</v>
      </c>
      <c r="C3539" t="s">
        <v>40</v>
      </c>
      <c r="D3539">
        <v>4.6318089999999996</v>
      </c>
      <c r="E3539">
        <v>0.41436600000000001</v>
      </c>
      <c r="F3539" t="s">
        <v>44</v>
      </c>
      <c r="G3539">
        <v>-455.73289999999997</v>
      </c>
      <c r="H3539">
        <v>-0.05</v>
      </c>
      <c r="I3539">
        <v>198.22190000000001</v>
      </c>
      <c r="J3539">
        <v>-490.6266</v>
      </c>
      <c r="K3539">
        <v>1.125103</v>
      </c>
      <c r="L3539">
        <v>228.88380000000001</v>
      </c>
      <c r="M3539">
        <v>0.44174910000000001</v>
      </c>
      <c r="N3539">
        <v>-8.6519749999999992E-3</v>
      </c>
      <c r="O3539">
        <v>-0.89709709999999998</v>
      </c>
      <c r="P3539">
        <v>0.5774184</v>
      </c>
      <c r="Q3539">
        <v>0.16609099999999999</v>
      </c>
      <c r="R3539">
        <v>-0.79937630000000004</v>
      </c>
      <c r="S3539">
        <v>2.3552550000000001</v>
      </c>
      <c r="T3539">
        <v>-7.9090480000000005E-2</v>
      </c>
      <c r="U3539">
        <v>-2.0763090000000002</v>
      </c>
      <c r="V3539">
        <v>-0.16653789999999999</v>
      </c>
      <c r="W3539">
        <v>0.17291770000000001</v>
      </c>
      <c r="X3539">
        <v>0.97075460000000002</v>
      </c>
      <c r="Y3539">
        <v>-0.38065529999999997</v>
      </c>
      <c r="Z3539">
        <v>1.7787870000000001E-2</v>
      </c>
      <c r="AA3539">
        <v>0.92454590000000003</v>
      </c>
      <c r="AB3539">
        <v>21</v>
      </c>
      <c r="AC3539">
        <v>34.893700000000003</v>
      </c>
      <c r="AD3539">
        <v>-1.175103</v>
      </c>
      <c r="AE3539">
        <v>-30.661899999999999</v>
      </c>
      <c r="AF3539">
        <v>-17.7474743427066</v>
      </c>
      <c r="AG3539">
        <v>-1.175103</v>
      </c>
      <c r="AH3539">
        <v>42.8951102165924</v>
      </c>
      <c r="AI3539">
        <v>91.450059718376096</v>
      </c>
      <c r="AJ3539">
        <v>112.47689522054</v>
      </c>
      <c r="AK3539">
        <v>46.436453278639299</v>
      </c>
      <c r="AL3539">
        <v>80.042495646409407</v>
      </c>
      <c r="AM3539">
        <v>99.734620848170806</v>
      </c>
      <c r="AN3539">
        <v>0.99999994826542804</v>
      </c>
    </row>
    <row r="3540" spans="1:40" x14ac:dyDescent="0.25">
      <c r="A3540" t="str">
        <f>"20190303170322654"</f>
        <v>20190303170322654</v>
      </c>
      <c r="B3540" t="str">
        <f>"1551603802648867"</f>
        <v>1551603802648867</v>
      </c>
      <c r="C3540" t="s">
        <v>40</v>
      </c>
      <c r="D3540">
        <v>4.6125509999999998</v>
      </c>
      <c r="E3540">
        <v>0.41478540000000003</v>
      </c>
      <c r="F3540" t="s">
        <v>44</v>
      </c>
      <c r="G3540">
        <v>-457.34480000000002</v>
      </c>
      <c r="H3540">
        <v>-0.05</v>
      </c>
      <c r="I3540">
        <v>199.8871</v>
      </c>
      <c r="J3540">
        <v>-490.53379999999999</v>
      </c>
      <c r="K3540">
        <v>1.1250869999999999</v>
      </c>
      <c r="L3540">
        <v>228.71260000000001</v>
      </c>
      <c r="M3540">
        <v>0.4478318</v>
      </c>
      <c r="N3540">
        <v>-8.6363559999999995E-3</v>
      </c>
      <c r="O3540">
        <v>-0.89407619999999899</v>
      </c>
      <c r="P3540">
        <v>0.58374079999999995</v>
      </c>
      <c r="Q3540">
        <v>0.1642507</v>
      </c>
      <c r="R3540">
        <v>-0.79515319999999901</v>
      </c>
      <c r="S3540">
        <v>2.365936</v>
      </c>
      <c r="T3540">
        <v>-8.3535670000000006E-2</v>
      </c>
      <c r="U3540">
        <v>-2.0613100000000002</v>
      </c>
      <c r="V3540">
        <v>-0.16745639999999901</v>
      </c>
      <c r="W3540">
        <v>0.1710557</v>
      </c>
      <c r="X3540">
        <v>0.97092650000000003</v>
      </c>
      <c r="Y3540">
        <v>-0.37974790000000003</v>
      </c>
      <c r="Z3540">
        <v>1.9188859999999999E-2</v>
      </c>
      <c r="AA3540">
        <v>0.92489100000000002</v>
      </c>
      <c r="AB3540">
        <v>21</v>
      </c>
      <c r="AC3540">
        <v>33.188999999999901</v>
      </c>
      <c r="AD3540">
        <v>-1.175087</v>
      </c>
      <c r="AE3540">
        <v>-28.825500000000002</v>
      </c>
      <c r="AF3540">
        <v>-16.7531722095218</v>
      </c>
      <c r="AG3540">
        <v>-1.175087</v>
      </c>
      <c r="AH3540">
        <v>40.607778694380897</v>
      </c>
      <c r="AI3540">
        <v>91.5323170892691</v>
      </c>
      <c r="AJ3540">
        <v>112.41911786257199</v>
      </c>
      <c r="AK3540">
        <v>43.943614997304003</v>
      </c>
      <c r="AL3540">
        <v>80.150794486801502</v>
      </c>
      <c r="AM3540">
        <v>99.785574941970495</v>
      </c>
      <c r="AN3540">
        <v>0.99999998340284901</v>
      </c>
    </row>
    <row r="3541" spans="1:40" x14ac:dyDescent="0.25">
      <c r="A3541" t="str">
        <f>"20190303170322676"</f>
        <v>20190303170322676</v>
      </c>
      <c r="B3541" t="str">
        <f>"1551603802669363"</f>
        <v>1551603802669363</v>
      </c>
      <c r="C3541" t="s">
        <v>40</v>
      </c>
      <c r="D3541">
        <v>4.6284260000000002</v>
      </c>
      <c r="E3541">
        <v>0.41535329999999898</v>
      </c>
      <c r="F3541" t="s">
        <v>62</v>
      </c>
      <c r="G3541">
        <v>-462.9776</v>
      </c>
      <c r="H3541">
        <v>8.0001000000000003E-2</v>
      </c>
      <c r="I3541">
        <v>205.00899999999999</v>
      </c>
      <c r="J3541">
        <v>-490.43669999999997</v>
      </c>
      <c r="K3541">
        <v>1.1250560000000001</v>
      </c>
      <c r="L3541">
        <v>228.53659999999999</v>
      </c>
      <c r="M3541">
        <v>0.4540419</v>
      </c>
      <c r="N3541">
        <v>-8.6214459999999996E-3</v>
      </c>
      <c r="O3541">
        <v>-0.89093889999999998</v>
      </c>
      <c r="P3541">
        <v>0.58993680000000004</v>
      </c>
      <c r="Q3541">
        <v>0.1623308</v>
      </c>
      <c r="R3541">
        <v>-0.79096409999999995</v>
      </c>
      <c r="S3541">
        <v>2.3781430000000001</v>
      </c>
      <c r="T3541">
        <v>-9.0192679999999997E-2</v>
      </c>
      <c r="U3541">
        <v>-2.0456539999999999</v>
      </c>
      <c r="V3541">
        <v>-0.1680874</v>
      </c>
      <c r="W3541">
        <v>0.16912070000000001</v>
      </c>
      <c r="X3541">
        <v>0.97115640000000003</v>
      </c>
      <c r="Y3541">
        <v>-0.37911830000000002</v>
      </c>
      <c r="Z3541">
        <v>2.126921E-2</v>
      </c>
      <c r="AA3541">
        <v>0.92510380000000003</v>
      </c>
      <c r="AB3541">
        <v>21</v>
      </c>
      <c r="AC3541">
        <v>27.4590999999999</v>
      </c>
      <c r="AD3541">
        <v>-1.0450549999999901</v>
      </c>
      <c r="AE3541">
        <v>-23.5275999999999</v>
      </c>
      <c r="AF3541">
        <v>-13.770870713445801</v>
      </c>
      <c r="AG3541">
        <v>-1.0450549999999901</v>
      </c>
      <c r="AH3541">
        <v>33.402570381101498</v>
      </c>
      <c r="AI3541">
        <v>91.656815416478693</v>
      </c>
      <c r="AJ3541">
        <v>112.40487456744999</v>
      </c>
      <c r="AK3541">
        <v>36.144995894645</v>
      </c>
      <c r="AL3541">
        <v>80.263301055079694</v>
      </c>
      <c r="AM3541">
        <v>99.8194517739189</v>
      </c>
      <c r="AN3541">
        <v>0.99999996923410395</v>
      </c>
    </row>
    <row r="3542" spans="1:40" x14ac:dyDescent="0.25">
      <c r="A3542" t="str">
        <f>"20190303170322698"</f>
        <v>20190303170322698</v>
      </c>
      <c r="B3542" t="str">
        <f>"1551603802688883"</f>
        <v>1551603802688883</v>
      </c>
      <c r="C3542" t="s">
        <v>40</v>
      </c>
      <c r="D3542">
        <v>4.5891699999999904</v>
      </c>
      <c r="E3542">
        <v>0.4159234</v>
      </c>
      <c r="F3542" t="s">
        <v>62</v>
      </c>
      <c r="G3542">
        <v>-464.60910000000001</v>
      </c>
      <c r="H3542">
        <v>8.0000450000000001E-2</v>
      </c>
      <c r="I3542">
        <v>206.59209999999999</v>
      </c>
      <c r="J3542">
        <v>-490.33330000000001</v>
      </c>
      <c r="K3542">
        <v>1.1250370000000001</v>
      </c>
      <c r="L3542">
        <v>228.35220000000001</v>
      </c>
      <c r="M3542">
        <v>0.4604955</v>
      </c>
      <c r="N3542">
        <v>-8.6075990000000005E-3</v>
      </c>
      <c r="O3542">
        <v>-0.88762039999999998</v>
      </c>
      <c r="P3542">
        <v>0.59604469999999898</v>
      </c>
      <c r="Q3542">
        <v>0.16093740000000001</v>
      </c>
      <c r="R3542">
        <v>-0.78665759999999996</v>
      </c>
      <c r="S3542">
        <v>2.3896480000000002</v>
      </c>
      <c r="T3542">
        <v>-9.6691609999999997E-2</v>
      </c>
      <c r="U3542">
        <v>-2.0303650000000002</v>
      </c>
      <c r="V3542">
        <v>-0.1684118</v>
      </c>
      <c r="W3542">
        <v>0.1677167</v>
      </c>
      <c r="X3542">
        <v>0.97134370000000003</v>
      </c>
      <c r="Y3542">
        <v>-0.37799569999999999</v>
      </c>
      <c r="Z3542">
        <v>2.3285899999999998E-2</v>
      </c>
      <c r="AA3542">
        <v>0.92551450000000002</v>
      </c>
      <c r="AB3542">
        <v>21</v>
      </c>
      <c r="AC3542">
        <v>25.7242</v>
      </c>
      <c r="AD3542">
        <v>-1.0450365500000001</v>
      </c>
      <c r="AE3542">
        <v>-21.760100000000001</v>
      </c>
      <c r="AF3542">
        <v>-12.8010554949315</v>
      </c>
      <c r="AG3542">
        <v>-1.0450365500000001</v>
      </c>
      <c r="AH3542">
        <v>31.131789875658502</v>
      </c>
      <c r="AI3542">
        <v>91.778234668902797</v>
      </c>
      <c r="AJ3542">
        <v>112.35193510660299</v>
      </c>
      <c r="AK3542">
        <v>33.677105933219799</v>
      </c>
      <c r="AL3542">
        <v>80.344910425204503</v>
      </c>
      <c r="AM3542">
        <v>99.836172887546297</v>
      </c>
      <c r="AN3542">
        <v>1.0000000046839099</v>
      </c>
    </row>
    <row r="3543" spans="1:40" x14ac:dyDescent="0.25">
      <c r="A3543" t="str">
        <f>"20190303170322720"</f>
        <v>20190303170322720</v>
      </c>
      <c r="B3543" t="str">
        <f>"1551603802709378"</f>
        <v>1551603802709378</v>
      </c>
      <c r="C3543" t="s">
        <v>40</v>
      </c>
      <c r="D3543">
        <v>4.5791649999999997</v>
      </c>
      <c r="E3543">
        <v>0.41999429999999999</v>
      </c>
      <c r="F3543" t="s">
        <v>62</v>
      </c>
      <c r="G3543">
        <v>-465.70909999999998</v>
      </c>
      <c r="H3543">
        <v>8.0001559999999999E-2</v>
      </c>
      <c r="I3543">
        <v>207.679</v>
      </c>
      <c r="J3543">
        <v>-490.23570000000001</v>
      </c>
      <c r="K3543">
        <v>1.1250230000000001</v>
      </c>
      <c r="L3543">
        <v>228.1808</v>
      </c>
      <c r="M3543">
        <v>0.46645560000000003</v>
      </c>
      <c r="N3543">
        <v>-8.5965599999999996E-3</v>
      </c>
      <c r="O3543">
        <v>-0.88450309999999899</v>
      </c>
      <c r="P3543">
        <v>0.60136239999999996</v>
      </c>
      <c r="Q3543">
        <v>0.16015570000000001</v>
      </c>
      <c r="R3543">
        <v>-0.78276069999999998</v>
      </c>
      <c r="S3543">
        <v>2.4006349999999999</v>
      </c>
      <c r="T3543">
        <v>-0.1018816</v>
      </c>
      <c r="U3543">
        <v>-2.0154570000000001</v>
      </c>
      <c r="V3543">
        <v>-0.16837629999999901</v>
      </c>
      <c r="W3543">
        <v>0.16692839999999901</v>
      </c>
      <c r="X3543">
        <v>0.97148559999999995</v>
      </c>
      <c r="Y3543">
        <v>-0.37718859999999999</v>
      </c>
      <c r="Z3543">
        <v>2.4889060000000001E-2</v>
      </c>
      <c r="AA3543">
        <v>0.92580200000000001</v>
      </c>
      <c r="AB3543">
        <v>21</v>
      </c>
      <c r="AC3543">
        <v>24.526599999999998</v>
      </c>
      <c r="AD3543">
        <v>-1.04502144</v>
      </c>
      <c r="AE3543">
        <v>-20.501799999999999</v>
      </c>
      <c r="AF3543">
        <v>-12.118169215494101</v>
      </c>
      <c r="AG3543">
        <v>-1.04502144</v>
      </c>
      <c r="AH3543">
        <v>29.543988260077199</v>
      </c>
      <c r="AI3543">
        <v>91.874378257149999</v>
      </c>
      <c r="AJ3543">
        <v>112.302152411126</v>
      </c>
      <c r="AK3543">
        <v>31.949794009617499</v>
      </c>
      <c r="AL3543">
        <v>80.390722203132199</v>
      </c>
      <c r="AM3543">
        <v>99.832731594736302</v>
      </c>
      <c r="AN3543">
        <v>0.99999997006780394</v>
      </c>
    </row>
    <row r="3544" spans="1:40" x14ac:dyDescent="0.25">
      <c r="A3544" t="str">
        <f>"20190303170322734"</f>
        <v>20190303170322734</v>
      </c>
      <c r="B3544" t="str">
        <f>"1551603802728899"</f>
        <v>1551603802728899</v>
      </c>
      <c r="C3544" t="s">
        <v>40</v>
      </c>
      <c r="D3544">
        <v>4.5723339999999997</v>
      </c>
      <c r="E3544">
        <v>0.41976809999999998</v>
      </c>
      <c r="F3544" t="s">
        <v>62</v>
      </c>
      <c r="G3544">
        <v>-466.04</v>
      </c>
      <c r="H3544">
        <v>8.0001459999999996E-2</v>
      </c>
      <c r="I3544">
        <v>207.72540000000001</v>
      </c>
      <c r="J3544">
        <v>-490.16820000000001</v>
      </c>
      <c r="K3544">
        <v>1.1250209999999901</v>
      </c>
      <c r="L3544">
        <v>228.06360000000001</v>
      </c>
      <c r="M3544">
        <v>0.47051359999999998</v>
      </c>
      <c r="N3544">
        <v>-8.5898769999999992E-3</v>
      </c>
      <c r="O3544">
        <v>-0.88235090000000005</v>
      </c>
      <c r="P3544">
        <v>0.60506439999999995</v>
      </c>
      <c r="Q3544">
        <v>0.15991949999999999</v>
      </c>
      <c r="R3544">
        <v>-0.7799509</v>
      </c>
      <c r="S3544">
        <v>2.3881230000000002</v>
      </c>
      <c r="T3544">
        <v>-0.10314429999999999</v>
      </c>
      <c r="U3544">
        <v>-2.018967</v>
      </c>
      <c r="V3544">
        <v>-0.16849169999999999</v>
      </c>
      <c r="W3544">
        <v>0.16668479999999999</v>
      </c>
      <c r="X3544">
        <v>0.97150740000000002</v>
      </c>
      <c r="Y3544">
        <v>-0.36973709999999999</v>
      </c>
      <c r="Z3544">
        <v>2.5261039999999998E-2</v>
      </c>
      <c r="AA3544">
        <v>0.92879299999999998</v>
      </c>
      <c r="AB3544">
        <v>21</v>
      </c>
      <c r="AC3544">
        <v>24.1282</v>
      </c>
      <c r="AD3544">
        <v>-1.04501953999999</v>
      </c>
      <c r="AE3544">
        <v>-20.338200000000001</v>
      </c>
      <c r="AF3544">
        <v>-11.707732645186701</v>
      </c>
      <c r="AG3544">
        <v>-1.04501953999999</v>
      </c>
      <c r="AH3544">
        <v>29.267061122247298</v>
      </c>
      <c r="AI3544">
        <v>91.898782659072793</v>
      </c>
      <c r="AJ3544">
        <v>111.802942198514</v>
      </c>
      <c r="AK3544">
        <v>31.5392443832047</v>
      </c>
      <c r="AL3544">
        <v>80.404877604215201</v>
      </c>
      <c r="AM3544">
        <v>99.839122506474993</v>
      </c>
      <c r="AN3544">
        <v>0.99999995188734303</v>
      </c>
    </row>
    <row r="3545" spans="1:40" x14ac:dyDescent="0.25">
      <c r="A3545" t="str">
        <f>"20190303170322754"</f>
        <v>20190303170322754</v>
      </c>
      <c r="B3545" t="str">
        <f>"1551603802738660"</f>
        <v>1551603802738660</v>
      </c>
      <c r="C3545" t="s">
        <v>40</v>
      </c>
      <c r="D3545">
        <v>4.5533210000000004</v>
      </c>
      <c r="E3545">
        <v>0.4005013</v>
      </c>
      <c r="F3545" t="s">
        <v>62</v>
      </c>
      <c r="G3545">
        <v>-465.93259999999998</v>
      </c>
      <c r="H3545">
        <v>8.0001489999999995E-2</v>
      </c>
      <c r="I3545">
        <v>207.7946</v>
      </c>
      <c r="J3545">
        <v>-490.07650000000001</v>
      </c>
      <c r="K3545">
        <v>1.1250249999999999</v>
      </c>
      <c r="L3545">
        <v>227.90649999999999</v>
      </c>
      <c r="M3545">
        <v>0.47592459999999998</v>
      </c>
      <c r="N3545">
        <v>-8.5819659999999999E-3</v>
      </c>
      <c r="O3545">
        <v>-0.87944429999999996</v>
      </c>
      <c r="P3545">
        <v>0.61024669999999903</v>
      </c>
      <c r="Q3545">
        <v>0.1594122</v>
      </c>
      <c r="R3545">
        <v>-0.77600690000000005</v>
      </c>
      <c r="S3545">
        <v>2.3991090000000002</v>
      </c>
      <c r="T3545">
        <v>-0.1034477</v>
      </c>
      <c r="U3545">
        <v>-2.0064540000000002</v>
      </c>
      <c r="V3545">
        <v>-0.16894310000000001</v>
      </c>
      <c r="W3545">
        <v>0.1661648</v>
      </c>
      <c r="X3545">
        <v>0.9715182</v>
      </c>
      <c r="Y3545">
        <v>-0.36897239999999998</v>
      </c>
      <c r="Z3545">
        <v>2.53215E-2</v>
      </c>
      <c r="AA3545">
        <v>0.92909540000000002</v>
      </c>
      <c r="AB3545">
        <v>21</v>
      </c>
      <c r="AC3545">
        <v>24.143899999999999</v>
      </c>
      <c r="AD3545">
        <v>-1.04502351</v>
      </c>
      <c r="AE3545">
        <v>-20.111899999999899</v>
      </c>
      <c r="AF3545">
        <v>-11.6490121368111</v>
      </c>
      <c r="AG3545">
        <v>-1.04502351</v>
      </c>
      <c r="AH3545">
        <v>29.1468079713976</v>
      </c>
      <c r="AI3545">
        <v>91.906857298846404</v>
      </c>
      <c r="AJ3545">
        <v>111.784951003538</v>
      </c>
      <c r="AK3545">
        <v>31.405858893231201</v>
      </c>
      <c r="AL3545">
        <v>80.435093854466899</v>
      </c>
      <c r="AM3545">
        <v>99.864857434666803</v>
      </c>
      <c r="AN3545">
        <v>1.00000006236394</v>
      </c>
    </row>
    <row r="3546" spans="1:40" x14ac:dyDescent="0.25">
      <c r="A3546" t="str">
        <f>"20190303170322776"</f>
        <v>20190303170322776</v>
      </c>
      <c r="B3546" t="str">
        <f>"1551603802768915"</f>
        <v>1551603802768915</v>
      </c>
      <c r="C3546" t="s">
        <v>40</v>
      </c>
      <c r="D3546">
        <v>4.4717060000000002</v>
      </c>
      <c r="E3546">
        <v>0.385884</v>
      </c>
      <c r="F3546" t="s">
        <v>44</v>
      </c>
      <c r="G3546">
        <v>-452.88220000000001</v>
      </c>
      <c r="H3546">
        <v>-0.05</v>
      </c>
      <c r="I3546">
        <v>200.0685</v>
      </c>
      <c r="J3546">
        <v>-489.97199999999998</v>
      </c>
      <c r="K3546">
        <v>1.1250260000000001</v>
      </c>
      <c r="L3546">
        <v>227.72989999999999</v>
      </c>
      <c r="M3546">
        <v>0.48196810000000001</v>
      </c>
      <c r="N3546">
        <v>-8.5741619999999998E-3</v>
      </c>
      <c r="O3546">
        <v>-0.8761468</v>
      </c>
      <c r="P3546">
        <v>0.61624409999999996</v>
      </c>
      <c r="Q3546">
        <v>0.15960959999999999</v>
      </c>
      <c r="R3546">
        <v>-0.77121169999999895</v>
      </c>
      <c r="S3546">
        <v>2.5294490000000001</v>
      </c>
      <c r="T3546">
        <v>-7.9908969999999996E-2</v>
      </c>
      <c r="U3546">
        <v>-1.8931579999999999</v>
      </c>
      <c r="V3546">
        <v>-0.16981070000000001</v>
      </c>
      <c r="W3546">
        <v>0.16634299999999999</v>
      </c>
      <c r="X3546">
        <v>0.97133639999999999</v>
      </c>
      <c r="Y3546">
        <v>-0.41246369999999999</v>
      </c>
      <c r="Z3546">
        <v>1.8165730000000001E-2</v>
      </c>
      <c r="AA3546">
        <v>0.91079290000000002</v>
      </c>
      <c r="AB3546">
        <v>21</v>
      </c>
      <c r="AC3546">
        <v>37.089799999999897</v>
      </c>
      <c r="AD3546">
        <v>-1.1750259999999999</v>
      </c>
      <c r="AE3546">
        <v>-27.661399999999901</v>
      </c>
      <c r="AF3546">
        <v>-19.1525496479696</v>
      </c>
      <c r="AG3546">
        <v>-1.1750259999999999</v>
      </c>
      <c r="AH3546">
        <v>42.085953153680499</v>
      </c>
      <c r="AI3546">
        <v>91.455686868247398</v>
      </c>
      <c r="AJ3546">
        <v>114.469416040779</v>
      </c>
      <c r="AK3546">
        <v>46.253954392812801</v>
      </c>
      <c r="AL3546">
        <v>80.424739380328305</v>
      </c>
      <c r="AM3546">
        <v>99.916334036091698</v>
      </c>
      <c r="AN3546">
        <v>1.0000000347242199</v>
      </c>
    </row>
    <row r="3547" spans="1:40" x14ac:dyDescent="0.25">
      <c r="A3547" t="str">
        <f>"20190303170322810"</f>
        <v>20190303170322810</v>
      </c>
      <c r="B3547" t="str">
        <f>"1551603802799171"</f>
        <v>1551603802799171</v>
      </c>
      <c r="C3547" t="s">
        <v>40</v>
      </c>
      <c r="D3547">
        <v>4.4574509999999998</v>
      </c>
      <c r="E3547">
        <v>0.38128679999999998</v>
      </c>
      <c r="F3547" t="s">
        <v>79</v>
      </c>
      <c r="G3547">
        <v>-449.50040000000001</v>
      </c>
      <c r="H3547">
        <v>0.5482302</v>
      </c>
      <c r="I3547">
        <v>200.07669999999999</v>
      </c>
      <c r="J3547">
        <v>-489.80689999999998</v>
      </c>
      <c r="K3547">
        <v>1.1250389999999999</v>
      </c>
      <c r="L3547">
        <v>227.45660000000001</v>
      </c>
      <c r="M3547">
        <v>0.49126180000000003</v>
      </c>
      <c r="N3547">
        <v>-8.5639819999999995E-3</v>
      </c>
      <c r="O3547">
        <v>-0.87096989999999996</v>
      </c>
      <c r="P3547">
        <v>0.62528809999999901</v>
      </c>
      <c r="Q3547">
        <v>0.16117029999999999</v>
      </c>
      <c r="R3547">
        <v>-0.76356979999999997</v>
      </c>
      <c r="S3547">
        <v>2.629486</v>
      </c>
      <c r="T3547">
        <v>-3.7473920000000001E-2</v>
      </c>
      <c r="U3547">
        <v>-1.7966610000000001</v>
      </c>
      <c r="V3547">
        <v>-0.17110259999999999</v>
      </c>
      <c r="W3547">
        <v>0.1678733</v>
      </c>
      <c r="X3547">
        <v>0.97084619999999999</v>
      </c>
      <c r="Y3547">
        <v>-0.4419553</v>
      </c>
      <c r="Z3547">
        <v>5.1162389999999999E-3</v>
      </c>
      <c r="AA3547">
        <v>0.89702249999999994</v>
      </c>
      <c r="AB3547">
        <v>21</v>
      </c>
      <c r="AC3547">
        <v>40.3064999999999</v>
      </c>
      <c r="AD3547">
        <v>-0.57680879999999901</v>
      </c>
      <c r="AE3547">
        <v>-27.379899999999999</v>
      </c>
      <c r="AF3547">
        <v>-21.6528085482759</v>
      </c>
      <c r="AG3547">
        <v>-0.57680879999999901</v>
      </c>
      <c r="AH3547">
        <v>43.643595994028601</v>
      </c>
      <c r="AI3547">
        <v>90.678312403427199</v>
      </c>
      <c r="AJ3547">
        <v>116.387295511888</v>
      </c>
      <c r="AK3547">
        <v>48.723098194901702</v>
      </c>
      <c r="AL3547">
        <v>80.335808274408905</v>
      </c>
      <c r="AM3547">
        <v>99.995204679712003</v>
      </c>
      <c r="AN3547">
        <v>0.99999994431704298</v>
      </c>
    </row>
    <row r="3548" spans="1:40" x14ac:dyDescent="0.25">
      <c r="A3548" t="str">
        <f>"20190303170322833"</f>
        <v>20190303170322833</v>
      </c>
      <c r="B3548" t="str">
        <f>"1551603802818690"</f>
        <v>1551603802818690</v>
      </c>
      <c r="C3548" t="s">
        <v>40</v>
      </c>
      <c r="D3548">
        <v>4.4921220000000002</v>
      </c>
      <c r="E3548">
        <v>0.3799072</v>
      </c>
      <c r="F3548" t="s">
        <v>79</v>
      </c>
      <c r="G3548">
        <v>-447.67590000000001</v>
      </c>
      <c r="H3548">
        <v>0.88061710000000004</v>
      </c>
      <c r="I3548">
        <v>200.07660000000001</v>
      </c>
      <c r="J3548">
        <v>-489.69760000000002</v>
      </c>
      <c r="K3548">
        <v>1.1250530000000001</v>
      </c>
      <c r="L3548">
        <v>227.27860000000001</v>
      </c>
      <c r="M3548">
        <v>0.49728729999999899</v>
      </c>
      <c r="N3548">
        <v>-8.5588379999999992E-3</v>
      </c>
      <c r="O3548">
        <v>-0.86754390000000003</v>
      </c>
      <c r="P3548">
        <v>0.63097550000000002</v>
      </c>
      <c r="Q3548">
        <v>0.16225909999999999</v>
      </c>
      <c r="R3548">
        <v>-0.75864509999999996</v>
      </c>
      <c r="S3548">
        <v>2.677155</v>
      </c>
      <c r="T3548">
        <v>-1.553035E-2</v>
      </c>
      <c r="U3548">
        <v>-1.739822</v>
      </c>
      <c r="V3548">
        <v>-0.17175770000000001</v>
      </c>
      <c r="W3548">
        <v>0.16894439999999999</v>
      </c>
      <c r="X3548">
        <v>0.97054470000000004</v>
      </c>
      <c r="Y3548">
        <v>-0.45644089999999998</v>
      </c>
      <c r="Z3548">
        <v>-1.593119E-3</v>
      </c>
      <c r="AA3548">
        <v>0.88975230000000005</v>
      </c>
      <c r="AB3548">
        <v>21</v>
      </c>
      <c r="AC3548">
        <v>42.021700000000003</v>
      </c>
      <c r="AD3548">
        <v>-0.24443590000000001</v>
      </c>
      <c r="AE3548">
        <v>-27.202000000000002</v>
      </c>
      <c r="AF3548">
        <v>-22.928749693062699</v>
      </c>
      <c r="AG3548">
        <v>-0.24443590000000001</v>
      </c>
      <c r="AH3548">
        <v>44.496348376674298</v>
      </c>
      <c r="AI3548">
        <v>90.279784559842795</v>
      </c>
      <c r="AJ3548">
        <v>117.26182883643</v>
      </c>
      <c r="AK3548">
        <v>50.057090709056403</v>
      </c>
      <c r="AL3548">
        <v>80.273549746309101</v>
      </c>
      <c r="AM3548">
        <v>100.035750578193</v>
      </c>
      <c r="AN3548">
        <v>0.99999996624936904</v>
      </c>
    </row>
    <row r="3549" spans="1:40" x14ac:dyDescent="0.25">
      <c r="A3549" t="str">
        <f>"20190303170322855"</f>
        <v>20190303170322855</v>
      </c>
      <c r="B3549" t="str">
        <f>"1551603802839187"</f>
        <v>1551603802839187</v>
      </c>
      <c r="C3549" t="s">
        <v>40</v>
      </c>
      <c r="D3549">
        <v>4.4725650000000003</v>
      </c>
      <c r="E3549">
        <v>0.37922470000000003</v>
      </c>
      <c r="F3549" t="s">
        <v>79</v>
      </c>
      <c r="G3549">
        <v>-446.83629999999999</v>
      </c>
      <c r="H3549">
        <v>1.023123</v>
      </c>
      <c r="I3549">
        <v>200.07650000000001</v>
      </c>
      <c r="J3549">
        <v>-489.58510000000001</v>
      </c>
      <c r="K3549">
        <v>1.1250709999999999</v>
      </c>
      <c r="L3549">
        <v>227.0984</v>
      </c>
      <c r="M3549">
        <v>0.50337149999999997</v>
      </c>
      <c r="N3549">
        <v>-8.5550439999999995E-3</v>
      </c>
      <c r="O3549">
        <v>-0.86402789999999996</v>
      </c>
      <c r="P3549">
        <v>0.6369148</v>
      </c>
      <c r="Q3549">
        <v>0.16273360000000001</v>
      </c>
      <c r="R3549">
        <v>-0.75356309999999904</v>
      </c>
      <c r="S3549">
        <v>2.6976619999999998</v>
      </c>
      <c r="T3549">
        <v>-6.4142940000000001E-3</v>
      </c>
      <c r="U3549">
        <v>-1.7120820000000001</v>
      </c>
      <c r="V3549">
        <v>-0.17262330000000001</v>
      </c>
      <c r="W3549">
        <v>0.16939939999999901</v>
      </c>
      <c r="X3549">
        <v>0.97031179999999995</v>
      </c>
      <c r="Y3549">
        <v>-0.45977069999999998</v>
      </c>
      <c r="Z3549">
        <v>-4.3625510000000001E-3</v>
      </c>
      <c r="AA3549">
        <v>0.88802700000000001</v>
      </c>
      <c r="AB3549">
        <v>21</v>
      </c>
      <c r="AC3549">
        <v>42.748800000000003</v>
      </c>
      <c r="AD3549">
        <v>-0.101947999999999</v>
      </c>
      <c r="AE3549">
        <v>-27.021899999999899</v>
      </c>
      <c r="AF3549">
        <v>-23.334857550364301</v>
      </c>
      <c r="AG3549">
        <v>-0.101947999999999</v>
      </c>
      <c r="AH3549">
        <v>44.867656697129803</v>
      </c>
      <c r="AI3549">
        <v>90.115500152705195</v>
      </c>
      <c r="AJ3549">
        <v>117.47812665410601</v>
      </c>
      <c r="AK3549">
        <v>50.573042105275803</v>
      </c>
      <c r="AL3549">
        <v>80.247099002477995</v>
      </c>
      <c r="AM3549">
        <v>100.087662619897</v>
      </c>
      <c r="AN3549">
        <v>0.99999997482124403</v>
      </c>
    </row>
    <row r="3550" spans="1:40" x14ac:dyDescent="0.25">
      <c r="A3550" t="str">
        <f>"20190303170322877"</f>
        <v>20190303170322877</v>
      </c>
      <c r="B3550" t="str">
        <f>"1551603802869443"</f>
        <v>1551603802869443</v>
      </c>
      <c r="C3550" t="s">
        <v>40</v>
      </c>
      <c r="D3550">
        <v>4.4996619999999998</v>
      </c>
      <c r="E3550">
        <v>0.37876080000000001</v>
      </c>
      <c r="F3550" t="s">
        <v>79</v>
      </c>
      <c r="G3550">
        <v>-446.08080000000001</v>
      </c>
      <c r="H3550">
        <v>1.1178669999999999</v>
      </c>
      <c r="I3550">
        <v>200.07650000000001</v>
      </c>
      <c r="J3550">
        <v>-489.47410000000002</v>
      </c>
      <c r="K3550">
        <v>1.1250880000000001</v>
      </c>
      <c r="L3550">
        <v>226.92349999999999</v>
      </c>
      <c r="M3550">
        <v>0.50926830000000001</v>
      </c>
      <c r="N3550">
        <v>-8.5525440000000005E-3</v>
      </c>
      <c r="O3550">
        <v>-0.86056549999999998</v>
      </c>
      <c r="P3550">
        <v>0.64204510000000004</v>
      </c>
      <c r="Q3550">
        <v>0.16333339999999999</v>
      </c>
      <c r="R3550">
        <v>-0.74906640000000002</v>
      </c>
      <c r="S3550">
        <v>2.7149960000000002</v>
      </c>
      <c r="T3550">
        <v>-4.4858460000000001E-4</v>
      </c>
      <c r="U3550">
        <v>-1.6863709999999901</v>
      </c>
      <c r="V3550">
        <v>-0.1726916</v>
      </c>
      <c r="W3550">
        <v>0.16998779999999999</v>
      </c>
      <c r="X3550">
        <v>0.97019679999999997</v>
      </c>
      <c r="Y3550">
        <v>-0.46230199999999999</v>
      </c>
      <c r="Z3550">
        <v>-6.1545970000000004E-3</v>
      </c>
      <c r="AA3550">
        <v>0.88670119999999897</v>
      </c>
      <c r="AB3550">
        <v>21</v>
      </c>
      <c r="AC3550">
        <v>43.393300000000004</v>
      </c>
      <c r="AD3550">
        <v>-7.2209999999999202E-3</v>
      </c>
      <c r="AE3550">
        <v>-26.846999999999898</v>
      </c>
      <c r="AF3550">
        <v>-23.671312261283699</v>
      </c>
      <c r="AG3550">
        <v>-7.2209999999999202E-3</v>
      </c>
      <c r="AH3550">
        <v>45.204079079582101</v>
      </c>
      <c r="AI3550">
        <v>90.008108138985804</v>
      </c>
      <c r="AJ3550">
        <v>117.638997942277</v>
      </c>
      <c r="AK3550">
        <v>51.026854123560803</v>
      </c>
      <c r="AL3550">
        <v>80.212890629828607</v>
      </c>
      <c r="AM3550">
        <v>100.092743468317</v>
      </c>
      <c r="AN3550">
        <v>1.00000003579481</v>
      </c>
    </row>
    <row r="3551" spans="1:40" x14ac:dyDescent="0.25">
      <c r="A3551" t="str">
        <f>"20190303170322898"</f>
        <v>20190303170322898</v>
      </c>
      <c r="B3551" t="str">
        <f>"1551603802888964"</f>
        <v>1551603802888964</v>
      </c>
      <c r="C3551" t="s">
        <v>40</v>
      </c>
      <c r="D3551">
        <v>4.4555009999999999</v>
      </c>
      <c r="E3551">
        <v>0.37872539999999999</v>
      </c>
      <c r="F3551" t="s">
        <v>79</v>
      </c>
      <c r="G3551">
        <v>-445.47179999999997</v>
      </c>
      <c r="H3551">
        <v>1.2127289999999999</v>
      </c>
      <c r="I3551">
        <v>200.07640000000001</v>
      </c>
      <c r="J3551">
        <v>-489.36169999999998</v>
      </c>
      <c r="K3551">
        <v>1.1251009999999999</v>
      </c>
      <c r="L3551">
        <v>226.74879999999999</v>
      </c>
      <c r="M3551">
        <v>0.51514789999999999</v>
      </c>
      <c r="N3551">
        <v>-8.551052E-3</v>
      </c>
      <c r="O3551">
        <v>-0.85705880000000001</v>
      </c>
      <c r="P3551">
        <v>0.64705429999999997</v>
      </c>
      <c r="Q3551">
        <v>0.16341420000000001</v>
      </c>
      <c r="R3551">
        <v>-0.74472609999999995</v>
      </c>
      <c r="S3551">
        <v>2.728729</v>
      </c>
      <c r="T3551">
        <v>5.4359439999999998E-3</v>
      </c>
      <c r="U3551">
        <v>-1.664871</v>
      </c>
      <c r="V3551">
        <v>-0.1725747</v>
      </c>
      <c r="W3551">
        <v>0.17005909999999999</v>
      </c>
      <c r="X3551">
        <v>0.97020510000000004</v>
      </c>
      <c r="Y3551">
        <v>-0.46329789999999998</v>
      </c>
      <c r="Z3551">
        <v>-7.9195410000000004E-3</v>
      </c>
      <c r="AA3551">
        <v>0.88616719999999904</v>
      </c>
      <c r="AB3551">
        <v>21</v>
      </c>
      <c r="AC3551">
        <v>43.889899999999997</v>
      </c>
      <c r="AD3551">
        <v>8.7627999999999998E-2</v>
      </c>
      <c r="AE3551">
        <v>-26.6723999999999</v>
      </c>
      <c r="AF3551">
        <v>-23.876794454914599</v>
      </c>
      <c r="AG3551">
        <v>8.7627999999999998E-2</v>
      </c>
      <c r="AH3551">
        <v>45.471129005799298</v>
      </c>
      <c r="AI3551">
        <v>89.902242437982693</v>
      </c>
      <c r="AJ3551">
        <v>117.703869994538</v>
      </c>
      <c r="AK3551">
        <v>51.358860629599903</v>
      </c>
      <c r="AL3551">
        <v>80.208745027649798</v>
      </c>
      <c r="AM3551">
        <v>100.085967197671</v>
      </c>
      <c r="AN3551">
        <v>1.0000000303194501</v>
      </c>
    </row>
    <row r="3552" spans="1:40" x14ac:dyDescent="0.25">
      <c r="A3552" t="str">
        <f>"20190303170322921"</f>
        <v>20190303170322921</v>
      </c>
      <c r="B3552" t="str">
        <f>"1551603802908483"</f>
        <v>1551603802908483</v>
      </c>
      <c r="C3552" t="s">
        <v>40</v>
      </c>
      <c r="D3552">
        <v>4.460693</v>
      </c>
      <c r="E3552">
        <v>0.37878079999999997</v>
      </c>
      <c r="F3552" t="s">
        <v>79</v>
      </c>
      <c r="G3552">
        <v>-444.95940000000002</v>
      </c>
      <c r="H3552">
        <v>1.2053780000000001</v>
      </c>
      <c r="I3552">
        <v>200.07640000000001</v>
      </c>
      <c r="J3552">
        <v>-489.24709999999999</v>
      </c>
      <c r="K3552">
        <v>1.125129</v>
      </c>
      <c r="L3552">
        <v>226.57339999999999</v>
      </c>
      <c r="M3552">
        <v>0.52104549999999905</v>
      </c>
      <c r="N3552">
        <v>-8.5503999999999997E-3</v>
      </c>
      <c r="O3552">
        <v>-0.85348609999999903</v>
      </c>
      <c r="P3552">
        <v>0.65174379999999998</v>
      </c>
      <c r="Q3552">
        <v>0.16349620000000001</v>
      </c>
      <c r="R3552">
        <v>-0.74060709999999996</v>
      </c>
      <c r="S3552">
        <v>2.7404790000000001</v>
      </c>
      <c r="T3552">
        <v>4.9556490000000003E-3</v>
      </c>
      <c r="U3552">
        <v>-1.6461939999999999</v>
      </c>
      <c r="V3552">
        <v>-0.17203009999999999</v>
      </c>
      <c r="W3552">
        <v>0.17013710000000001</v>
      </c>
      <c r="X3552">
        <v>0.97028809999999999</v>
      </c>
      <c r="Y3552">
        <v>-0.46330399999999999</v>
      </c>
      <c r="Z3552">
        <v>-7.7248530000000003E-3</v>
      </c>
      <c r="AA3552">
        <v>0.88616569999999995</v>
      </c>
      <c r="AB3552">
        <v>21</v>
      </c>
      <c r="AC3552">
        <v>44.287699999999901</v>
      </c>
      <c r="AD3552">
        <v>8.0249000000000001E-2</v>
      </c>
      <c r="AE3552">
        <v>-26.4969999999999</v>
      </c>
      <c r="AF3552">
        <v>-23.993612277913201</v>
      </c>
      <c r="AG3552">
        <v>8.0249000000000001E-2</v>
      </c>
      <c r="AH3552">
        <v>45.692286771290803</v>
      </c>
      <c r="AI3552">
        <v>89.910908286069002</v>
      </c>
      <c r="AJ3552">
        <v>117.70454658321199</v>
      </c>
      <c r="AK3552">
        <v>51.608961822872402</v>
      </c>
      <c r="AL3552">
        <v>80.204209493083795</v>
      </c>
      <c r="AM3552">
        <v>100.05394645861401</v>
      </c>
      <c r="AN3552">
        <v>0.99999999255201399</v>
      </c>
    </row>
    <row r="3553" spans="1:40" x14ac:dyDescent="0.25">
      <c r="A3553" t="str">
        <f>"20190303170322944"</f>
        <v>20190303170322944</v>
      </c>
      <c r="B3553" t="str">
        <f>"1551603802928979"</f>
        <v>1551603802928979</v>
      </c>
      <c r="C3553" t="s">
        <v>40</v>
      </c>
      <c r="D3553">
        <v>4.4653239999999998</v>
      </c>
      <c r="E3553">
        <v>0.37892959999999998</v>
      </c>
      <c r="F3553" t="s">
        <v>79</v>
      </c>
      <c r="G3553">
        <v>-444.50470000000001</v>
      </c>
      <c r="H3553">
        <v>1.193362</v>
      </c>
      <c r="I3553">
        <v>200.07650000000001</v>
      </c>
      <c r="J3553">
        <v>-489.12529999999998</v>
      </c>
      <c r="K3553">
        <v>1.125159</v>
      </c>
      <c r="L3553">
        <v>226.38980000000001</v>
      </c>
      <c r="M3553">
        <v>0.52721830000000003</v>
      </c>
      <c r="N3553">
        <v>-8.5504559999999997E-3</v>
      </c>
      <c r="O3553">
        <v>-0.84968699999999997</v>
      </c>
      <c r="P3553">
        <v>0.65671489999999999</v>
      </c>
      <c r="Q3553">
        <v>0.16386519999999999</v>
      </c>
      <c r="R3553">
        <v>-0.73612119999999903</v>
      </c>
      <c r="S3553">
        <v>2.7507630000000001</v>
      </c>
      <c r="T3553">
        <v>4.196048E-3</v>
      </c>
      <c r="U3553">
        <v>-1.6290279999999999</v>
      </c>
      <c r="V3553">
        <v>-0.17158660000000001</v>
      </c>
      <c r="W3553">
        <v>0.17049890000000001</v>
      </c>
      <c r="X3553">
        <v>0.97030309999999997</v>
      </c>
      <c r="Y3553">
        <v>-0.46242879999999997</v>
      </c>
      <c r="Z3553">
        <v>-7.4452249999999998E-3</v>
      </c>
      <c r="AA3553">
        <v>0.8866252</v>
      </c>
      <c r="AB3553">
        <v>22</v>
      </c>
      <c r="AC3553">
        <v>44.620599999999897</v>
      </c>
      <c r="AD3553">
        <v>6.8203E-2</v>
      </c>
      <c r="AE3553">
        <v>-26.313300000000002</v>
      </c>
      <c r="AF3553">
        <v>-24.0415247073187</v>
      </c>
      <c r="AG3553">
        <v>6.8203E-2</v>
      </c>
      <c r="AH3553">
        <v>45.884458019280899</v>
      </c>
      <c r="AI3553">
        <v>89.924562914711899</v>
      </c>
      <c r="AJ3553">
        <v>117.652646360926</v>
      </c>
      <c r="AK3553">
        <v>51.801380769483103</v>
      </c>
      <c r="AL3553">
        <v>80.183172298291495</v>
      </c>
      <c r="AM3553">
        <v>100.028401926887</v>
      </c>
      <c r="AN3553">
        <v>0.99999997103518901</v>
      </c>
    </row>
    <row r="3554" spans="1:40" x14ac:dyDescent="0.25">
      <c r="A3554" t="str">
        <f>"20190303170322966"</f>
        <v>20190303170322966</v>
      </c>
      <c r="B3554" t="str">
        <f>"1551603802959235"</f>
        <v>1551603802959235</v>
      </c>
      <c r="C3554" t="s">
        <v>40</v>
      </c>
      <c r="D3554">
        <v>4.4771269999999896</v>
      </c>
      <c r="E3554">
        <v>0.37925120000000001</v>
      </c>
      <c r="F3554" t="s">
        <v>79</v>
      </c>
      <c r="G3554">
        <v>-444.02429999999998</v>
      </c>
      <c r="H3554">
        <v>1.1755530000000001</v>
      </c>
      <c r="I3554">
        <v>200.07650000000001</v>
      </c>
      <c r="J3554">
        <v>-489.00749999999999</v>
      </c>
      <c r="K3554">
        <v>1.1251799999999901</v>
      </c>
      <c r="L3554">
        <v>226.2149</v>
      </c>
      <c r="M3554">
        <v>0.53310329999999995</v>
      </c>
      <c r="N3554">
        <v>-8.5512030000000003E-3</v>
      </c>
      <c r="O3554">
        <v>-0.84600689999999901</v>
      </c>
      <c r="P3554">
        <v>0.66159990000000002</v>
      </c>
      <c r="Q3554">
        <v>0.16363620000000001</v>
      </c>
      <c r="R3554">
        <v>-0.73178469999999995</v>
      </c>
      <c r="S3554">
        <v>2.761444</v>
      </c>
      <c r="T3554">
        <v>3.0865670000000001E-3</v>
      </c>
      <c r="U3554">
        <v>-1.6111150000000001</v>
      </c>
      <c r="V3554">
        <v>-0.17129150000000001</v>
      </c>
      <c r="W3554">
        <v>0.1702631</v>
      </c>
      <c r="X3554">
        <v>0.9703967</v>
      </c>
      <c r="Y3554">
        <v>-0.46206079999999999</v>
      </c>
      <c r="Z3554">
        <v>-7.0609260000000004E-3</v>
      </c>
      <c r="AA3554">
        <v>0.886820099999999</v>
      </c>
      <c r="AB3554">
        <v>22</v>
      </c>
      <c r="AC3554">
        <v>44.983199999999997</v>
      </c>
      <c r="AD3554">
        <v>5.0373000000000202E-2</v>
      </c>
      <c r="AE3554">
        <v>-26.138399999999901</v>
      </c>
      <c r="AF3554">
        <v>-24.122490533493298</v>
      </c>
      <c r="AG3554">
        <v>5.0373000000000202E-2</v>
      </c>
      <c r="AH3554">
        <v>46.095602961566698</v>
      </c>
      <c r="AI3554">
        <v>89.944524615781503</v>
      </c>
      <c r="AJ3554">
        <v>117.62370792084</v>
      </c>
      <c r="AK3554">
        <v>52.025971392834201</v>
      </c>
      <c r="AL3554">
        <v>80.196883686348301</v>
      </c>
      <c r="AM3554">
        <v>100.010557849374</v>
      </c>
      <c r="AN3554">
        <v>1.00000002828237</v>
      </c>
    </row>
    <row r="3555" spans="1:40" x14ac:dyDescent="0.25">
      <c r="A3555" t="str">
        <f>"20190303170322988"</f>
        <v>20190303170322988</v>
      </c>
      <c r="B3555" t="str">
        <f>"1551603802978756"</f>
        <v>1551603802978756</v>
      </c>
      <c r="C3555" t="s">
        <v>40</v>
      </c>
      <c r="D3555">
        <v>4.4653330000000002</v>
      </c>
      <c r="E3555">
        <v>0.37950080000000003</v>
      </c>
      <c r="F3555" t="s">
        <v>45</v>
      </c>
      <c r="G3555">
        <v>-455.51280000000003</v>
      </c>
      <c r="H3555">
        <v>1.113429</v>
      </c>
      <c r="I3555">
        <v>206.93170000000001</v>
      </c>
      <c r="J3555">
        <v>-488.88670000000002</v>
      </c>
      <c r="K3555">
        <v>1.1252059999999999</v>
      </c>
      <c r="L3555">
        <v>226.03809999999999</v>
      </c>
      <c r="M3555">
        <v>0.5390509</v>
      </c>
      <c r="N3555">
        <v>-8.5524980000000004E-3</v>
      </c>
      <c r="O3555">
        <v>-0.84222969999999897</v>
      </c>
      <c r="P3555">
        <v>0.66644409999999998</v>
      </c>
      <c r="Q3555">
        <v>0.163752799999999</v>
      </c>
      <c r="R3555">
        <v>-0.72734949999999998</v>
      </c>
      <c r="S3555">
        <v>2.7704469999999999</v>
      </c>
      <c r="T3555">
        <v>-9.6786020000000003E-4</v>
      </c>
      <c r="U3555">
        <v>-1.5949709999999999</v>
      </c>
      <c r="V3555">
        <v>-0.1709241</v>
      </c>
      <c r="W3555">
        <v>0.170373</v>
      </c>
      <c r="X3555">
        <v>0.97044220000000003</v>
      </c>
      <c r="Y3555">
        <v>-0.46094499999999999</v>
      </c>
      <c r="Z3555">
        <v>-5.7825050000000003E-3</v>
      </c>
      <c r="AA3555">
        <v>0.88740989999999997</v>
      </c>
      <c r="AB3555">
        <v>22</v>
      </c>
      <c r="AC3555">
        <v>33.3738999999999</v>
      </c>
      <c r="AD3555">
        <v>-1.17769999999999E-2</v>
      </c>
      <c r="AE3555">
        <v>-19.106399999999901</v>
      </c>
      <c r="AF3555">
        <v>-17.809818381269601</v>
      </c>
      <c r="AG3555">
        <v>-1.17769999999999E-2</v>
      </c>
      <c r="AH3555">
        <v>34.083453668910501</v>
      </c>
      <c r="AI3555">
        <v>90.017546563896204</v>
      </c>
      <c r="AJ3555">
        <v>117.588670564442</v>
      </c>
      <c r="AK3555">
        <v>38.456099431329598</v>
      </c>
      <c r="AL3555">
        <v>80.190493584139801</v>
      </c>
      <c r="AM3555">
        <v>99.989060391018199</v>
      </c>
      <c r="AN3555">
        <v>1.00000003531532</v>
      </c>
    </row>
    <row r="3556" spans="1:40" x14ac:dyDescent="0.25">
      <c r="A3556" t="str">
        <f>"20190303170323010"</f>
        <v>20190303170323010</v>
      </c>
      <c r="B3556" t="str">
        <f>"1551603802999251"</f>
        <v>1551603802999251</v>
      </c>
      <c r="C3556" t="s">
        <v>40</v>
      </c>
      <c r="D3556">
        <v>4.4832150000000004</v>
      </c>
      <c r="E3556">
        <v>0.3798088</v>
      </c>
      <c r="F3556" t="s">
        <v>45</v>
      </c>
      <c r="G3556">
        <v>-455.4092</v>
      </c>
      <c r="H3556">
        <v>1.0845450000000001</v>
      </c>
      <c r="I3556">
        <v>207.02860000000001</v>
      </c>
      <c r="J3556">
        <v>-488.76459999999997</v>
      </c>
      <c r="K3556">
        <v>1.1252260000000001</v>
      </c>
      <c r="L3556">
        <v>225.8622</v>
      </c>
      <c r="M3556">
        <v>0.54497200000000001</v>
      </c>
      <c r="N3556">
        <v>-8.5544009999999997E-3</v>
      </c>
      <c r="O3556">
        <v>-0.83841060000000001</v>
      </c>
      <c r="P3556">
        <v>0.67109980000000002</v>
      </c>
      <c r="Q3556">
        <v>0.16392129999999999</v>
      </c>
      <c r="R3556">
        <v>-0.72301819999999895</v>
      </c>
      <c r="S3556">
        <v>2.7797239999999999</v>
      </c>
      <c r="T3556">
        <v>-3.3720730000000002E-3</v>
      </c>
      <c r="U3556">
        <v>-1.5784149999999999</v>
      </c>
      <c r="V3556">
        <v>-0.17034949999999999</v>
      </c>
      <c r="W3556">
        <v>0.17053840000000001</v>
      </c>
      <c r="X3556">
        <v>0.97051410000000005</v>
      </c>
      <c r="Y3556">
        <v>-0.45996310000000001</v>
      </c>
      <c r="Z3556">
        <v>-5.0118990000000002E-3</v>
      </c>
      <c r="AA3556">
        <v>0.88792389999999999</v>
      </c>
      <c r="AB3556">
        <v>22</v>
      </c>
      <c r="AC3556">
        <v>33.355399999999896</v>
      </c>
      <c r="AD3556">
        <v>-4.0680999999999898E-2</v>
      </c>
      <c r="AE3556">
        <v>-18.833599999999901</v>
      </c>
      <c r="AF3556">
        <v>-17.702364088207801</v>
      </c>
      <c r="AG3556">
        <v>-4.0680999999999898E-2</v>
      </c>
      <c r="AH3556">
        <v>33.969253655719399</v>
      </c>
      <c r="AI3556">
        <v>90.060849500108503</v>
      </c>
      <c r="AJ3556">
        <v>117.525327843993</v>
      </c>
      <c r="AK3556">
        <v>38.305163401058998</v>
      </c>
      <c r="AL3556">
        <v>80.1808753490578</v>
      </c>
      <c r="AM3556">
        <v>99.955430073256494</v>
      </c>
      <c r="AN3556">
        <v>0.99999995816180898</v>
      </c>
    </row>
    <row r="3557" spans="1:40" x14ac:dyDescent="0.25">
      <c r="A3557" t="str">
        <f>"20190303170323035"</f>
        <v>20190303170323035</v>
      </c>
      <c r="B3557" t="str">
        <f>"1551603803018772"</f>
        <v>1551603803018772</v>
      </c>
      <c r="C3557" t="s">
        <v>40</v>
      </c>
      <c r="D3557">
        <v>4.4726970000000001</v>
      </c>
      <c r="E3557">
        <v>0.38006010000000001</v>
      </c>
      <c r="F3557" t="s">
        <v>79</v>
      </c>
      <c r="G3557">
        <v>-442.72730000000001</v>
      </c>
      <c r="H3557">
        <v>1.0560160000000001</v>
      </c>
      <c r="I3557">
        <v>200.07650000000001</v>
      </c>
      <c r="J3557">
        <v>-488.63249999999999</v>
      </c>
      <c r="K3557">
        <v>1.125257</v>
      </c>
      <c r="L3557">
        <v>225.67449999999999</v>
      </c>
      <c r="M3557">
        <v>0.55128900000000003</v>
      </c>
      <c r="N3557">
        <v>-8.5567449999999993E-3</v>
      </c>
      <c r="O3557">
        <v>-0.83427050000000003</v>
      </c>
      <c r="P3557">
        <v>0.67627819999999905</v>
      </c>
      <c r="Q3557">
        <v>0.16377849999999999</v>
      </c>
      <c r="R3557">
        <v>-0.71820930000000005</v>
      </c>
      <c r="S3557">
        <v>2.788605</v>
      </c>
      <c r="T3557">
        <v>-4.1911600000000002E-3</v>
      </c>
      <c r="U3557">
        <v>-1.5619050000000001</v>
      </c>
      <c r="V3557">
        <v>-0.169985</v>
      </c>
      <c r="W3557">
        <v>0.1703904</v>
      </c>
      <c r="X3557">
        <v>0.97060409999999997</v>
      </c>
      <c r="Y3557">
        <v>-0.45846360000000003</v>
      </c>
      <c r="Z3557">
        <v>-4.7242259999999998E-3</v>
      </c>
      <c r="AA3557">
        <v>0.88870070000000001</v>
      </c>
      <c r="AB3557">
        <v>22</v>
      </c>
      <c r="AC3557">
        <v>45.905199999999901</v>
      </c>
      <c r="AD3557">
        <v>-6.9240999999999803E-2</v>
      </c>
      <c r="AE3557">
        <v>-25.5979999999999</v>
      </c>
      <c r="AF3557">
        <v>-24.186301249362302</v>
      </c>
      <c r="AG3557">
        <v>-6.9240999999999803E-2</v>
      </c>
      <c r="AH3557">
        <v>46.664314355917497</v>
      </c>
      <c r="AI3557">
        <v>90.075479981750405</v>
      </c>
      <c r="AJ3557">
        <v>117.39788839398901</v>
      </c>
      <c r="AK3557">
        <v>52.559872495553797</v>
      </c>
      <c r="AL3557">
        <v>80.189482027098407</v>
      </c>
      <c r="AM3557">
        <v>99.933650245644699</v>
      </c>
      <c r="AN3557">
        <v>1.00000005378698</v>
      </c>
    </row>
    <row r="3558" spans="1:40" x14ac:dyDescent="0.25">
      <c r="A3558" t="str">
        <f>"20190303170323058"</f>
        <v>20190303170323058</v>
      </c>
      <c r="B3558" t="str">
        <f>"1551603803049027"</f>
        <v>1551603803049027</v>
      </c>
      <c r="C3558" t="s">
        <v>40</v>
      </c>
      <c r="D3558">
        <v>4.5097990000000001</v>
      </c>
      <c r="E3558">
        <v>0.38045950000000001</v>
      </c>
      <c r="F3558" t="s">
        <v>79</v>
      </c>
      <c r="G3558">
        <v>-442.221</v>
      </c>
      <c r="H3558">
        <v>1.026648</v>
      </c>
      <c r="I3558">
        <v>200.07650000000001</v>
      </c>
      <c r="J3558">
        <v>-488.5016</v>
      </c>
      <c r="K3558">
        <v>1.1252799999999901</v>
      </c>
      <c r="L3558">
        <v>225.49170000000001</v>
      </c>
      <c r="M3558">
        <v>0.55744899999999997</v>
      </c>
      <c r="N3558">
        <v>-8.5606640000000008E-3</v>
      </c>
      <c r="O3558">
        <v>-0.83016719999999899</v>
      </c>
      <c r="P3558">
        <v>0.68183059999999995</v>
      </c>
      <c r="Q3558">
        <v>0.16358059999999999</v>
      </c>
      <c r="R3558">
        <v>-0.71298589999999995</v>
      </c>
      <c r="S3558">
        <v>2.7984010000000001</v>
      </c>
      <c r="T3558">
        <v>-5.9446100000000003E-3</v>
      </c>
      <c r="U3558">
        <v>-1.543442</v>
      </c>
      <c r="V3558">
        <v>-0.1703171</v>
      </c>
      <c r="W3558">
        <v>0.17018079999999999</v>
      </c>
      <c r="X3558">
        <v>0.97058259999999996</v>
      </c>
      <c r="Y3558">
        <v>-0.45769789999999999</v>
      </c>
      <c r="Z3558">
        <v>-4.1552120000000001E-3</v>
      </c>
      <c r="AA3558">
        <v>0.88909799999999894</v>
      </c>
      <c r="AB3558">
        <v>22</v>
      </c>
      <c r="AC3558">
        <v>46.2805999999999</v>
      </c>
      <c r="AD3558">
        <v>-9.8631999999999803E-2</v>
      </c>
      <c r="AE3558">
        <v>-25.415199999999999</v>
      </c>
      <c r="AF3558">
        <v>-24.2537593316206</v>
      </c>
      <c r="AG3558">
        <v>-9.8631999999999803E-2</v>
      </c>
      <c r="AH3558">
        <v>46.899488581889798</v>
      </c>
      <c r="AI3558">
        <v>90.107030763816596</v>
      </c>
      <c r="AJ3558">
        <v>117.34544511150401</v>
      </c>
      <c r="AK3558">
        <v>52.799778401338102</v>
      </c>
      <c r="AL3558">
        <v>80.201668699776803</v>
      </c>
      <c r="AM3558">
        <v>99.952886011112696</v>
      </c>
      <c r="AN3558">
        <v>1.0000000013318999</v>
      </c>
    </row>
    <row r="3559" spans="1:40" x14ac:dyDescent="0.25">
      <c r="A3559" t="str">
        <f>"20190303170323081"</f>
        <v>20190303170323081</v>
      </c>
      <c r="B3559" t="str">
        <f>"1551603803068548"</f>
        <v>1551603803068548</v>
      </c>
      <c r="C3559" t="s">
        <v>40</v>
      </c>
      <c r="D3559">
        <v>4.5449909999999996</v>
      </c>
      <c r="E3559">
        <v>0.39666430000000003</v>
      </c>
      <c r="F3559" t="s">
        <v>79</v>
      </c>
      <c r="G3559">
        <v>-441.65870000000001</v>
      </c>
      <c r="H3559">
        <v>0.97679139999999998</v>
      </c>
      <c r="I3559">
        <v>200.07650000000001</v>
      </c>
      <c r="J3559">
        <v>-488.37290000000002</v>
      </c>
      <c r="K3559">
        <v>1.1253139999999999</v>
      </c>
      <c r="L3559">
        <v>225.31469999999999</v>
      </c>
      <c r="M3559">
        <v>0.56341090000000005</v>
      </c>
      <c r="N3559">
        <v>-8.5758710000000005E-3</v>
      </c>
      <c r="O3559">
        <v>-0.82613219999999998</v>
      </c>
      <c r="P3559">
        <v>0.68711650000000002</v>
      </c>
      <c r="Q3559">
        <v>0.1645201</v>
      </c>
      <c r="R3559">
        <v>-0.70767530000000001</v>
      </c>
      <c r="S3559">
        <v>2.8085939999999998</v>
      </c>
      <c r="T3559">
        <v>-8.9020729999999999E-3</v>
      </c>
      <c r="U3559">
        <v>-1.5238339999999999</v>
      </c>
      <c r="V3559">
        <v>-0.17069489999999901</v>
      </c>
      <c r="W3559">
        <v>0.17111870000000001</v>
      </c>
      <c r="X3559">
        <v>0.97035130000000003</v>
      </c>
      <c r="Y3559">
        <v>-0.45744620000000003</v>
      </c>
      <c r="Z3559">
        <v>-3.2333269999999998E-3</v>
      </c>
      <c r="AA3559">
        <v>0.88923140000000001</v>
      </c>
      <c r="AB3559">
        <v>22</v>
      </c>
      <c r="AC3559">
        <v>46.714199999999998</v>
      </c>
      <c r="AD3559">
        <v>-0.14852259999999901</v>
      </c>
      <c r="AE3559">
        <v>-25.2381999999999</v>
      </c>
      <c r="AF3559">
        <v>-24.3733358696206</v>
      </c>
      <c r="AG3559">
        <v>-0.14852259999999901</v>
      </c>
      <c r="AH3559">
        <v>47.170749432874601</v>
      </c>
      <c r="AI3559">
        <v>90.160271311268303</v>
      </c>
      <c r="AJ3559">
        <v>117.325599712158</v>
      </c>
      <c r="AK3559">
        <v>53.095773489375702</v>
      </c>
      <c r="AL3559">
        <v>80.147131019357403</v>
      </c>
      <c r="AM3559">
        <v>99.9768505940133</v>
      </c>
      <c r="AN3559">
        <v>1.0000000018936901</v>
      </c>
    </row>
    <row r="3560" spans="1:40" x14ac:dyDescent="0.25">
      <c r="A3560" t="str">
        <f>"20190303170323101"</f>
        <v>20190303170323101</v>
      </c>
      <c r="B3560" t="str">
        <f>"1551603803089043"</f>
        <v>1551603803089043</v>
      </c>
      <c r="C3560" t="s">
        <v>40</v>
      </c>
      <c r="D3560">
        <v>4.526694</v>
      </c>
      <c r="E3560">
        <v>0.39934069999999999</v>
      </c>
      <c r="F3560" t="s">
        <v>79</v>
      </c>
      <c r="G3560">
        <v>-445.1694</v>
      </c>
      <c r="H3560">
        <v>0.61559010000000003</v>
      </c>
      <c r="I3560">
        <v>200.07660000000001</v>
      </c>
      <c r="J3560">
        <v>-488.25330000000002</v>
      </c>
      <c r="K3560">
        <v>1.1253500000000001</v>
      </c>
      <c r="L3560">
        <v>225.15260000000001</v>
      </c>
      <c r="M3560">
        <v>0.56887100000000002</v>
      </c>
      <c r="N3560">
        <v>-8.5973460000000005E-3</v>
      </c>
      <c r="O3560">
        <v>-0.8223819</v>
      </c>
      <c r="P3560">
        <v>0.6918493</v>
      </c>
      <c r="Q3560">
        <v>0.16512249999999901</v>
      </c>
      <c r="R3560">
        <v>-0.70290769999999902</v>
      </c>
      <c r="S3560">
        <v>2.730804</v>
      </c>
      <c r="T3560">
        <v>-3.2217500000000003E-2</v>
      </c>
      <c r="U3560">
        <v>-1.595245</v>
      </c>
      <c r="V3560">
        <v>-0.17087439999999901</v>
      </c>
      <c r="W3560">
        <v>0.17172979999999999</v>
      </c>
      <c r="X3560">
        <v>0.97021170000000001</v>
      </c>
      <c r="Y3560">
        <v>-0.42313679999999898</v>
      </c>
      <c r="Z3560">
        <v>3.6793429999999998E-3</v>
      </c>
      <c r="AA3560">
        <v>0.90605829999999998</v>
      </c>
      <c r="AB3560">
        <v>22</v>
      </c>
      <c r="AC3560">
        <v>43.0839</v>
      </c>
      <c r="AD3560">
        <v>-0.50975990000000004</v>
      </c>
      <c r="AE3560">
        <v>-25.076000000000001</v>
      </c>
      <c r="AF3560">
        <v>-21.1649782002923</v>
      </c>
      <c r="AG3560">
        <v>-0.50975990000000004</v>
      </c>
      <c r="AH3560">
        <v>45.128176167293901</v>
      </c>
      <c r="AI3560">
        <v>90.585939680671601</v>
      </c>
      <c r="AJ3560">
        <v>115.126435352493</v>
      </c>
      <c r="AK3560">
        <v>49.847451705787499</v>
      </c>
      <c r="AL3560">
        <v>80.111591106567005</v>
      </c>
      <c r="AM3560">
        <v>99.988539044882202</v>
      </c>
      <c r="AN3560">
        <v>0.999999963800144</v>
      </c>
    </row>
    <row r="3561" spans="1:40" x14ac:dyDescent="0.25">
      <c r="A3561" t="str">
        <f>"20190303170323122"</f>
        <v>20190303170323122</v>
      </c>
      <c r="B3561" t="str">
        <f>"1551603803108563"</f>
        <v>1551603803108563</v>
      </c>
      <c r="C3561" t="s">
        <v>40</v>
      </c>
      <c r="D3561">
        <v>4.5735960000000002</v>
      </c>
      <c r="E3561">
        <v>0.4007365</v>
      </c>
      <c r="F3561" t="s">
        <v>79</v>
      </c>
      <c r="G3561">
        <v>-445.31470000000002</v>
      </c>
      <c r="H3561">
        <v>1.0365869999999999</v>
      </c>
      <c r="I3561">
        <v>200.07650000000001</v>
      </c>
      <c r="J3561">
        <v>-488.13069999999999</v>
      </c>
      <c r="K3561">
        <v>1.1253789999999999</v>
      </c>
      <c r="L3561">
        <v>224.98869999999999</v>
      </c>
      <c r="M3561">
        <v>0.57439319999999905</v>
      </c>
      <c r="N3561">
        <v>-8.6199629999999996E-3</v>
      </c>
      <c r="O3561">
        <v>-0.81853409999999904</v>
      </c>
      <c r="P3561">
        <v>0.69619629999999999</v>
      </c>
      <c r="Q3561">
        <v>0.16471669999999999</v>
      </c>
      <c r="R3561">
        <v>-0.69869809999999999</v>
      </c>
      <c r="S3561">
        <v>2.7222900000000001</v>
      </c>
      <c r="T3561">
        <v>-5.6264399999999999E-3</v>
      </c>
      <c r="U3561">
        <v>-1.5898129999999999</v>
      </c>
      <c r="V3561">
        <v>-0.1703124</v>
      </c>
      <c r="W3561">
        <v>0.17134369999999999</v>
      </c>
      <c r="X3561">
        <v>0.97037879999999999</v>
      </c>
      <c r="Y3561">
        <v>-0.4171512</v>
      </c>
      <c r="Z3561">
        <v>-4.2888850000000001E-3</v>
      </c>
      <c r="AA3561">
        <v>0.90882689999999999</v>
      </c>
      <c r="AB3561">
        <v>22</v>
      </c>
      <c r="AC3561">
        <v>42.815999999999903</v>
      </c>
      <c r="AD3561">
        <v>-8.8791999999999899E-2</v>
      </c>
      <c r="AE3561">
        <v>-24.912199999999899</v>
      </c>
      <c r="AF3561">
        <v>-20.7376623589359</v>
      </c>
      <c r="AG3561">
        <v>-8.8791999999999899E-2</v>
      </c>
      <c r="AH3561">
        <v>44.986232969256598</v>
      </c>
      <c r="AI3561">
        <v>90.102701167500001</v>
      </c>
      <c r="AJ3561">
        <v>114.748660627672</v>
      </c>
      <c r="AK3561">
        <v>49.536044259677404</v>
      </c>
      <c r="AL3561">
        <v>80.134046162212101</v>
      </c>
      <c r="AM3561">
        <v>99.954665299315394</v>
      </c>
      <c r="AN3561">
        <v>0.99999999630644498</v>
      </c>
    </row>
    <row r="3562" spans="1:40" x14ac:dyDescent="0.25">
      <c r="A3562" t="str">
        <f>"20190303170323145"</f>
        <v>20190303170323145</v>
      </c>
      <c r="B3562" t="str">
        <f>"1551603803138624"</f>
        <v>1551603803138624</v>
      </c>
      <c r="C3562" t="s">
        <v>40</v>
      </c>
      <c r="D3562">
        <v>4.5970940000000002</v>
      </c>
      <c r="E3562">
        <v>0.40199079999999998</v>
      </c>
      <c r="F3562" t="s">
        <v>79</v>
      </c>
      <c r="G3562">
        <v>-445.21429999999998</v>
      </c>
      <c r="H3562">
        <v>1.0956870000000001</v>
      </c>
      <c r="I3562">
        <v>200.07650000000001</v>
      </c>
      <c r="J3562">
        <v>-487.99020000000002</v>
      </c>
      <c r="K3562">
        <v>1.125407</v>
      </c>
      <c r="L3562">
        <v>224.80350000000001</v>
      </c>
      <c r="M3562">
        <v>0.58063129999999996</v>
      </c>
      <c r="N3562">
        <v>-8.6430159999999999E-3</v>
      </c>
      <c r="O3562">
        <v>-0.81412079999999998</v>
      </c>
      <c r="P3562">
        <v>0.70153369999999904</v>
      </c>
      <c r="Q3562">
        <v>0.1644457</v>
      </c>
      <c r="R3562">
        <v>-0.69340349999999995</v>
      </c>
      <c r="S3562">
        <v>2.7231450000000001</v>
      </c>
      <c r="T3562">
        <v>-1.8829109999999999E-3</v>
      </c>
      <c r="U3562">
        <v>-1.5807340000000001</v>
      </c>
      <c r="V3562">
        <v>-0.17030909999999999</v>
      </c>
      <c r="W3562">
        <v>0.1710844</v>
      </c>
      <c r="X3562">
        <v>0.97042510000000004</v>
      </c>
      <c r="Y3562">
        <v>-0.41258440000000002</v>
      </c>
      <c r="Z3562">
        <v>-5.3912269999999898E-3</v>
      </c>
      <c r="AA3562">
        <v>0.91090340000000003</v>
      </c>
      <c r="AB3562">
        <v>22</v>
      </c>
      <c r="AC3562">
        <v>42.7759</v>
      </c>
      <c r="AD3562">
        <v>-2.9719999999999899E-2</v>
      </c>
      <c r="AE3562">
        <v>-24.727</v>
      </c>
      <c r="AF3562">
        <v>-20.468236016037899</v>
      </c>
      <c r="AG3562">
        <v>-2.9719999999999899E-2</v>
      </c>
      <c r="AH3562">
        <v>44.969452939144396</v>
      </c>
      <c r="AI3562">
        <v>90.034464316535207</v>
      </c>
      <c r="AJ3562">
        <v>114.47306610680999</v>
      </c>
      <c r="AK3562">
        <v>49.408514109741802</v>
      </c>
      <c r="AL3562">
        <v>80.149125342706796</v>
      </c>
      <c r="AM3562">
        <v>99.954010834921107</v>
      </c>
      <c r="AN3562">
        <v>0.999999968088089</v>
      </c>
    </row>
    <row r="3563" spans="1:40" x14ac:dyDescent="0.25">
      <c r="A3563" t="str">
        <f>"20190303170323167"</f>
        <v>20190303170323167</v>
      </c>
      <c r="B3563" t="str">
        <f>"1551603803159120"</f>
        <v>1551603803159120</v>
      </c>
      <c r="C3563" t="s">
        <v>40</v>
      </c>
      <c r="D3563">
        <v>4.621632</v>
      </c>
      <c r="E3563">
        <v>0.40275430000000001</v>
      </c>
      <c r="F3563" t="s">
        <v>79</v>
      </c>
      <c r="G3563">
        <v>-444.9529</v>
      </c>
      <c r="H3563">
        <v>1.154452</v>
      </c>
      <c r="I3563">
        <v>200.07650000000001</v>
      </c>
      <c r="J3563">
        <v>-487.85610000000003</v>
      </c>
      <c r="K3563">
        <v>1.1254309999999901</v>
      </c>
      <c r="L3563">
        <v>224.62960000000001</v>
      </c>
      <c r="M3563">
        <v>0.58649180000000001</v>
      </c>
      <c r="N3563">
        <v>-8.6662559999999902E-3</v>
      </c>
      <c r="O3563">
        <v>-0.80990890000000004</v>
      </c>
      <c r="P3563">
        <v>0.70676479999999997</v>
      </c>
      <c r="Q3563">
        <v>0.1655006</v>
      </c>
      <c r="R3563">
        <v>-0.68781800000000004</v>
      </c>
      <c r="S3563">
        <v>2.7272029999999998</v>
      </c>
      <c r="T3563">
        <v>1.841664E-3</v>
      </c>
      <c r="U3563">
        <v>-1.56691</v>
      </c>
      <c r="V3563">
        <v>-0.1708249</v>
      </c>
      <c r="W3563">
        <v>0.17214409999999999</v>
      </c>
      <c r="X3563">
        <v>0.97014699999999998</v>
      </c>
      <c r="Y3563">
        <v>-0.41005589999999997</v>
      </c>
      <c r="Z3563">
        <v>-6.4768269999999897E-3</v>
      </c>
      <c r="AA3563">
        <v>0.9120374</v>
      </c>
      <c r="AB3563">
        <v>22</v>
      </c>
      <c r="AC3563">
        <v>42.903199999999998</v>
      </c>
      <c r="AD3563">
        <v>2.9021000000000099E-2</v>
      </c>
      <c r="AE3563">
        <v>-24.553100000000001</v>
      </c>
      <c r="AF3563">
        <v>-20.348247176533199</v>
      </c>
      <c r="AG3563">
        <v>2.9021000000000099E-2</v>
      </c>
      <c r="AH3563">
        <v>45.049821778301201</v>
      </c>
      <c r="AI3563">
        <v>89.966362365898107</v>
      </c>
      <c r="AJ3563">
        <v>114.30789406679401</v>
      </c>
      <c r="AK3563">
        <v>49.4321600542848</v>
      </c>
      <c r="AL3563">
        <v>80.087494676315501</v>
      </c>
      <c r="AM3563">
        <v>99.986356298035105</v>
      </c>
      <c r="AN3563">
        <v>0.99999996961690896</v>
      </c>
    </row>
    <row r="3564" spans="1:40" x14ac:dyDescent="0.25">
      <c r="A3564" t="str">
        <f>"20190303170323190"</f>
        <v>20190303170323190</v>
      </c>
      <c r="B3564" t="str">
        <f>"1551603803178640"</f>
        <v>1551603803178640</v>
      </c>
      <c r="C3564" t="s">
        <v>40</v>
      </c>
      <c r="D3564">
        <v>4.6350509999999998</v>
      </c>
      <c r="E3564">
        <v>0.4034372</v>
      </c>
      <c r="F3564" t="s">
        <v>79</v>
      </c>
      <c r="G3564">
        <v>-444.49099999999999</v>
      </c>
      <c r="H3564">
        <v>1.2327220000000001</v>
      </c>
      <c r="I3564">
        <v>200.07640000000001</v>
      </c>
      <c r="J3564">
        <v>-487.72390000000001</v>
      </c>
      <c r="K3564">
        <v>1.1254599999999999</v>
      </c>
      <c r="L3564">
        <v>224.4605</v>
      </c>
      <c r="M3564">
        <v>0.59218479999999996</v>
      </c>
      <c r="N3564">
        <v>-8.7001769999999999E-3</v>
      </c>
      <c r="O3564">
        <v>-0.80575509999999995</v>
      </c>
      <c r="P3564">
        <v>0.71212299999999995</v>
      </c>
      <c r="Q3564">
        <v>0.1662949</v>
      </c>
      <c r="R3564">
        <v>-0.68207530000000005</v>
      </c>
      <c r="S3564">
        <v>2.7357179999999999</v>
      </c>
      <c r="T3564">
        <v>6.7696569999999897E-3</v>
      </c>
      <c r="U3564">
        <v>-1.54895</v>
      </c>
      <c r="V3564">
        <v>-0.17170969999999999</v>
      </c>
      <c r="W3564">
        <v>0.1729501</v>
      </c>
      <c r="X3564">
        <v>0.96984740000000003</v>
      </c>
      <c r="Y3564">
        <v>-0.40936709999999998</v>
      </c>
      <c r="Z3564">
        <v>-7.9154599999999992E-3</v>
      </c>
      <c r="AA3564">
        <v>0.91233540000000002</v>
      </c>
      <c r="AB3564">
        <v>22</v>
      </c>
      <c r="AC3564">
        <v>43.232900000000001</v>
      </c>
      <c r="AD3564">
        <v>0.107261999999999</v>
      </c>
      <c r="AE3564">
        <v>-24.384099999999901</v>
      </c>
      <c r="AF3564">
        <v>-20.3959148881099</v>
      </c>
      <c r="AG3564">
        <v>0.107261999999999</v>
      </c>
      <c r="AH3564">
        <v>45.250984751548401</v>
      </c>
      <c r="AI3564">
        <v>89.876183425155403</v>
      </c>
      <c r="AJ3564">
        <v>114.262453594774</v>
      </c>
      <c r="AK3564">
        <v>49.635234161274397</v>
      </c>
      <c r="AL3564">
        <v>80.040611071727398</v>
      </c>
      <c r="AM3564">
        <v>100.040069749541</v>
      </c>
      <c r="AN3564">
        <v>0.99999996872542896</v>
      </c>
    </row>
    <row r="3565" spans="1:40" x14ac:dyDescent="0.25">
      <c r="A3565" t="str">
        <f>"20190303170323212"</f>
        <v>20190303170323212</v>
      </c>
      <c r="B3565" t="str">
        <f>"1551603803208895"</f>
        <v>1551603803208895</v>
      </c>
      <c r="C3565" t="s">
        <v>40</v>
      </c>
      <c r="D3565">
        <v>4.6217550000000003</v>
      </c>
      <c r="E3565">
        <v>0.40425929999999999</v>
      </c>
      <c r="F3565" t="s">
        <v>79</v>
      </c>
      <c r="G3565">
        <v>-444.05250000000001</v>
      </c>
      <c r="H3565">
        <v>1.2268699999999999</v>
      </c>
      <c r="I3565">
        <v>200.07640000000001</v>
      </c>
      <c r="J3565">
        <v>-487.58390000000003</v>
      </c>
      <c r="K3565">
        <v>1.125489</v>
      </c>
      <c r="L3565">
        <v>224.2841</v>
      </c>
      <c r="M3565">
        <v>0.59812049999999894</v>
      </c>
      <c r="N3565">
        <v>-8.7596280000000002E-3</v>
      </c>
      <c r="O3565">
        <v>-0.80135880000000004</v>
      </c>
      <c r="P3565">
        <v>0.71749859999999999</v>
      </c>
      <c r="Q3565">
        <v>0.166014299999999</v>
      </c>
      <c r="R3565">
        <v>-0.67648790000000003</v>
      </c>
      <c r="S3565">
        <v>2.7438349999999998</v>
      </c>
      <c r="T3565">
        <v>6.3725709999999996E-3</v>
      </c>
      <c r="U3565">
        <v>-1.5320279999999999</v>
      </c>
      <c r="V3565">
        <v>-0.17218729999999999</v>
      </c>
      <c r="W3565">
        <v>0.17271300000000001</v>
      </c>
      <c r="X3565">
        <v>0.96980500000000003</v>
      </c>
      <c r="Y3565">
        <v>-0.40806429999999999</v>
      </c>
      <c r="Z3565">
        <v>-7.7857959999999898E-3</v>
      </c>
      <c r="AA3565">
        <v>0.91291999999999995</v>
      </c>
      <c r="AB3565">
        <v>22</v>
      </c>
      <c r="AC3565">
        <v>43.531399999999998</v>
      </c>
      <c r="AD3565">
        <v>0.101381</v>
      </c>
      <c r="AE3565">
        <v>-24.2076999999999</v>
      </c>
      <c r="AF3565">
        <v>-20.4058391417724</v>
      </c>
      <c r="AG3565">
        <v>0.101381</v>
      </c>
      <c r="AH3565">
        <v>45.4376132524973</v>
      </c>
      <c r="AI3565">
        <v>89.883381510465796</v>
      </c>
      <c r="AJ3565">
        <v>114.184645891728</v>
      </c>
      <c r="AK3565">
        <v>49.809489530315098</v>
      </c>
      <c r="AL3565">
        <v>80.054403694882893</v>
      </c>
      <c r="AM3565">
        <v>100.06785625157499</v>
      </c>
      <c r="AN3565">
        <v>0.99999999233764403</v>
      </c>
    </row>
    <row r="3566" spans="1:40" x14ac:dyDescent="0.25">
      <c r="A3566" t="str">
        <f>"20190303170323238"</f>
        <v>20190303170323238</v>
      </c>
      <c r="B3566" t="str">
        <f>"1551603803229392"</f>
        <v>1551603803229392</v>
      </c>
      <c r="C3566" t="s">
        <v>40</v>
      </c>
      <c r="D3566">
        <v>4.6636059999999997</v>
      </c>
      <c r="E3566">
        <v>0.40470410000000001</v>
      </c>
      <c r="F3566" t="s">
        <v>79</v>
      </c>
      <c r="G3566">
        <v>-443.64920000000001</v>
      </c>
      <c r="H3566">
        <v>1.1584669999999999</v>
      </c>
      <c r="I3566">
        <v>200.07650000000001</v>
      </c>
      <c r="J3566">
        <v>-487.43079999999998</v>
      </c>
      <c r="K3566">
        <v>1.1255189999999999</v>
      </c>
      <c r="L3566">
        <v>224.0943</v>
      </c>
      <c r="M3566">
        <v>0.60450709999999996</v>
      </c>
      <c r="N3566">
        <v>-8.8609580000000004E-3</v>
      </c>
      <c r="O3566">
        <v>-0.796550599999999</v>
      </c>
      <c r="P3566">
        <v>0.72314750000000005</v>
      </c>
      <c r="Q3566">
        <v>0.16376840000000001</v>
      </c>
      <c r="R3566">
        <v>-0.67099790000000004</v>
      </c>
      <c r="S3566">
        <v>2.751312</v>
      </c>
      <c r="T3566">
        <v>2.0662549999999999E-3</v>
      </c>
      <c r="U3566">
        <v>-1.5159450000000001</v>
      </c>
      <c r="V3566">
        <v>-0.17222190000000001</v>
      </c>
      <c r="W3566">
        <v>0.17055909999999999</v>
      </c>
      <c r="X3566">
        <v>0.97018000000000004</v>
      </c>
      <c r="Y3566">
        <v>-0.4059123</v>
      </c>
      <c r="Z3566">
        <v>-6.5305390000000001E-3</v>
      </c>
      <c r="AA3566">
        <v>0.91388879999999995</v>
      </c>
      <c r="AB3566">
        <v>22</v>
      </c>
      <c r="AC3566">
        <v>43.781599999999898</v>
      </c>
      <c r="AD3566">
        <v>3.29479999999997E-2</v>
      </c>
      <c r="AE3566">
        <v>-24.017799999999902</v>
      </c>
      <c r="AF3566">
        <v>-20.356117297191801</v>
      </c>
      <c r="AG3566">
        <v>3.29479999999997E-2</v>
      </c>
      <c r="AH3566">
        <v>45.599446628692398</v>
      </c>
      <c r="AI3566">
        <v>89.962196572746606</v>
      </c>
      <c r="AJ3566">
        <v>114.056533792458</v>
      </c>
      <c r="AK3566">
        <v>49.936781332307604</v>
      </c>
      <c r="AL3566">
        <v>80.179672215076593</v>
      </c>
      <c r="AM3566">
        <v>100.06602528323999</v>
      </c>
      <c r="AN3566">
        <v>1.0000000109162099</v>
      </c>
    </row>
    <row r="3567" spans="1:40" x14ac:dyDescent="0.25">
      <c r="A3567" t="str">
        <f>"20190303170323258"</f>
        <v>20190303170323258</v>
      </c>
      <c r="B3567" t="str">
        <f>"1551603803248911"</f>
        <v>1551603803248911</v>
      </c>
      <c r="C3567" t="s">
        <v>40</v>
      </c>
      <c r="D3567">
        <v>4.637486</v>
      </c>
      <c r="E3567">
        <v>0.40508559999999999</v>
      </c>
      <c r="F3567" t="s">
        <v>79</v>
      </c>
      <c r="G3567">
        <v>-443.10340000000002</v>
      </c>
      <c r="H3567">
        <v>1.047585</v>
      </c>
      <c r="I3567">
        <v>200.07650000000001</v>
      </c>
      <c r="J3567">
        <v>-487.29899999999998</v>
      </c>
      <c r="K3567">
        <v>1.1255539999999999</v>
      </c>
      <c r="L3567">
        <v>223.9332</v>
      </c>
      <c r="M3567">
        <v>0.60993160000000002</v>
      </c>
      <c r="N3567">
        <v>-8.970479E-3</v>
      </c>
      <c r="O3567">
        <v>-0.79240319999999997</v>
      </c>
      <c r="P3567">
        <v>0.72735109999999903</v>
      </c>
      <c r="Q3567">
        <v>0.16179379999999999</v>
      </c>
      <c r="R3567">
        <v>-0.66692050000000003</v>
      </c>
      <c r="S3567">
        <v>2.7613530000000002</v>
      </c>
      <c r="T3567">
        <v>-4.8537249999999997E-3</v>
      </c>
      <c r="U3567">
        <v>-1.49617</v>
      </c>
      <c r="V3567">
        <v>-0.17138879999999901</v>
      </c>
      <c r="W3567">
        <v>0.16869579999999901</v>
      </c>
      <c r="X3567">
        <v>0.97065319999999999</v>
      </c>
      <c r="Y3567">
        <v>-0.4061303</v>
      </c>
      <c r="Z3567">
        <v>-4.522585E-3</v>
      </c>
      <c r="AA3567">
        <v>0.91380399999999995</v>
      </c>
      <c r="AB3567">
        <v>22</v>
      </c>
      <c r="AC3567">
        <v>44.195599999999999</v>
      </c>
      <c r="AD3567">
        <v>-7.7969000000000094E-2</v>
      </c>
      <c r="AE3567">
        <v>-23.856699999999901</v>
      </c>
      <c r="AF3567">
        <v>-20.470555432884598</v>
      </c>
      <c r="AG3567">
        <v>-7.7969000000000094E-2</v>
      </c>
      <c r="AH3567">
        <v>45.862156471683903</v>
      </c>
      <c r="AI3567">
        <v>90.088948555853705</v>
      </c>
      <c r="AJ3567">
        <v>114.053576772011</v>
      </c>
      <c r="AK3567">
        <v>50.223372199892999</v>
      </c>
      <c r="AL3567">
        <v>80.288001366792599</v>
      </c>
      <c r="AM3567">
        <v>100.01353587145699</v>
      </c>
      <c r="AN3567">
        <v>1.0000000141866501</v>
      </c>
    </row>
    <row r="3568" spans="1:40" x14ac:dyDescent="0.25">
      <c r="A3568" t="str">
        <f>"20190303170323280"</f>
        <v>20190303170323280</v>
      </c>
      <c r="B3568" t="str">
        <f>"1551603803268433"</f>
        <v>1551603803268433</v>
      </c>
      <c r="C3568" t="s">
        <v>40</v>
      </c>
      <c r="D3568">
        <v>4.6159780000000001</v>
      </c>
      <c r="E3568">
        <v>0.40534330000000002</v>
      </c>
      <c r="F3568" t="s">
        <v>45</v>
      </c>
      <c r="G3568">
        <v>-455.58109999999999</v>
      </c>
      <c r="H3568">
        <v>0.99217489999999997</v>
      </c>
      <c r="I3568">
        <v>206.9599</v>
      </c>
      <c r="J3568">
        <v>-487.1653</v>
      </c>
      <c r="K3568">
        <v>1.1255930000000001</v>
      </c>
      <c r="L3568">
        <v>223.7722</v>
      </c>
      <c r="M3568">
        <v>0.61535980000000001</v>
      </c>
      <c r="N3568">
        <v>-9.0861710000000005E-3</v>
      </c>
      <c r="O3568">
        <v>-0.78819419999999996</v>
      </c>
      <c r="P3568">
        <v>0.73148480000000005</v>
      </c>
      <c r="Q3568">
        <v>0.16267290000000001</v>
      </c>
      <c r="R3568">
        <v>-0.66216949999999997</v>
      </c>
      <c r="S3568">
        <v>2.7686459999999999</v>
      </c>
      <c r="T3568">
        <v>-1.16384E-2</v>
      </c>
      <c r="U3568">
        <v>-1.481598</v>
      </c>
      <c r="V3568">
        <v>-0.1709087</v>
      </c>
      <c r="W3568">
        <v>0.16968279999999999</v>
      </c>
      <c r="X3568">
        <v>0.97056580000000003</v>
      </c>
      <c r="Y3568">
        <v>-0.40459650000000003</v>
      </c>
      <c r="Z3568">
        <v>-2.5768229999999998E-3</v>
      </c>
      <c r="AA3568">
        <v>0.91449170000000002</v>
      </c>
      <c r="AB3568">
        <v>22</v>
      </c>
      <c r="AC3568">
        <v>31.584199999999999</v>
      </c>
      <c r="AD3568">
        <v>-0.13341810000000001</v>
      </c>
      <c r="AE3568">
        <v>-16.812299999999901</v>
      </c>
      <c r="AF3568">
        <v>-14.549265528176401</v>
      </c>
      <c r="AG3568">
        <v>-0.13341810000000001</v>
      </c>
      <c r="AH3568">
        <v>32.6878936838134</v>
      </c>
      <c r="AI3568">
        <v>90.213648541984298</v>
      </c>
      <c r="AJ3568">
        <v>113.99367671828399</v>
      </c>
      <c r="AK3568">
        <v>35.779845182491798</v>
      </c>
      <c r="AL3568">
        <v>80.230623145057606</v>
      </c>
      <c r="AM3568">
        <v>99.986932146678001</v>
      </c>
      <c r="AN3568">
        <v>1.0000000042405801</v>
      </c>
    </row>
    <row r="3569" spans="1:40" x14ac:dyDescent="0.25">
      <c r="A3569" t="str">
        <f>"20190303170323301"</f>
        <v>20190303170323301</v>
      </c>
      <c r="B3569" t="str">
        <f>"1551603803288928"</f>
        <v>1551603803288928</v>
      </c>
      <c r="C3569" t="s">
        <v>40</v>
      </c>
      <c r="D3569">
        <v>4.6349609999999997</v>
      </c>
      <c r="E3569">
        <v>0.3853782</v>
      </c>
      <c r="F3569" t="s">
        <v>45</v>
      </c>
      <c r="G3569">
        <v>-455.57580000000002</v>
      </c>
      <c r="H3569">
        <v>1.015862</v>
      </c>
      <c r="I3569">
        <v>207.09119999999999</v>
      </c>
      <c r="J3569">
        <v>-487.02710000000002</v>
      </c>
      <c r="K3569">
        <v>1.1256379999999999</v>
      </c>
      <c r="L3569">
        <v>223.60820000000001</v>
      </c>
      <c r="M3569">
        <v>0.62089559999999999</v>
      </c>
      <c r="N3569">
        <v>-9.2166609999999993E-3</v>
      </c>
      <c r="O3569">
        <v>-0.78383910000000001</v>
      </c>
      <c r="P3569">
        <v>0.73631880000000005</v>
      </c>
      <c r="Q3569">
        <v>0.16367670000000001</v>
      </c>
      <c r="R3569">
        <v>-0.65654009999999996</v>
      </c>
      <c r="S3569">
        <v>2.7763059999999999</v>
      </c>
      <c r="T3569">
        <v>-9.6396209999999993E-3</v>
      </c>
      <c r="U3569">
        <v>-1.4660489999999999</v>
      </c>
      <c r="V3569">
        <v>-0.17136390000000001</v>
      </c>
      <c r="W3569">
        <v>0.170796799999999</v>
      </c>
      <c r="X3569">
        <v>0.97029010000000004</v>
      </c>
      <c r="Y3569">
        <v>-0.40319870000000002</v>
      </c>
      <c r="Z3569">
        <v>-3.2116610000000002E-3</v>
      </c>
      <c r="AA3569">
        <v>0.9151068</v>
      </c>
      <c r="AB3569">
        <v>22</v>
      </c>
      <c r="AC3569">
        <v>31.4513</v>
      </c>
      <c r="AD3569">
        <v>-0.109775999999999</v>
      </c>
      <c r="AE3569">
        <v>-16.516999999999999</v>
      </c>
      <c r="AF3569">
        <v>-14.397899923347101</v>
      </c>
      <c r="AG3569">
        <v>-0.109775999999999</v>
      </c>
      <c r="AH3569">
        <v>32.475713037470598</v>
      </c>
      <c r="AI3569">
        <v>90.177053242809606</v>
      </c>
      <c r="AJ3569">
        <v>113.90979821630199</v>
      </c>
      <c r="AK3569">
        <v>35.524407247201701</v>
      </c>
      <c r="AL3569">
        <v>80.1658501436536</v>
      </c>
      <c r="AM3569">
        <v>100.015781367787</v>
      </c>
      <c r="AN3569">
        <v>1.0000000056357301</v>
      </c>
    </row>
    <row r="3570" spans="1:40" x14ac:dyDescent="0.25">
      <c r="A3570" t="str">
        <f>"20190303170323324"</f>
        <v>20190303170323324</v>
      </c>
      <c r="B3570" t="str">
        <f>"1551603803319184"</f>
        <v>1551603803319184</v>
      </c>
      <c r="C3570" t="s">
        <v>40</v>
      </c>
      <c r="D3570">
        <v>4.6418540000000004</v>
      </c>
      <c r="E3570">
        <v>0.3402191</v>
      </c>
      <c r="F3570" t="s">
        <v>80</v>
      </c>
      <c r="G3570">
        <v>-366.25760000000002</v>
      </c>
      <c r="H3570">
        <v>1.942215</v>
      </c>
      <c r="I3570">
        <v>168.24709999999999</v>
      </c>
      <c r="J3570">
        <v>-486.87810000000002</v>
      </c>
      <c r="K3570">
        <v>1.1256870000000001</v>
      </c>
      <c r="L3570">
        <v>223.43389999999999</v>
      </c>
      <c r="M3570">
        <v>0.62678679999999998</v>
      </c>
      <c r="N3570">
        <v>-9.3809289999999997E-3</v>
      </c>
      <c r="O3570">
        <v>-0.77913449999999995</v>
      </c>
      <c r="P3570">
        <v>0.74114089999999999</v>
      </c>
      <c r="Q3570">
        <v>0.16347239999999999</v>
      </c>
      <c r="R3570">
        <v>-0.65114300000000003</v>
      </c>
      <c r="S3570">
        <v>2.8890989999999999</v>
      </c>
      <c r="T3570">
        <v>1.953411E-2</v>
      </c>
      <c r="U3570">
        <v>-1.324371</v>
      </c>
      <c r="V3570">
        <v>-0.17118269999999999</v>
      </c>
      <c r="W3570">
        <v>0.1707437</v>
      </c>
      <c r="X3570">
        <v>0.97033139999999996</v>
      </c>
      <c r="Y3570">
        <v>-0.4470133</v>
      </c>
      <c r="Z3570">
        <v>-1.161937E-2</v>
      </c>
      <c r="AA3570">
        <v>0.89445189999999997</v>
      </c>
      <c r="AB3570">
        <v>23</v>
      </c>
      <c r="AC3570">
        <v>120.62050000000001</v>
      </c>
      <c r="AD3570">
        <v>0.81652800000000003</v>
      </c>
      <c r="AE3570">
        <v>-55.186799999999998</v>
      </c>
      <c r="AF3570">
        <v>-59.389590275923801</v>
      </c>
      <c r="AG3570">
        <v>0.81652800000000003</v>
      </c>
      <c r="AH3570">
        <v>118.601986160374</v>
      </c>
      <c r="AI3570">
        <v>89.6472951492985</v>
      </c>
      <c r="AJ3570">
        <v>116.59928148702799</v>
      </c>
      <c r="AK3570">
        <v>132.64321042670301</v>
      </c>
      <c r="AL3570">
        <v>80.168937620224497</v>
      </c>
      <c r="AM3570">
        <v>100.0049875446</v>
      </c>
      <c r="AN3570">
        <v>0.999999976847469</v>
      </c>
    </row>
    <row r="3571" spans="1:40" x14ac:dyDescent="0.25">
      <c r="A3571" t="str">
        <f>"20190303170323347"</f>
        <v>20190303170323347</v>
      </c>
      <c r="B3571" t="str">
        <f>"1551603803339680"</f>
        <v>1551603803339680</v>
      </c>
      <c r="C3571" t="s">
        <v>40</v>
      </c>
      <c r="D3571">
        <v>4.5747849999999897</v>
      </c>
      <c r="E3571">
        <v>0.33928540000000001</v>
      </c>
      <c r="F3571" t="s">
        <v>59</v>
      </c>
      <c r="G3571">
        <v>-158.73670000000001</v>
      </c>
      <c r="H3571">
        <v>17.67182</v>
      </c>
      <c r="I3571">
        <v>115.9008</v>
      </c>
      <c r="J3571">
        <v>-486.72809999999998</v>
      </c>
      <c r="K3571">
        <v>1.125737</v>
      </c>
      <c r="L3571">
        <v>223.2611</v>
      </c>
      <c r="M3571">
        <v>0.63264519999999902</v>
      </c>
      <c r="N3571">
        <v>-9.568343E-3</v>
      </c>
      <c r="O3571">
        <v>-0.77438289999999999</v>
      </c>
      <c r="P3571">
        <v>0.74594329999999998</v>
      </c>
      <c r="Q3571">
        <v>0.16219929999999999</v>
      </c>
      <c r="R3571">
        <v>-0.645957</v>
      </c>
      <c r="S3571">
        <v>3.116028</v>
      </c>
      <c r="T3571">
        <v>0.15712200000000001</v>
      </c>
      <c r="U3571">
        <v>-1.0211330000000001</v>
      </c>
      <c r="V3571">
        <v>-0.17084540000000001</v>
      </c>
      <c r="W3571">
        <v>0.16964849999999901</v>
      </c>
      <c r="X3571">
        <v>0.97058299999999997</v>
      </c>
      <c r="Y3571">
        <v>-0.53739239999999999</v>
      </c>
      <c r="Z3571">
        <v>-5.1548049999999998E-2</v>
      </c>
      <c r="AA3571">
        <v>0.84175540000000004</v>
      </c>
      <c r="AB3571">
        <v>23</v>
      </c>
      <c r="AC3571">
        <v>327.9914</v>
      </c>
      <c r="AD3571">
        <v>16.546082999999999</v>
      </c>
      <c r="AE3571">
        <v>-107.3603</v>
      </c>
      <c r="AF3571">
        <v>-185.65169858741299</v>
      </c>
      <c r="AG3571">
        <v>16.546082999999999</v>
      </c>
      <c r="AH3571">
        <v>289.986854328498</v>
      </c>
      <c r="AI3571">
        <v>87.248834322726694</v>
      </c>
      <c r="AJ3571">
        <v>122.62766802273801</v>
      </c>
      <c r="AK3571">
        <v>344.72119420536399</v>
      </c>
      <c r="AL3571">
        <v>80.232617872598794</v>
      </c>
      <c r="AM3571">
        <v>99.983134322530404</v>
      </c>
      <c r="AN3571">
        <v>1.0000000620712</v>
      </c>
    </row>
    <row r="3572" spans="1:40" x14ac:dyDescent="0.25">
      <c r="A3572" t="str">
        <f>"20190303170323368"</f>
        <v>20190303170323368</v>
      </c>
      <c r="B3572" t="str">
        <f>"1551603803359199"</f>
        <v>1551603803359199</v>
      </c>
      <c r="C3572" t="s">
        <v>40</v>
      </c>
      <c r="D3572">
        <v>4.6118410000000001</v>
      </c>
      <c r="E3572">
        <v>0.33996949999999998</v>
      </c>
      <c r="F3572" t="s">
        <v>59</v>
      </c>
      <c r="G3572">
        <v>-157.00129999999999</v>
      </c>
      <c r="H3572">
        <v>16.989270000000001</v>
      </c>
      <c r="I3572">
        <v>118.63339999999999</v>
      </c>
      <c r="J3572">
        <v>-486.58300000000003</v>
      </c>
      <c r="K3572">
        <v>1.1257969999999999</v>
      </c>
      <c r="L3572">
        <v>223.09649999999999</v>
      </c>
      <c r="M3572">
        <v>0.63824559999999997</v>
      </c>
      <c r="N3572">
        <v>-9.7743959999999994E-3</v>
      </c>
      <c r="O3572">
        <v>-0.76977090000000004</v>
      </c>
      <c r="P3572">
        <v>0.7506488</v>
      </c>
      <c r="Q3572">
        <v>0.16160379999999999</v>
      </c>
      <c r="R3572">
        <v>-0.64063309999999996</v>
      </c>
      <c r="S3572">
        <v>3.1292110000000002</v>
      </c>
      <c r="T3572">
        <v>0.15054999999999999</v>
      </c>
      <c r="U3572">
        <v>-0.99295040000000001</v>
      </c>
      <c r="V3572">
        <v>-0.17081389999999999</v>
      </c>
      <c r="W3572">
        <v>0.16924339999999999</v>
      </c>
      <c r="X3572">
        <v>0.97065919999999895</v>
      </c>
      <c r="Y3572">
        <v>-0.53930909999999999</v>
      </c>
      <c r="Z3572">
        <v>-4.9531449999999998E-2</v>
      </c>
      <c r="AA3572">
        <v>0.84064989999999995</v>
      </c>
      <c r="AB3572">
        <v>23</v>
      </c>
      <c r="AC3572">
        <v>329.58170000000001</v>
      </c>
      <c r="AD3572">
        <v>15.863473000000001</v>
      </c>
      <c r="AE3572">
        <v>-104.4631</v>
      </c>
      <c r="AF3572">
        <v>-186.645274354436</v>
      </c>
      <c r="AG3572">
        <v>15.863473000000001</v>
      </c>
      <c r="AH3572">
        <v>290.16971434692698</v>
      </c>
      <c r="AI3572">
        <v>87.367442012658799</v>
      </c>
      <c r="AJ3572">
        <v>122.750257320679</v>
      </c>
      <c r="AK3572">
        <v>345.37888085208903</v>
      </c>
      <c r="AL3572">
        <v>80.256168338837597</v>
      </c>
      <c r="AM3572">
        <v>99.980562865849095</v>
      </c>
      <c r="AN3572">
        <v>0.99999999971070397</v>
      </c>
    </row>
    <row r="3573" spans="1:40" x14ac:dyDescent="0.25">
      <c r="A3573" t="str">
        <f>"20190303170323391"</f>
        <v>20190303170323391</v>
      </c>
      <c r="B3573" t="str">
        <f>"1551603803378720"</f>
        <v>1551603803378720</v>
      </c>
      <c r="C3573" t="s">
        <v>40</v>
      </c>
      <c r="D3573">
        <v>4.6339489999999897</v>
      </c>
      <c r="E3573">
        <v>0.34090359999999997</v>
      </c>
      <c r="F3573" t="s">
        <v>59</v>
      </c>
      <c r="G3573">
        <v>-148.37790000000001</v>
      </c>
      <c r="H3573">
        <v>16.702310000000001</v>
      </c>
      <c r="I3573">
        <v>117.90560000000001</v>
      </c>
      <c r="J3573">
        <v>-486.4359</v>
      </c>
      <c r="K3573">
        <v>1.1258680000000001</v>
      </c>
      <c r="L3573">
        <v>222.93209999999999</v>
      </c>
      <c r="M3573">
        <v>0.64386390000000004</v>
      </c>
      <c r="N3573">
        <v>-1.002364E-2</v>
      </c>
      <c r="O3573">
        <v>-0.76507449999999999</v>
      </c>
      <c r="P3573">
        <v>0.75534230000000002</v>
      </c>
      <c r="Q3573">
        <v>0.16318389999999999</v>
      </c>
      <c r="R3573">
        <v>-0.63468800000000003</v>
      </c>
      <c r="S3573">
        <v>3.133667</v>
      </c>
      <c r="T3573">
        <v>0.14432600000000001</v>
      </c>
      <c r="U3573">
        <v>-0.97465520000000005</v>
      </c>
      <c r="V3573">
        <v>-0.17113879999999901</v>
      </c>
      <c r="W3573">
        <v>0.1710486</v>
      </c>
      <c r="X3573">
        <v>0.97028550000000002</v>
      </c>
      <c r="Y3573">
        <v>-0.53805749999999997</v>
      </c>
      <c r="Z3573">
        <v>-4.7667639999999997E-2</v>
      </c>
      <c r="AA3573">
        <v>0.84155919999999895</v>
      </c>
      <c r="AB3573">
        <v>23</v>
      </c>
      <c r="AC3573">
        <v>338.05799999999999</v>
      </c>
      <c r="AD3573">
        <v>15.576442</v>
      </c>
      <c r="AE3573">
        <v>-105.026499999999</v>
      </c>
      <c r="AF3573">
        <v>-190.65722258776299</v>
      </c>
      <c r="AG3573">
        <v>15.576442</v>
      </c>
      <c r="AH3573">
        <v>297.455467415648</v>
      </c>
      <c r="AI3573">
        <v>87.475645212512205</v>
      </c>
      <c r="AJ3573">
        <v>122.65826971701</v>
      </c>
      <c r="AK3573">
        <v>353.655987035029</v>
      </c>
      <c r="AL3573">
        <v>80.151207855037796</v>
      </c>
      <c r="AM3573">
        <v>100.002937192602</v>
      </c>
      <c r="AN3573">
        <v>1.00000003196882</v>
      </c>
    </row>
    <row r="3574" spans="1:40" x14ac:dyDescent="0.25">
      <c r="A3574" t="str">
        <f>"20190303170323413"</f>
        <v>20190303170323413</v>
      </c>
      <c r="B3574" t="str">
        <f>"1551603803408976"</f>
        <v>1551603803408976</v>
      </c>
      <c r="C3574" t="s">
        <v>40</v>
      </c>
      <c r="D3574">
        <v>4.5934589999999904</v>
      </c>
      <c r="E3574">
        <v>0.34241440000000001</v>
      </c>
      <c r="F3574" t="s">
        <v>81</v>
      </c>
      <c r="G3574">
        <v>-342.95530000000002</v>
      </c>
      <c r="H3574">
        <v>7.7366699999999904</v>
      </c>
      <c r="I3574">
        <v>179.18610000000001</v>
      </c>
      <c r="J3574">
        <v>-486.28410000000002</v>
      </c>
      <c r="K3574">
        <v>1.1259509999999999</v>
      </c>
      <c r="L3574">
        <v>222.76499999999999</v>
      </c>
      <c r="M3574">
        <v>0.64959719999999999</v>
      </c>
      <c r="N3574">
        <v>-1.032859E-2</v>
      </c>
      <c r="O3574">
        <v>-0.76020849999999995</v>
      </c>
      <c r="P3574">
        <v>0.75999450000000002</v>
      </c>
      <c r="Q3574">
        <v>0.1649475</v>
      </c>
      <c r="R3574">
        <v>-0.62865019999999905</v>
      </c>
      <c r="S3574">
        <v>3.1368710000000002</v>
      </c>
      <c r="T3574">
        <v>0.14453089999999999</v>
      </c>
      <c r="U3574">
        <v>-0.95640559999999997</v>
      </c>
      <c r="V3574">
        <v>-0.17131679999999999</v>
      </c>
      <c r="W3574">
        <v>0.17309240000000001</v>
      </c>
      <c r="X3574">
        <v>0.96989150000000002</v>
      </c>
      <c r="Y3574">
        <v>-0.53643099999999999</v>
      </c>
      <c r="Z3574">
        <v>-4.7701510000000003E-2</v>
      </c>
      <c r="AA3574">
        <v>0.84259499999999998</v>
      </c>
      <c r="AB3574">
        <v>23</v>
      </c>
      <c r="AC3574">
        <v>143.3288</v>
      </c>
      <c r="AD3574">
        <v>6.6107189999999996</v>
      </c>
      <c r="AE3574">
        <v>-43.578899999999898</v>
      </c>
      <c r="AF3574">
        <v>-80.498582114858706</v>
      </c>
      <c r="AG3574">
        <v>6.6107189999999996</v>
      </c>
      <c r="AH3574">
        <v>125.996409229175</v>
      </c>
      <c r="AI3574">
        <v>87.468370785864593</v>
      </c>
      <c r="AJ3574">
        <v>122.57434008973</v>
      </c>
      <c r="AK3574">
        <v>149.66234819367699</v>
      </c>
      <c r="AL3574">
        <v>80.032333079843198</v>
      </c>
      <c r="AM3574">
        <v>100.0171159983</v>
      </c>
      <c r="AN3574">
        <v>0.999999973336124</v>
      </c>
    </row>
    <row r="3575" spans="1:40" x14ac:dyDescent="0.25">
      <c r="A3575" t="str">
        <f>"20190303170323437"</f>
        <v>20190303170323437</v>
      </c>
      <c r="B3575" t="str">
        <f>"1551603803429471"</f>
        <v>1551603803429471</v>
      </c>
      <c r="C3575" t="s">
        <v>40</v>
      </c>
      <c r="D3575">
        <v>4.4654610000000003</v>
      </c>
      <c r="E3575">
        <v>0.341472099999999</v>
      </c>
      <c r="F3575" t="s">
        <v>81</v>
      </c>
      <c r="G3575">
        <v>-342.69650000000001</v>
      </c>
      <c r="H3575">
        <v>7.6730929999999997</v>
      </c>
      <c r="I3575">
        <v>179.65029999999999</v>
      </c>
      <c r="J3575">
        <v>-486.13010000000003</v>
      </c>
      <c r="K3575">
        <v>1.1260319999999999</v>
      </c>
      <c r="L3575">
        <v>222.59809999999999</v>
      </c>
      <c r="M3575">
        <v>0.65536219999999901</v>
      </c>
      <c r="N3575">
        <v>-1.06804E-2</v>
      </c>
      <c r="O3575">
        <v>-0.75523929999999995</v>
      </c>
      <c r="P3575">
        <v>0.76469129999999996</v>
      </c>
      <c r="Q3575">
        <v>0.1642604</v>
      </c>
      <c r="R3575">
        <v>-0.62310980000000005</v>
      </c>
      <c r="S3575">
        <v>3.1372070000000001</v>
      </c>
      <c r="T3575">
        <v>0.1430477</v>
      </c>
      <c r="U3575">
        <v>-0.94200130000000004</v>
      </c>
      <c r="V3575">
        <v>-0.1711009</v>
      </c>
      <c r="W3575">
        <v>0.17274110000000001</v>
      </c>
      <c r="X3575">
        <v>0.96999230000000003</v>
      </c>
      <c r="Y3575">
        <v>-0.53359619999999996</v>
      </c>
      <c r="Z3575">
        <v>-4.7268690000000002E-2</v>
      </c>
      <c r="AA3575">
        <v>0.84441749999999904</v>
      </c>
      <c r="AB3575">
        <v>23</v>
      </c>
      <c r="AC3575">
        <v>143.43360000000001</v>
      </c>
      <c r="AD3575">
        <v>6.5470609999999896</v>
      </c>
      <c r="AE3575">
        <v>-42.947800000000001</v>
      </c>
      <c r="AF3575">
        <v>-80.031871360975799</v>
      </c>
      <c r="AG3575">
        <v>6.5470609999999896</v>
      </c>
      <c r="AH3575">
        <v>126.20272554544501</v>
      </c>
      <c r="AI3575">
        <v>87.491434981144707</v>
      </c>
      <c r="AJ3575">
        <v>122.38096091533799</v>
      </c>
      <c r="AK3575">
        <v>149.58306179636901</v>
      </c>
      <c r="AL3575">
        <v>80.052769532268996</v>
      </c>
      <c r="AM3575">
        <v>100.00372857372</v>
      </c>
      <c r="AN3575">
        <v>1.00000003383465</v>
      </c>
    </row>
    <row r="3576" spans="1:40" x14ac:dyDescent="0.25">
      <c r="A3576" t="str">
        <f>"20190303170323460"</f>
        <v>20190303170323460</v>
      </c>
      <c r="B3576" t="str">
        <f>"1551603803448991"</f>
        <v>1551603803448991</v>
      </c>
      <c r="C3576" t="s">
        <v>40</v>
      </c>
      <c r="D3576">
        <v>4.4662620000000004</v>
      </c>
      <c r="E3576">
        <v>0.34084350000000002</v>
      </c>
      <c r="F3576" t="s">
        <v>59</v>
      </c>
      <c r="G3576">
        <v>-124.80759999999999</v>
      </c>
      <c r="H3576">
        <v>18.331420000000001</v>
      </c>
      <c r="I3576">
        <v>117.9061</v>
      </c>
      <c r="J3576">
        <v>-485.96960000000001</v>
      </c>
      <c r="K3576">
        <v>1.1261110000000001</v>
      </c>
      <c r="L3576">
        <v>222.4272</v>
      </c>
      <c r="M3576">
        <v>0.66131899999999999</v>
      </c>
      <c r="N3576">
        <v>-1.106443E-2</v>
      </c>
      <c r="O3576">
        <v>-0.75002329999999995</v>
      </c>
      <c r="P3576">
        <v>0.76905849999999998</v>
      </c>
      <c r="Q3576">
        <v>0.16247519999999999</v>
      </c>
      <c r="R3576">
        <v>-0.6181837</v>
      </c>
      <c r="S3576">
        <v>3.1477970000000002</v>
      </c>
      <c r="T3576">
        <v>0.14989129999999901</v>
      </c>
      <c r="U3576">
        <v>-0.91206359999999997</v>
      </c>
      <c r="V3576">
        <v>-0.16992989999999999</v>
      </c>
      <c r="W3576">
        <v>0.17133570000000001</v>
      </c>
      <c r="X3576">
        <v>0.97044719999999995</v>
      </c>
      <c r="Y3576">
        <v>-0.5349602</v>
      </c>
      <c r="Z3576">
        <v>-4.9216950000000002E-2</v>
      </c>
      <c r="AA3576">
        <v>0.84344249999999898</v>
      </c>
      <c r="AB3576">
        <v>23</v>
      </c>
      <c r="AC3576">
        <v>361.16199999999998</v>
      </c>
      <c r="AD3576">
        <v>17.205309</v>
      </c>
      <c r="AE3576">
        <v>-104.5211</v>
      </c>
      <c r="AF3576">
        <v>-201.34881966297201</v>
      </c>
      <c r="AG3576">
        <v>17.205309</v>
      </c>
      <c r="AH3576">
        <v>316.59297621348401</v>
      </c>
      <c r="AI3576">
        <v>87.374438964692601</v>
      </c>
      <c r="AJ3576">
        <v>122.455804570993</v>
      </c>
      <c r="AK3576">
        <v>375.59084443735998</v>
      </c>
      <c r="AL3576">
        <v>80.134510752782901</v>
      </c>
      <c r="AM3576">
        <v>99.932067972898096</v>
      </c>
      <c r="AN3576">
        <v>0.99999993049816704</v>
      </c>
    </row>
    <row r="3577" spans="1:40" x14ac:dyDescent="0.25">
      <c r="A3577" t="str">
        <f>"20190303170323481"</f>
        <v>20190303170323481</v>
      </c>
      <c r="B3577" t="str">
        <f>"1551603803468512"</f>
        <v>1551603803468512</v>
      </c>
      <c r="C3577" t="s">
        <v>40</v>
      </c>
      <c r="D3577">
        <v>4.4584999999999999</v>
      </c>
      <c r="E3577">
        <v>0.34034449999999999</v>
      </c>
      <c r="F3577" t="s">
        <v>82</v>
      </c>
      <c r="G3577">
        <v>-362.09719999999999</v>
      </c>
      <c r="H3577">
        <v>7.1531690000000001</v>
      </c>
      <c r="I3577">
        <v>187.65110000000001</v>
      </c>
      <c r="J3577">
        <v>-485.82580000000002</v>
      </c>
      <c r="K3577">
        <v>1.126179</v>
      </c>
      <c r="L3577">
        <v>222.2764</v>
      </c>
      <c r="M3577">
        <v>0.66661539999999997</v>
      </c>
      <c r="N3577">
        <v>-1.1394339999999999E-2</v>
      </c>
      <c r="O3577">
        <v>-0.7453149</v>
      </c>
      <c r="P3577">
        <v>0.77260269999999898</v>
      </c>
      <c r="Q3577">
        <v>0.16140499999999999</v>
      </c>
      <c r="R3577">
        <v>-0.61403050000000003</v>
      </c>
      <c r="S3577">
        <v>3.1562190000000001</v>
      </c>
      <c r="T3577">
        <v>0.15356919999999999</v>
      </c>
      <c r="U3577">
        <v>-0.88607789999999997</v>
      </c>
      <c r="V3577">
        <v>-0.16844870000000001</v>
      </c>
      <c r="W3577">
        <v>0.1705962</v>
      </c>
      <c r="X3577">
        <v>0.97083569999999997</v>
      </c>
      <c r="Y3577">
        <v>-0.53593610000000003</v>
      </c>
      <c r="Z3577">
        <v>-5.0237829999999997E-2</v>
      </c>
      <c r="AA3577">
        <v>0.84276249999999997</v>
      </c>
      <c r="AB3577">
        <v>22</v>
      </c>
      <c r="AC3577">
        <v>123.7286</v>
      </c>
      <c r="AD3577">
        <v>6.0269899999999996</v>
      </c>
      <c r="AE3577">
        <v>-34.625299999999903</v>
      </c>
      <c r="AF3577">
        <v>-68.987686437205099</v>
      </c>
      <c r="AG3577">
        <v>6.0269899999999996</v>
      </c>
      <c r="AH3577">
        <v>108.055387893979</v>
      </c>
      <c r="AI3577">
        <v>87.308371835763296</v>
      </c>
      <c r="AJ3577">
        <v>122.556092177762</v>
      </c>
      <c r="AK3577">
        <v>128.341701489954</v>
      </c>
      <c r="AL3577">
        <v>80.177514739189306</v>
      </c>
      <c r="AM3577">
        <v>99.843333255044996</v>
      </c>
      <c r="AN3577">
        <v>0.99999999219030999</v>
      </c>
    </row>
    <row r="3578" spans="1:40" x14ac:dyDescent="0.25">
      <c r="A3578" t="str">
        <f>"20190303170323503"</f>
        <v>20190303170323503</v>
      </c>
      <c r="B3578" t="str">
        <f>"1551603803498767"</f>
        <v>1551603803498767</v>
      </c>
      <c r="C3578" t="s">
        <v>40</v>
      </c>
      <c r="D3578">
        <v>4.4526009999999996</v>
      </c>
      <c r="E3578">
        <v>0.34030290000000002</v>
      </c>
      <c r="F3578" t="s">
        <v>83</v>
      </c>
      <c r="G3578">
        <v>-101.5933</v>
      </c>
      <c r="H3578">
        <v>20.48038</v>
      </c>
      <c r="I3578">
        <v>117.2317</v>
      </c>
      <c r="J3578">
        <v>-485.6703</v>
      </c>
      <c r="K3578">
        <v>1.1262529999999999</v>
      </c>
      <c r="L3578">
        <v>222.11580000000001</v>
      </c>
      <c r="M3578">
        <v>0.67229899999999998</v>
      </c>
      <c r="N3578">
        <v>-1.172203E-2</v>
      </c>
      <c r="O3578">
        <v>-0.74018689999999998</v>
      </c>
      <c r="P3578">
        <v>0.77615990000000001</v>
      </c>
      <c r="Q3578">
        <v>0.16181619999999999</v>
      </c>
      <c r="R3578">
        <v>-0.60941889999999999</v>
      </c>
      <c r="S3578">
        <v>3.1625670000000001</v>
      </c>
      <c r="T3578">
        <v>0.1593019</v>
      </c>
      <c r="U3578">
        <v>-0.86460879999999996</v>
      </c>
      <c r="V3578">
        <v>-0.16675279999999901</v>
      </c>
      <c r="W3578">
        <v>0.17133380000000001</v>
      </c>
      <c r="X3578">
        <v>0.97099860000000005</v>
      </c>
      <c r="Y3578">
        <v>-0.53513069999999996</v>
      </c>
      <c r="Z3578">
        <v>-5.1790419999999997E-2</v>
      </c>
      <c r="AA3578">
        <v>0.84318019999999905</v>
      </c>
      <c r="AB3578">
        <v>22</v>
      </c>
      <c r="AC3578">
        <v>384.077</v>
      </c>
      <c r="AD3578">
        <v>19.354126999999998</v>
      </c>
      <c r="AE3578">
        <v>-104.8841</v>
      </c>
      <c r="AF3578">
        <v>-213.28596980320501</v>
      </c>
      <c r="AG3578">
        <v>19.354126999999998</v>
      </c>
      <c r="AH3578">
        <v>335.07968324077302</v>
      </c>
      <c r="AI3578">
        <v>87.210402034969604</v>
      </c>
      <c r="AJ3578">
        <v>122.477696274105</v>
      </c>
      <c r="AK3578">
        <v>397.673083408423</v>
      </c>
      <c r="AL3578">
        <v>80.134622182996694</v>
      </c>
      <c r="AM3578">
        <v>99.744539250541294</v>
      </c>
      <c r="AN3578">
        <v>1.00000002426611</v>
      </c>
    </row>
    <row r="3579" spans="1:40" x14ac:dyDescent="0.25">
      <c r="A3579" t="str">
        <f>"20190303170323527"</f>
        <v>20190303170323527</v>
      </c>
      <c r="B3579" t="str">
        <f>"1551603803519263"</f>
        <v>1551603803519263</v>
      </c>
      <c r="C3579" t="s">
        <v>40</v>
      </c>
      <c r="D3579">
        <v>4.4838969999999998</v>
      </c>
      <c r="E3579">
        <v>0.34059099999999998</v>
      </c>
      <c r="F3579" t="s">
        <v>82</v>
      </c>
      <c r="G3579">
        <v>-363.51859999999999</v>
      </c>
      <c r="H3579">
        <v>7.5035600000000002</v>
      </c>
      <c r="I3579">
        <v>189.52950000000001</v>
      </c>
      <c r="J3579">
        <v>-485.51190000000003</v>
      </c>
      <c r="K3579">
        <v>1.1263259999999999</v>
      </c>
      <c r="L3579">
        <v>221.95480000000001</v>
      </c>
      <c r="M3579">
        <v>0.67805009999999999</v>
      </c>
      <c r="N3579">
        <v>-1.202579E-2</v>
      </c>
      <c r="O3579">
        <v>-0.73491770000000001</v>
      </c>
      <c r="P3579">
        <v>0.78012689999999996</v>
      </c>
      <c r="Q3579">
        <v>0.16320879999999999</v>
      </c>
      <c r="R3579">
        <v>-0.60395849999999995</v>
      </c>
      <c r="S3579">
        <v>3.1672669999999998</v>
      </c>
      <c r="T3579">
        <v>0.16535910000000001</v>
      </c>
      <c r="U3579">
        <v>-0.84492489999999998</v>
      </c>
      <c r="V3579">
        <v>-0.16581000000000001</v>
      </c>
      <c r="W3579">
        <v>0.1730177</v>
      </c>
      <c r="X3579">
        <v>0.97086139999999999</v>
      </c>
      <c r="Y3579">
        <v>-0.53363899999999997</v>
      </c>
      <c r="Z3579">
        <v>-5.3398189999999998E-2</v>
      </c>
      <c r="AA3579">
        <v>0.84402500000000003</v>
      </c>
      <c r="AB3579">
        <v>22</v>
      </c>
      <c r="AC3579">
        <v>121.9933</v>
      </c>
      <c r="AD3579">
        <v>6.3772339999999996</v>
      </c>
      <c r="AE3579">
        <v>-32.425299999999901</v>
      </c>
      <c r="AF3579">
        <v>-67.501641246081604</v>
      </c>
      <c r="AG3579">
        <v>6.3772339999999996</v>
      </c>
      <c r="AH3579">
        <v>106.28389285518401</v>
      </c>
      <c r="AI3579">
        <v>87.100441470381895</v>
      </c>
      <c r="AJ3579">
        <v>122.419914900328</v>
      </c>
      <c r="AK3579">
        <v>126.06905474721999</v>
      </c>
      <c r="AL3579">
        <v>80.036678599328198</v>
      </c>
      <c r="AM3579">
        <v>99.691835827974003</v>
      </c>
      <c r="AN3579">
        <v>0.99999996931162405</v>
      </c>
    </row>
    <row r="3580" spans="1:40" x14ac:dyDescent="0.25">
      <c r="A3580" t="str">
        <f>"20190303170323548"</f>
        <v>20190303170323548</v>
      </c>
      <c r="B3580" t="str">
        <f>"1551603803538656"</f>
        <v>1551603803538656</v>
      </c>
      <c r="C3580" t="s">
        <v>40</v>
      </c>
      <c r="D3580">
        <v>4.4949500000000002</v>
      </c>
      <c r="E3580">
        <v>0.34103159999999999</v>
      </c>
      <c r="F3580" t="s">
        <v>82</v>
      </c>
      <c r="G3580">
        <v>-363.44450000000001</v>
      </c>
      <c r="H3580">
        <v>7.6733560000000001</v>
      </c>
      <c r="I3580">
        <v>190.21299999999999</v>
      </c>
      <c r="J3580">
        <v>-485.36180000000002</v>
      </c>
      <c r="K3580">
        <v>1.1263749999999999</v>
      </c>
      <c r="L3580">
        <v>221.8047</v>
      </c>
      <c r="M3580">
        <v>0.68346569999999995</v>
      </c>
      <c r="N3580">
        <v>-1.2287650000000001E-2</v>
      </c>
      <c r="O3580">
        <v>-0.72987919999999995</v>
      </c>
      <c r="P3580">
        <v>0.78412939999999998</v>
      </c>
      <c r="Q3580">
        <v>0.1630703</v>
      </c>
      <c r="R3580">
        <v>-0.59879009999999999</v>
      </c>
      <c r="S3580">
        <v>3.171478</v>
      </c>
      <c r="T3580">
        <v>0.17010310000000001</v>
      </c>
      <c r="U3580">
        <v>-0.82469179999999997</v>
      </c>
      <c r="V3580">
        <v>-0.1650761</v>
      </c>
      <c r="W3580">
        <v>0.1731328</v>
      </c>
      <c r="X3580">
        <v>0.970966</v>
      </c>
      <c r="Y3580">
        <v>-0.53261480000000005</v>
      </c>
      <c r="Z3580">
        <v>-5.461995E-2</v>
      </c>
      <c r="AA3580">
        <v>0.8445935</v>
      </c>
      <c r="AB3580">
        <v>22</v>
      </c>
      <c r="AC3580">
        <v>121.9173</v>
      </c>
      <c r="AD3580">
        <v>6.5469809999999997</v>
      </c>
      <c r="AE3580">
        <v>-31.591699999999999</v>
      </c>
      <c r="AF3580">
        <v>-67.216509633951205</v>
      </c>
      <c r="AG3580">
        <v>6.5469809999999997</v>
      </c>
      <c r="AH3580">
        <v>106.105724133325</v>
      </c>
      <c r="AI3580">
        <v>87.016227159714305</v>
      </c>
      <c r="AJ3580">
        <v>122.35369335584301</v>
      </c>
      <c r="AK3580">
        <v>125.77498487951701</v>
      </c>
      <c r="AL3580">
        <v>80.029983409126999</v>
      </c>
      <c r="AM3580">
        <v>99.6487266515784</v>
      </c>
      <c r="AN3580">
        <v>1.0000000291915201</v>
      </c>
    </row>
    <row r="3581" spans="1:40" x14ac:dyDescent="0.25">
      <c r="A3581" t="str">
        <f>"20190303170323570"</f>
        <v>20190303170323570</v>
      </c>
      <c r="B3581" t="str">
        <f>"1551603803559153"</f>
        <v>1551603803559153</v>
      </c>
      <c r="C3581" t="s">
        <v>40</v>
      </c>
      <c r="D3581">
        <v>4.4829589999999904</v>
      </c>
      <c r="E3581">
        <v>0.34114499999999998</v>
      </c>
      <c r="F3581" t="s">
        <v>82</v>
      </c>
      <c r="G3581">
        <v>-361.45370000000003</v>
      </c>
      <c r="H3581">
        <v>7.7781330000000004</v>
      </c>
      <c r="I3581">
        <v>190.3365</v>
      </c>
      <c r="J3581">
        <v>-485.20749999999998</v>
      </c>
      <c r="K3581">
        <v>1.126404</v>
      </c>
      <c r="L3581">
        <v>221.65270000000001</v>
      </c>
      <c r="M3581">
        <v>0.68900360000000005</v>
      </c>
      <c r="N3581">
        <v>-1.253028E-2</v>
      </c>
      <c r="O3581">
        <v>-0.72464949999999995</v>
      </c>
      <c r="P3581">
        <v>0.7890239</v>
      </c>
      <c r="Q3581">
        <v>0.16205729999999999</v>
      </c>
      <c r="R3581">
        <v>-0.59260360000000001</v>
      </c>
      <c r="S3581">
        <v>3.1747740000000002</v>
      </c>
      <c r="T3581">
        <v>0.17043359999999999</v>
      </c>
      <c r="U3581">
        <v>-0.80627439999999995</v>
      </c>
      <c r="V3581">
        <v>-0.16547020000000001</v>
      </c>
      <c r="W3581">
        <v>0.17234279999999999</v>
      </c>
      <c r="X3581">
        <v>0.9710394</v>
      </c>
      <c r="Y3581">
        <v>-0.53097780000000006</v>
      </c>
      <c r="Z3581">
        <v>-5.4560230000000001E-2</v>
      </c>
      <c r="AA3581">
        <v>0.84562739999999903</v>
      </c>
      <c r="AB3581">
        <v>22</v>
      </c>
      <c r="AC3581">
        <v>123.753799999999</v>
      </c>
      <c r="AD3581">
        <v>6.6517289999999996</v>
      </c>
      <c r="AE3581">
        <v>-31.316199999999998</v>
      </c>
      <c r="AF3581">
        <v>-67.922086615161703</v>
      </c>
      <c r="AG3581">
        <v>6.6517289999999996</v>
      </c>
      <c r="AH3581">
        <v>107.676207447255</v>
      </c>
      <c r="AI3581">
        <v>87.009089466769396</v>
      </c>
      <c r="AJ3581">
        <v>122.243704230088</v>
      </c>
      <c r="AK3581">
        <v>127.48263018572899</v>
      </c>
      <c r="AL3581">
        <v>80.075937296999001</v>
      </c>
      <c r="AM3581">
        <v>99.670610062530102</v>
      </c>
      <c r="AN3581">
        <v>0.99999997207611901</v>
      </c>
    </row>
    <row r="3582" spans="1:40" x14ac:dyDescent="0.25">
      <c r="A3582" t="str">
        <f>"20190303170323591"</f>
        <v>20190303170323591</v>
      </c>
      <c r="B3582" t="str">
        <f>"1551603803578673"</f>
        <v>1551603803578673</v>
      </c>
      <c r="C3582" t="s">
        <v>40</v>
      </c>
      <c r="D3582">
        <v>4.6157899999999996</v>
      </c>
      <c r="E3582">
        <v>0.34098390000000001</v>
      </c>
      <c r="F3582" t="s">
        <v>48</v>
      </c>
      <c r="G3582">
        <v>0</v>
      </c>
      <c r="H3582">
        <v>0</v>
      </c>
      <c r="I3582">
        <v>0</v>
      </c>
      <c r="J3582">
        <v>-485.05869999999999</v>
      </c>
      <c r="K3582">
        <v>1.1264259999999999</v>
      </c>
      <c r="L3582">
        <v>221.5085</v>
      </c>
      <c r="M3582">
        <v>0.69431219999999905</v>
      </c>
      <c r="N3582">
        <v>-1.2738080000000001E-2</v>
      </c>
      <c r="O3582">
        <v>-0.71956119999999901</v>
      </c>
      <c r="P3582">
        <v>0.79430819999999902</v>
      </c>
      <c r="Q3582">
        <v>0.1623453</v>
      </c>
      <c r="R3582">
        <v>-0.585422</v>
      </c>
      <c r="S3582">
        <v>3.1806640000000002</v>
      </c>
      <c r="T3582">
        <v>0.1685953</v>
      </c>
      <c r="U3582">
        <v>-0.78138730000000001</v>
      </c>
      <c r="V3582">
        <v>-0.16711119999999999</v>
      </c>
      <c r="W3582">
        <v>0.1728027</v>
      </c>
      <c r="X3582">
        <v>0.9706766</v>
      </c>
      <c r="Y3582">
        <v>-0.53139060000000005</v>
      </c>
      <c r="Z3582">
        <v>-5.38977E-2</v>
      </c>
      <c r="AA3582">
        <v>0.84541060000000001</v>
      </c>
      <c r="AB3582">
        <v>22</v>
      </c>
      <c r="AC3582">
        <v>3.1806640000000002</v>
      </c>
      <c r="AD3582">
        <v>0.1685953</v>
      </c>
      <c r="AE3582">
        <v>-0.78138730000000001</v>
      </c>
      <c r="AF3582">
        <v>-1.74168231856742</v>
      </c>
      <c r="AG3582">
        <v>0.1685953</v>
      </c>
      <c r="AH3582">
        <v>2.7635319251220398</v>
      </c>
      <c r="AI3582">
        <v>87.0454646815394</v>
      </c>
      <c r="AJ3582">
        <v>122.220680934136</v>
      </c>
      <c r="AK3582">
        <v>3.2709311174589399</v>
      </c>
      <c r="AL3582">
        <v>80.049185826105202</v>
      </c>
      <c r="AM3582">
        <v>99.768257225686895</v>
      </c>
      <c r="AN3582">
        <v>0.99999999404014495</v>
      </c>
    </row>
    <row r="3583" spans="1:40" x14ac:dyDescent="0.25">
      <c r="A3583" t="str">
        <f>"20190303170323614"</f>
        <v>20190303170323614</v>
      </c>
      <c r="B3583" t="str">
        <f>"1551603803608929"</f>
        <v>1551603803608929</v>
      </c>
      <c r="C3583" t="s">
        <v>40</v>
      </c>
      <c r="D3583">
        <v>4.7164729999999997</v>
      </c>
      <c r="E3583">
        <v>0.3406247</v>
      </c>
      <c r="F3583" t="s">
        <v>48</v>
      </c>
      <c r="G3583">
        <v>0</v>
      </c>
      <c r="H3583">
        <v>0</v>
      </c>
      <c r="I3583">
        <v>0</v>
      </c>
      <c r="J3583">
        <v>-484.8981</v>
      </c>
      <c r="K3583">
        <v>1.126458</v>
      </c>
      <c r="L3583">
        <v>221.3553</v>
      </c>
      <c r="M3583">
        <v>0.70000469999999904</v>
      </c>
      <c r="N3583">
        <v>-1.293588E-2</v>
      </c>
      <c r="O3583">
        <v>-0.71402100000000002</v>
      </c>
      <c r="P3583">
        <v>0.79969860000000004</v>
      </c>
      <c r="Q3583">
        <v>0.16310429999999901</v>
      </c>
      <c r="R3583">
        <v>-0.57782279999999997</v>
      </c>
      <c r="S3583">
        <v>3.1884459999999999</v>
      </c>
      <c r="T3583">
        <v>0.1677942</v>
      </c>
      <c r="U3583">
        <v>-0.75189209999999995</v>
      </c>
      <c r="V3583">
        <v>-0.168564299999999</v>
      </c>
      <c r="W3583">
        <v>0.17372589999999999</v>
      </c>
      <c r="X3583">
        <v>0.97026049999999997</v>
      </c>
      <c r="Y3583">
        <v>-0.53255649999999999</v>
      </c>
      <c r="Z3583">
        <v>-5.3494460000000001E-2</v>
      </c>
      <c r="AA3583">
        <v>0.84470219999999896</v>
      </c>
      <c r="AB3583">
        <v>22</v>
      </c>
      <c r="AC3583">
        <v>3.1884459999999999</v>
      </c>
      <c r="AD3583">
        <v>0.1677942</v>
      </c>
      <c r="AE3583">
        <v>-0.75189209999999995</v>
      </c>
      <c r="AF3583">
        <v>-1.74585557256174</v>
      </c>
      <c r="AG3583">
        <v>0.1677942</v>
      </c>
      <c r="AH3583">
        <v>2.7617800389908602</v>
      </c>
      <c r="AI3583">
        <v>87.060149054694804</v>
      </c>
      <c r="AJ3583">
        <v>122.29897290912599</v>
      </c>
      <c r="AK3583">
        <v>3.2716349976069901</v>
      </c>
      <c r="AL3583">
        <v>79.995478359459696</v>
      </c>
      <c r="AM3583">
        <v>99.855680976969097</v>
      </c>
      <c r="AN3583">
        <v>1.0000000247127701</v>
      </c>
    </row>
    <row r="3584" spans="1:40" x14ac:dyDescent="0.25">
      <c r="A3584" t="str">
        <f>"20190303170323639"</f>
        <v>20190303170323639</v>
      </c>
      <c r="B3584" t="str">
        <f>"1551603803629425"</f>
        <v>1551603803629425</v>
      </c>
      <c r="C3584" t="s">
        <v>40</v>
      </c>
      <c r="D3584">
        <v>4.6437629999999999</v>
      </c>
      <c r="E3584">
        <v>0.34063670000000001</v>
      </c>
      <c r="F3584" t="s">
        <v>48</v>
      </c>
      <c r="G3584">
        <v>0</v>
      </c>
      <c r="H3584">
        <v>0</v>
      </c>
      <c r="I3584">
        <v>0</v>
      </c>
      <c r="J3584">
        <v>-484.7253</v>
      </c>
      <c r="K3584">
        <v>1.126471</v>
      </c>
      <c r="L3584">
        <v>221.19319999999999</v>
      </c>
      <c r="M3584">
        <v>0.70608369999999998</v>
      </c>
      <c r="N3584">
        <v>-1.311879E-2</v>
      </c>
      <c r="O3584">
        <v>-0.70800699999999905</v>
      </c>
      <c r="P3584">
        <v>0.80530299999999999</v>
      </c>
      <c r="Q3584">
        <v>0.16224189999999999</v>
      </c>
      <c r="R3584">
        <v>-0.57023250000000003</v>
      </c>
      <c r="S3584">
        <v>3.197327</v>
      </c>
      <c r="T3584">
        <v>0.16573560000000001</v>
      </c>
      <c r="U3584">
        <v>-0.72013850000000001</v>
      </c>
      <c r="V3584">
        <v>-0.16956860000000001</v>
      </c>
      <c r="W3584">
        <v>0.17302290000000001</v>
      </c>
      <c r="X3584">
        <v>0.97021109999999999</v>
      </c>
      <c r="Y3584">
        <v>-0.53385950000000004</v>
      </c>
      <c r="Z3584">
        <v>-5.2697809999999998E-2</v>
      </c>
      <c r="AA3584">
        <v>0.8439295</v>
      </c>
      <c r="AB3584">
        <v>22</v>
      </c>
      <c r="AC3584">
        <v>3.197327</v>
      </c>
      <c r="AD3584">
        <v>0.16573560000000001</v>
      </c>
      <c r="AE3584">
        <v>-0.72013850000000001</v>
      </c>
      <c r="AF3584">
        <v>-1.75092523432904</v>
      </c>
      <c r="AG3584">
        <v>0.16573560000000001</v>
      </c>
      <c r="AH3584">
        <v>2.7606219698065502</v>
      </c>
      <c r="AI3584">
        <v>87.097692179736299</v>
      </c>
      <c r="AJ3584">
        <v>122.38492441203699</v>
      </c>
      <c r="AK3584">
        <v>3.2732615424826901</v>
      </c>
      <c r="AL3584">
        <v>80.0363764713004</v>
      </c>
      <c r="AM3584">
        <v>99.913733971855194</v>
      </c>
      <c r="AN3584">
        <v>1.00000000629679</v>
      </c>
    </row>
    <row r="3585" spans="1:40" x14ac:dyDescent="0.25">
      <c r="A3585" t="str">
        <f>"20190303170323661"</f>
        <v>20190303170323661</v>
      </c>
      <c r="B3585" t="str">
        <f>"1551603803648945"</f>
        <v>1551603803648945</v>
      </c>
      <c r="C3585" t="s">
        <v>40</v>
      </c>
      <c r="D3585">
        <v>4.6654369999999998</v>
      </c>
      <c r="E3585">
        <v>0.34075860000000002</v>
      </c>
      <c r="F3585" t="s">
        <v>48</v>
      </c>
      <c r="G3585">
        <v>0</v>
      </c>
      <c r="H3585">
        <v>0</v>
      </c>
      <c r="I3585">
        <v>0</v>
      </c>
      <c r="J3585">
        <v>-484.55669999999998</v>
      </c>
      <c r="K3585">
        <v>1.126485</v>
      </c>
      <c r="L3585">
        <v>221.03800000000001</v>
      </c>
      <c r="M3585">
        <v>0.71195140000000001</v>
      </c>
      <c r="N3585">
        <v>-1.327247E-2</v>
      </c>
      <c r="O3585">
        <v>-0.70210319999999904</v>
      </c>
      <c r="P3585">
        <v>0.81030899999999995</v>
      </c>
      <c r="Q3585">
        <v>0.15993009999999999</v>
      </c>
      <c r="R3585">
        <v>-0.56375699999999995</v>
      </c>
      <c r="S3585">
        <v>3.2043149999999998</v>
      </c>
      <c r="T3585">
        <v>0.1621522</v>
      </c>
      <c r="U3585">
        <v>-0.68954469999999901</v>
      </c>
      <c r="V3585">
        <v>-0.1695739</v>
      </c>
      <c r="W3585">
        <v>0.17085980000000001</v>
      </c>
      <c r="X3585">
        <v>0.9705935</v>
      </c>
      <c r="Y3585">
        <v>-0.534977699999999</v>
      </c>
      <c r="Z3585">
        <v>-5.1486909999999997E-2</v>
      </c>
      <c r="AA3585">
        <v>0.84329589999999999</v>
      </c>
      <c r="AB3585">
        <v>22</v>
      </c>
      <c r="AC3585">
        <v>3.2043149999999998</v>
      </c>
      <c r="AD3585">
        <v>0.1621522</v>
      </c>
      <c r="AE3585">
        <v>-0.68954469999999901</v>
      </c>
      <c r="AF3585">
        <v>-1.7546980080980401</v>
      </c>
      <c r="AG3585">
        <v>0.1621522</v>
      </c>
      <c r="AH3585">
        <v>2.7589395007234998</v>
      </c>
      <c r="AI3585">
        <v>87.160862059372107</v>
      </c>
      <c r="AJ3585">
        <v>122.456544968592</v>
      </c>
      <c r="AK3585">
        <v>3.2736837972291299</v>
      </c>
      <c r="AL3585">
        <v>80.162187204730401</v>
      </c>
      <c r="AM3585">
        <v>99.910209150095994</v>
      </c>
      <c r="AN3585">
        <v>1.0000000605297401</v>
      </c>
    </row>
    <row r="3586" spans="1:40" x14ac:dyDescent="0.25">
      <c r="A3586" t="str">
        <f>"20190303170323681"</f>
        <v>20190303170323681</v>
      </c>
      <c r="B3586" t="str">
        <f>"1551603803679201"</f>
        <v>1551603803679201</v>
      </c>
      <c r="C3586" t="s">
        <v>40</v>
      </c>
      <c r="D3586">
        <v>4.7146270000000001</v>
      </c>
      <c r="E3586">
        <v>0.34117189999999997</v>
      </c>
      <c r="F3586" t="s">
        <v>84</v>
      </c>
      <c r="G3586">
        <v>-364.73200000000003</v>
      </c>
      <c r="H3586">
        <v>6.905138</v>
      </c>
      <c r="I3586">
        <v>196.26560000000001</v>
      </c>
      <c r="J3586">
        <v>-484.41559999999998</v>
      </c>
      <c r="K3586">
        <v>1.1264959999999999</v>
      </c>
      <c r="L3586">
        <v>220.91</v>
      </c>
      <c r="M3586">
        <v>0.71681830000000002</v>
      </c>
      <c r="N3586">
        <v>-1.3385360000000001E-2</v>
      </c>
      <c r="O3586">
        <v>-0.69713150000000002</v>
      </c>
      <c r="P3586">
        <v>0.8138301</v>
      </c>
      <c r="Q3586">
        <v>0.1583183</v>
      </c>
      <c r="R3586">
        <v>-0.55912059999999997</v>
      </c>
      <c r="S3586">
        <v>3.2100219999999999</v>
      </c>
      <c r="T3586">
        <v>0.15480849999999999</v>
      </c>
      <c r="U3586">
        <v>-0.66363530000000004</v>
      </c>
      <c r="V3586">
        <v>-0.16856579999999999</v>
      </c>
      <c r="W3586">
        <v>0.16937160000000001</v>
      </c>
      <c r="X3586">
        <v>0.97102980000000005</v>
      </c>
      <c r="Y3586">
        <v>-0.5360644</v>
      </c>
      <c r="Z3586">
        <v>-4.9272639999999999E-2</v>
      </c>
      <c r="AA3586">
        <v>0.84273790000000004</v>
      </c>
      <c r="AB3586">
        <v>22</v>
      </c>
      <c r="AC3586">
        <v>119.6836</v>
      </c>
      <c r="AD3586">
        <v>5.7786419999999996</v>
      </c>
      <c r="AE3586">
        <v>-24.644399999999901</v>
      </c>
      <c r="AF3586">
        <v>-65.628772688668803</v>
      </c>
      <c r="AG3586">
        <v>5.7786419999999996</v>
      </c>
      <c r="AH3586">
        <v>102.751217609623</v>
      </c>
      <c r="AI3586">
        <v>87.286424978118802</v>
      </c>
      <c r="AJ3586">
        <v>122.566992790634</v>
      </c>
      <c r="AK3586">
        <v>122.058761374369</v>
      </c>
      <c r="AL3586">
        <v>80.248715625499898</v>
      </c>
      <c r="AM3586">
        <v>99.848111652461199</v>
      </c>
      <c r="AN3586">
        <v>1.00000002015211</v>
      </c>
    </row>
    <row r="3587" spans="1:40" x14ac:dyDescent="0.25">
      <c r="A3587" t="str">
        <f>"20190303170323704"</f>
        <v>20190303170323704</v>
      </c>
      <c r="B3587" t="str">
        <f>"1551603803698721"</f>
        <v>1551603803698721</v>
      </c>
      <c r="C3587" t="s">
        <v>40</v>
      </c>
      <c r="D3587">
        <v>4.7274849999999997</v>
      </c>
      <c r="E3587">
        <v>0.34160289999999999</v>
      </c>
      <c r="F3587" t="s">
        <v>45</v>
      </c>
      <c r="G3587">
        <v>-408.5847</v>
      </c>
      <c r="H3587">
        <v>4.613219</v>
      </c>
      <c r="I3587">
        <v>205.6302</v>
      </c>
      <c r="J3587">
        <v>-484.2475</v>
      </c>
      <c r="K3587">
        <v>1.1265149999999999</v>
      </c>
      <c r="L3587">
        <v>220.76</v>
      </c>
      <c r="M3587">
        <v>0.72256640000000005</v>
      </c>
      <c r="N3587">
        <v>-1.350235E-2</v>
      </c>
      <c r="O3587">
        <v>-0.691169699999999</v>
      </c>
      <c r="P3587">
        <v>0.817754599999999</v>
      </c>
      <c r="Q3587">
        <v>0.15892210000000001</v>
      </c>
      <c r="R3587">
        <v>-0.55319240000000003</v>
      </c>
      <c r="S3587">
        <v>3.2127690000000002</v>
      </c>
      <c r="T3587">
        <v>0.14772370000000001</v>
      </c>
      <c r="U3587">
        <v>-0.64736939999999998</v>
      </c>
      <c r="V3587">
        <v>-0.16750960000000001</v>
      </c>
      <c r="W3587">
        <v>0.17009769999999999</v>
      </c>
      <c r="X3587">
        <v>0.97108559999999999</v>
      </c>
      <c r="Y3587">
        <v>-0.53344269999999905</v>
      </c>
      <c r="Z3587">
        <v>-4.7049349999999997E-2</v>
      </c>
      <c r="AA3587">
        <v>0.84452660000000002</v>
      </c>
      <c r="AB3587">
        <v>22</v>
      </c>
      <c r="AC3587">
        <v>75.662800000000004</v>
      </c>
      <c r="AD3587">
        <v>3.486704</v>
      </c>
      <c r="AE3587">
        <v>-15.1297999999999</v>
      </c>
      <c r="AF3587">
        <v>-41.283022782421803</v>
      </c>
      <c r="AG3587">
        <v>3.486704</v>
      </c>
      <c r="AH3587">
        <v>65.001863368838002</v>
      </c>
      <c r="AI3587">
        <v>87.407426804950305</v>
      </c>
      <c r="AJ3587">
        <v>122.419843445178</v>
      </c>
      <c r="AK3587">
        <v>77.082341144121102</v>
      </c>
      <c r="AL3587">
        <v>80.206500096626996</v>
      </c>
      <c r="AM3587">
        <v>99.787050911206506</v>
      </c>
      <c r="AN3587">
        <v>0.99999996808240399</v>
      </c>
    </row>
    <row r="3588" spans="1:40" x14ac:dyDescent="0.25">
      <c r="A3588" t="str">
        <f>"20190303170323727"</f>
        <v>20190303170323727</v>
      </c>
      <c r="B3588" t="str">
        <f>"1551603803719218"</f>
        <v>1551603803719218</v>
      </c>
      <c r="C3588" t="s">
        <v>40</v>
      </c>
      <c r="D3588">
        <v>4.5894700000000004</v>
      </c>
      <c r="E3588">
        <v>0.3414817</v>
      </c>
      <c r="F3588" t="s">
        <v>84</v>
      </c>
      <c r="G3588">
        <v>-363.72109999999998</v>
      </c>
      <c r="H3588">
        <v>6.6094809999999997</v>
      </c>
      <c r="I3588">
        <v>197.24690000000001</v>
      </c>
      <c r="J3588">
        <v>-484.08120000000002</v>
      </c>
      <c r="K3588">
        <v>1.126544</v>
      </c>
      <c r="L3588">
        <v>220.614</v>
      </c>
      <c r="M3588">
        <v>0.72819979999999995</v>
      </c>
      <c r="N3588">
        <v>-1.360258E-2</v>
      </c>
      <c r="O3588">
        <v>-0.68523000000000001</v>
      </c>
      <c r="P3588">
        <v>0.8214127</v>
      </c>
      <c r="Q3588">
        <v>0.1601639</v>
      </c>
      <c r="R3588">
        <v>-0.54738379999999998</v>
      </c>
      <c r="S3588">
        <v>3.2157589999999998</v>
      </c>
      <c r="T3588">
        <v>0.14629320000000001</v>
      </c>
      <c r="U3588">
        <v>-0.62734990000000002</v>
      </c>
      <c r="V3588">
        <v>-0.16629430000000001</v>
      </c>
      <c r="W3588">
        <v>0.1714456</v>
      </c>
      <c r="X3588">
        <v>0.97105750000000002</v>
      </c>
      <c r="Y3588">
        <v>-0.53176369999999995</v>
      </c>
      <c r="Z3588">
        <v>-4.6397969999999997E-2</v>
      </c>
      <c r="AA3588">
        <v>0.84562090000000001</v>
      </c>
      <c r="AB3588">
        <v>22</v>
      </c>
      <c r="AC3588">
        <v>120.3601</v>
      </c>
      <c r="AD3588">
        <v>5.4829369999999997</v>
      </c>
      <c r="AE3588">
        <v>-23.367099999999901</v>
      </c>
      <c r="AF3588">
        <v>-65.333829626711506</v>
      </c>
      <c r="AG3588">
        <v>5.4829369999999997</v>
      </c>
      <c r="AH3588">
        <v>103.46071923679</v>
      </c>
      <c r="AI3588">
        <v>87.434355767058307</v>
      </c>
      <c r="AJ3588">
        <v>122.27177144944901</v>
      </c>
      <c r="AK3588">
        <v>122.485477983441</v>
      </c>
      <c r="AL3588">
        <v>80.128120347431505</v>
      </c>
      <c r="AM3588">
        <v>99.717679265121902</v>
      </c>
      <c r="AN3588">
        <v>1.00000002813904</v>
      </c>
    </row>
    <row r="3589" spans="1:40" x14ac:dyDescent="0.25">
      <c r="A3589" t="str">
        <f>"20190303170323749"</f>
        <v>20190303170323749</v>
      </c>
      <c r="B3589" t="str">
        <f>"1551603803738737"</f>
        <v>1551603803738737</v>
      </c>
      <c r="C3589" t="s">
        <v>40</v>
      </c>
      <c r="D3589">
        <v>4.5713720000000002</v>
      </c>
      <c r="E3589">
        <v>0.34112160000000002</v>
      </c>
      <c r="F3589" t="s">
        <v>84</v>
      </c>
      <c r="G3589">
        <v>-363.2756</v>
      </c>
      <c r="H3589">
        <v>6.6857629999999997</v>
      </c>
      <c r="I3589">
        <v>197.92320000000001</v>
      </c>
      <c r="J3589">
        <v>-483.92</v>
      </c>
      <c r="K3589">
        <v>1.1265769999999999</v>
      </c>
      <c r="L3589">
        <v>220.47489999999999</v>
      </c>
      <c r="M3589">
        <v>0.73360890000000001</v>
      </c>
      <c r="N3589">
        <v>-1.3687090000000001E-2</v>
      </c>
      <c r="O3589">
        <v>-0.67943419999999999</v>
      </c>
      <c r="P3589">
        <v>0.82510490000000003</v>
      </c>
      <c r="Q3589">
        <v>0.16081419999999999</v>
      </c>
      <c r="R3589">
        <v>-0.54160959999999903</v>
      </c>
      <c r="S3589">
        <v>3.2202760000000001</v>
      </c>
      <c r="T3589">
        <v>0.14819280000000001</v>
      </c>
      <c r="U3589">
        <v>-0.60485840000000002</v>
      </c>
      <c r="V3589">
        <v>-0.1653327</v>
      </c>
      <c r="W3589">
        <v>0.17218359999999999</v>
      </c>
      <c r="X3589">
        <v>0.97109109999999998</v>
      </c>
      <c r="Y3589">
        <v>-0.53095059999999905</v>
      </c>
      <c r="Z3589">
        <v>-4.6649349999999999E-2</v>
      </c>
      <c r="AA3589">
        <v>0.84611789999999998</v>
      </c>
      <c r="AB3589">
        <v>22</v>
      </c>
      <c r="AC3589">
        <v>120.6444</v>
      </c>
      <c r="AD3589">
        <v>5.5591860000000004</v>
      </c>
      <c r="AE3589">
        <v>-22.551699999999901</v>
      </c>
      <c r="AF3589">
        <v>-65.297961497163996</v>
      </c>
      <c r="AG3589">
        <v>5.5591860000000004</v>
      </c>
      <c r="AH3589">
        <v>103.62532143598</v>
      </c>
      <c r="AI3589">
        <v>87.401271827140405</v>
      </c>
      <c r="AJ3589">
        <v>122.216472344444</v>
      </c>
      <c r="AK3589">
        <v>122.608872302856</v>
      </c>
      <c r="AL3589">
        <v>80.085197583513306</v>
      </c>
      <c r="AM3589">
        <v>99.662220951042997</v>
      </c>
      <c r="AN3589">
        <v>1.00000000914872</v>
      </c>
    </row>
    <row r="3590" spans="1:40" x14ac:dyDescent="0.25">
      <c r="A3590" t="str">
        <f>"20190303170323771"</f>
        <v>20190303170323771</v>
      </c>
      <c r="B3590" t="str">
        <f>"1551603803759234"</f>
        <v>1551603803759234</v>
      </c>
      <c r="C3590" t="s">
        <v>40</v>
      </c>
      <c r="D3590">
        <v>4.618811</v>
      </c>
      <c r="E3590">
        <v>0.34110780000000002</v>
      </c>
      <c r="F3590" t="s">
        <v>84</v>
      </c>
      <c r="G3590">
        <v>-362.91039999999998</v>
      </c>
      <c r="H3590">
        <v>6.9772470000000002</v>
      </c>
      <c r="I3590">
        <v>198.74690000000001</v>
      </c>
      <c r="J3590">
        <v>-483.75290000000001</v>
      </c>
      <c r="K3590">
        <v>1.1266050000000001</v>
      </c>
      <c r="L3590">
        <v>220.333</v>
      </c>
      <c r="M3590">
        <v>0.73916819999999905</v>
      </c>
      <c r="N3590">
        <v>-1.376342E-2</v>
      </c>
      <c r="O3590">
        <v>-0.6733806</v>
      </c>
      <c r="P3590">
        <v>0.82924529999999996</v>
      </c>
      <c r="Q3590">
        <v>0.1605887</v>
      </c>
      <c r="R3590">
        <v>-0.53531700000000004</v>
      </c>
      <c r="S3590">
        <v>3.2253720000000001</v>
      </c>
      <c r="T3590">
        <v>0.15594539999999901</v>
      </c>
      <c r="U3590">
        <v>-0.57913210000000004</v>
      </c>
      <c r="V3590">
        <v>-0.16477259999999999</v>
      </c>
      <c r="W3590">
        <v>0.172033299999999</v>
      </c>
      <c r="X3590">
        <v>0.97121290000000005</v>
      </c>
      <c r="Y3590">
        <v>-0.53063890000000002</v>
      </c>
      <c r="Z3590">
        <v>-4.8460379999999997E-2</v>
      </c>
      <c r="AA3590">
        <v>0.84621159999999995</v>
      </c>
      <c r="AB3590">
        <v>22</v>
      </c>
      <c r="AC3590">
        <v>120.8425</v>
      </c>
      <c r="AD3590">
        <v>5.8506419999999997</v>
      </c>
      <c r="AE3590">
        <v>-21.586099999999899</v>
      </c>
      <c r="AF3590">
        <v>-65.275140168048793</v>
      </c>
      <c r="AG3590">
        <v>5.8506419999999997</v>
      </c>
      <c r="AH3590">
        <v>103.63299732761099</v>
      </c>
      <c r="AI3590">
        <v>87.265101458033399</v>
      </c>
      <c r="AJ3590">
        <v>122.20552567137101</v>
      </c>
      <c r="AK3590">
        <v>122.616769125904</v>
      </c>
      <c r="AL3590">
        <v>80.093939311291805</v>
      </c>
      <c r="AM3590">
        <v>99.628917006894198</v>
      </c>
      <c r="AN3590">
        <v>0.99999998157302905</v>
      </c>
    </row>
    <row r="3591" spans="1:40" x14ac:dyDescent="0.25">
      <c r="A3591" t="str">
        <f>"20190303170323793"</f>
        <v>20190303170323793</v>
      </c>
      <c r="B3591" t="str">
        <f>"1551603803789489"</f>
        <v>1551603803789489</v>
      </c>
      <c r="C3591" t="s">
        <v>40</v>
      </c>
      <c r="D3591">
        <v>4.6305110000000003</v>
      </c>
      <c r="E3591">
        <v>0.34126820000000002</v>
      </c>
      <c r="F3591" t="s">
        <v>84</v>
      </c>
      <c r="G3591">
        <v>-360.97550000000001</v>
      </c>
      <c r="H3591">
        <v>7.1110749999999996</v>
      </c>
      <c r="I3591">
        <v>199.2722</v>
      </c>
      <c r="J3591">
        <v>-483.59</v>
      </c>
      <c r="K3591">
        <v>1.1266309999999999</v>
      </c>
      <c r="L3591">
        <v>220.19710000000001</v>
      </c>
      <c r="M3591">
        <v>0.74453359999999902</v>
      </c>
      <c r="N3591">
        <v>-1.3827819999999999E-2</v>
      </c>
      <c r="O3591">
        <v>-0.66744169999999903</v>
      </c>
      <c r="P3591">
        <v>0.83414769999999905</v>
      </c>
      <c r="Q3591">
        <v>0.16067819999999999</v>
      </c>
      <c r="R3591">
        <v>-0.52761789999999997</v>
      </c>
      <c r="S3591">
        <v>3.2296450000000001</v>
      </c>
      <c r="T3591">
        <v>0.15742329999999999</v>
      </c>
      <c r="U3591">
        <v>-0.55400090000000002</v>
      </c>
      <c r="V3591">
        <v>-0.16598950000000001</v>
      </c>
      <c r="W3591">
        <v>0.1721606</v>
      </c>
      <c r="X3591">
        <v>0.97098309999999999</v>
      </c>
      <c r="Y3591">
        <v>-0.53042599999999995</v>
      </c>
      <c r="Z3591">
        <v>-4.8572610000000002E-2</v>
      </c>
      <c r="AA3591">
        <v>0.84633860000000005</v>
      </c>
      <c r="AB3591">
        <v>22</v>
      </c>
      <c r="AC3591">
        <v>122.614499999999</v>
      </c>
      <c r="AD3591">
        <v>5.9844439999999999</v>
      </c>
      <c r="AE3591">
        <v>-20.924900000000001</v>
      </c>
      <c r="AF3591">
        <v>-66.112047433695295</v>
      </c>
      <c r="AG3591">
        <v>5.9844439999999999</v>
      </c>
      <c r="AH3591">
        <v>105.023735522498</v>
      </c>
      <c r="AI3591">
        <v>87.239176341393701</v>
      </c>
      <c r="AJ3591">
        <v>122.190260935214</v>
      </c>
      <c r="AK3591">
        <v>124.244120218882</v>
      </c>
      <c r="AL3591">
        <v>80.086535105758202</v>
      </c>
      <c r="AM3591">
        <v>99.700935623819205</v>
      </c>
      <c r="AN3591">
        <v>0.999999983394109</v>
      </c>
    </row>
    <row r="3592" spans="1:40" x14ac:dyDescent="0.25">
      <c r="A3592" t="str">
        <f>"20190303170323817"</f>
        <v>20190303170323817</v>
      </c>
      <c r="B3592" t="str">
        <f>"1551603803809009"</f>
        <v>1551603803809009</v>
      </c>
      <c r="C3592" t="s">
        <v>40</v>
      </c>
      <c r="D3592">
        <v>4.6710180000000001</v>
      </c>
      <c r="E3592">
        <v>0.34136430000000001</v>
      </c>
      <c r="F3592" t="s">
        <v>81</v>
      </c>
      <c r="G3592">
        <v>-232.77629999999999</v>
      </c>
      <c r="H3592">
        <v>13.386620000000001</v>
      </c>
      <c r="I3592">
        <v>179.47720000000001</v>
      </c>
      <c r="J3592">
        <v>-483.41640000000001</v>
      </c>
      <c r="K3592">
        <v>1.1266529999999999</v>
      </c>
      <c r="L3592">
        <v>220.0549</v>
      </c>
      <c r="M3592">
        <v>0.75019829999999998</v>
      </c>
      <c r="N3592">
        <v>-1.388671E-2</v>
      </c>
      <c r="O3592">
        <v>-0.66106709999999902</v>
      </c>
      <c r="P3592">
        <v>0.84000330000000001</v>
      </c>
      <c r="Q3592">
        <v>0.161183299999999</v>
      </c>
      <c r="R3592">
        <v>-0.51808739999999998</v>
      </c>
      <c r="S3592">
        <v>3.233978</v>
      </c>
      <c r="T3592">
        <v>0.1580802</v>
      </c>
      <c r="U3592">
        <v>-0.5250397</v>
      </c>
      <c r="V3592">
        <v>-0.16871849999999999</v>
      </c>
      <c r="W3592">
        <v>0.17267579999999999</v>
      </c>
      <c r="X3592">
        <v>0.97042110000000004</v>
      </c>
      <c r="Y3592">
        <v>-0.53076269999999903</v>
      </c>
      <c r="Z3592">
        <v>-4.8447740000000003E-2</v>
      </c>
      <c r="AA3592">
        <v>0.84613459999999996</v>
      </c>
      <c r="AB3592">
        <v>22</v>
      </c>
      <c r="AC3592">
        <v>250.64009999999999</v>
      </c>
      <c r="AD3592">
        <v>12.259967</v>
      </c>
      <c r="AE3592">
        <v>-40.577699999999901</v>
      </c>
      <c r="AF3592">
        <v>-134.94700929060201</v>
      </c>
      <c r="AG3592">
        <v>12.259967</v>
      </c>
      <c r="AH3592">
        <v>214.37525193662799</v>
      </c>
      <c r="AI3592">
        <v>87.229132185873596</v>
      </c>
      <c r="AJ3592">
        <v>122.18999153273001</v>
      </c>
      <c r="AK3592">
        <v>253.60944530953901</v>
      </c>
      <c r="AL3592">
        <v>80.056567563521298</v>
      </c>
      <c r="AM3592">
        <v>99.8629193000573</v>
      </c>
      <c r="AN3592">
        <v>0.99999998773654997</v>
      </c>
    </row>
    <row r="3593" spans="1:40" x14ac:dyDescent="0.25">
      <c r="A3593" t="str">
        <f>"20190303170323850"</f>
        <v>20190303170323850</v>
      </c>
      <c r="B3593" t="str">
        <f>"1551603803839266"</f>
        <v>1551603803839266</v>
      </c>
      <c r="C3593" t="s">
        <v>40</v>
      </c>
      <c r="D3593">
        <v>4.642131</v>
      </c>
      <c r="E3593">
        <v>0.34172459999999999</v>
      </c>
      <c r="F3593" t="s">
        <v>84</v>
      </c>
      <c r="G3593">
        <v>-345.27379999999999</v>
      </c>
      <c r="H3593">
        <v>7.8323399999999896</v>
      </c>
      <c r="I3593">
        <v>199.15049999999999</v>
      </c>
      <c r="J3593">
        <v>-483.16180000000003</v>
      </c>
      <c r="K3593">
        <v>1.1266799999999999</v>
      </c>
      <c r="L3593">
        <v>219.8509</v>
      </c>
      <c r="M3593">
        <v>0.75840180000000001</v>
      </c>
      <c r="N3593">
        <v>-1.395827E-2</v>
      </c>
      <c r="O3593">
        <v>-0.65163800000000005</v>
      </c>
      <c r="P3593">
        <v>0.84839809999999904</v>
      </c>
      <c r="Q3593">
        <v>0.16029280000000001</v>
      </c>
      <c r="R3593">
        <v>-0.50450689999999998</v>
      </c>
      <c r="S3593">
        <v>3.2389220000000001</v>
      </c>
      <c r="T3593">
        <v>0.157225</v>
      </c>
      <c r="U3593">
        <v>-0.4901276</v>
      </c>
      <c r="V3593">
        <v>-0.172317</v>
      </c>
      <c r="W3593">
        <v>0.17179700000000001</v>
      </c>
      <c r="X3593">
        <v>0.96994469999999999</v>
      </c>
      <c r="Y3593">
        <v>-0.52931430000000002</v>
      </c>
      <c r="Z3593">
        <v>-4.7730839999999997E-2</v>
      </c>
      <c r="AA3593">
        <v>0.84708209999999995</v>
      </c>
      <c r="AB3593">
        <v>22</v>
      </c>
      <c r="AC3593">
        <v>137.88800000000001</v>
      </c>
      <c r="AD3593">
        <v>6.70566</v>
      </c>
      <c r="AE3593">
        <v>-20.700399999999998</v>
      </c>
      <c r="AF3593">
        <v>-73.989928179243705</v>
      </c>
      <c r="AG3593">
        <v>6.70566</v>
      </c>
      <c r="AH3593">
        <v>117.80270336957901</v>
      </c>
      <c r="AI3593">
        <v>87.240277893386903</v>
      </c>
      <c r="AJ3593">
        <v>122.132249766051</v>
      </c>
      <c r="AK3593">
        <v>139.272941626098</v>
      </c>
      <c r="AL3593">
        <v>80.107683500030106</v>
      </c>
      <c r="AM3593">
        <v>100.073863138314</v>
      </c>
      <c r="AN3593">
        <v>1.0000000393780399</v>
      </c>
    </row>
    <row r="3594" spans="1:40" x14ac:dyDescent="0.25">
      <c r="A3594" t="str">
        <f>"20190303170323873"</f>
        <v>20190303170323873</v>
      </c>
      <c r="B3594" t="str">
        <f>"1551603803868545"</f>
        <v>1551603803868545</v>
      </c>
      <c r="C3594" t="s">
        <v>40</v>
      </c>
      <c r="D3594">
        <v>4.6808969999999999</v>
      </c>
      <c r="E3594">
        <v>0.35453610000000002</v>
      </c>
      <c r="F3594" t="s">
        <v>56</v>
      </c>
      <c r="G3594">
        <v>-168.4255</v>
      </c>
      <c r="H3594">
        <v>15.9712</v>
      </c>
      <c r="I3594">
        <v>177.07409999999999</v>
      </c>
      <c r="J3594">
        <v>-482.9939</v>
      </c>
      <c r="K3594">
        <v>1.1266890000000001</v>
      </c>
      <c r="L3594">
        <v>219.7191</v>
      </c>
      <c r="M3594">
        <v>0.76373769999999996</v>
      </c>
      <c r="N3594">
        <v>-1.3997330000000001E-2</v>
      </c>
      <c r="O3594">
        <v>-0.64537519999999904</v>
      </c>
      <c r="P3594">
        <v>0.85309749999999995</v>
      </c>
      <c r="Q3594">
        <v>0.1585867</v>
      </c>
      <c r="R3594">
        <v>-0.49706689999999998</v>
      </c>
      <c r="S3594">
        <v>3.244904</v>
      </c>
      <c r="T3594">
        <v>0.15304599999999999</v>
      </c>
      <c r="U3594">
        <v>-0.44102479999999999</v>
      </c>
      <c r="V3594">
        <v>-0.17300960000000001</v>
      </c>
      <c r="W3594">
        <v>0.17011979999999999</v>
      </c>
      <c r="X3594">
        <v>0.97011700000000001</v>
      </c>
      <c r="Y3594">
        <v>-0.53519399999999995</v>
      </c>
      <c r="Z3594">
        <v>-4.641911E-2</v>
      </c>
      <c r="AA3594">
        <v>0.84345289999999995</v>
      </c>
      <c r="AB3594">
        <v>22</v>
      </c>
      <c r="AC3594">
        <v>314.5684</v>
      </c>
      <c r="AD3594">
        <v>14.844511000000001</v>
      </c>
      <c r="AE3594">
        <v>-42.645000000000003</v>
      </c>
      <c r="AF3594">
        <v>-170.089781733645</v>
      </c>
      <c r="AG3594">
        <v>14.844511000000001</v>
      </c>
      <c r="AH3594">
        <v>267.21164425903299</v>
      </c>
      <c r="AI3594">
        <v>87.316819687035803</v>
      </c>
      <c r="AJ3594">
        <v>122.478213376401</v>
      </c>
      <c r="AK3594">
        <v>317.100861217128</v>
      </c>
      <c r="AL3594">
        <v>80.205215752895796</v>
      </c>
      <c r="AM3594">
        <v>100.11176001657</v>
      </c>
      <c r="AN3594">
        <v>1.00000003086659</v>
      </c>
    </row>
    <row r="3595" spans="1:40" x14ac:dyDescent="0.25">
      <c r="A3595" t="str">
        <f>"20190303170323894"</f>
        <v>20190303170323894</v>
      </c>
      <c r="B3595" t="str">
        <f>"1551603803889041"</f>
        <v>1551603803889041</v>
      </c>
      <c r="C3595" t="s">
        <v>40</v>
      </c>
      <c r="D3595">
        <v>4.7128800000000002</v>
      </c>
      <c r="E3595">
        <v>0.35463630000000002</v>
      </c>
      <c r="F3595" t="s">
        <v>84</v>
      </c>
      <c r="G3595">
        <v>-346.85570000000001</v>
      </c>
      <c r="H3595">
        <v>6.3667309999999997</v>
      </c>
      <c r="I3595">
        <v>198.39949999999999</v>
      </c>
      <c r="J3595">
        <v>-482.82709999999997</v>
      </c>
      <c r="K3595">
        <v>1.126698</v>
      </c>
      <c r="L3595">
        <v>219.59049999999999</v>
      </c>
      <c r="M3595">
        <v>0.76898180000000005</v>
      </c>
      <c r="N3595">
        <v>-1.403065E-2</v>
      </c>
      <c r="O3595">
        <v>-0.63911680000000004</v>
      </c>
      <c r="P3595">
        <v>0.85704899999999995</v>
      </c>
      <c r="Q3595">
        <v>0.1580906</v>
      </c>
      <c r="R3595">
        <v>-0.49038209999999999</v>
      </c>
      <c r="S3595">
        <v>3.2015690000000001</v>
      </c>
      <c r="T3595">
        <v>0.12323239999999901</v>
      </c>
      <c r="U3595">
        <v>-0.50137330000000002</v>
      </c>
      <c r="V3595">
        <v>-0.17272699999999999</v>
      </c>
      <c r="W3595">
        <v>0.16965829999999901</v>
      </c>
      <c r="X3595">
        <v>0.97024820000000001</v>
      </c>
      <c r="Y3595">
        <v>-0.51146320000000001</v>
      </c>
      <c r="Z3595">
        <v>-3.8330610000000001E-2</v>
      </c>
      <c r="AA3595">
        <v>0.85844989999999999</v>
      </c>
      <c r="AB3595">
        <v>22</v>
      </c>
      <c r="AC3595">
        <v>135.97139999999899</v>
      </c>
      <c r="AD3595">
        <v>5.2400330000000004</v>
      </c>
      <c r="AE3595">
        <v>-21.190999999999999</v>
      </c>
      <c r="AF3595">
        <v>-70.510821569508707</v>
      </c>
      <c r="AG3595">
        <v>5.2400330000000004</v>
      </c>
      <c r="AH3595">
        <v>117.943662210483</v>
      </c>
      <c r="AI3595">
        <v>87.816180591685693</v>
      </c>
      <c r="AJ3595">
        <v>120.87244965843399</v>
      </c>
      <c r="AK3595">
        <v>137.513422471658</v>
      </c>
      <c r="AL3595">
        <v>80.232048118358506</v>
      </c>
      <c r="AM3595">
        <v>100.094246046725</v>
      </c>
      <c r="AN3595">
        <v>1.0000000624455601</v>
      </c>
    </row>
    <row r="3596" spans="1:40" x14ac:dyDescent="0.25">
      <c r="A3596" t="str">
        <f>"20190303170323917"</f>
        <v>20190303170323917</v>
      </c>
      <c r="B3596" t="str">
        <f>"1551603803908561"</f>
        <v>1551603803908561</v>
      </c>
      <c r="C3596" t="s">
        <v>40</v>
      </c>
      <c r="D3596">
        <v>4.7573600000000003</v>
      </c>
      <c r="E3596">
        <v>0.35567579999999999</v>
      </c>
      <c r="F3596" t="s">
        <v>84</v>
      </c>
      <c r="G3596">
        <v>-345.00869999999998</v>
      </c>
      <c r="H3596">
        <v>6.706194</v>
      </c>
      <c r="I3596">
        <v>199.08320000000001</v>
      </c>
      <c r="J3596">
        <v>-482.65910000000002</v>
      </c>
      <c r="K3596">
        <v>1.126711</v>
      </c>
      <c r="L3596">
        <v>219.4632</v>
      </c>
      <c r="M3596">
        <v>0.77420999999999995</v>
      </c>
      <c r="N3596">
        <v>-1.406018E-2</v>
      </c>
      <c r="O3596">
        <v>-0.63277260000000002</v>
      </c>
      <c r="P3596">
        <v>0.86122299999999996</v>
      </c>
      <c r="Q3596">
        <v>0.15902369999999999</v>
      </c>
      <c r="R3596">
        <v>-0.4827071</v>
      </c>
      <c r="S3596">
        <v>3.2037659999999999</v>
      </c>
      <c r="T3596">
        <v>0.1297046</v>
      </c>
      <c r="U3596">
        <v>-0.4767151</v>
      </c>
      <c r="V3596">
        <v>-0.17332510000000001</v>
      </c>
      <c r="W3596">
        <v>0.1706047</v>
      </c>
      <c r="X3596">
        <v>0.96997549999999999</v>
      </c>
      <c r="Y3596">
        <v>-0.51086359999999997</v>
      </c>
      <c r="Z3596">
        <v>-3.9742670000000001E-2</v>
      </c>
      <c r="AA3596">
        <v>0.85874269999999997</v>
      </c>
      <c r="AB3596">
        <v>22</v>
      </c>
      <c r="AC3596">
        <v>137.65039999999999</v>
      </c>
      <c r="AD3596">
        <v>5.5794829999999997</v>
      </c>
      <c r="AE3596">
        <v>-20.3799999999999</v>
      </c>
      <c r="AF3596">
        <v>-71.2155573799959</v>
      </c>
      <c r="AG3596">
        <v>5.5794829999999997</v>
      </c>
      <c r="AH3596">
        <v>119.286252245461</v>
      </c>
      <c r="AI3596">
        <v>87.700174591248199</v>
      </c>
      <c r="AJ3596">
        <v>120.837791008933</v>
      </c>
      <c r="AK3596">
        <v>139.03954911556099</v>
      </c>
      <c r="AL3596">
        <v>80.177020678612607</v>
      </c>
      <c r="AM3596">
        <v>100.13126540676301</v>
      </c>
      <c r="AN3596">
        <v>1.0000000122761701</v>
      </c>
    </row>
    <row r="3597" spans="1:40" x14ac:dyDescent="0.25">
      <c r="A3597" t="str">
        <f>"20190303170323939"</f>
        <v>20190303170323939</v>
      </c>
      <c r="B3597" t="str">
        <f>"1551603803929057"</f>
        <v>1551603803929057</v>
      </c>
      <c r="C3597" t="s">
        <v>40</v>
      </c>
      <c r="D3597">
        <v>4.7485019999999896</v>
      </c>
      <c r="E3597">
        <v>0.36200719999999997</v>
      </c>
      <c r="F3597" t="s">
        <v>84</v>
      </c>
      <c r="G3597">
        <v>-345.22469999999998</v>
      </c>
      <c r="H3597">
        <v>6.5952199999999896</v>
      </c>
      <c r="I3597">
        <v>199.86779999999999</v>
      </c>
      <c r="J3597">
        <v>-482.48349999999999</v>
      </c>
      <c r="K3597">
        <v>1.1267259999999999</v>
      </c>
      <c r="L3597">
        <v>219.33279999999999</v>
      </c>
      <c r="M3597">
        <v>0.77961269999999905</v>
      </c>
      <c r="N3597">
        <v>-1.408765E-2</v>
      </c>
      <c r="O3597">
        <v>-0.62610379999999999</v>
      </c>
      <c r="P3597">
        <v>0.86568809999999996</v>
      </c>
      <c r="Q3597">
        <v>0.15901370000000001</v>
      </c>
      <c r="R3597">
        <v>-0.4746573</v>
      </c>
      <c r="S3597">
        <v>3.203827</v>
      </c>
      <c r="T3597">
        <v>0.12748219999999999</v>
      </c>
      <c r="U3597">
        <v>-0.4568024</v>
      </c>
      <c r="V3597">
        <v>-0.1740517</v>
      </c>
      <c r="W3597">
        <v>0.1706047</v>
      </c>
      <c r="X3597">
        <v>0.96984539999999997</v>
      </c>
      <c r="Y3597">
        <v>-0.50875630000000005</v>
      </c>
      <c r="Z3597">
        <v>-3.8859020000000001E-2</v>
      </c>
      <c r="AA3597">
        <v>0.86003320000000005</v>
      </c>
      <c r="AB3597">
        <v>22</v>
      </c>
      <c r="AC3597">
        <v>137.25880000000001</v>
      </c>
      <c r="AD3597">
        <v>5.4684939999999997</v>
      </c>
      <c r="AE3597">
        <v>-19.465</v>
      </c>
      <c r="AF3597">
        <v>-70.6601573687838</v>
      </c>
      <c r="AG3597">
        <v>5.4684939999999997</v>
      </c>
      <c r="AH3597">
        <v>119.022422316259</v>
      </c>
      <c r="AI3597">
        <v>87.737565872600996</v>
      </c>
      <c r="AJ3597">
        <v>120.69637475779101</v>
      </c>
      <c r="AK3597">
        <v>138.52472443588999</v>
      </c>
      <c r="AL3597">
        <v>80.177020843706302</v>
      </c>
      <c r="AM3597">
        <v>100.17418786508701</v>
      </c>
      <c r="AN3597">
        <v>1.0000000289180599</v>
      </c>
    </row>
    <row r="3598" spans="1:40" x14ac:dyDescent="0.25">
      <c r="A3598" t="str">
        <f>"20190303170323961"</f>
        <v>20190303170323961</v>
      </c>
      <c r="B3598" t="str">
        <f>"1551603803948577"</f>
        <v>1551603803948577</v>
      </c>
      <c r="C3598" t="s">
        <v>40</v>
      </c>
      <c r="D3598">
        <v>4.7553010000000002</v>
      </c>
      <c r="E3598">
        <v>0.36299779999999998</v>
      </c>
      <c r="F3598" t="s">
        <v>84</v>
      </c>
      <c r="G3598">
        <v>-345.75409999999999</v>
      </c>
      <c r="H3598">
        <v>5.1568440000000004</v>
      </c>
      <c r="I3598">
        <v>199.03020000000001</v>
      </c>
      <c r="J3598">
        <v>-482.31459999999998</v>
      </c>
      <c r="K3598">
        <v>1.12674599999999</v>
      </c>
      <c r="L3598">
        <v>219.20939999999999</v>
      </c>
      <c r="M3598">
        <v>0.78475039999999996</v>
      </c>
      <c r="N3598">
        <v>-1.4110670000000001E-2</v>
      </c>
      <c r="O3598">
        <v>-0.61965159999999997</v>
      </c>
      <c r="P3598">
        <v>0.87004130000000002</v>
      </c>
      <c r="Q3598">
        <v>0.15787960000000001</v>
      </c>
      <c r="R3598">
        <v>-0.4670146</v>
      </c>
      <c r="S3598">
        <v>3.188599</v>
      </c>
      <c r="T3598">
        <v>9.3986390000000003E-2</v>
      </c>
      <c r="U3598">
        <v>-0.47346500000000002</v>
      </c>
      <c r="V3598">
        <v>-0.17471500000000001</v>
      </c>
      <c r="W3598">
        <v>0.16947970000000001</v>
      </c>
      <c r="X3598">
        <v>0.96992330000000004</v>
      </c>
      <c r="Y3598">
        <v>-0.49706139999999999</v>
      </c>
      <c r="Z3598">
        <v>-2.9944579999999998E-2</v>
      </c>
      <c r="AA3598">
        <v>0.86719849999999998</v>
      </c>
      <c r="AB3598">
        <v>22</v>
      </c>
      <c r="AC3598">
        <v>136.56049999999999</v>
      </c>
      <c r="AD3598">
        <v>4.0300979999999997</v>
      </c>
      <c r="AE3598">
        <v>-20.179199999999899</v>
      </c>
      <c r="AF3598">
        <v>-68.732550151522801</v>
      </c>
      <c r="AG3598">
        <v>4.0300979999999997</v>
      </c>
      <c r="AH3598">
        <v>119.579952018489</v>
      </c>
      <c r="AI3598">
        <v>88.326332610521504</v>
      </c>
      <c r="AJ3598">
        <v>119.88956667128301</v>
      </c>
      <c r="AK3598">
        <v>137.984673297309</v>
      </c>
      <c r="AL3598">
        <v>80.242430443558305</v>
      </c>
      <c r="AM3598">
        <v>100.211343650324</v>
      </c>
      <c r="AN3598">
        <v>0.99999995390998897</v>
      </c>
    </row>
    <row r="3599" spans="1:40" x14ac:dyDescent="0.25">
      <c r="A3599" t="str">
        <f>"20190303170323983"</f>
        <v>20190303170323983</v>
      </c>
      <c r="B3599" t="str">
        <f>"1551603803969073"</f>
        <v>1551603803969073</v>
      </c>
      <c r="C3599" t="s">
        <v>40</v>
      </c>
      <c r="D3599">
        <v>4.732024</v>
      </c>
      <c r="E3599">
        <v>0.3705389</v>
      </c>
      <c r="F3599" t="s">
        <v>84</v>
      </c>
      <c r="G3599">
        <v>-346.84460000000001</v>
      </c>
      <c r="H3599">
        <v>5.1004480000000001</v>
      </c>
      <c r="I3599">
        <v>200.01310000000001</v>
      </c>
      <c r="J3599">
        <v>-482.14879999999999</v>
      </c>
      <c r="K3599">
        <v>1.126768</v>
      </c>
      <c r="L3599">
        <v>219.09039999999999</v>
      </c>
      <c r="M3599">
        <v>0.78973930000000003</v>
      </c>
      <c r="N3599">
        <v>-1.413001E-2</v>
      </c>
      <c r="O3599">
        <v>-0.61328000000000005</v>
      </c>
      <c r="P3599">
        <v>0.8738013</v>
      </c>
      <c r="Q3599">
        <v>0.15704660000000001</v>
      </c>
      <c r="R3599">
        <v>-0.46022580000000002</v>
      </c>
      <c r="S3599">
        <v>3.188599</v>
      </c>
      <c r="T3599">
        <v>9.3532199999999996E-2</v>
      </c>
      <c r="U3599">
        <v>-0.45182800000000001</v>
      </c>
      <c r="V3599">
        <v>-0.17450479999999999</v>
      </c>
      <c r="W3599">
        <v>0.16866429999999999</v>
      </c>
      <c r="X3599">
        <v>0.9701033</v>
      </c>
      <c r="Y3599">
        <v>-0.49581370000000002</v>
      </c>
      <c r="Z3599">
        <v>-2.9594820000000001E-2</v>
      </c>
      <c r="AA3599">
        <v>0.86792449999999999</v>
      </c>
      <c r="AB3599">
        <v>22</v>
      </c>
      <c r="AC3599">
        <v>135.30419999999901</v>
      </c>
      <c r="AD3599">
        <v>3.9736799999999999</v>
      </c>
      <c r="AE3599">
        <v>-19.077299999999902</v>
      </c>
      <c r="AF3599">
        <v>-67.862649730572898</v>
      </c>
      <c r="AG3599">
        <v>3.9736799999999999</v>
      </c>
      <c r="AH3599">
        <v>118.46641057624601</v>
      </c>
      <c r="AI3599">
        <v>88.332851469330507</v>
      </c>
      <c r="AJ3599">
        <v>119.805934792454</v>
      </c>
      <c r="AK3599">
        <v>136.58484467911001</v>
      </c>
      <c r="AL3599">
        <v>80.289832203680604</v>
      </c>
      <c r="AM3599">
        <v>100.19746366312199</v>
      </c>
      <c r="AN3599">
        <v>0.99999999199420997</v>
      </c>
    </row>
    <row r="3600" spans="1:40" x14ac:dyDescent="0.25">
      <c r="A3600" t="str">
        <f>"20190303170324006"</f>
        <v>20190303170324006</v>
      </c>
      <c r="B3600" t="str">
        <f>"1551603803999329"</f>
        <v>1551603803999329</v>
      </c>
      <c r="C3600" t="s">
        <v>40</v>
      </c>
      <c r="D3600">
        <v>4.8343480000000003</v>
      </c>
      <c r="E3600">
        <v>0.37169990000000003</v>
      </c>
      <c r="F3600" t="s">
        <v>84</v>
      </c>
      <c r="G3600">
        <v>-346.41739999999999</v>
      </c>
      <c r="H3600">
        <v>4.0187249999999999</v>
      </c>
      <c r="I3600">
        <v>198.50219999999999</v>
      </c>
      <c r="J3600">
        <v>-481.9692</v>
      </c>
      <c r="K3600">
        <v>1.126798</v>
      </c>
      <c r="L3600">
        <v>218.9639</v>
      </c>
      <c r="M3600">
        <v>0.79508669999999904</v>
      </c>
      <c r="N3600">
        <v>-1.414849E-2</v>
      </c>
      <c r="O3600">
        <v>-0.60633110000000001</v>
      </c>
      <c r="P3600">
        <v>0.87761829999999996</v>
      </c>
      <c r="Q3600">
        <v>0.158388</v>
      </c>
      <c r="R3600">
        <v>-0.45243800000000001</v>
      </c>
      <c r="S3600">
        <v>3.168091</v>
      </c>
      <c r="T3600">
        <v>6.7502859999999998E-2</v>
      </c>
      <c r="U3600">
        <v>-0.480545</v>
      </c>
      <c r="V3600">
        <v>-0.1745012</v>
      </c>
      <c r="W3600">
        <v>0.170014</v>
      </c>
      <c r="X3600">
        <v>0.96986830000000002</v>
      </c>
      <c r="Y3600">
        <v>-0.47988639999999999</v>
      </c>
      <c r="Z3600">
        <v>-2.2754429999999999E-2</v>
      </c>
      <c r="AA3600">
        <v>0.87703549999999997</v>
      </c>
      <c r="AB3600">
        <v>22</v>
      </c>
      <c r="AC3600">
        <v>135.55179999999999</v>
      </c>
      <c r="AD3600">
        <v>2.8919269999999999</v>
      </c>
      <c r="AE3600">
        <v>-20.4617</v>
      </c>
      <c r="AF3600">
        <v>-65.897705048713206</v>
      </c>
      <c r="AG3600">
        <v>2.8919269999999999</v>
      </c>
      <c r="AH3600">
        <v>120.14053768273</v>
      </c>
      <c r="AI3600">
        <v>88.790959114013702</v>
      </c>
      <c r="AJ3600">
        <v>118.744995674297</v>
      </c>
      <c r="AK3600">
        <v>137.05699386443601</v>
      </c>
      <c r="AL3600">
        <v>80.211366697680006</v>
      </c>
      <c r="AM3600">
        <v>100.199676646352</v>
      </c>
      <c r="AN3600">
        <v>0.99999997417116404</v>
      </c>
    </row>
    <row r="3601" spans="1:40" x14ac:dyDescent="0.25">
      <c r="A3601" t="str">
        <f>"20190303170324029"</f>
        <v>20190303170324029</v>
      </c>
      <c r="B3601" t="str">
        <f>"1551603804018850"</f>
        <v>1551603804018850</v>
      </c>
      <c r="C3601" t="s">
        <v>40</v>
      </c>
      <c r="D3601">
        <v>4.8264959999999997</v>
      </c>
      <c r="E3601">
        <v>0.37235669999999998</v>
      </c>
      <c r="F3601" t="s">
        <v>84</v>
      </c>
      <c r="G3601">
        <v>-346.87490000000003</v>
      </c>
      <c r="H3601">
        <v>4.3319530000000004</v>
      </c>
      <c r="I3601">
        <v>199.32849999999999</v>
      </c>
      <c r="J3601">
        <v>-481.7885</v>
      </c>
      <c r="K3601">
        <v>1.126833</v>
      </c>
      <c r="L3601">
        <v>218.839</v>
      </c>
      <c r="M3601">
        <v>0.80041099999999998</v>
      </c>
      <c r="N3601">
        <v>-1.4165759999999999E-2</v>
      </c>
      <c r="O3601">
        <v>-0.59928419999999905</v>
      </c>
      <c r="P3601">
        <v>0.88173219999999997</v>
      </c>
      <c r="Q3601">
        <v>0.1606928</v>
      </c>
      <c r="R3601">
        <v>-0.4435385</v>
      </c>
      <c r="S3601">
        <v>3.1674500000000001</v>
      </c>
      <c r="T3601">
        <v>7.5150729999999999E-2</v>
      </c>
      <c r="U3601">
        <v>-0.46037289999999997</v>
      </c>
      <c r="V3601">
        <v>-0.17553350000000001</v>
      </c>
      <c r="W3601">
        <v>0.17230619999999999</v>
      </c>
      <c r="X3601">
        <v>0.96927730000000001</v>
      </c>
      <c r="Y3601">
        <v>-0.47751379999999999</v>
      </c>
      <c r="Z3601">
        <v>-2.4450599999999999E-2</v>
      </c>
      <c r="AA3601">
        <v>0.87828399999999995</v>
      </c>
      <c r="AB3601">
        <v>22</v>
      </c>
      <c r="AC3601">
        <v>134.91359999999901</v>
      </c>
      <c r="AD3601">
        <v>3.2051199999999902</v>
      </c>
      <c r="AE3601">
        <v>-19.5105</v>
      </c>
      <c r="AF3601">
        <v>-65.205669301429793</v>
      </c>
      <c r="AG3601">
        <v>3.2051199999999902</v>
      </c>
      <c r="AH3601">
        <v>119.624542642292</v>
      </c>
      <c r="AI3601">
        <v>88.652351413406393</v>
      </c>
      <c r="AJ3601">
        <v>118.59418511400899</v>
      </c>
      <c r="AK3601">
        <v>136.279430970486</v>
      </c>
      <c r="AL3601">
        <v>80.078066051382095</v>
      </c>
      <c r="AM3601">
        <v>100.26485951435301</v>
      </c>
      <c r="AN3601">
        <v>0.99999996023798898</v>
      </c>
    </row>
    <row r="3602" spans="1:40" x14ac:dyDescent="0.25">
      <c r="A3602" t="str">
        <f>"20190303170324053"</f>
        <v>20190303170324053</v>
      </c>
      <c r="B3602" t="str">
        <f>"1551603804039345"</f>
        <v>1551603804039345</v>
      </c>
      <c r="C3602" t="s">
        <v>40</v>
      </c>
      <c r="D3602">
        <v>4.7650649999999999</v>
      </c>
      <c r="E3602">
        <v>0.38165559999999998</v>
      </c>
      <c r="F3602" t="s">
        <v>82</v>
      </c>
      <c r="G3602">
        <v>-252.16579999999999</v>
      </c>
      <c r="H3602">
        <v>6.7779100000000003</v>
      </c>
      <c r="I3602">
        <v>187.34700000000001</v>
      </c>
      <c r="J3602">
        <v>-481.5942</v>
      </c>
      <c r="K3602">
        <v>1.126873</v>
      </c>
      <c r="L3602">
        <v>218.7073</v>
      </c>
      <c r="M3602">
        <v>0.80607830000000003</v>
      </c>
      <c r="N3602">
        <v>-1.418321E-2</v>
      </c>
      <c r="O3602">
        <v>-0.59163920000000003</v>
      </c>
      <c r="P3602">
        <v>0.8861945</v>
      </c>
      <c r="Q3602">
        <v>0.16305410000000001</v>
      </c>
      <c r="R3602">
        <v>-0.43367420000000001</v>
      </c>
      <c r="S3602">
        <v>3.169556</v>
      </c>
      <c r="T3602">
        <v>7.8004599999999993E-2</v>
      </c>
      <c r="U3602">
        <v>-0.43469239999999998</v>
      </c>
      <c r="V3602">
        <v>-0.17691099999999901</v>
      </c>
      <c r="W3602">
        <v>0.1746472</v>
      </c>
      <c r="X3602">
        <v>0.96860769999999996</v>
      </c>
      <c r="Y3602">
        <v>-0.47619220000000001</v>
      </c>
      <c r="Z3602">
        <v>-2.4895339999999998E-2</v>
      </c>
      <c r="AA3602">
        <v>0.87898869999999896</v>
      </c>
      <c r="AB3602">
        <v>22</v>
      </c>
      <c r="AC3602">
        <v>229.42840000000001</v>
      </c>
      <c r="AD3602">
        <v>5.6510369999999996</v>
      </c>
      <c r="AE3602">
        <v>-31.360299999999899</v>
      </c>
      <c r="AF3602">
        <v>-110.405318763528</v>
      </c>
      <c r="AG3602">
        <v>5.6510369999999996</v>
      </c>
      <c r="AH3602">
        <v>203.39054379097399</v>
      </c>
      <c r="AI3602">
        <v>88.601198231153305</v>
      </c>
      <c r="AJ3602">
        <v>118.494182811185</v>
      </c>
      <c r="AK3602">
        <v>231.49294143459301</v>
      </c>
      <c r="AL3602">
        <v>79.941872128192102</v>
      </c>
      <c r="AM3602">
        <v>100.350676809086</v>
      </c>
      <c r="AN3602">
        <v>1.0000000114440599</v>
      </c>
    </row>
    <row r="3603" spans="1:40" x14ac:dyDescent="0.25">
      <c r="A3603" t="str">
        <f>"20190303170324076"</f>
        <v>20190303170324076</v>
      </c>
      <c r="B3603" t="str">
        <f>"1551603804068625"</f>
        <v>1551603804068625</v>
      </c>
      <c r="C3603" t="s">
        <v>40</v>
      </c>
      <c r="D3603">
        <v>4.779039</v>
      </c>
      <c r="E3603">
        <v>0.38297439999999999</v>
      </c>
      <c r="F3603" t="s">
        <v>84</v>
      </c>
      <c r="G3603">
        <v>-346.4024</v>
      </c>
      <c r="H3603">
        <v>4.0890329999999997</v>
      </c>
      <c r="I3603">
        <v>198.56989999999999</v>
      </c>
      <c r="J3603">
        <v>-481.42180000000002</v>
      </c>
      <c r="K3603">
        <v>1.1269089999999999</v>
      </c>
      <c r="L3603">
        <v>218.59289999999999</v>
      </c>
      <c r="M3603">
        <v>0.81105740000000004</v>
      </c>
      <c r="N3603">
        <v>-1.419749E-2</v>
      </c>
      <c r="O3603">
        <v>-0.58479449999999999</v>
      </c>
      <c r="P3603">
        <v>0.89030830000000005</v>
      </c>
      <c r="Q3603">
        <v>0.16328399999999901</v>
      </c>
      <c r="R3603">
        <v>-0.42507630000000002</v>
      </c>
      <c r="S3603">
        <v>3.1434630000000001</v>
      </c>
      <c r="T3603">
        <v>6.8877699999999903E-2</v>
      </c>
      <c r="U3603">
        <v>-0.46823120000000001</v>
      </c>
      <c r="V3603">
        <v>-0.1780794</v>
      </c>
      <c r="W3603">
        <v>0.17486170000000001</v>
      </c>
      <c r="X3603">
        <v>0.96835479999999996</v>
      </c>
      <c r="Y3603">
        <v>-0.45856609999999998</v>
      </c>
      <c r="Z3603">
        <v>-2.2445039999999999E-2</v>
      </c>
      <c r="AA3603">
        <v>0.88837679999999997</v>
      </c>
      <c r="AB3603">
        <v>22</v>
      </c>
      <c r="AC3603">
        <v>135.01939999999999</v>
      </c>
      <c r="AD3603">
        <v>2.9621240000000002</v>
      </c>
      <c r="AE3603">
        <v>-20.023</v>
      </c>
      <c r="AF3603">
        <v>-62.695587446232402</v>
      </c>
      <c r="AG3603">
        <v>2.9621240000000002</v>
      </c>
      <c r="AH3603">
        <v>121.172960067557</v>
      </c>
      <c r="AI3603">
        <v>88.756223962858499</v>
      </c>
      <c r="AJ3603">
        <v>117.35730566385401</v>
      </c>
      <c r="AK3603">
        <v>136.463904074862</v>
      </c>
      <c r="AL3603">
        <v>79.929389513728594</v>
      </c>
      <c r="AM3603">
        <v>100.420206513807</v>
      </c>
      <c r="AN3603">
        <v>0.99999995275714304</v>
      </c>
    </row>
    <row r="3604" spans="1:40" x14ac:dyDescent="0.25">
      <c r="A3604" t="str">
        <f>"20190303170324098"</f>
        <v>20190303170324098</v>
      </c>
      <c r="B3604" t="str">
        <f>"1551603804089121"</f>
        <v>1551603804089121</v>
      </c>
      <c r="C3604" t="s">
        <v>40</v>
      </c>
      <c r="D3604">
        <v>4.7383639999999998</v>
      </c>
      <c r="E3604">
        <v>0.38413839999999999</v>
      </c>
      <c r="F3604" t="s">
        <v>84</v>
      </c>
      <c r="G3604">
        <v>-346.93790000000001</v>
      </c>
      <c r="H3604">
        <v>4.3998179999999998</v>
      </c>
      <c r="I3604">
        <v>199.47149999999999</v>
      </c>
      <c r="J3604">
        <v>-481.24090000000001</v>
      </c>
      <c r="K3604">
        <v>1.1269439999999999</v>
      </c>
      <c r="L3604">
        <v>218.4753</v>
      </c>
      <c r="M3604">
        <v>0.81622919999999999</v>
      </c>
      <c r="N3604">
        <v>-1.421121E-2</v>
      </c>
      <c r="O3604">
        <v>-0.57755369999999995</v>
      </c>
      <c r="P3604">
        <v>0.89471469999999897</v>
      </c>
      <c r="Q3604">
        <v>0.16177159999999999</v>
      </c>
      <c r="R3604">
        <v>-0.41631249999999997</v>
      </c>
      <c r="S3604">
        <v>3.1422729999999999</v>
      </c>
      <c r="T3604">
        <v>7.6474909999999993E-2</v>
      </c>
      <c r="U3604">
        <v>-0.44677729999999999</v>
      </c>
      <c r="V3604">
        <v>-0.17912620000000001</v>
      </c>
      <c r="W3604">
        <v>0.17333799999999999</v>
      </c>
      <c r="X3604">
        <v>0.96843570000000001</v>
      </c>
      <c r="Y3604">
        <v>-0.456488</v>
      </c>
      <c r="Z3604">
        <v>-2.4068349999999999E-2</v>
      </c>
      <c r="AA3604">
        <v>0.88940399999999997</v>
      </c>
      <c r="AB3604">
        <v>22</v>
      </c>
      <c r="AC3604">
        <v>134.303</v>
      </c>
      <c r="AD3604">
        <v>3.2728739999999998</v>
      </c>
      <c r="AE3604">
        <v>-19.003799999999998</v>
      </c>
      <c r="AF3604">
        <v>-62.025882867207599</v>
      </c>
      <c r="AG3604">
        <v>3.2728739999999998</v>
      </c>
      <c r="AH3604">
        <v>120.53972525406</v>
      </c>
      <c r="AI3604">
        <v>88.616975635057003</v>
      </c>
      <c r="AJ3604">
        <v>117.228899913424</v>
      </c>
      <c r="AK3604">
        <v>135.60142777272199</v>
      </c>
      <c r="AL3604">
        <v>80.018045342653195</v>
      </c>
      <c r="AM3604">
        <v>100.47925000942099</v>
      </c>
      <c r="AN3604">
        <v>0.99999998140246404</v>
      </c>
    </row>
    <row r="3605" spans="1:40" x14ac:dyDescent="0.25">
      <c r="A3605" t="str">
        <f>"20190303170324118"</f>
        <v>20190303170324118</v>
      </c>
      <c r="B3605" t="str">
        <f>"1551603804108641"</f>
        <v>1551603804108641</v>
      </c>
      <c r="C3605" t="s">
        <v>40</v>
      </c>
      <c r="D3605">
        <v>4.7462299999999997</v>
      </c>
      <c r="E3605">
        <v>0.38447979999999998</v>
      </c>
      <c r="F3605" t="s">
        <v>82</v>
      </c>
      <c r="G3605">
        <v>-252.20740000000001</v>
      </c>
      <c r="H3605">
        <v>6.4477440000000001</v>
      </c>
      <c r="I3605">
        <v>187.60079999999999</v>
      </c>
      <c r="J3605">
        <v>-481.08109999999999</v>
      </c>
      <c r="K3605">
        <v>1.1269709999999999</v>
      </c>
      <c r="L3605">
        <v>218.3733</v>
      </c>
      <c r="M3605">
        <v>0.82075299999999995</v>
      </c>
      <c r="N3605">
        <v>-1.4222139999999999E-2</v>
      </c>
      <c r="O3605">
        <v>-0.57110640000000001</v>
      </c>
      <c r="P3605">
        <v>0.89798940000000005</v>
      </c>
      <c r="Q3605">
        <v>0.16172639999999999</v>
      </c>
      <c r="R3605">
        <v>-0.40921849999999999</v>
      </c>
      <c r="S3605">
        <v>3.1427</v>
      </c>
      <c r="T3605">
        <v>7.3010679999999994E-2</v>
      </c>
      <c r="U3605">
        <v>-0.42364499999999999</v>
      </c>
      <c r="V3605">
        <v>-0.1791761</v>
      </c>
      <c r="W3605">
        <v>0.17329339999999999</v>
      </c>
      <c r="X3605">
        <v>0.96843449999999998</v>
      </c>
      <c r="Y3605">
        <v>-0.45595540000000001</v>
      </c>
      <c r="Z3605">
        <v>-2.3010099999999999E-2</v>
      </c>
      <c r="AA3605">
        <v>0.88970509999999903</v>
      </c>
      <c r="AB3605">
        <v>21</v>
      </c>
      <c r="AC3605">
        <v>228.87370000000001</v>
      </c>
      <c r="AD3605">
        <v>5.320773</v>
      </c>
      <c r="AE3605">
        <v>-30.772500000000001</v>
      </c>
      <c r="AF3605">
        <v>-105.409308134425</v>
      </c>
      <c r="AG3605">
        <v>5.320773</v>
      </c>
      <c r="AH3605">
        <v>205.33489443017399</v>
      </c>
      <c r="AI3605">
        <v>88.679420146463599</v>
      </c>
      <c r="AJ3605">
        <v>117.173838270326</v>
      </c>
      <c r="AK3605">
        <v>230.87193795987099</v>
      </c>
      <c r="AL3605">
        <v>80.020640481484705</v>
      </c>
      <c r="AM3605">
        <v>100.48211726805999</v>
      </c>
      <c r="AN3605">
        <v>1.0000000290425</v>
      </c>
    </row>
    <row r="3606" spans="1:40" x14ac:dyDescent="0.25">
      <c r="A3606" t="str">
        <f>"20190303170324140"</f>
        <v>20190303170324140</v>
      </c>
      <c r="B3606" t="str">
        <f>"1551603804129137"</f>
        <v>1551603804129137</v>
      </c>
      <c r="C3606" t="s">
        <v>40</v>
      </c>
      <c r="D3606">
        <v>4.7748179999999998</v>
      </c>
      <c r="E3606">
        <v>0.3925631</v>
      </c>
      <c r="F3606" t="s">
        <v>82</v>
      </c>
      <c r="G3606">
        <v>-255.4341</v>
      </c>
      <c r="H3606">
        <v>6.3935199999999996</v>
      </c>
      <c r="I3606">
        <v>189.62190000000001</v>
      </c>
      <c r="J3606">
        <v>-480.90769999999998</v>
      </c>
      <c r="K3606">
        <v>1.1270009999999999</v>
      </c>
      <c r="L3606">
        <v>218.26480000000001</v>
      </c>
      <c r="M3606">
        <v>0.82560679999999997</v>
      </c>
      <c r="N3606">
        <v>-1.4232649999999999E-2</v>
      </c>
      <c r="O3606">
        <v>-0.56406650000000003</v>
      </c>
      <c r="P3606">
        <v>0.90136709999999998</v>
      </c>
      <c r="Q3606">
        <v>0.16322159999999999</v>
      </c>
      <c r="R3606">
        <v>-0.40111839999999999</v>
      </c>
      <c r="S3606">
        <v>3.1449889999999998</v>
      </c>
      <c r="T3606">
        <v>7.340431E-2</v>
      </c>
      <c r="U3606">
        <v>-0.40072629999999998</v>
      </c>
      <c r="V3606">
        <v>-0.1794878</v>
      </c>
      <c r="W3606">
        <v>0.17478289999999999</v>
      </c>
      <c r="X3606">
        <v>0.968109</v>
      </c>
      <c r="Y3606">
        <v>-0.4548064</v>
      </c>
      <c r="Z3606">
        <v>-2.28557E-2</v>
      </c>
      <c r="AA3606">
        <v>0.89029699999999901</v>
      </c>
      <c r="AB3606">
        <v>21</v>
      </c>
      <c r="AC3606">
        <v>225.4736</v>
      </c>
      <c r="AD3606">
        <v>5.2665189999999997</v>
      </c>
      <c r="AE3606">
        <v>-28.642900000000001</v>
      </c>
      <c r="AF3606">
        <v>-103.48924576171299</v>
      </c>
      <c r="AG3606">
        <v>5.2665189999999997</v>
      </c>
      <c r="AH3606">
        <v>202.22093914350299</v>
      </c>
      <c r="AI3606">
        <v>88.671903527794001</v>
      </c>
      <c r="AJ3606">
        <v>117.101698151739</v>
      </c>
      <c r="AK3606">
        <v>227.22470912905999</v>
      </c>
      <c r="AL3606">
        <v>79.933975358057893</v>
      </c>
      <c r="AM3606">
        <v>100.50339884168601</v>
      </c>
      <c r="AN3606">
        <v>0.99999998418112401</v>
      </c>
    </row>
    <row r="3607" spans="1:40" x14ac:dyDescent="0.25">
      <c r="A3607" t="str">
        <f>"20190303170324162"</f>
        <v>20190303170324162</v>
      </c>
      <c r="B3607" t="str">
        <f>"1551603804159393"</f>
        <v>1551603804159393</v>
      </c>
      <c r="C3607" t="s">
        <v>40</v>
      </c>
      <c r="D3607">
        <v>4.7555420000000002</v>
      </c>
      <c r="E3607">
        <v>0.39398309999999997</v>
      </c>
      <c r="F3607" t="s">
        <v>82</v>
      </c>
      <c r="G3607">
        <v>-252.2722</v>
      </c>
      <c r="H3607">
        <v>5.4917470000000002</v>
      </c>
      <c r="I3607">
        <v>186.65199999999999</v>
      </c>
      <c r="J3607">
        <v>-480.73430000000002</v>
      </c>
      <c r="K3607">
        <v>1.1270230000000001</v>
      </c>
      <c r="L3607">
        <v>218.1584</v>
      </c>
      <c r="M3607">
        <v>0.83040429999999998</v>
      </c>
      <c r="N3607">
        <v>-1.424188E-2</v>
      </c>
      <c r="O3607">
        <v>-0.55697959999999902</v>
      </c>
      <c r="P3607">
        <v>0.9046322</v>
      </c>
      <c r="Q3607">
        <v>0.16561819999999999</v>
      </c>
      <c r="R3607">
        <v>-0.39269749999999998</v>
      </c>
      <c r="S3607">
        <v>3.1252140000000002</v>
      </c>
      <c r="T3607">
        <v>5.9662699999999902E-2</v>
      </c>
      <c r="U3607">
        <v>-0.43211359999999899</v>
      </c>
      <c r="V3607">
        <v>-0.1800224</v>
      </c>
      <c r="W3607">
        <v>0.1771683</v>
      </c>
      <c r="X3607">
        <v>0.96757599999999999</v>
      </c>
      <c r="Y3607">
        <v>-0.43772100000000003</v>
      </c>
      <c r="Z3607">
        <v>-1.9356780000000001E-2</v>
      </c>
      <c r="AA3607">
        <v>0.89890249999999905</v>
      </c>
      <c r="AB3607">
        <v>21</v>
      </c>
      <c r="AC3607">
        <v>228.46209999999999</v>
      </c>
      <c r="AD3607">
        <v>4.3647239999999998</v>
      </c>
      <c r="AE3607">
        <v>-31.5063999999999</v>
      </c>
      <c r="AF3607">
        <v>-101.0597139261</v>
      </c>
      <c r="AG3607">
        <v>4.3647239999999998</v>
      </c>
      <c r="AH3607">
        <v>207.211093883838</v>
      </c>
      <c r="AI3607">
        <v>88.9153791891097</v>
      </c>
      <c r="AJ3607">
        <v>115.99913123624999</v>
      </c>
      <c r="AK3607">
        <v>230.58307401662901</v>
      </c>
      <c r="AL3607">
        <v>79.795135397328195</v>
      </c>
      <c r="AM3607">
        <v>100.539656513227</v>
      </c>
      <c r="AN3607">
        <v>0.99999999340132495</v>
      </c>
    </row>
    <row r="3608" spans="1:40" x14ac:dyDescent="0.25">
      <c r="A3608" t="str">
        <f>"20190303170324184"</f>
        <v>20190303170324184</v>
      </c>
      <c r="B3608" t="str">
        <f>"1551603804178913"</f>
        <v>1551603804178913</v>
      </c>
      <c r="C3608" t="s">
        <v>40</v>
      </c>
      <c r="D3608">
        <v>4.7627129999999998</v>
      </c>
      <c r="E3608">
        <v>0.3933622</v>
      </c>
      <c r="F3608" t="s">
        <v>82</v>
      </c>
      <c r="G3608">
        <v>-253.0419</v>
      </c>
      <c r="H3608">
        <v>5.4266519999999998</v>
      </c>
      <c r="I3608">
        <v>187.93010000000001</v>
      </c>
      <c r="J3608">
        <v>-480.55029999999999</v>
      </c>
      <c r="K3608">
        <v>1.1270389999999999</v>
      </c>
      <c r="L3608">
        <v>218.0478</v>
      </c>
      <c r="M3608">
        <v>0.83542320000000003</v>
      </c>
      <c r="N3608">
        <v>-1.425013E-2</v>
      </c>
      <c r="O3608">
        <v>-0.54942259999999998</v>
      </c>
      <c r="P3608">
        <v>0.9085628</v>
      </c>
      <c r="Q3608">
        <v>0.167160999999999</v>
      </c>
      <c r="R3608">
        <v>-0.38284580000000001</v>
      </c>
      <c r="S3608">
        <v>3.1253359999999999</v>
      </c>
      <c r="T3608">
        <v>5.9018250000000001E-2</v>
      </c>
      <c r="U3608">
        <v>-0.41491699999999998</v>
      </c>
      <c r="V3608">
        <v>-0.18162729999999999</v>
      </c>
      <c r="W3608">
        <v>0.1786886</v>
      </c>
      <c r="X3608">
        <v>0.96699630000000003</v>
      </c>
      <c r="Y3608">
        <v>-0.43443189999999998</v>
      </c>
      <c r="Z3608">
        <v>-1.8965570000000001E-2</v>
      </c>
      <c r="AA3608">
        <v>0.90050490000000005</v>
      </c>
      <c r="AB3608">
        <v>21</v>
      </c>
      <c r="AC3608">
        <v>227.50839999999999</v>
      </c>
      <c r="AD3608">
        <v>4.2996129999999999</v>
      </c>
      <c r="AE3608">
        <v>-30.1176999999999</v>
      </c>
      <c r="AF3608">
        <v>-99.812325464969504</v>
      </c>
      <c r="AG3608">
        <v>4.2996129999999999</v>
      </c>
      <c r="AH3608">
        <v>206.56159789059001</v>
      </c>
      <c r="AI3608">
        <v>88.926298221813795</v>
      </c>
      <c r="AJ3608">
        <v>115.79022951195201</v>
      </c>
      <c r="AK3608">
        <v>229.45300327036099</v>
      </c>
      <c r="AL3608">
        <v>79.706615885961298</v>
      </c>
      <c r="AM3608">
        <v>100.637712749927</v>
      </c>
      <c r="AN3608">
        <v>0.999999968044469</v>
      </c>
    </row>
    <row r="3609" spans="1:40" x14ac:dyDescent="0.25">
      <c r="A3609" t="str">
        <f>"20190303170324207"</f>
        <v>20190303170324207</v>
      </c>
      <c r="B3609" t="str">
        <f>"1551603804199410"</f>
        <v>1551603804199410</v>
      </c>
      <c r="C3609" t="s">
        <v>40</v>
      </c>
      <c r="D3609">
        <v>4.7623989999999896</v>
      </c>
      <c r="E3609">
        <v>0.39364840000000001</v>
      </c>
      <c r="F3609" t="s">
        <v>82</v>
      </c>
      <c r="G3609">
        <v>-253.84030000000001</v>
      </c>
      <c r="H3609">
        <v>6.1789670000000001</v>
      </c>
      <c r="I3609">
        <v>190.73259999999999</v>
      </c>
      <c r="J3609">
        <v>-480.37150000000003</v>
      </c>
      <c r="K3609">
        <v>1.1270420000000001</v>
      </c>
      <c r="L3609">
        <v>217.94239999999999</v>
      </c>
      <c r="M3609">
        <v>0.84022520000000001</v>
      </c>
      <c r="N3609">
        <v>-1.425618E-2</v>
      </c>
      <c r="O3609">
        <v>-0.54205019999999904</v>
      </c>
      <c r="P3609">
        <v>0.91247690000000004</v>
      </c>
      <c r="Q3609">
        <v>0.1663954</v>
      </c>
      <c r="R3609">
        <v>-0.37376239999999999</v>
      </c>
      <c r="S3609">
        <v>3.1301570000000001</v>
      </c>
      <c r="T3609">
        <v>6.9752339999999996E-2</v>
      </c>
      <c r="U3609">
        <v>-0.37713619999999998</v>
      </c>
      <c r="V3609">
        <v>-0.1828332</v>
      </c>
      <c r="W3609">
        <v>0.1779135</v>
      </c>
      <c r="X3609">
        <v>0.96691199999999999</v>
      </c>
      <c r="Y3609">
        <v>-0.43730750000000002</v>
      </c>
      <c r="Z3609">
        <v>-2.1238630000000001E-2</v>
      </c>
      <c r="AA3609">
        <v>0.89906119999999901</v>
      </c>
      <c r="AB3609">
        <v>21</v>
      </c>
      <c r="AC3609">
        <v>226.53120000000001</v>
      </c>
      <c r="AD3609">
        <v>5.0519249999999998</v>
      </c>
      <c r="AE3609">
        <v>-27.209800000000001</v>
      </c>
      <c r="AF3609">
        <v>-99.890103370079601</v>
      </c>
      <c r="AG3609">
        <v>5.0519249999999998</v>
      </c>
      <c r="AH3609">
        <v>205.00663076913099</v>
      </c>
      <c r="AI3609">
        <v>88.730938086538899</v>
      </c>
      <c r="AJ3609">
        <v>115.97779960480401</v>
      </c>
      <c r="AK3609">
        <v>228.103646083971</v>
      </c>
      <c r="AL3609">
        <v>79.751749435910199</v>
      </c>
      <c r="AM3609">
        <v>100.707625311169</v>
      </c>
      <c r="AN3609">
        <v>1.0000000041242401</v>
      </c>
    </row>
    <row r="3610" spans="1:40" x14ac:dyDescent="0.25">
      <c r="A3610" t="str">
        <f>"20190303170324228"</f>
        <v>20190303170324228</v>
      </c>
      <c r="B3610" t="str">
        <f>"1551603804218930"</f>
        <v>1551603804218930</v>
      </c>
      <c r="C3610" t="s">
        <v>40</v>
      </c>
      <c r="D3610">
        <v>4.7660289999999996</v>
      </c>
      <c r="E3610">
        <v>0.39448919999999998</v>
      </c>
      <c r="F3610" t="s">
        <v>82</v>
      </c>
      <c r="G3610">
        <v>-253.0891</v>
      </c>
      <c r="H3610">
        <v>6.236192</v>
      </c>
      <c r="I3610">
        <v>192.76429999999999</v>
      </c>
      <c r="J3610">
        <v>-480.19029999999998</v>
      </c>
      <c r="K3610">
        <v>1.1270260000000001</v>
      </c>
      <c r="L3610">
        <v>217.83779999999999</v>
      </c>
      <c r="M3610">
        <v>0.84500540000000002</v>
      </c>
      <c r="N3610">
        <v>-1.4260500000000001E-2</v>
      </c>
      <c r="O3610">
        <v>-0.53456780000000004</v>
      </c>
      <c r="P3610">
        <v>0.91641050000000002</v>
      </c>
      <c r="Q3610">
        <v>0.16515569999999999</v>
      </c>
      <c r="R3610">
        <v>-0.36457650000000003</v>
      </c>
      <c r="S3610">
        <v>3.1327820000000002</v>
      </c>
      <c r="T3610">
        <v>7.0423719999999995E-2</v>
      </c>
      <c r="U3610">
        <v>-0.34704590000000002</v>
      </c>
      <c r="V3610">
        <v>-0.18406359999999999</v>
      </c>
      <c r="W3610">
        <v>0.17666760000000001</v>
      </c>
      <c r="X3610">
        <v>0.96690699999999996</v>
      </c>
      <c r="Y3610">
        <v>-0.43793349999999998</v>
      </c>
      <c r="Z3610">
        <v>-2.1138669999999998E-2</v>
      </c>
      <c r="AA3610">
        <v>0.89875879999999997</v>
      </c>
      <c r="AB3610">
        <v>21</v>
      </c>
      <c r="AC3610">
        <v>227.10120000000001</v>
      </c>
      <c r="AD3610">
        <v>5.1091660000000001</v>
      </c>
      <c r="AE3610">
        <v>-25.073499999999999</v>
      </c>
      <c r="AF3610">
        <v>-100.173835990223</v>
      </c>
      <c r="AG3610">
        <v>5.1091660000000001</v>
      </c>
      <c r="AH3610">
        <v>205.22346358098699</v>
      </c>
      <c r="AI3610">
        <v>88.7183573969794</v>
      </c>
      <c r="AJ3610">
        <v>116.017964551364</v>
      </c>
      <c r="AK3610">
        <v>228.42410336562301</v>
      </c>
      <c r="AL3610">
        <v>79.824283232660207</v>
      </c>
      <c r="AM3610">
        <v>100.778055627981</v>
      </c>
      <c r="AN3610">
        <v>0.99999999819185903</v>
      </c>
    </row>
    <row r="3611" spans="1:40" x14ac:dyDescent="0.25">
      <c r="A3611" t="str">
        <f>"20190303170324252"</f>
        <v>20190303170324252</v>
      </c>
      <c r="B3611" t="str">
        <f>"1551603804239426"</f>
        <v>1551603804239426</v>
      </c>
      <c r="C3611" t="s">
        <v>40</v>
      </c>
      <c r="D3611">
        <v>4.7786589999999904</v>
      </c>
      <c r="E3611">
        <v>0.39518579999999998</v>
      </c>
      <c r="F3611" t="s">
        <v>56</v>
      </c>
      <c r="G3611">
        <v>-169.7183</v>
      </c>
      <c r="H3611">
        <v>7.6601410000000003</v>
      </c>
      <c r="I3611">
        <v>186.0067</v>
      </c>
      <c r="J3611">
        <v>-480.00639999999999</v>
      </c>
      <c r="K3611">
        <v>1.127008</v>
      </c>
      <c r="L3611">
        <v>217.7338</v>
      </c>
      <c r="M3611">
        <v>0.849769199999999</v>
      </c>
      <c r="N3611">
        <v>-1.4263079999999999E-2</v>
      </c>
      <c r="O3611">
        <v>-0.52696200000000004</v>
      </c>
      <c r="P3611">
        <v>0.92008199999999996</v>
      </c>
      <c r="Q3611">
        <v>0.16477349999999999</v>
      </c>
      <c r="R3611">
        <v>-0.35538579999999997</v>
      </c>
      <c r="S3611">
        <v>3.1339109999999999</v>
      </c>
      <c r="T3611">
        <v>6.5945740000000003E-2</v>
      </c>
      <c r="U3611">
        <v>-0.32130429999999999</v>
      </c>
      <c r="V3611">
        <v>-0.185089</v>
      </c>
      <c r="W3611">
        <v>0.176281299999999</v>
      </c>
      <c r="X3611">
        <v>0.96678169999999997</v>
      </c>
      <c r="Y3611">
        <v>-0.43723980000000001</v>
      </c>
      <c r="Z3611">
        <v>-1.9848919999999999E-2</v>
      </c>
      <c r="AA3611">
        <v>0.89912590000000003</v>
      </c>
      <c r="AB3611">
        <v>21</v>
      </c>
      <c r="AC3611">
        <v>310.28809999999999</v>
      </c>
      <c r="AD3611">
        <v>6.5331330000000003</v>
      </c>
      <c r="AE3611">
        <v>-31.7271</v>
      </c>
      <c r="AF3611">
        <v>-136.503323754831</v>
      </c>
      <c r="AG3611">
        <v>6.5331330000000003</v>
      </c>
      <c r="AH3611">
        <v>280.29778623930002</v>
      </c>
      <c r="AI3611">
        <v>88.799540731163205</v>
      </c>
      <c r="AJ3611">
        <v>115.965801562933</v>
      </c>
      <c r="AK3611">
        <v>311.837599069715</v>
      </c>
      <c r="AL3611">
        <v>79.846768964373297</v>
      </c>
      <c r="AM3611">
        <v>100.83805240249499</v>
      </c>
      <c r="AN3611">
        <v>0.999999945052788</v>
      </c>
    </row>
    <row r="3612" spans="1:40" x14ac:dyDescent="0.25">
      <c r="A3612" t="str">
        <f>"20190303170324276"</f>
        <v>20190303170324276</v>
      </c>
      <c r="B3612" t="str">
        <f>"1551603804268705"</f>
        <v>1551603804268705</v>
      </c>
      <c r="C3612" t="s">
        <v>40</v>
      </c>
      <c r="D3612">
        <v>4.8027769999999999</v>
      </c>
      <c r="E3612">
        <v>0.39694180000000001</v>
      </c>
      <c r="F3612" t="s">
        <v>84</v>
      </c>
      <c r="G3612">
        <v>-254.1181</v>
      </c>
      <c r="H3612">
        <v>5.8138800000000002</v>
      </c>
      <c r="I3612">
        <v>196.44980000000001</v>
      </c>
      <c r="J3612">
        <v>-479.81200000000001</v>
      </c>
      <c r="K3612">
        <v>1.126986</v>
      </c>
      <c r="L3612">
        <v>217.62620000000001</v>
      </c>
      <c r="M3612">
        <v>0.85470449999999998</v>
      </c>
      <c r="N3612">
        <v>-1.426441E-2</v>
      </c>
      <c r="O3612">
        <v>-0.51891889999999996</v>
      </c>
      <c r="P3612">
        <v>0.92318060000000002</v>
      </c>
      <c r="Q3612">
        <v>0.164691</v>
      </c>
      <c r="R3612">
        <v>-0.34729589999999999</v>
      </c>
      <c r="S3612">
        <v>3.1348880000000001</v>
      </c>
      <c r="T3612">
        <v>6.5046069999999998E-2</v>
      </c>
      <c r="U3612">
        <v>-0.29537960000000002</v>
      </c>
      <c r="V3612">
        <v>-0.1844461</v>
      </c>
      <c r="W3612">
        <v>0.1762203</v>
      </c>
      <c r="X3612">
        <v>0.96691570000000004</v>
      </c>
      <c r="Y3612">
        <v>-0.43615739999999997</v>
      </c>
      <c r="Z3612">
        <v>-1.9373479999999998E-2</v>
      </c>
      <c r="AA3612">
        <v>0.89966179999999996</v>
      </c>
      <c r="AB3612">
        <v>21</v>
      </c>
      <c r="AC3612">
        <v>225.69390000000001</v>
      </c>
      <c r="AD3612">
        <v>4.6868939999999997</v>
      </c>
      <c r="AE3612">
        <v>-21.176400000000001</v>
      </c>
      <c r="AF3612">
        <v>-98.985022279555807</v>
      </c>
      <c r="AG3612">
        <v>4.6868939999999997</v>
      </c>
      <c r="AH3612">
        <v>203.82403190880001</v>
      </c>
      <c r="AI3612">
        <v>88.815027418582602</v>
      </c>
      <c r="AJ3612">
        <v>115.903045769299</v>
      </c>
      <c r="AK3612">
        <v>226.63679664743501</v>
      </c>
      <c r="AL3612">
        <v>79.850319789817604</v>
      </c>
      <c r="AM3612">
        <v>100.79983222026</v>
      </c>
      <c r="AN3612">
        <v>0.99999996442189398</v>
      </c>
    </row>
    <row r="3613" spans="1:40" x14ac:dyDescent="0.25">
      <c r="A3613" t="str">
        <f>"20190303170324298"</f>
        <v>20190303170324298</v>
      </c>
      <c r="B3613" t="str">
        <f>"1551603804289202"</f>
        <v>1551603804289202</v>
      </c>
      <c r="C3613" t="s">
        <v>40</v>
      </c>
      <c r="D3613">
        <v>4.770016</v>
      </c>
      <c r="E3613">
        <v>0.39803480000000002</v>
      </c>
      <c r="F3613" t="s">
        <v>85</v>
      </c>
      <c r="G3613">
        <v>-281.33780000000002</v>
      </c>
      <c r="H3613">
        <v>5.069007</v>
      </c>
      <c r="I3613">
        <v>199.8218</v>
      </c>
      <c r="J3613">
        <v>-479.62299999999999</v>
      </c>
      <c r="K3613">
        <v>1.1269739999999999</v>
      </c>
      <c r="L3613">
        <v>217.524</v>
      </c>
      <c r="M3613">
        <v>0.85939880000000002</v>
      </c>
      <c r="N3613">
        <v>-1.4264539999999999E-2</v>
      </c>
      <c r="O3613">
        <v>-0.51110679999999997</v>
      </c>
      <c r="P3613">
        <v>0.92578020000000005</v>
      </c>
      <c r="Q3613">
        <v>0.1650915</v>
      </c>
      <c r="R3613">
        <v>-0.34011180000000002</v>
      </c>
      <c r="S3613">
        <v>3.1328429999999998</v>
      </c>
      <c r="T3613">
        <v>6.2223319999999999E-2</v>
      </c>
      <c r="U3613">
        <v>-0.28103640000000002</v>
      </c>
      <c r="V3613">
        <v>-0.18310090000000001</v>
      </c>
      <c r="W3613">
        <v>0.17665120000000001</v>
      </c>
      <c r="X3613">
        <v>0.96709279999999997</v>
      </c>
      <c r="Y3613">
        <v>-0.432006</v>
      </c>
      <c r="Z3613">
        <v>-1.8476269999999999E-2</v>
      </c>
      <c r="AA3613">
        <v>0.90168150000000002</v>
      </c>
      <c r="AB3613">
        <v>21</v>
      </c>
      <c r="AC3613">
        <v>198.2852</v>
      </c>
      <c r="AD3613">
        <v>3.9420329999999999</v>
      </c>
      <c r="AE3613">
        <v>-17.702200000000001</v>
      </c>
      <c r="AF3613">
        <v>-86.106668029630896</v>
      </c>
      <c r="AG3613">
        <v>3.9420329999999999</v>
      </c>
      <c r="AH3613">
        <v>179.40169778104601</v>
      </c>
      <c r="AI3613">
        <v>88.865140274399096</v>
      </c>
      <c r="AJ3613">
        <v>115.63941026817599</v>
      </c>
      <c r="AK3613">
        <v>199.03483883496401</v>
      </c>
      <c r="AL3613">
        <v>79.825238276137597</v>
      </c>
      <c r="AM3613">
        <v>100.72098168491701</v>
      </c>
      <c r="AN3613">
        <v>1.0000000349270399</v>
      </c>
    </row>
    <row r="3614" spans="1:40" x14ac:dyDescent="0.25">
      <c r="A3614" t="str">
        <f>"20190303170324320"</f>
        <v>20190303170324320</v>
      </c>
      <c r="B3614" t="str">
        <f>"1551603804308721"</f>
        <v>1551603804308721</v>
      </c>
      <c r="C3614" t="s">
        <v>40</v>
      </c>
      <c r="D3614">
        <v>4.7818290000000001</v>
      </c>
      <c r="E3614">
        <v>0.41183609999999998</v>
      </c>
      <c r="F3614" t="s">
        <v>84</v>
      </c>
      <c r="G3614">
        <v>-253.01939999999999</v>
      </c>
      <c r="H3614">
        <v>5.5490279999999998</v>
      </c>
      <c r="I3614">
        <v>198.3493</v>
      </c>
      <c r="J3614">
        <v>-479.44990000000001</v>
      </c>
      <c r="K3614">
        <v>1.12696</v>
      </c>
      <c r="L3614">
        <v>217.4324</v>
      </c>
      <c r="M3614">
        <v>0.86361319999999997</v>
      </c>
      <c r="N3614">
        <v>-1.426374E-2</v>
      </c>
      <c r="O3614">
        <v>-0.50395329999999905</v>
      </c>
      <c r="P3614">
        <v>0.92770620000000004</v>
      </c>
      <c r="Q3614">
        <v>0.1662682</v>
      </c>
      <c r="R3614">
        <v>-0.33423989999999998</v>
      </c>
      <c r="S3614">
        <v>3.132263</v>
      </c>
      <c r="T3614">
        <v>6.1125989999999998E-2</v>
      </c>
      <c r="U3614">
        <v>-0.26504519999999998</v>
      </c>
      <c r="V3614">
        <v>-0.18109220000000001</v>
      </c>
      <c r="W3614">
        <v>0.17786379999999999</v>
      </c>
      <c r="X3614">
        <v>0.96724869999999996</v>
      </c>
      <c r="Y3614">
        <v>-0.42908160000000001</v>
      </c>
      <c r="Z3614">
        <v>-1.7994530000000002E-2</v>
      </c>
      <c r="AA3614">
        <v>0.90308650000000001</v>
      </c>
      <c r="AB3614">
        <v>21</v>
      </c>
      <c r="AC3614">
        <v>226.43049999999999</v>
      </c>
      <c r="AD3614">
        <v>4.4220679999999897</v>
      </c>
      <c r="AE3614">
        <v>-19.083100000000002</v>
      </c>
      <c r="AF3614">
        <v>-97.602943589408198</v>
      </c>
      <c r="AG3614">
        <v>4.4220679999999897</v>
      </c>
      <c r="AH3614">
        <v>205.108542662714</v>
      </c>
      <c r="AI3614">
        <v>88.884715127463807</v>
      </c>
      <c r="AJ3614">
        <v>115.44790645760099</v>
      </c>
      <c r="AK3614">
        <v>227.19023648901899</v>
      </c>
      <c r="AL3614">
        <v>79.754642960090706</v>
      </c>
      <c r="AM3614">
        <v>100.604379626525</v>
      </c>
      <c r="AN3614">
        <v>0.99999998195148398</v>
      </c>
    </row>
    <row r="3615" spans="1:40" x14ac:dyDescent="0.25">
      <c r="A3615" t="str">
        <f>"20190303170324341"</f>
        <v>20190303170324341</v>
      </c>
      <c r="B3615" t="str">
        <f>"1551603804329218"</f>
        <v>1551603804329218</v>
      </c>
      <c r="C3615" t="s">
        <v>40</v>
      </c>
      <c r="D3615">
        <v>4.7807870000000001</v>
      </c>
      <c r="E3615">
        <v>0.41321859999999999</v>
      </c>
      <c r="F3615" t="s">
        <v>80</v>
      </c>
      <c r="G3615">
        <v>-256.57760000000002</v>
      </c>
      <c r="H3615">
        <v>3.6216529999999998</v>
      </c>
      <c r="I3615">
        <v>192.38570000000001</v>
      </c>
      <c r="J3615">
        <v>-479.2722</v>
      </c>
      <c r="K3615">
        <v>1.1269400000000001</v>
      </c>
      <c r="L3615">
        <v>217.34010000000001</v>
      </c>
      <c r="M3615">
        <v>0.86785499999999904</v>
      </c>
      <c r="N3615">
        <v>-1.426232E-2</v>
      </c>
      <c r="O3615">
        <v>-0.49661300000000003</v>
      </c>
      <c r="P3615">
        <v>0.9301547</v>
      </c>
      <c r="Q3615">
        <v>0.16689780000000001</v>
      </c>
      <c r="R3615">
        <v>-0.3270441</v>
      </c>
      <c r="S3615">
        <v>3.1019589999999999</v>
      </c>
      <c r="T3615">
        <v>3.4721370000000001E-2</v>
      </c>
      <c r="U3615">
        <v>-0.34860229999999998</v>
      </c>
      <c r="V3615">
        <v>-0.18032400000000001</v>
      </c>
      <c r="W3615">
        <v>0.1785108</v>
      </c>
      <c r="X3615">
        <v>0.9672731</v>
      </c>
      <c r="Y3615">
        <v>-0.39647280000000001</v>
      </c>
      <c r="Z3615">
        <v>-1.204321E-2</v>
      </c>
      <c r="AA3615">
        <v>0.91796739999999999</v>
      </c>
      <c r="AB3615">
        <v>21</v>
      </c>
      <c r="AC3615">
        <v>222.69460000000001</v>
      </c>
      <c r="AD3615">
        <v>2.494713</v>
      </c>
      <c r="AE3615">
        <v>-24.9544</v>
      </c>
      <c r="AF3615">
        <v>-88.934248804834596</v>
      </c>
      <c r="AG3615">
        <v>2.494713</v>
      </c>
      <c r="AH3615">
        <v>205.65471418316901</v>
      </c>
      <c r="AI3615">
        <v>89.362089514002093</v>
      </c>
      <c r="AJ3615">
        <v>113.385803258306</v>
      </c>
      <c r="AK3615">
        <v>224.07450919101299</v>
      </c>
      <c r="AL3615">
        <v>79.716970399322307</v>
      </c>
      <c r="AM3615">
        <v>100.56014901337799</v>
      </c>
      <c r="AN3615">
        <v>1.0000000503381199</v>
      </c>
    </row>
    <row r="3616" spans="1:40" x14ac:dyDescent="0.25">
      <c r="A3616" t="str">
        <f>"20190303170324363"</f>
        <v>20190303170324363</v>
      </c>
      <c r="B3616" t="str">
        <f>"1551603804358497"</f>
        <v>1551603804358497</v>
      </c>
      <c r="C3616" t="s">
        <v>40</v>
      </c>
      <c r="D3616">
        <v>4.8380599999999996</v>
      </c>
      <c r="E3616">
        <v>0.41543419999999998</v>
      </c>
      <c r="F3616" t="s">
        <v>80</v>
      </c>
      <c r="G3616">
        <v>-256.33499999999998</v>
      </c>
      <c r="H3616">
        <v>3.3134779999999999</v>
      </c>
      <c r="I3616">
        <v>193.251</v>
      </c>
      <c r="J3616">
        <v>-479.09309999999999</v>
      </c>
      <c r="K3616">
        <v>1.126919</v>
      </c>
      <c r="L3616">
        <v>217.2491</v>
      </c>
      <c r="M3616">
        <v>0.87204590000000004</v>
      </c>
      <c r="N3616">
        <v>-1.426035E-2</v>
      </c>
      <c r="O3616">
        <v>-0.48921619999999999</v>
      </c>
      <c r="P3616">
        <v>0.9327415</v>
      </c>
      <c r="Q3616">
        <v>0.16747089999999901</v>
      </c>
      <c r="R3616">
        <v>-0.319291099999999</v>
      </c>
      <c r="S3616">
        <v>3.1019290000000002</v>
      </c>
      <c r="T3616">
        <v>3.042328E-2</v>
      </c>
      <c r="U3616">
        <v>-0.33517459999999999</v>
      </c>
      <c r="V3616">
        <v>-0.18009749999999999</v>
      </c>
      <c r="W3616">
        <v>0.179093</v>
      </c>
      <c r="X3616">
        <v>0.96720759999999995</v>
      </c>
      <c r="Y3616">
        <v>-0.3926095</v>
      </c>
      <c r="Z3616">
        <v>-1.0942189999999999E-2</v>
      </c>
      <c r="AA3616">
        <v>0.91964009999999996</v>
      </c>
      <c r="AB3616">
        <v>21</v>
      </c>
      <c r="AC3616">
        <v>222.75810000000001</v>
      </c>
      <c r="AD3616">
        <v>2.1865589999999999</v>
      </c>
      <c r="AE3616">
        <v>-23.998100000000001</v>
      </c>
      <c r="AF3616">
        <v>-88.049998677283099</v>
      </c>
      <c r="AG3616">
        <v>2.1865589999999999</v>
      </c>
      <c r="AH3616">
        <v>205.996885747265</v>
      </c>
      <c r="AI3616">
        <v>89.440793542040694</v>
      </c>
      <c r="AJ3616">
        <v>113.14349310812101</v>
      </c>
      <c r="AK3616">
        <v>224.03638152073</v>
      </c>
      <c r="AL3616">
        <v>79.683065671871006</v>
      </c>
      <c r="AM3616">
        <v>100.547880746827</v>
      </c>
      <c r="AN3616">
        <v>0.99999997682650399</v>
      </c>
    </row>
    <row r="3617" spans="1:40" x14ac:dyDescent="0.25">
      <c r="A3617" t="str">
        <f>"20190303170324386"</f>
        <v>20190303170324386</v>
      </c>
      <c r="B3617" t="str">
        <f>"1551603804378993"</f>
        <v>1551603804378993</v>
      </c>
      <c r="C3617" t="s">
        <v>40</v>
      </c>
      <c r="D3617">
        <v>4.7978730000000001</v>
      </c>
      <c r="E3617">
        <v>0.41645660000000001</v>
      </c>
      <c r="F3617" t="s">
        <v>80</v>
      </c>
      <c r="G3617">
        <v>-256.33499999999998</v>
      </c>
      <c r="H3617">
        <v>3.1343000000000001</v>
      </c>
      <c r="I3617">
        <v>193.7766</v>
      </c>
      <c r="J3617">
        <v>-478.89769999999999</v>
      </c>
      <c r="K3617">
        <v>1.126884</v>
      </c>
      <c r="L3617">
        <v>217.15199999999999</v>
      </c>
      <c r="M3617">
        <v>0.8765193</v>
      </c>
      <c r="N3617">
        <v>-1.4257580000000001E-2</v>
      </c>
      <c r="O3617">
        <v>-0.48115550000000001</v>
      </c>
      <c r="P3617">
        <v>0.93587339999999997</v>
      </c>
      <c r="Q3617">
        <v>0.167079799999999</v>
      </c>
      <c r="R3617">
        <v>-0.31020199999999998</v>
      </c>
      <c r="S3617">
        <v>3.0994869999999999</v>
      </c>
      <c r="T3617">
        <v>2.7930969999999999E-2</v>
      </c>
      <c r="U3617">
        <v>-0.32659909999999998</v>
      </c>
      <c r="V3617">
        <v>-0.18060899999999999</v>
      </c>
      <c r="W3617">
        <v>0.17870320000000001</v>
      </c>
      <c r="X3617">
        <v>0.96718440000000006</v>
      </c>
      <c r="Y3617">
        <v>-0.38657219999999998</v>
      </c>
      <c r="Z3617">
        <v>-1.023837E-2</v>
      </c>
      <c r="AA3617">
        <v>0.92220230000000003</v>
      </c>
      <c r="AB3617">
        <v>21</v>
      </c>
      <c r="AC3617">
        <v>222.56270000000001</v>
      </c>
      <c r="AD3617">
        <v>2.0074160000000001</v>
      </c>
      <c r="AE3617">
        <v>-23.375399999999999</v>
      </c>
      <c r="AF3617">
        <v>-86.600113824459001</v>
      </c>
      <c r="AG3617">
        <v>2.0074160000000001</v>
      </c>
      <c r="AH3617">
        <v>206.33207839958601</v>
      </c>
      <c r="AI3617">
        <v>89.486017066275494</v>
      </c>
      <c r="AJ3617">
        <v>112.768392676464</v>
      </c>
      <c r="AK3617">
        <v>223.77787202960701</v>
      </c>
      <c r="AL3617">
        <v>79.705766578386104</v>
      </c>
      <c r="AM3617">
        <v>100.577410998175</v>
      </c>
      <c r="AN3617">
        <v>1.00000005408729</v>
      </c>
    </row>
    <row r="3618" spans="1:40" x14ac:dyDescent="0.25">
      <c r="A3618" t="str">
        <f>"20190303170324408"</f>
        <v>20190303170324408</v>
      </c>
      <c r="B3618" t="str">
        <f>"1551603804398513"</f>
        <v>1551603804398513</v>
      </c>
      <c r="C3618" t="s">
        <v>40</v>
      </c>
      <c r="D3618">
        <v>4.7989660000000001</v>
      </c>
      <c r="E3618">
        <v>0.42319059999999997</v>
      </c>
      <c r="F3618" t="s">
        <v>80</v>
      </c>
      <c r="G3618">
        <v>-253.81610000000001</v>
      </c>
      <c r="H3618">
        <v>2.8511329999999999</v>
      </c>
      <c r="I3618">
        <v>195.03749999999999</v>
      </c>
      <c r="J3618">
        <v>-478.714</v>
      </c>
      <c r="K3618">
        <v>1.126857</v>
      </c>
      <c r="L3618">
        <v>217.0626</v>
      </c>
      <c r="M3618">
        <v>0.88063670000000005</v>
      </c>
      <c r="N3618">
        <v>-1.42542E-2</v>
      </c>
      <c r="O3618">
        <v>-0.4735779</v>
      </c>
      <c r="P3618">
        <v>0.93909030000000004</v>
      </c>
      <c r="Q3618">
        <v>0.16546949999999999</v>
      </c>
      <c r="R3618">
        <v>-0.3012127</v>
      </c>
      <c r="S3618">
        <v>3.1003419999999999</v>
      </c>
      <c r="T3618">
        <v>2.375031E-2</v>
      </c>
      <c r="U3618">
        <v>-0.30461120000000003</v>
      </c>
      <c r="V3618">
        <v>-0.1816497</v>
      </c>
      <c r="W3618">
        <v>0.17708859999999901</v>
      </c>
      <c r="X3618">
        <v>0.96728639999999999</v>
      </c>
      <c r="Y3618">
        <v>-0.38513429999999998</v>
      </c>
      <c r="Z3618">
        <v>-9.1912279999999992E-3</v>
      </c>
      <c r="AA3618">
        <v>0.92281480000000005</v>
      </c>
      <c r="AB3618">
        <v>21</v>
      </c>
      <c r="AC3618">
        <v>224.89789999999999</v>
      </c>
      <c r="AD3618">
        <v>1.7242759999999999</v>
      </c>
      <c r="AE3618">
        <v>-22.025099999999998</v>
      </c>
      <c r="AF3618">
        <v>-87.114333715834704</v>
      </c>
      <c r="AG3618">
        <v>1.7242759999999999</v>
      </c>
      <c r="AH3618">
        <v>208.49296769793901</v>
      </c>
      <c r="AI3618">
        <v>89.562791968748598</v>
      </c>
      <c r="AJ3618">
        <v>112.676569293482</v>
      </c>
      <c r="AK3618">
        <v>225.96724949861999</v>
      </c>
      <c r="AL3618">
        <v>79.799775126932303</v>
      </c>
      <c r="AM3618">
        <v>100.63587679960401</v>
      </c>
      <c r="AN3618">
        <v>0.99999998269250401</v>
      </c>
    </row>
    <row r="3619" spans="1:40" x14ac:dyDescent="0.25">
      <c r="A3619" t="str">
        <f>"20190303170324430"</f>
        <v>20190303170324430</v>
      </c>
      <c r="B3619" t="str">
        <f>"1551603804419010"</f>
        <v>1551603804419010</v>
      </c>
      <c r="C3619" t="s">
        <v>40</v>
      </c>
      <c r="D3619">
        <v>4.8145519999999999</v>
      </c>
      <c r="E3619">
        <v>0.42517539999999998</v>
      </c>
      <c r="F3619" t="s">
        <v>80</v>
      </c>
      <c r="G3619">
        <v>-256.4674</v>
      </c>
      <c r="H3619">
        <v>1.3327</v>
      </c>
      <c r="I3619">
        <v>193.58629999999999</v>
      </c>
      <c r="J3619">
        <v>-478.53300000000002</v>
      </c>
      <c r="K3619">
        <v>1.126827</v>
      </c>
      <c r="L3619">
        <v>216.97649999999999</v>
      </c>
      <c r="M3619">
        <v>0.88460239999999901</v>
      </c>
      <c r="N3619">
        <v>-1.425003E-2</v>
      </c>
      <c r="O3619">
        <v>-0.4661285</v>
      </c>
      <c r="P3619">
        <v>0.94207940000000001</v>
      </c>
      <c r="Q3619">
        <v>0.1650847</v>
      </c>
      <c r="R3619">
        <v>-0.2919486</v>
      </c>
      <c r="S3619">
        <v>3.0894170000000001</v>
      </c>
      <c r="T3619">
        <v>2.8613810000000001E-3</v>
      </c>
      <c r="U3619">
        <v>-0.32633970000000001</v>
      </c>
      <c r="V3619">
        <v>-0.18303079999999999</v>
      </c>
      <c r="W3619">
        <v>0.17669290000000001</v>
      </c>
      <c r="X3619">
        <v>0.96709840000000002</v>
      </c>
      <c r="Y3619">
        <v>-0.37060949999999998</v>
      </c>
      <c r="Z3619">
        <v>-4.80606E-3</v>
      </c>
      <c r="AA3619">
        <v>0.92877639999999995</v>
      </c>
      <c r="AB3619">
        <v>21</v>
      </c>
      <c r="AC3619">
        <v>222.06559999999999</v>
      </c>
      <c r="AD3619">
        <v>0.205873</v>
      </c>
      <c r="AE3619">
        <v>-23.3902</v>
      </c>
      <c r="AF3619">
        <v>-82.828407436271803</v>
      </c>
      <c r="AG3619">
        <v>0.205873</v>
      </c>
      <c r="AH3619">
        <v>207.36345462422901</v>
      </c>
      <c r="AI3619">
        <v>89.947174316682506</v>
      </c>
      <c r="AJ3619">
        <v>111.773541361215</v>
      </c>
      <c r="AK3619">
        <v>223.29395373770399</v>
      </c>
      <c r="AL3619">
        <v>79.822810344557098</v>
      </c>
      <c r="AM3619">
        <v>100.71691163277001</v>
      </c>
      <c r="AN3619">
        <v>0.999999984970804</v>
      </c>
    </row>
    <row r="3620" spans="1:40" x14ac:dyDescent="0.25">
      <c r="A3620" t="str">
        <f>"20190303170324453"</f>
        <v>20190303170324453</v>
      </c>
      <c r="B3620" t="str">
        <f>"1551603804449267"</f>
        <v>1551603804449267</v>
      </c>
      <c r="C3620" t="s">
        <v>40</v>
      </c>
      <c r="D3620">
        <v>4.8317019999999999</v>
      </c>
      <c r="E3620">
        <v>0.4270388</v>
      </c>
      <c r="F3620" t="s">
        <v>86</v>
      </c>
      <c r="G3620">
        <v>-258.68119999999999</v>
      </c>
      <c r="H3620">
        <v>0.8765018</v>
      </c>
      <c r="I3620">
        <v>194.78210000000001</v>
      </c>
      <c r="J3620">
        <v>-478.34589999999997</v>
      </c>
      <c r="K3620">
        <v>1.1267929999999999</v>
      </c>
      <c r="L3620">
        <v>216.88929999999999</v>
      </c>
      <c r="M3620">
        <v>0.88861060000000003</v>
      </c>
      <c r="N3620">
        <v>-1.4244629999999999E-2</v>
      </c>
      <c r="O3620">
        <v>-0.45844109999999999</v>
      </c>
      <c r="P3620">
        <v>0.94499060000000001</v>
      </c>
      <c r="Q3620">
        <v>0.1652237</v>
      </c>
      <c r="R3620">
        <v>-0.282302</v>
      </c>
      <c r="S3620">
        <v>3.0884399999999999</v>
      </c>
      <c r="T3620">
        <v>-3.5165550000000002E-3</v>
      </c>
      <c r="U3620">
        <v>-0.31178280000000003</v>
      </c>
      <c r="V3620">
        <v>-0.1845126</v>
      </c>
      <c r="W3620">
        <v>0.17681959999999999</v>
      </c>
      <c r="X3620">
        <v>0.96679369999999998</v>
      </c>
      <c r="Y3620">
        <v>-0.36686340000000001</v>
      </c>
      <c r="Z3620">
        <v>-3.413845E-3</v>
      </c>
      <c r="AA3620">
        <v>0.9302686</v>
      </c>
      <c r="AB3620">
        <v>21</v>
      </c>
      <c r="AC3620">
        <v>219.66470000000001</v>
      </c>
      <c r="AD3620">
        <v>-0.25029119999999899</v>
      </c>
      <c r="AE3620">
        <v>-22.107199999999899</v>
      </c>
      <c r="AF3620">
        <v>-81.066757308456005</v>
      </c>
      <c r="AG3620">
        <v>-0.25029119999999899</v>
      </c>
      <c r="AH3620">
        <v>205.35180614324699</v>
      </c>
      <c r="AI3620">
        <v>90.064956107526896</v>
      </c>
      <c r="AJ3620">
        <v>111.542625577807</v>
      </c>
      <c r="AK3620">
        <v>220.774197026026</v>
      </c>
      <c r="AL3620">
        <v>79.815435657211296</v>
      </c>
      <c r="AM3620">
        <v>100.80496557892199</v>
      </c>
      <c r="AN3620">
        <v>1.0000000644313001</v>
      </c>
    </row>
    <row r="3621" spans="1:40" x14ac:dyDescent="0.25">
      <c r="A3621" t="str">
        <f>"20190303170324477"</f>
        <v>20190303170324477</v>
      </c>
      <c r="B3621" t="str">
        <f>"1551603804468785"</f>
        <v>1551603804468785</v>
      </c>
      <c r="C3621" t="s">
        <v>40</v>
      </c>
      <c r="D3621">
        <v>4.7784300000000002</v>
      </c>
      <c r="E3621">
        <v>0.43354310000000001</v>
      </c>
      <c r="F3621" t="s">
        <v>86</v>
      </c>
      <c r="G3621">
        <v>-258.91480000000001</v>
      </c>
      <c r="H3621">
        <v>0.54532480000000005</v>
      </c>
      <c r="I3621">
        <v>195.84880000000001</v>
      </c>
      <c r="J3621">
        <v>-478.14580000000001</v>
      </c>
      <c r="K3621">
        <v>1.1267480000000001</v>
      </c>
      <c r="L3621">
        <v>216.79820000000001</v>
      </c>
      <c r="M3621">
        <v>0.89279349999999902</v>
      </c>
      <c r="N3621">
        <v>-1.423813E-2</v>
      </c>
      <c r="O3621">
        <v>-0.45024120000000001</v>
      </c>
      <c r="P3621">
        <v>0.94791970000000003</v>
      </c>
      <c r="Q3621">
        <v>0.16404869999999999</v>
      </c>
      <c r="R3621">
        <v>-0.27301399999999998</v>
      </c>
      <c r="S3621">
        <v>3.0876769999999998</v>
      </c>
      <c r="T3621">
        <v>-8.1820490000000003E-3</v>
      </c>
      <c r="U3621">
        <v>-0.2960663</v>
      </c>
      <c r="V3621">
        <v>-0.1851633</v>
      </c>
      <c r="W3621">
        <v>0.17564850000000001</v>
      </c>
      <c r="X3621">
        <v>0.96688269999999998</v>
      </c>
      <c r="Y3621">
        <v>-0.3629674</v>
      </c>
      <c r="Z3621">
        <v>-2.391958E-3</v>
      </c>
      <c r="AA3621">
        <v>0.93179880000000004</v>
      </c>
      <c r="AB3621">
        <v>21</v>
      </c>
      <c r="AC3621">
        <v>219.23099999999999</v>
      </c>
      <c r="AD3621">
        <v>-0.58142319999999903</v>
      </c>
      <c r="AE3621">
        <v>-20.949400000000001</v>
      </c>
      <c r="AF3621">
        <v>-80.010889389698605</v>
      </c>
      <c r="AG3621">
        <v>-0.58142319999999903</v>
      </c>
      <c r="AH3621">
        <v>205.17965347865999</v>
      </c>
      <c r="AI3621">
        <v>90.151265948233899</v>
      </c>
      <c r="AJ3621">
        <v>111.303559627396</v>
      </c>
      <c r="AK3621">
        <v>220.22890517707</v>
      </c>
      <c r="AL3621">
        <v>79.883600993924205</v>
      </c>
      <c r="AM3621">
        <v>100.841194263378</v>
      </c>
      <c r="AN3621">
        <v>0.99999999938921502</v>
      </c>
    </row>
    <row r="3622" spans="1:40" x14ac:dyDescent="0.25">
      <c r="A3622" t="str">
        <f>"20190303170324499"</f>
        <v>20190303170324499</v>
      </c>
      <c r="B3622" t="str">
        <f>"1551603804489281"</f>
        <v>1551603804489281</v>
      </c>
      <c r="C3622" t="s">
        <v>40</v>
      </c>
      <c r="D3622">
        <v>4.7765149999999998</v>
      </c>
      <c r="E3622">
        <v>0.43538009999999999</v>
      </c>
      <c r="F3622" t="s">
        <v>42</v>
      </c>
      <c r="G3622">
        <v>-290.96230000000003</v>
      </c>
      <c r="H3622" s="1">
        <v>-5.1094499999999998E-6</v>
      </c>
      <c r="I3622">
        <v>197.59610000000001</v>
      </c>
      <c r="J3622">
        <v>-477.9554</v>
      </c>
      <c r="K3622">
        <v>1.1267049999999901</v>
      </c>
      <c r="L3622">
        <v>216.71379999999999</v>
      </c>
      <c r="M3622">
        <v>0.89667059999999998</v>
      </c>
      <c r="N3622">
        <v>-1.42317E-2</v>
      </c>
      <c r="O3622">
        <v>-0.44246950000000002</v>
      </c>
      <c r="P3622">
        <v>0.95052460000000005</v>
      </c>
      <c r="Q3622">
        <v>0.16169710000000001</v>
      </c>
      <c r="R3622">
        <v>-0.26524920000000002</v>
      </c>
      <c r="S3622">
        <v>3.0770569999999999</v>
      </c>
      <c r="T3622">
        <v>-1.8522380000000001E-2</v>
      </c>
      <c r="U3622">
        <v>-0.31565860000000001</v>
      </c>
      <c r="V3622">
        <v>-0.18480969999999999</v>
      </c>
      <c r="W3622">
        <v>0.17331740000000001</v>
      </c>
      <c r="X3622">
        <v>0.96737090000000003</v>
      </c>
      <c r="Y3622">
        <v>-0.34865439999999998</v>
      </c>
      <c r="Z3622">
        <v>-3.8440559999999998E-4</v>
      </c>
      <c r="AA3622">
        <v>0.93725130000000001</v>
      </c>
      <c r="AB3622">
        <v>21</v>
      </c>
      <c r="AC3622">
        <v>186.9931</v>
      </c>
      <c r="AD3622">
        <v>-1.1267101094499901</v>
      </c>
      <c r="AE3622">
        <v>-19.1176999999999</v>
      </c>
      <c r="AF3622">
        <v>-65.600752061362797</v>
      </c>
      <c r="AG3622">
        <v>-1.1267101094499901</v>
      </c>
      <c r="AH3622">
        <v>176.141728205931</v>
      </c>
      <c r="AI3622">
        <v>90.343448554717199</v>
      </c>
      <c r="AJ3622">
        <v>110.42692257870399</v>
      </c>
      <c r="AK3622">
        <v>187.96445558152601</v>
      </c>
      <c r="AL3622">
        <v>80.019243985279701</v>
      </c>
      <c r="AM3622">
        <v>100.81564830811</v>
      </c>
      <c r="AN3622">
        <v>1.0000000022618201</v>
      </c>
    </row>
    <row r="3623" spans="1:40" x14ac:dyDescent="0.25">
      <c r="A3623" t="str">
        <f>"20190303170324521"</f>
        <v>20190303170324521</v>
      </c>
      <c r="B3623" t="str">
        <f>"1551603804508802"</f>
        <v>1551603804508802</v>
      </c>
      <c r="C3623" t="s">
        <v>40</v>
      </c>
      <c r="D3623">
        <v>4.7991659999999996</v>
      </c>
      <c r="E3623">
        <v>0.43640830000000003</v>
      </c>
      <c r="F3623" t="s">
        <v>44</v>
      </c>
      <c r="G3623">
        <v>-334.57549999999998</v>
      </c>
      <c r="H3623">
        <v>-0.05</v>
      </c>
      <c r="I3623">
        <v>202.56229999999999</v>
      </c>
      <c r="J3623">
        <v>-477.76870000000002</v>
      </c>
      <c r="K3623">
        <v>1.1266700000000001</v>
      </c>
      <c r="L3623">
        <v>216.6328</v>
      </c>
      <c r="M3623">
        <v>0.90038649999999998</v>
      </c>
      <c r="N3623">
        <v>-1.4225430000000001E-2</v>
      </c>
      <c r="O3623">
        <v>-0.43485859999999898</v>
      </c>
      <c r="P3623">
        <v>0.95274170000000002</v>
      </c>
      <c r="Q3623">
        <v>0.1604611</v>
      </c>
      <c r="R3623">
        <v>-0.25794519999999999</v>
      </c>
      <c r="S3623">
        <v>3.075745</v>
      </c>
      <c r="T3623">
        <v>-2.524233E-2</v>
      </c>
      <c r="U3623">
        <v>-0.3035736</v>
      </c>
      <c r="V3623">
        <v>-0.18410309999999999</v>
      </c>
      <c r="W3623">
        <v>0.1721019</v>
      </c>
      <c r="X3623">
        <v>0.96772259999999999</v>
      </c>
      <c r="Y3623">
        <v>-0.34431420000000001</v>
      </c>
      <c r="Z3623">
        <v>9.4619599999999995E-4</v>
      </c>
      <c r="AA3623">
        <v>0.93885399999999997</v>
      </c>
      <c r="AB3623">
        <v>21</v>
      </c>
      <c r="AC3623">
        <v>143.19319999999999</v>
      </c>
      <c r="AD3623">
        <v>-1.1766700000000001</v>
      </c>
      <c r="AE3623">
        <v>-14.070499999999999</v>
      </c>
      <c r="AF3623">
        <v>-49.601602952101103</v>
      </c>
      <c r="AG3623">
        <v>-1.1766700000000001</v>
      </c>
      <c r="AH3623">
        <v>135.05252183599899</v>
      </c>
      <c r="AI3623">
        <v>90.468584237026505</v>
      </c>
      <c r="AJ3623">
        <v>110.167091892618</v>
      </c>
      <c r="AK3623">
        <v>143.87802897582901</v>
      </c>
      <c r="AL3623">
        <v>80.089949724960604</v>
      </c>
      <c r="AM3623">
        <v>100.771441366678</v>
      </c>
      <c r="AN3623">
        <v>1.0000000229819801</v>
      </c>
    </row>
    <row r="3624" spans="1:40" x14ac:dyDescent="0.25">
      <c r="A3624" t="str">
        <f>"20190303170324541"</f>
        <v>20190303170324541</v>
      </c>
      <c r="B3624" t="str">
        <f>"1551603804529298"</f>
        <v>1551603804529298</v>
      </c>
      <c r="C3624" t="s">
        <v>40</v>
      </c>
      <c r="D3624">
        <v>4.7740179999999999</v>
      </c>
      <c r="E3624">
        <v>0.4369538</v>
      </c>
      <c r="F3624" t="s">
        <v>62</v>
      </c>
      <c r="G3624">
        <v>-360.84249999999997</v>
      </c>
      <c r="H3624">
        <v>8.0001219999999998E-2</v>
      </c>
      <c r="I3624">
        <v>205.6865</v>
      </c>
      <c r="J3624">
        <v>-477.59359999999998</v>
      </c>
      <c r="K3624">
        <v>1.126647</v>
      </c>
      <c r="L3624">
        <v>216.55840000000001</v>
      </c>
      <c r="M3624">
        <v>0.90379520000000002</v>
      </c>
      <c r="N3624">
        <v>-1.4219910000000001E-2</v>
      </c>
      <c r="O3624">
        <v>-0.42772900000000003</v>
      </c>
      <c r="P3624">
        <v>0.9543952</v>
      </c>
      <c r="Q3624">
        <v>0.16108629999999999</v>
      </c>
      <c r="R3624">
        <v>-0.2513589</v>
      </c>
      <c r="S3624">
        <v>3.0754999999999999</v>
      </c>
      <c r="T3624">
        <v>-2.7530430000000002E-2</v>
      </c>
      <c r="U3624">
        <v>-0.28791809999999901</v>
      </c>
      <c r="V3624">
        <v>-0.1830891</v>
      </c>
      <c r="W3624">
        <v>0.17274489999999901</v>
      </c>
      <c r="X3624">
        <v>0.96780040000000001</v>
      </c>
      <c r="Y3624">
        <v>-0.34161920000000001</v>
      </c>
      <c r="Z3624">
        <v>1.4119320000000001E-3</v>
      </c>
      <c r="AA3624">
        <v>0.93983740000000004</v>
      </c>
      <c r="AB3624">
        <v>21</v>
      </c>
      <c r="AC3624">
        <v>116.75109999999999</v>
      </c>
      <c r="AD3624">
        <v>-1.04664578</v>
      </c>
      <c r="AE3624">
        <v>-10.8719</v>
      </c>
      <c r="AF3624">
        <v>-40.112718894783903</v>
      </c>
      <c r="AG3624">
        <v>-1.04664578</v>
      </c>
      <c r="AH3624">
        <v>110.171669092966</v>
      </c>
      <c r="AI3624">
        <v>90.511457547229398</v>
      </c>
      <c r="AJ3624">
        <v>110.006204183053</v>
      </c>
      <c r="AK3624">
        <v>117.251534553927</v>
      </c>
      <c r="AL3624">
        <v>80.052548312392005</v>
      </c>
      <c r="AM3624">
        <v>100.71265016958699</v>
      </c>
      <c r="AN3624">
        <v>1.0000000166274801</v>
      </c>
    </row>
    <row r="3625" spans="1:40" x14ac:dyDescent="0.25">
      <c r="A3625" t="str">
        <f>"20190303170324564"</f>
        <v>20190303170324564</v>
      </c>
      <c r="B3625" t="str">
        <f>"1551603804558577"</f>
        <v>1551603804558577</v>
      </c>
      <c r="C3625" t="s">
        <v>40</v>
      </c>
      <c r="D3625">
        <v>4.7995349999999997</v>
      </c>
      <c r="E3625">
        <v>0.44368020000000002</v>
      </c>
      <c r="F3625" t="s">
        <v>62</v>
      </c>
      <c r="G3625">
        <v>-350.45280000000002</v>
      </c>
      <c r="H3625">
        <v>8.0001729999999993E-2</v>
      </c>
      <c r="I3625">
        <v>205.35509999999999</v>
      </c>
      <c r="J3625">
        <v>-477.40199999999999</v>
      </c>
      <c r="K3625">
        <v>1.1266430000000001</v>
      </c>
      <c r="L3625">
        <v>216.47890000000001</v>
      </c>
      <c r="M3625">
        <v>0.90744250000000004</v>
      </c>
      <c r="N3625">
        <v>-1.421418E-2</v>
      </c>
      <c r="O3625">
        <v>-0.41993629999999998</v>
      </c>
      <c r="P3625">
        <v>0.95583399999999996</v>
      </c>
      <c r="Q3625">
        <v>0.16276589999999999</v>
      </c>
      <c r="R3625">
        <v>-0.2447221</v>
      </c>
      <c r="S3625">
        <v>3.076263</v>
      </c>
      <c r="T3625">
        <v>-2.5324340000000001E-2</v>
      </c>
      <c r="U3625">
        <v>-0.27107239999999999</v>
      </c>
      <c r="V3625">
        <v>-0.1813727</v>
      </c>
      <c r="W3625">
        <v>0.17444770000000001</v>
      </c>
      <c r="X3625">
        <v>0.96781810000000001</v>
      </c>
      <c r="Y3625">
        <v>-0.33865869999999998</v>
      </c>
      <c r="Z3625">
        <v>1.023768E-3</v>
      </c>
      <c r="AA3625">
        <v>0.94090870000000004</v>
      </c>
      <c r="AB3625">
        <v>21</v>
      </c>
      <c r="AC3625">
        <v>126.949199999999</v>
      </c>
      <c r="AD3625">
        <v>-1.0466412700000001</v>
      </c>
      <c r="AE3625">
        <v>-11.123799999999999</v>
      </c>
      <c r="AF3625">
        <v>-43.217810350622798</v>
      </c>
      <c r="AG3625">
        <v>-1.0466412700000001</v>
      </c>
      <c r="AH3625">
        <v>119.87438626055101</v>
      </c>
      <c r="AI3625">
        <v>90.470597012211499</v>
      </c>
      <c r="AJ3625">
        <v>109.825542177562</v>
      </c>
      <c r="AK3625">
        <v>127.431326881557</v>
      </c>
      <c r="AL3625">
        <v>79.953480378011193</v>
      </c>
      <c r="AM3625">
        <v>100.614325397212</v>
      </c>
      <c r="AN3625">
        <v>0.99999996551409398</v>
      </c>
    </row>
    <row r="3626" spans="1:40" x14ac:dyDescent="0.25">
      <c r="A3626" t="str">
        <f>"20190303170324586"</f>
        <v>20190303170324586</v>
      </c>
      <c r="B3626" t="str">
        <f>"1551603804579074"</f>
        <v>1551603804579074</v>
      </c>
      <c r="C3626" t="s">
        <v>40</v>
      </c>
      <c r="D3626">
        <v>4.7912860000000004</v>
      </c>
      <c r="E3626">
        <v>0.44425910000000002</v>
      </c>
      <c r="F3626" t="s">
        <v>63</v>
      </c>
      <c r="G3626">
        <v>-306.46969999999999</v>
      </c>
      <c r="H3626" s="1">
        <v>3.5815430000000001E-6</v>
      </c>
      <c r="I3626">
        <v>199.6437</v>
      </c>
      <c r="J3626">
        <v>-477.21460000000002</v>
      </c>
      <c r="K3626">
        <v>1.1266370000000001</v>
      </c>
      <c r="L3626">
        <v>216.40299999999999</v>
      </c>
      <c r="M3626">
        <v>0.91093020000000002</v>
      </c>
      <c r="N3626">
        <v>-1.420886E-2</v>
      </c>
      <c r="O3626">
        <v>-0.41231570000000001</v>
      </c>
      <c r="P3626">
        <v>0.95744119999999999</v>
      </c>
      <c r="Q3626">
        <v>0.16384089999999901</v>
      </c>
      <c r="R3626">
        <v>-0.237618</v>
      </c>
      <c r="S3626">
        <v>3.0647579999999999</v>
      </c>
      <c r="T3626">
        <v>-2.0200249999999999E-2</v>
      </c>
      <c r="U3626">
        <v>-0.30184939999999999</v>
      </c>
      <c r="V3626">
        <v>-0.18037539999999999</v>
      </c>
      <c r="W3626">
        <v>0.17553589999999999</v>
      </c>
      <c r="X3626">
        <v>0.9678078</v>
      </c>
      <c r="Y3626">
        <v>-0.32104310000000003</v>
      </c>
      <c r="Z3626" s="1">
        <v>-3.4491179999999998E-5</v>
      </c>
      <c r="AA3626">
        <v>0.94706460000000003</v>
      </c>
      <c r="AB3626">
        <v>21</v>
      </c>
      <c r="AC3626">
        <v>170.7449</v>
      </c>
      <c r="AD3626">
        <v>-1.1266334184569999</v>
      </c>
      <c r="AE3626">
        <v>-16.7592999999999</v>
      </c>
      <c r="AF3626">
        <v>-55.137440380315901</v>
      </c>
      <c r="AG3626">
        <v>-1.1266334184569999</v>
      </c>
      <c r="AH3626">
        <v>162.45620714298801</v>
      </c>
      <c r="AI3626">
        <v>90.376259934879599</v>
      </c>
      <c r="AJ3626">
        <v>108.747150273708</v>
      </c>
      <c r="AK3626">
        <v>171.56172613330199</v>
      </c>
      <c r="AL3626">
        <v>79.890154706362793</v>
      </c>
      <c r="AM3626">
        <v>100.557386648725</v>
      </c>
      <c r="AN3626">
        <v>1.0000000374274001</v>
      </c>
    </row>
    <row r="3627" spans="1:40" x14ac:dyDescent="0.25">
      <c r="A3627" t="str">
        <f>"20190303170324610"</f>
        <v>20190303170324610</v>
      </c>
      <c r="B3627" t="str">
        <f>"1551603804598593"</f>
        <v>1551603804598593</v>
      </c>
      <c r="C3627" t="s">
        <v>40</v>
      </c>
      <c r="D3627">
        <v>4.7891349999999999</v>
      </c>
      <c r="E3627">
        <v>0.44868010000000003</v>
      </c>
      <c r="F3627" t="s">
        <v>87</v>
      </c>
      <c r="G3627">
        <v>-279.2355</v>
      </c>
      <c r="H3627">
        <v>9.1343569999999999E-2</v>
      </c>
      <c r="I3627">
        <v>198.1003</v>
      </c>
      <c r="J3627">
        <v>-477.0188</v>
      </c>
      <c r="K3627">
        <v>1.1266240000000001</v>
      </c>
      <c r="L3627">
        <v>216.32560000000001</v>
      </c>
      <c r="M3627">
        <v>0.91449230000000004</v>
      </c>
      <c r="N3627">
        <v>-1.4203520000000001E-2</v>
      </c>
      <c r="O3627">
        <v>-0.40435379999999999</v>
      </c>
      <c r="P3627">
        <v>0.95938219999999996</v>
      </c>
      <c r="Q3627">
        <v>0.16440379999999999</v>
      </c>
      <c r="R3627">
        <v>-0.22925380000000001</v>
      </c>
      <c r="S3627">
        <v>3.0657040000000002</v>
      </c>
      <c r="T3627">
        <v>-1.6031500000000001E-2</v>
      </c>
      <c r="U3627">
        <v>-0.28341670000000002</v>
      </c>
      <c r="V3627">
        <v>-0.18034040000000001</v>
      </c>
      <c r="W3627">
        <v>0.17609830000000001</v>
      </c>
      <c r="X3627">
        <v>0.96771209999999996</v>
      </c>
      <c r="Y3627">
        <v>-0.31845289999999998</v>
      </c>
      <c r="Z3627">
        <v>-7.3568310000000003E-4</v>
      </c>
      <c r="AA3627">
        <v>0.94793839999999996</v>
      </c>
      <c r="AB3627">
        <v>21</v>
      </c>
      <c r="AC3627">
        <v>197.7833</v>
      </c>
      <c r="AD3627">
        <v>-1.03528043</v>
      </c>
      <c r="AE3627">
        <v>-18.225300000000001</v>
      </c>
      <c r="AF3627">
        <v>-63.312202212397303</v>
      </c>
      <c r="AG3627">
        <v>-1.03528043</v>
      </c>
      <c r="AH3627">
        <v>188.25465956043001</v>
      </c>
      <c r="AI3627">
        <v>90.298650208985507</v>
      </c>
      <c r="AJ3627">
        <v>108.58838281935699</v>
      </c>
      <c r="AK3627">
        <v>198.61853790813601</v>
      </c>
      <c r="AL3627">
        <v>79.857421185295095</v>
      </c>
      <c r="AM3627">
        <v>100.556404529658</v>
      </c>
      <c r="AN3627">
        <v>0.99999998981072902</v>
      </c>
    </row>
    <row r="3628" spans="1:40" x14ac:dyDescent="0.25">
      <c r="A3628" t="str">
        <f>"20190303170324631"</f>
        <v>20190303170324631</v>
      </c>
      <c r="B3628" t="str">
        <f>"1551603804619090"</f>
        <v>1551603804619090</v>
      </c>
      <c r="C3628" t="s">
        <v>40</v>
      </c>
      <c r="D3628">
        <v>4.7357209999999998</v>
      </c>
      <c r="E3628">
        <v>0.44929380000000002</v>
      </c>
      <c r="F3628" t="s">
        <v>42</v>
      </c>
      <c r="G3628">
        <v>-289.95260000000002</v>
      </c>
      <c r="H3628">
        <v>5.5124979999999997E-2</v>
      </c>
      <c r="I3628">
        <v>198.53790000000001</v>
      </c>
      <c r="J3628">
        <v>-476.83629999999999</v>
      </c>
      <c r="K3628">
        <v>1.1266130000000001</v>
      </c>
      <c r="L3628">
        <v>216.25530000000001</v>
      </c>
      <c r="M3628">
        <v>0.91773990000000005</v>
      </c>
      <c r="N3628">
        <v>-1.4198860000000001E-2</v>
      </c>
      <c r="O3628">
        <v>-0.39692810000000001</v>
      </c>
      <c r="P3628">
        <v>0.96132059999999997</v>
      </c>
      <c r="Q3628">
        <v>0.1643618</v>
      </c>
      <c r="R3628">
        <v>-0.22101560000000001</v>
      </c>
      <c r="S3628">
        <v>3.060486</v>
      </c>
      <c r="T3628">
        <v>-1.7530199999999999E-2</v>
      </c>
      <c r="U3628">
        <v>-0.29101559999999999</v>
      </c>
      <c r="V3628">
        <v>-0.18079600000000001</v>
      </c>
      <c r="W3628">
        <v>0.17605090000000001</v>
      </c>
      <c r="X3628">
        <v>0.96763580000000005</v>
      </c>
      <c r="Y3628">
        <v>-0.30827070000000001</v>
      </c>
      <c r="Z3628">
        <v>-4.8707500000000001E-4</v>
      </c>
      <c r="AA3628">
        <v>0.95129859999999999</v>
      </c>
      <c r="AB3628">
        <v>21</v>
      </c>
      <c r="AC3628">
        <v>186.8837</v>
      </c>
      <c r="AD3628">
        <v>-1.0714880200000001</v>
      </c>
      <c r="AE3628">
        <v>-17.717399999999898</v>
      </c>
      <c r="AF3628">
        <v>-57.923377921209102</v>
      </c>
      <c r="AG3628">
        <v>-1.0714880200000001</v>
      </c>
      <c r="AH3628">
        <v>178.55534105061199</v>
      </c>
      <c r="AI3628">
        <v>90.327043096688996</v>
      </c>
      <c r="AJ3628">
        <v>107.97307022109899</v>
      </c>
      <c r="AK3628">
        <v>187.718607532872</v>
      </c>
      <c r="AL3628">
        <v>79.860181004137004</v>
      </c>
      <c r="AM3628">
        <v>100.583287464222</v>
      </c>
      <c r="AN3628">
        <v>1.0000000772242199</v>
      </c>
    </row>
    <row r="3629" spans="1:40" x14ac:dyDescent="0.25">
      <c r="A3629" t="str">
        <f>"20190303170324654"</f>
        <v>20190303170324654</v>
      </c>
      <c r="B3629" t="str">
        <f>"1551603804649346"</f>
        <v>1551603804649346</v>
      </c>
      <c r="C3629" t="s">
        <v>40</v>
      </c>
      <c r="D3629">
        <v>4.7534559999999999</v>
      </c>
      <c r="E3629">
        <v>0.45468619999999998</v>
      </c>
      <c r="F3629" t="s">
        <v>44</v>
      </c>
      <c r="G3629">
        <v>-303.4984</v>
      </c>
      <c r="H3629">
        <v>-0.05</v>
      </c>
      <c r="I3629">
        <v>200.9915</v>
      </c>
      <c r="J3629">
        <v>-476.64339999999999</v>
      </c>
      <c r="K3629">
        <v>1.1265989999999999</v>
      </c>
      <c r="L3629">
        <v>216.18270000000001</v>
      </c>
      <c r="M3629">
        <v>0.921099</v>
      </c>
      <c r="N3629">
        <v>-1.4194200000000001E-2</v>
      </c>
      <c r="O3629">
        <v>-0.38907000000000003</v>
      </c>
      <c r="P3629">
        <v>0.96338630000000003</v>
      </c>
      <c r="Q3629">
        <v>0.1643049</v>
      </c>
      <c r="R3629">
        <v>-0.21187539999999999</v>
      </c>
      <c r="S3629">
        <v>3.0622250000000002</v>
      </c>
      <c r="T3629">
        <v>-2.0786289999999999E-2</v>
      </c>
      <c r="U3629">
        <v>-0.26965329999999998</v>
      </c>
      <c r="V3629">
        <v>-0.18171590000000001</v>
      </c>
      <c r="W3629">
        <v>0.17598179999999999</v>
      </c>
      <c r="X3629">
        <v>0.967476</v>
      </c>
      <c r="Y3629">
        <v>-0.30677140000000003</v>
      </c>
      <c r="Z3629">
        <v>1.4227789999999999E-4</v>
      </c>
      <c r="AA3629">
        <v>0.95178320000000005</v>
      </c>
      <c r="AB3629">
        <v>21</v>
      </c>
      <c r="AC3629">
        <v>173.14499999999899</v>
      </c>
      <c r="AD3629">
        <v>-1.176599</v>
      </c>
      <c r="AE3629">
        <v>-15.1912</v>
      </c>
      <c r="AF3629">
        <v>-53.375849302617503</v>
      </c>
      <c r="AG3629">
        <v>-1.176599</v>
      </c>
      <c r="AH3629">
        <v>165.40318531866001</v>
      </c>
      <c r="AI3629">
        <v>90.3878727536284</v>
      </c>
      <c r="AJ3629">
        <v>107.88496610675099</v>
      </c>
      <c r="AK3629">
        <v>173.806154630789</v>
      </c>
      <c r="AL3629">
        <v>79.864202517570504</v>
      </c>
      <c r="AM3629">
        <v>100.637626929409</v>
      </c>
      <c r="AN3629">
        <v>1.0000000364100201</v>
      </c>
    </row>
    <row r="3630" spans="1:40" x14ac:dyDescent="0.25">
      <c r="A3630" t="str">
        <f>"20190303170324678"</f>
        <v>20190303170324678</v>
      </c>
      <c r="B3630" t="str">
        <f>"1551603804668865"</f>
        <v>1551603804668865</v>
      </c>
      <c r="C3630" t="s">
        <v>40</v>
      </c>
      <c r="D3630">
        <v>4.7026000000000003</v>
      </c>
      <c r="E3630">
        <v>0.45521869999999998</v>
      </c>
      <c r="F3630" t="s">
        <v>62</v>
      </c>
      <c r="G3630">
        <v>-393.517</v>
      </c>
      <c r="H3630">
        <v>8.0000429999999997E-2</v>
      </c>
      <c r="I3630">
        <v>208.48759999999999</v>
      </c>
      <c r="J3630">
        <v>-476.43619999999999</v>
      </c>
      <c r="K3630">
        <v>1.1265829999999999</v>
      </c>
      <c r="L3630">
        <v>216.107</v>
      </c>
      <c r="M3630">
        <v>0.9246202</v>
      </c>
      <c r="N3630">
        <v>-1.4189230000000001E-2</v>
      </c>
      <c r="O3630">
        <v>-0.38062620000000003</v>
      </c>
      <c r="P3630">
        <v>0.96530899999999997</v>
      </c>
      <c r="Q3630">
        <v>0.1640665</v>
      </c>
      <c r="R3630">
        <v>-0.20312810000000001</v>
      </c>
      <c r="S3630">
        <v>3.0582889999999998</v>
      </c>
      <c r="T3630">
        <v>-3.8505200000000003E-2</v>
      </c>
      <c r="U3630">
        <v>-0.28311160000000002</v>
      </c>
      <c r="V3630">
        <v>-0.18164569999999999</v>
      </c>
      <c r="W3630">
        <v>0.17574709999999999</v>
      </c>
      <c r="X3630">
        <v>0.96753180000000005</v>
      </c>
      <c r="Y3630">
        <v>-0.29375759999999901</v>
      </c>
      <c r="Z3630">
        <v>3.0826400000000002E-3</v>
      </c>
      <c r="AA3630">
        <v>0.95587500000000003</v>
      </c>
      <c r="AB3630">
        <v>21</v>
      </c>
      <c r="AC3630">
        <v>82.919199999999904</v>
      </c>
      <c r="AD3630">
        <v>-1.04658257</v>
      </c>
      <c r="AE3630">
        <v>-7.6194000000000104</v>
      </c>
      <c r="AF3630">
        <v>-24.5147626337648</v>
      </c>
      <c r="AG3630">
        <v>-1.04658257</v>
      </c>
      <c r="AH3630">
        <v>79.564346580940395</v>
      </c>
      <c r="AI3630">
        <v>90.720212958489299</v>
      </c>
      <c r="AJ3630">
        <v>107.124714762148</v>
      </c>
      <c r="AK3630">
        <v>83.261961116212404</v>
      </c>
      <c r="AL3630">
        <v>79.877862303045106</v>
      </c>
      <c r="AM3630">
        <v>100.633011882302</v>
      </c>
      <c r="AN3630">
        <v>0.99999999374907</v>
      </c>
    </row>
    <row r="3631" spans="1:40" x14ac:dyDescent="0.25">
      <c r="A3631" t="str">
        <f>"20190303170324702"</f>
        <v>20190303170324702</v>
      </c>
      <c r="B3631" t="str">
        <f>"1551603804689362"</f>
        <v>1551603804689362</v>
      </c>
      <c r="C3631" t="s">
        <v>40</v>
      </c>
      <c r="D3631">
        <v>4.6905659999999996</v>
      </c>
      <c r="E3631">
        <v>0.460754</v>
      </c>
      <c r="F3631" t="s">
        <v>62</v>
      </c>
      <c r="G3631">
        <v>-382.62970000000001</v>
      </c>
      <c r="H3631">
        <v>8.0000970000000005E-2</v>
      </c>
      <c r="I3631">
        <v>208.16149999999999</v>
      </c>
      <c r="J3631">
        <v>-476.23169999999999</v>
      </c>
      <c r="K3631">
        <v>1.126568</v>
      </c>
      <c r="L3631">
        <v>216.03440000000001</v>
      </c>
      <c r="M3631">
        <v>0.92800640000000001</v>
      </c>
      <c r="N3631">
        <v>-1.4184260000000001E-2</v>
      </c>
      <c r="O3631">
        <v>-0.37229449999999997</v>
      </c>
      <c r="P3631">
        <v>0.96709529999999999</v>
      </c>
      <c r="Q3631">
        <v>0.163442899999999</v>
      </c>
      <c r="R3631">
        <v>-0.19496939999999999</v>
      </c>
      <c r="S3631">
        <v>3.059113</v>
      </c>
      <c r="T3631">
        <v>-3.4129979999999997E-2</v>
      </c>
      <c r="U3631">
        <v>-0.25910949999999999</v>
      </c>
      <c r="V3631">
        <v>-0.18113609999999999</v>
      </c>
      <c r="W3631">
        <v>0.17513500000000001</v>
      </c>
      <c r="X3631">
        <v>0.96773830000000005</v>
      </c>
      <c r="Y3631">
        <v>-0.29263129999999998</v>
      </c>
      <c r="Z3631">
        <v>2.3705509999999998E-3</v>
      </c>
      <c r="AA3631">
        <v>0.95622240000000003</v>
      </c>
      <c r="AB3631">
        <v>21</v>
      </c>
      <c r="AC3631">
        <v>93.601999999999904</v>
      </c>
      <c r="AD3631">
        <v>-1.0465670300000001</v>
      </c>
      <c r="AE3631">
        <v>-7.8729000000000102</v>
      </c>
      <c r="AF3631">
        <v>-27.540756688810301</v>
      </c>
      <c r="AG3631">
        <v>-1.0465670300000001</v>
      </c>
      <c r="AH3631">
        <v>89.792168267378898</v>
      </c>
      <c r="AI3631">
        <v>90.638424692149798</v>
      </c>
      <c r="AJ3631">
        <v>107.05165071717801</v>
      </c>
      <c r="AK3631">
        <v>93.926684513496099</v>
      </c>
      <c r="AL3631">
        <v>79.913485491823195</v>
      </c>
      <c r="AM3631">
        <v>100.601647411982</v>
      </c>
      <c r="AN3631">
        <v>0.99999998611754903</v>
      </c>
    </row>
    <row r="3632" spans="1:40" x14ac:dyDescent="0.25">
      <c r="A3632" t="str">
        <f>"20190303170324722"</f>
        <v>20190303170324722</v>
      </c>
      <c r="B3632" t="str">
        <f>"1551603804708882"</f>
        <v>1551603804708882</v>
      </c>
      <c r="C3632" t="s">
        <v>40</v>
      </c>
      <c r="D3632">
        <v>4.7099169999999999</v>
      </c>
      <c r="E3632">
        <v>0.46089590000000003</v>
      </c>
      <c r="F3632" t="s">
        <v>63</v>
      </c>
      <c r="G3632">
        <v>-404.9692</v>
      </c>
      <c r="H3632">
        <v>7.9743969999999997E-2</v>
      </c>
      <c r="I3632">
        <v>209.5866</v>
      </c>
      <c r="J3632">
        <v>-476.05630000000002</v>
      </c>
      <c r="K3632">
        <v>1.126552</v>
      </c>
      <c r="L3632">
        <v>215.97370000000001</v>
      </c>
      <c r="M3632">
        <v>0.93084089999999997</v>
      </c>
      <c r="N3632">
        <v>-1.417974E-2</v>
      </c>
      <c r="O3632">
        <v>-0.36514990000000003</v>
      </c>
      <c r="P3632">
        <v>0.96835159999999998</v>
      </c>
      <c r="Q3632">
        <v>0.1627816</v>
      </c>
      <c r="R3632">
        <v>-0.1892037</v>
      </c>
      <c r="S3632">
        <v>3.0539550000000002</v>
      </c>
      <c r="T3632">
        <v>-4.4861669999999999E-2</v>
      </c>
      <c r="U3632">
        <v>-0.27632139999999999</v>
      </c>
      <c r="V3632">
        <v>-0.1794849</v>
      </c>
      <c r="W3632">
        <v>0.17450160000000001</v>
      </c>
      <c r="X3632">
        <v>0.96816029999999997</v>
      </c>
      <c r="Y3632">
        <v>-0.2797557</v>
      </c>
      <c r="Z3632">
        <v>3.9920090000000004E-3</v>
      </c>
      <c r="AA3632">
        <v>0.96006290000000005</v>
      </c>
      <c r="AB3632">
        <v>21</v>
      </c>
      <c r="AC3632">
        <v>71.087100000000007</v>
      </c>
      <c r="AD3632">
        <v>-1.04680803</v>
      </c>
      <c r="AE3632">
        <v>-6.3871000000000002</v>
      </c>
      <c r="AF3632">
        <v>-20.009778449316599</v>
      </c>
      <c r="AG3632">
        <v>-1.04680803</v>
      </c>
      <c r="AH3632">
        <v>68.495172764803598</v>
      </c>
      <c r="AI3632">
        <v>90.840456394016798</v>
      </c>
      <c r="AJ3632">
        <v>106.28488601519901</v>
      </c>
      <c r="AK3632">
        <v>71.365788251253093</v>
      </c>
      <c r="AL3632">
        <v>79.950344400645406</v>
      </c>
      <c r="AM3632">
        <v>100.502688761727</v>
      </c>
      <c r="AN3632">
        <v>1.00000000211333</v>
      </c>
    </row>
    <row r="3633" spans="1:40" x14ac:dyDescent="0.25">
      <c r="A3633" t="str">
        <f>"20190303170324743"</f>
        <v>20190303170324743</v>
      </c>
      <c r="B3633" t="str">
        <f>"1551603804729378"</f>
        <v>1551603804729378</v>
      </c>
      <c r="C3633" t="s">
        <v>40</v>
      </c>
      <c r="D3633">
        <v>4.6782459999999997</v>
      </c>
      <c r="E3633">
        <v>0.46572639999999998</v>
      </c>
      <c r="F3633" t="s">
        <v>63</v>
      </c>
      <c r="G3633">
        <v>-401.02690000000001</v>
      </c>
      <c r="H3633">
        <v>5.157526E-3</v>
      </c>
      <c r="I3633">
        <v>209.6163</v>
      </c>
      <c r="J3633">
        <v>-475.88200000000001</v>
      </c>
      <c r="K3633">
        <v>1.1265320000000001</v>
      </c>
      <c r="L3633">
        <v>215.91480000000001</v>
      </c>
      <c r="M3633">
        <v>0.93359460000000005</v>
      </c>
      <c r="N3633">
        <v>-1.417495E-2</v>
      </c>
      <c r="O3633">
        <v>-0.35805049999999999</v>
      </c>
      <c r="P3633">
        <v>0.96952349999999998</v>
      </c>
      <c r="Q3633">
        <v>0.16274129999999901</v>
      </c>
      <c r="R3633">
        <v>-0.18313789999999999</v>
      </c>
      <c r="S3633">
        <v>3.0551149999999998</v>
      </c>
      <c r="T3633">
        <v>-4.5661930000000003E-2</v>
      </c>
      <c r="U3633">
        <v>-0.25886540000000002</v>
      </c>
      <c r="V3633">
        <v>-0.17816319999999999</v>
      </c>
      <c r="W3633">
        <v>0.17448379999999999</v>
      </c>
      <c r="X3633">
        <v>0.96840760000000004</v>
      </c>
      <c r="Y3633">
        <v>-0.27791900000000003</v>
      </c>
      <c r="Z3633">
        <v>4.103832E-3</v>
      </c>
      <c r="AA3633">
        <v>0.96059570000000005</v>
      </c>
      <c r="AB3633">
        <v>21</v>
      </c>
      <c r="AC3633">
        <v>74.855099999999894</v>
      </c>
      <c r="AD3633">
        <v>-1.12137447399999</v>
      </c>
      <c r="AE3633">
        <v>-6.2985000000000104</v>
      </c>
      <c r="AF3633">
        <v>-20.919101315931499</v>
      </c>
      <c r="AG3633">
        <v>-1.12137447399999</v>
      </c>
      <c r="AH3633">
        <v>72.130674316659295</v>
      </c>
      <c r="AI3633">
        <v>90.855429890035893</v>
      </c>
      <c r="AJ3633">
        <v>106.17304248964</v>
      </c>
      <c r="AK3633">
        <v>75.111253870196606</v>
      </c>
      <c r="AL3633">
        <v>79.951380144457801</v>
      </c>
      <c r="AM3633">
        <v>100.424446598194</v>
      </c>
      <c r="AN3633">
        <v>1.0000000010172201</v>
      </c>
    </row>
    <row r="3634" spans="1:40" x14ac:dyDescent="0.25">
      <c r="A3634" t="str">
        <f>"20190303170324766"</f>
        <v>20190303170324766</v>
      </c>
      <c r="B3634" t="str">
        <f>"1551603804758833"</f>
        <v>1551603804758833</v>
      </c>
      <c r="C3634" t="s">
        <v>40</v>
      </c>
      <c r="D3634">
        <v>4.7145299999999999</v>
      </c>
      <c r="E3634">
        <v>0.47248210000000002</v>
      </c>
      <c r="F3634" t="s">
        <v>63</v>
      </c>
      <c r="G3634">
        <v>-406.4418</v>
      </c>
      <c r="H3634">
        <v>6.3516390000000006E-2</v>
      </c>
      <c r="I3634">
        <v>209.5822</v>
      </c>
      <c r="J3634">
        <v>-475.6823</v>
      </c>
      <c r="K3634">
        <v>1.1265039999999999</v>
      </c>
      <c r="L3634">
        <v>215.8492</v>
      </c>
      <c r="M3634">
        <v>0.93666539999999998</v>
      </c>
      <c r="N3634">
        <v>-1.4169090000000001E-2</v>
      </c>
      <c r="O3634">
        <v>-0.34993930000000001</v>
      </c>
      <c r="P3634">
        <v>0.97076899999999999</v>
      </c>
      <c r="Q3634">
        <v>0.16281219999999999</v>
      </c>
      <c r="R3634">
        <v>-0.17635200000000001</v>
      </c>
      <c r="S3634">
        <v>3.0495909999999999</v>
      </c>
      <c r="T3634">
        <v>-4.668427E-2</v>
      </c>
      <c r="U3634">
        <v>-0.27810669999999998</v>
      </c>
      <c r="V3634">
        <v>-0.1765177</v>
      </c>
      <c r="W3634">
        <v>0.17458290000000001</v>
      </c>
      <c r="X3634">
        <v>0.96869110000000003</v>
      </c>
      <c r="Y3634">
        <v>-0.26339620000000002</v>
      </c>
      <c r="Z3634">
        <v>4.070242E-3</v>
      </c>
      <c r="AA3634">
        <v>0.96467910000000001</v>
      </c>
      <c r="AB3634">
        <v>21</v>
      </c>
      <c r="AC3634">
        <v>69.240499999999997</v>
      </c>
      <c r="AD3634">
        <v>-1.06298761</v>
      </c>
      <c r="AE3634">
        <v>-6.2669999999999897</v>
      </c>
      <c r="AF3634">
        <v>-18.3574386557619</v>
      </c>
      <c r="AG3634">
        <v>-1.06298761</v>
      </c>
      <c r="AH3634">
        <v>67.039298043253794</v>
      </c>
      <c r="AI3634">
        <v>90.876166489808696</v>
      </c>
      <c r="AJ3634">
        <v>105.31396353479199</v>
      </c>
      <c r="AK3634">
        <v>69.515415404004301</v>
      </c>
      <c r="AL3634">
        <v>79.945614297287705</v>
      </c>
      <c r="AM3634">
        <v>100.327291393172</v>
      </c>
      <c r="AN3634">
        <v>1.0000000673024501</v>
      </c>
    </row>
    <row r="3635" spans="1:40" x14ac:dyDescent="0.25">
      <c r="A3635" t="str">
        <f>"20190303170324789"</f>
        <v>20190303170324789</v>
      </c>
      <c r="B3635" t="str">
        <f>"1551603804779330"</f>
        <v>1551603804779330</v>
      </c>
      <c r="C3635" t="s">
        <v>40</v>
      </c>
      <c r="D3635">
        <v>4.7135850000000001</v>
      </c>
      <c r="E3635">
        <v>0.47325240000000002</v>
      </c>
      <c r="F3635" t="s">
        <v>63</v>
      </c>
      <c r="G3635">
        <v>-415.12740000000002</v>
      </c>
      <c r="H3635" s="1">
        <v>3.5459440000000002E-6</v>
      </c>
      <c r="I3635">
        <v>209.69</v>
      </c>
      <c r="J3635">
        <v>-475.48439999999999</v>
      </c>
      <c r="K3635">
        <v>1.1264689999999999</v>
      </c>
      <c r="L3635">
        <v>215.786</v>
      </c>
      <c r="M3635">
        <v>0.93961910000000004</v>
      </c>
      <c r="N3635">
        <v>-1.416222E-2</v>
      </c>
      <c r="O3635">
        <v>-0.34192929999999999</v>
      </c>
      <c r="P3635">
        <v>0.97208079999999997</v>
      </c>
      <c r="Q3635">
        <v>0.1620656</v>
      </c>
      <c r="R3635">
        <v>-0.1696877</v>
      </c>
      <c r="S3635">
        <v>3.0435789999999998</v>
      </c>
      <c r="T3635">
        <v>-5.6619639999999999E-2</v>
      </c>
      <c r="U3635">
        <v>-0.30957030000000002</v>
      </c>
      <c r="V3635">
        <v>-0.17490839999999999</v>
      </c>
      <c r="W3635">
        <v>0.173867299999999</v>
      </c>
      <c r="X3635">
        <v>0.96911159999999996</v>
      </c>
      <c r="Y3635">
        <v>-0.2450435</v>
      </c>
      <c r="Z3635">
        <v>5.3049200000000003E-3</v>
      </c>
      <c r="AA3635">
        <v>0.96949759999999996</v>
      </c>
      <c r="AB3635">
        <v>21</v>
      </c>
      <c r="AC3635">
        <v>60.3569999999999</v>
      </c>
      <c r="AD3635">
        <v>-1.126465454056</v>
      </c>
      <c r="AE3635">
        <v>-6.0959999999999699</v>
      </c>
      <c r="AF3635">
        <v>-14.906262439239599</v>
      </c>
      <c r="AG3635">
        <v>-1.126465454056</v>
      </c>
      <c r="AH3635">
        <v>58.782611954922302</v>
      </c>
      <c r="AI3635">
        <v>91.064164548675905</v>
      </c>
      <c r="AJ3635">
        <v>104.229286912888</v>
      </c>
      <c r="AK3635">
        <v>60.653615329753002</v>
      </c>
      <c r="AL3635">
        <v>79.987251690017203</v>
      </c>
      <c r="AM3635">
        <v>100.230790062141</v>
      </c>
      <c r="AN3635">
        <v>1.0000000398272</v>
      </c>
    </row>
    <row r="3636" spans="1:40" x14ac:dyDescent="0.25">
      <c r="A3636" t="str">
        <f>"20190303170324812"</f>
        <v>20190303170324812</v>
      </c>
      <c r="B3636" t="str">
        <f>"1551603804798849"</f>
        <v>1551603804798849</v>
      </c>
      <c r="C3636" t="s">
        <v>40</v>
      </c>
      <c r="D3636">
        <v>4.7180249999999999</v>
      </c>
      <c r="E3636">
        <v>0.47355399999999997</v>
      </c>
      <c r="F3636" t="s">
        <v>63</v>
      </c>
      <c r="G3636">
        <v>-420.22910000000002</v>
      </c>
      <c r="H3636" s="1">
        <v>4.2884380000000001E-6</v>
      </c>
      <c r="I3636">
        <v>210.44730000000001</v>
      </c>
      <c r="J3636">
        <v>-475.28859999999997</v>
      </c>
      <c r="K3636">
        <v>1.1264160000000001</v>
      </c>
      <c r="L3636">
        <v>215.7252</v>
      </c>
      <c r="M3636">
        <v>0.94245190000000001</v>
      </c>
      <c r="N3636">
        <v>-1.415426E-2</v>
      </c>
      <c r="O3636">
        <v>-0.33404230000000001</v>
      </c>
      <c r="P3636">
        <v>0.97342340000000005</v>
      </c>
      <c r="Q3636">
        <v>0.16107489999999999</v>
      </c>
      <c r="R3636">
        <v>-0.1627941</v>
      </c>
      <c r="S3636">
        <v>3.0451350000000001</v>
      </c>
      <c r="T3636">
        <v>-6.2079790000000003E-2</v>
      </c>
      <c r="U3636">
        <v>-0.29421999999999998</v>
      </c>
      <c r="V3636">
        <v>-0.173678</v>
      </c>
      <c r="W3636">
        <v>0.172906</v>
      </c>
      <c r="X3636">
        <v>0.96950480000000006</v>
      </c>
      <c r="Y3636">
        <v>-0.24179310000000001</v>
      </c>
      <c r="Z3636">
        <v>6.0339230000000001E-3</v>
      </c>
      <c r="AA3636">
        <v>0.97030910000000004</v>
      </c>
      <c r="AB3636">
        <v>21</v>
      </c>
      <c r="AC3636">
        <v>55.0594999999999</v>
      </c>
      <c r="AD3636">
        <v>-1.126411711562</v>
      </c>
      <c r="AE3636">
        <v>-5.2778999999999803</v>
      </c>
      <c r="AF3636">
        <v>-13.4138151908613</v>
      </c>
      <c r="AG3636">
        <v>-1.126411711562</v>
      </c>
      <c r="AH3636">
        <v>53.637098185193999</v>
      </c>
      <c r="AI3636">
        <v>91.167135605337705</v>
      </c>
      <c r="AJ3636">
        <v>104.04080843106701</v>
      </c>
      <c r="AK3636">
        <v>55.300429863127299</v>
      </c>
      <c r="AL3636">
        <v>80.043177230616095</v>
      </c>
      <c r="AM3636">
        <v>100.156290705884</v>
      </c>
      <c r="AN3636">
        <v>1.0000000448715101</v>
      </c>
    </row>
    <row r="3637" spans="1:40" x14ac:dyDescent="0.25">
      <c r="A3637" t="str">
        <f>"20190303170324833"</f>
        <v>20190303170324833</v>
      </c>
      <c r="B3637" t="str">
        <f>"1551603804819345"</f>
        <v>1551603804819345</v>
      </c>
      <c r="C3637" t="s">
        <v>40</v>
      </c>
      <c r="D3637">
        <v>4.6354290000000002</v>
      </c>
      <c r="E3637">
        <v>0.47762189999999999</v>
      </c>
      <c r="F3637" t="s">
        <v>63</v>
      </c>
      <c r="G3637">
        <v>-422.99889999999999</v>
      </c>
      <c r="H3637" s="1">
        <v>3.747374E-6</v>
      </c>
      <c r="I3637">
        <v>211.0163</v>
      </c>
      <c r="J3637">
        <v>-475.10570000000001</v>
      </c>
      <c r="K3637">
        <v>1.126363</v>
      </c>
      <c r="L3637">
        <v>215.67</v>
      </c>
      <c r="M3637">
        <v>0.94501559999999996</v>
      </c>
      <c r="N3637">
        <v>-1.414548E-2</v>
      </c>
      <c r="O3637">
        <v>-0.32671889999999998</v>
      </c>
      <c r="P3637">
        <v>0.97452689999999997</v>
      </c>
      <c r="Q3637">
        <v>0.16109949999999901</v>
      </c>
      <c r="R3637">
        <v>-0.15602679999999999</v>
      </c>
      <c r="S3637">
        <v>3.046875</v>
      </c>
      <c r="T3637">
        <v>-6.5634970000000001E-2</v>
      </c>
      <c r="U3637">
        <v>-0.2743835</v>
      </c>
      <c r="V3637">
        <v>-0.17286799999999999</v>
      </c>
      <c r="W3637">
        <v>0.17295250000000001</v>
      </c>
      <c r="X3637">
        <v>0.96964119999999998</v>
      </c>
      <c r="Y3637">
        <v>-0.24056930000000001</v>
      </c>
      <c r="Z3637">
        <v>6.4948419999999998E-3</v>
      </c>
      <c r="AA3637">
        <v>0.97061030000000004</v>
      </c>
      <c r="AB3637">
        <v>20</v>
      </c>
      <c r="AC3637">
        <v>52.1068</v>
      </c>
      <c r="AD3637">
        <v>-1.126359252626</v>
      </c>
      <c r="AE3637">
        <v>-4.6536999999999802</v>
      </c>
      <c r="AF3637">
        <v>-12.6218707477967</v>
      </c>
      <c r="AG3637">
        <v>-1.126359252626</v>
      </c>
      <c r="AH3637">
        <v>50.743751356246797</v>
      </c>
      <c r="AI3637">
        <v>91.233996977683404</v>
      </c>
      <c r="AJ3637">
        <v>103.96813910071</v>
      </c>
      <c r="AK3637">
        <v>52.3020899013095</v>
      </c>
      <c r="AL3637">
        <v>80.040471618734998</v>
      </c>
      <c r="AM3637">
        <v>100.108510218519</v>
      </c>
      <c r="AN3637">
        <v>0.99999998470884399</v>
      </c>
    </row>
    <row r="3638" spans="1:40" x14ac:dyDescent="0.25">
      <c r="A3638" t="str">
        <f>"20190303170324858"</f>
        <v>20190303170324858</v>
      </c>
      <c r="B3638" t="str">
        <f>"1551603804848625"</f>
        <v>1551603804848625</v>
      </c>
      <c r="C3638" t="s">
        <v>40</v>
      </c>
      <c r="D3638">
        <v>4.7155940000000003</v>
      </c>
      <c r="E3638">
        <v>0.47997800000000002</v>
      </c>
      <c r="F3638" t="s">
        <v>63</v>
      </c>
      <c r="G3638">
        <v>-423.25029999999998</v>
      </c>
      <c r="H3638" s="1">
        <v>3.721299E-6</v>
      </c>
      <c r="I3638">
        <v>210.80439999999999</v>
      </c>
      <c r="J3638">
        <v>-474.89490000000001</v>
      </c>
      <c r="K3638">
        <v>1.1263000000000001</v>
      </c>
      <c r="L3638">
        <v>215.60820000000001</v>
      </c>
      <c r="M3638">
        <v>0.94786409999999999</v>
      </c>
      <c r="N3638">
        <v>-1.413377E-2</v>
      </c>
      <c r="O3638">
        <v>-0.31836130000000001</v>
      </c>
      <c r="P3638">
        <v>0.97558449999999997</v>
      </c>
      <c r="Q3638">
        <v>0.16136120000000001</v>
      </c>
      <c r="R3638">
        <v>-0.14898839999999999</v>
      </c>
      <c r="S3638">
        <v>3.0436399999999999</v>
      </c>
      <c r="T3638">
        <v>-6.6111450000000002E-2</v>
      </c>
      <c r="U3638">
        <v>-0.28558349999999999</v>
      </c>
      <c r="V3638">
        <v>-0.17126160000000001</v>
      </c>
      <c r="W3638">
        <v>0.17325119999999999</v>
      </c>
      <c r="X3638">
        <v>0.96987299999999999</v>
      </c>
      <c r="Y3638">
        <v>-0.22834879999999999</v>
      </c>
      <c r="Z3638">
        <v>6.3067649999999998E-3</v>
      </c>
      <c r="AA3638">
        <v>0.97355899999999995</v>
      </c>
      <c r="AB3638">
        <v>20</v>
      </c>
      <c r="AC3638">
        <v>51.644599999999997</v>
      </c>
      <c r="AD3638">
        <v>-1.126296278701</v>
      </c>
      <c r="AE3638">
        <v>-4.8038000000000203</v>
      </c>
      <c r="AF3638">
        <v>-11.8838761707133</v>
      </c>
      <c r="AG3638">
        <v>-1.126296278701</v>
      </c>
      <c r="AH3638">
        <v>50.462653492509297</v>
      </c>
      <c r="AI3638">
        <v>91.244560738238107</v>
      </c>
      <c r="AJ3638">
        <v>103.25161208516801</v>
      </c>
      <c r="AK3638">
        <v>51.855322327156799</v>
      </c>
      <c r="AL3638">
        <v>80.023095961526806</v>
      </c>
      <c r="AM3638">
        <v>100.014140867737</v>
      </c>
      <c r="AN3638">
        <v>1.00000007503249</v>
      </c>
    </row>
    <row r="3639" spans="1:40" x14ac:dyDescent="0.25">
      <c r="A3639" t="str">
        <f>"20190303170324890"</f>
        <v>20190303170324890</v>
      </c>
      <c r="B3639" t="str">
        <f>"1551603804878881"</f>
        <v>1551603804878881</v>
      </c>
      <c r="C3639" t="s">
        <v>40</v>
      </c>
      <c r="D3639">
        <v>4.7177509999999998</v>
      </c>
      <c r="E3639">
        <v>0.48014370000000001</v>
      </c>
      <c r="F3639" t="s">
        <v>63</v>
      </c>
      <c r="G3639">
        <v>-424.20389999999998</v>
      </c>
      <c r="H3639" s="1">
        <v>3.5440810000000002E-6</v>
      </c>
      <c r="I3639">
        <v>210.89670000000001</v>
      </c>
      <c r="J3639">
        <v>-474.61239999999998</v>
      </c>
      <c r="K3639">
        <v>1.126214</v>
      </c>
      <c r="L3639">
        <v>215.52850000000001</v>
      </c>
      <c r="M3639">
        <v>0.95151189999999997</v>
      </c>
      <c r="N3639">
        <v>-1.4116180000000001E-2</v>
      </c>
      <c r="O3639">
        <v>-0.30728840000000002</v>
      </c>
      <c r="P3639">
        <v>0.97688900000000001</v>
      </c>
      <c r="Q3639">
        <v>0.16148680000000001</v>
      </c>
      <c r="R3639">
        <v>-0.14003740000000001</v>
      </c>
      <c r="S3639">
        <v>3.0430299999999999</v>
      </c>
      <c r="T3639">
        <v>-6.7612649999999996E-2</v>
      </c>
      <c r="U3639">
        <v>-0.2828369</v>
      </c>
      <c r="V3639">
        <v>-0.16879439999999901</v>
      </c>
      <c r="W3639">
        <v>0.1734301</v>
      </c>
      <c r="X3639">
        <v>0.97027339999999995</v>
      </c>
      <c r="Y3639">
        <v>-0.21783739999999999</v>
      </c>
      <c r="Z3639">
        <v>6.2616069999999998E-3</v>
      </c>
      <c r="AA3639">
        <v>0.97596499999999997</v>
      </c>
      <c r="AB3639">
        <v>20</v>
      </c>
      <c r="AC3639">
        <v>50.408499999999997</v>
      </c>
      <c r="AD3639">
        <v>-1.126210455919</v>
      </c>
      <c r="AE3639">
        <v>-4.6317999999999904</v>
      </c>
      <c r="AF3639">
        <v>-11.0783536058889</v>
      </c>
      <c r="AG3639">
        <v>-1.126210455919</v>
      </c>
      <c r="AH3639">
        <v>49.368063634703802</v>
      </c>
      <c r="AI3639">
        <v>91.275134380050403</v>
      </c>
      <c r="AJ3639">
        <v>102.64783525212501</v>
      </c>
      <c r="AK3639">
        <v>50.608338993176702</v>
      </c>
      <c r="AL3639">
        <v>80.012687536679195</v>
      </c>
      <c r="AM3639">
        <v>99.868741575894703</v>
      </c>
      <c r="AN3639">
        <v>1.00000000990246</v>
      </c>
    </row>
    <row r="3640" spans="1:40" x14ac:dyDescent="0.25">
      <c r="A3640" t="str">
        <f>"20190303170324911"</f>
        <v>20190303170324911</v>
      </c>
      <c r="B3640" t="str">
        <f>"1551603804899376"</f>
        <v>1551603804899376</v>
      </c>
      <c r="C3640" t="s">
        <v>40</v>
      </c>
      <c r="D3640">
        <v>4.6597030000000004</v>
      </c>
      <c r="E3640">
        <v>0.48717379999999999</v>
      </c>
      <c r="F3640" t="s">
        <v>63</v>
      </c>
      <c r="G3640">
        <v>-423.0616</v>
      </c>
      <c r="H3640" s="1">
        <v>3.7210399999999999E-6</v>
      </c>
      <c r="I3640">
        <v>211.19030000000001</v>
      </c>
      <c r="J3640">
        <v>-474.43610000000001</v>
      </c>
      <c r="K3640">
        <v>1.1261639999999999</v>
      </c>
      <c r="L3640">
        <v>215.4804</v>
      </c>
      <c r="M3640">
        <v>0.95369320000000002</v>
      </c>
      <c r="N3640">
        <v>-1.4105289999999999E-2</v>
      </c>
      <c r="O3640">
        <v>-0.30045040000000001</v>
      </c>
      <c r="P3640">
        <v>0.97770049999999997</v>
      </c>
      <c r="Q3640">
        <v>0.1607584</v>
      </c>
      <c r="R3640">
        <v>-0.13512460000000001</v>
      </c>
      <c r="S3640">
        <v>3.045258</v>
      </c>
      <c r="T3640">
        <v>-6.652856E-2</v>
      </c>
      <c r="U3640">
        <v>-0.25627139999999998</v>
      </c>
      <c r="V3640">
        <v>-0.16670699999999999</v>
      </c>
      <c r="W3640">
        <v>0.17274200000000001</v>
      </c>
      <c r="X3640">
        <v>0.97075690000000003</v>
      </c>
      <c r="Y3640">
        <v>-0.2193474</v>
      </c>
      <c r="Z3640">
        <v>6.1010319999999897E-3</v>
      </c>
      <c r="AA3640">
        <v>0.97562780000000004</v>
      </c>
      <c r="AB3640">
        <v>20</v>
      </c>
      <c r="AC3640">
        <v>51.374499999999998</v>
      </c>
      <c r="AD3640">
        <v>-1.12616027896</v>
      </c>
      <c r="AE3640">
        <v>-4.29009999999999</v>
      </c>
      <c r="AF3640">
        <v>-11.339766684336199</v>
      </c>
      <c r="AG3640">
        <v>-1.12616027896</v>
      </c>
      <c r="AH3640">
        <v>50.265487566076501</v>
      </c>
      <c r="AI3640">
        <v>91.251999933103505</v>
      </c>
      <c r="AJ3640">
        <v>102.712962164351</v>
      </c>
      <c r="AK3640">
        <v>51.541030118581098</v>
      </c>
      <c r="AL3640">
        <v>80.0527167451678</v>
      </c>
      <c r="AM3640">
        <v>99.744293182550706</v>
      </c>
      <c r="AN3640">
        <v>0.99999999065530498</v>
      </c>
    </row>
    <row r="3641" spans="1:40" x14ac:dyDescent="0.25">
      <c r="A3641" t="str">
        <f>"20190303170324932"</f>
        <v>20190303170324932</v>
      </c>
      <c r="B3641" t="str">
        <f>"1551603804918897"</f>
        <v>1551603804918897</v>
      </c>
      <c r="C3641" t="s">
        <v>40</v>
      </c>
      <c r="D3641">
        <v>4.6562830000000002</v>
      </c>
      <c r="E3641">
        <v>0.48786160000000001</v>
      </c>
      <c r="F3641" t="s">
        <v>63</v>
      </c>
      <c r="G3641">
        <v>-423.20359999999999</v>
      </c>
      <c r="H3641" s="1">
        <v>3.7568300000000002E-6</v>
      </c>
      <c r="I3641">
        <v>210.49279999999999</v>
      </c>
      <c r="J3641">
        <v>-474.25060000000002</v>
      </c>
      <c r="K3641">
        <v>1.126109</v>
      </c>
      <c r="L3641">
        <v>215.43109999999999</v>
      </c>
      <c r="M3641">
        <v>0.95590969999999997</v>
      </c>
      <c r="N3641">
        <v>-1.4093690000000001E-2</v>
      </c>
      <c r="O3641">
        <v>-0.29332269999999999</v>
      </c>
      <c r="P3641">
        <v>0.97824659999999997</v>
      </c>
      <c r="Q3641">
        <v>0.16098029999999999</v>
      </c>
      <c r="R3641">
        <v>-0.13084100000000001</v>
      </c>
      <c r="S3641">
        <v>3.0385439999999999</v>
      </c>
      <c r="T3641">
        <v>-6.6791299999999998E-2</v>
      </c>
      <c r="U3641">
        <v>-0.29580689999999998</v>
      </c>
      <c r="V3641">
        <v>-0.1636724</v>
      </c>
      <c r="W3641">
        <v>0.1730131</v>
      </c>
      <c r="X3641">
        <v>0.97122489999999995</v>
      </c>
      <c r="Y3641">
        <v>-0.19925590000000001</v>
      </c>
      <c r="Z3641">
        <v>5.7433859999999996E-3</v>
      </c>
      <c r="AA3641">
        <v>0.97993059999999998</v>
      </c>
      <c r="AB3641">
        <v>20</v>
      </c>
      <c r="AC3641">
        <v>51.046999999999997</v>
      </c>
      <c r="AD3641">
        <v>-1.12610524317</v>
      </c>
      <c r="AE3641">
        <v>-4.9382999999999901</v>
      </c>
      <c r="AF3641">
        <v>-10.248751093144399</v>
      </c>
      <c r="AG3641">
        <v>-1.12610524317</v>
      </c>
      <c r="AH3641">
        <v>50.225608248422901</v>
      </c>
      <c r="AI3641">
        <v>91.258485217948206</v>
      </c>
      <c r="AJ3641">
        <v>101.53311695380199</v>
      </c>
      <c r="AK3641">
        <v>51.2729630108498</v>
      </c>
      <c r="AL3641">
        <v>80.036946472539995</v>
      </c>
      <c r="AM3641">
        <v>99.565699908399694</v>
      </c>
      <c r="AN3641">
        <v>0.99999999683669005</v>
      </c>
    </row>
    <row r="3642" spans="1:40" x14ac:dyDescent="0.25">
      <c r="A3642" t="str">
        <f>"20190303170324956"</f>
        <v>20190303170324956</v>
      </c>
      <c r="B3642" t="str">
        <f>"1551603804949153"</f>
        <v>1551603804949153</v>
      </c>
      <c r="C3642" t="s">
        <v>40</v>
      </c>
      <c r="D3642">
        <v>4.7100019999999896</v>
      </c>
      <c r="E3642">
        <v>0.48889929999999898</v>
      </c>
      <c r="F3642" t="s">
        <v>63</v>
      </c>
      <c r="G3642">
        <v>-419.76609999999999</v>
      </c>
      <c r="H3642" s="1">
        <v>4.3150490000000001E-6</v>
      </c>
      <c r="I3642">
        <v>210.30449999999999</v>
      </c>
      <c r="J3642">
        <v>-474.03809999999999</v>
      </c>
      <c r="K3642">
        <v>1.1260460000000001</v>
      </c>
      <c r="L3642">
        <v>215.37639999999999</v>
      </c>
      <c r="M3642">
        <v>0.95835049999999999</v>
      </c>
      <c r="N3642">
        <v>-1.407983E-2</v>
      </c>
      <c r="O3642">
        <v>-0.28524759999999999</v>
      </c>
      <c r="P3642">
        <v>0.97874300000000003</v>
      </c>
      <c r="Q3642">
        <v>0.1619448</v>
      </c>
      <c r="R3642">
        <v>-0.12584139999999999</v>
      </c>
      <c r="S3642">
        <v>3.038818</v>
      </c>
      <c r="T3642">
        <v>-6.280732E-2</v>
      </c>
      <c r="U3642">
        <v>-0.28593439999999998</v>
      </c>
      <c r="V3642">
        <v>-0.16036900000000001</v>
      </c>
      <c r="W3642">
        <v>0.1740284</v>
      </c>
      <c r="X3642">
        <v>0.97159450000000003</v>
      </c>
      <c r="Y3642">
        <v>-0.19416059999999999</v>
      </c>
      <c r="Z3642">
        <v>5.1085490000000004E-3</v>
      </c>
      <c r="AA3642">
        <v>0.98095639999999995</v>
      </c>
      <c r="AB3642">
        <v>20</v>
      </c>
      <c r="AC3642">
        <v>54.271999999999899</v>
      </c>
      <c r="AD3642">
        <v>-1.126041684951</v>
      </c>
      <c r="AE3642">
        <v>-5.0718999999999896</v>
      </c>
      <c r="AF3642">
        <v>-10.6168212759315</v>
      </c>
      <c r="AG3642">
        <v>-1.126041684951</v>
      </c>
      <c r="AH3642">
        <v>53.440835905465903</v>
      </c>
      <c r="AI3642">
        <v>91.183958620929801</v>
      </c>
      <c r="AJ3642">
        <v>101.23636321552399</v>
      </c>
      <c r="AK3642">
        <v>54.496860516512797</v>
      </c>
      <c r="AL3642">
        <v>79.977877901903199</v>
      </c>
      <c r="AM3642">
        <v>99.372594601528903</v>
      </c>
      <c r="AN3642">
        <v>0.99999998629890496</v>
      </c>
    </row>
    <row r="3643" spans="1:40" x14ac:dyDescent="0.25">
      <c r="A3643" t="str">
        <f>"20190303170324979"</f>
        <v>20190303170324979</v>
      </c>
      <c r="B3643" t="str">
        <f>"1551603804968673"</f>
        <v>1551603804968673</v>
      </c>
      <c r="C3643" t="s">
        <v>40</v>
      </c>
      <c r="D3643">
        <v>4.6543939999999999</v>
      </c>
      <c r="E3643">
        <v>0.4904925</v>
      </c>
      <c r="F3643" t="s">
        <v>63</v>
      </c>
      <c r="G3643">
        <v>-411.24650000000003</v>
      </c>
      <c r="H3643" s="1">
        <v>2.8675449999999998E-6</v>
      </c>
      <c r="I3643">
        <v>209.6062</v>
      </c>
      <c r="J3643">
        <v>-473.84679999999997</v>
      </c>
      <c r="K3643">
        <v>1.1259969999999999</v>
      </c>
      <c r="L3643">
        <v>215.3288</v>
      </c>
      <c r="M3643">
        <v>0.96046160000000003</v>
      </c>
      <c r="N3643">
        <v>-1.406636E-2</v>
      </c>
      <c r="O3643">
        <v>-0.27805750000000001</v>
      </c>
      <c r="P3643">
        <v>0.9793212</v>
      </c>
      <c r="Q3643">
        <v>0.16246350000000001</v>
      </c>
      <c r="R3643">
        <v>-0.1205644</v>
      </c>
      <c r="S3643">
        <v>3.0383</v>
      </c>
      <c r="T3643">
        <v>-5.4485800000000001E-2</v>
      </c>
      <c r="U3643">
        <v>-0.27920529999999999</v>
      </c>
      <c r="V3643">
        <v>-0.1582751</v>
      </c>
      <c r="W3643">
        <v>0.1745815</v>
      </c>
      <c r="X3643">
        <v>0.97183869999999895</v>
      </c>
      <c r="Y3643">
        <v>-0.1889633</v>
      </c>
      <c r="Z3643">
        <v>3.977431E-3</v>
      </c>
      <c r="AA3643">
        <v>0.98197610000000002</v>
      </c>
      <c r="AB3643">
        <v>20</v>
      </c>
      <c r="AC3643">
        <v>62.600299999999898</v>
      </c>
      <c r="AD3643">
        <v>-1.125994132455</v>
      </c>
      <c r="AE3643">
        <v>-5.7225999999999999</v>
      </c>
      <c r="AF3643">
        <v>-11.907501364133299</v>
      </c>
      <c r="AG3643">
        <v>-1.125994132455</v>
      </c>
      <c r="AH3643">
        <v>61.702695373937701</v>
      </c>
      <c r="AI3643">
        <v>91.026521631033106</v>
      </c>
      <c r="AJ3643">
        <v>100.922772187281</v>
      </c>
      <c r="AK3643">
        <v>62.851245555932401</v>
      </c>
      <c r="AL3643">
        <v>79.945695923153394</v>
      </c>
      <c r="AM3643">
        <v>99.250064161143499</v>
      </c>
      <c r="AN3643">
        <v>1.00000008311997</v>
      </c>
    </row>
    <row r="3644" spans="1:40" x14ac:dyDescent="0.25">
      <c r="A3644" t="str">
        <f>"20190303170325000"</f>
        <v>20190303170325000</v>
      </c>
      <c r="B3644" t="str">
        <f>"1551603804989170"</f>
        <v>1551603804989170</v>
      </c>
      <c r="C3644" t="s">
        <v>40</v>
      </c>
      <c r="D3644">
        <v>4.722137</v>
      </c>
      <c r="E3644">
        <v>0.49247259999999998</v>
      </c>
      <c r="F3644" t="s">
        <v>63</v>
      </c>
      <c r="G3644">
        <v>-407.89510000000001</v>
      </c>
      <c r="H3644">
        <v>4.7553749999999999E-2</v>
      </c>
      <c r="I3644">
        <v>209.34469999999999</v>
      </c>
      <c r="J3644">
        <v>-473.6583</v>
      </c>
      <c r="K3644">
        <v>1.1259399999999999</v>
      </c>
      <c r="L3644">
        <v>215.28319999999999</v>
      </c>
      <c r="M3644">
        <v>0.96246770000000004</v>
      </c>
      <c r="N3644">
        <v>-1.4053319999999999E-2</v>
      </c>
      <c r="O3644">
        <v>-0.2710322</v>
      </c>
      <c r="P3644">
        <v>0.98003490000000004</v>
      </c>
      <c r="Q3644">
        <v>0.1616609</v>
      </c>
      <c r="R3644">
        <v>-0.11574660000000001</v>
      </c>
      <c r="S3644">
        <v>3.0376590000000001</v>
      </c>
      <c r="T3644">
        <v>-4.9671769999999997E-2</v>
      </c>
      <c r="U3644">
        <v>-0.27561950000000002</v>
      </c>
      <c r="V3644">
        <v>-0.1559526</v>
      </c>
      <c r="W3644">
        <v>0.1738161</v>
      </c>
      <c r="X3644">
        <v>0.97235110000000002</v>
      </c>
      <c r="Y3644">
        <v>-0.18292510000000001</v>
      </c>
      <c r="Z3644">
        <v>3.2982340000000001E-3</v>
      </c>
      <c r="AA3644">
        <v>0.98312129999999998</v>
      </c>
      <c r="AB3644">
        <v>20</v>
      </c>
      <c r="AC3644">
        <v>65.763199999999898</v>
      </c>
      <c r="AD3644">
        <v>-1.0783862500000001</v>
      </c>
      <c r="AE3644">
        <v>-5.9385000000000003</v>
      </c>
      <c r="AF3644">
        <v>-12.1062970568404</v>
      </c>
      <c r="AG3644">
        <v>-1.0783862500000001</v>
      </c>
      <c r="AH3644">
        <v>64.893581535020701</v>
      </c>
      <c r="AI3644">
        <v>90.935896280096202</v>
      </c>
      <c r="AJ3644">
        <v>100.567404646791</v>
      </c>
      <c r="AK3644">
        <v>66.021983231156</v>
      </c>
      <c r="AL3644">
        <v>79.990229742664596</v>
      </c>
      <c r="AM3644">
        <v>99.111902739980906</v>
      </c>
      <c r="AN3644">
        <v>0.99999995586858903</v>
      </c>
    </row>
    <row r="3645" spans="1:40" x14ac:dyDescent="0.25">
      <c r="A3645" t="str">
        <f>"20190303170325024"</f>
        <v>20190303170325024</v>
      </c>
      <c r="B3645" t="str">
        <f>"1551603805019426"</f>
        <v>1551603805019426</v>
      </c>
      <c r="C3645" t="s">
        <v>40</v>
      </c>
      <c r="D3645">
        <v>4.6137560000000004</v>
      </c>
      <c r="E3645">
        <v>0.4947049</v>
      </c>
      <c r="F3645" t="s">
        <v>63</v>
      </c>
      <c r="G3645">
        <v>-407.95080000000002</v>
      </c>
      <c r="H3645">
        <v>5.4816820000000002E-2</v>
      </c>
      <c r="I3645">
        <v>209.3244</v>
      </c>
      <c r="J3645">
        <v>-473.46140000000003</v>
      </c>
      <c r="K3645">
        <v>1.1258969999999999</v>
      </c>
      <c r="L3645">
        <v>215.2371</v>
      </c>
      <c r="M3645">
        <v>0.96448829999999997</v>
      </c>
      <c r="N3645">
        <v>-1.4040550000000001E-2</v>
      </c>
      <c r="O3645">
        <v>-0.26375219999999999</v>
      </c>
      <c r="P3645">
        <v>0.98064569999999995</v>
      </c>
      <c r="Q3645">
        <v>0.16119890000000001</v>
      </c>
      <c r="R3645">
        <v>-0.1111255</v>
      </c>
      <c r="S3645">
        <v>3.0367130000000002</v>
      </c>
      <c r="T3645">
        <v>-4.9502610000000002E-2</v>
      </c>
      <c r="U3645">
        <v>-0.27539059999999999</v>
      </c>
      <c r="V3645">
        <v>-0.15317510000000001</v>
      </c>
      <c r="W3645">
        <v>0.17339579999999999</v>
      </c>
      <c r="X3645">
        <v>0.9728675</v>
      </c>
      <c r="Y3645">
        <v>-0.17553940000000001</v>
      </c>
      <c r="Z3645">
        <v>3.1616169999999998E-3</v>
      </c>
      <c r="AA3645">
        <v>0.98446730000000005</v>
      </c>
      <c r="AB3645">
        <v>20</v>
      </c>
      <c r="AC3645">
        <v>65.510599999999997</v>
      </c>
      <c r="AD3645">
        <v>-1.0710801799999901</v>
      </c>
      <c r="AE3645">
        <v>-5.9127000000000001</v>
      </c>
      <c r="AF3645">
        <v>-11.5739069850391</v>
      </c>
      <c r="AG3645">
        <v>-1.0710801799999901</v>
      </c>
      <c r="AH3645">
        <v>64.732912011491905</v>
      </c>
      <c r="AI3645">
        <v>90.933142660405096</v>
      </c>
      <c r="AJ3645">
        <v>100.137073001242</v>
      </c>
      <c r="AK3645">
        <v>65.768171885326694</v>
      </c>
      <c r="AL3645">
        <v>80.0146823465236</v>
      </c>
      <c r="AM3645">
        <v>98.947597226829004</v>
      </c>
      <c r="AN3645">
        <v>0.999999943636948</v>
      </c>
    </row>
    <row r="3646" spans="1:40" x14ac:dyDescent="0.25">
      <c r="A3646" t="str">
        <f>"20190303170325046"</f>
        <v>20190303170325046</v>
      </c>
      <c r="B3646" t="str">
        <f>"1551603805038946"</f>
        <v>1551603805038946</v>
      </c>
      <c r="C3646" t="s">
        <v>40</v>
      </c>
      <c r="D3646">
        <v>4.6656839999999997</v>
      </c>
      <c r="E3646">
        <v>0.49602560000000001</v>
      </c>
      <c r="F3646" t="s">
        <v>63</v>
      </c>
      <c r="G3646">
        <v>-408.10849999999999</v>
      </c>
      <c r="H3646">
        <v>1.502116E-2</v>
      </c>
      <c r="I3646">
        <v>209.26419999999999</v>
      </c>
      <c r="J3646">
        <v>-473.2636</v>
      </c>
      <c r="K3646">
        <v>1.1258459999999999</v>
      </c>
      <c r="L3646">
        <v>215.19220000000001</v>
      </c>
      <c r="M3646">
        <v>0.96644010000000002</v>
      </c>
      <c r="N3646">
        <v>-1.402802E-2</v>
      </c>
      <c r="O3646">
        <v>-0.2565094</v>
      </c>
      <c r="P3646">
        <v>0.98096170000000005</v>
      </c>
      <c r="Q3646">
        <v>0.16291129999999901</v>
      </c>
      <c r="R3646">
        <v>-0.1057075</v>
      </c>
      <c r="S3646">
        <v>3.0362550000000001</v>
      </c>
      <c r="T3646">
        <v>-5.1610589999999998E-2</v>
      </c>
      <c r="U3646">
        <v>-0.27749629999999997</v>
      </c>
      <c r="V3646">
        <v>-0.15116749999999901</v>
      </c>
      <c r="W3646">
        <v>0.1751345</v>
      </c>
      <c r="X3646">
        <v>0.97287009999999996</v>
      </c>
      <c r="Y3646">
        <v>-0.16745660000000001</v>
      </c>
      <c r="Z3646">
        <v>3.2663610000000002E-3</v>
      </c>
      <c r="AA3646">
        <v>0.98587409999999998</v>
      </c>
      <c r="AB3646">
        <v>20</v>
      </c>
      <c r="AC3646">
        <v>65.155100000000004</v>
      </c>
      <c r="AD3646">
        <v>-1.11082483999999</v>
      </c>
      <c r="AE3646">
        <v>-5.9280000000000204</v>
      </c>
      <c r="AF3646">
        <v>-10.9817519847587</v>
      </c>
      <c r="AG3646">
        <v>-1.11082483999999</v>
      </c>
      <c r="AH3646">
        <v>64.476837441421097</v>
      </c>
      <c r="AI3646">
        <v>90.9730005966683</v>
      </c>
      <c r="AJ3646">
        <v>99.665913285788207</v>
      </c>
      <c r="AK3646">
        <v>65.414794770964093</v>
      </c>
      <c r="AL3646">
        <v>79.913514413036495</v>
      </c>
      <c r="AM3646">
        <v>98.832162636076603</v>
      </c>
      <c r="AN3646">
        <v>0.99999996881025399</v>
      </c>
    </row>
    <row r="3647" spans="1:40" x14ac:dyDescent="0.25">
      <c r="A3647" t="str">
        <f>"20190303170325070"</f>
        <v>20190303170325070</v>
      </c>
      <c r="B3647" t="str">
        <f>"1551603805059441"</f>
        <v>1551603805059441</v>
      </c>
      <c r="C3647" t="s">
        <v>40</v>
      </c>
      <c r="D3647">
        <v>4.6643179999999997</v>
      </c>
      <c r="E3647">
        <v>0.49724489999999999</v>
      </c>
      <c r="F3647" t="s">
        <v>63</v>
      </c>
      <c r="G3647">
        <v>-405.0317</v>
      </c>
      <c r="H3647">
        <v>8.0001039999999995E-2</v>
      </c>
      <c r="I3647">
        <v>209.1046</v>
      </c>
      <c r="J3647">
        <v>-473.06369999999998</v>
      </c>
      <c r="K3647">
        <v>1.125785</v>
      </c>
      <c r="L3647">
        <v>215.14830000000001</v>
      </c>
      <c r="M3647">
        <v>0.96833409999999998</v>
      </c>
      <c r="N3647">
        <v>-1.40146E-2</v>
      </c>
      <c r="O3647">
        <v>-0.24926419999999999</v>
      </c>
      <c r="P3647">
        <v>0.98137969999999997</v>
      </c>
      <c r="Q3647">
        <v>0.16391549999999999</v>
      </c>
      <c r="R3647">
        <v>-0.1001281</v>
      </c>
      <c r="S3647">
        <v>3.036743</v>
      </c>
      <c r="T3647">
        <v>-4.6546579999999997E-2</v>
      </c>
      <c r="U3647">
        <v>-0.27093509999999998</v>
      </c>
      <c r="V3647">
        <v>-0.14935199999999901</v>
      </c>
      <c r="W3647">
        <v>0.1761644</v>
      </c>
      <c r="X3647">
        <v>0.97296459999999996</v>
      </c>
      <c r="Y3647">
        <v>-0.16220609999999999</v>
      </c>
      <c r="Z3647">
        <v>2.6271469999999998E-3</v>
      </c>
      <c r="AA3647">
        <v>0.9867534</v>
      </c>
      <c r="AB3647">
        <v>20</v>
      </c>
      <c r="AC3647">
        <v>68.031999999999897</v>
      </c>
      <c r="AD3647">
        <v>-1.0457839600000001</v>
      </c>
      <c r="AE3647">
        <v>-6.0437000000000003</v>
      </c>
      <c r="AF3647">
        <v>-11.1041088319078</v>
      </c>
      <c r="AG3647">
        <v>-1.0457839600000001</v>
      </c>
      <c r="AH3647">
        <v>67.375006801732795</v>
      </c>
      <c r="AI3647">
        <v>90.877429550006696</v>
      </c>
      <c r="AJ3647">
        <v>99.3588152134799</v>
      </c>
      <c r="AK3647">
        <v>68.291920741588399</v>
      </c>
      <c r="AL3647">
        <v>79.853574037617506</v>
      </c>
      <c r="AM3647">
        <v>98.726897932491497</v>
      </c>
      <c r="AN3647">
        <v>1.0000000142922501</v>
      </c>
    </row>
    <row r="3648" spans="1:40" x14ac:dyDescent="0.25">
      <c r="A3648" t="str">
        <f>"20190303170325092"</f>
        <v>20190303170325092</v>
      </c>
      <c r="B3648" t="str">
        <f>"1551603805078961"</f>
        <v>1551603805078961</v>
      </c>
      <c r="C3648" t="s">
        <v>40</v>
      </c>
      <c r="D3648">
        <v>4.601483</v>
      </c>
      <c r="E3648">
        <v>0.49831880000000001</v>
      </c>
      <c r="F3648" t="s">
        <v>62</v>
      </c>
      <c r="G3648">
        <v>-399.33089999999999</v>
      </c>
      <c r="H3648">
        <v>8.0000189999999999E-2</v>
      </c>
      <c r="I3648">
        <v>208.74199999999999</v>
      </c>
      <c r="J3648">
        <v>-472.86470000000003</v>
      </c>
      <c r="K3648">
        <v>1.1257239999999999</v>
      </c>
      <c r="L3648">
        <v>215.1061</v>
      </c>
      <c r="M3648">
        <v>0.97013990000000005</v>
      </c>
      <c r="N3648">
        <v>-1.4000230000000001E-2</v>
      </c>
      <c r="O3648">
        <v>-0.2421422</v>
      </c>
      <c r="P3648">
        <v>0.98197279999999998</v>
      </c>
      <c r="Q3648">
        <v>0.16354270000000001</v>
      </c>
      <c r="R3648">
        <v>-9.4782660000000005E-2</v>
      </c>
      <c r="S3648">
        <v>3.0371700000000001</v>
      </c>
      <c r="T3648">
        <v>-4.3077589999999999E-2</v>
      </c>
      <c r="U3648">
        <v>-0.2638855</v>
      </c>
      <c r="V3648">
        <v>-0.1474809</v>
      </c>
      <c r="W3648">
        <v>0.1758227</v>
      </c>
      <c r="X3648">
        <v>0.9733117</v>
      </c>
      <c r="Y3648">
        <v>-0.15724340000000001</v>
      </c>
      <c r="Z3648">
        <v>2.1905169999999999E-3</v>
      </c>
      <c r="AA3648">
        <v>0.98755749999999998</v>
      </c>
      <c r="AB3648">
        <v>20</v>
      </c>
      <c r="AC3648">
        <v>73.533799999999999</v>
      </c>
      <c r="AD3648">
        <v>-1.0457238099999999</v>
      </c>
      <c r="AE3648">
        <v>-6.3640999999999703</v>
      </c>
      <c r="AF3648">
        <v>-11.630372654616901</v>
      </c>
      <c r="AG3648">
        <v>-1.0457238099999999</v>
      </c>
      <c r="AH3648">
        <v>72.871596146530706</v>
      </c>
      <c r="AI3648">
        <v>90.811877078285605</v>
      </c>
      <c r="AJ3648">
        <v>99.067979814200399</v>
      </c>
      <c r="AK3648">
        <v>73.801277978874694</v>
      </c>
      <c r="AL3648">
        <v>79.873461794681106</v>
      </c>
      <c r="AM3648">
        <v>98.616190857399204</v>
      </c>
      <c r="AN3648">
        <v>0.99999995152849297</v>
      </c>
    </row>
    <row r="3649" spans="1:40" x14ac:dyDescent="0.25">
      <c r="A3649" t="str">
        <f>"20190303170325114"</f>
        <v>20190303170325114</v>
      </c>
      <c r="B3649" t="str">
        <f>"1551603805099457"</f>
        <v>1551603805099457</v>
      </c>
      <c r="C3649" t="s">
        <v>40</v>
      </c>
      <c r="D3649">
        <v>4.6040700000000001</v>
      </c>
      <c r="E3649">
        <v>0.49930190000000002</v>
      </c>
      <c r="F3649" t="s">
        <v>63</v>
      </c>
      <c r="G3649">
        <v>-402.17700000000002</v>
      </c>
      <c r="H3649">
        <v>8.0001459999999996E-2</v>
      </c>
      <c r="I3649">
        <v>209.1593</v>
      </c>
      <c r="J3649">
        <v>-472.68119999999999</v>
      </c>
      <c r="K3649">
        <v>1.125656</v>
      </c>
      <c r="L3649">
        <v>215.0684</v>
      </c>
      <c r="M3649">
        <v>0.97173549999999997</v>
      </c>
      <c r="N3649">
        <v>-1.398634E-2</v>
      </c>
      <c r="O3649">
        <v>-0.2356579</v>
      </c>
      <c r="P3649">
        <v>0.9825528</v>
      </c>
      <c r="Q3649">
        <v>0.16263359999999999</v>
      </c>
      <c r="R3649">
        <v>-9.0224299999999993E-2</v>
      </c>
      <c r="S3649">
        <v>3.0378720000000001</v>
      </c>
      <c r="T3649">
        <v>-4.494095E-2</v>
      </c>
      <c r="U3649">
        <v>-0.25556950000000001</v>
      </c>
      <c r="V3649">
        <v>-0.1454908</v>
      </c>
      <c r="W3649">
        <v>0.17494860000000001</v>
      </c>
      <c r="X3649">
        <v>0.97376870000000004</v>
      </c>
      <c r="Y3649">
        <v>-0.15334909999999999</v>
      </c>
      <c r="Z3649">
        <v>2.3311009999999999E-3</v>
      </c>
      <c r="AA3649">
        <v>0.98816930000000003</v>
      </c>
      <c r="AB3649">
        <v>20</v>
      </c>
      <c r="AC3649">
        <v>70.504199999999997</v>
      </c>
      <c r="AD3649">
        <v>-1.0456545399999999</v>
      </c>
      <c r="AE3649">
        <v>-5.9090999999999898</v>
      </c>
      <c r="AF3649">
        <v>-10.871477665018899</v>
      </c>
      <c r="AG3649">
        <v>-1.0456545399999999</v>
      </c>
      <c r="AH3649">
        <v>69.895526203516795</v>
      </c>
      <c r="AI3649">
        <v>90.846913550943299</v>
      </c>
      <c r="AJ3649">
        <v>98.840886335933504</v>
      </c>
      <c r="AK3649">
        <v>70.743671118373001</v>
      </c>
      <c r="AL3649">
        <v>79.924333378864404</v>
      </c>
      <c r="AM3649">
        <v>98.497703173151095</v>
      </c>
      <c r="AN3649">
        <v>1.00000003331314</v>
      </c>
    </row>
    <row r="3650" spans="1:40" x14ac:dyDescent="0.25">
      <c r="A3650" t="str">
        <f>"20190303170325135"</f>
        <v>20190303170325135</v>
      </c>
      <c r="B3650" t="str">
        <f>"1551603805128737"</f>
        <v>1551603805128737</v>
      </c>
      <c r="C3650" t="s">
        <v>40</v>
      </c>
      <c r="D3650">
        <v>4.6061769999999997</v>
      </c>
      <c r="E3650">
        <v>0.50019910000000001</v>
      </c>
      <c r="F3650" t="s">
        <v>63</v>
      </c>
      <c r="G3650">
        <v>-405.84789999999998</v>
      </c>
      <c r="H3650">
        <v>7.3785240000000002E-2</v>
      </c>
      <c r="I3650">
        <v>209.59200000000001</v>
      </c>
      <c r="J3650">
        <v>-472.49279999999999</v>
      </c>
      <c r="K3650">
        <v>1.1255839999999999</v>
      </c>
      <c r="L3650">
        <v>215.0309</v>
      </c>
      <c r="M3650">
        <v>0.97330289999999997</v>
      </c>
      <c r="N3650">
        <v>-1.397145E-2</v>
      </c>
      <c r="O3650">
        <v>-0.22909950000000001</v>
      </c>
      <c r="P3650">
        <v>0.98298140000000001</v>
      </c>
      <c r="Q3650">
        <v>0.16184799999999999</v>
      </c>
      <c r="R3650">
        <v>-8.690908E-2</v>
      </c>
      <c r="S3650">
        <v>3.0383300000000002</v>
      </c>
      <c r="T3650">
        <v>-4.7819500000000001E-2</v>
      </c>
      <c r="U3650">
        <v>-0.2489624</v>
      </c>
      <c r="V3650">
        <v>-0.1421907</v>
      </c>
      <c r="W3650">
        <v>0.17421239999999999</v>
      </c>
      <c r="X3650">
        <v>0.97438789999999997</v>
      </c>
      <c r="Y3650">
        <v>-0.1488276</v>
      </c>
      <c r="Z3650">
        <v>2.552843E-3</v>
      </c>
      <c r="AA3650">
        <v>0.98885979999999996</v>
      </c>
      <c r="AB3650">
        <v>20</v>
      </c>
      <c r="AC3650">
        <v>66.644900000000007</v>
      </c>
      <c r="AD3650">
        <v>-1.0517987599999901</v>
      </c>
      <c r="AE3650">
        <v>-5.4388999999999896</v>
      </c>
      <c r="AF3650">
        <v>-9.9731205854509195</v>
      </c>
      <c r="AG3650">
        <v>-1.0517987599999901</v>
      </c>
      <c r="AH3650">
        <v>66.101811281144407</v>
      </c>
      <c r="AI3650">
        <v>90.901402014128195</v>
      </c>
      <c r="AJ3650">
        <v>98.579798235815502</v>
      </c>
      <c r="AK3650">
        <v>66.858199717697403</v>
      </c>
      <c r="AL3650">
        <v>79.967171748156602</v>
      </c>
      <c r="AM3650">
        <v>98.302468758762899</v>
      </c>
      <c r="AN3650">
        <v>0.99999996757332899</v>
      </c>
    </row>
    <row r="3651" spans="1:40" x14ac:dyDescent="0.25">
      <c r="A3651" t="str">
        <f>"20190303170325157"</f>
        <v>20190303170325157</v>
      </c>
      <c r="B3651" t="str">
        <f>"1551603805149071"</f>
        <v>1551603805149071</v>
      </c>
      <c r="C3651" t="s">
        <v>40</v>
      </c>
      <c r="D3651">
        <v>4.4174249999999997</v>
      </c>
      <c r="E3651">
        <v>0.51376739999999999</v>
      </c>
      <c r="F3651" t="s">
        <v>63</v>
      </c>
      <c r="G3651">
        <v>-405.08300000000003</v>
      </c>
      <c r="H3651">
        <v>1.3450279999999901E-3</v>
      </c>
      <c r="I3651">
        <v>209.6163</v>
      </c>
      <c r="J3651">
        <v>-472.298</v>
      </c>
      <c r="K3651">
        <v>1.1254980000000001</v>
      </c>
      <c r="L3651">
        <v>214.99340000000001</v>
      </c>
      <c r="M3651">
        <v>0.97484669999999896</v>
      </c>
      <c r="N3651">
        <v>-1.3955459999999999E-2</v>
      </c>
      <c r="O3651">
        <v>-0.22243930000000001</v>
      </c>
      <c r="P3651">
        <v>0.98321219999999998</v>
      </c>
      <c r="Q3651">
        <v>0.16212399999999999</v>
      </c>
      <c r="R3651">
        <v>-8.3724419999999994E-2</v>
      </c>
      <c r="S3651">
        <v>3.0386959999999998</v>
      </c>
      <c r="T3651">
        <v>-5.067837E-2</v>
      </c>
      <c r="U3651">
        <v>-0.24407960000000001</v>
      </c>
      <c r="V3651">
        <v>-0.13863230000000001</v>
      </c>
      <c r="W3651">
        <v>0.17453920000000001</v>
      </c>
      <c r="X3651">
        <v>0.97484210000000004</v>
      </c>
      <c r="Y3651">
        <v>-0.14365039999999901</v>
      </c>
      <c r="Z3651">
        <v>2.7458500000000002E-3</v>
      </c>
      <c r="AA3651">
        <v>0.98962470000000002</v>
      </c>
      <c r="AB3651">
        <v>20</v>
      </c>
      <c r="AC3651">
        <v>67.214999999999904</v>
      </c>
      <c r="AD3651">
        <v>-1.1241529720000001</v>
      </c>
      <c r="AE3651">
        <v>-5.3771000000000102</v>
      </c>
      <c r="AF3651">
        <v>-9.7076564325599399</v>
      </c>
      <c r="AG3651">
        <v>-1.1241529720000001</v>
      </c>
      <c r="AH3651">
        <v>66.708353671076097</v>
      </c>
      <c r="AI3651">
        <v>90.955381916616602</v>
      </c>
      <c r="AJ3651">
        <v>98.279781358197098</v>
      </c>
      <c r="AK3651">
        <v>67.420373499576897</v>
      </c>
      <c r="AL3651">
        <v>79.948156313205104</v>
      </c>
      <c r="AM3651">
        <v>98.093762368917496</v>
      </c>
      <c r="AN3651">
        <v>0.99999998343616903</v>
      </c>
    </row>
    <row r="3652" spans="1:40" x14ac:dyDescent="0.25">
      <c r="A3652" t="str">
        <f>"20190303170325180"</f>
        <v>20190303170325180</v>
      </c>
      <c r="B3652" t="str">
        <f>"1551603805169567"</f>
        <v>1551603805169567</v>
      </c>
      <c r="C3652" t="s">
        <v>40</v>
      </c>
      <c r="D3652">
        <v>4.5165199999999999</v>
      </c>
      <c r="E3652">
        <v>0.51415</v>
      </c>
      <c r="F3652" t="s">
        <v>63</v>
      </c>
      <c r="G3652">
        <v>-412.791</v>
      </c>
      <c r="H3652" s="1">
        <v>3.6060369999999998E-6</v>
      </c>
      <c r="I3652">
        <v>208.29220000000001</v>
      </c>
      <c r="J3652">
        <v>-472.1071</v>
      </c>
      <c r="K3652">
        <v>1.1254219999999999</v>
      </c>
      <c r="L3652">
        <v>214.9579</v>
      </c>
      <c r="M3652">
        <v>0.97629319999999997</v>
      </c>
      <c r="N3652">
        <v>-1.3940040000000001E-2</v>
      </c>
      <c r="O3652">
        <v>-0.21600330000000001</v>
      </c>
      <c r="P3652">
        <v>0.98338789999999998</v>
      </c>
      <c r="Q3652">
        <v>0.16282949999999999</v>
      </c>
      <c r="R3652">
        <v>-8.0218070000000002E-2</v>
      </c>
      <c r="S3652">
        <v>3.0316160000000001</v>
      </c>
      <c r="T3652">
        <v>-5.733895E-2</v>
      </c>
      <c r="U3652">
        <v>-0.34140009999999998</v>
      </c>
      <c r="V3652">
        <v>-0.1356185</v>
      </c>
      <c r="W3652">
        <v>0.17528479999999999</v>
      </c>
      <c r="X3652">
        <v>0.9751322</v>
      </c>
      <c r="Y3652">
        <v>-0.1053693</v>
      </c>
      <c r="Z3652">
        <v>2.7368829999999999E-3</v>
      </c>
      <c r="AA3652">
        <v>0.99442940000000002</v>
      </c>
      <c r="AB3652">
        <v>20</v>
      </c>
      <c r="AC3652">
        <v>59.316099999999999</v>
      </c>
      <c r="AD3652">
        <v>-1.125418393963</v>
      </c>
      <c r="AE3652">
        <v>-6.6656999999999798</v>
      </c>
      <c r="AF3652">
        <v>-6.3031671843579904</v>
      </c>
      <c r="AG3652">
        <v>-1.125418393963</v>
      </c>
      <c r="AH3652">
        <v>59.334387804670797</v>
      </c>
      <c r="AI3652">
        <v>91.080542575216896</v>
      </c>
      <c r="AJ3652">
        <v>96.0638610946542</v>
      </c>
      <c r="AK3652">
        <v>59.678857724243599</v>
      </c>
      <c r="AL3652">
        <v>79.904767596599896</v>
      </c>
      <c r="AM3652">
        <v>97.917738680037004</v>
      </c>
      <c r="AN3652">
        <v>0.99999997306506405</v>
      </c>
    </row>
    <row r="3653" spans="1:40" x14ac:dyDescent="0.25">
      <c r="A3653" t="str">
        <f>"20190303170325202"</f>
        <v>20190303170325202</v>
      </c>
      <c r="B3653" t="str">
        <f>"1551603805189087"</f>
        <v>1551603805189087</v>
      </c>
      <c r="C3653" t="s">
        <v>40</v>
      </c>
      <c r="D3653">
        <v>4.4888570000000003</v>
      </c>
      <c r="E3653">
        <v>0.51445699999999905</v>
      </c>
      <c r="F3653" t="s">
        <v>63</v>
      </c>
      <c r="G3653">
        <v>-410.5564</v>
      </c>
      <c r="H3653" s="1">
        <v>3.152796E-6</v>
      </c>
      <c r="I3653">
        <v>208.1636</v>
      </c>
      <c r="J3653">
        <v>-471.9144</v>
      </c>
      <c r="K3653">
        <v>1.125359</v>
      </c>
      <c r="L3653">
        <v>214.92320000000001</v>
      </c>
      <c r="M3653">
        <v>0.97768489999999997</v>
      </c>
      <c r="N3653">
        <v>-1.3924280000000001E-2</v>
      </c>
      <c r="O3653">
        <v>-0.2096152</v>
      </c>
      <c r="P3653">
        <v>0.98364779999999996</v>
      </c>
      <c r="Q3653">
        <v>0.16317119999999999</v>
      </c>
      <c r="R3653">
        <v>-7.6238500000000001E-2</v>
      </c>
      <c r="S3653">
        <v>3.0325319999999998</v>
      </c>
      <c r="T3653">
        <v>-5.544806E-2</v>
      </c>
      <c r="U3653">
        <v>-0.33474730000000003</v>
      </c>
      <c r="V3653">
        <v>-0.13314279999999901</v>
      </c>
      <c r="W3653">
        <v>0.17565839999999999</v>
      </c>
      <c r="X3653">
        <v>0.97540610000000005</v>
      </c>
      <c r="Y3653">
        <v>-0.10105790000000001</v>
      </c>
      <c r="Z3653">
        <v>2.4803920000000001E-3</v>
      </c>
      <c r="AA3653">
        <v>0.99487749999999997</v>
      </c>
      <c r="AB3653">
        <v>20</v>
      </c>
      <c r="AC3653">
        <v>61.357999999999997</v>
      </c>
      <c r="AD3653">
        <v>-1.1253558472039999</v>
      </c>
      <c r="AE3653">
        <v>-6.7595999999999998</v>
      </c>
      <c r="AF3653">
        <v>-6.2513386331173502</v>
      </c>
      <c r="AG3653">
        <v>-1.1253558472039999</v>
      </c>
      <c r="AH3653">
        <v>61.391249637275102</v>
      </c>
      <c r="AI3653">
        <v>91.044763293058693</v>
      </c>
      <c r="AJ3653">
        <v>95.814265139642103</v>
      </c>
      <c r="AK3653">
        <v>61.718969470617097</v>
      </c>
      <c r="AL3653">
        <v>79.883024499574503</v>
      </c>
      <c r="AM3653">
        <v>97.7728286578607</v>
      </c>
      <c r="AN3653">
        <v>0.99999996929980395</v>
      </c>
    </row>
    <row r="3654" spans="1:40" x14ac:dyDescent="0.25">
      <c r="A3654" t="str">
        <f>"20190303170325224"</f>
        <v>20190303170325224</v>
      </c>
      <c r="B3654" t="str">
        <f>"1551603805219344"</f>
        <v>1551603805219344</v>
      </c>
      <c r="C3654" t="s">
        <v>40</v>
      </c>
      <c r="D3654">
        <v>4.4866390000000003</v>
      </c>
      <c r="E3654">
        <v>0.52054659999999997</v>
      </c>
      <c r="F3654" t="s">
        <v>63</v>
      </c>
      <c r="G3654">
        <v>-409.35070000000002</v>
      </c>
      <c r="H3654">
        <v>4.2286659999999997E-2</v>
      </c>
      <c r="I3654">
        <v>208.22720000000001</v>
      </c>
      <c r="J3654">
        <v>-471.72309999999999</v>
      </c>
      <c r="K3654">
        <v>1.1252960000000001</v>
      </c>
      <c r="L3654">
        <v>214.89</v>
      </c>
      <c r="M3654">
        <v>0.97899820000000004</v>
      </c>
      <c r="N3654">
        <v>-1.3904049999999999E-2</v>
      </c>
      <c r="O3654">
        <v>-0.2033942</v>
      </c>
      <c r="P3654">
        <v>0.98383949999999998</v>
      </c>
      <c r="Q3654">
        <v>0.16347310000000001</v>
      </c>
      <c r="R3654">
        <v>-7.3051569999999996E-2</v>
      </c>
      <c r="S3654">
        <v>3.0334469999999998</v>
      </c>
      <c r="T3654">
        <v>-5.2513600000000001E-2</v>
      </c>
      <c r="U3654">
        <v>-0.32466129999999999</v>
      </c>
      <c r="V3654">
        <v>-0.1300538</v>
      </c>
      <c r="W3654">
        <v>0.17599409999999999</v>
      </c>
      <c r="X3654">
        <v>0.97576229999999997</v>
      </c>
      <c r="Y3654">
        <v>-9.8037200000000005E-2</v>
      </c>
      <c r="Z3654">
        <v>2.1698109999999998E-3</v>
      </c>
      <c r="AA3654">
        <v>0.99518039999999997</v>
      </c>
      <c r="AB3654">
        <v>20</v>
      </c>
      <c r="AC3654">
        <v>62.372399999999899</v>
      </c>
      <c r="AD3654">
        <v>-1.0830093399999901</v>
      </c>
      <c r="AE3654">
        <v>-6.6627999999999696</v>
      </c>
      <c r="AF3654">
        <v>-6.1620741661610197</v>
      </c>
      <c r="AG3654">
        <v>-1.0830093399999901</v>
      </c>
      <c r="AH3654">
        <v>62.4050739732034</v>
      </c>
      <c r="AI3654">
        <v>90.989429334618194</v>
      </c>
      <c r="AJ3654">
        <v>95.639285625184897</v>
      </c>
      <c r="AK3654">
        <v>62.717918690441103</v>
      </c>
      <c r="AL3654">
        <v>79.863486131562297</v>
      </c>
      <c r="AM3654">
        <v>97.591883301787306</v>
      </c>
      <c r="AN3654">
        <v>0.99999999011526897</v>
      </c>
    </row>
    <row r="3655" spans="1:40" x14ac:dyDescent="0.25">
      <c r="A3655" t="str">
        <f>"20190303170325247"</f>
        <v>20190303170325247</v>
      </c>
      <c r="B3655" t="str">
        <f>"1551603805238863"</f>
        <v>1551603805238863</v>
      </c>
      <c r="C3655" t="s">
        <v>40</v>
      </c>
      <c r="D3655">
        <v>4.3350030000000004</v>
      </c>
      <c r="E3655">
        <v>0.51990379999999903</v>
      </c>
      <c r="F3655" t="s">
        <v>63</v>
      </c>
      <c r="G3655">
        <v>-401.1189</v>
      </c>
      <c r="H3655">
        <v>8.0001859999999994E-2</v>
      </c>
      <c r="I3655">
        <v>206.43819999999999</v>
      </c>
      <c r="J3655">
        <v>-471.53120000000001</v>
      </c>
      <c r="K3655">
        <v>1.12521</v>
      </c>
      <c r="L3655">
        <v>214.85769999999999</v>
      </c>
      <c r="M3655">
        <v>0.98024750000000005</v>
      </c>
      <c r="N3655">
        <v>-1.3875490000000001E-2</v>
      </c>
      <c r="O3655">
        <v>-0.19728760000000001</v>
      </c>
      <c r="P3655">
        <v>0.9839232</v>
      </c>
      <c r="Q3655">
        <v>0.16405439999999999</v>
      </c>
      <c r="R3655">
        <v>-7.0579219999999998E-2</v>
      </c>
      <c r="S3655">
        <v>3.029785</v>
      </c>
      <c r="T3655">
        <v>-4.4855949999999999E-2</v>
      </c>
      <c r="U3655">
        <v>-0.36268620000000001</v>
      </c>
      <c r="V3655">
        <v>-0.126364</v>
      </c>
      <c r="W3655">
        <v>0.17660799999999999</v>
      </c>
      <c r="X3655">
        <v>0.97613609999999995</v>
      </c>
      <c r="Y3655">
        <v>-7.9369499999999996E-2</v>
      </c>
      <c r="Z3655">
        <v>1.2759239999999999E-3</v>
      </c>
      <c r="AA3655">
        <v>0.99684450000000002</v>
      </c>
      <c r="AB3655">
        <v>20</v>
      </c>
      <c r="AC3655">
        <v>70.412300000000002</v>
      </c>
      <c r="AD3655">
        <v>-1.04520814</v>
      </c>
      <c r="AE3655">
        <v>-8.4194999999999993</v>
      </c>
      <c r="AF3655">
        <v>-5.6375977288462398</v>
      </c>
      <c r="AG3655">
        <v>-1.04520814</v>
      </c>
      <c r="AH3655">
        <v>70.6739927770669</v>
      </c>
      <c r="AI3655">
        <v>90.844611471413003</v>
      </c>
      <c r="AJ3655">
        <v>94.560773082502607</v>
      </c>
      <c r="AK3655">
        <v>70.906193123457996</v>
      </c>
      <c r="AL3655">
        <v>79.8277522824051</v>
      </c>
      <c r="AM3655">
        <v>97.3761046728781</v>
      </c>
      <c r="AN3655">
        <v>0.99999996594160401</v>
      </c>
    </row>
    <row r="3656" spans="1:40" x14ac:dyDescent="0.25">
      <c r="A3656" t="str">
        <f>"20190303170325268"</f>
        <v>20190303170325268</v>
      </c>
      <c r="B3656" t="str">
        <f>"1551603805258980"</f>
        <v>1551603805258980</v>
      </c>
      <c r="C3656" t="s">
        <v>40</v>
      </c>
      <c r="D3656">
        <v>4.3065540000000002</v>
      </c>
      <c r="E3656">
        <v>0.50020469999999995</v>
      </c>
      <c r="F3656" t="s">
        <v>63</v>
      </c>
      <c r="G3656">
        <v>-408.5772</v>
      </c>
      <c r="H3656">
        <v>8.0001310000000006E-2</v>
      </c>
      <c r="I3656">
        <v>207.6163</v>
      </c>
      <c r="J3656">
        <v>-471.33710000000002</v>
      </c>
      <c r="K3656">
        <v>1.1251100000000001</v>
      </c>
      <c r="L3656">
        <v>214.8261</v>
      </c>
      <c r="M3656">
        <v>0.9814408</v>
      </c>
      <c r="N3656">
        <v>-1.3839209999999999E-2</v>
      </c>
      <c r="O3656">
        <v>-0.19126499999999999</v>
      </c>
      <c r="P3656">
        <v>0.98390979999999995</v>
      </c>
      <c r="Q3656">
        <v>0.16550379999999901</v>
      </c>
      <c r="R3656">
        <v>-6.7304749999999997E-2</v>
      </c>
      <c r="S3656">
        <v>3.032349</v>
      </c>
      <c r="T3656">
        <v>-5.0345300000000003E-2</v>
      </c>
      <c r="U3656">
        <v>-0.34880070000000002</v>
      </c>
      <c r="V3656">
        <v>-0.1235324</v>
      </c>
      <c r="W3656">
        <v>0.17807590000000001</v>
      </c>
      <c r="X3656">
        <v>0.97623190000000004</v>
      </c>
      <c r="Y3656">
        <v>-7.784729E-2</v>
      </c>
      <c r="Z3656">
        <v>1.6681389999999999E-3</v>
      </c>
      <c r="AA3656">
        <v>0.99696390000000001</v>
      </c>
      <c r="AB3656">
        <v>20</v>
      </c>
      <c r="AC3656">
        <v>62.759900000000002</v>
      </c>
      <c r="AD3656">
        <v>-1.04510869</v>
      </c>
      <c r="AE3656">
        <v>-7.2098000000000004</v>
      </c>
      <c r="AF3656">
        <v>-4.9269042190155004</v>
      </c>
      <c r="AG3656">
        <v>-1.04510869</v>
      </c>
      <c r="AH3656">
        <v>62.962911868961001</v>
      </c>
      <c r="AI3656">
        <v>90.948056163588504</v>
      </c>
      <c r="AJ3656">
        <v>94.474328496490202</v>
      </c>
      <c r="AK3656">
        <v>63.164031761563599</v>
      </c>
      <c r="AL3656">
        <v>79.742293576060504</v>
      </c>
      <c r="AM3656">
        <v>97.211878738052306</v>
      </c>
      <c r="AN3656">
        <v>1.0000000012940899</v>
      </c>
    </row>
    <row r="3657" spans="1:40" x14ac:dyDescent="0.25">
      <c r="A3657" t="str">
        <f>"20190303170325293"</f>
        <v>20190303170325293</v>
      </c>
      <c r="B3657" t="str">
        <f>"1551603805279476"</f>
        <v>1551603805279476</v>
      </c>
      <c r="C3657" t="s">
        <v>40</v>
      </c>
      <c r="D3657">
        <v>4.3764019999999997</v>
      </c>
      <c r="E3657">
        <v>0.48273310000000003</v>
      </c>
      <c r="F3657" t="s">
        <v>62</v>
      </c>
      <c r="G3657">
        <v>-364.94450000000001</v>
      </c>
      <c r="H3657">
        <v>8.0000009999999996E-2</v>
      </c>
      <c r="I3657">
        <v>208.42060000000001</v>
      </c>
      <c r="J3657">
        <v>-471.12810000000002</v>
      </c>
      <c r="K3657">
        <v>1.124976</v>
      </c>
      <c r="L3657">
        <v>214.79320000000001</v>
      </c>
      <c r="M3657">
        <v>0.98264879999999999</v>
      </c>
      <c r="N3657">
        <v>-1.3786140000000001E-2</v>
      </c>
      <c r="O3657">
        <v>-0.18496319999999999</v>
      </c>
      <c r="P3657">
        <v>0.98404290000000005</v>
      </c>
      <c r="Q3657">
        <v>0.16676170000000001</v>
      </c>
      <c r="R3657">
        <v>-6.2051740000000001E-2</v>
      </c>
      <c r="S3657">
        <v>3.041534</v>
      </c>
      <c r="T3657">
        <v>-2.9877419999999998E-2</v>
      </c>
      <c r="U3657">
        <v>-0.1831207</v>
      </c>
      <c r="V3657">
        <v>-0.122391</v>
      </c>
      <c r="W3657">
        <v>0.17932719999999999</v>
      </c>
      <c r="X3657">
        <v>0.97614659999999998</v>
      </c>
      <c r="Y3657">
        <v>-0.12556980000000001</v>
      </c>
      <c r="Z3657">
        <v>7.2500910000000002E-4</v>
      </c>
      <c r="AA3657">
        <v>0.99208450000000004</v>
      </c>
      <c r="AB3657">
        <v>20</v>
      </c>
      <c r="AC3657">
        <v>106.1836</v>
      </c>
      <c r="AD3657">
        <v>-1.04497599</v>
      </c>
      <c r="AE3657">
        <v>-6.3726000000000003</v>
      </c>
      <c r="AF3657">
        <v>-13.378010458778199</v>
      </c>
      <c r="AG3657">
        <v>-1.04497599</v>
      </c>
      <c r="AH3657">
        <v>105.51972394930699</v>
      </c>
      <c r="AI3657">
        <v>90.562883763269198</v>
      </c>
      <c r="AJ3657">
        <v>97.225529207083994</v>
      </c>
      <c r="AK3657">
        <v>106.369522331318</v>
      </c>
      <c r="AL3657">
        <v>79.669426358095194</v>
      </c>
      <c r="AM3657">
        <v>97.146553290834305</v>
      </c>
      <c r="AN3657">
        <v>0.99999999311619903</v>
      </c>
    </row>
    <row r="3658" spans="1:40" x14ac:dyDescent="0.25">
      <c r="A3658" t="str">
        <f>"20190303170325315"</f>
        <v>20190303170325315</v>
      </c>
      <c r="B3658" t="str">
        <f>"1551603805308756"</f>
        <v>1551603805308756</v>
      </c>
      <c r="C3658" t="s">
        <v>40</v>
      </c>
      <c r="D3658">
        <v>4.3703469999999998</v>
      </c>
      <c r="E3658">
        <v>0.466978</v>
      </c>
      <c r="F3658" t="s">
        <v>62</v>
      </c>
      <c r="G3658">
        <v>-250.79140000000001</v>
      </c>
      <c r="H3658" s="1">
        <v>-1.03397E-6</v>
      </c>
      <c r="I3658">
        <v>212.74809999999999</v>
      </c>
      <c r="J3658">
        <v>-470.94200000000001</v>
      </c>
      <c r="K3658">
        <v>1.1248419999999999</v>
      </c>
      <c r="L3658">
        <v>214.76490000000001</v>
      </c>
      <c r="M3658">
        <v>0.98365469999999999</v>
      </c>
      <c r="N3658">
        <v>-1.3717470000000001E-2</v>
      </c>
      <c r="O3658">
        <v>-0.1795418</v>
      </c>
      <c r="P3658">
        <v>0.98440119999999998</v>
      </c>
      <c r="Q3658">
        <v>0.16609670000000001</v>
      </c>
      <c r="R3658">
        <v>-5.8021589999999998E-2</v>
      </c>
      <c r="S3658">
        <v>3.0495299999999999</v>
      </c>
      <c r="T3658">
        <v>-1.557004E-2</v>
      </c>
      <c r="U3658">
        <v>-2.8305049999999998E-2</v>
      </c>
      <c r="V3658">
        <v>-0.12096079999999999</v>
      </c>
      <c r="W3658">
        <v>0.1786469</v>
      </c>
      <c r="X3658">
        <v>0.97644949999999997</v>
      </c>
      <c r="Y3658">
        <v>-0.17040559999999999</v>
      </c>
      <c r="Z3658" s="1">
        <v>4.3052069999999999E-5</v>
      </c>
      <c r="AA3658">
        <v>0.98537399999999997</v>
      </c>
      <c r="AB3658">
        <v>20</v>
      </c>
      <c r="AC3658">
        <v>220.1506</v>
      </c>
      <c r="AD3658">
        <v>-1.12484303397</v>
      </c>
      <c r="AE3658">
        <v>-2.0168000000000101</v>
      </c>
      <c r="AF3658">
        <v>-37.544952857094401</v>
      </c>
      <c r="AG3658">
        <v>-1.12484303397</v>
      </c>
      <c r="AH3658">
        <v>216.92902118651401</v>
      </c>
      <c r="AI3658">
        <v>90.292741313145498</v>
      </c>
      <c r="AJ3658">
        <v>99.819184046556799</v>
      </c>
      <c r="AK3658">
        <v>220.15696443635699</v>
      </c>
      <c r="AL3658">
        <v>79.709043776563107</v>
      </c>
      <c r="AM3658">
        <v>97.061721694496299</v>
      </c>
      <c r="AN3658">
        <v>0.999999928033247</v>
      </c>
    </row>
    <row r="3659" spans="1:40" x14ac:dyDescent="0.25">
      <c r="A3659" t="str">
        <f>"20190303170325337"</f>
        <v>20190303170325337</v>
      </c>
      <c r="B3659" t="str">
        <f>"1551603805329252"</f>
        <v>1551603805329252</v>
      </c>
      <c r="C3659" t="s">
        <v>40</v>
      </c>
      <c r="D3659">
        <v>4.3210569999999997</v>
      </c>
      <c r="E3659">
        <v>0.46214769999999999</v>
      </c>
      <c r="F3659" t="s">
        <v>55</v>
      </c>
      <c r="G3659">
        <v>-157.25</v>
      </c>
      <c r="H3659">
        <v>1.268167</v>
      </c>
      <c r="I3659">
        <v>226.03</v>
      </c>
      <c r="J3659">
        <v>-470.75240000000002</v>
      </c>
      <c r="K3659">
        <v>1.1246849999999999</v>
      </c>
      <c r="L3659">
        <v>214.73689999999999</v>
      </c>
      <c r="M3659">
        <v>0.98461010000000004</v>
      </c>
      <c r="N3659">
        <v>-1.361855E-2</v>
      </c>
      <c r="O3659">
        <v>-0.17423449999999999</v>
      </c>
      <c r="P3659">
        <v>0.98479559999999999</v>
      </c>
      <c r="Q3659">
        <v>0.1647101</v>
      </c>
      <c r="R3659">
        <v>-5.5210719999999998E-2</v>
      </c>
      <c r="S3659">
        <v>3.0537719999999999</v>
      </c>
      <c r="T3659">
        <v>1.3958219999999999E-3</v>
      </c>
      <c r="U3659">
        <v>0.109664899999999</v>
      </c>
      <c r="V3659">
        <v>-0.1184458</v>
      </c>
      <c r="W3659">
        <v>0.17722929999999901</v>
      </c>
      <c r="X3659">
        <v>0.977016</v>
      </c>
      <c r="Y3659">
        <v>-0.20946100000000001</v>
      </c>
      <c r="Z3659">
        <v>-1.0798750000000001E-3</v>
      </c>
      <c r="AA3659">
        <v>0.97781640000000003</v>
      </c>
      <c r="AB3659">
        <v>20</v>
      </c>
      <c r="AC3659">
        <v>313.50240000000002</v>
      </c>
      <c r="AD3659">
        <v>0.143482</v>
      </c>
      <c r="AE3659">
        <v>11.293100000000001</v>
      </c>
      <c r="AF3659">
        <v>-65.748312014361403</v>
      </c>
      <c r="AG3659">
        <v>0.143482</v>
      </c>
      <c r="AH3659">
        <v>306.73833670814003</v>
      </c>
      <c r="AI3659">
        <v>89.973794185969695</v>
      </c>
      <c r="AJ3659">
        <v>102.098091028364</v>
      </c>
      <c r="AK3659">
        <v>313.70570336909498</v>
      </c>
      <c r="AL3659">
        <v>79.7915836911573</v>
      </c>
      <c r="AM3659">
        <v>96.912360939437505</v>
      </c>
      <c r="AN3659">
        <v>0.99999994828606298</v>
      </c>
    </row>
    <row r="3660" spans="1:40" x14ac:dyDescent="0.25">
      <c r="A3660" t="str">
        <f>"20190303170325359"</f>
        <v>20190303170325359</v>
      </c>
      <c r="B3660" t="str">
        <f>"1551603805349344"</f>
        <v>1551603805349344</v>
      </c>
      <c r="C3660" t="s">
        <v>40</v>
      </c>
      <c r="D3660">
        <v>4.3097940000000001</v>
      </c>
      <c r="E3660">
        <v>0.45919159999999998</v>
      </c>
      <c r="F3660" t="s">
        <v>55</v>
      </c>
      <c r="G3660">
        <v>-157.25</v>
      </c>
      <c r="H3660">
        <v>1.5955509999999999</v>
      </c>
      <c r="I3660">
        <v>230.9606</v>
      </c>
      <c r="J3660">
        <v>-470.5573</v>
      </c>
      <c r="K3660">
        <v>1.1245050000000001</v>
      </c>
      <c r="L3660">
        <v>214.7088</v>
      </c>
      <c r="M3660">
        <v>0.9855199</v>
      </c>
      <c r="N3660">
        <v>-1.3481989999999999E-2</v>
      </c>
      <c r="O3660">
        <v>-0.16902249999999999</v>
      </c>
      <c r="P3660">
        <v>0.98480919999999905</v>
      </c>
      <c r="Q3660">
        <v>0.16573579999999999</v>
      </c>
      <c r="R3660">
        <v>-5.179243E-2</v>
      </c>
      <c r="S3660">
        <v>3.0544129999999998</v>
      </c>
      <c r="T3660">
        <v>4.588127E-3</v>
      </c>
      <c r="U3660">
        <v>0.15806579999999901</v>
      </c>
      <c r="V3660">
        <v>-0.11657480000000001</v>
      </c>
      <c r="W3660">
        <v>0.17817629999999901</v>
      </c>
      <c r="X3660">
        <v>0.97706879999999996</v>
      </c>
      <c r="Y3660">
        <v>-0.21973219999999999</v>
      </c>
      <c r="Z3660">
        <v>-1.2188329999999999E-3</v>
      </c>
      <c r="AA3660">
        <v>0.97555950000000002</v>
      </c>
      <c r="AB3660">
        <v>20</v>
      </c>
      <c r="AC3660">
        <v>313.3073</v>
      </c>
      <c r="AD3660">
        <v>0.47104600000000002</v>
      </c>
      <c r="AE3660">
        <v>16.251799999999999</v>
      </c>
      <c r="AF3660">
        <v>-68.978574556170699</v>
      </c>
      <c r="AG3660">
        <v>0.47104600000000002</v>
      </c>
      <c r="AH3660">
        <v>306.05080905228903</v>
      </c>
      <c r="AI3660">
        <v>89.913973430964603</v>
      </c>
      <c r="AJ3660">
        <v>102.701255311449</v>
      </c>
      <c r="AK3660">
        <v>313.728167931565</v>
      </c>
      <c r="AL3660">
        <v>79.736447149063395</v>
      </c>
      <c r="AM3660">
        <v>96.803839072491598</v>
      </c>
      <c r="AN3660">
        <v>0.99999995890508397</v>
      </c>
    </row>
    <row r="3661" spans="1:40" x14ac:dyDescent="0.25">
      <c r="A3661" t="str">
        <f>"20190303170325380"</f>
        <v>20190303170325380</v>
      </c>
      <c r="B3661" t="str">
        <f>"1551603805368863"</f>
        <v>1551603805368863</v>
      </c>
      <c r="C3661" t="s">
        <v>40</v>
      </c>
      <c r="D3661">
        <v>4.2586009999999996</v>
      </c>
      <c r="E3661">
        <v>0.45773550000000002</v>
      </c>
      <c r="F3661" t="s">
        <v>55</v>
      </c>
      <c r="G3661">
        <v>-157.25</v>
      </c>
      <c r="H3661">
        <v>2.5860249999999998</v>
      </c>
      <c r="I3661">
        <v>234.45779999999999</v>
      </c>
      <c r="J3661">
        <v>-470.37209999999999</v>
      </c>
      <c r="K3661">
        <v>1.1243609999999999</v>
      </c>
      <c r="L3661">
        <v>214.68289999999999</v>
      </c>
      <c r="M3661">
        <v>0.98632620000000004</v>
      </c>
      <c r="N3661">
        <v>-1.3339149999999999E-2</v>
      </c>
      <c r="O3661">
        <v>-0.16426370000000001</v>
      </c>
      <c r="P3661">
        <v>0.98458190000000001</v>
      </c>
      <c r="Q3661">
        <v>0.168032399999999</v>
      </c>
      <c r="R3661">
        <v>-4.86153E-2</v>
      </c>
      <c r="S3661">
        <v>3.0539860000000001</v>
      </c>
      <c r="T3661">
        <v>1.424682E-2</v>
      </c>
      <c r="U3661">
        <v>0.19250490000000001</v>
      </c>
      <c r="V3661">
        <v>-0.1149009</v>
      </c>
      <c r="W3661">
        <v>0.18037639999999999</v>
      </c>
      <c r="X3661">
        <v>0.97686340000000005</v>
      </c>
      <c r="Y3661">
        <v>-0.22598550000000001</v>
      </c>
      <c r="Z3661">
        <v>-1.9753869999999999E-3</v>
      </c>
      <c r="AA3661">
        <v>0.97412869999999996</v>
      </c>
      <c r="AB3661">
        <v>20</v>
      </c>
      <c r="AC3661">
        <v>313.12209999999999</v>
      </c>
      <c r="AD3661">
        <v>1.4616639999999901</v>
      </c>
      <c r="AE3661">
        <v>19.774899999999999</v>
      </c>
      <c r="AF3661">
        <v>-70.943873602477595</v>
      </c>
      <c r="AG3661">
        <v>1.4616639999999901</v>
      </c>
      <c r="AH3661">
        <v>305.61281091031299</v>
      </c>
      <c r="AI3661">
        <v>89.733069381079602</v>
      </c>
      <c r="AJ3661">
        <v>103.06896967249899</v>
      </c>
      <c r="AK3661">
        <v>313.74250565690897</v>
      </c>
      <c r="AL3661">
        <v>79.608315012831994</v>
      </c>
      <c r="AM3661">
        <v>96.708436442964199</v>
      </c>
      <c r="AN3661">
        <v>0.99999998237866405</v>
      </c>
    </row>
    <row r="3662" spans="1:40" x14ac:dyDescent="0.25">
      <c r="A3662" t="str">
        <f>"20190303170325402"</f>
        <v>20190303170325402</v>
      </c>
      <c r="B3662" t="str">
        <f>"1551603805389359"</f>
        <v>1551603805389359</v>
      </c>
      <c r="C3662" t="s">
        <v>40</v>
      </c>
      <c r="D3662">
        <v>4.246734</v>
      </c>
      <c r="E3662">
        <v>0.45675139999999997</v>
      </c>
      <c r="F3662" t="s">
        <v>88</v>
      </c>
      <c r="G3662">
        <v>-256.82780000000002</v>
      </c>
      <c r="H3662">
        <v>2.8021760000000002</v>
      </c>
      <c r="I3662">
        <v>229.6069</v>
      </c>
      <c r="J3662">
        <v>-470.18400000000003</v>
      </c>
      <c r="K3662">
        <v>1.1242179999999999</v>
      </c>
      <c r="L3662">
        <v>214.6574</v>
      </c>
      <c r="M3662">
        <v>0.98708910000000005</v>
      </c>
      <c r="N3662">
        <v>-1.318219E-2</v>
      </c>
      <c r="O3662">
        <v>-0.15962870000000001</v>
      </c>
      <c r="P3662">
        <v>0.98465259999999999</v>
      </c>
      <c r="Q3662">
        <v>0.16859270000000001</v>
      </c>
      <c r="R3662">
        <v>-4.5121729999999999E-2</v>
      </c>
      <c r="S3662">
        <v>3.0534059999999998</v>
      </c>
      <c r="T3662">
        <v>2.399099E-2</v>
      </c>
      <c r="U3662">
        <v>0.21339420000000001</v>
      </c>
      <c r="V3662">
        <v>-0.11371199999999999</v>
      </c>
      <c r="W3662">
        <v>0.18082239999999999</v>
      </c>
      <c r="X3662">
        <v>0.97692009999999996</v>
      </c>
      <c r="Y3662">
        <v>-0.2280469</v>
      </c>
      <c r="Z3662">
        <v>-2.7457689999999999E-3</v>
      </c>
      <c r="AA3662">
        <v>0.97364629999999996</v>
      </c>
      <c r="AB3662">
        <v>20</v>
      </c>
      <c r="AC3662">
        <v>213.3562</v>
      </c>
      <c r="AD3662">
        <v>1.6779579999999901</v>
      </c>
      <c r="AE3662">
        <v>14.9495</v>
      </c>
      <c r="AF3662">
        <v>-48.815498962958699</v>
      </c>
      <c r="AG3662">
        <v>1.6779579999999901</v>
      </c>
      <c r="AH3662">
        <v>208.22048920178599</v>
      </c>
      <c r="AI3662">
        <v>89.550476107200595</v>
      </c>
      <c r="AJ3662">
        <v>103.19421594446401</v>
      </c>
      <c r="AK3662">
        <v>213.87272057343699</v>
      </c>
      <c r="AL3662">
        <v>79.582334281822398</v>
      </c>
      <c r="AM3662">
        <v>96.639264101747301</v>
      </c>
      <c r="AN3662">
        <v>1.00000002053488</v>
      </c>
    </row>
    <row r="3663" spans="1:40" x14ac:dyDescent="0.25">
      <c r="A3663" t="str">
        <f>"20190303170325424"</f>
        <v>20190303170325424</v>
      </c>
      <c r="B3663" t="str">
        <f>"1551603805418640"</f>
        <v>1551603805418640</v>
      </c>
      <c r="C3663" t="s">
        <v>40</v>
      </c>
      <c r="D3663">
        <v>4.2498279999999999</v>
      </c>
      <c r="E3663">
        <v>0.45613239999999999</v>
      </c>
      <c r="F3663" t="s">
        <v>88</v>
      </c>
      <c r="G3663">
        <v>-274.99669999999998</v>
      </c>
      <c r="H3663">
        <v>2.8745080000000001</v>
      </c>
      <c r="I3663">
        <v>229.48779999999999</v>
      </c>
      <c r="J3663">
        <v>-469.98790000000002</v>
      </c>
      <c r="K3663">
        <v>1.124069</v>
      </c>
      <c r="L3663">
        <v>214.63130000000001</v>
      </c>
      <c r="M3663">
        <v>0.98782610000000004</v>
      </c>
      <c r="N3663">
        <v>-1.2991040000000001E-2</v>
      </c>
      <c r="O3663">
        <v>-0.15501980000000001</v>
      </c>
      <c r="P3663">
        <v>0.98484269999999996</v>
      </c>
      <c r="Q3663">
        <v>0.16791059999999999</v>
      </c>
      <c r="R3663">
        <v>-4.3488789999999999E-2</v>
      </c>
      <c r="S3663">
        <v>3.0527340000000001</v>
      </c>
      <c r="T3663">
        <v>2.737498E-2</v>
      </c>
      <c r="U3663">
        <v>0.23194890000000001</v>
      </c>
      <c r="V3663">
        <v>-0.1107264</v>
      </c>
      <c r="W3663">
        <v>0.18000820000000001</v>
      </c>
      <c r="X3663">
        <v>0.97741330000000004</v>
      </c>
      <c r="Y3663">
        <v>-0.22940060000000001</v>
      </c>
      <c r="Z3663">
        <v>-2.934819E-3</v>
      </c>
      <c r="AA3663">
        <v>0.97332770000000002</v>
      </c>
      <c r="AB3663">
        <v>20</v>
      </c>
      <c r="AC3663">
        <v>194.99119999999999</v>
      </c>
      <c r="AD3663">
        <v>1.7504389999999901</v>
      </c>
      <c r="AE3663">
        <v>14.856499999999899</v>
      </c>
      <c r="AF3663">
        <v>-44.903320169024298</v>
      </c>
      <c r="AG3663">
        <v>1.7504389999999901</v>
      </c>
      <c r="AH3663">
        <v>190.315128590744</v>
      </c>
      <c r="AI3663">
        <v>89.487113935939107</v>
      </c>
      <c r="AJ3663">
        <v>103.27568503415399</v>
      </c>
      <c r="AK3663">
        <v>195.548511549963</v>
      </c>
      <c r="AL3663">
        <v>79.629762812543603</v>
      </c>
      <c r="AM3663">
        <v>96.463205680565906</v>
      </c>
      <c r="AN3663">
        <v>1.0000000233705399</v>
      </c>
    </row>
    <row r="3664" spans="1:40" x14ac:dyDescent="0.25">
      <c r="A3664" t="str">
        <f>"20190303170325447"</f>
        <v>20190303170325447</v>
      </c>
      <c r="B3664" t="str">
        <f>"1551603805439137"</f>
        <v>1551603805439137</v>
      </c>
      <c r="C3664" t="s">
        <v>40</v>
      </c>
      <c r="D3664">
        <v>4.2224389999999996</v>
      </c>
      <c r="E3664">
        <v>0.45585690000000001</v>
      </c>
      <c r="F3664" t="s">
        <v>88</v>
      </c>
      <c r="G3664">
        <v>-274.99669999999998</v>
      </c>
      <c r="H3664">
        <v>2.8520810000000001</v>
      </c>
      <c r="I3664">
        <v>230.13829999999999</v>
      </c>
      <c r="J3664">
        <v>-469.78859999999997</v>
      </c>
      <c r="K3664">
        <v>1.123904</v>
      </c>
      <c r="L3664">
        <v>214.60560000000001</v>
      </c>
      <c r="M3664">
        <v>0.98851440000000002</v>
      </c>
      <c r="N3664">
        <v>-1.276243E-2</v>
      </c>
      <c r="O3664">
        <v>-0.1505879</v>
      </c>
      <c r="P3664">
        <v>0.98500569999999998</v>
      </c>
      <c r="Q3664">
        <v>0.16725179999999901</v>
      </c>
      <c r="R3664">
        <v>-4.2322810000000002E-2</v>
      </c>
      <c r="S3664">
        <v>3.0522770000000001</v>
      </c>
      <c r="T3664">
        <v>2.704966E-2</v>
      </c>
      <c r="U3664">
        <v>0.2427368</v>
      </c>
      <c r="V3664">
        <v>-0.1074481</v>
      </c>
      <c r="W3664">
        <v>0.1791836</v>
      </c>
      <c r="X3664">
        <v>0.97793050000000004</v>
      </c>
      <c r="Y3664">
        <v>-0.22846730000000001</v>
      </c>
      <c r="Z3664">
        <v>-2.802531E-3</v>
      </c>
      <c r="AA3664">
        <v>0.97354759999999996</v>
      </c>
      <c r="AB3664">
        <v>20</v>
      </c>
      <c r="AC3664">
        <v>194.7919</v>
      </c>
      <c r="AD3664">
        <v>1.7281770000000001</v>
      </c>
      <c r="AE3664">
        <v>15.532699999999901</v>
      </c>
      <c r="AF3664">
        <v>-44.687738363630501</v>
      </c>
      <c r="AG3664">
        <v>1.7281770000000001</v>
      </c>
      <c r="AH3664">
        <v>190.216147117064</v>
      </c>
      <c r="AI3664">
        <v>89.493258759186901</v>
      </c>
      <c r="AJ3664">
        <v>103.220824239286</v>
      </c>
      <c r="AK3664">
        <v>195.40256697356901</v>
      </c>
      <c r="AL3664">
        <v>79.677789145360705</v>
      </c>
      <c r="AM3664">
        <v>96.270105472624195</v>
      </c>
      <c r="AN3664">
        <v>0.99999995976640899</v>
      </c>
    </row>
    <row r="3665" spans="1:40" x14ac:dyDescent="0.25">
      <c r="A3665" t="str">
        <f>"20190303170325470"</f>
        <v>20190303170325470</v>
      </c>
      <c r="B3665" t="str">
        <f>"1551603805459279"</f>
        <v>1551603805459279</v>
      </c>
      <c r="C3665" t="s">
        <v>40</v>
      </c>
      <c r="D3665">
        <v>4.2078499999999996</v>
      </c>
      <c r="E3665">
        <v>0.4553045</v>
      </c>
      <c r="F3665" t="s">
        <v>88</v>
      </c>
      <c r="G3665">
        <v>-274.99669999999998</v>
      </c>
      <c r="H3665">
        <v>2.74356</v>
      </c>
      <c r="I3665">
        <v>230.5359</v>
      </c>
      <c r="J3665">
        <v>-469.59449999999998</v>
      </c>
      <c r="K3665">
        <v>1.1237250000000001</v>
      </c>
      <c r="L3665">
        <v>214.58099999999999</v>
      </c>
      <c r="M3665">
        <v>0.98912860000000002</v>
      </c>
      <c r="N3665">
        <v>-1.250951E-2</v>
      </c>
      <c r="O3665">
        <v>-0.1465195</v>
      </c>
      <c r="P3665">
        <v>0.98493549999999996</v>
      </c>
      <c r="Q3665">
        <v>0.167764</v>
      </c>
      <c r="R3665">
        <v>-4.1923450000000001E-2</v>
      </c>
      <c r="S3665">
        <v>3.0520939999999999</v>
      </c>
      <c r="T3665">
        <v>2.537787E-2</v>
      </c>
      <c r="U3665">
        <v>0.2496033</v>
      </c>
      <c r="V3665">
        <v>-0.103739</v>
      </c>
      <c r="W3665">
        <v>0.17950679999999999</v>
      </c>
      <c r="X3665">
        <v>0.97827169999999997</v>
      </c>
      <c r="Y3665">
        <v>-0.22664490000000001</v>
      </c>
      <c r="Z3665">
        <v>-2.5674880000000001E-3</v>
      </c>
      <c r="AA3665">
        <v>0.97397400000000001</v>
      </c>
      <c r="AB3665">
        <v>20</v>
      </c>
      <c r="AC3665">
        <v>194.59780000000001</v>
      </c>
      <c r="AD3665">
        <v>1.6198349999999999</v>
      </c>
      <c r="AE3665">
        <v>15.9549</v>
      </c>
      <c r="AF3665">
        <v>-44.2942413311942</v>
      </c>
      <c r="AG3665">
        <v>1.6198349999999999</v>
      </c>
      <c r="AH3665">
        <v>190.146353093123</v>
      </c>
      <c r="AI3665">
        <v>89.524642243995601</v>
      </c>
      <c r="AJ3665">
        <v>103.113090701272</v>
      </c>
      <c r="AK3665">
        <v>195.24405054994099</v>
      </c>
      <c r="AL3665">
        <v>79.658966323590903</v>
      </c>
      <c r="AM3665">
        <v>96.053202128054906</v>
      </c>
      <c r="AN3665">
        <v>0.99999999519406402</v>
      </c>
    </row>
    <row r="3666" spans="1:40" x14ac:dyDescent="0.25">
      <c r="A3666" t="str">
        <f>"20190303170325506"</f>
        <v>20190303170325506</v>
      </c>
      <c r="B3666" t="str">
        <f>"1551603805499294"</f>
        <v>1551603805499294</v>
      </c>
      <c r="C3666" t="s">
        <v>40</v>
      </c>
      <c r="D3666">
        <v>4.1490179999999999</v>
      </c>
      <c r="E3666">
        <v>0.43201410000000001</v>
      </c>
      <c r="F3666" t="s">
        <v>88</v>
      </c>
      <c r="G3666">
        <v>-274.99669999999998</v>
      </c>
      <c r="H3666">
        <v>2.9088799999999999</v>
      </c>
      <c r="I3666">
        <v>230.86070000000001</v>
      </c>
      <c r="J3666">
        <v>-469.27530000000002</v>
      </c>
      <c r="K3666">
        <v>1.123402</v>
      </c>
      <c r="L3666">
        <v>214.54169999999999</v>
      </c>
      <c r="M3666">
        <v>0.9900215</v>
      </c>
      <c r="N3666">
        <v>-1.206174E-2</v>
      </c>
      <c r="O3666">
        <v>-0.14039879999999999</v>
      </c>
      <c r="P3666">
        <v>0.98495750000000004</v>
      </c>
      <c r="Q3666">
        <v>0.1686185</v>
      </c>
      <c r="R3666">
        <v>-3.7770959999999999E-2</v>
      </c>
      <c r="S3666">
        <v>3.0520019999999999</v>
      </c>
      <c r="T3666">
        <v>2.799809E-2</v>
      </c>
      <c r="U3666">
        <v>0.25532529999999998</v>
      </c>
      <c r="V3666">
        <v>-0.10167470000000001</v>
      </c>
      <c r="W3666">
        <v>0.1799975</v>
      </c>
      <c r="X3666">
        <v>0.97839830000000005</v>
      </c>
      <c r="Y3666">
        <v>-0.22243299999999999</v>
      </c>
      <c r="Z3666">
        <v>-2.651221E-3</v>
      </c>
      <c r="AA3666">
        <v>0.97494440000000004</v>
      </c>
      <c r="AB3666">
        <v>20</v>
      </c>
      <c r="AC3666">
        <v>194.27860000000001</v>
      </c>
      <c r="AD3666">
        <v>1.7854779999999999</v>
      </c>
      <c r="AE3666">
        <v>16.318999999999999</v>
      </c>
      <c r="AF3666">
        <v>-43.432162900234097</v>
      </c>
      <c r="AG3666">
        <v>1.7854779999999999</v>
      </c>
      <c r="AH3666">
        <v>190.046721475048</v>
      </c>
      <c r="AI3666">
        <v>89.475253301832694</v>
      </c>
      <c r="AJ3666">
        <v>102.87297081339101</v>
      </c>
      <c r="AK3666">
        <v>194.95460253427001</v>
      </c>
      <c r="AL3666">
        <v>79.630386221623098</v>
      </c>
      <c r="AM3666">
        <v>95.932855298000604</v>
      </c>
      <c r="AN3666">
        <v>1.00000003903461</v>
      </c>
    </row>
    <row r="3667" spans="1:40" x14ac:dyDescent="0.25">
      <c r="A3667" t="str">
        <f>"20190303170325531"</f>
        <v>20190303170325531</v>
      </c>
      <c r="B3667" t="str">
        <f>"1551603805518815"</f>
        <v>1551603805518815</v>
      </c>
      <c r="C3667" t="s">
        <v>40</v>
      </c>
      <c r="D3667">
        <v>4.1646919999999996</v>
      </c>
      <c r="E3667">
        <v>0.43240279999999998</v>
      </c>
      <c r="F3667" t="s">
        <v>88</v>
      </c>
      <c r="G3667">
        <v>-345.98750000000001</v>
      </c>
      <c r="H3667">
        <v>2.8364479999999999</v>
      </c>
      <c r="I3667">
        <v>232.81280000000001</v>
      </c>
      <c r="J3667">
        <v>-469.05</v>
      </c>
      <c r="K3667">
        <v>1.1232</v>
      </c>
      <c r="L3667">
        <v>214.5146</v>
      </c>
      <c r="M3667">
        <v>0.99057550000000005</v>
      </c>
      <c r="N3667">
        <v>-1.175142E-2</v>
      </c>
      <c r="O3667">
        <v>-0.13646340000000001</v>
      </c>
      <c r="P3667">
        <v>0.98488109999999995</v>
      </c>
      <c r="Q3667">
        <v>0.16899</v>
      </c>
      <c r="R3667">
        <v>-3.8101450000000002E-2</v>
      </c>
      <c r="S3667">
        <v>3.0559080000000001</v>
      </c>
      <c r="T3667">
        <v>4.2462109999999997E-2</v>
      </c>
      <c r="U3667">
        <v>0.45288089999999998</v>
      </c>
      <c r="V3667">
        <v>-9.7364779999999998E-2</v>
      </c>
      <c r="W3667">
        <v>0.18012829999999999</v>
      </c>
      <c r="X3667">
        <v>0.97881249999999997</v>
      </c>
      <c r="Y3667">
        <v>-0.28017649999999999</v>
      </c>
      <c r="Z3667">
        <v>-3.7613059999999999E-3</v>
      </c>
      <c r="AA3667">
        <v>0.95994109999999999</v>
      </c>
      <c r="AB3667">
        <v>20</v>
      </c>
      <c r="AC3667">
        <v>123.0625</v>
      </c>
      <c r="AD3667">
        <v>1.7132480000000001</v>
      </c>
      <c r="AE3667">
        <v>18.298200000000001</v>
      </c>
      <c r="AF3667">
        <v>-34.9150633339313</v>
      </c>
      <c r="AG3667">
        <v>1.7132480000000001</v>
      </c>
      <c r="AH3667">
        <v>119.39125853174799</v>
      </c>
      <c r="AI3667">
        <v>89.210915607873005</v>
      </c>
      <c r="AJ3667">
        <v>106.301156562241</v>
      </c>
      <c r="AK3667">
        <v>124.403655413</v>
      </c>
      <c r="AL3667">
        <v>79.6227670742919</v>
      </c>
      <c r="AM3667">
        <v>95.680658810307605</v>
      </c>
      <c r="AN3667">
        <v>1.00000000750079</v>
      </c>
    </row>
    <row r="3668" spans="1:40" x14ac:dyDescent="0.25">
      <c r="A3668" t="str">
        <f>"20190303170325547"</f>
        <v>20190303170325547</v>
      </c>
      <c r="B3668" t="str">
        <f>"1551603805539311"</f>
        <v>1551603805539311</v>
      </c>
      <c r="C3668" t="s">
        <v>40</v>
      </c>
      <c r="D3668">
        <v>4.1888019999999999</v>
      </c>
      <c r="E3668">
        <v>0.43293199999999998</v>
      </c>
      <c r="F3668" t="s">
        <v>88</v>
      </c>
      <c r="G3668">
        <v>-345.98750000000001</v>
      </c>
      <c r="H3668">
        <v>2.8100640000000001</v>
      </c>
      <c r="I3668">
        <v>232.64169999999999</v>
      </c>
      <c r="J3668">
        <v>-468.90469999999999</v>
      </c>
      <c r="K3668">
        <v>1.1230850000000001</v>
      </c>
      <c r="L3668">
        <v>214.4974</v>
      </c>
      <c r="M3668">
        <v>0.99089970000000005</v>
      </c>
      <c r="N3668">
        <v>-1.155716E-2</v>
      </c>
      <c r="O3668">
        <v>-0.13410610000000001</v>
      </c>
      <c r="P3668">
        <v>0.9849696</v>
      </c>
      <c r="Q3668">
        <v>0.1679417</v>
      </c>
      <c r="R3668">
        <v>-4.0381739999999999E-2</v>
      </c>
      <c r="S3668">
        <v>3.056305</v>
      </c>
      <c r="T3668">
        <v>4.1895149999999999E-2</v>
      </c>
      <c r="U3668">
        <v>0.45019530000000002</v>
      </c>
      <c r="V3668">
        <v>-9.2736910000000006E-2</v>
      </c>
      <c r="W3668">
        <v>0.17893629999999999</v>
      </c>
      <c r="X3668">
        <v>0.97948029999999997</v>
      </c>
      <c r="Y3668">
        <v>-0.2770492</v>
      </c>
      <c r="Z3668">
        <v>-3.6488710000000001E-3</v>
      </c>
      <c r="AA3668">
        <v>0.96084879999999995</v>
      </c>
      <c r="AB3668">
        <v>20</v>
      </c>
      <c r="AC3668">
        <v>122.917199999999</v>
      </c>
      <c r="AD3668">
        <v>1.686979</v>
      </c>
      <c r="AE3668">
        <v>18.144299999999902</v>
      </c>
      <c r="AF3668">
        <v>-34.459073228506803</v>
      </c>
      <c r="AG3668">
        <v>1.686979</v>
      </c>
      <c r="AH3668">
        <v>119.351312216363</v>
      </c>
      <c r="AI3668">
        <v>89.221977409889902</v>
      </c>
      <c r="AJ3668">
        <v>106.104469906937</v>
      </c>
      <c r="AK3668">
        <v>124.23771308939099</v>
      </c>
      <c r="AL3668">
        <v>79.6921915328615</v>
      </c>
      <c r="AM3668">
        <v>95.408624780567095</v>
      </c>
      <c r="AN3668">
        <v>0.99999999601106404</v>
      </c>
    </row>
    <row r="3669" spans="1:40" x14ac:dyDescent="0.25">
      <c r="A3669" t="str">
        <f>"20190303170325569"</f>
        <v>20190303170325569</v>
      </c>
      <c r="B3669" t="str">
        <f>"1551603805558831"</f>
        <v>1551603805558831</v>
      </c>
      <c r="C3669" t="s">
        <v>40</v>
      </c>
      <c r="D3669">
        <v>4.1655600000000002</v>
      </c>
      <c r="E3669">
        <v>0.43315569999999998</v>
      </c>
      <c r="F3669" t="s">
        <v>88</v>
      </c>
      <c r="G3669">
        <v>-345.21820000000002</v>
      </c>
      <c r="H3669">
        <v>2.6440739999999998</v>
      </c>
      <c r="I3669">
        <v>232.32089999999999</v>
      </c>
      <c r="J3669">
        <v>-468.70710000000003</v>
      </c>
      <c r="K3669">
        <v>1.12293</v>
      </c>
      <c r="L3669">
        <v>214.4743</v>
      </c>
      <c r="M3669">
        <v>0.99130359999999995</v>
      </c>
      <c r="N3669">
        <v>-1.1291300000000001E-2</v>
      </c>
      <c r="O3669">
        <v>-0.1311098</v>
      </c>
      <c r="P3669">
        <v>0.98499000000000003</v>
      </c>
      <c r="Q3669">
        <v>0.16779949999999999</v>
      </c>
      <c r="R3669">
        <v>-4.047444E-2</v>
      </c>
      <c r="S3669">
        <v>3.0574340000000002</v>
      </c>
      <c r="T3669">
        <v>3.7598850000000003E-2</v>
      </c>
      <c r="U3669">
        <v>0.44058229999999998</v>
      </c>
      <c r="V3669">
        <v>-8.9626750000000005E-2</v>
      </c>
      <c r="W3669">
        <v>0.1785737</v>
      </c>
      <c r="X3669">
        <v>0.97983589999999998</v>
      </c>
      <c r="Y3669">
        <v>-0.27113789999999999</v>
      </c>
      <c r="Z3669">
        <v>-3.1966059999999998E-3</v>
      </c>
      <c r="AA3669">
        <v>0.96253520000000004</v>
      </c>
      <c r="AB3669">
        <v>20</v>
      </c>
      <c r="AC3669">
        <v>123.4889</v>
      </c>
      <c r="AD3669">
        <v>1.5211440000000001</v>
      </c>
      <c r="AE3669">
        <v>17.846599999999899</v>
      </c>
      <c r="AF3669">
        <v>-33.879126712523401</v>
      </c>
      <c r="AG3669">
        <v>1.5211440000000001</v>
      </c>
      <c r="AH3669">
        <v>120.064930772324</v>
      </c>
      <c r="AI3669">
        <v>89.301414705198795</v>
      </c>
      <c r="AJ3669">
        <v>105.757653361233</v>
      </c>
      <c r="AK3669">
        <v>124.76256132043299</v>
      </c>
      <c r="AL3669">
        <v>79.713306659511403</v>
      </c>
      <c r="AM3669">
        <v>95.226368873353906</v>
      </c>
      <c r="AN3669">
        <v>0.99999995578803003</v>
      </c>
    </row>
    <row r="3670" spans="1:40" x14ac:dyDescent="0.25">
      <c r="A3670" t="str">
        <f>"20190303170325591"</f>
        <v>20190303170325591</v>
      </c>
      <c r="B3670" t="str">
        <f>"1551603805579327"</f>
        <v>1551603805579327</v>
      </c>
      <c r="C3670" t="s">
        <v>40</v>
      </c>
      <c r="D3670">
        <v>4.1918139999999999</v>
      </c>
      <c r="E3670">
        <v>0.43352560000000001</v>
      </c>
      <c r="F3670" t="s">
        <v>88</v>
      </c>
      <c r="G3670">
        <v>-345.21820000000002</v>
      </c>
      <c r="H3670">
        <v>2.6313770000000001</v>
      </c>
      <c r="I3670">
        <v>232.2201</v>
      </c>
      <c r="J3670">
        <v>-468.51459999999997</v>
      </c>
      <c r="K3670">
        <v>1.1227940000000001</v>
      </c>
      <c r="L3670">
        <v>214.4521</v>
      </c>
      <c r="M3670">
        <v>0.99165769999999998</v>
      </c>
      <c r="N3670">
        <v>-1.1032139999999999E-2</v>
      </c>
      <c r="O3670">
        <v>-0.12842709999999999</v>
      </c>
      <c r="P3670">
        <v>0.98472329999999997</v>
      </c>
      <c r="Q3670">
        <v>0.16900970000000001</v>
      </c>
      <c r="R3670">
        <v>-4.1905869999999998E-2</v>
      </c>
      <c r="S3670">
        <v>3.057404</v>
      </c>
      <c r="T3670">
        <v>3.7348149999999997E-2</v>
      </c>
      <c r="U3670">
        <v>0.43936160000000002</v>
      </c>
      <c r="V3670">
        <v>-8.5474430000000004E-2</v>
      </c>
      <c r="W3670">
        <v>0.17956639999999999</v>
      </c>
      <c r="X3670">
        <v>0.98002549999999999</v>
      </c>
      <c r="Y3670">
        <v>-0.26815800000000001</v>
      </c>
      <c r="Z3670">
        <v>-3.1129500000000002E-3</v>
      </c>
      <c r="AA3670">
        <v>0.9633699</v>
      </c>
      <c r="AB3670">
        <v>20</v>
      </c>
      <c r="AC3670">
        <v>123.296399999999</v>
      </c>
      <c r="AD3670">
        <v>1.508583</v>
      </c>
      <c r="AE3670">
        <v>17.768000000000001</v>
      </c>
      <c r="AF3670">
        <v>-33.451499421784902</v>
      </c>
      <c r="AG3670">
        <v>1.508583</v>
      </c>
      <c r="AH3670">
        <v>119.97562510434101</v>
      </c>
      <c r="AI3670">
        <v>89.306062172991403</v>
      </c>
      <c r="AJ3670">
        <v>105.57948719649799</v>
      </c>
      <c r="AK3670">
        <v>124.560945947801</v>
      </c>
      <c r="AL3670">
        <v>79.655494885306794</v>
      </c>
      <c r="AM3670">
        <v>94.984526353494601</v>
      </c>
      <c r="AN3670">
        <v>0.99999997542151697</v>
      </c>
    </row>
    <row r="3671" spans="1:40" x14ac:dyDescent="0.25">
      <c r="A3671" t="str">
        <f>"20190303170325614"</f>
        <v>20190303170325614</v>
      </c>
      <c r="B3671" t="str">
        <f>"1551603805608607"</f>
        <v>1551603805608607</v>
      </c>
      <c r="C3671" t="s">
        <v>40</v>
      </c>
      <c r="D3671">
        <v>4.1815670000000003</v>
      </c>
      <c r="E3671">
        <v>0.43394430000000001</v>
      </c>
      <c r="F3671" t="s">
        <v>88</v>
      </c>
      <c r="G3671">
        <v>-345.98750000000001</v>
      </c>
      <c r="H3671">
        <v>2.7293669999999999</v>
      </c>
      <c r="I3671">
        <v>231.76730000000001</v>
      </c>
      <c r="J3671">
        <v>-468.30739999999997</v>
      </c>
      <c r="K3671">
        <v>1.1226719999999999</v>
      </c>
      <c r="L3671">
        <v>214.42850000000001</v>
      </c>
      <c r="M3671">
        <v>0.99200299999999997</v>
      </c>
      <c r="N3671">
        <v>-1.075562E-2</v>
      </c>
      <c r="O3671">
        <v>-0.1257559</v>
      </c>
      <c r="P3671">
        <v>0.98439829999999995</v>
      </c>
      <c r="Q3671">
        <v>0.17014219999999999</v>
      </c>
      <c r="R3671">
        <v>-4.4852889999999999E-2</v>
      </c>
      <c r="S3671">
        <v>3.0580750000000001</v>
      </c>
      <c r="T3671">
        <v>4.0098670000000003E-2</v>
      </c>
      <c r="U3671">
        <v>0.43215940000000003</v>
      </c>
      <c r="V3671">
        <v>-7.9822920000000006E-2</v>
      </c>
      <c r="W3671">
        <v>0.1804684</v>
      </c>
      <c r="X3671">
        <v>0.9803364</v>
      </c>
      <c r="Y3671">
        <v>-0.26330310000000001</v>
      </c>
      <c r="Z3671">
        <v>-3.281249E-3</v>
      </c>
      <c r="AA3671">
        <v>0.9647076</v>
      </c>
      <c r="AB3671">
        <v>20</v>
      </c>
      <c r="AC3671">
        <v>122.319899999999</v>
      </c>
      <c r="AD3671">
        <v>1.606695</v>
      </c>
      <c r="AE3671">
        <v>17.3387999999999</v>
      </c>
      <c r="AF3671">
        <v>-32.578962327262502</v>
      </c>
      <c r="AG3671">
        <v>1.606695</v>
      </c>
      <c r="AH3671">
        <v>119.147981548307</v>
      </c>
      <c r="AI3671">
        <v>89.254773929326106</v>
      </c>
      <c r="AJ3671">
        <v>105.29273539230999</v>
      </c>
      <c r="AK3671">
        <v>123.532229649513</v>
      </c>
      <c r="AL3671">
        <v>79.602956033663304</v>
      </c>
      <c r="AM3671">
        <v>94.654982890495106</v>
      </c>
      <c r="AN3671">
        <v>0.99999999956042296</v>
      </c>
    </row>
    <row r="3672" spans="1:40" x14ac:dyDescent="0.25">
      <c r="A3672" t="str">
        <f>"20190303170325636"</f>
        <v>20190303170325636</v>
      </c>
      <c r="B3672" t="str">
        <f>"1551603805629104"</f>
        <v>1551603805629104</v>
      </c>
      <c r="C3672" t="s">
        <v>40</v>
      </c>
      <c r="D3672">
        <v>4.1748419999999999</v>
      </c>
      <c r="E3672">
        <v>0.434226</v>
      </c>
      <c r="F3672" t="s">
        <v>88</v>
      </c>
      <c r="G3672">
        <v>-346.19260000000003</v>
      </c>
      <c r="H3672">
        <v>2.8418139999999998</v>
      </c>
      <c r="I3672">
        <v>231.1935</v>
      </c>
      <c r="J3672">
        <v>-468.10579999999999</v>
      </c>
      <c r="K3672">
        <v>1.1225639999999999</v>
      </c>
      <c r="L3672">
        <v>214.4059</v>
      </c>
      <c r="M3672">
        <v>0.99230810000000003</v>
      </c>
      <c r="N3672">
        <v>-1.0488910000000001E-2</v>
      </c>
      <c r="O3672">
        <v>-0.1233481</v>
      </c>
      <c r="P3672">
        <v>0.98417180000000004</v>
      </c>
      <c r="Q3672">
        <v>0.170574799999999</v>
      </c>
      <c r="R3672">
        <v>-4.8065440000000001E-2</v>
      </c>
      <c r="S3672">
        <v>3.0592350000000001</v>
      </c>
      <c r="T3672">
        <v>4.3069360000000001E-2</v>
      </c>
      <c r="U3672">
        <v>0.41999819999999999</v>
      </c>
      <c r="V3672">
        <v>-7.4185870000000001E-2</v>
      </c>
      <c r="W3672">
        <v>0.18067469999999999</v>
      </c>
      <c r="X3672">
        <v>0.98074110000000003</v>
      </c>
      <c r="Y3672">
        <v>-0.25713979999999997</v>
      </c>
      <c r="Z3672">
        <v>-3.4627429999999999E-3</v>
      </c>
      <c r="AA3672">
        <v>0.966368</v>
      </c>
      <c r="AB3672">
        <v>20</v>
      </c>
      <c r="AC3672">
        <v>121.91319999999899</v>
      </c>
      <c r="AD3672">
        <v>1.7192499999999999</v>
      </c>
      <c r="AE3672">
        <v>16.787599999999902</v>
      </c>
      <c r="AF3672">
        <v>-31.691789225497999</v>
      </c>
      <c r="AG3672">
        <v>1.7192499999999999</v>
      </c>
      <c r="AH3672">
        <v>118.88806682252201</v>
      </c>
      <c r="AI3672">
        <v>89.199449911730198</v>
      </c>
      <c r="AJ3672">
        <v>104.926154941452</v>
      </c>
      <c r="AK3672">
        <v>123.05160607514399</v>
      </c>
      <c r="AL3672">
        <v>79.590938348411697</v>
      </c>
      <c r="AM3672">
        <v>94.3257675680658</v>
      </c>
      <c r="AN3672">
        <v>0.99999999787847804</v>
      </c>
    </row>
    <row r="3673" spans="1:40" x14ac:dyDescent="0.25">
      <c r="A3673" t="str">
        <f>"20190303170325659"</f>
        <v>20190303170325659</v>
      </c>
      <c r="B3673" t="str">
        <f>"1551603805648623"</f>
        <v>1551603805648623</v>
      </c>
      <c r="C3673" t="s">
        <v>40</v>
      </c>
      <c r="D3673">
        <v>4.1345029999999996</v>
      </c>
      <c r="E3673">
        <v>0.43428230000000001</v>
      </c>
      <c r="F3673" t="s">
        <v>88</v>
      </c>
      <c r="G3673">
        <v>-346.19260000000003</v>
      </c>
      <c r="H3673">
        <v>2.8789370000000001</v>
      </c>
      <c r="I3673">
        <v>230.6729</v>
      </c>
      <c r="J3673">
        <v>-467.90249999999997</v>
      </c>
      <c r="K3673">
        <v>1.1224670000000001</v>
      </c>
      <c r="L3673">
        <v>214.38339999999999</v>
      </c>
      <c r="M3673">
        <v>0.99259149999999996</v>
      </c>
      <c r="N3673">
        <v>-1.022992E-2</v>
      </c>
      <c r="O3673">
        <v>-0.1210687</v>
      </c>
      <c r="P3673">
        <v>0.98417109999999997</v>
      </c>
      <c r="Q3673">
        <v>0.1699098</v>
      </c>
      <c r="R3673">
        <v>-5.0380510000000003E-2</v>
      </c>
      <c r="S3673">
        <v>3.0605470000000001</v>
      </c>
      <c r="T3673">
        <v>4.4093729999999998E-2</v>
      </c>
      <c r="U3673">
        <v>0.40837099999999998</v>
      </c>
      <c r="V3673">
        <v>-6.9598649999999998E-2</v>
      </c>
      <c r="W3673">
        <v>0.179784</v>
      </c>
      <c r="X3673">
        <v>0.98124089999999997</v>
      </c>
      <c r="Y3673">
        <v>-0.25125360000000002</v>
      </c>
      <c r="Z3673">
        <v>-3.48051E-3</v>
      </c>
      <c r="AA3673">
        <v>0.96791499999999997</v>
      </c>
      <c r="AB3673">
        <v>20</v>
      </c>
      <c r="AC3673">
        <v>121.709899999999</v>
      </c>
      <c r="AD3673">
        <v>1.75647</v>
      </c>
      <c r="AE3673">
        <v>16.2895</v>
      </c>
      <c r="AF3673">
        <v>-30.899371019755801</v>
      </c>
      <c r="AG3673">
        <v>1.75647</v>
      </c>
      <c r="AH3673">
        <v>118.81796142987599</v>
      </c>
      <c r="AI3673">
        <v>89.180325556135102</v>
      </c>
      <c r="AJ3673">
        <v>104.57724289355301</v>
      </c>
      <c r="AK3673">
        <v>122.78258946051299</v>
      </c>
      <c r="AL3673">
        <v>79.642821130932404</v>
      </c>
      <c r="AM3673">
        <v>94.057150177933906</v>
      </c>
      <c r="AN3673">
        <v>0.99999998128531598</v>
      </c>
    </row>
    <row r="3674" spans="1:40" x14ac:dyDescent="0.25">
      <c r="A3674" t="str">
        <f>"20190303170325682"</f>
        <v>20190303170325682</v>
      </c>
      <c r="B3674" t="str">
        <f>"1551603805678879"</f>
        <v>1551603805678879</v>
      </c>
      <c r="C3674" t="s">
        <v>40</v>
      </c>
      <c r="D3674">
        <v>4.2512790000000003</v>
      </c>
      <c r="E3674">
        <v>0.4345367</v>
      </c>
      <c r="F3674" t="s">
        <v>88</v>
      </c>
      <c r="G3674">
        <v>-346.19260000000003</v>
      </c>
      <c r="H3674">
        <v>2.8536280000000001</v>
      </c>
      <c r="I3674">
        <v>230.36179999999999</v>
      </c>
      <c r="J3674">
        <v>-467.6927</v>
      </c>
      <c r="K3674">
        <v>1.122401</v>
      </c>
      <c r="L3674">
        <v>214.3605</v>
      </c>
      <c r="M3674">
        <v>0.99286490000000005</v>
      </c>
      <c r="N3674">
        <v>-9.9837050000000007E-3</v>
      </c>
      <c r="O3674">
        <v>-0.11882769999999999</v>
      </c>
      <c r="P3674">
        <v>0.98419060000000003</v>
      </c>
      <c r="Q3674">
        <v>0.16913230000000001</v>
      </c>
      <c r="R3674">
        <v>-5.2569989999999997E-2</v>
      </c>
      <c r="S3674">
        <v>3.06134</v>
      </c>
      <c r="T3674">
        <v>4.3544649999999997E-2</v>
      </c>
      <c r="U3674">
        <v>0.40190120000000001</v>
      </c>
      <c r="V3674">
        <v>-6.5186079999999993E-2</v>
      </c>
      <c r="W3674">
        <v>0.17878669999999999</v>
      </c>
      <c r="X3674">
        <v>0.98172610000000005</v>
      </c>
      <c r="Y3674">
        <v>-0.24702470000000001</v>
      </c>
      <c r="Z3674">
        <v>-3.375018E-3</v>
      </c>
      <c r="AA3674">
        <v>0.96900330000000001</v>
      </c>
      <c r="AB3674">
        <v>20</v>
      </c>
      <c r="AC3674">
        <v>121.50009999999899</v>
      </c>
      <c r="AD3674">
        <v>1.7312270000000001</v>
      </c>
      <c r="AE3674">
        <v>16.001299999999901</v>
      </c>
      <c r="AF3674">
        <v>-30.320160929957201</v>
      </c>
      <c r="AG3674">
        <v>1.7312270000000001</v>
      </c>
      <c r="AH3674">
        <v>118.713989247013</v>
      </c>
      <c r="AI3674">
        <v>89.190487062237395</v>
      </c>
      <c r="AJ3674">
        <v>104.327344329968</v>
      </c>
      <c r="AK3674">
        <v>122.537017054782</v>
      </c>
      <c r="AL3674">
        <v>79.700903741315599</v>
      </c>
      <c r="AM3674">
        <v>93.798832323643694</v>
      </c>
      <c r="AN3674">
        <v>1.0000000222719301</v>
      </c>
    </row>
    <row r="3675" spans="1:40" x14ac:dyDescent="0.25">
      <c r="A3675" t="str">
        <f>"20190303170325706"</f>
        <v>20190303170325706</v>
      </c>
      <c r="B3675" t="str">
        <f>"1551603805699375"</f>
        <v>1551603805699375</v>
      </c>
      <c r="C3675" t="s">
        <v>40</v>
      </c>
      <c r="D3675">
        <v>4.1402279999999996</v>
      </c>
      <c r="E3675">
        <v>0.45982889999999998</v>
      </c>
      <c r="F3675" t="s">
        <v>88</v>
      </c>
      <c r="G3675">
        <v>-346.19260000000003</v>
      </c>
      <c r="H3675">
        <v>2.7980960000000001</v>
      </c>
      <c r="I3675">
        <v>230.00829999999999</v>
      </c>
      <c r="J3675">
        <v>-467.48750000000001</v>
      </c>
      <c r="K3675">
        <v>1.1223510000000001</v>
      </c>
      <c r="L3675">
        <v>214.33850000000001</v>
      </c>
      <c r="M3675">
        <v>0.99311649999999996</v>
      </c>
      <c r="N3675">
        <v>-9.7593839999999994E-3</v>
      </c>
      <c r="O3675">
        <v>-0.1167247</v>
      </c>
      <c r="P3675">
        <v>0.98407339999999999</v>
      </c>
      <c r="Q3675">
        <v>0.16895789999999999</v>
      </c>
      <c r="R3675">
        <v>-5.5254739999999997E-2</v>
      </c>
      <c r="S3675">
        <v>3.0619809999999998</v>
      </c>
      <c r="T3675">
        <v>4.2231200000000003E-2</v>
      </c>
      <c r="U3675">
        <v>0.39434809999999998</v>
      </c>
      <c r="V3675">
        <v>-6.0412790000000001E-2</v>
      </c>
      <c r="W3675">
        <v>0.17840989999999901</v>
      </c>
      <c r="X3675">
        <v>0.98209990000000003</v>
      </c>
      <c r="Y3675">
        <v>-0.24259600000000001</v>
      </c>
      <c r="Z3675">
        <v>-3.2149629999999999E-3</v>
      </c>
      <c r="AA3675">
        <v>0.97012209999999999</v>
      </c>
      <c r="AB3675">
        <v>20</v>
      </c>
      <c r="AC3675">
        <v>121.294899999999</v>
      </c>
      <c r="AD3675">
        <v>1.67574499999999</v>
      </c>
      <c r="AE3675">
        <v>15.669799999999899</v>
      </c>
      <c r="AF3675">
        <v>-29.715880306308001</v>
      </c>
      <c r="AG3675">
        <v>1.67574499999999</v>
      </c>
      <c r="AH3675">
        <v>118.614279048532</v>
      </c>
      <c r="AI3675">
        <v>89.214858007311193</v>
      </c>
      <c r="AJ3675">
        <v>104.064568117872</v>
      </c>
      <c r="AK3675">
        <v>122.291409583367</v>
      </c>
      <c r="AL3675">
        <v>79.722845396549303</v>
      </c>
      <c r="AM3675">
        <v>93.520051118684506</v>
      </c>
      <c r="AN3675">
        <v>1.0000000055967999</v>
      </c>
    </row>
    <row r="3676" spans="1:40" x14ac:dyDescent="0.25">
      <c r="A3676" t="str">
        <f>"20190303170325727"</f>
        <v>20190303170325727</v>
      </c>
      <c r="B3676" t="str">
        <f>"1551603805718895"</f>
        <v>1551603805718895</v>
      </c>
      <c r="C3676" t="s">
        <v>40</v>
      </c>
      <c r="D3676">
        <v>4.2594269999999996</v>
      </c>
      <c r="E3676">
        <v>0.47541319999999998</v>
      </c>
      <c r="F3676" t="s">
        <v>55</v>
      </c>
      <c r="G3676">
        <v>-157.25</v>
      </c>
      <c r="H3676">
        <v>0.76825880000000002</v>
      </c>
      <c r="I3676">
        <v>233.33449999999999</v>
      </c>
      <c r="J3676">
        <v>-467.28280000000001</v>
      </c>
      <c r="K3676">
        <v>1.122323</v>
      </c>
      <c r="L3676">
        <v>214.3168</v>
      </c>
      <c r="M3676">
        <v>0.99335459999999998</v>
      </c>
      <c r="N3676">
        <v>-9.5392570000000006E-3</v>
      </c>
      <c r="O3676">
        <v>-0.1146995</v>
      </c>
      <c r="P3676">
        <v>0.98382749999999997</v>
      </c>
      <c r="Q3676">
        <v>0.16958509999999999</v>
      </c>
      <c r="R3676">
        <v>-5.7657220000000002E-2</v>
      </c>
      <c r="S3676">
        <v>3.0596920000000001</v>
      </c>
      <c r="T3676">
        <v>-3.4916399999999998E-3</v>
      </c>
      <c r="U3676">
        <v>0.1873474</v>
      </c>
      <c r="V3676">
        <v>-5.5988919999999998E-2</v>
      </c>
      <c r="W3676">
        <v>0.1788341</v>
      </c>
      <c r="X3676">
        <v>0.98228490000000002</v>
      </c>
      <c r="Y3676">
        <v>-0.1751982</v>
      </c>
      <c r="Z3676" s="1">
        <v>-2.702879E-5</v>
      </c>
      <c r="AA3676">
        <v>0.9845332</v>
      </c>
      <c r="AB3676">
        <v>21</v>
      </c>
      <c r="AC3676">
        <v>310.03280000000001</v>
      </c>
      <c r="AD3676">
        <v>-0.354064199999999</v>
      </c>
      <c r="AE3676">
        <v>19.017699999999898</v>
      </c>
      <c r="AF3676">
        <v>-54.454324731317101</v>
      </c>
      <c r="AG3676">
        <v>-0.354064199999999</v>
      </c>
      <c r="AH3676">
        <v>305.80465298088501</v>
      </c>
      <c r="AI3676">
        <v>90.065310326386296</v>
      </c>
      <c r="AJ3676">
        <v>100.096771052085</v>
      </c>
      <c r="AK3676">
        <v>310.61533224900597</v>
      </c>
      <c r="AL3676">
        <v>79.698143303402304</v>
      </c>
      <c r="AM3676">
        <v>93.262252681047499</v>
      </c>
      <c r="AN3676">
        <v>1.00000000962679</v>
      </c>
    </row>
    <row r="3677" spans="1:40" x14ac:dyDescent="0.25">
      <c r="A3677" t="str">
        <f>"20190303170325749"</f>
        <v>20190303170325749</v>
      </c>
      <c r="B3677" t="str">
        <f>"1551603805739391"</f>
        <v>1551603805739391</v>
      </c>
      <c r="C3677" t="s">
        <v>40</v>
      </c>
      <c r="D3677">
        <v>4.1848380000000001</v>
      </c>
      <c r="E3677">
        <v>0.4819387</v>
      </c>
      <c r="F3677" t="s">
        <v>63</v>
      </c>
      <c r="G3677">
        <v>-311.30329999999998</v>
      </c>
      <c r="H3677" s="1">
        <v>1.483606E-6</v>
      </c>
      <c r="I3677">
        <v>217.2183</v>
      </c>
      <c r="J3677">
        <v>-467.09089999999998</v>
      </c>
      <c r="K3677">
        <v>1.122304</v>
      </c>
      <c r="L3677">
        <v>214.29679999999999</v>
      </c>
      <c r="M3677">
        <v>0.99356730000000004</v>
      </c>
      <c r="N3677">
        <v>-9.3340769999999997E-3</v>
      </c>
      <c r="O3677">
        <v>-0.112858399999999</v>
      </c>
      <c r="P3677">
        <v>0.98367789999999999</v>
      </c>
      <c r="Q3677">
        <v>0.16944989999999999</v>
      </c>
      <c r="R3677">
        <v>-6.0540450000000003E-2</v>
      </c>
      <c r="S3677">
        <v>3.0563959999999999</v>
      </c>
      <c r="T3677">
        <v>-2.1991730000000001E-2</v>
      </c>
      <c r="U3677">
        <v>5.6854250000000002E-2</v>
      </c>
      <c r="V3677">
        <v>-5.1280279999999998E-2</v>
      </c>
      <c r="W3677">
        <v>0.17851129999999901</v>
      </c>
      <c r="X3677">
        <v>0.98260060000000005</v>
      </c>
      <c r="Y3677">
        <v>-0.1313154</v>
      </c>
      <c r="Z3677">
        <v>8.4142579999999998E-4</v>
      </c>
      <c r="AA3677">
        <v>0.99134029999999995</v>
      </c>
      <c r="AB3677">
        <v>21</v>
      </c>
      <c r="AC3677">
        <v>155.7876</v>
      </c>
      <c r="AD3677">
        <v>-1.1223025163939999</v>
      </c>
      <c r="AE3677">
        <v>2.9215</v>
      </c>
      <c r="AF3677">
        <v>-20.4844745646813</v>
      </c>
      <c r="AG3677">
        <v>-1.1223025163939999</v>
      </c>
      <c r="AH3677">
        <v>154.45445557823101</v>
      </c>
      <c r="AI3677">
        <v>90.412703687507502</v>
      </c>
      <c r="AJ3677">
        <v>97.554746709090097</v>
      </c>
      <c r="AK3677">
        <v>155.81094990114499</v>
      </c>
      <c r="AL3677">
        <v>79.716940191213695</v>
      </c>
      <c r="AM3677">
        <v>92.987460523988801</v>
      </c>
      <c r="AN3677">
        <v>0.99999994523246205</v>
      </c>
    </row>
    <row r="3678" spans="1:40" x14ac:dyDescent="0.25">
      <c r="A3678" t="str">
        <f>"20190303170325770"</f>
        <v>20190303170325770</v>
      </c>
      <c r="B3678" t="str">
        <f>"1551603805758911"</f>
        <v>1551603805758911</v>
      </c>
      <c r="C3678" t="s">
        <v>40</v>
      </c>
      <c r="D3678">
        <v>4.1498670000000004</v>
      </c>
      <c r="E3678">
        <v>0.48541289999999998</v>
      </c>
      <c r="F3678" t="s">
        <v>62</v>
      </c>
      <c r="G3678">
        <v>-343.68389999999999</v>
      </c>
      <c r="H3678" s="1">
        <v>4.2361649999999999E-7</v>
      </c>
      <c r="I3678">
        <v>214.1611</v>
      </c>
      <c r="J3678">
        <v>-466.88400000000001</v>
      </c>
      <c r="K3678">
        <v>1.122282</v>
      </c>
      <c r="L3678">
        <v>214.27549999999999</v>
      </c>
      <c r="M3678">
        <v>0.99378730000000004</v>
      </c>
      <c r="N3678">
        <v>-9.1205910000000008E-3</v>
      </c>
      <c r="O3678">
        <v>-0.1109233</v>
      </c>
      <c r="P3678">
        <v>0.9835528</v>
      </c>
      <c r="Q3678">
        <v>0.16932749999999999</v>
      </c>
      <c r="R3678">
        <v>-6.2869900000000006E-2</v>
      </c>
      <c r="S3678">
        <v>3.0543819999999999</v>
      </c>
      <c r="T3678">
        <v>-2.7777550000000002E-2</v>
      </c>
      <c r="U3678">
        <v>-3.3569339999999998E-3</v>
      </c>
      <c r="V3678">
        <v>-4.703011E-2</v>
      </c>
      <c r="W3678">
        <v>0.1781922</v>
      </c>
      <c r="X3678">
        <v>0.98287119999999994</v>
      </c>
      <c r="Y3678">
        <v>-0.10982649999999999</v>
      </c>
      <c r="Z3678">
        <v>9.9414849999999999E-4</v>
      </c>
      <c r="AA3678">
        <v>0.99395020000000001</v>
      </c>
      <c r="AB3678">
        <v>21</v>
      </c>
      <c r="AC3678">
        <v>123.20010000000001</v>
      </c>
      <c r="AD3678">
        <v>-1.1222815763834999</v>
      </c>
      <c r="AE3678">
        <v>-0.114399999999989</v>
      </c>
      <c r="AF3678">
        <v>-13.5515091133833</v>
      </c>
      <c r="AG3678">
        <v>-1.1222815763834999</v>
      </c>
      <c r="AH3678">
        <v>122.44229501998601</v>
      </c>
      <c r="AI3678">
        <v>90.521960022144896</v>
      </c>
      <c r="AJ3678">
        <v>96.315604169087194</v>
      </c>
      <c r="AK3678">
        <v>123.195042615147</v>
      </c>
      <c r="AL3678">
        <v>79.735522209034997</v>
      </c>
      <c r="AM3678">
        <v>92.739497401520197</v>
      </c>
      <c r="AN3678">
        <v>1.00000004358844</v>
      </c>
    </row>
    <row r="3679" spans="1:40" x14ac:dyDescent="0.25">
      <c r="A3679" t="str">
        <f>"20190303170325793"</f>
        <v>20190303170325793</v>
      </c>
      <c r="B3679" t="str">
        <f>"1551603805779407"</f>
        <v>1551603805779407</v>
      </c>
      <c r="C3679" t="s">
        <v>40</v>
      </c>
      <c r="D3679">
        <v>4.3148679999999997</v>
      </c>
      <c r="E3679">
        <v>0.48738949999999998</v>
      </c>
      <c r="F3679" t="s">
        <v>62</v>
      </c>
      <c r="G3679">
        <v>-355.8408</v>
      </c>
      <c r="H3679" s="1">
        <v>1.6462570000000001E-6</v>
      </c>
      <c r="I3679">
        <v>212.90360000000001</v>
      </c>
      <c r="J3679">
        <v>-466.68209999999999</v>
      </c>
      <c r="K3679">
        <v>1.122247</v>
      </c>
      <c r="L3679">
        <v>214.2551</v>
      </c>
      <c r="M3679">
        <v>0.99399320000000002</v>
      </c>
      <c r="N3679">
        <v>-8.9246719999999998E-3</v>
      </c>
      <c r="O3679">
        <v>-0.10907799999999999</v>
      </c>
      <c r="P3679">
        <v>0.98343879999999995</v>
      </c>
      <c r="Q3679">
        <v>0.16964279999999901</v>
      </c>
      <c r="R3679">
        <v>-6.3794000000000003E-2</v>
      </c>
      <c r="S3679">
        <v>3.0530400000000002</v>
      </c>
      <c r="T3679">
        <v>-3.0856129999999999E-2</v>
      </c>
      <c r="U3679">
        <v>-3.771973E-2</v>
      </c>
      <c r="V3679">
        <v>-4.4266979999999997E-2</v>
      </c>
      <c r="W3679">
        <v>0.17832310000000001</v>
      </c>
      <c r="X3679">
        <v>0.98297570000000001</v>
      </c>
      <c r="Y3679">
        <v>-9.6784490000000001E-2</v>
      </c>
      <c r="Z3679">
        <v>1.0464129999999999E-3</v>
      </c>
      <c r="AA3679">
        <v>0.99530479999999999</v>
      </c>
      <c r="AB3679">
        <v>21</v>
      </c>
      <c r="AC3679">
        <v>110.8413</v>
      </c>
      <c r="AD3679">
        <v>-1.1222453537429999</v>
      </c>
      <c r="AE3679">
        <v>-1.3514999999999799</v>
      </c>
      <c r="AF3679">
        <v>-10.7462913191585</v>
      </c>
      <c r="AG3679">
        <v>-1.1222453537429999</v>
      </c>
      <c r="AH3679">
        <v>110.31599647723201</v>
      </c>
      <c r="AI3679">
        <v>90.580104490689905</v>
      </c>
      <c r="AJ3679">
        <v>95.563839968193093</v>
      </c>
      <c r="AK3679">
        <v>110.843859958569</v>
      </c>
      <c r="AL3679">
        <v>79.727899248825693</v>
      </c>
      <c r="AM3679">
        <v>92.578495722733393</v>
      </c>
      <c r="AN3679">
        <v>0.99999996015120896</v>
      </c>
    </row>
    <row r="3680" spans="1:40" x14ac:dyDescent="0.25">
      <c r="A3680" t="str">
        <f>"20190303170325819"</f>
        <v>20190303170325819</v>
      </c>
      <c r="B3680" t="str">
        <f>"1551603805808687"</f>
        <v>1551603805808687</v>
      </c>
      <c r="C3680" t="s">
        <v>40</v>
      </c>
      <c r="D3680">
        <v>4.2887649999999997</v>
      </c>
      <c r="E3680">
        <v>0.48881770000000002</v>
      </c>
      <c r="F3680" t="s">
        <v>62</v>
      </c>
      <c r="G3680">
        <v>-358.9812</v>
      </c>
      <c r="H3680" s="1">
        <v>3.3453060000000001E-6</v>
      </c>
      <c r="I3680">
        <v>212.26570000000001</v>
      </c>
      <c r="J3680">
        <v>-466.45049999999998</v>
      </c>
      <c r="K3680">
        <v>1.122209</v>
      </c>
      <c r="L3680">
        <v>214.2321</v>
      </c>
      <c r="M3680">
        <v>0.99421939999999998</v>
      </c>
      <c r="N3680">
        <v>-8.7134020000000003E-3</v>
      </c>
      <c r="O3680">
        <v>-0.1070144</v>
      </c>
      <c r="P3680">
        <v>0.98341789999999996</v>
      </c>
      <c r="Q3680">
        <v>0.16966919999999999</v>
      </c>
      <c r="R3680">
        <v>-6.4044000000000004E-2</v>
      </c>
      <c r="S3680">
        <v>3.0523069999999999</v>
      </c>
      <c r="T3680">
        <v>-3.180504E-2</v>
      </c>
      <c r="U3680">
        <v>-5.6381229999999997E-2</v>
      </c>
      <c r="V3680">
        <v>-4.1965860000000001E-2</v>
      </c>
      <c r="W3680">
        <v>0.1781491</v>
      </c>
      <c r="X3680">
        <v>0.98310819999999999</v>
      </c>
      <c r="Y3680">
        <v>-8.8628739999999998E-2</v>
      </c>
      <c r="Z3680">
        <v>1.0270100000000001E-3</v>
      </c>
      <c r="AA3680">
        <v>0.99606419999999996</v>
      </c>
      <c r="AB3680">
        <v>21</v>
      </c>
      <c r="AC3680">
        <v>107.469299999999</v>
      </c>
      <c r="AD3680">
        <v>-1.122205654694</v>
      </c>
      <c r="AE3680">
        <v>-1.9663999999999899</v>
      </c>
      <c r="AF3680">
        <v>-9.5450505492193596</v>
      </c>
      <c r="AG3680">
        <v>-1.122205654694</v>
      </c>
      <c r="AH3680">
        <v>107.05087996906001</v>
      </c>
      <c r="AI3680">
        <v>90.598231850814997</v>
      </c>
      <c r="AJ3680">
        <v>95.095228503658902</v>
      </c>
      <c r="AK3680">
        <v>107.481432060001</v>
      </c>
      <c r="AL3680">
        <v>79.738031194284801</v>
      </c>
      <c r="AM3680">
        <v>92.444296370259806</v>
      </c>
      <c r="AN3680">
        <v>0.99999998407179402</v>
      </c>
    </row>
    <row r="3681" spans="1:40" x14ac:dyDescent="0.25">
      <c r="A3681" t="str">
        <f>"20190303170325839"</f>
        <v>20190303170325839</v>
      </c>
      <c r="B3681" t="str">
        <f>"1551603805829183"</f>
        <v>1551603805829183</v>
      </c>
      <c r="C3681" t="s">
        <v>40</v>
      </c>
      <c r="D3681">
        <v>4.2699150000000001</v>
      </c>
      <c r="E3681">
        <v>0.48919790000000002</v>
      </c>
      <c r="F3681" t="s">
        <v>62</v>
      </c>
      <c r="G3681">
        <v>-366.3356</v>
      </c>
      <c r="H3681" s="1">
        <v>1.8346819999999999E-6</v>
      </c>
      <c r="I3681">
        <v>211.98670000000001</v>
      </c>
      <c r="J3681">
        <v>-466.24990000000003</v>
      </c>
      <c r="K3681">
        <v>1.1221829999999999</v>
      </c>
      <c r="L3681">
        <v>214.21250000000001</v>
      </c>
      <c r="M3681">
        <v>0.99440700000000004</v>
      </c>
      <c r="N3681">
        <v>-8.5391719999999994E-3</v>
      </c>
      <c r="O3681">
        <v>-0.1052705</v>
      </c>
      <c r="P3681">
        <v>0.98354600000000003</v>
      </c>
      <c r="Q3681">
        <v>0.1690316</v>
      </c>
      <c r="R3681">
        <v>-6.3762699999999894E-2</v>
      </c>
      <c r="S3681">
        <v>3.0520320000000001</v>
      </c>
      <c r="T3681">
        <v>-3.42108E-2</v>
      </c>
      <c r="U3681">
        <v>-6.8450929999999993E-2</v>
      </c>
      <c r="V3681">
        <v>-4.0527939999999998E-2</v>
      </c>
      <c r="W3681">
        <v>0.1773457</v>
      </c>
      <c r="X3681">
        <v>0.98331380000000002</v>
      </c>
      <c r="Y3681">
        <v>-8.2940630000000001E-2</v>
      </c>
      <c r="Z3681">
        <v>1.096451E-3</v>
      </c>
      <c r="AA3681">
        <v>0.99655389999999999</v>
      </c>
      <c r="AB3681">
        <v>21</v>
      </c>
      <c r="AC3681">
        <v>99.914299999999997</v>
      </c>
      <c r="AD3681">
        <v>-1.1221811653179901</v>
      </c>
      <c r="AE3681">
        <v>-2.2257999999999898</v>
      </c>
      <c r="AF3681">
        <v>-8.30393270969215</v>
      </c>
      <c r="AG3681">
        <v>-1.1221811653179901</v>
      </c>
      <c r="AH3681">
        <v>99.580862251695507</v>
      </c>
      <c r="AI3681">
        <v>90.643408388134901</v>
      </c>
      <c r="AJ3681">
        <v>94.766800109613996</v>
      </c>
      <c r="AK3681">
        <v>99.932790993777701</v>
      </c>
      <c r="AL3681">
        <v>79.784807858037794</v>
      </c>
      <c r="AM3681">
        <v>92.360148295804095</v>
      </c>
      <c r="AN3681">
        <v>1.0000000202497801</v>
      </c>
    </row>
    <row r="3682" spans="1:40" x14ac:dyDescent="0.25">
      <c r="A3682" t="str">
        <f>"20190303170325860"</f>
        <v>20190303170325860</v>
      </c>
      <c r="B3682" t="str">
        <f>"1551603805848703"</f>
        <v>1551603805848703</v>
      </c>
      <c r="C3682" t="s">
        <v>40</v>
      </c>
      <c r="D3682">
        <v>4.3175540000000003</v>
      </c>
      <c r="E3682">
        <v>0.48947819999999997</v>
      </c>
      <c r="F3682" t="s">
        <v>62</v>
      </c>
      <c r="G3682">
        <v>-373.06909999999999</v>
      </c>
      <c r="H3682" s="1">
        <v>9.642872E-8</v>
      </c>
      <c r="I3682">
        <v>212.06100000000001</v>
      </c>
      <c r="J3682">
        <v>-466.05250000000001</v>
      </c>
      <c r="K3682">
        <v>1.1221620000000001</v>
      </c>
      <c r="L3682">
        <v>214.1935</v>
      </c>
      <c r="M3682">
        <v>0.99458489999999999</v>
      </c>
      <c r="N3682">
        <v>-8.3786659999999999E-3</v>
      </c>
      <c r="O3682">
        <v>-0.1035894</v>
      </c>
      <c r="P3682">
        <v>0.98362780000000005</v>
      </c>
      <c r="Q3682">
        <v>0.1686136</v>
      </c>
      <c r="R3682">
        <v>-6.3606629999999997E-2</v>
      </c>
      <c r="S3682">
        <v>3.0518800000000001</v>
      </c>
      <c r="T3682">
        <v>-3.6754009999999997E-2</v>
      </c>
      <c r="U3682">
        <v>-7.0465089999999994E-2</v>
      </c>
      <c r="V3682">
        <v>-3.9024509999999998E-2</v>
      </c>
      <c r="W3682">
        <v>0.17677409999999999</v>
      </c>
      <c r="X3682">
        <v>0.9834775</v>
      </c>
      <c r="Y3682">
        <v>-8.0596130000000002E-2</v>
      </c>
      <c r="Z3682">
        <v>1.198953E-3</v>
      </c>
      <c r="AA3682">
        <v>0.99674609999999997</v>
      </c>
      <c r="AB3682">
        <v>21</v>
      </c>
      <c r="AC3682">
        <v>92.983400000000003</v>
      </c>
      <c r="AD3682">
        <v>-1.12216190357128</v>
      </c>
      <c r="AE3682">
        <v>-2.1325000000000198</v>
      </c>
      <c r="AF3682">
        <v>-7.5103123685065398</v>
      </c>
      <c r="AG3682">
        <v>-1.12216190357128</v>
      </c>
      <c r="AH3682">
        <v>92.690546956423304</v>
      </c>
      <c r="AI3682">
        <v>90.691354324204696</v>
      </c>
      <c r="AJ3682">
        <v>94.6323085280074</v>
      </c>
      <c r="AK3682">
        <v>93.0010835113833</v>
      </c>
      <c r="AL3682">
        <v>79.818083613012703</v>
      </c>
      <c r="AM3682">
        <v>92.272311591336504</v>
      </c>
      <c r="AN3682">
        <v>0.99999999390890004</v>
      </c>
    </row>
    <row r="3683" spans="1:40" x14ac:dyDescent="0.25">
      <c r="A3683" t="str">
        <f>"20190303170325883"</f>
        <v>20190303170325883</v>
      </c>
      <c r="B3683" t="str">
        <f>"1551603805869199"</f>
        <v>1551603805869199</v>
      </c>
      <c r="C3683" t="s">
        <v>40</v>
      </c>
      <c r="D3683">
        <v>4.3318289999999999</v>
      </c>
      <c r="E3683">
        <v>0.48972670000000001</v>
      </c>
      <c r="F3683" t="s">
        <v>62</v>
      </c>
      <c r="G3683">
        <v>-377.29590000000002</v>
      </c>
      <c r="H3683" s="1">
        <v>2.345738E-6</v>
      </c>
      <c r="I3683">
        <v>212.10249999999999</v>
      </c>
      <c r="J3683">
        <v>-465.85180000000003</v>
      </c>
      <c r="K3683">
        <v>1.122144</v>
      </c>
      <c r="L3683">
        <v>214.17449999999999</v>
      </c>
      <c r="M3683">
        <v>0.99475910000000001</v>
      </c>
      <c r="N3683">
        <v>-8.2259450000000001E-3</v>
      </c>
      <c r="O3683">
        <v>-0.1019157</v>
      </c>
      <c r="P3683">
        <v>0.98352580000000001</v>
      </c>
      <c r="Q3683">
        <v>0.1695739</v>
      </c>
      <c r="R3683">
        <v>-6.2628000000000003E-2</v>
      </c>
      <c r="S3683">
        <v>3.0519099999999999</v>
      </c>
      <c r="T3683">
        <v>-3.8585660000000001E-2</v>
      </c>
      <c r="U3683">
        <v>-7.1899409999999997E-2</v>
      </c>
      <c r="V3683">
        <v>-3.833321E-2</v>
      </c>
      <c r="W3683">
        <v>0.17758460000000001</v>
      </c>
      <c r="X3683">
        <v>0.98335870000000003</v>
      </c>
      <c r="Y3683">
        <v>-7.8449899999999906E-2</v>
      </c>
      <c r="Z3683">
        <v>1.2652200000000001E-3</v>
      </c>
      <c r="AA3683">
        <v>0.99691719999999895</v>
      </c>
      <c r="AB3683">
        <v>21</v>
      </c>
      <c r="AC3683">
        <v>88.555899999999994</v>
      </c>
      <c r="AD3683">
        <v>-1.122141654262</v>
      </c>
      <c r="AE3683">
        <v>-2.0720000000000001</v>
      </c>
      <c r="AF3683">
        <v>-6.9632133518577701</v>
      </c>
      <c r="AG3683">
        <v>-1.122141654262</v>
      </c>
      <c r="AH3683">
        <v>88.291768987516406</v>
      </c>
      <c r="AI3683">
        <v>90.725906061326995</v>
      </c>
      <c r="AJ3683">
        <v>94.509351819721005</v>
      </c>
      <c r="AK3683">
        <v>88.573032086638506</v>
      </c>
      <c r="AL3683">
        <v>79.770899214953602</v>
      </c>
      <c r="AM3683">
        <v>92.232369178970401</v>
      </c>
      <c r="AN3683">
        <v>1.0000000290058699</v>
      </c>
    </row>
    <row r="3684" spans="1:40" x14ac:dyDescent="0.25">
      <c r="A3684" t="str">
        <f>"20190303170325907"</f>
        <v>20190303170325907</v>
      </c>
      <c r="B3684" t="str">
        <f>"1551603805888719"</f>
        <v>1551603805888719</v>
      </c>
      <c r="C3684" t="s">
        <v>40</v>
      </c>
      <c r="D3684">
        <v>4.330495</v>
      </c>
      <c r="E3684">
        <v>0.4901374</v>
      </c>
      <c r="F3684" t="s">
        <v>62</v>
      </c>
      <c r="G3684">
        <v>-370.15320000000003</v>
      </c>
      <c r="H3684" s="1">
        <v>-1.4552850000000001E-6</v>
      </c>
      <c r="I3684">
        <v>211.95009999999999</v>
      </c>
      <c r="J3684">
        <v>-465.61700000000002</v>
      </c>
      <c r="K3684">
        <v>1.122125</v>
      </c>
      <c r="L3684">
        <v>214.15260000000001</v>
      </c>
      <c r="M3684">
        <v>0.99495469999999997</v>
      </c>
      <c r="N3684">
        <v>-8.0579659999999997E-3</v>
      </c>
      <c r="O3684">
        <v>-0.10000100000000001</v>
      </c>
      <c r="P3684">
        <v>0.98342479999999999</v>
      </c>
      <c r="Q3684">
        <v>0.17094089999999901</v>
      </c>
      <c r="R3684">
        <v>-6.045553E-2</v>
      </c>
      <c r="S3684">
        <v>3.0519099999999999</v>
      </c>
      <c r="T3684">
        <v>-3.5786150000000003E-2</v>
      </c>
      <c r="U3684">
        <v>-7.0938109999999999E-2</v>
      </c>
      <c r="V3684">
        <v>-3.8591489999999999E-2</v>
      </c>
      <c r="W3684">
        <v>0.1787839</v>
      </c>
      <c r="X3684">
        <v>0.98313119999999998</v>
      </c>
      <c r="Y3684">
        <v>-7.6846620000000004E-2</v>
      </c>
      <c r="Z3684">
        <v>1.123782E-3</v>
      </c>
      <c r="AA3684">
        <v>0.99704230000000005</v>
      </c>
      <c r="AB3684">
        <v>21</v>
      </c>
      <c r="AC3684">
        <v>95.463799999999907</v>
      </c>
      <c r="AD3684">
        <v>-1.1221264552850001</v>
      </c>
      <c r="AE3684">
        <v>-2.2025000000000099</v>
      </c>
      <c r="AF3684">
        <v>-7.35431099977803</v>
      </c>
      <c r="AG3684">
        <v>-1.1221264552850001</v>
      </c>
      <c r="AH3684">
        <v>95.192354800162605</v>
      </c>
      <c r="AI3684">
        <v>90.673364371725299</v>
      </c>
      <c r="AJ3684">
        <v>94.417745796095602</v>
      </c>
      <c r="AK3684">
        <v>95.482613445920805</v>
      </c>
      <c r="AL3684">
        <v>79.701066264966002</v>
      </c>
      <c r="AM3684">
        <v>92.247914498629797</v>
      </c>
      <c r="AN3684">
        <v>0.99999997120653406</v>
      </c>
    </row>
    <row r="3685" spans="1:40" x14ac:dyDescent="0.25">
      <c r="A3685" t="str">
        <f>"20190303170325930"</f>
        <v>20190303170325930</v>
      </c>
      <c r="B3685" t="str">
        <f>"1551603805918975"</f>
        <v>1551603805918975</v>
      </c>
      <c r="C3685" t="s">
        <v>40</v>
      </c>
      <c r="D3685">
        <v>4.3268309999999897</v>
      </c>
      <c r="E3685">
        <v>0.49063220000000002</v>
      </c>
      <c r="F3685" t="s">
        <v>62</v>
      </c>
      <c r="G3685">
        <v>-359.43939999999998</v>
      </c>
      <c r="H3685" s="1">
        <v>3.6090539999999999E-6</v>
      </c>
      <c r="I3685">
        <v>211.81010000000001</v>
      </c>
      <c r="J3685">
        <v>-465.39210000000003</v>
      </c>
      <c r="K3685">
        <v>1.122112</v>
      </c>
      <c r="L3685">
        <v>214.13210000000001</v>
      </c>
      <c r="M3685">
        <v>0.9951352</v>
      </c>
      <c r="N3685">
        <v>-7.9082010000000001E-3</v>
      </c>
      <c r="O3685">
        <v>-9.8201789999999997E-2</v>
      </c>
      <c r="P3685">
        <v>0.98354699999999995</v>
      </c>
      <c r="Q3685">
        <v>0.17108509999999999</v>
      </c>
      <c r="R3685">
        <v>-5.8011189999999997E-2</v>
      </c>
      <c r="S3685">
        <v>3.0520320000000001</v>
      </c>
      <c r="T3685">
        <v>-3.2254930000000001E-2</v>
      </c>
      <c r="U3685">
        <v>-6.7337040000000001E-2</v>
      </c>
      <c r="V3685">
        <v>-3.92558E-2</v>
      </c>
      <c r="W3685">
        <v>0.1787782</v>
      </c>
      <c r="X3685">
        <v>0.98310600000000004</v>
      </c>
      <c r="Y3685">
        <v>-7.6222170000000006E-2</v>
      </c>
      <c r="Z3685">
        <v>9.6263179999999998E-4</v>
      </c>
      <c r="AA3685">
        <v>0.99709040000000004</v>
      </c>
      <c r="AB3685">
        <v>21</v>
      </c>
      <c r="AC3685">
        <v>105.95269999999999</v>
      </c>
      <c r="AD3685">
        <v>-1.1221083909459999</v>
      </c>
      <c r="AE3685">
        <v>-2.3220000000000001</v>
      </c>
      <c r="AF3685">
        <v>-8.0933858385499295</v>
      </c>
      <c r="AG3685">
        <v>-1.1221083909459999</v>
      </c>
      <c r="AH3685">
        <v>105.656734739855</v>
      </c>
      <c r="AI3685">
        <v>90.606699447186102</v>
      </c>
      <c r="AJ3685">
        <v>94.380345951327797</v>
      </c>
      <c r="AK3685">
        <v>105.972202097818</v>
      </c>
      <c r="AL3685">
        <v>79.701398862190501</v>
      </c>
      <c r="AM3685">
        <v>92.286627694922402</v>
      </c>
      <c r="AN3685">
        <v>1.0000000349324301</v>
      </c>
    </row>
    <row r="3686" spans="1:40" x14ac:dyDescent="0.25">
      <c r="A3686" t="str">
        <f>"20190303170325960"</f>
        <v>20190303170325960</v>
      </c>
      <c r="B3686" t="str">
        <f>"1551603805949231"</f>
        <v>1551603805949231</v>
      </c>
      <c r="C3686" t="s">
        <v>40</v>
      </c>
      <c r="D3686">
        <v>4.4230999999999998</v>
      </c>
      <c r="E3686">
        <v>0.49060100000000001</v>
      </c>
      <c r="F3686" t="s">
        <v>62</v>
      </c>
      <c r="G3686">
        <v>-362.77699999999999</v>
      </c>
      <c r="H3686" s="1">
        <v>-5.9016200000000001E-8</v>
      </c>
      <c r="I3686">
        <v>211.99959999999999</v>
      </c>
      <c r="J3686">
        <v>-465.09910000000002</v>
      </c>
      <c r="K3686">
        <v>1.1220870000000001</v>
      </c>
      <c r="L3686">
        <v>214.10599999999999</v>
      </c>
      <c r="M3686">
        <v>0.99536170000000002</v>
      </c>
      <c r="N3686">
        <v>-7.7167989999999999E-3</v>
      </c>
      <c r="O3686">
        <v>-9.5893210000000006E-2</v>
      </c>
      <c r="P3686">
        <v>0.98393799999999998</v>
      </c>
      <c r="Q3686">
        <v>0.17038139999999999</v>
      </c>
      <c r="R3686">
        <v>-5.325618E-2</v>
      </c>
      <c r="S3686">
        <v>3.052216</v>
      </c>
      <c r="T3686">
        <v>-3.3376459999999997E-2</v>
      </c>
      <c r="U3686">
        <v>-6.3430790000000001E-2</v>
      </c>
      <c r="V3686">
        <v>-4.1741019999999997E-2</v>
      </c>
      <c r="W3686">
        <v>0.17788109999999999</v>
      </c>
      <c r="X3686">
        <v>0.98316630000000005</v>
      </c>
      <c r="Y3686">
        <v>-7.5185600000000005E-2</v>
      </c>
      <c r="Z3686">
        <v>1.007212E-3</v>
      </c>
      <c r="AA3686">
        <v>0.99716910000000003</v>
      </c>
      <c r="AB3686">
        <v>21</v>
      </c>
      <c r="AC3686">
        <v>102.32210000000001</v>
      </c>
      <c r="AD3686">
        <v>-1.1220870590162</v>
      </c>
      <c r="AE3686">
        <v>-2.1063999999999998</v>
      </c>
      <c r="AF3686">
        <v>-7.7146672250956101</v>
      </c>
      <c r="AG3686">
        <v>-1.1220870590162</v>
      </c>
      <c r="AH3686">
        <v>102.040263005434</v>
      </c>
      <c r="AI3686">
        <v>90.628235588451304</v>
      </c>
      <c r="AJ3686">
        <v>94.323573327441693</v>
      </c>
      <c r="AK3686">
        <v>102.337629657815</v>
      </c>
      <c r="AL3686">
        <v>79.753635722193195</v>
      </c>
      <c r="AM3686">
        <v>92.431072848402593</v>
      </c>
      <c r="AN3686">
        <v>0.99999998597176998</v>
      </c>
    </row>
    <row r="3687" spans="1:40" x14ac:dyDescent="0.25">
      <c r="A3687" t="str">
        <f>"20190303170325983"</f>
        <v>20190303170325983</v>
      </c>
      <c r="B3687" t="str">
        <f>"1551603805968752"</f>
        <v>1551603805968752</v>
      </c>
      <c r="C3687" t="s">
        <v>40</v>
      </c>
      <c r="D3687">
        <v>4.3706420000000001</v>
      </c>
      <c r="E3687">
        <v>0.49059799999999998</v>
      </c>
      <c r="F3687" t="s">
        <v>62</v>
      </c>
      <c r="G3687">
        <v>-365.51280000000003</v>
      </c>
      <c r="H3687" s="1">
        <v>1.3968389999999999E-6</v>
      </c>
      <c r="I3687">
        <v>212.52680000000001</v>
      </c>
      <c r="J3687">
        <v>-464.89260000000002</v>
      </c>
      <c r="K3687">
        <v>1.1220680000000001</v>
      </c>
      <c r="L3687">
        <v>214.08789999999999</v>
      </c>
      <c r="M3687">
        <v>0.99551699999999999</v>
      </c>
      <c r="N3687">
        <v>-7.5776159999999997E-3</v>
      </c>
      <c r="O3687">
        <v>-9.4279740000000001E-2</v>
      </c>
      <c r="P3687">
        <v>0.98387530000000001</v>
      </c>
      <c r="Q3687">
        <v>0.17174389999999901</v>
      </c>
      <c r="R3687">
        <v>-4.993599E-2</v>
      </c>
      <c r="S3687">
        <v>3.0523380000000002</v>
      </c>
      <c r="T3687">
        <v>-3.4392119999999998E-2</v>
      </c>
      <c r="U3687">
        <v>-4.840088E-2</v>
      </c>
      <c r="V3687">
        <v>-4.3449849999999998E-2</v>
      </c>
      <c r="W3687">
        <v>0.17910009999999901</v>
      </c>
      <c r="X3687">
        <v>0.98287089999999999</v>
      </c>
      <c r="Y3687">
        <v>-7.8477290000000005E-2</v>
      </c>
      <c r="Z3687">
        <v>1.084958E-3</v>
      </c>
      <c r="AA3687">
        <v>0.99691529999999995</v>
      </c>
      <c r="AB3687">
        <v>22</v>
      </c>
      <c r="AC3687">
        <v>99.379800000000003</v>
      </c>
      <c r="AD3687">
        <v>-1.122066603161</v>
      </c>
      <c r="AE3687">
        <v>-1.5610999999999799</v>
      </c>
      <c r="AF3687">
        <v>-7.8146278162062099</v>
      </c>
      <c r="AG3687">
        <v>-1.122066603161</v>
      </c>
      <c r="AH3687">
        <v>99.071669450571804</v>
      </c>
      <c r="AI3687">
        <v>90.646884086814296</v>
      </c>
      <c r="AJ3687">
        <v>94.510068811239705</v>
      </c>
      <c r="AK3687">
        <v>99.385729001155497</v>
      </c>
      <c r="AL3687">
        <v>79.682652122235197</v>
      </c>
      <c r="AM3687">
        <v>92.531230921684397</v>
      </c>
      <c r="AN3687">
        <v>0.99999997067592095</v>
      </c>
    </row>
    <row r="3688" spans="1:40" x14ac:dyDescent="0.25">
      <c r="A3688" t="str">
        <f>"20190303170326005"</f>
        <v>20190303170326005</v>
      </c>
      <c r="B3688" t="str">
        <f>"1551603805999006"</f>
        <v>1551603805999006</v>
      </c>
      <c r="C3688" t="s">
        <v>40</v>
      </c>
      <c r="D3688">
        <v>4.330635</v>
      </c>
      <c r="E3688">
        <v>0.49092599999999997</v>
      </c>
      <c r="F3688" t="s">
        <v>62</v>
      </c>
      <c r="G3688">
        <v>-349.92430000000002</v>
      </c>
      <c r="H3688" s="1">
        <v>3.7444160000000001E-6</v>
      </c>
      <c r="I3688">
        <v>212.63730000000001</v>
      </c>
      <c r="J3688">
        <v>-464.66640000000001</v>
      </c>
      <c r="K3688">
        <v>1.122061</v>
      </c>
      <c r="L3688">
        <v>214.0685</v>
      </c>
      <c r="M3688">
        <v>0.99568330000000005</v>
      </c>
      <c r="N3688">
        <v>-7.42691599999999E-3</v>
      </c>
      <c r="O3688">
        <v>-9.2518989999999995E-2</v>
      </c>
      <c r="P3688">
        <v>0.98372479999999995</v>
      </c>
      <c r="Q3688">
        <v>0.17359269999999999</v>
      </c>
      <c r="R3688">
        <v>-4.6384870000000002E-2</v>
      </c>
      <c r="S3688">
        <v>3.052368</v>
      </c>
      <c r="T3688">
        <v>-2.9790400000000002E-2</v>
      </c>
      <c r="U3688">
        <v>-3.8513180000000001E-2</v>
      </c>
      <c r="V3688">
        <v>-4.523945E-2</v>
      </c>
      <c r="W3688">
        <v>0.18079239999999999</v>
      </c>
      <c r="X3688">
        <v>0.98248029999999997</v>
      </c>
      <c r="Y3688">
        <v>-7.9944870000000001E-2</v>
      </c>
      <c r="Z3688">
        <v>9.0085390000000005E-4</v>
      </c>
      <c r="AA3688">
        <v>0.99679890000000004</v>
      </c>
      <c r="AB3688">
        <v>22</v>
      </c>
      <c r="AC3688">
        <v>114.74209999999999</v>
      </c>
      <c r="AD3688">
        <v>-1.122057255584</v>
      </c>
      <c r="AE3688">
        <v>-1.43119999999998</v>
      </c>
      <c r="AF3688">
        <v>-9.1901753327703606</v>
      </c>
      <c r="AG3688">
        <v>-1.122057255584</v>
      </c>
      <c r="AH3688">
        <v>114.37141626875599</v>
      </c>
      <c r="AI3688">
        <v>90.560284688550595</v>
      </c>
      <c r="AJ3688">
        <v>94.594061746342405</v>
      </c>
      <c r="AK3688">
        <v>114.74554106566799</v>
      </c>
      <c r="AL3688">
        <v>79.584081951858096</v>
      </c>
      <c r="AM3688">
        <v>92.636388702297793</v>
      </c>
      <c r="AN3688">
        <v>1.0000000198110699</v>
      </c>
    </row>
    <row r="3689" spans="1:40" x14ac:dyDescent="0.25">
      <c r="A3689" t="str">
        <f>"20190303170326029"</f>
        <v>20190303170326029</v>
      </c>
      <c r="B3689" t="str">
        <f>"1551603806019505"</f>
        <v>1551603806019505</v>
      </c>
      <c r="C3689" t="s">
        <v>40</v>
      </c>
      <c r="D3689">
        <v>4.3550529999999998</v>
      </c>
      <c r="E3689">
        <v>0.4911489</v>
      </c>
      <c r="F3689" t="s">
        <v>62</v>
      </c>
      <c r="G3689">
        <v>-329.12200000000001</v>
      </c>
      <c r="H3689" s="1">
        <v>3.3174830000000002E-6</v>
      </c>
      <c r="I3689">
        <v>212.67760000000001</v>
      </c>
      <c r="J3689">
        <v>-464.4443</v>
      </c>
      <c r="K3689">
        <v>1.122058</v>
      </c>
      <c r="L3689">
        <v>214.0498</v>
      </c>
      <c r="M3689">
        <v>0.99584329999999999</v>
      </c>
      <c r="N3689">
        <v>-7.2783209999999999E-3</v>
      </c>
      <c r="O3689">
        <v>-9.079197E-2</v>
      </c>
      <c r="P3689">
        <v>0.98383259999999995</v>
      </c>
      <c r="Q3689">
        <v>0.1738352</v>
      </c>
      <c r="R3689">
        <v>-4.3069830000000003E-2</v>
      </c>
      <c r="S3689">
        <v>3.0526119999999999</v>
      </c>
      <c r="T3689">
        <v>-2.5269989999999999E-2</v>
      </c>
      <c r="U3689">
        <v>-3.132629E-2</v>
      </c>
      <c r="V3689">
        <v>-4.6850179999999998E-2</v>
      </c>
      <c r="W3689">
        <v>0.1808825</v>
      </c>
      <c r="X3689">
        <v>0.98238820000000004</v>
      </c>
      <c r="Y3689">
        <v>-8.0565170000000005E-2</v>
      </c>
      <c r="Z3689">
        <v>7.1578940000000001E-4</v>
      </c>
      <c r="AA3689">
        <v>0.99674910000000005</v>
      </c>
      <c r="AB3689">
        <v>22</v>
      </c>
      <c r="AC3689">
        <v>135.32230000000001</v>
      </c>
      <c r="AD3689">
        <v>-1.1220546825169999</v>
      </c>
      <c r="AE3689">
        <v>-1.3721999999999901</v>
      </c>
      <c r="AF3689">
        <v>-10.919220433371301</v>
      </c>
      <c r="AG3689">
        <v>-1.1220546825169999</v>
      </c>
      <c r="AH3689">
        <v>134.87868875944</v>
      </c>
      <c r="AI3689">
        <v>90.475077933955603</v>
      </c>
      <c r="AJ3689">
        <v>94.628335654467904</v>
      </c>
      <c r="AK3689">
        <v>135.32460627339299</v>
      </c>
      <c r="AL3689">
        <v>79.578832821692998</v>
      </c>
      <c r="AM3689">
        <v>92.730372102323003</v>
      </c>
      <c r="AN3689">
        <v>0.99999999683576102</v>
      </c>
    </row>
    <row r="3690" spans="1:40" x14ac:dyDescent="0.25">
      <c r="A3690" t="str">
        <f>"20190303170326050"</f>
        <v>20190303170326050</v>
      </c>
      <c r="B3690" t="str">
        <f>"1551603806039023"</f>
        <v>1551603806039023</v>
      </c>
      <c r="C3690" t="s">
        <v>40</v>
      </c>
      <c r="D3690">
        <v>4.330527</v>
      </c>
      <c r="E3690">
        <v>0.49149749999999998</v>
      </c>
      <c r="F3690" t="s">
        <v>62</v>
      </c>
      <c r="G3690">
        <v>-329.03739999999999</v>
      </c>
      <c r="H3690" s="1">
        <v>3.2724560000000001E-6</v>
      </c>
      <c r="I3690">
        <v>213.00409999999999</v>
      </c>
      <c r="J3690">
        <v>-464.22890000000001</v>
      </c>
      <c r="K3690">
        <v>1.122044</v>
      </c>
      <c r="L3690">
        <v>214.03210000000001</v>
      </c>
      <c r="M3690">
        <v>0.99599579999999999</v>
      </c>
      <c r="N3690">
        <v>-7.1243399999999998E-3</v>
      </c>
      <c r="O3690">
        <v>-8.911645E-2</v>
      </c>
      <c r="P3690">
        <v>0.98415490000000005</v>
      </c>
      <c r="Q3690">
        <v>0.1725999</v>
      </c>
      <c r="R3690">
        <v>-4.0601779999999997E-2</v>
      </c>
      <c r="S3690">
        <v>3.052673</v>
      </c>
      <c r="T3690">
        <v>-2.529609E-2</v>
      </c>
      <c r="U3690">
        <v>-2.3574830000000001E-2</v>
      </c>
      <c r="V3690">
        <v>-4.7685539999999998E-2</v>
      </c>
      <c r="W3690">
        <v>0.17949370000000001</v>
      </c>
      <c r="X3690">
        <v>0.98260270000000005</v>
      </c>
      <c r="Y3690">
        <v>-8.1419080000000005E-2</v>
      </c>
      <c r="Z3690">
        <v>7.2943929999999904E-4</v>
      </c>
      <c r="AA3690">
        <v>0.99667969999999895</v>
      </c>
      <c r="AB3690">
        <v>22</v>
      </c>
      <c r="AC3690">
        <v>135.19149999999999</v>
      </c>
      <c r="AD3690">
        <v>-1.1220407275440001</v>
      </c>
      <c r="AE3690">
        <v>-1.02800000000002</v>
      </c>
      <c r="AF3690">
        <v>-11.0234226256435</v>
      </c>
      <c r="AG3690">
        <v>-1.1220407275440001</v>
      </c>
      <c r="AH3690">
        <v>134.73590805427</v>
      </c>
      <c r="AI3690">
        <v>90.475542407510503</v>
      </c>
      <c r="AJ3690">
        <v>94.677238586206002</v>
      </c>
      <c r="AK3690">
        <v>135.190753163767</v>
      </c>
      <c r="AL3690">
        <v>79.659729158351396</v>
      </c>
      <c r="AM3690">
        <v>92.778374534138905</v>
      </c>
      <c r="AN3690">
        <v>0.99999998255603495</v>
      </c>
    </row>
    <row r="3691" spans="1:40" x14ac:dyDescent="0.25">
      <c r="A3691" t="str">
        <f>"20190303170326073"</f>
        <v>20190303170326073</v>
      </c>
      <c r="B3691" t="str">
        <f>"1551603806059519"</f>
        <v>1551603806059519</v>
      </c>
      <c r="C3691" t="s">
        <v>40</v>
      </c>
      <c r="D3691">
        <v>4.3900629999999996</v>
      </c>
      <c r="E3691">
        <v>0.49174319999999999</v>
      </c>
      <c r="F3691" t="s">
        <v>62</v>
      </c>
      <c r="G3691">
        <v>-348.68830000000003</v>
      </c>
      <c r="H3691" s="1">
        <v>3.0867020000000001E-6</v>
      </c>
      <c r="I3691">
        <v>213.30439999999999</v>
      </c>
      <c r="J3691">
        <v>-464.0093</v>
      </c>
      <c r="K3691">
        <v>1.1220209999999999</v>
      </c>
      <c r="L3691">
        <v>214.01439999999999</v>
      </c>
      <c r="M3691">
        <v>0.99614879999999995</v>
      </c>
      <c r="N3691">
        <v>-6.9499219999999999E-3</v>
      </c>
      <c r="O3691">
        <v>-8.7402869999999994E-2</v>
      </c>
      <c r="P3691">
        <v>0.98444889999999996</v>
      </c>
      <c r="Q3691">
        <v>0.1713972</v>
      </c>
      <c r="R3691">
        <v>-3.8513209999999999E-2</v>
      </c>
      <c r="S3691">
        <v>3.052673</v>
      </c>
      <c r="T3691">
        <v>-2.96452E-2</v>
      </c>
      <c r="U3691">
        <v>-1.9226070000000001E-2</v>
      </c>
      <c r="V3691">
        <v>-4.810304E-2</v>
      </c>
      <c r="W3691">
        <v>0.17811859999999999</v>
      </c>
      <c r="X3691">
        <v>0.98283259999999995</v>
      </c>
      <c r="Y3691">
        <v>-8.11225E-2</v>
      </c>
      <c r="Z3691">
        <v>9.1562550000000005E-4</v>
      </c>
      <c r="AA3691">
        <v>0.99670369999999997</v>
      </c>
      <c r="AB3691">
        <v>22</v>
      </c>
      <c r="AC3691">
        <v>115.320999999999</v>
      </c>
      <c r="AD3691">
        <v>-1.1220179132979999</v>
      </c>
      <c r="AE3691">
        <v>-0.71000000000000696</v>
      </c>
      <c r="AF3691">
        <v>-9.3714599969592491</v>
      </c>
      <c r="AG3691">
        <v>-1.1220179132979999</v>
      </c>
      <c r="AH3691">
        <v>114.930828708375</v>
      </c>
      <c r="AI3691">
        <v>90.557485011314895</v>
      </c>
      <c r="AJ3691">
        <v>94.661584955375403</v>
      </c>
      <c r="AK3691">
        <v>115.317728794258</v>
      </c>
      <c r="AL3691">
        <v>79.739807583906597</v>
      </c>
      <c r="AM3691">
        <v>92.802006808083505</v>
      </c>
      <c r="AN3691">
        <v>1.00000002887298</v>
      </c>
    </row>
    <row r="3692" spans="1:40" x14ac:dyDescent="0.25">
      <c r="A3692" t="str">
        <f>"20190303170326096"</f>
        <v>20190303170326096</v>
      </c>
      <c r="B3692" t="str">
        <f>"1551603806088799"</f>
        <v>1551603806088799</v>
      </c>
      <c r="C3692" t="s">
        <v>40</v>
      </c>
      <c r="D3692">
        <v>4.425027</v>
      </c>
      <c r="E3692">
        <v>0.4921528</v>
      </c>
      <c r="F3692" t="s">
        <v>62</v>
      </c>
      <c r="G3692">
        <v>-362.60079999999999</v>
      </c>
      <c r="H3692" s="1">
        <v>-1.527773E-7</v>
      </c>
      <c r="I3692">
        <v>213.48920000000001</v>
      </c>
      <c r="J3692">
        <v>-463.78300000000002</v>
      </c>
      <c r="K3692">
        <v>1.121999</v>
      </c>
      <c r="L3692">
        <v>213.9965</v>
      </c>
      <c r="M3692">
        <v>0.99630390000000002</v>
      </c>
      <c r="N3692">
        <v>-6.7510690000000002E-3</v>
      </c>
      <c r="O3692">
        <v>-8.5632990000000006E-2</v>
      </c>
      <c r="P3692">
        <v>0.98438079999999994</v>
      </c>
      <c r="Q3692">
        <v>0.1723285</v>
      </c>
      <c r="R3692">
        <v>-3.6017090000000002E-2</v>
      </c>
      <c r="S3692">
        <v>3.0526430000000002</v>
      </c>
      <c r="T3692">
        <v>-3.3775569999999998E-2</v>
      </c>
      <c r="U3692">
        <v>-1.580811E-2</v>
      </c>
      <c r="V3692">
        <v>-4.8843949999999997E-2</v>
      </c>
      <c r="W3692">
        <v>0.17884910000000001</v>
      </c>
      <c r="X3692">
        <v>0.98266330000000002</v>
      </c>
      <c r="Y3692">
        <v>-8.0465690000000006E-2</v>
      </c>
      <c r="Z3692">
        <v>1.0846089999999901E-3</v>
      </c>
      <c r="AA3692">
        <v>0.9967568</v>
      </c>
      <c r="AB3692">
        <v>22</v>
      </c>
      <c r="AC3692">
        <v>101.18219999999999</v>
      </c>
      <c r="AD3692">
        <v>-1.1219991527772999</v>
      </c>
      <c r="AE3692">
        <v>-0.50729999999998598</v>
      </c>
      <c r="AF3692">
        <v>-8.1582919519238501</v>
      </c>
      <c r="AG3692">
        <v>-1.1219991527772999</v>
      </c>
      <c r="AH3692">
        <v>100.841558509683</v>
      </c>
      <c r="AI3692">
        <v>90.635391175513902</v>
      </c>
      <c r="AJ3692">
        <v>94.625274324333503</v>
      </c>
      <c r="AK3692">
        <v>101.17725303808901</v>
      </c>
      <c r="AL3692">
        <v>79.697269127234705</v>
      </c>
      <c r="AM3692">
        <v>92.845583882166494</v>
      </c>
      <c r="AN3692">
        <v>0.99999994659464997</v>
      </c>
    </row>
    <row r="3693" spans="1:40" x14ac:dyDescent="0.25">
      <c r="A3693" t="str">
        <f>"20190303170326118"</f>
        <v>20190303170326118</v>
      </c>
      <c r="B3693" t="str">
        <f>"1551603806109296"</f>
        <v>1551603806109296</v>
      </c>
      <c r="C3693" t="s">
        <v>40</v>
      </c>
      <c r="D3693">
        <v>4.3547520000000004</v>
      </c>
      <c r="E3693">
        <v>0.49244789999999999</v>
      </c>
      <c r="F3693" t="s">
        <v>62</v>
      </c>
      <c r="G3693">
        <v>-357.8766</v>
      </c>
      <c r="H3693" s="1">
        <v>2.6991109999999998E-6</v>
      </c>
      <c r="I3693">
        <v>213.60210000000001</v>
      </c>
      <c r="J3693">
        <v>-463.56470000000002</v>
      </c>
      <c r="K3693">
        <v>1.1219870000000001</v>
      </c>
      <c r="L3693">
        <v>213.9796</v>
      </c>
      <c r="M3693">
        <v>0.99645099999999998</v>
      </c>
      <c r="N3693">
        <v>-6.5442670000000003E-3</v>
      </c>
      <c r="O3693">
        <v>-8.392107E-2</v>
      </c>
      <c r="P3693">
        <v>0.98428919999999998</v>
      </c>
      <c r="Q3693">
        <v>0.173177</v>
      </c>
      <c r="R3693">
        <v>-3.4421159999999999E-2</v>
      </c>
      <c r="S3693">
        <v>3.0528559999999998</v>
      </c>
      <c r="T3693">
        <v>-3.2342669999999997E-2</v>
      </c>
      <c r="U3693">
        <v>-1.1367800000000001E-2</v>
      </c>
      <c r="V3693">
        <v>-4.874349E-2</v>
      </c>
      <c r="W3693">
        <v>0.17949229999999899</v>
      </c>
      <c r="X3693">
        <v>0.98255110000000001</v>
      </c>
      <c r="Y3693">
        <v>-8.0203830000000004E-2</v>
      </c>
      <c r="Z3693">
        <v>1.025813E-3</v>
      </c>
      <c r="AA3693">
        <v>0.99677800000000005</v>
      </c>
      <c r="AB3693">
        <v>22</v>
      </c>
      <c r="AC3693">
        <v>105.68810000000001</v>
      </c>
      <c r="AD3693">
        <v>-1.121984300889</v>
      </c>
      <c r="AE3693">
        <v>-0.377499999999997</v>
      </c>
      <c r="AF3693">
        <v>-8.4925222582487692</v>
      </c>
      <c r="AG3693">
        <v>-1.121984300889</v>
      </c>
      <c r="AH3693">
        <v>105.335069096456</v>
      </c>
      <c r="AI3693">
        <v>90.608293499662807</v>
      </c>
      <c r="AJ3693">
        <v>94.609438022749003</v>
      </c>
      <c r="AK3693">
        <v>105.682820574743</v>
      </c>
      <c r="AL3693">
        <v>79.659811285117598</v>
      </c>
      <c r="AM3693">
        <v>92.840064551594907</v>
      </c>
      <c r="AN3693">
        <v>1.0000000388439301</v>
      </c>
    </row>
    <row r="3694" spans="1:40" x14ac:dyDescent="0.25">
      <c r="A3694" t="str">
        <f>"20190303170326141"</f>
        <v>20190303170326141</v>
      </c>
      <c r="B3694" t="str">
        <f>"1551603806128815"</f>
        <v>1551603806128815</v>
      </c>
      <c r="C3694" t="s">
        <v>40</v>
      </c>
      <c r="D3694">
        <v>4.5728770000000001</v>
      </c>
      <c r="E3694">
        <v>0.49270609999999998</v>
      </c>
      <c r="F3694" t="s">
        <v>62</v>
      </c>
      <c r="G3694">
        <v>-351.78890000000001</v>
      </c>
      <c r="H3694" s="1">
        <v>-5.449029E-7</v>
      </c>
      <c r="I3694">
        <v>213.70259999999999</v>
      </c>
      <c r="J3694">
        <v>-463.3356</v>
      </c>
      <c r="K3694">
        <v>1.121964</v>
      </c>
      <c r="L3694">
        <v>213.9624</v>
      </c>
      <c r="M3694">
        <v>0.99660219999999999</v>
      </c>
      <c r="N3694">
        <v>-6.3271530000000003E-3</v>
      </c>
      <c r="O3694">
        <v>-8.2124409999999995E-2</v>
      </c>
      <c r="P3694">
        <v>0.98451979999999994</v>
      </c>
      <c r="Q3694">
        <v>0.17226649999999999</v>
      </c>
      <c r="R3694">
        <v>-3.2337419999999999E-2</v>
      </c>
      <c r="S3694">
        <v>3.0530089999999999</v>
      </c>
      <c r="T3694">
        <v>-3.064561E-2</v>
      </c>
      <c r="U3694">
        <v>-7.5683590000000002E-3</v>
      </c>
      <c r="V3694">
        <v>-4.9068540000000001E-2</v>
      </c>
      <c r="W3694">
        <v>0.17836729999999901</v>
      </c>
      <c r="X3694">
        <v>0.98273969999999999</v>
      </c>
      <c r="Y3694">
        <v>-7.9648109999999994E-2</v>
      </c>
      <c r="Z3694">
        <v>9.5526789999999997E-4</v>
      </c>
      <c r="AA3694">
        <v>0.9968226</v>
      </c>
      <c r="AB3694">
        <v>22</v>
      </c>
      <c r="AC3694">
        <v>111.5467</v>
      </c>
      <c r="AD3694">
        <v>-1.1219645449029001</v>
      </c>
      <c r="AE3694">
        <v>-0.25980000000001202</v>
      </c>
      <c r="AF3694">
        <v>-8.9010655938185401</v>
      </c>
      <c r="AG3694">
        <v>-1.1219645449029001</v>
      </c>
      <c r="AH3694">
        <v>111.179978329484</v>
      </c>
      <c r="AI3694">
        <v>90.576332548882604</v>
      </c>
      <c r="AJ3694">
        <v>94.577335351226097</v>
      </c>
      <c r="AK3694">
        <v>111.54136163096599</v>
      </c>
      <c r="AL3694">
        <v>79.725325580499501</v>
      </c>
      <c r="AM3694">
        <v>92.858424677004095</v>
      </c>
      <c r="AN3694">
        <v>0.99999996664155499</v>
      </c>
    </row>
    <row r="3695" spans="1:40" x14ac:dyDescent="0.25">
      <c r="A3695" t="str">
        <f>"20190303170326161"</f>
        <v>20190303170326161</v>
      </c>
      <c r="B3695" t="str">
        <f>"1551603806149311"</f>
        <v>1551603806149311</v>
      </c>
      <c r="C3695" t="s">
        <v>40</v>
      </c>
      <c r="D3695">
        <v>4.5622629999999997</v>
      </c>
      <c r="E3695">
        <v>0.49990869999999998</v>
      </c>
      <c r="F3695" t="s">
        <v>62</v>
      </c>
      <c r="G3695">
        <v>-361.24979999999999</v>
      </c>
      <c r="H3695" s="1">
        <v>-8.7170619999999999E-7</v>
      </c>
      <c r="I3695">
        <v>213.82509999999999</v>
      </c>
      <c r="J3695">
        <v>-463.1318</v>
      </c>
      <c r="K3695">
        <v>1.1219319999999999</v>
      </c>
      <c r="L3695">
        <v>213.94730000000001</v>
      </c>
      <c r="M3695">
        <v>0.9967336</v>
      </c>
      <c r="N3695">
        <v>-6.1381450000000002E-3</v>
      </c>
      <c r="O3695">
        <v>-8.0525470000000002E-2</v>
      </c>
      <c r="P3695">
        <v>0.98480559999999995</v>
      </c>
      <c r="Q3695">
        <v>0.1709772</v>
      </c>
      <c r="R3695">
        <v>-3.0405499999999999E-2</v>
      </c>
      <c r="S3695">
        <v>3.0529790000000001</v>
      </c>
      <c r="T3695">
        <v>-3.3553479999999997E-2</v>
      </c>
      <c r="U3695">
        <v>-4.1046140000000004E-3</v>
      </c>
      <c r="V3695">
        <v>-4.9439459999999998E-2</v>
      </c>
      <c r="W3695">
        <v>0.17689099999999999</v>
      </c>
      <c r="X3695">
        <v>0.98298790000000003</v>
      </c>
      <c r="Y3695">
        <v>-7.9178449999999997E-2</v>
      </c>
      <c r="Z3695">
        <v>1.067672E-3</v>
      </c>
      <c r="AA3695">
        <v>0.99685990000000002</v>
      </c>
      <c r="AB3695">
        <v>23</v>
      </c>
      <c r="AC3695">
        <v>101.88200000000001</v>
      </c>
      <c r="AD3695">
        <v>-1.12193287170619</v>
      </c>
      <c r="AE3695">
        <v>-0.12220000000002</v>
      </c>
      <c r="AF3695">
        <v>-8.0814677593824005</v>
      </c>
      <c r="AG3695">
        <v>-1.12193287170619</v>
      </c>
      <c r="AH3695">
        <v>101.548656942406</v>
      </c>
      <c r="AI3695">
        <v>90.630996331562301</v>
      </c>
      <c r="AJ3695">
        <v>94.550135776548998</v>
      </c>
      <c r="AK3695">
        <v>101.875897941177</v>
      </c>
      <c r="AL3695">
        <v>79.811278029796696</v>
      </c>
      <c r="AM3695">
        <v>92.879269941012694</v>
      </c>
      <c r="AN3695">
        <v>0.99999994881624898</v>
      </c>
    </row>
    <row r="3696" spans="1:40" x14ac:dyDescent="0.25">
      <c r="A3696" t="str">
        <f>"20190303170326183"</f>
        <v>20190303170326183</v>
      </c>
      <c r="B3696" t="str">
        <f>"1551603806179567"</f>
        <v>1551603806179567</v>
      </c>
      <c r="C3696" t="s">
        <v>40</v>
      </c>
      <c r="D3696">
        <v>4.8608159999999998</v>
      </c>
      <c r="E3696">
        <v>0.49850919999999999</v>
      </c>
      <c r="F3696" t="s">
        <v>62</v>
      </c>
      <c r="G3696">
        <v>-451.34440000000001</v>
      </c>
      <c r="H3696" s="1">
        <v>-7.8550110000000001E-7</v>
      </c>
      <c r="I3696">
        <v>213.79599999999999</v>
      </c>
      <c r="J3696">
        <v>-462.89909999999998</v>
      </c>
      <c r="K3696">
        <v>1.1218999999999999</v>
      </c>
      <c r="L3696">
        <v>213.93049999999999</v>
      </c>
      <c r="M3696">
        <v>0.99688049999999995</v>
      </c>
      <c r="N3696">
        <v>-5.9298129999999999E-3</v>
      </c>
      <c r="O3696">
        <v>-7.8703709999999996E-2</v>
      </c>
      <c r="P3696">
        <v>0.98487259999999999</v>
      </c>
      <c r="Q3696">
        <v>0.17086509999999999</v>
      </c>
      <c r="R3696">
        <v>-2.883142E-2</v>
      </c>
      <c r="S3696">
        <v>3.096222</v>
      </c>
      <c r="T3696">
        <v>-0.2947013</v>
      </c>
      <c r="U3696">
        <v>-3.9764399999999998E-2</v>
      </c>
      <c r="V3696">
        <v>-4.922108E-2</v>
      </c>
      <c r="W3696">
        <v>0.17657320000000001</v>
      </c>
      <c r="X3696">
        <v>0.98305609999999999</v>
      </c>
      <c r="Y3696">
        <v>-6.5271270000000006E-2</v>
      </c>
      <c r="Z3696">
        <v>1.029418E-2</v>
      </c>
      <c r="AA3696">
        <v>0.99781450000000005</v>
      </c>
      <c r="AB3696">
        <v>23</v>
      </c>
      <c r="AC3696">
        <v>11.554699999999899</v>
      </c>
      <c r="AD3696">
        <v>-1.1219007855010901</v>
      </c>
      <c r="AE3696">
        <v>-0.13450000000000201</v>
      </c>
      <c r="AF3696">
        <v>-0.76809078531173203</v>
      </c>
      <c r="AG3696">
        <v>-1.1219007855010901</v>
      </c>
      <c r="AH3696">
        <v>11.421779496855599</v>
      </c>
      <c r="AI3696">
        <v>95.597303583393796</v>
      </c>
      <c r="AJ3696">
        <v>93.847228912384494</v>
      </c>
      <c r="AK3696">
        <v>11.502420254093501</v>
      </c>
      <c r="AL3696">
        <v>79.829778903015395</v>
      </c>
      <c r="AM3696">
        <v>92.866374583036801</v>
      </c>
      <c r="AN3696">
        <v>1.0000000527109001</v>
      </c>
    </row>
    <row r="3697" spans="1:40" x14ac:dyDescent="0.25">
      <c r="A3697" t="str">
        <f>"20190303170326205"</f>
        <v>20190303170326205</v>
      </c>
      <c r="B3697" t="str">
        <f>"1551603806199088"</f>
        <v>1551603806199088</v>
      </c>
      <c r="C3697" t="s">
        <v>40</v>
      </c>
      <c r="D3697">
        <v>4.275576</v>
      </c>
      <c r="E3697">
        <v>0.50084659999999903</v>
      </c>
      <c r="F3697" t="s">
        <v>62</v>
      </c>
      <c r="G3697">
        <v>-450.94729999999998</v>
      </c>
      <c r="H3697" s="1">
        <v>-9.9865279999999995E-7</v>
      </c>
      <c r="I3697">
        <v>213.83760000000001</v>
      </c>
      <c r="J3697">
        <v>-462.67430000000002</v>
      </c>
      <c r="K3697">
        <v>1.1218950000000001</v>
      </c>
      <c r="L3697">
        <v>213.91470000000001</v>
      </c>
      <c r="M3697">
        <v>0.99701879999999998</v>
      </c>
      <c r="N3697">
        <v>-5.7416359999999996E-3</v>
      </c>
      <c r="O3697">
        <v>-7.6945070000000004E-2</v>
      </c>
      <c r="P3697">
        <v>0.98471350000000002</v>
      </c>
      <c r="Q3697">
        <v>0.17203160000000001</v>
      </c>
      <c r="R3697">
        <v>-2.7282689999999998E-2</v>
      </c>
      <c r="S3697">
        <v>3.0957949999999999</v>
      </c>
      <c r="T3697">
        <v>-0.29059790000000002</v>
      </c>
      <c r="U3697">
        <v>-2.4078370000000002E-2</v>
      </c>
      <c r="V3697">
        <v>-4.90248E-2</v>
      </c>
      <c r="W3697">
        <v>0.17755270000000001</v>
      </c>
      <c r="X3697">
        <v>0.98288940000000002</v>
      </c>
      <c r="Y3697">
        <v>-6.8572110000000006E-2</v>
      </c>
      <c r="Z3697">
        <v>1.016824E-2</v>
      </c>
      <c r="AA3697">
        <v>0.99759439999999999</v>
      </c>
      <c r="AB3697">
        <v>23</v>
      </c>
      <c r="AC3697">
        <v>11.727</v>
      </c>
      <c r="AD3697">
        <v>-1.1218959986528001</v>
      </c>
      <c r="AE3697">
        <v>-7.7100000000001501E-2</v>
      </c>
      <c r="AF3697">
        <v>-0.81799208959178404</v>
      </c>
      <c r="AG3697">
        <v>-1.1218959986528001</v>
      </c>
      <c r="AH3697">
        <v>11.5920749398315</v>
      </c>
      <c r="AI3697">
        <v>95.5143160548662</v>
      </c>
      <c r="AJ3697">
        <v>94.036372761501895</v>
      </c>
      <c r="AK3697">
        <v>11.6749288263825</v>
      </c>
      <c r="AL3697">
        <v>79.772755983776193</v>
      </c>
      <c r="AM3697">
        <v>92.855446631670105</v>
      </c>
      <c r="AN3697">
        <v>0.99999998246234501</v>
      </c>
    </row>
    <row r="3698" spans="1:40" x14ac:dyDescent="0.25">
      <c r="A3698" t="str">
        <f>"20190303170326228"</f>
        <v>20190303170326228</v>
      </c>
      <c r="B3698" t="str">
        <f>"1551603806219584"</f>
        <v>1551603806219584</v>
      </c>
      <c r="C3698" t="s">
        <v>40</v>
      </c>
      <c r="D3698">
        <v>4.343197</v>
      </c>
      <c r="E3698">
        <v>0.50268919999999995</v>
      </c>
      <c r="F3698" t="s">
        <v>62</v>
      </c>
      <c r="G3698">
        <v>-447.13799999999998</v>
      </c>
      <c r="H3698" s="1">
        <v>2.3015439999999998E-6</v>
      </c>
      <c r="I3698">
        <v>213.70519999999999</v>
      </c>
      <c r="J3698">
        <v>-462.44209999999998</v>
      </c>
      <c r="K3698">
        <v>1.1218840000000001</v>
      </c>
      <c r="L3698">
        <v>213.89879999999999</v>
      </c>
      <c r="M3698">
        <v>0.99715799999999999</v>
      </c>
      <c r="N3698">
        <v>-5.5660079999999999E-3</v>
      </c>
      <c r="O3698">
        <v>-7.5132939999999995E-2</v>
      </c>
      <c r="P3698">
        <v>0.98466710000000002</v>
      </c>
      <c r="Q3698">
        <v>0.17242499999999999</v>
      </c>
      <c r="R3698">
        <v>-2.6469679999999999E-2</v>
      </c>
      <c r="S3698">
        <v>3.08432</v>
      </c>
      <c r="T3698">
        <v>-0.22272310000000001</v>
      </c>
      <c r="U3698">
        <v>-4.1610719999999997E-2</v>
      </c>
      <c r="V3698">
        <v>-4.8050780000000001E-2</v>
      </c>
      <c r="W3698">
        <v>0.17777370000000001</v>
      </c>
      <c r="X3698">
        <v>0.98289760000000004</v>
      </c>
      <c r="Y3698">
        <v>-6.1337330000000002E-2</v>
      </c>
      <c r="Z3698">
        <v>7.3782090000000002E-3</v>
      </c>
      <c r="AA3698">
        <v>0.99808980000000003</v>
      </c>
      <c r="AB3698">
        <v>23</v>
      </c>
      <c r="AC3698">
        <v>15.304099999999901</v>
      </c>
      <c r="AD3698">
        <v>-1.1218816984559901</v>
      </c>
      <c r="AE3698">
        <v>-0.19360000000000299</v>
      </c>
      <c r="AF3698">
        <v>-0.95169369341767796</v>
      </c>
      <c r="AG3698">
        <v>-1.1218816984559901</v>
      </c>
      <c r="AH3698">
        <v>15.193753411699101</v>
      </c>
      <c r="AI3698">
        <v>94.214732209869297</v>
      </c>
      <c r="AJ3698">
        <v>93.584162906862005</v>
      </c>
      <c r="AK3698">
        <v>15.2648118942534</v>
      </c>
      <c r="AL3698">
        <v>79.759889400086806</v>
      </c>
      <c r="AM3698">
        <v>92.798782697180002</v>
      </c>
      <c r="AN3698">
        <v>1.00000002897802</v>
      </c>
    </row>
    <row r="3699" spans="1:40" x14ac:dyDescent="0.25">
      <c r="A3699" t="str">
        <f>"20190303170326251"</f>
        <v>20190303170326251</v>
      </c>
      <c r="B3699" t="str">
        <f>"1551603806239104"</f>
        <v>1551603806239104</v>
      </c>
      <c r="C3699" t="s">
        <v>40</v>
      </c>
      <c r="D3699">
        <v>4.3804639999999999</v>
      </c>
      <c r="E3699">
        <v>0.50402930000000001</v>
      </c>
      <c r="F3699" t="s">
        <v>62</v>
      </c>
      <c r="G3699">
        <v>-445.39940000000001</v>
      </c>
      <c r="H3699" s="1">
        <v>1.381091E-6</v>
      </c>
      <c r="I3699">
        <v>213.5958</v>
      </c>
      <c r="J3699">
        <v>-462.20839999999998</v>
      </c>
      <c r="K3699">
        <v>1.121875</v>
      </c>
      <c r="L3699">
        <v>213.88319999999999</v>
      </c>
      <c r="M3699">
        <v>0.99729460000000003</v>
      </c>
      <c r="N3699">
        <v>-5.4093830000000002E-3</v>
      </c>
      <c r="O3699">
        <v>-7.3311310000000005E-2</v>
      </c>
      <c r="P3699">
        <v>0.98486620000000002</v>
      </c>
      <c r="Q3699">
        <v>0.17137269999999999</v>
      </c>
      <c r="R3699">
        <v>-2.5886349999999999E-2</v>
      </c>
      <c r="S3699">
        <v>3.0807500000000001</v>
      </c>
      <c r="T3699">
        <v>-0.2027986</v>
      </c>
      <c r="U3699">
        <v>-5.4779050000000003E-2</v>
      </c>
      <c r="V3699">
        <v>-4.6852320000000003E-2</v>
      </c>
      <c r="W3699">
        <v>0.176570899999999</v>
      </c>
      <c r="X3699">
        <v>0.98317220000000005</v>
      </c>
      <c r="Y3699">
        <v>-5.5307530000000001E-2</v>
      </c>
      <c r="Z3699">
        <v>6.3878519999999899E-3</v>
      </c>
      <c r="AA3699">
        <v>0.99844889999999997</v>
      </c>
      <c r="AB3699">
        <v>23</v>
      </c>
      <c r="AC3699">
        <v>16.808999999999902</v>
      </c>
      <c r="AD3699">
        <v>-1.1218736189089999</v>
      </c>
      <c r="AE3699">
        <v>-0.287399999999991</v>
      </c>
      <c r="AF3699">
        <v>-0.94148833849444202</v>
      </c>
      <c r="AG3699">
        <v>-1.1218736189089999</v>
      </c>
      <c r="AH3699">
        <v>16.7104217163686</v>
      </c>
      <c r="AI3699">
        <v>93.834791728995995</v>
      </c>
      <c r="AJ3699">
        <v>93.224714450037695</v>
      </c>
      <c r="AK3699">
        <v>16.774480458339401</v>
      </c>
      <c r="AL3699">
        <v>79.829912232139506</v>
      </c>
      <c r="AM3699">
        <v>92.728322572084807</v>
      </c>
      <c r="AN3699">
        <v>0.99999999873451595</v>
      </c>
    </row>
    <row r="3700" spans="1:40" x14ac:dyDescent="0.25">
      <c r="A3700" t="str">
        <f>"20190303170326273"</f>
        <v>20190303170326273</v>
      </c>
      <c r="B3700" t="str">
        <f>"1551603806269359"</f>
        <v>1551603806269359</v>
      </c>
      <c r="C3700" t="s">
        <v>40</v>
      </c>
      <c r="D3700">
        <v>4.3554250000000003</v>
      </c>
      <c r="E3700">
        <v>0.50564920000000002</v>
      </c>
      <c r="F3700" t="s">
        <v>62</v>
      </c>
      <c r="G3700">
        <v>-444.2124</v>
      </c>
      <c r="H3700" s="1">
        <v>7.5319879999999898E-7</v>
      </c>
      <c r="I3700">
        <v>213.5095</v>
      </c>
      <c r="J3700">
        <v>-461.98500000000001</v>
      </c>
      <c r="K3700">
        <v>1.1218669999999999</v>
      </c>
      <c r="L3700">
        <v>213.86869999999999</v>
      </c>
      <c r="M3700">
        <v>0.99742149999999996</v>
      </c>
      <c r="N3700">
        <v>-5.2770949999999999E-3</v>
      </c>
      <c r="O3700">
        <v>-7.1572570000000002E-2</v>
      </c>
      <c r="P3700">
        <v>0.98523579999999999</v>
      </c>
      <c r="Q3700">
        <v>0.16921820000000001</v>
      </c>
      <c r="R3700">
        <v>-2.599603E-2</v>
      </c>
      <c r="S3700">
        <v>3.07782</v>
      </c>
      <c r="T3700">
        <v>-0.1918714</v>
      </c>
      <c r="U3700">
        <v>-6.3919069999999995E-2</v>
      </c>
      <c r="V3700">
        <v>-4.5053240000000001E-2</v>
      </c>
      <c r="W3700">
        <v>0.17429169999999999</v>
      </c>
      <c r="X3700">
        <v>0.98366279999999995</v>
      </c>
      <c r="Y3700">
        <v>-5.062556E-2</v>
      </c>
      <c r="Z3700">
        <v>5.7857400000000002E-3</v>
      </c>
      <c r="AA3700">
        <v>0.9987009</v>
      </c>
      <c r="AB3700">
        <v>23</v>
      </c>
      <c r="AC3700">
        <v>17.772600000000001</v>
      </c>
      <c r="AD3700">
        <v>-1.1218662468012</v>
      </c>
      <c r="AE3700">
        <v>-0.35919999999998697</v>
      </c>
      <c r="AF3700">
        <v>-0.91014447571584101</v>
      </c>
      <c r="AG3700">
        <v>-1.1218662468012</v>
      </c>
      <c r="AH3700">
        <v>17.682300862028502</v>
      </c>
      <c r="AI3700">
        <v>93.625519231014707</v>
      </c>
      <c r="AJ3700">
        <v>92.946531563275201</v>
      </c>
      <c r="AK3700">
        <v>17.741215026532998</v>
      </c>
      <c r="AL3700">
        <v>79.962557398818106</v>
      </c>
      <c r="AM3700">
        <v>92.622400413395596</v>
      </c>
      <c r="AN3700">
        <v>0.99999994761361199</v>
      </c>
    </row>
    <row r="3701" spans="1:40" x14ac:dyDescent="0.25">
      <c r="A3701" t="str">
        <f>"20190303170326296"</f>
        <v>20190303170326296</v>
      </c>
      <c r="B3701" t="str">
        <f>"1551603806288879"</f>
        <v>1551603806288879</v>
      </c>
      <c r="C3701" t="s">
        <v>40</v>
      </c>
      <c r="D3701">
        <v>4.3817680000000001</v>
      </c>
      <c r="E3701">
        <v>0.506355</v>
      </c>
      <c r="F3701" t="s">
        <v>62</v>
      </c>
      <c r="G3701">
        <v>-443.2482</v>
      </c>
      <c r="H3701" s="1">
        <v>2.4528809999999998E-7</v>
      </c>
      <c r="I3701">
        <v>213.39150000000001</v>
      </c>
      <c r="J3701">
        <v>-461.7407</v>
      </c>
      <c r="K3701">
        <v>1.1218649999999999</v>
      </c>
      <c r="L3701">
        <v>213.85329999999999</v>
      </c>
      <c r="M3701">
        <v>0.99755640000000001</v>
      </c>
      <c r="N3701">
        <v>-5.1502739999999998E-3</v>
      </c>
      <c r="O3701">
        <v>-6.9675669999999995E-2</v>
      </c>
      <c r="P3701">
        <v>0.98554660000000005</v>
      </c>
      <c r="Q3701">
        <v>0.16751079999999999</v>
      </c>
      <c r="R3701">
        <v>-2.526111E-2</v>
      </c>
      <c r="S3701">
        <v>3.0744929999999999</v>
      </c>
      <c r="T3701">
        <v>-0.18408540000000001</v>
      </c>
      <c r="U3701">
        <v>-7.830811E-2</v>
      </c>
      <c r="V3701">
        <v>-4.393623E-2</v>
      </c>
      <c r="W3701">
        <v>0.17246310000000001</v>
      </c>
      <c r="X3701">
        <v>0.98403560000000001</v>
      </c>
      <c r="Y3701">
        <v>-4.4064319999999997E-2</v>
      </c>
      <c r="Z3701">
        <v>5.2365520000000002E-3</v>
      </c>
      <c r="AA3701">
        <v>0.99901499999999999</v>
      </c>
      <c r="AB3701">
        <v>23</v>
      </c>
      <c r="AC3701">
        <v>18.4925</v>
      </c>
      <c r="AD3701">
        <v>-1.1218647547118901</v>
      </c>
      <c r="AE3701">
        <v>-0.461799999999982</v>
      </c>
      <c r="AF3701">
        <v>-0.82478315963086701</v>
      </c>
      <c r="AG3701">
        <v>-1.1218647547118901</v>
      </c>
      <c r="AH3701">
        <v>18.412012567640399</v>
      </c>
      <c r="AI3701">
        <v>93.483301347916793</v>
      </c>
      <c r="AJ3701">
        <v>92.564902796373403</v>
      </c>
      <c r="AK3701">
        <v>18.4645892068907</v>
      </c>
      <c r="AL3701">
        <v>80.068939994040804</v>
      </c>
      <c r="AM3701">
        <v>92.556502761641596</v>
      </c>
      <c r="AN3701">
        <v>0.99999998761779096</v>
      </c>
    </row>
    <row r="3702" spans="1:40" x14ac:dyDescent="0.25">
      <c r="A3702" t="str">
        <f>"20190303170326319"</f>
        <v>20190303170326319</v>
      </c>
      <c r="B3702" t="str">
        <f>"1551603806309376"</f>
        <v>1551603806309376</v>
      </c>
      <c r="C3702" t="s">
        <v>40</v>
      </c>
      <c r="D3702">
        <v>4.5416809999999996</v>
      </c>
      <c r="E3702">
        <v>0.50665819999999995</v>
      </c>
      <c r="F3702" t="s">
        <v>62</v>
      </c>
      <c r="G3702">
        <v>-442.7758</v>
      </c>
      <c r="H3702" s="1">
        <v>-3.9115060000000002E-9</v>
      </c>
      <c r="I3702">
        <v>213.34139999999999</v>
      </c>
      <c r="J3702">
        <v>-461.49979999999999</v>
      </c>
      <c r="K3702">
        <v>1.1218539999999999</v>
      </c>
      <c r="L3702">
        <v>213.83850000000001</v>
      </c>
      <c r="M3702">
        <v>0.99768449999999997</v>
      </c>
      <c r="N3702">
        <v>-5.0435660000000002E-3</v>
      </c>
      <c r="O3702">
        <v>-6.7825549999999998E-2</v>
      </c>
      <c r="P3702">
        <v>0.98565959999999997</v>
      </c>
      <c r="Q3702">
        <v>0.16678950000000001</v>
      </c>
      <c r="R3702">
        <v>-2.561776E-2</v>
      </c>
      <c r="S3702">
        <v>3.0727229999999999</v>
      </c>
      <c r="T3702">
        <v>-0.18176629999999999</v>
      </c>
      <c r="U3702">
        <v>-8.2931519999999995E-2</v>
      </c>
      <c r="V3702">
        <v>-4.1761230000000003E-2</v>
      </c>
      <c r="W3702">
        <v>0.17164289999999999</v>
      </c>
      <c r="X3702">
        <v>0.98427370000000003</v>
      </c>
      <c r="Y3702">
        <v>-4.0707989999999999E-2</v>
      </c>
      <c r="Z3702">
        <v>4.9682609999999999E-3</v>
      </c>
      <c r="AA3702">
        <v>0.99915869999999996</v>
      </c>
      <c r="AB3702">
        <v>24</v>
      </c>
      <c r="AC3702">
        <v>18.723999999999901</v>
      </c>
      <c r="AD3702">
        <v>-1.1218540039114999</v>
      </c>
      <c r="AE3702">
        <v>-0.49710000000001697</v>
      </c>
      <c r="AF3702">
        <v>-0.77125968676096002</v>
      </c>
      <c r="AG3702">
        <v>-1.1218540039114999</v>
      </c>
      <c r="AH3702">
        <v>18.647702542404001</v>
      </c>
      <c r="AI3702">
        <v>93.439856082214007</v>
      </c>
      <c r="AJ3702">
        <v>92.368375056968304</v>
      </c>
      <c r="AK3702">
        <v>18.6973315748664</v>
      </c>
      <c r="AL3702">
        <v>80.116645525367801</v>
      </c>
      <c r="AM3702">
        <v>92.429515276006597</v>
      </c>
      <c r="AN3702">
        <v>1.0000000009815999</v>
      </c>
    </row>
    <row r="3703" spans="1:40" x14ac:dyDescent="0.25">
      <c r="A3703" t="str">
        <f>"20190303170326340"</f>
        <v>20190303170326340</v>
      </c>
      <c r="B3703" t="str">
        <f>"1551603806328895"</f>
        <v>1551603806328895</v>
      </c>
      <c r="C3703" t="s">
        <v>40</v>
      </c>
      <c r="D3703">
        <v>4.5381099999999996</v>
      </c>
      <c r="E3703">
        <v>0.50707239999999998</v>
      </c>
      <c r="F3703" t="s">
        <v>62</v>
      </c>
      <c r="G3703">
        <v>-442.01760000000002</v>
      </c>
      <c r="H3703" s="1">
        <v>-4.0496829999999998E-7</v>
      </c>
      <c r="I3703">
        <v>213.28630000000001</v>
      </c>
      <c r="J3703">
        <v>-461.2724</v>
      </c>
      <c r="K3703">
        <v>1.1218349999999999</v>
      </c>
      <c r="L3703">
        <v>213.82499999999999</v>
      </c>
      <c r="M3703">
        <v>0.99780069999999998</v>
      </c>
      <c r="N3703">
        <v>-4.9559010000000004E-3</v>
      </c>
      <c r="O3703">
        <v>-6.6099679999999994E-2</v>
      </c>
      <c r="P3703">
        <v>0.98581490000000005</v>
      </c>
      <c r="Q3703">
        <v>0.16566529999999999</v>
      </c>
      <c r="R3703">
        <v>-2.6907339999999998E-2</v>
      </c>
      <c r="S3703">
        <v>3.0713499999999998</v>
      </c>
      <c r="T3703">
        <v>-0.17685909999999999</v>
      </c>
      <c r="U3703">
        <v>-8.7051390000000006E-2</v>
      </c>
      <c r="V3703">
        <v>-3.8776739999999997E-2</v>
      </c>
      <c r="W3703">
        <v>0.1704426</v>
      </c>
      <c r="X3703">
        <v>0.98460440000000005</v>
      </c>
      <c r="Y3703">
        <v>-3.7645400000000002E-2</v>
      </c>
      <c r="Z3703">
        <v>4.6479909999999998E-3</v>
      </c>
      <c r="AA3703">
        <v>0.99928030000000001</v>
      </c>
      <c r="AB3703">
        <v>24</v>
      </c>
      <c r="AC3703">
        <v>19.2547999999999</v>
      </c>
      <c r="AD3703">
        <v>-1.1218354049682999</v>
      </c>
      <c r="AE3703">
        <v>-0.53869999999997698</v>
      </c>
      <c r="AF3703">
        <v>-0.73274454164282199</v>
      </c>
      <c r="AG3703">
        <v>-1.1218354049682999</v>
      </c>
      <c r="AH3703">
        <v>19.183230315435701</v>
      </c>
      <c r="AI3703">
        <v>93.344412288136198</v>
      </c>
      <c r="AJ3703">
        <v>92.187471491861601</v>
      </c>
      <c r="AK3703">
        <v>19.229970217714801</v>
      </c>
      <c r="AL3703">
        <v>80.186446948948401</v>
      </c>
      <c r="AM3703">
        <v>92.255317925122</v>
      </c>
      <c r="AN3703">
        <v>1.0000000699795699</v>
      </c>
    </row>
    <row r="3704" spans="1:40" x14ac:dyDescent="0.25">
      <c r="A3704" t="str">
        <f>"20190303170326362"</f>
        <v>20190303170326362</v>
      </c>
      <c r="B3704" t="str">
        <f>"1551603806349392"</f>
        <v>1551603806349392</v>
      </c>
      <c r="C3704" t="s">
        <v>40</v>
      </c>
      <c r="D3704">
        <v>4.530761</v>
      </c>
      <c r="E3704">
        <v>0.50722120000000004</v>
      </c>
      <c r="F3704" t="s">
        <v>62</v>
      </c>
      <c r="G3704">
        <v>-441.61590000000001</v>
      </c>
      <c r="H3704" s="1">
        <v>-6.1566519999999996E-7</v>
      </c>
      <c r="I3704">
        <v>213.2157</v>
      </c>
      <c r="J3704">
        <v>-461.04239999999999</v>
      </c>
      <c r="K3704">
        <v>1.121807</v>
      </c>
      <c r="L3704">
        <v>213.8116</v>
      </c>
      <c r="M3704">
        <v>0.99791249999999998</v>
      </c>
      <c r="N3704">
        <v>-4.8794830000000004E-3</v>
      </c>
      <c r="O3704">
        <v>-6.4395670000000002E-2</v>
      </c>
      <c r="P3704">
        <v>0.98603669999999999</v>
      </c>
      <c r="Q3704">
        <v>0.164134</v>
      </c>
      <c r="R3704">
        <v>-2.814243E-2</v>
      </c>
      <c r="S3704">
        <v>3.0700069999999999</v>
      </c>
      <c r="T3704">
        <v>-0.17521139999999999</v>
      </c>
      <c r="U3704">
        <v>-9.5153810000000005E-2</v>
      </c>
      <c r="V3704">
        <v>-3.5865849999999998E-2</v>
      </c>
      <c r="W3704">
        <v>0.16884669999999999</v>
      </c>
      <c r="X3704">
        <v>0.98498960000000002</v>
      </c>
      <c r="Y3704">
        <v>-3.3303909999999999E-2</v>
      </c>
      <c r="Z3704">
        <v>4.3850520000000004E-3</v>
      </c>
      <c r="AA3704">
        <v>0.99943570000000004</v>
      </c>
      <c r="AB3704">
        <v>24</v>
      </c>
      <c r="AC3704">
        <v>19.426499999999901</v>
      </c>
      <c r="AD3704">
        <v>-1.1218076156651999</v>
      </c>
      <c r="AE3704">
        <v>-0.59589999999999999</v>
      </c>
      <c r="AF3704">
        <v>-0.65415493403070901</v>
      </c>
      <c r="AG3704">
        <v>-1.1218076156651999</v>
      </c>
      <c r="AH3704">
        <v>19.3600541754166</v>
      </c>
      <c r="AI3704">
        <v>93.314376772863298</v>
      </c>
      <c r="AJ3704">
        <v>91.935225111439806</v>
      </c>
      <c r="AK3704">
        <v>19.403558144818302</v>
      </c>
      <c r="AL3704">
        <v>80.279229855464195</v>
      </c>
      <c r="AM3704">
        <v>92.085356389053004</v>
      </c>
      <c r="AN3704">
        <v>1.0000000397026301</v>
      </c>
    </row>
    <row r="3705" spans="1:40" x14ac:dyDescent="0.25">
      <c r="A3705" t="str">
        <f>"20190303170326384"</f>
        <v>20190303170326384</v>
      </c>
      <c r="B3705" t="str">
        <f>"1551603806378671"</f>
        <v>1551603806378671</v>
      </c>
      <c r="C3705" t="s">
        <v>40</v>
      </c>
      <c r="D3705">
        <v>4.5348030000000001</v>
      </c>
      <c r="E3705">
        <v>0.50760509999999903</v>
      </c>
      <c r="F3705" t="s">
        <v>62</v>
      </c>
      <c r="G3705">
        <v>-441.34059999999999</v>
      </c>
      <c r="H3705" s="1">
        <v>-7.597636E-7</v>
      </c>
      <c r="I3705">
        <v>213.16130000000001</v>
      </c>
      <c r="J3705">
        <v>-460.80290000000002</v>
      </c>
      <c r="K3705">
        <v>1.121766</v>
      </c>
      <c r="L3705">
        <v>213.79810000000001</v>
      </c>
      <c r="M3705">
        <v>0.99802170000000001</v>
      </c>
      <c r="N3705">
        <v>-4.8109090000000004E-3</v>
      </c>
      <c r="O3705">
        <v>-6.2688969999999997E-2</v>
      </c>
      <c r="P3705">
        <v>0.98622109999999996</v>
      </c>
      <c r="Q3705">
        <v>0.16300510000000001</v>
      </c>
      <c r="R3705">
        <v>-2.8243870000000001E-2</v>
      </c>
      <c r="S3705">
        <v>3.0686339999999999</v>
      </c>
      <c r="T3705">
        <v>-0.17472650000000001</v>
      </c>
      <c r="U3705">
        <v>-0.1012878</v>
      </c>
      <c r="V3705">
        <v>-3.4074390000000003E-2</v>
      </c>
      <c r="W3705">
        <v>0.1676589</v>
      </c>
      <c r="X3705">
        <v>0.98525600000000002</v>
      </c>
      <c r="Y3705">
        <v>-2.9594180000000001E-2</v>
      </c>
      <c r="Z3705">
        <v>4.1743279999999997E-3</v>
      </c>
      <c r="AA3705">
        <v>0.99955329999999998</v>
      </c>
      <c r="AB3705">
        <v>24</v>
      </c>
      <c r="AC3705">
        <v>19.462299999999999</v>
      </c>
      <c r="AD3705">
        <v>-1.1217667597636001</v>
      </c>
      <c r="AE3705">
        <v>-0.63679999999999304</v>
      </c>
      <c r="AF3705">
        <v>-0.582604560969739</v>
      </c>
      <c r="AG3705">
        <v>-1.1217667597636001</v>
      </c>
      <c r="AH3705">
        <v>19.399560789647399</v>
      </c>
      <c r="AI3705">
        <v>93.307917226177807</v>
      </c>
      <c r="AJ3705">
        <v>91.720180820218701</v>
      </c>
      <c r="AK3705">
        <v>19.440698227404301</v>
      </c>
      <c r="AL3705">
        <v>80.3482694295421</v>
      </c>
      <c r="AM3705">
        <v>91.980745026799497</v>
      </c>
      <c r="AN3705">
        <v>0.99999997816954</v>
      </c>
    </row>
    <row r="3706" spans="1:40" x14ac:dyDescent="0.25">
      <c r="A3706" t="str">
        <f>"20190303170326407"</f>
        <v>20190303170326407</v>
      </c>
      <c r="B3706" t="str">
        <f>"1551603806399168"</f>
        <v>1551603806399168</v>
      </c>
      <c r="C3706" t="s">
        <v>40</v>
      </c>
      <c r="D3706">
        <v>4.2750219999999999</v>
      </c>
      <c r="E3706">
        <v>0.50776679999999996</v>
      </c>
      <c r="F3706" t="s">
        <v>62</v>
      </c>
      <c r="G3706">
        <v>-440.77140000000003</v>
      </c>
      <c r="H3706" s="1">
        <v>-1.060207E-6</v>
      </c>
      <c r="I3706">
        <v>213.1044</v>
      </c>
      <c r="J3706">
        <v>-460.548</v>
      </c>
      <c r="K3706">
        <v>1.1217010000000001</v>
      </c>
      <c r="L3706">
        <v>213.78399999999999</v>
      </c>
      <c r="M3706">
        <v>0.99812820000000002</v>
      </c>
      <c r="N3706">
        <v>-4.7484820000000001E-3</v>
      </c>
      <c r="O3706">
        <v>-6.0972430000000001E-2</v>
      </c>
      <c r="P3706">
        <v>0.98613300000000004</v>
      </c>
      <c r="Q3706">
        <v>0.16365350000000001</v>
      </c>
      <c r="R3706">
        <v>-2.7559509999999999E-2</v>
      </c>
      <c r="S3706">
        <v>3.0672299999999999</v>
      </c>
      <c r="T3706">
        <v>-0.17176540000000001</v>
      </c>
      <c r="U3706">
        <v>-0.1062164</v>
      </c>
      <c r="V3706">
        <v>-3.3036469999999998E-2</v>
      </c>
      <c r="W3706">
        <v>0.16825209999999999</v>
      </c>
      <c r="X3706">
        <v>0.98519020000000002</v>
      </c>
      <c r="Y3706">
        <v>-2.6267929999999998E-2</v>
      </c>
      <c r="Z3706">
        <v>3.9159879999999996E-3</v>
      </c>
      <c r="AA3706">
        <v>0.99964730000000002</v>
      </c>
      <c r="AB3706">
        <v>24</v>
      </c>
      <c r="AC3706">
        <v>19.776599999999899</v>
      </c>
      <c r="AD3706">
        <v>-1.121702060207</v>
      </c>
      <c r="AE3706">
        <v>-0.67960000000002097</v>
      </c>
      <c r="AF3706">
        <v>-0.52581580104787695</v>
      </c>
      <c r="AG3706">
        <v>-1.121702060207</v>
      </c>
      <c r="AH3706">
        <v>19.717883441688301</v>
      </c>
      <c r="AI3706">
        <v>93.254752665991703</v>
      </c>
      <c r="AJ3706">
        <v>91.527541633128394</v>
      </c>
      <c r="AK3706">
        <v>19.756761505583601</v>
      </c>
      <c r="AL3706">
        <v>80.313791564643907</v>
      </c>
      <c r="AM3706">
        <v>91.920584772458596</v>
      </c>
      <c r="AN3706">
        <v>0.99999995384025397</v>
      </c>
    </row>
    <row r="3707" spans="1:40" x14ac:dyDescent="0.25">
      <c r="A3707" t="str">
        <f>"20190303170326430"</f>
        <v>20190303170326430</v>
      </c>
      <c r="B3707" t="str">
        <f>"1551603806418687"</f>
        <v>1551603806418687</v>
      </c>
      <c r="C3707" t="s">
        <v>40</v>
      </c>
      <c r="D3707">
        <v>4.5390220000000001</v>
      </c>
      <c r="E3707">
        <v>0.50789640000000003</v>
      </c>
      <c r="F3707" t="s">
        <v>63</v>
      </c>
      <c r="G3707">
        <v>-439.85090000000002</v>
      </c>
      <c r="H3707" s="1">
        <v>6.720888E-6</v>
      </c>
      <c r="I3707">
        <v>213.06720000000001</v>
      </c>
      <c r="J3707">
        <v>-460.30889999999999</v>
      </c>
      <c r="K3707">
        <v>1.121626</v>
      </c>
      <c r="L3707">
        <v>213.77109999999999</v>
      </c>
      <c r="M3707">
        <v>0.99821879999999996</v>
      </c>
      <c r="N3707">
        <v>-4.6987419999999997E-3</v>
      </c>
      <c r="O3707">
        <v>-5.9477670000000003E-2</v>
      </c>
      <c r="P3707">
        <v>0.98600290000000002</v>
      </c>
      <c r="Q3707">
        <v>0.1645964</v>
      </c>
      <c r="R3707">
        <v>-2.6581359999999998E-2</v>
      </c>
      <c r="S3707">
        <v>3.0668329999999999</v>
      </c>
      <c r="T3707">
        <v>-0.1662091</v>
      </c>
      <c r="U3707">
        <v>-0.1062164</v>
      </c>
      <c r="V3707">
        <v>-3.2503829999999997E-2</v>
      </c>
      <c r="W3707">
        <v>0.16915169999999999</v>
      </c>
      <c r="X3707">
        <v>0.98505390000000004</v>
      </c>
      <c r="Y3707">
        <v>-2.4778749999999999E-2</v>
      </c>
      <c r="Z3707">
        <v>3.6674899999999998E-3</v>
      </c>
      <c r="AA3707">
        <v>0.99968619999999997</v>
      </c>
      <c r="AB3707">
        <v>24</v>
      </c>
      <c r="AC3707">
        <v>20.457999999999899</v>
      </c>
      <c r="AD3707">
        <v>-1.1216192791120001</v>
      </c>
      <c r="AE3707">
        <v>-0.70389999999997599</v>
      </c>
      <c r="AF3707">
        <v>-0.51261451047695406</v>
      </c>
      <c r="AG3707">
        <v>-1.1216192791120001</v>
      </c>
      <c r="AH3707">
        <v>20.4023942622538</v>
      </c>
      <c r="AI3707">
        <v>93.145670713715802</v>
      </c>
      <c r="AJ3707">
        <v>91.439265882134507</v>
      </c>
      <c r="AK3707">
        <v>20.439630502435101</v>
      </c>
      <c r="AL3707">
        <v>80.261499138369601</v>
      </c>
      <c r="AM3707">
        <v>91.889903500961907</v>
      </c>
      <c r="AN3707">
        <v>0.99999999124138395</v>
      </c>
    </row>
    <row r="3708" spans="1:40" x14ac:dyDescent="0.25">
      <c r="A3708" t="str">
        <f>"20190303170326451"</f>
        <v>20190303170326451</v>
      </c>
      <c r="B3708" t="str">
        <f>"1551603806439184"</f>
        <v>1551603806439184</v>
      </c>
      <c r="C3708" t="s">
        <v>40</v>
      </c>
      <c r="D3708">
        <v>4.5997640000000004</v>
      </c>
      <c r="E3708">
        <v>0.50791279999999905</v>
      </c>
      <c r="F3708" t="s">
        <v>63</v>
      </c>
      <c r="G3708">
        <v>-438.7869</v>
      </c>
      <c r="H3708" s="1">
        <v>6.2520880000000003E-6</v>
      </c>
      <c r="I3708">
        <v>213.0324</v>
      </c>
      <c r="J3708">
        <v>-460.07600000000002</v>
      </c>
      <c r="K3708">
        <v>1.1215360000000001</v>
      </c>
      <c r="L3708">
        <v>213.7587</v>
      </c>
      <c r="M3708">
        <v>0.9982972</v>
      </c>
      <c r="N3708">
        <v>-4.6577709999999998E-3</v>
      </c>
      <c r="O3708">
        <v>-5.8146879999999998E-2</v>
      </c>
      <c r="P3708">
        <v>0.98609139999999995</v>
      </c>
      <c r="Q3708">
        <v>0.16434849999999901</v>
      </c>
      <c r="R3708">
        <v>-2.476602E-2</v>
      </c>
      <c r="S3708">
        <v>3.0664669999999998</v>
      </c>
      <c r="T3708">
        <v>-0.15980910000000001</v>
      </c>
      <c r="U3708">
        <v>-0.1052551</v>
      </c>
      <c r="V3708">
        <v>-3.2974690000000001E-2</v>
      </c>
      <c r="W3708">
        <v>0.16886880000000001</v>
      </c>
      <c r="X3708">
        <v>0.98508680000000004</v>
      </c>
      <c r="Y3708">
        <v>-2.3766639999999999E-2</v>
      </c>
      <c r="Z3708">
        <v>3.4286809999999998E-3</v>
      </c>
      <c r="AA3708">
        <v>0.99971160000000003</v>
      </c>
      <c r="AB3708">
        <v>24</v>
      </c>
      <c r="AC3708">
        <v>21.289099999999902</v>
      </c>
      <c r="AD3708">
        <v>-1.1215297479119899</v>
      </c>
      <c r="AE3708">
        <v>-0.72630000000000905</v>
      </c>
      <c r="AF3708">
        <v>-0.51141935332435695</v>
      </c>
      <c r="AG3708">
        <v>-1.1215297479119899</v>
      </c>
      <c r="AH3708">
        <v>21.236442841917601</v>
      </c>
      <c r="AI3708">
        <v>93.022196660488802</v>
      </c>
      <c r="AJ3708">
        <v>91.379539318067202</v>
      </c>
      <c r="AK3708">
        <v>21.272185673043602</v>
      </c>
      <c r="AL3708">
        <v>80.277944807691696</v>
      </c>
      <c r="AM3708">
        <v>91.917196924518706</v>
      </c>
      <c r="AN3708">
        <v>1.00000000266413</v>
      </c>
    </row>
    <row r="3709" spans="1:40" x14ac:dyDescent="0.25">
      <c r="A3709" t="str">
        <f>"20190303170326474"</f>
        <v>20190303170326474</v>
      </c>
      <c r="B3709" t="str">
        <f>"1551603806469440"</f>
        <v>1551603806469440</v>
      </c>
      <c r="C3709" t="s">
        <v>40</v>
      </c>
      <c r="D3709">
        <v>4.5383940000000003</v>
      </c>
      <c r="E3709">
        <v>0.50787629999999995</v>
      </c>
      <c r="F3709" t="s">
        <v>63</v>
      </c>
      <c r="G3709">
        <v>-438.31049999999999</v>
      </c>
      <c r="H3709" s="1">
        <v>6.0398369999999997E-6</v>
      </c>
      <c r="I3709">
        <v>213.0436</v>
      </c>
      <c r="J3709">
        <v>-459.82679999999999</v>
      </c>
      <c r="K3709">
        <v>1.1214390000000001</v>
      </c>
      <c r="L3709">
        <v>213.7457</v>
      </c>
      <c r="M3709">
        <v>0.99837109999999996</v>
      </c>
      <c r="N3709">
        <v>-4.6242749999999997E-3</v>
      </c>
      <c r="O3709">
        <v>-5.6867769999999998E-2</v>
      </c>
      <c r="P3709">
        <v>0.98623760000000005</v>
      </c>
      <c r="Q3709">
        <v>0.16366149999999999</v>
      </c>
      <c r="R3709">
        <v>-2.346179E-2</v>
      </c>
      <c r="S3709">
        <v>3.066071</v>
      </c>
      <c r="T3709">
        <v>-0.15798760000000001</v>
      </c>
      <c r="U3709">
        <v>-0.10073849999999999</v>
      </c>
      <c r="V3709">
        <v>-3.2982989999999997E-2</v>
      </c>
      <c r="W3709">
        <v>0.16815669999999999</v>
      </c>
      <c r="X3709">
        <v>0.98520830000000004</v>
      </c>
      <c r="Y3709">
        <v>-2.3955730000000001E-2</v>
      </c>
      <c r="Z3709">
        <v>3.3348150000000001E-3</v>
      </c>
      <c r="AA3709">
        <v>0.99970749999999997</v>
      </c>
      <c r="AB3709">
        <v>24</v>
      </c>
      <c r="AC3709">
        <v>21.516300000000001</v>
      </c>
      <c r="AD3709">
        <v>-1.12143296016299</v>
      </c>
      <c r="AE3709">
        <v>-0.70210000000000095</v>
      </c>
      <c r="AF3709">
        <v>-0.52121880065145598</v>
      </c>
      <c r="AG3709">
        <v>-1.12143296016299</v>
      </c>
      <c r="AH3709">
        <v>21.463164222073502</v>
      </c>
      <c r="AI3709">
        <v>92.990058423845795</v>
      </c>
      <c r="AJ3709">
        <v>91.3911168344532</v>
      </c>
      <c r="AK3709">
        <v>21.498760414172501</v>
      </c>
      <c r="AL3709">
        <v>80.319336782907598</v>
      </c>
      <c r="AM3709">
        <v>91.917442818795394</v>
      </c>
      <c r="AN3709">
        <v>0.99999997388655903</v>
      </c>
    </row>
    <row r="3710" spans="1:40" x14ac:dyDescent="0.25">
      <c r="A3710" t="str">
        <f>"20190303170326497"</f>
        <v>20190303170326497</v>
      </c>
      <c r="B3710" t="str">
        <f>"1551603806488959"</f>
        <v>1551603806488959</v>
      </c>
      <c r="C3710" t="s">
        <v>40</v>
      </c>
      <c r="D3710">
        <v>4.5941150000000004</v>
      </c>
      <c r="E3710">
        <v>0.50793359999999999</v>
      </c>
      <c r="F3710" t="s">
        <v>63</v>
      </c>
      <c r="G3710">
        <v>-437.95530000000002</v>
      </c>
      <c r="H3710" s="1">
        <v>5.8818930000000004E-6</v>
      </c>
      <c r="I3710">
        <v>213.04859999999999</v>
      </c>
      <c r="J3710">
        <v>-459.57310000000001</v>
      </c>
      <c r="K3710">
        <v>1.121327</v>
      </c>
      <c r="L3710">
        <v>213.73249999999999</v>
      </c>
      <c r="M3710">
        <v>0.99843470000000001</v>
      </c>
      <c r="N3710">
        <v>-4.6021660000000004E-3</v>
      </c>
      <c r="O3710">
        <v>-5.5739990000000003E-2</v>
      </c>
      <c r="P3710">
        <v>0.98645950000000004</v>
      </c>
      <c r="Q3710">
        <v>0.16248180000000001</v>
      </c>
      <c r="R3710">
        <v>-2.2302659999999998E-2</v>
      </c>
      <c r="S3710">
        <v>3.065582</v>
      </c>
      <c r="T3710">
        <v>-0.1571835</v>
      </c>
      <c r="U3710">
        <v>-9.7702029999999995E-2</v>
      </c>
      <c r="V3710">
        <v>-3.2996829999999998E-2</v>
      </c>
      <c r="W3710">
        <v>0.16696359999999999</v>
      </c>
      <c r="X3710">
        <v>0.98541069999999997</v>
      </c>
      <c r="Y3710">
        <v>-2.381281E-2</v>
      </c>
      <c r="Z3710">
        <v>3.2619609999999999E-3</v>
      </c>
      <c r="AA3710">
        <v>0.99971109999999996</v>
      </c>
      <c r="AB3710">
        <v>25</v>
      </c>
      <c r="AC3710">
        <v>21.6177999999999</v>
      </c>
      <c r="AD3710">
        <v>-1.121321118107</v>
      </c>
      <c r="AE3710">
        <v>-0.68389999999999396</v>
      </c>
      <c r="AF3710">
        <v>-0.52075230403725603</v>
      </c>
      <c r="AG3710">
        <v>-1.121321118107</v>
      </c>
      <c r="AH3710">
        <v>21.5643500600202</v>
      </c>
      <c r="AI3710">
        <v>92.9757670061976</v>
      </c>
      <c r="AJ3710">
        <v>91.383353136797695</v>
      </c>
      <c r="AK3710">
        <v>21.599762441359601</v>
      </c>
      <c r="AL3710">
        <v>80.388676403800105</v>
      </c>
      <c r="AM3710">
        <v>91.917853089356498</v>
      </c>
      <c r="AN3710">
        <v>0.99999994109474699</v>
      </c>
    </row>
    <row r="3711" spans="1:40" x14ac:dyDescent="0.25">
      <c r="A3711" t="str">
        <f>"20190303170326520"</f>
        <v>20190303170326520</v>
      </c>
      <c r="B3711" t="str">
        <f>"1551603806509455"</f>
        <v>1551603806509455</v>
      </c>
      <c r="C3711" t="s">
        <v>40</v>
      </c>
      <c r="D3711">
        <v>4.5939220000000001</v>
      </c>
      <c r="E3711">
        <v>0.50803390000000004</v>
      </c>
      <c r="F3711" t="s">
        <v>63</v>
      </c>
      <c r="G3711">
        <v>-437.976</v>
      </c>
      <c r="H3711" s="1">
        <v>5.890501E-6</v>
      </c>
      <c r="I3711">
        <v>213.05529999999999</v>
      </c>
      <c r="J3711">
        <v>-459.31689999999998</v>
      </c>
      <c r="K3711">
        <v>1.1212219999999999</v>
      </c>
      <c r="L3711">
        <v>213.71940000000001</v>
      </c>
      <c r="M3711">
        <v>0.99848800000000004</v>
      </c>
      <c r="N3711">
        <v>-4.5874820000000004E-3</v>
      </c>
      <c r="O3711">
        <v>-5.4777010000000001E-2</v>
      </c>
      <c r="P3711">
        <v>0.98669929999999995</v>
      </c>
      <c r="Q3711">
        <v>0.16110869999999999</v>
      </c>
      <c r="R3711">
        <v>-2.1637529999999999E-2</v>
      </c>
      <c r="S3711">
        <v>3.0652159999999999</v>
      </c>
      <c r="T3711">
        <v>-0.15914639999999999</v>
      </c>
      <c r="U3711">
        <v>-9.6115110000000004E-2</v>
      </c>
      <c r="V3711">
        <v>-3.2679369999999999E-2</v>
      </c>
      <c r="W3711">
        <v>0.16558589999999901</v>
      </c>
      <c r="X3711">
        <v>0.98565380000000002</v>
      </c>
      <c r="Y3711">
        <v>-2.3361050000000001E-2</v>
      </c>
      <c r="Z3711">
        <v>3.2480539999999998E-3</v>
      </c>
      <c r="AA3711">
        <v>0.99972179999999999</v>
      </c>
      <c r="AB3711">
        <v>25</v>
      </c>
      <c r="AC3711">
        <v>21.340899999999898</v>
      </c>
      <c r="AD3711">
        <v>-1.1212161094990001</v>
      </c>
      <c r="AE3711">
        <v>-0.66410000000001901</v>
      </c>
      <c r="AF3711">
        <v>-0.504508933845774</v>
      </c>
      <c r="AG3711">
        <v>-1.1212161094990001</v>
      </c>
      <c r="AH3711">
        <v>21.286536193233498</v>
      </c>
      <c r="AI3711">
        <v>93.014283469290504</v>
      </c>
      <c r="AJ3711">
        <v>91.357704311139898</v>
      </c>
      <c r="AK3711">
        <v>21.322013927731302</v>
      </c>
      <c r="AL3711">
        <v>80.468727943424398</v>
      </c>
      <c r="AM3711">
        <v>91.898947025946697</v>
      </c>
      <c r="AN3711">
        <v>1.00000002247842</v>
      </c>
    </row>
    <row r="3712" spans="1:40" x14ac:dyDescent="0.25">
      <c r="A3712" t="str">
        <f>"20190303170326542"</f>
        <v>20190303170326542</v>
      </c>
      <c r="B3712" t="str">
        <f>"1551603806528976"</f>
        <v>1551603806528976</v>
      </c>
      <c r="C3712" t="s">
        <v>40</v>
      </c>
      <c r="D3712">
        <v>4.3821079999999997</v>
      </c>
      <c r="E3712">
        <v>0.50816260000000002</v>
      </c>
      <c r="F3712" t="s">
        <v>63</v>
      </c>
      <c r="G3712">
        <v>-438.10390000000001</v>
      </c>
      <c r="H3712" s="1">
        <v>5.9471140000000002E-6</v>
      </c>
      <c r="I3712">
        <v>213.05619999999999</v>
      </c>
      <c r="J3712">
        <v>-459.06310000000002</v>
      </c>
      <c r="K3712">
        <v>1.1211249999999999</v>
      </c>
      <c r="L3712">
        <v>213.7064</v>
      </c>
      <c r="M3712">
        <v>0.99853259999999999</v>
      </c>
      <c r="N3712">
        <v>-4.5770289999999998E-3</v>
      </c>
      <c r="O3712">
        <v>-5.3962540000000003E-2</v>
      </c>
      <c r="P3712">
        <v>0.98680950000000001</v>
      </c>
      <c r="Q3712">
        <v>0.16045299999999901</v>
      </c>
      <c r="R3712">
        <v>-2.1496749999999998E-2</v>
      </c>
      <c r="S3712">
        <v>3.0647579999999999</v>
      </c>
      <c r="T3712">
        <v>-0.1619884</v>
      </c>
      <c r="U3712">
        <v>-9.5809939999999996E-2</v>
      </c>
      <c r="V3712">
        <v>-3.1984980000000003E-2</v>
      </c>
      <c r="W3712">
        <v>0.16492850000000001</v>
      </c>
      <c r="X3712">
        <v>0.98578679999999996</v>
      </c>
      <c r="Y3712">
        <v>-2.2638729999999999E-2</v>
      </c>
      <c r="Z3712">
        <v>3.2505490000000001E-3</v>
      </c>
      <c r="AA3712">
        <v>0.99973849999999997</v>
      </c>
      <c r="AB3712">
        <v>25</v>
      </c>
      <c r="AC3712">
        <v>20.959199999999999</v>
      </c>
      <c r="AD3712">
        <v>-1.121119052886</v>
      </c>
      <c r="AE3712">
        <v>-0.65020000000001199</v>
      </c>
      <c r="AF3712">
        <v>-0.48039754561931303</v>
      </c>
      <c r="AG3712">
        <v>-1.121119052886</v>
      </c>
      <c r="AH3712">
        <v>20.903993987981</v>
      </c>
      <c r="AI3712">
        <v>93.069126446749095</v>
      </c>
      <c r="AJ3712">
        <v>91.316490419475201</v>
      </c>
      <c r="AK3712">
        <v>20.939547616463202</v>
      </c>
      <c r="AL3712">
        <v>80.506919392414304</v>
      </c>
      <c r="AM3712">
        <v>91.858375132370895</v>
      </c>
      <c r="AN3712">
        <v>1.00000003205604</v>
      </c>
    </row>
    <row r="3713" spans="1:40" x14ac:dyDescent="0.25">
      <c r="A3713" t="str">
        <f>"20190303170326565"</f>
        <v>20190303170326565</v>
      </c>
      <c r="B3713" t="str">
        <f>"1551603806559232"</f>
        <v>1551603806559232</v>
      </c>
      <c r="C3713" t="s">
        <v>40</v>
      </c>
      <c r="D3713">
        <v>4.6492519999999997</v>
      </c>
      <c r="E3713">
        <v>0.50823309999999999</v>
      </c>
      <c r="F3713" t="s">
        <v>63</v>
      </c>
      <c r="G3713">
        <v>-437.93790000000001</v>
      </c>
      <c r="H3713" s="1">
        <v>5.87524999999999E-6</v>
      </c>
      <c r="I3713">
        <v>213.03630000000001</v>
      </c>
      <c r="J3713">
        <v>-458.81259999999997</v>
      </c>
      <c r="K3713">
        <v>1.121038</v>
      </c>
      <c r="L3713">
        <v>213.69370000000001</v>
      </c>
      <c r="M3713">
        <v>0.99856849999999997</v>
      </c>
      <c r="N3713">
        <v>-4.5701980000000001E-3</v>
      </c>
      <c r="O3713">
        <v>-5.3293989999999999E-2</v>
      </c>
      <c r="P3713">
        <v>0.98684839999999996</v>
      </c>
      <c r="Q3713">
        <v>0.160111</v>
      </c>
      <c r="R3713">
        <v>-2.2244770000000001E-2</v>
      </c>
      <c r="S3713">
        <v>3.0643919999999998</v>
      </c>
      <c r="T3713">
        <v>-0.16262779999999999</v>
      </c>
      <c r="U3713">
        <v>-9.7213750000000002E-2</v>
      </c>
      <c r="V3713">
        <v>-3.0546440000000001E-2</v>
      </c>
      <c r="W3713">
        <v>0.16458800000000001</v>
      </c>
      <c r="X3713">
        <v>0.98588929999999997</v>
      </c>
      <c r="Y3713">
        <v>-2.1509770000000001E-2</v>
      </c>
      <c r="Z3713">
        <v>3.1999580000000001E-3</v>
      </c>
      <c r="AA3713">
        <v>0.99976350000000003</v>
      </c>
      <c r="AB3713">
        <v>25</v>
      </c>
      <c r="AC3713">
        <v>20.874699999999901</v>
      </c>
      <c r="AD3713">
        <v>-1.1210321247499999</v>
      </c>
      <c r="AE3713">
        <v>-0.65739999999999499</v>
      </c>
      <c r="AF3713">
        <v>-0.45473169359191101</v>
      </c>
      <c r="AG3713">
        <v>-1.1210321247499999</v>
      </c>
      <c r="AH3713">
        <v>20.820083780490101</v>
      </c>
      <c r="AI3713">
        <v>93.081312084788195</v>
      </c>
      <c r="AJ3713">
        <v>91.251198863368401</v>
      </c>
      <c r="AK3713">
        <v>20.855200372197501</v>
      </c>
      <c r="AL3713">
        <v>80.5266986371755</v>
      </c>
      <c r="AM3713">
        <v>91.774664116357101</v>
      </c>
      <c r="AN3713">
        <v>1.00000000329758</v>
      </c>
    </row>
    <row r="3714" spans="1:40" x14ac:dyDescent="0.25">
      <c r="A3714" t="str">
        <f>"20190303170326586"</f>
        <v>20190303170326586</v>
      </c>
      <c r="B3714" t="str">
        <f>"1551603806578752"</f>
        <v>1551603806578752</v>
      </c>
      <c r="C3714" t="s">
        <v>40</v>
      </c>
      <c r="D3714">
        <v>4.6481510000000004</v>
      </c>
      <c r="E3714">
        <v>0.5083067</v>
      </c>
      <c r="F3714" t="s">
        <v>63</v>
      </c>
      <c r="G3714">
        <v>-437.57670000000002</v>
      </c>
      <c r="H3714" s="1">
        <v>5.7186980000000004E-6</v>
      </c>
      <c r="I3714">
        <v>212.99459999999999</v>
      </c>
      <c r="J3714">
        <v>-458.57429999999999</v>
      </c>
      <c r="K3714">
        <v>1.1209579999999999</v>
      </c>
      <c r="L3714">
        <v>213.6816</v>
      </c>
      <c r="M3714">
        <v>0.99859540000000002</v>
      </c>
      <c r="N3714">
        <v>-4.566652E-3</v>
      </c>
      <c r="O3714">
        <v>-5.2787569999999999E-2</v>
      </c>
      <c r="P3714">
        <v>0.98688670000000001</v>
      </c>
      <c r="Q3714">
        <v>0.15958220000000001</v>
      </c>
      <c r="R3714">
        <v>-2.4258160000000001E-2</v>
      </c>
      <c r="S3714">
        <v>3.063904</v>
      </c>
      <c r="T3714">
        <v>-0.161742</v>
      </c>
      <c r="U3714">
        <v>-0.10086059999999999</v>
      </c>
      <c r="V3714">
        <v>-2.8006010000000001E-2</v>
      </c>
      <c r="W3714">
        <v>0.16406399999999999</v>
      </c>
      <c r="X3714">
        <v>0.98605200000000004</v>
      </c>
      <c r="Y3714">
        <v>-1.981314E-2</v>
      </c>
      <c r="Z3714">
        <v>3.1091249999999999E-3</v>
      </c>
      <c r="AA3714">
        <v>0.99979890000000005</v>
      </c>
      <c r="AB3714">
        <v>25</v>
      </c>
      <c r="AC3714">
        <v>20.997599999999899</v>
      </c>
      <c r="AD3714">
        <v>-1.1209522813020001</v>
      </c>
      <c r="AE3714">
        <v>-0.68700000000001105</v>
      </c>
      <c r="AF3714">
        <v>-0.42118255232674101</v>
      </c>
      <c r="AG3714">
        <v>-1.1209522813020001</v>
      </c>
      <c r="AH3714">
        <v>20.944961280100799</v>
      </c>
      <c r="AI3714">
        <v>93.062869120641906</v>
      </c>
      <c r="AJ3714">
        <v>91.152006458692099</v>
      </c>
      <c r="AK3714">
        <v>20.9791642298797</v>
      </c>
      <c r="AL3714">
        <v>80.557134774343794</v>
      </c>
      <c r="AM3714">
        <v>91.626886723920705</v>
      </c>
      <c r="AN3714">
        <v>0.999999939698058</v>
      </c>
    </row>
    <row r="3715" spans="1:40" x14ac:dyDescent="0.25">
      <c r="A3715" t="str">
        <f>"20190303170326609"</f>
        <v>20190303170326609</v>
      </c>
      <c r="B3715" t="str">
        <f>"1551603806599248"</f>
        <v>1551603806599248</v>
      </c>
      <c r="C3715" t="s">
        <v>40</v>
      </c>
      <c r="D3715">
        <v>4.4749650000000001</v>
      </c>
      <c r="E3715">
        <v>0.50836239999999999</v>
      </c>
      <c r="F3715" t="s">
        <v>63</v>
      </c>
      <c r="G3715">
        <v>-437.4375</v>
      </c>
      <c r="H3715" s="1">
        <v>5.6625999999999998E-6</v>
      </c>
      <c r="I3715">
        <v>212.93039999999999</v>
      </c>
      <c r="J3715">
        <v>-458.32220000000001</v>
      </c>
      <c r="K3715">
        <v>1.120871</v>
      </c>
      <c r="L3715">
        <v>213.6688</v>
      </c>
      <c r="M3715">
        <v>0.99861659999999997</v>
      </c>
      <c r="N3715">
        <v>-4.5655419999999997E-3</v>
      </c>
      <c r="O3715">
        <v>-5.238516E-2</v>
      </c>
      <c r="P3715">
        <v>0.98684369999999999</v>
      </c>
      <c r="Q3715">
        <v>0.159499</v>
      </c>
      <c r="R3715">
        <v>-2.645987E-2</v>
      </c>
      <c r="S3715">
        <v>3.0634459999999999</v>
      </c>
      <c r="T3715">
        <v>-0.16246459999999999</v>
      </c>
      <c r="U3715">
        <v>-0.1088715</v>
      </c>
      <c r="V3715">
        <v>-2.537319E-2</v>
      </c>
      <c r="W3715">
        <v>0.163987299999999</v>
      </c>
      <c r="X3715">
        <v>0.98613609999999896</v>
      </c>
      <c r="Y3715">
        <v>-1.6798029999999999E-2</v>
      </c>
      <c r="Z3715">
        <v>3.0180189999999998E-3</v>
      </c>
      <c r="AA3715">
        <v>0.99985429999999997</v>
      </c>
      <c r="AB3715">
        <v>25</v>
      </c>
      <c r="AC3715">
        <v>20.884699999999999</v>
      </c>
      <c r="AD3715">
        <v>-1.1208653373999999</v>
      </c>
      <c r="AE3715">
        <v>-0.73840000000001205</v>
      </c>
      <c r="AF3715">
        <v>-0.35565041104891798</v>
      </c>
      <c r="AG3715">
        <v>-1.1208653373999999</v>
      </c>
      <c r="AH3715">
        <v>20.834768164034099</v>
      </c>
      <c r="AI3715">
        <v>93.078972439316601</v>
      </c>
      <c r="AJ3715">
        <v>90.977946502747699</v>
      </c>
      <c r="AK3715">
        <v>20.8679273232516</v>
      </c>
      <c r="AL3715">
        <v>80.561590467941997</v>
      </c>
      <c r="AM3715">
        <v>91.4738898753196</v>
      </c>
      <c r="AN3715">
        <v>1.00000002052763</v>
      </c>
    </row>
    <row r="3716" spans="1:40" x14ac:dyDescent="0.25">
      <c r="A3716" t="str">
        <f>"20190303170326630"</f>
        <v>20190303170326630</v>
      </c>
      <c r="B3716" t="str">
        <f>"1551603806618767"</f>
        <v>1551603806618767</v>
      </c>
      <c r="C3716" t="s">
        <v>40</v>
      </c>
      <c r="D3716">
        <v>4.5893699999999997</v>
      </c>
      <c r="E3716">
        <v>0.50839469999999998</v>
      </c>
      <c r="F3716" t="s">
        <v>63</v>
      </c>
      <c r="G3716">
        <v>-437.08679999999998</v>
      </c>
      <c r="H3716" s="1">
        <v>5.5136519999999998E-6</v>
      </c>
      <c r="I3716">
        <v>212.8552</v>
      </c>
      <c r="J3716">
        <v>-458.0754</v>
      </c>
      <c r="K3716">
        <v>1.1207830000000001</v>
      </c>
      <c r="L3716">
        <v>213.65620000000001</v>
      </c>
      <c r="M3716">
        <v>0.99863080000000004</v>
      </c>
      <c r="N3716">
        <v>-4.5662209999999996E-3</v>
      </c>
      <c r="O3716">
        <v>-5.2113550000000002E-2</v>
      </c>
      <c r="P3716">
        <v>0.98660789999999998</v>
      </c>
      <c r="Q3716">
        <v>0.16062670000000001</v>
      </c>
      <c r="R3716">
        <v>-2.8360409999999999E-2</v>
      </c>
      <c r="S3716">
        <v>3.0629879999999998</v>
      </c>
      <c r="T3716">
        <v>-0.1616735</v>
      </c>
      <c r="U3716">
        <v>-0.1173553</v>
      </c>
      <c r="V3716">
        <v>-2.3160980000000001E-2</v>
      </c>
      <c r="W3716">
        <v>0.16512180000000001</v>
      </c>
      <c r="X3716">
        <v>0.98600120000000002</v>
      </c>
      <c r="Y3716">
        <v>-1.376085E-2</v>
      </c>
      <c r="Z3716">
        <v>2.9025399999999999E-3</v>
      </c>
      <c r="AA3716">
        <v>0.99990109999999999</v>
      </c>
      <c r="AB3716">
        <v>25</v>
      </c>
      <c r="AC3716">
        <v>20.988600000000002</v>
      </c>
      <c r="AD3716">
        <v>-1.120777486348</v>
      </c>
      <c r="AE3716">
        <v>-0.80100000000001603</v>
      </c>
      <c r="AF3716">
        <v>-0.29305579661463499</v>
      </c>
      <c r="AG3716">
        <v>-1.120777486348</v>
      </c>
      <c r="AH3716">
        <v>20.942193159350602</v>
      </c>
      <c r="AI3716">
        <v>93.063115127302794</v>
      </c>
      <c r="AJ3716">
        <v>90.801719491138996</v>
      </c>
      <c r="AK3716">
        <v>20.974209834875499</v>
      </c>
      <c r="AL3716">
        <v>80.495689880977807</v>
      </c>
      <c r="AM3716">
        <v>91.345619470379106</v>
      </c>
      <c r="AN3716">
        <v>1.00000000311562</v>
      </c>
    </row>
    <row r="3717" spans="1:40" x14ac:dyDescent="0.25">
      <c r="A3717" t="str">
        <f>"20190303170326652"</f>
        <v>20190303170326652</v>
      </c>
      <c r="B3717" t="str">
        <f>"1551603806639264"</f>
        <v>1551603806639264</v>
      </c>
      <c r="C3717" t="s">
        <v>40</v>
      </c>
      <c r="D3717">
        <v>4.7039660000000003</v>
      </c>
      <c r="E3717">
        <v>0.50843749999999999</v>
      </c>
      <c r="F3717" t="s">
        <v>63</v>
      </c>
      <c r="G3717">
        <v>-436.2466</v>
      </c>
      <c r="H3717" s="1">
        <v>5.1483429999999996E-6</v>
      </c>
      <c r="I3717">
        <v>212.77189999999999</v>
      </c>
      <c r="J3717">
        <v>-457.8184</v>
      </c>
      <c r="K3717">
        <v>1.1207020000000001</v>
      </c>
      <c r="L3717">
        <v>213.6431</v>
      </c>
      <c r="M3717">
        <v>0.99863979999999997</v>
      </c>
      <c r="N3717">
        <v>-4.5685680000000003E-3</v>
      </c>
      <c r="O3717">
        <v>-5.194232E-2</v>
      </c>
      <c r="P3717">
        <v>0.98641619999999997</v>
      </c>
      <c r="Q3717">
        <v>0.16157439999999901</v>
      </c>
      <c r="R3717">
        <v>-2.961445E-2</v>
      </c>
      <c r="S3717">
        <v>3.0627439999999999</v>
      </c>
      <c r="T3717">
        <v>-0.15725329999999901</v>
      </c>
      <c r="U3717">
        <v>-0.1240845</v>
      </c>
      <c r="V3717">
        <v>-2.169569E-2</v>
      </c>
      <c r="W3717">
        <v>0.16607539999999901</v>
      </c>
      <c r="X3717">
        <v>0.98587440000000004</v>
      </c>
      <c r="Y3717">
        <v>-1.1401049999999999E-2</v>
      </c>
      <c r="Z3717">
        <v>2.7437170000000001E-3</v>
      </c>
      <c r="AA3717">
        <v>0.99993120000000002</v>
      </c>
      <c r="AB3717">
        <v>26</v>
      </c>
      <c r="AC3717">
        <v>21.5718</v>
      </c>
      <c r="AD3717">
        <v>-1.1206968516569999</v>
      </c>
      <c r="AE3717">
        <v>-0.87120000000001596</v>
      </c>
      <c r="AF3717">
        <v>-0.24980379432347</v>
      </c>
      <c r="AG3717">
        <v>-1.1206968516569999</v>
      </c>
      <c r="AH3717">
        <v>21.5299172431648</v>
      </c>
      <c r="AI3717">
        <v>92.979527945640697</v>
      </c>
      <c r="AJ3717">
        <v>90.664752249024701</v>
      </c>
      <c r="AK3717">
        <v>21.560512514003399</v>
      </c>
      <c r="AL3717">
        <v>80.440288025870601</v>
      </c>
      <c r="AM3717">
        <v>91.260678703790703</v>
      </c>
      <c r="AN3717">
        <v>1.0000000370125399</v>
      </c>
    </row>
    <row r="3718" spans="1:40" x14ac:dyDescent="0.25">
      <c r="A3718" t="str">
        <f>"20190303170326675"</f>
        <v>20190303170326675</v>
      </c>
      <c r="B3718" t="str">
        <f>"1551603806668544"</f>
        <v>1551603806668544</v>
      </c>
      <c r="C3718" t="s">
        <v>40</v>
      </c>
      <c r="D3718">
        <v>4.6460599999999896</v>
      </c>
      <c r="E3718">
        <v>0.50848660000000001</v>
      </c>
      <c r="F3718" t="s">
        <v>63</v>
      </c>
      <c r="G3718">
        <v>-435.44909999999999</v>
      </c>
      <c r="H3718" s="1">
        <v>4.8001220000000002E-6</v>
      </c>
      <c r="I3718">
        <v>212.7098</v>
      </c>
      <c r="J3718">
        <v>-457.55410000000001</v>
      </c>
      <c r="K3718">
        <v>1.1206240000000001</v>
      </c>
      <c r="L3718">
        <v>213.62950000000001</v>
      </c>
      <c r="M3718">
        <v>0.99864390000000003</v>
      </c>
      <c r="N3718">
        <v>-4.5724629999999997E-3</v>
      </c>
      <c r="O3718">
        <v>-5.1860219999999999E-2</v>
      </c>
      <c r="P3718">
        <v>0.98635280000000003</v>
      </c>
      <c r="Q3718">
        <v>0.1617915</v>
      </c>
      <c r="R3718">
        <v>-3.0528030000000001E-2</v>
      </c>
      <c r="S3718">
        <v>3.062592</v>
      </c>
      <c r="T3718">
        <v>-0.15343519999999999</v>
      </c>
      <c r="U3718">
        <v>-0.1277771</v>
      </c>
      <c r="V3718">
        <v>-2.067101E-2</v>
      </c>
      <c r="W3718">
        <v>0.1663007</v>
      </c>
      <c r="X3718">
        <v>0.98585840000000002</v>
      </c>
      <c r="Y3718">
        <v>-1.0118790000000001E-2</v>
      </c>
      <c r="Z3718">
        <v>2.6331869999999999E-3</v>
      </c>
      <c r="AA3718">
        <v>0.99994530000000004</v>
      </c>
      <c r="AB3718">
        <v>26</v>
      </c>
      <c r="AC3718">
        <v>22.105</v>
      </c>
      <c r="AD3718">
        <v>-1.120619199878</v>
      </c>
      <c r="AE3718">
        <v>-0.91970000000000596</v>
      </c>
      <c r="AF3718">
        <v>-0.22733649980085599</v>
      </c>
      <c r="AG3718">
        <v>-1.120619199878</v>
      </c>
      <c r="AH3718">
        <v>22.066337460012399</v>
      </c>
      <c r="AI3718">
        <v>92.907063331818094</v>
      </c>
      <c r="AJ3718">
        <v>90.590263843409403</v>
      </c>
      <c r="AK3718">
        <v>22.0959434778066</v>
      </c>
      <c r="AL3718">
        <v>80.427196882140294</v>
      </c>
      <c r="AM3718">
        <v>91.201174645310104</v>
      </c>
      <c r="AN3718">
        <v>0.99999999916273496</v>
      </c>
    </row>
    <row r="3719" spans="1:40" x14ac:dyDescent="0.25">
      <c r="A3719" t="str">
        <f>"20190303170326697"</f>
        <v>20190303170326697</v>
      </c>
      <c r="B3719" t="str">
        <f>"1551603806689040"</f>
        <v>1551603806689040</v>
      </c>
      <c r="C3719" t="s">
        <v>40</v>
      </c>
      <c r="D3719">
        <v>4.6456419999999996</v>
      </c>
      <c r="E3719">
        <v>0.50852940000000002</v>
      </c>
      <c r="F3719" t="s">
        <v>63</v>
      </c>
      <c r="G3719">
        <v>-434.91730000000001</v>
      </c>
      <c r="H3719" s="1">
        <v>4.567674E-6</v>
      </c>
      <c r="I3719">
        <v>212.6711</v>
      </c>
      <c r="J3719">
        <v>-457.29199999999997</v>
      </c>
      <c r="K3719">
        <v>1.1205700000000001</v>
      </c>
      <c r="L3719">
        <v>213.61590000000001</v>
      </c>
      <c r="M3719">
        <v>0.99864450000000005</v>
      </c>
      <c r="N3719">
        <v>-4.5776389999999997E-3</v>
      </c>
      <c r="O3719">
        <v>-5.1848320000000003E-2</v>
      </c>
      <c r="P3719">
        <v>0.98646049999999996</v>
      </c>
      <c r="Q3719">
        <v>0.1608677</v>
      </c>
      <c r="R3719">
        <v>-3.189931E-2</v>
      </c>
      <c r="S3719">
        <v>3.0623779999999998</v>
      </c>
      <c r="T3719">
        <v>-0.15160119999999999</v>
      </c>
      <c r="U3719">
        <v>-0.12965389999999999</v>
      </c>
      <c r="V3719">
        <v>-1.9277349999999999E-2</v>
      </c>
      <c r="W3719">
        <v>0.16538510000000001</v>
      </c>
      <c r="X3719">
        <v>0.98604069999999999</v>
      </c>
      <c r="Y3719">
        <v>-9.4947810000000007E-3</v>
      </c>
      <c r="Z3719">
        <v>2.5817100000000001E-3</v>
      </c>
      <c r="AA3719">
        <v>0.99995160000000005</v>
      </c>
      <c r="AB3719">
        <v>26</v>
      </c>
      <c r="AC3719">
        <v>22.374699999999901</v>
      </c>
      <c r="AD3719">
        <v>-1.1205654323259999</v>
      </c>
      <c r="AE3719">
        <v>-0.94480000000001496</v>
      </c>
      <c r="AF3719">
        <v>-0.21603266067197199</v>
      </c>
      <c r="AG3719">
        <v>-1.1205654323259999</v>
      </c>
      <c r="AH3719">
        <v>22.337664232934301</v>
      </c>
      <c r="AI3719">
        <v>92.871692366543897</v>
      </c>
      <c r="AJ3719">
        <v>90.554103315269899</v>
      </c>
      <c r="AK3719">
        <v>22.366796381733199</v>
      </c>
      <c r="AL3719">
        <v>80.480394092142504</v>
      </c>
      <c r="AM3719">
        <v>91.120004588198</v>
      </c>
      <c r="AN3719">
        <v>1.0000000547907499</v>
      </c>
    </row>
    <row r="3720" spans="1:40" x14ac:dyDescent="0.25">
      <c r="A3720" t="str">
        <f>"20190303170326723"</f>
        <v>20190303170326723</v>
      </c>
      <c r="B3720" t="str">
        <f>"1551603806709536"</f>
        <v>1551603806709536</v>
      </c>
      <c r="C3720" t="s">
        <v>40</v>
      </c>
      <c r="D3720">
        <v>4.6413409999999997</v>
      </c>
      <c r="E3720">
        <v>0.50852949999999997</v>
      </c>
      <c r="F3720" t="s">
        <v>63</v>
      </c>
      <c r="G3720">
        <v>-434.96690000000001</v>
      </c>
      <c r="H3720" s="1">
        <v>4.5925319999999997E-6</v>
      </c>
      <c r="I3720">
        <v>212.63810000000001</v>
      </c>
      <c r="J3720">
        <v>-457.00619999999998</v>
      </c>
      <c r="K3720">
        <v>1.1205339999999999</v>
      </c>
      <c r="L3720">
        <v>213.6011</v>
      </c>
      <c r="M3720">
        <v>0.99864310000000001</v>
      </c>
      <c r="N3720">
        <v>-4.5843819999999997E-3</v>
      </c>
      <c r="O3720">
        <v>-5.1877079999999999E-2</v>
      </c>
      <c r="P3720">
        <v>0.98643820000000004</v>
      </c>
      <c r="Q3720">
        <v>0.16049559999999999</v>
      </c>
      <c r="R3720">
        <v>-3.4369730000000001E-2</v>
      </c>
      <c r="S3720">
        <v>3.0619200000000002</v>
      </c>
      <c r="T3720">
        <v>-0.1536872</v>
      </c>
      <c r="U3720">
        <v>-0.13410949999999999</v>
      </c>
      <c r="V3720">
        <v>-1.6828220000000001E-2</v>
      </c>
      <c r="W3720">
        <v>0.16502020000000001</v>
      </c>
      <c r="X3720">
        <v>0.98614659999999998</v>
      </c>
      <c r="Y3720">
        <v>-8.0648590000000006E-3</v>
      </c>
      <c r="Z3720">
        <v>2.5823349999999998E-3</v>
      </c>
      <c r="AA3720">
        <v>0.99996410000000002</v>
      </c>
      <c r="AB3720">
        <v>26</v>
      </c>
      <c r="AC3720">
        <v>22.039299999999901</v>
      </c>
      <c r="AD3720">
        <v>-1.1205294074679999</v>
      </c>
      <c r="AE3720">
        <v>-0.96299999999999397</v>
      </c>
      <c r="AF3720">
        <v>-0.18117567015852401</v>
      </c>
      <c r="AG3720">
        <v>-1.1205294074679999</v>
      </c>
      <c r="AH3720">
        <v>22.002813491399198</v>
      </c>
      <c r="AI3720">
        <v>92.915264384809007</v>
      </c>
      <c r="AJ3720">
        <v>90.471774514436106</v>
      </c>
      <c r="AK3720">
        <v>22.032072356311701</v>
      </c>
      <c r="AL3720">
        <v>80.5015919370056</v>
      </c>
      <c r="AM3720">
        <v>90.977635990744204</v>
      </c>
      <c r="AN3720">
        <v>0.99999998604398399</v>
      </c>
    </row>
    <row r="3721" spans="1:40" x14ac:dyDescent="0.25">
      <c r="A3721" t="str">
        <f>"20190303170326743"</f>
        <v>20190303170326743</v>
      </c>
      <c r="B3721" t="str">
        <f>"1551603806729056"</f>
        <v>1551603806729056</v>
      </c>
      <c r="C3721" t="s">
        <v>40</v>
      </c>
      <c r="D3721">
        <v>4.5835049999999997</v>
      </c>
      <c r="E3721">
        <v>0.50856780000000001</v>
      </c>
      <c r="F3721" t="s">
        <v>63</v>
      </c>
      <c r="G3721">
        <v>-434.73829999999998</v>
      </c>
      <c r="H3721" s="1">
        <v>4.4970619999999999E-6</v>
      </c>
      <c r="I3721">
        <v>212.57069999999999</v>
      </c>
      <c r="J3721">
        <v>-456.75779999999997</v>
      </c>
      <c r="K3721">
        <v>1.1205259999999999</v>
      </c>
      <c r="L3721">
        <v>213.5881</v>
      </c>
      <c r="M3721">
        <v>0.99864090000000005</v>
      </c>
      <c r="N3721">
        <v>-4.5910819999999998E-3</v>
      </c>
      <c r="O3721">
        <v>-5.1917419999999999E-2</v>
      </c>
      <c r="P3721">
        <v>0.98634889999999997</v>
      </c>
      <c r="Q3721">
        <v>0.160583</v>
      </c>
      <c r="R3721">
        <v>-3.645205E-2</v>
      </c>
      <c r="S3721">
        <v>3.06134</v>
      </c>
      <c r="T3721">
        <v>-0.15404770000000001</v>
      </c>
      <c r="U3721">
        <v>-0.1416473</v>
      </c>
      <c r="V3721">
        <v>-1.47815E-2</v>
      </c>
      <c r="W3721">
        <v>0.16511419999999999</v>
      </c>
      <c r="X3721">
        <v>0.98616369999999998</v>
      </c>
      <c r="Y3721">
        <v>-5.642719E-3</v>
      </c>
      <c r="Z3721">
        <v>2.5243240000000001E-3</v>
      </c>
      <c r="AA3721">
        <v>0.99998089999999995</v>
      </c>
      <c r="AB3721">
        <v>26</v>
      </c>
      <c r="AC3721">
        <v>22.019499999999901</v>
      </c>
      <c r="AD3721">
        <v>-1.120521502938</v>
      </c>
      <c r="AE3721">
        <v>-1.0174000000000001</v>
      </c>
      <c r="AF3721">
        <v>-0.12685191875358601</v>
      </c>
      <c r="AG3721">
        <v>-1.120521502938</v>
      </c>
      <c r="AH3721">
        <v>21.985812575741399</v>
      </c>
      <c r="AI3721">
        <v>92.917544481501494</v>
      </c>
      <c r="AJ3721">
        <v>90.330576770529404</v>
      </c>
      <c r="AK3721">
        <v>22.014713590311999</v>
      </c>
      <c r="AL3721">
        <v>80.496131527008103</v>
      </c>
      <c r="AM3721">
        <v>90.858735875853597</v>
      </c>
      <c r="AN3721">
        <v>1.0000000174907799</v>
      </c>
    </row>
    <row r="3722" spans="1:40" x14ac:dyDescent="0.25">
      <c r="A3722" t="str">
        <f>"20190303170326765"</f>
        <v>20190303170326765</v>
      </c>
      <c r="B3722" t="str">
        <f>"1551603806759312"</f>
        <v>1551603806759312</v>
      </c>
      <c r="C3722" t="s">
        <v>40</v>
      </c>
      <c r="D3722">
        <v>4.3274239999999997</v>
      </c>
      <c r="E3722">
        <v>0.50853649999999995</v>
      </c>
      <c r="F3722" t="s">
        <v>63</v>
      </c>
      <c r="G3722">
        <v>-434.34899999999999</v>
      </c>
      <c r="H3722" s="1">
        <v>4.3298749999999998E-6</v>
      </c>
      <c r="I3722">
        <v>212.50839999999999</v>
      </c>
      <c r="J3722">
        <v>-456.5034</v>
      </c>
      <c r="K3722">
        <v>1.120533</v>
      </c>
      <c r="L3722">
        <v>213.57490000000001</v>
      </c>
      <c r="M3722">
        <v>0.99863860000000004</v>
      </c>
      <c r="N3722">
        <v>-4.5986999999999998E-3</v>
      </c>
      <c r="O3722">
        <v>-5.1961159999999999E-2</v>
      </c>
      <c r="P3722">
        <v>0.98621689999999995</v>
      </c>
      <c r="Q3722">
        <v>0.16097600000000001</v>
      </c>
      <c r="R3722">
        <v>-3.8249869999999998E-2</v>
      </c>
      <c r="S3722">
        <v>3.061035</v>
      </c>
      <c r="T3722">
        <v>-0.1530629</v>
      </c>
      <c r="U3722">
        <v>-0.1474915</v>
      </c>
      <c r="V3722">
        <v>-1.302378E-2</v>
      </c>
      <c r="W3722">
        <v>0.16551450000000001</v>
      </c>
      <c r="X3722">
        <v>0.98612140000000004</v>
      </c>
      <c r="Y3722">
        <v>-3.7803649999999999E-3</v>
      </c>
      <c r="Z3722">
        <v>2.4577039999999998E-3</v>
      </c>
      <c r="AA3722">
        <v>0.99998980000000004</v>
      </c>
      <c r="AB3722">
        <v>26</v>
      </c>
      <c r="AC3722">
        <v>22.154399999999999</v>
      </c>
      <c r="AD3722">
        <v>-1.1205286701249999</v>
      </c>
      <c r="AE3722">
        <v>-1.06650000000001</v>
      </c>
      <c r="AF3722">
        <v>-8.5901917914743303E-2</v>
      </c>
      <c r="AG3722">
        <v>-1.1205286701249999</v>
      </c>
      <c r="AH3722">
        <v>22.123424113349699</v>
      </c>
      <c r="AI3722">
        <v>92.8994727835167</v>
      </c>
      <c r="AJ3722">
        <v>90.222469749211399</v>
      </c>
      <c r="AK3722">
        <v>22.151949307887499</v>
      </c>
      <c r="AL3722">
        <v>80.472876289069404</v>
      </c>
      <c r="AM3722">
        <v>90.756665706303394</v>
      </c>
      <c r="AN3722">
        <v>1.00000004204684</v>
      </c>
    </row>
    <row r="3723" spans="1:40" x14ac:dyDescent="0.25">
      <c r="A3723" t="str">
        <f>"20190303170326787"</f>
        <v>20190303170326787</v>
      </c>
      <c r="B3723" t="str">
        <f>"1551603806778832"</f>
        <v>1551603806778832</v>
      </c>
      <c r="C3723" t="s">
        <v>40</v>
      </c>
      <c r="D3723">
        <v>4.4175979999999999</v>
      </c>
      <c r="E3723">
        <v>0.50853059999999894</v>
      </c>
      <c r="F3723" t="s">
        <v>63</v>
      </c>
      <c r="G3723">
        <v>-433.86900000000003</v>
      </c>
      <c r="H3723" s="1">
        <v>4.1222140000000001E-6</v>
      </c>
      <c r="I3723">
        <v>212.4487</v>
      </c>
      <c r="J3723">
        <v>-456.24110000000002</v>
      </c>
      <c r="K3723">
        <v>1.1205369999999999</v>
      </c>
      <c r="L3723">
        <v>213.56120000000001</v>
      </c>
      <c r="M3723">
        <v>0.99863670000000004</v>
      </c>
      <c r="N3723">
        <v>-4.6072489999999999E-3</v>
      </c>
      <c r="O3723">
        <v>-5.1999289999999997E-2</v>
      </c>
      <c r="P3723">
        <v>0.98610989999999998</v>
      </c>
      <c r="Q3723">
        <v>0.16128029999999999</v>
      </c>
      <c r="R3723">
        <v>-3.9705980000000002E-2</v>
      </c>
      <c r="S3723">
        <v>3.0607600000000001</v>
      </c>
      <c r="T3723">
        <v>-0.15152470000000001</v>
      </c>
      <c r="U3723">
        <v>-0.15228269999999999</v>
      </c>
      <c r="V3723">
        <v>-1.16045E-2</v>
      </c>
      <c r="W3723">
        <v>0.16582669999999999</v>
      </c>
      <c r="X3723">
        <v>0.98608660000000004</v>
      </c>
      <c r="Y3723">
        <v>-2.2558790000000001E-3</v>
      </c>
      <c r="Z3723">
        <v>2.3909119999999998E-3</v>
      </c>
      <c r="AA3723">
        <v>0.99999459999999996</v>
      </c>
      <c r="AB3723">
        <v>26</v>
      </c>
      <c r="AC3723">
        <v>22.3720999999999</v>
      </c>
      <c r="AD3723">
        <v>-1.120532877786</v>
      </c>
      <c r="AE3723">
        <v>-1.11250000000001</v>
      </c>
      <c r="AF3723">
        <v>-5.22198550214929E-2</v>
      </c>
      <c r="AG3723">
        <v>-1.120532877786</v>
      </c>
      <c r="AH3723">
        <v>22.343768586937099</v>
      </c>
      <c r="AI3723">
        <v>92.870952065095295</v>
      </c>
      <c r="AJ3723">
        <v>90.133906321147805</v>
      </c>
      <c r="AK3723">
        <v>22.371909071647298</v>
      </c>
      <c r="AL3723">
        <v>80.454737208922495</v>
      </c>
      <c r="AM3723">
        <v>90.674239140980703</v>
      </c>
      <c r="AN3723">
        <v>0.99999997077634895</v>
      </c>
    </row>
    <row r="3724" spans="1:40" x14ac:dyDescent="0.25">
      <c r="A3724" t="str">
        <f>"20190303170326810"</f>
        <v>20190303170326810</v>
      </c>
      <c r="B3724" t="str">
        <f>"1551603806799327"</f>
        <v>1551603806799327</v>
      </c>
      <c r="C3724" t="s">
        <v>40</v>
      </c>
      <c r="D3724">
        <v>4.2156339999999997</v>
      </c>
      <c r="E3724">
        <v>0.50852259999999905</v>
      </c>
      <c r="F3724" t="s">
        <v>63</v>
      </c>
      <c r="G3724">
        <v>-433.3691</v>
      </c>
      <c r="H3724" s="1">
        <v>3.906193E-6</v>
      </c>
      <c r="I3724">
        <v>212.38399999999999</v>
      </c>
      <c r="J3724">
        <v>-455.9742</v>
      </c>
      <c r="K3724">
        <v>1.1205419999999999</v>
      </c>
      <c r="L3724">
        <v>213.54730000000001</v>
      </c>
      <c r="M3724">
        <v>0.9986351</v>
      </c>
      <c r="N3724">
        <v>-4.6165440000000002E-3</v>
      </c>
      <c r="O3724">
        <v>-5.2025969999999998E-2</v>
      </c>
      <c r="P3724">
        <v>0.98606590000000005</v>
      </c>
      <c r="Q3724">
        <v>0.1613203</v>
      </c>
      <c r="R3724">
        <v>-4.0620209999999997E-2</v>
      </c>
      <c r="S3724">
        <v>3.0603940000000001</v>
      </c>
      <c r="T3724">
        <v>-0.14993290000000001</v>
      </c>
      <c r="U3724">
        <v>-0.1575165</v>
      </c>
      <c r="V3724">
        <v>-1.071807E-2</v>
      </c>
      <c r="W3724">
        <v>0.16587560000000001</v>
      </c>
      <c r="X3724">
        <v>0.98608850000000003</v>
      </c>
      <c r="Y3724">
        <v>-5.7433460000000001E-4</v>
      </c>
      <c r="Z3724">
        <v>2.3192249999999998E-3</v>
      </c>
      <c r="AA3724">
        <v>0.99999709999999997</v>
      </c>
      <c r="AB3724">
        <v>26</v>
      </c>
      <c r="AC3724">
        <v>22.6051</v>
      </c>
      <c r="AD3724">
        <v>-1.120538093807</v>
      </c>
      <c r="AE3724">
        <v>-1.16329999999999</v>
      </c>
      <c r="AF3724">
        <v>-1.4305137149281E-2</v>
      </c>
      <c r="AG3724">
        <v>-1.120538093807</v>
      </c>
      <c r="AH3724">
        <v>22.5796722368476</v>
      </c>
      <c r="AI3724">
        <v>92.841027251501899</v>
      </c>
      <c r="AJ3724">
        <v>90.036299192732002</v>
      </c>
      <c r="AK3724">
        <v>22.6074635591896</v>
      </c>
      <c r="AL3724">
        <v>80.451896965375894</v>
      </c>
      <c r="AM3724">
        <v>90.622739230534194</v>
      </c>
      <c r="AN3724">
        <v>1.00000006076606</v>
      </c>
    </row>
    <row r="3725" spans="1:40" x14ac:dyDescent="0.25">
      <c r="A3725" t="str">
        <f>"20190303170326831"</f>
        <v>20190303170326831</v>
      </c>
      <c r="B3725" t="str">
        <f>"1551603806818848"</f>
        <v>1551603806818848</v>
      </c>
      <c r="C3725" t="s">
        <v>40</v>
      </c>
      <c r="D3725">
        <v>4.4713760000000002</v>
      </c>
      <c r="E3725">
        <v>0.50847509999999996</v>
      </c>
      <c r="F3725" t="s">
        <v>63</v>
      </c>
      <c r="G3725">
        <v>-433.01319999999998</v>
      </c>
      <c r="H3725" s="1">
        <v>3.7525909999999998E-6</v>
      </c>
      <c r="I3725">
        <v>212.3355</v>
      </c>
      <c r="J3725">
        <v>-455.71550000000002</v>
      </c>
      <c r="K3725">
        <v>1.1205480000000001</v>
      </c>
      <c r="L3725">
        <v>213.53380000000001</v>
      </c>
      <c r="M3725">
        <v>0.99863429999999997</v>
      </c>
      <c r="N3725">
        <v>-4.6260099999999998E-3</v>
      </c>
      <c r="O3725">
        <v>-5.204027E-2</v>
      </c>
      <c r="P3725">
        <v>0.98604239999999999</v>
      </c>
      <c r="Q3725">
        <v>0.16121629999999901</v>
      </c>
      <c r="R3725">
        <v>-4.1590340000000003E-2</v>
      </c>
      <c r="S3725">
        <v>3.0602109999999998</v>
      </c>
      <c r="T3725">
        <v>-0.14934349999999999</v>
      </c>
      <c r="U3725">
        <v>-0.161499</v>
      </c>
      <c r="V3725">
        <v>-9.7646499999999997E-3</v>
      </c>
      <c r="W3725">
        <v>0.16578109999999999</v>
      </c>
      <c r="X3725">
        <v>0.9861143</v>
      </c>
      <c r="Y3725">
        <v>7.101621E-4</v>
      </c>
      <c r="Z3725">
        <v>2.2750930000000002E-3</v>
      </c>
      <c r="AA3725">
        <v>0.99999709999999997</v>
      </c>
      <c r="AB3725">
        <v>27</v>
      </c>
      <c r="AC3725">
        <v>22.702300000000001</v>
      </c>
      <c r="AD3725">
        <v>-1.1205442474089999</v>
      </c>
      <c r="AE3725">
        <v>-1.1983000000000099</v>
      </c>
      <c r="AF3725">
        <v>1.5192912017240901E-2</v>
      </c>
      <c r="AG3725">
        <v>-1.1205442474089999</v>
      </c>
      <c r="AH3725">
        <v>22.678800682954598</v>
      </c>
      <c r="AI3725">
        <v>92.828644849073498</v>
      </c>
      <c r="AJ3725">
        <v>89.961616594323104</v>
      </c>
      <c r="AK3725">
        <v>22.706471558834501</v>
      </c>
      <c r="AL3725">
        <v>80.457387494627994</v>
      </c>
      <c r="AM3725">
        <v>90.567332761094903</v>
      </c>
      <c r="AN3725">
        <v>1.0000000670856499</v>
      </c>
    </row>
    <row r="3726" spans="1:40" x14ac:dyDescent="0.25">
      <c r="A3726" t="str">
        <f>"20190303170326854"</f>
        <v>20190303170326854</v>
      </c>
      <c r="B3726" t="str">
        <f>"1551603806849104"</f>
        <v>1551603806849104</v>
      </c>
      <c r="C3726" t="s">
        <v>40</v>
      </c>
      <c r="D3726">
        <v>4.4286320000000003</v>
      </c>
      <c r="E3726">
        <v>0.49085210000000001</v>
      </c>
      <c r="F3726" t="s">
        <v>63</v>
      </c>
      <c r="G3726">
        <v>-432.71409999999997</v>
      </c>
      <c r="H3726" s="1">
        <v>3.6231979999999998E-6</v>
      </c>
      <c r="I3726">
        <v>212.29839999999999</v>
      </c>
      <c r="J3726">
        <v>-455.42910000000001</v>
      </c>
      <c r="K3726">
        <v>1.1205480000000001</v>
      </c>
      <c r="L3726">
        <v>213.5189</v>
      </c>
      <c r="M3726">
        <v>0.99863389999999996</v>
      </c>
      <c r="N3726">
        <v>-4.6332459999999997E-3</v>
      </c>
      <c r="O3726">
        <v>-5.2046099999999998E-2</v>
      </c>
      <c r="P3726">
        <v>0.98605209999999999</v>
      </c>
      <c r="Q3726">
        <v>0.1612239</v>
      </c>
      <c r="R3726">
        <v>-4.1328579999999997E-2</v>
      </c>
      <c r="S3726">
        <v>3.0599059999999998</v>
      </c>
      <c r="T3726">
        <v>-0.14906720000000001</v>
      </c>
      <c r="U3726">
        <v>-0.16435239999999901</v>
      </c>
      <c r="V3726">
        <v>-1.0034059999999999E-2</v>
      </c>
      <c r="W3726">
        <v>0.16579569999999999</v>
      </c>
      <c r="X3726">
        <v>0.98610909999999996</v>
      </c>
      <c r="Y3726">
        <v>1.6380279999999999E-3</v>
      </c>
      <c r="Z3726">
        <v>2.2457710000000001E-3</v>
      </c>
      <c r="AA3726">
        <v>0.99999610000000005</v>
      </c>
      <c r="AB3726">
        <v>27</v>
      </c>
      <c r="AC3726">
        <v>22.715</v>
      </c>
      <c r="AD3726">
        <v>-1.12054437680199</v>
      </c>
      <c r="AE3726">
        <v>-1.2205000000000099</v>
      </c>
      <c r="AF3726">
        <v>3.65172983551851E-2</v>
      </c>
      <c r="AG3726">
        <v>-1.12054437680199</v>
      </c>
      <c r="AH3726">
        <v>22.692672454875702</v>
      </c>
      <c r="AI3726">
        <v>92.826915841320599</v>
      </c>
      <c r="AJ3726">
        <v>89.907799080381494</v>
      </c>
      <c r="AK3726">
        <v>22.720350709391202</v>
      </c>
      <c r="AL3726">
        <v>80.456538849518196</v>
      </c>
      <c r="AM3726">
        <v>90.582987672249104</v>
      </c>
      <c r="AN3726">
        <v>1.0000000268006899</v>
      </c>
    </row>
    <row r="3727" spans="1:40" x14ac:dyDescent="0.25">
      <c r="A3727" t="str">
        <f>"20190303170326876"</f>
        <v>20190303170326876</v>
      </c>
      <c r="B3727" t="str">
        <f>"1551603806868624"</f>
        <v>1551603806868624</v>
      </c>
      <c r="C3727" t="s">
        <v>40</v>
      </c>
      <c r="D3727">
        <v>4.3108219999999999</v>
      </c>
      <c r="E3727">
        <v>0.49006840000000002</v>
      </c>
      <c r="F3727" t="s">
        <v>63</v>
      </c>
      <c r="G3727">
        <v>-417.21010000000001</v>
      </c>
      <c r="H3727" s="1">
        <v>3.6086390000000001E-6</v>
      </c>
      <c r="I3727">
        <v>213.1986</v>
      </c>
      <c r="J3727">
        <v>-455.1669</v>
      </c>
      <c r="K3727">
        <v>1.120549</v>
      </c>
      <c r="L3727">
        <v>213.5052</v>
      </c>
      <c r="M3727">
        <v>0.99863400000000002</v>
      </c>
      <c r="N3727">
        <v>-4.6357580000000002E-3</v>
      </c>
      <c r="O3727">
        <v>-5.2045609999999999E-2</v>
      </c>
      <c r="P3727">
        <v>0.98603390000000002</v>
      </c>
      <c r="Q3727">
        <v>0.1617469</v>
      </c>
      <c r="R3727">
        <v>-3.9691619999999997E-2</v>
      </c>
      <c r="S3727">
        <v>3.056</v>
      </c>
      <c r="T3727">
        <v>-8.9599010000000007E-2</v>
      </c>
      <c r="U3727">
        <v>-2.5604249999999999E-2</v>
      </c>
      <c r="V3727">
        <v>-1.166887E-2</v>
      </c>
      <c r="W3727">
        <v>0.16632040000000001</v>
      </c>
      <c r="X3727">
        <v>0.98600270000000001</v>
      </c>
      <c r="Y3727">
        <v>-4.3640089999999999E-2</v>
      </c>
      <c r="Z3727">
        <v>2.024428E-3</v>
      </c>
      <c r="AA3727">
        <v>0.99904530000000002</v>
      </c>
      <c r="AB3727">
        <v>27</v>
      </c>
      <c r="AC3727">
        <v>37.956799999999902</v>
      </c>
      <c r="AD3727">
        <v>-1.120545391361</v>
      </c>
      <c r="AE3727">
        <v>-0.30660000000000298</v>
      </c>
      <c r="AF3727">
        <v>-1.66786798411518</v>
      </c>
      <c r="AG3727">
        <v>-1.120545391361</v>
      </c>
      <c r="AH3727">
        <v>37.888295305170899</v>
      </c>
      <c r="AI3727">
        <v>91.692389435072201</v>
      </c>
      <c r="AJ3727">
        <v>92.520571063457297</v>
      </c>
      <c r="AK3727">
        <v>37.941538275594098</v>
      </c>
      <c r="AL3727">
        <v>80.426052040338007</v>
      </c>
      <c r="AM3727">
        <v>90.678036472509106</v>
      </c>
      <c r="AN3727">
        <v>0.99999998119526301</v>
      </c>
    </row>
    <row r="3728" spans="1:40" x14ac:dyDescent="0.25">
      <c r="A3728" t="str">
        <f>"20190303170326898"</f>
        <v>20190303170326898</v>
      </c>
      <c r="B3728" t="str">
        <f>"1551603806889120"</f>
        <v>1551603806889120</v>
      </c>
      <c r="C3728" t="s">
        <v>40</v>
      </c>
      <c r="D3728">
        <v>4.3704939999999999</v>
      </c>
      <c r="E3728">
        <v>0.48974440000000002</v>
      </c>
      <c r="F3728" t="s">
        <v>63</v>
      </c>
      <c r="G3728">
        <v>-412.48869999999999</v>
      </c>
      <c r="H3728" s="1">
        <v>2.7631109999999999E-6</v>
      </c>
      <c r="I3728">
        <v>213.29050000000001</v>
      </c>
      <c r="J3728">
        <v>-454.89690000000002</v>
      </c>
      <c r="K3728">
        <v>1.1205510000000001</v>
      </c>
      <c r="L3728">
        <v>213.49109999999999</v>
      </c>
      <c r="M3728">
        <v>0.99863420000000003</v>
      </c>
      <c r="N3728">
        <v>-4.6374099999999998E-3</v>
      </c>
      <c r="O3728">
        <v>-5.2042970000000001E-2</v>
      </c>
      <c r="P3728">
        <v>0.98599950000000003</v>
      </c>
      <c r="Q3728">
        <v>0.1623124</v>
      </c>
      <c r="R3728">
        <v>-3.8209710000000001E-2</v>
      </c>
      <c r="S3728">
        <v>3.0550229999999998</v>
      </c>
      <c r="T3728">
        <v>-8.0211879999999999E-2</v>
      </c>
      <c r="U3728">
        <v>-1.53656E-2</v>
      </c>
      <c r="V3728">
        <v>-1.31453E-2</v>
      </c>
      <c r="W3728">
        <v>0.16688699999999901</v>
      </c>
      <c r="X3728">
        <v>0.9858884</v>
      </c>
      <c r="Y3728">
        <v>-4.6988950000000002E-2</v>
      </c>
      <c r="Z3728">
        <v>1.850006E-3</v>
      </c>
      <c r="AA3728">
        <v>0.9988937</v>
      </c>
      <c r="AB3728">
        <v>27</v>
      </c>
      <c r="AC3728">
        <v>42.408200000000001</v>
      </c>
      <c r="AD3728">
        <v>-1.1205482368889901</v>
      </c>
      <c r="AE3728">
        <v>-0.20059999999997999</v>
      </c>
      <c r="AF3728">
        <v>-2.0053439550408099</v>
      </c>
      <c r="AG3728">
        <v>-1.1205482368889901</v>
      </c>
      <c r="AH3728">
        <v>42.331615064186501</v>
      </c>
      <c r="AI3728">
        <v>91.514608574820002</v>
      </c>
      <c r="AJ3728">
        <v>92.712202498313701</v>
      </c>
      <c r="AK3728">
        <v>42.3938989321775</v>
      </c>
      <c r="AL3728">
        <v>80.393128319583298</v>
      </c>
      <c r="AM3728">
        <v>90.763905511071002</v>
      </c>
      <c r="AN3728">
        <v>1.00000000346782</v>
      </c>
    </row>
    <row r="3729" spans="1:40" x14ac:dyDescent="0.25">
      <c r="A3729" t="str">
        <f>"20190303170326922"</f>
        <v>20190303170326922</v>
      </c>
      <c r="B3729" t="str">
        <f>"1551603806908640"</f>
        <v>1551603806908640</v>
      </c>
      <c r="C3729" t="s">
        <v>40</v>
      </c>
      <c r="D3729">
        <v>4.2991580000000003</v>
      </c>
      <c r="E3729">
        <v>0.48943530000000002</v>
      </c>
      <c r="F3729" t="s">
        <v>63</v>
      </c>
      <c r="G3729">
        <v>-410.36649999999997</v>
      </c>
      <c r="H3729" s="1">
        <v>2.3799540000000001E-6</v>
      </c>
      <c r="I3729">
        <v>213.3672</v>
      </c>
      <c r="J3729">
        <v>-454.61799999999999</v>
      </c>
      <c r="K3729">
        <v>1.1205430000000001</v>
      </c>
      <c r="L3729">
        <v>213.47649999999999</v>
      </c>
      <c r="M3729">
        <v>0.99863429999999997</v>
      </c>
      <c r="N3729">
        <v>-4.6398079999999996E-3</v>
      </c>
      <c r="O3729">
        <v>-5.203986E-2</v>
      </c>
      <c r="P3729">
        <v>0.98590990000000001</v>
      </c>
      <c r="Q3729">
        <v>0.16298840000000001</v>
      </c>
      <c r="R3729">
        <v>-3.7637070000000002E-2</v>
      </c>
      <c r="S3729">
        <v>3.054932</v>
      </c>
      <c r="T3729">
        <v>-7.6873300000000006E-2</v>
      </c>
      <c r="U3729">
        <v>-8.4991459999999904E-3</v>
      </c>
      <c r="V3729">
        <v>-1.371112E-2</v>
      </c>
      <c r="W3729">
        <v>0.16756489999999999</v>
      </c>
      <c r="X3729">
        <v>0.98576569999999997</v>
      </c>
      <c r="Y3729">
        <v>-4.9232489999999997E-2</v>
      </c>
      <c r="Z3729">
        <v>1.8008989999999999E-3</v>
      </c>
      <c r="AA3729">
        <v>0.9987857</v>
      </c>
      <c r="AB3729">
        <v>27</v>
      </c>
      <c r="AC3729">
        <v>44.2515</v>
      </c>
      <c r="AD3729">
        <v>-1.120540620046</v>
      </c>
      <c r="AE3729">
        <v>-0.10929999999999</v>
      </c>
      <c r="AF3729">
        <v>-2.1923088769956798</v>
      </c>
      <c r="AG3729">
        <v>-1.120540620046</v>
      </c>
      <c r="AH3729">
        <v>44.168905026195198</v>
      </c>
      <c r="AI3729">
        <v>91.451464374584603</v>
      </c>
      <c r="AJ3729">
        <v>92.841524986797097</v>
      </c>
      <c r="AK3729">
        <v>44.237472811027303</v>
      </c>
      <c r="AL3729">
        <v>80.353732759885901</v>
      </c>
      <c r="AM3729">
        <v>90.796881706669893</v>
      </c>
      <c r="AN3729">
        <v>1.00000000291007</v>
      </c>
    </row>
    <row r="3730" spans="1:40" x14ac:dyDescent="0.25">
      <c r="A3730" t="str">
        <f>"20190303170326944"</f>
        <v>20190303170326944</v>
      </c>
      <c r="B3730" t="str">
        <f>"1551603806938897"</f>
        <v>1551603806938897</v>
      </c>
      <c r="C3730" t="s">
        <v>40</v>
      </c>
      <c r="D3730">
        <v>4.229088</v>
      </c>
      <c r="E3730">
        <v>0.48893740000000002</v>
      </c>
      <c r="F3730" t="s">
        <v>63</v>
      </c>
      <c r="G3730">
        <v>-408.91399999999999</v>
      </c>
      <c r="H3730" s="1">
        <v>4.6963789999999997E-6</v>
      </c>
      <c r="I3730">
        <v>213.4204</v>
      </c>
      <c r="J3730">
        <v>-454.34570000000002</v>
      </c>
      <c r="K3730">
        <v>1.1205449999999999</v>
      </c>
      <c r="L3730">
        <v>213.4623</v>
      </c>
      <c r="M3730">
        <v>0.99863449999999998</v>
      </c>
      <c r="N3730">
        <v>-4.6429519999999997E-3</v>
      </c>
      <c r="O3730">
        <v>-5.2037590000000002E-2</v>
      </c>
      <c r="P3730">
        <v>0.98579939999999999</v>
      </c>
      <c r="Q3730">
        <v>0.16352149999999999</v>
      </c>
      <c r="R3730">
        <v>-3.8218740000000001E-2</v>
      </c>
      <c r="S3730">
        <v>3.0550540000000002</v>
      </c>
      <c r="T3730">
        <v>-7.4901699999999904E-2</v>
      </c>
      <c r="U3730">
        <v>-3.7536620000000001E-3</v>
      </c>
      <c r="V3730">
        <v>-1.3123279999999999E-2</v>
      </c>
      <c r="W3730">
        <v>0.16810079999999999</v>
      </c>
      <c r="X3730">
        <v>0.98568250000000002</v>
      </c>
      <c r="Y3730">
        <v>-5.0782679999999997E-2</v>
      </c>
      <c r="Z3730">
        <v>1.7738700000000001E-3</v>
      </c>
      <c r="AA3730">
        <v>0.99870809999999999</v>
      </c>
      <c r="AB3730">
        <v>27</v>
      </c>
      <c r="AC3730">
        <v>45.431699999999999</v>
      </c>
      <c r="AD3730">
        <v>-1.120540303621</v>
      </c>
      <c r="AE3730">
        <v>-4.1899999999998203E-2</v>
      </c>
      <c r="AF3730">
        <v>-2.3209261570692998</v>
      </c>
      <c r="AG3730">
        <v>-1.120540303621</v>
      </c>
      <c r="AH3730">
        <v>45.344740496942897</v>
      </c>
      <c r="AI3730">
        <v>91.413731406024297</v>
      </c>
      <c r="AJ3730">
        <v>92.9300714384255</v>
      </c>
      <c r="AK3730">
        <v>45.417923769517401</v>
      </c>
      <c r="AL3730">
        <v>80.322586563654994</v>
      </c>
      <c r="AM3730">
        <v>90.762785313047004</v>
      </c>
      <c r="AN3730">
        <v>1.00000004512242</v>
      </c>
    </row>
    <row r="3731" spans="1:40" x14ac:dyDescent="0.25">
      <c r="A3731" t="str">
        <f>"20190303170326965"</f>
        <v>20190303170326965</v>
      </c>
      <c r="B3731" t="str">
        <f>"1551603806958674"</f>
        <v>1551603806958674</v>
      </c>
      <c r="C3731" t="s">
        <v>40</v>
      </c>
      <c r="D3731">
        <v>4.3627539999999998</v>
      </c>
      <c r="E3731">
        <v>0.48899540000000002</v>
      </c>
      <c r="F3731" t="s">
        <v>63</v>
      </c>
      <c r="G3731">
        <v>-405.46820000000002</v>
      </c>
      <c r="H3731" s="1">
        <v>6.2183360000000004E-6</v>
      </c>
      <c r="I3731">
        <v>213.44990000000001</v>
      </c>
      <c r="J3731">
        <v>-454.0752</v>
      </c>
      <c r="K3731">
        <v>1.1205510000000001</v>
      </c>
      <c r="L3731">
        <v>213.44820000000001</v>
      </c>
      <c r="M3731">
        <v>0.99863440000000003</v>
      </c>
      <c r="N3731">
        <v>-4.6467940000000001E-3</v>
      </c>
      <c r="O3731">
        <v>-5.2035669999999999E-2</v>
      </c>
      <c r="P3731">
        <v>0.98571830000000005</v>
      </c>
      <c r="Q3731">
        <v>0.16388939999999999</v>
      </c>
      <c r="R3731">
        <v>-3.8729430000000002E-2</v>
      </c>
      <c r="S3731">
        <v>3.05484</v>
      </c>
      <c r="T3731">
        <v>-7.0033670000000006E-2</v>
      </c>
      <c r="U3731">
        <v>-7.7819819999999998E-4</v>
      </c>
      <c r="V3731">
        <v>-1.260875E-2</v>
      </c>
      <c r="W3731">
        <v>0.1684716</v>
      </c>
      <c r="X3731">
        <v>0.98562590000000005</v>
      </c>
      <c r="Y3731">
        <v>-5.1756799999999999E-2</v>
      </c>
      <c r="Z3731">
        <v>1.66399E-3</v>
      </c>
      <c r="AA3731">
        <v>0.99865839999999995</v>
      </c>
      <c r="AB3731">
        <v>27</v>
      </c>
      <c r="AC3731">
        <v>48.6069999999999</v>
      </c>
      <c r="AD3731">
        <v>-1.120544781664</v>
      </c>
      <c r="AE3731">
        <v>1.6999999999995901E-3</v>
      </c>
      <c r="AF3731">
        <v>-2.5296784633408702</v>
      </c>
      <c r="AG3731">
        <v>-1.120544781664</v>
      </c>
      <c r="AH3731">
        <v>48.515275306035001</v>
      </c>
      <c r="AI3731">
        <v>91.321316251860793</v>
      </c>
      <c r="AJ3731">
        <v>92.984807554147906</v>
      </c>
      <c r="AK3731">
        <v>48.594102849584203</v>
      </c>
      <c r="AL3731">
        <v>80.301033836325999</v>
      </c>
      <c r="AM3731">
        <v>90.732923876087</v>
      </c>
      <c r="AN3731">
        <v>1.00000003766696</v>
      </c>
    </row>
    <row r="3732" spans="1:40" x14ac:dyDescent="0.25">
      <c r="A3732" t="str">
        <f>"20190303170326999"</f>
        <v>20190303170326999</v>
      </c>
      <c r="B3732" t="str">
        <f>"1551603806988930"</f>
        <v>1551603806988930</v>
      </c>
      <c r="C3732" t="s">
        <v>40</v>
      </c>
      <c r="D3732">
        <v>4.2085089999999896</v>
      </c>
      <c r="E3732">
        <v>0.48885590000000001</v>
      </c>
      <c r="F3732" t="s">
        <v>63</v>
      </c>
      <c r="G3732">
        <v>-404.4117</v>
      </c>
      <c r="H3732" s="1">
        <v>6.6953659999999998E-6</v>
      </c>
      <c r="I3732">
        <v>213.40880000000001</v>
      </c>
      <c r="J3732">
        <v>-453.66019999999997</v>
      </c>
      <c r="K3732">
        <v>1.120565</v>
      </c>
      <c r="L3732">
        <v>213.42660000000001</v>
      </c>
      <c r="M3732">
        <v>0.99863559999999996</v>
      </c>
      <c r="N3732">
        <v>-4.6542679999999996E-3</v>
      </c>
      <c r="O3732">
        <v>-5.2013209999999997E-2</v>
      </c>
      <c r="P3732">
        <v>0.98538150000000002</v>
      </c>
      <c r="Q3732">
        <v>0.1657864</v>
      </c>
      <c r="R3732">
        <v>-3.9220499999999998E-2</v>
      </c>
      <c r="S3732">
        <v>3.05484</v>
      </c>
      <c r="T3732">
        <v>-6.8925500000000001E-2</v>
      </c>
      <c r="U3732">
        <v>-2.426147E-3</v>
      </c>
      <c r="V3732">
        <v>-1.2082590000000001E-2</v>
      </c>
      <c r="W3732">
        <v>0.1703749</v>
      </c>
      <c r="X3732">
        <v>0.98530519999999999</v>
      </c>
      <c r="Y3732">
        <v>-5.119659E-2</v>
      </c>
      <c r="Z3732">
        <v>1.627517E-3</v>
      </c>
      <c r="AA3732">
        <v>0.99868729999999994</v>
      </c>
      <c r="AB3732">
        <v>28</v>
      </c>
      <c r="AC3732">
        <v>49.2484999999999</v>
      </c>
      <c r="AD3732">
        <v>-1.120558304634</v>
      </c>
      <c r="AE3732">
        <v>-1.7799999999994001E-2</v>
      </c>
      <c r="AF3732">
        <v>-2.5425080165863898</v>
      </c>
      <c r="AG3732">
        <v>-1.120558304634</v>
      </c>
      <c r="AH3732">
        <v>49.1573124679797</v>
      </c>
      <c r="AI3732">
        <v>91.304108805667894</v>
      </c>
      <c r="AJ3732">
        <v>92.960806411945299</v>
      </c>
      <c r="AK3732">
        <v>49.235773244695601</v>
      </c>
      <c r="AL3732">
        <v>80.1903824236079</v>
      </c>
      <c r="AM3732">
        <v>90.702570853052407</v>
      </c>
      <c r="AN3732">
        <v>0.99999996633907795</v>
      </c>
    </row>
    <row r="3733" spans="1:40" x14ac:dyDescent="0.25">
      <c r="A3733" t="str">
        <f>"20190303170327023"</f>
        <v>20190303170327023</v>
      </c>
      <c r="B3733" t="str">
        <f>"1551603807009426"</f>
        <v>1551603807009426</v>
      </c>
      <c r="C3733" t="s">
        <v>40</v>
      </c>
      <c r="D3733">
        <v>4.2997360000000002</v>
      </c>
      <c r="E3733">
        <v>0.48903150000000001</v>
      </c>
      <c r="F3733" t="s">
        <v>63</v>
      </c>
      <c r="G3733">
        <v>-400.29329999999999</v>
      </c>
      <c r="H3733" s="1">
        <v>8.5344809999999906E-6</v>
      </c>
      <c r="I3733">
        <v>213.34690000000001</v>
      </c>
      <c r="J3733">
        <v>-453.36959999999999</v>
      </c>
      <c r="K3733">
        <v>1.1205849999999999</v>
      </c>
      <c r="L3733">
        <v>213.41149999999999</v>
      </c>
      <c r="M3733">
        <v>0.99863880000000005</v>
      </c>
      <c r="N3733">
        <v>-4.660745E-3</v>
      </c>
      <c r="O3733">
        <v>-5.195015E-2</v>
      </c>
      <c r="P3733">
        <v>0.98518039999999996</v>
      </c>
      <c r="Q3733">
        <v>0.16661670000000001</v>
      </c>
      <c r="R3733">
        <v>-4.0723469999999998E-2</v>
      </c>
      <c r="S3733">
        <v>3.0551149999999998</v>
      </c>
      <c r="T3733">
        <v>-6.4148899999999995E-2</v>
      </c>
      <c r="U3733">
        <v>-4.5623779999999997E-3</v>
      </c>
      <c r="V3733">
        <v>-1.051931E-2</v>
      </c>
      <c r="W3733">
        <v>0.1712098</v>
      </c>
      <c r="X3733">
        <v>0.98517840000000001</v>
      </c>
      <c r="Y3733">
        <v>-5.0438799999999999E-2</v>
      </c>
      <c r="Z3733">
        <v>1.4951539999999901E-3</v>
      </c>
      <c r="AA3733">
        <v>0.998726</v>
      </c>
      <c r="AB3733">
        <v>28</v>
      </c>
      <c r="AC3733">
        <v>53.076300000000003</v>
      </c>
      <c r="AD3733">
        <v>-1.120576465519</v>
      </c>
      <c r="AE3733">
        <v>-6.4599999999984406E-2</v>
      </c>
      <c r="AF3733">
        <v>-2.6916391667837698</v>
      </c>
      <c r="AG3733">
        <v>-1.120576465519</v>
      </c>
      <c r="AH3733">
        <v>52.984367207244802</v>
      </c>
      <c r="AI3733">
        <v>91.210018845464901</v>
      </c>
      <c r="AJ3733">
        <v>92.908161640592297</v>
      </c>
      <c r="AK3733">
        <v>53.0645246974982</v>
      </c>
      <c r="AL3733">
        <v>80.141832830457403</v>
      </c>
      <c r="AM3733">
        <v>90.611756371022693</v>
      </c>
      <c r="AN3733">
        <v>0.99999996566273697</v>
      </c>
    </row>
    <row r="3734" spans="1:40" x14ac:dyDescent="0.25">
      <c r="A3734" t="str">
        <f>"20190303170327044"</f>
        <v>20190303170327044</v>
      </c>
      <c r="B3734" t="str">
        <f>"1551603807039682"</f>
        <v>1551603807039682</v>
      </c>
      <c r="C3734" t="s">
        <v>40</v>
      </c>
      <c r="D3734">
        <v>4.4187390000000004</v>
      </c>
      <c r="E3734">
        <v>0.48910900000000002</v>
      </c>
      <c r="F3734" t="s">
        <v>62</v>
      </c>
      <c r="G3734">
        <v>-397.85860000000002</v>
      </c>
      <c r="H3734" s="1">
        <v>2.645173E-6</v>
      </c>
      <c r="I3734">
        <v>213.24209999999999</v>
      </c>
      <c r="J3734">
        <v>-453.09249999999997</v>
      </c>
      <c r="K3734">
        <v>1.1206100000000001</v>
      </c>
      <c r="L3734">
        <v>213.39709999999999</v>
      </c>
      <c r="M3734">
        <v>0.99864459999999999</v>
      </c>
      <c r="N3734">
        <v>-4.667834E-3</v>
      </c>
      <c r="O3734">
        <v>-5.1838969999999998E-2</v>
      </c>
      <c r="P3734">
        <v>0.98513810000000002</v>
      </c>
      <c r="Q3734">
        <v>0.16641919999999999</v>
      </c>
      <c r="R3734">
        <v>-4.2517390000000002E-2</v>
      </c>
      <c r="S3734">
        <v>3.0551759999999999</v>
      </c>
      <c r="T3734">
        <v>-6.167388E-2</v>
      </c>
      <c r="U3734">
        <v>-9.3231200000000007E-3</v>
      </c>
      <c r="V3734">
        <v>-8.6311080000000002E-3</v>
      </c>
      <c r="W3734">
        <v>0.17101910000000001</v>
      </c>
      <c r="X3734">
        <v>0.98522989999999999</v>
      </c>
      <c r="Y3734">
        <v>-4.8773360000000002E-2</v>
      </c>
      <c r="Z3734">
        <v>1.4100149999999999E-3</v>
      </c>
      <c r="AA3734">
        <v>0.9988089</v>
      </c>
      <c r="AB3734">
        <v>28</v>
      </c>
      <c r="AC3734">
        <v>55.233899999999899</v>
      </c>
      <c r="AD3734">
        <v>-1.1206073548269999</v>
      </c>
      <c r="AE3734">
        <v>-0.155000000000001</v>
      </c>
      <c r="AF3734">
        <v>-2.7073935318817499</v>
      </c>
      <c r="AG3734">
        <v>-1.1206073548269999</v>
      </c>
      <c r="AH3734">
        <v>55.144970601213998</v>
      </c>
      <c r="AI3734">
        <v>91.162753837127099</v>
      </c>
      <c r="AJ3734">
        <v>92.810732602634801</v>
      </c>
      <c r="AK3734">
        <v>55.222762726876702</v>
      </c>
      <c r="AL3734">
        <v>80.152922962864395</v>
      </c>
      <c r="AM3734">
        <v>90.501926921294995</v>
      </c>
      <c r="AN3734">
        <v>0.99999999222206304</v>
      </c>
    </row>
    <row r="3735" spans="1:40" x14ac:dyDescent="0.25">
      <c r="A3735" t="str">
        <f>"20190303170327067"</f>
        <v>20190303170327067</v>
      </c>
      <c r="B3735" t="str">
        <f>"1551603807059202"</f>
        <v>1551603807059202</v>
      </c>
      <c r="C3735" t="s">
        <v>40</v>
      </c>
      <c r="D3735">
        <v>4.2987250000000001</v>
      </c>
      <c r="E3735">
        <v>0.48915710000000001</v>
      </c>
      <c r="F3735" t="s">
        <v>62</v>
      </c>
      <c r="G3735">
        <v>-398.47640000000001</v>
      </c>
      <c r="H3735" s="1">
        <v>2.9739379999999998E-6</v>
      </c>
      <c r="I3735">
        <v>213.14920000000001</v>
      </c>
      <c r="J3735">
        <v>-452.80770000000001</v>
      </c>
      <c r="K3735">
        <v>1.1206590000000001</v>
      </c>
      <c r="L3735">
        <v>213.38249999999999</v>
      </c>
      <c r="M3735">
        <v>0.99865499999999996</v>
      </c>
      <c r="N3735">
        <v>-4.6762820000000004E-3</v>
      </c>
      <c r="O3735">
        <v>-5.1636130000000002E-2</v>
      </c>
      <c r="P3735">
        <v>0.98535220000000001</v>
      </c>
      <c r="Q3735">
        <v>0.1652092</v>
      </c>
      <c r="R3735">
        <v>-4.2272650000000002E-2</v>
      </c>
      <c r="S3735">
        <v>3.0552060000000001</v>
      </c>
      <c r="T3735">
        <v>-6.2686439999999996E-2</v>
      </c>
      <c r="U3735">
        <v>-1.3870240000000001E-2</v>
      </c>
      <c r="V3735">
        <v>-8.7104639999999994E-3</v>
      </c>
      <c r="W3735">
        <v>0.16981669999999999</v>
      </c>
      <c r="X3735">
        <v>0.98543720000000001</v>
      </c>
      <c r="Y3735">
        <v>-4.7083760000000002E-2</v>
      </c>
      <c r="Z3735">
        <v>1.4105109999999999E-3</v>
      </c>
      <c r="AA3735">
        <v>0.9988899</v>
      </c>
      <c r="AB3735">
        <v>28</v>
      </c>
      <c r="AC3735">
        <v>54.331299999999999</v>
      </c>
      <c r="AD3735">
        <v>-1.120656026062</v>
      </c>
      <c r="AE3735">
        <v>-0.23329999999998499</v>
      </c>
      <c r="AF3735">
        <v>-2.5714060544458399</v>
      </c>
      <c r="AG3735">
        <v>-1.120656026062</v>
      </c>
      <c r="AH3735">
        <v>54.247786329047102</v>
      </c>
      <c r="AI3735">
        <v>91.182126516872501</v>
      </c>
      <c r="AJ3735">
        <v>92.713853018954595</v>
      </c>
      <c r="AK3735">
        <v>54.320257000750097</v>
      </c>
      <c r="AL3735">
        <v>80.222838508752702</v>
      </c>
      <c r="AM3735">
        <v>90.506434938405903</v>
      </c>
      <c r="AN3735">
        <v>1.0000000294629099</v>
      </c>
    </row>
    <row r="3736" spans="1:40" x14ac:dyDescent="0.25">
      <c r="A3736" t="str">
        <f>"20190303170327088"</f>
        <v>20190303170327088</v>
      </c>
      <c r="B3736" t="str">
        <f>"1551603807078721"</f>
        <v>1551603807078721</v>
      </c>
      <c r="C3736" t="s">
        <v>40</v>
      </c>
      <c r="D3736">
        <v>4.2986380000000004</v>
      </c>
      <c r="E3736">
        <v>0.48916680000000001</v>
      </c>
      <c r="F3736" t="s">
        <v>63</v>
      </c>
      <c r="G3736">
        <v>-402.69560000000001</v>
      </c>
      <c r="H3736" s="1">
        <v>7.5049010000000002E-6</v>
      </c>
      <c r="I3736">
        <v>213.17400000000001</v>
      </c>
      <c r="J3736">
        <v>-452.53460000000001</v>
      </c>
      <c r="K3736">
        <v>1.120738</v>
      </c>
      <c r="L3736">
        <v>213.36859999999999</v>
      </c>
      <c r="M3736">
        <v>0.99867090000000003</v>
      </c>
      <c r="N3736">
        <v>-4.6854779999999999E-3</v>
      </c>
      <c r="O3736">
        <v>-5.1327820000000003E-2</v>
      </c>
      <c r="P3736">
        <v>0.9853885</v>
      </c>
      <c r="Q3736">
        <v>0.16530929999999999</v>
      </c>
      <c r="R3736">
        <v>-4.1019590000000002E-2</v>
      </c>
      <c r="S3736">
        <v>3.0555110000000001</v>
      </c>
      <c r="T3736">
        <v>-6.8330050000000003E-2</v>
      </c>
      <c r="U3736">
        <v>-1.2710569999999999E-2</v>
      </c>
      <c r="V3736">
        <v>-9.6928229999999997E-3</v>
      </c>
      <c r="W3736">
        <v>0.16992380000000001</v>
      </c>
      <c r="X3736">
        <v>0.9854096</v>
      </c>
      <c r="Y3736">
        <v>-4.71513E-2</v>
      </c>
      <c r="Z3736">
        <v>1.5443550000000001E-3</v>
      </c>
      <c r="AA3736">
        <v>0.99888659999999996</v>
      </c>
      <c r="AB3736">
        <v>28</v>
      </c>
      <c r="AC3736">
        <v>49.838999999999999</v>
      </c>
      <c r="AD3736">
        <v>-1.120730495099</v>
      </c>
      <c r="AE3736">
        <v>-0.19459999999997901</v>
      </c>
      <c r="AF3736">
        <v>-2.3626170571317999</v>
      </c>
      <c r="AG3736">
        <v>-1.120730495099</v>
      </c>
      <c r="AH3736">
        <v>49.7581316088989</v>
      </c>
      <c r="AI3736">
        <v>91.288835473386598</v>
      </c>
      <c r="AJ3736">
        <v>92.718478126335995</v>
      </c>
      <c r="AK3736">
        <v>49.826796579850502</v>
      </c>
      <c r="AL3736">
        <v>80.216611975416797</v>
      </c>
      <c r="AM3736">
        <v>90.563562542475694</v>
      </c>
      <c r="AN3736">
        <v>1.0000000641981499</v>
      </c>
    </row>
    <row r="3737" spans="1:40" x14ac:dyDescent="0.25">
      <c r="A3737" t="str">
        <f>"20190303170327110"</f>
        <v>20190303170327110</v>
      </c>
      <c r="B3737" t="str">
        <f>"1551603807099218"</f>
        <v>1551603807099218</v>
      </c>
      <c r="C3737" t="s">
        <v>40</v>
      </c>
      <c r="D3737">
        <v>4.2979659999999997</v>
      </c>
      <c r="E3737">
        <v>0.48916409999999999</v>
      </c>
      <c r="F3737" t="s">
        <v>63</v>
      </c>
      <c r="G3737">
        <v>-403.46859999999998</v>
      </c>
      <c r="H3737" s="1">
        <v>7.1523930000000004E-6</v>
      </c>
      <c r="I3737">
        <v>213.2209</v>
      </c>
      <c r="J3737">
        <v>-452.2595</v>
      </c>
      <c r="K3737">
        <v>1.120843</v>
      </c>
      <c r="L3737">
        <v>213.35489999999999</v>
      </c>
      <c r="M3737">
        <v>0.99869359999999996</v>
      </c>
      <c r="N3737">
        <v>-4.6958720000000002E-3</v>
      </c>
      <c r="O3737">
        <v>-5.0883049999999999E-2</v>
      </c>
      <c r="P3737">
        <v>0.985375</v>
      </c>
      <c r="Q3737">
        <v>0.16555410000000001</v>
      </c>
      <c r="R3737">
        <v>-4.0352319999999997E-2</v>
      </c>
      <c r="S3737">
        <v>3.055847</v>
      </c>
      <c r="T3737">
        <v>-6.9799539999999993E-2</v>
      </c>
      <c r="U3737">
        <v>-9.2010500000000005E-3</v>
      </c>
      <c r="V3737">
        <v>-9.9611539999999998E-3</v>
      </c>
      <c r="W3737">
        <v>0.1701762</v>
      </c>
      <c r="X3737">
        <v>0.98536330000000005</v>
      </c>
      <c r="Y3737">
        <v>-4.7852909999999999E-2</v>
      </c>
      <c r="Z3737">
        <v>1.5814970000000001E-3</v>
      </c>
      <c r="AA3737">
        <v>0.99885310000000005</v>
      </c>
      <c r="AB3737">
        <v>28</v>
      </c>
      <c r="AC3737">
        <v>48.790900000000001</v>
      </c>
      <c r="AD3737">
        <v>-1.1208358476069999</v>
      </c>
      <c r="AE3737">
        <v>-0.13399999999998599</v>
      </c>
      <c r="AF3737">
        <v>-2.3475918393117499</v>
      </c>
      <c r="AG3737">
        <v>-1.1208358476069999</v>
      </c>
      <c r="AH3737">
        <v>48.708809602082901</v>
      </c>
      <c r="AI3737">
        <v>91.316669709729695</v>
      </c>
      <c r="AJ3737">
        <v>92.759318112306701</v>
      </c>
      <c r="AK3737">
        <v>48.778228681382501</v>
      </c>
      <c r="AL3737">
        <v>80.201936131873396</v>
      </c>
      <c r="AM3737">
        <v>90.579190073978197</v>
      </c>
      <c r="AN3737">
        <v>0.99999999831117004</v>
      </c>
    </row>
    <row r="3738" spans="1:40" x14ac:dyDescent="0.25">
      <c r="A3738" t="str">
        <f>"20190303170327135"</f>
        <v>20190303170327135</v>
      </c>
      <c r="B3738" t="str">
        <f>"1551603807129476"</f>
        <v>1551603807129476</v>
      </c>
      <c r="C3738" t="s">
        <v>40</v>
      </c>
      <c r="D3738">
        <v>4.2049200000000004</v>
      </c>
      <c r="E3738">
        <v>0.48925190000000002</v>
      </c>
      <c r="F3738" t="s">
        <v>63</v>
      </c>
      <c r="G3738">
        <v>-403.22879999999998</v>
      </c>
      <c r="H3738" s="1">
        <v>7.253429E-6</v>
      </c>
      <c r="I3738">
        <v>213.2467</v>
      </c>
      <c r="J3738">
        <v>-451.94959999999998</v>
      </c>
      <c r="K3738">
        <v>1.120973</v>
      </c>
      <c r="L3738">
        <v>213.33969999999999</v>
      </c>
      <c r="M3738">
        <v>0.99872780000000005</v>
      </c>
      <c r="N3738">
        <v>-4.7087960000000003E-3</v>
      </c>
      <c r="O3738">
        <v>-5.0206439999999998E-2</v>
      </c>
      <c r="P3738">
        <v>0.98541670000000003</v>
      </c>
      <c r="Q3738">
        <v>0.165385</v>
      </c>
      <c r="R3738">
        <v>-4.0022410000000001E-2</v>
      </c>
      <c r="S3738">
        <v>3.0560299999999998</v>
      </c>
      <c r="T3738">
        <v>-6.9860459999999999E-2</v>
      </c>
      <c r="U3738">
        <v>-6.7443850000000003E-3</v>
      </c>
      <c r="V3738">
        <v>-9.6785680000000002E-3</v>
      </c>
      <c r="W3738">
        <v>0.17001729999999901</v>
      </c>
      <c r="X3738">
        <v>0.98539350000000003</v>
      </c>
      <c r="Y3738">
        <v>-4.797937E-2</v>
      </c>
      <c r="Z3738">
        <v>1.5720269999999999E-3</v>
      </c>
      <c r="AA3738">
        <v>0.99884709999999999</v>
      </c>
      <c r="AB3738">
        <v>28</v>
      </c>
      <c r="AC3738">
        <v>48.720799999999997</v>
      </c>
      <c r="AD3738">
        <v>-1.1209657465709999</v>
      </c>
      <c r="AE3738">
        <v>-9.29999999999893E-2</v>
      </c>
      <c r="AF3738">
        <v>-2.3519971717320902</v>
      </c>
      <c r="AG3738">
        <v>-1.1209657465709999</v>
      </c>
      <c r="AH3738">
        <v>48.638276867767701</v>
      </c>
      <c r="AI3738">
        <v>91.318720976855403</v>
      </c>
      <c r="AJ3738">
        <v>92.7684907237917</v>
      </c>
      <c r="AK3738">
        <v>48.708011985364898</v>
      </c>
      <c r="AL3738">
        <v>80.2111746230173</v>
      </c>
      <c r="AM3738">
        <v>90.562742971753096</v>
      </c>
      <c r="AN3738">
        <v>0.999999953410034</v>
      </c>
    </row>
    <row r="3739" spans="1:40" x14ac:dyDescent="0.25">
      <c r="A3739" t="str">
        <f>"20190303170327158"</f>
        <v>20190303170327158</v>
      </c>
      <c r="B3739" t="str">
        <f>"1551603807148993"</f>
        <v>1551603807148993</v>
      </c>
      <c r="C3739" t="s">
        <v>40</v>
      </c>
      <c r="D3739">
        <v>4.3103509999999998</v>
      </c>
      <c r="E3739">
        <v>0.48929879999999998</v>
      </c>
      <c r="F3739" t="s">
        <v>63</v>
      </c>
      <c r="G3739">
        <v>-403.86239999999998</v>
      </c>
      <c r="H3739" s="1">
        <v>6.9694919999999997E-6</v>
      </c>
      <c r="I3739">
        <v>213.261</v>
      </c>
      <c r="J3739">
        <v>-451.65750000000003</v>
      </c>
      <c r="K3739">
        <v>1.121105</v>
      </c>
      <c r="L3739">
        <v>213.32579999999999</v>
      </c>
      <c r="M3739">
        <v>0.99876980000000004</v>
      </c>
      <c r="N3739">
        <v>-4.7221559999999999E-3</v>
      </c>
      <c r="O3739">
        <v>-4.9364520000000002E-2</v>
      </c>
      <c r="P3739">
        <v>0.98553429999999997</v>
      </c>
      <c r="Q3739">
        <v>0.1648973</v>
      </c>
      <c r="R3739">
        <v>-3.9130989999999997E-2</v>
      </c>
      <c r="S3739">
        <v>3.056152</v>
      </c>
      <c r="T3739">
        <v>-7.124221E-2</v>
      </c>
      <c r="U3739">
        <v>-5.0048829999999999E-3</v>
      </c>
      <c r="V3739">
        <v>-9.7987339999999999E-3</v>
      </c>
      <c r="W3739">
        <v>0.16953940000000001</v>
      </c>
      <c r="X3739">
        <v>0.98547470000000004</v>
      </c>
      <c r="Y3739">
        <v>-4.7705249999999998E-2</v>
      </c>
      <c r="Z3739">
        <v>1.585674E-3</v>
      </c>
      <c r="AA3739">
        <v>0.99886019999999998</v>
      </c>
      <c r="AB3739">
        <v>29</v>
      </c>
      <c r="AC3739">
        <v>47.795099999999998</v>
      </c>
      <c r="AD3739">
        <v>-1.1210980305080001</v>
      </c>
      <c r="AE3739">
        <v>-6.4799999999991004E-2</v>
      </c>
      <c r="AF3739">
        <v>-2.2934253239768898</v>
      </c>
      <c r="AG3739">
        <v>-1.1210980305080001</v>
      </c>
      <c r="AH3739">
        <v>47.713775105249603</v>
      </c>
      <c r="AI3739">
        <v>91.344440580743296</v>
      </c>
      <c r="AJ3739">
        <v>92.751878979496198</v>
      </c>
      <c r="AK3739">
        <v>47.782015396014899</v>
      </c>
      <c r="AL3739">
        <v>80.238960150182507</v>
      </c>
      <c r="AM3739">
        <v>90.5696824097042</v>
      </c>
      <c r="AN3739">
        <v>1.0000000038402199</v>
      </c>
    </row>
    <row r="3740" spans="1:40" x14ac:dyDescent="0.25">
      <c r="A3740" t="str">
        <f>"20190303170327178"</f>
        <v>20190303170327178</v>
      </c>
      <c r="B3740" t="str">
        <f>"1551603807169020"</f>
        <v>1551603807169020</v>
      </c>
      <c r="C3740" t="s">
        <v>40</v>
      </c>
      <c r="D3740">
        <v>4.16934</v>
      </c>
      <c r="E3740">
        <v>0.48932419999999999</v>
      </c>
      <c r="F3740" t="s">
        <v>63</v>
      </c>
      <c r="G3740">
        <v>-404.79750000000001</v>
      </c>
      <c r="H3740" s="1">
        <v>6.550492E-6</v>
      </c>
      <c r="I3740">
        <v>213.2818</v>
      </c>
      <c r="J3740">
        <v>-451.3793</v>
      </c>
      <c r="K3740">
        <v>1.1212310000000001</v>
      </c>
      <c r="L3740">
        <v>213.31299999999999</v>
      </c>
      <c r="M3740">
        <v>0.99881739999999997</v>
      </c>
      <c r="N3740">
        <v>-4.7356500000000001E-3</v>
      </c>
      <c r="O3740">
        <v>-4.8389990000000001E-2</v>
      </c>
      <c r="P3740">
        <v>0.98544290000000001</v>
      </c>
      <c r="Q3740">
        <v>0.165766</v>
      </c>
      <c r="R3740">
        <v>-3.7740059999999999E-2</v>
      </c>
      <c r="S3740">
        <v>3.056152</v>
      </c>
      <c r="T3740">
        <v>-7.311666E-2</v>
      </c>
      <c r="U3740">
        <v>-2.8686520000000002E-3</v>
      </c>
      <c r="V3740">
        <v>-1.027693E-2</v>
      </c>
      <c r="W3740">
        <v>0.17041719999999999</v>
      </c>
      <c r="X3740">
        <v>0.98531840000000004</v>
      </c>
      <c r="Y3740">
        <v>-4.7427799999999999E-2</v>
      </c>
      <c r="Z3740">
        <v>1.6075690000000001E-3</v>
      </c>
      <c r="AA3740">
        <v>0.99887340000000002</v>
      </c>
      <c r="AB3740">
        <v>29</v>
      </c>
      <c r="AC3740">
        <v>46.581799999999902</v>
      </c>
      <c r="AD3740">
        <v>-1.1212244495079999</v>
      </c>
      <c r="AE3740">
        <v>-3.1199999999984102E-2</v>
      </c>
      <c r="AF3740">
        <v>-2.2216672630529701</v>
      </c>
      <c r="AG3740">
        <v>-1.1212244495079999</v>
      </c>
      <c r="AH3740">
        <v>46.5017973208572</v>
      </c>
      <c r="AI3740">
        <v>91.379642049190096</v>
      </c>
      <c r="AJ3740">
        <v>92.735280087161797</v>
      </c>
      <c r="AK3740">
        <v>46.568337996582798</v>
      </c>
      <c r="AL3740">
        <v>80.187923110067302</v>
      </c>
      <c r="AM3740">
        <v>90.597576747529999</v>
      </c>
      <c r="AN3740">
        <v>0.99999999336231205</v>
      </c>
    </row>
    <row r="3741" spans="1:40" x14ac:dyDescent="0.25">
      <c r="A3741" t="str">
        <f>"20190303170327200"</f>
        <v>20190303170327200</v>
      </c>
      <c r="B3741" t="str">
        <f>"1551603807189516"</f>
        <v>1551603807189516</v>
      </c>
      <c r="C3741" t="s">
        <v>40</v>
      </c>
      <c r="D3741">
        <v>4.2353430000000003</v>
      </c>
      <c r="E3741">
        <v>0.48927599999999999</v>
      </c>
      <c r="F3741" t="s">
        <v>63</v>
      </c>
      <c r="G3741">
        <v>-403.52190000000002</v>
      </c>
      <c r="H3741" s="1">
        <v>7.1088480000000001E-6</v>
      </c>
      <c r="I3741">
        <v>213.31729999999999</v>
      </c>
      <c r="J3741">
        <v>-451.10309999999998</v>
      </c>
      <c r="K3741">
        <v>1.121348</v>
      </c>
      <c r="L3741">
        <v>213.3006</v>
      </c>
      <c r="M3741">
        <v>0.99887020000000004</v>
      </c>
      <c r="N3741">
        <v>-4.7493530000000004E-3</v>
      </c>
      <c r="O3741">
        <v>-4.7286330000000001E-2</v>
      </c>
      <c r="P3741">
        <v>0.98522730000000003</v>
      </c>
      <c r="Q3741">
        <v>0.16730419999999999</v>
      </c>
      <c r="R3741">
        <v>-3.656036E-2</v>
      </c>
      <c r="S3741">
        <v>3.0563959999999999</v>
      </c>
      <c r="T3741">
        <v>-7.1606639999999999E-2</v>
      </c>
      <c r="U3741">
        <v>2.7465820000000001E-4</v>
      </c>
      <c r="V3741">
        <v>-1.040659E-2</v>
      </c>
      <c r="W3741">
        <v>0.17196420000000001</v>
      </c>
      <c r="X3741">
        <v>0.98504820000000004</v>
      </c>
      <c r="Y3741">
        <v>-4.7352749999999999E-2</v>
      </c>
      <c r="Z3741">
        <v>1.549857E-3</v>
      </c>
      <c r="AA3741">
        <v>0.99887700000000001</v>
      </c>
      <c r="AB3741">
        <v>29</v>
      </c>
      <c r="AC3741">
        <v>47.581199999999903</v>
      </c>
      <c r="AD3741">
        <v>-1.121340891152</v>
      </c>
      <c r="AE3741">
        <v>1.66999999999859E-2</v>
      </c>
      <c r="AF3741">
        <v>-2.2653885678952701</v>
      </c>
      <c r="AG3741">
        <v>-1.121340891152</v>
      </c>
      <c r="AH3741">
        <v>47.500801779652797</v>
      </c>
      <c r="AI3741">
        <v>91.350782861659894</v>
      </c>
      <c r="AJ3741">
        <v>92.730457713334602</v>
      </c>
      <c r="AK3741">
        <v>47.5680098434608</v>
      </c>
      <c r="AL3741">
        <v>80.097958226562696</v>
      </c>
      <c r="AM3741">
        <v>90.605281553779903</v>
      </c>
      <c r="AN3741">
        <v>0.99999996976015304</v>
      </c>
    </row>
    <row r="3742" spans="1:40" x14ac:dyDescent="0.25">
      <c r="A3742" t="str">
        <f>"20190303170327221"</f>
        <v>20190303170327221</v>
      </c>
      <c r="B3742" t="str">
        <f>"1551603807209036"</f>
        <v>1551603807209036</v>
      </c>
      <c r="C3742" t="s">
        <v>40</v>
      </c>
      <c r="D3742">
        <v>4.2342709999999997</v>
      </c>
      <c r="E3742">
        <v>0.48933290000000002</v>
      </c>
      <c r="F3742" t="s">
        <v>63</v>
      </c>
      <c r="G3742">
        <v>-400.06849999999997</v>
      </c>
      <c r="H3742" s="1">
        <v>8.6297559999999996E-6</v>
      </c>
      <c r="I3742">
        <v>213.36840000000001</v>
      </c>
      <c r="J3742">
        <v>-450.82319999999999</v>
      </c>
      <c r="K3742">
        <v>1.121462</v>
      </c>
      <c r="L3742">
        <v>213.2886</v>
      </c>
      <c r="M3742">
        <v>0.99892860000000006</v>
      </c>
      <c r="N3742">
        <v>-4.7644990000000002E-3</v>
      </c>
      <c r="O3742">
        <v>-4.603575E-2</v>
      </c>
      <c r="P3742">
        <v>0.98527319999999996</v>
      </c>
      <c r="Q3742">
        <v>0.167329799999999</v>
      </c>
      <c r="R3742">
        <v>-3.5183600000000002E-2</v>
      </c>
      <c r="S3742">
        <v>3.056549</v>
      </c>
      <c r="T3742">
        <v>-6.715894E-2</v>
      </c>
      <c r="U3742">
        <v>4.0588380000000004E-3</v>
      </c>
      <c r="V3742">
        <v>-1.0594869999999999E-2</v>
      </c>
      <c r="W3742">
        <v>0.17200179999999901</v>
      </c>
      <c r="X3742">
        <v>0.98503969999999996</v>
      </c>
      <c r="Y3742">
        <v>-4.7342019999999999E-2</v>
      </c>
      <c r="Z3742">
        <v>1.4245849999999999E-3</v>
      </c>
      <c r="AA3742">
        <v>0.99887769999999998</v>
      </c>
      <c r="AB3742">
        <v>29</v>
      </c>
      <c r="AC3742">
        <v>50.7547</v>
      </c>
      <c r="AD3742">
        <v>-1.1214533702439999</v>
      </c>
      <c r="AE3742">
        <v>7.9800000000005797E-2</v>
      </c>
      <c r="AF3742">
        <v>-2.4150931205891801</v>
      </c>
      <c r="AG3742">
        <v>-1.1214533702439999</v>
      </c>
      <c r="AH3742">
        <v>50.672475673087298</v>
      </c>
      <c r="AI3742">
        <v>91.266392404695495</v>
      </c>
      <c r="AJ3742">
        <v>92.728700510643407</v>
      </c>
      <c r="AK3742">
        <v>50.7423898065746</v>
      </c>
      <c r="AL3742">
        <v>80.095772028034006</v>
      </c>
      <c r="AM3742">
        <v>90.616237018899099</v>
      </c>
      <c r="AN3742">
        <v>1.0000000405248199</v>
      </c>
    </row>
    <row r="3743" spans="1:40" x14ac:dyDescent="0.25">
      <c r="A3743" t="str">
        <f>"20190303170327245"</f>
        <v>20190303170327245</v>
      </c>
      <c r="B3743" t="str">
        <f>"1551603807239292"</f>
        <v>1551603807239292</v>
      </c>
      <c r="C3743" t="s">
        <v>40</v>
      </c>
      <c r="D3743">
        <v>4.3065889999999998</v>
      </c>
      <c r="E3743">
        <v>0.48938029999999999</v>
      </c>
      <c r="F3743" t="s">
        <v>63</v>
      </c>
      <c r="G3743">
        <v>-400.00850000000003</v>
      </c>
      <c r="H3743" s="1">
        <v>8.6443029999999994E-6</v>
      </c>
      <c r="I3743">
        <v>213.42660000000001</v>
      </c>
      <c r="J3743">
        <v>-450.5222</v>
      </c>
      <c r="K3743">
        <v>1.121572</v>
      </c>
      <c r="L3743">
        <v>213.27610000000001</v>
      </c>
      <c r="M3743">
        <v>0.998996</v>
      </c>
      <c r="N3743">
        <v>-4.7855190000000002E-3</v>
      </c>
      <c r="O3743">
        <v>-4.4545229999999998E-2</v>
      </c>
      <c r="P3743">
        <v>0.98551149999999998</v>
      </c>
      <c r="Q3743">
        <v>0.16625809999999999</v>
      </c>
      <c r="R3743">
        <v>-3.3554239999999999E-2</v>
      </c>
      <c r="S3743">
        <v>3.0565799999999999</v>
      </c>
      <c r="T3743">
        <v>-6.7457080000000003E-2</v>
      </c>
      <c r="U3743">
        <v>8.3007810000000001E-3</v>
      </c>
      <c r="V3743">
        <v>-1.080684E-2</v>
      </c>
      <c r="W3743">
        <v>0.17094809999999999</v>
      </c>
      <c r="X3743">
        <v>0.98522080000000001</v>
      </c>
      <c r="Y3743">
        <v>-4.7237929999999997E-2</v>
      </c>
      <c r="Z3743">
        <v>1.4037769999999999E-3</v>
      </c>
      <c r="AA3743">
        <v>0.99888270000000001</v>
      </c>
      <c r="AB3743">
        <v>29</v>
      </c>
      <c r="AC3743">
        <v>50.513699999999901</v>
      </c>
      <c r="AD3743">
        <v>-1.1215633556969999</v>
      </c>
      <c r="AE3743">
        <v>0.150499999999993</v>
      </c>
      <c r="AF3743">
        <v>-2.3993377311708799</v>
      </c>
      <c r="AG3743">
        <v>-1.1215633556969999</v>
      </c>
      <c r="AH3743">
        <v>50.431991501391501</v>
      </c>
      <c r="AI3743">
        <v>91.272559093660703</v>
      </c>
      <c r="AJ3743">
        <v>92.723833463197593</v>
      </c>
      <c r="AK3743">
        <v>50.501490004805703</v>
      </c>
      <c r="AL3743">
        <v>80.157052167065302</v>
      </c>
      <c r="AM3743">
        <v>90.628449471018598</v>
      </c>
      <c r="AN3743">
        <v>1.0000000327185099</v>
      </c>
    </row>
    <row r="3744" spans="1:40" x14ac:dyDescent="0.25">
      <c r="A3744" t="str">
        <f>"20190303170327266"</f>
        <v>20190303170327266</v>
      </c>
      <c r="B3744" t="str">
        <f>"1551603807258811"</f>
        <v>1551603807258811</v>
      </c>
      <c r="C3744" t="s">
        <v>40</v>
      </c>
      <c r="D3744">
        <v>4.2543610000000003</v>
      </c>
      <c r="E3744">
        <v>0.48931400000000003</v>
      </c>
      <c r="F3744" t="s">
        <v>63</v>
      </c>
      <c r="G3744">
        <v>-402.29</v>
      </c>
      <c r="H3744" s="1">
        <v>7.6177509999999901E-6</v>
      </c>
      <c r="I3744">
        <v>213.4984</v>
      </c>
      <c r="J3744">
        <v>-450.23450000000003</v>
      </c>
      <c r="K3744">
        <v>1.121672</v>
      </c>
      <c r="L3744">
        <v>213.26480000000001</v>
      </c>
      <c r="M3744">
        <v>0.99906379999999995</v>
      </c>
      <c r="N3744">
        <v>-4.8087190000000004E-3</v>
      </c>
      <c r="O3744">
        <v>-4.2993610000000002E-2</v>
      </c>
      <c r="P3744">
        <v>0.98561909999999997</v>
      </c>
      <c r="Q3744">
        <v>0.16586319999999999</v>
      </c>
      <c r="R3744">
        <v>-3.2316810000000001E-2</v>
      </c>
      <c r="S3744">
        <v>3.05661</v>
      </c>
      <c r="T3744">
        <v>-7.1076749999999994E-2</v>
      </c>
      <c r="U3744">
        <v>1.408386E-2</v>
      </c>
      <c r="V3744">
        <v>-1.0558069999999999E-2</v>
      </c>
      <c r="W3744">
        <v>0.17057459999999999</v>
      </c>
      <c r="X3744">
        <v>0.98528819999999995</v>
      </c>
      <c r="Y3744">
        <v>-4.7574190000000002E-2</v>
      </c>
      <c r="Z3744">
        <v>1.460098E-3</v>
      </c>
      <c r="AA3744">
        <v>0.99886660000000005</v>
      </c>
      <c r="AB3744">
        <v>29</v>
      </c>
      <c r="AC3744">
        <v>47.944499999999998</v>
      </c>
      <c r="AD3744">
        <v>-1.121664382249</v>
      </c>
      <c r="AE3744">
        <v>0.23359999999999501</v>
      </c>
      <c r="AF3744">
        <v>-2.29345966484837</v>
      </c>
      <c r="AG3744">
        <v>-1.121664382249</v>
      </c>
      <c r="AH3744">
        <v>47.8639268581382</v>
      </c>
      <c r="AI3744">
        <v>91.340910971469896</v>
      </c>
      <c r="AJ3744">
        <v>92.743300406401005</v>
      </c>
      <c r="AK3744">
        <v>47.931968272770703</v>
      </c>
      <c r="AL3744">
        <v>80.178770834961</v>
      </c>
      <c r="AM3744">
        <v>90.613941888546904</v>
      </c>
      <c r="AN3744">
        <v>1.00000000203326</v>
      </c>
    </row>
    <row r="3745" spans="1:40" x14ac:dyDescent="0.25">
      <c r="A3745" t="str">
        <f>"20190303170327289"</f>
        <v>20190303170327289</v>
      </c>
      <c r="B3745" t="str">
        <f>"1551603807279308"</f>
        <v>1551603807279308</v>
      </c>
      <c r="C3745" t="s">
        <v>40</v>
      </c>
      <c r="D3745">
        <v>4.4139739999999996</v>
      </c>
      <c r="E3745">
        <v>0.48934709999999998</v>
      </c>
      <c r="F3745" t="s">
        <v>63</v>
      </c>
      <c r="G3745">
        <v>-403.0598</v>
      </c>
      <c r="H3745" s="1">
        <v>7.2670150000000003E-6</v>
      </c>
      <c r="I3745">
        <v>213.5436</v>
      </c>
      <c r="J3745">
        <v>-449.9348</v>
      </c>
      <c r="K3745">
        <v>1.121775</v>
      </c>
      <c r="L3745">
        <v>213.2535</v>
      </c>
      <c r="M3745">
        <v>0.99913669999999999</v>
      </c>
      <c r="N3745">
        <v>-4.8364200000000001E-3</v>
      </c>
      <c r="O3745">
        <v>-4.1264519999999999E-2</v>
      </c>
      <c r="P3745">
        <v>0.98541999999999996</v>
      </c>
      <c r="Q3745">
        <v>0.167292</v>
      </c>
      <c r="R3745">
        <v>-3.100694E-2</v>
      </c>
      <c r="S3745">
        <v>3.056549</v>
      </c>
      <c r="T3745">
        <v>-7.2675110000000001E-2</v>
      </c>
      <c r="U3745">
        <v>1.8066410000000001E-2</v>
      </c>
      <c r="V3745">
        <v>-1.01997999999999E-2</v>
      </c>
      <c r="W3745">
        <v>0.17202809999999999</v>
      </c>
      <c r="X3745">
        <v>0.9850392</v>
      </c>
      <c r="Y3745">
        <v>-4.7146420000000001E-2</v>
      </c>
      <c r="Z3745">
        <v>1.4556720000000001E-3</v>
      </c>
      <c r="AA3745">
        <v>0.99888690000000002</v>
      </c>
      <c r="AB3745">
        <v>29</v>
      </c>
      <c r="AC3745">
        <v>46.875</v>
      </c>
      <c r="AD3745">
        <v>-1.121767732985</v>
      </c>
      <c r="AE3745">
        <v>0.29009999999999497</v>
      </c>
      <c r="AF3745">
        <v>-2.2228766328037199</v>
      </c>
      <c r="AG3745">
        <v>-1.121767732985</v>
      </c>
      <c r="AH3745">
        <v>46.796303668489003</v>
      </c>
      <c r="AI3745">
        <v>91.371644728323204</v>
      </c>
      <c r="AJ3745">
        <v>92.719569239716705</v>
      </c>
      <c r="AK3745">
        <v>46.8624965233914</v>
      </c>
      <c r="AL3745">
        <v>80.094241585759804</v>
      </c>
      <c r="AM3745">
        <v>90.593260254562097</v>
      </c>
      <c r="AN3745">
        <v>0.99999996432314397</v>
      </c>
    </row>
    <row r="3746" spans="1:40" x14ac:dyDescent="0.25">
      <c r="A3746" t="str">
        <f>"20190303170327311"</f>
        <v>20190303170327311</v>
      </c>
      <c r="B3746" t="str">
        <f>"1551603807298829"</f>
        <v>1551603807298829</v>
      </c>
      <c r="C3746" t="s">
        <v>40</v>
      </c>
      <c r="D3746">
        <v>4.3000590000000001</v>
      </c>
      <c r="E3746">
        <v>0.48939310000000003</v>
      </c>
      <c r="F3746" t="s">
        <v>63</v>
      </c>
      <c r="G3746">
        <v>-399.96019999999999</v>
      </c>
      <c r="H3746" s="1">
        <v>8.6303199999999906E-6</v>
      </c>
      <c r="I3746">
        <v>213.59800000000001</v>
      </c>
      <c r="J3746">
        <v>-449.64859999999999</v>
      </c>
      <c r="K3746">
        <v>1.121872</v>
      </c>
      <c r="L3746">
        <v>213.2433</v>
      </c>
      <c r="M3746">
        <v>0.9992067</v>
      </c>
      <c r="N3746">
        <v>-4.8668050000000001E-3</v>
      </c>
      <c r="O3746">
        <v>-3.9527729999999997E-2</v>
      </c>
      <c r="P3746">
        <v>0.98531290000000005</v>
      </c>
      <c r="Q3746">
        <v>0.16811319999999999</v>
      </c>
      <c r="R3746">
        <v>-2.994774E-2</v>
      </c>
      <c r="S3746">
        <v>3.0566710000000001</v>
      </c>
      <c r="T3746">
        <v>-6.8612339999999994E-2</v>
      </c>
      <c r="U3746">
        <v>2.107239E-2</v>
      </c>
      <c r="V3746">
        <v>-9.5802189999999992E-3</v>
      </c>
      <c r="W3746">
        <v>0.1728787</v>
      </c>
      <c r="X3746">
        <v>0.98489649999999995</v>
      </c>
      <c r="Y3746">
        <v>-4.6395279999999997E-2</v>
      </c>
      <c r="Z3746">
        <v>1.328177E-3</v>
      </c>
      <c r="AA3746">
        <v>0.99892230000000004</v>
      </c>
      <c r="AB3746">
        <v>30</v>
      </c>
      <c r="AC3746">
        <v>49.688400000000001</v>
      </c>
      <c r="AD3746">
        <v>-1.12186336968</v>
      </c>
      <c r="AE3746">
        <v>0.35469999999997898</v>
      </c>
      <c r="AF3746">
        <v>-2.3173343169771998</v>
      </c>
      <c r="AG3746">
        <v>-1.12186336968</v>
      </c>
      <c r="AH3746">
        <v>49.610257374894502</v>
      </c>
      <c r="AI3746">
        <v>91.294028948823893</v>
      </c>
      <c r="AJ3746">
        <v>92.674387178565198</v>
      </c>
      <c r="AK3746">
        <v>49.6770193606676</v>
      </c>
      <c r="AL3746">
        <v>80.044764573997398</v>
      </c>
      <c r="AM3746">
        <v>90.557306076855099</v>
      </c>
      <c r="AN3746">
        <v>0.99999997061101298</v>
      </c>
    </row>
    <row r="3747" spans="1:40" x14ac:dyDescent="0.25">
      <c r="A3747" t="str">
        <f>"20190303170327334"</f>
        <v>20190303170327334</v>
      </c>
      <c r="B3747" t="str">
        <f>"1551603807319324"</f>
        <v>1551603807319324</v>
      </c>
      <c r="C3747" t="s">
        <v>40</v>
      </c>
      <c r="D3747">
        <v>4.3572290000000002</v>
      </c>
      <c r="E3747">
        <v>0.48937890000000001</v>
      </c>
      <c r="F3747" t="s">
        <v>62</v>
      </c>
      <c r="G3747">
        <v>-397.91430000000003</v>
      </c>
      <c r="H3747" s="1">
        <v>2.6748129999999999E-6</v>
      </c>
      <c r="I3747">
        <v>213.6405</v>
      </c>
      <c r="J3747">
        <v>-449.33670000000001</v>
      </c>
      <c r="K3747">
        <v>1.121958</v>
      </c>
      <c r="L3747">
        <v>213.2329</v>
      </c>
      <c r="M3747">
        <v>0.99928229999999996</v>
      </c>
      <c r="N3747">
        <v>-4.9010850000000003E-3</v>
      </c>
      <c r="O3747">
        <v>-3.7565910000000001E-2</v>
      </c>
      <c r="P3747">
        <v>0.98543879999999995</v>
      </c>
      <c r="Q3747">
        <v>0.16759170000000001</v>
      </c>
      <c r="R3747">
        <v>-2.8700070000000001E-2</v>
      </c>
      <c r="S3747">
        <v>3.0567319999999998</v>
      </c>
      <c r="T3747">
        <v>-6.628597E-2</v>
      </c>
      <c r="U3747">
        <v>2.3468019999999999E-2</v>
      </c>
      <c r="V3747">
        <v>-8.9286699999999997E-3</v>
      </c>
      <c r="W3747">
        <v>0.17239170000000001</v>
      </c>
      <c r="X3747">
        <v>0.98498799999999997</v>
      </c>
      <c r="Y3747">
        <v>-4.521878E-2</v>
      </c>
      <c r="Z3747">
        <v>1.231336E-3</v>
      </c>
      <c r="AA3747">
        <v>0.99897630000000004</v>
      </c>
      <c r="AB3747">
        <v>30</v>
      </c>
      <c r="AC3747">
        <v>51.422399999999897</v>
      </c>
      <c r="AD3747">
        <v>-1.121955325187</v>
      </c>
      <c r="AE3747">
        <v>0.40760000000000202</v>
      </c>
      <c r="AF3747">
        <v>-2.3379515229015801</v>
      </c>
      <c r="AG3747">
        <v>-1.121955325187</v>
      </c>
      <c r="AH3747">
        <v>51.346349151099503</v>
      </c>
      <c r="AI3747">
        <v>91.250460365540107</v>
      </c>
      <c r="AJ3747">
        <v>92.607046035979906</v>
      </c>
      <c r="AK3747">
        <v>51.411792151429303</v>
      </c>
      <c r="AL3747">
        <v>80.073093138765003</v>
      </c>
      <c r="AM3747">
        <v>90.519357694069299</v>
      </c>
      <c r="AN3747">
        <v>0.99999998976042903</v>
      </c>
    </row>
    <row r="3748" spans="1:40" x14ac:dyDescent="0.25">
      <c r="A3748" t="str">
        <f>"20190303170327359"</f>
        <v>20190303170327359</v>
      </c>
      <c r="B3748" t="str">
        <f>"1551603807349580"</f>
        <v>1551603807349580</v>
      </c>
      <c r="C3748" t="s">
        <v>40</v>
      </c>
      <c r="D3748">
        <v>4.2900369999999999</v>
      </c>
      <c r="E3748">
        <v>0.4894519</v>
      </c>
      <c r="F3748" t="s">
        <v>62</v>
      </c>
      <c r="G3748">
        <v>-398.84719999999999</v>
      </c>
      <c r="H3748" s="1">
        <v>3.1712409999999999E-6</v>
      </c>
      <c r="I3748">
        <v>213.68610000000001</v>
      </c>
      <c r="J3748">
        <v>-449.0172</v>
      </c>
      <c r="K3748">
        <v>1.12201</v>
      </c>
      <c r="L3748">
        <v>213.22290000000001</v>
      </c>
      <c r="M3748">
        <v>0.99935759999999996</v>
      </c>
      <c r="N3748">
        <v>-4.935076E-3</v>
      </c>
      <c r="O3748">
        <v>-3.550209E-2</v>
      </c>
      <c r="P3748">
        <v>0.98578410000000005</v>
      </c>
      <c r="Q3748">
        <v>0.1660529</v>
      </c>
      <c r="R3748">
        <v>-2.5623690000000001E-2</v>
      </c>
      <c r="S3748">
        <v>3.0567319999999998</v>
      </c>
      <c r="T3748">
        <v>-6.7925330000000006E-2</v>
      </c>
      <c r="U3748">
        <v>2.7435299999999999E-2</v>
      </c>
      <c r="V3748">
        <v>-9.9984410000000003E-3</v>
      </c>
      <c r="W3748">
        <v>0.1708828</v>
      </c>
      <c r="X3748">
        <v>0.98524060000000002</v>
      </c>
      <c r="Y3748">
        <v>-4.445172E-2</v>
      </c>
      <c r="Z3748">
        <v>1.2170270000000001E-3</v>
      </c>
      <c r="AA3748">
        <v>0.99901079999999998</v>
      </c>
      <c r="AB3748">
        <v>30</v>
      </c>
      <c r="AC3748">
        <v>50.17</v>
      </c>
      <c r="AD3748">
        <v>-1.1220068287589999</v>
      </c>
      <c r="AE3748">
        <v>0.4632</v>
      </c>
      <c r="AF3748">
        <v>-2.2429474910952698</v>
      </c>
      <c r="AG3748">
        <v>-1.1220068287589999</v>
      </c>
      <c r="AH3748">
        <v>50.096873451857498</v>
      </c>
      <c r="AI3748">
        <v>91.281740797976198</v>
      </c>
      <c r="AJ3748">
        <v>92.563546384893399</v>
      </c>
      <c r="AK3748">
        <v>50.159609671757003</v>
      </c>
      <c r="AL3748">
        <v>80.160848832787195</v>
      </c>
      <c r="AM3748">
        <v>90.581430369732999</v>
      </c>
      <c r="AN3748">
        <v>0.99999997002331398</v>
      </c>
    </row>
    <row r="3749" spans="1:40" x14ac:dyDescent="0.25">
      <c r="A3749" t="str">
        <f>"20190303170327379"</f>
        <v>20190303170327379</v>
      </c>
      <c r="B3749" t="str">
        <f>"1551603807369100"</f>
        <v>1551603807369100</v>
      </c>
      <c r="C3749" t="s">
        <v>40</v>
      </c>
      <c r="D3749">
        <v>4.2195450000000001</v>
      </c>
      <c r="E3749">
        <v>0.48952050000000003</v>
      </c>
      <c r="F3749" t="s">
        <v>63</v>
      </c>
      <c r="G3749">
        <v>-402.0523</v>
      </c>
      <c r="H3749" s="1">
        <v>7.6679319999999906E-6</v>
      </c>
      <c r="I3749">
        <v>213.7655</v>
      </c>
      <c r="J3749">
        <v>-448.73169999999999</v>
      </c>
      <c r="K3749">
        <v>1.122036</v>
      </c>
      <c r="L3749">
        <v>213.21459999999999</v>
      </c>
      <c r="M3749">
        <v>0.99942200000000003</v>
      </c>
      <c r="N3749">
        <v>-4.9642590000000004E-3</v>
      </c>
      <c r="O3749">
        <v>-3.363381E-2</v>
      </c>
      <c r="P3749">
        <v>0.98593059999999999</v>
      </c>
      <c r="Q3749">
        <v>0.16565089999999999</v>
      </c>
      <c r="R3749">
        <v>-2.238805E-2</v>
      </c>
      <c r="S3749">
        <v>3.0564879999999999</v>
      </c>
      <c r="T3749">
        <v>-7.3020340000000003E-2</v>
      </c>
      <c r="U3749">
        <v>3.5308840000000001E-2</v>
      </c>
      <c r="V3749">
        <v>-1.140765E-2</v>
      </c>
      <c r="W3749">
        <v>0.17050370000000001</v>
      </c>
      <c r="X3749">
        <v>0.98529100000000003</v>
      </c>
      <c r="Y3749">
        <v>-4.5155189999999998E-2</v>
      </c>
      <c r="Z3749">
        <v>1.287741E-3</v>
      </c>
      <c r="AA3749">
        <v>0.99897919999999996</v>
      </c>
      <c r="AB3749">
        <v>30</v>
      </c>
      <c r="AC3749">
        <v>46.679400000000001</v>
      </c>
      <c r="AD3749">
        <v>-1.122028332068</v>
      </c>
      <c r="AE3749">
        <v>0.55090000000001205</v>
      </c>
      <c r="AF3749">
        <v>-2.1193892017031999</v>
      </c>
      <c r="AG3749">
        <v>-1.122028332068</v>
      </c>
      <c r="AH3749">
        <v>46.607535330669698</v>
      </c>
      <c r="AI3749">
        <v>91.3776473430094</v>
      </c>
      <c r="AJ3749">
        <v>92.603623213355604</v>
      </c>
      <c r="AK3749">
        <v>46.6691879912849</v>
      </c>
      <c r="AL3749">
        <v>80.182893483204893</v>
      </c>
      <c r="AM3749">
        <v>90.663338035425397</v>
      </c>
      <c r="AN3749">
        <v>1.0000000004366001</v>
      </c>
    </row>
    <row r="3750" spans="1:40" x14ac:dyDescent="0.25">
      <c r="A3750" t="str">
        <f>"20190303170327400"</f>
        <v>20190303170327400</v>
      </c>
      <c r="B3750" t="str">
        <f>"1551603807389596"</f>
        <v>1551603807389596</v>
      </c>
      <c r="C3750" t="s">
        <v>40</v>
      </c>
      <c r="D3750">
        <v>4.2581610000000003</v>
      </c>
      <c r="E3750">
        <v>0.48957679999999998</v>
      </c>
      <c r="F3750" t="s">
        <v>63</v>
      </c>
      <c r="G3750">
        <v>-402.73840000000001</v>
      </c>
      <c r="H3750" s="1">
        <v>7.3409180000000004E-6</v>
      </c>
      <c r="I3750">
        <v>213.87569999999999</v>
      </c>
      <c r="J3750">
        <v>-448.45659999999998</v>
      </c>
      <c r="K3750">
        <v>1.1220650000000001</v>
      </c>
      <c r="L3750">
        <v>213.2071</v>
      </c>
      <c r="M3750">
        <v>0.99948110000000001</v>
      </c>
      <c r="N3750">
        <v>-4.9915139999999998E-3</v>
      </c>
      <c r="O3750">
        <v>-3.1823249999999997E-2</v>
      </c>
      <c r="P3750">
        <v>0.98582559999999997</v>
      </c>
      <c r="Q3750">
        <v>0.1666194</v>
      </c>
      <c r="R3750">
        <v>-1.9643460000000001E-2</v>
      </c>
      <c r="S3750">
        <v>3.0563660000000001</v>
      </c>
      <c r="T3750">
        <v>-7.4561479999999999E-2</v>
      </c>
      <c r="U3750">
        <v>4.3930049999999998E-2</v>
      </c>
      <c r="V3750">
        <v>-1.2375199999999999E-2</v>
      </c>
      <c r="W3750">
        <v>0.17149400000000001</v>
      </c>
      <c r="X3750">
        <v>0.98510739999999997</v>
      </c>
      <c r="Y3750">
        <v>-4.616236E-2</v>
      </c>
      <c r="Z3750">
        <v>1.2955029999999999E-3</v>
      </c>
      <c r="AA3750">
        <v>0.99893310000000002</v>
      </c>
      <c r="AB3750">
        <v>30</v>
      </c>
      <c r="AC3750">
        <v>45.718199999999896</v>
      </c>
      <c r="AD3750">
        <v>-1.1220576590819999</v>
      </c>
      <c r="AE3750">
        <v>0.66859999999999697</v>
      </c>
      <c r="AF3750">
        <v>-2.1219032469263301</v>
      </c>
      <c r="AG3750">
        <v>-1.1220576590819999</v>
      </c>
      <c r="AH3750">
        <v>45.646277064349498</v>
      </c>
      <c r="AI3750">
        <v>91.406618898960303</v>
      </c>
      <c r="AJ3750">
        <v>92.661523553245502</v>
      </c>
      <c r="AK3750">
        <v>45.709343646731298</v>
      </c>
      <c r="AL3750">
        <v>80.125304898811706</v>
      </c>
      <c r="AM3750">
        <v>90.719728057775299</v>
      </c>
      <c r="AN3750">
        <v>0.999999963572899</v>
      </c>
    </row>
    <row r="3751" spans="1:40" x14ac:dyDescent="0.25">
      <c r="A3751" t="str">
        <f>"20190303170327422"</f>
        <v>20190303170327422</v>
      </c>
      <c r="B3751" t="str">
        <f>"1551603807409116"</f>
        <v>1551603807409116</v>
      </c>
      <c r="C3751" t="s">
        <v>40</v>
      </c>
      <c r="D3751">
        <v>4.2608240000000004</v>
      </c>
      <c r="E3751">
        <v>0.48960559999999997</v>
      </c>
      <c r="F3751" t="s">
        <v>63</v>
      </c>
      <c r="G3751">
        <v>-400.63569999999999</v>
      </c>
      <c r="H3751" s="1">
        <v>8.2432829999999997E-6</v>
      </c>
      <c r="I3751">
        <v>214.0215</v>
      </c>
      <c r="J3751">
        <v>-448.14980000000003</v>
      </c>
      <c r="K3751">
        <v>1.12209</v>
      </c>
      <c r="L3751">
        <v>213.19929999999999</v>
      </c>
      <c r="M3751">
        <v>0.99954339999999997</v>
      </c>
      <c r="N3751">
        <v>-5.0208650000000002E-3</v>
      </c>
      <c r="O3751">
        <v>-2.98024E-2</v>
      </c>
      <c r="P3751">
        <v>0.98567000000000005</v>
      </c>
      <c r="Q3751">
        <v>0.16775880000000001</v>
      </c>
      <c r="R3751">
        <v>-1.7665730000000001E-2</v>
      </c>
      <c r="S3751">
        <v>3.056305</v>
      </c>
      <c r="T3751">
        <v>-7.171226E-2</v>
      </c>
      <c r="U3751">
        <v>5.204773E-2</v>
      </c>
      <c r="V3751">
        <v>-1.236748E-2</v>
      </c>
      <c r="W3751">
        <v>0.1726608</v>
      </c>
      <c r="X3751">
        <v>0.98490370000000005</v>
      </c>
      <c r="Y3751">
        <v>-4.6797350000000001E-2</v>
      </c>
      <c r="Z3751">
        <v>1.215895E-3</v>
      </c>
      <c r="AA3751">
        <v>0.99890369999999995</v>
      </c>
      <c r="AB3751">
        <v>30</v>
      </c>
      <c r="AC3751">
        <v>47.514099999999999</v>
      </c>
      <c r="AD3751">
        <v>-1.1220817567170001</v>
      </c>
      <c r="AE3751">
        <v>0.82220000000000903</v>
      </c>
      <c r="AF3751">
        <v>-2.2366395466895201</v>
      </c>
      <c r="AG3751">
        <v>-1.1220817567170001</v>
      </c>
      <c r="AH3751">
        <v>47.442039633827399</v>
      </c>
      <c r="AI3751">
        <v>91.353383568181897</v>
      </c>
      <c r="AJ3751">
        <v>92.699192336146197</v>
      </c>
      <c r="AK3751">
        <v>47.507986155468799</v>
      </c>
      <c r="AL3751">
        <v>80.057440252514596</v>
      </c>
      <c r="AM3751">
        <v>90.719427865521396</v>
      </c>
      <c r="AN3751">
        <v>1.0000000023459401</v>
      </c>
    </row>
    <row r="3752" spans="1:40" x14ac:dyDescent="0.25">
      <c r="A3752" t="str">
        <f>"20190303170327445"</f>
        <v>20190303170327445</v>
      </c>
      <c r="B3752" t="str">
        <f>"1551603807439372"</f>
        <v>1551603807439372</v>
      </c>
      <c r="C3752" t="s">
        <v>40</v>
      </c>
      <c r="D3752">
        <v>4.2455530000000001</v>
      </c>
      <c r="E3752">
        <v>0.48966660000000001</v>
      </c>
      <c r="F3752" t="s">
        <v>62</v>
      </c>
      <c r="G3752">
        <v>-397.9357</v>
      </c>
      <c r="H3752" s="1">
        <v>2.6861980000000002E-6</v>
      </c>
      <c r="I3752">
        <v>214.1515</v>
      </c>
      <c r="J3752">
        <v>-447.8451</v>
      </c>
      <c r="K3752">
        <v>1.1221179999999999</v>
      </c>
      <c r="L3752">
        <v>213.19220000000001</v>
      </c>
      <c r="M3752">
        <v>0.99960079999999996</v>
      </c>
      <c r="N3752">
        <v>-5.0485590000000002E-3</v>
      </c>
      <c r="O3752">
        <v>-2.7799560000000001E-2</v>
      </c>
      <c r="P3752">
        <v>0.98561299999999996</v>
      </c>
      <c r="Q3752">
        <v>0.16831499999999999</v>
      </c>
      <c r="R3752">
        <v>-1.540093E-2</v>
      </c>
      <c r="S3752">
        <v>3.0562740000000002</v>
      </c>
      <c r="T3752">
        <v>-6.8295720000000004E-2</v>
      </c>
      <c r="U3752">
        <v>5.7952879999999998E-2</v>
      </c>
      <c r="V3752">
        <v>-1.266391E-2</v>
      </c>
      <c r="W3752">
        <v>0.17324220000000001</v>
      </c>
      <c r="X3752">
        <v>0.98479779999999995</v>
      </c>
      <c r="Y3752">
        <v>-4.6727669999999999E-2</v>
      </c>
      <c r="Z3752">
        <v>1.1206930000000001E-3</v>
      </c>
      <c r="AA3752">
        <v>0.99890699999999999</v>
      </c>
      <c r="AB3752">
        <v>30</v>
      </c>
      <c r="AC3752">
        <v>49.909399999999998</v>
      </c>
      <c r="AD3752">
        <v>-1.1221153138019999</v>
      </c>
      <c r="AE3752">
        <v>0.95929999999998405</v>
      </c>
      <c r="AF3752">
        <v>-2.3452211944887802</v>
      </c>
      <c r="AG3752">
        <v>-1.1221153138019999</v>
      </c>
      <c r="AH3752">
        <v>49.838258640283897</v>
      </c>
      <c r="AI3752">
        <v>91.288379336809101</v>
      </c>
      <c r="AJ3752">
        <v>92.694159688025493</v>
      </c>
      <c r="AK3752">
        <v>49.906023980321102</v>
      </c>
      <c r="AL3752">
        <v>80.023618489128395</v>
      </c>
      <c r="AM3752">
        <v>90.736748806346199</v>
      </c>
      <c r="AN3752">
        <v>0.99999997068108304</v>
      </c>
    </row>
    <row r="3753" spans="1:40" x14ac:dyDescent="0.25">
      <c r="A3753" t="str">
        <f>"20190303170327467"</f>
        <v>20190303170327467</v>
      </c>
      <c r="B3753" t="str">
        <f>"1551603807458892"</f>
        <v>1551603807458892</v>
      </c>
      <c r="C3753" t="s">
        <v>40</v>
      </c>
      <c r="D3753">
        <v>4.375578</v>
      </c>
      <c r="E3753">
        <v>0.48961900000000003</v>
      </c>
      <c r="F3753" t="s">
        <v>62</v>
      </c>
      <c r="G3753">
        <v>-396.22129999999999</v>
      </c>
      <c r="H3753" s="1">
        <v>1.7738829999999901E-6</v>
      </c>
      <c r="I3753">
        <v>214.28120000000001</v>
      </c>
      <c r="J3753">
        <v>-447.53800000000001</v>
      </c>
      <c r="K3753">
        <v>1.122136</v>
      </c>
      <c r="L3753">
        <v>213.18559999999999</v>
      </c>
      <c r="M3753">
        <v>0.99965470000000001</v>
      </c>
      <c r="N3753">
        <v>-5.0752109999999996E-3</v>
      </c>
      <c r="O3753">
        <v>-2.5787310000000001E-2</v>
      </c>
      <c r="P3753">
        <v>0.98551770000000005</v>
      </c>
      <c r="Q3753">
        <v>0.16900129999999999</v>
      </c>
      <c r="R3753">
        <v>-1.3916929999999999E-2</v>
      </c>
      <c r="S3753">
        <v>3.0561219999999998</v>
      </c>
      <c r="T3753">
        <v>-6.6429139999999998E-2</v>
      </c>
      <c r="U3753">
        <v>6.4468380000000006E-2</v>
      </c>
      <c r="V3753">
        <v>-1.21707E-2</v>
      </c>
      <c r="W3753">
        <v>0.17395550000000001</v>
      </c>
      <c r="X3753">
        <v>0.98467830000000001</v>
      </c>
      <c r="Y3753">
        <v>-4.6847809999999997E-2</v>
      </c>
      <c r="Z3753">
        <v>1.057482E-3</v>
      </c>
      <c r="AA3753">
        <v>0.9989015</v>
      </c>
      <c r="AB3753">
        <v>30</v>
      </c>
      <c r="AC3753">
        <v>51.316699999999997</v>
      </c>
      <c r="AD3753">
        <v>-1.122134226117</v>
      </c>
      <c r="AE3753">
        <v>1.0956000000000099</v>
      </c>
      <c r="AF3753">
        <v>-2.41741678930314</v>
      </c>
      <c r="AG3753">
        <v>-1.122134226117</v>
      </c>
      <c r="AH3753">
        <v>51.246888375517401</v>
      </c>
      <c r="AI3753">
        <v>91.252991259445196</v>
      </c>
      <c r="AJ3753">
        <v>92.700752866779197</v>
      </c>
      <c r="AK3753">
        <v>51.316144217267201</v>
      </c>
      <c r="AL3753">
        <v>79.982119580967705</v>
      </c>
      <c r="AM3753">
        <v>90.708144209400899</v>
      </c>
      <c r="AN3753">
        <v>0.999999998204815</v>
      </c>
    </row>
    <row r="3754" spans="1:40" x14ac:dyDescent="0.25">
      <c r="A3754" t="str">
        <f>"20190303170327489"</f>
        <v>20190303170327489</v>
      </c>
      <c r="B3754" t="str">
        <f>"1551603807479388"</f>
        <v>1551603807479388</v>
      </c>
      <c r="C3754" t="s">
        <v>40</v>
      </c>
      <c r="D3754">
        <v>4.3790279999999999</v>
      </c>
      <c r="E3754">
        <v>0.4896604</v>
      </c>
      <c r="F3754" t="s">
        <v>62</v>
      </c>
      <c r="G3754">
        <v>-391.42700000000002</v>
      </c>
      <c r="H3754" s="1">
        <v>-7.7741819999999896E-7</v>
      </c>
      <c r="I3754">
        <v>214.4564</v>
      </c>
      <c r="J3754">
        <v>-447.2389</v>
      </c>
      <c r="K3754">
        <v>1.122153</v>
      </c>
      <c r="L3754">
        <v>213.1798</v>
      </c>
      <c r="M3754">
        <v>0.99970300000000001</v>
      </c>
      <c r="N3754">
        <v>-5.1001070000000004E-3</v>
      </c>
      <c r="O3754">
        <v>-2.3832989999999998E-2</v>
      </c>
      <c r="P3754">
        <v>0.98547859999999998</v>
      </c>
      <c r="Q3754">
        <v>0.1692961</v>
      </c>
      <c r="R3754">
        <v>-1.307266E-2</v>
      </c>
      <c r="S3754">
        <v>3.055542</v>
      </c>
      <c r="T3754">
        <v>-6.1106319999999999E-2</v>
      </c>
      <c r="U3754">
        <v>6.9198609999999994E-2</v>
      </c>
      <c r="V3754">
        <v>-1.1094349999999999E-2</v>
      </c>
      <c r="W3754">
        <v>0.17427809999999999</v>
      </c>
      <c r="X3754">
        <v>0.98463400000000001</v>
      </c>
      <c r="Y3754">
        <v>-4.6447580000000002E-2</v>
      </c>
      <c r="Z3754">
        <v>9.3779699999999998E-4</v>
      </c>
      <c r="AA3754">
        <v>0.99892029999999998</v>
      </c>
      <c r="AB3754">
        <v>31</v>
      </c>
      <c r="AC3754">
        <v>55.811900000000001</v>
      </c>
      <c r="AD3754">
        <v>-1.1221537774182</v>
      </c>
      <c r="AE3754">
        <v>1.2766</v>
      </c>
      <c r="AF3754">
        <v>-2.6053663869135999</v>
      </c>
      <c r="AG3754">
        <v>-1.1221537774182</v>
      </c>
      <c r="AH3754">
        <v>55.743098429071701</v>
      </c>
      <c r="AI3754">
        <v>91.151997485250007</v>
      </c>
      <c r="AJ3754">
        <v>92.675989413954198</v>
      </c>
      <c r="AK3754">
        <v>55.815232558714698</v>
      </c>
      <c r="AL3754">
        <v>79.963349541173301</v>
      </c>
      <c r="AM3754">
        <v>90.645552086540107</v>
      </c>
      <c r="AN3754">
        <v>1.0000000273487599</v>
      </c>
    </row>
    <row r="3755" spans="1:40" x14ac:dyDescent="0.25">
      <c r="A3755" t="str">
        <f>"20190303170327511"</f>
        <v>20190303170327511</v>
      </c>
      <c r="B3755" t="str">
        <f>"1551603807498909"</f>
        <v>1551603807498909</v>
      </c>
      <c r="C3755" t="s">
        <v>40</v>
      </c>
      <c r="D3755">
        <v>4.2171349999999999</v>
      </c>
      <c r="E3755">
        <v>0.48971039999999999</v>
      </c>
      <c r="F3755" t="s">
        <v>62</v>
      </c>
      <c r="G3755">
        <v>-387.40589999999997</v>
      </c>
      <c r="H3755" s="1">
        <v>2.405818E-6</v>
      </c>
      <c r="I3755">
        <v>214.58019999999999</v>
      </c>
      <c r="J3755">
        <v>-446.93520000000001</v>
      </c>
      <c r="K3755">
        <v>1.122177</v>
      </c>
      <c r="L3755">
        <v>213.17449999999999</v>
      </c>
      <c r="M3755">
        <v>0.99974810000000003</v>
      </c>
      <c r="N3755">
        <v>-5.124389E-3</v>
      </c>
      <c r="O3755">
        <v>-2.1853520000000001E-2</v>
      </c>
      <c r="P3755">
        <v>0.98535399999999995</v>
      </c>
      <c r="Q3755">
        <v>0.1701648</v>
      </c>
      <c r="R3755">
        <v>-1.102792E-2</v>
      </c>
      <c r="S3755">
        <v>3.0549930000000001</v>
      </c>
      <c r="T3755">
        <v>-5.7295440000000003E-2</v>
      </c>
      <c r="U3755">
        <v>7.1502689999999994E-2</v>
      </c>
      <c r="V3755">
        <v>-1.1193969999999999E-2</v>
      </c>
      <c r="W3755">
        <v>0.17516970000000001</v>
      </c>
      <c r="X3755">
        <v>0.98447459999999998</v>
      </c>
      <c r="Y3755">
        <v>-4.5228869999999997E-2</v>
      </c>
      <c r="Z3755">
        <v>8.3774809999999996E-4</v>
      </c>
      <c r="AA3755">
        <v>0.99897630000000004</v>
      </c>
      <c r="AB3755">
        <v>31</v>
      </c>
      <c r="AC3755">
        <v>59.529299999999999</v>
      </c>
      <c r="AD3755">
        <v>-1.1221745941820001</v>
      </c>
      <c r="AE3755">
        <v>1.40569999999999</v>
      </c>
      <c r="AF3755">
        <v>-2.7053452360017798</v>
      </c>
      <c r="AG3755">
        <v>-1.1221745941820001</v>
      </c>
      <c r="AH3755">
        <v>59.463244509288401</v>
      </c>
      <c r="AI3755">
        <v>91.080025507890397</v>
      </c>
      <c r="AJ3755">
        <v>92.604937725052693</v>
      </c>
      <c r="AK3755">
        <v>59.5353308232784</v>
      </c>
      <c r="AL3755">
        <v>79.911466083669197</v>
      </c>
      <c r="AM3755">
        <v>90.651453677638898</v>
      </c>
      <c r="AN3755">
        <v>0.99999998340380503</v>
      </c>
    </row>
    <row r="3756" spans="1:40" x14ac:dyDescent="0.25">
      <c r="A3756" t="str">
        <f>"20190303170327537"</f>
        <v>20190303170327537</v>
      </c>
      <c r="B3756" t="str">
        <f>"1551603807529164"</f>
        <v>1551603807529164</v>
      </c>
      <c r="C3756" t="s">
        <v>40</v>
      </c>
      <c r="D3756">
        <v>4.3184230000000001</v>
      </c>
      <c r="E3756">
        <v>0.48983749999999998</v>
      </c>
      <c r="F3756" t="s">
        <v>62</v>
      </c>
      <c r="G3756">
        <v>-381.20940000000002</v>
      </c>
      <c r="H3756" s="1">
        <v>-9.0203760000000003E-7</v>
      </c>
      <c r="I3756">
        <v>214.8185</v>
      </c>
      <c r="J3756">
        <v>-446.59050000000002</v>
      </c>
      <c r="K3756">
        <v>1.122193</v>
      </c>
      <c r="L3756">
        <v>213.16909999999999</v>
      </c>
      <c r="M3756">
        <v>0.99979450000000003</v>
      </c>
      <c r="N3756">
        <v>-5.1502090000000002E-3</v>
      </c>
      <c r="O3756">
        <v>-1.9610829999999999E-2</v>
      </c>
      <c r="P3756">
        <v>0.98525119999999999</v>
      </c>
      <c r="Q3756">
        <v>0.1709022</v>
      </c>
      <c r="R3756">
        <v>-8.5104589999999997E-3</v>
      </c>
      <c r="S3756">
        <v>3.0544129999999998</v>
      </c>
      <c r="T3756">
        <v>-5.2149889999999997E-2</v>
      </c>
      <c r="U3756">
        <v>7.6400759999999998E-2</v>
      </c>
      <c r="V3756">
        <v>-1.150784E-2</v>
      </c>
      <c r="W3756">
        <v>0.17593020000000001</v>
      </c>
      <c r="X3756">
        <v>0.98433539999999997</v>
      </c>
      <c r="Y3756">
        <v>-4.459573E-2</v>
      </c>
      <c r="Z3756">
        <v>7.2926359999999995E-4</v>
      </c>
      <c r="AA3756">
        <v>0.99900480000000003</v>
      </c>
      <c r="AB3756">
        <v>31</v>
      </c>
      <c r="AC3756">
        <v>65.381100000000004</v>
      </c>
      <c r="AD3756">
        <v>-1.1221939020375999</v>
      </c>
      <c r="AE3756">
        <v>1.64940000000001</v>
      </c>
      <c r="AF3756">
        <v>-2.9304145910064001</v>
      </c>
      <c r="AG3756">
        <v>-1.1221939020375999</v>
      </c>
      <c r="AH3756">
        <v>65.316949572263894</v>
      </c>
      <c r="AI3756">
        <v>90.9832984671486</v>
      </c>
      <c r="AJ3756">
        <v>92.568825914076697</v>
      </c>
      <c r="AK3756">
        <v>65.392282038896695</v>
      </c>
      <c r="AL3756">
        <v>79.867205696720703</v>
      </c>
      <c r="AM3756">
        <v>90.669812978385494</v>
      </c>
      <c r="AN3756">
        <v>1.0000000226733301</v>
      </c>
    </row>
    <row r="3757" spans="1:40" x14ac:dyDescent="0.25">
      <c r="A3757" t="str">
        <f>"20190303170327558"</f>
        <v>20190303170327558</v>
      </c>
      <c r="B3757" t="str">
        <f>"1551603807549661"</f>
        <v>1551603807549661</v>
      </c>
      <c r="C3757" t="s">
        <v>40</v>
      </c>
      <c r="D3757">
        <v>4.212059</v>
      </c>
      <c r="E3757">
        <v>0.48994260000000001</v>
      </c>
      <c r="F3757" t="s">
        <v>62</v>
      </c>
      <c r="G3757">
        <v>-372.5582</v>
      </c>
      <c r="H3757" s="1">
        <v>-1.7545249999999999E-7</v>
      </c>
      <c r="I3757">
        <v>215.179</v>
      </c>
      <c r="J3757">
        <v>-446.28789999999998</v>
      </c>
      <c r="K3757">
        <v>1.1222030000000001</v>
      </c>
      <c r="L3757">
        <v>213.1651</v>
      </c>
      <c r="M3757">
        <v>0.99983100000000003</v>
      </c>
      <c r="N3757">
        <v>-5.1631029999999996E-3</v>
      </c>
      <c r="O3757">
        <v>-1.7642680000000001E-2</v>
      </c>
      <c r="P3757">
        <v>0.985209</v>
      </c>
      <c r="Q3757">
        <v>0.17124539999999999</v>
      </c>
      <c r="R3757">
        <v>-6.1971819999999999E-3</v>
      </c>
      <c r="S3757">
        <v>3.0536500000000002</v>
      </c>
      <c r="T3757">
        <v>-4.6287660000000001E-2</v>
      </c>
      <c r="U3757">
        <v>8.2901000000000002E-2</v>
      </c>
      <c r="V3757">
        <v>-1.188679E-2</v>
      </c>
      <c r="W3757">
        <v>0.1762841</v>
      </c>
      <c r="X3757">
        <v>0.98426749999999996</v>
      </c>
      <c r="Y3757">
        <v>-4.47626E-2</v>
      </c>
      <c r="Z3757">
        <v>6.3106670000000003E-4</v>
      </c>
      <c r="AA3757">
        <v>0.99899740000000004</v>
      </c>
      <c r="AB3757">
        <v>31</v>
      </c>
      <c r="AC3757">
        <v>73.729699999999895</v>
      </c>
      <c r="AD3757">
        <v>-1.1222031754524999</v>
      </c>
      <c r="AE3757">
        <v>2.0139</v>
      </c>
      <c r="AF3757">
        <v>-3.3136263392643399</v>
      </c>
      <c r="AG3757">
        <v>-1.1222031754524999</v>
      </c>
      <c r="AH3757">
        <v>73.665640091955694</v>
      </c>
      <c r="AI3757">
        <v>90.8718799844237</v>
      </c>
      <c r="AJ3757">
        <v>92.575541438222103</v>
      </c>
      <c r="AK3757">
        <v>73.748667714344606</v>
      </c>
      <c r="AL3757">
        <v>79.846605989686694</v>
      </c>
      <c r="AM3757">
        <v>90.691915349351305</v>
      </c>
      <c r="AN3757">
        <v>0.99999994562278005</v>
      </c>
    </row>
    <row r="3758" spans="1:40" x14ac:dyDescent="0.25">
      <c r="A3758" t="str">
        <f>"20190303170327579"</f>
        <v>20190303170327579</v>
      </c>
      <c r="B3758" t="str">
        <f>"1551603807569179"</f>
        <v>1551603807569179</v>
      </c>
      <c r="C3758" t="s">
        <v>40</v>
      </c>
      <c r="D3758">
        <v>4.3848799999999999</v>
      </c>
      <c r="E3758">
        <v>0.49007820000000002</v>
      </c>
      <c r="F3758" t="s">
        <v>62</v>
      </c>
      <c r="G3758">
        <v>-366.80220000000003</v>
      </c>
      <c r="H3758" s="1">
        <v>2.083015E-6</v>
      </c>
      <c r="I3758">
        <v>215.48589999999999</v>
      </c>
      <c r="J3758">
        <v>-445.99</v>
      </c>
      <c r="K3758">
        <v>1.1222129999999999</v>
      </c>
      <c r="L3758">
        <v>213.1618</v>
      </c>
      <c r="M3758">
        <v>0.99986330000000001</v>
      </c>
      <c r="N3758">
        <v>-5.1690699999999996E-3</v>
      </c>
      <c r="O3758">
        <v>-1.5708389999999999E-2</v>
      </c>
      <c r="P3758">
        <v>0.98511879999999996</v>
      </c>
      <c r="Q3758">
        <v>0.1718411</v>
      </c>
      <c r="R3758">
        <v>-3.4164709999999999E-3</v>
      </c>
      <c r="S3758">
        <v>3.0531009999999998</v>
      </c>
      <c r="T3758">
        <v>-4.3104530000000002E-2</v>
      </c>
      <c r="U3758">
        <v>8.9141849999999995E-2</v>
      </c>
      <c r="V3758">
        <v>-1.2767280000000001E-2</v>
      </c>
      <c r="W3758">
        <v>0.17688110000000001</v>
      </c>
      <c r="X3758">
        <v>0.98414939999999995</v>
      </c>
      <c r="Y3758">
        <v>-4.4876300000000001E-2</v>
      </c>
      <c r="Z3758">
        <v>5.7326930000000005E-4</v>
      </c>
      <c r="AA3758">
        <v>0.9989924</v>
      </c>
      <c r="AB3758">
        <v>31</v>
      </c>
      <c r="AC3758">
        <v>79.187799999999896</v>
      </c>
      <c r="AD3758">
        <v>-1.1222109169850001</v>
      </c>
      <c r="AE3758">
        <v>2.3240999999999801</v>
      </c>
      <c r="AF3758">
        <v>-3.5670268862507299</v>
      </c>
      <c r="AG3758">
        <v>-1.1222109169850001</v>
      </c>
      <c r="AH3758">
        <v>79.125643580696803</v>
      </c>
      <c r="AI3758">
        <v>90.811726936505494</v>
      </c>
      <c r="AJ3758">
        <v>92.581177195349795</v>
      </c>
      <c r="AK3758">
        <v>79.213954011959899</v>
      </c>
      <c r="AL3758">
        <v>79.811854710614298</v>
      </c>
      <c r="AM3758">
        <v>90.743251204657497</v>
      </c>
      <c r="AN3758">
        <v>0.99999998424808401</v>
      </c>
    </row>
    <row r="3759" spans="1:40" x14ac:dyDescent="0.25">
      <c r="A3759" t="str">
        <f>"20190303170327601"</f>
        <v>20190303170327601</v>
      </c>
      <c r="B3759" t="str">
        <f>"1551603807588700"</f>
        <v>1551603807588700</v>
      </c>
      <c r="C3759" t="s">
        <v>40</v>
      </c>
      <c r="D3759">
        <v>4.322298</v>
      </c>
      <c r="E3759">
        <v>0.49019600000000002</v>
      </c>
      <c r="F3759" t="s">
        <v>62</v>
      </c>
      <c r="G3759">
        <v>-358.99209999999999</v>
      </c>
      <c r="H3759" s="1">
        <v>3.191612E-6</v>
      </c>
      <c r="I3759">
        <v>215.91409999999999</v>
      </c>
      <c r="J3759">
        <v>-445.69099999999997</v>
      </c>
      <c r="K3759">
        <v>1.1222190000000001</v>
      </c>
      <c r="L3759">
        <v>213.15889999999999</v>
      </c>
      <c r="M3759">
        <v>0.99989189999999994</v>
      </c>
      <c r="N3759">
        <v>-5.172439E-3</v>
      </c>
      <c r="O3759">
        <v>-1.3770630000000001E-2</v>
      </c>
      <c r="P3759">
        <v>0.98511090000000001</v>
      </c>
      <c r="Q3759">
        <v>0.1719205</v>
      </c>
      <c r="R3759">
        <v>-3.8359869999999999E-4</v>
      </c>
      <c r="S3759">
        <v>3.0525509999999998</v>
      </c>
      <c r="T3759">
        <v>-3.937566E-2</v>
      </c>
      <c r="U3759">
        <v>9.657288E-2</v>
      </c>
      <c r="V3759">
        <v>-1.389522E-2</v>
      </c>
      <c r="W3759">
        <v>0.17695859999999999</v>
      </c>
      <c r="X3759">
        <v>0.9841202</v>
      </c>
      <c r="Y3759">
        <v>-4.5376189999999997E-2</v>
      </c>
      <c r="Z3759">
        <v>5.1634249999999999E-4</v>
      </c>
      <c r="AA3759">
        <v>0.99896989999999997</v>
      </c>
      <c r="AB3759">
        <v>31</v>
      </c>
      <c r="AC3759">
        <v>86.698899999999895</v>
      </c>
      <c r="AD3759">
        <v>-1.1222158083880001</v>
      </c>
      <c r="AE3759">
        <v>2.7551999999999999</v>
      </c>
      <c r="AF3759">
        <v>-3.9481922499367101</v>
      </c>
      <c r="AG3759">
        <v>-1.1222158083880001</v>
      </c>
      <c r="AH3759">
        <v>86.638236719018295</v>
      </c>
      <c r="AI3759">
        <v>90.741335312730698</v>
      </c>
      <c r="AJ3759">
        <v>92.609221532282007</v>
      </c>
      <c r="AK3759">
        <v>86.735411754044904</v>
      </c>
      <c r="AL3759">
        <v>79.8073432359067</v>
      </c>
      <c r="AM3759">
        <v>90.808930212149804</v>
      </c>
      <c r="AN3759">
        <v>0.99999999565042397</v>
      </c>
    </row>
    <row r="3760" spans="1:40" x14ac:dyDescent="0.25">
      <c r="A3760" t="str">
        <f>"20190303170327623"</f>
        <v>20190303170327623</v>
      </c>
      <c r="B3760" t="str">
        <f>"1551603807618956"</f>
        <v>1551603807618956</v>
      </c>
      <c r="C3760" t="s">
        <v>40</v>
      </c>
      <c r="D3760">
        <v>4.2198710000000004</v>
      </c>
      <c r="E3760">
        <v>0.49035849999999997</v>
      </c>
      <c r="F3760" t="s">
        <v>62</v>
      </c>
      <c r="G3760">
        <v>-354.24059999999997</v>
      </c>
      <c r="H3760" s="1">
        <v>6.4678119999999903E-7</v>
      </c>
      <c r="I3760">
        <v>216.28819999999999</v>
      </c>
      <c r="J3760">
        <v>-445.36489999999998</v>
      </c>
      <c r="K3760">
        <v>1.1222219999999901</v>
      </c>
      <c r="L3760">
        <v>213.15649999999999</v>
      </c>
      <c r="M3760">
        <v>0.99991859999999999</v>
      </c>
      <c r="N3760">
        <v>-5.1740140000000002E-3</v>
      </c>
      <c r="O3760">
        <v>-1.1662169999999999E-2</v>
      </c>
      <c r="P3760">
        <v>0.98514179999999996</v>
      </c>
      <c r="Q3760">
        <v>0.17173169999999999</v>
      </c>
      <c r="R3760">
        <v>2.0509180000000001E-3</v>
      </c>
      <c r="S3760">
        <v>3.0519409999999998</v>
      </c>
      <c r="T3760">
        <v>-3.7451390000000001E-2</v>
      </c>
      <c r="U3760">
        <v>0.1044312</v>
      </c>
      <c r="V3760">
        <v>-1.425658E-2</v>
      </c>
      <c r="W3760">
        <v>0.17676989999999901</v>
      </c>
      <c r="X3760">
        <v>0.98414889999999999</v>
      </c>
      <c r="Y3760">
        <v>-4.5845919999999998E-2</v>
      </c>
      <c r="Z3760">
        <v>4.8259620000000003E-4</v>
      </c>
      <c r="AA3760">
        <v>0.99894839999999996</v>
      </c>
      <c r="AB3760">
        <v>31</v>
      </c>
      <c r="AC3760">
        <v>91.124300000000005</v>
      </c>
      <c r="AD3760">
        <v>-1.1222213532187999</v>
      </c>
      <c r="AE3760">
        <v>3.1316999999999902</v>
      </c>
      <c r="AF3760">
        <v>-4.19357306047569</v>
      </c>
      <c r="AG3760">
        <v>-1.1222213532187999</v>
      </c>
      <c r="AH3760">
        <v>91.067784375485402</v>
      </c>
      <c r="AI3760">
        <v>90.705268489887999</v>
      </c>
      <c r="AJ3760">
        <v>92.636546182689301</v>
      </c>
      <c r="AK3760">
        <v>91.171194940282902</v>
      </c>
      <c r="AL3760">
        <v>79.818327679444096</v>
      </c>
      <c r="AM3760">
        <v>90.829940198460093</v>
      </c>
      <c r="AN3760">
        <v>0.99999995249525697</v>
      </c>
    </row>
    <row r="3761" spans="1:40" x14ac:dyDescent="0.25">
      <c r="A3761" t="str">
        <f>"20190303170327646"</f>
        <v>20190303170327646</v>
      </c>
      <c r="B3761" t="str">
        <f>"1551603807639453"</f>
        <v>1551603807639453</v>
      </c>
      <c r="C3761" t="s">
        <v>40</v>
      </c>
      <c r="D3761">
        <v>4.1737599999999997</v>
      </c>
      <c r="E3761">
        <v>0.49051139999999999</v>
      </c>
      <c r="F3761" t="s">
        <v>62</v>
      </c>
      <c r="G3761">
        <v>-348.77879999999999</v>
      </c>
      <c r="H3761" s="1">
        <v>3.134837E-6</v>
      </c>
      <c r="I3761">
        <v>216.63470000000001</v>
      </c>
      <c r="J3761">
        <v>-445.04899999999998</v>
      </c>
      <c r="K3761">
        <v>1.122214</v>
      </c>
      <c r="L3761">
        <v>213.15479999999999</v>
      </c>
      <c r="M3761">
        <v>0.99994039999999995</v>
      </c>
      <c r="N3761">
        <v>-5.1693720000000002E-3</v>
      </c>
      <c r="O3761">
        <v>-9.6264279999999994E-3</v>
      </c>
      <c r="P3761">
        <v>0.98533669999999995</v>
      </c>
      <c r="Q3761">
        <v>0.17058010000000001</v>
      </c>
      <c r="R3761">
        <v>3.8053399999999999E-3</v>
      </c>
      <c r="S3761">
        <v>3.0512079999999999</v>
      </c>
      <c r="T3761">
        <v>-3.5451530000000002E-2</v>
      </c>
      <c r="U3761">
        <v>0.1098785</v>
      </c>
      <c r="V3761">
        <v>-1.400564E-2</v>
      </c>
      <c r="W3761">
        <v>0.1756152</v>
      </c>
      <c r="X3761">
        <v>0.98435930000000005</v>
      </c>
      <c r="Y3761">
        <v>-4.5602160000000003E-2</v>
      </c>
      <c r="Z3761">
        <v>4.4480680000000001E-4</v>
      </c>
      <c r="AA3761">
        <v>0.99895959999999995</v>
      </c>
      <c r="AB3761">
        <v>31</v>
      </c>
      <c r="AC3761">
        <v>96.270200000000003</v>
      </c>
      <c r="AD3761">
        <v>-1.1222108651629901</v>
      </c>
      <c r="AE3761">
        <v>3.47990000000001</v>
      </c>
      <c r="AF3761">
        <v>-4.4058912910178103</v>
      </c>
      <c r="AG3761">
        <v>-1.1222108651629901</v>
      </c>
      <c r="AH3761">
        <v>96.219182246281207</v>
      </c>
      <c r="AI3761">
        <v>90.667514902869698</v>
      </c>
      <c r="AJ3761">
        <v>92.621751285796904</v>
      </c>
      <c r="AK3761">
        <v>96.326539787522904</v>
      </c>
      <c r="AL3761">
        <v>79.885539524530103</v>
      </c>
      <c r="AM3761">
        <v>90.815159583899202</v>
      </c>
      <c r="AN3761">
        <v>1.0000000439596599</v>
      </c>
    </row>
    <row r="3762" spans="1:40" x14ac:dyDescent="0.25">
      <c r="A3762" t="str">
        <f>"20190303170327669"</f>
        <v>20190303170327669</v>
      </c>
      <c r="B3762" t="str">
        <f>"1551603807658973"</f>
        <v>1551603807658973</v>
      </c>
      <c r="C3762" t="s">
        <v>40</v>
      </c>
      <c r="D3762">
        <v>4.1697360000000003</v>
      </c>
      <c r="E3762">
        <v>0.49066419999999999</v>
      </c>
      <c r="F3762" t="s">
        <v>62</v>
      </c>
      <c r="G3762">
        <v>-353.62290000000002</v>
      </c>
      <c r="H3762" s="1">
        <v>3.0578500000000001E-7</v>
      </c>
      <c r="I3762">
        <v>216.5685</v>
      </c>
      <c r="J3762">
        <v>-444.73079999999999</v>
      </c>
      <c r="K3762">
        <v>1.122215</v>
      </c>
      <c r="L3762">
        <v>213.15360000000001</v>
      </c>
      <c r="M3762">
        <v>0.99995800000000001</v>
      </c>
      <c r="N3762">
        <v>-5.1562769999999999E-3</v>
      </c>
      <c r="O3762">
        <v>-7.5831689999999998E-3</v>
      </c>
      <c r="P3762">
        <v>0.98540220000000001</v>
      </c>
      <c r="Q3762">
        <v>0.17016719999999999</v>
      </c>
      <c r="R3762">
        <v>5.098623E-3</v>
      </c>
      <c r="S3762">
        <v>3.050659</v>
      </c>
      <c r="T3762">
        <v>-3.7445430000000002E-2</v>
      </c>
      <c r="U3762">
        <v>0.11390690000000001</v>
      </c>
      <c r="V3762">
        <v>-1.3288029999999999E-2</v>
      </c>
      <c r="W3762">
        <v>0.17519270000000001</v>
      </c>
      <c r="X3762">
        <v>0.98444449999999994</v>
      </c>
      <c r="Y3762">
        <v>-4.4884380000000001E-2</v>
      </c>
      <c r="Z3762">
        <v>4.450875E-4</v>
      </c>
      <c r="AA3762">
        <v>0.99899210000000005</v>
      </c>
      <c r="AB3762">
        <v>32</v>
      </c>
      <c r="AC3762">
        <v>91.107899999999901</v>
      </c>
      <c r="AD3762">
        <v>-1.122214694215</v>
      </c>
      <c r="AE3762">
        <v>3.4148999999999798</v>
      </c>
      <c r="AF3762">
        <v>-4.1050756212294699</v>
      </c>
      <c r="AG3762">
        <v>-1.122214694215</v>
      </c>
      <c r="AH3762">
        <v>91.065587239161601</v>
      </c>
      <c r="AI3762">
        <v>90.705312445679596</v>
      </c>
      <c r="AJ3762">
        <v>92.581045089665196</v>
      </c>
      <c r="AK3762">
        <v>91.164972390108701</v>
      </c>
      <c r="AL3762">
        <v>79.910127891578199</v>
      </c>
      <c r="AM3762">
        <v>90.7733313598889</v>
      </c>
      <c r="AN3762">
        <v>1.0000000137274101</v>
      </c>
    </row>
    <row r="3763" spans="1:40" x14ac:dyDescent="0.25">
      <c r="A3763" t="str">
        <f>"20190303170327690"</f>
        <v>20190303170327690</v>
      </c>
      <c r="B3763" t="str">
        <f>"1551603807679469"</f>
        <v>1551603807679469</v>
      </c>
      <c r="C3763" t="s">
        <v>40</v>
      </c>
      <c r="D3763">
        <v>4.0999949999999998</v>
      </c>
      <c r="E3763">
        <v>0.49083769999999999</v>
      </c>
      <c r="F3763" t="s">
        <v>62</v>
      </c>
      <c r="G3763">
        <v>-352.9178</v>
      </c>
      <c r="H3763" s="1">
        <v>-7.3983290000000001E-8</v>
      </c>
      <c r="I3763">
        <v>216.67320000000001</v>
      </c>
      <c r="J3763">
        <v>-444.42930000000001</v>
      </c>
      <c r="K3763">
        <v>1.1222099999999999</v>
      </c>
      <c r="L3763">
        <v>213.1532</v>
      </c>
      <c r="M3763">
        <v>0.99997100000000005</v>
      </c>
      <c r="N3763">
        <v>-5.1328679999999996E-3</v>
      </c>
      <c r="O3763">
        <v>-5.6547050000000003E-3</v>
      </c>
      <c r="P3763">
        <v>0.98544279999999995</v>
      </c>
      <c r="Q3763">
        <v>0.1698993</v>
      </c>
      <c r="R3763">
        <v>6.0717569999999997E-3</v>
      </c>
      <c r="S3763">
        <v>3.050262</v>
      </c>
      <c r="T3763">
        <v>-3.7282820000000001E-2</v>
      </c>
      <c r="U3763">
        <v>0.11692809999999999</v>
      </c>
      <c r="V3763">
        <v>-1.23625E-2</v>
      </c>
      <c r="W3763">
        <v>0.1749059</v>
      </c>
      <c r="X3763">
        <v>0.98450760000000004</v>
      </c>
      <c r="Y3763">
        <v>-4.3950870000000003E-2</v>
      </c>
      <c r="Z3763">
        <v>4.2141550000000002E-4</v>
      </c>
      <c r="AA3763">
        <v>0.99903359999999997</v>
      </c>
      <c r="AB3763">
        <v>32</v>
      </c>
      <c r="AC3763">
        <v>91.511499999999998</v>
      </c>
      <c r="AD3763">
        <v>-1.1222100739832901</v>
      </c>
      <c r="AE3763">
        <v>3.5200000000000098</v>
      </c>
      <c r="AF3763">
        <v>-4.0368148218142403</v>
      </c>
      <c r="AG3763">
        <v>-1.1222100739832901</v>
      </c>
      <c r="AH3763">
        <v>91.476395942591495</v>
      </c>
      <c r="AI3763">
        <v>90.702172054580103</v>
      </c>
      <c r="AJ3763">
        <v>92.526799220849796</v>
      </c>
      <c r="AK3763">
        <v>91.572300637264405</v>
      </c>
      <c r="AL3763">
        <v>79.926818491650593</v>
      </c>
      <c r="AM3763">
        <v>90.719427507401505</v>
      </c>
      <c r="AN3763">
        <v>1.0000000598594001</v>
      </c>
    </row>
    <row r="3764" spans="1:40" x14ac:dyDescent="0.25">
      <c r="A3764" t="str">
        <f>"20190303170327712"</f>
        <v>20190303170327712</v>
      </c>
      <c r="B3764" t="str">
        <f>"1551603807698989"</f>
        <v>1551603807698989</v>
      </c>
      <c r="C3764" t="s">
        <v>40</v>
      </c>
      <c r="D3764">
        <v>4.1644079999999999</v>
      </c>
      <c r="E3764">
        <v>0.491031</v>
      </c>
      <c r="F3764" t="s">
        <v>62</v>
      </c>
      <c r="G3764">
        <v>-351.03899999999999</v>
      </c>
      <c r="H3764" s="1">
        <v>-1.078572E-6</v>
      </c>
      <c r="I3764">
        <v>216.78219999999999</v>
      </c>
      <c r="J3764">
        <v>-444.11599999999999</v>
      </c>
      <c r="K3764">
        <v>1.1222019999999999</v>
      </c>
      <c r="L3764">
        <v>213.1532</v>
      </c>
      <c r="M3764">
        <v>0.99998039999999999</v>
      </c>
      <c r="N3764">
        <v>-5.0972170000000002E-3</v>
      </c>
      <c r="O3764">
        <v>-3.659359E-3</v>
      </c>
      <c r="P3764">
        <v>0.98553500000000005</v>
      </c>
      <c r="Q3764">
        <v>0.16932849999999999</v>
      </c>
      <c r="R3764">
        <v>6.9860790000000001E-3</v>
      </c>
      <c r="S3764">
        <v>3.0498959999999999</v>
      </c>
      <c r="T3764">
        <v>-3.6648630000000001E-2</v>
      </c>
      <c r="U3764">
        <v>0.118515</v>
      </c>
      <c r="V3764">
        <v>-1.131121E-2</v>
      </c>
      <c r="W3764">
        <v>0.1743044</v>
      </c>
      <c r="X3764">
        <v>0.98462680000000002</v>
      </c>
      <c r="Y3764">
        <v>-4.2481339999999999E-2</v>
      </c>
      <c r="Z3764">
        <v>3.8875509999999999E-4</v>
      </c>
      <c r="AA3764">
        <v>0.99909720000000002</v>
      </c>
      <c r="AB3764">
        <v>32</v>
      </c>
      <c r="AC3764">
        <v>93.076999999999998</v>
      </c>
      <c r="AD3764">
        <v>-1.1222030785719901</v>
      </c>
      <c r="AE3764">
        <v>3.6289999999999898</v>
      </c>
      <c r="AF3764">
        <v>-3.96900617786426</v>
      </c>
      <c r="AG3764">
        <v>-1.1222030785719901</v>
      </c>
      <c r="AH3764">
        <v>93.049591233443294</v>
      </c>
      <c r="AI3764">
        <v>90.690341334153004</v>
      </c>
      <c r="AJ3764">
        <v>92.4424560410758</v>
      </c>
      <c r="AK3764">
        <v>93.140961872316794</v>
      </c>
      <c r="AL3764">
        <v>79.961818468389794</v>
      </c>
      <c r="AM3764">
        <v>90.658174332881899</v>
      </c>
      <c r="AN3764">
        <v>0.99999995130463004</v>
      </c>
    </row>
    <row r="3765" spans="1:40" x14ac:dyDescent="0.25">
      <c r="A3765" t="str">
        <f>"20190303170327737"</f>
        <v>20190303170327737</v>
      </c>
      <c r="B3765" t="str">
        <f>"1551603807729245"</f>
        <v>1551603807729245</v>
      </c>
      <c r="C3765" t="s">
        <v>40</v>
      </c>
      <c r="D3765">
        <v>4.2616290000000001</v>
      </c>
      <c r="E3765">
        <v>0.49130400000000002</v>
      </c>
      <c r="F3765" t="s">
        <v>62</v>
      </c>
      <c r="G3765">
        <v>-351.1576</v>
      </c>
      <c r="H3765" s="1">
        <v>-1.016364E-6</v>
      </c>
      <c r="I3765">
        <v>216.80269999999999</v>
      </c>
      <c r="J3765">
        <v>-443.77879999999999</v>
      </c>
      <c r="K3765">
        <v>1.122188</v>
      </c>
      <c r="L3765">
        <v>213.154</v>
      </c>
      <c r="M3765">
        <v>0.99998609999999999</v>
      </c>
      <c r="N3765">
        <v>-5.0449580000000004E-3</v>
      </c>
      <c r="O3765">
        <v>-1.5246529999999999E-3</v>
      </c>
      <c r="P3765">
        <v>0.9856606</v>
      </c>
      <c r="Q3765">
        <v>0.168542</v>
      </c>
      <c r="R3765">
        <v>8.1708979999999994E-3</v>
      </c>
      <c r="S3765">
        <v>3.0495000000000001</v>
      </c>
      <c r="T3765">
        <v>-3.6813859999999997E-2</v>
      </c>
      <c r="U3765">
        <v>0.11972049999999999</v>
      </c>
      <c r="V3765">
        <v>-1.039065E-2</v>
      </c>
      <c r="W3765">
        <v>0.17347099999999999</v>
      </c>
      <c r="X3765">
        <v>0.9847842</v>
      </c>
      <c r="Y3765">
        <v>-4.0748039999999999E-2</v>
      </c>
      <c r="Z3765">
        <v>3.5939460000000001E-4</v>
      </c>
      <c r="AA3765">
        <v>0.99916939999999999</v>
      </c>
      <c r="AB3765">
        <v>32</v>
      </c>
      <c r="AC3765">
        <v>92.621200000000002</v>
      </c>
      <c r="AD3765">
        <v>-1.122189016364</v>
      </c>
      <c r="AE3765">
        <v>3.6486999999999599</v>
      </c>
      <c r="AF3765">
        <v>-3.7893573515357799</v>
      </c>
      <c r="AG3765">
        <v>-1.122189016364</v>
      </c>
      <c r="AH3765">
        <v>92.601956832608806</v>
      </c>
      <c r="AI3765">
        <v>90.693719568910794</v>
      </c>
      <c r="AJ3765">
        <v>92.343288682764495</v>
      </c>
      <c r="AK3765">
        <v>92.686250040415501</v>
      </c>
      <c r="AL3765">
        <v>80.0103083463503</v>
      </c>
      <c r="AM3765">
        <v>90.604516502442905</v>
      </c>
      <c r="AN3765">
        <v>1.0000000370090301</v>
      </c>
    </row>
    <row r="3766" spans="1:40" x14ac:dyDescent="0.25">
      <c r="A3766" t="str">
        <f>"20190303170327760"</f>
        <v>20190303170327760</v>
      </c>
      <c r="B3766" t="str">
        <f>"1551603807749741"</f>
        <v>1551603807749741</v>
      </c>
      <c r="C3766" t="s">
        <v>40</v>
      </c>
      <c r="D3766">
        <v>4.2640320000000003</v>
      </c>
      <c r="E3766">
        <v>0.49149490000000001</v>
      </c>
      <c r="F3766" t="s">
        <v>62</v>
      </c>
      <c r="G3766">
        <v>-351.64269999999999</v>
      </c>
      <c r="H3766" s="1">
        <v>-7.5893940000000004E-7</v>
      </c>
      <c r="I3766">
        <v>216.8202</v>
      </c>
      <c r="J3766">
        <v>-443.43459999999999</v>
      </c>
      <c r="K3766">
        <v>1.1221719999999999</v>
      </c>
      <c r="L3766">
        <v>213.15549999999999</v>
      </c>
      <c r="M3766">
        <v>0.99998759999999998</v>
      </c>
      <c r="N3766">
        <v>-4.9747849999999998E-3</v>
      </c>
      <c r="O3766">
        <v>6.2960459999999996E-4</v>
      </c>
      <c r="P3766">
        <v>0.98563809999999996</v>
      </c>
      <c r="Q3766">
        <v>0.16856979999999999</v>
      </c>
      <c r="R3766">
        <v>1.0111139999999999E-2</v>
      </c>
      <c r="S3766">
        <v>3.04895</v>
      </c>
      <c r="T3766">
        <v>-3.713524E-2</v>
      </c>
      <c r="U3766">
        <v>0.1213226</v>
      </c>
      <c r="V3766">
        <v>-1.0207580000000001E-2</v>
      </c>
      <c r="W3766">
        <v>0.17343059999999999</v>
      </c>
      <c r="X3766">
        <v>0.98479320000000004</v>
      </c>
      <c r="Y3766">
        <v>-3.9126960000000002E-2</v>
      </c>
      <c r="Z3766">
        <v>3.3100790000000001E-4</v>
      </c>
      <c r="AA3766">
        <v>0.99923419999999996</v>
      </c>
      <c r="AB3766">
        <v>32</v>
      </c>
      <c r="AC3766">
        <v>91.791899999999998</v>
      </c>
      <c r="AD3766">
        <v>-1.1221727589393999</v>
      </c>
      <c r="AE3766">
        <v>3.6647000000000101</v>
      </c>
      <c r="AF3766">
        <v>-3.6063678336660399</v>
      </c>
      <c r="AG3766">
        <v>-1.1221727589393999</v>
      </c>
      <c r="AH3766">
        <v>91.780493913192402</v>
      </c>
      <c r="AI3766">
        <v>90.699963423719097</v>
      </c>
      <c r="AJ3766">
        <v>92.250188492268904</v>
      </c>
      <c r="AK3766">
        <v>91.858174506149197</v>
      </c>
      <c r="AL3766">
        <v>80.012658421079905</v>
      </c>
      <c r="AM3766">
        <v>90.593861035418996</v>
      </c>
      <c r="AN3766">
        <v>1.00000000723602</v>
      </c>
    </row>
    <row r="3767" spans="1:40" x14ac:dyDescent="0.25">
      <c r="A3767" t="str">
        <f>"20190303170327780"</f>
        <v>20190303170327780</v>
      </c>
      <c r="B3767" t="str">
        <f>"1551603807769260"</f>
        <v>1551603807769260</v>
      </c>
      <c r="C3767" t="s">
        <v>40</v>
      </c>
      <c r="D3767">
        <v>4.1992440000000002</v>
      </c>
      <c r="E3767">
        <v>0.49167109999999897</v>
      </c>
      <c r="F3767" t="s">
        <v>62</v>
      </c>
      <c r="G3767">
        <v>-347.2516</v>
      </c>
      <c r="H3767" s="1">
        <v>2.322138E-6</v>
      </c>
      <c r="I3767">
        <v>217.1046</v>
      </c>
      <c r="J3767">
        <v>-443.13150000000002</v>
      </c>
      <c r="K3767">
        <v>1.122158</v>
      </c>
      <c r="L3767">
        <v>213.1575</v>
      </c>
      <c r="M3767">
        <v>0.99998489999999995</v>
      </c>
      <c r="N3767">
        <v>-4.907575E-3</v>
      </c>
      <c r="O3767">
        <v>2.5052049999999999E-3</v>
      </c>
      <c r="P3767">
        <v>0.9854581</v>
      </c>
      <c r="Q3767">
        <v>0.1695284</v>
      </c>
      <c r="R3767">
        <v>1.15064E-2</v>
      </c>
      <c r="S3767">
        <v>3.0485229999999999</v>
      </c>
      <c r="T3767">
        <v>-3.556716E-2</v>
      </c>
      <c r="U3767">
        <v>0.1251678</v>
      </c>
      <c r="V3767">
        <v>-9.7566270000000004E-3</v>
      </c>
      <c r="W3767">
        <v>0.1743237</v>
      </c>
      <c r="X3767">
        <v>0.98464010000000002</v>
      </c>
      <c r="Y3767">
        <v>-3.8517040000000002E-2</v>
      </c>
      <c r="Z3767">
        <v>3.0221950000000001E-4</v>
      </c>
      <c r="AA3767">
        <v>0.99925790000000003</v>
      </c>
      <c r="AB3767">
        <v>32</v>
      </c>
      <c r="AC3767">
        <v>95.879900000000006</v>
      </c>
      <c r="AD3767">
        <v>-1.1221556778620001</v>
      </c>
      <c r="AE3767">
        <v>3.9470999999999998</v>
      </c>
      <c r="AF3767">
        <v>-3.7063791016768199</v>
      </c>
      <c r="AG3767">
        <v>-1.1221556778620001</v>
      </c>
      <c r="AH3767">
        <v>95.876376788739705</v>
      </c>
      <c r="AI3767">
        <v>90.670069823670602</v>
      </c>
      <c r="AJ3767">
        <v>92.213831976057193</v>
      </c>
      <c r="AK3767">
        <v>95.954552291942306</v>
      </c>
      <c r="AL3767">
        <v>79.960696319156298</v>
      </c>
      <c r="AM3767">
        <v>90.567715305228901</v>
      </c>
      <c r="AN3767">
        <v>1.00000003534005</v>
      </c>
    </row>
    <row r="3768" spans="1:40" x14ac:dyDescent="0.25">
      <c r="A3768" t="str">
        <f>"20190303170327802"</f>
        <v>20190303170327802</v>
      </c>
      <c r="B3768" t="str">
        <f>"1551603807788780"</f>
        <v>1551603807788780</v>
      </c>
      <c r="C3768" t="s">
        <v>40</v>
      </c>
      <c r="D3768">
        <v>4.1207149999999997</v>
      </c>
      <c r="E3768">
        <v>0.4918459</v>
      </c>
      <c r="F3768" t="s">
        <v>62</v>
      </c>
      <c r="G3768">
        <v>-332.6628</v>
      </c>
      <c r="H3768" s="1">
        <v>-2.596253E-7</v>
      </c>
      <c r="I3768">
        <v>217.81479999999999</v>
      </c>
      <c r="J3768">
        <v>-442.81659999999999</v>
      </c>
      <c r="K3768">
        <v>1.1221270000000001</v>
      </c>
      <c r="L3768">
        <v>213.16</v>
      </c>
      <c r="M3768">
        <v>0.9999787</v>
      </c>
      <c r="N3768">
        <v>-4.8345549999999999E-3</v>
      </c>
      <c r="O3768">
        <v>4.4185880000000002E-3</v>
      </c>
      <c r="P3768">
        <v>0.98545519999999998</v>
      </c>
      <c r="Q3768">
        <v>0.16942589999999999</v>
      </c>
      <c r="R3768">
        <v>1.3166189999999999E-2</v>
      </c>
      <c r="S3768">
        <v>3.0481259999999999</v>
      </c>
      <c r="T3768">
        <v>-3.0963299999999999E-2</v>
      </c>
      <c r="U3768">
        <v>0.1285095</v>
      </c>
      <c r="V3768">
        <v>-9.5259219999999992E-3</v>
      </c>
      <c r="W3768">
        <v>0.1741509</v>
      </c>
      <c r="X3768">
        <v>0.98467289999999996</v>
      </c>
      <c r="Y3768">
        <v>-3.770482E-2</v>
      </c>
      <c r="Z3768">
        <v>2.5909339999999998E-4</v>
      </c>
      <c r="AA3768">
        <v>0.99928890000000004</v>
      </c>
      <c r="AB3768">
        <v>32</v>
      </c>
      <c r="AC3768">
        <v>110.1538</v>
      </c>
      <c r="AD3768">
        <v>-1.1221272596253</v>
      </c>
      <c r="AE3768">
        <v>4.6547999999999901</v>
      </c>
      <c r="AF3768">
        <v>-4.1675929704869503</v>
      </c>
      <c r="AG3768">
        <v>-1.1221272596253</v>
      </c>
      <c r="AH3768">
        <v>110.161881058695</v>
      </c>
      <c r="AI3768">
        <v>90.583187006600298</v>
      </c>
      <c r="AJ3768">
        <v>92.166554027441293</v>
      </c>
      <c r="AK3768">
        <v>110.246396944048</v>
      </c>
      <c r="AL3768">
        <v>79.970750463956804</v>
      </c>
      <c r="AM3768">
        <v>90.554273505967103</v>
      </c>
      <c r="AN3768">
        <v>0.99999999957758501</v>
      </c>
    </row>
    <row r="3769" spans="1:40" x14ac:dyDescent="0.25">
      <c r="A3769" t="str">
        <f>"20190303170327826"</f>
        <v>20190303170327826</v>
      </c>
      <c r="B3769" t="str">
        <f>"1551603807819036"</f>
        <v>1551603807819036</v>
      </c>
      <c r="C3769" t="s">
        <v>40</v>
      </c>
      <c r="D3769">
        <v>4.207363</v>
      </c>
      <c r="E3769">
        <v>0.4920948</v>
      </c>
      <c r="F3769" t="s">
        <v>62</v>
      </c>
      <c r="G3769">
        <v>-328.37950000000001</v>
      </c>
      <c r="H3769" s="1">
        <v>2.9223859999999998E-6</v>
      </c>
      <c r="I3769">
        <v>218.1396</v>
      </c>
      <c r="J3769">
        <v>-442.4563</v>
      </c>
      <c r="K3769">
        <v>1.1220840000000001</v>
      </c>
      <c r="L3769">
        <v>213.1636</v>
      </c>
      <c r="M3769">
        <v>0.99996739999999995</v>
      </c>
      <c r="N3769">
        <v>-4.7492899999999998E-3</v>
      </c>
      <c r="O3769">
        <v>6.5411740000000003E-3</v>
      </c>
      <c r="P3769">
        <v>0.98556239999999995</v>
      </c>
      <c r="Q3769">
        <v>0.168626</v>
      </c>
      <c r="R3769">
        <v>1.524198E-2</v>
      </c>
      <c r="S3769">
        <v>3.0476070000000002</v>
      </c>
      <c r="T3769">
        <v>-2.988362E-2</v>
      </c>
      <c r="U3769">
        <v>0.13261410000000001</v>
      </c>
      <c r="V3769">
        <v>-9.494555E-3</v>
      </c>
      <c r="W3769">
        <v>0.17326849999999999</v>
      </c>
      <c r="X3769">
        <v>0.98482879999999995</v>
      </c>
      <c r="Y3769">
        <v>-3.6934500000000002E-2</v>
      </c>
      <c r="Z3769">
        <v>2.356906E-4</v>
      </c>
      <c r="AA3769">
        <v>0.99931760000000003</v>
      </c>
      <c r="AB3769">
        <v>33</v>
      </c>
      <c r="AC3769">
        <v>114.07680000000001</v>
      </c>
      <c r="AD3769">
        <v>-1.122081077614</v>
      </c>
      <c r="AE3769">
        <v>4.9759999999999902</v>
      </c>
      <c r="AF3769">
        <v>-4.2292805738515797</v>
      </c>
      <c r="AG3769">
        <v>-1.122081077614</v>
      </c>
      <c r="AH3769">
        <v>114.095890780007</v>
      </c>
      <c r="AI3769">
        <v>90.563073030260796</v>
      </c>
      <c r="AJ3769">
        <v>92.1228550203179</v>
      </c>
      <c r="AK3769">
        <v>114.17976253697699</v>
      </c>
      <c r="AL3769">
        <v>80.0220881873461</v>
      </c>
      <c r="AM3769">
        <v>90.552361056830904</v>
      </c>
      <c r="AN3769">
        <v>0.99999994248816704</v>
      </c>
    </row>
    <row r="3770" spans="1:40" x14ac:dyDescent="0.25">
      <c r="A3770" t="str">
        <f>"20190303170327847"</f>
        <v>20190303170327847</v>
      </c>
      <c r="B3770" t="str">
        <f>"1551603807839533"</f>
        <v>1551603807839533</v>
      </c>
      <c r="C3770" t="s">
        <v>40</v>
      </c>
      <c r="D3770">
        <v>4.2623170000000004</v>
      </c>
      <c r="E3770">
        <v>0.4922667</v>
      </c>
      <c r="F3770" t="s">
        <v>62</v>
      </c>
      <c r="G3770">
        <v>-330.04930000000002</v>
      </c>
      <c r="H3770" s="1">
        <v>-1.6680519999999999E-6</v>
      </c>
      <c r="I3770">
        <v>218.21960000000001</v>
      </c>
      <c r="J3770">
        <v>-442.15230000000003</v>
      </c>
      <c r="K3770">
        <v>1.1220330000000001</v>
      </c>
      <c r="L3770">
        <v>213.16720000000001</v>
      </c>
      <c r="M3770">
        <v>0.99995509999999999</v>
      </c>
      <c r="N3770">
        <v>-4.6801170000000001E-3</v>
      </c>
      <c r="O3770">
        <v>8.2567049999999996E-3</v>
      </c>
      <c r="P3770">
        <v>0.98562780000000005</v>
      </c>
      <c r="Q3770">
        <v>0.16817099999999999</v>
      </c>
      <c r="R3770">
        <v>1.601377E-2</v>
      </c>
      <c r="S3770">
        <v>3.0470280000000001</v>
      </c>
      <c r="T3770">
        <v>-3.0416490000000001E-2</v>
      </c>
      <c r="U3770">
        <v>0.13705439999999999</v>
      </c>
      <c r="V3770">
        <v>-8.5570760000000003E-3</v>
      </c>
      <c r="W3770">
        <v>0.17275009999999999</v>
      </c>
      <c r="X3770">
        <v>0.98492849999999998</v>
      </c>
      <c r="Y3770">
        <v>-3.6681739999999997E-2</v>
      </c>
      <c r="Z3770">
        <v>2.2512380000000001E-4</v>
      </c>
      <c r="AA3770">
        <v>0.99932690000000002</v>
      </c>
      <c r="AB3770">
        <v>33</v>
      </c>
      <c r="AC3770">
        <v>112.10299999999999</v>
      </c>
      <c r="AD3770">
        <v>-1.1220346680519999</v>
      </c>
      <c r="AE3770">
        <v>5.0523999999999996</v>
      </c>
      <c r="AF3770">
        <v>-4.1262038431407202</v>
      </c>
      <c r="AG3770">
        <v>-1.1220346680519999</v>
      </c>
      <c r="AH3770">
        <v>112.129684965938</v>
      </c>
      <c r="AI3770">
        <v>90.572927916628501</v>
      </c>
      <c r="AJ3770">
        <v>92.107447644832604</v>
      </c>
      <c r="AK3770">
        <v>112.211188259068</v>
      </c>
      <c r="AL3770">
        <v>80.052245512573094</v>
      </c>
      <c r="AM3770">
        <v>90.497774208491407</v>
      </c>
      <c r="AN3770">
        <v>0.99999998535596402</v>
      </c>
    </row>
    <row r="3771" spans="1:40" x14ac:dyDescent="0.25">
      <c r="A3771" t="str">
        <f>"20190303170327869"</f>
        <v>20190303170327869</v>
      </c>
      <c r="B3771" t="str">
        <f>"1551603807859054"</f>
        <v>1551603807859054</v>
      </c>
      <c r="C3771" t="s">
        <v>40</v>
      </c>
      <c r="D3771">
        <v>4.1121549999999996</v>
      </c>
      <c r="E3771">
        <v>0.49245519999999998</v>
      </c>
      <c r="F3771" t="s">
        <v>62</v>
      </c>
      <c r="G3771">
        <v>-330.74259999999998</v>
      </c>
      <c r="H3771" s="1">
        <v>-1.2993359999999999E-6</v>
      </c>
      <c r="I3771">
        <v>218.2252</v>
      </c>
      <c r="J3771">
        <v>-441.82780000000002</v>
      </c>
      <c r="K3771">
        <v>1.1219629999999901</v>
      </c>
      <c r="L3771">
        <v>213.17140000000001</v>
      </c>
      <c r="M3771">
        <v>0.99993949999999998</v>
      </c>
      <c r="N3771">
        <v>-4.6122029999999996E-3</v>
      </c>
      <c r="O3771">
        <v>9.9885449999999997E-3</v>
      </c>
      <c r="P3771">
        <v>0.98539730000000003</v>
      </c>
      <c r="Q3771">
        <v>0.16942639999999901</v>
      </c>
      <c r="R3771">
        <v>1.6933790000000001E-2</v>
      </c>
      <c r="S3771">
        <v>3.0466920000000002</v>
      </c>
      <c r="T3771">
        <v>-3.0683990000000001E-2</v>
      </c>
      <c r="U3771">
        <v>0.1383209</v>
      </c>
      <c r="V3771">
        <v>-7.7523189999999997E-3</v>
      </c>
      <c r="W3771">
        <v>0.17394189999999901</v>
      </c>
      <c r="X3771">
        <v>0.98472539999999997</v>
      </c>
      <c r="Y3771">
        <v>-3.5370550000000001E-2</v>
      </c>
      <c r="Z3771">
        <v>2.051426E-4</v>
      </c>
      <c r="AA3771">
        <v>0.99937430000000005</v>
      </c>
      <c r="AB3771">
        <v>33</v>
      </c>
      <c r="AC3771">
        <v>111.0852</v>
      </c>
      <c r="AD3771">
        <v>-1.12196429933599</v>
      </c>
      <c r="AE3771">
        <v>5.0537999999999901</v>
      </c>
      <c r="AF3771">
        <v>-3.9435551282871302</v>
      </c>
      <c r="AG3771">
        <v>-1.12196429933599</v>
      </c>
      <c r="AH3771">
        <v>111.118826951325</v>
      </c>
      <c r="AI3771">
        <v>90.578130599669507</v>
      </c>
      <c r="AJ3771">
        <v>92.032547332271704</v>
      </c>
      <c r="AK3771">
        <v>111.194442909605</v>
      </c>
      <c r="AL3771">
        <v>79.982910867056802</v>
      </c>
      <c r="AM3771">
        <v>90.451055679293006</v>
      </c>
      <c r="AN3771">
        <v>0.99999999821532304</v>
      </c>
    </row>
    <row r="3772" spans="1:40" x14ac:dyDescent="0.25">
      <c r="A3772" t="str">
        <f>"20190303170327892"</f>
        <v>20190303170327892</v>
      </c>
      <c r="B3772" t="str">
        <f>"1551603807879549"</f>
        <v>1551603807879549</v>
      </c>
      <c r="C3772" t="s">
        <v>40</v>
      </c>
      <c r="D3772">
        <v>4.1011199999999999</v>
      </c>
      <c r="E3772">
        <v>0.4926276</v>
      </c>
      <c r="F3772" t="s">
        <v>63</v>
      </c>
      <c r="G3772">
        <v>-307.51949999999999</v>
      </c>
      <c r="H3772" s="1">
        <v>1.319422E-6</v>
      </c>
      <c r="I3772">
        <v>219.3193</v>
      </c>
      <c r="J3772">
        <v>-441.50200000000001</v>
      </c>
      <c r="K3772">
        <v>1.1218779999999999</v>
      </c>
      <c r="L3772">
        <v>213.17619999999999</v>
      </c>
      <c r="M3772">
        <v>0.99992239999999999</v>
      </c>
      <c r="N3772">
        <v>-4.5512690000000001E-3</v>
      </c>
      <c r="O3772">
        <v>1.159548E-2</v>
      </c>
      <c r="P3772">
        <v>0.9852822</v>
      </c>
      <c r="Q3772">
        <v>0.16998550000000001</v>
      </c>
      <c r="R3772">
        <v>1.7999859999999999E-2</v>
      </c>
      <c r="S3772">
        <v>3.046478</v>
      </c>
      <c r="T3772">
        <v>-2.5449159999999998E-2</v>
      </c>
      <c r="U3772">
        <v>0.13945009999999999</v>
      </c>
      <c r="V3772">
        <v>-7.2041700000000002E-3</v>
      </c>
      <c r="W3772">
        <v>0.17444390000000001</v>
      </c>
      <c r="X3772">
        <v>0.98464079999999998</v>
      </c>
      <c r="Y3772">
        <v>-3.4138000000000002E-2</v>
      </c>
      <c r="Z3772">
        <v>1.7618660000000001E-4</v>
      </c>
      <c r="AA3772">
        <v>0.99941709999999995</v>
      </c>
      <c r="AB3772">
        <v>33</v>
      </c>
      <c r="AC3772">
        <v>133.98249999999899</v>
      </c>
      <c r="AD3772">
        <v>-1.1218766805780001</v>
      </c>
      <c r="AE3772">
        <v>6.1430999999999996</v>
      </c>
      <c r="AF3772">
        <v>-4.5887584292499604</v>
      </c>
      <c r="AG3772">
        <v>-1.1218766805780001</v>
      </c>
      <c r="AH3772">
        <v>134.035347313746</v>
      </c>
      <c r="AI3772">
        <v>90.479274053240999</v>
      </c>
      <c r="AJ3772">
        <v>91.960780124321204</v>
      </c>
      <c r="AK3772">
        <v>134.118565607916</v>
      </c>
      <c r="AL3772">
        <v>79.953702245084997</v>
      </c>
      <c r="AM3772">
        <v>90.419199743409195</v>
      </c>
      <c r="AN3772">
        <v>1.00000003966861</v>
      </c>
    </row>
    <row r="3773" spans="1:40" x14ac:dyDescent="0.25">
      <c r="A3773" t="str">
        <f>"20190303170327914"</f>
        <v>20190303170327914</v>
      </c>
      <c r="B3773" t="str">
        <f>"1551603807908829"</f>
        <v>1551603807908829</v>
      </c>
      <c r="C3773" t="s">
        <v>40</v>
      </c>
      <c r="D3773">
        <v>4.0357820000000002</v>
      </c>
      <c r="E3773">
        <v>0.4928806</v>
      </c>
      <c r="F3773" t="s">
        <v>63</v>
      </c>
      <c r="G3773">
        <v>-290.83620000000002</v>
      </c>
      <c r="H3773" s="1">
        <v>9.9503020000000007E-7</v>
      </c>
      <c r="I3773">
        <v>220.1542</v>
      </c>
      <c r="J3773">
        <v>-441.15899999999999</v>
      </c>
      <c r="K3773">
        <v>1.1217509999999999</v>
      </c>
      <c r="L3773">
        <v>213.1815</v>
      </c>
      <c r="M3773">
        <v>0.99990389999999996</v>
      </c>
      <c r="N3773">
        <v>-4.4953650000000003E-3</v>
      </c>
      <c r="O3773">
        <v>1.3120349999999999E-2</v>
      </c>
      <c r="P3773">
        <v>0.98548349999999996</v>
      </c>
      <c r="Q3773">
        <v>0.16871810000000001</v>
      </c>
      <c r="R3773">
        <v>1.8880149999999998E-2</v>
      </c>
      <c r="S3773">
        <v>3.046173</v>
      </c>
      <c r="T3773">
        <v>-2.2682190000000001E-2</v>
      </c>
      <c r="U3773">
        <v>0.14108280000000001</v>
      </c>
      <c r="V3773">
        <v>-6.5286700000000003E-3</v>
      </c>
      <c r="W3773">
        <v>0.17312620000000001</v>
      </c>
      <c r="X3773">
        <v>0.98487800000000003</v>
      </c>
      <c r="Y3773">
        <v>-3.3153330000000002E-2</v>
      </c>
      <c r="Z3773">
        <v>1.5924649999999999E-4</v>
      </c>
      <c r="AA3773">
        <v>0.99945030000000001</v>
      </c>
      <c r="AB3773">
        <v>33</v>
      </c>
      <c r="AC3773">
        <v>150.32279999999901</v>
      </c>
      <c r="AD3773">
        <v>-1.1217500049697999</v>
      </c>
      <c r="AE3773">
        <v>6.9726999999999997</v>
      </c>
      <c r="AF3773">
        <v>-4.9995144877075104</v>
      </c>
      <c r="AG3773">
        <v>-1.1217500049697999</v>
      </c>
      <c r="AH3773">
        <v>150.39298907733101</v>
      </c>
      <c r="AI3773">
        <v>90.427113442800703</v>
      </c>
      <c r="AJ3773">
        <v>91.903982577009202</v>
      </c>
      <c r="AK3773">
        <v>150.480246649853</v>
      </c>
      <c r="AL3773">
        <v>80.030366962243903</v>
      </c>
      <c r="AM3773">
        <v>90.379803140957605</v>
      </c>
      <c r="AN3773">
        <v>0.99999998977120397</v>
      </c>
    </row>
    <row r="3774" spans="1:40" x14ac:dyDescent="0.25">
      <c r="A3774" t="str">
        <f>"20190303170327938"</f>
        <v>20190303170327938</v>
      </c>
      <c r="B3774" t="str">
        <f>"1551603807929324"</f>
        <v>1551603807929324</v>
      </c>
      <c r="C3774" t="s">
        <v>40</v>
      </c>
      <c r="D3774">
        <v>4.0796950000000001</v>
      </c>
      <c r="E3774">
        <v>0.4930446</v>
      </c>
      <c r="F3774" t="s">
        <v>63</v>
      </c>
      <c r="G3774">
        <v>-304.4058</v>
      </c>
      <c r="H3774" s="1">
        <v>1.871747E-6</v>
      </c>
      <c r="I3774">
        <v>219.5292</v>
      </c>
      <c r="J3774">
        <v>-440.81740000000002</v>
      </c>
      <c r="K3774">
        <v>1.1216109999999999</v>
      </c>
      <c r="L3774">
        <v>213.18729999999999</v>
      </c>
      <c r="M3774">
        <v>0.9998861</v>
      </c>
      <c r="N3774">
        <v>-4.4491349999999999E-3</v>
      </c>
      <c r="O3774">
        <v>1.4424380000000001E-2</v>
      </c>
      <c r="P3774">
        <v>0.98575270000000004</v>
      </c>
      <c r="Q3774">
        <v>0.167203399999999</v>
      </c>
      <c r="R3774">
        <v>1.829037E-2</v>
      </c>
      <c r="S3774">
        <v>3.045715</v>
      </c>
      <c r="T3774">
        <v>-2.4983169999999999E-2</v>
      </c>
      <c r="U3774">
        <v>0.14137269999999999</v>
      </c>
      <c r="V3774">
        <v>-4.5894259999999997E-3</v>
      </c>
      <c r="W3774">
        <v>0.17157529999999999</v>
      </c>
      <c r="X3774">
        <v>0.98516040000000005</v>
      </c>
      <c r="Y3774">
        <v>-3.1951599999999997E-2</v>
      </c>
      <c r="Z3774">
        <v>1.4799910000000001E-4</v>
      </c>
      <c r="AA3774">
        <v>0.99948939999999997</v>
      </c>
      <c r="AB3774">
        <v>33</v>
      </c>
      <c r="AC3774">
        <v>136.41159999999999</v>
      </c>
      <c r="AD3774">
        <v>-1.1216091282529901</v>
      </c>
      <c r="AE3774">
        <v>6.3419000000000096</v>
      </c>
      <c r="AF3774">
        <v>-4.3732730171641903</v>
      </c>
      <c r="AG3774">
        <v>-1.1216091282529901</v>
      </c>
      <c r="AH3774">
        <v>136.47967992996101</v>
      </c>
      <c r="AI3774">
        <v>90.470612607453504</v>
      </c>
      <c r="AJ3774">
        <v>91.835323612932498</v>
      </c>
      <c r="AK3774">
        <v>136.55433555073901</v>
      </c>
      <c r="AL3774">
        <v>80.120577832786296</v>
      </c>
      <c r="AM3774">
        <v>90.266913730986502</v>
      </c>
      <c r="AN3774">
        <v>1.00000008006462</v>
      </c>
    </row>
    <row r="3775" spans="1:40" x14ac:dyDescent="0.25">
      <c r="A3775" t="str">
        <f>"20190303170327963"</f>
        <v>20190303170327963</v>
      </c>
      <c r="B3775" t="str">
        <f>"1551603807948844"</f>
        <v>1551603807948844</v>
      </c>
      <c r="C3775" t="s">
        <v>40</v>
      </c>
      <c r="D3775">
        <v>4.2001439999999999</v>
      </c>
      <c r="E3775">
        <v>0.49322820000000001</v>
      </c>
      <c r="F3775" t="s">
        <v>62</v>
      </c>
      <c r="G3775">
        <v>-320.86329999999998</v>
      </c>
      <c r="H3775" s="1">
        <v>-1.0773639999999999E-6</v>
      </c>
      <c r="I3775">
        <v>218.61949999999999</v>
      </c>
      <c r="J3775">
        <v>-440.4717</v>
      </c>
      <c r="K3775">
        <v>1.121461</v>
      </c>
      <c r="L3775">
        <v>213.19329999999999</v>
      </c>
      <c r="M3775">
        <v>0.99986960000000003</v>
      </c>
      <c r="N3775">
        <v>-4.4106049999999997E-3</v>
      </c>
      <c r="O3775">
        <v>1.5536289999999999E-2</v>
      </c>
      <c r="P3775">
        <v>0.98584179999999999</v>
      </c>
      <c r="Q3775">
        <v>0.16685340000000001</v>
      </c>
      <c r="R3775">
        <v>1.6617030000000001E-2</v>
      </c>
      <c r="S3775">
        <v>3.0456539999999999</v>
      </c>
      <c r="T3775">
        <v>-2.8477909999999999E-2</v>
      </c>
      <c r="U3775">
        <v>0.1379242</v>
      </c>
      <c r="V3775">
        <v>-1.7568690000000001E-3</v>
      </c>
      <c r="W3775">
        <v>0.1711966</v>
      </c>
      <c r="X3775">
        <v>0.98523530000000004</v>
      </c>
      <c r="Y3775">
        <v>-2.9711499999999998E-2</v>
      </c>
      <c r="Z3775">
        <v>1.2771309999999901E-4</v>
      </c>
      <c r="AA3775">
        <v>0.99955850000000002</v>
      </c>
      <c r="AB3775">
        <v>34</v>
      </c>
      <c r="AC3775">
        <v>119.6084</v>
      </c>
      <c r="AD3775">
        <v>-1.1214620773639901</v>
      </c>
      <c r="AE3775">
        <v>5.4261999999999899</v>
      </c>
      <c r="AF3775">
        <v>-3.56694331778146</v>
      </c>
      <c r="AG3775">
        <v>-1.1214620773639901</v>
      </c>
      <c r="AH3775">
        <v>119.66776879744501</v>
      </c>
      <c r="AI3775">
        <v>90.5366912167881</v>
      </c>
      <c r="AJ3775">
        <v>91.7073127296905</v>
      </c>
      <c r="AK3775">
        <v>119.726169448379</v>
      </c>
      <c r="AL3775">
        <v>80.142600605176497</v>
      </c>
      <c r="AM3775">
        <v>90.102169575291995</v>
      </c>
      <c r="AN3775">
        <v>0.99999997940316598</v>
      </c>
    </row>
    <row r="3776" spans="1:40" x14ac:dyDescent="0.25">
      <c r="A3776" t="str">
        <f>"20190303170327983"</f>
        <v>20190303170327983</v>
      </c>
      <c r="B3776" t="str">
        <f>"1551603807969342"</f>
        <v>1551603807969342</v>
      </c>
      <c r="C3776" t="s">
        <v>40</v>
      </c>
      <c r="D3776">
        <v>4.1107639999999996</v>
      </c>
      <c r="E3776">
        <v>0.49339549999999999</v>
      </c>
      <c r="F3776" t="s">
        <v>62</v>
      </c>
      <c r="G3776">
        <v>-321.17739999999998</v>
      </c>
      <c r="H3776" s="1">
        <v>-9.1022089999999999E-7</v>
      </c>
      <c r="I3776">
        <v>218.33789999999999</v>
      </c>
      <c r="J3776">
        <v>-440.13589999999999</v>
      </c>
      <c r="K3776">
        <v>1.121326</v>
      </c>
      <c r="L3776">
        <v>213.1994</v>
      </c>
      <c r="M3776">
        <v>0.99985520000000006</v>
      </c>
      <c r="N3776">
        <v>-4.3800480000000001E-3</v>
      </c>
      <c r="O3776">
        <v>1.6444429999999999E-2</v>
      </c>
      <c r="P3776">
        <v>0.98573770000000005</v>
      </c>
      <c r="Q3776">
        <v>0.16764579999999901</v>
      </c>
      <c r="R3776">
        <v>1.4699240000000001E-2</v>
      </c>
      <c r="S3776">
        <v>3.045715</v>
      </c>
      <c r="T3776">
        <v>-2.863216E-2</v>
      </c>
      <c r="U3776">
        <v>0.13134770000000001</v>
      </c>
      <c r="V3776">
        <v>1.108546E-3</v>
      </c>
      <c r="W3776">
        <v>0.17196520000000001</v>
      </c>
      <c r="X3776">
        <v>0.98510240000000004</v>
      </c>
      <c r="Y3776">
        <v>-2.6648689999999999E-2</v>
      </c>
      <c r="Z3776">
        <v>1.0109460000000001E-4</v>
      </c>
      <c r="AA3776">
        <v>0.99964489999999995</v>
      </c>
      <c r="AB3776">
        <v>34</v>
      </c>
      <c r="AC3776">
        <v>118.9585</v>
      </c>
      <c r="AD3776">
        <v>-1.12132691022089</v>
      </c>
      <c r="AE3776">
        <v>5.1384999999999899</v>
      </c>
      <c r="AF3776">
        <v>-3.18129955585206</v>
      </c>
      <c r="AG3776">
        <v>-1.12132691022089</v>
      </c>
      <c r="AH3776">
        <v>119.01635948078</v>
      </c>
      <c r="AI3776">
        <v>90.539610361962502</v>
      </c>
      <c r="AJ3776">
        <v>91.531147870065993</v>
      </c>
      <c r="AK3776">
        <v>119.064150208877</v>
      </c>
      <c r="AL3776">
        <v>80.097900353653301</v>
      </c>
      <c r="AM3776">
        <v>89.935524489244997</v>
      </c>
      <c r="AN3776">
        <v>0.99999999868551703</v>
      </c>
    </row>
    <row r="3777" spans="1:40" x14ac:dyDescent="0.25">
      <c r="A3777" t="str">
        <f>"20190303170328005"</f>
        <v>20190303170328005</v>
      </c>
      <c r="B3777" t="str">
        <f>"1551603807988861"</f>
        <v>1551603807988861</v>
      </c>
      <c r="C3777" t="s">
        <v>40</v>
      </c>
      <c r="D3777">
        <v>4.0887789999999997</v>
      </c>
      <c r="E3777">
        <v>0.4935676</v>
      </c>
      <c r="F3777" t="s">
        <v>63</v>
      </c>
      <c r="G3777">
        <v>-304.1311</v>
      </c>
      <c r="H3777" s="1">
        <v>1.920473E-6</v>
      </c>
      <c r="I3777">
        <v>218.74619999999999</v>
      </c>
      <c r="J3777">
        <v>-439.80689999999998</v>
      </c>
      <c r="K3777">
        <v>1.1211990000000001</v>
      </c>
      <c r="L3777">
        <v>213.2054</v>
      </c>
      <c r="M3777">
        <v>0.99984329999999999</v>
      </c>
      <c r="N3777">
        <v>-4.3566150000000003E-3</v>
      </c>
      <c r="O3777">
        <v>1.7160729999999999E-2</v>
      </c>
      <c r="P3777">
        <v>0.98549750000000003</v>
      </c>
      <c r="Q3777">
        <v>0.16921900000000001</v>
      </c>
      <c r="R3777">
        <v>1.2649229999999999E-2</v>
      </c>
      <c r="S3777">
        <v>3.0458370000000001</v>
      </c>
      <c r="T3777">
        <v>-2.511215E-2</v>
      </c>
      <c r="U3777">
        <v>0.12422179999999999</v>
      </c>
      <c r="V3777">
        <v>3.9118709999999999E-3</v>
      </c>
      <c r="W3777">
        <v>0.173519799999999</v>
      </c>
      <c r="X3777">
        <v>0.98482259999999999</v>
      </c>
      <c r="Y3777">
        <v>-2.3596510000000001E-2</v>
      </c>
      <c r="Z3777" s="1">
        <v>8.198855E-5</v>
      </c>
      <c r="AA3777">
        <v>0.99972159999999999</v>
      </c>
      <c r="AB3777">
        <v>34</v>
      </c>
      <c r="AC3777">
        <v>135.67579999999899</v>
      </c>
      <c r="AD3777">
        <v>-1.1211970795270001</v>
      </c>
      <c r="AE3777">
        <v>5.5407999999999902</v>
      </c>
      <c r="AF3777">
        <v>-3.21144736566582</v>
      </c>
      <c r="AG3777">
        <v>-1.1211970795270001</v>
      </c>
      <c r="AH3777">
        <v>135.74165118858201</v>
      </c>
      <c r="AI3777">
        <v>90.473107772516201</v>
      </c>
      <c r="AJ3777">
        <v>91.355280857414996</v>
      </c>
      <c r="AK3777">
        <v>135.78426397958</v>
      </c>
      <c r="AL3777">
        <v>80.007468768006405</v>
      </c>
      <c r="AM3777">
        <v>89.772413306199496</v>
      </c>
      <c r="AN3777">
        <v>0.99999998859876005</v>
      </c>
    </row>
    <row r="3778" spans="1:40" x14ac:dyDescent="0.25">
      <c r="A3778" t="str">
        <f>"20190303170328038"</f>
        <v>20190303170328038</v>
      </c>
      <c r="B3778" t="str">
        <f>"1551603808028877"</f>
        <v>1551603808028877</v>
      </c>
      <c r="C3778" t="s">
        <v>40</v>
      </c>
      <c r="D3778">
        <v>4.1042329999999998</v>
      </c>
      <c r="E3778">
        <v>0.49381609999999998</v>
      </c>
      <c r="F3778" t="s">
        <v>62</v>
      </c>
      <c r="G3778">
        <v>-272.61149999999998</v>
      </c>
      <c r="H3778">
        <v>6.7527470000000006E-2</v>
      </c>
      <c r="I3778">
        <v>219.63390000000001</v>
      </c>
      <c r="J3778">
        <v>-439.29129999999998</v>
      </c>
      <c r="K3778">
        <v>1.1209830000000001</v>
      </c>
      <c r="L3778">
        <v>213.21510000000001</v>
      </c>
      <c r="M3778">
        <v>0.99982990000000005</v>
      </c>
      <c r="N3778">
        <v>-4.3308940000000001E-3</v>
      </c>
      <c r="O3778">
        <v>1.7930410000000001E-2</v>
      </c>
      <c r="P3778">
        <v>0.98533680000000001</v>
      </c>
      <c r="Q3778">
        <v>0.1701645</v>
      </c>
      <c r="R3778">
        <v>1.246535E-2</v>
      </c>
      <c r="S3778">
        <v>3.0459290000000001</v>
      </c>
      <c r="T3778">
        <v>-1.919556E-2</v>
      </c>
      <c r="U3778">
        <v>0.1171112</v>
      </c>
      <c r="V3778">
        <v>4.9415190000000001E-3</v>
      </c>
      <c r="W3778">
        <v>0.17443819999999999</v>
      </c>
      <c r="X3778">
        <v>0.98465570000000002</v>
      </c>
      <c r="Y3778">
        <v>-2.0495889999999999E-2</v>
      </c>
      <c r="Z3778" s="1">
        <v>7.3653530000000004E-5</v>
      </c>
      <c r="AA3778">
        <v>0.99978999999999996</v>
      </c>
      <c r="AB3778">
        <v>34</v>
      </c>
      <c r="AC3778">
        <v>166.6798</v>
      </c>
      <c r="AD3778">
        <v>-1.0534555299999999</v>
      </c>
      <c r="AE3778">
        <v>6.4188000000000001</v>
      </c>
      <c r="AF3778">
        <v>-3.42896625423128</v>
      </c>
      <c r="AG3778">
        <v>-1.0534555299999999</v>
      </c>
      <c r="AH3778">
        <v>166.761444907347</v>
      </c>
      <c r="AI3778">
        <v>90.361864204776097</v>
      </c>
      <c r="AJ3778">
        <v>91.177955810308703</v>
      </c>
      <c r="AK3778">
        <v>166.80002124014399</v>
      </c>
      <c r="AL3778">
        <v>79.954033268917499</v>
      </c>
      <c r="AM3778">
        <v>89.712462126403295</v>
      </c>
      <c r="AN3778">
        <v>0.99999997588587797</v>
      </c>
    </row>
    <row r="3779" spans="1:40" x14ac:dyDescent="0.25">
      <c r="A3779" t="str">
        <f>"20190303170328061"</f>
        <v>20190303170328061</v>
      </c>
      <c r="B3779" t="str">
        <f>"1551603808049373"</f>
        <v>1551603808049373</v>
      </c>
      <c r="C3779" t="s">
        <v>40</v>
      </c>
      <c r="D3779">
        <v>4.1598449999999998</v>
      </c>
      <c r="E3779">
        <v>0.49392039999999998</v>
      </c>
      <c r="F3779" t="s">
        <v>62</v>
      </c>
      <c r="G3779">
        <v>-243.56440000000001</v>
      </c>
      <c r="H3779">
        <v>8.0000810000000006E-2</v>
      </c>
      <c r="I3779">
        <v>220.58850000000001</v>
      </c>
      <c r="J3779">
        <v>-438.952</v>
      </c>
      <c r="K3779">
        <v>1.120841</v>
      </c>
      <c r="L3779">
        <v>213.22149999999999</v>
      </c>
      <c r="M3779">
        <v>0.99982479999999996</v>
      </c>
      <c r="N3779">
        <v>-4.3210430000000001E-3</v>
      </c>
      <c r="O3779">
        <v>1.821559E-2</v>
      </c>
      <c r="P3779">
        <v>0.98550400000000005</v>
      </c>
      <c r="Q3779">
        <v>0.1692563</v>
      </c>
      <c r="R3779">
        <v>1.159482E-2</v>
      </c>
      <c r="S3779">
        <v>3.0459589999999999</v>
      </c>
      <c r="T3779">
        <v>-1.620007E-2</v>
      </c>
      <c r="U3779">
        <v>0.1147461</v>
      </c>
      <c r="V3779">
        <v>6.1563640000000001E-3</v>
      </c>
      <c r="W3779">
        <v>0.1735207</v>
      </c>
      <c r="X3779">
        <v>0.98481090000000004</v>
      </c>
      <c r="Y3779">
        <v>-1.9435290000000001E-2</v>
      </c>
      <c r="Z3779" s="1">
        <v>7.5530699999999998E-5</v>
      </c>
      <c r="AA3779">
        <v>0.99981109999999895</v>
      </c>
      <c r="AB3779">
        <v>34</v>
      </c>
      <c r="AC3779">
        <v>195.38759999999999</v>
      </c>
      <c r="AD3779">
        <v>-1.0408401899999999</v>
      </c>
      <c r="AE3779">
        <v>7.3670000000000098</v>
      </c>
      <c r="AF3779">
        <v>-3.80653635112379</v>
      </c>
      <c r="AG3779">
        <v>-1.0408401899999999</v>
      </c>
      <c r="AH3779">
        <v>195.483837181642</v>
      </c>
      <c r="AI3779">
        <v>90.305006719399401</v>
      </c>
      <c r="AJ3779">
        <v>91.115544441724296</v>
      </c>
      <c r="AK3779">
        <v>195.52366523403899</v>
      </c>
      <c r="AL3779">
        <v>80.007415729659996</v>
      </c>
      <c r="AM3779">
        <v>89.641830650296896</v>
      </c>
      <c r="AN3779">
        <v>0.99999992145249705</v>
      </c>
    </row>
    <row r="3780" spans="1:40" x14ac:dyDescent="0.25">
      <c r="A3780" t="str">
        <f>"20190303170328081"</f>
        <v>20190303170328081</v>
      </c>
      <c r="B3780" t="str">
        <f>"1551603808068893"</f>
        <v>1551603808068893</v>
      </c>
      <c r="C3780" t="s">
        <v>40</v>
      </c>
      <c r="D3780">
        <v>4.2395250000000004</v>
      </c>
      <c r="E3780">
        <v>0.49401929999999999</v>
      </c>
      <c r="F3780" t="s">
        <v>62</v>
      </c>
      <c r="G3780">
        <v>-265.05270000000002</v>
      </c>
      <c r="H3780" s="1">
        <v>9.3424999999999999E-7</v>
      </c>
      <c r="I3780">
        <v>219.59780000000001</v>
      </c>
      <c r="J3780">
        <v>-438.62869999999998</v>
      </c>
      <c r="K3780">
        <v>1.1207119999999999</v>
      </c>
      <c r="L3780">
        <v>213.2276</v>
      </c>
      <c r="M3780">
        <v>0.99982199999999999</v>
      </c>
      <c r="N3780">
        <v>-4.3157990000000004E-3</v>
      </c>
      <c r="O3780">
        <v>1.836662E-2</v>
      </c>
      <c r="P3780">
        <v>0.98568029999999995</v>
      </c>
      <c r="Q3780">
        <v>0.16825209999999999</v>
      </c>
      <c r="R3780">
        <v>1.1207079999999999E-2</v>
      </c>
      <c r="S3780">
        <v>3.0462340000000001</v>
      </c>
      <c r="T3780">
        <v>-1.963401E-2</v>
      </c>
      <c r="U3780">
        <v>0.1116943</v>
      </c>
      <c r="V3780">
        <v>6.7485590000000003E-3</v>
      </c>
      <c r="W3780">
        <v>0.172511</v>
      </c>
      <c r="X3780">
        <v>0.98498450000000004</v>
      </c>
      <c r="Y3780">
        <v>-1.828051E-2</v>
      </c>
      <c r="Z3780" s="1">
        <v>5.9280249999999999E-5</v>
      </c>
      <c r="AA3780">
        <v>0.99983290000000002</v>
      </c>
      <c r="AB3780">
        <v>34</v>
      </c>
      <c r="AC3780">
        <v>173.575999999999</v>
      </c>
      <c r="AD3780">
        <v>-1.1207110657499999</v>
      </c>
      <c r="AE3780">
        <v>6.3702000000000103</v>
      </c>
      <c r="AF3780">
        <v>-3.1809588836626701</v>
      </c>
      <c r="AG3780">
        <v>-1.1207110657499999</v>
      </c>
      <c r="AH3780">
        <v>173.65649108194299</v>
      </c>
      <c r="AI3780">
        <v>90.369697400018495</v>
      </c>
      <c r="AJ3780">
        <v>91.049400097939596</v>
      </c>
      <c r="AK3780">
        <v>173.689237972896</v>
      </c>
      <c r="AL3780">
        <v>80.066154157800398</v>
      </c>
      <c r="AM3780">
        <v>89.607447733053803</v>
      </c>
      <c r="AN3780">
        <v>1.0000000267049101</v>
      </c>
    </row>
    <row r="3781" spans="1:40" x14ac:dyDescent="0.25">
      <c r="A3781" t="str">
        <f>"20190303170328105"</f>
        <v>20190303170328105</v>
      </c>
      <c r="B3781" t="str">
        <f>"1551603808099149"</f>
        <v>1551603808099149</v>
      </c>
      <c r="C3781" t="s">
        <v>40</v>
      </c>
      <c r="D3781">
        <v>4.1328310000000004</v>
      </c>
      <c r="E3781">
        <v>0.49416850000000001</v>
      </c>
      <c r="F3781" t="s">
        <v>63</v>
      </c>
      <c r="G3781">
        <v>-292.5598</v>
      </c>
      <c r="H3781" s="1">
        <v>1.348475E-6</v>
      </c>
      <c r="I3781">
        <v>218.52629999999999</v>
      </c>
      <c r="J3781">
        <v>-438.26990000000001</v>
      </c>
      <c r="K3781">
        <v>1.1205700000000001</v>
      </c>
      <c r="L3781">
        <v>213.23429999999999</v>
      </c>
      <c r="M3781">
        <v>0.99982179999999998</v>
      </c>
      <c r="N3781">
        <v>-4.3144079999999996E-3</v>
      </c>
      <c r="O3781">
        <v>1.8380520000000001E-2</v>
      </c>
      <c r="P3781">
        <v>0.98570049999999998</v>
      </c>
      <c r="Q3781">
        <v>0.16821</v>
      </c>
      <c r="R3781">
        <v>9.9987449999999999E-3</v>
      </c>
      <c r="S3781">
        <v>3.0462950000000002</v>
      </c>
      <c r="T3781">
        <v>-2.3372649999999998E-2</v>
      </c>
      <c r="U3781">
        <v>0.1105042</v>
      </c>
      <c r="V3781">
        <v>8.0267910000000001E-3</v>
      </c>
      <c r="W3781">
        <v>0.17246589999999901</v>
      </c>
      <c r="X3781">
        <v>0.98498280000000005</v>
      </c>
      <c r="Y3781">
        <v>-1.7875640000000002E-2</v>
      </c>
      <c r="Z3781" s="1">
        <v>4.5453530000000003E-5</v>
      </c>
      <c r="AA3781">
        <v>0.99984019999999996</v>
      </c>
      <c r="AB3781">
        <v>34</v>
      </c>
      <c r="AC3781">
        <v>145.71010000000001</v>
      </c>
      <c r="AD3781">
        <v>-1.120568651525</v>
      </c>
      <c r="AE3781">
        <v>5.2919999999999998</v>
      </c>
      <c r="AF3781">
        <v>-2.61269944237009</v>
      </c>
      <c r="AG3781">
        <v>-1.120568651525</v>
      </c>
      <c r="AH3781">
        <v>145.77414442179801</v>
      </c>
      <c r="AI3781">
        <v>90.440354364807405</v>
      </c>
      <c r="AJ3781">
        <v>91.026798173169496</v>
      </c>
      <c r="AK3781">
        <v>145.801862314533</v>
      </c>
      <c r="AL3781">
        <v>80.0687774117835</v>
      </c>
      <c r="AM3781">
        <v>89.533097362492498</v>
      </c>
      <c r="AN3781">
        <v>1.0000000161661999</v>
      </c>
    </row>
    <row r="3782" spans="1:40" x14ac:dyDescent="0.25">
      <c r="A3782" t="str">
        <f>"20190303170328127"</f>
        <v>20190303170328127</v>
      </c>
      <c r="B3782" t="str">
        <f>"1551603808119645"</f>
        <v>1551603808119645</v>
      </c>
      <c r="C3782" t="s">
        <v>40</v>
      </c>
      <c r="D3782">
        <v>4.159008</v>
      </c>
      <c r="E3782">
        <v>0.49426579999999898</v>
      </c>
      <c r="F3782" t="s">
        <v>63</v>
      </c>
      <c r="G3782">
        <v>-298.75990000000002</v>
      </c>
      <c r="H3782" s="1">
        <v>2.448265E-6</v>
      </c>
      <c r="I3782">
        <v>218.1044</v>
      </c>
      <c r="J3782">
        <v>-437.92129999999997</v>
      </c>
      <c r="K3782">
        <v>1.120433</v>
      </c>
      <c r="L3782">
        <v>213.2406</v>
      </c>
      <c r="M3782">
        <v>0.9998245</v>
      </c>
      <c r="N3782">
        <v>-4.3165089999999996E-3</v>
      </c>
      <c r="O3782">
        <v>1.8241420000000001E-2</v>
      </c>
      <c r="P3782">
        <v>0.98557380000000006</v>
      </c>
      <c r="Q3782">
        <v>0.1689956</v>
      </c>
      <c r="R3782">
        <v>9.2324339999999994E-3</v>
      </c>
      <c r="S3782">
        <v>3.0466310000000001</v>
      </c>
      <c r="T3782">
        <v>-2.4471039999999999E-2</v>
      </c>
      <c r="U3782">
        <v>0.1063538</v>
      </c>
      <c r="V3782">
        <v>8.7087399999999995E-3</v>
      </c>
      <c r="W3782">
        <v>0.17325019999999999</v>
      </c>
      <c r="X3782">
        <v>0.98483929999999997</v>
      </c>
      <c r="Y3782">
        <v>-1.6650399999999999E-2</v>
      </c>
      <c r="Z3782" s="1">
        <v>3.5066959999999999E-5</v>
      </c>
      <c r="AA3782">
        <v>0.99986140000000001</v>
      </c>
      <c r="AB3782">
        <v>35</v>
      </c>
      <c r="AC3782">
        <v>139.16139999999899</v>
      </c>
      <c r="AD3782">
        <v>-1.1204305517349999</v>
      </c>
      <c r="AE3782">
        <v>4.8637999999999897</v>
      </c>
      <c r="AF3782">
        <v>-2.3243155472746801</v>
      </c>
      <c r="AG3782">
        <v>-1.1204305517349999</v>
      </c>
      <c r="AH3782">
        <v>139.21795456120699</v>
      </c>
      <c r="AI3782">
        <v>90.4610440625504</v>
      </c>
      <c r="AJ3782">
        <v>90.956493722395194</v>
      </c>
      <c r="AK3782">
        <v>139.241863961924</v>
      </c>
      <c r="AL3782">
        <v>80.023152981558198</v>
      </c>
      <c r="AM3782">
        <v>89.493357909558696</v>
      </c>
      <c r="AN3782">
        <v>0.99999996038845795</v>
      </c>
    </row>
    <row r="3783" spans="1:40" x14ac:dyDescent="0.25">
      <c r="A3783" t="str">
        <f>"20190303170328150"</f>
        <v>20190303170328150</v>
      </c>
      <c r="B3783" t="str">
        <f>"1551603808139165"</f>
        <v>1551603808139165</v>
      </c>
      <c r="C3783" t="s">
        <v>40</v>
      </c>
      <c r="D3783">
        <v>4.1643610000000004</v>
      </c>
      <c r="E3783">
        <v>0.49435770000000001</v>
      </c>
      <c r="F3783" t="s">
        <v>63</v>
      </c>
      <c r="G3783">
        <v>-288.43400000000003</v>
      </c>
      <c r="H3783" s="1">
        <v>2.915046E-6</v>
      </c>
      <c r="I3783">
        <v>218.2715</v>
      </c>
      <c r="J3783">
        <v>-437.55849999999998</v>
      </c>
      <c r="K3783">
        <v>1.120296</v>
      </c>
      <c r="L3783">
        <v>213.24709999999999</v>
      </c>
      <c r="M3783">
        <v>0.99982959999999999</v>
      </c>
      <c r="N3783">
        <v>-4.3220389999999997E-3</v>
      </c>
      <c r="O3783">
        <v>1.7947020000000001E-2</v>
      </c>
      <c r="P3783">
        <v>0.98556200000000005</v>
      </c>
      <c r="Q3783">
        <v>0.16911509999999999</v>
      </c>
      <c r="R3783">
        <v>8.2525919999999996E-3</v>
      </c>
      <c r="S3783">
        <v>3.0468440000000001</v>
      </c>
      <c r="T3783">
        <v>-2.283657E-2</v>
      </c>
      <c r="U3783">
        <v>0.10253909999999999</v>
      </c>
      <c r="V3783">
        <v>9.4563709999999999E-3</v>
      </c>
      <c r="W3783">
        <v>0.17337230000000001</v>
      </c>
      <c r="X3783">
        <v>0.98481090000000004</v>
      </c>
      <c r="Y3783">
        <v>-1.5692089999999999E-2</v>
      </c>
      <c r="Z3783" s="1">
        <v>3.5805739999999998E-5</v>
      </c>
      <c r="AA3783">
        <v>0.99987689999999996</v>
      </c>
      <c r="AB3783">
        <v>35</v>
      </c>
      <c r="AC3783">
        <v>149.12449999999899</v>
      </c>
      <c r="AD3783">
        <v>-1.120293084954</v>
      </c>
      <c r="AE3783">
        <v>5.0244000000000097</v>
      </c>
      <c r="AF3783">
        <v>-2.3470930629682898</v>
      </c>
      <c r="AG3783">
        <v>-1.120293084954</v>
      </c>
      <c r="AH3783">
        <v>149.18224542086099</v>
      </c>
      <c r="AI3783">
        <v>90.430204791211494</v>
      </c>
      <c r="AJ3783">
        <v>90.901363510891798</v>
      </c>
      <c r="AK3783">
        <v>149.20491362972001</v>
      </c>
      <c r="AL3783">
        <v>80.016049498165501</v>
      </c>
      <c r="AM3783">
        <v>89.449850223404198</v>
      </c>
      <c r="AN3783">
        <v>0.99999994305929296</v>
      </c>
    </row>
    <row r="3784" spans="1:40" x14ac:dyDescent="0.25">
      <c r="A3784" t="str">
        <f>"20190303170328172"</f>
        <v>20190303170328172</v>
      </c>
      <c r="B3784" t="str">
        <f>"1551603808158684"</f>
        <v>1551603808158684</v>
      </c>
      <c r="C3784" t="s">
        <v>40</v>
      </c>
      <c r="D3784">
        <v>4.2994719999999997</v>
      </c>
      <c r="E3784">
        <v>0.49433270000000001</v>
      </c>
      <c r="F3784" t="s">
        <v>63</v>
      </c>
      <c r="G3784">
        <v>-289.35700000000003</v>
      </c>
      <c r="H3784" s="1">
        <v>2.532918E-6</v>
      </c>
      <c r="I3784">
        <v>218.0436</v>
      </c>
      <c r="J3784">
        <v>-437.21940000000001</v>
      </c>
      <c r="K3784">
        <v>1.1201719999999999</v>
      </c>
      <c r="L3784">
        <v>213.25290000000001</v>
      </c>
      <c r="M3784">
        <v>0.99983670000000002</v>
      </c>
      <c r="N3784">
        <v>-4.329978E-3</v>
      </c>
      <c r="O3784">
        <v>1.7545640000000001E-2</v>
      </c>
      <c r="P3784">
        <v>0.98574309999999998</v>
      </c>
      <c r="Q3784">
        <v>0.16811519999999999</v>
      </c>
      <c r="R3784">
        <v>6.9449219999999897E-3</v>
      </c>
      <c r="S3784">
        <v>3.0470579999999998</v>
      </c>
      <c r="T3784">
        <v>-2.3033499999999998E-2</v>
      </c>
      <c r="U3784">
        <v>9.8617549999999998E-2</v>
      </c>
      <c r="V3784">
        <v>1.04238E-2</v>
      </c>
      <c r="W3784">
        <v>0.17237759999999999</v>
      </c>
      <c r="X3784">
        <v>0.98497579999999996</v>
      </c>
      <c r="Y3784">
        <v>-1.480573E-2</v>
      </c>
      <c r="Z3784" s="1">
        <v>3.138783E-5</v>
      </c>
      <c r="AA3784">
        <v>0.99989039999999996</v>
      </c>
      <c r="AB3784">
        <v>35</v>
      </c>
      <c r="AC3784">
        <v>147.86239999999901</v>
      </c>
      <c r="AD3784">
        <v>-1.1201694670819999</v>
      </c>
      <c r="AE3784">
        <v>4.7906999999999798</v>
      </c>
      <c r="AF3784">
        <v>-2.1954719233050701</v>
      </c>
      <c r="AG3784">
        <v>-1.1201694670819999</v>
      </c>
      <c r="AH3784">
        <v>147.915214565014</v>
      </c>
      <c r="AI3784">
        <v>90.433847781436597</v>
      </c>
      <c r="AJ3784">
        <v>90.850365793887704</v>
      </c>
      <c r="AK3784">
        <v>147.935748135517</v>
      </c>
      <c r="AL3784">
        <v>80.073913485914503</v>
      </c>
      <c r="AM3784">
        <v>89.393672969519599</v>
      </c>
      <c r="AN3784">
        <v>1.0000000095869199</v>
      </c>
    </row>
    <row r="3785" spans="1:40" x14ac:dyDescent="0.25">
      <c r="A3785" t="str">
        <f>"20190303170328193"</f>
        <v>20190303170328193</v>
      </c>
      <c r="B3785" t="str">
        <f>"1551603808179180"</f>
        <v>1551603808179180</v>
      </c>
      <c r="C3785" t="s">
        <v>40</v>
      </c>
      <c r="D3785">
        <v>4.377084</v>
      </c>
      <c r="E3785">
        <v>0.49441249999999998</v>
      </c>
      <c r="F3785" t="s">
        <v>63</v>
      </c>
      <c r="G3785">
        <v>-307.86309999999997</v>
      </c>
      <c r="H3785" s="1">
        <v>1.2584840000000001E-6</v>
      </c>
      <c r="I3785">
        <v>217.3064</v>
      </c>
      <c r="J3785">
        <v>-436.88659999999999</v>
      </c>
      <c r="K3785">
        <v>1.120055</v>
      </c>
      <c r="L3785">
        <v>213.25829999999999</v>
      </c>
      <c r="M3785">
        <v>0.99984530000000005</v>
      </c>
      <c r="N3785">
        <v>-4.3397339999999996E-3</v>
      </c>
      <c r="O3785">
        <v>1.7051420000000001E-2</v>
      </c>
      <c r="P3785">
        <v>0.98585020000000001</v>
      </c>
      <c r="Q3785">
        <v>0.16753570000000001</v>
      </c>
      <c r="R3785">
        <v>5.5964129999999997E-3</v>
      </c>
      <c r="S3785">
        <v>3.0472410000000001</v>
      </c>
      <c r="T3785">
        <v>-2.6387810000000001E-2</v>
      </c>
      <c r="U3785">
        <v>9.5489500000000005E-2</v>
      </c>
      <c r="V3785">
        <v>1.1333920000000001E-2</v>
      </c>
      <c r="W3785">
        <v>0.1718045</v>
      </c>
      <c r="X3785">
        <v>0.98506590000000005</v>
      </c>
      <c r="Y3785">
        <v>-1.427259E-2</v>
      </c>
      <c r="Z3785" s="1">
        <v>1.9143079999999998E-5</v>
      </c>
      <c r="AA3785">
        <v>0.99989810000000001</v>
      </c>
      <c r="AB3785">
        <v>35</v>
      </c>
      <c r="AC3785">
        <v>129.02350000000001</v>
      </c>
      <c r="AD3785">
        <v>-1.1200537415159999</v>
      </c>
      <c r="AE3785">
        <v>4.0480999999999998</v>
      </c>
      <c r="AF3785">
        <v>-1.84731799849571</v>
      </c>
      <c r="AG3785">
        <v>-1.1200537415159999</v>
      </c>
      <c r="AH3785">
        <v>129.06405124828001</v>
      </c>
      <c r="AI3785">
        <v>90.497165310675001</v>
      </c>
      <c r="AJ3785">
        <v>90.820029253974795</v>
      </c>
      <c r="AK3785">
        <v>129.082130555666</v>
      </c>
      <c r="AL3785">
        <v>80.107247258874807</v>
      </c>
      <c r="AM3785">
        <v>89.340798287809207</v>
      </c>
      <c r="AN3785">
        <v>1.00000003565281</v>
      </c>
    </row>
    <row r="3786" spans="1:40" x14ac:dyDescent="0.25">
      <c r="A3786" t="str">
        <f>"20190303170328217"</f>
        <v>20190303170328217</v>
      </c>
      <c r="B3786" t="str">
        <f>"1551603808209437"</f>
        <v>1551603808209437</v>
      </c>
      <c r="C3786" t="s">
        <v>40</v>
      </c>
      <c r="D3786">
        <v>4.3046300000000004</v>
      </c>
      <c r="E3786">
        <v>0.49452049999999997</v>
      </c>
      <c r="F3786" t="s">
        <v>63</v>
      </c>
      <c r="G3786">
        <v>-318.58760000000001</v>
      </c>
      <c r="H3786" s="1">
        <v>4.7138810000000004E-6</v>
      </c>
      <c r="I3786">
        <v>216.80459999999999</v>
      </c>
      <c r="J3786">
        <v>-436.51549999999997</v>
      </c>
      <c r="K3786">
        <v>1.119939</v>
      </c>
      <c r="L3786">
        <v>213.26410000000001</v>
      </c>
      <c r="M3786">
        <v>0.99985590000000002</v>
      </c>
      <c r="N3786">
        <v>-4.3527150000000001E-3</v>
      </c>
      <c r="O3786">
        <v>1.6410640000000001E-2</v>
      </c>
      <c r="P3786">
        <v>0.98581589999999997</v>
      </c>
      <c r="Q3786">
        <v>0.16778760000000001</v>
      </c>
      <c r="R3786">
        <v>3.7967510000000001E-3</v>
      </c>
      <c r="S3786">
        <v>3.0474549999999998</v>
      </c>
      <c r="T3786">
        <v>-2.8853179999999999E-2</v>
      </c>
      <c r="U3786">
        <v>9.1354370000000004E-2</v>
      </c>
      <c r="V3786">
        <v>1.254546E-2</v>
      </c>
      <c r="W3786">
        <v>0.17206479999999999</v>
      </c>
      <c r="X3786">
        <v>0.98500569999999998</v>
      </c>
      <c r="Y3786">
        <v>-1.3555680000000001E-2</v>
      </c>
      <c r="Z3786" s="1">
        <v>9.7651749999999992E-6</v>
      </c>
      <c r="AA3786">
        <v>0.99990809999999997</v>
      </c>
      <c r="AB3786">
        <v>35</v>
      </c>
      <c r="AC3786">
        <v>117.927899999999</v>
      </c>
      <c r="AD3786">
        <v>-1.119934286119</v>
      </c>
      <c r="AE3786">
        <v>3.54049999999997</v>
      </c>
      <c r="AF3786">
        <v>-1.60458805659264</v>
      </c>
      <c r="AG3786">
        <v>-1.119934286119</v>
      </c>
      <c r="AH3786">
        <v>117.959492493101</v>
      </c>
      <c r="AI3786">
        <v>90.543912518501898</v>
      </c>
      <c r="AJ3786">
        <v>90.779339175020198</v>
      </c>
      <c r="AK3786">
        <v>117.97572133649599</v>
      </c>
      <c r="AL3786">
        <v>80.092106923139895</v>
      </c>
      <c r="AM3786">
        <v>89.270295545907501</v>
      </c>
      <c r="AN3786">
        <v>0.99999995649906903</v>
      </c>
    </row>
    <row r="3787" spans="1:40" x14ac:dyDescent="0.25">
      <c r="A3787" t="str">
        <f>"20190303170328238"</f>
        <v>20190303170328238</v>
      </c>
      <c r="B3787" t="str">
        <f>"1551603808228957"</f>
        <v>1551603808228957</v>
      </c>
      <c r="C3787" t="s">
        <v>40</v>
      </c>
      <c r="D3787">
        <v>4.2128589999999999</v>
      </c>
      <c r="E3787">
        <v>0.49458439999999998</v>
      </c>
      <c r="F3787" t="s">
        <v>63</v>
      </c>
      <c r="G3787">
        <v>-318.30430000000001</v>
      </c>
      <c r="H3787" s="1">
        <v>4.5882539999999998E-6</v>
      </c>
      <c r="I3787">
        <v>216.6062</v>
      </c>
      <c r="J3787">
        <v>-436.1653</v>
      </c>
      <c r="K3787">
        <v>1.119866</v>
      </c>
      <c r="L3787">
        <v>213.26929999999999</v>
      </c>
      <c r="M3787">
        <v>0.99986649999999999</v>
      </c>
      <c r="N3787">
        <v>-4.3667050000000002E-3</v>
      </c>
      <c r="O3787">
        <v>1.5743179999999999E-2</v>
      </c>
      <c r="P3787">
        <v>0.98563619999999996</v>
      </c>
      <c r="Q3787">
        <v>0.16888</v>
      </c>
      <c r="R3787">
        <v>9.5504710000000003E-4</v>
      </c>
      <c r="S3787">
        <v>3.0477599999999998</v>
      </c>
      <c r="T3787">
        <v>-2.8874520000000001E-2</v>
      </c>
      <c r="U3787">
        <v>8.6166380000000001E-2</v>
      </c>
      <c r="V3787">
        <v>1.4759609999999999E-2</v>
      </c>
      <c r="W3787">
        <v>0.17316519999999999</v>
      </c>
      <c r="X3787">
        <v>0.98478220000000005</v>
      </c>
      <c r="Y3787">
        <v>-1.2519590000000001E-2</v>
      </c>
      <c r="Z3787" s="1">
        <v>6.265898E-6</v>
      </c>
      <c r="AA3787">
        <v>0.99992159999999997</v>
      </c>
      <c r="AB3787">
        <v>35</v>
      </c>
      <c r="AC3787">
        <v>117.861</v>
      </c>
      <c r="AD3787">
        <v>-1.119861411746</v>
      </c>
      <c r="AE3787">
        <v>3.3369000000000102</v>
      </c>
      <c r="AF3787">
        <v>-1.48082817354409</v>
      </c>
      <c r="AG3787">
        <v>-1.119861411746</v>
      </c>
      <c r="AH3787">
        <v>117.888292593919</v>
      </c>
      <c r="AI3787">
        <v>90.544213002569506</v>
      </c>
      <c r="AJ3787">
        <v>90.7196706358787</v>
      </c>
      <c r="AK3787">
        <v>117.902911212449</v>
      </c>
      <c r="AL3787">
        <v>80.028098332958194</v>
      </c>
      <c r="AM3787">
        <v>89.1413329281324</v>
      </c>
      <c r="AN3787">
        <v>1.00000000700761</v>
      </c>
    </row>
    <row r="3788" spans="1:40" x14ac:dyDescent="0.25">
      <c r="A3788" t="str">
        <f>"20190303170328260"</f>
        <v>20190303170328260</v>
      </c>
      <c r="B3788" t="str">
        <f>"1551603808249453"</f>
        <v>1551603808249453</v>
      </c>
      <c r="C3788" t="s">
        <v>40</v>
      </c>
      <c r="D3788">
        <v>4.3080179999999997</v>
      </c>
      <c r="E3788">
        <v>0.49459979999999998</v>
      </c>
      <c r="F3788" t="s">
        <v>63</v>
      </c>
      <c r="G3788">
        <v>-304.47719999999998</v>
      </c>
      <c r="H3788" s="1">
        <v>1.8590840000000001E-6</v>
      </c>
      <c r="I3788">
        <v>216.64590000000001</v>
      </c>
      <c r="J3788">
        <v>-435.8175</v>
      </c>
      <c r="K3788">
        <v>1.11981</v>
      </c>
      <c r="L3788">
        <v>213.27420000000001</v>
      </c>
      <c r="M3788">
        <v>0.99987729999999997</v>
      </c>
      <c r="N3788">
        <v>-4.3816929999999999E-3</v>
      </c>
      <c r="O3788">
        <v>1.5043870000000001E-2</v>
      </c>
      <c r="P3788">
        <v>0.9853982</v>
      </c>
      <c r="Q3788">
        <v>0.17025299999999999</v>
      </c>
      <c r="R3788">
        <v>-2.1498720000000002E-3</v>
      </c>
      <c r="S3788">
        <v>3.0480960000000001</v>
      </c>
      <c r="T3788">
        <v>-2.5920749999999999E-2</v>
      </c>
      <c r="U3788">
        <v>7.8155520000000006E-2</v>
      </c>
      <c r="V3788">
        <v>1.7197819999999999E-2</v>
      </c>
      <c r="W3788">
        <v>0.1745467</v>
      </c>
      <c r="X3788">
        <v>0.98449869999999995</v>
      </c>
      <c r="Y3788">
        <v>-1.0589919999999999E-2</v>
      </c>
      <c r="Z3788" s="1">
        <v>6.238006E-6</v>
      </c>
      <c r="AA3788">
        <v>0.9999439</v>
      </c>
      <c r="AB3788">
        <v>35</v>
      </c>
      <c r="AC3788">
        <v>131.34030000000001</v>
      </c>
      <c r="AD3788">
        <v>-1.1198081409159999</v>
      </c>
      <c r="AE3788">
        <v>3.3717000000000001</v>
      </c>
      <c r="AF3788">
        <v>-1.39533183308083</v>
      </c>
      <c r="AG3788">
        <v>-1.1198081409159999</v>
      </c>
      <c r="AH3788">
        <v>131.36661732254399</v>
      </c>
      <c r="AI3788">
        <v>90.488366899987795</v>
      </c>
      <c r="AJ3788">
        <v>90.608553530343997</v>
      </c>
      <c r="AK3788">
        <v>131.37879991826901</v>
      </c>
      <c r="AL3788">
        <v>79.947720093315198</v>
      </c>
      <c r="AM3788">
        <v>88.999224384287004</v>
      </c>
      <c r="AN3788">
        <v>1.0000000028976599</v>
      </c>
    </row>
    <row r="3789" spans="1:40" x14ac:dyDescent="0.25">
      <c r="A3789" t="str">
        <f>"20190303170328282"</f>
        <v>20190303170328282</v>
      </c>
      <c r="B3789" t="str">
        <f>"1551603808268973"</f>
        <v>1551603808268973</v>
      </c>
      <c r="C3789" t="s">
        <v>40</v>
      </c>
      <c r="D3789">
        <v>4.277609</v>
      </c>
      <c r="E3789">
        <v>0.49463950000000001</v>
      </c>
      <c r="F3789" t="s">
        <v>63</v>
      </c>
      <c r="G3789">
        <v>-281.09750000000003</v>
      </c>
      <c r="H3789" s="1">
        <v>6.3470169999999901E-6</v>
      </c>
      <c r="I3789">
        <v>216.774</v>
      </c>
      <c r="J3789">
        <v>-435.46589999999998</v>
      </c>
      <c r="K3789">
        <v>1.119766</v>
      </c>
      <c r="L3789">
        <v>213.27889999999999</v>
      </c>
      <c r="M3789">
        <v>0.99988790000000005</v>
      </c>
      <c r="N3789">
        <v>-4.3979930000000002E-3</v>
      </c>
      <c r="O3789">
        <v>1.4315019999999999E-2</v>
      </c>
      <c r="P3789">
        <v>0.98530930000000005</v>
      </c>
      <c r="Q3789">
        <v>0.17070370000000001</v>
      </c>
      <c r="R3789">
        <v>-5.1117840000000003E-3</v>
      </c>
      <c r="S3789">
        <v>3.0484309999999999</v>
      </c>
      <c r="T3789">
        <v>-2.2063369999999999E-2</v>
      </c>
      <c r="U3789">
        <v>6.8954470000000004E-2</v>
      </c>
      <c r="V3789">
        <v>1.9459879999999999E-2</v>
      </c>
      <c r="W3789">
        <v>0.17500769999999999</v>
      </c>
      <c r="X3789">
        <v>0.98437470000000005</v>
      </c>
      <c r="Y3789">
        <v>-8.2997590000000003E-3</v>
      </c>
      <c r="Z3789" s="1">
        <v>7.653236E-6</v>
      </c>
      <c r="AA3789">
        <v>0.99996549999999995</v>
      </c>
      <c r="AB3789">
        <v>36</v>
      </c>
      <c r="AC3789">
        <v>154.36839999999901</v>
      </c>
      <c r="AD3789">
        <v>-1.1197596529830001</v>
      </c>
      <c r="AE3789">
        <v>3.4950999999999999</v>
      </c>
      <c r="AF3789">
        <v>-1.2848662725817199</v>
      </c>
      <c r="AG3789">
        <v>-1.1197596529830001</v>
      </c>
      <c r="AH3789">
        <v>154.39449548375001</v>
      </c>
      <c r="AI3789">
        <v>90.415521005049996</v>
      </c>
      <c r="AJ3789">
        <v>90.476802719133701</v>
      </c>
      <c r="AK3789">
        <v>154.40390208379</v>
      </c>
      <c r="AL3789">
        <v>79.920893453307997</v>
      </c>
      <c r="AM3789">
        <v>88.867480256294101</v>
      </c>
      <c r="AN3789">
        <v>0.99999996599449603</v>
      </c>
    </row>
    <row r="3790" spans="1:40" x14ac:dyDescent="0.25">
      <c r="A3790" t="str">
        <f>"20190303170328304"</f>
        <v>20190303170328304</v>
      </c>
      <c r="B3790" t="str">
        <f>"1551603808299229"</f>
        <v>1551603808299229</v>
      </c>
      <c r="C3790" t="s">
        <v>40</v>
      </c>
      <c r="D3790">
        <v>4.2676619999999996</v>
      </c>
      <c r="E3790">
        <v>0.49466169999999998</v>
      </c>
      <c r="F3790" t="s">
        <v>62</v>
      </c>
      <c r="G3790">
        <v>-274.16399999999999</v>
      </c>
      <c r="H3790" s="1">
        <v>5.9884209999999897E-7</v>
      </c>
      <c r="I3790">
        <v>216.45249999999999</v>
      </c>
      <c r="J3790">
        <v>-435.1139</v>
      </c>
      <c r="K3790">
        <v>1.119729</v>
      </c>
      <c r="L3790">
        <v>213.2834</v>
      </c>
      <c r="M3790">
        <v>0.99989810000000001</v>
      </c>
      <c r="N3790">
        <v>-4.4155039999999998E-3</v>
      </c>
      <c r="O3790">
        <v>1.357443E-2</v>
      </c>
      <c r="P3790">
        <v>0.98527560000000003</v>
      </c>
      <c r="Q3790">
        <v>0.17080100000000001</v>
      </c>
      <c r="R3790">
        <v>-7.684003E-3</v>
      </c>
      <c r="S3790">
        <v>3.0486759999999999</v>
      </c>
      <c r="T3790">
        <v>-2.1164059999999998E-2</v>
      </c>
      <c r="U3790">
        <v>5.9982300000000002E-2</v>
      </c>
      <c r="V3790">
        <v>2.131752E-2</v>
      </c>
      <c r="W3790">
        <v>0.17511760000000001</v>
      </c>
      <c r="X3790">
        <v>0.98431670000000004</v>
      </c>
      <c r="Y3790">
        <v>-6.0971209999999996E-3</v>
      </c>
      <c r="Z3790" s="1">
        <v>3.402702E-7</v>
      </c>
      <c r="AA3790">
        <v>0.99998140000000002</v>
      </c>
      <c r="AB3790">
        <v>36</v>
      </c>
      <c r="AC3790">
        <v>160.94990000000001</v>
      </c>
      <c r="AD3790">
        <v>-1.1197284011579001</v>
      </c>
      <c r="AE3790">
        <v>3.1690999999999798</v>
      </c>
      <c r="AF3790">
        <v>-0.98393591968696004</v>
      </c>
      <c r="AG3790">
        <v>-1.1197284011579001</v>
      </c>
      <c r="AH3790">
        <v>160.97030152642699</v>
      </c>
      <c r="AI3790">
        <v>90.398542326098493</v>
      </c>
      <c r="AJ3790">
        <v>90.350217853058695</v>
      </c>
      <c r="AK3790">
        <v>160.97720302917199</v>
      </c>
      <c r="AL3790">
        <v>79.9144981082313</v>
      </c>
      <c r="AM3790">
        <v>88.759329167416894</v>
      </c>
      <c r="AN3790">
        <v>0.99999998819379998</v>
      </c>
    </row>
    <row r="3791" spans="1:40" x14ac:dyDescent="0.25">
      <c r="A3791" t="str">
        <f>"20190303170328339"</f>
        <v>20190303170328339</v>
      </c>
      <c r="B3791" t="str">
        <f>"1551603808329485"</f>
        <v>1551603808329485</v>
      </c>
      <c r="C3791" t="s">
        <v>40</v>
      </c>
      <c r="D3791">
        <v>4.2690070000000002</v>
      </c>
      <c r="E3791">
        <v>0.49463430000000003</v>
      </c>
      <c r="F3791" t="s">
        <v>62</v>
      </c>
      <c r="G3791">
        <v>-277.649</v>
      </c>
      <c r="H3791" s="1">
        <v>2.4745120000000001E-6</v>
      </c>
      <c r="I3791">
        <v>215.9682</v>
      </c>
      <c r="J3791">
        <v>-434.55169999999998</v>
      </c>
      <c r="K3791">
        <v>1.119661</v>
      </c>
      <c r="L3791">
        <v>213.29</v>
      </c>
      <c r="M3791">
        <v>0.99991339999999995</v>
      </c>
      <c r="N3791">
        <v>-4.4456729999999998E-3</v>
      </c>
      <c r="O3791">
        <v>1.2386869999999999E-2</v>
      </c>
      <c r="P3791">
        <v>0.98544500000000002</v>
      </c>
      <c r="Q3791">
        <v>0.16966099999999901</v>
      </c>
      <c r="R3791">
        <v>-1.063181E-2</v>
      </c>
      <c r="S3791">
        <v>3.04895</v>
      </c>
      <c r="T3791">
        <v>-2.1680950000000001E-2</v>
      </c>
      <c r="U3791">
        <v>5.1986690000000002E-2</v>
      </c>
      <c r="V3791">
        <v>2.31151E-2</v>
      </c>
      <c r="W3791">
        <v>0.17400299999999999</v>
      </c>
      <c r="X3791">
        <v>0.98447379999999995</v>
      </c>
      <c r="Y3791">
        <v>-4.661564E-3</v>
      </c>
      <c r="Z3791" s="1">
        <v>-6.0688789999999997E-6</v>
      </c>
      <c r="AA3791">
        <v>0.99998920000000002</v>
      </c>
      <c r="AB3791">
        <v>36</v>
      </c>
      <c r="AC3791">
        <v>156.90269999999899</v>
      </c>
      <c r="AD3791">
        <v>-1.119658525488</v>
      </c>
      <c r="AE3791">
        <v>2.6781999999999999</v>
      </c>
      <c r="AF3791">
        <v>-0.73440458902235195</v>
      </c>
      <c r="AG3791">
        <v>-1.119658525488</v>
      </c>
      <c r="AH3791">
        <v>156.91584876438799</v>
      </c>
      <c r="AI3791">
        <v>90.408817319852901</v>
      </c>
      <c r="AJ3791">
        <v>90.268156317568398</v>
      </c>
      <c r="AK3791">
        <v>156.921561866948</v>
      </c>
      <c r="AL3791">
        <v>79.979355975967394</v>
      </c>
      <c r="AM3791">
        <v>88.654962299637603</v>
      </c>
      <c r="AN3791">
        <v>1.0000000073717199</v>
      </c>
    </row>
    <row r="3792" spans="1:40" x14ac:dyDescent="0.25">
      <c r="A3792" t="str">
        <f>"20190303170328361"</f>
        <v>20190303170328361</v>
      </c>
      <c r="B3792" t="str">
        <f>"1551603808349005"</f>
        <v>1551603808349005</v>
      </c>
      <c r="C3792" t="s">
        <v>40</v>
      </c>
      <c r="D3792">
        <v>4.4758469999999999</v>
      </c>
      <c r="E3792">
        <v>0.49461620000000001</v>
      </c>
      <c r="F3792" t="s">
        <v>63</v>
      </c>
      <c r="G3792">
        <v>-303.62209999999999</v>
      </c>
      <c r="H3792" s="1">
        <v>2.010751E-6</v>
      </c>
      <c r="I3792">
        <v>215.15979999999999</v>
      </c>
      <c r="J3792">
        <v>-434.18360000000001</v>
      </c>
      <c r="K3792">
        <v>1.119624</v>
      </c>
      <c r="L3792">
        <v>213.29390000000001</v>
      </c>
      <c r="M3792">
        <v>0.99992259999999999</v>
      </c>
      <c r="N3792">
        <v>-4.4665149999999999E-3</v>
      </c>
      <c r="O3792">
        <v>1.161075E-2</v>
      </c>
      <c r="P3792">
        <v>0.98544129999999996</v>
      </c>
      <c r="Q3792">
        <v>0.1696358</v>
      </c>
      <c r="R3792">
        <v>-1.1360779999999999E-2</v>
      </c>
      <c r="S3792">
        <v>3.0492859999999999</v>
      </c>
      <c r="T3792">
        <v>-2.607632E-2</v>
      </c>
      <c r="U3792">
        <v>4.3548580000000003E-2</v>
      </c>
      <c r="V3792">
        <v>2.308955E-2</v>
      </c>
      <c r="W3792">
        <v>0.17399690000000001</v>
      </c>
      <c r="X3792">
        <v>0.98447549999999995</v>
      </c>
      <c r="Y3792">
        <v>-2.6694129999999998E-3</v>
      </c>
      <c r="Z3792" s="1">
        <v>-3.0046269999999999E-5</v>
      </c>
      <c r="AA3792">
        <v>0.99999640000000001</v>
      </c>
      <c r="AB3792">
        <v>36</v>
      </c>
      <c r="AC3792">
        <v>130.5615</v>
      </c>
      <c r="AD3792">
        <v>-1.119621989249</v>
      </c>
      <c r="AE3792">
        <v>1.8658999999999799</v>
      </c>
      <c r="AF3792">
        <v>-0.34981641934947799</v>
      </c>
      <c r="AG3792">
        <v>-1.119621989249</v>
      </c>
      <c r="AH3792">
        <v>130.564764248259</v>
      </c>
      <c r="AI3792">
        <v>90.491310289130695</v>
      </c>
      <c r="AJ3792">
        <v>90.153509689920696</v>
      </c>
      <c r="AK3792">
        <v>130.570033270002</v>
      </c>
      <c r="AL3792">
        <v>79.979711116406307</v>
      </c>
      <c r="AM3792">
        <v>88.656450794969004</v>
      </c>
      <c r="AN3792">
        <v>1.0000000293145299</v>
      </c>
    </row>
    <row r="3793" spans="1:40" x14ac:dyDescent="0.25">
      <c r="A3793" t="str">
        <f>"20190303170328386"</f>
        <v>20190303170328386</v>
      </c>
      <c r="B3793" t="str">
        <f>"1551603808369501"</f>
        <v>1551603808369501</v>
      </c>
      <c r="C3793" t="s">
        <v>40</v>
      </c>
      <c r="D3793">
        <v>4.3584170000000002</v>
      </c>
      <c r="E3793">
        <v>0.49460969999999999</v>
      </c>
      <c r="F3793" t="s">
        <v>63</v>
      </c>
      <c r="G3793">
        <v>-306.38</v>
      </c>
      <c r="H3793" s="1">
        <v>1.521546E-6</v>
      </c>
      <c r="I3793">
        <v>215.0429</v>
      </c>
      <c r="J3793">
        <v>-433.81189999999998</v>
      </c>
      <c r="K3793">
        <v>1.1195949999999999</v>
      </c>
      <c r="L3793">
        <v>213.29750000000001</v>
      </c>
      <c r="M3793">
        <v>0.99993129999999997</v>
      </c>
      <c r="N3793">
        <v>-4.4882059999999998E-3</v>
      </c>
      <c r="O3793">
        <v>1.0828880000000001E-2</v>
      </c>
      <c r="P3793">
        <v>0.98558460000000003</v>
      </c>
      <c r="Q3793">
        <v>0.1688521</v>
      </c>
      <c r="R3793">
        <v>-1.0589660000000001E-2</v>
      </c>
      <c r="S3793">
        <v>3.0494080000000001</v>
      </c>
      <c r="T3793">
        <v>-2.671432E-2</v>
      </c>
      <c r="U3793">
        <v>4.1732789999999999E-2</v>
      </c>
      <c r="V3793">
        <v>2.1557030000000001E-2</v>
      </c>
      <c r="W3793">
        <v>0.17323659999999999</v>
      </c>
      <c r="X3793">
        <v>0.98464430000000003</v>
      </c>
      <c r="Y3793">
        <v>-2.855415E-3</v>
      </c>
      <c r="Z3793" s="1">
        <v>-2.7340610000000001E-5</v>
      </c>
      <c r="AA3793">
        <v>0.99999590000000005</v>
      </c>
      <c r="AB3793">
        <v>36</v>
      </c>
      <c r="AC3793">
        <v>127.431899999999</v>
      </c>
      <c r="AD3793">
        <v>-1.119593478454</v>
      </c>
      <c r="AE3793">
        <v>1.7453999999999801</v>
      </c>
      <c r="AF3793">
        <v>-0.365310821748696</v>
      </c>
      <c r="AG3793">
        <v>-1.119593478454</v>
      </c>
      <c r="AH3793">
        <v>127.433494097305</v>
      </c>
      <c r="AI3793">
        <v>90.5033689734436</v>
      </c>
      <c r="AJ3793">
        <v>90.164248113181998</v>
      </c>
      <c r="AK3793">
        <v>127.43893580613999</v>
      </c>
      <c r="AL3793">
        <v>80.0239446810007</v>
      </c>
      <c r="AM3793">
        <v>88.745811500494199</v>
      </c>
      <c r="AN3793">
        <v>1.00000001132223</v>
      </c>
    </row>
    <row r="3794" spans="1:40" x14ac:dyDescent="0.25">
      <c r="A3794" t="str">
        <f>"20190303170328406"</f>
        <v>20190303170328406</v>
      </c>
      <c r="B3794" t="str">
        <f>"1551603808398781"</f>
        <v>1551603808398781</v>
      </c>
      <c r="C3794" t="s">
        <v>40</v>
      </c>
      <c r="D3794">
        <v>4.3723460000000003</v>
      </c>
      <c r="E3794">
        <v>0.49464780000000003</v>
      </c>
      <c r="F3794" t="s">
        <v>63</v>
      </c>
      <c r="G3794">
        <v>-319.4074</v>
      </c>
      <c r="H3794" s="1">
        <v>5.0774559999999997E-6</v>
      </c>
      <c r="I3794">
        <v>214.97309999999999</v>
      </c>
      <c r="J3794">
        <v>-433.45299999999997</v>
      </c>
      <c r="K3794">
        <v>1.1195809999999999</v>
      </c>
      <c r="L3794">
        <v>213.30080000000001</v>
      </c>
      <c r="M3794">
        <v>0.99993909999999997</v>
      </c>
      <c r="N3794">
        <v>-4.5098459999999996E-3</v>
      </c>
      <c r="O3794">
        <v>1.007803E-2</v>
      </c>
      <c r="P3794">
        <v>0.98586569999999996</v>
      </c>
      <c r="Q3794">
        <v>0.16724520000000001</v>
      </c>
      <c r="R3794">
        <v>-9.9140830000000006E-3</v>
      </c>
      <c r="S3794">
        <v>3.0494690000000002</v>
      </c>
      <c r="T3794">
        <v>-2.9842850000000001E-2</v>
      </c>
      <c r="U3794">
        <v>4.4662479999999997E-2</v>
      </c>
      <c r="V3794">
        <v>2.014844E-2</v>
      </c>
      <c r="W3794">
        <v>0.17165420000000001</v>
      </c>
      <c r="X3794">
        <v>0.98495120000000003</v>
      </c>
      <c r="Y3794">
        <v>-4.5664390000000003E-3</v>
      </c>
      <c r="Z3794" s="1">
        <v>-2.0526039999999999E-5</v>
      </c>
      <c r="AA3794">
        <v>0.99998960000000003</v>
      </c>
      <c r="AB3794">
        <v>36</v>
      </c>
      <c r="AC3794">
        <v>114.04559999999999</v>
      </c>
      <c r="AD3794">
        <v>-1.1195759225439901</v>
      </c>
      <c r="AE3794">
        <v>1.6722999999999699</v>
      </c>
      <c r="AF3794">
        <v>-0.52279809512740205</v>
      </c>
      <c r="AG3794">
        <v>-1.1195759225439901</v>
      </c>
      <c r="AH3794">
        <v>114.045673353163</v>
      </c>
      <c r="AI3794">
        <v>90.562443439276393</v>
      </c>
      <c r="AJ3794">
        <v>90.262648408227804</v>
      </c>
      <c r="AK3794">
        <v>114.05236682625601</v>
      </c>
      <c r="AL3794">
        <v>80.115988271365197</v>
      </c>
      <c r="AM3794">
        <v>88.828104793306593</v>
      </c>
      <c r="AN3794">
        <v>0.99999999519675598</v>
      </c>
    </row>
    <row r="3795" spans="1:40" x14ac:dyDescent="0.25">
      <c r="A3795" t="str">
        <f>"20190303170328428"</f>
        <v>20190303170328428</v>
      </c>
      <c r="B3795" t="str">
        <f>"1551603808419277"</f>
        <v>1551603808419277</v>
      </c>
      <c r="C3795" t="s">
        <v>40</v>
      </c>
      <c r="D3795">
        <v>4.4122779999999997</v>
      </c>
      <c r="E3795">
        <v>0.53981650000000003</v>
      </c>
      <c r="F3795" t="s">
        <v>62</v>
      </c>
      <c r="G3795">
        <v>-336.8408</v>
      </c>
      <c r="H3795" s="1">
        <v>2.0969159999999998E-6</v>
      </c>
      <c r="I3795">
        <v>214.76750000000001</v>
      </c>
      <c r="J3795">
        <v>-433.09649999999999</v>
      </c>
      <c r="K3795">
        <v>1.1195729999999999</v>
      </c>
      <c r="L3795">
        <v>213.3038</v>
      </c>
      <c r="M3795">
        <v>0.999946</v>
      </c>
      <c r="N3795">
        <v>-4.5318939999999999E-3</v>
      </c>
      <c r="O3795">
        <v>9.3498469999999997E-3</v>
      </c>
      <c r="P3795">
        <v>0.98610140000000002</v>
      </c>
      <c r="Q3795">
        <v>0.16584370000000001</v>
      </c>
      <c r="R3795">
        <v>-9.9954769999999991E-3</v>
      </c>
      <c r="S3795">
        <v>3.0495000000000001</v>
      </c>
      <c r="T3795">
        <v>-3.5338759999999997E-2</v>
      </c>
      <c r="U3795">
        <v>4.6295169999999997E-2</v>
      </c>
      <c r="V3795">
        <v>1.9514199999999999E-2</v>
      </c>
      <c r="W3795">
        <v>0.1702767</v>
      </c>
      <c r="X3795">
        <v>0.98520300000000005</v>
      </c>
      <c r="Y3795">
        <v>-5.8296449999999996E-3</v>
      </c>
      <c r="Z3795" s="1">
        <v>-1.8979869999999999E-5</v>
      </c>
      <c r="AA3795">
        <v>0.99998299999999996</v>
      </c>
      <c r="AB3795">
        <v>36</v>
      </c>
      <c r="AC3795">
        <v>96.255700000000004</v>
      </c>
      <c r="AD3795">
        <v>-1.119570903084</v>
      </c>
      <c r="AE3795">
        <v>1.46370000000001</v>
      </c>
      <c r="AF3795">
        <v>-0.56357446593835103</v>
      </c>
      <c r="AG3795">
        <v>-1.119570903084</v>
      </c>
      <c r="AH3795">
        <v>96.252159531582507</v>
      </c>
      <c r="AI3795">
        <v>90.666402664072507</v>
      </c>
      <c r="AJ3795">
        <v>90.335473712980104</v>
      </c>
      <c r="AK3795">
        <v>96.260320328154407</v>
      </c>
      <c r="AL3795">
        <v>80.196092189854795</v>
      </c>
      <c r="AM3795">
        <v>88.865274347995296</v>
      </c>
      <c r="AN3795">
        <v>0.99999995488676396</v>
      </c>
    </row>
    <row r="3796" spans="1:40" x14ac:dyDescent="0.25">
      <c r="A3796" t="str">
        <f>"20190303170328449"</f>
        <v>20190303170328449</v>
      </c>
      <c r="B3796" t="str">
        <f>"1551603808438796"</f>
        <v>1551603808438796</v>
      </c>
      <c r="C3796" t="s">
        <v>40</v>
      </c>
      <c r="D3796">
        <v>4.4335370000000003</v>
      </c>
      <c r="E3796">
        <v>0.54622599999999999</v>
      </c>
      <c r="F3796" t="s">
        <v>43</v>
      </c>
      <c r="G3796">
        <v>-432.27550000000002</v>
      </c>
      <c r="H3796">
        <v>1.0024189999999999</v>
      </c>
      <c r="I3796">
        <v>213.2269</v>
      </c>
      <c r="J3796">
        <v>-432.7423</v>
      </c>
      <c r="K3796">
        <v>1.1195850000000001</v>
      </c>
      <c r="L3796">
        <v>213.3066</v>
      </c>
      <c r="M3796">
        <v>0.99995210000000001</v>
      </c>
      <c r="N3796">
        <v>-4.5540329999999999E-3</v>
      </c>
      <c r="O3796">
        <v>8.6691300000000006E-3</v>
      </c>
      <c r="P3796">
        <v>0.98598830000000004</v>
      </c>
      <c r="Q3796">
        <v>0.16651459999999901</v>
      </c>
      <c r="R3796">
        <v>-1.001177E-2</v>
      </c>
      <c r="S3796">
        <v>3.1140750000000001</v>
      </c>
      <c r="T3796">
        <v>-0.44441269999999999</v>
      </c>
      <c r="U3796">
        <v>-0.29035949999999999</v>
      </c>
      <c r="V3796">
        <v>1.885446E-2</v>
      </c>
      <c r="W3796">
        <v>0.17097019999999999</v>
      </c>
      <c r="X3796">
        <v>0.98509579999999997</v>
      </c>
      <c r="Y3796">
        <v>0.10034410000000001</v>
      </c>
      <c r="Z3796">
        <v>-8.5282199999999996E-3</v>
      </c>
      <c r="AA3796">
        <v>0.99491629999999998</v>
      </c>
      <c r="AB3796">
        <v>37</v>
      </c>
      <c r="AC3796">
        <v>0.46679999999997701</v>
      </c>
      <c r="AD3796">
        <v>-0.11716600000000001</v>
      </c>
      <c r="AE3796">
        <v>-7.9700000000002505E-2</v>
      </c>
      <c r="AF3796">
        <v>7.8913082105561402E-2</v>
      </c>
      <c r="AG3796">
        <v>-0.11716600000000001</v>
      </c>
      <c r="AH3796">
        <v>0.439205290206787</v>
      </c>
      <c r="AI3796">
        <v>104.711722898316</v>
      </c>
      <c r="AJ3796">
        <v>79.814206639353799</v>
      </c>
      <c r="AK3796">
        <v>0.46136366678470397</v>
      </c>
      <c r="AL3796">
        <v>80.155766859783995</v>
      </c>
      <c r="AM3796">
        <v>88.903508573231505</v>
      </c>
      <c r="AN3796">
        <v>1.00000001756378</v>
      </c>
    </row>
    <row r="3797" spans="1:40" x14ac:dyDescent="0.25">
      <c r="A3797" t="str">
        <f>"20190303170328472"</f>
        <v>20190303170328472</v>
      </c>
      <c r="B3797" t="str">
        <f>"1551603808459293"</f>
        <v>1551603808459293</v>
      </c>
      <c r="C3797" t="s">
        <v>40</v>
      </c>
      <c r="D3797">
        <v>4.3804299999999996</v>
      </c>
      <c r="E3797">
        <v>0.54856309999999997</v>
      </c>
      <c r="F3797" t="s">
        <v>43</v>
      </c>
      <c r="G3797">
        <v>-431.95209999999997</v>
      </c>
      <c r="H3797">
        <v>0.98904570000000003</v>
      </c>
      <c r="I3797">
        <v>213.22069999999999</v>
      </c>
      <c r="J3797">
        <v>-432.36779999999999</v>
      </c>
      <c r="K3797">
        <v>1.1196280000000001</v>
      </c>
      <c r="L3797">
        <v>213.3092</v>
      </c>
      <c r="M3797">
        <v>0.9999574</v>
      </c>
      <c r="N3797">
        <v>-4.5774810000000004E-3</v>
      </c>
      <c r="O3797">
        <v>8.0255659999999996E-3</v>
      </c>
      <c r="P3797">
        <v>0.98551239999999996</v>
      </c>
      <c r="Q3797">
        <v>0.16921059999999999</v>
      </c>
      <c r="R3797">
        <v>-1.1542739999999999E-2</v>
      </c>
      <c r="S3797">
        <v>3.1264340000000002</v>
      </c>
      <c r="T3797">
        <v>-0.51651759999999902</v>
      </c>
      <c r="U3797">
        <v>-0.33822629999999998</v>
      </c>
      <c r="V3797">
        <v>1.9735280000000001E-2</v>
      </c>
      <c r="W3797">
        <v>0.17368739999999999</v>
      </c>
      <c r="X3797">
        <v>0.98460300000000001</v>
      </c>
      <c r="Y3797">
        <v>0.1138599</v>
      </c>
      <c r="Z3797">
        <v>-1.085554E-2</v>
      </c>
      <c r="AA3797">
        <v>0.99343749999999997</v>
      </c>
      <c r="AB3797">
        <v>37</v>
      </c>
      <c r="AC3797">
        <v>0.415700000000015</v>
      </c>
      <c r="AD3797">
        <v>-0.13058230000000001</v>
      </c>
      <c r="AE3797">
        <v>-8.8500000000010404E-2</v>
      </c>
      <c r="AF3797">
        <v>8.3912346819250805E-2</v>
      </c>
      <c r="AG3797">
        <v>-0.13058230000000001</v>
      </c>
      <c r="AH3797">
        <v>0.37918267310489501</v>
      </c>
      <c r="AI3797">
        <v>108.584876752135</v>
      </c>
      <c r="AJ3797">
        <v>77.521667169015402</v>
      </c>
      <c r="AK3797">
        <v>0.409722489747607</v>
      </c>
      <c r="AL3797">
        <v>79.997717351769893</v>
      </c>
      <c r="AM3797">
        <v>88.851723121868304</v>
      </c>
      <c r="AN3797">
        <v>0.99999993090221595</v>
      </c>
    </row>
    <row r="3798" spans="1:40" x14ac:dyDescent="0.25">
      <c r="A3798" t="str">
        <f>"20190303170328496"</f>
        <v>20190303170328496</v>
      </c>
      <c r="B3798" t="str">
        <f>"1551603808489549"</f>
        <v>1551603808489549</v>
      </c>
      <c r="C3798" t="s">
        <v>40</v>
      </c>
      <c r="D3798">
        <v>4.3694490000000004</v>
      </c>
      <c r="E3798">
        <v>0.55090530000000004</v>
      </c>
      <c r="F3798" t="s">
        <v>43</v>
      </c>
      <c r="G3798">
        <v>-431.62060000000002</v>
      </c>
      <c r="H3798">
        <v>0.99038539999999997</v>
      </c>
      <c r="I3798">
        <v>213.22389999999999</v>
      </c>
      <c r="J3798">
        <v>-431.98750000000001</v>
      </c>
      <c r="K3798">
        <v>1.1197010000000001</v>
      </c>
      <c r="L3798">
        <v>213.31180000000001</v>
      </c>
      <c r="M3798">
        <v>0.99996160000000001</v>
      </c>
      <c r="N3798">
        <v>-4.601717E-3</v>
      </c>
      <c r="O3798">
        <v>7.4810379999999998E-3</v>
      </c>
      <c r="P3798">
        <v>0.98535850000000003</v>
      </c>
      <c r="Q3798">
        <v>0.1699775</v>
      </c>
      <c r="R3798">
        <v>-1.329316E-2</v>
      </c>
      <c r="S3798">
        <v>3.1329349999999998</v>
      </c>
      <c r="T3798">
        <v>-0.54194390000000003</v>
      </c>
      <c r="U3798">
        <v>-0.3568268</v>
      </c>
      <c r="V3798">
        <v>2.0920049999999999E-2</v>
      </c>
      <c r="W3798">
        <v>0.1744791</v>
      </c>
      <c r="X3798">
        <v>0.98443860000000005</v>
      </c>
      <c r="Y3798">
        <v>0.1187015</v>
      </c>
      <c r="Z3798">
        <v>-1.1681459999999999E-2</v>
      </c>
      <c r="AA3798">
        <v>0.99286129999999995</v>
      </c>
      <c r="AB3798">
        <v>37</v>
      </c>
      <c r="AC3798">
        <v>0.36689999999998602</v>
      </c>
      <c r="AD3798">
        <v>-0.1293156</v>
      </c>
      <c r="AE3798">
        <v>-8.7900000000018894E-2</v>
      </c>
      <c r="AF3798">
        <v>8.1113090931183907E-2</v>
      </c>
      <c r="AG3798">
        <v>-0.1293156</v>
      </c>
      <c r="AH3798">
        <v>0.32772999892931898</v>
      </c>
      <c r="AI3798">
        <v>110.957978689857</v>
      </c>
      <c r="AJ3798">
        <v>76.098663035923707</v>
      </c>
      <c r="AK3798">
        <v>0.36153673412529103</v>
      </c>
      <c r="AL3798">
        <v>79.951653426525695</v>
      </c>
      <c r="AM3798">
        <v>88.782605446783904</v>
      </c>
      <c r="AN3798">
        <v>0.99999998099938603</v>
      </c>
    </row>
    <row r="3799" spans="1:40" x14ac:dyDescent="0.25">
      <c r="A3799" t="str">
        <f>"20190303170328517"</f>
        <v>20190303170328517</v>
      </c>
      <c r="B3799" t="str">
        <f>"1551603808509069"</f>
        <v>1551603808509069</v>
      </c>
      <c r="C3799" t="s">
        <v>40</v>
      </c>
      <c r="D3799">
        <v>4.3985890000000003</v>
      </c>
      <c r="E3799">
        <v>0.55220509999999901</v>
      </c>
      <c r="F3799" t="s">
        <v>43</v>
      </c>
      <c r="G3799">
        <v>-430.9794</v>
      </c>
      <c r="H3799">
        <v>0.93780929999999996</v>
      </c>
      <c r="I3799">
        <v>213.19040000000001</v>
      </c>
      <c r="J3799">
        <v>-431.61380000000003</v>
      </c>
      <c r="K3799">
        <v>1.11978</v>
      </c>
      <c r="L3799">
        <v>213.3143</v>
      </c>
      <c r="M3799">
        <v>0.99996419999999997</v>
      </c>
      <c r="N3799">
        <v>-4.6261230000000002E-3</v>
      </c>
      <c r="O3799">
        <v>7.0855550000000003E-3</v>
      </c>
      <c r="P3799">
        <v>0.98558500000000004</v>
      </c>
      <c r="Q3799">
        <v>0.16862189999999999</v>
      </c>
      <c r="R3799">
        <v>-1.3739639999999999E-2</v>
      </c>
      <c r="S3799">
        <v>3.1370849999999999</v>
      </c>
      <c r="T3799">
        <v>-0.56603979999999998</v>
      </c>
      <c r="U3799">
        <v>-0.37718200000000002</v>
      </c>
      <c r="V3799">
        <v>2.0938370000000001E-2</v>
      </c>
      <c r="W3799">
        <v>0.173153</v>
      </c>
      <c r="X3799">
        <v>0.9846724</v>
      </c>
      <c r="Y3799">
        <v>0.12426760000000001</v>
      </c>
      <c r="Z3799">
        <v>-1.260467E-2</v>
      </c>
      <c r="AA3799">
        <v>0.99216870000000001</v>
      </c>
      <c r="AB3799">
        <v>37</v>
      </c>
      <c r="AC3799">
        <v>0.63440000000002705</v>
      </c>
      <c r="AD3799">
        <v>-0.18197070000000001</v>
      </c>
      <c r="AE3799">
        <v>-0.123899999999991</v>
      </c>
      <c r="AF3799">
        <v>0.118963704377643</v>
      </c>
      <c r="AG3799">
        <v>-0.18197070000000001</v>
      </c>
      <c r="AH3799">
        <v>0.58698541938912197</v>
      </c>
      <c r="AI3799">
        <v>106.900448821807</v>
      </c>
      <c r="AJ3799">
        <v>78.543106564155906</v>
      </c>
      <c r="AK3799">
        <v>0.62595333787205298</v>
      </c>
      <c r="AL3799">
        <v>80.028808556589098</v>
      </c>
      <c r="AM3799">
        <v>88.781828900731298</v>
      </c>
      <c r="AN3799">
        <v>1.0000000560344999</v>
      </c>
    </row>
    <row r="3800" spans="1:40" x14ac:dyDescent="0.25">
      <c r="A3800" t="str">
        <f>"20190303170328539"</f>
        <v>20190303170328539</v>
      </c>
      <c r="B3800" t="str">
        <f>"1551603808529566"</f>
        <v>1551603808529566</v>
      </c>
      <c r="C3800" t="s">
        <v>40</v>
      </c>
      <c r="D3800">
        <v>4.3904110000000003</v>
      </c>
      <c r="E3800">
        <v>0.55317759999999905</v>
      </c>
      <c r="F3800" t="s">
        <v>43</v>
      </c>
      <c r="G3800">
        <v>-430.64420000000001</v>
      </c>
      <c r="H3800">
        <v>0.94047879999999995</v>
      </c>
      <c r="I3800">
        <v>213.1936</v>
      </c>
      <c r="J3800">
        <v>-431.25009999999997</v>
      </c>
      <c r="K3800">
        <v>1.1198589999999999</v>
      </c>
      <c r="L3800">
        <v>213.3167</v>
      </c>
      <c r="M3800">
        <v>0.99996609999999997</v>
      </c>
      <c r="N3800">
        <v>-4.6502480000000001E-3</v>
      </c>
      <c r="O3800">
        <v>6.807769E-3</v>
      </c>
      <c r="P3800">
        <v>0.98584289999999997</v>
      </c>
      <c r="Q3800">
        <v>0.16705120000000001</v>
      </c>
      <c r="R3800">
        <v>-1.4424019999999999E-2</v>
      </c>
      <c r="S3800">
        <v>3.137756</v>
      </c>
      <c r="T3800">
        <v>-0.5802948</v>
      </c>
      <c r="U3800">
        <v>-0.38940429999999998</v>
      </c>
      <c r="V3800">
        <v>2.1310579999999999E-2</v>
      </c>
      <c r="W3800">
        <v>0.1716115</v>
      </c>
      <c r="X3800">
        <v>0.98493419999999998</v>
      </c>
      <c r="Y3800">
        <v>0.12761600000000001</v>
      </c>
      <c r="Z3800">
        <v>-1.317081E-2</v>
      </c>
      <c r="AA3800">
        <v>0.99173619999999996</v>
      </c>
      <c r="AB3800">
        <v>37</v>
      </c>
      <c r="AC3800">
        <v>0.60589999999996202</v>
      </c>
      <c r="AD3800">
        <v>-0.17938019999999899</v>
      </c>
      <c r="AE3800">
        <v>-0.12309999999999301</v>
      </c>
      <c r="AF3800">
        <v>0.117344595246276</v>
      </c>
      <c r="AG3800">
        <v>-0.17938019999999899</v>
      </c>
      <c r="AH3800">
        <v>0.55807244066315198</v>
      </c>
      <c r="AI3800">
        <v>107.460960856363</v>
      </c>
      <c r="AJ3800">
        <v>78.125532735944105</v>
      </c>
      <c r="AK3800">
        <v>0.59782259844646202</v>
      </c>
      <c r="AL3800">
        <v>80.1184718301853</v>
      </c>
      <c r="AM3800">
        <v>88.760510283469699</v>
      </c>
      <c r="AN3800">
        <v>1.0000000130409099</v>
      </c>
    </row>
    <row r="3801" spans="1:40" x14ac:dyDescent="0.25">
      <c r="A3801" t="str">
        <f>"20190303170328563"</f>
        <v>20190303170328563</v>
      </c>
      <c r="B3801" t="str">
        <f>"1551603808549086"</f>
        <v>1551603808549086</v>
      </c>
      <c r="C3801" t="s">
        <v>40</v>
      </c>
      <c r="D3801">
        <v>4.3734789999999997</v>
      </c>
      <c r="E3801">
        <v>0.55396119999999904</v>
      </c>
      <c r="F3801" t="s">
        <v>43</v>
      </c>
      <c r="G3801">
        <v>-430.30840000000001</v>
      </c>
      <c r="H3801">
        <v>0.94214209999999998</v>
      </c>
      <c r="I3801">
        <v>213.1969</v>
      </c>
      <c r="J3801">
        <v>-430.86059999999998</v>
      </c>
      <c r="K3801">
        <v>1.119942</v>
      </c>
      <c r="L3801">
        <v>213.3192</v>
      </c>
      <c r="M3801">
        <v>0.99996719999999895</v>
      </c>
      <c r="N3801">
        <v>-4.6764390000000001E-3</v>
      </c>
      <c r="O3801">
        <v>6.6173849999999999E-3</v>
      </c>
      <c r="P3801">
        <v>0.98586569999999996</v>
      </c>
      <c r="Q3801">
        <v>0.16679359999999999</v>
      </c>
      <c r="R3801">
        <v>-1.5779990000000001E-2</v>
      </c>
      <c r="S3801">
        <v>3.1376040000000001</v>
      </c>
      <c r="T3801">
        <v>-0.59215739999999994</v>
      </c>
      <c r="U3801">
        <v>-0.39831539999999999</v>
      </c>
      <c r="V3801">
        <v>2.244173E-2</v>
      </c>
      <c r="W3801">
        <v>0.17138310000000001</v>
      </c>
      <c r="X3801">
        <v>0.98494879999999996</v>
      </c>
      <c r="Y3801">
        <v>0.13007249999999901</v>
      </c>
      <c r="Z3801">
        <v>-1.363022E-2</v>
      </c>
      <c r="AA3801">
        <v>0.99141080000000004</v>
      </c>
      <c r="AB3801">
        <v>37</v>
      </c>
      <c r="AC3801">
        <v>0.55219999999997005</v>
      </c>
      <c r="AD3801">
        <v>-0.17779990000000001</v>
      </c>
      <c r="AE3801">
        <v>-0.122299999999995</v>
      </c>
      <c r="AF3801">
        <v>0.114623638621128</v>
      </c>
      <c r="AG3801">
        <v>-0.17779990000000001</v>
      </c>
      <c r="AH3801">
        <v>0.50178862304482197</v>
      </c>
      <c r="AI3801">
        <v>109.056674522968</v>
      </c>
      <c r="AJ3801">
        <v>77.132692716476697</v>
      </c>
      <c r="AK3801">
        <v>0.54455780702141798</v>
      </c>
      <c r="AL3801">
        <v>80.131754536641594</v>
      </c>
      <c r="AM3801">
        <v>88.694760604238894</v>
      </c>
      <c r="AN3801">
        <v>0.99999996841622096</v>
      </c>
    </row>
    <row r="3802" spans="1:40" x14ac:dyDescent="0.25">
      <c r="A3802" t="str">
        <f>"20190303170328586"</f>
        <v>20190303170328586</v>
      </c>
      <c r="B3802" t="str">
        <f>"1551603808569581"</f>
        <v>1551603808569581</v>
      </c>
      <c r="C3802" t="s">
        <v>40</v>
      </c>
      <c r="D3802">
        <v>4.3470690000000003</v>
      </c>
      <c r="E3802">
        <v>0.55464609999999903</v>
      </c>
      <c r="F3802" t="s">
        <v>43</v>
      </c>
      <c r="G3802">
        <v>-429.96879999999999</v>
      </c>
      <c r="H3802">
        <v>0.94988700000000004</v>
      </c>
      <c r="I3802">
        <v>213.20310000000001</v>
      </c>
      <c r="J3802">
        <v>-430.48540000000003</v>
      </c>
      <c r="K3802">
        <v>1.120031</v>
      </c>
      <c r="L3802">
        <v>213.32159999999999</v>
      </c>
      <c r="M3802">
        <v>0.99996759999999996</v>
      </c>
      <c r="N3802">
        <v>-4.701846E-3</v>
      </c>
      <c r="O3802">
        <v>6.5348669999999998E-3</v>
      </c>
      <c r="P3802">
        <v>0.98574340000000005</v>
      </c>
      <c r="Q3802">
        <v>0.16750760000000001</v>
      </c>
      <c r="R3802">
        <v>-1.5856889999999998E-2</v>
      </c>
      <c r="S3802">
        <v>3.1377259999999998</v>
      </c>
      <c r="T3802">
        <v>-0.59837280000000004</v>
      </c>
      <c r="U3802">
        <v>-0.4068756</v>
      </c>
      <c r="V3802">
        <v>2.240379E-2</v>
      </c>
      <c r="W3802">
        <v>0.17212629999999901</v>
      </c>
      <c r="X3802">
        <v>0.98482009999999998</v>
      </c>
      <c r="Y3802">
        <v>0.13255339999999999</v>
      </c>
      <c r="Z3802">
        <v>-1.399102E-2</v>
      </c>
      <c r="AA3802">
        <v>0.99107710000000004</v>
      </c>
      <c r="AB3802">
        <v>37</v>
      </c>
      <c r="AC3802">
        <v>0.51660000000003903</v>
      </c>
      <c r="AD3802">
        <v>-0.17014399999999899</v>
      </c>
      <c r="AE3802">
        <v>-0.11849999999998299</v>
      </c>
      <c r="AF3802">
        <v>0.110487522575116</v>
      </c>
      <c r="AG3802">
        <v>-0.17014399999999899</v>
      </c>
      <c r="AH3802">
        <v>0.46762514140813699</v>
      </c>
      <c r="AI3802">
        <v>109.49892305828899</v>
      </c>
      <c r="AJ3802">
        <v>76.706310065751495</v>
      </c>
      <c r="AK3802">
        <v>0.50973497649049704</v>
      </c>
      <c r="AL3802">
        <v>80.088530411000804</v>
      </c>
      <c r="AM3802">
        <v>88.696796254582097</v>
      </c>
      <c r="AN3802">
        <v>1.0000000111610301</v>
      </c>
    </row>
    <row r="3803" spans="1:40" x14ac:dyDescent="0.25">
      <c r="A3803" t="str">
        <f>"20190303170328607"</f>
        <v>20190303170328607</v>
      </c>
      <c r="B3803" t="str">
        <f>"1551603808598861"</f>
        <v>1551603808598861</v>
      </c>
      <c r="C3803" t="s">
        <v>40</v>
      </c>
      <c r="D3803">
        <v>4.3222269999999998</v>
      </c>
      <c r="E3803">
        <v>0.55531709999999901</v>
      </c>
      <c r="F3803" t="s">
        <v>43</v>
      </c>
      <c r="G3803">
        <v>-429.62869999999998</v>
      </c>
      <c r="H3803">
        <v>0.95637740000000004</v>
      </c>
      <c r="I3803">
        <v>213.20910000000001</v>
      </c>
      <c r="J3803">
        <v>-430.10910000000001</v>
      </c>
      <c r="K3803">
        <v>1.120109</v>
      </c>
      <c r="L3803">
        <v>213.32409999999999</v>
      </c>
      <c r="M3803">
        <v>0.99996750000000001</v>
      </c>
      <c r="N3803">
        <v>-4.7275850000000003E-3</v>
      </c>
      <c r="O3803">
        <v>6.5445159999999898E-3</v>
      </c>
      <c r="P3803">
        <v>0.98568889999999998</v>
      </c>
      <c r="Q3803">
        <v>0.1679495</v>
      </c>
      <c r="R3803">
        <v>-1.4515999999999999E-2</v>
      </c>
      <c r="S3803">
        <v>3.1385800000000001</v>
      </c>
      <c r="T3803">
        <v>-0.59951659999999996</v>
      </c>
      <c r="U3803">
        <v>-0.41282649999999999</v>
      </c>
      <c r="V3803">
        <v>2.1040960000000001E-2</v>
      </c>
      <c r="W3803">
        <v>0.1725979</v>
      </c>
      <c r="X3803">
        <v>0.98476759999999997</v>
      </c>
      <c r="Y3803">
        <v>0.1343356</v>
      </c>
      <c r="Z3803">
        <v>-1.4187119999999999E-2</v>
      </c>
      <c r="AA3803">
        <v>0.9908344</v>
      </c>
      <c r="AB3803">
        <v>38</v>
      </c>
      <c r="AC3803">
        <v>0.48040000000003102</v>
      </c>
      <c r="AD3803">
        <v>-0.1637316</v>
      </c>
      <c r="AE3803">
        <v>-0.11499999999997999</v>
      </c>
      <c r="AF3803">
        <v>0.106446793411465</v>
      </c>
      <c r="AG3803">
        <v>-0.1637316</v>
      </c>
      <c r="AH3803">
        <v>0.43215808800036498</v>
      </c>
      <c r="AI3803">
        <v>110.197276143023</v>
      </c>
      <c r="AJ3803">
        <v>76.1626716788805</v>
      </c>
      <c r="AK3803">
        <v>0.47423577436785003</v>
      </c>
      <c r="AL3803">
        <v>80.061098979224994</v>
      </c>
      <c r="AM3803">
        <v>88.775980444800695</v>
      </c>
      <c r="AN3803">
        <v>0.99999999154594499</v>
      </c>
    </row>
    <row r="3804" spans="1:40" x14ac:dyDescent="0.25">
      <c r="A3804" t="str">
        <f>"20190303170328630"</f>
        <v>20190303170328630</v>
      </c>
      <c r="B3804" t="str">
        <f>"1551603808619357"</f>
        <v>1551603808619357</v>
      </c>
      <c r="C3804" t="s">
        <v>40</v>
      </c>
      <c r="D3804">
        <v>4.3178169999999998</v>
      </c>
      <c r="E3804">
        <v>0.55582489999999996</v>
      </c>
      <c r="F3804" t="s">
        <v>43</v>
      </c>
      <c r="G3804">
        <v>-429.28739999999999</v>
      </c>
      <c r="H3804">
        <v>0.96294000000000002</v>
      </c>
      <c r="I3804">
        <v>213.215</v>
      </c>
      <c r="J3804">
        <v>-429.72410000000002</v>
      </c>
      <c r="K3804">
        <v>1.1201760000000001</v>
      </c>
      <c r="L3804">
        <v>213.32660000000001</v>
      </c>
      <c r="M3804">
        <v>0.99996689999999999</v>
      </c>
      <c r="N3804">
        <v>-4.7540489999999998E-3</v>
      </c>
      <c r="O3804">
        <v>6.6331069999999897E-3</v>
      </c>
      <c r="P3804">
        <v>0.98577510000000002</v>
      </c>
      <c r="Q3804">
        <v>0.16759109999999999</v>
      </c>
      <c r="R3804">
        <v>-1.268772E-2</v>
      </c>
      <c r="S3804">
        <v>3.1397710000000001</v>
      </c>
      <c r="T3804">
        <v>-0.60052989999999995</v>
      </c>
      <c r="U3804">
        <v>-0.4161377</v>
      </c>
      <c r="V3804">
        <v>1.927048E-2</v>
      </c>
      <c r="W3804">
        <v>0.17227000000000001</v>
      </c>
      <c r="X3804">
        <v>0.98486130000000005</v>
      </c>
      <c r="Y3804">
        <v>0.13537469999999999</v>
      </c>
      <c r="Z3804">
        <v>-1.4322669999999999E-2</v>
      </c>
      <c r="AA3804">
        <v>0.99069090000000004</v>
      </c>
      <c r="AB3804">
        <v>38</v>
      </c>
      <c r="AC3804">
        <v>0.43670000000003001</v>
      </c>
      <c r="AD3804">
        <v>-0.15723599999999999</v>
      </c>
      <c r="AE3804">
        <v>-0.111600000000009</v>
      </c>
      <c r="AF3804">
        <v>0.10207279400762199</v>
      </c>
      <c r="AG3804">
        <v>-0.15723599999999999</v>
      </c>
      <c r="AH3804">
        <v>0.38865397976163701</v>
      </c>
      <c r="AI3804">
        <v>111.370190421072</v>
      </c>
      <c r="AJ3804">
        <v>75.284645381235805</v>
      </c>
      <c r="AK3804">
        <v>0.43150194780218698</v>
      </c>
      <c r="AL3804">
        <v>80.080172466412606</v>
      </c>
      <c r="AM3804">
        <v>88.879054035565005</v>
      </c>
      <c r="AN3804">
        <v>1.00000004226855</v>
      </c>
    </row>
    <row r="3805" spans="1:40" x14ac:dyDescent="0.25">
      <c r="A3805" t="str">
        <f>"20190303170328650"</f>
        <v>20190303170328650</v>
      </c>
      <c r="B3805" t="str">
        <f>"1551603808638877"</f>
        <v>1551603808638877</v>
      </c>
      <c r="C3805" t="s">
        <v>40</v>
      </c>
      <c r="D3805">
        <v>4.2681769999999997</v>
      </c>
      <c r="E3805">
        <v>0.55621980000000004</v>
      </c>
      <c r="F3805" t="s">
        <v>43</v>
      </c>
      <c r="G3805">
        <v>-428.94459999999998</v>
      </c>
      <c r="H3805">
        <v>0.97045970000000004</v>
      </c>
      <c r="I3805">
        <v>213.22370000000001</v>
      </c>
      <c r="J3805">
        <v>-429.37920000000003</v>
      </c>
      <c r="K3805">
        <v>1.120233</v>
      </c>
      <c r="L3805">
        <v>213.32900000000001</v>
      </c>
      <c r="M3805">
        <v>0.99996569999999996</v>
      </c>
      <c r="N3805">
        <v>-4.7777380000000001E-3</v>
      </c>
      <c r="O3805">
        <v>6.7637519999999996E-3</v>
      </c>
      <c r="P3805">
        <v>0.98590509999999998</v>
      </c>
      <c r="Q3805">
        <v>0.16693849999999999</v>
      </c>
      <c r="R3805">
        <v>-1.1081799999999999E-2</v>
      </c>
      <c r="S3805">
        <v>3.1404719999999999</v>
      </c>
      <c r="T3805">
        <v>-0.60328440000000005</v>
      </c>
      <c r="U3805">
        <v>-0.41505429999999999</v>
      </c>
      <c r="V3805">
        <v>1.7769859999999998E-2</v>
      </c>
      <c r="W3805">
        <v>0.17164479999999999</v>
      </c>
      <c r="X3805">
        <v>0.98499859999999995</v>
      </c>
      <c r="Y3805">
        <v>0.13511919999999999</v>
      </c>
      <c r="Z3805">
        <v>-1.438392E-2</v>
      </c>
      <c r="AA3805">
        <v>0.99072490000000002</v>
      </c>
      <c r="AB3805">
        <v>38</v>
      </c>
      <c r="AC3805">
        <v>0.43460000000004501</v>
      </c>
      <c r="AD3805">
        <v>-0.1497733</v>
      </c>
      <c r="AE3805">
        <v>-0.10529999999999901</v>
      </c>
      <c r="AF3805">
        <v>9.7319841072686805E-2</v>
      </c>
      <c r="AG3805">
        <v>-0.1497733</v>
      </c>
      <c r="AH3805">
        <v>0.390114860061619</v>
      </c>
      <c r="AI3805">
        <v>110.43061348126299</v>
      </c>
      <c r="AJ3805">
        <v>75.992632738911396</v>
      </c>
      <c r="AK3805">
        <v>0.42906036510052997</v>
      </c>
      <c r="AL3805">
        <v>80.116534750559694</v>
      </c>
      <c r="AM3805">
        <v>88.966468025519205</v>
      </c>
      <c r="AN3805">
        <v>0.99999997364670901</v>
      </c>
    </row>
    <row r="3806" spans="1:40" x14ac:dyDescent="0.25">
      <c r="A3806" t="str">
        <f>"20190303170328673"</f>
        <v>20190303170328673</v>
      </c>
      <c r="B3806" t="str">
        <f>"1551603808659373"</f>
        <v>1551603808659373</v>
      </c>
      <c r="C3806" t="s">
        <v>40</v>
      </c>
      <c r="D3806">
        <v>4.2950710000000001</v>
      </c>
      <c r="E3806">
        <v>0.55656110000000003</v>
      </c>
      <c r="F3806" t="s">
        <v>43</v>
      </c>
      <c r="G3806">
        <v>-428.60419999999999</v>
      </c>
      <c r="H3806">
        <v>0.970468</v>
      </c>
      <c r="I3806">
        <v>213.22659999999999</v>
      </c>
      <c r="J3806">
        <v>-428.983</v>
      </c>
      <c r="K3806">
        <v>1.12029</v>
      </c>
      <c r="L3806">
        <v>213.33179999999999</v>
      </c>
      <c r="M3806">
        <v>0.99996430000000003</v>
      </c>
      <c r="N3806">
        <v>-4.8049599999999996E-3</v>
      </c>
      <c r="O3806">
        <v>6.9520140000000003E-3</v>
      </c>
      <c r="P3806">
        <v>0.98583399999999999</v>
      </c>
      <c r="Q3806">
        <v>0.16744220000000001</v>
      </c>
      <c r="R3806">
        <v>-9.7353779999999994E-3</v>
      </c>
      <c r="S3806">
        <v>3.141022</v>
      </c>
      <c r="T3806">
        <v>-0.60707469999999997</v>
      </c>
      <c r="U3806">
        <v>-0.41383359999999902</v>
      </c>
      <c r="V3806">
        <v>1.6584499999999999E-2</v>
      </c>
      <c r="W3806">
        <v>0.172177</v>
      </c>
      <c r="X3806">
        <v>0.98492639999999998</v>
      </c>
      <c r="Y3806">
        <v>0.1348743</v>
      </c>
      <c r="Z3806">
        <v>-1.4481559999999999E-2</v>
      </c>
      <c r="AA3806">
        <v>0.99075690000000005</v>
      </c>
      <c r="AB3806">
        <v>38</v>
      </c>
      <c r="AC3806">
        <v>0.37880000000001202</v>
      </c>
      <c r="AD3806">
        <v>-0.14982200000000001</v>
      </c>
      <c r="AE3806">
        <v>-0.10519999999999601</v>
      </c>
      <c r="AF3806">
        <v>9.4156344944803405E-2</v>
      </c>
      <c r="AG3806">
        <v>-0.14982200000000001</v>
      </c>
      <c r="AH3806">
        <v>0.33011591019453201</v>
      </c>
      <c r="AI3806">
        <v>113.5784355872</v>
      </c>
      <c r="AJ3806">
        <v>74.080680654073902</v>
      </c>
      <c r="AK3806">
        <v>0.37455114889815599</v>
      </c>
      <c r="AL3806">
        <v>80.085581268960894</v>
      </c>
      <c r="AM3806">
        <v>89.035326837095994</v>
      </c>
      <c r="AN3806">
        <v>0.99999998919310495</v>
      </c>
    </row>
    <row r="3807" spans="1:40" x14ac:dyDescent="0.25">
      <c r="A3807" t="str">
        <f>"20190303170328697"</f>
        <v>20190303170328697</v>
      </c>
      <c r="B3807" t="str">
        <f>"1551603808689335"</f>
        <v>1551603808689335</v>
      </c>
      <c r="C3807" t="s">
        <v>40</v>
      </c>
      <c r="D3807">
        <v>4.2779089999999904</v>
      </c>
      <c r="E3807">
        <v>0.55663819999999997</v>
      </c>
      <c r="F3807" t="s">
        <v>43</v>
      </c>
      <c r="G3807">
        <v>-428.25810000000001</v>
      </c>
      <c r="H3807">
        <v>0.98047019999999996</v>
      </c>
      <c r="I3807">
        <v>213.2363</v>
      </c>
      <c r="J3807">
        <v>-428.5908</v>
      </c>
      <c r="K3807">
        <v>1.120344</v>
      </c>
      <c r="L3807">
        <v>213.3347</v>
      </c>
      <c r="M3807">
        <v>0.99996260000000003</v>
      </c>
      <c r="N3807">
        <v>-4.8320749999999999E-3</v>
      </c>
      <c r="O3807">
        <v>7.1669100000000003E-3</v>
      </c>
      <c r="P3807">
        <v>0.98550950000000004</v>
      </c>
      <c r="Q3807">
        <v>0.16940820000000001</v>
      </c>
      <c r="R3807">
        <v>-8.4846390000000004E-3</v>
      </c>
      <c r="S3807">
        <v>3.141937</v>
      </c>
      <c r="T3807">
        <v>-0.60613760000000005</v>
      </c>
      <c r="U3807">
        <v>-0.4135742</v>
      </c>
      <c r="V3807">
        <v>1.552387E-2</v>
      </c>
      <c r="W3807">
        <v>0.1741702</v>
      </c>
      <c r="X3807">
        <v>0.98459319999999895</v>
      </c>
      <c r="Y3807">
        <v>0.13497290000000001</v>
      </c>
      <c r="Z3807">
        <v>-1.4507290000000001E-2</v>
      </c>
      <c r="AA3807">
        <v>0.99074309999999999</v>
      </c>
      <c r="AB3807">
        <v>38</v>
      </c>
      <c r="AC3807">
        <v>0.33269999999998801</v>
      </c>
      <c r="AD3807">
        <v>-0.13987379999999999</v>
      </c>
      <c r="AE3807">
        <v>-9.8399999999998003E-2</v>
      </c>
      <c r="AF3807">
        <v>8.6691499121622301E-2</v>
      </c>
      <c r="AG3807">
        <v>-0.13987379999999999</v>
      </c>
      <c r="AH3807">
        <v>0.28557086456145397</v>
      </c>
      <c r="AI3807">
        <v>115.11173163038499</v>
      </c>
      <c r="AJ3807">
        <v>73.113145716298106</v>
      </c>
      <c r="AK3807">
        <v>0.32959189103005898</v>
      </c>
      <c r="AL3807">
        <v>79.969627591853694</v>
      </c>
      <c r="AM3807">
        <v>89.096704567662997</v>
      </c>
      <c r="AN3807">
        <v>1.00000000929702</v>
      </c>
    </row>
    <row r="3808" spans="1:40" x14ac:dyDescent="0.25">
      <c r="A3808" t="str">
        <f>"20190303170328718"</f>
        <v>20190303170328718</v>
      </c>
      <c r="B3808" t="str">
        <f>"1551603808708855"</f>
        <v>1551603808708855</v>
      </c>
      <c r="C3808" t="s">
        <v>40</v>
      </c>
      <c r="D3808">
        <v>4.1471390000000001</v>
      </c>
      <c r="E3808">
        <v>0.52347579999999905</v>
      </c>
      <c r="F3808" t="s">
        <v>43</v>
      </c>
      <c r="G3808">
        <v>-427.59379999999999</v>
      </c>
      <c r="H3808">
        <v>0.93020979999999998</v>
      </c>
      <c r="I3808">
        <v>213.2037</v>
      </c>
      <c r="J3808">
        <v>-428.20639999999997</v>
      </c>
      <c r="K3808">
        <v>1.120393</v>
      </c>
      <c r="L3808">
        <v>213.33760000000001</v>
      </c>
      <c r="M3808">
        <v>0.99996079999999998</v>
      </c>
      <c r="N3808">
        <v>-4.8585499999999997E-3</v>
      </c>
      <c r="O3808">
        <v>7.3936679999999999E-3</v>
      </c>
      <c r="P3808">
        <v>0.98512599999999995</v>
      </c>
      <c r="Q3808">
        <v>0.1716829</v>
      </c>
      <c r="R3808">
        <v>-7.1999459999999996E-3</v>
      </c>
      <c r="S3808">
        <v>3.1436160000000002</v>
      </c>
      <c r="T3808">
        <v>-0.59955219999999998</v>
      </c>
      <c r="U3808">
        <v>-0.411972</v>
      </c>
      <c r="V3808">
        <v>1.4443889999999999E-2</v>
      </c>
      <c r="W3808">
        <v>0.17646999999999999</v>
      </c>
      <c r="X3808">
        <v>0.98420010000000002</v>
      </c>
      <c r="Y3808">
        <v>0.13469200000000001</v>
      </c>
      <c r="Z3808">
        <v>-1.4364750000000001E-2</v>
      </c>
      <c r="AA3808">
        <v>0.99078339999999998</v>
      </c>
      <c r="AB3808">
        <v>38</v>
      </c>
      <c r="AC3808">
        <v>0.61259999999998604</v>
      </c>
      <c r="AD3808">
        <v>-0.1901832</v>
      </c>
      <c r="AE3808">
        <v>-0.13390000000001101</v>
      </c>
      <c r="AF3808">
        <v>0.126765130569922</v>
      </c>
      <c r="AG3808">
        <v>-0.1901832</v>
      </c>
      <c r="AH3808">
        <v>0.56007421426660098</v>
      </c>
      <c r="AI3808">
        <v>108.324388594878</v>
      </c>
      <c r="AJ3808">
        <v>77.246761841300497</v>
      </c>
      <c r="AK3808">
        <v>0.60491501335063602</v>
      </c>
      <c r="AL3808">
        <v>79.835786254378903</v>
      </c>
      <c r="AM3808">
        <v>89.1592009280822</v>
      </c>
      <c r="AN3808">
        <v>1.00000006184916</v>
      </c>
    </row>
    <row r="3809" spans="1:40" x14ac:dyDescent="0.25">
      <c r="A3809" t="str">
        <f>"20190303170328740"</f>
        <v>20190303170328740</v>
      </c>
      <c r="B3809" t="str">
        <f>"1551603808729352"</f>
        <v>1551603808729352</v>
      </c>
      <c r="C3809" t="s">
        <v>40</v>
      </c>
      <c r="D3809">
        <v>4.1485699999999897</v>
      </c>
      <c r="E3809">
        <v>0.51409199999999999</v>
      </c>
      <c r="F3809" t="s">
        <v>43</v>
      </c>
      <c r="G3809">
        <v>-427.20949999999999</v>
      </c>
      <c r="H3809">
        <v>1.018262</v>
      </c>
      <c r="I3809">
        <v>213.28550000000001</v>
      </c>
      <c r="J3809">
        <v>-427.84120000000001</v>
      </c>
      <c r="K3809">
        <v>1.120428</v>
      </c>
      <c r="L3809">
        <v>213.34049999999999</v>
      </c>
      <c r="M3809">
        <v>0.99995909999999999</v>
      </c>
      <c r="N3809">
        <v>-4.8838290000000001E-3</v>
      </c>
      <c r="O3809">
        <v>7.6169860000000001E-3</v>
      </c>
      <c r="P3809">
        <v>0.98481019999999997</v>
      </c>
      <c r="Q3809">
        <v>0.1735023</v>
      </c>
      <c r="R3809">
        <v>-6.7788880000000003E-3</v>
      </c>
      <c r="S3809">
        <v>3.0994869999999999</v>
      </c>
      <c r="T3809">
        <v>-0.31767689999999998</v>
      </c>
      <c r="U3809">
        <v>-0.16056819999999999</v>
      </c>
      <c r="V3809">
        <v>1.422793E-2</v>
      </c>
      <c r="W3809">
        <v>0.17831379999999999</v>
      </c>
      <c r="X3809">
        <v>0.98387080000000005</v>
      </c>
      <c r="Y3809">
        <v>5.8981690000000003E-2</v>
      </c>
      <c r="Z3809">
        <v>-3.898318E-3</v>
      </c>
      <c r="AA3809">
        <v>0.99825140000000001</v>
      </c>
      <c r="AB3809">
        <v>38</v>
      </c>
      <c r="AC3809">
        <v>0.63170000000002302</v>
      </c>
      <c r="AD3809">
        <v>-0.10216599999999899</v>
      </c>
      <c r="AE3809">
        <v>-5.49999999999784E-2</v>
      </c>
      <c r="AF3809">
        <v>5.82967064055624E-2</v>
      </c>
      <c r="AG3809">
        <v>-0.10216599999999899</v>
      </c>
      <c r="AH3809">
        <v>0.61528957695229802</v>
      </c>
      <c r="AI3809">
        <v>99.386400974292599</v>
      </c>
      <c r="AJ3809">
        <v>84.587566493257498</v>
      </c>
      <c r="AK3809">
        <v>0.62643248721619904</v>
      </c>
      <c r="AL3809">
        <v>79.728441173618904</v>
      </c>
      <c r="AM3809">
        <v>89.171493329302905</v>
      </c>
      <c r="AN3809">
        <v>0.99999999817758201</v>
      </c>
    </row>
    <row r="3810" spans="1:40" x14ac:dyDescent="0.25">
      <c r="A3810" t="str">
        <f>"20190303170328754"</f>
        <v>20190303170328754</v>
      </c>
      <c r="B3810" t="str">
        <f>"1551603808748872"</f>
        <v>1551603808748872</v>
      </c>
      <c r="C3810" t="s">
        <v>40</v>
      </c>
      <c r="D3810">
        <v>4.1539890000000002</v>
      </c>
      <c r="E3810">
        <v>0.50858059999999905</v>
      </c>
      <c r="F3810" t="s">
        <v>63</v>
      </c>
      <c r="G3810">
        <v>-409.94380000000001</v>
      </c>
      <c r="H3810" s="1">
        <v>4.3662160000000002E-6</v>
      </c>
      <c r="I3810">
        <v>212.8081</v>
      </c>
      <c r="J3810">
        <v>-427.58300000000003</v>
      </c>
      <c r="K3810">
        <v>1.120447</v>
      </c>
      <c r="L3810">
        <v>213.3425</v>
      </c>
      <c r="M3810">
        <v>0.99995789999999996</v>
      </c>
      <c r="N3810">
        <v>-4.9017690000000003E-3</v>
      </c>
      <c r="O3810">
        <v>7.77743599999999E-3</v>
      </c>
      <c r="P3810">
        <v>0.9848112</v>
      </c>
      <c r="Q3810">
        <v>0.1735188</v>
      </c>
      <c r="R3810">
        <v>-6.1978149999999997E-3</v>
      </c>
      <c r="S3810">
        <v>3.0796199999999998</v>
      </c>
      <c r="T3810">
        <v>-0.19279180000000001</v>
      </c>
      <c r="U3810">
        <v>-9.1598509999999994E-2</v>
      </c>
      <c r="V3810">
        <v>1.379726E-2</v>
      </c>
      <c r="W3810">
        <v>0.17834800000000001</v>
      </c>
      <c r="X3810">
        <v>0.98387069999999999</v>
      </c>
      <c r="Y3810">
        <v>3.7411640000000003E-2</v>
      </c>
      <c r="Z3810">
        <v>-1.7096699999999999E-3</v>
      </c>
      <c r="AA3810">
        <v>0.99929849999999998</v>
      </c>
      <c r="AB3810">
        <v>39</v>
      </c>
      <c r="AC3810">
        <v>17.639199999999999</v>
      </c>
      <c r="AD3810">
        <v>-1.1204426337840001</v>
      </c>
      <c r="AE3810">
        <v>-0.53440000000000498</v>
      </c>
      <c r="AF3810">
        <v>0.668876905879221</v>
      </c>
      <c r="AG3810">
        <v>-1.1204426337840001</v>
      </c>
      <c r="AH3810">
        <v>17.563709201465599</v>
      </c>
      <c r="AI3810">
        <v>93.647489719122206</v>
      </c>
      <c r="AJ3810">
        <v>87.819064738319497</v>
      </c>
      <c r="AK3810">
        <v>17.612117105120198</v>
      </c>
      <c r="AL3810">
        <v>79.726449380414607</v>
      </c>
      <c r="AM3810">
        <v>89.196568256186893</v>
      </c>
      <c r="AN3810">
        <v>0.99999996390299795</v>
      </c>
    </row>
    <row r="3811" spans="1:40" x14ac:dyDescent="0.25">
      <c r="A3811" t="str">
        <f>"20190303170328776"</f>
        <v>20190303170328776</v>
      </c>
      <c r="B3811" t="str">
        <f>"1551603808768990"</f>
        <v>1551603808768990</v>
      </c>
      <c r="C3811" t="s">
        <v>40</v>
      </c>
      <c r="D3811">
        <v>4.167122</v>
      </c>
      <c r="E3811">
        <v>0.50499659999999902</v>
      </c>
      <c r="F3811" t="s">
        <v>63</v>
      </c>
      <c r="G3811">
        <v>-402.76029999999997</v>
      </c>
      <c r="H3811" s="1">
        <v>7.523167E-6</v>
      </c>
      <c r="I3811">
        <v>212.9468</v>
      </c>
      <c r="J3811">
        <v>-427.22219999999999</v>
      </c>
      <c r="K3811">
        <v>1.1204620000000001</v>
      </c>
      <c r="L3811">
        <v>213.34549999999999</v>
      </c>
      <c r="M3811">
        <v>0.99995579999999995</v>
      </c>
      <c r="N3811">
        <v>-4.9270609999999999E-3</v>
      </c>
      <c r="O3811">
        <v>8.0041650000000006E-3</v>
      </c>
      <c r="P3811">
        <v>0.98489269999999995</v>
      </c>
      <c r="Q3811">
        <v>0.17305400000000001</v>
      </c>
      <c r="R3811">
        <v>-6.236569E-3</v>
      </c>
      <c r="S3811">
        <v>3.0703429999999998</v>
      </c>
      <c r="T3811">
        <v>-0.13858819999999999</v>
      </c>
      <c r="U3811">
        <v>-4.8950199999999902E-2</v>
      </c>
      <c r="V3811">
        <v>1.405143E-2</v>
      </c>
      <c r="W3811">
        <v>0.17790929999999999</v>
      </c>
      <c r="X3811">
        <v>0.9839466</v>
      </c>
      <c r="Y3811">
        <v>2.3910150000000002E-2</v>
      </c>
      <c r="Z3811">
        <v>-9.1992549999999999E-4</v>
      </c>
      <c r="AA3811">
        <v>0.99971370000000004</v>
      </c>
      <c r="AB3811">
        <v>39</v>
      </c>
      <c r="AC3811">
        <v>24.4619</v>
      </c>
      <c r="AD3811">
        <v>-1.120454476833</v>
      </c>
      <c r="AE3811">
        <v>-0.39869999999999001</v>
      </c>
      <c r="AF3811">
        <v>0.59324239428624204</v>
      </c>
      <c r="AG3811">
        <v>-1.120454476833</v>
      </c>
      <c r="AH3811">
        <v>24.406733042520301</v>
      </c>
      <c r="AI3811">
        <v>92.627691091763694</v>
      </c>
      <c r="AJ3811">
        <v>88.607613979188898</v>
      </c>
      <c r="AK3811">
        <v>24.439639370945802</v>
      </c>
      <c r="AL3811">
        <v>79.751994316758498</v>
      </c>
      <c r="AM3811">
        <v>89.1818327208818</v>
      </c>
      <c r="AN3811">
        <v>1.00000003668154</v>
      </c>
    </row>
    <row r="3812" spans="1:40" x14ac:dyDescent="0.25">
      <c r="A3812" t="str">
        <f>"20190303170328798"</f>
        <v>20190303170328798</v>
      </c>
      <c r="B3812" t="str">
        <f>"1551603808789489"</f>
        <v>1551603808789489</v>
      </c>
      <c r="C3812" t="s">
        <v>40</v>
      </c>
      <c r="D3812">
        <v>4.1586869999999996</v>
      </c>
      <c r="E3812">
        <v>0.50254790000000005</v>
      </c>
      <c r="F3812" t="s">
        <v>62</v>
      </c>
      <c r="G3812">
        <v>-395.16050000000001</v>
      </c>
      <c r="H3812" s="1">
        <v>1.2093870000000001E-6</v>
      </c>
      <c r="I3812">
        <v>213.11109999999999</v>
      </c>
      <c r="J3812">
        <v>-426.83</v>
      </c>
      <c r="K3812">
        <v>1.1204809999999901</v>
      </c>
      <c r="L3812">
        <v>213.34880000000001</v>
      </c>
      <c r="M3812">
        <v>0.99995369999999995</v>
      </c>
      <c r="N3812">
        <v>-4.9614419999999999E-3</v>
      </c>
      <c r="O3812">
        <v>8.2508310000000001E-3</v>
      </c>
      <c r="P3812">
        <v>0.98501799999999995</v>
      </c>
      <c r="Q3812">
        <v>0.17234279999999999</v>
      </c>
      <c r="R3812">
        <v>-6.1460309999999997E-3</v>
      </c>
      <c r="S3812">
        <v>3.0647280000000001</v>
      </c>
      <c r="T3812">
        <v>-0.10710310000000001</v>
      </c>
      <c r="U3812">
        <v>-2.23999E-2</v>
      </c>
      <c r="V3812">
        <v>1.41972E-2</v>
      </c>
      <c r="W3812">
        <v>0.17723359999999999</v>
      </c>
      <c r="X3812">
        <v>0.98406640000000001</v>
      </c>
      <c r="Y3812">
        <v>1.554466E-2</v>
      </c>
      <c r="Z3812">
        <v>-5.5743429999999998E-4</v>
      </c>
      <c r="AA3812">
        <v>0.99987899999999996</v>
      </c>
      <c r="AB3812">
        <v>39</v>
      </c>
      <c r="AC3812">
        <v>31.6694999999999</v>
      </c>
      <c r="AD3812">
        <v>-1.12047979061299</v>
      </c>
      <c r="AE3812">
        <v>-0.23770000000001701</v>
      </c>
      <c r="AF3812">
        <v>0.49837099266867002</v>
      </c>
      <c r="AG3812">
        <v>-1.12047979061299</v>
      </c>
      <c r="AH3812">
        <v>31.626873297238301</v>
      </c>
      <c r="AI3812">
        <v>92.028779887572696</v>
      </c>
      <c r="AJ3812">
        <v>89.097217384042096</v>
      </c>
      <c r="AK3812">
        <v>31.6506392220927</v>
      </c>
      <c r="AL3812">
        <v>79.791333833469494</v>
      </c>
      <c r="AM3812">
        <v>89.173446820893105</v>
      </c>
      <c r="AN3812">
        <v>0.99999999453288002</v>
      </c>
    </row>
    <row r="3813" spans="1:40" x14ac:dyDescent="0.25">
      <c r="A3813" t="str">
        <f>"20190303170328820"</f>
        <v>20190303170328820</v>
      </c>
      <c r="B3813" t="str">
        <f>"1551603808809006"</f>
        <v>1551603808809006</v>
      </c>
      <c r="C3813" t="s">
        <v>40</v>
      </c>
      <c r="D3813">
        <v>4.1022559999999997</v>
      </c>
      <c r="E3813">
        <v>0.50137019999999999</v>
      </c>
      <c r="F3813" t="s">
        <v>62</v>
      </c>
      <c r="G3813">
        <v>-388.61040000000003</v>
      </c>
      <c r="H3813" s="1">
        <v>3.102879E-6</v>
      </c>
      <c r="I3813">
        <v>213.29750000000001</v>
      </c>
      <c r="J3813">
        <v>-426.4366</v>
      </c>
      <c r="K3813">
        <v>1.120503</v>
      </c>
      <c r="L3813">
        <v>213.35220000000001</v>
      </c>
      <c r="M3813">
        <v>0.99995140000000005</v>
      </c>
      <c r="N3813">
        <v>-5.0032180000000002E-3</v>
      </c>
      <c r="O3813">
        <v>8.498416E-3</v>
      </c>
      <c r="P3813">
        <v>0.98479859999999997</v>
      </c>
      <c r="Q3813">
        <v>0.17359659999999999</v>
      </c>
      <c r="R3813">
        <v>-5.9968130000000001E-3</v>
      </c>
      <c r="S3813">
        <v>3.0612490000000001</v>
      </c>
      <c r="T3813">
        <v>-8.9746240000000005E-2</v>
      </c>
      <c r="U3813">
        <v>-4.1046140000000004E-3</v>
      </c>
      <c r="V3813">
        <v>1.428273E-2</v>
      </c>
      <c r="W3813">
        <v>0.1785282</v>
      </c>
      <c r="X3813">
        <v>0.98383109999999996</v>
      </c>
      <c r="Y3813">
        <v>9.8318409999999992E-3</v>
      </c>
      <c r="Z3813">
        <v>-3.7526919999999997E-4</v>
      </c>
      <c r="AA3813">
        <v>0.99995160000000005</v>
      </c>
      <c r="AB3813">
        <v>39</v>
      </c>
      <c r="AC3813">
        <v>37.826199999999901</v>
      </c>
      <c r="AD3813">
        <v>-1.1204998971210001</v>
      </c>
      <c r="AE3813">
        <v>-5.46999999999968E-2</v>
      </c>
      <c r="AF3813">
        <v>0.37583503439924199</v>
      </c>
      <c r="AG3813">
        <v>-1.1204998971210001</v>
      </c>
      <c r="AH3813">
        <v>37.791208074591999</v>
      </c>
      <c r="AI3813">
        <v>91.698224099526996</v>
      </c>
      <c r="AJ3813">
        <v>89.430210028209203</v>
      </c>
      <c r="AK3813">
        <v>37.809683676667298</v>
      </c>
      <c r="AL3813">
        <v>79.715956382650702</v>
      </c>
      <c r="AM3813">
        <v>89.168269161266906</v>
      </c>
      <c r="AN3813">
        <v>0.99999997394935103</v>
      </c>
    </row>
    <row r="3814" spans="1:40" x14ac:dyDescent="0.25">
      <c r="A3814" t="str">
        <f>"20190303170328841"</f>
        <v>20190303170328841</v>
      </c>
      <c r="B3814" t="str">
        <f>"1551603808829503"</f>
        <v>1551603808829503</v>
      </c>
      <c r="C3814" t="s">
        <v>40</v>
      </c>
      <c r="D3814">
        <v>4.2531109999999996</v>
      </c>
      <c r="E3814">
        <v>0.50042559999999903</v>
      </c>
      <c r="F3814" t="s">
        <v>62</v>
      </c>
      <c r="G3814">
        <v>-381.6481</v>
      </c>
      <c r="H3814" s="1">
        <v>-6.072228E-7</v>
      </c>
      <c r="I3814">
        <v>213.41460000000001</v>
      </c>
      <c r="J3814">
        <v>-426.08199999999999</v>
      </c>
      <c r="K3814">
        <v>1.1205259999999999</v>
      </c>
      <c r="L3814">
        <v>213.3554</v>
      </c>
      <c r="M3814">
        <v>0.99994930000000004</v>
      </c>
      <c r="N3814">
        <v>-5.0478470000000003E-3</v>
      </c>
      <c r="O3814">
        <v>8.7211210000000001E-3</v>
      </c>
      <c r="P3814">
        <v>0.98447169999999895</v>
      </c>
      <c r="Q3814">
        <v>0.1754513</v>
      </c>
      <c r="R3814">
        <v>-5.7287980000000002E-3</v>
      </c>
      <c r="S3814">
        <v>3.0598139999999998</v>
      </c>
      <c r="T3814">
        <v>-7.6549409999999998E-2</v>
      </c>
      <c r="U3814">
        <v>4.2572019999999999E-3</v>
      </c>
      <c r="V3814">
        <v>1.422498E-2</v>
      </c>
      <c r="W3814">
        <v>0.18042520000000001</v>
      </c>
      <c r="X3814">
        <v>0.98348579999999997</v>
      </c>
      <c r="Y3814">
        <v>7.3254590000000003E-3</v>
      </c>
      <c r="Z3814">
        <v>-2.842384E-4</v>
      </c>
      <c r="AA3814">
        <v>0.99997309999999995</v>
      </c>
      <c r="AB3814">
        <v>39</v>
      </c>
      <c r="AC3814">
        <v>44.433900000000001</v>
      </c>
      <c r="AD3814">
        <v>-1.1205266072228</v>
      </c>
      <c r="AE3814">
        <v>5.9200000000004097E-2</v>
      </c>
      <c r="AF3814">
        <v>0.32811192079795698</v>
      </c>
      <c r="AG3814">
        <v>-1.1205266072228</v>
      </c>
      <c r="AH3814">
        <v>44.404487949366498</v>
      </c>
      <c r="AI3814">
        <v>91.445486135637694</v>
      </c>
      <c r="AJ3814">
        <v>89.576639952372304</v>
      </c>
      <c r="AK3814">
        <v>44.419835516979397</v>
      </c>
      <c r="AL3814">
        <v>79.605472113005405</v>
      </c>
      <c r="AM3814">
        <v>89.171340868138799</v>
      </c>
      <c r="AN3814">
        <v>0.99999996082633902</v>
      </c>
    </row>
    <row r="3815" spans="1:40" x14ac:dyDescent="0.25">
      <c r="A3815" t="str">
        <f>"20190303170328863"</f>
        <v>20190303170328863</v>
      </c>
      <c r="B3815" t="str">
        <f>"1551603808849022"</f>
        <v>1551603808849022</v>
      </c>
      <c r="C3815" t="s">
        <v>40</v>
      </c>
      <c r="D3815">
        <v>4.0970610000000001</v>
      </c>
      <c r="E3815">
        <v>0.49990230000000002</v>
      </c>
      <c r="F3815" t="s">
        <v>62</v>
      </c>
      <c r="G3815">
        <v>-373.05169999999998</v>
      </c>
      <c r="H3815" s="1">
        <v>8.7148350000000006E-8</v>
      </c>
      <c r="I3815">
        <v>213.55860000000001</v>
      </c>
      <c r="J3815">
        <v>-425.69569999999999</v>
      </c>
      <c r="K3815">
        <v>1.120549</v>
      </c>
      <c r="L3815">
        <v>213.35900000000001</v>
      </c>
      <c r="M3815">
        <v>0.99994680000000002</v>
      </c>
      <c r="N3815">
        <v>-5.1094850000000004E-3</v>
      </c>
      <c r="O3815">
        <v>8.9639260000000005E-3</v>
      </c>
      <c r="P3815">
        <v>0.98443449999999999</v>
      </c>
      <c r="Q3815">
        <v>0.17567929999999901</v>
      </c>
      <c r="R3815">
        <v>-5.0162080000000003E-3</v>
      </c>
      <c r="S3815">
        <v>3.0588679999999999</v>
      </c>
      <c r="T3815">
        <v>-6.4633609999999994E-2</v>
      </c>
      <c r="U3815">
        <v>1.171875E-2</v>
      </c>
      <c r="V3815">
        <v>1.374652E-2</v>
      </c>
      <c r="W3815">
        <v>0.18071409999999999</v>
      </c>
      <c r="X3815">
        <v>0.98343959999999997</v>
      </c>
      <c r="Y3815">
        <v>5.1305140000000001E-3</v>
      </c>
      <c r="Z3815">
        <v>-2.1089089999999999E-4</v>
      </c>
      <c r="AA3815">
        <v>0.99998679999999995</v>
      </c>
      <c r="AB3815">
        <v>39</v>
      </c>
      <c r="AC3815">
        <v>52.643999999999998</v>
      </c>
      <c r="AD3815">
        <v>-1.1205489128516499</v>
      </c>
      <c r="AE3815">
        <v>0.199600000000003</v>
      </c>
      <c r="AF3815">
        <v>0.272187767352568</v>
      </c>
      <c r="AG3815">
        <v>-1.1205489128516499</v>
      </c>
      <c r="AH3815">
        <v>52.6198340538172</v>
      </c>
      <c r="AI3815">
        <v>91.219923318304197</v>
      </c>
      <c r="AJ3815">
        <v>89.703627510555705</v>
      </c>
      <c r="AK3815">
        <v>52.632467659212502</v>
      </c>
      <c r="AL3815">
        <v>79.588643133719998</v>
      </c>
      <c r="AM3815">
        <v>89.199171673674101</v>
      </c>
      <c r="AN3815">
        <v>0.99999999979954002</v>
      </c>
    </row>
    <row r="3816" spans="1:40" x14ac:dyDescent="0.25">
      <c r="A3816" t="str">
        <f>"20190303170328886"</f>
        <v>20190303170328886</v>
      </c>
      <c r="B3816" t="str">
        <f>"1551603808879034"</f>
        <v>1551603808879034</v>
      </c>
      <c r="C3816" t="s">
        <v>40</v>
      </c>
      <c r="D3816">
        <v>4.1834449999999999</v>
      </c>
      <c r="E3816">
        <v>0.4992414</v>
      </c>
      <c r="F3816" t="s">
        <v>62</v>
      </c>
      <c r="G3816">
        <v>-367.89030000000002</v>
      </c>
      <c r="H3816" s="1">
        <v>2.6620219999999999E-6</v>
      </c>
      <c r="I3816">
        <v>213.6944</v>
      </c>
      <c r="J3816">
        <v>-425.28809999999999</v>
      </c>
      <c r="K3816">
        <v>1.1205689999999999</v>
      </c>
      <c r="L3816">
        <v>213.36279999999999</v>
      </c>
      <c r="M3816">
        <v>0.99994400000000006</v>
      </c>
      <c r="N3816">
        <v>-5.193395E-3</v>
      </c>
      <c r="O3816">
        <v>9.2203779999999996E-3</v>
      </c>
      <c r="P3816">
        <v>0.98467680000000002</v>
      </c>
      <c r="Q3816">
        <v>0.1743526</v>
      </c>
      <c r="R3816">
        <v>-3.558439E-3</v>
      </c>
      <c r="S3816">
        <v>3.0581360000000002</v>
      </c>
      <c r="T3816">
        <v>-5.9281349999999997E-2</v>
      </c>
      <c r="U3816">
        <v>1.774597E-2</v>
      </c>
      <c r="V3816">
        <v>1.2539949999999999E-2</v>
      </c>
      <c r="W3816">
        <v>0.17947070000000001</v>
      </c>
      <c r="X3816">
        <v>0.98368339999999999</v>
      </c>
      <c r="Y3816">
        <v>3.4160800000000002E-3</v>
      </c>
      <c r="Z3816">
        <v>-1.728097E-4</v>
      </c>
      <c r="AA3816">
        <v>0.99999420000000006</v>
      </c>
      <c r="AB3816">
        <v>39</v>
      </c>
      <c r="AC3816">
        <v>57.397799999999897</v>
      </c>
      <c r="AD3816">
        <v>-1.120566337978</v>
      </c>
      <c r="AE3816">
        <v>0.331600000000008</v>
      </c>
      <c r="AF3816">
        <v>0.197575347065719</v>
      </c>
      <c r="AG3816">
        <v>-1.120566337978</v>
      </c>
      <c r="AH3816">
        <v>57.376549778867002</v>
      </c>
      <c r="AI3816">
        <v>91.118840023126793</v>
      </c>
      <c r="AJ3816">
        <v>89.802703564033393</v>
      </c>
      <c r="AK3816">
        <v>57.387831196712597</v>
      </c>
      <c r="AL3816">
        <v>79.661068969243402</v>
      </c>
      <c r="AM3816">
        <v>89.269635643310707</v>
      </c>
      <c r="AN3816">
        <v>1.0000000069700199</v>
      </c>
    </row>
    <row r="3817" spans="1:40" x14ac:dyDescent="0.25">
      <c r="A3817" t="str">
        <f>"20190303170328909"</f>
        <v>20190303170328909</v>
      </c>
      <c r="B3817" t="str">
        <f>"1551603808899530"</f>
        <v>1551603808899530</v>
      </c>
      <c r="C3817" t="s">
        <v>40</v>
      </c>
      <c r="D3817">
        <v>4.0929779999999996</v>
      </c>
      <c r="E3817">
        <v>0.49884919999999999</v>
      </c>
      <c r="F3817" t="s">
        <v>62</v>
      </c>
      <c r="G3817">
        <v>-365.70429999999999</v>
      </c>
      <c r="H3817" s="1">
        <v>1.4987290000000001E-6</v>
      </c>
      <c r="I3817">
        <v>213.88839999999999</v>
      </c>
      <c r="J3817">
        <v>-424.8845</v>
      </c>
      <c r="K3817">
        <v>1.1205860000000001</v>
      </c>
      <c r="L3817">
        <v>213.36680000000001</v>
      </c>
      <c r="M3817">
        <v>0.99994130000000003</v>
      </c>
      <c r="N3817">
        <v>-5.2911109999999898E-3</v>
      </c>
      <c r="O3817">
        <v>9.4748769999999996E-3</v>
      </c>
      <c r="P3817">
        <v>0.98489749999999998</v>
      </c>
      <c r="Q3817">
        <v>0.17312089999999999</v>
      </c>
      <c r="R3817">
        <v>-2.5454309999999999E-3</v>
      </c>
      <c r="S3817">
        <v>3.0569459999999999</v>
      </c>
      <c r="T3817">
        <v>-5.7490590000000001E-2</v>
      </c>
      <c r="U3817">
        <v>2.6962280000000002E-2</v>
      </c>
      <c r="V3817">
        <v>1.177715E-2</v>
      </c>
      <c r="W3817">
        <v>0.178336299999999</v>
      </c>
      <c r="X3817">
        <v>0.98389910000000003</v>
      </c>
      <c r="Y3817">
        <v>6.5435850000000002E-4</v>
      </c>
      <c r="Z3817">
        <v>-1.3592049999999999E-4</v>
      </c>
      <c r="AA3817">
        <v>0.99999979999999999</v>
      </c>
      <c r="AB3817">
        <v>39</v>
      </c>
      <c r="AC3817">
        <v>59.180199999999999</v>
      </c>
      <c r="AD3817">
        <v>-1.1205845012710001</v>
      </c>
      <c r="AE3817">
        <v>0.52159999999997797</v>
      </c>
      <c r="AF3817">
        <v>3.9142241642265298E-2</v>
      </c>
      <c r="AG3817">
        <v>-1.1205845012710001</v>
      </c>
      <c r="AH3817">
        <v>59.161275655180297</v>
      </c>
      <c r="AI3817">
        <v>91.085119805001597</v>
      </c>
      <c r="AJ3817">
        <v>89.962092012136196</v>
      </c>
      <c r="AK3817">
        <v>59.171900247396202</v>
      </c>
      <c r="AL3817">
        <v>79.727130913980901</v>
      </c>
      <c r="AM3817">
        <v>89.314209388555099</v>
      </c>
      <c r="AN3817">
        <v>0.99999998807031099</v>
      </c>
    </row>
    <row r="3818" spans="1:40" x14ac:dyDescent="0.25">
      <c r="A3818" t="str">
        <f>"20190303170328930"</f>
        <v>20190303170328930</v>
      </c>
      <c r="B3818" t="str">
        <f>"1551603808919052"</f>
        <v>1551603808919052</v>
      </c>
      <c r="C3818" t="s">
        <v>40</v>
      </c>
      <c r="D3818">
        <v>4.1390710000000004</v>
      </c>
      <c r="E3818">
        <v>0.49865330000000002</v>
      </c>
      <c r="F3818" t="s">
        <v>62</v>
      </c>
      <c r="G3818">
        <v>-365.71640000000002</v>
      </c>
      <c r="H3818" s="1">
        <v>1.5051929999999901E-6</v>
      </c>
      <c r="I3818">
        <v>213.99690000000001</v>
      </c>
      <c r="J3818">
        <v>-424.49869999999999</v>
      </c>
      <c r="K3818">
        <v>1.120603</v>
      </c>
      <c r="L3818">
        <v>213.3706</v>
      </c>
      <c r="M3818">
        <v>0.99993829999999995</v>
      </c>
      <c r="N3818">
        <v>-5.3912090000000001E-3</v>
      </c>
      <c r="O3818">
        <v>9.7189870000000001E-3</v>
      </c>
      <c r="P3818">
        <v>0.98489570000000004</v>
      </c>
      <c r="Q3818">
        <v>0.1731394</v>
      </c>
      <c r="R3818">
        <v>-1.8774830000000001E-3</v>
      </c>
      <c r="S3818">
        <v>3.056244</v>
      </c>
      <c r="T3818">
        <v>-5.788219E-2</v>
      </c>
      <c r="U3818">
        <v>3.2547E-2</v>
      </c>
      <c r="V3818">
        <v>1.1347019999999999E-2</v>
      </c>
      <c r="W3818">
        <v>0.1784531</v>
      </c>
      <c r="X3818">
        <v>0.98388299999999995</v>
      </c>
      <c r="Y3818">
        <v>-9.3033999999999999E-4</v>
      </c>
      <c r="Z3818">
        <v>-1.203307E-4</v>
      </c>
      <c r="AA3818">
        <v>0.99999959999999999</v>
      </c>
      <c r="AB3818">
        <v>39</v>
      </c>
      <c r="AC3818">
        <v>58.7822999999999</v>
      </c>
      <c r="AD3818">
        <v>-1.120601494807</v>
      </c>
      <c r="AE3818">
        <v>0.62630000000001396</v>
      </c>
      <c r="AF3818">
        <v>-5.4937779694062501E-2</v>
      </c>
      <c r="AG3818">
        <v>-1.120601494807</v>
      </c>
      <c r="AH3818">
        <v>58.764256990746397</v>
      </c>
      <c r="AI3818">
        <v>91.092465563903104</v>
      </c>
      <c r="AJ3818">
        <v>90.053564907589006</v>
      </c>
      <c r="AK3818">
        <v>58.774966316828198</v>
      </c>
      <c r="AL3818">
        <v>79.720329903543899</v>
      </c>
      <c r="AM3818">
        <v>89.339243046201702</v>
      </c>
      <c r="AN3818">
        <v>1.0000000107257401</v>
      </c>
    </row>
    <row r="3819" spans="1:40" x14ac:dyDescent="0.25">
      <c r="A3819" t="str">
        <f>"20190303170328954"</f>
        <v>20190303170328954</v>
      </c>
      <c r="B3819" t="str">
        <f>"1551603808939546"</f>
        <v>1551603808939546</v>
      </c>
      <c r="C3819" t="s">
        <v>40</v>
      </c>
      <c r="D3819">
        <v>4.1943789999999996</v>
      </c>
      <c r="E3819">
        <v>0.49846279999999998</v>
      </c>
      <c r="F3819" t="s">
        <v>62</v>
      </c>
      <c r="G3819">
        <v>-363.13040000000001</v>
      </c>
      <c r="H3819" s="1">
        <v>1.290545E-7</v>
      </c>
      <c r="I3819">
        <v>214.07480000000001</v>
      </c>
      <c r="J3819">
        <v>-424.09530000000001</v>
      </c>
      <c r="K3819">
        <v>1.1206199999999999</v>
      </c>
      <c r="L3819">
        <v>213.37469999999999</v>
      </c>
      <c r="M3819">
        <v>0.99993520000000002</v>
      </c>
      <c r="N3819">
        <v>-5.4981409999999998E-3</v>
      </c>
      <c r="O3819">
        <v>9.9747529999999994E-3</v>
      </c>
      <c r="P3819">
        <v>0.98473750000000004</v>
      </c>
      <c r="Q3819">
        <v>0.174043</v>
      </c>
      <c r="R3819">
        <v>-1.108824E-3</v>
      </c>
      <c r="S3819">
        <v>3.055847</v>
      </c>
      <c r="T3819">
        <v>-5.5800679999999998E-2</v>
      </c>
      <c r="U3819">
        <v>3.5064699999999997E-2</v>
      </c>
      <c r="V3819">
        <v>1.082609E-2</v>
      </c>
      <c r="W3819">
        <v>0.1794608</v>
      </c>
      <c r="X3819">
        <v>0.98370550000000001</v>
      </c>
      <c r="Y3819">
        <v>-1.499539E-3</v>
      </c>
      <c r="Z3819">
        <v>-1.094641E-4</v>
      </c>
      <c r="AA3819">
        <v>0.99999890000000002</v>
      </c>
      <c r="AB3819">
        <v>40</v>
      </c>
      <c r="AC3819">
        <v>60.9649</v>
      </c>
      <c r="AD3819">
        <v>-1.1206198709455</v>
      </c>
      <c r="AE3819">
        <v>0.70010000000002004</v>
      </c>
      <c r="AF3819">
        <v>-9.19151463599924E-2</v>
      </c>
      <c r="AG3819">
        <v>-1.1206198709455</v>
      </c>
      <c r="AH3819">
        <v>60.948260172019403</v>
      </c>
      <c r="AI3819">
        <v>91.053343968938705</v>
      </c>
      <c r="AJ3819">
        <v>90.086406830193994</v>
      </c>
      <c r="AK3819">
        <v>60.958630687421497</v>
      </c>
      <c r="AL3819">
        <v>79.6616449304165</v>
      </c>
      <c r="AM3819">
        <v>89.369461465383196</v>
      </c>
      <c r="AN3819">
        <v>0.99999994684578697</v>
      </c>
    </row>
    <row r="3820" spans="1:40" x14ac:dyDescent="0.25">
      <c r="A3820" t="str">
        <f>"20190303170328978"</f>
        <v>20190303170328978</v>
      </c>
      <c r="B3820" t="str">
        <f>"1551603808969503"</f>
        <v>1551603808969503</v>
      </c>
      <c r="C3820" t="s">
        <v>40</v>
      </c>
      <c r="D3820">
        <v>4.176304</v>
      </c>
      <c r="E3820">
        <v>0.49821349999999998</v>
      </c>
      <c r="F3820" t="s">
        <v>62</v>
      </c>
      <c r="G3820">
        <v>-358.22160000000002</v>
      </c>
      <c r="H3820" s="1">
        <v>2.8568980000000001E-6</v>
      </c>
      <c r="I3820">
        <v>214.19110000000001</v>
      </c>
      <c r="J3820">
        <v>-423.67899999999997</v>
      </c>
      <c r="K3820">
        <v>1.1206430000000001</v>
      </c>
      <c r="L3820">
        <v>213.37899999999999</v>
      </c>
      <c r="M3820">
        <v>0.99993180000000004</v>
      </c>
      <c r="N3820">
        <v>-5.6148530000000004E-3</v>
      </c>
      <c r="O3820">
        <v>1.0241159999999999E-2</v>
      </c>
      <c r="P3820">
        <v>0.98470619999999998</v>
      </c>
      <c r="Q3820">
        <v>0.1742233</v>
      </c>
      <c r="R3820">
        <v>-4.4049969999999998E-4</v>
      </c>
      <c r="S3820">
        <v>3.0557249999999998</v>
      </c>
      <c r="T3820">
        <v>-5.1982760000000003E-2</v>
      </c>
      <c r="U3820">
        <v>3.7872309999999999E-2</v>
      </c>
      <c r="V3820">
        <v>1.04175E-2</v>
      </c>
      <c r="W3820">
        <v>0.1797559</v>
      </c>
      <c r="X3820">
        <v>0.98365610000000003</v>
      </c>
      <c r="Y3820">
        <v>-2.1520039999999999E-3</v>
      </c>
      <c r="Z3820" s="1">
        <v>-9.2349469999999999E-5</v>
      </c>
      <c r="AA3820">
        <v>0.99999769999999999</v>
      </c>
      <c r="AB3820">
        <v>40</v>
      </c>
      <c r="AC3820">
        <v>65.457400000000007</v>
      </c>
      <c r="AD3820">
        <v>-1.1206401431020001</v>
      </c>
      <c r="AE3820">
        <v>0.81209999999998606</v>
      </c>
      <c r="AF3820">
        <v>-0.14164563092471</v>
      </c>
      <c r="AG3820">
        <v>-1.1206401431020001</v>
      </c>
      <c r="AH3820">
        <v>65.443105768874105</v>
      </c>
      <c r="AI3820">
        <v>90.981028096193</v>
      </c>
      <c r="AJ3820">
        <v>90.124011293015997</v>
      </c>
      <c r="AK3820">
        <v>65.452853188315103</v>
      </c>
      <c r="AL3820">
        <v>79.644458163968594</v>
      </c>
      <c r="AM3820">
        <v>89.393226485205702</v>
      </c>
      <c r="AN3820">
        <v>1.00000001547913</v>
      </c>
    </row>
    <row r="3821" spans="1:40" x14ac:dyDescent="0.25">
      <c r="A3821" t="str">
        <f>"20190303170328999"</f>
        <v>20190303170328999</v>
      </c>
      <c r="B3821" t="str">
        <f>"1551603808989999"</f>
        <v>1551603808989999</v>
      </c>
      <c r="C3821" t="s">
        <v>40</v>
      </c>
      <c r="D3821">
        <v>4.1501830000000002</v>
      </c>
      <c r="E3821">
        <v>0.49805880000000002</v>
      </c>
      <c r="F3821" t="s">
        <v>62</v>
      </c>
      <c r="G3821">
        <v>-352.4676</v>
      </c>
      <c r="H3821" s="1">
        <v>-2.1162140000000001E-7</v>
      </c>
      <c r="I3821">
        <v>214.34039999999999</v>
      </c>
      <c r="J3821">
        <v>-423.27730000000003</v>
      </c>
      <c r="K3821">
        <v>1.1206689999999999</v>
      </c>
      <c r="L3821">
        <v>213.38339999999999</v>
      </c>
      <c r="M3821">
        <v>0.99992840000000005</v>
      </c>
      <c r="N3821">
        <v>-5.7336389999999996E-3</v>
      </c>
      <c r="O3821">
        <v>1.0511100000000001E-2</v>
      </c>
      <c r="P3821">
        <v>0.9849234</v>
      </c>
      <c r="Q3821">
        <v>0.1729878</v>
      </c>
      <c r="R3821">
        <v>1.183089E-3</v>
      </c>
      <c r="S3821">
        <v>3.0550839999999999</v>
      </c>
      <c r="T3821">
        <v>-4.8077340000000003E-2</v>
      </c>
      <c r="U3821">
        <v>4.1244509999999998E-2</v>
      </c>
      <c r="V3821">
        <v>9.058656E-3</v>
      </c>
      <c r="W3821">
        <v>0.1786375</v>
      </c>
      <c r="X3821">
        <v>0.9838732</v>
      </c>
      <c r="Y3821">
        <v>-2.9880190000000002E-3</v>
      </c>
      <c r="Z3821" s="1">
        <v>-7.3048520000000005E-5</v>
      </c>
      <c r="AA3821">
        <v>0.99999550000000004</v>
      </c>
      <c r="AB3821">
        <v>40</v>
      </c>
      <c r="AC3821">
        <v>70.809700000000007</v>
      </c>
      <c r="AD3821">
        <v>-1.1206692116213901</v>
      </c>
      <c r="AE3821">
        <v>0.95699999999999297</v>
      </c>
      <c r="AF3821">
        <v>-0.21259387883900599</v>
      </c>
      <c r="AG3821">
        <v>-1.1206692116213901</v>
      </c>
      <c r="AH3821">
        <v>70.798117285749299</v>
      </c>
      <c r="AI3821">
        <v>90.906859774355993</v>
      </c>
      <c r="AJ3821">
        <v>90.172048295407905</v>
      </c>
      <c r="AK3821">
        <v>70.807305462402098</v>
      </c>
      <c r="AL3821">
        <v>79.709591335145106</v>
      </c>
      <c r="AM3821">
        <v>89.472484775970798</v>
      </c>
      <c r="AN3821">
        <v>0.99999994466650599</v>
      </c>
    </row>
    <row r="3822" spans="1:40" x14ac:dyDescent="0.25">
      <c r="A3822" t="str">
        <f>"20190303170329021"</f>
        <v>20190303170329021</v>
      </c>
      <c r="B3822" t="str">
        <f>"1551603809009518"</f>
        <v>1551603809009518</v>
      </c>
      <c r="C3822" t="s">
        <v>40</v>
      </c>
      <c r="D3822">
        <v>4.1933809999999996</v>
      </c>
      <c r="E3822">
        <v>0.49796279999999998</v>
      </c>
      <c r="F3822" t="s">
        <v>62</v>
      </c>
      <c r="G3822">
        <v>-355.16820000000001</v>
      </c>
      <c r="H3822" s="1">
        <v>1.2213019999999999E-6</v>
      </c>
      <c r="I3822">
        <v>214.43770000000001</v>
      </c>
      <c r="J3822">
        <v>-422.88959999999997</v>
      </c>
      <c r="K3822">
        <v>1.120681</v>
      </c>
      <c r="L3822">
        <v>213.3877</v>
      </c>
      <c r="M3822">
        <v>0.99992479999999995</v>
      </c>
      <c r="N3822">
        <v>-5.8504759999999899E-3</v>
      </c>
      <c r="O3822">
        <v>1.0786540000000001E-2</v>
      </c>
      <c r="P3822">
        <v>0.98506340000000003</v>
      </c>
      <c r="Q3822">
        <v>0.17218049999999999</v>
      </c>
      <c r="R3822">
        <v>2.0004990000000002E-3</v>
      </c>
      <c r="S3822">
        <v>3.0547179999999998</v>
      </c>
      <c r="T3822">
        <v>-5.026245E-2</v>
      </c>
      <c r="U3822">
        <v>4.7286990000000001E-2</v>
      </c>
      <c r="V3822">
        <v>8.5092209999999904E-3</v>
      </c>
      <c r="W3822">
        <v>0.1779464</v>
      </c>
      <c r="X3822">
        <v>0.98400339999999997</v>
      </c>
      <c r="Y3822">
        <v>-4.6915430000000003E-3</v>
      </c>
      <c r="Z3822" s="1">
        <v>-6.2032019999999898E-5</v>
      </c>
      <c r="AA3822">
        <v>0.99998900000000002</v>
      </c>
      <c r="AB3822">
        <v>40</v>
      </c>
      <c r="AC3822">
        <v>67.721399999999903</v>
      </c>
      <c r="AD3822">
        <v>-1.1206797786980001</v>
      </c>
      <c r="AE3822">
        <v>1.05000000000001</v>
      </c>
      <c r="AF3822">
        <v>-0.31935945259985399</v>
      </c>
      <c r="AG3822">
        <v>-1.1206797786980001</v>
      </c>
      <c r="AH3822">
        <v>67.710248207659703</v>
      </c>
      <c r="AI3822">
        <v>90.948211636110997</v>
      </c>
      <c r="AJ3822">
        <v>90.270236981590401</v>
      </c>
      <c r="AK3822">
        <v>67.720274851548197</v>
      </c>
      <c r="AL3822">
        <v>79.749833895262697</v>
      </c>
      <c r="AM3822">
        <v>89.5045440920685</v>
      </c>
      <c r="AN3822">
        <v>1.00000000966327</v>
      </c>
    </row>
    <row r="3823" spans="1:40" x14ac:dyDescent="0.25">
      <c r="A3823" t="str">
        <f>"20190303170329043"</f>
        <v>20190303170329043</v>
      </c>
      <c r="B3823" t="str">
        <f>"1551603809029039"</f>
        <v>1551603809029039</v>
      </c>
      <c r="C3823" t="s">
        <v>40</v>
      </c>
      <c r="D3823">
        <v>4.2422570000000004</v>
      </c>
      <c r="E3823">
        <v>0.49784109999999998</v>
      </c>
      <c r="F3823" t="s">
        <v>62</v>
      </c>
      <c r="G3823">
        <v>-356.84519999999998</v>
      </c>
      <c r="H3823" s="1">
        <v>2.1118770000000001E-6</v>
      </c>
      <c r="I3823">
        <v>214.4794</v>
      </c>
      <c r="J3823">
        <v>-422.48899999999998</v>
      </c>
      <c r="K3823">
        <v>1.120706</v>
      </c>
      <c r="L3823">
        <v>213.3922</v>
      </c>
      <c r="M3823">
        <v>0.9999207</v>
      </c>
      <c r="N3823">
        <v>-5.9814229999999996E-3</v>
      </c>
      <c r="O3823">
        <v>1.1094649999999999E-2</v>
      </c>
      <c r="P3823">
        <v>0.98503209999999997</v>
      </c>
      <c r="Q3823">
        <v>0.17235629999999999</v>
      </c>
      <c r="R3823">
        <v>2.3086809999999999E-3</v>
      </c>
      <c r="S3823">
        <v>3.054443</v>
      </c>
      <c r="T3823">
        <v>-5.182958E-2</v>
      </c>
      <c r="U3823">
        <v>5.0491330000000001E-2</v>
      </c>
      <c r="V3823">
        <v>8.4956440000000001E-3</v>
      </c>
      <c r="W3823">
        <v>0.17825089999999999</v>
      </c>
      <c r="X3823">
        <v>0.98394839999999995</v>
      </c>
      <c r="Y3823">
        <v>-5.4334589999999999E-3</v>
      </c>
      <c r="Z3823" s="1">
        <v>-5.9524249999999998E-5</v>
      </c>
      <c r="AA3823">
        <v>0.99998520000000002</v>
      </c>
      <c r="AB3823">
        <v>40</v>
      </c>
      <c r="AC3823">
        <v>65.643799999999999</v>
      </c>
      <c r="AD3823">
        <v>-1.120703888123</v>
      </c>
      <c r="AE3823">
        <v>1.08719999999999</v>
      </c>
      <c r="AF3823">
        <v>-0.35872064126744502</v>
      </c>
      <c r="AG3823">
        <v>-1.120703888123</v>
      </c>
      <c r="AH3823">
        <v>65.632697223902497</v>
      </c>
      <c r="AI3823">
        <v>90.978238091632093</v>
      </c>
      <c r="AJ3823">
        <v>90.313151447118102</v>
      </c>
      <c r="AK3823">
        <v>65.643244912083503</v>
      </c>
      <c r="AL3823">
        <v>79.732103842329707</v>
      </c>
      <c r="AM3823">
        <v>89.505306934917598</v>
      </c>
      <c r="AN3823">
        <v>1.00000000659017</v>
      </c>
    </row>
    <row r="3824" spans="1:40" x14ac:dyDescent="0.25">
      <c r="A3824" t="str">
        <f>"20190303170329065"</f>
        <v>20190303170329065</v>
      </c>
      <c r="B3824" t="str">
        <f>"1551603809059295"</f>
        <v>1551603809059295</v>
      </c>
      <c r="C3824" t="s">
        <v>40</v>
      </c>
      <c r="D3824">
        <v>4.2206400000000004</v>
      </c>
      <c r="E3824">
        <v>0.49771680000000001</v>
      </c>
      <c r="F3824" t="s">
        <v>62</v>
      </c>
      <c r="G3824">
        <v>-354.50549999999998</v>
      </c>
      <c r="H3824" s="1">
        <v>8.6362080000000004E-7</v>
      </c>
      <c r="I3824">
        <v>214.5521</v>
      </c>
      <c r="J3824">
        <v>-422.09589999999997</v>
      </c>
      <c r="K3824">
        <v>1.120757</v>
      </c>
      <c r="L3824">
        <v>213.39689999999999</v>
      </c>
      <c r="M3824">
        <v>0.99991600000000003</v>
      </c>
      <c r="N3824">
        <v>-6.1294729999999999E-3</v>
      </c>
      <c r="O3824">
        <v>1.1429699999999999E-2</v>
      </c>
      <c r="P3824">
        <v>0.98496159999999999</v>
      </c>
      <c r="Q3824">
        <v>0.1727629</v>
      </c>
      <c r="R3824">
        <v>2.0180010000000002E-3</v>
      </c>
      <c r="S3824">
        <v>3.0542910000000001</v>
      </c>
      <c r="T3824">
        <v>-5.0349829999999998E-2</v>
      </c>
      <c r="U3824">
        <v>5.2108759999999997E-2</v>
      </c>
      <c r="V3824">
        <v>9.1034940000000002E-3</v>
      </c>
      <c r="W3824">
        <v>0.17880360000000001</v>
      </c>
      <c r="X3824">
        <v>0.98384269999999996</v>
      </c>
      <c r="Y3824">
        <v>-5.6285600000000003E-3</v>
      </c>
      <c r="Z3824" s="1">
        <v>-5.4690559999999998E-5</v>
      </c>
      <c r="AA3824">
        <v>0.99998410000000004</v>
      </c>
      <c r="AB3824">
        <v>40</v>
      </c>
      <c r="AC3824">
        <v>67.590399999999903</v>
      </c>
      <c r="AD3824">
        <v>-1.1207561363792</v>
      </c>
      <c r="AE3824">
        <v>1.1552</v>
      </c>
      <c r="AF3824">
        <v>-0.382466985634552</v>
      </c>
      <c r="AG3824">
        <v>-1.1207561363792</v>
      </c>
      <c r="AH3824">
        <v>67.580612789276998</v>
      </c>
      <c r="AI3824">
        <v>90.950090266855099</v>
      </c>
      <c r="AJ3824">
        <v>90.324257345730004</v>
      </c>
      <c r="AK3824">
        <v>67.590987567030894</v>
      </c>
      <c r="AL3824">
        <v>79.699919661198606</v>
      </c>
      <c r="AM3824">
        <v>89.469857427501196</v>
      </c>
      <c r="AN3824">
        <v>1.0000000296596201</v>
      </c>
    </row>
    <row r="3825" spans="1:40" x14ac:dyDescent="0.25">
      <c r="A3825" t="str">
        <f>"20190303170329089"</f>
        <v>20190303170329089</v>
      </c>
      <c r="B3825" t="str">
        <f>"1551603809079275"</f>
        <v>1551603809079275</v>
      </c>
      <c r="C3825" t="s">
        <v>40</v>
      </c>
      <c r="D3825">
        <v>4.1756650000000004</v>
      </c>
      <c r="E3825">
        <v>0.49770759999999997</v>
      </c>
      <c r="F3825" t="s">
        <v>62</v>
      </c>
      <c r="G3825">
        <v>-352.12419999999997</v>
      </c>
      <c r="H3825" s="1">
        <v>-4.056646E-7</v>
      </c>
      <c r="I3825">
        <v>214.5994</v>
      </c>
      <c r="J3825">
        <v>-421.67099999999999</v>
      </c>
      <c r="K3825">
        <v>1.1208229999999999</v>
      </c>
      <c r="L3825">
        <v>213.40209999999999</v>
      </c>
      <c r="M3825">
        <v>0.99991010000000002</v>
      </c>
      <c r="N3825">
        <v>-6.3111469999999996E-3</v>
      </c>
      <c r="O3825">
        <v>1.183468E-2</v>
      </c>
      <c r="P3825">
        <v>0.98492310000000005</v>
      </c>
      <c r="Q3825">
        <v>0.17298069999999999</v>
      </c>
      <c r="R3825">
        <v>2.1436099999999998E-3</v>
      </c>
      <c r="S3825">
        <v>3.0542600000000002</v>
      </c>
      <c r="T3825">
        <v>-4.8920989999999998E-2</v>
      </c>
      <c r="U3825">
        <v>5.2490229999999999E-2</v>
      </c>
      <c r="V3825">
        <v>9.360373E-3</v>
      </c>
      <c r="W3825">
        <v>0.1792009</v>
      </c>
      <c r="X3825">
        <v>0.98376799999999998</v>
      </c>
      <c r="Y3825">
        <v>-5.3485989999999999E-3</v>
      </c>
      <c r="Z3825" s="1">
        <v>-5.5129430000000003E-5</v>
      </c>
      <c r="AA3825">
        <v>0.99998569999999998</v>
      </c>
      <c r="AB3825">
        <v>40</v>
      </c>
      <c r="AC3825">
        <v>69.546800000000005</v>
      </c>
      <c r="AD3825">
        <v>-1.12082340566459</v>
      </c>
      <c r="AE3825">
        <v>1.19730000000001</v>
      </c>
      <c r="AF3825">
        <v>-0.37403855261589902</v>
      </c>
      <c r="AG3825">
        <v>-1.12082340566459</v>
      </c>
      <c r="AH3825">
        <v>69.538043549542905</v>
      </c>
      <c r="AI3825">
        <v>90.9234076539515</v>
      </c>
      <c r="AJ3825">
        <v>90.308185601238804</v>
      </c>
      <c r="AK3825">
        <v>69.548081574142998</v>
      </c>
      <c r="AL3825">
        <v>79.676782337776999</v>
      </c>
      <c r="AM3825">
        <v>89.454857563887103</v>
      </c>
      <c r="AN3825">
        <v>1.00000002848375</v>
      </c>
    </row>
    <row r="3826" spans="1:40" x14ac:dyDescent="0.25">
      <c r="A3826" t="str">
        <f>"20190303170329122"</f>
        <v>20190303170329122</v>
      </c>
      <c r="B3826" t="str">
        <f>"1551603809109530"</f>
        <v>1551603809109530</v>
      </c>
      <c r="C3826" t="s">
        <v>40</v>
      </c>
      <c r="D3826">
        <v>4.1664719999999997</v>
      </c>
      <c r="E3826">
        <v>0.49765880000000001</v>
      </c>
      <c r="F3826" t="s">
        <v>62</v>
      </c>
      <c r="G3826">
        <v>-350.86689999999999</v>
      </c>
      <c r="H3826" s="1">
        <v>-1.0748899999999901E-6</v>
      </c>
      <c r="I3826">
        <v>214.6037</v>
      </c>
      <c r="J3826">
        <v>-421.07839999999999</v>
      </c>
      <c r="K3826">
        <v>1.120916</v>
      </c>
      <c r="L3826">
        <v>213.40960000000001</v>
      </c>
      <c r="M3826">
        <v>0.99990049999999997</v>
      </c>
      <c r="N3826">
        <v>-6.5836719999999996E-3</v>
      </c>
      <c r="O3826">
        <v>1.248059E-2</v>
      </c>
      <c r="P3826">
        <v>0.98503669999999999</v>
      </c>
      <c r="Q3826">
        <v>0.17232229999999901</v>
      </c>
      <c r="R3826">
        <v>2.8547260000000001E-3</v>
      </c>
      <c r="S3826">
        <v>3.0542910000000001</v>
      </c>
      <c r="T3826">
        <v>-4.8349259999999998E-2</v>
      </c>
      <c r="U3826">
        <v>5.1834110000000003E-2</v>
      </c>
      <c r="V3826">
        <v>9.2622639999999992E-3</v>
      </c>
      <c r="W3826">
        <v>0.17881250000000001</v>
      </c>
      <c r="X3826">
        <v>0.98383960000000004</v>
      </c>
      <c r="Y3826">
        <v>-4.4878230000000002E-3</v>
      </c>
      <c r="Z3826" s="1">
        <v>-6.5075680000000003E-5</v>
      </c>
      <c r="AA3826">
        <v>0.99998989999999999</v>
      </c>
      <c r="AB3826">
        <v>40</v>
      </c>
      <c r="AC3826">
        <v>70.211500000000001</v>
      </c>
      <c r="AD3826">
        <v>-1.1209170748899999</v>
      </c>
      <c r="AE3826">
        <v>1.1940999999999899</v>
      </c>
      <c r="AF3826">
        <v>-0.31762617661547898</v>
      </c>
      <c r="AG3826">
        <v>-1.1209170748899999</v>
      </c>
      <c r="AH3826">
        <v>70.203046733133107</v>
      </c>
      <c r="AI3826">
        <v>90.914742401331495</v>
      </c>
      <c r="AJ3826">
        <v>90.259226857738199</v>
      </c>
      <c r="AK3826">
        <v>70.212713322384403</v>
      </c>
      <c r="AL3826">
        <v>79.699401370352504</v>
      </c>
      <c r="AM3826">
        <v>89.460610288222497</v>
      </c>
      <c r="AN3826">
        <v>1.0000000291094</v>
      </c>
    </row>
    <row r="3827" spans="1:40" x14ac:dyDescent="0.25">
      <c r="A3827" t="str">
        <f>"20190303170329142"</f>
        <v>20190303170329142</v>
      </c>
      <c r="B3827" t="str">
        <f>"1551603809129050"</f>
        <v>1551603809129050</v>
      </c>
      <c r="C3827" t="s">
        <v>40</v>
      </c>
      <c r="D3827">
        <v>4.1820950000000003</v>
      </c>
      <c r="E3827">
        <v>0.49763970000000002</v>
      </c>
      <c r="F3827" t="s">
        <v>62</v>
      </c>
      <c r="G3827">
        <v>-353.08539999999999</v>
      </c>
      <c r="H3827" s="1">
        <v>1.0379959999999999E-7</v>
      </c>
      <c r="I3827">
        <v>214.64680000000001</v>
      </c>
      <c r="J3827">
        <v>-420.69529999999997</v>
      </c>
      <c r="K3827">
        <v>1.120976</v>
      </c>
      <c r="L3827">
        <v>213.41480000000001</v>
      </c>
      <c r="M3827">
        <v>0.99989340000000004</v>
      </c>
      <c r="N3827">
        <v>-6.7598999999999897E-3</v>
      </c>
      <c r="O3827">
        <v>1.294346E-2</v>
      </c>
      <c r="P3827">
        <v>0.98507639999999996</v>
      </c>
      <c r="Q3827">
        <v>0.1720884</v>
      </c>
      <c r="R3827">
        <v>3.1534380000000002E-3</v>
      </c>
      <c r="S3827">
        <v>3.05423</v>
      </c>
      <c r="T3827">
        <v>-5.0351260000000002E-2</v>
      </c>
      <c r="U3827">
        <v>5.5572509999999999E-2</v>
      </c>
      <c r="V3827">
        <v>9.4047469999999998E-3</v>
      </c>
      <c r="W3827">
        <v>0.17875339999999901</v>
      </c>
      <c r="X3827">
        <v>0.98384899999999997</v>
      </c>
      <c r="Y3827">
        <v>-5.2487209999999996E-3</v>
      </c>
      <c r="Z3827" s="1">
        <v>-6.4846749999999994E-5</v>
      </c>
      <c r="AA3827">
        <v>0.99998620000000005</v>
      </c>
      <c r="AB3827">
        <v>40</v>
      </c>
      <c r="AC3827">
        <v>67.609899999999897</v>
      </c>
      <c r="AD3827">
        <v>-1.1209758962003999</v>
      </c>
      <c r="AE3827">
        <v>1.23199999999999</v>
      </c>
      <c r="AF3827">
        <v>-0.35667276074086002</v>
      </c>
      <c r="AG3827">
        <v>-1.1209758962003999</v>
      </c>
      <c r="AH3827">
        <v>67.601605367100603</v>
      </c>
      <c r="AI3827">
        <v>90.949983479884196</v>
      </c>
      <c r="AJ3827">
        <v>90.302295398522404</v>
      </c>
      <c r="AK3827">
        <v>67.611839574347698</v>
      </c>
      <c r="AL3827">
        <v>79.702843124695605</v>
      </c>
      <c r="AM3827">
        <v>89.452318497585495</v>
      </c>
      <c r="AN3827">
        <v>1.0000000410393399</v>
      </c>
    </row>
    <row r="3828" spans="1:40" x14ac:dyDescent="0.25">
      <c r="A3828" t="str">
        <f>"20190303170329166"</f>
        <v>20190303170329166</v>
      </c>
      <c r="B3828" t="str">
        <f>"1551603809159306"</f>
        <v>1551603809159306</v>
      </c>
      <c r="C3828" t="s">
        <v>40</v>
      </c>
      <c r="D3828">
        <v>4.2564339999999996</v>
      </c>
      <c r="E3828">
        <v>0.49770639999999999</v>
      </c>
      <c r="F3828" t="s">
        <v>62</v>
      </c>
      <c r="G3828">
        <v>-353.30590000000001</v>
      </c>
      <c r="H3828" s="1">
        <v>2.2024590000000001E-7</v>
      </c>
      <c r="I3828">
        <v>214.6669</v>
      </c>
      <c r="J3828">
        <v>-420.28370000000001</v>
      </c>
      <c r="K3828">
        <v>1.121022</v>
      </c>
      <c r="L3828">
        <v>213.4205</v>
      </c>
      <c r="M3828">
        <v>0.99988529999999998</v>
      </c>
      <c r="N3828">
        <v>-6.9422069999999997E-3</v>
      </c>
      <c r="O3828">
        <v>1.347137E-2</v>
      </c>
      <c r="P3828">
        <v>0.98515169999999996</v>
      </c>
      <c r="Q3828">
        <v>0.171654</v>
      </c>
      <c r="R3828">
        <v>3.3595460000000001E-3</v>
      </c>
      <c r="S3828">
        <v>3.054138</v>
      </c>
      <c r="T3828">
        <v>-5.0803420000000002E-2</v>
      </c>
      <c r="U3828">
        <v>5.6747440000000003E-2</v>
      </c>
      <c r="V3828">
        <v>9.7053169999999998E-3</v>
      </c>
      <c r="W3828">
        <v>0.17850009999999999</v>
      </c>
      <c r="X3828">
        <v>0.98389199999999999</v>
      </c>
      <c r="Y3828">
        <v>-5.105877E-3</v>
      </c>
      <c r="Z3828" s="1">
        <v>-7.0338190000000003E-5</v>
      </c>
      <c r="AA3828">
        <v>0.99998690000000001</v>
      </c>
      <c r="AB3828">
        <v>40</v>
      </c>
      <c r="AC3828">
        <v>66.977800000000002</v>
      </c>
      <c r="AD3828">
        <v>-1.1210217797541</v>
      </c>
      <c r="AE3828">
        <v>1.24639999999999</v>
      </c>
      <c r="AF3828">
        <v>-0.34388625137087397</v>
      </c>
      <c r="AG3828">
        <v>-1.1210217797541</v>
      </c>
      <c r="AH3828">
        <v>66.969759024137005</v>
      </c>
      <c r="AI3828">
        <v>90.958984667480493</v>
      </c>
      <c r="AJ3828">
        <v>90.294208280718294</v>
      </c>
      <c r="AK3828">
        <v>66.980023673745805</v>
      </c>
      <c r="AL3828">
        <v>79.717592670285498</v>
      </c>
      <c r="AM3828">
        <v>89.434840746568</v>
      </c>
      <c r="AN3828">
        <v>0.99999997327103896</v>
      </c>
    </row>
    <row r="3829" spans="1:40" x14ac:dyDescent="0.25">
      <c r="A3829" t="str">
        <f>"20190303170329189"</f>
        <v>20190303170329189</v>
      </c>
      <c r="B3829" t="str">
        <f>"1551603809179131"</f>
        <v>1551603809179131</v>
      </c>
      <c r="C3829" t="s">
        <v>40</v>
      </c>
      <c r="D3829">
        <v>4.149343</v>
      </c>
      <c r="E3829">
        <v>0.51065289999999997</v>
      </c>
      <c r="F3829" t="s">
        <v>62</v>
      </c>
      <c r="G3829">
        <v>-354.53680000000003</v>
      </c>
      <c r="H3829" s="1">
        <v>8.76362E-7</v>
      </c>
      <c r="I3829">
        <v>214.6422</v>
      </c>
      <c r="J3829">
        <v>-419.84910000000002</v>
      </c>
      <c r="K3829">
        <v>1.1210629999999999</v>
      </c>
      <c r="L3829">
        <v>213.42689999999999</v>
      </c>
      <c r="M3829">
        <v>0.99987579999999998</v>
      </c>
      <c r="N3829">
        <v>-7.1269369999999999E-3</v>
      </c>
      <c r="O3829">
        <v>1.405413E-2</v>
      </c>
      <c r="P3829">
        <v>0.98522109999999996</v>
      </c>
      <c r="Q3829">
        <v>0.1712436</v>
      </c>
      <c r="R3829">
        <v>3.9190900000000001E-3</v>
      </c>
      <c r="S3829">
        <v>3.0540769999999999</v>
      </c>
      <c r="T3829">
        <v>-5.2073719999999997E-2</v>
      </c>
      <c r="U3829">
        <v>5.6747440000000003E-2</v>
      </c>
      <c r="V3829">
        <v>9.7086900000000007E-3</v>
      </c>
      <c r="W3829">
        <v>0.17827290000000001</v>
      </c>
      <c r="X3829">
        <v>0.98393319999999995</v>
      </c>
      <c r="Y3829">
        <v>-4.5235320000000002E-3</v>
      </c>
      <c r="Z3829" s="1">
        <v>-8.4740949999999895E-5</v>
      </c>
      <c r="AA3829">
        <v>0.99998969999999998</v>
      </c>
      <c r="AB3829">
        <v>41</v>
      </c>
      <c r="AC3829">
        <v>65.312299999999993</v>
      </c>
      <c r="AD3829">
        <v>-1.1210621236379901</v>
      </c>
      <c r="AE3829">
        <v>1.21530000000001</v>
      </c>
      <c r="AF3829">
        <v>-0.29716154409524298</v>
      </c>
      <c r="AG3829">
        <v>-1.1210621236379901</v>
      </c>
      <c r="AH3829">
        <v>65.303696142273495</v>
      </c>
      <c r="AI3829">
        <v>90.983484221667496</v>
      </c>
      <c r="AJ3829">
        <v>90.260720078643104</v>
      </c>
      <c r="AK3829">
        <v>65.313994022037306</v>
      </c>
      <c r="AL3829">
        <v>79.730822891938601</v>
      </c>
      <c r="AM3829">
        <v>89.434668014511004</v>
      </c>
      <c r="AN3829">
        <v>1.0000000137990801</v>
      </c>
    </row>
    <row r="3830" spans="1:40" x14ac:dyDescent="0.25">
      <c r="A3830" t="str">
        <f>"20190303170329213"</f>
        <v>20190303170329213</v>
      </c>
      <c r="B3830" t="str">
        <f>"1551603809199628"</f>
        <v>1551603809199628</v>
      </c>
      <c r="C3830" t="s">
        <v>40</v>
      </c>
      <c r="D3830">
        <v>4.1261489999999998</v>
      </c>
      <c r="E3830">
        <v>0.51171899999999904</v>
      </c>
      <c r="F3830" t="s">
        <v>62</v>
      </c>
      <c r="G3830">
        <v>-254.8049</v>
      </c>
      <c r="H3830" s="1">
        <v>1.183806E-6</v>
      </c>
      <c r="I3830">
        <v>210.87200000000001</v>
      </c>
      <c r="J3830">
        <v>-419.4239</v>
      </c>
      <c r="K3830">
        <v>1.121095</v>
      </c>
      <c r="L3830">
        <v>213.4333</v>
      </c>
      <c r="M3830">
        <v>0.99986609999999998</v>
      </c>
      <c r="N3830">
        <v>-7.3043869999999999E-3</v>
      </c>
      <c r="O3830">
        <v>1.464157E-2</v>
      </c>
      <c r="P3830">
        <v>0.98532649999999999</v>
      </c>
      <c r="Q3830">
        <v>0.1706164</v>
      </c>
      <c r="R3830">
        <v>4.6914290000000004E-3</v>
      </c>
      <c r="S3830">
        <v>3.0488279999999999</v>
      </c>
      <c r="T3830">
        <v>-2.0709160000000001E-2</v>
      </c>
      <c r="U3830">
        <v>-4.7195429999999997E-2</v>
      </c>
      <c r="V3830">
        <v>9.5078190000000007E-3</v>
      </c>
      <c r="W3830">
        <v>0.17782110000000001</v>
      </c>
      <c r="X3830">
        <v>0.98401689999999997</v>
      </c>
      <c r="Y3830">
        <v>3.011511E-2</v>
      </c>
      <c r="Z3830">
        <v>-2.0477120000000001E-4</v>
      </c>
      <c r="AA3830">
        <v>0.99954639999999995</v>
      </c>
      <c r="AB3830">
        <v>41</v>
      </c>
      <c r="AC3830">
        <v>164.619</v>
      </c>
      <c r="AD3830">
        <v>-1.1210938161940001</v>
      </c>
      <c r="AE3830">
        <v>-2.5612999999999801</v>
      </c>
      <c r="AF3830">
        <v>4.9711399051902303</v>
      </c>
      <c r="AG3830">
        <v>-1.1210938161940001</v>
      </c>
      <c r="AH3830">
        <v>164.55622035907899</v>
      </c>
      <c r="AI3830">
        <v>90.390162471252196</v>
      </c>
      <c r="AJ3830">
        <v>88.269656787924404</v>
      </c>
      <c r="AK3830">
        <v>164.63510786635899</v>
      </c>
      <c r="AL3830">
        <v>79.757129317624404</v>
      </c>
      <c r="AM3830">
        <v>89.446410982047297</v>
      </c>
      <c r="AN3830">
        <v>1.00000000085647</v>
      </c>
    </row>
    <row r="3831" spans="1:40" x14ac:dyDescent="0.25">
      <c r="A3831" t="str">
        <f>"20190303170329231"</f>
        <v>20190303170329231</v>
      </c>
      <c r="B3831" t="str">
        <f>"1551603809219148"</f>
        <v>1551603809219148</v>
      </c>
      <c r="C3831" t="s">
        <v>40</v>
      </c>
      <c r="D3831">
        <v>4.1986840000000001</v>
      </c>
      <c r="E3831">
        <v>0.51216779999999995</v>
      </c>
      <c r="F3831" t="s">
        <v>62</v>
      </c>
      <c r="G3831">
        <v>-239.74459999999999</v>
      </c>
      <c r="H3831" s="1">
        <v>3.8402119999999996E-6</v>
      </c>
      <c r="I3831">
        <v>210.23759999999999</v>
      </c>
      <c r="J3831">
        <v>-419.08089999999999</v>
      </c>
      <c r="K3831">
        <v>1.1211169999999999</v>
      </c>
      <c r="L3831">
        <v>213.43870000000001</v>
      </c>
      <c r="M3831">
        <v>0.99985789999999997</v>
      </c>
      <c r="N3831">
        <v>-7.4488530000000001E-3</v>
      </c>
      <c r="O3831">
        <v>1.512313E-2</v>
      </c>
      <c r="P3831">
        <v>0.98537669999999999</v>
      </c>
      <c r="Q3831">
        <v>0.1703189</v>
      </c>
      <c r="R3831">
        <v>4.9061859999999999E-3</v>
      </c>
      <c r="S3831">
        <v>3.0482480000000001</v>
      </c>
      <c r="T3831">
        <v>-1.9019250000000001E-2</v>
      </c>
      <c r="U3831">
        <v>-5.4214480000000002E-2</v>
      </c>
      <c r="V3831">
        <v>9.7625279999999995E-3</v>
      </c>
      <c r="W3831">
        <v>0.17766670000000001</v>
      </c>
      <c r="X3831">
        <v>0.98404230000000004</v>
      </c>
      <c r="Y3831">
        <v>3.2900350000000002E-2</v>
      </c>
      <c r="Z3831">
        <v>-2.068882E-4</v>
      </c>
      <c r="AA3831">
        <v>0.99945859999999997</v>
      </c>
      <c r="AB3831">
        <v>41</v>
      </c>
      <c r="AC3831">
        <v>179.33629999999999</v>
      </c>
      <c r="AD3831">
        <v>-1.121113159788</v>
      </c>
      <c r="AE3831">
        <v>-3.2011000000000198</v>
      </c>
      <c r="AF3831">
        <v>5.9127043029441797</v>
      </c>
      <c r="AG3831">
        <v>-1.121113159788</v>
      </c>
      <c r="AH3831">
        <v>179.260374384854</v>
      </c>
      <c r="AI3831">
        <v>90.358134379481399</v>
      </c>
      <c r="AJ3831">
        <v>88.110847258865704</v>
      </c>
      <c r="AK3831">
        <v>179.361363708824</v>
      </c>
      <c r="AL3831">
        <v>79.766118979828306</v>
      </c>
      <c r="AM3831">
        <v>89.431596282171697</v>
      </c>
      <c r="AN3831">
        <v>1.00000000571556</v>
      </c>
    </row>
    <row r="3832" spans="1:40" x14ac:dyDescent="0.25">
      <c r="A3832" t="str">
        <f>"20190303170329255"</f>
        <v>20190303170329255</v>
      </c>
      <c r="B3832" t="str">
        <f>"1551603809249404"</f>
        <v>1551603809249404</v>
      </c>
      <c r="C3832" t="s">
        <v>40</v>
      </c>
      <c r="D3832">
        <v>4.0687089999999904</v>
      </c>
      <c r="E3832">
        <v>0.51252659999999906</v>
      </c>
      <c r="F3832" t="s">
        <v>62</v>
      </c>
      <c r="G3832">
        <v>-233.41720000000001</v>
      </c>
      <c r="H3832" s="1">
        <v>4.852985E-7</v>
      </c>
      <c r="I3832">
        <v>209.95779999999999</v>
      </c>
      <c r="J3832">
        <v>-418.6601</v>
      </c>
      <c r="K3832">
        <v>1.121156</v>
      </c>
      <c r="L3832">
        <v>213.44550000000001</v>
      </c>
      <c r="M3832">
        <v>0.99984740000000005</v>
      </c>
      <c r="N3832">
        <v>-7.62745E-3</v>
      </c>
      <c r="O3832">
        <v>1.5718360000000001E-2</v>
      </c>
      <c r="P3832">
        <v>0.98539560000000004</v>
      </c>
      <c r="Q3832">
        <v>0.17021269999999999</v>
      </c>
      <c r="R3832">
        <v>4.8639989999999999E-3</v>
      </c>
      <c r="S3832">
        <v>3.047974</v>
      </c>
      <c r="T3832">
        <v>-1.8404960000000001E-2</v>
      </c>
      <c r="U3832">
        <v>-5.7144170000000001E-2</v>
      </c>
      <c r="V3832">
        <v>1.0384630000000001E-2</v>
      </c>
      <c r="W3832">
        <v>0.17773749999999999</v>
      </c>
      <c r="X3832">
        <v>0.98402319999999999</v>
      </c>
      <c r="Y3832">
        <v>3.4457260000000003E-2</v>
      </c>
      <c r="Z3832">
        <v>-2.104741E-4</v>
      </c>
      <c r="AA3832">
        <v>0.99940620000000002</v>
      </c>
      <c r="AB3832">
        <v>41</v>
      </c>
      <c r="AC3832">
        <v>185.24289999999999</v>
      </c>
      <c r="AD3832">
        <v>-1.1211555147015</v>
      </c>
      <c r="AE3832">
        <v>-3.48770000000001</v>
      </c>
      <c r="AF3832">
        <v>6.3988339813267698</v>
      </c>
      <c r="AG3832">
        <v>-1.1211555147015</v>
      </c>
      <c r="AH3832">
        <v>185.158410919087</v>
      </c>
      <c r="AI3832">
        <v>90.346721329000999</v>
      </c>
      <c r="AJ3832">
        <v>88.020720045747396</v>
      </c>
      <c r="AK3832">
        <v>185.272337924716</v>
      </c>
      <c r="AL3832">
        <v>79.761997381164093</v>
      </c>
      <c r="AM3832">
        <v>89.395366507715494</v>
      </c>
      <c r="AN3832">
        <v>1.0000000587923601</v>
      </c>
    </row>
    <row r="3833" spans="1:40" x14ac:dyDescent="0.25">
      <c r="A3833" t="str">
        <f>"20190303170329278"</f>
        <v>20190303170329278</v>
      </c>
      <c r="B3833" t="str">
        <f>"1551603809268746"</f>
        <v>1551603809268746</v>
      </c>
      <c r="C3833" t="s">
        <v>40</v>
      </c>
      <c r="D3833">
        <v>4.0923730000000003</v>
      </c>
      <c r="E3833">
        <v>0.51273639999999998</v>
      </c>
      <c r="F3833" t="s">
        <v>62</v>
      </c>
      <c r="G3833">
        <v>-220.68450000000001</v>
      </c>
      <c r="H3833">
        <v>8.000148E-2</v>
      </c>
      <c r="I3833">
        <v>209.53790000000001</v>
      </c>
      <c r="J3833">
        <v>-418.2294</v>
      </c>
      <c r="K3833">
        <v>1.121186</v>
      </c>
      <c r="L3833">
        <v>213.4528</v>
      </c>
      <c r="M3833">
        <v>0.99983630000000001</v>
      </c>
      <c r="N3833">
        <v>-7.8032589999999999E-3</v>
      </c>
      <c r="O3833">
        <v>1.6329610000000001E-2</v>
      </c>
      <c r="P3833">
        <v>0.98541230000000002</v>
      </c>
      <c r="Q3833">
        <v>0.17010899999999901</v>
      </c>
      <c r="R3833">
        <v>5.0830249999999997E-3</v>
      </c>
      <c r="S3833">
        <v>3.047485</v>
      </c>
      <c r="T3833">
        <v>-1.6026740000000001E-2</v>
      </c>
      <c r="U3833">
        <v>-6.0150149999999999E-2</v>
      </c>
      <c r="V3833">
        <v>1.0762320000000001E-2</v>
      </c>
      <c r="W3833">
        <v>0.17780799999999999</v>
      </c>
      <c r="X3833">
        <v>0.9840063</v>
      </c>
      <c r="Y3833">
        <v>3.6056789999999998E-2</v>
      </c>
      <c r="Z3833">
        <v>-1.939559E-4</v>
      </c>
      <c r="AA3833">
        <v>0.99934970000000001</v>
      </c>
      <c r="AB3833">
        <v>41</v>
      </c>
      <c r="AC3833">
        <v>197.54490000000001</v>
      </c>
      <c r="AD3833">
        <v>-1.0411845200000001</v>
      </c>
      <c r="AE3833">
        <v>-3.9148999999999798</v>
      </c>
      <c r="AF3833">
        <v>7.1401088073231698</v>
      </c>
      <c r="AG3833">
        <v>-1.0411845200000001</v>
      </c>
      <c r="AH3833">
        <v>197.449144754125</v>
      </c>
      <c r="AI3833">
        <v>90.301930708314401</v>
      </c>
      <c r="AJ3833">
        <v>87.928986129368994</v>
      </c>
      <c r="AK3833">
        <v>197.58094539484401</v>
      </c>
      <c r="AL3833">
        <v>79.757891576772195</v>
      </c>
      <c r="AM3833">
        <v>89.373366890509502</v>
      </c>
      <c r="AN3833">
        <v>0.99999995541773501</v>
      </c>
    </row>
    <row r="3834" spans="1:40" x14ac:dyDescent="0.25">
      <c r="A3834" t="str">
        <f>"20190303170329300"</f>
        <v>20190303170329300</v>
      </c>
      <c r="B3834" t="str">
        <f>"1551603809289242"</f>
        <v>1551603809289242</v>
      </c>
      <c r="C3834" t="s">
        <v>40</v>
      </c>
      <c r="D3834">
        <v>4.0348090000000001</v>
      </c>
      <c r="E3834">
        <v>0.51303799999999999</v>
      </c>
      <c r="F3834" t="s">
        <v>57</v>
      </c>
      <c r="G3834">
        <v>-203.0204</v>
      </c>
      <c r="H3834">
        <v>8.0001119999999995E-2</v>
      </c>
      <c r="I3834">
        <v>209.0872</v>
      </c>
      <c r="J3834">
        <v>-417.8261</v>
      </c>
      <c r="K3834">
        <v>1.1212200000000001</v>
      </c>
      <c r="L3834">
        <v>213.4598</v>
      </c>
      <c r="M3834">
        <v>0.99982550000000003</v>
      </c>
      <c r="N3834">
        <v>-7.9593800000000003E-3</v>
      </c>
      <c r="O3834">
        <v>1.6901329999999999E-2</v>
      </c>
      <c r="P3834">
        <v>0.98538360000000003</v>
      </c>
      <c r="Q3834">
        <v>0.17024129999999901</v>
      </c>
      <c r="R3834">
        <v>6.1001279999999998E-3</v>
      </c>
      <c r="S3834">
        <v>3.0472410000000001</v>
      </c>
      <c r="T3834">
        <v>-1.474261E-2</v>
      </c>
      <c r="U3834">
        <v>-6.1813350000000003E-2</v>
      </c>
      <c r="V3834">
        <v>1.0302759999999999E-2</v>
      </c>
      <c r="W3834">
        <v>0.17809369999999999</v>
      </c>
      <c r="X3834">
        <v>0.98395960000000005</v>
      </c>
      <c r="Y3834">
        <v>3.7175109999999997E-2</v>
      </c>
      <c r="Z3834">
        <v>-1.8513110000000001E-4</v>
      </c>
      <c r="AA3834">
        <v>0.9993088</v>
      </c>
      <c r="AB3834">
        <v>41</v>
      </c>
      <c r="AC3834">
        <v>214.8057</v>
      </c>
      <c r="AD3834">
        <v>-1.04121888</v>
      </c>
      <c r="AE3834">
        <v>-4.3726000000000003</v>
      </c>
      <c r="AF3834">
        <v>8.0024044013544806</v>
      </c>
      <c r="AG3834">
        <v>-1.04121888</v>
      </c>
      <c r="AH3834">
        <v>214.696068221845</v>
      </c>
      <c r="AI3834">
        <v>90.277674311998496</v>
      </c>
      <c r="AJ3834">
        <v>87.8653924725038</v>
      </c>
      <c r="AK3834">
        <v>214.84767702462599</v>
      </c>
      <c r="AL3834">
        <v>79.741257168272099</v>
      </c>
      <c r="AM3834">
        <v>89.400094176730605</v>
      </c>
      <c r="AN3834">
        <v>1.0000000036377299</v>
      </c>
    </row>
    <row r="3835" spans="1:40" x14ac:dyDescent="0.25">
      <c r="A3835" t="str">
        <f>"20190303170329320"</f>
        <v>20190303170329320</v>
      </c>
      <c r="B3835" t="str">
        <f>"1551603809309737"</f>
        <v>1551603809309737</v>
      </c>
      <c r="C3835" t="s">
        <v>40</v>
      </c>
      <c r="D3835">
        <v>4.035514</v>
      </c>
      <c r="E3835">
        <v>0.51328119999999999</v>
      </c>
      <c r="F3835" t="s">
        <v>57</v>
      </c>
      <c r="G3835">
        <v>-179.95779999999999</v>
      </c>
      <c r="H3835">
        <v>8.7432120000000002E-3</v>
      </c>
      <c r="I3835">
        <v>208.61689999999999</v>
      </c>
      <c r="J3835">
        <v>-417.44959999999998</v>
      </c>
      <c r="K3835">
        <v>1.1212470000000001</v>
      </c>
      <c r="L3835">
        <v>213.4666</v>
      </c>
      <c r="M3835">
        <v>0.99981529999999996</v>
      </c>
      <c r="N3835">
        <v>-8.0970279999999992E-3</v>
      </c>
      <c r="O3835">
        <v>1.743422E-2</v>
      </c>
      <c r="P3835">
        <v>0.98523970000000005</v>
      </c>
      <c r="Q3835">
        <v>0.17104520000000001</v>
      </c>
      <c r="R3835">
        <v>6.8260040000000001E-3</v>
      </c>
      <c r="S3835">
        <v>3.0473330000000001</v>
      </c>
      <c r="T3835">
        <v>-1.4251949999999999E-2</v>
      </c>
      <c r="U3835">
        <v>-6.2042239999999999E-2</v>
      </c>
      <c r="V3835">
        <v>1.00941E-2</v>
      </c>
      <c r="W3835">
        <v>0.17903160000000001</v>
      </c>
      <c r="X3835">
        <v>0.98379150000000004</v>
      </c>
      <c r="Y3835">
        <v>3.7782160000000002E-2</v>
      </c>
      <c r="Z3835">
        <v>-1.8169980000000001E-4</v>
      </c>
      <c r="AA3835">
        <v>0.99928600000000001</v>
      </c>
      <c r="AB3835">
        <v>41</v>
      </c>
      <c r="AC3835">
        <v>237.49180000000001</v>
      </c>
      <c r="AD3835">
        <v>-1.1125037879999999</v>
      </c>
      <c r="AE3835">
        <v>-4.8497000000000101</v>
      </c>
      <c r="AF3835">
        <v>8.9893853999646396</v>
      </c>
      <c r="AG3835">
        <v>-1.1125037879999999</v>
      </c>
      <c r="AH3835">
        <v>237.365941869392</v>
      </c>
      <c r="AI3835">
        <v>90.268343655314993</v>
      </c>
      <c r="AJ3835">
        <v>87.831163924573602</v>
      </c>
      <c r="AK3835">
        <v>237.538706475579</v>
      </c>
      <c r="AL3835">
        <v>79.686641250299999</v>
      </c>
      <c r="AM3835">
        <v>89.412142680797302</v>
      </c>
      <c r="AN3835">
        <v>0.999999960062809</v>
      </c>
    </row>
    <row r="3836" spans="1:40" x14ac:dyDescent="0.25">
      <c r="A3836" t="str">
        <f>"20190303170329342"</f>
        <v>20190303170329342</v>
      </c>
      <c r="B3836" t="str">
        <f>"1551603809329258"</f>
        <v>1551603809329258</v>
      </c>
      <c r="C3836" t="s">
        <v>40</v>
      </c>
      <c r="D3836">
        <v>4.0453020000000004</v>
      </c>
      <c r="E3836">
        <v>0.51345659999999904</v>
      </c>
      <c r="F3836" t="s">
        <v>56</v>
      </c>
      <c r="G3836">
        <v>-169.39259999999999</v>
      </c>
      <c r="H3836">
        <v>0.2327824</v>
      </c>
      <c r="I3836">
        <v>208.47329999999999</v>
      </c>
      <c r="J3836">
        <v>-417.03960000000001</v>
      </c>
      <c r="K3836">
        <v>1.1212679999999999</v>
      </c>
      <c r="L3836">
        <v>213.4742</v>
      </c>
      <c r="M3836">
        <v>0.99980380000000002</v>
      </c>
      <c r="N3836">
        <v>-8.2407450000000007E-3</v>
      </c>
      <c r="O3836">
        <v>1.801374E-2</v>
      </c>
      <c r="P3836">
        <v>0.98518649999999997</v>
      </c>
      <c r="Q3836">
        <v>0.17134360000000001</v>
      </c>
      <c r="R3836">
        <v>7.0070719999999996E-3</v>
      </c>
      <c r="S3836">
        <v>3.0473020000000002</v>
      </c>
      <c r="T3836">
        <v>-1.091409E-2</v>
      </c>
      <c r="U3836">
        <v>-6.1340329999999998E-2</v>
      </c>
      <c r="V3836">
        <v>1.0478599999999999E-2</v>
      </c>
      <c r="W3836">
        <v>0.17947160000000001</v>
      </c>
      <c r="X3836">
        <v>0.98370740000000001</v>
      </c>
      <c r="Y3836">
        <v>3.8131749999999999E-2</v>
      </c>
      <c r="Z3836">
        <v>-1.4149240000000001E-4</v>
      </c>
      <c r="AA3836">
        <v>0.99927270000000001</v>
      </c>
      <c r="AB3836">
        <v>41</v>
      </c>
      <c r="AC3836">
        <v>247.64699999999999</v>
      </c>
      <c r="AD3836">
        <v>-0.88848559999999899</v>
      </c>
      <c r="AE3836">
        <v>-5.0008999999999997</v>
      </c>
      <c r="AF3836">
        <v>9.4611668204471808</v>
      </c>
      <c r="AG3836">
        <v>-0.88848559999999899</v>
      </c>
      <c r="AH3836">
        <v>247.51354134542299</v>
      </c>
      <c r="AI3836">
        <v>90.205520500342203</v>
      </c>
      <c r="AJ3836">
        <v>87.810943450136406</v>
      </c>
      <c r="AK3836">
        <v>247.69589466444199</v>
      </c>
      <c r="AL3836">
        <v>79.661017028279801</v>
      </c>
      <c r="AM3836">
        <v>89.389699773803997</v>
      </c>
      <c r="AN3836">
        <v>1.00000005253963</v>
      </c>
    </row>
    <row r="3837" spans="1:40" x14ac:dyDescent="0.25">
      <c r="A3837" t="str">
        <f>"20190303170329367"</f>
        <v>20190303170329367</v>
      </c>
      <c r="B3837" t="str">
        <f>"1551603809359513"</f>
        <v>1551603809359513</v>
      </c>
      <c r="C3837" t="s">
        <v>40</v>
      </c>
      <c r="D3837">
        <v>4.0496349999999897</v>
      </c>
      <c r="E3837">
        <v>0.51376239999999995</v>
      </c>
      <c r="F3837" t="s">
        <v>56</v>
      </c>
      <c r="G3837">
        <v>-169.39259999999999</v>
      </c>
      <c r="H3837">
        <v>0.42325020000000002</v>
      </c>
      <c r="I3837">
        <v>208.43680000000001</v>
      </c>
      <c r="J3837">
        <v>-416.6044</v>
      </c>
      <c r="K3837">
        <v>1.1212879999999901</v>
      </c>
      <c r="L3837">
        <v>213.48249999999999</v>
      </c>
      <c r="M3837">
        <v>0.99979130000000005</v>
      </c>
      <c r="N3837">
        <v>-8.3940500000000001E-3</v>
      </c>
      <c r="O3837">
        <v>1.862712E-2</v>
      </c>
      <c r="P3837">
        <v>0.98508890000000005</v>
      </c>
      <c r="Q3837">
        <v>0.17183590000000001</v>
      </c>
      <c r="R3837">
        <v>8.4936070000000002E-3</v>
      </c>
      <c r="S3837">
        <v>3.0470890000000002</v>
      </c>
      <c r="T3837">
        <v>-8.588076E-3</v>
      </c>
      <c r="U3837">
        <v>-6.19812E-2</v>
      </c>
      <c r="V3837">
        <v>9.5910600000000002E-3</v>
      </c>
      <c r="W3837">
        <v>0.180113299999999</v>
      </c>
      <c r="X3837">
        <v>0.98359909999999995</v>
      </c>
      <c r="Y3837">
        <v>3.8956409999999997E-2</v>
      </c>
      <c r="Z3837">
        <v>-1.1456550000000001E-4</v>
      </c>
      <c r="AA3837">
        <v>0.99924089999999999</v>
      </c>
      <c r="AB3837">
        <v>41</v>
      </c>
      <c r="AC3837">
        <v>247.21180000000001</v>
      </c>
      <c r="AD3837">
        <v>-0.69803779999999904</v>
      </c>
      <c r="AE3837">
        <v>-5.0456999999999796</v>
      </c>
      <c r="AF3837">
        <v>9.6497535379168795</v>
      </c>
      <c r="AG3837">
        <v>-0.69803779999999904</v>
      </c>
      <c r="AH3837">
        <v>247.07294652085301</v>
      </c>
      <c r="AI3837">
        <v>90.161749982549594</v>
      </c>
      <c r="AJ3837">
        <v>87.763375995864905</v>
      </c>
      <c r="AK3837">
        <v>247.26230182259701</v>
      </c>
      <c r="AL3837">
        <v>79.6236406112655</v>
      </c>
      <c r="AM3837">
        <v>89.441327423553901</v>
      </c>
      <c r="AN3837">
        <v>0.99999998939481105</v>
      </c>
    </row>
    <row r="3838" spans="1:40" x14ac:dyDescent="0.25">
      <c r="A3838" t="str">
        <f>"20190303170329389"</f>
        <v>20190303170329389</v>
      </c>
      <c r="B3838" t="str">
        <f>"1551603809379033"</f>
        <v>1551603809379033</v>
      </c>
      <c r="C3838" t="s">
        <v>40</v>
      </c>
      <c r="D3838">
        <v>3.9954049999999999</v>
      </c>
      <c r="E3838">
        <v>0.51379359999999996</v>
      </c>
      <c r="F3838" t="s">
        <v>56</v>
      </c>
      <c r="G3838">
        <v>-169.39269999999999</v>
      </c>
      <c r="H3838">
        <v>0.61774439999999997</v>
      </c>
      <c r="I3838">
        <v>208.56899999999999</v>
      </c>
      <c r="J3838">
        <v>-416.18119999999999</v>
      </c>
      <c r="K3838">
        <v>1.1213150000000001</v>
      </c>
      <c r="L3838">
        <v>213.49090000000001</v>
      </c>
      <c r="M3838">
        <v>0.99977890000000003</v>
      </c>
      <c r="N3838">
        <v>-8.5463680000000004E-3</v>
      </c>
      <c r="O3838">
        <v>1.9218889999999999E-2</v>
      </c>
      <c r="P3838">
        <v>0.98483330000000002</v>
      </c>
      <c r="Q3838">
        <v>0.17323810000000001</v>
      </c>
      <c r="R3838">
        <v>9.6043159999999999E-3</v>
      </c>
      <c r="S3838">
        <v>3.0470280000000001</v>
      </c>
      <c r="T3838">
        <v>-6.2060359999999998E-3</v>
      </c>
      <c r="U3838">
        <v>-6.0562129999999999E-2</v>
      </c>
      <c r="V3838">
        <v>9.054912E-3</v>
      </c>
      <c r="W3838">
        <v>0.1816623</v>
      </c>
      <c r="X3838">
        <v>0.98331930000000001</v>
      </c>
      <c r="Y3838">
        <v>3.9083180000000002E-2</v>
      </c>
      <c r="Z3838" s="1">
        <v>-8.1728929999999998E-5</v>
      </c>
      <c r="AA3838">
        <v>0.99923589999999995</v>
      </c>
      <c r="AB3838">
        <v>41</v>
      </c>
      <c r="AC3838">
        <v>246.7885</v>
      </c>
      <c r="AD3838">
        <v>-0.50357059999999998</v>
      </c>
      <c r="AE3838">
        <v>-4.9218999999999902</v>
      </c>
      <c r="AF3838">
        <v>9.6641242923024304</v>
      </c>
      <c r="AG3838">
        <v>-0.50357059999999998</v>
      </c>
      <c r="AH3838">
        <v>246.647291430477</v>
      </c>
      <c r="AI3838">
        <v>90.116888808468602</v>
      </c>
      <c r="AJ3838">
        <v>87.756186846058895</v>
      </c>
      <c r="AK3838">
        <v>246.837062151689</v>
      </c>
      <c r="AL3838">
        <v>79.533401081197297</v>
      </c>
      <c r="AM3838">
        <v>89.472405781330295</v>
      </c>
      <c r="AN3838">
        <v>1.00000001421255</v>
      </c>
    </row>
    <row r="3839" spans="1:40" x14ac:dyDescent="0.25">
      <c r="A3839" t="str">
        <f>"20190303170329411"</f>
        <v>20190303170329411</v>
      </c>
      <c r="B3839" t="str">
        <f>"1551603809399530"</f>
        <v>1551603809399530</v>
      </c>
      <c r="C3839" t="s">
        <v>40</v>
      </c>
      <c r="D3839">
        <v>4.0223459999999998</v>
      </c>
      <c r="E3839">
        <v>0.49393429999999999</v>
      </c>
      <c r="F3839" t="s">
        <v>56</v>
      </c>
      <c r="G3839">
        <v>-169.39269999999999</v>
      </c>
      <c r="H3839">
        <v>1.002472</v>
      </c>
      <c r="I3839">
        <v>208.80699999999999</v>
      </c>
      <c r="J3839">
        <v>-415.78059999999999</v>
      </c>
      <c r="K3839">
        <v>1.121335</v>
      </c>
      <c r="L3839">
        <v>213.499</v>
      </c>
      <c r="M3839">
        <v>0.99976679999999996</v>
      </c>
      <c r="N3839">
        <v>-8.6909510000000006E-3</v>
      </c>
      <c r="O3839">
        <v>1.9768899999999999E-2</v>
      </c>
      <c r="P3839">
        <v>0.98475559999999995</v>
      </c>
      <c r="Q3839">
        <v>0.17361679999999999</v>
      </c>
      <c r="R3839">
        <v>1.067763E-2</v>
      </c>
      <c r="S3839">
        <v>3.0470280000000001</v>
      </c>
      <c r="T3839">
        <v>-1.4668699999999999E-3</v>
      </c>
      <c r="U3839">
        <v>-5.7830810000000003E-2</v>
      </c>
      <c r="V3839">
        <v>8.5218800000000008E-3</v>
      </c>
      <c r="W3839">
        <v>0.1821818</v>
      </c>
      <c r="X3839">
        <v>0.98322790000000004</v>
      </c>
      <c r="Y3839">
        <v>3.8737630000000002E-2</v>
      </c>
      <c r="Z3839" s="1">
        <v>-1.5392699999999999E-5</v>
      </c>
      <c r="AA3839">
        <v>0.99924939999999995</v>
      </c>
      <c r="AB3839">
        <v>41</v>
      </c>
      <c r="AC3839">
        <v>246.3879</v>
      </c>
      <c r="AD3839">
        <v>-0.118862999999999</v>
      </c>
      <c r="AE3839">
        <v>-4.6920000000000002</v>
      </c>
      <c r="AF3839">
        <v>9.5620825059645593</v>
      </c>
      <c r="AG3839">
        <v>-0.118862999999999</v>
      </c>
      <c r="AH3839">
        <v>246.246929832116</v>
      </c>
      <c r="AI3839">
        <v>90.027635751493307</v>
      </c>
      <c r="AJ3839">
        <v>87.776249028450593</v>
      </c>
      <c r="AK3839">
        <v>246.43254249795601</v>
      </c>
      <c r="AL3839">
        <v>79.503130301240304</v>
      </c>
      <c r="AM3839">
        <v>89.503415706927996</v>
      </c>
      <c r="AN3839">
        <v>0.99999996701419103</v>
      </c>
    </row>
    <row r="3840" spans="1:40" x14ac:dyDescent="0.25">
      <c r="A3840" t="str">
        <f>"20190303170329432"</f>
        <v>20190303170329432</v>
      </c>
      <c r="B3840" t="str">
        <f>"1551603809419050"</f>
        <v>1551603809419050</v>
      </c>
      <c r="C3840" t="s">
        <v>40</v>
      </c>
      <c r="D3840">
        <v>4.0093399999999999</v>
      </c>
      <c r="E3840">
        <v>0.47431430000000002</v>
      </c>
      <c r="F3840" t="s">
        <v>55</v>
      </c>
      <c r="G3840">
        <v>-168.35059999999999</v>
      </c>
      <c r="H3840">
        <v>1.35792</v>
      </c>
      <c r="I3840">
        <v>221.96809999999999</v>
      </c>
      <c r="J3840">
        <v>-415.38929999999999</v>
      </c>
      <c r="K3840">
        <v>1.1213439999999999</v>
      </c>
      <c r="L3840">
        <v>213.50720000000001</v>
      </c>
      <c r="M3840">
        <v>0.99975510000000001</v>
      </c>
      <c r="N3840">
        <v>-8.8275679999999992E-3</v>
      </c>
      <c r="O3840">
        <v>2.0292190000000002E-2</v>
      </c>
      <c r="P3840">
        <v>0.98477700000000001</v>
      </c>
      <c r="Q3840">
        <v>0.1734706</v>
      </c>
      <c r="R3840">
        <v>1.1060810000000001E-2</v>
      </c>
      <c r="S3840">
        <v>3.0448</v>
      </c>
      <c r="T3840">
        <v>2.9120449999999998E-3</v>
      </c>
      <c r="U3840">
        <v>0.1042175</v>
      </c>
      <c r="V3840">
        <v>8.6576229999999997E-3</v>
      </c>
      <c r="W3840">
        <v>0.1821701</v>
      </c>
      <c r="X3840">
        <v>0.98322889999999996</v>
      </c>
      <c r="Y3840">
        <v>-1.392088E-2</v>
      </c>
      <c r="Z3840">
        <v>2.5331300000000002E-4</v>
      </c>
      <c r="AA3840">
        <v>0.99990310000000004</v>
      </c>
      <c r="AB3840">
        <v>41</v>
      </c>
      <c r="AC3840">
        <v>247.03870000000001</v>
      </c>
      <c r="AD3840">
        <v>0.23657599999999901</v>
      </c>
      <c r="AE3840">
        <v>8.4608999999999792</v>
      </c>
      <c r="AF3840">
        <v>-3.4460028713280901</v>
      </c>
      <c r="AG3840">
        <v>0.23657599999999901</v>
      </c>
      <c r="AH3840">
        <v>247.15929934853099</v>
      </c>
      <c r="AI3840">
        <v>89.945162957842797</v>
      </c>
      <c r="AJ3840">
        <v>90.798791018918493</v>
      </c>
      <c r="AK3840">
        <v>247.18343423144199</v>
      </c>
      <c r="AL3840">
        <v>79.503812259264095</v>
      </c>
      <c r="AM3840">
        <v>89.495506652510898</v>
      </c>
      <c r="AN3840">
        <v>0.99999998478261498</v>
      </c>
    </row>
    <row r="3841" spans="1:40" x14ac:dyDescent="0.25">
      <c r="A3841" t="str">
        <f>"20190303170329456"</f>
        <v>20190303170329456</v>
      </c>
      <c r="B3841" t="str">
        <f>"1551603809449306"</f>
        <v>1551603809449306</v>
      </c>
      <c r="C3841" t="s">
        <v>40</v>
      </c>
      <c r="D3841">
        <v>4.001601</v>
      </c>
      <c r="E3841">
        <v>0.47439320000000001</v>
      </c>
      <c r="F3841" t="s">
        <v>55</v>
      </c>
      <c r="G3841">
        <v>-157.8382</v>
      </c>
      <c r="H3841">
        <v>2.608311</v>
      </c>
      <c r="I3841">
        <v>235.6583</v>
      </c>
      <c r="J3841">
        <v>-414.96429999999998</v>
      </c>
      <c r="K3841">
        <v>1.121348</v>
      </c>
      <c r="L3841">
        <v>213.5162</v>
      </c>
      <c r="M3841">
        <v>0.99974260000000004</v>
      </c>
      <c r="N3841">
        <v>-8.9659240000000001E-3</v>
      </c>
      <c r="O3841">
        <v>2.0840919999999999E-2</v>
      </c>
      <c r="P3841">
        <v>0.98476839999999999</v>
      </c>
      <c r="Q3841">
        <v>0.17355129999999999</v>
      </c>
      <c r="R3841">
        <v>1.0544329999999999E-2</v>
      </c>
      <c r="S3841">
        <v>3.0403440000000002</v>
      </c>
      <c r="T3841">
        <v>1.755404E-2</v>
      </c>
      <c r="U3841">
        <v>0.2614899</v>
      </c>
      <c r="V3841">
        <v>9.7193660000000001E-3</v>
      </c>
      <c r="W3841">
        <v>0.1823881</v>
      </c>
      <c r="X3841">
        <v>0.98317860000000001</v>
      </c>
      <c r="Y3841">
        <v>-6.4909460000000002E-2</v>
      </c>
      <c r="Z3841">
        <v>4.1112910000000002E-4</v>
      </c>
      <c r="AA3841">
        <v>0.99789110000000003</v>
      </c>
      <c r="AB3841">
        <v>41</v>
      </c>
      <c r="AC3841">
        <v>257.12609999999898</v>
      </c>
      <c r="AD3841">
        <v>1.48696299999999</v>
      </c>
      <c r="AE3841">
        <v>22.142099999999999</v>
      </c>
      <c r="AF3841">
        <v>-16.777773587925001</v>
      </c>
      <c r="AG3841">
        <v>1.48696299999999</v>
      </c>
      <c r="AH3841">
        <v>257.523180139803</v>
      </c>
      <c r="AI3841">
        <v>89.669872342098202</v>
      </c>
      <c r="AJ3841">
        <v>93.727582761073805</v>
      </c>
      <c r="AK3841">
        <v>258.07342570448498</v>
      </c>
      <c r="AL3841">
        <v>79.491109357276599</v>
      </c>
      <c r="AM3841">
        <v>89.433612049875094</v>
      </c>
      <c r="AN3841">
        <v>1.0000000222975001</v>
      </c>
    </row>
    <row r="3842" spans="1:40" x14ac:dyDescent="0.25">
      <c r="A3842" t="str">
        <f>"20190303170329478"</f>
        <v>20190303170329478</v>
      </c>
      <c r="B3842" t="str">
        <f>"1551603809469802"</f>
        <v>1551603809469802</v>
      </c>
      <c r="C3842" t="s">
        <v>40</v>
      </c>
      <c r="D3842">
        <v>3.9590070000000002</v>
      </c>
      <c r="E3842">
        <v>0.47462169999999998</v>
      </c>
      <c r="F3842" t="s">
        <v>55</v>
      </c>
      <c r="G3842">
        <v>-157.8382</v>
      </c>
      <c r="H3842">
        <v>2.4701270000000002</v>
      </c>
      <c r="I3842">
        <v>235.4931</v>
      </c>
      <c r="J3842">
        <v>-414.54059999999998</v>
      </c>
      <c r="K3842">
        <v>1.1213420000000001</v>
      </c>
      <c r="L3842">
        <v>213.52549999999999</v>
      </c>
      <c r="M3842">
        <v>0.99973060000000002</v>
      </c>
      <c r="N3842">
        <v>-9.0903230000000008E-3</v>
      </c>
      <c r="O3842">
        <v>2.136122E-2</v>
      </c>
      <c r="P3842">
        <v>0.98468770000000005</v>
      </c>
      <c r="Q3842">
        <v>0.17408860000000001</v>
      </c>
      <c r="R3842">
        <v>9.1280630000000005E-3</v>
      </c>
      <c r="S3842">
        <v>3.0408330000000001</v>
      </c>
      <c r="T3842">
        <v>1.5951630000000001E-2</v>
      </c>
      <c r="U3842">
        <v>0.259903</v>
      </c>
      <c r="V3842">
        <v>1.1652579999999999E-2</v>
      </c>
      <c r="W3842">
        <v>0.18304870000000001</v>
      </c>
      <c r="X3842">
        <v>0.98303479999999999</v>
      </c>
      <c r="Y3842">
        <v>-6.3859390000000002E-2</v>
      </c>
      <c r="Z3842">
        <v>4.292958E-4</v>
      </c>
      <c r="AA3842">
        <v>0.99795880000000003</v>
      </c>
      <c r="AB3842">
        <v>41</v>
      </c>
      <c r="AC3842">
        <v>256.70240000000001</v>
      </c>
      <c r="AD3842">
        <v>1.3487849999999999</v>
      </c>
      <c r="AE3842">
        <v>21.967600000000001</v>
      </c>
      <c r="AF3842">
        <v>-16.478433024007501</v>
      </c>
      <c r="AG3842">
        <v>1.3487849999999999</v>
      </c>
      <c r="AH3842">
        <v>257.10604926413498</v>
      </c>
      <c r="AI3842">
        <v>89.700043048571601</v>
      </c>
      <c r="AJ3842">
        <v>93.667183503558903</v>
      </c>
      <c r="AK3842">
        <v>257.63710630286698</v>
      </c>
      <c r="AL3842">
        <v>79.452611575191099</v>
      </c>
      <c r="AM3842">
        <v>89.320865968395793</v>
      </c>
      <c r="AN3842">
        <v>1.00000001360169</v>
      </c>
    </row>
    <row r="3843" spans="1:40" x14ac:dyDescent="0.25">
      <c r="A3843" t="str">
        <f>"20190303170329499"</f>
        <v>20190303170329499</v>
      </c>
      <c r="B3843" t="str">
        <f>"1551603809489322"</f>
        <v>1551603809489322</v>
      </c>
      <c r="C3843" t="s">
        <v>40</v>
      </c>
      <c r="D3843">
        <v>3.9195060000000002</v>
      </c>
      <c r="E3843">
        <v>0.47489520000000002</v>
      </c>
      <c r="F3843" t="s">
        <v>55</v>
      </c>
      <c r="G3843">
        <v>-157.25</v>
      </c>
      <c r="H3843">
        <v>2.6833360000000002</v>
      </c>
      <c r="I3843">
        <v>234.98939999999999</v>
      </c>
      <c r="J3843">
        <v>-414.15750000000003</v>
      </c>
      <c r="K3843">
        <v>1.121337</v>
      </c>
      <c r="L3843">
        <v>213.53399999999999</v>
      </c>
      <c r="M3843">
        <v>0.99971989999999999</v>
      </c>
      <c r="N3843">
        <v>-9.1921869999999992E-3</v>
      </c>
      <c r="O3843">
        <v>2.1812390000000001E-2</v>
      </c>
      <c r="P3843">
        <v>0.98464640000000003</v>
      </c>
      <c r="Q3843">
        <v>0.17438890000000001</v>
      </c>
      <c r="R3843">
        <v>7.7414939999999998E-3</v>
      </c>
      <c r="S3843">
        <v>3.0410460000000001</v>
      </c>
      <c r="T3843">
        <v>1.8462659999999999E-2</v>
      </c>
      <c r="U3843">
        <v>0.25369259999999999</v>
      </c>
      <c r="V3843">
        <v>1.348922E-2</v>
      </c>
      <c r="W3843">
        <v>0.18345040000000001</v>
      </c>
      <c r="X3843">
        <v>0.98293640000000004</v>
      </c>
      <c r="Y3843">
        <v>-6.1379570000000001E-2</v>
      </c>
      <c r="Z3843">
        <v>4.2897310000000001E-4</v>
      </c>
      <c r="AA3843">
        <v>0.99811439999999996</v>
      </c>
      <c r="AB3843">
        <v>41</v>
      </c>
      <c r="AC3843">
        <v>256.90750000000003</v>
      </c>
      <c r="AD3843">
        <v>1.5619989999999999</v>
      </c>
      <c r="AE3843">
        <v>21.455399999999901</v>
      </c>
      <c r="AF3843">
        <v>-15.845710317392401</v>
      </c>
      <c r="AG3843">
        <v>1.5619989999999999</v>
      </c>
      <c r="AH3843">
        <v>257.304939316922</v>
      </c>
      <c r="AI3843">
        <v>89.652841366797702</v>
      </c>
      <c r="AJ3843">
        <v>93.524017845080607</v>
      </c>
      <c r="AK3843">
        <v>257.79712599876598</v>
      </c>
      <c r="AL3843">
        <v>79.429199128749005</v>
      </c>
      <c r="AM3843">
        <v>89.213757002494603</v>
      </c>
      <c r="AN3843">
        <v>0.99999998738066398</v>
      </c>
    </row>
    <row r="3844" spans="1:40" x14ac:dyDescent="0.25">
      <c r="A3844" t="str">
        <f>"20190303170329521"</f>
        <v>20190303170329521</v>
      </c>
      <c r="B3844" t="str">
        <f>"1551603809508842"</f>
        <v>1551603809508842</v>
      </c>
      <c r="C3844" t="s">
        <v>40</v>
      </c>
      <c r="D3844">
        <v>3.996734</v>
      </c>
      <c r="E3844">
        <v>0.47513</v>
      </c>
      <c r="F3844" t="s">
        <v>55</v>
      </c>
      <c r="G3844">
        <v>-157.25</v>
      </c>
      <c r="H3844">
        <v>2.9551530000000001</v>
      </c>
      <c r="I3844">
        <v>234.36680000000001</v>
      </c>
      <c r="J3844">
        <v>-413.73899999999998</v>
      </c>
      <c r="K3844">
        <v>1.121324</v>
      </c>
      <c r="L3844">
        <v>213.5436</v>
      </c>
      <c r="M3844">
        <v>0.99970870000000001</v>
      </c>
      <c r="N3844">
        <v>-9.2920920000000001E-3</v>
      </c>
      <c r="O3844">
        <v>2.2277399999999999E-2</v>
      </c>
      <c r="P3844">
        <v>0.98465060000000004</v>
      </c>
      <c r="Q3844">
        <v>0.1743721</v>
      </c>
      <c r="R3844">
        <v>7.6002800000000001E-3</v>
      </c>
      <c r="S3844">
        <v>3.0410159999999999</v>
      </c>
      <c r="T3844">
        <v>2.1707529999999999E-2</v>
      </c>
      <c r="U3844">
        <v>0.24659729999999999</v>
      </c>
      <c r="V3844">
        <v>1.4097810000000001E-2</v>
      </c>
      <c r="W3844">
        <v>0.183532</v>
      </c>
      <c r="X3844">
        <v>0.98291269999999997</v>
      </c>
      <c r="Y3844">
        <v>-5.8603040000000002E-2</v>
      </c>
      <c r="Z3844">
        <v>4.2934309999999998E-4</v>
      </c>
      <c r="AA3844">
        <v>0.99828130000000004</v>
      </c>
      <c r="AB3844">
        <v>41</v>
      </c>
      <c r="AC3844">
        <v>256.48899999999998</v>
      </c>
      <c r="AD3844">
        <v>1.8338289999999999</v>
      </c>
      <c r="AE3844">
        <v>20.8232</v>
      </c>
      <c r="AF3844">
        <v>-15.1031103938359</v>
      </c>
      <c r="AG3844">
        <v>1.8338289999999999</v>
      </c>
      <c r="AH3844">
        <v>256.87620265486498</v>
      </c>
      <c r="AI3844">
        <v>89.591679781469495</v>
      </c>
      <c r="AJ3844">
        <v>93.364848144187405</v>
      </c>
      <c r="AK3844">
        <v>257.32634991922799</v>
      </c>
      <c r="AL3844">
        <v>79.424443813119296</v>
      </c>
      <c r="AM3844">
        <v>89.178269208607503</v>
      </c>
      <c r="AN3844">
        <v>1.0000000595460401</v>
      </c>
    </row>
    <row r="3845" spans="1:40" x14ac:dyDescent="0.25">
      <c r="A3845" t="str">
        <f>"20190303170329544"</f>
        <v>20190303170329544</v>
      </c>
      <c r="B3845" t="str">
        <f>"1551603809539098"</f>
        <v>1551603809539098</v>
      </c>
      <c r="C3845" t="s">
        <v>40</v>
      </c>
      <c r="D3845">
        <v>3.9619430000000002</v>
      </c>
      <c r="E3845">
        <v>0.47535230000000001</v>
      </c>
      <c r="F3845" t="s">
        <v>55</v>
      </c>
      <c r="G3845">
        <v>-157.25</v>
      </c>
      <c r="H3845">
        <v>2.7378360000000002</v>
      </c>
      <c r="I3845">
        <v>234.06989999999999</v>
      </c>
      <c r="J3845">
        <v>-413.31920000000002</v>
      </c>
      <c r="K3845">
        <v>1.1213040000000001</v>
      </c>
      <c r="L3845">
        <v>213.5532</v>
      </c>
      <c r="M3845">
        <v>0.99969810000000003</v>
      </c>
      <c r="N3845">
        <v>-9.3817190000000002E-3</v>
      </c>
      <c r="O3845">
        <v>2.2708119999999998E-2</v>
      </c>
      <c r="P3845">
        <v>0.98464770000000001</v>
      </c>
      <c r="Q3845">
        <v>0.17440369999999999</v>
      </c>
      <c r="R3845">
        <v>7.234725E-3</v>
      </c>
      <c r="S3845">
        <v>3.041534</v>
      </c>
      <c r="T3845">
        <v>1.9169809999999999E-2</v>
      </c>
      <c r="U3845">
        <v>0.24340819999999999</v>
      </c>
      <c r="V3845">
        <v>1.489911E-2</v>
      </c>
      <c r="W3845">
        <v>0.1836515</v>
      </c>
      <c r="X3845">
        <v>0.98287849999999999</v>
      </c>
      <c r="Y3845">
        <v>-5.7119070000000001E-2</v>
      </c>
      <c r="Z3845">
        <v>4.4427049999999998E-4</v>
      </c>
      <c r="AA3845">
        <v>0.99836720000000001</v>
      </c>
      <c r="AB3845">
        <v>41</v>
      </c>
      <c r="AC3845">
        <v>256.06920000000002</v>
      </c>
      <c r="AD3845">
        <v>1.6165320000000001</v>
      </c>
      <c r="AE3845">
        <v>20.516699999999901</v>
      </c>
      <c r="AF3845">
        <v>-14.695720983041801</v>
      </c>
      <c r="AG3845">
        <v>1.6165320000000001</v>
      </c>
      <c r="AH3845">
        <v>256.458924413479</v>
      </c>
      <c r="AI3845">
        <v>89.639444986061505</v>
      </c>
      <c r="AJ3845">
        <v>93.279601250452103</v>
      </c>
      <c r="AK3845">
        <v>256.88471597632503</v>
      </c>
      <c r="AL3845">
        <v>79.417477953830797</v>
      </c>
      <c r="AM3845">
        <v>89.131539915840904</v>
      </c>
      <c r="AN3845">
        <v>1.0000000013466399</v>
      </c>
    </row>
    <row r="3846" spans="1:40" x14ac:dyDescent="0.25">
      <c r="A3846" t="str">
        <f>"20190303170329568"</f>
        <v>20190303170329568</v>
      </c>
      <c r="B3846" t="str">
        <f>"1551603809559594"</f>
        <v>1551603809559594</v>
      </c>
      <c r="C3846" t="s">
        <v>40</v>
      </c>
      <c r="D3846">
        <v>4.0337940000000003</v>
      </c>
      <c r="E3846">
        <v>0.4753019</v>
      </c>
      <c r="F3846" t="s">
        <v>55</v>
      </c>
      <c r="G3846">
        <v>-157.25</v>
      </c>
      <c r="H3846">
        <v>2.7029489999999998</v>
      </c>
      <c r="I3846">
        <v>233.76599999999999</v>
      </c>
      <c r="J3846">
        <v>-412.8888</v>
      </c>
      <c r="K3846">
        <v>1.121262</v>
      </c>
      <c r="L3846">
        <v>213.5633</v>
      </c>
      <c r="M3846">
        <v>0.99968829999999997</v>
      </c>
      <c r="N3846">
        <v>-9.4594599999999994E-3</v>
      </c>
      <c r="O3846">
        <v>2.3107389999999998E-2</v>
      </c>
      <c r="P3846">
        <v>0.98484380000000005</v>
      </c>
      <c r="Q3846">
        <v>0.17326329999999901</v>
      </c>
      <c r="R3846">
        <v>7.9229179999999993E-3</v>
      </c>
      <c r="S3846">
        <v>3.0417179999999999</v>
      </c>
      <c r="T3846">
        <v>1.8788220000000001E-2</v>
      </c>
      <c r="U3846">
        <v>0.240097</v>
      </c>
      <c r="V3846">
        <v>1.462491E-2</v>
      </c>
      <c r="W3846">
        <v>0.1825879</v>
      </c>
      <c r="X3846">
        <v>0.98308070000000003</v>
      </c>
      <c r="Y3846">
        <v>-5.5635509999999999E-2</v>
      </c>
      <c r="Z3846">
        <v>4.5277050000000002E-4</v>
      </c>
      <c r="AA3846">
        <v>0.99845110000000004</v>
      </c>
      <c r="AB3846">
        <v>41</v>
      </c>
      <c r="AC3846">
        <v>255.6388</v>
      </c>
      <c r="AD3846">
        <v>1.5816870000000001</v>
      </c>
      <c r="AE3846">
        <v>20.2027</v>
      </c>
      <c r="AF3846">
        <v>-14.2893521719195</v>
      </c>
      <c r="AG3846">
        <v>1.5816870000000001</v>
      </c>
      <c r="AH3846">
        <v>256.02764769691601</v>
      </c>
      <c r="AI3846">
        <v>89.646592752273605</v>
      </c>
      <c r="AJ3846">
        <v>93.194463853229806</v>
      </c>
      <c r="AK3846">
        <v>256.430972591993</v>
      </c>
      <c r="AL3846">
        <v>79.479465336757201</v>
      </c>
      <c r="AM3846">
        <v>89.147695798811299</v>
      </c>
      <c r="AN3846">
        <v>0.99999994596570196</v>
      </c>
    </row>
    <row r="3847" spans="1:40" x14ac:dyDescent="0.25">
      <c r="A3847" t="str">
        <f>"20190303170329591"</f>
        <v>20190303170329591</v>
      </c>
      <c r="B3847" t="str">
        <f>"1551603809579113"</f>
        <v>1551603809579113</v>
      </c>
      <c r="C3847" t="s">
        <v>40</v>
      </c>
      <c r="D3847">
        <v>4.0408150000000003</v>
      </c>
      <c r="E3847">
        <v>0.47535830000000001</v>
      </c>
      <c r="F3847" t="s">
        <v>55</v>
      </c>
      <c r="G3847">
        <v>-157.25</v>
      </c>
      <c r="H3847">
        <v>2.3457919999999999</v>
      </c>
      <c r="I3847">
        <v>233.9796</v>
      </c>
      <c r="J3847">
        <v>-412.4606</v>
      </c>
      <c r="K3847">
        <v>1.1212150000000001</v>
      </c>
      <c r="L3847">
        <v>213.5735</v>
      </c>
      <c r="M3847">
        <v>0.9996796</v>
      </c>
      <c r="N3847">
        <v>-9.5145820000000006E-3</v>
      </c>
      <c r="O3847">
        <v>2.34568E-2</v>
      </c>
      <c r="P3847">
        <v>0.98493269999999999</v>
      </c>
      <c r="Q3847">
        <v>0.1727127</v>
      </c>
      <c r="R3847">
        <v>8.8451539999999992E-3</v>
      </c>
      <c r="S3847">
        <v>3.041687</v>
      </c>
      <c r="T3847">
        <v>1.457059E-2</v>
      </c>
      <c r="U3847">
        <v>0.24291989999999999</v>
      </c>
      <c r="V3847">
        <v>1.406721E-2</v>
      </c>
      <c r="W3847">
        <v>0.18209040000000001</v>
      </c>
      <c r="X3847">
        <v>0.98318119999999998</v>
      </c>
      <c r="Y3847">
        <v>-5.6207769999999997E-2</v>
      </c>
      <c r="Z3847">
        <v>4.6846270000000002E-4</v>
      </c>
      <c r="AA3847">
        <v>0.99841899999999995</v>
      </c>
      <c r="AB3847">
        <v>42</v>
      </c>
      <c r="AC3847">
        <v>255.2106</v>
      </c>
      <c r="AD3847">
        <v>1.22457699999999</v>
      </c>
      <c r="AE3847">
        <v>20.406099999999999</v>
      </c>
      <c r="AF3847">
        <v>-14.413460205584199</v>
      </c>
      <c r="AG3847">
        <v>1.22457699999999</v>
      </c>
      <c r="AH3847">
        <v>255.61320850013001</v>
      </c>
      <c r="AI3847">
        <v>89.7259481204064</v>
      </c>
      <c r="AJ3847">
        <v>93.227363890226499</v>
      </c>
      <c r="AK3847">
        <v>256.02218611608203</v>
      </c>
      <c r="AL3847">
        <v>79.508456953607293</v>
      </c>
      <c r="AM3847">
        <v>89.180276463939194</v>
      </c>
      <c r="AN3847">
        <v>1.0000000361013901</v>
      </c>
    </row>
    <row r="3848" spans="1:40" x14ac:dyDescent="0.25">
      <c r="A3848" t="str">
        <f>"20190303170329614"</f>
        <v>20190303170329614</v>
      </c>
      <c r="B3848" t="str">
        <f>"1551603809599609"</f>
        <v>1551603809599609</v>
      </c>
      <c r="C3848" t="s">
        <v>40</v>
      </c>
      <c r="D3848">
        <v>4.0006779999999997</v>
      </c>
      <c r="E3848">
        <v>0.4753501</v>
      </c>
      <c r="F3848" t="s">
        <v>55</v>
      </c>
      <c r="G3848">
        <v>-157.25</v>
      </c>
      <c r="H3848">
        <v>2.1131929999999999</v>
      </c>
      <c r="I3848">
        <v>234.18770000000001</v>
      </c>
      <c r="J3848">
        <v>-412.03750000000002</v>
      </c>
      <c r="K3848">
        <v>1.1211690000000001</v>
      </c>
      <c r="L3848">
        <v>213.58369999999999</v>
      </c>
      <c r="M3848">
        <v>0.99967249999999996</v>
      </c>
      <c r="N3848">
        <v>-9.5431490000000008E-3</v>
      </c>
      <c r="O3848">
        <v>2.374652E-2</v>
      </c>
      <c r="P3848">
        <v>0.98488580000000003</v>
      </c>
      <c r="Q3848">
        <v>0.17294089999999901</v>
      </c>
      <c r="R3848">
        <v>9.5767690000000006E-3</v>
      </c>
      <c r="S3848">
        <v>3.0416259999999999</v>
      </c>
      <c r="T3848">
        <v>1.1823180000000001E-2</v>
      </c>
      <c r="U3848">
        <v>0.24568180000000001</v>
      </c>
      <c r="V3848">
        <v>1.364055E-2</v>
      </c>
      <c r="W3848">
        <v>0.18234449999999999</v>
      </c>
      <c r="X3848">
        <v>0.98314009999999996</v>
      </c>
      <c r="Y3848">
        <v>-5.6820490000000001E-2</v>
      </c>
      <c r="Z3848">
        <v>4.7976190000000003E-4</v>
      </c>
      <c r="AA3848">
        <v>0.9983843</v>
      </c>
      <c r="AB3848">
        <v>42</v>
      </c>
      <c r="AC3848">
        <v>254.78749999999999</v>
      </c>
      <c r="AD3848">
        <v>0.99202399999999902</v>
      </c>
      <c r="AE3848">
        <v>20.603999999999999</v>
      </c>
      <c r="AF3848">
        <v>-14.5473785239256</v>
      </c>
      <c r="AG3848">
        <v>0.99202399999999902</v>
      </c>
      <c r="AH3848">
        <v>255.20109829615299</v>
      </c>
      <c r="AI3848">
        <v>89.777640527158297</v>
      </c>
      <c r="AJ3848">
        <v>93.262534354933706</v>
      </c>
      <c r="AK3848">
        <v>255.617313390736</v>
      </c>
      <c r="AL3848">
        <v>79.493650021468198</v>
      </c>
      <c r="AM3848">
        <v>89.205102302738496</v>
      </c>
      <c r="AN3848">
        <v>1.0000000187562801</v>
      </c>
    </row>
    <row r="3849" spans="1:40" x14ac:dyDescent="0.25">
      <c r="A3849" t="str">
        <f>"20190303170329646"</f>
        <v>20190303170329646</v>
      </c>
      <c r="B3849" t="str">
        <f>"1551603809639626"</f>
        <v>1551603809639626</v>
      </c>
      <c r="C3849" t="s">
        <v>40</v>
      </c>
      <c r="D3849">
        <v>4.0177239999999896</v>
      </c>
      <c r="E3849">
        <v>0.4755162</v>
      </c>
      <c r="F3849" t="s">
        <v>55</v>
      </c>
      <c r="G3849">
        <v>-157.25</v>
      </c>
      <c r="H3849">
        <v>2.2257229999999999</v>
      </c>
      <c r="I3849">
        <v>234.3321</v>
      </c>
      <c r="J3849">
        <v>-411.43110000000001</v>
      </c>
      <c r="K3849">
        <v>1.121076</v>
      </c>
      <c r="L3849">
        <v>213.5984</v>
      </c>
      <c r="M3849">
        <v>0.99966540000000004</v>
      </c>
      <c r="N3849">
        <v>-9.5354229999999995E-3</v>
      </c>
      <c r="O3849">
        <v>2.404367E-2</v>
      </c>
      <c r="P3849">
        <v>0.98482939999999997</v>
      </c>
      <c r="Q3849">
        <v>0.1732522</v>
      </c>
      <c r="R3849">
        <v>9.7311910000000001E-3</v>
      </c>
      <c r="S3849">
        <v>3.04129</v>
      </c>
      <c r="T3849">
        <v>1.3185260000000001E-2</v>
      </c>
      <c r="U3849">
        <v>0.24766540000000001</v>
      </c>
      <c r="V3849">
        <v>1.381285E-2</v>
      </c>
      <c r="W3849">
        <v>0.182645</v>
      </c>
      <c r="X3849">
        <v>0.98308189999999995</v>
      </c>
      <c r="Y3849">
        <v>-5.7179679999999997E-2</v>
      </c>
      <c r="Z3849">
        <v>4.8232389999999998E-4</v>
      </c>
      <c r="AA3849">
        <v>0.99836380000000002</v>
      </c>
      <c r="AB3849">
        <v>42</v>
      </c>
      <c r="AC3849">
        <v>254.18109999999999</v>
      </c>
      <c r="AD3849">
        <v>1.1046469999999999</v>
      </c>
      <c r="AE3849">
        <v>20.733699999999999</v>
      </c>
      <c r="AF3849">
        <v>-14.615706763653</v>
      </c>
      <c r="AG3849">
        <v>1.1046469999999999</v>
      </c>
      <c r="AH3849">
        <v>254.601371966827</v>
      </c>
      <c r="AI3849">
        <v>89.751819150323996</v>
      </c>
      <c r="AJ3849">
        <v>93.285529150874893</v>
      </c>
      <c r="AK3849">
        <v>255.02293570693999</v>
      </c>
      <c r="AL3849">
        <v>79.476138436437395</v>
      </c>
      <c r="AM3849">
        <v>89.195015253450606</v>
      </c>
      <c r="AN3849">
        <v>1.0000000064788599</v>
      </c>
    </row>
    <row r="3850" spans="1:40" x14ac:dyDescent="0.25">
      <c r="A3850" t="str">
        <f>"20190303170329667"</f>
        <v>20190303170329667</v>
      </c>
      <c r="B3850" t="str">
        <f>"1551603809659146"</f>
        <v>1551603809659146</v>
      </c>
      <c r="C3850" t="s">
        <v>40</v>
      </c>
      <c r="D3850">
        <v>3.9844439999999999</v>
      </c>
      <c r="E3850">
        <v>0.47563129999999998</v>
      </c>
      <c r="F3850" t="s">
        <v>55</v>
      </c>
      <c r="G3850">
        <v>-157.25</v>
      </c>
      <c r="H3850">
        <v>2.4435950000000002</v>
      </c>
      <c r="I3850">
        <v>234.20509999999999</v>
      </c>
      <c r="J3850">
        <v>-411.0188</v>
      </c>
      <c r="K3850">
        <v>1.1210100000000001</v>
      </c>
      <c r="L3850">
        <v>213.60839999999999</v>
      </c>
      <c r="M3850">
        <v>0.99966259999999996</v>
      </c>
      <c r="N3850">
        <v>-9.5077960000000006E-3</v>
      </c>
      <c r="O3850">
        <v>2.4179450000000002E-2</v>
      </c>
      <c r="P3850">
        <v>0.98481549999999995</v>
      </c>
      <c r="Q3850">
        <v>0.17329890000000001</v>
      </c>
      <c r="R3850">
        <v>1.0310450000000001E-2</v>
      </c>
      <c r="S3850">
        <v>3.040985</v>
      </c>
      <c r="T3850">
        <v>1.5823130000000001E-2</v>
      </c>
      <c r="U3850">
        <v>0.24653630000000001</v>
      </c>
      <c r="V3850">
        <v>1.339182E-2</v>
      </c>
      <c r="W3850">
        <v>0.1826624</v>
      </c>
      <c r="X3850">
        <v>0.98308450000000003</v>
      </c>
      <c r="Y3850">
        <v>-5.6684209999999999E-2</v>
      </c>
      <c r="Z3850">
        <v>4.7784370000000001E-4</v>
      </c>
      <c r="AA3850">
        <v>0.99839199999999995</v>
      </c>
      <c r="AB3850">
        <v>42</v>
      </c>
      <c r="AC3850">
        <v>253.7688</v>
      </c>
      <c r="AD3850">
        <v>1.3225849999999999</v>
      </c>
      <c r="AE3850">
        <v>20.596699999999998</v>
      </c>
      <c r="AF3850">
        <v>-14.454021378220901</v>
      </c>
      <c r="AG3850">
        <v>1.3225849999999999</v>
      </c>
      <c r="AH3850">
        <v>254.18578018796799</v>
      </c>
      <c r="AI3850">
        <v>89.702360852997998</v>
      </c>
      <c r="AJ3850">
        <v>93.254562598065604</v>
      </c>
      <c r="AK3850">
        <v>254.59984056328599</v>
      </c>
      <c r="AL3850">
        <v>79.475124508231701</v>
      </c>
      <c r="AM3850">
        <v>89.219551004916596</v>
      </c>
      <c r="AN3850">
        <v>1.0000000136784599</v>
      </c>
    </row>
    <row r="3851" spans="1:40" x14ac:dyDescent="0.25">
      <c r="A3851" t="str">
        <f>"20190303170329689"</f>
        <v>20190303170329689</v>
      </c>
      <c r="B3851" t="str">
        <f>"1551603809679641"</f>
        <v>1551603809679641</v>
      </c>
      <c r="C3851" t="s">
        <v>40</v>
      </c>
      <c r="D3851">
        <v>4.0430140000000003</v>
      </c>
      <c r="E3851">
        <v>0.47570279999999998</v>
      </c>
      <c r="F3851" t="s">
        <v>55</v>
      </c>
      <c r="G3851">
        <v>-157.25</v>
      </c>
      <c r="H3851">
        <v>2.4995699999999998</v>
      </c>
      <c r="I3851">
        <v>234.24940000000001</v>
      </c>
      <c r="J3851">
        <v>-410.61660000000001</v>
      </c>
      <c r="K3851">
        <v>1.1209519999999999</v>
      </c>
      <c r="L3851">
        <v>213.6182</v>
      </c>
      <c r="M3851">
        <v>0.99966069999999996</v>
      </c>
      <c r="N3851">
        <v>-9.4682700000000009E-3</v>
      </c>
      <c r="O3851">
        <v>2.427006E-2</v>
      </c>
      <c r="P3851">
        <v>0.98481450000000004</v>
      </c>
      <c r="Q3851">
        <v>0.17329800000000001</v>
      </c>
      <c r="R3851">
        <v>1.041537E-2</v>
      </c>
      <c r="S3851">
        <v>3.0407709999999999</v>
      </c>
      <c r="T3851">
        <v>1.651919E-2</v>
      </c>
      <c r="U3851">
        <v>0.24732970000000001</v>
      </c>
      <c r="V3851">
        <v>1.339769E-2</v>
      </c>
      <c r="W3851">
        <v>0.18262120000000001</v>
      </c>
      <c r="X3851">
        <v>0.98309210000000002</v>
      </c>
      <c r="Y3851">
        <v>-5.6858249999999999E-2</v>
      </c>
      <c r="Z3851">
        <v>4.7651460000000003E-4</v>
      </c>
      <c r="AA3851">
        <v>0.9983822</v>
      </c>
      <c r="AB3851">
        <v>42</v>
      </c>
      <c r="AC3851">
        <v>253.36660000000001</v>
      </c>
      <c r="AD3851">
        <v>1.3786179999999999</v>
      </c>
      <c r="AE3851">
        <v>20.6312</v>
      </c>
      <c r="AF3851">
        <v>-14.4751989407017</v>
      </c>
      <c r="AG3851">
        <v>1.3786179999999999</v>
      </c>
      <c r="AH3851">
        <v>253.78523995129899</v>
      </c>
      <c r="AI3851">
        <v>89.689264642429094</v>
      </c>
      <c r="AJ3851">
        <v>93.264453758213705</v>
      </c>
      <c r="AK3851">
        <v>254.201455521209</v>
      </c>
      <c r="AL3851">
        <v>79.477525748589102</v>
      </c>
      <c r="AM3851">
        <v>89.219214990496795</v>
      </c>
      <c r="AN3851">
        <v>1.00000003893459</v>
      </c>
    </row>
    <row r="3852" spans="1:40" x14ac:dyDescent="0.25">
      <c r="A3852" t="str">
        <f>"20190303170329711"</f>
        <v>20190303170329711</v>
      </c>
      <c r="B3852" t="str">
        <f>"1551603809699162"</f>
        <v>1551603809699162</v>
      </c>
      <c r="C3852" t="s">
        <v>40</v>
      </c>
      <c r="D3852">
        <v>4.1387229999999997</v>
      </c>
      <c r="E3852">
        <v>0.47573070000000001</v>
      </c>
      <c r="F3852" t="s">
        <v>55</v>
      </c>
      <c r="G3852">
        <v>-157.25</v>
      </c>
      <c r="H3852">
        <v>2.4611269999999998</v>
      </c>
      <c r="I3852">
        <v>234.21610000000001</v>
      </c>
      <c r="J3852">
        <v>-410.20589999999999</v>
      </c>
      <c r="K3852">
        <v>1.1208940000000001</v>
      </c>
      <c r="L3852">
        <v>213.62819999999999</v>
      </c>
      <c r="M3852">
        <v>0.99965970000000004</v>
      </c>
      <c r="N3852">
        <v>-9.4168020000000002E-3</v>
      </c>
      <c r="O3852">
        <v>2.432927E-2</v>
      </c>
      <c r="P3852">
        <v>0.9848462</v>
      </c>
      <c r="Q3852">
        <v>0.17315710000000001</v>
      </c>
      <c r="R3852">
        <v>9.7301980000000007E-3</v>
      </c>
      <c r="S3852">
        <v>3.0408019999999998</v>
      </c>
      <c r="T3852">
        <v>1.6084910000000001E-2</v>
      </c>
      <c r="U3852">
        <v>0.2472076</v>
      </c>
      <c r="V3852">
        <v>1.416033E-2</v>
      </c>
      <c r="W3852">
        <v>0.1824289</v>
      </c>
      <c r="X3852">
        <v>0.98311700000000002</v>
      </c>
      <c r="Y3852">
        <v>-5.675844E-2</v>
      </c>
      <c r="Z3852">
        <v>4.7505810000000002E-4</v>
      </c>
      <c r="AA3852">
        <v>0.99838780000000005</v>
      </c>
      <c r="AB3852">
        <v>42</v>
      </c>
      <c r="AC3852">
        <v>252.95590000000001</v>
      </c>
      <c r="AD3852">
        <v>1.34023299999999</v>
      </c>
      <c r="AE3852">
        <v>20.587900000000001</v>
      </c>
      <c r="AF3852">
        <v>-14.4268981568895</v>
      </c>
      <c r="AG3852">
        <v>1.34023299999999</v>
      </c>
      <c r="AH3852">
        <v>253.374863161425</v>
      </c>
      <c r="AI3852">
        <v>89.6974253684849</v>
      </c>
      <c r="AJ3852">
        <v>93.258842679387001</v>
      </c>
      <c r="AK3852">
        <v>253.78879584606301</v>
      </c>
      <c r="AL3852">
        <v>79.488730788785503</v>
      </c>
      <c r="AM3852">
        <v>89.174797052369996</v>
      </c>
      <c r="AN3852">
        <v>0.999999927094956</v>
      </c>
    </row>
    <row r="3853" spans="1:40" x14ac:dyDescent="0.25">
      <c r="A3853" t="str">
        <f>"20190303170329736"</f>
        <v>20190303170329736</v>
      </c>
      <c r="B3853" t="str">
        <f>"1551603809729417"</f>
        <v>1551603809729417</v>
      </c>
      <c r="C3853" t="s">
        <v>40</v>
      </c>
      <c r="D3853">
        <v>4.0695709999999998</v>
      </c>
      <c r="E3853">
        <v>0.50226720000000002</v>
      </c>
      <c r="F3853" t="s">
        <v>55</v>
      </c>
      <c r="G3853">
        <v>-157.25</v>
      </c>
      <c r="H3853">
        <v>2.4434619999999998</v>
      </c>
      <c r="I3853">
        <v>234.08779999999999</v>
      </c>
      <c r="J3853">
        <v>-409.76159999999999</v>
      </c>
      <c r="K3853">
        <v>1.1208450000000001</v>
      </c>
      <c r="L3853">
        <v>213.63900000000001</v>
      </c>
      <c r="M3853">
        <v>0.99965950000000003</v>
      </c>
      <c r="N3853">
        <v>-9.3513429999999998E-3</v>
      </c>
      <c r="O3853">
        <v>2.4360449999999999E-2</v>
      </c>
      <c r="P3853">
        <v>0.98485290000000003</v>
      </c>
      <c r="Q3853">
        <v>0.17318120000000001</v>
      </c>
      <c r="R3853">
        <v>8.5571759999999997E-3</v>
      </c>
      <c r="S3853">
        <v>3.040924</v>
      </c>
      <c r="T3853">
        <v>1.5900020000000001E-2</v>
      </c>
      <c r="U3853">
        <v>0.24595639999999999</v>
      </c>
      <c r="V3853">
        <v>1.5380609999999999E-2</v>
      </c>
      <c r="W3853">
        <v>0.18238760000000001</v>
      </c>
      <c r="X3853">
        <v>0.98310640000000005</v>
      </c>
      <c r="Y3853">
        <v>-5.6315900000000002E-2</v>
      </c>
      <c r="Z3853">
        <v>4.7138939999999998E-4</v>
      </c>
      <c r="AA3853">
        <v>0.99841290000000005</v>
      </c>
      <c r="AB3853">
        <v>42</v>
      </c>
      <c r="AC3853">
        <v>252.51159999999999</v>
      </c>
      <c r="AD3853">
        <v>1.3226169999999899</v>
      </c>
      <c r="AE3853">
        <v>20.448799999999899</v>
      </c>
      <c r="AF3853">
        <v>-14.2907763768647</v>
      </c>
      <c r="AG3853">
        <v>1.3226169999999899</v>
      </c>
      <c r="AH3853">
        <v>252.927928031135</v>
      </c>
      <c r="AI3853">
        <v>89.700867305647094</v>
      </c>
      <c r="AJ3853">
        <v>93.233852144029598</v>
      </c>
      <c r="AK3853">
        <v>253.33478320851501</v>
      </c>
      <c r="AL3853">
        <v>79.4911382224563</v>
      </c>
      <c r="AM3853">
        <v>89.103685876525404</v>
      </c>
      <c r="AN3853">
        <v>0.99999999675934603</v>
      </c>
    </row>
    <row r="3854" spans="1:40" x14ac:dyDescent="0.25">
      <c r="A3854" t="str">
        <f>"20190303170329757"</f>
        <v>20190303170329757</v>
      </c>
      <c r="B3854" t="str">
        <f>"1551603809748938"</f>
        <v>1551603809748938</v>
      </c>
      <c r="C3854" t="s">
        <v>40</v>
      </c>
      <c r="D3854">
        <v>4.0702309999999997</v>
      </c>
      <c r="E3854">
        <v>0.50268639999999998</v>
      </c>
      <c r="F3854" t="s">
        <v>89</v>
      </c>
      <c r="G3854">
        <v>-107.39749999999999</v>
      </c>
      <c r="H3854">
        <v>3.368951</v>
      </c>
      <c r="I3854">
        <v>216.6361</v>
      </c>
      <c r="J3854">
        <v>-409.33969999999999</v>
      </c>
      <c r="K3854">
        <v>1.1208020000000001</v>
      </c>
      <c r="L3854">
        <v>213.64930000000001</v>
      </c>
      <c r="M3854">
        <v>0.99966029999999995</v>
      </c>
      <c r="N3854">
        <v>-9.2822340000000003E-3</v>
      </c>
      <c r="O3854">
        <v>2.4358089999999999E-2</v>
      </c>
      <c r="P3854">
        <v>0.98492159999999995</v>
      </c>
      <c r="Q3854">
        <v>0.17280709999999999</v>
      </c>
      <c r="R3854">
        <v>8.2194940000000008E-3</v>
      </c>
      <c r="S3854">
        <v>3.0418699999999999</v>
      </c>
      <c r="T3854">
        <v>2.2617100000000001E-2</v>
      </c>
      <c r="U3854">
        <v>3.015137E-2</v>
      </c>
      <c r="V3854">
        <v>1.57317999999999E-2</v>
      </c>
      <c r="W3854">
        <v>0.181945</v>
      </c>
      <c r="X3854">
        <v>0.98318280000000002</v>
      </c>
      <c r="Y3854">
        <v>1.4445950000000001E-2</v>
      </c>
      <c r="Z3854">
        <v>3.9385080000000001E-4</v>
      </c>
      <c r="AA3854">
        <v>0.9998956</v>
      </c>
      <c r="AB3854">
        <v>42</v>
      </c>
      <c r="AC3854">
        <v>301.94220000000001</v>
      </c>
      <c r="AD3854">
        <v>2.2481490000000002</v>
      </c>
      <c r="AE3854">
        <v>2.9867999999999801</v>
      </c>
      <c r="AF3854">
        <v>4.36889552918674</v>
      </c>
      <c r="AG3854">
        <v>2.2481490000000002</v>
      </c>
      <c r="AH3854">
        <v>301.90862584482102</v>
      </c>
      <c r="AI3854">
        <v>89.573402103526405</v>
      </c>
      <c r="AJ3854">
        <v>89.170935234004503</v>
      </c>
      <c r="AK3854">
        <v>301.94860453656599</v>
      </c>
      <c r="AL3854">
        <v>79.516928326104505</v>
      </c>
      <c r="AM3854">
        <v>89.083294753675005</v>
      </c>
      <c r="AN3854">
        <v>0.99999994538603798</v>
      </c>
    </row>
    <row r="3855" spans="1:40" x14ac:dyDescent="0.25">
      <c r="A3855" t="str">
        <f>"20190303170329781"</f>
        <v>20190303170329781</v>
      </c>
      <c r="B3855" t="str">
        <f>"1551603809769433"</f>
        <v>1551603809769433</v>
      </c>
      <c r="C3855" t="s">
        <v>40</v>
      </c>
      <c r="D3855">
        <v>4.0720269999999896</v>
      </c>
      <c r="E3855">
        <v>0.50277510000000003</v>
      </c>
      <c r="F3855" t="s">
        <v>89</v>
      </c>
      <c r="G3855">
        <v>-107.39749999999999</v>
      </c>
      <c r="H3855">
        <v>2.7801019999999999</v>
      </c>
      <c r="I3855">
        <v>216.25819999999999</v>
      </c>
      <c r="J3855">
        <v>-408.90429999999998</v>
      </c>
      <c r="K3855">
        <v>1.120754</v>
      </c>
      <c r="L3855">
        <v>213.65989999999999</v>
      </c>
      <c r="M3855">
        <v>0.99966149999999998</v>
      </c>
      <c r="N3855">
        <v>-9.20962E-3</v>
      </c>
      <c r="O3855">
        <v>2.4335260000000001E-2</v>
      </c>
      <c r="P3855">
        <v>0.98507820000000001</v>
      </c>
      <c r="Q3855">
        <v>0.17194000000000001</v>
      </c>
      <c r="R3855">
        <v>7.6055419999999999E-3</v>
      </c>
      <c r="S3855">
        <v>3.0428160000000002</v>
      </c>
      <c r="T3855">
        <v>1.672208E-2</v>
      </c>
      <c r="U3855">
        <v>2.6290890000000001E-2</v>
      </c>
      <c r="V3855">
        <v>1.6340560000000001E-2</v>
      </c>
      <c r="W3855">
        <v>0.18100669999999999</v>
      </c>
      <c r="X3855">
        <v>0.9833461</v>
      </c>
      <c r="Y3855">
        <v>1.5695480000000001E-2</v>
      </c>
      <c r="Z3855">
        <v>3.2870650000000001E-4</v>
      </c>
      <c r="AA3855">
        <v>0.99987669999999995</v>
      </c>
      <c r="AB3855">
        <v>42</v>
      </c>
      <c r="AC3855">
        <v>301.5068</v>
      </c>
      <c r="AD3855">
        <v>1.6593479999999901</v>
      </c>
      <c r="AE3855">
        <v>2.5982999999999898</v>
      </c>
      <c r="AF3855">
        <v>4.7398830383029997</v>
      </c>
      <c r="AG3855">
        <v>1.6593479999999901</v>
      </c>
      <c r="AH3855">
        <v>301.47160479306899</v>
      </c>
      <c r="AI3855">
        <v>89.684677007268505</v>
      </c>
      <c r="AJ3855">
        <v>89.099242134288801</v>
      </c>
      <c r="AK3855">
        <v>301.51342992230002</v>
      </c>
      <c r="AL3855">
        <v>79.571597240142097</v>
      </c>
      <c r="AM3855">
        <v>89.047986298466796</v>
      </c>
      <c r="AN3855">
        <v>0.99999999586560595</v>
      </c>
    </row>
    <row r="3856" spans="1:40" x14ac:dyDescent="0.25">
      <c r="A3856" t="str">
        <f>"20190303170329802"</f>
        <v>20190303170329802</v>
      </c>
      <c r="B3856" t="str">
        <f>"1551603809788954"</f>
        <v>1551603809788954</v>
      </c>
      <c r="C3856" t="s">
        <v>40</v>
      </c>
      <c r="D3856">
        <v>4.0493569999999997</v>
      </c>
      <c r="E3856">
        <v>0.50276670000000001</v>
      </c>
      <c r="F3856" t="s">
        <v>89</v>
      </c>
      <c r="G3856">
        <v>-107.39749999999999</v>
      </c>
      <c r="H3856">
        <v>2.1556359999999999</v>
      </c>
      <c r="I3856">
        <v>215.9984</v>
      </c>
      <c r="J3856">
        <v>-408.4991</v>
      </c>
      <c r="K3856">
        <v>1.1207180000000001</v>
      </c>
      <c r="L3856">
        <v>213.66970000000001</v>
      </c>
      <c r="M3856">
        <v>0.99966290000000002</v>
      </c>
      <c r="N3856">
        <v>-9.1427660000000001E-3</v>
      </c>
      <c r="O3856">
        <v>2.4298980000000001E-2</v>
      </c>
      <c r="P3856">
        <v>0.98518749999999999</v>
      </c>
      <c r="Q3856">
        <v>0.1713488</v>
      </c>
      <c r="R3856">
        <v>6.7061969999999997E-3</v>
      </c>
      <c r="S3856">
        <v>3.0434269999999999</v>
      </c>
      <c r="T3856">
        <v>1.044667E-2</v>
      </c>
      <c r="U3856">
        <v>2.3605350000000001E-2</v>
      </c>
      <c r="V3856">
        <v>1.7218629999999999E-2</v>
      </c>
      <c r="W3856">
        <v>0.18034919999999999</v>
      </c>
      <c r="X3856">
        <v>0.98345190000000005</v>
      </c>
      <c r="Y3856">
        <v>1.6543860000000001E-2</v>
      </c>
      <c r="Z3856">
        <v>2.5834049999999998E-4</v>
      </c>
      <c r="AA3856">
        <v>0.9998631</v>
      </c>
      <c r="AB3856">
        <v>42</v>
      </c>
      <c r="AC3856">
        <v>301.10160000000002</v>
      </c>
      <c r="AD3856">
        <v>1.03491799999999</v>
      </c>
      <c r="AE3856">
        <v>2.3286999999999898</v>
      </c>
      <c r="AF3856">
        <v>4.9886964786417298</v>
      </c>
      <c r="AG3856">
        <v>1.03491799999999</v>
      </c>
      <c r="AH3856">
        <v>301.06571907328902</v>
      </c>
      <c r="AI3856">
        <v>89.803072693040903</v>
      </c>
      <c r="AJ3856">
        <v>89.050688671729603</v>
      </c>
      <c r="AK3856">
        <v>301.10882642151103</v>
      </c>
      <c r="AL3856">
        <v>79.609899390023699</v>
      </c>
      <c r="AM3856">
        <v>88.996947344874798</v>
      </c>
      <c r="AN3856">
        <v>0.99999997738666302</v>
      </c>
    </row>
    <row r="3857" spans="1:40" x14ac:dyDescent="0.25">
      <c r="A3857" t="str">
        <f>"20190303170329825"</f>
        <v>20190303170329825</v>
      </c>
      <c r="B3857" t="str">
        <f>"1551603809819209"</f>
        <v>1551603809819209</v>
      </c>
      <c r="C3857" t="s">
        <v>40</v>
      </c>
      <c r="D3857">
        <v>4.0648710000000001</v>
      </c>
      <c r="E3857">
        <v>0.50267419999999996</v>
      </c>
      <c r="F3857" t="s">
        <v>89</v>
      </c>
      <c r="G3857">
        <v>-107.39749999999999</v>
      </c>
      <c r="H3857">
        <v>2.3220420000000002</v>
      </c>
      <c r="I3857">
        <v>215.74889999999999</v>
      </c>
      <c r="J3857">
        <v>-408.07560000000001</v>
      </c>
      <c r="K3857">
        <v>1.120681</v>
      </c>
      <c r="L3857">
        <v>213.68</v>
      </c>
      <c r="M3857">
        <v>0.99966500000000003</v>
      </c>
      <c r="N3857">
        <v>-9.0749579999999993E-3</v>
      </c>
      <c r="O3857">
        <v>2.4247080000000001E-2</v>
      </c>
      <c r="P3857">
        <v>0.98521020000000004</v>
      </c>
      <c r="Q3857">
        <v>0.17123679999999999</v>
      </c>
      <c r="R3857">
        <v>6.2728339999999997E-3</v>
      </c>
      <c r="S3857">
        <v>3.0428160000000002</v>
      </c>
      <c r="T3857">
        <v>1.2140629999999999E-2</v>
      </c>
      <c r="U3857">
        <v>2.1011350000000002E-2</v>
      </c>
      <c r="V3857">
        <v>1.7612889999999999E-2</v>
      </c>
      <c r="W3857">
        <v>0.18016960000000001</v>
      </c>
      <c r="X3857">
        <v>0.98347790000000002</v>
      </c>
      <c r="Y3857">
        <v>1.7342570000000002E-2</v>
      </c>
      <c r="Z3857">
        <v>2.7269810000000002E-4</v>
      </c>
      <c r="AA3857">
        <v>0.99984960000000001</v>
      </c>
      <c r="AB3857">
        <v>42</v>
      </c>
      <c r="AC3857">
        <v>300.67809999999997</v>
      </c>
      <c r="AD3857">
        <v>1.2013609999999899</v>
      </c>
      <c r="AE3857">
        <v>2.0688999999999802</v>
      </c>
      <c r="AF3857">
        <v>5.2224897016476897</v>
      </c>
      <c r="AG3857">
        <v>1.2013609999999899</v>
      </c>
      <c r="AH3857">
        <v>300.635059999242</v>
      </c>
      <c r="AI3857">
        <v>89.771077381159003</v>
      </c>
      <c r="AJ3857">
        <v>89.0047849884577</v>
      </c>
      <c r="AK3857">
        <v>300.68281787904698</v>
      </c>
      <c r="AL3857">
        <v>79.620361733124696</v>
      </c>
      <c r="AM3857">
        <v>88.974012128745599</v>
      </c>
      <c r="AN3857">
        <v>1.0000000392233599</v>
      </c>
    </row>
    <row r="3858" spans="1:40" x14ac:dyDescent="0.25">
      <c r="A3858" t="str">
        <f>"20190303170329847"</f>
        <v>20190303170329847</v>
      </c>
      <c r="B3858" t="str">
        <f>"1551603809839706"</f>
        <v>1551603809839706</v>
      </c>
      <c r="C3858" t="s">
        <v>40</v>
      </c>
      <c r="D3858">
        <v>4.0616159999999999</v>
      </c>
      <c r="E3858">
        <v>0.50262609999999996</v>
      </c>
      <c r="F3858" t="s">
        <v>89</v>
      </c>
      <c r="G3858">
        <v>-107.39749999999999</v>
      </c>
      <c r="H3858">
        <v>2.3931529999999999</v>
      </c>
      <c r="I3858">
        <v>215.71559999999999</v>
      </c>
      <c r="J3858">
        <v>-407.64370000000002</v>
      </c>
      <c r="K3858">
        <v>1.1206480000000001</v>
      </c>
      <c r="L3858">
        <v>213.69049999999999</v>
      </c>
      <c r="M3858">
        <v>0.99966710000000003</v>
      </c>
      <c r="N3858">
        <v>-9.0062930000000003E-3</v>
      </c>
      <c r="O3858">
        <v>2.4181970000000001E-2</v>
      </c>
      <c r="P3858">
        <v>0.98509910000000001</v>
      </c>
      <c r="Q3858">
        <v>0.1718682</v>
      </c>
      <c r="R3858">
        <v>6.4183959999999998E-3</v>
      </c>
      <c r="S3858">
        <v>3.042694</v>
      </c>
      <c r="T3858">
        <v>1.287723E-2</v>
      </c>
      <c r="U3858">
        <v>2.0599369999999999E-2</v>
      </c>
      <c r="V3858">
        <v>1.7411909999999999E-2</v>
      </c>
      <c r="W3858">
        <v>0.1807319</v>
      </c>
      <c r="X3858">
        <v>0.98337819999999998</v>
      </c>
      <c r="Y3858">
        <v>1.7412480000000001E-2</v>
      </c>
      <c r="Z3858">
        <v>2.7857309999999998E-4</v>
      </c>
      <c r="AA3858">
        <v>0.99984839999999997</v>
      </c>
      <c r="AB3858">
        <v>42</v>
      </c>
      <c r="AC3858">
        <v>300.24619999999999</v>
      </c>
      <c r="AD3858">
        <v>1.272505</v>
      </c>
      <c r="AE3858">
        <v>2.0251000000000001</v>
      </c>
      <c r="AF3858">
        <v>5.2362365759574896</v>
      </c>
      <c r="AG3858">
        <v>1.272505</v>
      </c>
      <c r="AH3858">
        <v>300.20197371148703</v>
      </c>
      <c r="AI3858">
        <v>89.757171346161201</v>
      </c>
      <c r="AJ3858">
        <v>89.000726633891603</v>
      </c>
      <c r="AK3858">
        <v>300.250332993531</v>
      </c>
      <c r="AL3858">
        <v>79.587605557261696</v>
      </c>
      <c r="AM3858">
        <v>88.985614364594795</v>
      </c>
      <c r="AN3858">
        <v>0.999999939261347</v>
      </c>
    </row>
    <row r="3859" spans="1:40" x14ac:dyDescent="0.25">
      <c r="A3859" t="str">
        <f>"20190303170329868"</f>
        <v>20190303170329868</v>
      </c>
      <c r="B3859" t="str">
        <f>"1551603809859226"</f>
        <v>1551603809859226</v>
      </c>
      <c r="C3859" t="s">
        <v>40</v>
      </c>
      <c r="D3859">
        <v>4.1444839999999896</v>
      </c>
      <c r="E3859">
        <v>0.5025155</v>
      </c>
      <c r="F3859" t="s">
        <v>89</v>
      </c>
      <c r="G3859">
        <v>-107.39749999999999</v>
      </c>
      <c r="H3859">
        <v>2.642347</v>
      </c>
      <c r="I3859">
        <v>215.7594</v>
      </c>
      <c r="J3859">
        <v>-407.23469999999998</v>
      </c>
      <c r="K3859">
        <v>1.1206179999999999</v>
      </c>
      <c r="L3859">
        <v>213.7003</v>
      </c>
      <c r="M3859">
        <v>0.99966940000000004</v>
      </c>
      <c r="N3859">
        <v>-8.9400799999999996E-3</v>
      </c>
      <c r="O3859">
        <v>2.4109619999999998E-2</v>
      </c>
      <c r="P3859">
        <v>0.98496839999999997</v>
      </c>
      <c r="Q3859">
        <v>0.1726065</v>
      </c>
      <c r="R3859">
        <v>6.6689059999999996E-3</v>
      </c>
      <c r="S3859">
        <v>3.0425719999999998</v>
      </c>
      <c r="T3859">
        <v>1.542079E-2</v>
      </c>
      <c r="U3859">
        <v>2.0965580000000001E-2</v>
      </c>
      <c r="V3859">
        <v>1.7096610000000002E-2</v>
      </c>
      <c r="W3859">
        <v>0.18140300000000001</v>
      </c>
      <c r="X3859">
        <v>0.98326020000000003</v>
      </c>
      <c r="Y3859">
        <v>1.721924E-2</v>
      </c>
      <c r="Z3859">
        <v>3.04405E-4</v>
      </c>
      <c r="AA3859">
        <v>0.99985170000000001</v>
      </c>
      <c r="AB3859">
        <v>42</v>
      </c>
      <c r="AC3859">
        <v>299.8372</v>
      </c>
      <c r="AD3859">
        <v>1.5217290000000001</v>
      </c>
      <c r="AE3859">
        <v>2.0590999999999999</v>
      </c>
      <c r="AF3859">
        <v>5.1706148772511398</v>
      </c>
      <c r="AG3859">
        <v>1.5217290000000001</v>
      </c>
      <c r="AH3859">
        <v>299.79196119820199</v>
      </c>
      <c r="AI3859">
        <v>89.709215232795202</v>
      </c>
      <c r="AJ3859">
        <v>89.011897989765302</v>
      </c>
      <c r="AK3859">
        <v>299.84040907859998</v>
      </c>
      <c r="AL3859">
        <v>79.548508550510206</v>
      </c>
      <c r="AM3859">
        <v>89.003859916926302</v>
      </c>
      <c r="AN3859">
        <v>0.99999998169326498</v>
      </c>
    </row>
    <row r="3860" spans="1:40" x14ac:dyDescent="0.25">
      <c r="A3860" t="str">
        <f>"20190303170329890"</f>
        <v>20190303170329890</v>
      </c>
      <c r="B3860" t="str">
        <f>"1551603809879722"</f>
        <v>1551603809879722</v>
      </c>
      <c r="C3860" t="s">
        <v>40</v>
      </c>
      <c r="D3860">
        <v>4.0752439999999996</v>
      </c>
      <c r="E3860">
        <v>0.50253649999999905</v>
      </c>
      <c r="F3860" t="s">
        <v>89</v>
      </c>
      <c r="G3860">
        <v>-107.39749999999999</v>
      </c>
      <c r="H3860">
        <v>2.7145260000000002</v>
      </c>
      <c r="I3860">
        <v>215.94669999999999</v>
      </c>
      <c r="J3860">
        <v>-406.82510000000002</v>
      </c>
      <c r="K3860">
        <v>1.1205940000000001</v>
      </c>
      <c r="L3860">
        <v>213.71010000000001</v>
      </c>
      <c r="M3860">
        <v>0.99967189999999995</v>
      </c>
      <c r="N3860">
        <v>-8.8743209999999993E-3</v>
      </c>
      <c r="O3860">
        <v>2.4028589999999999E-2</v>
      </c>
      <c r="P3860">
        <v>0.98488520000000002</v>
      </c>
      <c r="Q3860">
        <v>0.1730824</v>
      </c>
      <c r="R3860">
        <v>6.5911609999999999E-3</v>
      </c>
      <c r="S3860">
        <v>3.0428160000000002</v>
      </c>
      <c r="T3860">
        <v>1.6175869999999998E-2</v>
      </c>
      <c r="U3860">
        <v>2.2796629999999998E-2</v>
      </c>
      <c r="V3860">
        <v>1.7101229999999999E-2</v>
      </c>
      <c r="W3860">
        <v>0.18181240000000001</v>
      </c>
      <c r="X3860">
        <v>0.98318450000000002</v>
      </c>
      <c r="Y3860">
        <v>1.6537019999999999E-2</v>
      </c>
      <c r="Z3860">
        <v>3.1155359999999999E-4</v>
      </c>
      <c r="AA3860">
        <v>0.99986319999999995</v>
      </c>
      <c r="AB3860">
        <v>42</v>
      </c>
      <c r="AC3860">
        <v>299.42759999999998</v>
      </c>
      <c r="AD3860">
        <v>1.5939319999999899</v>
      </c>
      <c r="AE3860">
        <v>2.2365999999999802</v>
      </c>
      <c r="AF3860">
        <v>4.9590115413255802</v>
      </c>
      <c r="AG3860">
        <v>1.5939319999999899</v>
      </c>
      <c r="AH3860">
        <v>299.38640116640698</v>
      </c>
      <c r="AI3860">
        <v>89.695002218023006</v>
      </c>
      <c r="AJ3860">
        <v>89.051044235636397</v>
      </c>
      <c r="AK3860">
        <v>299.43171110966301</v>
      </c>
      <c r="AL3860">
        <v>79.524654990615502</v>
      </c>
      <c r="AM3860">
        <v>89.003514082476798</v>
      </c>
      <c r="AN3860">
        <v>0.99999998095076104</v>
      </c>
    </row>
    <row r="3861" spans="1:40" x14ac:dyDescent="0.25">
      <c r="A3861" t="str">
        <f>"20190303170329913"</f>
        <v>20190303170329913</v>
      </c>
      <c r="B3861" t="str">
        <f>"1551603809899242"</f>
        <v>1551603809899242</v>
      </c>
      <c r="C3861" t="s">
        <v>40</v>
      </c>
      <c r="D3861">
        <v>4.0788890000000002</v>
      </c>
      <c r="E3861">
        <v>0.50259639999999906</v>
      </c>
      <c r="F3861" t="s">
        <v>89</v>
      </c>
      <c r="G3861">
        <v>-107.39749999999999</v>
      </c>
      <c r="H3861">
        <v>2.6332100000000001</v>
      </c>
      <c r="I3861">
        <v>215.9607</v>
      </c>
      <c r="J3861">
        <v>-406.39609999999999</v>
      </c>
      <c r="K3861">
        <v>1.1205689999999999</v>
      </c>
      <c r="L3861">
        <v>213.72040000000001</v>
      </c>
      <c r="M3861">
        <v>0.99967479999999997</v>
      </c>
      <c r="N3861">
        <v>-8.8067990000000006E-3</v>
      </c>
      <c r="O3861">
        <v>2.3935439999999999E-2</v>
      </c>
      <c r="P3861">
        <v>0.98485919999999905</v>
      </c>
      <c r="Q3861">
        <v>0.17324489999999901</v>
      </c>
      <c r="R3861">
        <v>6.2354330000000003E-3</v>
      </c>
      <c r="S3861">
        <v>3.0431520000000001</v>
      </c>
      <c r="T3861">
        <v>1.5373589999999999E-2</v>
      </c>
      <c r="U3861">
        <v>2.2872920000000001E-2</v>
      </c>
      <c r="V3861">
        <v>1.73718E-2</v>
      </c>
      <c r="W3861">
        <v>0.18190709999999999</v>
      </c>
      <c r="X3861">
        <v>0.98316230000000004</v>
      </c>
      <c r="Y3861">
        <v>1.6419710000000001E-2</v>
      </c>
      <c r="Z3861">
        <v>3.0088610000000003E-4</v>
      </c>
      <c r="AA3861">
        <v>0.99986509999999995</v>
      </c>
      <c r="AB3861">
        <v>42</v>
      </c>
      <c r="AC3861">
        <v>298.99860000000001</v>
      </c>
      <c r="AD3861">
        <v>1.5126409999999999</v>
      </c>
      <c r="AE3861">
        <v>2.2402999999999902</v>
      </c>
      <c r="AF3861">
        <v>4.9171560300297603</v>
      </c>
      <c r="AG3861">
        <v>1.5126409999999999</v>
      </c>
      <c r="AH3861">
        <v>298.95890575914001</v>
      </c>
      <c r="AI3861">
        <v>89.710142485139798</v>
      </c>
      <c r="AJ3861">
        <v>89.057706991307498</v>
      </c>
      <c r="AK3861">
        <v>299.00316693794502</v>
      </c>
      <c r="AL3861">
        <v>79.519137695018401</v>
      </c>
      <c r="AM3861">
        <v>88.9877284150554</v>
      </c>
      <c r="AN3861">
        <v>1.0000000403034599</v>
      </c>
    </row>
    <row r="3862" spans="1:40" x14ac:dyDescent="0.25">
      <c r="A3862" t="str">
        <f>"20190303170329937"</f>
        <v>20190303170329937</v>
      </c>
      <c r="B3862" t="str">
        <f>"1551603809929498"</f>
        <v>1551603809929498</v>
      </c>
      <c r="C3862" t="s">
        <v>40</v>
      </c>
      <c r="D3862">
        <v>4.0661709999999998</v>
      </c>
      <c r="E3862">
        <v>0.50261769999999995</v>
      </c>
      <c r="F3862" t="s">
        <v>89</v>
      </c>
      <c r="G3862">
        <v>-107.39749999999999</v>
      </c>
      <c r="H3862">
        <v>2.7605050000000002</v>
      </c>
      <c r="I3862">
        <v>215.80439999999999</v>
      </c>
      <c r="J3862">
        <v>-405.95060000000001</v>
      </c>
      <c r="K3862">
        <v>1.1205540000000001</v>
      </c>
      <c r="L3862">
        <v>213.73099999999999</v>
      </c>
      <c r="M3862">
        <v>0.99967779999999995</v>
      </c>
      <c r="N3862">
        <v>-8.7403069999999992E-3</v>
      </c>
      <c r="O3862">
        <v>2.3831160000000001E-2</v>
      </c>
      <c r="P3862">
        <v>0.98493319999999995</v>
      </c>
      <c r="Q3862">
        <v>0.17283699999999999</v>
      </c>
      <c r="R3862">
        <v>5.851424E-3</v>
      </c>
      <c r="S3862">
        <v>3.0430600000000001</v>
      </c>
      <c r="T3862">
        <v>1.6690969999999999E-2</v>
      </c>
      <c r="U3862">
        <v>2.1209720000000001E-2</v>
      </c>
      <c r="V3862">
        <v>1.766086E-2</v>
      </c>
      <c r="W3862">
        <v>0.1814344</v>
      </c>
      <c r="X3862">
        <v>0.98324449999999997</v>
      </c>
      <c r="Y3862">
        <v>1.6861520000000001E-2</v>
      </c>
      <c r="Z3862">
        <v>3.115576E-4</v>
      </c>
      <c r="AA3862">
        <v>0.99985780000000002</v>
      </c>
      <c r="AB3862">
        <v>43</v>
      </c>
      <c r="AC3862">
        <v>298.55309999999997</v>
      </c>
      <c r="AD3862">
        <v>1.6399509999999899</v>
      </c>
      <c r="AE3862">
        <v>2.0733999999999901</v>
      </c>
      <c r="AF3862">
        <v>5.0421751638207004</v>
      </c>
      <c r="AG3862">
        <v>1.6399509999999899</v>
      </c>
      <c r="AH3862">
        <v>298.508710662932</v>
      </c>
      <c r="AI3862">
        <v>89.685275768573007</v>
      </c>
      <c r="AJ3862">
        <v>89.032296627808407</v>
      </c>
      <c r="AK3862">
        <v>298.55579597675103</v>
      </c>
      <c r="AL3862">
        <v>79.546679796804597</v>
      </c>
      <c r="AM3862">
        <v>88.970974218170696</v>
      </c>
      <c r="AN3862">
        <v>1.0000000471297701</v>
      </c>
    </row>
    <row r="3863" spans="1:40" x14ac:dyDescent="0.25">
      <c r="A3863" t="str">
        <f>"20190303170329957"</f>
        <v>20190303170329957</v>
      </c>
      <c r="B3863" t="str">
        <f>"1551603809949018"</f>
        <v>1551603809949018</v>
      </c>
      <c r="C3863" t="s">
        <v>40</v>
      </c>
      <c r="D3863">
        <v>4.0821519999999998</v>
      </c>
      <c r="E3863">
        <v>0.50272299999999903</v>
      </c>
      <c r="F3863" t="s">
        <v>89</v>
      </c>
      <c r="G3863">
        <v>-107.39749999999999</v>
      </c>
      <c r="H3863">
        <v>2.6720950000000001</v>
      </c>
      <c r="I3863">
        <v>215.63829999999999</v>
      </c>
      <c r="J3863">
        <v>-405.53370000000001</v>
      </c>
      <c r="K3863">
        <v>1.1205400000000001</v>
      </c>
      <c r="L3863">
        <v>213.74090000000001</v>
      </c>
      <c r="M3863">
        <v>0.99968080000000004</v>
      </c>
      <c r="N3863">
        <v>-8.6837960000000006E-3</v>
      </c>
      <c r="O3863">
        <v>2.3727160000000001E-2</v>
      </c>
      <c r="P3863">
        <v>0.98492979999999997</v>
      </c>
      <c r="Q3863">
        <v>0.17286109999999999</v>
      </c>
      <c r="R3863">
        <v>5.7012119999999998E-3</v>
      </c>
      <c r="S3863">
        <v>3.0429689999999998</v>
      </c>
      <c r="T3863">
        <v>1.5814419999999999E-2</v>
      </c>
      <c r="U3863">
        <v>1.9439700000000001E-2</v>
      </c>
      <c r="V3863">
        <v>1.7713860000000001E-2</v>
      </c>
      <c r="W3863">
        <v>0.18140210000000001</v>
      </c>
      <c r="X3863">
        <v>0.9832495</v>
      </c>
      <c r="Y3863">
        <v>1.733898E-2</v>
      </c>
      <c r="Z3863">
        <v>2.9912519999999998E-4</v>
      </c>
      <c r="AA3863">
        <v>0.99984960000000001</v>
      </c>
      <c r="AB3863">
        <v>43</v>
      </c>
      <c r="AC3863">
        <v>298.13619999999997</v>
      </c>
      <c r="AD3863">
        <v>1.551555</v>
      </c>
      <c r="AE3863">
        <v>1.89739999999997</v>
      </c>
      <c r="AF3863">
        <v>5.1771857403361699</v>
      </c>
      <c r="AG3863">
        <v>1.551555</v>
      </c>
      <c r="AH3863">
        <v>298.089208417137</v>
      </c>
      <c r="AI3863">
        <v>89.701822999424905</v>
      </c>
      <c r="AJ3863">
        <v>89.004992250523799</v>
      </c>
      <c r="AK3863">
        <v>298.13820075572801</v>
      </c>
      <c r="AL3863">
        <v>79.548561613339004</v>
      </c>
      <c r="AM3863">
        <v>88.967892040185504</v>
      </c>
      <c r="AN3863">
        <v>1.00000004098537</v>
      </c>
    </row>
    <row r="3864" spans="1:40" x14ac:dyDescent="0.25">
      <c r="A3864" t="str">
        <f>"20190303170329980"</f>
        <v>20190303170329980</v>
      </c>
      <c r="B3864" t="str">
        <f>"1551603809969513"</f>
        <v>1551603809969513</v>
      </c>
      <c r="C3864" t="s">
        <v>40</v>
      </c>
      <c r="D3864">
        <v>4.0254440000000002</v>
      </c>
      <c r="E3864">
        <v>0.50265530000000003</v>
      </c>
      <c r="F3864" t="s">
        <v>89</v>
      </c>
      <c r="G3864">
        <v>-107.39749999999999</v>
      </c>
      <c r="H3864">
        <v>2.7196340000000001</v>
      </c>
      <c r="I3864">
        <v>215.48249999999999</v>
      </c>
      <c r="J3864">
        <v>-405.11309999999997</v>
      </c>
      <c r="K3864">
        <v>1.1205210000000001</v>
      </c>
      <c r="L3864">
        <v>213.7508</v>
      </c>
      <c r="M3864">
        <v>0.99968389999999996</v>
      </c>
      <c r="N3864">
        <v>-8.6323210000000001E-3</v>
      </c>
      <c r="O3864">
        <v>2.3617550000000001E-2</v>
      </c>
      <c r="P3864">
        <v>0.98478540000000003</v>
      </c>
      <c r="Q3864">
        <v>0.17369679999999901</v>
      </c>
      <c r="R3864">
        <v>5.2139329999999996E-3</v>
      </c>
      <c r="S3864">
        <v>3.0429689999999998</v>
      </c>
      <c r="T3864">
        <v>1.63219E-2</v>
      </c>
      <c r="U3864">
        <v>1.7776489999999999E-2</v>
      </c>
      <c r="V3864">
        <v>1.8094559999999999E-2</v>
      </c>
      <c r="W3864">
        <v>0.18218509999999999</v>
      </c>
      <c r="X3864">
        <v>0.98309769999999996</v>
      </c>
      <c r="Y3864">
        <v>1.7775780000000001E-2</v>
      </c>
      <c r="Z3864">
        <v>3.0150450000000003E-4</v>
      </c>
      <c r="AA3864">
        <v>0.99984189999999995</v>
      </c>
      <c r="AB3864">
        <v>43</v>
      </c>
      <c r="AC3864">
        <v>297.71559999999999</v>
      </c>
      <c r="AD3864">
        <v>1.599113</v>
      </c>
      <c r="AE3864">
        <v>1.73169999999998</v>
      </c>
      <c r="AF3864">
        <v>5.3002044923292102</v>
      </c>
      <c r="AG3864">
        <v>1.599113</v>
      </c>
      <c r="AH3864">
        <v>297.66486355820803</v>
      </c>
      <c r="AI3864">
        <v>89.692247775866406</v>
      </c>
      <c r="AJ3864">
        <v>88.979902241662998</v>
      </c>
      <c r="AK3864">
        <v>297.71634205594802</v>
      </c>
      <c r="AL3864">
        <v>79.502937887498206</v>
      </c>
      <c r="AM3864">
        <v>88.945552540515706</v>
      </c>
      <c r="AN3864">
        <v>0.999999955754445</v>
      </c>
    </row>
    <row r="3865" spans="1:40" x14ac:dyDescent="0.25">
      <c r="A3865" t="str">
        <f>"20190303170330004"</f>
        <v>20190303170330004</v>
      </c>
      <c r="B3865" t="str">
        <f>"1551603809999771"</f>
        <v>1551603809999771</v>
      </c>
      <c r="C3865" t="s">
        <v>40</v>
      </c>
      <c r="D3865">
        <v>4.0927610000000003</v>
      </c>
      <c r="E3865">
        <v>0.50275270000000005</v>
      </c>
      <c r="F3865" t="s">
        <v>89</v>
      </c>
      <c r="G3865">
        <v>-107.39749999999999</v>
      </c>
      <c r="H3865">
        <v>3.057347</v>
      </c>
      <c r="I3865">
        <v>215.37809999999999</v>
      </c>
      <c r="J3865">
        <v>-404.65940000000001</v>
      </c>
      <c r="K3865">
        <v>1.1205080000000001</v>
      </c>
      <c r="L3865">
        <v>213.76140000000001</v>
      </c>
      <c r="M3865">
        <v>0.99968729999999995</v>
      </c>
      <c r="N3865">
        <v>-8.5768240000000003E-3</v>
      </c>
      <c r="O3865">
        <v>2.3491370000000001E-2</v>
      </c>
      <c r="P3865">
        <v>0.98464390000000002</v>
      </c>
      <c r="Q3865">
        <v>0.1745015</v>
      </c>
      <c r="R3865">
        <v>5.0719429999999998E-3</v>
      </c>
      <c r="S3865">
        <v>3.0427550000000001</v>
      </c>
      <c r="T3865">
        <v>1.979554E-2</v>
      </c>
      <c r="U3865">
        <v>1.663208E-2</v>
      </c>
      <c r="V3865">
        <v>1.8114330000000001E-2</v>
      </c>
      <c r="W3865">
        <v>0.18293380000000001</v>
      </c>
      <c r="X3865">
        <v>0.98295829999999995</v>
      </c>
      <c r="Y3865">
        <v>1.8024800000000001E-2</v>
      </c>
      <c r="Z3865">
        <v>3.3564229999999998E-4</v>
      </c>
      <c r="AA3865">
        <v>0.99983750000000005</v>
      </c>
      <c r="AB3865">
        <v>43</v>
      </c>
      <c r="AC3865">
        <v>297.26190000000003</v>
      </c>
      <c r="AD3865">
        <v>1.936839</v>
      </c>
      <c r="AE3865">
        <v>1.61669999999998</v>
      </c>
      <c r="AF3865">
        <v>5.3668641199474596</v>
      </c>
      <c r="AG3865">
        <v>1.936839</v>
      </c>
      <c r="AH3865">
        <v>297.20522449499498</v>
      </c>
      <c r="AI3865">
        <v>89.626678697926195</v>
      </c>
      <c r="AJ3865">
        <v>88.965478325696793</v>
      </c>
      <c r="AK3865">
        <v>297.25998728876101</v>
      </c>
      <c r="AL3865">
        <v>79.459307379324997</v>
      </c>
      <c r="AM3865">
        <v>88.944251050708004</v>
      </c>
      <c r="AN3865">
        <v>0.99999996183633799</v>
      </c>
    </row>
    <row r="3866" spans="1:40" x14ac:dyDescent="0.25">
      <c r="A3866" t="str">
        <f>"20190303170330027"</f>
        <v>20190303170330027</v>
      </c>
      <c r="B3866" t="str">
        <f>"1551603810019290"</f>
        <v>1551603810019290</v>
      </c>
      <c r="C3866" t="s">
        <v>40</v>
      </c>
      <c r="D3866">
        <v>4.0797780000000001</v>
      </c>
      <c r="E3866">
        <v>0.50277070000000001</v>
      </c>
      <c r="F3866" t="s">
        <v>89</v>
      </c>
      <c r="G3866">
        <v>-107.39749999999999</v>
      </c>
      <c r="H3866">
        <v>3.3017110000000001</v>
      </c>
      <c r="I3866">
        <v>215.2834</v>
      </c>
      <c r="J3866">
        <v>-404.22449999999998</v>
      </c>
      <c r="K3866">
        <v>1.12049</v>
      </c>
      <c r="L3866">
        <v>213.7715</v>
      </c>
      <c r="M3866">
        <v>0.99969079999999999</v>
      </c>
      <c r="N3866">
        <v>-8.5249130000000003E-3</v>
      </c>
      <c r="O3866">
        <v>2.335837E-2</v>
      </c>
      <c r="P3866">
        <v>0.98466089999999995</v>
      </c>
      <c r="Q3866">
        <v>0.1744067</v>
      </c>
      <c r="R3866">
        <v>5.0391630000000001E-3</v>
      </c>
      <c r="S3866">
        <v>3.0427550000000001</v>
      </c>
      <c r="T3866">
        <v>2.2327179999999999E-2</v>
      </c>
      <c r="U3866">
        <v>1.557922E-2</v>
      </c>
      <c r="V3866">
        <v>1.8022590000000002E-2</v>
      </c>
      <c r="W3866">
        <v>0.18278749999999999</v>
      </c>
      <c r="X3866">
        <v>0.98298719999999995</v>
      </c>
      <c r="Y3866">
        <v>1.8237409999999999E-2</v>
      </c>
      <c r="Z3866">
        <v>3.5969510000000002E-4</v>
      </c>
      <c r="AA3866">
        <v>0.99983359999999999</v>
      </c>
      <c r="AB3866">
        <v>43</v>
      </c>
      <c r="AC3866">
        <v>296.827</v>
      </c>
      <c r="AD3866">
        <v>2.1812209999999999</v>
      </c>
      <c r="AE3866">
        <v>1.51189999999999</v>
      </c>
      <c r="AF3866">
        <v>5.4218666736230396</v>
      </c>
      <c r="AG3866">
        <v>2.1812209999999999</v>
      </c>
      <c r="AH3866">
        <v>296.76529859967701</v>
      </c>
      <c r="AI3866">
        <v>89.578954626946498</v>
      </c>
      <c r="AJ3866">
        <v>88.953329374915</v>
      </c>
      <c r="AK3866">
        <v>296.82283742366002</v>
      </c>
      <c r="AL3866">
        <v>79.4678334892414</v>
      </c>
      <c r="AM3866">
        <v>88.949627563961897</v>
      </c>
      <c r="AN3866">
        <v>0.99999995963519805</v>
      </c>
    </row>
    <row r="3867" spans="1:40" x14ac:dyDescent="0.25">
      <c r="A3867" t="str">
        <f>"20190303170330048"</f>
        <v>20190303170330048</v>
      </c>
      <c r="B3867" t="str">
        <f>"1551603810039787"</f>
        <v>1551603810039787</v>
      </c>
      <c r="C3867" t="s">
        <v>40</v>
      </c>
      <c r="D3867">
        <v>4.0773429999999999</v>
      </c>
      <c r="E3867">
        <v>0.50280820000000004</v>
      </c>
      <c r="F3867" t="s">
        <v>89</v>
      </c>
      <c r="G3867">
        <v>-107.39749999999999</v>
      </c>
      <c r="H3867">
        <v>3.2698239999999998</v>
      </c>
      <c r="I3867">
        <v>215.23769999999999</v>
      </c>
      <c r="J3867">
        <v>-403.80270000000002</v>
      </c>
      <c r="K3867">
        <v>1.120463</v>
      </c>
      <c r="L3867">
        <v>213.78129999999999</v>
      </c>
      <c r="M3867">
        <v>0.99969479999999999</v>
      </c>
      <c r="N3867">
        <v>-8.4769540000000001E-3</v>
      </c>
      <c r="O3867">
        <v>2.3214769999999999E-2</v>
      </c>
      <c r="P3867">
        <v>0.98466010000000004</v>
      </c>
      <c r="Q3867">
        <v>0.17441039999999999</v>
      </c>
      <c r="R3867">
        <v>5.1056809999999999E-3</v>
      </c>
      <c r="S3867">
        <v>3.0427550000000001</v>
      </c>
      <c r="T3867">
        <v>2.2033210000000001E-2</v>
      </c>
      <c r="U3867">
        <v>1.502991E-2</v>
      </c>
      <c r="V3867">
        <v>1.7821449999999999E-2</v>
      </c>
      <c r="W3867">
        <v>0.1827435</v>
      </c>
      <c r="X3867">
        <v>0.98299910000000001</v>
      </c>
      <c r="Y3867">
        <v>1.8274350000000002E-2</v>
      </c>
      <c r="Z3867">
        <v>3.5359509999999999E-4</v>
      </c>
      <c r="AA3867">
        <v>0.99983290000000002</v>
      </c>
      <c r="AB3867">
        <v>43</v>
      </c>
      <c r="AC3867">
        <v>296.40519999999998</v>
      </c>
      <c r="AD3867">
        <v>2.1493609999999999</v>
      </c>
      <c r="AE3867">
        <v>1.4563999999999999</v>
      </c>
      <c r="AF3867">
        <v>5.4249314176480103</v>
      </c>
      <c r="AG3867">
        <v>2.1493609999999999</v>
      </c>
      <c r="AH3867">
        <v>296.34354224513203</v>
      </c>
      <c r="AI3867">
        <v>89.584514225749103</v>
      </c>
      <c r="AJ3867">
        <v>88.951247737924604</v>
      </c>
      <c r="AK3867">
        <v>296.40098627364102</v>
      </c>
      <c r="AL3867">
        <v>79.470398237952296</v>
      </c>
      <c r="AM3867">
        <v>88.961360168968497</v>
      </c>
      <c r="AN3867">
        <v>1.0000000107365801</v>
      </c>
    </row>
    <row r="3868" spans="1:40" x14ac:dyDescent="0.25">
      <c r="A3868" t="str">
        <f>"20190303170330071"</f>
        <v>20190303170330071</v>
      </c>
      <c r="B3868" t="str">
        <f>"1551603810059306"</f>
        <v>1551603810059306</v>
      </c>
      <c r="C3868" t="s">
        <v>40</v>
      </c>
      <c r="D3868">
        <v>4.0605580000000003</v>
      </c>
      <c r="E3868">
        <v>0.50282249999999995</v>
      </c>
      <c r="F3868" t="s">
        <v>89</v>
      </c>
      <c r="G3868">
        <v>-107.39749999999999</v>
      </c>
      <c r="H3868">
        <v>3.3200989999999999</v>
      </c>
      <c r="I3868">
        <v>215.21119999999999</v>
      </c>
      <c r="J3868">
        <v>-403.37130000000002</v>
      </c>
      <c r="K3868">
        <v>1.1204369999999999</v>
      </c>
      <c r="L3868">
        <v>213.7912</v>
      </c>
      <c r="M3868">
        <v>0.99969870000000005</v>
      </c>
      <c r="N3868">
        <v>-8.4304489999999996E-3</v>
      </c>
      <c r="O3868">
        <v>2.3053509999999999E-2</v>
      </c>
      <c r="P3868">
        <v>0.98468500000000003</v>
      </c>
      <c r="Q3868">
        <v>0.1742842</v>
      </c>
      <c r="R3868">
        <v>4.5368500000000003E-3</v>
      </c>
      <c r="S3868">
        <v>3.0426639999999998</v>
      </c>
      <c r="T3868">
        <v>2.258027E-2</v>
      </c>
      <c r="U3868">
        <v>1.467896E-2</v>
      </c>
      <c r="V3868">
        <v>1.8239760000000001E-2</v>
      </c>
      <c r="W3868">
        <v>0.18257100000000001</v>
      </c>
      <c r="X3868">
        <v>0.98302350000000005</v>
      </c>
      <c r="Y3868">
        <v>1.8228189999999998E-2</v>
      </c>
      <c r="Z3868">
        <v>3.562304E-4</v>
      </c>
      <c r="AA3868">
        <v>0.99983379999999999</v>
      </c>
      <c r="AB3868">
        <v>43</v>
      </c>
      <c r="AC3868">
        <v>295.97379999999998</v>
      </c>
      <c r="AD3868">
        <v>2.199662</v>
      </c>
      <c r="AE3868">
        <v>1.4199999999999799</v>
      </c>
      <c r="AF3868">
        <v>5.4035563132102702</v>
      </c>
      <c r="AG3868">
        <v>2.199662</v>
      </c>
      <c r="AH3868">
        <v>295.91152738859802</v>
      </c>
      <c r="AI3868">
        <v>89.574169947449803</v>
      </c>
      <c r="AJ3868">
        <v>88.953854321968095</v>
      </c>
      <c r="AK3868">
        <v>295.969033811305</v>
      </c>
      <c r="AL3868">
        <v>79.480451086180807</v>
      </c>
      <c r="AM3868">
        <v>88.937012837188007</v>
      </c>
      <c r="AN3868">
        <v>1.0000000302190499</v>
      </c>
    </row>
    <row r="3869" spans="1:40" x14ac:dyDescent="0.25">
      <c r="A3869" t="str">
        <f>"20190303170330093"</f>
        <v>20190303170330093</v>
      </c>
      <c r="B3869" t="str">
        <f>"1551603810078826"</f>
        <v>1551603810078826</v>
      </c>
      <c r="C3869" t="s">
        <v>40</v>
      </c>
      <c r="D3869">
        <v>4.1412230000000001</v>
      </c>
      <c r="E3869">
        <v>0.5029245</v>
      </c>
      <c r="F3869" t="s">
        <v>89</v>
      </c>
      <c r="G3869">
        <v>-107.39749999999999</v>
      </c>
      <c r="H3869">
        <v>3.3081740000000002</v>
      </c>
      <c r="I3869">
        <v>215.0291</v>
      </c>
      <c r="J3869">
        <v>-402.95280000000002</v>
      </c>
      <c r="K3869">
        <v>1.1204149999999999</v>
      </c>
      <c r="L3869">
        <v>213.80070000000001</v>
      </c>
      <c r="M3869">
        <v>0.99970289999999995</v>
      </c>
      <c r="N3869">
        <v>-8.3890760000000005E-3</v>
      </c>
      <c r="O3869">
        <v>2.2885260000000001E-2</v>
      </c>
      <c r="P3869">
        <v>0.98458270000000003</v>
      </c>
      <c r="Q3869">
        <v>0.17487949999999999</v>
      </c>
      <c r="R3869">
        <v>3.7560879999999999E-3</v>
      </c>
      <c r="S3869">
        <v>3.0426329999999999</v>
      </c>
      <c r="T3869">
        <v>2.2490619999999999E-2</v>
      </c>
      <c r="U3869">
        <v>1.272583E-2</v>
      </c>
      <c r="V3869">
        <v>1.8859279999999999E-2</v>
      </c>
      <c r="W3869">
        <v>0.18312320000000001</v>
      </c>
      <c r="X3869">
        <v>0.98290909999999998</v>
      </c>
      <c r="Y3869">
        <v>1.8701720000000002E-2</v>
      </c>
      <c r="Z3869">
        <v>3.5181790000000002E-4</v>
      </c>
      <c r="AA3869">
        <v>0.99982510000000002</v>
      </c>
      <c r="AB3869">
        <v>43</v>
      </c>
      <c r="AC3869">
        <v>295.55529999999999</v>
      </c>
      <c r="AD3869">
        <v>2.1877589999999998</v>
      </c>
      <c r="AE3869">
        <v>1.2283999999999899</v>
      </c>
      <c r="AF3869">
        <v>5.5357163383488004</v>
      </c>
      <c r="AG3869">
        <v>2.1877589999999998</v>
      </c>
      <c r="AH3869">
        <v>295.48981095305902</v>
      </c>
      <c r="AI3869">
        <v>89.575873438820196</v>
      </c>
      <c r="AJ3869">
        <v>88.926744431234397</v>
      </c>
      <c r="AK3869">
        <v>295.54975693086902</v>
      </c>
      <c r="AL3869">
        <v>79.448269917062802</v>
      </c>
      <c r="AM3869">
        <v>88.900788917343803</v>
      </c>
      <c r="AN3869">
        <v>1.00000003884158</v>
      </c>
    </row>
    <row r="3870" spans="1:40" x14ac:dyDescent="0.25">
      <c r="A3870" t="str">
        <f>"20190303170330113"</f>
        <v>20190303170330113</v>
      </c>
      <c r="B3870" t="str">
        <f>"1551603810099322"</f>
        <v>1551603810099322</v>
      </c>
      <c r="C3870" t="s">
        <v>40</v>
      </c>
      <c r="D3870">
        <v>4.0708010000000003</v>
      </c>
      <c r="E3870">
        <v>0.50298679999999996</v>
      </c>
      <c r="F3870" t="s">
        <v>89</v>
      </c>
      <c r="G3870">
        <v>-107.39749999999999</v>
      </c>
      <c r="H3870">
        <v>3.3626260000000001</v>
      </c>
      <c r="I3870">
        <v>214.7567</v>
      </c>
      <c r="J3870">
        <v>-402.5367</v>
      </c>
      <c r="K3870">
        <v>1.1204050000000001</v>
      </c>
      <c r="L3870">
        <v>213.81010000000001</v>
      </c>
      <c r="M3870">
        <v>0.99970729999999997</v>
      </c>
      <c r="N3870">
        <v>-8.3528539999999998E-3</v>
      </c>
      <c r="O3870">
        <v>2.2707430000000001E-2</v>
      </c>
      <c r="P3870">
        <v>0.98455879999999996</v>
      </c>
      <c r="Q3870">
        <v>0.17503239999999901</v>
      </c>
      <c r="R3870">
        <v>2.8193990000000002E-3</v>
      </c>
      <c r="S3870">
        <v>3.0428160000000002</v>
      </c>
      <c r="T3870">
        <v>2.308464E-2</v>
      </c>
      <c r="U3870">
        <v>9.8419189999999993E-3</v>
      </c>
      <c r="V3870">
        <v>1.962616E-2</v>
      </c>
      <c r="W3870">
        <v>0.1832395</v>
      </c>
      <c r="X3870">
        <v>0.98287239999999998</v>
      </c>
      <c r="Y3870">
        <v>1.947165E-2</v>
      </c>
      <c r="Z3870">
        <v>3.5447670000000002E-4</v>
      </c>
      <c r="AA3870">
        <v>0.99981030000000004</v>
      </c>
      <c r="AB3870">
        <v>43</v>
      </c>
      <c r="AC3870">
        <v>295.13920000000002</v>
      </c>
      <c r="AD3870">
        <v>2.2422209999999998</v>
      </c>
      <c r="AE3870">
        <v>0.94659999999998901</v>
      </c>
      <c r="AF3870">
        <v>5.7553981668587602</v>
      </c>
      <c r="AG3870">
        <v>2.2422209999999998</v>
      </c>
      <c r="AH3870">
        <v>295.06755934965798</v>
      </c>
      <c r="AI3870">
        <v>89.564700039489693</v>
      </c>
      <c r="AJ3870">
        <v>88.8825670480459</v>
      </c>
      <c r="AK3870">
        <v>295.13220214615001</v>
      </c>
      <c r="AL3870">
        <v>79.441491605261703</v>
      </c>
      <c r="AM3870">
        <v>88.856060343254896</v>
      </c>
      <c r="AN3870">
        <v>1.0000000275991701</v>
      </c>
    </row>
    <row r="3871" spans="1:40" x14ac:dyDescent="0.25">
      <c r="A3871" t="str">
        <f>"20190303170330137"</f>
        <v>20190303170330137</v>
      </c>
      <c r="B3871" t="str">
        <f>"1551603810129578"</f>
        <v>1551603810129578</v>
      </c>
      <c r="C3871" t="s">
        <v>40</v>
      </c>
      <c r="D3871">
        <v>4.0360329999999998</v>
      </c>
      <c r="E3871">
        <v>0.5030116</v>
      </c>
      <c r="F3871" t="s">
        <v>89</v>
      </c>
      <c r="G3871">
        <v>-107.39749999999999</v>
      </c>
      <c r="H3871">
        <v>3.3326150000000001</v>
      </c>
      <c r="I3871">
        <v>214.46430000000001</v>
      </c>
      <c r="J3871">
        <v>-402.08659999999998</v>
      </c>
      <c r="K3871">
        <v>1.1203879999999999</v>
      </c>
      <c r="L3871">
        <v>213.8202</v>
      </c>
      <c r="M3871">
        <v>0.99971220000000005</v>
      </c>
      <c r="N3871">
        <v>-8.3198979999999992E-3</v>
      </c>
      <c r="O3871">
        <v>2.2506470000000001E-2</v>
      </c>
      <c r="P3871">
        <v>0.98455619999999999</v>
      </c>
      <c r="Q3871">
        <v>0.17506079999999999</v>
      </c>
      <c r="R3871">
        <v>1.770899E-3</v>
      </c>
      <c r="S3871">
        <v>3.0429689999999998</v>
      </c>
      <c r="T3871">
        <v>2.2809030000000001E-2</v>
      </c>
      <c r="U3871">
        <v>6.7443850000000003E-3</v>
      </c>
      <c r="V3871">
        <v>2.048169E-2</v>
      </c>
      <c r="W3871">
        <v>0.18323429999999999</v>
      </c>
      <c r="X3871">
        <v>0.9828559</v>
      </c>
      <c r="Y3871">
        <v>2.028862E-2</v>
      </c>
      <c r="Z3871">
        <v>3.4758420000000003E-4</v>
      </c>
      <c r="AA3871">
        <v>0.99979410000000002</v>
      </c>
      <c r="AB3871">
        <v>43</v>
      </c>
      <c r="AC3871">
        <v>294.6891</v>
      </c>
      <c r="AD3871">
        <v>2.2122269999999999</v>
      </c>
      <c r="AE3871">
        <v>0.644100000000008</v>
      </c>
      <c r="AF3871">
        <v>5.9883658305614196</v>
      </c>
      <c r="AG3871">
        <v>2.2122269999999999</v>
      </c>
      <c r="AH3871">
        <v>294.61234347702901</v>
      </c>
      <c r="AI3871">
        <v>89.569866244322995</v>
      </c>
      <c r="AJ3871">
        <v>88.835551683043406</v>
      </c>
      <c r="AK3871">
        <v>294.68150162955101</v>
      </c>
      <c r="AL3871">
        <v>79.441794532006597</v>
      </c>
      <c r="AM3871">
        <v>88.806188610537802</v>
      </c>
      <c r="AN3871">
        <v>1.0000000142432699</v>
      </c>
    </row>
    <row r="3872" spans="1:40" x14ac:dyDescent="0.25">
      <c r="A3872" t="str">
        <f>"20190303170330170"</f>
        <v>20190303170330170</v>
      </c>
      <c r="B3872" t="str">
        <f>"1551603810158858"</f>
        <v>1551603810158858</v>
      </c>
      <c r="C3872" t="s">
        <v>40</v>
      </c>
      <c r="D3872">
        <v>4.0487659999999996</v>
      </c>
      <c r="E3872">
        <v>0.50303770000000003</v>
      </c>
      <c r="F3872" t="s">
        <v>89</v>
      </c>
      <c r="G3872">
        <v>-107.39749999999999</v>
      </c>
      <c r="H3872">
        <v>3.351343</v>
      </c>
      <c r="I3872">
        <v>214.14680000000001</v>
      </c>
      <c r="J3872">
        <v>-401.45170000000002</v>
      </c>
      <c r="K3872">
        <v>1.120368</v>
      </c>
      <c r="L3872">
        <v>213.83420000000001</v>
      </c>
      <c r="M3872">
        <v>0.99971900000000002</v>
      </c>
      <c r="N3872">
        <v>-8.2835600000000006E-3</v>
      </c>
      <c r="O3872">
        <v>2.2211999999999999E-2</v>
      </c>
      <c r="P3872">
        <v>0.98467839999999995</v>
      </c>
      <c r="Q3872">
        <v>0.1743808</v>
      </c>
      <c r="R3872">
        <v>4.3123770000000003E-4</v>
      </c>
      <c r="S3872">
        <v>3.0429689999999998</v>
      </c>
      <c r="T3872">
        <v>2.3037430000000001E-2</v>
      </c>
      <c r="U3872">
        <v>3.372192E-3</v>
      </c>
      <c r="V3872">
        <v>2.1538749999999999E-2</v>
      </c>
      <c r="W3872">
        <v>0.1825185</v>
      </c>
      <c r="X3872">
        <v>0.98296649999999997</v>
      </c>
      <c r="Y3872">
        <v>2.110209E-2</v>
      </c>
      <c r="Z3872">
        <v>3.4462730000000001E-4</v>
      </c>
      <c r="AA3872">
        <v>0.99977729999999998</v>
      </c>
      <c r="AB3872">
        <v>43</v>
      </c>
      <c r="AC3872">
        <v>294.05419999999998</v>
      </c>
      <c r="AD3872">
        <v>2.2309749999999999</v>
      </c>
      <c r="AE3872">
        <v>0.31260000000000299</v>
      </c>
      <c r="AF3872">
        <v>6.2188749234861298</v>
      </c>
      <c r="AG3872">
        <v>2.2309749999999999</v>
      </c>
      <c r="AH3872">
        <v>293.97166906288197</v>
      </c>
      <c r="AI3872">
        <v>89.565283256051501</v>
      </c>
      <c r="AJ3872">
        <v>88.788107204103895</v>
      </c>
      <c r="AK3872">
        <v>294.045904352332</v>
      </c>
      <c r="AL3872">
        <v>79.483510521994802</v>
      </c>
      <c r="AM3872">
        <v>88.744736448769601</v>
      </c>
      <c r="AN3872">
        <v>1.0000000303580301</v>
      </c>
    </row>
    <row r="3873" spans="1:40" x14ac:dyDescent="0.25">
      <c r="A3873" t="str">
        <f>"20190303170330193"</f>
        <v>20190303170330193</v>
      </c>
      <c r="B3873" t="str">
        <f>"1551603810179355"</f>
        <v>1551603810179355</v>
      </c>
      <c r="C3873" t="s">
        <v>40</v>
      </c>
      <c r="D3873">
        <v>4.0377179999999999</v>
      </c>
      <c r="E3873">
        <v>0.50304040000000005</v>
      </c>
      <c r="F3873" t="s">
        <v>89</v>
      </c>
      <c r="G3873">
        <v>-107.39749999999999</v>
      </c>
      <c r="H3873">
        <v>3.1276920000000001</v>
      </c>
      <c r="I3873">
        <v>213.78120000000001</v>
      </c>
      <c r="J3873">
        <v>-400.99419999999998</v>
      </c>
      <c r="K3873">
        <v>1.1203559999999999</v>
      </c>
      <c r="L3873">
        <v>213.8443</v>
      </c>
      <c r="M3873">
        <v>0.99972399999999995</v>
      </c>
      <c r="N3873">
        <v>-8.2609320000000003E-3</v>
      </c>
      <c r="O3873">
        <v>2.1995420000000002E-2</v>
      </c>
      <c r="P3873">
        <v>0.98463699999999998</v>
      </c>
      <c r="Q3873">
        <v>0.1746132</v>
      </c>
      <c r="R3873">
        <v>-6.0469940000000002E-4</v>
      </c>
      <c r="S3873">
        <v>3.042999</v>
      </c>
      <c r="T3873">
        <v>2.0773170000000001E-2</v>
      </c>
      <c r="U3873">
        <v>-5.4931640000000002E-4</v>
      </c>
      <c r="V3873">
        <v>2.236366E-2</v>
      </c>
      <c r="W3873">
        <v>0.18272659999999999</v>
      </c>
      <c r="X3873">
        <v>0.98290940000000004</v>
      </c>
      <c r="Y3873">
        <v>2.2174260000000001E-2</v>
      </c>
      <c r="Z3873">
        <v>3.1594860000000002E-4</v>
      </c>
      <c r="AA3873">
        <v>0.99975409999999998</v>
      </c>
      <c r="AB3873">
        <v>43</v>
      </c>
      <c r="AC3873">
        <v>293.5967</v>
      </c>
      <c r="AD3873">
        <v>2.007336</v>
      </c>
      <c r="AE3873">
        <v>-6.3099999999991496E-2</v>
      </c>
      <c r="AF3873">
        <v>6.5207826250666496</v>
      </c>
      <c r="AG3873">
        <v>2.007336</v>
      </c>
      <c r="AH3873">
        <v>293.51055755432998</v>
      </c>
      <c r="AI3873">
        <v>89.608253559448997</v>
      </c>
      <c r="AJ3873">
        <v>88.727296638727793</v>
      </c>
      <c r="AK3873">
        <v>293.58984553235803</v>
      </c>
      <c r="AL3873">
        <v>79.471383177215699</v>
      </c>
      <c r="AM3873">
        <v>88.696601849736496</v>
      </c>
      <c r="AN3873">
        <v>1.00000001612225</v>
      </c>
    </row>
    <row r="3874" spans="1:40" x14ac:dyDescent="0.25">
      <c r="A3874" t="str">
        <f>"20190303170330216"</f>
        <v>20190303170330216</v>
      </c>
      <c r="B3874" t="str">
        <f>"1551603810209609"</f>
        <v>1551603810209609</v>
      </c>
      <c r="C3874" t="s">
        <v>40</v>
      </c>
      <c r="D3874">
        <v>4.0951440000000003</v>
      </c>
      <c r="E3874">
        <v>0.50900840000000003</v>
      </c>
      <c r="F3874" t="s">
        <v>89</v>
      </c>
      <c r="G3874">
        <v>-107.39749999999999</v>
      </c>
      <c r="H3874">
        <v>3.184669</v>
      </c>
      <c r="I3874">
        <v>213.5042</v>
      </c>
      <c r="J3874">
        <v>-400.56689999999998</v>
      </c>
      <c r="K3874">
        <v>1.1203459999999901</v>
      </c>
      <c r="L3874">
        <v>213.8535</v>
      </c>
      <c r="M3874">
        <v>0.99972859999999997</v>
      </c>
      <c r="N3874">
        <v>-8.2410019999999903E-3</v>
      </c>
      <c r="O3874">
        <v>2.179155E-2</v>
      </c>
      <c r="P3874">
        <v>0.98454790000000003</v>
      </c>
      <c r="Q3874">
        <v>0.1751086</v>
      </c>
      <c r="R3874">
        <v>-1.5742929999999901E-3</v>
      </c>
      <c r="S3874">
        <v>3.0430600000000001</v>
      </c>
      <c r="T3874">
        <v>2.1396640000000001E-2</v>
      </c>
      <c r="U3874">
        <v>-3.5247799999999999E-3</v>
      </c>
      <c r="V3874">
        <v>2.3133239999999999E-2</v>
      </c>
      <c r="W3874">
        <v>0.183201</v>
      </c>
      <c r="X3874">
        <v>0.98280319999999999</v>
      </c>
      <c r="Y3874">
        <v>2.294786E-2</v>
      </c>
      <c r="Z3874">
        <v>3.1892200000000002E-4</v>
      </c>
      <c r="AA3874">
        <v>0.99973659999999998</v>
      </c>
      <c r="AB3874">
        <v>44</v>
      </c>
      <c r="AC3874">
        <v>293.1694</v>
      </c>
      <c r="AD3874">
        <v>2.0643229999999999</v>
      </c>
      <c r="AE3874">
        <v>-0.349299999999999</v>
      </c>
      <c r="AF3874">
        <v>6.7377153822551898</v>
      </c>
      <c r="AG3874">
        <v>2.0643229999999999</v>
      </c>
      <c r="AH3874">
        <v>293.07763489082498</v>
      </c>
      <c r="AI3874">
        <v>89.596544452416794</v>
      </c>
      <c r="AJ3874">
        <v>88.683029271498896</v>
      </c>
      <c r="AK3874">
        <v>293.16234122277802</v>
      </c>
      <c r="AL3874">
        <v>79.443734558573894</v>
      </c>
      <c r="AM3874">
        <v>88.651619857530207</v>
      </c>
      <c r="AN3874">
        <v>0.99999994156206695</v>
      </c>
    </row>
    <row r="3875" spans="1:40" x14ac:dyDescent="0.25">
      <c r="A3875" t="str">
        <f>"20190303170330238"</f>
        <v>20190303170330238</v>
      </c>
      <c r="B3875" t="str">
        <f>"1551603810229130"</f>
        <v>1551603810229130</v>
      </c>
      <c r="C3875" t="s">
        <v>40</v>
      </c>
      <c r="D3875">
        <v>3.9907430000000002</v>
      </c>
      <c r="E3875">
        <v>0.52724589999999905</v>
      </c>
      <c r="F3875" t="s">
        <v>56</v>
      </c>
      <c r="G3875">
        <v>-169.3937</v>
      </c>
      <c r="H3875">
        <v>4.9028299999999998</v>
      </c>
      <c r="I3875">
        <v>209.61689999999999</v>
      </c>
      <c r="J3875">
        <v>-400.11410000000001</v>
      </c>
      <c r="K3875">
        <v>1.1203320000000001</v>
      </c>
      <c r="L3875">
        <v>213.86330000000001</v>
      </c>
      <c r="M3875">
        <v>0.99973339999999999</v>
      </c>
      <c r="N3875">
        <v>-8.2227829999999991E-3</v>
      </c>
      <c r="O3875">
        <v>2.157533E-2</v>
      </c>
      <c r="P3875">
        <v>0.98437680000000005</v>
      </c>
      <c r="Q3875">
        <v>0.17605660000000001</v>
      </c>
      <c r="R3875">
        <v>-2.5256760000000001E-3</v>
      </c>
      <c r="S3875">
        <v>3.0381469999999999</v>
      </c>
      <c r="T3875">
        <v>4.9710989999999997E-2</v>
      </c>
      <c r="U3875">
        <v>-5.5679319999999997E-2</v>
      </c>
      <c r="V3875">
        <v>2.3870820000000001E-2</v>
      </c>
      <c r="W3875">
        <v>0.18412909999999999</v>
      </c>
      <c r="X3875">
        <v>0.98261209999999999</v>
      </c>
      <c r="Y3875">
        <v>3.9882670000000002E-2</v>
      </c>
      <c r="Z3875">
        <v>6.9258729999999895E-4</v>
      </c>
      <c r="AA3875">
        <v>0.99920419999999999</v>
      </c>
      <c r="AB3875">
        <v>44</v>
      </c>
      <c r="AC3875">
        <v>230.72040000000001</v>
      </c>
      <c r="AD3875">
        <v>3.7824979999999999</v>
      </c>
      <c r="AE3875">
        <v>-4.2464000000000199</v>
      </c>
      <c r="AF3875">
        <v>9.2209710848156394</v>
      </c>
      <c r="AG3875">
        <v>3.7824979999999999</v>
      </c>
      <c r="AH3875">
        <v>230.513135259862</v>
      </c>
      <c r="AI3875">
        <v>89.0606670469124</v>
      </c>
      <c r="AJ3875">
        <v>87.709279358586997</v>
      </c>
      <c r="AK3875">
        <v>230.72849656294801</v>
      </c>
      <c r="AL3875">
        <v>79.389638085505496</v>
      </c>
      <c r="AM3875">
        <v>88.6083742700512</v>
      </c>
      <c r="AN3875">
        <v>0.999999940290344</v>
      </c>
    </row>
    <row r="3876" spans="1:40" x14ac:dyDescent="0.25">
      <c r="A3876" t="str">
        <f>"20190303170330259"</f>
        <v>20190303170330259</v>
      </c>
      <c r="B3876" t="str">
        <f>"1551603810249626"</f>
        <v>1551603810249626</v>
      </c>
      <c r="C3876" t="s">
        <v>40</v>
      </c>
      <c r="D3876">
        <v>3.9676309999999999</v>
      </c>
      <c r="E3876">
        <v>0.52898089999999998</v>
      </c>
      <c r="F3876" t="s">
        <v>56</v>
      </c>
      <c r="G3876">
        <v>-169.71639999999999</v>
      </c>
      <c r="H3876">
        <v>13.87006</v>
      </c>
      <c r="I3876">
        <v>197.8758</v>
      </c>
      <c r="J3876">
        <v>-399.69909999999999</v>
      </c>
      <c r="K3876">
        <v>1.120322</v>
      </c>
      <c r="L3876">
        <v>213.87209999999999</v>
      </c>
      <c r="M3876">
        <v>0.99973789999999996</v>
      </c>
      <c r="N3876">
        <v>-8.2092290000000002E-3</v>
      </c>
      <c r="O3876">
        <v>2.137704E-2</v>
      </c>
      <c r="P3876">
        <v>0.98438970000000003</v>
      </c>
      <c r="Q3876">
        <v>0.17597349999999901</v>
      </c>
      <c r="R3876">
        <v>-3.2523259999999998E-3</v>
      </c>
      <c r="S3876">
        <v>3.0172119999999998</v>
      </c>
      <c r="T3876">
        <v>0.1669667</v>
      </c>
      <c r="U3876">
        <v>-0.20936579999999999</v>
      </c>
      <c r="V3876">
        <v>2.4404410000000001E-2</v>
      </c>
      <c r="W3876">
        <v>0.18403159999999999</v>
      </c>
      <c r="X3876">
        <v>0.98261730000000003</v>
      </c>
      <c r="Y3876">
        <v>9.0374629999999997E-2</v>
      </c>
      <c r="Z3876">
        <v>3.4799280000000002E-3</v>
      </c>
      <c r="AA3876">
        <v>0.99590179999999995</v>
      </c>
      <c r="AB3876">
        <v>44</v>
      </c>
      <c r="AC3876">
        <v>229.98269999999999</v>
      </c>
      <c r="AD3876">
        <v>12.749738000000001</v>
      </c>
      <c r="AE3876">
        <v>-15.9962999999999</v>
      </c>
      <c r="AF3876">
        <v>20.845402022920599</v>
      </c>
      <c r="AG3876">
        <v>12.749738000000001</v>
      </c>
      <c r="AH3876">
        <v>228.88811019208899</v>
      </c>
      <c r="AI3876">
        <v>86.824865435286497</v>
      </c>
      <c r="AJ3876">
        <v>84.796287901045204</v>
      </c>
      <c r="AK3876">
        <v>230.18873471973399</v>
      </c>
      <c r="AL3876">
        <v>79.395321991520106</v>
      </c>
      <c r="AM3876">
        <v>88.577287107511296</v>
      </c>
      <c r="AN3876">
        <v>0.99999998164264803</v>
      </c>
    </row>
    <row r="3877" spans="1:40" x14ac:dyDescent="0.25">
      <c r="A3877" t="str">
        <f>"20190303170330281"</f>
        <v>20190303170330281</v>
      </c>
      <c r="B3877" t="str">
        <f>"1551603810269147"</f>
        <v>1551603810269147</v>
      </c>
      <c r="C3877" t="s">
        <v>40</v>
      </c>
      <c r="D3877">
        <v>4.0412410000000003</v>
      </c>
      <c r="E3877">
        <v>0.52957399999999999</v>
      </c>
      <c r="F3877" t="s">
        <v>56</v>
      </c>
      <c r="G3877">
        <v>-168.41890000000001</v>
      </c>
      <c r="H3877">
        <v>15.420059999999999</v>
      </c>
      <c r="I3877">
        <v>196.51439999999999</v>
      </c>
      <c r="J3877">
        <v>-399.27670000000001</v>
      </c>
      <c r="K3877">
        <v>1.120317</v>
      </c>
      <c r="L3877">
        <v>213.881</v>
      </c>
      <c r="M3877">
        <v>0.99974220000000003</v>
      </c>
      <c r="N3877">
        <v>-8.19870199999999E-3</v>
      </c>
      <c r="O3877">
        <v>2.1175579999999999E-2</v>
      </c>
      <c r="P3877">
        <v>0.98437589999999997</v>
      </c>
      <c r="Q3877">
        <v>0.1760601</v>
      </c>
      <c r="R3877">
        <v>-2.655541E-3</v>
      </c>
      <c r="S3877">
        <v>3.0135190000000001</v>
      </c>
      <c r="T3877">
        <v>0.18632219999999999</v>
      </c>
      <c r="U3877">
        <v>-0.2261658</v>
      </c>
      <c r="V3877">
        <v>2.3611139999999999E-2</v>
      </c>
      <c r="W3877">
        <v>0.18410850000000001</v>
      </c>
      <c r="X3877">
        <v>0.98262229999999995</v>
      </c>
      <c r="Y3877">
        <v>9.5730830000000003E-2</v>
      </c>
      <c r="Z3877">
        <v>4.0387089999999997E-3</v>
      </c>
      <c r="AA3877">
        <v>0.99539909999999998</v>
      </c>
      <c r="AB3877">
        <v>44</v>
      </c>
      <c r="AC3877">
        <v>230.8578</v>
      </c>
      <c r="AD3877">
        <v>14.299742999999999</v>
      </c>
      <c r="AE3877">
        <v>-17.366599999999899</v>
      </c>
      <c r="AF3877">
        <v>22.166846748538699</v>
      </c>
      <c r="AG3877">
        <v>14.299742999999999</v>
      </c>
      <c r="AH3877">
        <v>229.562446396848</v>
      </c>
      <c r="AI3877">
        <v>86.452036861726896</v>
      </c>
      <c r="AJ3877">
        <v>84.484545192819795</v>
      </c>
      <c r="AK3877">
        <v>231.073080518577</v>
      </c>
      <c r="AL3877">
        <v>79.390839603237197</v>
      </c>
      <c r="AM3877">
        <v>88.623521572018703</v>
      </c>
      <c r="AN3877">
        <v>1.00000000508081</v>
      </c>
    </row>
    <row r="3878" spans="1:40" x14ac:dyDescent="0.25">
      <c r="A3878" t="str">
        <f>"20190303170330304"</f>
        <v>20190303170330304</v>
      </c>
      <c r="B3878" t="str">
        <f>"1551603810289642"</f>
        <v>1551603810289642</v>
      </c>
      <c r="C3878" t="s">
        <v>40</v>
      </c>
      <c r="D3878">
        <v>4.0183999999999997</v>
      </c>
      <c r="E3878">
        <v>0.53010080000000004</v>
      </c>
      <c r="F3878" t="s">
        <v>56</v>
      </c>
      <c r="G3878">
        <v>-168.41919999999999</v>
      </c>
      <c r="H3878">
        <v>16.19407</v>
      </c>
      <c r="I3878">
        <v>196.28200000000001</v>
      </c>
      <c r="J3878">
        <v>-398.83080000000001</v>
      </c>
      <c r="K3878">
        <v>1.1203110000000001</v>
      </c>
      <c r="L3878">
        <v>213.8903</v>
      </c>
      <c r="M3878">
        <v>0.99974689999999999</v>
      </c>
      <c r="N3878">
        <v>-8.1909269999999902E-3</v>
      </c>
      <c r="O3878">
        <v>2.0962069999999999E-2</v>
      </c>
      <c r="P3878">
        <v>0.98434200000000005</v>
      </c>
      <c r="Q3878">
        <v>0.17625769999999999</v>
      </c>
      <c r="R3878">
        <v>-2.0604519999999999E-3</v>
      </c>
      <c r="S3878">
        <v>3.0118100000000001</v>
      </c>
      <c r="T3878">
        <v>0.19665540000000001</v>
      </c>
      <c r="U3878">
        <v>-0.229599</v>
      </c>
      <c r="V3878">
        <v>2.2807270000000001E-2</v>
      </c>
      <c r="W3878">
        <v>0.18429880000000001</v>
      </c>
      <c r="X3878">
        <v>0.98260559999999997</v>
      </c>
      <c r="Y3878">
        <v>9.6662650000000003E-2</v>
      </c>
      <c r="Z3878">
        <v>4.2877519999999997E-3</v>
      </c>
      <c r="AA3878">
        <v>0.99530799999999997</v>
      </c>
      <c r="AB3878">
        <v>44</v>
      </c>
      <c r="AC3878">
        <v>230.41159999999999</v>
      </c>
      <c r="AD3878">
        <v>15.073759000000001</v>
      </c>
      <c r="AE3878">
        <v>-17.6082999999999</v>
      </c>
      <c r="AF3878">
        <v>22.339440327002301</v>
      </c>
      <c r="AG3878">
        <v>15.073759000000001</v>
      </c>
      <c r="AH3878">
        <v>229.017367769228</v>
      </c>
      <c r="AI3878">
        <v>86.252002313354197</v>
      </c>
      <c r="AJ3878">
        <v>84.428723477274801</v>
      </c>
      <c r="AK3878">
        <v>230.59753585947001</v>
      </c>
      <c r="AL3878">
        <v>79.379746252078107</v>
      </c>
      <c r="AM3878">
        <v>88.670345745831796</v>
      </c>
      <c r="AN3878">
        <v>0.99999999219882596</v>
      </c>
    </row>
    <row r="3879" spans="1:40" x14ac:dyDescent="0.25">
      <c r="A3879" t="str">
        <f>"20190303170330326"</f>
        <v>20190303170330326</v>
      </c>
      <c r="B3879" t="str">
        <f>"1551603810318922"</f>
        <v>1551603810318922</v>
      </c>
      <c r="C3879" t="s">
        <v>40</v>
      </c>
      <c r="D3879">
        <v>3.9988929999999998</v>
      </c>
      <c r="E3879">
        <v>0.53046769999999999</v>
      </c>
      <c r="F3879" t="s">
        <v>56</v>
      </c>
      <c r="G3879">
        <v>-168.4194</v>
      </c>
      <c r="H3879">
        <v>16.47663</v>
      </c>
      <c r="I3879">
        <v>196.13329999999999</v>
      </c>
      <c r="J3879">
        <v>-398.37290000000002</v>
      </c>
      <c r="K3879">
        <v>1.120306</v>
      </c>
      <c r="L3879">
        <v>213.8997</v>
      </c>
      <c r="M3879">
        <v>0.99975139999999996</v>
      </c>
      <c r="N3879">
        <v>-8.1860049999999997E-3</v>
      </c>
      <c r="O3879">
        <v>2.0738630000000001E-2</v>
      </c>
      <c r="P3879">
        <v>0.98429509999999998</v>
      </c>
      <c r="Q3879">
        <v>0.1765108</v>
      </c>
      <c r="R3879">
        <v>-2.6511009999999999E-3</v>
      </c>
      <c r="S3879">
        <v>3.0113219999999998</v>
      </c>
      <c r="T3879">
        <v>0.20069719999999999</v>
      </c>
      <c r="U3879">
        <v>-0.2320709</v>
      </c>
      <c r="V3879">
        <v>2.317965E-2</v>
      </c>
      <c r="W3879">
        <v>0.18454580000000001</v>
      </c>
      <c r="X3879">
        <v>0.98255060000000005</v>
      </c>
      <c r="Y3879">
        <v>9.7254030000000005E-2</v>
      </c>
      <c r="Z3879">
        <v>4.381556E-3</v>
      </c>
      <c r="AA3879">
        <v>0.99524990000000002</v>
      </c>
      <c r="AB3879">
        <v>44</v>
      </c>
      <c r="AC3879">
        <v>229.95349999999999</v>
      </c>
      <c r="AD3879">
        <v>15.356323999999899</v>
      </c>
      <c r="AE3879">
        <v>-17.766400000000001</v>
      </c>
      <c r="AF3879">
        <v>22.432214417642399</v>
      </c>
      <c r="AG3879">
        <v>15.356323999999899</v>
      </c>
      <c r="AH3879">
        <v>228.522509376345</v>
      </c>
      <c r="AI3879">
        <v>86.173935039713299</v>
      </c>
      <c r="AJ3879">
        <v>84.393695714982002</v>
      </c>
      <c r="AK3879">
        <v>230.13378331338799</v>
      </c>
      <c r="AL3879">
        <v>79.365347992390497</v>
      </c>
      <c r="AM3879">
        <v>88.648568517456098</v>
      </c>
      <c r="AN3879">
        <v>1.0000000650160501</v>
      </c>
    </row>
    <row r="3880" spans="1:40" x14ac:dyDescent="0.25">
      <c r="A3880" t="str">
        <f>"20190303170330348"</f>
        <v>20190303170330348</v>
      </c>
      <c r="B3880" t="str">
        <f>"1551603810339418"</f>
        <v>1551603810339418</v>
      </c>
      <c r="C3880" t="s">
        <v>40</v>
      </c>
      <c r="D3880">
        <v>3.9967079999999999</v>
      </c>
      <c r="E3880">
        <v>0.5308138</v>
      </c>
      <c r="F3880" t="s">
        <v>56</v>
      </c>
      <c r="G3880">
        <v>-168.4196</v>
      </c>
      <c r="H3880">
        <v>16.688459999999999</v>
      </c>
      <c r="I3880">
        <v>195.81280000000001</v>
      </c>
      <c r="J3880">
        <v>-397.95310000000001</v>
      </c>
      <c r="K3880">
        <v>1.1203000000000001</v>
      </c>
      <c r="L3880">
        <v>213.9083</v>
      </c>
      <c r="M3880">
        <v>0.99975590000000003</v>
      </c>
      <c r="N3880">
        <v>-8.187382E-3</v>
      </c>
      <c r="O3880">
        <v>2.0524509999999999E-2</v>
      </c>
      <c r="P3880">
        <v>0.98437929999999996</v>
      </c>
      <c r="Q3880">
        <v>0.17604129999999901</v>
      </c>
      <c r="R3880">
        <v>-2.7088540000000001E-3</v>
      </c>
      <c r="S3880">
        <v>3.0106510000000002</v>
      </c>
      <c r="T3880">
        <v>0.2038256</v>
      </c>
      <c r="U3880">
        <v>-0.23680109999999999</v>
      </c>
      <c r="V3880">
        <v>2.3031510000000002E-2</v>
      </c>
      <c r="W3880">
        <v>0.18407760000000001</v>
      </c>
      <c r="X3880">
        <v>0.98264189999999996</v>
      </c>
      <c r="Y3880">
        <v>9.8601980000000006E-2</v>
      </c>
      <c r="Z3880">
        <v>4.4777050000000002E-3</v>
      </c>
      <c r="AA3880">
        <v>0.99511689999999997</v>
      </c>
      <c r="AB3880">
        <v>44</v>
      </c>
      <c r="AC3880">
        <v>229.5335</v>
      </c>
      <c r="AD3880">
        <v>15.568160000000001</v>
      </c>
      <c r="AE3880">
        <v>-18.095499999999902</v>
      </c>
      <c r="AF3880">
        <v>22.699131173783901</v>
      </c>
      <c r="AG3880">
        <v>15.568160000000001</v>
      </c>
      <c r="AH3880">
        <v>228.071026279975</v>
      </c>
      <c r="AI3880">
        <v>86.1141784912367</v>
      </c>
      <c r="AJ3880">
        <v>84.316264042979896</v>
      </c>
      <c r="AK3880">
        <v>229.72594801247701</v>
      </c>
      <c r="AL3880">
        <v>79.392641400587394</v>
      </c>
      <c r="AM3880">
        <v>88.657326994405594</v>
      </c>
      <c r="AN3880">
        <v>1.0000000584551201</v>
      </c>
    </row>
    <row r="3881" spans="1:40" x14ac:dyDescent="0.25">
      <c r="A3881" t="str">
        <f>"20190303170330370"</f>
        <v>20190303170330370</v>
      </c>
      <c r="B3881" t="str">
        <f>"1551603810358938"</f>
        <v>1551603810358938</v>
      </c>
      <c r="C3881" t="s">
        <v>40</v>
      </c>
      <c r="D3881">
        <v>4.0374670000000004</v>
      </c>
      <c r="E3881">
        <v>0.53094549999999996</v>
      </c>
      <c r="F3881" t="s">
        <v>56</v>
      </c>
      <c r="G3881">
        <v>-168.4196</v>
      </c>
      <c r="H3881">
        <v>16.634740000000001</v>
      </c>
      <c r="I3881">
        <v>195.59119999999999</v>
      </c>
      <c r="J3881">
        <v>-397.51679999999999</v>
      </c>
      <c r="K3881">
        <v>1.1202810000000001</v>
      </c>
      <c r="L3881">
        <v>213.9171</v>
      </c>
      <c r="M3881">
        <v>0.9997606</v>
      </c>
      <c r="N3881">
        <v>-8.1975620000000003E-3</v>
      </c>
      <c r="O3881">
        <v>2.0287880000000001E-2</v>
      </c>
      <c r="P3881">
        <v>0.98454229999999998</v>
      </c>
      <c r="Q3881">
        <v>0.1751201</v>
      </c>
      <c r="R3881">
        <v>-3.0975909999999998E-3</v>
      </c>
      <c r="S3881">
        <v>3.0105900000000001</v>
      </c>
      <c r="T3881">
        <v>0.2034898</v>
      </c>
      <c r="U3881">
        <v>-0.24024960000000001</v>
      </c>
      <c r="V3881">
        <v>2.3195520000000001E-2</v>
      </c>
      <c r="W3881">
        <v>0.18316730000000001</v>
      </c>
      <c r="X3881">
        <v>0.98280809999999996</v>
      </c>
      <c r="Y3881">
        <v>9.9500539999999998E-2</v>
      </c>
      <c r="Z3881">
        <v>4.4782270000000004E-3</v>
      </c>
      <c r="AA3881">
        <v>0.99502740000000001</v>
      </c>
      <c r="AB3881">
        <v>44</v>
      </c>
      <c r="AC3881">
        <v>229.09719999999999</v>
      </c>
      <c r="AD3881">
        <v>15.514459</v>
      </c>
      <c r="AE3881">
        <v>-18.325900000000001</v>
      </c>
      <c r="AF3881">
        <v>22.8659838584299</v>
      </c>
      <c r="AG3881">
        <v>15.514459</v>
      </c>
      <c r="AH3881">
        <v>227.640914946262</v>
      </c>
      <c r="AI3881">
        <v>86.120599679346995</v>
      </c>
      <c r="AJ3881">
        <v>84.264016242892396</v>
      </c>
      <c r="AK3881">
        <v>229.311878919187</v>
      </c>
      <c r="AL3881">
        <v>79.4456995704805</v>
      </c>
      <c r="AM3881">
        <v>88.647997792044904</v>
      </c>
      <c r="AN3881">
        <v>1.0000000266814799</v>
      </c>
    </row>
    <row r="3882" spans="1:40" x14ac:dyDescent="0.25">
      <c r="A3882" t="str">
        <f>"20190303170330394"</f>
        <v>20190303170330394</v>
      </c>
      <c r="B3882" t="str">
        <f>"1551603810379434"</f>
        <v>1551603810379434</v>
      </c>
      <c r="C3882" t="s">
        <v>40</v>
      </c>
      <c r="D3882">
        <v>3.9827089999999998</v>
      </c>
      <c r="E3882">
        <v>0.53114779999999995</v>
      </c>
      <c r="F3882" t="s">
        <v>56</v>
      </c>
      <c r="G3882">
        <v>-168.4196</v>
      </c>
      <c r="H3882">
        <v>16.41339</v>
      </c>
      <c r="I3882">
        <v>195.48390000000001</v>
      </c>
      <c r="J3882">
        <v>-397.04899999999998</v>
      </c>
      <c r="K3882">
        <v>1.1202650000000001</v>
      </c>
      <c r="L3882">
        <v>213.9264</v>
      </c>
      <c r="M3882">
        <v>0.99976589999999999</v>
      </c>
      <c r="N3882">
        <v>-8.2180369999999992E-3</v>
      </c>
      <c r="O3882">
        <v>2.001665E-2</v>
      </c>
      <c r="P3882">
        <v>0.98453270000000004</v>
      </c>
      <c r="Q3882">
        <v>0.17516989999999999</v>
      </c>
      <c r="R3882">
        <v>-3.2835030000000001E-3</v>
      </c>
      <c r="S3882">
        <v>3.0105900000000001</v>
      </c>
      <c r="T3882">
        <v>0.2009687</v>
      </c>
      <c r="U3882">
        <v>-0.24223330000000001</v>
      </c>
      <c r="V3882">
        <v>2.3121539999999999E-2</v>
      </c>
      <c r="W3882">
        <v>0.18323619999999999</v>
      </c>
      <c r="X3882">
        <v>0.98279700000000003</v>
      </c>
      <c r="Y3882">
        <v>9.9888569999999996E-2</v>
      </c>
      <c r="Z3882">
        <v>4.4101740000000002E-3</v>
      </c>
      <c r="AA3882">
        <v>0.99498889999999995</v>
      </c>
      <c r="AB3882">
        <v>44</v>
      </c>
      <c r="AC3882">
        <v>228.6294</v>
      </c>
      <c r="AD3882">
        <v>15.293125</v>
      </c>
      <c r="AE3882">
        <v>-18.4424999999999</v>
      </c>
      <c r="AF3882">
        <v>22.913494015373999</v>
      </c>
      <c r="AG3882">
        <v>15.293125</v>
      </c>
      <c r="AH3882">
        <v>227.20440463179801</v>
      </c>
      <c r="AI3882">
        <v>86.168606708500405</v>
      </c>
      <c r="AJ3882">
        <v>84.241209233754404</v>
      </c>
      <c r="AK3882">
        <v>228.86841058640599</v>
      </c>
      <c r="AL3882">
        <v>79.441683930379895</v>
      </c>
      <c r="AM3882">
        <v>88.652293071564102</v>
      </c>
      <c r="AN3882">
        <v>1.0000000269056999</v>
      </c>
    </row>
    <row r="3883" spans="1:40" x14ac:dyDescent="0.25">
      <c r="A3883" t="str">
        <f>"20190303170330417"</f>
        <v>20190303170330417</v>
      </c>
      <c r="B3883" t="str">
        <f>"1551603810409690"</f>
        <v>1551603810409690</v>
      </c>
      <c r="C3883" t="s">
        <v>40</v>
      </c>
      <c r="D3883">
        <v>4.0085110000000004</v>
      </c>
      <c r="E3883">
        <v>0.53150640000000005</v>
      </c>
      <c r="F3883" t="s">
        <v>56</v>
      </c>
      <c r="G3883">
        <v>-168.4196</v>
      </c>
      <c r="H3883">
        <v>16.474489999999999</v>
      </c>
      <c r="I3883">
        <v>195.3381</v>
      </c>
      <c r="J3883">
        <v>-396.60230000000001</v>
      </c>
      <c r="K3883">
        <v>1.1202510000000001</v>
      </c>
      <c r="L3883">
        <v>213.93520000000001</v>
      </c>
      <c r="M3883">
        <v>0.99977110000000002</v>
      </c>
      <c r="N3883">
        <v>-8.2477079999999994E-3</v>
      </c>
      <c r="O3883">
        <v>1.973977E-2</v>
      </c>
      <c r="P3883">
        <v>0.98444419999999999</v>
      </c>
      <c r="Q3883">
        <v>0.17567829999999901</v>
      </c>
      <c r="R3883">
        <v>-2.6207370000000002E-3</v>
      </c>
      <c r="S3883">
        <v>3.010345</v>
      </c>
      <c r="T3883">
        <v>0.2021683</v>
      </c>
      <c r="U3883">
        <v>-0.244751</v>
      </c>
      <c r="V3883">
        <v>2.219256E-2</v>
      </c>
      <c r="W3883">
        <v>0.18377289999999999</v>
      </c>
      <c r="X3883">
        <v>0.98271819999999999</v>
      </c>
      <c r="Y3883">
        <v>0.1004429</v>
      </c>
      <c r="Z3883">
        <v>4.4326620000000004E-3</v>
      </c>
      <c r="AA3883">
        <v>0.99493290000000001</v>
      </c>
      <c r="AB3883">
        <v>44</v>
      </c>
      <c r="AC3883">
        <v>228.18270000000001</v>
      </c>
      <c r="AD3883">
        <v>15.354239</v>
      </c>
      <c r="AE3883">
        <v>-18.597100000000001</v>
      </c>
      <c r="AF3883">
        <v>22.9944751964053</v>
      </c>
      <c r="AG3883">
        <v>15.354239</v>
      </c>
      <c r="AH3883">
        <v>226.751202325929</v>
      </c>
      <c r="AI3883">
        <v>86.145891504548501</v>
      </c>
      <c r="AJ3883">
        <v>84.209521999703497</v>
      </c>
      <c r="AK3883">
        <v>228.43074727602101</v>
      </c>
      <c r="AL3883">
        <v>79.410402059355206</v>
      </c>
      <c r="AM3883">
        <v>88.7063189268722</v>
      </c>
      <c r="AN3883">
        <v>1.0000000245525</v>
      </c>
    </row>
    <row r="3884" spans="1:40" x14ac:dyDescent="0.25">
      <c r="A3884" t="str">
        <f>"20190303170330438"</f>
        <v>20190303170330438</v>
      </c>
      <c r="B3884" t="str">
        <f>"1551603810429211"</f>
        <v>1551603810429211</v>
      </c>
      <c r="C3884" t="s">
        <v>40</v>
      </c>
      <c r="D3884">
        <v>3.9807700000000001</v>
      </c>
      <c r="E3884">
        <v>0.53170450000000002</v>
      </c>
      <c r="F3884" t="s">
        <v>56</v>
      </c>
      <c r="G3884">
        <v>-168.41970000000001</v>
      </c>
      <c r="H3884">
        <v>16.67605</v>
      </c>
      <c r="I3884">
        <v>195.28829999999999</v>
      </c>
      <c r="J3884">
        <v>-396.15019999999998</v>
      </c>
      <c r="K3884">
        <v>1.1202399999999999</v>
      </c>
      <c r="L3884">
        <v>213.94390000000001</v>
      </c>
      <c r="M3884">
        <v>0.99977660000000002</v>
      </c>
      <c r="N3884">
        <v>-8.2874660000000003E-3</v>
      </c>
      <c r="O3884">
        <v>1.944359E-2</v>
      </c>
      <c r="P3884">
        <v>0.98433619999999999</v>
      </c>
      <c r="Q3884">
        <v>0.176287</v>
      </c>
      <c r="R3884">
        <v>-2.31701E-3</v>
      </c>
      <c r="S3884">
        <v>3.0101619999999998</v>
      </c>
      <c r="T3884">
        <v>0.205211</v>
      </c>
      <c r="U3884">
        <v>-0.24598690000000001</v>
      </c>
      <c r="V3884">
        <v>2.160285E-2</v>
      </c>
      <c r="W3884">
        <v>0.18441969999999999</v>
      </c>
      <c r="X3884">
        <v>0.98261019999999999</v>
      </c>
      <c r="Y3884">
        <v>0.1005516</v>
      </c>
      <c r="Z3884">
        <v>4.4826409999999999E-3</v>
      </c>
      <c r="AA3884">
        <v>0.99492170000000002</v>
      </c>
      <c r="AB3884">
        <v>44</v>
      </c>
      <c r="AC3884">
        <v>227.73050000000001</v>
      </c>
      <c r="AD3884">
        <v>15.555809999999999</v>
      </c>
      <c r="AE3884">
        <v>-18.6556</v>
      </c>
      <c r="AF3884">
        <v>22.9736436017937</v>
      </c>
      <c r="AG3884">
        <v>15.555809999999999</v>
      </c>
      <c r="AH3884">
        <v>226.275940623574</v>
      </c>
      <c r="AI3884">
        <v>86.0873219731711</v>
      </c>
      <c r="AJ3884">
        <v>84.202663736634307</v>
      </c>
      <c r="AK3884">
        <v>227.97055255050299</v>
      </c>
      <c r="AL3884">
        <v>79.372699081022901</v>
      </c>
      <c r="AM3884">
        <v>88.740545572637004</v>
      </c>
      <c r="AN3884">
        <v>1.00000005701012</v>
      </c>
    </row>
    <row r="3885" spans="1:40" x14ac:dyDescent="0.25">
      <c r="A3885" t="str">
        <f>"20190303170330460"</f>
        <v>20190303170330460</v>
      </c>
      <c r="B3885" t="str">
        <f>"1551603810449707"</f>
        <v>1551603810449707</v>
      </c>
      <c r="C3885" t="s">
        <v>40</v>
      </c>
      <c r="D3885">
        <v>3.9808059999999998</v>
      </c>
      <c r="E3885">
        <v>0.53187019999999996</v>
      </c>
      <c r="F3885" t="s">
        <v>56</v>
      </c>
      <c r="G3885">
        <v>-168.41980000000001</v>
      </c>
      <c r="H3885">
        <v>16.81915</v>
      </c>
      <c r="I3885">
        <v>195.28469999999999</v>
      </c>
      <c r="J3885">
        <v>-395.73200000000003</v>
      </c>
      <c r="K3885">
        <v>1.1202259999999999</v>
      </c>
      <c r="L3885">
        <v>213.95179999999999</v>
      </c>
      <c r="M3885">
        <v>0.99978180000000005</v>
      </c>
      <c r="N3885">
        <v>-8.3293159999999998E-3</v>
      </c>
      <c r="O3885">
        <v>1.9158950000000001E-2</v>
      </c>
      <c r="P3885">
        <v>0.98440030000000001</v>
      </c>
      <c r="Q3885">
        <v>0.17591799999999999</v>
      </c>
      <c r="R3885">
        <v>-2.9931290000000002E-3</v>
      </c>
      <c r="S3885">
        <v>3.01004</v>
      </c>
      <c r="T3885">
        <v>0.20750160000000001</v>
      </c>
      <c r="U3885">
        <v>-0.24662780000000001</v>
      </c>
      <c r="V3885">
        <v>2.2005790000000001E-2</v>
      </c>
      <c r="W3885">
        <v>0.18409120000000001</v>
      </c>
      <c r="X3885">
        <v>0.98266279999999995</v>
      </c>
      <c r="Y3885">
        <v>0.1004771</v>
      </c>
      <c r="Z3885">
        <v>4.5100749999999997E-3</v>
      </c>
      <c r="AA3885">
        <v>0.99492910000000001</v>
      </c>
      <c r="AB3885">
        <v>44</v>
      </c>
      <c r="AC3885">
        <v>227.31219999999999</v>
      </c>
      <c r="AD3885">
        <v>15.698924</v>
      </c>
      <c r="AE3885">
        <v>-18.667100000000001</v>
      </c>
      <c r="AF3885">
        <v>22.9103431150345</v>
      </c>
      <c r="AG3885">
        <v>15.698924</v>
      </c>
      <c r="AH3885">
        <v>225.84282501604099</v>
      </c>
      <c r="AI3885">
        <v>86.043856218539801</v>
      </c>
      <c r="AJ3885">
        <v>84.207516851305897</v>
      </c>
      <c r="AK3885">
        <v>227.54410923518199</v>
      </c>
      <c r="AL3885">
        <v>79.391848019896003</v>
      </c>
      <c r="AM3885">
        <v>88.717130446024697</v>
      </c>
      <c r="AN3885">
        <v>1.0000000016074</v>
      </c>
    </row>
    <row r="3886" spans="1:40" x14ac:dyDescent="0.25">
      <c r="A3886" t="str">
        <f>"20190303170330481"</f>
        <v>20190303170330481</v>
      </c>
      <c r="B3886" t="str">
        <f>"1551603810469227"</f>
        <v>1551603810469227</v>
      </c>
      <c r="C3886" t="s">
        <v>40</v>
      </c>
      <c r="D3886">
        <v>3.9440179999999998</v>
      </c>
      <c r="E3886">
        <v>0.53528209999999998</v>
      </c>
      <c r="F3886" t="s">
        <v>56</v>
      </c>
      <c r="G3886">
        <v>-168.41980000000001</v>
      </c>
      <c r="H3886">
        <v>16.770250000000001</v>
      </c>
      <c r="I3886">
        <v>195.10740000000001</v>
      </c>
      <c r="J3886">
        <v>-395.29930000000002</v>
      </c>
      <c r="K3886">
        <v>1.1202110000000001</v>
      </c>
      <c r="L3886">
        <v>213.9599</v>
      </c>
      <c r="M3886">
        <v>0.99978710000000004</v>
      </c>
      <c r="N3886">
        <v>-8.3767909999999998E-3</v>
      </c>
      <c r="O3886">
        <v>1.8856049999999999E-2</v>
      </c>
      <c r="P3886">
        <v>0.9845351</v>
      </c>
      <c r="Q3886">
        <v>0.175153</v>
      </c>
      <c r="R3886">
        <v>-3.4967570000000001E-3</v>
      </c>
      <c r="S3886">
        <v>3.0097659999999999</v>
      </c>
      <c r="T3886">
        <v>0.20721729999999999</v>
      </c>
      <c r="U3886">
        <v>-0.2495117</v>
      </c>
      <c r="V3886">
        <v>2.2217959999999998E-2</v>
      </c>
      <c r="W3886">
        <v>0.18337310000000001</v>
      </c>
      <c r="X3886">
        <v>0.98279229999999995</v>
      </c>
      <c r="Y3886">
        <v>0.1011304</v>
      </c>
      <c r="Z3886">
        <v>4.4986459999999898E-3</v>
      </c>
      <c r="AA3886">
        <v>0.99486300000000005</v>
      </c>
      <c r="AB3886">
        <v>45</v>
      </c>
      <c r="AC3886">
        <v>226.87950000000001</v>
      </c>
      <c r="AD3886">
        <v>15.650039</v>
      </c>
      <c r="AE3886">
        <v>-18.8524999999999</v>
      </c>
      <c r="AF3886">
        <v>23.0185740107889</v>
      </c>
      <c r="AG3886">
        <v>15.650039</v>
      </c>
      <c r="AH3886">
        <v>225.41843875628001</v>
      </c>
      <c r="AI3886">
        <v>86.049001164523801</v>
      </c>
      <c r="AJ3886">
        <v>84.169458903234002</v>
      </c>
      <c r="AK3886">
        <v>227.130471318822</v>
      </c>
      <c r="AL3886">
        <v>79.433704851101396</v>
      </c>
      <c r="AM3886">
        <v>88.704936395628593</v>
      </c>
      <c r="AN3886">
        <v>1.0000000182447299</v>
      </c>
    </row>
    <row r="3887" spans="1:40" x14ac:dyDescent="0.25">
      <c r="A3887" t="str">
        <f>"20190303170330505"</f>
        <v>20190303170330505</v>
      </c>
      <c r="B3887" t="str">
        <f>"1551603810499482"</f>
        <v>1551603810499482</v>
      </c>
      <c r="C3887" t="s">
        <v>40</v>
      </c>
      <c r="D3887">
        <v>4.0227709999999997</v>
      </c>
      <c r="E3887">
        <v>0.53406569999999998</v>
      </c>
      <c r="F3887" t="s">
        <v>56</v>
      </c>
      <c r="G3887">
        <v>-168.4161</v>
      </c>
      <c r="H3887">
        <v>4.2855860000000003</v>
      </c>
      <c r="I3887">
        <v>193.69669999999999</v>
      </c>
      <c r="J3887">
        <v>-394.834</v>
      </c>
      <c r="K3887">
        <v>1.1202099999999999</v>
      </c>
      <c r="L3887">
        <v>213.9684</v>
      </c>
      <c r="M3887">
        <v>0.99979289999999998</v>
      </c>
      <c r="N3887">
        <v>-8.4309859999999997E-3</v>
      </c>
      <c r="O3887">
        <v>1.852322E-2</v>
      </c>
      <c r="P3887">
        <v>0.98441489999999998</v>
      </c>
      <c r="Q3887">
        <v>0.17582010000000001</v>
      </c>
      <c r="R3887">
        <v>-3.8746789999999998E-3</v>
      </c>
      <c r="S3887">
        <v>3.0385740000000001</v>
      </c>
      <c r="T3887">
        <v>4.239333E-2</v>
      </c>
      <c r="U3887">
        <v>-0.2713776</v>
      </c>
      <c r="V3887">
        <v>2.2270870000000002E-2</v>
      </c>
      <c r="W3887">
        <v>0.18409159999999999</v>
      </c>
      <c r="X3887">
        <v>0.9826568</v>
      </c>
      <c r="Y3887">
        <v>0.1073833</v>
      </c>
      <c r="Z3887">
        <v>7.0774849999999997E-4</v>
      </c>
      <c r="AA3887">
        <v>0.99421749999999998</v>
      </c>
      <c r="AB3887">
        <v>45</v>
      </c>
      <c r="AC3887">
        <v>226.4179</v>
      </c>
      <c r="AD3887">
        <v>3.16537599999999</v>
      </c>
      <c r="AE3887">
        <v>-20.271699999999999</v>
      </c>
      <c r="AF3887">
        <v>24.457617158262799</v>
      </c>
      <c r="AG3887">
        <v>3.16537599999999</v>
      </c>
      <c r="AH3887">
        <v>225.95972835989599</v>
      </c>
      <c r="AI3887">
        <v>89.2020795728981</v>
      </c>
      <c r="AJ3887">
        <v>83.822421586938503</v>
      </c>
      <c r="AK3887">
        <v>227.30154747110601</v>
      </c>
      <c r="AL3887">
        <v>79.3918251978494</v>
      </c>
      <c r="AM3887">
        <v>88.701674434405504</v>
      </c>
      <c r="AN3887">
        <v>1.0000000477136699</v>
      </c>
    </row>
    <row r="3888" spans="1:40" x14ac:dyDescent="0.25">
      <c r="A3888" t="str">
        <f>"20190303170330527"</f>
        <v>20190303170330527</v>
      </c>
      <c r="B3888" t="str">
        <f>"1551603810519002"</f>
        <v>1551603810519002</v>
      </c>
      <c r="C3888" t="s">
        <v>40</v>
      </c>
      <c r="D3888">
        <v>4.036035</v>
      </c>
      <c r="E3888">
        <v>0.54507450000000002</v>
      </c>
      <c r="F3888" t="s">
        <v>62</v>
      </c>
      <c r="G3888">
        <v>-352.39760000000001</v>
      </c>
      <c r="H3888" s="1">
        <v>-7.6455039999999899E-8</v>
      </c>
      <c r="I3888">
        <v>210.39599999999999</v>
      </c>
      <c r="J3888">
        <v>-394.38130000000001</v>
      </c>
      <c r="K3888">
        <v>1.120206</v>
      </c>
      <c r="L3888">
        <v>213.97659999999999</v>
      </c>
      <c r="M3888">
        <v>0.99979850000000003</v>
      </c>
      <c r="N3888">
        <v>-8.4864439999999992E-3</v>
      </c>
      <c r="O3888">
        <v>1.8195280000000001E-2</v>
      </c>
      <c r="P3888">
        <v>0.98434500000000003</v>
      </c>
      <c r="Q3888">
        <v>0.1761943</v>
      </c>
      <c r="R3888">
        <v>-4.5227679999999999E-3</v>
      </c>
      <c r="S3888">
        <v>3.060883</v>
      </c>
      <c r="T3888">
        <v>-8.0799220000000005E-2</v>
      </c>
      <c r="U3888">
        <v>-0.25767519999999999</v>
      </c>
      <c r="V3888">
        <v>2.2598980000000001E-2</v>
      </c>
      <c r="W3888">
        <v>0.1845195</v>
      </c>
      <c r="X3888">
        <v>0.98256900000000003</v>
      </c>
      <c r="Y3888">
        <v>0.1019549</v>
      </c>
      <c r="Z3888">
        <v>-2.1018959999999998E-3</v>
      </c>
      <c r="AA3888">
        <v>0.99478679999999997</v>
      </c>
      <c r="AB3888">
        <v>45</v>
      </c>
      <c r="AC3888">
        <v>41.983699999999999</v>
      </c>
      <c r="AD3888">
        <v>-1.1202060764550399</v>
      </c>
      <c r="AE3888">
        <v>-3.5806</v>
      </c>
      <c r="AF3888">
        <v>4.3408717737672902</v>
      </c>
      <c r="AG3888">
        <v>-1.1202060764550399</v>
      </c>
      <c r="AH3888">
        <v>41.881995287128397</v>
      </c>
      <c r="AI3888">
        <v>91.523949343780998</v>
      </c>
      <c r="AJ3888">
        <v>84.082690247301201</v>
      </c>
      <c r="AK3888">
        <v>42.121248303452099</v>
      </c>
      <c r="AL3888">
        <v>79.366880500189893</v>
      </c>
      <c r="AM3888">
        <v>88.682435606163594</v>
      </c>
      <c r="AN3888">
        <v>0.999999999769145</v>
      </c>
    </row>
    <row r="3889" spans="1:40" x14ac:dyDescent="0.25">
      <c r="A3889" t="str">
        <f>"20190303170330549"</f>
        <v>20190303170330549</v>
      </c>
      <c r="B3889" t="str">
        <f>"1551603810539499"</f>
        <v>1551603810539499</v>
      </c>
      <c r="C3889" t="s">
        <v>40</v>
      </c>
      <c r="D3889">
        <v>4.0271990000000004</v>
      </c>
      <c r="E3889">
        <v>0.54628379999999999</v>
      </c>
      <c r="F3889" t="s">
        <v>43</v>
      </c>
      <c r="G3889">
        <v>-393.536</v>
      </c>
      <c r="H3889">
        <v>0.97861799999999999</v>
      </c>
      <c r="I3889">
        <v>213.88800000000001</v>
      </c>
      <c r="J3889">
        <v>-393.9461</v>
      </c>
      <c r="K3889">
        <v>1.120206</v>
      </c>
      <c r="L3889">
        <v>213.98429999999999</v>
      </c>
      <c r="M3889">
        <v>0.99980369999999996</v>
      </c>
      <c r="N3889">
        <v>-8.5418130000000005E-3</v>
      </c>
      <c r="O3889">
        <v>1.7878209999999999E-2</v>
      </c>
      <c r="P3889">
        <v>0.9845197</v>
      </c>
      <c r="Q3889">
        <v>0.17519470000000001</v>
      </c>
      <c r="R3889">
        <v>-5.2649999999999997E-3</v>
      </c>
      <c r="S3889">
        <v>3.1403500000000002</v>
      </c>
      <c r="T3889">
        <v>-0.52609039999999996</v>
      </c>
      <c r="U3889">
        <v>-0.3279724</v>
      </c>
      <c r="V3889">
        <v>2.3034269999999999E-2</v>
      </c>
      <c r="W3889">
        <v>0.1835746</v>
      </c>
      <c r="X3889">
        <v>0.9827359</v>
      </c>
      <c r="Y3889">
        <v>0.11967999999999999</v>
      </c>
      <c r="Z3889">
        <v>-1.3260889999999999E-2</v>
      </c>
      <c r="AA3889">
        <v>0.99272389999999999</v>
      </c>
      <c r="AB3889">
        <v>45</v>
      </c>
      <c r="AC3889">
        <v>0.41009999999999902</v>
      </c>
      <c r="AD3889">
        <v>-0.14158799999999999</v>
      </c>
      <c r="AE3889">
        <v>-9.6299999999985106E-2</v>
      </c>
      <c r="AF3889">
        <v>9.30993048293806E-2</v>
      </c>
      <c r="AG3889">
        <v>-0.14158799999999999</v>
      </c>
      <c r="AH3889">
        <v>0.36686769033844002</v>
      </c>
      <c r="AI3889">
        <v>110.50983606122099</v>
      </c>
      <c r="AJ3889">
        <v>75.760742675658406</v>
      </c>
      <c r="AK3889">
        <v>0.40411204450990501</v>
      </c>
      <c r="AL3889">
        <v>79.421960513101894</v>
      </c>
      <c r="AM3889">
        <v>88.657294549814594</v>
      </c>
      <c r="AN3889">
        <v>1.0000000302542</v>
      </c>
    </row>
    <row r="3890" spans="1:40" x14ac:dyDescent="0.25">
      <c r="A3890" t="str">
        <f>"20190303170330571"</f>
        <v>20190303170330571</v>
      </c>
      <c r="B3890" t="str">
        <f>"1551603810559018"</f>
        <v>1551603810559018</v>
      </c>
      <c r="C3890" t="s">
        <v>40</v>
      </c>
      <c r="D3890">
        <v>3.9709080000000001</v>
      </c>
      <c r="E3890">
        <v>0.54668000000000005</v>
      </c>
      <c r="F3890" t="s">
        <v>43</v>
      </c>
      <c r="G3890">
        <v>-393.14159999999998</v>
      </c>
      <c r="H3890">
        <v>0.96587409999999996</v>
      </c>
      <c r="I3890">
        <v>213.89850000000001</v>
      </c>
      <c r="J3890">
        <v>-393.51240000000001</v>
      </c>
      <c r="K3890">
        <v>1.120204</v>
      </c>
      <c r="L3890">
        <v>213.99180000000001</v>
      </c>
      <c r="M3890">
        <v>0.9998089</v>
      </c>
      <c r="N3890">
        <v>-8.6002259999999903E-3</v>
      </c>
      <c r="O3890">
        <v>1.756106E-2</v>
      </c>
      <c r="P3890">
        <v>0.98458959999999995</v>
      </c>
      <c r="Q3890">
        <v>0.17479510000000001</v>
      </c>
      <c r="R3890">
        <v>-5.5091259999999996E-3</v>
      </c>
      <c r="S3890">
        <v>3.1530149999999999</v>
      </c>
      <c r="T3890">
        <v>-0.6048325</v>
      </c>
      <c r="U3890">
        <v>-0.33613589999999999</v>
      </c>
      <c r="V3890">
        <v>2.296956E-2</v>
      </c>
      <c r="W3890">
        <v>0.18323239999999999</v>
      </c>
      <c r="X3890">
        <v>0.98280129999999999</v>
      </c>
      <c r="Y3890">
        <v>0.12088359999999999</v>
      </c>
      <c r="Z3890">
        <v>-1.516459E-2</v>
      </c>
      <c r="AA3890">
        <v>0.99255079999999996</v>
      </c>
      <c r="AB3890">
        <v>45</v>
      </c>
      <c r="AC3890">
        <v>0.37080000000003099</v>
      </c>
      <c r="AD3890">
        <v>-0.15432989999999999</v>
      </c>
      <c r="AE3890">
        <v>-9.3299999999999203E-2</v>
      </c>
      <c r="AF3890">
        <v>8.5816696409044393E-2</v>
      </c>
      <c r="AG3890">
        <v>-0.15432989999999999</v>
      </c>
      <c r="AH3890">
        <v>0.31739587372775402</v>
      </c>
      <c r="AI3890">
        <v>115.14458971531</v>
      </c>
      <c r="AJ3890">
        <v>74.8702683495287</v>
      </c>
      <c r="AK3890">
        <v>0.36321118385310802</v>
      </c>
      <c r="AL3890">
        <v>79.441905695411904</v>
      </c>
      <c r="AM3890">
        <v>88.661154293270698</v>
      </c>
      <c r="AN3890">
        <v>1.0000000541890199</v>
      </c>
    </row>
    <row r="3891" spans="1:40" x14ac:dyDescent="0.25">
      <c r="A3891" t="str">
        <f>"20190303170330595"</f>
        <v>20190303170330595</v>
      </c>
      <c r="B3891" t="str">
        <f>"1551603810589240"</f>
        <v>1551603810589240</v>
      </c>
      <c r="C3891" t="s">
        <v>40</v>
      </c>
      <c r="D3891">
        <v>3.9610979999999998</v>
      </c>
      <c r="E3891">
        <v>0.54753839999999998</v>
      </c>
      <c r="F3891" t="s">
        <v>43</v>
      </c>
      <c r="G3891">
        <v>-392.74119999999999</v>
      </c>
      <c r="H3891">
        <v>0.96435680000000001</v>
      </c>
      <c r="I3891">
        <v>213.9085</v>
      </c>
      <c r="J3891">
        <v>-393.05270000000002</v>
      </c>
      <c r="K3891">
        <v>1.1202030000000001</v>
      </c>
      <c r="L3891">
        <v>213.99969999999999</v>
      </c>
      <c r="M3891">
        <v>0.99981419999999999</v>
      </c>
      <c r="N3891">
        <v>-8.6644759999999904E-3</v>
      </c>
      <c r="O3891">
        <v>1.7225279999999999E-2</v>
      </c>
      <c r="P3891">
        <v>0.98456980000000005</v>
      </c>
      <c r="Q3891">
        <v>0.1749184</v>
      </c>
      <c r="R3891">
        <v>-5.1206489999999997E-3</v>
      </c>
      <c r="S3891">
        <v>3.158417</v>
      </c>
      <c r="T3891">
        <v>-0.63834740000000001</v>
      </c>
      <c r="U3891">
        <v>-0.33999629999999997</v>
      </c>
      <c r="V3891">
        <v>2.2253350000000002E-2</v>
      </c>
      <c r="W3891">
        <v>0.18341950000000001</v>
      </c>
      <c r="X3891">
        <v>0.98278279999999996</v>
      </c>
      <c r="Y3891">
        <v>0.1212921</v>
      </c>
      <c r="Z3891">
        <v>-1.5923179999999999E-2</v>
      </c>
      <c r="AA3891">
        <v>0.99248919999999996</v>
      </c>
      <c r="AB3891">
        <v>45</v>
      </c>
      <c r="AC3891">
        <v>0.31150000000002298</v>
      </c>
      <c r="AD3891">
        <v>-0.15584619999999899</v>
      </c>
      <c r="AE3891">
        <v>-9.1199999999986403E-2</v>
      </c>
      <c r="AF3891">
        <v>7.8462956844964502E-2</v>
      </c>
      <c r="AG3891">
        <v>-0.15584619999999899</v>
      </c>
      <c r="AH3891">
        <v>0.25182525869411498</v>
      </c>
      <c r="AI3891">
        <v>120.576746018469</v>
      </c>
      <c r="AJ3891">
        <v>72.694167407677099</v>
      </c>
      <c r="AK3891">
        <v>0.30636650366457002</v>
      </c>
      <c r="AL3891">
        <v>79.431000030598</v>
      </c>
      <c r="AM3891">
        <v>88.702861716356196</v>
      </c>
      <c r="AN3891">
        <v>0.99999997827115605</v>
      </c>
    </row>
    <row r="3892" spans="1:40" x14ac:dyDescent="0.25">
      <c r="A3892" t="str">
        <f>"20190303170330618"</f>
        <v>20190303170330618</v>
      </c>
      <c r="B3892" t="str">
        <f>"1551603810609737"</f>
        <v>1551603810609737</v>
      </c>
      <c r="C3892" t="s">
        <v>40</v>
      </c>
      <c r="D3892">
        <v>3.9415909999999998</v>
      </c>
      <c r="E3892">
        <v>0.54784829999999995</v>
      </c>
      <c r="F3892" t="s">
        <v>43</v>
      </c>
      <c r="G3892">
        <v>-392.33659999999998</v>
      </c>
      <c r="H3892">
        <v>0.97077820000000004</v>
      </c>
      <c r="I3892">
        <v>213.9211</v>
      </c>
      <c r="J3892">
        <v>-392.56920000000002</v>
      </c>
      <c r="K3892">
        <v>1.1202049999999999</v>
      </c>
      <c r="L3892">
        <v>214.0078</v>
      </c>
      <c r="M3892">
        <v>0.99981949999999997</v>
      </c>
      <c r="N3892">
        <v>-8.7345319999999997E-3</v>
      </c>
      <c r="O3892">
        <v>1.6872379999999999E-2</v>
      </c>
      <c r="P3892">
        <v>0.98449279999999995</v>
      </c>
      <c r="Q3892">
        <v>0.17534649999999999</v>
      </c>
      <c r="R3892">
        <v>-5.2625809999999997E-3</v>
      </c>
      <c r="S3892">
        <v>3.162445</v>
      </c>
      <c r="T3892">
        <v>-0.65995479999999995</v>
      </c>
      <c r="U3892">
        <v>-0.34632869999999999</v>
      </c>
      <c r="V3892">
        <v>2.2049659999999999E-2</v>
      </c>
      <c r="W3892">
        <v>0.18391579999999999</v>
      </c>
      <c r="X3892">
        <v>0.98269459999999997</v>
      </c>
      <c r="Y3892">
        <v>0.1225662</v>
      </c>
      <c r="Z3892">
        <v>-1.648749E-2</v>
      </c>
      <c r="AA3892">
        <v>0.99232339999999997</v>
      </c>
      <c r="AB3892">
        <v>45</v>
      </c>
      <c r="AC3892">
        <v>0.23260000000004699</v>
      </c>
      <c r="AD3892">
        <v>-0.149426799999999</v>
      </c>
      <c r="AE3892">
        <v>-8.6700000000007493E-2</v>
      </c>
      <c r="AF3892">
        <v>6.65113924977173E-2</v>
      </c>
      <c r="AG3892">
        <v>-0.149426799999999</v>
      </c>
      <c r="AH3892">
        <v>0.16963530041843999</v>
      </c>
      <c r="AI3892">
        <v>129.35474457442399</v>
      </c>
      <c r="AJ3892">
        <v>68.5906180506326</v>
      </c>
      <c r="AK3892">
        <v>0.23564436984209899</v>
      </c>
      <c r="AL3892">
        <v>79.402071643700495</v>
      </c>
      <c r="AM3892">
        <v>88.714615400258197</v>
      </c>
      <c r="AN3892">
        <v>0.99999994293245598</v>
      </c>
    </row>
    <row r="3893" spans="1:40" x14ac:dyDescent="0.25">
      <c r="A3893" t="str">
        <f>"20190303170330639"</f>
        <v>20190303170330639</v>
      </c>
      <c r="B3893" t="str">
        <f>"1551603810629257"</f>
        <v>1551603810629257</v>
      </c>
      <c r="C3893" t="s">
        <v>40</v>
      </c>
      <c r="D3893">
        <v>3.925751</v>
      </c>
      <c r="E3893">
        <v>0.54786979999999996</v>
      </c>
      <c r="F3893" t="s">
        <v>43</v>
      </c>
      <c r="G3893">
        <v>-391.55919999999998</v>
      </c>
      <c r="H3893">
        <v>0.90775620000000001</v>
      </c>
      <c r="I3893">
        <v>213.89619999999999</v>
      </c>
      <c r="J3893">
        <v>-392.14139999999998</v>
      </c>
      <c r="K3893">
        <v>1.120206</v>
      </c>
      <c r="L3893">
        <v>214.01480000000001</v>
      </c>
      <c r="M3893">
        <v>0.99982409999999999</v>
      </c>
      <c r="N3893">
        <v>-8.7991379999999998E-3</v>
      </c>
      <c r="O3893">
        <v>1.6560749999999999E-2</v>
      </c>
      <c r="P3893">
        <v>0.98437790000000003</v>
      </c>
      <c r="Q3893">
        <v>0.17598179999999999</v>
      </c>
      <c r="R3893">
        <v>-5.5534769999999898E-3</v>
      </c>
      <c r="S3893">
        <v>3.1639710000000001</v>
      </c>
      <c r="T3893">
        <v>-0.66555359999999997</v>
      </c>
      <c r="U3893">
        <v>-0.34883120000000001</v>
      </c>
      <c r="V3893">
        <v>2.2034620000000001E-2</v>
      </c>
      <c r="W3893">
        <v>0.18461320000000001</v>
      </c>
      <c r="X3893">
        <v>0.9825642</v>
      </c>
      <c r="Y3893">
        <v>0.1229305</v>
      </c>
      <c r="Z3893">
        <v>-1.659335E-2</v>
      </c>
      <c r="AA3893">
        <v>0.99227650000000001</v>
      </c>
      <c r="AB3893">
        <v>45</v>
      </c>
      <c r="AC3893">
        <v>0.58220000000000005</v>
      </c>
      <c r="AD3893">
        <v>-0.21244979999999999</v>
      </c>
      <c r="AE3893">
        <v>-0.118600000000014</v>
      </c>
      <c r="AF3893">
        <v>0.11369018014152101</v>
      </c>
      <c r="AG3893">
        <v>-0.21244979999999999</v>
      </c>
      <c r="AH3893">
        <v>0.51438984145306899</v>
      </c>
      <c r="AI3893">
        <v>111.963264408058</v>
      </c>
      <c r="AJ3893">
        <v>77.536877608388295</v>
      </c>
      <c r="AK3893">
        <v>0.56802929816230896</v>
      </c>
      <c r="AL3893">
        <v>79.361417856195004</v>
      </c>
      <c r="AM3893">
        <v>88.715321447932595</v>
      </c>
      <c r="AN3893">
        <v>0.99999998260721201</v>
      </c>
    </row>
    <row r="3894" spans="1:40" x14ac:dyDescent="0.25">
      <c r="A3894" t="str">
        <f>"20190303170330660"</f>
        <v>20190303170330660</v>
      </c>
      <c r="B3894" t="str">
        <f>"1551603810649753"</f>
        <v>1551603810649753</v>
      </c>
      <c r="C3894" t="s">
        <v>40</v>
      </c>
      <c r="D3894">
        <v>3.9240810000000002</v>
      </c>
      <c r="E3894">
        <v>0.54793309999999995</v>
      </c>
      <c r="F3894" t="s">
        <v>43</v>
      </c>
      <c r="G3894">
        <v>-391.15460000000002</v>
      </c>
      <c r="H3894">
        <v>0.91188380000000002</v>
      </c>
      <c r="I3894">
        <v>213.90549999999999</v>
      </c>
      <c r="J3894">
        <v>-391.71949999999998</v>
      </c>
      <c r="K3894">
        <v>1.1202030000000001</v>
      </c>
      <c r="L3894">
        <v>214.02160000000001</v>
      </c>
      <c r="M3894">
        <v>0.99982870000000001</v>
      </c>
      <c r="N3894">
        <v>-8.8631300000000003E-3</v>
      </c>
      <c r="O3894">
        <v>1.625325E-2</v>
      </c>
      <c r="P3894">
        <v>0.98443659999999999</v>
      </c>
      <c r="Q3894">
        <v>0.1756598</v>
      </c>
      <c r="R3894">
        <v>-5.3003470000000004E-3</v>
      </c>
      <c r="S3894">
        <v>3.1650999999999998</v>
      </c>
      <c r="T3894">
        <v>-0.66816209999999998</v>
      </c>
      <c r="U3894">
        <v>-0.34906009999999998</v>
      </c>
      <c r="V3894">
        <v>2.1481460000000001E-2</v>
      </c>
      <c r="W3894">
        <v>0.18435499999999999</v>
      </c>
      <c r="X3894">
        <v>0.98262490000000002</v>
      </c>
      <c r="Y3894">
        <v>0.1226481</v>
      </c>
      <c r="Z3894">
        <v>-1.6560720000000001E-2</v>
      </c>
      <c r="AA3894">
        <v>0.99231210000000003</v>
      </c>
      <c r="AB3894">
        <v>45</v>
      </c>
      <c r="AC3894">
        <v>0.56489999999996598</v>
      </c>
      <c r="AD3894">
        <v>-0.20831920000000001</v>
      </c>
      <c r="AE3894">
        <v>-0.116100000000017</v>
      </c>
      <c r="AF3894">
        <v>0.11080811235844699</v>
      </c>
      <c r="AG3894">
        <v>-0.20831920000000001</v>
      </c>
      <c r="AH3894">
        <v>0.49796344884243199</v>
      </c>
      <c r="AI3894">
        <v>112.212865196568</v>
      </c>
      <c r="AJ3894">
        <v>77.4547938405276</v>
      </c>
      <c r="AK3894">
        <v>0.55103804155079095</v>
      </c>
      <c r="AL3894">
        <v>79.376469709902395</v>
      </c>
      <c r="AM3894">
        <v>88.747639125329499</v>
      </c>
      <c r="AN3894">
        <v>0.99999995662436902</v>
      </c>
    </row>
    <row r="3895" spans="1:40" x14ac:dyDescent="0.25">
      <c r="A3895" t="str">
        <f>"20190303170330682"</f>
        <v>20190303170330682</v>
      </c>
      <c r="B3895" t="str">
        <f>"1551603810669273"</f>
        <v>1551603810669273</v>
      </c>
      <c r="C3895" t="s">
        <v>40</v>
      </c>
      <c r="D3895">
        <v>3.9123009999999998</v>
      </c>
      <c r="E3895">
        <v>0.54800709999999997</v>
      </c>
      <c r="F3895" t="s">
        <v>43</v>
      </c>
      <c r="G3895">
        <v>-390.75029999999998</v>
      </c>
      <c r="H3895">
        <v>0.91408480000000003</v>
      </c>
      <c r="I3895">
        <v>213.91470000000001</v>
      </c>
      <c r="J3895">
        <v>-391.26589999999999</v>
      </c>
      <c r="K3895">
        <v>1.120207</v>
      </c>
      <c r="L3895">
        <v>214.02869999999999</v>
      </c>
      <c r="M3895">
        <v>0.99983330000000004</v>
      </c>
      <c r="N3895">
        <v>-8.9292139999999996E-3</v>
      </c>
      <c r="O3895">
        <v>1.5922789999999999E-2</v>
      </c>
      <c r="P3895">
        <v>0.98442289999999999</v>
      </c>
      <c r="Q3895">
        <v>0.17573059999999999</v>
      </c>
      <c r="R3895">
        <v>-5.5179139999999996E-3</v>
      </c>
      <c r="S3895">
        <v>3.1656490000000002</v>
      </c>
      <c r="T3895">
        <v>-0.67328679999999996</v>
      </c>
      <c r="U3895">
        <v>-0.34896850000000001</v>
      </c>
      <c r="V3895">
        <v>2.1375000000000002E-2</v>
      </c>
      <c r="W3895">
        <v>0.18449090000000001</v>
      </c>
      <c r="X3895">
        <v>0.98260179999999997</v>
      </c>
      <c r="Y3895">
        <v>0.1222428</v>
      </c>
      <c r="Z3895">
        <v>-1.6571610000000001E-2</v>
      </c>
      <c r="AA3895">
        <v>0.99236179999999996</v>
      </c>
      <c r="AB3895">
        <v>45</v>
      </c>
      <c r="AC3895">
        <v>0.51560000000000605</v>
      </c>
      <c r="AD3895">
        <v>-0.20612219999999901</v>
      </c>
      <c r="AE3895">
        <v>-0.113999999999975</v>
      </c>
      <c r="AF3895">
        <v>0.106038697415199</v>
      </c>
      <c r="AG3895">
        <v>-0.20612219999999901</v>
      </c>
      <c r="AH3895">
        <v>0.44579430682700799</v>
      </c>
      <c r="AI3895">
        <v>114.21918715407899</v>
      </c>
      <c r="AJ3895">
        <v>76.620006974228005</v>
      </c>
      <c r="AK3895">
        <v>0.50245709337387701</v>
      </c>
      <c r="AL3895">
        <v>79.3685482177967</v>
      </c>
      <c r="AM3895">
        <v>88.753814453808104</v>
      </c>
      <c r="AN3895">
        <v>1.00000004008552</v>
      </c>
    </row>
    <row r="3896" spans="1:40" x14ac:dyDescent="0.25">
      <c r="A3896" t="str">
        <f>"20190303170330706"</f>
        <v>20190303170330706</v>
      </c>
      <c r="B3896" t="str">
        <f>"1551603810699528"</f>
        <v>1551603810699528</v>
      </c>
      <c r="C3896" t="s">
        <v>40</v>
      </c>
      <c r="D3896">
        <v>3.8748320000000001</v>
      </c>
      <c r="E3896">
        <v>0.54810009999999998</v>
      </c>
      <c r="F3896" t="s">
        <v>43</v>
      </c>
      <c r="G3896">
        <v>-390.34269999999998</v>
      </c>
      <c r="H3896">
        <v>0.92315539999999996</v>
      </c>
      <c r="I3896">
        <v>213.92619999999999</v>
      </c>
      <c r="J3896">
        <v>-390.78919999999999</v>
      </c>
      <c r="K3896">
        <v>1.1202080000000001</v>
      </c>
      <c r="L3896">
        <v>214.0361</v>
      </c>
      <c r="M3896">
        <v>0.99983840000000002</v>
      </c>
      <c r="N3896">
        <v>-8.9956859999999993E-3</v>
      </c>
      <c r="O3896">
        <v>1.557452E-2</v>
      </c>
      <c r="P3896">
        <v>0.98427370000000003</v>
      </c>
      <c r="Q3896">
        <v>0.17655580000000001</v>
      </c>
      <c r="R3896">
        <v>-5.797623E-3</v>
      </c>
      <c r="S3896">
        <v>3.1661069999999998</v>
      </c>
      <c r="T3896">
        <v>-0.67575600000000002</v>
      </c>
      <c r="U3896">
        <v>-0.3501129</v>
      </c>
      <c r="V3896">
        <v>2.1311920000000002E-2</v>
      </c>
      <c r="W3896">
        <v>0.18537989999999999</v>
      </c>
      <c r="X3896">
        <v>0.98243579999999997</v>
      </c>
      <c r="Y3896">
        <v>0.12222139999999999</v>
      </c>
      <c r="Z3896">
        <v>-1.6557559999999999E-2</v>
      </c>
      <c r="AA3896">
        <v>0.99236480000000005</v>
      </c>
      <c r="AB3896">
        <v>45</v>
      </c>
      <c r="AC3896">
        <v>0.446500000000014</v>
      </c>
      <c r="AD3896">
        <v>-0.19705259999999999</v>
      </c>
      <c r="AE3896">
        <v>-0.10990000000001</v>
      </c>
      <c r="AF3896">
        <v>9.8712937600373002E-2</v>
      </c>
      <c r="AG3896">
        <v>-0.19705259999999999</v>
      </c>
      <c r="AH3896">
        <v>0.37573302862649199</v>
      </c>
      <c r="AI3896">
        <v>116.895729252311</v>
      </c>
      <c r="AJ3896">
        <v>75.279853415455406</v>
      </c>
      <c r="AK3896">
        <v>0.435602203871022</v>
      </c>
      <c r="AL3896">
        <v>79.316717839265294</v>
      </c>
      <c r="AM3896">
        <v>88.757281053046796</v>
      </c>
      <c r="AN3896">
        <v>1.0000000031898599</v>
      </c>
    </row>
    <row r="3897" spans="1:40" x14ac:dyDescent="0.25">
      <c r="A3897" t="str">
        <f>"20190303170330727"</f>
        <v>20190303170330727</v>
      </c>
      <c r="B3897" t="str">
        <f>"1551603810719048"</f>
        <v>1551603810719048</v>
      </c>
      <c r="C3897" t="s">
        <v>40</v>
      </c>
      <c r="D3897">
        <v>3.8466770000000001</v>
      </c>
      <c r="E3897">
        <v>0.56186550000000002</v>
      </c>
      <c r="F3897" t="s">
        <v>43</v>
      </c>
      <c r="G3897">
        <v>-389.93189999999998</v>
      </c>
      <c r="H3897">
        <v>0.93758509999999995</v>
      </c>
      <c r="I3897">
        <v>213.94059999999999</v>
      </c>
      <c r="J3897">
        <v>-390.34879999999998</v>
      </c>
      <c r="K3897">
        <v>1.120212</v>
      </c>
      <c r="L3897">
        <v>214.0427</v>
      </c>
      <c r="M3897">
        <v>0.99984260000000003</v>
      </c>
      <c r="N3897">
        <v>-9.0555500000000008E-3</v>
      </c>
      <c r="O3897">
        <v>1.52534E-2</v>
      </c>
      <c r="P3897">
        <v>0.98426000000000002</v>
      </c>
      <c r="Q3897">
        <v>0.176620899999999</v>
      </c>
      <c r="R3897">
        <v>-6.1369419999999899E-3</v>
      </c>
      <c r="S3897">
        <v>3.1668699999999999</v>
      </c>
      <c r="T3897">
        <v>-0.67467029999999995</v>
      </c>
      <c r="U3897">
        <v>-0.35182190000000002</v>
      </c>
      <c r="V3897">
        <v>2.1335969999999999E-2</v>
      </c>
      <c r="W3897">
        <v>0.18550359999999999</v>
      </c>
      <c r="X3897">
        <v>0.9824119</v>
      </c>
      <c r="Y3897">
        <v>0.1224186</v>
      </c>
      <c r="Z3897">
        <v>-1.6487769999999999E-2</v>
      </c>
      <c r="AA3897">
        <v>0.99234160000000005</v>
      </c>
      <c r="AB3897">
        <v>45</v>
      </c>
      <c r="AC3897">
        <v>0.41689999999999799</v>
      </c>
      <c r="AD3897">
        <v>-0.18262689999999901</v>
      </c>
      <c r="AE3897">
        <v>-0.102100000000007</v>
      </c>
      <c r="AF3897">
        <v>9.1823928672057797E-2</v>
      </c>
      <c r="AG3897">
        <v>-0.18262689999999901</v>
      </c>
      <c r="AH3897">
        <v>0.35163487780483399</v>
      </c>
      <c r="AI3897">
        <v>116.680176679632</v>
      </c>
      <c r="AJ3897">
        <v>75.364925059955496</v>
      </c>
      <c r="AK3897">
        <v>0.40673247444629002</v>
      </c>
      <c r="AL3897">
        <v>79.309504948619704</v>
      </c>
      <c r="AM3897">
        <v>88.755848857181903</v>
      </c>
      <c r="AN3897">
        <v>0.99999997524520501</v>
      </c>
    </row>
    <row r="3898" spans="1:40" x14ac:dyDescent="0.25">
      <c r="A3898" t="str">
        <f>"20190303170330750"</f>
        <v>20190303170330750</v>
      </c>
      <c r="B3898" t="str">
        <f>"1551603810739545"</f>
        <v>1551603810739545</v>
      </c>
      <c r="C3898" t="s">
        <v>40</v>
      </c>
      <c r="D3898">
        <v>3.8772139999999999</v>
      </c>
      <c r="E3898">
        <v>0.56290509999999905</v>
      </c>
      <c r="F3898" t="s">
        <v>43</v>
      </c>
      <c r="G3898">
        <v>-389.5204</v>
      </c>
      <c r="H3898">
        <v>0.94907010000000003</v>
      </c>
      <c r="I3898">
        <v>213.9211</v>
      </c>
      <c r="J3898">
        <v>-389.90030000000002</v>
      </c>
      <c r="K3898">
        <v>1.1202049999999999</v>
      </c>
      <c r="L3898">
        <v>214.04929999999999</v>
      </c>
      <c r="M3898">
        <v>0.99984709999999999</v>
      </c>
      <c r="N3898">
        <v>-9.1141529999999998E-3</v>
      </c>
      <c r="O3898">
        <v>1.492544E-2</v>
      </c>
      <c r="P3898">
        <v>0.98436829999999997</v>
      </c>
      <c r="Q3898">
        <v>0.17600869999999999</v>
      </c>
      <c r="R3898">
        <v>-6.3212529999999998E-3</v>
      </c>
      <c r="S3898">
        <v>3.1623230000000002</v>
      </c>
      <c r="T3898">
        <v>-0.6533099</v>
      </c>
      <c r="U3898">
        <v>-0.46362300000000001</v>
      </c>
      <c r="V3898">
        <v>2.1199530000000001E-2</v>
      </c>
      <c r="W3898">
        <v>0.18494969999999999</v>
      </c>
      <c r="X3898">
        <v>0.98251929999999998</v>
      </c>
      <c r="Y3898">
        <v>0.15614929999999999</v>
      </c>
      <c r="Z3898">
        <v>-1.95041E-2</v>
      </c>
      <c r="AA3898">
        <v>0.98754090000000005</v>
      </c>
      <c r="AB3898">
        <v>45</v>
      </c>
      <c r="AC3898">
        <v>0.37990000000002</v>
      </c>
      <c r="AD3898">
        <v>-0.17113489999999901</v>
      </c>
      <c r="AE3898">
        <v>-0.12819999999999199</v>
      </c>
      <c r="AF3898">
        <v>0.11322819259089199</v>
      </c>
      <c r="AG3898">
        <v>-0.17113489999999901</v>
      </c>
      <c r="AH3898">
        <v>0.31970096862778702</v>
      </c>
      <c r="AI3898">
        <v>116.77482371464301</v>
      </c>
      <c r="AJ3898">
        <v>70.497429481624195</v>
      </c>
      <c r="AK3898">
        <v>0.37989009849817801</v>
      </c>
      <c r="AL3898">
        <v>79.341800113953198</v>
      </c>
      <c r="AM3898">
        <v>88.763937609024296</v>
      </c>
      <c r="AN3898">
        <v>0.99999999323739996</v>
      </c>
    </row>
    <row r="3899" spans="1:40" x14ac:dyDescent="0.25">
      <c r="A3899" t="str">
        <f>"20190303170330772"</f>
        <v>20190303170330772</v>
      </c>
      <c r="B3899" t="str">
        <f>"1551603810759065"</f>
        <v>1551603810759065</v>
      </c>
      <c r="C3899" t="s">
        <v>40</v>
      </c>
      <c r="D3899">
        <v>3.8883230000000002</v>
      </c>
      <c r="E3899">
        <v>0.56355710000000003</v>
      </c>
      <c r="F3899" t="s">
        <v>43</v>
      </c>
      <c r="G3899">
        <v>-389.11110000000002</v>
      </c>
      <c r="H3899">
        <v>0.95790969999999998</v>
      </c>
      <c r="I3899">
        <v>213.93100000000001</v>
      </c>
      <c r="J3899">
        <v>-389.44420000000002</v>
      </c>
      <c r="K3899">
        <v>1.120204</v>
      </c>
      <c r="L3899">
        <v>214.05600000000001</v>
      </c>
      <c r="M3899">
        <v>0.99985159999999995</v>
      </c>
      <c r="N3899">
        <v>-9.1698879999999993E-3</v>
      </c>
      <c r="O3899">
        <v>1.4592000000000001E-2</v>
      </c>
      <c r="P3899">
        <v>0.98449969999999998</v>
      </c>
      <c r="Q3899">
        <v>0.1752775</v>
      </c>
      <c r="R3899">
        <v>-6.2305839999999999E-3</v>
      </c>
      <c r="S3899">
        <v>3.1607970000000001</v>
      </c>
      <c r="T3899">
        <v>-0.65005559999999996</v>
      </c>
      <c r="U3899">
        <v>-0.47262569999999998</v>
      </c>
      <c r="V3899">
        <v>2.0782370000000001E-2</v>
      </c>
      <c r="W3899">
        <v>0.18427489999999999</v>
      </c>
      <c r="X3899">
        <v>0.98265499999999995</v>
      </c>
      <c r="Y3899">
        <v>0.15862660000000001</v>
      </c>
      <c r="Z3899">
        <v>-1.9618300000000002E-2</v>
      </c>
      <c r="AA3899">
        <v>0.98714369999999996</v>
      </c>
      <c r="AB3899">
        <v>45</v>
      </c>
      <c r="AC3899">
        <v>0.33310000000000101</v>
      </c>
      <c r="AD3899">
        <v>-0.1622943</v>
      </c>
      <c r="AE3899">
        <v>-0.125</v>
      </c>
      <c r="AF3899">
        <v>0.107482141280446</v>
      </c>
      <c r="AG3899">
        <v>-0.1622943</v>
      </c>
      <c r="AH3899">
        <v>0.27418653733062298</v>
      </c>
      <c r="AI3899">
        <v>118.85840697677099</v>
      </c>
      <c r="AJ3899">
        <v>68.594636059732395</v>
      </c>
      <c r="AK3899">
        <v>0.33625898911416002</v>
      </c>
      <c r="AL3899">
        <v>79.381139539114699</v>
      </c>
      <c r="AM3899">
        <v>88.788420552771896</v>
      </c>
      <c r="AN3899">
        <v>0.99999999734891298</v>
      </c>
    </row>
    <row r="3900" spans="1:40" x14ac:dyDescent="0.25">
      <c r="A3900" t="str">
        <f>"20190303170330795"</f>
        <v>20190303170330795</v>
      </c>
      <c r="B3900" t="str">
        <f>"1551603810789320"</f>
        <v>1551603810789320</v>
      </c>
      <c r="C3900" t="s">
        <v>40</v>
      </c>
      <c r="D3900">
        <v>3.8874029999999999</v>
      </c>
      <c r="E3900">
        <v>0.56380680000000005</v>
      </c>
      <c r="F3900" t="s">
        <v>43</v>
      </c>
      <c r="G3900">
        <v>-388.70080000000002</v>
      </c>
      <c r="H3900">
        <v>0.96792590000000001</v>
      </c>
      <c r="I3900">
        <v>213.94300000000001</v>
      </c>
      <c r="J3900">
        <v>-388.99110000000002</v>
      </c>
      <c r="K3900">
        <v>1.120206</v>
      </c>
      <c r="L3900">
        <v>214.06229999999999</v>
      </c>
      <c r="M3900">
        <v>0.99985579999999996</v>
      </c>
      <c r="N3900">
        <v>-9.2234310000000007E-3</v>
      </c>
      <c r="O3900">
        <v>1.426097E-2</v>
      </c>
      <c r="P3900">
        <v>0.98452099999999998</v>
      </c>
      <c r="Q3900">
        <v>0.1751711</v>
      </c>
      <c r="R3900">
        <v>-5.7939569999999998E-3</v>
      </c>
      <c r="S3900">
        <v>3.1594540000000002</v>
      </c>
      <c r="T3900">
        <v>-0.647254</v>
      </c>
      <c r="U3900">
        <v>-0.47856140000000003</v>
      </c>
      <c r="V3900">
        <v>2.0020960000000001E-2</v>
      </c>
      <c r="W3900">
        <v>0.18422279999999999</v>
      </c>
      <c r="X3900">
        <v>0.98268060000000002</v>
      </c>
      <c r="Y3900">
        <v>0.16017600000000001</v>
      </c>
      <c r="Z3900">
        <v>-1.9646549999999999E-2</v>
      </c>
      <c r="AA3900">
        <v>0.98689289999999996</v>
      </c>
      <c r="AB3900">
        <v>45</v>
      </c>
      <c r="AC3900">
        <v>0.290300000000002</v>
      </c>
      <c r="AD3900">
        <v>-0.1522801</v>
      </c>
      <c r="AE3900">
        <v>-0.119300000000009</v>
      </c>
      <c r="AF3900">
        <v>9.99087028901815E-2</v>
      </c>
      <c r="AG3900">
        <v>-0.1522801</v>
      </c>
      <c r="AH3900">
        <v>0.23358201445079599</v>
      </c>
      <c r="AI3900">
        <v>120.93871514287601</v>
      </c>
      <c r="AJ3900">
        <v>66.842427517559898</v>
      </c>
      <c r="AK3900">
        <v>0.29619509659023802</v>
      </c>
      <c r="AL3900">
        <v>79.384176891542694</v>
      </c>
      <c r="AM3900">
        <v>88.832827442155903</v>
      </c>
      <c r="AN3900">
        <v>1.0000000202477599</v>
      </c>
    </row>
    <row r="3901" spans="1:40" x14ac:dyDescent="0.25">
      <c r="A3901" t="str">
        <f>"20190303170330820"</f>
        <v>20190303170330820</v>
      </c>
      <c r="B3901" t="str">
        <f>"1551603810808840"</f>
        <v>1551603810808840</v>
      </c>
      <c r="C3901" t="s">
        <v>40</v>
      </c>
      <c r="D3901">
        <v>3.9135550000000001</v>
      </c>
      <c r="E3901">
        <v>0.56408249999999904</v>
      </c>
      <c r="F3901" t="s">
        <v>43</v>
      </c>
      <c r="G3901">
        <v>-388.29050000000001</v>
      </c>
      <c r="H3901">
        <v>0.97715830000000004</v>
      </c>
      <c r="I3901">
        <v>213.95590000000001</v>
      </c>
      <c r="J3901">
        <v>-388.4853</v>
      </c>
      <c r="K3901">
        <v>1.120215</v>
      </c>
      <c r="L3901">
        <v>214.0693</v>
      </c>
      <c r="M3901">
        <v>0.99986050000000004</v>
      </c>
      <c r="N3901">
        <v>-9.2863640000000001E-3</v>
      </c>
      <c r="O3901">
        <v>1.389103E-2</v>
      </c>
      <c r="P3901">
        <v>0.98443760000000002</v>
      </c>
      <c r="Q3901">
        <v>0.17565169999999999</v>
      </c>
      <c r="R3901">
        <v>-5.419119E-3</v>
      </c>
      <c r="S3901">
        <v>3.159119</v>
      </c>
      <c r="T3901">
        <v>-0.64505509999999999</v>
      </c>
      <c r="U3901">
        <v>-0.47929379999999999</v>
      </c>
      <c r="V3901">
        <v>1.9282029999999999E-2</v>
      </c>
      <c r="W3901">
        <v>0.18476509999999999</v>
      </c>
      <c r="X3901">
        <v>0.98259350000000001</v>
      </c>
      <c r="Y3901">
        <v>0.1600819</v>
      </c>
      <c r="Z3901">
        <v>-1.9508129999999999E-2</v>
      </c>
      <c r="AA3901">
        <v>0.98691090000000004</v>
      </c>
      <c r="AB3901">
        <v>45</v>
      </c>
      <c r="AC3901">
        <v>0.19479999999998601</v>
      </c>
      <c r="AD3901">
        <v>-0.14305669999999901</v>
      </c>
      <c r="AE3901">
        <v>-0.113399999999984</v>
      </c>
      <c r="AF3901">
        <v>8.2759212945877E-2</v>
      </c>
      <c r="AG3901">
        <v>-0.14305669999999901</v>
      </c>
      <c r="AH3901">
        <v>0.13772813126948899</v>
      </c>
      <c r="AI3901">
        <v>131.67929344561799</v>
      </c>
      <c r="AJ3901">
        <v>58.998837690474602</v>
      </c>
      <c r="AK3901">
        <v>0.215135642991338</v>
      </c>
      <c r="AL3901">
        <v>79.352562068564197</v>
      </c>
      <c r="AM3901">
        <v>88.875794353854701</v>
      </c>
      <c r="AN3901">
        <v>0.99999996255058898</v>
      </c>
    </row>
    <row r="3902" spans="1:40" x14ac:dyDescent="0.25">
      <c r="A3902" t="str">
        <f>"20190303170330842"</f>
        <v>20190303170330842</v>
      </c>
      <c r="B3902" t="str">
        <f>"1551603810829336"</f>
        <v>1551603810829336</v>
      </c>
      <c r="C3902" t="s">
        <v>40</v>
      </c>
      <c r="D3902">
        <v>3.915918</v>
      </c>
      <c r="E3902">
        <v>0.56432179999999998</v>
      </c>
      <c r="F3902" t="s">
        <v>43</v>
      </c>
      <c r="G3902">
        <v>-387.50069999999999</v>
      </c>
      <c r="H3902">
        <v>0.91982379999999997</v>
      </c>
      <c r="I3902">
        <v>213.91929999999999</v>
      </c>
      <c r="J3902">
        <v>-388.04570000000001</v>
      </c>
      <c r="K3902">
        <v>1.120217</v>
      </c>
      <c r="L3902">
        <v>214.0752</v>
      </c>
      <c r="M3902">
        <v>0.99986419999999998</v>
      </c>
      <c r="N3902">
        <v>-9.3444730000000007E-3</v>
      </c>
      <c r="O3902">
        <v>1.35701E-2</v>
      </c>
      <c r="P3902">
        <v>0.98437730000000001</v>
      </c>
      <c r="Q3902">
        <v>0.17600270000000001</v>
      </c>
      <c r="R3902">
        <v>-4.936747E-3</v>
      </c>
      <c r="S3902">
        <v>3.1594850000000001</v>
      </c>
      <c r="T3902">
        <v>-0.64311960000000001</v>
      </c>
      <c r="U3902">
        <v>-0.48074339999999999</v>
      </c>
      <c r="V3902">
        <v>1.8483889999999999E-2</v>
      </c>
      <c r="W3902">
        <v>0.18517320000000001</v>
      </c>
      <c r="X3902">
        <v>0.98253199999999996</v>
      </c>
      <c r="Y3902">
        <v>0.16021550000000001</v>
      </c>
      <c r="Z3902">
        <v>-1.9406409999999999E-2</v>
      </c>
      <c r="AA3902">
        <v>0.98689130000000003</v>
      </c>
      <c r="AB3902">
        <v>45</v>
      </c>
      <c r="AC3902">
        <v>0.54500000000001503</v>
      </c>
      <c r="AD3902">
        <v>-0.20039319999999899</v>
      </c>
      <c r="AE3902">
        <v>-0.15590000000000201</v>
      </c>
      <c r="AF3902">
        <v>0.14514279355585699</v>
      </c>
      <c r="AG3902">
        <v>-0.20039319999999899</v>
      </c>
      <c r="AH3902">
        <v>0.48253097256141803</v>
      </c>
      <c r="AI3902">
        <v>111.687436746711</v>
      </c>
      <c r="AJ3902">
        <v>73.2589878058469</v>
      </c>
      <c r="AK3902">
        <v>0.54227299822921904</v>
      </c>
      <c r="AL3902">
        <v>79.328768956360193</v>
      </c>
      <c r="AM3902">
        <v>88.922249884620896</v>
      </c>
      <c r="AN3902">
        <v>0.99999994960588401</v>
      </c>
    </row>
    <row r="3903" spans="1:40" x14ac:dyDescent="0.25">
      <c r="A3903" t="str">
        <f>"20190303170330862"</f>
        <v>20190303170330862</v>
      </c>
      <c r="B3903" t="str">
        <f>"1551603810849834"</f>
        <v>1551603810849834</v>
      </c>
      <c r="C3903" t="s">
        <v>40</v>
      </c>
      <c r="D3903">
        <v>3.8990619999999998</v>
      </c>
      <c r="E3903">
        <v>0.56451119999999899</v>
      </c>
      <c r="F3903" t="s">
        <v>43</v>
      </c>
      <c r="G3903">
        <v>-387.0908</v>
      </c>
      <c r="H3903">
        <v>0.92654979999999998</v>
      </c>
      <c r="I3903">
        <v>213.92930000000001</v>
      </c>
      <c r="J3903">
        <v>-387.62299999999999</v>
      </c>
      <c r="K3903">
        <v>1.1202190000000001</v>
      </c>
      <c r="L3903">
        <v>214.08070000000001</v>
      </c>
      <c r="M3903">
        <v>0.99986799999999998</v>
      </c>
      <c r="N3903">
        <v>-9.4007759999999996E-3</v>
      </c>
      <c r="O3903">
        <v>1.3261520000000001E-2</v>
      </c>
      <c r="P3903">
        <v>0.9844716</v>
      </c>
      <c r="Q3903">
        <v>0.1754858</v>
      </c>
      <c r="R3903">
        <v>-4.5688120000000002E-3</v>
      </c>
      <c r="S3903">
        <v>3.1597900000000001</v>
      </c>
      <c r="T3903">
        <v>-0.64091469999999995</v>
      </c>
      <c r="U3903">
        <v>-0.4819794</v>
      </c>
      <c r="V3903">
        <v>1.781346E-2</v>
      </c>
      <c r="W3903">
        <v>0.18471309999999999</v>
      </c>
      <c r="X3903">
        <v>0.98263100000000003</v>
      </c>
      <c r="Y3903">
        <v>0.1603021</v>
      </c>
      <c r="Z3903">
        <v>-1.9295119999999999E-2</v>
      </c>
      <c r="AA3903">
        <v>0.98687939999999996</v>
      </c>
      <c r="AB3903">
        <v>46</v>
      </c>
      <c r="AC3903">
        <v>0.53220000000004497</v>
      </c>
      <c r="AD3903">
        <v>-0.19366920000000001</v>
      </c>
      <c r="AE3903">
        <v>-0.15139999999999501</v>
      </c>
      <c r="AF3903">
        <v>0.14115211824787399</v>
      </c>
      <c r="AG3903">
        <v>-0.19366920000000001</v>
      </c>
      <c r="AH3903">
        <v>0.472285267566948</v>
      </c>
      <c r="AI3903">
        <v>111.44966971293</v>
      </c>
      <c r="AJ3903">
        <v>73.360148063038807</v>
      </c>
      <c r="AK3903">
        <v>0.52960839634137702</v>
      </c>
      <c r="AL3903">
        <v>79.355593660504198</v>
      </c>
      <c r="AM3903">
        <v>88.961436905088306</v>
      </c>
      <c r="AN3903">
        <v>0.99999996541489</v>
      </c>
    </row>
    <row r="3904" spans="1:40" x14ac:dyDescent="0.25">
      <c r="A3904" t="str">
        <f>"20190303170330885"</f>
        <v>20190303170330885</v>
      </c>
      <c r="B3904" t="str">
        <f>"1551603810879693"</f>
        <v>1551603810879693</v>
      </c>
      <c r="C3904" t="s">
        <v>40</v>
      </c>
      <c r="D3904">
        <v>3.9321220000000001</v>
      </c>
      <c r="E3904">
        <v>0.56483939999999999</v>
      </c>
      <c r="F3904" t="s">
        <v>43</v>
      </c>
      <c r="G3904">
        <v>-386.68220000000002</v>
      </c>
      <c r="H3904">
        <v>0.92895530000000004</v>
      </c>
      <c r="I3904">
        <v>213.93700000000001</v>
      </c>
      <c r="J3904">
        <v>-387.1583</v>
      </c>
      <c r="K3904">
        <v>1.1202209999999999</v>
      </c>
      <c r="L3904">
        <v>214.08670000000001</v>
      </c>
      <c r="M3904">
        <v>0.99987170000000003</v>
      </c>
      <c r="N3904">
        <v>-9.461499E-3</v>
      </c>
      <c r="O3904">
        <v>1.292276E-2</v>
      </c>
      <c r="P3904">
        <v>0.98447110000000004</v>
      </c>
      <c r="Q3904">
        <v>0.1754954</v>
      </c>
      <c r="R3904">
        <v>-4.256887E-3</v>
      </c>
      <c r="S3904">
        <v>3.1595460000000002</v>
      </c>
      <c r="T3904">
        <v>-0.64231919999999898</v>
      </c>
      <c r="U3904">
        <v>-0.48236079999999998</v>
      </c>
      <c r="V3904">
        <v>1.7168570000000001E-2</v>
      </c>
      <c r="W3904">
        <v>0.18478339999999999</v>
      </c>
      <c r="X3904">
        <v>0.98262930000000004</v>
      </c>
      <c r="Y3904">
        <v>0.1600897</v>
      </c>
      <c r="Z3904">
        <v>-1.925369E-2</v>
      </c>
      <c r="AA3904">
        <v>0.98691470000000003</v>
      </c>
      <c r="AB3904">
        <v>46</v>
      </c>
      <c r="AC3904">
        <v>0.47609999999997399</v>
      </c>
      <c r="AD3904">
        <v>-0.19126569999999901</v>
      </c>
      <c r="AE3904">
        <v>-0.149699999999995</v>
      </c>
      <c r="AF3904">
        <v>0.13588314421426401</v>
      </c>
      <c r="AG3904">
        <v>-0.19126569999999901</v>
      </c>
      <c r="AH3904">
        <v>0.41340833864753701</v>
      </c>
      <c r="AI3904">
        <v>113.72655025243699</v>
      </c>
      <c r="AJ3904">
        <v>71.8048281742591</v>
      </c>
      <c r="AK3904">
        <v>0.47534540214602</v>
      </c>
      <c r="AL3904">
        <v>79.351495620459104</v>
      </c>
      <c r="AM3904">
        <v>88.999025856594898</v>
      </c>
      <c r="AN3904">
        <v>1.0000000029649401</v>
      </c>
    </row>
    <row r="3905" spans="1:40" x14ac:dyDescent="0.25">
      <c r="A3905" t="str">
        <f>"20190303170330907"</f>
        <v>20190303170330907</v>
      </c>
      <c r="B3905" t="str">
        <f>"1551603810899213"</f>
        <v>1551603810899213</v>
      </c>
      <c r="C3905" t="s">
        <v>40</v>
      </c>
      <c r="D3905">
        <v>3.9723799999999998</v>
      </c>
      <c r="E3905">
        <v>0.56500360000000005</v>
      </c>
      <c r="F3905" t="s">
        <v>43</v>
      </c>
      <c r="G3905">
        <v>-386.2697</v>
      </c>
      <c r="H3905">
        <v>0.93972440000000002</v>
      </c>
      <c r="I3905">
        <v>213.95</v>
      </c>
      <c r="J3905">
        <v>-386.68119999999999</v>
      </c>
      <c r="K3905">
        <v>1.1202299999999901</v>
      </c>
      <c r="L3905">
        <v>214.0926</v>
      </c>
      <c r="M3905">
        <v>0.99987559999999998</v>
      </c>
      <c r="N3905">
        <v>-9.5229779999999997E-3</v>
      </c>
      <c r="O3905">
        <v>1.2574989999999999E-2</v>
      </c>
      <c r="P3905">
        <v>0.98423039999999995</v>
      </c>
      <c r="Q3905">
        <v>0.176837299999999</v>
      </c>
      <c r="R3905">
        <v>-4.3787720000000004E-3</v>
      </c>
      <c r="S3905">
        <v>3.159637</v>
      </c>
      <c r="T3905">
        <v>-0.64186140000000003</v>
      </c>
      <c r="U3905">
        <v>-0.4845428</v>
      </c>
      <c r="V3905">
        <v>1.694727E-2</v>
      </c>
      <c r="W3905">
        <v>0.1861834</v>
      </c>
      <c r="X3905">
        <v>0.98236880000000004</v>
      </c>
      <c r="Y3905">
        <v>0.16041269999999999</v>
      </c>
      <c r="Z3905">
        <v>-1.921103E-2</v>
      </c>
      <c r="AA3905">
        <v>0.98686309999999999</v>
      </c>
      <c r="AB3905">
        <v>46</v>
      </c>
      <c r="AC3905">
        <v>0.41149999999998899</v>
      </c>
      <c r="AD3905">
        <v>-0.18050559999999899</v>
      </c>
      <c r="AE3905">
        <v>-0.14260000000001499</v>
      </c>
      <c r="AF3905">
        <v>0.12610107755463701</v>
      </c>
      <c r="AG3905">
        <v>-0.18050559999999899</v>
      </c>
      <c r="AH3905">
        <v>0.349614978652458</v>
      </c>
      <c r="AI3905">
        <v>115.90456231671401</v>
      </c>
      <c r="AJ3905">
        <v>70.166357681439194</v>
      </c>
      <c r="AK3905">
        <v>0.41317597545108897</v>
      </c>
      <c r="AL3905">
        <v>79.269864593334702</v>
      </c>
      <c r="AM3905">
        <v>89.011663710515805</v>
      </c>
      <c r="AN3905">
        <v>0.999999963804725</v>
      </c>
    </row>
    <row r="3906" spans="1:40" x14ac:dyDescent="0.25">
      <c r="A3906" t="str">
        <f>"20190303170330929"</f>
        <v>20190303170330929</v>
      </c>
      <c r="B3906" t="str">
        <f>"1551603810919708"</f>
        <v>1551603810919708</v>
      </c>
      <c r="C3906" t="s">
        <v>40</v>
      </c>
      <c r="D3906">
        <v>4.0126210000000002</v>
      </c>
      <c r="E3906">
        <v>0.56483079999999997</v>
      </c>
      <c r="F3906" t="s">
        <v>43</v>
      </c>
      <c r="G3906">
        <v>-385.85520000000002</v>
      </c>
      <c r="H3906">
        <v>0.95350049999999997</v>
      </c>
      <c r="I3906">
        <v>213.96549999999999</v>
      </c>
      <c r="J3906">
        <v>-386.24470000000002</v>
      </c>
      <c r="K3906">
        <v>1.1202369999999999</v>
      </c>
      <c r="L3906">
        <v>214.09790000000001</v>
      </c>
      <c r="M3906">
        <v>0.99987919999999997</v>
      </c>
      <c r="N3906">
        <v>-9.5792570000000007E-3</v>
      </c>
      <c r="O3906">
        <v>1.225705E-2</v>
      </c>
      <c r="P3906">
        <v>0.9842592</v>
      </c>
      <c r="Q3906">
        <v>0.1766672</v>
      </c>
      <c r="R3906">
        <v>-4.7626420000000001E-3</v>
      </c>
      <c r="S3906">
        <v>3.1605219999999998</v>
      </c>
      <c r="T3906">
        <v>-0.63801430000000003</v>
      </c>
      <c r="U3906">
        <v>-0.48530580000000001</v>
      </c>
      <c r="V3906">
        <v>1.7018729999999999E-2</v>
      </c>
      <c r="W3906">
        <v>0.1860686</v>
      </c>
      <c r="X3906">
        <v>0.98238930000000002</v>
      </c>
      <c r="Y3906">
        <v>0.1603406</v>
      </c>
      <c r="Z3906">
        <v>-1.9032739999999999E-2</v>
      </c>
      <c r="AA3906">
        <v>0.98687820000000004</v>
      </c>
      <c r="AB3906">
        <v>46</v>
      </c>
      <c r="AC3906">
        <v>0.38949999999999801</v>
      </c>
      <c r="AD3906">
        <v>-0.16673650000000001</v>
      </c>
      <c r="AE3906">
        <v>-0.132400000000018</v>
      </c>
      <c r="AF3906">
        <v>0.11781149511161799</v>
      </c>
      <c r="AG3906">
        <v>-0.16673650000000001</v>
      </c>
      <c r="AH3906">
        <v>0.33312532531722699</v>
      </c>
      <c r="AI3906">
        <v>115.261753857922</v>
      </c>
      <c r="AJ3906">
        <v>70.523595710943994</v>
      </c>
      <c r="AK3906">
        <v>0.39070844779757902</v>
      </c>
      <c r="AL3906">
        <v>79.276558968636095</v>
      </c>
      <c r="AM3906">
        <v>89.007517822250506</v>
      </c>
      <c r="AN3906">
        <v>0.99999994891563004</v>
      </c>
    </row>
    <row r="3907" spans="1:40" x14ac:dyDescent="0.25">
      <c r="A3907" t="str">
        <f>"20190303170330950"</f>
        <v>20190303170330950</v>
      </c>
      <c r="B3907" t="str">
        <f>"1551603810939229"</f>
        <v>1551603810939229</v>
      </c>
      <c r="C3907" t="s">
        <v>40</v>
      </c>
      <c r="D3907">
        <v>4.0183819999999999</v>
      </c>
      <c r="E3907">
        <v>0.56487969999999998</v>
      </c>
      <c r="F3907" t="s">
        <v>43</v>
      </c>
      <c r="G3907">
        <v>-385.44420000000002</v>
      </c>
      <c r="H3907">
        <v>0.9583412</v>
      </c>
      <c r="I3907">
        <v>213.97489999999999</v>
      </c>
      <c r="J3907">
        <v>-385.81889999999999</v>
      </c>
      <c r="K3907">
        <v>1.1202379999999901</v>
      </c>
      <c r="L3907">
        <v>214.10290000000001</v>
      </c>
      <c r="M3907">
        <v>0.9998823</v>
      </c>
      <c r="N3907">
        <v>-9.6361099999999998E-3</v>
      </c>
      <c r="O3907">
        <v>1.194709E-2</v>
      </c>
      <c r="P3907">
        <v>0.98442289999999999</v>
      </c>
      <c r="Q3907">
        <v>0.1757466</v>
      </c>
      <c r="R3907">
        <v>-4.994409E-3</v>
      </c>
      <c r="S3907">
        <v>3.160339</v>
      </c>
      <c r="T3907">
        <v>-0.63928059999999998</v>
      </c>
      <c r="U3907">
        <v>-0.48443599999999998</v>
      </c>
      <c r="V3907">
        <v>1.6946869999999999E-2</v>
      </c>
      <c r="W3907">
        <v>0.1852055</v>
      </c>
      <c r="X3907">
        <v>0.98255369999999997</v>
      </c>
      <c r="Y3907">
        <v>0.15978010000000001</v>
      </c>
      <c r="Z3907">
        <v>-1.8956500000000001E-2</v>
      </c>
      <c r="AA3907">
        <v>0.98697060000000003</v>
      </c>
      <c r="AB3907">
        <v>46</v>
      </c>
      <c r="AC3907">
        <v>0.37469999999996101</v>
      </c>
      <c r="AD3907">
        <v>-0.16189679999999901</v>
      </c>
      <c r="AE3907">
        <v>-0.12800000000001399</v>
      </c>
      <c r="AF3907">
        <v>0.113494125381365</v>
      </c>
      <c r="AG3907">
        <v>-0.16189679999999901</v>
      </c>
      <c r="AH3907">
        <v>0.31969804219626202</v>
      </c>
      <c r="AI3907">
        <v>115.511669793453</v>
      </c>
      <c r="AJ3907">
        <v>70.454927518176504</v>
      </c>
      <c r="AK3907">
        <v>0.37589669928112401</v>
      </c>
      <c r="AL3907">
        <v>79.326886526138196</v>
      </c>
      <c r="AM3907">
        <v>89.011872980133901</v>
      </c>
      <c r="AN3907">
        <v>1.0000000235083599</v>
      </c>
    </row>
    <row r="3908" spans="1:40" x14ac:dyDescent="0.25">
      <c r="A3908" t="str">
        <f>"20190303170330978"</f>
        <v>20190303170330978</v>
      </c>
      <c r="B3908" t="str">
        <f>"1551603810969484"</f>
        <v>1551603810969484</v>
      </c>
      <c r="C3908" t="s">
        <v>40</v>
      </c>
      <c r="D3908">
        <v>4.0953600000000003</v>
      </c>
      <c r="E3908">
        <v>0.5689727</v>
      </c>
      <c r="F3908" t="s">
        <v>43</v>
      </c>
      <c r="G3908">
        <v>-385.03399999999999</v>
      </c>
      <c r="H3908">
        <v>0.96054340000000005</v>
      </c>
      <c r="I3908">
        <v>213.982</v>
      </c>
      <c r="J3908">
        <v>-385.27080000000001</v>
      </c>
      <c r="K3908">
        <v>1.1202449999999999</v>
      </c>
      <c r="L3908">
        <v>214.10910000000001</v>
      </c>
      <c r="M3908">
        <v>0.99988630000000001</v>
      </c>
      <c r="N3908">
        <v>-9.7140799999999999E-3</v>
      </c>
      <c r="O3908">
        <v>1.15478E-2</v>
      </c>
      <c r="P3908">
        <v>0.98450579999999999</v>
      </c>
      <c r="Q3908">
        <v>0.17522270000000001</v>
      </c>
      <c r="R3908">
        <v>-6.7701719999999996E-3</v>
      </c>
      <c r="S3908">
        <v>3.1597599999999999</v>
      </c>
      <c r="T3908">
        <v>-0.64281429999999995</v>
      </c>
      <c r="U3908">
        <v>-0.48623660000000002</v>
      </c>
      <c r="V3908">
        <v>1.8330300000000001E-2</v>
      </c>
      <c r="W3908">
        <v>0.18475759999999999</v>
      </c>
      <c r="X3908">
        <v>0.98261310000000002</v>
      </c>
      <c r="Y3908">
        <v>0.15992690000000001</v>
      </c>
      <c r="Z3908">
        <v>-1.9002910000000001E-2</v>
      </c>
      <c r="AA3908">
        <v>0.98694590000000004</v>
      </c>
      <c r="AB3908">
        <v>46</v>
      </c>
      <c r="AC3908">
        <v>0.236800000000016</v>
      </c>
      <c r="AD3908">
        <v>-0.1597016</v>
      </c>
      <c r="AE3908">
        <v>-0.12710000000001201</v>
      </c>
      <c r="AF3908">
        <v>9.5946559038393095E-2</v>
      </c>
      <c r="AG3908">
        <v>-0.1597016</v>
      </c>
      <c r="AH3908">
        <v>0.173907925698808</v>
      </c>
      <c r="AI3908">
        <v>128.801299286393</v>
      </c>
      <c r="AJ3908">
        <v>61.114085379110897</v>
      </c>
      <c r="AK3908">
        <v>0.25486135418052303</v>
      </c>
      <c r="AL3908">
        <v>79.352999044704205</v>
      </c>
      <c r="AM3908">
        <v>88.931291446008899</v>
      </c>
      <c r="AN3908">
        <v>0.99999993747372795</v>
      </c>
    </row>
    <row r="3909" spans="1:40" x14ac:dyDescent="0.25">
      <c r="A3909" t="str">
        <f>"20190303170330996"</f>
        <v>20190303170330996</v>
      </c>
      <c r="B3909" t="str">
        <f>"1551603810989004"</f>
        <v>1551603810989004</v>
      </c>
      <c r="C3909" t="s">
        <v>40</v>
      </c>
      <c r="D3909">
        <v>4.1552470000000001</v>
      </c>
      <c r="E3909">
        <v>0.54136969999999995</v>
      </c>
      <c r="F3909" t="s">
        <v>43</v>
      </c>
      <c r="G3909">
        <v>-384.23450000000003</v>
      </c>
      <c r="H3909">
        <v>0.90874920000000003</v>
      </c>
      <c r="I3909">
        <v>213.93709999999999</v>
      </c>
      <c r="J3909">
        <v>-384.8784</v>
      </c>
      <c r="K3909">
        <v>1.120252</v>
      </c>
      <c r="L3909">
        <v>214.11349999999999</v>
      </c>
      <c r="M3909">
        <v>0.99988900000000003</v>
      </c>
      <c r="N3909">
        <v>-9.7735059999999995E-3</v>
      </c>
      <c r="O3909">
        <v>1.12622E-2</v>
      </c>
      <c r="P3909">
        <v>0.98456980000000005</v>
      </c>
      <c r="Q3909">
        <v>0.17481179999999999</v>
      </c>
      <c r="R3909">
        <v>-7.9787019999999903E-3</v>
      </c>
      <c r="S3909">
        <v>3.158325</v>
      </c>
      <c r="T3909">
        <v>-0.64451859999999905</v>
      </c>
      <c r="U3909">
        <v>-0.5245514</v>
      </c>
      <c r="V3909">
        <v>1.9258270000000001E-2</v>
      </c>
      <c r="W3909">
        <v>0.1844047</v>
      </c>
      <c r="X3909">
        <v>0.98266169999999997</v>
      </c>
      <c r="Y3909">
        <v>0.17113010000000001</v>
      </c>
      <c r="Z3909">
        <v>-2.01718E-2</v>
      </c>
      <c r="AA3909">
        <v>0.98504190000000003</v>
      </c>
      <c r="AB3909">
        <v>46</v>
      </c>
      <c r="AC3909">
        <v>0.64389999999997305</v>
      </c>
      <c r="AD3909">
        <v>-0.21150279999999999</v>
      </c>
      <c r="AE3909">
        <v>-0.176400000000001</v>
      </c>
      <c r="AF3909">
        <v>0.16689145252950299</v>
      </c>
      <c r="AG3909">
        <v>-0.21150279999999999</v>
      </c>
      <c r="AH3909">
        <v>0.58332880550243305</v>
      </c>
      <c r="AI3909">
        <v>109.21818304903699</v>
      </c>
      <c r="AJ3909">
        <v>74.034076120707994</v>
      </c>
      <c r="AK3909">
        <v>0.64254080544673797</v>
      </c>
      <c r="AL3909">
        <v>79.373572853818004</v>
      </c>
      <c r="AM3909">
        <v>88.877257192546097</v>
      </c>
      <c r="AN3909">
        <v>0.99999999549618601</v>
      </c>
    </row>
    <row r="3910" spans="1:40" x14ac:dyDescent="0.25">
      <c r="A3910" t="str">
        <f>"20190303170331021"</f>
        <v>20190303170331021</v>
      </c>
      <c r="B3910" t="str">
        <f>"1551603811009500"</f>
        <v>1551603811009500</v>
      </c>
      <c r="C3910" t="s">
        <v>40</v>
      </c>
      <c r="D3910">
        <v>4.0524800000000001</v>
      </c>
      <c r="E3910">
        <v>0.50327529999999998</v>
      </c>
      <c r="F3910" t="s">
        <v>43</v>
      </c>
      <c r="G3910">
        <v>-383.81990000000002</v>
      </c>
      <c r="H3910">
        <v>0.92833080000000001</v>
      </c>
      <c r="I3910">
        <v>214.0085</v>
      </c>
      <c r="J3910">
        <v>-384.38459999999998</v>
      </c>
      <c r="K3910">
        <v>1.1202559999999999</v>
      </c>
      <c r="L3910">
        <v>214.11879999999999</v>
      </c>
      <c r="M3910">
        <v>0.99989209999999995</v>
      </c>
      <c r="N3910">
        <v>-9.8496499999999997E-3</v>
      </c>
      <c r="O3910">
        <v>1.0903319999999999E-2</v>
      </c>
      <c r="P3910">
        <v>0.98447079999999998</v>
      </c>
      <c r="Q3910">
        <v>0.17532729999999999</v>
      </c>
      <c r="R3910">
        <v>-8.8177240000000007E-3</v>
      </c>
      <c r="S3910">
        <v>3.1457519999999999</v>
      </c>
      <c r="T3910">
        <v>-0.57051580000000002</v>
      </c>
      <c r="U3910">
        <v>-0.31083680000000002</v>
      </c>
      <c r="V3910">
        <v>1.9743819999999999E-2</v>
      </c>
      <c r="W3910">
        <v>0.18499380000000001</v>
      </c>
      <c r="X3910">
        <v>0.98254129999999995</v>
      </c>
      <c r="Y3910">
        <v>0.1071917</v>
      </c>
      <c r="Z3910">
        <v>-1.2003049999999999E-2</v>
      </c>
      <c r="AA3910">
        <v>0.99416590000000005</v>
      </c>
      <c r="AB3910">
        <v>46</v>
      </c>
      <c r="AC3910">
        <v>0.56469999999995901</v>
      </c>
      <c r="AD3910">
        <v>-0.19192519999999899</v>
      </c>
      <c r="AE3910">
        <v>-0.110299999999995</v>
      </c>
      <c r="AF3910">
        <v>0.104791030842764</v>
      </c>
      <c r="AG3910">
        <v>-0.19192519999999899</v>
      </c>
      <c r="AH3910">
        <v>0.50704608565299703</v>
      </c>
      <c r="AI3910">
        <v>110.338871466885</v>
      </c>
      <c r="AJ3910">
        <v>78.323098911704705</v>
      </c>
      <c r="AK3910">
        <v>0.55218853258299005</v>
      </c>
      <c r="AL3910">
        <v>79.339228701614999</v>
      </c>
      <c r="AM3910">
        <v>88.848816500919199</v>
      </c>
      <c r="AN3910">
        <v>0.99999996533615998</v>
      </c>
    </row>
    <row r="3911" spans="1:40" x14ac:dyDescent="0.25">
      <c r="A3911" t="str">
        <f>"20190303170331042"</f>
        <v>20190303170331042</v>
      </c>
      <c r="B3911" t="str">
        <f>"1551603811039756"</f>
        <v>1551603811039756</v>
      </c>
      <c r="C3911" t="s">
        <v>40</v>
      </c>
      <c r="D3911">
        <v>4.0446739999999997</v>
      </c>
      <c r="E3911">
        <v>0.49926920000000002</v>
      </c>
      <c r="F3911" t="s">
        <v>43</v>
      </c>
      <c r="G3911">
        <v>-383.3605</v>
      </c>
      <c r="H3911">
        <v>1.0322549999999999</v>
      </c>
      <c r="I3911">
        <v>214.1114</v>
      </c>
      <c r="J3911">
        <v>-383.93470000000002</v>
      </c>
      <c r="K3911">
        <v>1.120266</v>
      </c>
      <c r="L3911">
        <v>214.12350000000001</v>
      </c>
      <c r="M3911">
        <v>0.99989490000000003</v>
      </c>
      <c r="N3911">
        <v>-9.9200620000000003E-3</v>
      </c>
      <c r="O3911">
        <v>1.0576469999999999E-2</v>
      </c>
      <c r="P3911">
        <v>0.98443389999999997</v>
      </c>
      <c r="Q3911">
        <v>0.1755089</v>
      </c>
      <c r="R3911">
        <v>-9.3093350000000002E-3</v>
      </c>
      <c r="S3911">
        <v>3.0944820000000002</v>
      </c>
      <c r="T3911">
        <v>-0.26590390000000003</v>
      </c>
      <c r="U3911">
        <v>-2.2247309999999999E-2</v>
      </c>
      <c r="V3911">
        <v>1.9913940000000002E-2</v>
      </c>
      <c r="W3911">
        <v>0.18524399999999999</v>
      </c>
      <c r="X3911">
        <v>0.9824908</v>
      </c>
      <c r="Y3911">
        <v>1.7662359999999998E-2</v>
      </c>
      <c r="Z3911">
        <v>-1.6476150000000001E-3</v>
      </c>
      <c r="AA3911">
        <v>0.99984260000000003</v>
      </c>
      <c r="AB3911">
        <v>46</v>
      </c>
      <c r="AC3911">
        <v>0.57420000000001803</v>
      </c>
      <c r="AD3911">
        <v>-8.8011000000000006E-2</v>
      </c>
      <c r="AE3911">
        <v>-1.21000000000037E-2</v>
      </c>
      <c r="AF3911">
        <v>1.7755673243691799E-2</v>
      </c>
      <c r="AG3911">
        <v>-8.8011000000000006E-2</v>
      </c>
      <c r="AH3911">
        <v>0.56086897791686696</v>
      </c>
      <c r="AI3911">
        <v>98.913679040631095</v>
      </c>
      <c r="AJ3911">
        <v>88.186768155450295</v>
      </c>
      <c r="AK3911">
        <v>0.56800986826185296</v>
      </c>
      <c r="AL3911">
        <v>79.324641956194995</v>
      </c>
      <c r="AM3911">
        <v>88.838840521013296</v>
      </c>
      <c r="AN3911">
        <v>1.0000000383134799</v>
      </c>
    </row>
    <row r="3912" spans="1:40" x14ac:dyDescent="0.25">
      <c r="A3912" t="str">
        <f>"20190303170331064"</f>
        <v>20190303170331064</v>
      </c>
      <c r="B3912" t="str">
        <f>"1551603811059277"</f>
        <v>1551603811059277</v>
      </c>
      <c r="C3912" t="s">
        <v>40</v>
      </c>
      <c r="D3912">
        <v>4.0852089999999999</v>
      </c>
      <c r="E3912">
        <v>0.49764900000000001</v>
      </c>
      <c r="F3912" t="s">
        <v>62</v>
      </c>
      <c r="G3912">
        <v>-360.25740000000002</v>
      </c>
      <c r="H3912" s="1">
        <v>-1.3998450000000001E-6</v>
      </c>
      <c r="I3912">
        <v>214.14599999999999</v>
      </c>
      <c r="J3912">
        <v>-383.49590000000001</v>
      </c>
      <c r="K3912">
        <v>1.120271</v>
      </c>
      <c r="L3912">
        <v>214.12790000000001</v>
      </c>
      <c r="M3912">
        <v>0.99989749999999999</v>
      </c>
      <c r="N3912">
        <v>-9.9942599999999996E-3</v>
      </c>
      <c r="O3912">
        <v>1.025825E-2</v>
      </c>
      <c r="P3912">
        <v>0.98452189999999995</v>
      </c>
      <c r="Q3912">
        <v>0.17496629999999999</v>
      </c>
      <c r="R3912">
        <v>-1.017291E-2</v>
      </c>
      <c r="S3912">
        <v>3.0733950000000001</v>
      </c>
      <c r="T3912">
        <v>-0.14541419999999999</v>
      </c>
      <c r="U3912">
        <v>2.9296880000000002E-3</v>
      </c>
      <c r="V3912">
        <v>2.0464969999999999E-2</v>
      </c>
      <c r="W3912">
        <v>0.18477450000000001</v>
      </c>
      <c r="X3912">
        <v>0.98256779999999999</v>
      </c>
      <c r="Y3912">
        <v>9.2858390000000006E-3</v>
      </c>
      <c r="Z3912">
        <v>-6.4858349999999995E-4</v>
      </c>
      <c r="AA3912">
        <v>0.99995670000000003</v>
      </c>
      <c r="AB3912">
        <v>46</v>
      </c>
      <c r="AC3912">
        <v>23.238499999999899</v>
      </c>
      <c r="AD3912">
        <v>-1.1202723998449999</v>
      </c>
      <c r="AE3912">
        <v>1.80999999999755E-2</v>
      </c>
      <c r="AF3912">
        <v>0.21978840440942299</v>
      </c>
      <c r="AG3912">
        <v>-1.1202723998449999</v>
      </c>
      <c r="AH3912">
        <v>23.183584822205201</v>
      </c>
      <c r="AI3912">
        <v>92.766358806823803</v>
      </c>
      <c r="AJ3912">
        <v>89.456832461263701</v>
      </c>
      <c r="AK3912">
        <v>23.211676423751602</v>
      </c>
      <c r="AL3912">
        <v>79.352013984206494</v>
      </c>
      <c r="AM3912">
        <v>88.8068132312617</v>
      </c>
      <c r="AN3912">
        <v>0.99999995622209403</v>
      </c>
    </row>
    <row r="3913" spans="1:40" x14ac:dyDescent="0.25">
      <c r="A3913" t="str">
        <f>"20190303170331087"</f>
        <v>20190303170331087</v>
      </c>
      <c r="B3913" t="str">
        <f>"1551603811079377"</f>
        <v>1551603811079377</v>
      </c>
      <c r="C3913" t="s">
        <v>40</v>
      </c>
      <c r="D3913">
        <v>4.0700719999999997</v>
      </c>
      <c r="E3913">
        <v>0.4971526</v>
      </c>
      <c r="F3913" t="s">
        <v>62</v>
      </c>
      <c r="G3913">
        <v>-353.74669999999998</v>
      </c>
      <c r="H3913" s="1">
        <v>4.729589E-7</v>
      </c>
      <c r="I3913">
        <v>214.25219999999999</v>
      </c>
      <c r="J3913">
        <v>-383.02179999999998</v>
      </c>
      <c r="K3913">
        <v>1.1202799999999999</v>
      </c>
      <c r="L3913">
        <v>214.13249999999999</v>
      </c>
      <c r="M3913">
        <v>0.99990000000000001</v>
      </c>
      <c r="N3913">
        <v>-1.009257E-2</v>
      </c>
      <c r="O3913">
        <v>9.9143689999999993E-3</v>
      </c>
      <c r="P3913">
        <v>0.98461690000000002</v>
      </c>
      <c r="Q3913">
        <v>0.1743712</v>
      </c>
      <c r="R3913">
        <v>-1.115261E-2</v>
      </c>
      <c r="S3913">
        <v>3.067841</v>
      </c>
      <c r="T3913">
        <v>-0.1155262</v>
      </c>
      <c r="U3913">
        <v>1.281738E-2</v>
      </c>
      <c r="V3913">
        <v>2.110681E-2</v>
      </c>
      <c r="W3913">
        <v>0.1842763</v>
      </c>
      <c r="X3913">
        <v>0.98264779999999996</v>
      </c>
      <c r="Y3913">
        <v>5.7281329999999998E-3</v>
      </c>
      <c r="Z3913">
        <v>-4.0990090000000002E-4</v>
      </c>
      <c r="AA3913">
        <v>0.99998350000000003</v>
      </c>
      <c r="AB3913">
        <v>46</v>
      </c>
      <c r="AC3913">
        <v>29.275099999999998</v>
      </c>
      <c r="AD3913">
        <v>-1.1202795270410999</v>
      </c>
      <c r="AE3913">
        <v>0.11969999999999401</v>
      </c>
      <c r="AF3913">
        <v>0.170315383394604</v>
      </c>
      <c r="AG3913">
        <v>-1.1202795270410999</v>
      </c>
      <c r="AH3913">
        <v>29.232041513202802</v>
      </c>
      <c r="AI3913">
        <v>92.194674105170904</v>
      </c>
      <c r="AJ3913">
        <v>89.666179926801306</v>
      </c>
      <c r="AK3913">
        <v>29.253996044611402</v>
      </c>
      <c r="AL3913">
        <v>79.381057692764898</v>
      </c>
      <c r="AM3913">
        <v>88.7695029690354</v>
      </c>
      <c r="AN3913">
        <v>0.99999997550745201</v>
      </c>
    </row>
    <row r="3914" spans="1:40" x14ac:dyDescent="0.25">
      <c r="A3914" t="str">
        <f>"20190303170331108"</f>
        <v>20190303170331108</v>
      </c>
      <c r="B3914" t="str">
        <f>"1551603811098897"</f>
        <v>1551603811098897</v>
      </c>
      <c r="C3914" t="s">
        <v>40</v>
      </c>
      <c r="D3914">
        <v>4.1095680000000003</v>
      </c>
      <c r="E3914">
        <v>0.49687419999999999</v>
      </c>
      <c r="F3914" t="s">
        <v>62</v>
      </c>
      <c r="G3914">
        <v>-348.5145</v>
      </c>
      <c r="H3914" s="1">
        <v>2.9942000000000001E-6</v>
      </c>
      <c r="I3914">
        <v>214.2861</v>
      </c>
      <c r="J3914">
        <v>-382.57029999999997</v>
      </c>
      <c r="K3914">
        <v>1.120295</v>
      </c>
      <c r="L3914">
        <v>214.13679999999999</v>
      </c>
      <c r="M3914">
        <v>0.99990199999999996</v>
      </c>
      <c r="N3914">
        <v>-1.021406E-2</v>
      </c>
      <c r="O3914">
        <v>9.5873399999999998E-3</v>
      </c>
      <c r="P3914">
        <v>0.98458590000000001</v>
      </c>
      <c r="Q3914">
        <v>0.17450689999999999</v>
      </c>
      <c r="R3914">
        <v>-1.1766769999999999E-2</v>
      </c>
      <c r="S3914">
        <v>3.0646360000000001</v>
      </c>
      <c r="T3914">
        <v>-9.9493269999999995E-2</v>
      </c>
      <c r="U3914">
        <v>1.364136E-2</v>
      </c>
      <c r="V3914">
        <v>2.1399600000000001E-2</v>
      </c>
      <c r="W3914">
        <v>0.18453069999999999</v>
      </c>
      <c r="X3914">
        <v>0.98259370000000001</v>
      </c>
      <c r="Y3914">
        <v>5.1308509999999996E-3</v>
      </c>
      <c r="Z3914">
        <v>-3.2272939999999998E-4</v>
      </c>
      <c r="AA3914">
        <v>0.99998679999999995</v>
      </c>
      <c r="AB3914">
        <v>46</v>
      </c>
      <c r="AC3914">
        <v>34.055799999999898</v>
      </c>
      <c r="AD3914">
        <v>-1.1202920057999901</v>
      </c>
      <c r="AE3914">
        <v>0.14930000000001001</v>
      </c>
      <c r="AF3914">
        <v>0.17703681403772301</v>
      </c>
      <c r="AG3914">
        <v>-1.1202920057999901</v>
      </c>
      <c r="AH3914">
        <v>34.018853922413697</v>
      </c>
      <c r="AI3914">
        <v>91.886129001981601</v>
      </c>
      <c r="AJ3914">
        <v>89.701830910661499</v>
      </c>
      <c r="AK3914">
        <v>34.037755778051903</v>
      </c>
      <c r="AL3914">
        <v>79.366227047451105</v>
      </c>
      <c r="AM3914">
        <v>88.752370418852607</v>
      </c>
      <c r="AN3914">
        <v>0.99999995070116798</v>
      </c>
    </row>
    <row r="3915" spans="1:40" x14ac:dyDescent="0.25">
      <c r="A3915" t="str">
        <f>"20190303170331129"</f>
        <v>20190303170331129</v>
      </c>
      <c r="B3915" t="str">
        <f>"1551603811119393"</f>
        <v>1551603811119393</v>
      </c>
      <c r="C3915" t="s">
        <v>40</v>
      </c>
      <c r="D3915">
        <v>4.1590809999999996</v>
      </c>
      <c r="E3915">
        <v>0.49648510000000001</v>
      </c>
      <c r="F3915" t="s">
        <v>62</v>
      </c>
      <c r="G3915">
        <v>-343.49340000000001</v>
      </c>
      <c r="H3915" s="1">
        <v>3.2222869999999999E-7</v>
      </c>
      <c r="I3915">
        <v>214.30789999999999</v>
      </c>
      <c r="J3915">
        <v>-382.14210000000003</v>
      </c>
      <c r="K3915">
        <v>1.1203240000000001</v>
      </c>
      <c r="L3915">
        <v>214.14070000000001</v>
      </c>
      <c r="M3915">
        <v>0.99990330000000005</v>
      </c>
      <c r="N3915">
        <v>-1.0364399999999999E-2</v>
      </c>
      <c r="O3915">
        <v>9.2770490000000008E-3</v>
      </c>
      <c r="P3915">
        <v>0.98446100000000003</v>
      </c>
      <c r="Q3915">
        <v>0.17517160000000001</v>
      </c>
      <c r="R3915">
        <v>-1.232047E-2</v>
      </c>
      <c r="S3915">
        <v>3.0627140000000002</v>
      </c>
      <c r="T3915">
        <v>-8.7804789999999994E-2</v>
      </c>
      <c r="U3915">
        <v>1.3412479999999999E-2</v>
      </c>
      <c r="V3915">
        <v>2.1648589999999999E-2</v>
      </c>
      <c r="W3915">
        <v>0.18534149999999999</v>
      </c>
      <c r="X3915">
        <v>0.98243570000000002</v>
      </c>
      <c r="Y3915">
        <v>4.8941189999999997E-3</v>
      </c>
      <c r="Z3915">
        <v>-2.6527119999999999E-4</v>
      </c>
      <c r="AA3915">
        <v>0.99998799999999999</v>
      </c>
      <c r="AB3915">
        <v>46</v>
      </c>
      <c r="AC3915">
        <v>38.648699999999998</v>
      </c>
      <c r="AD3915">
        <v>-1.1203236777712999</v>
      </c>
      <c r="AE3915">
        <v>0.167199999999979</v>
      </c>
      <c r="AF3915">
        <v>0.19121165609569399</v>
      </c>
      <c r="AG3915">
        <v>-1.1203236777712999</v>
      </c>
      <c r="AH3915">
        <v>38.6161406107191</v>
      </c>
      <c r="AI3915">
        <v>91.661767102343902</v>
      </c>
      <c r="AJ3915">
        <v>89.716296575002502</v>
      </c>
      <c r="AK3915">
        <v>38.632861694511199</v>
      </c>
      <c r="AL3915">
        <v>79.318956966360602</v>
      </c>
      <c r="AM3915">
        <v>88.737655669805093</v>
      </c>
      <c r="AN3915">
        <v>1.0000000188528599</v>
      </c>
    </row>
    <row r="3916" spans="1:40" x14ac:dyDescent="0.25">
      <c r="A3916" t="str">
        <f>"20190303170331152"</f>
        <v>20190303170331152</v>
      </c>
      <c r="B3916" t="str">
        <f>"1551603811138913"</f>
        <v>1551603811138913</v>
      </c>
      <c r="C3916" t="s">
        <v>40</v>
      </c>
      <c r="D3916">
        <v>4.1821970000000004</v>
      </c>
      <c r="E3916">
        <v>0.4956429</v>
      </c>
      <c r="F3916" t="s">
        <v>62</v>
      </c>
      <c r="G3916">
        <v>-338.60169999999999</v>
      </c>
      <c r="H3916" s="1">
        <v>3.0523980000000001E-6</v>
      </c>
      <c r="I3916">
        <v>214.3459</v>
      </c>
      <c r="J3916">
        <v>-381.67160000000001</v>
      </c>
      <c r="K3916">
        <v>1.1203609999999999</v>
      </c>
      <c r="L3916">
        <v>214.1448</v>
      </c>
      <c r="M3916">
        <v>0.99990420000000002</v>
      </c>
      <c r="N3916">
        <v>-1.0579450000000001E-2</v>
      </c>
      <c r="O3916">
        <v>8.9327629999999998E-3</v>
      </c>
      <c r="P3916">
        <v>0.98444160000000003</v>
      </c>
      <c r="Q3916">
        <v>0.17522360000000001</v>
      </c>
      <c r="R3916">
        <v>-1.309244E-2</v>
      </c>
      <c r="S3916">
        <v>3.0615540000000001</v>
      </c>
      <c r="T3916">
        <v>-7.8775529999999996E-2</v>
      </c>
      <c r="U3916">
        <v>1.4434809999999999E-2</v>
      </c>
      <c r="V3916">
        <v>2.2084409999999999E-2</v>
      </c>
      <c r="W3916">
        <v>0.1856034</v>
      </c>
      <c r="X3916">
        <v>0.98237649999999999</v>
      </c>
      <c r="Y3916">
        <v>4.2155450000000002E-3</v>
      </c>
      <c r="Z3916">
        <v>-2.118341E-4</v>
      </c>
      <c r="AA3916">
        <v>0.99999110000000002</v>
      </c>
      <c r="AB3916">
        <v>46</v>
      </c>
      <c r="AC3916">
        <v>43.069899999999997</v>
      </c>
      <c r="AD3916">
        <v>-1.120357947602</v>
      </c>
      <c r="AE3916">
        <v>0.201099999999996</v>
      </c>
      <c r="AF3916">
        <v>0.18353855206825501</v>
      </c>
      <c r="AG3916">
        <v>-1.120357947602</v>
      </c>
      <c r="AH3916">
        <v>43.0408548081204</v>
      </c>
      <c r="AI3916">
        <v>91.491064868997995</v>
      </c>
      <c r="AJ3916">
        <v>89.755675840601995</v>
      </c>
      <c r="AK3916">
        <v>43.0558250524195</v>
      </c>
      <c r="AL3916">
        <v>79.303685669434998</v>
      </c>
      <c r="AM3916">
        <v>88.712173599376399</v>
      </c>
      <c r="AN3916">
        <v>0.99999996550442805</v>
      </c>
    </row>
    <row r="3917" spans="1:40" x14ac:dyDescent="0.25">
      <c r="A3917" t="str">
        <f>"20190303170331176"</f>
        <v>20190303170331176</v>
      </c>
      <c r="B3917" t="str">
        <f>"1551603811169169"</f>
        <v>1551603811169169</v>
      </c>
      <c r="C3917" t="s">
        <v>40</v>
      </c>
      <c r="D3917">
        <v>4.1960309999999996</v>
      </c>
      <c r="E3917">
        <v>0.49528620000000001</v>
      </c>
      <c r="F3917" t="s">
        <v>62</v>
      </c>
      <c r="G3917">
        <v>-335.07049999999998</v>
      </c>
      <c r="H3917" s="1">
        <v>1.169402E-6</v>
      </c>
      <c r="I3917">
        <v>214.4349</v>
      </c>
      <c r="J3917">
        <v>-381.18610000000001</v>
      </c>
      <c r="K3917">
        <v>1.1204080000000001</v>
      </c>
      <c r="L3917">
        <v>214.14879999999999</v>
      </c>
      <c r="M3917">
        <v>0.99990409999999996</v>
      </c>
      <c r="N3917">
        <v>-1.086667E-2</v>
      </c>
      <c r="O3917">
        <v>8.5881849999999999E-3</v>
      </c>
      <c r="P3917">
        <v>0.98436520000000005</v>
      </c>
      <c r="Q3917">
        <v>0.17563389999999901</v>
      </c>
      <c r="R3917">
        <v>-1.3349740000000001E-2</v>
      </c>
      <c r="S3917">
        <v>3.06073</v>
      </c>
      <c r="T3917">
        <v>-7.3584559999999993E-2</v>
      </c>
      <c r="U3917">
        <v>1.9058229999999999E-2</v>
      </c>
      <c r="V3917">
        <v>2.2005360000000002E-2</v>
      </c>
      <c r="W3917">
        <v>0.18629490000000001</v>
      </c>
      <c r="X3917">
        <v>0.98224739999999999</v>
      </c>
      <c r="Y3917">
        <v>2.3604469999999999E-3</v>
      </c>
      <c r="Z3917">
        <v>-1.5431519999999999E-4</v>
      </c>
      <c r="AA3917">
        <v>0.99999720000000003</v>
      </c>
      <c r="AB3917">
        <v>46</v>
      </c>
      <c r="AC3917">
        <v>46.115600000000001</v>
      </c>
      <c r="AD3917">
        <v>-1.1204068305979999</v>
      </c>
      <c r="AE3917">
        <v>0.28610000000000402</v>
      </c>
      <c r="AF3917">
        <v>0.109918352477131</v>
      </c>
      <c r="AG3917">
        <v>-1.1204068305979999</v>
      </c>
      <c r="AH3917">
        <v>46.089152006779202</v>
      </c>
      <c r="AI3917">
        <v>91.392556742848896</v>
      </c>
      <c r="AJ3917">
        <v>89.863355139473896</v>
      </c>
      <c r="AK3917">
        <v>46.1028993254683</v>
      </c>
      <c r="AL3917">
        <v>79.263362640346898</v>
      </c>
      <c r="AM3917">
        <v>88.716613161900298</v>
      </c>
      <c r="AN3917">
        <v>0.99999999022074904</v>
      </c>
    </row>
    <row r="3918" spans="1:40" x14ac:dyDescent="0.25">
      <c r="A3918" t="str">
        <f>"20190303170331209"</f>
        <v>20190303170331209</v>
      </c>
      <c r="B3918" t="str">
        <f>"1551603811199077"</f>
        <v>1551603811199077</v>
      </c>
      <c r="C3918" t="s">
        <v>40</v>
      </c>
      <c r="D3918">
        <v>4.1776030000000004</v>
      </c>
      <c r="E3918">
        <v>0.49508210000000002</v>
      </c>
      <c r="F3918" t="s">
        <v>62</v>
      </c>
      <c r="G3918">
        <v>-330.42410000000001</v>
      </c>
      <c r="H3918" s="1">
        <v>-1.3059939999999999E-6</v>
      </c>
      <c r="I3918">
        <v>214.49959999999999</v>
      </c>
      <c r="J3918">
        <v>-380.50560000000002</v>
      </c>
      <c r="K3918">
        <v>1.1205080000000001</v>
      </c>
      <c r="L3918">
        <v>214.1542</v>
      </c>
      <c r="M3918">
        <v>0.99990250000000003</v>
      </c>
      <c r="N3918">
        <v>-1.1368609999999999E-2</v>
      </c>
      <c r="O3918">
        <v>8.1171179999999996E-3</v>
      </c>
      <c r="P3918">
        <v>0.98430220000000002</v>
      </c>
      <c r="Q3918">
        <v>0.17602979999999999</v>
      </c>
      <c r="R3918">
        <v>-1.276654E-2</v>
      </c>
      <c r="S3918">
        <v>3.0599669999999999</v>
      </c>
      <c r="T3918">
        <v>-6.7539100000000005E-2</v>
      </c>
      <c r="U3918">
        <v>2.114868E-2</v>
      </c>
      <c r="V3918">
        <v>2.0958460000000002E-2</v>
      </c>
      <c r="W3918">
        <v>0.1871845</v>
      </c>
      <c r="X3918">
        <v>0.98210109999999995</v>
      </c>
      <c r="Y3918">
        <v>1.205523E-3</v>
      </c>
      <c r="Z3918">
        <v>-1.070112E-4</v>
      </c>
      <c r="AA3918">
        <v>0.99999930000000004</v>
      </c>
      <c r="AB3918">
        <v>46</v>
      </c>
      <c r="AC3918">
        <v>50.081499999999998</v>
      </c>
      <c r="AD3918">
        <v>-1.1205093059939999</v>
      </c>
      <c r="AE3918">
        <v>0.345399999999983</v>
      </c>
      <c r="AF3918">
        <v>6.1124472962911201E-2</v>
      </c>
      <c r="AG3918">
        <v>-1.1205093059939999</v>
      </c>
      <c r="AH3918">
        <v>50.057596917554001</v>
      </c>
      <c r="AI3918">
        <v>91.282316585000004</v>
      </c>
      <c r="AJ3918">
        <v>89.930037141198</v>
      </c>
      <c r="AK3918">
        <v>50.070173621292</v>
      </c>
      <c r="AL3918">
        <v>79.211479029384193</v>
      </c>
      <c r="AM3918">
        <v>88.777468978389294</v>
      </c>
      <c r="AN3918">
        <v>0.99999993235351303</v>
      </c>
    </row>
    <row r="3919" spans="1:40" x14ac:dyDescent="0.25">
      <c r="A3919" t="str">
        <f>"20190303170331231"</f>
        <v>20190303170331231</v>
      </c>
      <c r="B3919" t="str">
        <f>"1551603811219574"</f>
        <v>1551603811219574</v>
      </c>
      <c r="C3919" t="s">
        <v>40</v>
      </c>
      <c r="D3919">
        <v>4.1461209999999999</v>
      </c>
      <c r="E3919">
        <v>0.49483830000000001</v>
      </c>
      <c r="F3919" t="s">
        <v>62</v>
      </c>
      <c r="G3919">
        <v>-326.00020000000001</v>
      </c>
      <c r="H3919" s="1">
        <v>1.6562290000000001E-6</v>
      </c>
      <c r="I3919">
        <v>214.58179999999999</v>
      </c>
      <c r="J3919">
        <v>-380.05430000000001</v>
      </c>
      <c r="K3919">
        <v>1.120576</v>
      </c>
      <c r="L3919">
        <v>214.1576</v>
      </c>
      <c r="M3919">
        <v>0.99990080000000003</v>
      </c>
      <c r="N3919">
        <v>-1.1733199999999999E-2</v>
      </c>
      <c r="O3919">
        <v>7.7977100000000002E-3</v>
      </c>
      <c r="P3919">
        <v>0.98426460000000005</v>
      </c>
      <c r="Q3919">
        <v>0.17626349999999999</v>
      </c>
      <c r="R3919">
        <v>-1.243963E-2</v>
      </c>
      <c r="S3919">
        <v>3.059418</v>
      </c>
      <c r="T3919">
        <v>-6.2894699999999998E-2</v>
      </c>
      <c r="U3919">
        <v>2.4002079999999999E-2</v>
      </c>
      <c r="V3919">
        <v>2.0314169999999999E-2</v>
      </c>
      <c r="W3919">
        <v>0.187777</v>
      </c>
      <c r="X3919">
        <v>0.98200160000000003</v>
      </c>
      <c r="Y3919" s="1">
        <v>-4.7110149999999998E-5</v>
      </c>
      <c r="Z3919" s="1">
        <v>-6.8029730000000006E-5</v>
      </c>
      <c r="AA3919">
        <v>1</v>
      </c>
      <c r="AB3919">
        <v>46</v>
      </c>
      <c r="AC3919">
        <v>54.054099999999998</v>
      </c>
      <c r="AD3919">
        <v>-1.1205743437710001</v>
      </c>
      <c r="AE3919">
        <v>0.42419999999998398</v>
      </c>
      <c r="AF3919">
        <v>-2.6587636831911202E-3</v>
      </c>
      <c r="AG3919">
        <v>-1.1205743437710001</v>
      </c>
      <c r="AH3919">
        <v>54.032544910999498</v>
      </c>
      <c r="AI3919">
        <v>91.188079853902593</v>
      </c>
      <c r="AJ3919">
        <v>90.002819336714495</v>
      </c>
      <c r="AK3919">
        <v>54.044163454420499</v>
      </c>
      <c r="AL3919">
        <v>79.176919252354196</v>
      </c>
      <c r="AM3919">
        <v>88.814920237765705</v>
      </c>
      <c r="AN3919">
        <v>1.00000000481717</v>
      </c>
    </row>
    <row r="3920" spans="1:40" x14ac:dyDescent="0.25">
      <c r="A3920" t="str">
        <f>"20190303170331252"</f>
        <v>20190303170331252</v>
      </c>
      <c r="B3920" t="str">
        <f>"1551603811239094"</f>
        <v>1551603811239094</v>
      </c>
      <c r="C3920" t="s">
        <v>40</v>
      </c>
      <c r="D3920">
        <v>4.1480819999999996</v>
      </c>
      <c r="E3920">
        <v>0.49460189999999998</v>
      </c>
      <c r="F3920" t="s">
        <v>62</v>
      </c>
      <c r="G3920">
        <v>-322.99180000000001</v>
      </c>
      <c r="H3920" s="1">
        <v>5.5274999999999997E-8</v>
      </c>
      <c r="I3920">
        <v>214.66309999999999</v>
      </c>
      <c r="J3920">
        <v>-379.61450000000002</v>
      </c>
      <c r="K3920">
        <v>1.12064599999999</v>
      </c>
      <c r="L3920">
        <v>214.16069999999999</v>
      </c>
      <c r="M3920">
        <v>0.99989890000000003</v>
      </c>
      <c r="N3920">
        <v>-1.210815E-2</v>
      </c>
      <c r="O3920">
        <v>7.4805729999999999E-3</v>
      </c>
      <c r="P3920">
        <v>0.98411939999999998</v>
      </c>
      <c r="Q3920">
        <v>0.17702760000000001</v>
      </c>
      <c r="R3920">
        <v>-1.3070760000000001E-2</v>
      </c>
      <c r="S3920">
        <v>3.059021</v>
      </c>
      <c r="T3920">
        <v>-6.0072059999999997E-2</v>
      </c>
      <c r="U3920">
        <v>2.709961E-2</v>
      </c>
      <c r="V3920">
        <v>2.062924E-2</v>
      </c>
      <c r="W3920">
        <v>0.18890750000000001</v>
      </c>
      <c r="X3920">
        <v>0.98177820000000005</v>
      </c>
      <c r="Y3920">
        <v>-1.377276E-3</v>
      </c>
      <c r="Z3920" s="1">
        <v>-3.4444730000000001E-5</v>
      </c>
      <c r="AA3920">
        <v>0.99999899999999997</v>
      </c>
      <c r="AB3920">
        <v>46</v>
      </c>
      <c r="AC3920">
        <v>56.622700000000002</v>
      </c>
      <c r="AD3920">
        <v>-1.1206459447249999</v>
      </c>
      <c r="AE3920">
        <v>0.50239999999999396</v>
      </c>
      <c r="AF3920">
        <v>-7.8753881522440297E-2</v>
      </c>
      <c r="AG3920">
        <v>-1.1206459447249999</v>
      </c>
      <c r="AH3920">
        <v>56.6027043441945</v>
      </c>
      <c r="AI3920">
        <v>91.134218481727004</v>
      </c>
      <c r="AJ3920">
        <v>90.0797181366529</v>
      </c>
      <c r="AK3920">
        <v>56.613851561111602</v>
      </c>
      <c r="AL3920">
        <v>79.110966219667901</v>
      </c>
      <c r="AM3920">
        <v>88.796271415800504</v>
      </c>
      <c r="AN3920">
        <v>1.00000002154723</v>
      </c>
    </row>
    <row r="3921" spans="1:40" x14ac:dyDescent="0.25">
      <c r="A3921" t="str">
        <f>"20190303170331276"</f>
        <v>20190303170331276</v>
      </c>
      <c r="B3921" t="str">
        <f>"1551603811269350"</f>
        <v>1551603811269350</v>
      </c>
      <c r="C3921" t="s">
        <v>40</v>
      </c>
      <c r="D3921">
        <v>4.1355930000000001</v>
      </c>
      <c r="E3921">
        <v>0.49431170000000002</v>
      </c>
      <c r="F3921" t="s">
        <v>63</v>
      </c>
      <c r="G3921">
        <v>-317.67509999999999</v>
      </c>
      <c r="H3921" s="1">
        <v>4.3092360000000003E-6</v>
      </c>
      <c r="I3921">
        <v>214.71539999999999</v>
      </c>
      <c r="J3921">
        <v>-379.13959999999997</v>
      </c>
      <c r="K3921">
        <v>1.1207129999999901</v>
      </c>
      <c r="L3921">
        <v>214.16399999999999</v>
      </c>
      <c r="M3921">
        <v>0.99989620000000001</v>
      </c>
      <c r="N3921">
        <v>-1.251322E-2</v>
      </c>
      <c r="O3921">
        <v>7.1361460000000003E-3</v>
      </c>
      <c r="P3921">
        <v>0.98411389999999999</v>
      </c>
      <c r="Q3921">
        <v>0.17700959999999999</v>
      </c>
      <c r="R3921">
        <v>-1.3686139999999999E-2</v>
      </c>
      <c r="S3921">
        <v>3.0587460000000002</v>
      </c>
      <c r="T3921">
        <v>-5.5340529999999999E-2</v>
      </c>
      <c r="U3921">
        <v>2.7389529999999999E-2</v>
      </c>
      <c r="V3921">
        <v>2.0903049999999999E-2</v>
      </c>
      <c r="W3921">
        <v>0.18928719999999999</v>
      </c>
      <c r="X3921">
        <v>0.98169919999999999</v>
      </c>
      <c r="Y3921">
        <v>-1.817096E-3</v>
      </c>
      <c r="Z3921" s="1">
        <v>-1.199178E-5</v>
      </c>
      <c r="AA3921">
        <v>0.99999830000000001</v>
      </c>
      <c r="AB3921">
        <v>46</v>
      </c>
      <c r="AC3921">
        <v>61.464500000000001</v>
      </c>
      <c r="AD3921">
        <v>-1.12070869076399</v>
      </c>
      <c r="AE3921">
        <v>0.55139999999997202</v>
      </c>
      <c r="AF3921">
        <v>-0.11269448659699299</v>
      </c>
      <c r="AG3921">
        <v>-1.12070869076399</v>
      </c>
      <c r="AH3921">
        <v>61.446443170109603</v>
      </c>
      <c r="AI3921">
        <v>91.044888004829204</v>
      </c>
      <c r="AJ3921">
        <v>90.105081936132805</v>
      </c>
      <c r="AK3921">
        <v>61.456765829926098</v>
      </c>
      <c r="AL3921">
        <v>79.088810515664605</v>
      </c>
      <c r="AM3921">
        <v>88.780201109164395</v>
      </c>
      <c r="AN3921">
        <v>0.99999995043189005</v>
      </c>
    </row>
    <row r="3922" spans="1:40" x14ac:dyDescent="0.25">
      <c r="A3922" t="str">
        <f>"20190303170331297"</f>
        <v>20190303170331297</v>
      </c>
      <c r="B3922" t="str">
        <f>"1551603811288870"</f>
        <v>1551603811288870</v>
      </c>
      <c r="C3922" t="s">
        <v>40</v>
      </c>
      <c r="D3922">
        <v>4.2528940000000004</v>
      </c>
      <c r="E3922">
        <v>0.494199</v>
      </c>
      <c r="F3922" t="s">
        <v>63</v>
      </c>
      <c r="G3922">
        <v>-315.6979</v>
      </c>
      <c r="H3922" s="1">
        <v>3.4324299999999999E-6</v>
      </c>
      <c r="I3922">
        <v>214.74510000000001</v>
      </c>
      <c r="J3922">
        <v>-378.69290000000001</v>
      </c>
      <c r="K3922">
        <v>1.1207560000000001</v>
      </c>
      <c r="L3922">
        <v>214.1669</v>
      </c>
      <c r="M3922">
        <v>0.9998939</v>
      </c>
      <c r="N3922">
        <v>-1.287282E-2</v>
      </c>
      <c r="O3922">
        <v>6.8141859999999999E-3</v>
      </c>
      <c r="P3922">
        <v>0.98415730000000001</v>
      </c>
      <c r="Q3922">
        <v>0.17675739999999901</v>
      </c>
      <c r="R3922">
        <v>-1.383478E-2</v>
      </c>
      <c r="S3922">
        <v>3.0585629999999999</v>
      </c>
      <c r="T3922">
        <v>-5.4030059999999998E-2</v>
      </c>
      <c r="U3922">
        <v>2.8015140000000001E-2</v>
      </c>
      <c r="V3922">
        <v>2.073378E-2</v>
      </c>
      <c r="W3922">
        <v>0.18938930000000001</v>
      </c>
      <c r="X3922">
        <v>0.98168310000000003</v>
      </c>
      <c r="Y3922">
        <v>-2.3439590000000001E-3</v>
      </c>
      <c r="Z3922" s="1">
        <v>3.1495270000000002E-6</v>
      </c>
      <c r="AA3922">
        <v>0.99999729999999998</v>
      </c>
      <c r="AB3922">
        <v>46</v>
      </c>
      <c r="AC3922">
        <v>62.994999999999997</v>
      </c>
      <c r="AD3922">
        <v>-1.1207525675700001</v>
      </c>
      <c r="AE3922">
        <v>0.57820000000000904</v>
      </c>
      <c r="AF3922">
        <v>-0.14884423733114799</v>
      </c>
      <c r="AG3922">
        <v>-1.1207525675700001</v>
      </c>
      <c r="AH3922">
        <v>62.977545245430697</v>
      </c>
      <c r="AI3922">
        <v>91.019529021800395</v>
      </c>
      <c r="AJ3922">
        <v>90.135415419759994</v>
      </c>
      <c r="AK3922">
        <v>62.987692814271099</v>
      </c>
      <c r="AL3922">
        <v>79.082852878769003</v>
      </c>
      <c r="AM3922">
        <v>88.790056085797104</v>
      </c>
      <c r="AN3922">
        <v>0.99999995270659303</v>
      </c>
    </row>
    <row r="3923" spans="1:40" x14ac:dyDescent="0.25">
      <c r="A3923" t="str">
        <f>"20190303170331319"</f>
        <v>20190303170331319</v>
      </c>
      <c r="B3923" t="str">
        <f>"1551603811309366"</f>
        <v>1551603811309366</v>
      </c>
      <c r="C3923" t="s">
        <v>40</v>
      </c>
      <c r="D3923">
        <v>4.1346439999999998</v>
      </c>
      <c r="E3923">
        <v>0.49395420000000001</v>
      </c>
      <c r="F3923" t="s">
        <v>63</v>
      </c>
      <c r="G3923">
        <v>-315.6114</v>
      </c>
      <c r="H3923" s="1">
        <v>3.394062E-6</v>
      </c>
      <c r="I3923">
        <v>214.7561</v>
      </c>
      <c r="J3923">
        <v>-378.24549999999999</v>
      </c>
      <c r="K3923">
        <v>1.1207940000000001</v>
      </c>
      <c r="L3923">
        <v>214.16970000000001</v>
      </c>
      <c r="M3923">
        <v>0.9998918</v>
      </c>
      <c r="N3923">
        <v>-1.320232E-2</v>
      </c>
      <c r="O3923">
        <v>6.4961489999999997E-3</v>
      </c>
      <c r="P3923">
        <v>0.98423439999999995</v>
      </c>
      <c r="Q3923">
        <v>0.17629919999999999</v>
      </c>
      <c r="R3923">
        <v>-1.419815E-2</v>
      </c>
      <c r="S3923">
        <v>3.0584720000000001</v>
      </c>
      <c r="T3923">
        <v>-5.433905E-2</v>
      </c>
      <c r="U3923">
        <v>2.8564450000000002E-2</v>
      </c>
      <c r="V3923">
        <v>2.0784360000000002E-2</v>
      </c>
      <c r="W3923">
        <v>0.18925539999999999</v>
      </c>
      <c r="X3923">
        <v>0.98170789999999997</v>
      </c>
      <c r="Y3923">
        <v>-2.841704E-3</v>
      </c>
      <c r="Z3923" s="1">
        <v>1.4366890000000001E-5</v>
      </c>
      <c r="AA3923">
        <v>0.99999590000000005</v>
      </c>
      <c r="AB3923">
        <v>46</v>
      </c>
      <c r="AC3923">
        <v>62.634099999999897</v>
      </c>
      <c r="AD3923">
        <v>-1.120790605938</v>
      </c>
      <c r="AE3923">
        <v>0.58639999999999703</v>
      </c>
      <c r="AF3923">
        <v>-0.179414292852866</v>
      </c>
      <c r="AG3923">
        <v>-1.120790605938</v>
      </c>
      <c r="AH3923">
        <v>62.616539517855102</v>
      </c>
      <c r="AI3923">
        <v>91.025439153046904</v>
      </c>
      <c r="AJ3923">
        <v>90.164168344537799</v>
      </c>
      <c r="AK3923">
        <v>62.626826378653</v>
      </c>
      <c r="AL3923">
        <v>79.090666591505993</v>
      </c>
      <c r="AM3923">
        <v>88.787135942673899</v>
      </c>
      <c r="AN3923">
        <v>0.999999998486089</v>
      </c>
    </row>
    <row r="3924" spans="1:40" x14ac:dyDescent="0.25">
      <c r="A3924" t="str">
        <f>"20190303170331342"</f>
        <v>20190303170331342</v>
      </c>
      <c r="B3924" t="str">
        <f>"1551603811328886"</f>
        <v>1551603811328886</v>
      </c>
      <c r="C3924" t="s">
        <v>40</v>
      </c>
      <c r="D3924">
        <v>4.175662</v>
      </c>
      <c r="E3924">
        <v>0.4939055</v>
      </c>
      <c r="F3924" t="s">
        <v>63</v>
      </c>
      <c r="G3924">
        <v>-315.2998</v>
      </c>
      <c r="H3924" s="1">
        <v>3.2558919999999998E-6</v>
      </c>
      <c r="I3924">
        <v>214.77709999999999</v>
      </c>
      <c r="J3924">
        <v>-377.7876</v>
      </c>
      <c r="K3924">
        <v>1.1208129999999901</v>
      </c>
      <c r="L3924">
        <v>214.17240000000001</v>
      </c>
      <c r="M3924">
        <v>0.9998899</v>
      </c>
      <c r="N3924">
        <v>-1.35052E-2</v>
      </c>
      <c r="O3924">
        <v>6.1743609999999997E-3</v>
      </c>
      <c r="P3924">
        <v>0.98416479999999995</v>
      </c>
      <c r="Q3924">
        <v>0.1766017</v>
      </c>
      <c r="R3924">
        <v>-1.521778E-2</v>
      </c>
      <c r="S3924">
        <v>3.0581969999999998</v>
      </c>
      <c r="T3924">
        <v>-5.4453250000000002E-2</v>
      </c>
      <c r="U3924">
        <v>2.9510499999999999E-2</v>
      </c>
      <c r="V3924">
        <v>2.1488009999999998E-2</v>
      </c>
      <c r="W3924">
        <v>0.18985379999999999</v>
      </c>
      <c r="X3924">
        <v>0.98157720000000004</v>
      </c>
      <c r="Y3924">
        <v>-3.4734589999999999E-3</v>
      </c>
      <c r="Z3924" s="1">
        <v>2.7841450000000001E-5</v>
      </c>
      <c r="AA3924">
        <v>0.99999400000000005</v>
      </c>
      <c r="AB3924">
        <v>46</v>
      </c>
      <c r="AC3924">
        <v>62.487799999999901</v>
      </c>
      <c r="AD3924">
        <v>-1.1208097441079901</v>
      </c>
      <c r="AE3924">
        <v>0.60469999999997903</v>
      </c>
      <c r="AF3924">
        <v>-0.21876073655272299</v>
      </c>
      <c r="AG3924">
        <v>-1.1208097441079901</v>
      </c>
      <c r="AH3924">
        <v>62.470246818038198</v>
      </c>
      <c r="AI3924">
        <v>91.027855474582907</v>
      </c>
      <c r="AJ3924">
        <v>90.200639765838602</v>
      </c>
      <c r="AK3924">
        <v>62.480683480968402</v>
      </c>
      <c r="AL3924">
        <v>79.055747737718704</v>
      </c>
      <c r="AM3924">
        <v>88.745920679147801</v>
      </c>
      <c r="AN3924">
        <v>0.99999999975401999</v>
      </c>
    </row>
    <row r="3925" spans="1:40" x14ac:dyDescent="0.25">
      <c r="A3925" t="str">
        <f>"20190303170331364"</f>
        <v>20190303170331364</v>
      </c>
      <c r="B3925" t="str">
        <f>"1551603811359143"</f>
        <v>1551603811359143</v>
      </c>
      <c r="C3925" t="s">
        <v>40</v>
      </c>
      <c r="D3925">
        <v>4.180955</v>
      </c>
      <c r="E3925">
        <v>0.49385190000000001</v>
      </c>
      <c r="F3925" t="s">
        <v>63</v>
      </c>
      <c r="G3925">
        <v>-313.55540000000002</v>
      </c>
      <c r="H3925" s="1">
        <v>2.4823279999999999E-6</v>
      </c>
      <c r="I3925">
        <v>214.74119999999999</v>
      </c>
      <c r="J3925">
        <v>-377.34050000000002</v>
      </c>
      <c r="K3925">
        <v>1.120833</v>
      </c>
      <c r="L3925">
        <v>214.17490000000001</v>
      </c>
      <c r="M3925">
        <v>0.99988809999999995</v>
      </c>
      <c r="N3925">
        <v>-1.376896E-2</v>
      </c>
      <c r="O3925">
        <v>5.8618239999999999E-3</v>
      </c>
      <c r="P3925">
        <v>0.98406300000000002</v>
      </c>
      <c r="Q3925">
        <v>0.17707349999999999</v>
      </c>
      <c r="R3925">
        <v>-1.6284320000000001E-2</v>
      </c>
      <c r="S3925">
        <v>3.0582579999999999</v>
      </c>
      <c r="T3925">
        <v>-5.3364630000000003E-2</v>
      </c>
      <c r="U3925">
        <v>2.708435E-2</v>
      </c>
      <c r="V3925">
        <v>2.2247320000000001E-2</v>
      </c>
      <c r="W3925">
        <v>0.19058220000000001</v>
      </c>
      <c r="X3925">
        <v>0.98141909999999999</v>
      </c>
      <c r="Y3925">
        <v>-2.9927119999999998E-3</v>
      </c>
      <c r="Z3925" s="1">
        <v>2.5154300000000001E-5</v>
      </c>
      <c r="AA3925">
        <v>0.99999550000000004</v>
      </c>
      <c r="AB3925">
        <v>46</v>
      </c>
      <c r="AC3925">
        <v>63.7851</v>
      </c>
      <c r="AD3925">
        <v>-1.1208305176719999</v>
      </c>
      <c r="AE3925">
        <v>0.56629999999998304</v>
      </c>
      <c r="AF3925">
        <v>-0.192298448529129</v>
      </c>
      <c r="AG3925">
        <v>-1.1208305176719999</v>
      </c>
      <c r="AH3925">
        <v>63.7676355218032</v>
      </c>
      <c r="AI3925">
        <v>91.006967777116401</v>
      </c>
      <c r="AJ3925">
        <v>90.172781317968997</v>
      </c>
      <c r="AK3925">
        <v>63.777774967336299</v>
      </c>
      <c r="AL3925">
        <v>79.013237155623699</v>
      </c>
      <c r="AM3925">
        <v>88.701411789613601</v>
      </c>
      <c r="AN3925">
        <v>0.99999998402441603</v>
      </c>
    </row>
    <row r="3926" spans="1:40" x14ac:dyDescent="0.25">
      <c r="A3926" t="str">
        <f>"20190303170331387"</f>
        <v>20190303170331387</v>
      </c>
      <c r="B3926" t="str">
        <f>"1551603811379638"</f>
        <v>1551603811379638</v>
      </c>
      <c r="C3926" t="s">
        <v>40</v>
      </c>
      <c r="D3926">
        <v>4.2521789999999999</v>
      </c>
      <c r="E3926">
        <v>0.49380489999999999</v>
      </c>
      <c r="F3926" t="s">
        <v>63</v>
      </c>
      <c r="G3926">
        <v>-311.0847</v>
      </c>
      <c r="H3926" s="1">
        <v>1.3866409999999899E-6</v>
      </c>
      <c r="I3926">
        <v>214.70050000000001</v>
      </c>
      <c r="J3926">
        <v>-376.8596</v>
      </c>
      <c r="K3926">
        <v>1.120852</v>
      </c>
      <c r="L3926">
        <v>214.17740000000001</v>
      </c>
      <c r="M3926">
        <v>0.99988650000000001</v>
      </c>
      <c r="N3926">
        <v>-1.401968E-2</v>
      </c>
      <c r="O3926">
        <v>5.5251149999999997E-3</v>
      </c>
      <c r="P3926">
        <v>0.98426959999999997</v>
      </c>
      <c r="Q3926">
        <v>0.17583750000000001</v>
      </c>
      <c r="R3926">
        <v>-1.7167140000000001E-2</v>
      </c>
      <c r="S3926">
        <v>3.058319</v>
      </c>
      <c r="T3926">
        <v>-5.1736709999999998E-2</v>
      </c>
      <c r="U3926">
        <v>2.426147E-2</v>
      </c>
      <c r="V3926">
        <v>2.2798550000000001E-2</v>
      </c>
      <c r="W3926">
        <v>0.18959480000000001</v>
      </c>
      <c r="X3926">
        <v>0.98159770000000002</v>
      </c>
      <c r="Y3926">
        <v>-2.4064820000000002E-3</v>
      </c>
      <c r="Z3926" s="1">
        <v>2.1230430000000001E-5</v>
      </c>
      <c r="AA3926">
        <v>0.99999709999999997</v>
      </c>
      <c r="AB3926">
        <v>46</v>
      </c>
      <c r="AC3926">
        <v>65.774900000000002</v>
      </c>
      <c r="AD3926">
        <v>-1.1208506133589999</v>
      </c>
      <c r="AE3926">
        <v>0.52309999999999901</v>
      </c>
      <c r="AF3926">
        <v>-0.15959608252681801</v>
      </c>
      <c r="AG3926">
        <v>-1.1208506133589999</v>
      </c>
      <c r="AH3926">
        <v>65.757692435656097</v>
      </c>
      <c r="AI3926">
        <v>90.976518484535802</v>
      </c>
      <c r="AJ3926">
        <v>90.139058468483398</v>
      </c>
      <c r="AK3926">
        <v>65.767437926905501</v>
      </c>
      <c r="AL3926">
        <v>79.070861896141807</v>
      </c>
      <c r="AM3926">
        <v>88.669489665033296</v>
      </c>
      <c r="AN3926">
        <v>1.0000000033572101</v>
      </c>
    </row>
    <row r="3927" spans="1:40" x14ac:dyDescent="0.25">
      <c r="A3927" t="str">
        <f>"20190303170331409"</f>
        <v>20190303170331409</v>
      </c>
      <c r="B3927" t="str">
        <f>"1551603811399159"</f>
        <v>1551603811399159</v>
      </c>
      <c r="C3927" t="s">
        <v>40</v>
      </c>
      <c r="D3927">
        <v>4.3662910000000004</v>
      </c>
      <c r="E3927">
        <v>0.49376399999999998</v>
      </c>
      <c r="F3927" t="s">
        <v>63</v>
      </c>
      <c r="G3927">
        <v>-315.18529999999998</v>
      </c>
      <c r="H3927" s="1">
        <v>3.2051099999999999E-6</v>
      </c>
      <c r="I3927">
        <v>214.6208</v>
      </c>
      <c r="J3927">
        <v>-376.4151</v>
      </c>
      <c r="K3927">
        <v>1.1208689999999999</v>
      </c>
      <c r="L3927">
        <v>214.17959999999999</v>
      </c>
      <c r="M3927">
        <v>0.99988529999999998</v>
      </c>
      <c r="N3927">
        <v>-1.4223100000000001E-2</v>
      </c>
      <c r="O3927">
        <v>5.2142809999999899E-3</v>
      </c>
      <c r="P3927">
        <v>0.98437459999999999</v>
      </c>
      <c r="Q3927">
        <v>0.17523710000000001</v>
      </c>
      <c r="R3927">
        <v>-1.72859E-2</v>
      </c>
      <c r="S3927">
        <v>3.0582889999999998</v>
      </c>
      <c r="T3927">
        <v>-5.5580379999999999E-2</v>
      </c>
      <c r="U3927">
        <v>2.1987920000000001E-2</v>
      </c>
      <c r="V3927">
        <v>2.2610269999999998E-2</v>
      </c>
      <c r="W3927">
        <v>0.1891959</v>
      </c>
      <c r="X3927">
        <v>0.98167899999999997</v>
      </c>
      <c r="Y3927">
        <v>-1.9741160000000002E-3</v>
      </c>
      <c r="Z3927" s="1">
        <v>1.139117E-5</v>
      </c>
      <c r="AA3927">
        <v>0.99999800000000005</v>
      </c>
      <c r="AB3927">
        <v>45</v>
      </c>
      <c r="AC3927">
        <v>61.229799999999997</v>
      </c>
      <c r="AD3927">
        <v>-1.1208657948899901</v>
      </c>
      <c r="AE3927">
        <v>0.44120000000000897</v>
      </c>
      <c r="AF3927">
        <v>-0.121851504420768</v>
      </c>
      <c r="AG3927">
        <v>-1.1208657948899901</v>
      </c>
      <c r="AH3927">
        <v>61.210757223060099</v>
      </c>
      <c r="AI3927">
        <v>91.049057037444001</v>
      </c>
      <c r="AJ3927">
        <v>90.114057855597594</v>
      </c>
      <c r="AK3927">
        <v>61.221140039529502</v>
      </c>
      <c r="AL3927">
        <v>79.094138275374704</v>
      </c>
      <c r="AM3927">
        <v>88.680582918122695</v>
      </c>
      <c r="AN3927">
        <v>0.99999998596364104</v>
      </c>
    </row>
    <row r="3928" spans="1:40" x14ac:dyDescent="0.25">
      <c r="A3928" t="str">
        <f>"20190303170331432"</f>
        <v>20190303170331432</v>
      </c>
      <c r="B3928" t="str">
        <f>"1551603811419654"</f>
        <v>1551603811419654</v>
      </c>
      <c r="C3928" t="s">
        <v>40</v>
      </c>
      <c r="D3928">
        <v>4.2503679999999999</v>
      </c>
      <c r="E3928">
        <v>0.49372199999999999</v>
      </c>
      <c r="F3928" t="s">
        <v>63</v>
      </c>
      <c r="G3928">
        <v>-316.88139999999999</v>
      </c>
      <c r="H3928" s="1">
        <v>3.9572559999999998E-6</v>
      </c>
      <c r="I3928">
        <v>214.60169999999999</v>
      </c>
      <c r="J3928">
        <v>-375.9658</v>
      </c>
      <c r="K3928">
        <v>1.120881</v>
      </c>
      <c r="L3928">
        <v>214.18170000000001</v>
      </c>
      <c r="M3928">
        <v>0.99988429999999995</v>
      </c>
      <c r="N3928">
        <v>-1.4403620000000001E-2</v>
      </c>
      <c r="O3928">
        <v>4.9054529999999997E-3</v>
      </c>
      <c r="P3928">
        <v>0.98444129999999996</v>
      </c>
      <c r="Q3928">
        <v>0.17490049999999999</v>
      </c>
      <c r="R3928">
        <v>-1.6887039999999999E-2</v>
      </c>
      <c r="S3928">
        <v>3.0582889999999998</v>
      </c>
      <c r="T3928">
        <v>-5.7579640000000001E-2</v>
      </c>
      <c r="U3928">
        <v>2.1682739999999999E-2</v>
      </c>
      <c r="V3928">
        <v>2.1905020000000001E-2</v>
      </c>
      <c r="W3928">
        <v>0.18903900000000001</v>
      </c>
      <c r="X3928">
        <v>0.98172519999999996</v>
      </c>
      <c r="Y3928">
        <v>-2.1830920000000002E-3</v>
      </c>
      <c r="Z3928" s="1">
        <v>1.4585760000000001E-5</v>
      </c>
      <c r="AA3928">
        <v>0.99999760000000004</v>
      </c>
      <c r="AB3928">
        <v>45</v>
      </c>
      <c r="AC3928">
        <v>59.084400000000002</v>
      </c>
      <c r="AD3928">
        <v>-1.120877042744</v>
      </c>
      <c r="AE3928">
        <v>0.41999999999998699</v>
      </c>
      <c r="AF3928">
        <v>-0.13008233583686499</v>
      </c>
      <c r="AG3928">
        <v>-1.120877042744</v>
      </c>
      <c r="AH3928">
        <v>59.064493792789598</v>
      </c>
      <c r="AI3928">
        <v>91.087178714616499</v>
      </c>
      <c r="AJ3928">
        <v>90.126186754573396</v>
      </c>
      <c r="AK3928">
        <v>59.075271592752998</v>
      </c>
      <c r="AL3928">
        <v>79.103293022041996</v>
      </c>
      <c r="AM3928">
        <v>88.721783880052698</v>
      </c>
      <c r="AN3928">
        <v>0.99999997086861903</v>
      </c>
    </row>
    <row r="3929" spans="1:40" x14ac:dyDescent="0.25">
      <c r="A3929" t="str">
        <f>"20190303170331454"</f>
        <v>20190303170331454</v>
      </c>
      <c r="B3929" t="str">
        <f>"1551603811448935"</f>
        <v>1551603811448935</v>
      </c>
      <c r="C3929" t="s">
        <v>40</v>
      </c>
      <c r="D3929">
        <v>4.174715</v>
      </c>
      <c r="E3929">
        <v>0.4936411</v>
      </c>
      <c r="F3929" t="s">
        <v>63</v>
      </c>
      <c r="G3929">
        <v>-317.62759999999997</v>
      </c>
      <c r="H3929" s="1">
        <v>4.2881560000000004E-6</v>
      </c>
      <c r="I3929">
        <v>214.62360000000001</v>
      </c>
      <c r="J3929">
        <v>-375.49970000000002</v>
      </c>
      <c r="K3929">
        <v>1.1209070000000001</v>
      </c>
      <c r="L3929">
        <v>214.18379999999999</v>
      </c>
      <c r="M3929">
        <v>0.99988339999999998</v>
      </c>
      <c r="N3929">
        <v>-1.456704E-2</v>
      </c>
      <c r="O3929">
        <v>4.5981559999999999E-3</v>
      </c>
      <c r="P3929">
        <v>0.9843153</v>
      </c>
      <c r="Q3929">
        <v>0.17562759999999999</v>
      </c>
      <c r="R3929">
        <v>-1.6691379999999999E-2</v>
      </c>
      <c r="S3929">
        <v>3.0582579999999999</v>
      </c>
      <c r="T3929">
        <v>-5.8759569999999997E-2</v>
      </c>
      <c r="U3929">
        <v>2.3162840000000001E-2</v>
      </c>
      <c r="V3929">
        <v>2.1402040000000001E-2</v>
      </c>
      <c r="W3929">
        <v>0.18992529999999999</v>
      </c>
      <c r="X3929">
        <v>0.98156520000000003</v>
      </c>
      <c r="Y3929">
        <v>-2.9741440000000002E-3</v>
      </c>
      <c r="Z3929" s="1">
        <v>2.8882710000000001E-5</v>
      </c>
      <c r="AA3929">
        <v>0.99999559999999998</v>
      </c>
      <c r="AB3929">
        <v>45</v>
      </c>
      <c r="AC3929">
        <v>57.872100000000003</v>
      </c>
      <c r="AD3929">
        <v>-1.12090271184399</v>
      </c>
      <c r="AE3929">
        <v>0.43980000000001901</v>
      </c>
      <c r="AF3929">
        <v>-0.173597068365555</v>
      </c>
      <c r="AG3929">
        <v>-1.12090271184399</v>
      </c>
      <c r="AH3929">
        <v>57.851809081107398</v>
      </c>
      <c r="AI3929">
        <v>91.109985527709696</v>
      </c>
      <c r="AJ3929">
        <v>90.171928063406696</v>
      </c>
      <c r="AK3929">
        <v>57.862927447446602</v>
      </c>
      <c r="AL3929">
        <v>79.051574668573593</v>
      </c>
      <c r="AM3929">
        <v>88.750921186465803</v>
      </c>
      <c r="AN3929">
        <v>0.99999995437364397</v>
      </c>
    </row>
    <row r="3930" spans="1:40" x14ac:dyDescent="0.25">
      <c r="A3930" t="str">
        <f>"20190303170331477"</f>
        <v>20190303170331477</v>
      </c>
      <c r="B3930" t="str">
        <f>"1551603811469431"</f>
        <v>1551603811469431</v>
      </c>
      <c r="C3930" t="s">
        <v>40</v>
      </c>
      <c r="D3930">
        <v>4.1592339999999997</v>
      </c>
      <c r="E3930">
        <v>0.49356689999999998</v>
      </c>
      <c r="F3930" t="s">
        <v>63</v>
      </c>
      <c r="G3930">
        <v>-314.649</v>
      </c>
      <c r="H3930" s="1">
        <v>2.9672659999999999E-6</v>
      </c>
      <c r="I3930">
        <v>214.6729</v>
      </c>
      <c r="J3930">
        <v>-375.05259999999998</v>
      </c>
      <c r="K3930">
        <v>1.1209340000000001</v>
      </c>
      <c r="L3930">
        <v>214.18559999999999</v>
      </c>
      <c r="M3930">
        <v>0.99988259999999995</v>
      </c>
      <c r="N3930">
        <v>-1.4701280000000001E-2</v>
      </c>
      <c r="O3930">
        <v>4.3286419999999997E-3</v>
      </c>
      <c r="P3930">
        <v>0.9841953</v>
      </c>
      <c r="Q3930">
        <v>0.1762271</v>
      </c>
      <c r="R3930">
        <v>-1.7424220000000001E-2</v>
      </c>
      <c r="S3930">
        <v>3.0582889999999998</v>
      </c>
      <c r="T3930">
        <v>-5.6335330000000003E-2</v>
      </c>
      <c r="U3930">
        <v>2.4581909999999998E-2</v>
      </c>
      <c r="V3930">
        <v>2.1861720000000001E-2</v>
      </c>
      <c r="W3930">
        <v>0.1906552</v>
      </c>
      <c r="X3930">
        <v>0.9814136</v>
      </c>
      <c r="Y3930">
        <v>-3.7073929999999998E-3</v>
      </c>
      <c r="Z3930" s="1">
        <v>4.5311390000000001E-5</v>
      </c>
      <c r="AA3930">
        <v>0.99999309999999997</v>
      </c>
      <c r="AB3930">
        <v>45</v>
      </c>
      <c r="AC3930">
        <v>60.403599999999898</v>
      </c>
      <c r="AD3930">
        <v>-1.1209310327339901</v>
      </c>
      <c r="AE3930">
        <v>0.48730000000000401</v>
      </c>
      <c r="AF3930">
        <v>-0.22572389580108801</v>
      </c>
      <c r="AG3930">
        <v>-1.1209310327339901</v>
      </c>
      <c r="AH3930">
        <v>60.384350022513502</v>
      </c>
      <c r="AI3930">
        <v>91.0634674891364</v>
      </c>
      <c r="AJ3930">
        <v>90.2141774536002</v>
      </c>
      <c r="AK3930">
        <v>60.395175016707299</v>
      </c>
      <c r="AL3930">
        <v>79.008976586176402</v>
      </c>
      <c r="AM3930">
        <v>88.723904815035397</v>
      </c>
      <c r="AN3930">
        <v>0.99999999717667898</v>
      </c>
    </row>
    <row r="3931" spans="1:40" x14ac:dyDescent="0.25">
      <c r="A3931" t="str">
        <f>"20190303170331498"</f>
        <v>20190303170331498</v>
      </c>
      <c r="B3931" t="str">
        <f>"1551603811488950"</f>
        <v>1551603811488950</v>
      </c>
      <c r="C3931" t="s">
        <v>40</v>
      </c>
      <c r="D3931">
        <v>4.3073230000000002</v>
      </c>
      <c r="E3931">
        <v>0.49353160000000001</v>
      </c>
      <c r="F3931" t="s">
        <v>63</v>
      </c>
      <c r="G3931">
        <v>-311.94549999999998</v>
      </c>
      <c r="H3931" s="1">
        <v>1.7683779999999999E-6</v>
      </c>
      <c r="I3931">
        <v>214.6695</v>
      </c>
      <c r="J3931">
        <v>-374.60759999999999</v>
      </c>
      <c r="K3931">
        <v>1.1209659999999999</v>
      </c>
      <c r="L3931">
        <v>214.18729999999999</v>
      </c>
      <c r="M3931">
        <v>0.99988189999999999</v>
      </c>
      <c r="N3931">
        <v>-1.481731E-2</v>
      </c>
      <c r="O3931">
        <v>4.090995E-3</v>
      </c>
      <c r="P3931">
        <v>0.98415790000000003</v>
      </c>
      <c r="Q3931">
        <v>0.17639549999999901</v>
      </c>
      <c r="R3931">
        <v>-1.7830720000000001E-2</v>
      </c>
      <c r="S3931">
        <v>3.0582889999999998</v>
      </c>
      <c r="T3931">
        <v>-5.4322479999999999E-2</v>
      </c>
      <c r="U3931">
        <v>2.345276E-2</v>
      </c>
      <c r="V3931">
        <v>2.202258E-2</v>
      </c>
      <c r="W3931">
        <v>0.19093879999999999</v>
      </c>
      <c r="X3931">
        <v>0.98135490000000003</v>
      </c>
      <c r="Y3931">
        <v>-3.5759590000000001E-3</v>
      </c>
      <c r="Z3931" s="1">
        <v>4.6215509999999897E-5</v>
      </c>
      <c r="AA3931">
        <v>0.99999360000000004</v>
      </c>
      <c r="AB3931">
        <v>45</v>
      </c>
      <c r="AC3931">
        <v>62.662100000000002</v>
      </c>
      <c r="AD3931">
        <v>-1.1209642316220001</v>
      </c>
      <c r="AE3931">
        <v>0.48220000000000601</v>
      </c>
      <c r="AF3931">
        <v>-0.225745255416815</v>
      </c>
      <c r="AG3931">
        <v>-1.1209642316220001</v>
      </c>
      <c r="AH3931">
        <v>62.643502587983001</v>
      </c>
      <c r="AI3931">
        <v>91.0251541812939</v>
      </c>
      <c r="AJ3931">
        <v>90.206473039616995</v>
      </c>
      <c r="AK3931">
        <v>62.653937930664497</v>
      </c>
      <c r="AL3931">
        <v>78.992423774145493</v>
      </c>
      <c r="AM3931">
        <v>88.714441494713498</v>
      </c>
      <c r="AN3931">
        <v>1.0000000295646501</v>
      </c>
    </row>
    <row r="3932" spans="1:40" x14ac:dyDescent="0.25">
      <c r="A3932" t="str">
        <f>"20190303170331521"</f>
        <v>20190303170331521</v>
      </c>
      <c r="B3932" t="str">
        <f>"1551603811509447"</f>
        <v>1551603811509447</v>
      </c>
      <c r="C3932" t="s">
        <v>40</v>
      </c>
      <c r="D3932">
        <v>4.2526469999999996</v>
      </c>
      <c r="E3932">
        <v>0.49350490000000002</v>
      </c>
      <c r="F3932" t="s">
        <v>63</v>
      </c>
      <c r="G3932">
        <v>-310.86430000000001</v>
      </c>
      <c r="H3932" s="1">
        <v>1.288904E-6</v>
      </c>
      <c r="I3932">
        <v>214.6602</v>
      </c>
      <c r="J3932">
        <v>-374.16730000000001</v>
      </c>
      <c r="K3932">
        <v>1.1210020000000001</v>
      </c>
      <c r="L3932">
        <v>214.18899999999999</v>
      </c>
      <c r="M3932">
        <v>0.99988120000000003</v>
      </c>
      <c r="N3932">
        <v>-1.491659E-2</v>
      </c>
      <c r="O3932">
        <v>3.8855489999999999E-3</v>
      </c>
      <c r="P3932">
        <v>0.98424679999999998</v>
      </c>
      <c r="Q3932">
        <v>0.17596099999999901</v>
      </c>
      <c r="R3932">
        <v>-1.7212000000000002E-2</v>
      </c>
      <c r="S3932">
        <v>3.0583800000000001</v>
      </c>
      <c r="T3932">
        <v>-5.3783419999999998E-2</v>
      </c>
      <c r="U3932">
        <v>2.2689819999999999E-2</v>
      </c>
      <c r="V3932">
        <v>2.1188390000000001E-2</v>
      </c>
      <c r="W3932">
        <v>0.1906051</v>
      </c>
      <c r="X3932">
        <v>0.98143809999999998</v>
      </c>
      <c r="Y3932">
        <v>-3.5317719999999999E-3</v>
      </c>
      <c r="Z3932" s="1">
        <v>4.7036020000000003E-5</v>
      </c>
      <c r="AA3932">
        <v>0.99999369999999999</v>
      </c>
      <c r="AB3932">
        <v>45</v>
      </c>
      <c r="AC3932">
        <v>63.302999999999997</v>
      </c>
      <c r="AD3932">
        <v>-1.1210007110959901</v>
      </c>
      <c r="AE3932">
        <v>0.47119999999998102</v>
      </c>
      <c r="AF3932">
        <v>-0.2251315716625</v>
      </c>
      <c r="AG3932">
        <v>-1.1210007110959901</v>
      </c>
      <c r="AH3932">
        <v>63.284508773329797</v>
      </c>
      <c r="AI3932">
        <v>91.0148058038275</v>
      </c>
      <c r="AJ3932">
        <v>90.203826097843006</v>
      </c>
      <c r="AK3932">
        <v>63.294836894493201</v>
      </c>
      <c r="AL3932">
        <v>79.011900737836697</v>
      </c>
      <c r="AM3932">
        <v>88.763226369181695</v>
      </c>
      <c r="AN3932">
        <v>0.99999999807420503</v>
      </c>
    </row>
    <row r="3933" spans="1:40" x14ac:dyDescent="0.25">
      <c r="A3933" t="str">
        <f>"20190303170331543"</f>
        <v>20190303170331543</v>
      </c>
      <c r="B3933" t="str">
        <f>"1551603811528966"</f>
        <v>1551603811528966</v>
      </c>
      <c r="C3933" t="s">
        <v>40</v>
      </c>
      <c r="D3933">
        <v>4.1919550000000001</v>
      </c>
      <c r="E3933">
        <v>0.4934907</v>
      </c>
      <c r="F3933" t="s">
        <v>63</v>
      </c>
      <c r="G3933">
        <v>-311.80900000000003</v>
      </c>
      <c r="H3933" s="1">
        <v>1.707861E-6</v>
      </c>
      <c r="I3933">
        <v>214.68620000000001</v>
      </c>
      <c r="J3933">
        <v>-373.7167</v>
      </c>
      <c r="K3933">
        <v>1.1210439999999999</v>
      </c>
      <c r="L3933">
        <v>214.19059999999999</v>
      </c>
      <c r="M3933">
        <v>0.99988069999999896</v>
      </c>
      <c r="N3933">
        <v>-1.500426E-2</v>
      </c>
      <c r="O3933">
        <v>3.712529E-3</v>
      </c>
      <c r="P3933">
        <v>0.98406950000000004</v>
      </c>
      <c r="Q3933">
        <v>0.1769829</v>
      </c>
      <c r="R3933">
        <v>-1.686934E-2</v>
      </c>
      <c r="S3933">
        <v>3.0582280000000002</v>
      </c>
      <c r="T3933">
        <v>-5.4977060000000001E-2</v>
      </c>
      <c r="U3933">
        <v>2.4383539999999999E-2</v>
      </c>
      <c r="V3933">
        <v>2.0660330000000001E-2</v>
      </c>
      <c r="W3933">
        <v>0.19171250000000001</v>
      </c>
      <c r="X3933">
        <v>0.98123369999999999</v>
      </c>
      <c r="Y3933">
        <v>-4.2587149999999997E-3</v>
      </c>
      <c r="Z3933" s="1">
        <v>5.9204820000000001E-5</v>
      </c>
      <c r="AA3933">
        <v>0.99999090000000002</v>
      </c>
      <c r="AB3933">
        <v>45</v>
      </c>
      <c r="AC3933">
        <v>61.907699999999899</v>
      </c>
      <c r="AD3933">
        <v>-1.121042292139</v>
      </c>
      <c r="AE3933">
        <v>0.49560000000002402</v>
      </c>
      <c r="AF3933">
        <v>-0.26564951065820103</v>
      </c>
      <c r="AG3933">
        <v>-1.121042292139</v>
      </c>
      <c r="AH3933">
        <v>61.888820743452598</v>
      </c>
      <c r="AI3933">
        <v>91.037721775178795</v>
      </c>
      <c r="AJ3933">
        <v>90.245932983239598</v>
      </c>
      <c r="AK3933">
        <v>61.899543120272597</v>
      </c>
      <c r="AL3933">
        <v>78.947259957980904</v>
      </c>
      <c r="AM3933">
        <v>88.793789056286599</v>
      </c>
      <c r="AN3933">
        <v>1.00000005295382</v>
      </c>
    </row>
    <row r="3934" spans="1:40" x14ac:dyDescent="0.25">
      <c r="A3934" t="str">
        <f>"20190303170331566"</f>
        <v>20190303170331566</v>
      </c>
      <c r="B3934" t="str">
        <f>"1551603811559222"</f>
        <v>1551603811559222</v>
      </c>
      <c r="C3934" t="s">
        <v>40</v>
      </c>
      <c r="D3934">
        <v>4.1911329999999998</v>
      </c>
      <c r="E3934">
        <v>0.49346640000000003</v>
      </c>
      <c r="F3934" t="s">
        <v>63</v>
      </c>
      <c r="G3934">
        <v>-307.26920000000001</v>
      </c>
      <c r="H3934" s="1">
        <v>1.363824E-6</v>
      </c>
      <c r="I3934">
        <v>214.73660000000001</v>
      </c>
      <c r="J3934">
        <v>-373.24560000000002</v>
      </c>
      <c r="K3934">
        <v>1.1211009999999999</v>
      </c>
      <c r="L3934">
        <v>214.19220000000001</v>
      </c>
      <c r="M3934">
        <v>0.99987990000000004</v>
      </c>
      <c r="N3934">
        <v>-1.508262E-2</v>
      </c>
      <c r="O3934">
        <v>3.575871E-3</v>
      </c>
      <c r="P3934">
        <v>0.98384079999999996</v>
      </c>
      <c r="Q3934">
        <v>0.17824389999999901</v>
      </c>
      <c r="R3934">
        <v>-1.6928149999999999E-2</v>
      </c>
      <c r="S3934">
        <v>3.0583499999999999</v>
      </c>
      <c r="T3934">
        <v>-5.1597709999999998E-2</v>
      </c>
      <c r="U3934">
        <v>2.5131230000000001E-2</v>
      </c>
      <c r="V3934">
        <v>2.0566439999999998E-2</v>
      </c>
      <c r="W3934">
        <v>0.1930489</v>
      </c>
      <c r="X3934">
        <v>0.9809736</v>
      </c>
      <c r="Y3934">
        <v>-4.6395189999999999E-3</v>
      </c>
      <c r="Z3934" s="1">
        <v>6.7741109999999995E-5</v>
      </c>
      <c r="AA3934">
        <v>0.99998920000000002</v>
      </c>
      <c r="AB3934">
        <v>45</v>
      </c>
      <c r="AC3934">
        <v>65.976399999999998</v>
      </c>
      <c r="AD3934">
        <v>-1.1210996361759999</v>
      </c>
      <c r="AE3934">
        <v>0.544399999999996</v>
      </c>
      <c r="AF3934">
        <v>-0.30835756431925498</v>
      </c>
      <c r="AG3934">
        <v>-1.1210996361759999</v>
      </c>
      <c r="AH3934">
        <v>65.958881156237794</v>
      </c>
      <c r="AI3934">
        <v>90.973748949460898</v>
      </c>
      <c r="AJ3934">
        <v>90.267855639703498</v>
      </c>
      <c r="AK3934">
        <v>65.969128781305002</v>
      </c>
      <c r="AL3934">
        <v>78.869232090937302</v>
      </c>
      <c r="AM3934">
        <v>88.798950748408203</v>
      </c>
      <c r="AN3934">
        <v>1.00000003007122</v>
      </c>
    </row>
    <row r="3935" spans="1:40" x14ac:dyDescent="0.25">
      <c r="A3935" t="str">
        <f>"20190303170331587"</f>
        <v>20190303170331587</v>
      </c>
      <c r="B3935" t="str">
        <f>"1551603811579719"</f>
        <v>1551603811579719</v>
      </c>
      <c r="C3935" t="s">
        <v>40</v>
      </c>
      <c r="D3935">
        <v>4.190779</v>
      </c>
      <c r="E3935">
        <v>0.493483</v>
      </c>
      <c r="F3935" t="s">
        <v>63</v>
      </c>
      <c r="G3935">
        <v>-301.06060000000002</v>
      </c>
      <c r="H3935" s="1">
        <v>2.4651299999999999E-6</v>
      </c>
      <c r="I3935">
        <v>214.81739999999999</v>
      </c>
      <c r="J3935">
        <v>-372.81079999999997</v>
      </c>
      <c r="K3935">
        <v>1.121151</v>
      </c>
      <c r="L3935">
        <v>214.19370000000001</v>
      </c>
      <c r="M3935">
        <v>0.99987930000000003</v>
      </c>
      <c r="N3935">
        <v>-1.514457E-2</v>
      </c>
      <c r="O3935">
        <v>3.4866820000000001E-3</v>
      </c>
      <c r="P3935">
        <v>0.98389789999999999</v>
      </c>
      <c r="Q3935">
        <v>0.17790120000000001</v>
      </c>
      <c r="R3935">
        <v>-1.721137E-2</v>
      </c>
      <c r="S3935">
        <v>3.0583499999999999</v>
      </c>
      <c r="T3935">
        <v>-4.7498940000000003E-2</v>
      </c>
      <c r="U3935">
        <v>2.6489260000000001E-2</v>
      </c>
      <c r="V3935">
        <v>2.0744729999999999E-2</v>
      </c>
      <c r="W3935">
        <v>0.19276960000000001</v>
      </c>
      <c r="X3935">
        <v>0.98102469999999997</v>
      </c>
      <c r="Y3935">
        <v>-5.1727320000000002E-3</v>
      </c>
      <c r="Z3935" s="1">
        <v>7.8002219999999896E-5</v>
      </c>
      <c r="AA3935">
        <v>0.99998659999999995</v>
      </c>
      <c r="AB3935">
        <v>45</v>
      </c>
      <c r="AC3935">
        <v>71.750199999999893</v>
      </c>
      <c r="AD3935">
        <v>-1.1211485348700001</v>
      </c>
      <c r="AE3935">
        <v>0.62369999999998504</v>
      </c>
      <c r="AF3935">
        <v>-0.37340623400315998</v>
      </c>
      <c r="AG3935">
        <v>-1.1211485348700001</v>
      </c>
      <c r="AH3935">
        <v>71.734425081622206</v>
      </c>
      <c r="AI3935">
        <v>90.895399656179094</v>
      </c>
      <c r="AJ3935">
        <v>90.298244643263104</v>
      </c>
      <c r="AK3935">
        <v>71.744157588222507</v>
      </c>
      <c r="AL3935">
        <v>78.885540377785603</v>
      </c>
      <c r="AM3935">
        <v>88.788605053484005</v>
      </c>
      <c r="AN3935">
        <v>0.99999996225850996</v>
      </c>
    </row>
    <row r="3936" spans="1:40" x14ac:dyDescent="0.25">
      <c r="A3936" t="str">
        <f>"20190303170331609"</f>
        <v>20190303170331609</v>
      </c>
      <c r="B3936" t="str">
        <f>"1551603811599238"</f>
        <v>1551603811599238</v>
      </c>
      <c r="C3936" t="s">
        <v>40</v>
      </c>
      <c r="D3936">
        <v>4.1249609999999999</v>
      </c>
      <c r="E3936">
        <v>0.49345060000000002</v>
      </c>
      <c r="F3936" t="s">
        <v>63</v>
      </c>
      <c r="G3936">
        <v>-301.96030000000002</v>
      </c>
      <c r="H3936" s="1">
        <v>2.3055300000000002E-6</v>
      </c>
      <c r="I3936">
        <v>214.79140000000001</v>
      </c>
      <c r="J3936">
        <v>-372.3766</v>
      </c>
      <c r="K3936">
        <v>1.1211880000000001</v>
      </c>
      <c r="L3936">
        <v>214.1951</v>
      </c>
      <c r="M3936">
        <v>0.99987870000000001</v>
      </c>
      <c r="N3936">
        <v>-1.5197520000000001E-2</v>
      </c>
      <c r="O3936">
        <v>3.4288890000000001E-3</v>
      </c>
      <c r="P3936">
        <v>0.98395719999999998</v>
      </c>
      <c r="Q3936">
        <v>0.17756859999999999</v>
      </c>
      <c r="R3936">
        <v>-1.7251579999999999E-2</v>
      </c>
      <c r="S3936">
        <v>3.0582889999999998</v>
      </c>
      <c r="T3936">
        <v>-4.8394800000000002E-2</v>
      </c>
      <c r="U3936">
        <v>2.580261E-2</v>
      </c>
      <c r="V3936">
        <v>2.071162E-2</v>
      </c>
      <c r="W3936">
        <v>0.19249160000000001</v>
      </c>
      <c r="X3936">
        <v>0.98107999999999995</v>
      </c>
      <c r="Y3936">
        <v>-5.0062040000000002E-3</v>
      </c>
      <c r="Z3936" s="1">
        <v>7.5512999999999993E-5</v>
      </c>
      <c r="AA3936">
        <v>0.99998750000000003</v>
      </c>
      <c r="AB3936">
        <v>45</v>
      </c>
      <c r="AC3936">
        <v>70.416299999999893</v>
      </c>
      <c r="AD3936">
        <v>-1.1211856944699901</v>
      </c>
      <c r="AE3936">
        <v>0.59630000000001304</v>
      </c>
      <c r="AF3936">
        <v>-0.35472902203621598</v>
      </c>
      <c r="AG3936">
        <v>-1.1211856944699901</v>
      </c>
      <c r="AH3936">
        <v>70.400084429254306</v>
      </c>
      <c r="AI3936">
        <v>90.912398945644497</v>
      </c>
      <c r="AJ3936">
        <v>90.288697151349197</v>
      </c>
      <c r="AK3936">
        <v>70.409905394672293</v>
      </c>
      <c r="AL3936">
        <v>78.901772776961494</v>
      </c>
      <c r="AM3936">
        <v>88.790606100279007</v>
      </c>
      <c r="AN3936">
        <v>0.99999997683679098</v>
      </c>
    </row>
    <row r="3937" spans="1:40" x14ac:dyDescent="0.25">
      <c r="A3937" t="str">
        <f>"20190303170331633"</f>
        <v>20190303170331633</v>
      </c>
      <c r="B3937" t="str">
        <f>"1551603811619735"</f>
        <v>1551603811619735</v>
      </c>
      <c r="C3937" t="s">
        <v>40</v>
      </c>
      <c r="D3937">
        <v>4.0446489999999997</v>
      </c>
      <c r="E3937">
        <v>0.49341089999999999</v>
      </c>
      <c r="F3937" t="s">
        <v>63</v>
      </c>
      <c r="G3937">
        <v>-302.37290000000002</v>
      </c>
      <c r="H3937" s="1">
        <v>2.2323499999999999E-6</v>
      </c>
      <c r="I3937">
        <v>214.79589999999999</v>
      </c>
      <c r="J3937">
        <v>-371.91829999999999</v>
      </c>
      <c r="K3937">
        <v>1.1212359999999999</v>
      </c>
      <c r="L3937">
        <v>214.19669999999999</v>
      </c>
      <c r="M3937">
        <v>0.99987800000000004</v>
      </c>
      <c r="N3937">
        <v>-1.524529E-2</v>
      </c>
      <c r="O3937">
        <v>3.404027E-3</v>
      </c>
      <c r="P3937">
        <v>0.9839078</v>
      </c>
      <c r="Q3937">
        <v>0.1778361</v>
      </c>
      <c r="R3937">
        <v>-1.7321070000000001E-2</v>
      </c>
      <c r="S3937">
        <v>3.0581670000000001</v>
      </c>
      <c r="T3937">
        <v>-4.8979880000000003E-2</v>
      </c>
      <c r="U3937">
        <v>2.624512E-2</v>
      </c>
      <c r="V3937">
        <v>2.0738469999999998E-2</v>
      </c>
      <c r="W3937">
        <v>0.19280700000000001</v>
      </c>
      <c r="X3937">
        <v>0.98101749999999999</v>
      </c>
      <c r="Y3937">
        <v>-5.1760199999999999E-3</v>
      </c>
      <c r="Z3937" s="1">
        <v>7.8292430000000005E-5</v>
      </c>
      <c r="AA3937">
        <v>0.99998659999999995</v>
      </c>
      <c r="AB3937">
        <v>45</v>
      </c>
      <c r="AC3937">
        <v>69.545399999999901</v>
      </c>
      <c r="AD3937">
        <v>-1.1212337676499999</v>
      </c>
      <c r="AE3937">
        <v>0.59919999999999596</v>
      </c>
      <c r="AF3937">
        <v>-0.36234041924594701</v>
      </c>
      <c r="AG3937">
        <v>-1.1212337676499999</v>
      </c>
      <c r="AH3937">
        <v>69.528965624461804</v>
      </c>
      <c r="AI3937">
        <v>90.923867084201703</v>
      </c>
      <c r="AJ3937">
        <v>90.298586188446507</v>
      </c>
      <c r="AK3937">
        <v>69.538949636507496</v>
      </c>
      <c r="AL3937">
        <v>78.8833567400943</v>
      </c>
      <c r="AM3937">
        <v>88.788961613761401</v>
      </c>
      <c r="AN3937">
        <v>0.99999997934659501</v>
      </c>
    </row>
    <row r="3938" spans="1:40" x14ac:dyDescent="0.25">
      <c r="A3938" t="str">
        <f>"20190303170331658"</f>
        <v>20190303170331658</v>
      </c>
      <c r="B3938" t="str">
        <f>"1551603811649014"</f>
        <v>1551603811649014</v>
      </c>
      <c r="C3938" t="s">
        <v>40</v>
      </c>
      <c r="D3938">
        <v>4.0419780000000003</v>
      </c>
      <c r="E3938">
        <v>0.49332999999999999</v>
      </c>
      <c r="F3938" t="s">
        <v>63</v>
      </c>
      <c r="G3938">
        <v>-299.8535</v>
      </c>
      <c r="H3938" s="1">
        <v>2.6422650000000002E-6</v>
      </c>
      <c r="I3938">
        <v>214.8109</v>
      </c>
      <c r="J3938">
        <v>-371.4144</v>
      </c>
      <c r="K3938">
        <v>1.1212930000000001</v>
      </c>
      <c r="L3938">
        <v>214.19839999999999</v>
      </c>
      <c r="M3938">
        <v>0.99987729999999997</v>
      </c>
      <c r="N3938">
        <v>-1.528914E-2</v>
      </c>
      <c r="O3938">
        <v>3.4319939999999998E-3</v>
      </c>
      <c r="P3938">
        <v>0.98375639999999998</v>
      </c>
      <c r="Q3938">
        <v>0.1786682</v>
      </c>
      <c r="R3938">
        <v>-1.7364259999999999E-2</v>
      </c>
      <c r="S3938">
        <v>3.0581049999999999</v>
      </c>
      <c r="T3938">
        <v>-4.7580119999999997E-2</v>
      </c>
      <c r="U3938">
        <v>2.606201E-2</v>
      </c>
      <c r="V3938">
        <v>2.0786760000000001E-2</v>
      </c>
      <c r="W3938">
        <v>0.1936823</v>
      </c>
      <c r="X3938">
        <v>0.9808441</v>
      </c>
      <c r="Y3938">
        <v>-5.0884240000000002E-3</v>
      </c>
      <c r="Z3938" s="1">
        <v>7.7569619999999897E-5</v>
      </c>
      <c r="AA3938">
        <v>0.99998710000000002</v>
      </c>
      <c r="AB3938">
        <v>45</v>
      </c>
      <c r="AC3938">
        <v>71.560900000000004</v>
      </c>
      <c r="AD3938">
        <v>-1.121290357735</v>
      </c>
      <c r="AE3938">
        <v>0.61250000000001104</v>
      </c>
      <c r="AF3938">
        <v>-0.366781076013517</v>
      </c>
      <c r="AG3938">
        <v>-1.121290357735</v>
      </c>
      <c r="AH3938">
        <v>71.545016446045196</v>
      </c>
      <c r="AI3938">
        <v>90.897883667131296</v>
      </c>
      <c r="AJ3938">
        <v>90.2937286844505</v>
      </c>
      <c r="AK3938">
        <v>71.5547426708318</v>
      </c>
      <c r="AL3938">
        <v>78.832242900762694</v>
      </c>
      <c r="AM3938">
        <v>88.785927996624594</v>
      </c>
      <c r="AN3938">
        <v>1.0000000356146901</v>
      </c>
    </row>
    <row r="3939" spans="1:40" x14ac:dyDescent="0.25">
      <c r="A3939" t="str">
        <f>"20190303170331678"</f>
        <v>20190303170331678</v>
      </c>
      <c r="B3939" t="str">
        <f>"1551603811669510"</f>
        <v>1551603811669510</v>
      </c>
      <c r="C3939" t="s">
        <v>40</v>
      </c>
      <c r="D3939">
        <v>3.995352</v>
      </c>
      <c r="E3939">
        <v>0.49333169999999998</v>
      </c>
      <c r="F3939" t="s">
        <v>63</v>
      </c>
      <c r="G3939">
        <v>-293.16230000000002</v>
      </c>
      <c r="H3939" s="1">
        <v>1.455344E-6</v>
      </c>
      <c r="I3939">
        <v>214.8732</v>
      </c>
      <c r="J3939">
        <v>-371.01249999999999</v>
      </c>
      <c r="K3939">
        <v>1.1213379999999999</v>
      </c>
      <c r="L3939">
        <v>214.19980000000001</v>
      </c>
      <c r="M3939">
        <v>0.9998766</v>
      </c>
      <c r="N3939">
        <v>-1.5318699999999999E-2</v>
      </c>
      <c r="O3939">
        <v>3.4973560000000001E-3</v>
      </c>
      <c r="P3939">
        <v>0.98353429999999997</v>
      </c>
      <c r="Q3939">
        <v>0.17989260000000001</v>
      </c>
      <c r="R3939">
        <v>-1.7289430000000001E-2</v>
      </c>
      <c r="S3939">
        <v>3.057922</v>
      </c>
      <c r="T3939">
        <v>-4.3817639999999998E-2</v>
      </c>
      <c r="U3939">
        <v>2.6367189999999999E-2</v>
      </c>
      <c r="V3939">
        <v>2.075577E-2</v>
      </c>
      <c r="W3939">
        <v>0.194934</v>
      </c>
      <c r="X3939">
        <v>0.98059669999999999</v>
      </c>
      <c r="Y3939">
        <v>-5.1234870000000004E-3</v>
      </c>
      <c r="Z3939" s="1">
        <v>7.9421949999999996E-5</v>
      </c>
      <c r="AA3939">
        <v>0.99998690000000001</v>
      </c>
      <c r="AB3939">
        <v>45</v>
      </c>
      <c r="AC3939">
        <v>77.850199999999901</v>
      </c>
      <c r="AD3939">
        <v>-1.121336544656</v>
      </c>
      <c r="AE3939">
        <v>0.67339999999998601</v>
      </c>
      <c r="AF3939">
        <v>-0.401010889127632</v>
      </c>
      <c r="AG3939">
        <v>-1.121336544656</v>
      </c>
      <c r="AH3939">
        <v>77.835931862537706</v>
      </c>
      <c r="AI3939">
        <v>90.825358586911094</v>
      </c>
      <c r="AJ3939">
        <v>90.295185368148594</v>
      </c>
      <c r="AK3939">
        <v>77.845041552363497</v>
      </c>
      <c r="AL3939">
        <v>78.759131657400303</v>
      </c>
      <c r="AM3939">
        <v>88.787431701862801</v>
      </c>
      <c r="AN3939">
        <v>0.99999997719759104</v>
      </c>
    </row>
    <row r="3940" spans="1:40" x14ac:dyDescent="0.25">
      <c r="A3940" t="str">
        <f>"20190303170331699"</f>
        <v>20190303170331699</v>
      </c>
      <c r="B3940" t="str">
        <f>"1551603811689030"</f>
        <v>1551603811689030</v>
      </c>
      <c r="C3940" t="s">
        <v>40</v>
      </c>
      <c r="D3940">
        <v>4.0793819999999998</v>
      </c>
      <c r="E3940">
        <v>0.49328300000000003</v>
      </c>
      <c r="F3940" t="s">
        <v>63</v>
      </c>
      <c r="G3940">
        <v>-284.78969999999998</v>
      </c>
      <c r="H3940" s="1">
        <v>4.9269820000000004E-6</v>
      </c>
      <c r="I3940">
        <v>214.95099999999999</v>
      </c>
      <c r="J3940">
        <v>-370.58429999999998</v>
      </c>
      <c r="K3940">
        <v>1.1213949999999999</v>
      </c>
      <c r="L3940">
        <v>214.20140000000001</v>
      </c>
      <c r="M3940">
        <v>0.99987579999999998</v>
      </c>
      <c r="N3940">
        <v>-1.534574E-2</v>
      </c>
      <c r="O3940">
        <v>3.6035220000000001E-3</v>
      </c>
      <c r="P3940">
        <v>0.98358100000000004</v>
      </c>
      <c r="Q3940">
        <v>0.17959510000000001</v>
      </c>
      <c r="R3940">
        <v>-1.7722459999999999E-2</v>
      </c>
      <c r="S3940">
        <v>3.0579830000000001</v>
      </c>
      <c r="T3940">
        <v>-3.9769289999999999E-2</v>
      </c>
      <c r="U3940">
        <v>2.6641850000000002E-2</v>
      </c>
      <c r="V3940">
        <v>2.127107E-2</v>
      </c>
      <c r="W3940">
        <v>0.19466600000000001</v>
      </c>
      <c r="X3940">
        <v>0.98063889999999998</v>
      </c>
      <c r="Y3940">
        <v>-5.1070990000000004E-3</v>
      </c>
      <c r="Z3940" s="1">
        <v>8.0840520000000001E-5</v>
      </c>
      <c r="AA3940">
        <v>0.99998690000000001</v>
      </c>
      <c r="AB3940">
        <v>45</v>
      </c>
      <c r="AC3940">
        <v>85.794600000000003</v>
      </c>
      <c r="AD3940">
        <v>-1.121390073018</v>
      </c>
      <c r="AE3940">
        <v>0.74959999999998606</v>
      </c>
      <c r="AF3940">
        <v>-0.44032078923968998</v>
      </c>
      <c r="AG3940">
        <v>-1.121390073018</v>
      </c>
      <c r="AH3940">
        <v>85.782090321014394</v>
      </c>
      <c r="AI3940">
        <v>90.748949020187794</v>
      </c>
      <c r="AJ3940">
        <v>90.294097534718205</v>
      </c>
      <c r="AK3940">
        <v>85.790549700628304</v>
      </c>
      <c r="AL3940">
        <v>78.774786877367603</v>
      </c>
      <c r="AM3940">
        <v>88.757390257661399</v>
      </c>
      <c r="AN3940">
        <v>0.99999998108407695</v>
      </c>
    </row>
    <row r="3941" spans="1:40" x14ac:dyDescent="0.25">
      <c r="A3941" t="str">
        <f>"20190303170331721"</f>
        <v>20190303170331721</v>
      </c>
      <c r="B3941" t="str">
        <f>"1551603811709526"</f>
        <v>1551603811709526</v>
      </c>
      <c r="C3941" t="s">
        <v>40</v>
      </c>
      <c r="D3941">
        <v>4.1375260000000003</v>
      </c>
      <c r="E3941">
        <v>0.49388270000000001</v>
      </c>
      <c r="F3941" t="s">
        <v>89</v>
      </c>
      <c r="G3941">
        <v>-107.39749999999999</v>
      </c>
      <c r="H3941">
        <v>3.431381</v>
      </c>
      <c r="I3941">
        <v>216.22280000000001</v>
      </c>
      <c r="J3941">
        <v>-370.15199999999999</v>
      </c>
      <c r="K3941">
        <v>1.121451</v>
      </c>
      <c r="L3941">
        <v>214.20310000000001</v>
      </c>
      <c r="M3941">
        <v>0.99987499999999996</v>
      </c>
      <c r="N3941">
        <v>-1.5368669999999999E-2</v>
      </c>
      <c r="O3941">
        <v>3.7482909999999999E-3</v>
      </c>
      <c r="P3941">
        <v>0.98359439999999998</v>
      </c>
      <c r="Q3941">
        <v>0.1794838</v>
      </c>
      <c r="R3941">
        <v>-1.8116070000000001E-2</v>
      </c>
      <c r="S3941">
        <v>3.0456240000000001</v>
      </c>
      <c r="T3941">
        <v>2.6731970000000001E-2</v>
      </c>
      <c r="U3941">
        <v>2.3391720000000001E-2</v>
      </c>
      <c r="V3941">
        <v>2.178445E-2</v>
      </c>
      <c r="W3941">
        <v>0.19458</v>
      </c>
      <c r="X3941">
        <v>0.98064470000000004</v>
      </c>
      <c r="Y3941">
        <v>-3.932741E-3</v>
      </c>
      <c r="Z3941">
        <v>1.0346780000000001E-4</v>
      </c>
      <c r="AA3941">
        <v>0.99999229999999995</v>
      </c>
      <c r="AB3941">
        <v>45</v>
      </c>
      <c r="AC3941">
        <v>262.75450000000001</v>
      </c>
      <c r="AD3941">
        <v>2.30993</v>
      </c>
      <c r="AE3941">
        <v>2.0196999999999998</v>
      </c>
      <c r="AF3941">
        <v>-1.0346093212432299</v>
      </c>
      <c r="AG3941">
        <v>2.30993</v>
      </c>
      <c r="AH3941">
        <v>262.739920312111</v>
      </c>
      <c r="AI3941">
        <v>89.496289699619297</v>
      </c>
      <c r="AJ3941">
        <v>90.225616423617197</v>
      </c>
      <c r="AK3941">
        <v>262.75211115929602</v>
      </c>
      <c r="AL3941">
        <v>78.779810396664899</v>
      </c>
      <c r="AM3941">
        <v>88.727416982784902</v>
      </c>
      <c r="AN3941">
        <v>0.99999998314994598</v>
      </c>
    </row>
    <row r="3942" spans="1:40" x14ac:dyDescent="0.25">
      <c r="A3942" t="str">
        <f>"20190303170331744"</f>
        <v>20190303170331744</v>
      </c>
      <c r="B3942" t="str">
        <f>"1551603811739783"</f>
        <v>1551603811739783</v>
      </c>
      <c r="C3942" t="s">
        <v>40</v>
      </c>
      <c r="D3942">
        <v>4.0768149999999999</v>
      </c>
      <c r="E3942">
        <v>0.49369220000000003</v>
      </c>
      <c r="F3942" t="s">
        <v>89</v>
      </c>
      <c r="G3942">
        <v>-107.39749999999999</v>
      </c>
      <c r="H3942">
        <v>3.089626</v>
      </c>
      <c r="I3942">
        <v>215.72200000000001</v>
      </c>
      <c r="J3942">
        <v>-369.68200000000002</v>
      </c>
      <c r="K3942">
        <v>1.1215120000000001</v>
      </c>
      <c r="L3942">
        <v>214.20500000000001</v>
      </c>
      <c r="M3942">
        <v>0.99987380000000003</v>
      </c>
      <c r="N3942">
        <v>-1.5389160000000001E-2</v>
      </c>
      <c r="O3942">
        <v>3.9475909999999899E-3</v>
      </c>
      <c r="P3942">
        <v>0.9834965</v>
      </c>
      <c r="Q3942">
        <v>0.18006179999999999</v>
      </c>
      <c r="R3942">
        <v>-1.767405E-2</v>
      </c>
      <c r="S3942">
        <v>3.046173</v>
      </c>
      <c r="T3942">
        <v>2.2818089999999999E-2</v>
      </c>
      <c r="U3942">
        <v>1.7608639999999998E-2</v>
      </c>
      <c r="V3942">
        <v>2.151438E-2</v>
      </c>
      <c r="W3942">
        <v>0.19517909999999999</v>
      </c>
      <c r="X3942">
        <v>0.98053159999999895</v>
      </c>
      <c r="Y3942">
        <v>-1.833531E-3</v>
      </c>
      <c r="Z3942" s="1">
        <v>9.7562379999999998E-5</v>
      </c>
      <c r="AA3942">
        <v>0.99999830000000001</v>
      </c>
      <c r="AB3942">
        <v>45</v>
      </c>
      <c r="AC3942">
        <v>262.28449999999998</v>
      </c>
      <c r="AD3942">
        <v>1.9681139999999999</v>
      </c>
      <c r="AE3942">
        <v>1.5169999999999899</v>
      </c>
      <c r="AF3942">
        <v>-0.48144652550098699</v>
      </c>
      <c r="AG3942">
        <v>1.9681139999999999</v>
      </c>
      <c r="AH3942">
        <v>262.27367795356099</v>
      </c>
      <c r="AI3942">
        <v>89.570058573340106</v>
      </c>
      <c r="AJ3942">
        <v>90.105175720277501</v>
      </c>
      <c r="AK3942">
        <v>262.28150413394002</v>
      </c>
      <c r="AL3942">
        <v>78.744813515884502</v>
      </c>
      <c r="AM3942">
        <v>88.743043658695797</v>
      </c>
      <c r="AN3942">
        <v>0.99999998411107605</v>
      </c>
    </row>
    <row r="3943" spans="1:40" x14ac:dyDescent="0.25">
      <c r="A3943" t="str">
        <f>"20190303170331767"</f>
        <v>20190303170331767</v>
      </c>
      <c r="B3943" t="str">
        <f>"1551603811759303"</f>
        <v>1551603811759303</v>
      </c>
      <c r="C3943" t="s">
        <v>40</v>
      </c>
      <c r="D3943">
        <v>4.0704739999999999</v>
      </c>
      <c r="E3943">
        <v>0.49357869999999998</v>
      </c>
      <c r="F3943" t="s">
        <v>89</v>
      </c>
      <c r="G3943">
        <v>-107.39749999999999</v>
      </c>
      <c r="H3943">
        <v>3.0934819999999998</v>
      </c>
      <c r="I3943">
        <v>215.89699999999999</v>
      </c>
      <c r="J3943">
        <v>-369.22710000000001</v>
      </c>
      <c r="K3943">
        <v>1.1215710000000001</v>
      </c>
      <c r="L3943">
        <v>214.20699999999999</v>
      </c>
      <c r="M3943">
        <v>0.99987269999999995</v>
      </c>
      <c r="N3943">
        <v>-1.540529E-2</v>
      </c>
      <c r="O3943">
        <v>4.1742280000000003E-3</v>
      </c>
      <c r="P3943">
        <v>0.98325870000000004</v>
      </c>
      <c r="Q3943">
        <v>0.18144660000000001</v>
      </c>
      <c r="R3943">
        <v>-1.6717059999999999E-2</v>
      </c>
      <c r="S3943">
        <v>3.0465089999999999</v>
      </c>
      <c r="T3943">
        <v>2.290559E-2</v>
      </c>
      <c r="U3943">
        <v>1.9653319999999998E-2</v>
      </c>
      <c r="V3943">
        <v>2.0757919999999999E-2</v>
      </c>
      <c r="W3943">
        <v>0.19657820000000001</v>
      </c>
      <c r="X3943">
        <v>0.98026840000000004</v>
      </c>
      <c r="Y3943">
        <v>-2.2774340000000001E-3</v>
      </c>
      <c r="Z3943">
        <v>1.046713E-4</v>
      </c>
      <c r="AA3943">
        <v>0.99999740000000004</v>
      </c>
      <c r="AB3943">
        <v>45</v>
      </c>
      <c r="AC3943">
        <v>261.82960000000003</v>
      </c>
      <c r="AD3943">
        <v>1.971911</v>
      </c>
      <c r="AE3943">
        <v>1.6900000000000199</v>
      </c>
      <c r="AF3943">
        <v>-0.59688534821491701</v>
      </c>
      <c r="AG3943">
        <v>1.971911</v>
      </c>
      <c r="AH3943">
        <v>261.819523832041</v>
      </c>
      <c r="AI3943">
        <v>89.568482340713501</v>
      </c>
      <c r="AJ3943">
        <v>90.130620327919203</v>
      </c>
      <c r="AK3943">
        <v>261.82762987268399</v>
      </c>
      <c r="AL3943">
        <v>78.663067682298603</v>
      </c>
      <c r="AM3943">
        <v>88.786900114823197</v>
      </c>
      <c r="AN3943">
        <v>1.0000000079982601</v>
      </c>
    </row>
    <row r="3944" spans="1:40" x14ac:dyDescent="0.25">
      <c r="A3944" t="str">
        <f>"20190303170331788"</f>
        <v>20190303170331788</v>
      </c>
      <c r="B3944" t="str">
        <f>"1551603811779799"</f>
        <v>1551603811779799</v>
      </c>
      <c r="C3944" t="s">
        <v>40</v>
      </c>
      <c r="D3944">
        <v>4.1947720000000004</v>
      </c>
      <c r="E3944">
        <v>0.49365540000000002</v>
      </c>
      <c r="F3944" t="s">
        <v>89</v>
      </c>
      <c r="G3944">
        <v>-107.39749999999999</v>
      </c>
      <c r="H3944">
        <v>3.5658889999999999</v>
      </c>
      <c r="I3944">
        <v>216.19919999999999</v>
      </c>
      <c r="J3944">
        <v>-368.80560000000003</v>
      </c>
      <c r="K3944">
        <v>1.1216189999999999</v>
      </c>
      <c r="L3944">
        <v>214.209</v>
      </c>
      <c r="M3944">
        <v>0.99987139999999997</v>
      </c>
      <c r="N3944">
        <v>-1.541756E-2</v>
      </c>
      <c r="O3944">
        <v>4.4085979999999997E-3</v>
      </c>
      <c r="P3944">
        <v>0.98304979999999997</v>
      </c>
      <c r="Q3944">
        <v>0.18264459999999999</v>
      </c>
      <c r="R3944">
        <v>-1.593812E-2</v>
      </c>
      <c r="S3944">
        <v>3.0462340000000001</v>
      </c>
      <c r="T3944">
        <v>2.8438809999999998E-2</v>
      </c>
      <c r="U3944">
        <v>2.31781E-2</v>
      </c>
      <c r="V3944">
        <v>2.019102E-2</v>
      </c>
      <c r="W3944">
        <v>0.19778609999999999</v>
      </c>
      <c r="X3944">
        <v>0.98003720000000005</v>
      </c>
      <c r="Y3944">
        <v>-3.200924E-3</v>
      </c>
      <c r="Z3944">
        <v>1.1886090000000001E-4</v>
      </c>
      <c r="AA3944">
        <v>0.99999490000000002</v>
      </c>
      <c r="AB3944">
        <v>45</v>
      </c>
      <c r="AC3944">
        <v>261.40809999999999</v>
      </c>
      <c r="AD3944">
        <v>2.4442699999999902</v>
      </c>
      <c r="AE3944">
        <v>1.99019999999998</v>
      </c>
      <c r="AF3944">
        <v>-0.837527187427627</v>
      </c>
      <c r="AG3944">
        <v>2.4442699999999902</v>
      </c>
      <c r="AH3944">
        <v>261.39148196710602</v>
      </c>
      <c r="AI3944">
        <v>89.464245914198003</v>
      </c>
      <c r="AJ3944">
        <v>90.183581379511807</v>
      </c>
      <c r="AK3944">
        <v>261.40425159622498</v>
      </c>
      <c r="AL3944">
        <v>78.592473648189596</v>
      </c>
      <c r="AM3944">
        <v>88.819742155233001</v>
      </c>
      <c r="AN3944">
        <v>0.99999996601284402</v>
      </c>
    </row>
    <row r="3945" spans="1:40" x14ac:dyDescent="0.25">
      <c r="A3945" t="str">
        <f>"20190303170331811"</f>
        <v>20190303170331811</v>
      </c>
      <c r="B3945" t="str">
        <f>"1551603811799319"</f>
        <v>1551603811799319</v>
      </c>
      <c r="C3945" t="s">
        <v>40</v>
      </c>
      <c r="D3945">
        <v>4.1356739999999999</v>
      </c>
      <c r="E3945">
        <v>0.49384</v>
      </c>
      <c r="F3945" t="s">
        <v>89</v>
      </c>
      <c r="G3945">
        <v>-107.39749999999999</v>
      </c>
      <c r="H3945">
        <v>3.7710689999999998</v>
      </c>
      <c r="I3945">
        <v>216.3314</v>
      </c>
      <c r="J3945">
        <v>-368.36410000000001</v>
      </c>
      <c r="K3945">
        <v>1.121659</v>
      </c>
      <c r="L3945">
        <v>214.21109999999999</v>
      </c>
      <c r="M3945">
        <v>0.99987009999999998</v>
      </c>
      <c r="N3945">
        <v>-1.54281E-2</v>
      </c>
      <c r="O3945">
        <v>4.6724599999999998E-3</v>
      </c>
      <c r="P3945">
        <v>0.98294210000000004</v>
      </c>
      <c r="Q3945">
        <v>0.18328150000000001</v>
      </c>
      <c r="R3945">
        <v>-1.5259740000000001E-2</v>
      </c>
      <c r="S3945">
        <v>3.0463870000000002</v>
      </c>
      <c r="T3945">
        <v>3.087664E-2</v>
      </c>
      <c r="U3945">
        <v>2.47345E-2</v>
      </c>
      <c r="V3945">
        <v>1.9756369999999999E-2</v>
      </c>
      <c r="W3945">
        <v>0.198433</v>
      </c>
      <c r="X3945">
        <v>0.97991530000000004</v>
      </c>
      <c r="Y3945">
        <v>-3.4476910000000001E-3</v>
      </c>
      <c r="Z3945">
        <v>1.2856750000000001E-4</v>
      </c>
      <c r="AA3945">
        <v>0.99999400000000005</v>
      </c>
      <c r="AB3945">
        <v>44</v>
      </c>
      <c r="AC3945">
        <v>260.96660000000003</v>
      </c>
      <c r="AD3945">
        <v>2.64941</v>
      </c>
      <c r="AE3945">
        <v>2.1203000000000101</v>
      </c>
      <c r="AF3945">
        <v>-0.90068292347359402</v>
      </c>
      <c r="AG3945">
        <v>2.64941</v>
      </c>
      <c r="AH3945">
        <v>260.94676503307102</v>
      </c>
      <c r="AI3945">
        <v>89.418295562014094</v>
      </c>
      <c r="AJ3945">
        <v>90.197761122870403</v>
      </c>
      <c r="AK3945">
        <v>260.961768817392</v>
      </c>
      <c r="AL3945">
        <v>78.554659716293102</v>
      </c>
      <c r="AM3945">
        <v>88.844998863668096</v>
      </c>
      <c r="AN3945">
        <v>0.99999998240933297</v>
      </c>
    </row>
    <row r="3946" spans="1:40" x14ac:dyDescent="0.25">
      <c r="A3946" t="str">
        <f>"20190303170331835"</f>
        <v>20190303170331835</v>
      </c>
      <c r="B3946" t="str">
        <f>"1551603811829575"</f>
        <v>1551603811829575</v>
      </c>
      <c r="C3946" t="s">
        <v>40</v>
      </c>
      <c r="D3946">
        <v>4.0280370000000003</v>
      </c>
      <c r="E3946">
        <v>0.4937494</v>
      </c>
      <c r="F3946" t="s">
        <v>89</v>
      </c>
      <c r="G3946">
        <v>-107.39749999999999</v>
      </c>
      <c r="H3946">
        <v>3.74227</v>
      </c>
      <c r="I3946">
        <v>216.3742</v>
      </c>
      <c r="J3946">
        <v>-367.89490000000001</v>
      </c>
      <c r="K3946">
        <v>1.1216950000000001</v>
      </c>
      <c r="L3946">
        <v>214.21350000000001</v>
      </c>
      <c r="M3946">
        <v>0.9998686</v>
      </c>
      <c r="N3946">
        <v>-1.5437009999999999E-2</v>
      </c>
      <c r="O3946">
        <v>4.9664799999999997E-3</v>
      </c>
      <c r="P3946">
        <v>0.98293629999999999</v>
      </c>
      <c r="Q3946">
        <v>0.1833118</v>
      </c>
      <c r="R3946">
        <v>-1.5275220000000001E-2</v>
      </c>
      <c r="S3946">
        <v>3.0467529999999998</v>
      </c>
      <c r="T3946">
        <v>3.0595899999999999E-2</v>
      </c>
      <c r="U3946">
        <v>2.5253299999999999E-2</v>
      </c>
      <c r="V3946">
        <v>2.0047679999999998E-2</v>
      </c>
      <c r="W3946">
        <v>0.19847319999999999</v>
      </c>
      <c r="X3946">
        <v>0.97990129999999998</v>
      </c>
      <c r="Y3946">
        <v>-3.3230080000000001E-3</v>
      </c>
      <c r="Z3946">
        <v>1.35504E-4</v>
      </c>
      <c r="AA3946">
        <v>0.99999450000000001</v>
      </c>
      <c r="AB3946">
        <v>44</v>
      </c>
      <c r="AC3946">
        <v>260.49740000000003</v>
      </c>
      <c r="AD3946">
        <v>2.6205750000000001</v>
      </c>
      <c r="AE3946">
        <v>2.1606999999999901</v>
      </c>
      <c r="AF3946">
        <v>-0.866676455757594</v>
      </c>
      <c r="AG3946">
        <v>2.6205750000000001</v>
      </c>
      <c r="AH3946">
        <v>260.47855988748802</v>
      </c>
      <c r="AI3946">
        <v>89.423591749895195</v>
      </c>
      <c r="AJ3946">
        <v>90.190636495754205</v>
      </c>
      <c r="AK3946">
        <v>260.49318360078001</v>
      </c>
      <c r="AL3946">
        <v>78.5523103432173</v>
      </c>
      <c r="AM3946">
        <v>88.827956211699799</v>
      </c>
      <c r="AN3946">
        <v>1.0000000391666499</v>
      </c>
    </row>
    <row r="3947" spans="1:40" x14ac:dyDescent="0.25">
      <c r="A3947" t="str">
        <f>"20190303170331857"</f>
        <v>20190303170331857</v>
      </c>
      <c r="B3947" t="str">
        <f>"1551603811849095"</f>
        <v>1551603811849095</v>
      </c>
      <c r="C3947" t="s">
        <v>40</v>
      </c>
      <c r="D3947">
        <v>4.1887889999999999</v>
      </c>
      <c r="E3947">
        <v>0.4938225</v>
      </c>
      <c r="F3947" t="s">
        <v>89</v>
      </c>
      <c r="G3947">
        <v>-107.39749999999999</v>
      </c>
      <c r="H3947">
        <v>3.6494200000000001</v>
      </c>
      <c r="I3947">
        <v>216.43780000000001</v>
      </c>
      <c r="J3947">
        <v>-367.43709999999999</v>
      </c>
      <c r="K3947">
        <v>1.1217220000000001</v>
      </c>
      <c r="L3947">
        <v>214.21600000000001</v>
      </c>
      <c r="M3947">
        <v>0.9998669</v>
      </c>
      <c r="N3947">
        <v>-1.5443419999999999E-2</v>
      </c>
      <c r="O3947">
        <v>5.2630869999999996E-3</v>
      </c>
      <c r="P3947">
        <v>0.98287500000000005</v>
      </c>
      <c r="Q3947">
        <v>0.18366689999999999</v>
      </c>
      <c r="R3947">
        <v>-1.4947729999999999E-2</v>
      </c>
      <c r="S3947">
        <v>3.0469360000000001</v>
      </c>
      <c r="T3947">
        <v>2.9566410000000001E-2</v>
      </c>
      <c r="U3947">
        <v>2.601624E-2</v>
      </c>
      <c r="V3947">
        <v>2.0001089999999999E-2</v>
      </c>
      <c r="W3947">
        <v>0.19883439999999999</v>
      </c>
      <c r="X3947">
        <v>0.97982899999999995</v>
      </c>
      <c r="Y3947">
        <v>-3.2762949999999998E-3</v>
      </c>
      <c r="Z3947">
        <v>1.417527E-4</v>
      </c>
      <c r="AA3947">
        <v>0.99999459999999996</v>
      </c>
      <c r="AB3947">
        <v>44</v>
      </c>
      <c r="AC3947">
        <v>260.03960000000001</v>
      </c>
      <c r="AD3947">
        <v>2.527698</v>
      </c>
      <c r="AE3947">
        <v>2.22180000000002</v>
      </c>
      <c r="AF3947">
        <v>-0.85291437498296396</v>
      </c>
      <c r="AG3947">
        <v>2.527698</v>
      </c>
      <c r="AH3947">
        <v>260.023125503968</v>
      </c>
      <c r="AI3947">
        <v>89.443045358965804</v>
      </c>
      <c r="AJ3947">
        <v>90.187937971342194</v>
      </c>
      <c r="AK3947">
        <v>260.03680992690801</v>
      </c>
      <c r="AL3947">
        <v>78.531193986618305</v>
      </c>
      <c r="AM3947">
        <v>88.830592978741393</v>
      </c>
      <c r="AN3947">
        <v>1.00000001573277</v>
      </c>
    </row>
    <row r="3948" spans="1:40" x14ac:dyDescent="0.25">
      <c r="A3948" t="str">
        <f>"20190303170331878"</f>
        <v>20190303170331878</v>
      </c>
      <c r="B3948" t="str">
        <f>"1551603811869591"</f>
        <v>1551603811869591</v>
      </c>
      <c r="C3948" t="s">
        <v>40</v>
      </c>
      <c r="D3948">
        <v>4.0283059999999997</v>
      </c>
      <c r="E3948">
        <v>0.4939443</v>
      </c>
      <c r="F3948" t="s">
        <v>89</v>
      </c>
      <c r="G3948">
        <v>-107.39749999999999</v>
      </c>
      <c r="H3948">
        <v>3.5346139999999999</v>
      </c>
      <c r="I3948">
        <v>216.46209999999999</v>
      </c>
      <c r="J3948">
        <v>-367.01729999999998</v>
      </c>
      <c r="K3948">
        <v>1.121745</v>
      </c>
      <c r="L3948">
        <v>214.21850000000001</v>
      </c>
      <c r="M3948">
        <v>0.99986540000000002</v>
      </c>
      <c r="N3948">
        <v>-1.5447819999999999E-2</v>
      </c>
      <c r="O3948">
        <v>5.5383439999999997E-3</v>
      </c>
      <c r="P3948">
        <v>0.98271240000000004</v>
      </c>
      <c r="Q3948">
        <v>0.1845009</v>
      </c>
      <c r="R3948">
        <v>-1.5369280000000001E-2</v>
      </c>
      <c r="S3948">
        <v>3.0473940000000002</v>
      </c>
      <c r="T3948">
        <v>2.8277159999999999E-2</v>
      </c>
      <c r="U3948">
        <v>2.632141E-2</v>
      </c>
      <c r="V3948">
        <v>2.0683969999999999E-2</v>
      </c>
      <c r="W3948">
        <v>0.1996713</v>
      </c>
      <c r="X3948">
        <v>0.97964459999999998</v>
      </c>
      <c r="Y3948">
        <v>-3.0998810000000001E-3</v>
      </c>
      <c r="Z3948">
        <v>1.465064E-4</v>
      </c>
      <c r="AA3948">
        <v>0.99999519999999997</v>
      </c>
      <c r="AB3948">
        <v>44</v>
      </c>
      <c r="AC3948">
        <v>259.6198</v>
      </c>
      <c r="AD3948">
        <v>2.4128690000000002</v>
      </c>
      <c r="AE3948">
        <v>2.2435999999999798</v>
      </c>
      <c r="AF3948">
        <v>-0.80546075143664897</v>
      </c>
      <c r="AG3948">
        <v>2.4128690000000002</v>
      </c>
      <c r="AH3948">
        <v>259.60582266330499</v>
      </c>
      <c r="AI3948">
        <v>89.467490509912693</v>
      </c>
      <c r="AJ3948">
        <v>90.177767020265506</v>
      </c>
      <c r="AK3948">
        <v>259.61828491946602</v>
      </c>
      <c r="AL3948">
        <v>78.482261767146099</v>
      </c>
      <c r="AM3948">
        <v>88.790451017666797</v>
      </c>
      <c r="AN3948">
        <v>0.99999999848390497</v>
      </c>
    </row>
    <row r="3949" spans="1:40" x14ac:dyDescent="0.25">
      <c r="A3949" t="str">
        <f>"20190303170331899"</f>
        <v>20190303170331899</v>
      </c>
      <c r="B3949" t="str">
        <f>"1551603811889111"</f>
        <v>1551603811889111</v>
      </c>
      <c r="C3949" t="s">
        <v>40</v>
      </c>
      <c r="D3949">
        <v>4.1905519999999896</v>
      </c>
      <c r="E3949">
        <v>0.4940022</v>
      </c>
      <c r="F3949" t="s">
        <v>89</v>
      </c>
      <c r="G3949">
        <v>-107.39749999999999</v>
      </c>
      <c r="H3949">
        <v>3.6249690000000001</v>
      </c>
      <c r="I3949">
        <v>216.3047</v>
      </c>
      <c r="J3949">
        <v>-366.6096</v>
      </c>
      <c r="K3949">
        <v>1.121767</v>
      </c>
      <c r="L3949">
        <v>214.2209</v>
      </c>
      <c r="M3949">
        <v>0.99986390000000003</v>
      </c>
      <c r="N3949">
        <v>-1.545096E-2</v>
      </c>
      <c r="O3949">
        <v>5.8077160000000001E-3</v>
      </c>
      <c r="P3949">
        <v>0.98262229999999995</v>
      </c>
      <c r="Q3949">
        <v>0.1849479</v>
      </c>
      <c r="R3949">
        <v>-1.5749180000000002E-2</v>
      </c>
      <c r="S3949">
        <v>3.0476380000000001</v>
      </c>
      <c r="T3949">
        <v>2.938557E-2</v>
      </c>
      <c r="U3949">
        <v>2.4490359999999999E-2</v>
      </c>
      <c r="V3949">
        <v>2.1321320000000001E-2</v>
      </c>
      <c r="W3949">
        <v>0.2001212</v>
      </c>
      <c r="X3949">
        <v>0.97953920000000005</v>
      </c>
      <c r="Y3949">
        <v>-2.229123E-3</v>
      </c>
      <c r="Z3949">
        <v>1.5220570000000001E-4</v>
      </c>
      <c r="AA3949">
        <v>0.99999749999999998</v>
      </c>
      <c r="AB3949">
        <v>44</v>
      </c>
      <c r="AC3949">
        <v>259.21210000000002</v>
      </c>
      <c r="AD3949">
        <v>2.5032019999999999</v>
      </c>
      <c r="AE3949">
        <v>2.0837999999999899</v>
      </c>
      <c r="AF3949">
        <v>-0.57810116098395703</v>
      </c>
      <c r="AG3949">
        <v>2.5032019999999999</v>
      </c>
      <c r="AH3949">
        <v>259.19566068919897</v>
      </c>
      <c r="AI3949">
        <v>89.446680187159998</v>
      </c>
      <c r="AJ3949">
        <v>90.127790340489</v>
      </c>
      <c r="AK3949">
        <v>259.20839249784302</v>
      </c>
      <c r="AL3949">
        <v>78.455954239575902</v>
      </c>
      <c r="AM3949">
        <v>88.753057790470393</v>
      </c>
      <c r="AN3949">
        <v>1.0000000688563</v>
      </c>
    </row>
    <row r="3950" spans="1:40" x14ac:dyDescent="0.25">
      <c r="A3950" t="str">
        <f>"20190303170331922"</f>
        <v>20190303170331922</v>
      </c>
      <c r="B3950" t="str">
        <f>"1551603811909606"</f>
        <v>1551603811909606</v>
      </c>
      <c r="C3950" t="s">
        <v>40</v>
      </c>
      <c r="D3950">
        <v>4.0121739999999999</v>
      </c>
      <c r="E3950">
        <v>0.49402629999999997</v>
      </c>
      <c r="F3950" t="s">
        <v>89</v>
      </c>
      <c r="G3950">
        <v>-107.39749999999999</v>
      </c>
      <c r="H3950">
        <v>3.6749230000000002</v>
      </c>
      <c r="I3950">
        <v>216.18190000000001</v>
      </c>
      <c r="J3950">
        <v>-366.16359999999997</v>
      </c>
      <c r="K3950">
        <v>1.121783</v>
      </c>
      <c r="L3950">
        <v>214.22380000000001</v>
      </c>
      <c r="M3950">
        <v>0.99986200000000003</v>
      </c>
      <c r="N3950">
        <v>-1.545328E-2</v>
      </c>
      <c r="O3950">
        <v>6.1028819999999996E-3</v>
      </c>
      <c r="P3950">
        <v>0.98270469999999999</v>
      </c>
      <c r="Q3950">
        <v>0.18448819999999999</v>
      </c>
      <c r="R3950">
        <v>-1.598109E-2</v>
      </c>
      <c r="S3950">
        <v>3.0477289999999999</v>
      </c>
      <c r="T3950">
        <v>3.001976E-2</v>
      </c>
      <c r="U3950">
        <v>2.3056030000000002E-2</v>
      </c>
      <c r="V3950">
        <v>2.1838460000000001E-2</v>
      </c>
      <c r="W3950">
        <v>0.19966619999999999</v>
      </c>
      <c r="X3950">
        <v>0.97962059999999995</v>
      </c>
      <c r="Y3950">
        <v>-1.4631869999999999E-3</v>
      </c>
      <c r="Z3950">
        <v>1.58519E-4</v>
      </c>
      <c r="AA3950">
        <v>0.99999890000000002</v>
      </c>
      <c r="AB3950">
        <v>44</v>
      </c>
      <c r="AC3950">
        <v>258.76609999999999</v>
      </c>
      <c r="AD3950">
        <v>2.55314</v>
      </c>
      <c r="AE3950">
        <v>1.9581</v>
      </c>
      <c r="AF3950">
        <v>-0.37861915402760798</v>
      </c>
      <c r="AG3950">
        <v>2.55314</v>
      </c>
      <c r="AH3950">
        <v>258.74804379552199</v>
      </c>
      <c r="AI3950">
        <v>89.434665319681599</v>
      </c>
      <c r="AJ3950">
        <v>90.083839335623196</v>
      </c>
      <c r="AK3950">
        <v>258.760916763588</v>
      </c>
      <c r="AL3950">
        <v>78.482560171698594</v>
      </c>
      <c r="AM3950">
        <v>88.722929699903005</v>
      </c>
      <c r="AN3950">
        <v>1.00000001485098</v>
      </c>
    </row>
    <row r="3951" spans="1:40" x14ac:dyDescent="0.25">
      <c r="A3951" t="str">
        <f>"20190303170331945"</f>
        <v>20190303170331945</v>
      </c>
      <c r="B3951" t="str">
        <f>"1551603811939863"</f>
        <v>1551603811939863</v>
      </c>
      <c r="C3951" t="s">
        <v>40</v>
      </c>
      <c r="D3951">
        <v>4.0730380000000004</v>
      </c>
      <c r="E3951">
        <v>0.49401790000000001</v>
      </c>
      <c r="F3951" t="s">
        <v>89</v>
      </c>
      <c r="G3951">
        <v>-107.39749999999999</v>
      </c>
      <c r="H3951">
        <v>3.466993</v>
      </c>
      <c r="I3951">
        <v>216.1035</v>
      </c>
      <c r="J3951">
        <v>-365.70530000000002</v>
      </c>
      <c r="K3951">
        <v>1.1217889999999999</v>
      </c>
      <c r="L3951">
        <v>214.2268</v>
      </c>
      <c r="M3951">
        <v>0.99986019999999998</v>
      </c>
      <c r="N3951">
        <v>-1.545465E-2</v>
      </c>
      <c r="O3951">
        <v>6.4068390000000001E-3</v>
      </c>
      <c r="P3951">
        <v>0.98283620000000005</v>
      </c>
      <c r="Q3951">
        <v>0.18382770000000001</v>
      </c>
      <c r="R3951">
        <v>-1.5507979999999999E-2</v>
      </c>
      <c r="S3951">
        <v>3.0479430000000001</v>
      </c>
      <c r="T3951">
        <v>2.7624249999999999E-2</v>
      </c>
      <c r="U3951">
        <v>2.21405E-2</v>
      </c>
      <c r="V3951">
        <v>2.1660550000000001E-2</v>
      </c>
      <c r="W3951">
        <v>0.19900870000000001</v>
      </c>
      <c r="X3951">
        <v>0.97975829999999997</v>
      </c>
      <c r="Y3951">
        <v>-8.5825609999999998E-4</v>
      </c>
      <c r="Z3951">
        <v>1.5982299999999999E-4</v>
      </c>
      <c r="AA3951">
        <v>0.99999959999999999</v>
      </c>
      <c r="AB3951">
        <v>44</v>
      </c>
      <c r="AC3951">
        <v>258.30779999999999</v>
      </c>
      <c r="AD3951">
        <v>2.3452039999999998</v>
      </c>
      <c r="AE3951">
        <v>1.8767</v>
      </c>
      <c r="AF3951">
        <v>-0.221509314588028</v>
      </c>
      <c r="AG3951">
        <v>2.3452039999999998</v>
      </c>
      <c r="AH3951">
        <v>258.29323234189098</v>
      </c>
      <c r="AI3951">
        <v>89.479790668993203</v>
      </c>
      <c r="AJ3951">
        <v>90.049136191538096</v>
      </c>
      <c r="AK3951">
        <v>258.30397387922699</v>
      </c>
      <c r="AL3951">
        <v>78.521003317251697</v>
      </c>
      <c r="AM3951">
        <v>88.733508090201994</v>
      </c>
      <c r="AN3951">
        <v>0.99999998426044101</v>
      </c>
    </row>
    <row r="3952" spans="1:40" x14ac:dyDescent="0.25">
      <c r="A3952" t="str">
        <f>"20190303170331968"</f>
        <v>20190303170331968</v>
      </c>
      <c r="B3952" t="str">
        <f>"1551603811959383"</f>
        <v>1551603811959383</v>
      </c>
      <c r="C3952" t="s">
        <v>40</v>
      </c>
      <c r="D3952">
        <v>3.9950860000000001</v>
      </c>
      <c r="E3952">
        <v>0.49393320000000002</v>
      </c>
      <c r="F3952" t="s">
        <v>89</v>
      </c>
      <c r="G3952">
        <v>-107.39749999999999</v>
      </c>
      <c r="H3952">
        <v>3.2835070000000002</v>
      </c>
      <c r="I3952">
        <v>216.21559999999999</v>
      </c>
      <c r="J3952">
        <v>-365.25720000000001</v>
      </c>
      <c r="K3952">
        <v>1.121804</v>
      </c>
      <c r="L3952">
        <v>214.22989999999999</v>
      </c>
      <c r="M3952">
        <v>0.99985809999999997</v>
      </c>
      <c r="N3952">
        <v>-1.5455099999999999E-2</v>
      </c>
      <c r="O3952">
        <v>6.7043880000000004E-3</v>
      </c>
      <c r="P3952">
        <v>0.98286430000000002</v>
      </c>
      <c r="Q3952">
        <v>0.18375440000000001</v>
      </c>
      <c r="R3952">
        <v>-1.456788E-2</v>
      </c>
      <c r="S3952">
        <v>3.0480040000000002</v>
      </c>
      <c r="T3952">
        <v>2.5508639999999999E-2</v>
      </c>
      <c r="U3952">
        <v>2.3468019999999999E-2</v>
      </c>
      <c r="V3952">
        <v>2.1009170000000001E-2</v>
      </c>
      <c r="W3952">
        <v>0.19893669999999999</v>
      </c>
      <c r="X3952">
        <v>0.97978710000000002</v>
      </c>
      <c r="Y3952">
        <v>-9.9601209999999993E-4</v>
      </c>
      <c r="Z3952">
        <v>1.6325359999999999E-4</v>
      </c>
      <c r="AA3952">
        <v>0.99999950000000004</v>
      </c>
      <c r="AB3952">
        <v>44</v>
      </c>
      <c r="AC3952">
        <v>257.85969999999998</v>
      </c>
      <c r="AD3952">
        <v>2.1617029999999899</v>
      </c>
      <c r="AE3952">
        <v>1.9857</v>
      </c>
      <c r="AF3952">
        <v>-0.25663936624538503</v>
      </c>
      <c r="AG3952">
        <v>2.1617029999999899</v>
      </c>
      <c r="AH3952">
        <v>257.84909751669898</v>
      </c>
      <c r="AI3952">
        <v>89.519666748134298</v>
      </c>
      <c r="AJ3952">
        <v>90.057026950370698</v>
      </c>
      <c r="AK3952">
        <v>257.858286494347</v>
      </c>
      <c r="AL3952">
        <v>78.525212715462303</v>
      </c>
      <c r="AM3952">
        <v>88.771618511373802</v>
      </c>
      <c r="AN3952">
        <v>0.99999997857869405</v>
      </c>
    </row>
    <row r="3953" spans="1:40" x14ac:dyDescent="0.25">
      <c r="A3953" t="str">
        <f>"20190303170331988"</f>
        <v>20190303170331988</v>
      </c>
      <c r="B3953" t="str">
        <f>"1551603811979879"</f>
        <v>1551603811979879</v>
      </c>
      <c r="C3953" t="s">
        <v>40</v>
      </c>
      <c r="D3953">
        <v>4.0769520000000004</v>
      </c>
      <c r="E3953">
        <v>0.49382239999999999</v>
      </c>
      <c r="F3953" t="s">
        <v>89</v>
      </c>
      <c r="G3953">
        <v>-107.39749999999999</v>
      </c>
      <c r="H3953">
        <v>3.2851319999999999</v>
      </c>
      <c r="I3953">
        <v>216.51230000000001</v>
      </c>
      <c r="J3953">
        <v>-364.84789999999998</v>
      </c>
      <c r="K3953">
        <v>1.121812</v>
      </c>
      <c r="L3953">
        <v>214.2329</v>
      </c>
      <c r="M3953">
        <v>0.99985630000000003</v>
      </c>
      <c r="N3953">
        <v>-1.5454880000000001E-2</v>
      </c>
      <c r="O3953">
        <v>6.9771640000000001E-3</v>
      </c>
      <c r="P3953">
        <v>0.98284939999999998</v>
      </c>
      <c r="Q3953">
        <v>0.18393509999999999</v>
      </c>
      <c r="R3953">
        <v>-1.323336E-2</v>
      </c>
      <c r="S3953">
        <v>3.0479129999999999</v>
      </c>
      <c r="T3953">
        <v>2.557123E-2</v>
      </c>
      <c r="U3953">
        <v>2.6977540000000001E-2</v>
      </c>
      <c r="V3953">
        <v>1.9939769999999999E-2</v>
      </c>
      <c r="W3953">
        <v>0.19911619999999999</v>
      </c>
      <c r="X3953">
        <v>0.97977300000000001</v>
      </c>
      <c r="Y3953">
        <v>-1.874906E-3</v>
      </c>
      <c r="Z3953">
        <v>1.729898E-4</v>
      </c>
      <c r="AA3953">
        <v>0.99999819999999995</v>
      </c>
      <c r="AB3953">
        <v>44</v>
      </c>
      <c r="AC3953">
        <v>257.4504</v>
      </c>
      <c r="AD3953">
        <v>2.1633200000000001</v>
      </c>
      <c r="AE3953">
        <v>2.2793999999999999</v>
      </c>
      <c r="AF3953">
        <v>-0.48282233106865902</v>
      </c>
      <c r="AG3953">
        <v>2.1633200000000001</v>
      </c>
      <c r="AH3953">
        <v>257.44186157543999</v>
      </c>
      <c r="AI3953">
        <v>89.518547723094201</v>
      </c>
      <c r="AJ3953">
        <v>90.107455909545294</v>
      </c>
      <c r="AK3953">
        <v>257.45140349637597</v>
      </c>
      <c r="AL3953">
        <v>78.514718344216305</v>
      </c>
      <c r="AM3953">
        <v>88.834110578785697</v>
      </c>
      <c r="AN3953">
        <v>0.99999999352954605</v>
      </c>
    </row>
    <row r="3954" spans="1:40" x14ac:dyDescent="0.25">
      <c r="A3954" t="str">
        <f>"20190303170332011"</f>
        <v>20190303170332011</v>
      </c>
      <c r="B3954" t="str">
        <f>"1551603811999398"</f>
        <v>1551603811999398</v>
      </c>
      <c r="C3954" t="s">
        <v>40</v>
      </c>
      <c r="D3954">
        <v>4.0067909999999998</v>
      </c>
      <c r="E3954">
        <v>0.47245749999999997</v>
      </c>
      <c r="F3954" t="s">
        <v>89</v>
      </c>
      <c r="G3954">
        <v>-107.39749999999999</v>
      </c>
      <c r="H3954">
        <v>3.300141</v>
      </c>
      <c r="I3954">
        <v>216.93690000000001</v>
      </c>
      <c r="J3954">
        <v>-364.41269999999997</v>
      </c>
      <c r="K3954">
        <v>1.12182</v>
      </c>
      <c r="L3954">
        <v>214.2362</v>
      </c>
      <c r="M3954">
        <v>0.99985420000000003</v>
      </c>
      <c r="N3954">
        <v>-1.545404E-2</v>
      </c>
      <c r="O3954">
        <v>7.2675119999999899E-3</v>
      </c>
      <c r="P3954">
        <v>0.98285670000000003</v>
      </c>
      <c r="Q3954">
        <v>0.18398020000000001</v>
      </c>
      <c r="R3954">
        <v>-1.199646E-2</v>
      </c>
      <c r="S3954">
        <v>3.0479430000000001</v>
      </c>
      <c r="T3954">
        <v>2.5789739999999998E-2</v>
      </c>
      <c r="U3954">
        <v>3.2012939999999997E-2</v>
      </c>
      <c r="V3954">
        <v>1.8986070000000001E-2</v>
      </c>
      <c r="W3954">
        <v>0.19916010000000001</v>
      </c>
      <c r="X3954">
        <v>0.97978299999999996</v>
      </c>
      <c r="Y3954">
        <v>-3.2364680000000002E-3</v>
      </c>
      <c r="Z3954">
        <v>1.8511959999999999E-4</v>
      </c>
      <c r="AA3954">
        <v>0.99999479999999996</v>
      </c>
      <c r="AB3954">
        <v>44</v>
      </c>
      <c r="AC3954">
        <v>257.01519999999999</v>
      </c>
      <c r="AD3954">
        <v>2.178321</v>
      </c>
      <c r="AE3954">
        <v>2.7007000000000101</v>
      </c>
      <c r="AF3954">
        <v>-0.83248479012905696</v>
      </c>
      <c r="AG3954">
        <v>2.178321</v>
      </c>
      <c r="AH3954">
        <v>257.009580829588</v>
      </c>
      <c r="AI3954">
        <v>89.5143957040071</v>
      </c>
      <c r="AJ3954">
        <v>90.185587237707693</v>
      </c>
      <c r="AK3954">
        <v>257.02016020441903</v>
      </c>
      <c r="AL3954">
        <v>78.512151397966306</v>
      </c>
      <c r="AM3954">
        <v>88.889870969322004</v>
      </c>
      <c r="AN3954">
        <v>0.99999997168752697</v>
      </c>
    </row>
    <row r="3955" spans="1:40" x14ac:dyDescent="0.25">
      <c r="A3955" t="str">
        <f>"20190303170332036"</f>
        <v>20190303170332036</v>
      </c>
      <c r="B3955" t="str">
        <f>"1551603812029654"</f>
        <v>1551603812029654</v>
      </c>
      <c r="C3955" t="s">
        <v>40</v>
      </c>
      <c r="D3955">
        <v>3.9564349999999999</v>
      </c>
      <c r="E3955">
        <v>0.47048479999999998</v>
      </c>
      <c r="F3955" t="s">
        <v>55</v>
      </c>
      <c r="G3955">
        <v>-157.25</v>
      </c>
      <c r="H3955">
        <v>2.2344349999999999</v>
      </c>
      <c r="I3955">
        <v>228.2868</v>
      </c>
      <c r="J3955">
        <v>-363.9341</v>
      </c>
      <c r="K3955">
        <v>1.1218300000000001</v>
      </c>
      <c r="L3955">
        <v>214.23990000000001</v>
      </c>
      <c r="M3955">
        <v>0.99985190000000002</v>
      </c>
      <c r="N3955">
        <v>-1.5452499999999999E-2</v>
      </c>
      <c r="O3955">
        <v>7.5878259999999998E-3</v>
      </c>
      <c r="P3955">
        <v>0.98297939999999995</v>
      </c>
      <c r="Q3955">
        <v>0.1834163</v>
      </c>
      <c r="R3955">
        <v>-1.0503780000000001E-2</v>
      </c>
      <c r="S3955">
        <v>3.0517880000000002</v>
      </c>
      <c r="T3955">
        <v>1.6391159999999998E-2</v>
      </c>
      <c r="U3955">
        <v>0.20698549999999999</v>
      </c>
      <c r="V3955">
        <v>1.7807779999999999E-2</v>
      </c>
      <c r="W3955">
        <v>0.19859660000000001</v>
      </c>
      <c r="X3955">
        <v>0.9799196</v>
      </c>
      <c r="Y3955">
        <v>-6.0098829999999999E-2</v>
      </c>
      <c r="Z3955">
        <v>4.6151660000000002E-4</v>
      </c>
      <c r="AA3955">
        <v>0.99819230000000003</v>
      </c>
      <c r="AB3955">
        <v>44</v>
      </c>
      <c r="AC3955">
        <v>206.6841</v>
      </c>
      <c r="AD3955">
        <v>1.1126049999999901</v>
      </c>
      <c r="AE3955">
        <v>14.0468999999999</v>
      </c>
      <c r="AF3955">
        <v>-12.477665487162501</v>
      </c>
      <c r="AG3955">
        <v>1.1126049999999901</v>
      </c>
      <c r="AH3955">
        <v>206.77878223781599</v>
      </c>
      <c r="AI3955">
        <v>89.692273971794506</v>
      </c>
      <c r="AJ3955">
        <v>93.453215625415297</v>
      </c>
      <c r="AK3955">
        <v>207.15789825553199</v>
      </c>
      <c r="AL3955">
        <v>78.545096853465907</v>
      </c>
      <c r="AM3955">
        <v>88.9588958720433</v>
      </c>
      <c r="AN3955">
        <v>1.00000007451212</v>
      </c>
    </row>
    <row r="3956" spans="1:40" x14ac:dyDescent="0.25">
      <c r="A3956" t="str">
        <f>"20190303170332058"</f>
        <v>20190303170332058</v>
      </c>
      <c r="B3956" t="str">
        <f>"1551603812049174"</f>
        <v>1551603812049174</v>
      </c>
      <c r="C3956" t="s">
        <v>40</v>
      </c>
      <c r="D3956">
        <v>4.0563010000000004</v>
      </c>
      <c r="E3956">
        <v>0.47044520000000001</v>
      </c>
      <c r="F3956" t="s">
        <v>55</v>
      </c>
      <c r="G3956">
        <v>-157.25</v>
      </c>
      <c r="H3956">
        <v>2.140082</v>
      </c>
      <c r="I3956">
        <v>229.59630000000001</v>
      </c>
      <c r="J3956">
        <v>-363.4914</v>
      </c>
      <c r="K3956">
        <v>1.1218300000000001</v>
      </c>
      <c r="L3956">
        <v>214.24350000000001</v>
      </c>
      <c r="M3956">
        <v>0.99984960000000001</v>
      </c>
      <c r="N3956">
        <v>-1.5450520000000001E-2</v>
      </c>
      <c r="O3956">
        <v>7.8847599999999993E-3</v>
      </c>
      <c r="P3956">
        <v>0.98310359999999997</v>
      </c>
      <c r="Q3956">
        <v>0.18278939999999999</v>
      </c>
      <c r="R3956">
        <v>-9.7878779999999999E-3</v>
      </c>
      <c r="S3956">
        <v>3.0516049999999999</v>
      </c>
      <c r="T3956">
        <v>1.503491E-2</v>
      </c>
      <c r="U3956">
        <v>0.2267303</v>
      </c>
      <c r="V3956">
        <v>1.7383989999999998E-2</v>
      </c>
      <c r="W3956">
        <v>0.1979689</v>
      </c>
      <c r="X3956">
        <v>0.98005410000000004</v>
      </c>
      <c r="Y3956">
        <v>-6.6231499999999999E-2</v>
      </c>
      <c r="Z3956">
        <v>5.0991229999999995E-4</v>
      </c>
      <c r="AA3956">
        <v>0.99780420000000003</v>
      </c>
      <c r="AB3956">
        <v>44</v>
      </c>
      <c r="AC3956">
        <v>206.2414</v>
      </c>
      <c r="AD3956">
        <v>1.0182519999999999</v>
      </c>
      <c r="AE3956">
        <v>15.3528</v>
      </c>
      <c r="AF3956">
        <v>-13.725631928152801</v>
      </c>
      <c r="AG3956">
        <v>1.0182519999999999</v>
      </c>
      <c r="AH3956">
        <v>206.35105275016801</v>
      </c>
      <c r="AI3956">
        <v>89.717896103059104</v>
      </c>
      <c r="AJ3956">
        <v>93.805476318781899</v>
      </c>
      <c r="AK3956">
        <v>206.80954228484001</v>
      </c>
      <c r="AL3956">
        <v>78.581788676544207</v>
      </c>
      <c r="AM3956">
        <v>88.983806283859394</v>
      </c>
      <c r="AN3956">
        <v>0.99999996370116895</v>
      </c>
    </row>
    <row r="3957" spans="1:40" x14ac:dyDescent="0.25">
      <c r="A3957" t="str">
        <f>"20190303170332081"</f>
        <v>20190303170332081</v>
      </c>
      <c r="B3957" t="str">
        <f>"1551603812069671"</f>
        <v>1551603812069671</v>
      </c>
      <c r="C3957" t="s">
        <v>40</v>
      </c>
      <c r="D3957">
        <v>4.0044810000000002</v>
      </c>
      <c r="E3957">
        <v>0.47055730000000001</v>
      </c>
      <c r="F3957" t="s">
        <v>55</v>
      </c>
      <c r="G3957">
        <v>-157.25</v>
      </c>
      <c r="H3957">
        <v>1.911983</v>
      </c>
      <c r="I3957">
        <v>229.71539999999999</v>
      </c>
      <c r="J3957">
        <v>-363.04059999999998</v>
      </c>
      <c r="K3957">
        <v>1.121837</v>
      </c>
      <c r="L3957">
        <v>214.2474</v>
      </c>
      <c r="M3957">
        <v>0.99984720000000005</v>
      </c>
      <c r="N3957">
        <v>-1.5448109999999999E-2</v>
      </c>
      <c r="O3957">
        <v>8.187883E-3</v>
      </c>
      <c r="P3957">
        <v>0.98320799999999997</v>
      </c>
      <c r="Q3957">
        <v>0.18224399999999999</v>
      </c>
      <c r="R3957">
        <v>-9.4542540000000005E-3</v>
      </c>
      <c r="S3957">
        <v>3.0516359999999998</v>
      </c>
      <c r="T3957">
        <v>1.1692289999999999E-2</v>
      </c>
      <c r="U3957">
        <v>0.22892760000000001</v>
      </c>
      <c r="V3957">
        <v>1.7348780000000001E-2</v>
      </c>
      <c r="W3957">
        <v>0.19742290000000001</v>
      </c>
      <c r="X3957">
        <v>0.98016490000000001</v>
      </c>
      <c r="Y3957">
        <v>-6.6642359999999998E-2</v>
      </c>
      <c r="Z3957">
        <v>5.4565739999999998E-4</v>
      </c>
      <c r="AA3957">
        <v>0.99777680000000002</v>
      </c>
      <c r="AB3957">
        <v>44</v>
      </c>
      <c r="AC3957">
        <v>205.79060000000001</v>
      </c>
      <c r="AD3957">
        <v>0.79014600000000002</v>
      </c>
      <c r="AE3957">
        <v>15.4679999999999</v>
      </c>
      <c r="AF3957">
        <v>-13.782088975772099</v>
      </c>
      <c r="AG3957">
        <v>0.79014600000000002</v>
      </c>
      <c r="AH3957">
        <v>205.907346789466</v>
      </c>
      <c r="AI3957">
        <v>89.7806259021702</v>
      </c>
      <c r="AJ3957">
        <v>93.829292453622202</v>
      </c>
      <c r="AK3957">
        <v>206.36958537806601</v>
      </c>
      <c r="AL3957">
        <v>78.613702527728606</v>
      </c>
      <c r="AM3957">
        <v>88.985978695820705</v>
      </c>
      <c r="AN3957">
        <v>1.0000000064019501</v>
      </c>
    </row>
    <row r="3958" spans="1:40" x14ac:dyDescent="0.25">
      <c r="A3958" t="str">
        <f>"20190303170332101"</f>
        <v>20190303170332101</v>
      </c>
      <c r="B3958" t="str">
        <f>"1551603812089191"</f>
        <v>1551603812089191</v>
      </c>
      <c r="C3958" t="s">
        <v>40</v>
      </c>
      <c r="D3958">
        <v>4.0816999999999997</v>
      </c>
      <c r="E3958">
        <v>0.47038980000000002</v>
      </c>
      <c r="F3958" t="s">
        <v>55</v>
      </c>
      <c r="G3958">
        <v>-157.25</v>
      </c>
      <c r="H3958">
        <v>1.755204</v>
      </c>
      <c r="I3958">
        <v>229.69309999999999</v>
      </c>
      <c r="J3958">
        <v>-362.6413</v>
      </c>
      <c r="K3958">
        <v>1.1218379999999999</v>
      </c>
      <c r="L3958">
        <v>214.2509</v>
      </c>
      <c r="M3958">
        <v>0.99984499999999998</v>
      </c>
      <c r="N3958">
        <v>-1.5445739999999999E-2</v>
      </c>
      <c r="O3958">
        <v>8.4563650000000004E-3</v>
      </c>
      <c r="P3958">
        <v>0.98326349999999996</v>
      </c>
      <c r="Q3958">
        <v>0.18194270000000001</v>
      </c>
      <c r="R3958">
        <v>-9.4896010000000003E-3</v>
      </c>
      <c r="S3958">
        <v>3.0517270000000001</v>
      </c>
      <c r="T3958">
        <v>9.3932149999999999E-3</v>
      </c>
      <c r="U3958">
        <v>0.22904969999999999</v>
      </c>
      <c r="V3958">
        <v>1.7648259999999999E-2</v>
      </c>
      <c r="W3958">
        <v>0.1971205</v>
      </c>
      <c r="X3958">
        <v>0.98022039999999999</v>
      </c>
      <c r="Y3958">
        <v>-6.6411609999999996E-2</v>
      </c>
      <c r="Z3958">
        <v>5.6800929999999996E-4</v>
      </c>
      <c r="AA3958">
        <v>0.99779209999999996</v>
      </c>
      <c r="AB3958">
        <v>44</v>
      </c>
      <c r="AC3958">
        <v>205.3913</v>
      </c>
      <c r="AD3958">
        <v>0.63336599999999998</v>
      </c>
      <c r="AE3958">
        <v>15.4421999999999</v>
      </c>
      <c r="AF3958">
        <v>-13.7044472064419</v>
      </c>
      <c r="AG3958">
        <v>0.63336599999999998</v>
      </c>
      <c r="AH3958">
        <v>205.51261151008501</v>
      </c>
      <c r="AI3958">
        <v>89.823812917043199</v>
      </c>
      <c r="AJ3958">
        <v>93.815075839483896</v>
      </c>
      <c r="AK3958">
        <v>205.97001363164301</v>
      </c>
      <c r="AL3958">
        <v>78.631375917771194</v>
      </c>
      <c r="AM3958">
        <v>88.968536488935996</v>
      </c>
      <c r="AN3958">
        <v>0.99999999258871797</v>
      </c>
    </row>
    <row r="3959" spans="1:40" x14ac:dyDescent="0.25">
      <c r="A3959" t="str">
        <f>"20190303170332124"</f>
        <v>20190303170332124</v>
      </c>
      <c r="B3959" t="str">
        <f>"1551603812119447"</f>
        <v>1551603812119447</v>
      </c>
      <c r="C3959" t="s">
        <v>40</v>
      </c>
      <c r="D3959">
        <v>4.0116680000000002</v>
      </c>
      <c r="E3959">
        <v>0.47081469999999997</v>
      </c>
      <c r="F3959" t="s">
        <v>55</v>
      </c>
      <c r="G3959">
        <v>-157.25</v>
      </c>
      <c r="H3959">
        <v>1.7897940000000001</v>
      </c>
      <c r="I3959">
        <v>229.75550000000001</v>
      </c>
      <c r="J3959">
        <v>-362.20429999999999</v>
      </c>
      <c r="K3959">
        <v>1.1218410000000001</v>
      </c>
      <c r="L3959">
        <v>214.25479999999999</v>
      </c>
      <c r="M3959">
        <v>0.99984249999999997</v>
      </c>
      <c r="N3959">
        <v>-1.544267E-2</v>
      </c>
      <c r="O3959">
        <v>8.7507729999999999E-3</v>
      </c>
      <c r="P3959">
        <v>0.98322600000000004</v>
      </c>
      <c r="Q3959">
        <v>0.18217449999999999</v>
      </c>
      <c r="R3959">
        <v>-8.8898950000000001E-3</v>
      </c>
      <c r="S3959">
        <v>3.0514220000000001</v>
      </c>
      <c r="T3959">
        <v>9.9244120000000005E-3</v>
      </c>
      <c r="U3959">
        <v>0.23034669999999999</v>
      </c>
      <c r="V3959">
        <v>1.733728E-2</v>
      </c>
      <c r="W3959">
        <v>0.19734860000000001</v>
      </c>
      <c r="X3959">
        <v>0.9801801</v>
      </c>
      <c r="Y3959">
        <v>-6.6547090000000003E-2</v>
      </c>
      <c r="Z3959">
        <v>5.6990299999999997E-4</v>
      </c>
      <c r="AA3959">
        <v>0.99778310000000003</v>
      </c>
      <c r="AB3959">
        <v>44</v>
      </c>
      <c r="AC3959">
        <v>204.95429999999999</v>
      </c>
      <c r="AD3959">
        <v>0.66795299999999902</v>
      </c>
      <c r="AE3959">
        <v>15.5007</v>
      </c>
      <c r="AF3959">
        <v>-13.7062392275698</v>
      </c>
      <c r="AG3959">
        <v>0.66795299999999902</v>
      </c>
      <c r="AH3959">
        <v>205.07994413626</v>
      </c>
      <c r="AI3959">
        <v>89.813801559885206</v>
      </c>
      <c r="AJ3959">
        <v>93.823599284125095</v>
      </c>
      <c r="AK3959">
        <v>205.53853809421</v>
      </c>
      <c r="AL3959">
        <v>78.618045424554793</v>
      </c>
      <c r="AM3959">
        <v>88.986666431833598</v>
      </c>
      <c r="AN3959">
        <v>1.0000000398178801</v>
      </c>
    </row>
    <row r="3960" spans="1:40" x14ac:dyDescent="0.25">
      <c r="A3960" t="str">
        <f>"20190303170332146"</f>
        <v>20190303170332146</v>
      </c>
      <c r="B3960" t="str">
        <f>"1551603812138967"</f>
        <v>1551603812138967</v>
      </c>
      <c r="C3960" t="s">
        <v>40</v>
      </c>
      <c r="D3960">
        <v>4.0044089999999999</v>
      </c>
      <c r="E3960">
        <v>0.4710452</v>
      </c>
      <c r="F3960" t="s">
        <v>55</v>
      </c>
      <c r="G3960">
        <v>-157.25</v>
      </c>
      <c r="H3960">
        <v>1.857318</v>
      </c>
      <c r="I3960">
        <v>229.60570000000001</v>
      </c>
      <c r="J3960">
        <v>-361.76350000000002</v>
      </c>
      <c r="K3960">
        <v>1.1218399999999999</v>
      </c>
      <c r="L3960">
        <v>214.25890000000001</v>
      </c>
      <c r="M3960">
        <v>0.99983999999999995</v>
      </c>
      <c r="N3960">
        <v>-1.543927E-2</v>
      </c>
      <c r="O3960">
        <v>9.0478599999999996E-3</v>
      </c>
      <c r="P3960">
        <v>0.98314710000000005</v>
      </c>
      <c r="Q3960">
        <v>0.1826373</v>
      </c>
      <c r="R3960">
        <v>-8.1159839999999997E-3</v>
      </c>
      <c r="S3960">
        <v>3.0511780000000002</v>
      </c>
      <c r="T3960">
        <v>1.094997E-2</v>
      </c>
      <c r="U3960">
        <v>0.22853090000000001</v>
      </c>
      <c r="V3960">
        <v>1.6853960000000001E-2</v>
      </c>
      <c r="W3960">
        <v>0.1978067</v>
      </c>
      <c r="X3960">
        <v>0.98009619999999997</v>
      </c>
      <c r="Y3960">
        <v>-6.566632E-2</v>
      </c>
      <c r="Z3960">
        <v>5.6192660000000001E-4</v>
      </c>
      <c r="AA3960">
        <v>0.99784150000000005</v>
      </c>
      <c r="AB3960">
        <v>44</v>
      </c>
      <c r="AC3960">
        <v>204.51349999999999</v>
      </c>
      <c r="AD3960">
        <v>0.73547799999999997</v>
      </c>
      <c r="AE3960">
        <v>15.3468</v>
      </c>
      <c r="AF3960">
        <v>-13.4953682507909</v>
      </c>
      <c r="AG3960">
        <v>0.73547799999999997</v>
      </c>
      <c r="AH3960">
        <v>204.64136716059599</v>
      </c>
      <c r="AI3960">
        <v>89.794527021029296</v>
      </c>
      <c r="AJ3960">
        <v>93.772989134203598</v>
      </c>
      <c r="AK3960">
        <v>205.08718888675301</v>
      </c>
      <c r="AL3960">
        <v>78.591270582263306</v>
      </c>
      <c r="AM3960">
        <v>89.014825679687604</v>
      </c>
      <c r="AN3960">
        <v>1.0000000538935001</v>
      </c>
    </row>
    <row r="3961" spans="1:40" x14ac:dyDescent="0.25">
      <c r="A3961" t="str">
        <f>"20190303170332168"</f>
        <v>20190303170332168</v>
      </c>
      <c r="B3961" t="str">
        <f>"1551603812159463"</f>
        <v>1551603812159463</v>
      </c>
      <c r="C3961" t="s">
        <v>40</v>
      </c>
      <c r="D3961">
        <v>4.0355359999999996</v>
      </c>
      <c r="E3961">
        <v>0.4711649</v>
      </c>
      <c r="F3961" t="s">
        <v>55</v>
      </c>
      <c r="G3961">
        <v>-157.25</v>
      </c>
      <c r="H3961">
        <v>1.9621770000000001</v>
      </c>
      <c r="I3961">
        <v>229.61660000000001</v>
      </c>
      <c r="J3961">
        <v>-361.34609999999998</v>
      </c>
      <c r="K3961">
        <v>1.12185</v>
      </c>
      <c r="L3961">
        <v>214.2629</v>
      </c>
      <c r="M3961">
        <v>0.99983730000000004</v>
      </c>
      <c r="N3961">
        <v>-1.543594E-2</v>
      </c>
      <c r="O3961">
        <v>9.3296260000000006E-3</v>
      </c>
      <c r="P3961">
        <v>0.98314520000000005</v>
      </c>
      <c r="Q3961">
        <v>0.1826496</v>
      </c>
      <c r="R3961">
        <v>-8.0306479999999996E-3</v>
      </c>
      <c r="S3961">
        <v>3.0509949999999999</v>
      </c>
      <c r="T3961">
        <v>1.253724E-2</v>
      </c>
      <c r="U3961">
        <v>0.2291107</v>
      </c>
      <c r="V3961">
        <v>1.704555E-2</v>
      </c>
      <c r="W3961">
        <v>0.19781560000000001</v>
      </c>
      <c r="X3961">
        <v>0.98009100000000005</v>
      </c>
      <c r="Y3961">
        <v>-6.5578419999999998E-2</v>
      </c>
      <c r="Z3961">
        <v>5.5442830000000003E-4</v>
      </c>
      <c r="AA3961">
        <v>0.99784729999999999</v>
      </c>
      <c r="AB3961">
        <v>44</v>
      </c>
      <c r="AC3961">
        <v>204.09610000000001</v>
      </c>
      <c r="AD3961">
        <v>0.84032700000000005</v>
      </c>
      <c r="AE3961">
        <v>15.3537</v>
      </c>
      <c r="AF3961">
        <v>-13.4484376900756</v>
      </c>
      <c r="AG3961">
        <v>0.84032700000000005</v>
      </c>
      <c r="AH3961">
        <v>204.22703395821901</v>
      </c>
      <c r="AI3961">
        <v>89.764757544224494</v>
      </c>
      <c r="AJ3961">
        <v>93.767512251562493</v>
      </c>
      <c r="AK3961">
        <v>204.67107276100899</v>
      </c>
      <c r="AL3961">
        <v>78.590749346529293</v>
      </c>
      <c r="AM3961">
        <v>89.003623517745893</v>
      </c>
      <c r="AN3961">
        <v>0.99999996532958002</v>
      </c>
    </row>
    <row r="3962" spans="1:40" x14ac:dyDescent="0.25">
      <c r="A3962" t="str">
        <f>"20190303170332190"</f>
        <v>20190303170332190</v>
      </c>
      <c r="B3962" t="str">
        <f>"1551603812178983"</f>
        <v>1551603812178983</v>
      </c>
      <c r="C3962" t="s">
        <v>40</v>
      </c>
      <c r="D3962">
        <v>4.0418120000000002</v>
      </c>
      <c r="E3962">
        <v>0.47109420000000002</v>
      </c>
      <c r="F3962" t="s">
        <v>55</v>
      </c>
      <c r="G3962">
        <v>-157.25</v>
      </c>
      <c r="H3962">
        <v>1.951684</v>
      </c>
      <c r="I3962">
        <v>229.52189999999999</v>
      </c>
      <c r="J3962">
        <v>-360.91520000000003</v>
      </c>
      <c r="K3962">
        <v>1.1218520000000001</v>
      </c>
      <c r="L3962">
        <v>214.2672</v>
      </c>
      <c r="M3962">
        <v>0.99983469999999997</v>
      </c>
      <c r="N3962">
        <v>-1.543252E-2</v>
      </c>
      <c r="O3962">
        <v>9.6205649999999993E-3</v>
      </c>
      <c r="P3962">
        <v>0.98312319999999997</v>
      </c>
      <c r="Q3962">
        <v>0.18275060000000001</v>
      </c>
      <c r="R3962">
        <v>-8.4192769999999993E-3</v>
      </c>
      <c r="S3962">
        <v>3.0509949999999999</v>
      </c>
      <c r="T3962">
        <v>1.2405869999999999E-2</v>
      </c>
      <c r="U3962">
        <v>0.22810359999999999</v>
      </c>
      <c r="V3962">
        <v>1.771996E-2</v>
      </c>
      <c r="W3962">
        <v>0.19791320000000001</v>
      </c>
      <c r="X3962">
        <v>0.98005940000000002</v>
      </c>
      <c r="Y3962">
        <v>-6.4960539999999997E-2</v>
      </c>
      <c r="Z3962">
        <v>5.5743329999999997E-4</v>
      </c>
      <c r="AA3962">
        <v>0.99788770000000004</v>
      </c>
      <c r="AB3962">
        <v>44</v>
      </c>
      <c r="AC3962">
        <v>203.6652</v>
      </c>
      <c r="AD3962">
        <v>0.82983199999999901</v>
      </c>
      <c r="AE3962">
        <v>15.2546999999999</v>
      </c>
      <c r="AF3962">
        <v>-13.2941668735518</v>
      </c>
      <c r="AG3962">
        <v>0.82983199999999901</v>
      </c>
      <c r="AH3962">
        <v>203.79918420365601</v>
      </c>
      <c r="AI3962">
        <v>89.767198411017802</v>
      </c>
      <c r="AJ3962">
        <v>93.732213250293995</v>
      </c>
      <c r="AK3962">
        <v>204.23401033149699</v>
      </c>
      <c r="AL3962">
        <v>78.585045233579294</v>
      </c>
      <c r="AM3962">
        <v>88.964176753154803</v>
      </c>
      <c r="AN3962">
        <v>1.0000000296225</v>
      </c>
    </row>
    <row r="3963" spans="1:40" x14ac:dyDescent="0.25">
      <c r="A3963" t="str">
        <f>"20190303170332213"</f>
        <v>20190303170332213</v>
      </c>
      <c r="B3963" t="str">
        <f>"1551603812199479"</f>
        <v>1551603812199479</v>
      </c>
      <c r="C3963" t="s">
        <v>40</v>
      </c>
      <c r="D3963">
        <v>4.0380000000000003</v>
      </c>
      <c r="E3963">
        <v>0.47100049999999999</v>
      </c>
      <c r="F3963" t="s">
        <v>55</v>
      </c>
      <c r="G3963">
        <v>-157.25</v>
      </c>
      <c r="H3963">
        <v>2.042103</v>
      </c>
      <c r="I3963">
        <v>229.50970000000001</v>
      </c>
      <c r="J3963">
        <v>-360.48250000000002</v>
      </c>
      <c r="K3963">
        <v>1.121853</v>
      </c>
      <c r="L3963">
        <v>214.27160000000001</v>
      </c>
      <c r="M3963">
        <v>0.9998319</v>
      </c>
      <c r="N3963">
        <v>-1.5428900000000001E-2</v>
      </c>
      <c r="O3963">
        <v>9.9128159999999996E-3</v>
      </c>
      <c r="P3963">
        <v>0.98327949999999997</v>
      </c>
      <c r="Q3963">
        <v>0.18188209999999999</v>
      </c>
      <c r="R3963">
        <v>-8.9770289999999992E-3</v>
      </c>
      <c r="S3963">
        <v>3.0509029999999999</v>
      </c>
      <c r="T3963">
        <v>1.37862E-2</v>
      </c>
      <c r="U3963">
        <v>0.22833249999999999</v>
      </c>
      <c r="V3963">
        <v>1.8567230000000001E-2</v>
      </c>
      <c r="W3963">
        <v>0.19704430000000001</v>
      </c>
      <c r="X3963">
        <v>0.98021879999999995</v>
      </c>
      <c r="Y3963">
        <v>-6.4745780000000003E-2</v>
      </c>
      <c r="Z3963">
        <v>5.5159779999999997E-4</v>
      </c>
      <c r="AA3963">
        <v>0.99790160000000006</v>
      </c>
      <c r="AB3963">
        <v>44</v>
      </c>
      <c r="AC3963">
        <v>203.23249999999999</v>
      </c>
      <c r="AD3963">
        <v>0.92025000000000001</v>
      </c>
      <c r="AE3963">
        <v>15.238099999999999</v>
      </c>
      <c r="AF3963">
        <v>-13.222235475029599</v>
      </c>
      <c r="AG3963">
        <v>0.92025000000000001</v>
      </c>
      <c r="AH3963">
        <v>203.36943617116</v>
      </c>
      <c r="AI3963">
        <v>89.741283657804203</v>
      </c>
      <c r="AJ3963">
        <v>93.719897930029504</v>
      </c>
      <c r="AK3963">
        <v>203.800887975482</v>
      </c>
      <c r="AL3963">
        <v>78.635829825683302</v>
      </c>
      <c r="AM3963">
        <v>88.914837471452003</v>
      </c>
      <c r="AN3963">
        <v>1.0000000470329</v>
      </c>
    </row>
    <row r="3964" spans="1:40" x14ac:dyDescent="0.25">
      <c r="A3964" t="str">
        <f>"20190303170332249"</f>
        <v>20190303170332249</v>
      </c>
      <c r="B3964" t="str">
        <f>"1551603812239495"</f>
        <v>1551603812239495</v>
      </c>
      <c r="C3964" t="s">
        <v>40</v>
      </c>
      <c r="D3964">
        <v>4.0296469999999998</v>
      </c>
      <c r="E3964">
        <v>0.47097620000000001</v>
      </c>
      <c r="F3964" t="s">
        <v>55</v>
      </c>
      <c r="G3964">
        <v>-157.25</v>
      </c>
      <c r="H3964">
        <v>1.930134</v>
      </c>
      <c r="I3964">
        <v>229.45249999999999</v>
      </c>
      <c r="J3964">
        <v>-359.7955</v>
      </c>
      <c r="K3964">
        <v>1.121845</v>
      </c>
      <c r="L3964">
        <v>214.27879999999999</v>
      </c>
      <c r="M3964">
        <v>0.99982720000000003</v>
      </c>
      <c r="N3964">
        <v>-1.54222E-2</v>
      </c>
      <c r="O3964">
        <v>1.037745E-2</v>
      </c>
      <c r="P3964">
        <v>0.98346199999999995</v>
      </c>
      <c r="Q3964">
        <v>0.1809037</v>
      </c>
      <c r="R3964">
        <v>-8.7272789999999992E-3</v>
      </c>
      <c r="S3964">
        <v>3.0508419999999998</v>
      </c>
      <c r="T3964">
        <v>1.213443E-2</v>
      </c>
      <c r="U3964">
        <v>0.22789000000000001</v>
      </c>
      <c r="V3964">
        <v>1.8777209999999999E-2</v>
      </c>
      <c r="W3964">
        <v>0.1960625</v>
      </c>
      <c r="X3964">
        <v>0.98041160000000005</v>
      </c>
      <c r="Y3964">
        <v>-6.4139429999999997E-2</v>
      </c>
      <c r="Z3964">
        <v>5.6897860000000003E-4</v>
      </c>
      <c r="AA3964">
        <v>0.99794079999999996</v>
      </c>
      <c r="AB3964">
        <v>43</v>
      </c>
      <c r="AC3964">
        <v>202.5455</v>
      </c>
      <c r="AD3964">
        <v>0.80828900000000004</v>
      </c>
      <c r="AE3964">
        <v>15.173699999999901</v>
      </c>
      <c r="AF3964">
        <v>-13.070519911191401</v>
      </c>
      <c r="AG3964">
        <v>0.80828900000000004</v>
      </c>
      <c r="AH3964">
        <v>202.68886407500199</v>
      </c>
      <c r="AI3964">
        <v>89.771988890745106</v>
      </c>
      <c r="AJ3964">
        <v>93.689645990680802</v>
      </c>
      <c r="AK3964">
        <v>203.11146555985201</v>
      </c>
      <c r="AL3964">
        <v>78.693201394151103</v>
      </c>
      <c r="AM3964">
        <v>88.902783925686705</v>
      </c>
      <c r="AN3964">
        <v>0.99999999646809701</v>
      </c>
    </row>
    <row r="3965" spans="1:40" x14ac:dyDescent="0.25">
      <c r="A3965" t="str">
        <f>"20190303170332270"</f>
        <v>20190303170332270</v>
      </c>
      <c r="B3965" t="str">
        <f>"1551603812259014"</f>
        <v>1551603812259014</v>
      </c>
      <c r="C3965" t="s">
        <v>40</v>
      </c>
      <c r="D3965">
        <v>4.01328</v>
      </c>
      <c r="E3965">
        <v>0.4709991</v>
      </c>
      <c r="F3965" t="s">
        <v>55</v>
      </c>
      <c r="G3965">
        <v>-157.25</v>
      </c>
      <c r="H3965">
        <v>1.7325269999999999</v>
      </c>
      <c r="I3965">
        <v>229.441</v>
      </c>
      <c r="J3965">
        <v>-359.35430000000002</v>
      </c>
      <c r="K3965">
        <v>1.121834</v>
      </c>
      <c r="L3965">
        <v>214.28370000000001</v>
      </c>
      <c r="M3965">
        <v>0.99982420000000005</v>
      </c>
      <c r="N3965">
        <v>-1.541755E-2</v>
      </c>
      <c r="O3965">
        <v>1.0676079999999999E-2</v>
      </c>
      <c r="P3965">
        <v>0.98366299999999995</v>
      </c>
      <c r="Q3965">
        <v>0.17979300000000001</v>
      </c>
      <c r="R3965">
        <v>-9.0274150000000004E-3</v>
      </c>
      <c r="S3965">
        <v>3.0508120000000001</v>
      </c>
      <c r="T3965">
        <v>9.1991420000000004E-3</v>
      </c>
      <c r="U3965">
        <v>0.22837830000000001</v>
      </c>
      <c r="V3965">
        <v>1.9374329999999999E-2</v>
      </c>
      <c r="W3965">
        <v>0.1949504</v>
      </c>
      <c r="X3965">
        <v>0.98062179999999999</v>
      </c>
      <c r="Y3965">
        <v>-6.400053E-2</v>
      </c>
      <c r="Z3965">
        <v>5.9426209999999995E-4</v>
      </c>
      <c r="AA3965">
        <v>0.99794970000000005</v>
      </c>
      <c r="AB3965">
        <v>43</v>
      </c>
      <c r="AC3965">
        <v>202.10429999999999</v>
      </c>
      <c r="AD3965">
        <v>0.61069300000000004</v>
      </c>
      <c r="AE3965">
        <v>15.1572999999999</v>
      </c>
      <c r="AF3965">
        <v>-12.998379904511401</v>
      </c>
      <c r="AG3965">
        <v>0.61069300000000004</v>
      </c>
      <c r="AH3965">
        <v>202.252782576447</v>
      </c>
      <c r="AI3965">
        <v>89.827354722839402</v>
      </c>
      <c r="AJ3965">
        <v>93.677227400827903</v>
      </c>
      <c r="AK3965">
        <v>202.67096211840001</v>
      </c>
      <c r="AL3965">
        <v>78.758174670616</v>
      </c>
      <c r="AM3965">
        <v>88.868143726008498</v>
      </c>
      <c r="AN3965">
        <v>1.0000000688791699</v>
      </c>
    </row>
    <row r="3966" spans="1:40" x14ac:dyDescent="0.25">
      <c r="A3966" t="str">
        <f>"20190303170332291"</f>
        <v>20190303170332291</v>
      </c>
      <c r="B3966" t="str">
        <f>"1551603812279512"</f>
        <v>1551603812279512</v>
      </c>
      <c r="C3966" t="s">
        <v>40</v>
      </c>
      <c r="D3966">
        <v>4.0031629999999998</v>
      </c>
      <c r="E3966">
        <v>0.47100370000000003</v>
      </c>
      <c r="F3966" t="s">
        <v>55</v>
      </c>
      <c r="G3966">
        <v>-157.25</v>
      </c>
      <c r="H3966">
        <v>1.485671</v>
      </c>
      <c r="I3966">
        <v>229.29730000000001</v>
      </c>
      <c r="J3966">
        <v>-358.96949999999998</v>
      </c>
      <c r="K3966">
        <v>1.121828</v>
      </c>
      <c r="L3966">
        <v>214.28800000000001</v>
      </c>
      <c r="M3966">
        <v>0.99982139999999997</v>
      </c>
      <c r="N3966">
        <v>-1.5413329999999999E-2</v>
      </c>
      <c r="O3966">
        <v>1.0936130000000001E-2</v>
      </c>
      <c r="P3966">
        <v>0.98376549999999996</v>
      </c>
      <c r="Q3966">
        <v>0.17922939999999901</v>
      </c>
      <c r="R3966">
        <v>-9.0751029999999993E-3</v>
      </c>
      <c r="S3966">
        <v>3.0508730000000002</v>
      </c>
      <c r="T3966">
        <v>5.493164E-3</v>
      </c>
      <c r="U3966">
        <v>0.2266388</v>
      </c>
      <c r="V3966">
        <v>1.967963E-2</v>
      </c>
      <c r="W3966">
        <v>0.19438449999999999</v>
      </c>
      <c r="X3966">
        <v>0.98072800000000004</v>
      </c>
      <c r="Y3966">
        <v>-6.3172969999999995E-2</v>
      </c>
      <c r="Z3966">
        <v>6.1877500000000001E-4</v>
      </c>
      <c r="AA3966">
        <v>0.99800239999999996</v>
      </c>
      <c r="AB3966">
        <v>43</v>
      </c>
      <c r="AC3966">
        <v>201.71950000000001</v>
      </c>
      <c r="AD3966">
        <v>0.36384299999999897</v>
      </c>
      <c r="AE3966">
        <v>15.0093</v>
      </c>
      <c r="AF3966">
        <v>-12.802068026591501</v>
      </c>
      <c r="AG3966">
        <v>0.36384299999999897</v>
      </c>
      <c r="AH3966">
        <v>201.87094406776299</v>
      </c>
      <c r="AI3966">
        <v>89.896939838593198</v>
      </c>
      <c r="AJ3966">
        <v>93.628672357922994</v>
      </c>
      <c r="AK3966">
        <v>202.27679893229501</v>
      </c>
      <c r="AL3966">
        <v>78.791230133779294</v>
      </c>
      <c r="AM3966">
        <v>88.850437188003497</v>
      </c>
      <c r="AN3966">
        <v>1.00000001583059</v>
      </c>
    </row>
    <row r="3967" spans="1:40" x14ac:dyDescent="0.25">
      <c r="A3967" t="str">
        <f>"20190303170332312"</f>
        <v>20190303170332312</v>
      </c>
      <c r="B3967" t="str">
        <f>"1551603812299031"</f>
        <v>1551603812299031</v>
      </c>
      <c r="C3967" t="s">
        <v>40</v>
      </c>
      <c r="D3967">
        <v>4.03789</v>
      </c>
      <c r="E3967">
        <v>0.4710223</v>
      </c>
      <c r="F3967" t="s">
        <v>55</v>
      </c>
      <c r="G3967">
        <v>-157.25</v>
      </c>
      <c r="H3967">
        <v>1.3805750000000001</v>
      </c>
      <c r="I3967">
        <v>229.26300000000001</v>
      </c>
      <c r="J3967">
        <v>-358.54160000000002</v>
      </c>
      <c r="K3967">
        <v>1.1218239999999999</v>
      </c>
      <c r="L3967">
        <v>214.2929</v>
      </c>
      <c r="M3967">
        <v>0.99981830000000005</v>
      </c>
      <c r="N3967">
        <v>-1.5408699999999999E-2</v>
      </c>
      <c r="O3967">
        <v>1.1223479999999999E-2</v>
      </c>
      <c r="P3967">
        <v>0.98383240000000005</v>
      </c>
      <c r="Q3967">
        <v>0.17884630000000001</v>
      </c>
      <c r="R3967">
        <v>-9.3767439999999994E-3</v>
      </c>
      <c r="S3967">
        <v>3.0508730000000002</v>
      </c>
      <c r="T3967">
        <v>3.9142370000000001E-3</v>
      </c>
      <c r="U3967">
        <v>0.2264862</v>
      </c>
      <c r="V3967">
        <v>2.0265760000000001E-2</v>
      </c>
      <c r="W3967">
        <v>0.19399849999999999</v>
      </c>
      <c r="X3967">
        <v>0.98079249999999996</v>
      </c>
      <c r="Y3967">
        <v>-6.2836260000000005E-2</v>
      </c>
      <c r="Z3967">
        <v>6.3166030000000003E-4</v>
      </c>
      <c r="AA3967">
        <v>0.99802360000000001</v>
      </c>
      <c r="AB3967">
        <v>43</v>
      </c>
      <c r="AC3967">
        <v>201.29159999999999</v>
      </c>
      <c r="AD3967">
        <v>0.25875100000000001</v>
      </c>
      <c r="AE3967">
        <v>14.9701</v>
      </c>
      <c r="AF3967">
        <v>-12.709675533804599</v>
      </c>
      <c r="AG3967">
        <v>0.25875100000000001</v>
      </c>
      <c r="AH3967">
        <v>201.44662411806601</v>
      </c>
      <c r="AI3967">
        <v>89.926551695253394</v>
      </c>
      <c r="AJ3967">
        <v>93.610121698266994</v>
      </c>
      <c r="AK3967">
        <v>201.847331349265</v>
      </c>
      <c r="AL3967">
        <v>78.813775573316804</v>
      </c>
      <c r="AM3967">
        <v>88.816286512077298</v>
      </c>
      <c r="AN3967">
        <v>1.0000000235434301</v>
      </c>
    </row>
    <row r="3968" spans="1:40" x14ac:dyDescent="0.25">
      <c r="A3968" t="str">
        <f>"20190303170332337"</f>
        <v>20190303170332337</v>
      </c>
      <c r="B3968" t="str">
        <f>"1551603812329287"</f>
        <v>1551603812329287</v>
      </c>
      <c r="C3968" t="s">
        <v>40</v>
      </c>
      <c r="D3968">
        <v>4.0571120000000001</v>
      </c>
      <c r="E3968">
        <v>0.4709489</v>
      </c>
      <c r="F3968" t="s">
        <v>55</v>
      </c>
      <c r="G3968">
        <v>-157.25</v>
      </c>
      <c r="H3968">
        <v>1.290864</v>
      </c>
      <c r="I3968">
        <v>229.16399999999999</v>
      </c>
      <c r="J3968">
        <v>-358.08629999999999</v>
      </c>
      <c r="K3968">
        <v>1.1218220000000001</v>
      </c>
      <c r="L3968">
        <v>214.29830000000001</v>
      </c>
      <c r="M3968">
        <v>0.99981489999999995</v>
      </c>
      <c r="N3968">
        <v>-1.5403999999999999E-2</v>
      </c>
      <c r="O3968">
        <v>1.152654E-2</v>
      </c>
      <c r="P3968">
        <v>0.98397950000000001</v>
      </c>
      <c r="Q3968">
        <v>0.17805360000000001</v>
      </c>
      <c r="R3968">
        <v>-9.0229860000000002E-3</v>
      </c>
      <c r="S3968">
        <v>3.0509949999999999</v>
      </c>
      <c r="T3968">
        <v>2.5630000000000002E-3</v>
      </c>
      <c r="U3968">
        <v>0.22540279999999999</v>
      </c>
      <c r="V3968">
        <v>2.0213579999999998E-2</v>
      </c>
      <c r="W3968">
        <v>0.19320329999999999</v>
      </c>
      <c r="X3968">
        <v>0.98095049999999995</v>
      </c>
      <c r="Y3968">
        <v>-6.2178079999999997E-2</v>
      </c>
      <c r="Z3968">
        <v>6.4050709999999896E-4</v>
      </c>
      <c r="AA3968">
        <v>0.99806490000000003</v>
      </c>
      <c r="AB3968">
        <v>43</v>
      </c>
      <c r="AC3968">
        <v>200.83629999999999</v>
      </c>
      <c r="AD3968">
        <v>0.169042</v>
      </c>
      <c r="AE3968">
        <v>14.8657</v>
      </c>
      <c r="AF3968">
        <v>-12.5494809856483</v>
      </c>
      <c r="AG3968">
        <v>0.169042</v>
      </c>
      <c r="AH3968">
        <v>200.99418352488601</v>
      </c>
      <c r="AI3968">
        <v>89.951906234045296</v>
      </c>
      <c r="AJ3968">
        <v>93.572740802025706</v>
      </c>
      <c r="AK3968">
        <v>201.38564958567</v>
      </c>
      <c r="AL3968">
        <v>78.860215472855302</v>
      </c>
      <c r="AM3968">
        <v>88.8195235715488</v>
      </c>
      <c r="AN3968">
        <v>0.99999999369877801</v>
      </c>
    </row>
    <row r="3969" spans="1:40" x14ac:dyDescent="0.25">
      <c r="A3969" t="str">
        <f>"20190303170332358"</f>
        <v>20190303170332358</v>
      </c>
      <c r="B3969" t="str">
        <f>"1551603812349783"</f>
        <v>1551603812349783</v>
      </c>
      <c r="C3969" t="s">
        <v>40</v>
      </c>
      <c r="D3969">
        <v>4.0318990000000001</v>
      </c>
      <c r="E3969">
        <v>0.47845199999999999</v>
      </c>
      <c r="F3969" t="s">
        <v>55</v>
      </c>
      <c r="G3969">
        <v>-157.25</v>
      </c>
      <c r="H3969">
        <v>1.1459980000000001</v>
      </c>
      <c r="I3969">
        <v>229.2449</v>
      </c>
      <c r="J3969">
        <v>-357.6644</v>
      </c>
      <c r="K3969">
        <v>1.12182</v>
      </c>
      <c r="L3969">
        <v>214.30340000000001</v>
      </c>
      <c r="M3969">
        <v>0.99981180000000003</v>
      </c>
      <c r="N3969">
        <v>-1.539957E-2</v>
      </c>
      <c r="O3969">
        <v>1.180198E-2</v>
      </c>
      <c r="P3969">
        <v>0.98400310000000002</v>
      </c>
      <c r="Q3969">
        <v>0.17796689999999901</v>
      </c>
      <c r="R3969">
        <v>-8.1278930000000006E-3</v>
      </c>
      <c r="S3969">
        <v>3.0508730000000002</v>
      </c>
      <c r="T3969">
        <v>3.6811830000000001E-4</v>
      </c>
      <c r="U3969">
        <v>0.2270508</v>
      </c>
      <c r="V3969">
        <v>1.9591750000000002E-2</v>
      </c>
      <c r="W3969">
        <v>0.19311159999999999</v>
      </c>
      <c r="X3969">
        <v>0.9809812</v>
      </c>
      <c r="Y3969">
        <v>-6.244181E-2</v>
      </c>
      <c r="Z3969">
        <v>6.6066910000000005E-4</v>
      </c>
      <c r="AA3969">
        <v>0.99804839999999995</v>
      </c>
      <c r="AB3969">
        <v>43</v>
      </c>
      <c r="AC3969">
        <v>200.4144</v>
      </c>
      <c r="AD3969">
        <v>2.41779999999998E-2</v>
      </c>
      <c r="AE3969">
        <v>14.9414999999999</v>
      </c>
      <c r="AF3969">
        <v>-12.5748917897117</v>
      </c>
      <c r="AG3969">
        <v>2.41779999999998E-2</v>
      </c>
      <c r="AH3969">
        <v>200.576795958395</v>
      </c>
      <c r="AI3969">
        <v>89.993106964882998</v>
      </c>
      <c r="AJ3969">
        <v>93.587386495223697</v>
      </c>
      <c r="AK3969">
        <v>200.97059378186199</v>
      </c>
      <c r="AL3969">
        <v>78.865570644858494</v>
      </c>
      <c r="AM3969">
        <v>88.855864537451396</v>
      </c>
      <c r="AN3969">
        <v>1.00000002073803</v>
      </c>
    </row>
    <row r="3970" spans="1:40" x14ac:dyDescent="0.25">
      <c r="A3970" t="str">
        <f>"20190303170332380"</f>
        <v>20190303170332380</v>
      </c>
      <c r="B3970" t="str">
        <f>"1551603812369303"</f>
        <v>1551603812369303</v>
      </c>
      <c r="C3970" t="s">
        <v>40</v>
      </c>
      <c r="D3970">
        <v>4.0769919999999997</v>
      </c>
      <c r="E3970">
        <v>0.47785830000000001</v>
      </c>
      <c r="F3970" t="s">
        <v>55</v>
      </c>
      <c r="G3970">
        <v>-157.25</v>
      </c>
      <c r="H3970">
        <v>1.1840980000000001</v>
      </c>
      <c r="I3970">
        <v>225.43379999999999</v>
      </c>
      <c r="J3970">
        <v>-357.2518</v>
      </c>
      <c r="K3970">
        <v>1.121826</v>
      </c>
      <c r="L3970">
        <v>214.30850000000001</v>
      </c>
      <c r="M3970">
        <v>0.99980869999999999</v>
      </c>
      <c r="N3970">
        <v>-1.53952E-2</v>
      </c>
      <c r="O3970">
        <v>1.2065360000000001E-2</v>
      </c>
      <c r="P3970">
        <v>0.98392690000000005</v>
      </c>
      <c r="Q3970">
        <v>0.1784357</v>
      </c>
      <c r="R3970">
        <v>-7.0028879999999996E-3</v>
      </c>
      <c r="S3970">
        <v>3.0500180000000001</v>
      </c>
      <c r="T3970">
        <v>9.486675E-4</v>
      </c>
      <c r="U3970">
        <v>0.16938780000000001</v>
      </c>
      <c r="V3970">
        <v>1.8727110000000002E-2</v>
      </c>
      <c r="W3970">
        <v>0.1935743</v>
      </c>
      <c r="X3970">
        <v>0.98090690000000003</v>
      </c>
      <c r="Y3970">
        <v>-4.340053E-2</v>
      </c>
      <c r="Z3970">
        <v>5.1699679999999998E-4</v>
      </c>
      <c r="AA3970">
        <v>0.99905759999999999</v>
      </c>
      <c r="AB3970">
        <v>43</v>
      </c>
      <c r="AC3970">
        <v>200.0018</v>
      </c>
      <c r="AD3970">
        <v>6.22719999999998E-2</v>
      </c>
      <c r="AE3970">
        <v>11.1252999999999</v>
      </c>
      <c r="AF3970">
        <v>-8.7111094569068097</v>
      </c>
      <c r="AG3970">
        <v>6.22719999999998E-2</v>
      </c>
      <c r="AH3970">
        <v>200.121465914471</v>
      </c>
      <c r="AI3970">
        <v>89.982188081492595</v>
      </c>
      <c r="AJ3970">
        <v>92.492460903025403</v>
      </c>
      <c r="AK3970">
        <v>200.31097929352001</v>
      </c>
      <c r="AL3970">
        <v>78.838550151498595</v>
      </c>
      <c r="AM3970">
        <v>88.906263142956803</v>
      </c>
      <c r="AN3970">
        <v>1.0000000303685199</v>
      </c>
    </row>
    <row r="3971" spans="1:40" x14ac:dyDescent="0.25">
      <c r="A3971" t="str">
        <f>"20190303170332403"</f>
        <v>20190303170332403</v>
      </c>
      <c r="B3971" t="str">
        <f>"1551603812389799"</f>
        <v>1551603812389799</v>
      </c>
      <c r="C3971" t="s">
        <v>40</v>
      </c>
      <c r="D3971">
        <v>4.0508410000000001</v>
      </c>
      <c r="E3971">
        <v>0.47828520000000002</v>
      </c>
      <c r="F3971" t="s">
        <v>55</v>
      </c>
      <c r="G3971">
        <v>-157.25</v>
      </c>
      <c r="H3971">
        <v>1.344902</v>
      </c>
      <c r="I3971">
        <v>225.9006</v>
      </c>
      <c r="J3971">
        <v>-356.81619999999998</v>
      </c>
      <c r="K3971">
        <v>1.1218330000000001</v>
      </c>
      <c r="L3971">
        <v>214.31399999999999</v>
      </c>
      <c r="M3971">
        <v>0.99980559999999996</v>
      </c>
      <c r="N3971">
        <v>-1.5390559999999999E-2</v>
      </c>
      <c r="O3971">
        <v>1.233249E-2</v>
      </c>
      <c r="P3971">
        <v>0.98372269999999995</v>
      </c>
      <c r="Q3971">
        <v>0.17960090000000001</v>
      </c>
      <c r="R3971">
        <v>-5.7609150000000001E-3</v>
      </c>
      <c r="S3971">
        <v>3.049652</v>
      </c>
      <c r="T3971">
        <v>3.402352E-3</v>
      </c>
      <c r="U3971">
        <v>0.17675779999999999</v>
      </c>
      <c r="V3971">
        <v>1.7748989999999999E-2</v>
      </c>
      <c r="W3971">
        <v>0.19473099999999999</v>
      </c>
      <c r="X3971">
        <v>0.98069609999999996</v>
      </c>
      <c r="Y3971">
        <v>-4.5547240000000003E-2</v>
      </c>
      <c r="Z3971">
        <v>5.2884709999999997E-4</v>
      </c>
      <c r="AA3971">
        <v>0.99896200000000002</v>
      </c>
      <c r="AB3971">
        <v>43</v>
      </c>
      <c r="AC3971">
        <v>199.56620000000001</v>
      </c>
      <c r="AD3971">
        <v>0.22306899999999999</v>
      </c>
      <c r="AE3971">
        <v>11.586599999999899</v>
      </c>
      <c r="AF3971">
        <v>-9.1242678316172494</v>
      </c>
      <c r="AG3971">
        <v>0.22306899999999999</v>
      </c>
      <c r="AH3971">
        <v>199.693679667548</v>
      </c>
      <c r="AI3971">
        <v>89.936064143437605</v>
      </c>
      <c r="AJ3971">
        <v>92.616100270907694</v>
      </c>
      <c r="AK3971">
        <v>199.90214536719401</v>
      </c>
      <c r="AL3971">
        <v>78.770990374439194</v>
      </c>
      <c r="AM3971">
        <v>88.9631536149748</v>
      </c>
      <c r="AN3971">
        <v>1.0000000147811099</v>
      </c>
    </row>
    <row r="3972" spans="1:40" x14ac:dyDescent="0.25">
      <c r="A3972" t="str">
        <f>"20190303170332425"</f>
        <v>20190303170332425</v>
      </c>
      <c r="B3972" t="str">
        <f>"1551603812419079"</f>
        <v>1551603812419079</v>
      </c>
      <c r="C3972" t="s">
        <v>40</v>
      </c>
      <c r="D3972">
        <v>4.0217609999999997</v>
      </c>
      <c r="E3972">
        <v>0.47864230000000002</v>
      </c>
      <c r="F3972" t="s">
        <v>55</v>
      </c>
      <c r="G3972">
        <v>-157.25</v>
      </c>
      <c r="H3972">
        <v>1.4946539999999999</v>
      </c>
      <c r="I3972">
        <v>225.94579999999999</v>
      </c>
      <c r="J3972">
        <v>-356.37389999999999</v>
      </c>
      <c r="K3972">
        <v>1.121828</v>
      </c>
      <c r="L3972">
        <v>214.31970000000001</v>
      </c>
      <c r="M3972">
        <v>0.99980250000000004</v>
      </c>
      <c r="N3972">
        <v>-1.5385920000000001E-2</v>
      </c>
      <c r="O3972">
        <v>1.258721E-2</v>
      </c>
      <c r="P3972">
        <v>0.98352229999999996</v>
      </c>
      <c r="Q3972">
        <v>0.180725</v>
      </c>
      <c r="R3972">
        <v>-4.7495580000000001E-3</v>
      </c>
      <c r="S3972">
        <v>3.049652</v>
      </c>
      <c r="T3972">
        <v>5.6980850000000003E-3</v>
      </c>
      <c r="U3972">
        <v>0.17774960000000001</v>
      </c>
      <c r="V3972">
        <v>1.6991099999999999E-2</v>
      </c>
      <c r="W3972">
        <v>0.1958464</v>
      </c>
      <c r="X3972">
        <v>0.98048729999999995</v>
      </c>
      <c r="Y3972">
        <v>-4.5616919999999998E-2</v>
      </c>
      <c r="Z3972">
        <v>5.2569420000000001E-4</v>
      </c>
      <c r="AA3972">
        <v>0.99895889999999998</v>
      </c>
      <c r="AB3972">
        <v>43</v>
      </c>
      <c r="AC3972">
        <v>199.12389999999999</v>
      </c>
      <c r="AD3972">
        <v>0.37282599999999999</v>
      </c>
      <c r="AE3972">
        <v>11.6260999999999</v>
      </c>
      <c r="AF3972">
        <v>-9.11843607079952</v>
      </c>
      <c r="AG3972">
        <v>0.37282599999999999</v>
      </c>
      <c r="AH3972">
        <v>199.25378259658399</v>
      </c>
      <c r="AI3972">
        <v>89.892905428069298</v>
      </c>
      <c r="AJ3972">
        <v>92.620194417577196</v>
      </c>
      <c r="AK3972">
        <v>199.46266506454401</v>
      </c>
      <c r="AL3972">
        <v>78.705827013050396</v>
      </c>
      <c r="AM3972">
        <v>89.007207042026394</v>
      </c>
      <c r="AN3972">
        <v>0.99999992766672696</v>
      </c>
    </row>
    <row r="3973" spans="1:40" x14ac:dyDescent="0.25">
      <c r="A3973" t="str">
        <f>"20190303170332448"</f>
        <v>20190303170332448</v>
      </c>
      <c r="B3973" t="str">
        <f>"1551603812439575"</f>
        <v>1551603812439575</v>
      </c>
      <c r="C3973" t="s">
        <v>40</v>
      </c>
      <c r="D3973">
        <v>4.0380219999999998</v>
      </c>
      <c r="E3973">
        <v>0.47877310000000001</v>
      </c>
      <c r="F3973" t="s">
        <v>55</v>
      </c>
      <c r="G3973">
        <v>-157.25</v>
      </c>
      <c r="H3973">
        <v>1.9804949999999999</v>
      </c>
      <c r="I3973">
        <v>225.9323</v>
      </c>
      <c r="J3973">
        <v>-355.93830000000003</v>
      </c>
      <c r="K3973">
        <v>1.121815</v>
      </c>
      <c r="L3973">
        <v>214.3254</v>
      </c>
      <c r="M3973">
        <v>0.99979949999999995</v>
      </c>
      <c r="N3973">
        <v>-1.538135E-2</v>
      </c>
      <c r="O3973">
        <v>1.281844E-2</v>
      </c>
      <c r="P3973">
        <v>0.98342479999999999</v>
      </c>
      <c r="Q3973">
        <v>0.1812705</v>
      </c>
      <c r="R3973">
        <v>-4.1004550000000002E-3</v>
      </c>
      <c r="S3973">
        <v>3.0487060000000001</v>
      </c>
      <c r="T3973">
        <v>1.3147590000000001E-2</v>
      </c>
      <c r="U3973">
        <v>0.17779539999999999</v>
      </c>
      <c r="V3973">
        <v>1.6575719999999999E-2</v>
      </c>
      <c r="W3973">
        <v>0.19638459999999999</v>
      </c>
      <c r="X3973">
        <v>0.98038689999999995</v>
      </c>
      <c r="Y3973">
        <v>-4.5419960000000002E-2</v>
      </c>
      <c r="Z3973">
        <v>5.0402349999999999E-4</v>
      </c>
      <c r="AA3973">
        <v>0.99896779999999996</v>
      </c>
      <c r="AB3973">
        <v>43</v>
      </c>
      <c r="AC3973">
        <v>198.6883</v>
      </c>
      <c r="AD3973">
        <v>0.85868</v>
      </c>
      <c r="AE3973">
        <v>11.6068999999999</v>
      </c>
      <c r="AF3973">
        <v>-9.0586020785974597</v>
      </c>
      <c r="AG3973">
        <v>0.85868</v>
      </c>
      <c r="AH3973">
        <v>198.81707117692301</v>
      </c>
      <c r="AI3973">
        <v>89.752800666271597</v>
      </c>
      <c r="AJ3973">
        <v>92.608734549758395</v>
      </c>
      <c r="AK3973">
        <v>199.02518281446299</v>
      </c>
      <c r="AL3973">
        <v>78.674381370321001</v>
      </c>
      <c r="AM3973">
        <v>89.031373920727603</v>
      </c>
      <c r="AN3973">
        <v>1.00000006965114</v>
      </c>
    </row>
    <row r="3974" spans="1:40" x14ac:dyDescent="0.25">
      <c r="A3974" t="str">
        <f>"20190303170332470"</f>
        <v>20190303170332470</v>
      </c>
      <c r="B3974" t="str">
        <f>"1551603812459095"</f>
        <v>1551603812459095</v>
      </c>
      <c r="C3974" t="s">
        <v>40</v>
      </c>
      <c r="D3974">
        <v>4.0666330000000004</v>
      </c>
      <c r="E3974">
        <v>0.47887439999999998</v>
      </c>
      <c r="F3974" t="s">
        <v>55</v>
      </c>
      <c r="G3974">
        <v>-157.25</v>
      </c>
      <c r="H3974">
        <v>2.0192580000000002</v>
      </c>
      <c r="I3974">
        <v>225.98689999999999</v>
      </c>
      <c r="J3974">
        <v>-355.51499999999999</v>
      </c>
      <c r="K3974">
        <v>1.121794</v>
      </c>
      <c r="L3974">
        <v>214.33099999999999</v>
      </c>
      <c r="M3974">
        <v>0.99979720000000005</v>
      </c>
      <c r="N3974">
        <v>-1.5376819999999999E-2</v>
      </c>
      <c r="O3974">
        <v>1.301945E-2</v>
      </c>
      <c r="P3974">
        <v>0.98337669999999999</v>
      </c>
      <c r="Q3974">
        <v>0.18154049999999999</v>
      </c>
      <c r="R3974">
        <v>-3.6951879999999999E-3</v>
      </c>
      <c r="S3974">
        <v>3.0487669999999998</v>
      </c>
      <c r="T3974">
        <v>1.377165E-2</v>
      </c>
      <c r="U3974">
        <v>0.17893979999999901</v>
      </c>
      <c r="V3974">
        <v>1.637688E-2</v>
      </c>
      <c r="W3974">
        <v>0.1966483</v>
      </c>
      <c r="X3974">
        <v>0.98033729999999997</v>
      </c>
      <c r="Y3974">
        <v>-4.559179E-2</v>
      </c>
      <c r="Z3974">
        <v>5.0677209999999999E-4</v>
      </c>
      <c r="AA3974">
        <v>0.99895999999999996</v>
      </c>
      <c r="AB3974">
        <v>43</v>
      </c>
      <c r="AC3974">
        <v>198.26499999999999</v>
      </c>
      <c r="AD3974">
        <v>0.89746400000000004</v>
      </c>
      <c r="AE3974">
        <v>11.655900000000001</v>
      </c>
      <c r="AF3974">
        <v>-9.0731206141154104</v>
      </c>
      <c r="AG3974">
        <v>0.89746400000000004</v>
      </c>
      <c r="AH3974">
        <v>198.395911949333</v>
      </c>
      <c r="AI3974">
        <v>89.741089111437702</v>
      </c>
      <c r="AJ3974">
        <v>92.618448900216904</v>
      </c>
      <c r="AK3974">
        <v>198.60529911741301</v>
      </c>
      <c r="AL3974">
        <v>78.658971072120806</v>
      </c>
      <c r="AM3974">
        <v>89.042942837777403</v>
      </c>
      <c r="AN3974">
        <v>0.999999988931357</v>
      </c>
    </row>
    <row r="3975" spans="1:40" x14ac:dyDescent="0.25">
      <c r="A3975" t="str">
        <f>"20190303170332492"</f>
        <v>20190303170332492</v>
      </c>
      <c r="B3975" t="str">
        <f>"1551603812479591"</f>
        <v>1551603812479591</v>
      </c>
      <c r="C3975" t="s">
        <v>40</v>
      </c>
      <c r="D3975">
        <v>4.0111919999999897</v>
      </c>
      <c r="E3975">
        <v>0.47882229999999998</v>
      </c>
      <c r="F3975" t="s">
        <v>55</v>
      </c>
      <c r="G3975">
        <v>-157.25</v>
      </c>
      <c r="H3975">
        <v>1.9874270000000001</v>
      </c>
      <c r="I3975">
        <v>225.97890000000001</v>
      </c>
      <c r="J3975">
        <v>-355.1078</v>
      </c>
      <c r="K3975">
        <v>1.121772</v>
      </c>
      <c r="L3975">
        <v>214.3365</v>
      </c>
      <c r="M3975">
        <v>0.99979499999999999</v>
      </c>
      <c r="N3975">
        <v>-1.5372429999999999E-2</v>
      </c>
      <c r="O3975">
        <v>1.3189070000000001E-2</v>
      </c>
      <c r="P3975">
        <v>0.98332090000000005</v>
      </c>
      <c r="Q3975">
        <v>0.181838</v>
      </c>
      <c r="R3975">
        <v>-3.9572100000000001E-3</v>
      </c>
      <c r="S3975">
        <v>3.04895</v>
      </c>
      <c r="T3975">
        <v>1.33127E-2</v>
      </c>
      <c r="U3975">
        <v>0.1791229</v>
      </c>
      <c r="V3975">
        <v>1.6815090000000001E-2</v>
      </c>
      <c r="W3975">
        <v>0.19694</v>
      </c>
      <c r="X3975">
        <v>0.98027129999999996</v>
      </c>
      <c r="Y3975">
        <v>-4.547855E-2</v>
      </c>
      <c r="Z3975">
        <v>5.1081059999999998E-4</v>
      </c>
      <c r="AA3975">
        <v>0.9989652</v>
      </c>
      <c r="AB3975">
        <v>43</v>
      </c>
      <c r="AC3975">
        <v>197.8578</v>
      </c>
      <c r="AD3975">
        <v>0.86565499999999995</v>
      </c>
      <c r="AE3975">
        <v>11.6424</v>
      </c>
      <c r="AF3975">
        <v>-9.0313464648433008</v>
      </c>
      <c r="AG3975">
        <v>0.86565499999999995</v>
      </c>
      <c r="AH3975">
        <v>197.990380082863</v>
      </c>
      <c r="AI3975">
        <v>89.749752776999401</v>
      </c>
      <c r="AJ3975">
        <v>92.611740960392595</v>
      </c>
      <c r="AK3975">
        <v>198.198146265053</v>
      </c>
      <c r="AL3975">
        <v>78.641924283923601</v>
      </c>
      <c r="AM3975">
        <v>89.017272859725296</v>
      </c>
      <c r="AN3975">
        <v>0.99999996622769804</v>
      </c>
    </row>
    <row r="3976" spans="1:40" x14ac:dyDescent="0.25">
      <c r="A3976" t="str">
        <f>"20190303170332514"</f>
        <v>20190303170332514</v>
      </c>
      <c r="B3976" t="str">
        <f>"1551603812509848"</f>
        <v>1551603812509848</v>
      </c>
      <c r="C3976" t="s">
        <v>40</v>
      </c>
      <c r="D3976">
        <v>4.0469900000000001</v>
      </c>
      <c r="E3976">
        <v>0.47899659999999999</v>
      </c>
      <c r="F3976" t="s">
        <v>55</v>
      </c>
      <c r="G3976">
        <v>-157.25</v>
      </c>
      <c r="H3976">
        <v>2.0085519999999999</v>
      </c>
      <c r="I3976">
        <v>225.91839999999999</v>
      </c>
      <c r="J3976">
        <v>-354.6712</v>
      </c>
      <c r="K3976">
        <v>1.1217469999999901</v>
      </c>
      <c r="L3976">
        <v>214.34229999999999</v>
      </c>
      <c r="M3976">
        <v>0.99979289999999998</v>
      </c>
      <c r="N3976">
        <v>-1.5367540000000001E-2</v>
      </c>
      <c r="O3976">
        <v>1.334607E-2</v>
      </c>
      <c r="P3976">
        <v>0.98335989999999995</v>
      </c>
      <c r="Q3976">
        <v>0.1815975</v>
      </c>
      <c r="R3976">
        <v>-5.0788669999999999E-3</v>
      </c>
      <c r="S3976">
        <v>3.0490719999999998</v>
      </c>
      <c r="T3976">
        <v>1.366651E-2</v>
      </c>
      <c r="U3976">
        <v>0.1784821</v>
      </c>
      <c r="V3976">
        <v>1.8103569999999999E-2</v>
      </c>
      <c r="W3976">
        <v>0.19669500000000001</v>
      </c>
      <c r="X3976">
        <v>0.98029759999999999</v>
      </c>
      <c r="Y3976">
        <v>-4.5110150000000002E-2</v>
      </c>
      <c r="Z3976">
        <v>5.1063379999999998E-4</v>
      </c>
      <c r="AA3976">
        <v>0.99898189999999998</v>
      </c>
      <c r="AB3976">
        <v>43</v>
      </c>
      <c r="AC3976">
        <v>197.4212</v>
      </c>
      <c r="AD3976">
        <v>0.88680499999999995</v>
      </c>
      <c r="AE3976">
        <v>11.576099999999901</v>
      </c>
      <c r="AF3976">
        <v>-8.9397808243941004</v>
      </c>
      <c r="AG3976">
        <v>0.88680499999999995</v>
      </c>
      <c r="AH3976">
        <v>197.55415414686999</v>
      </c>
      <c r="AI3976">
        <v>89.743068427548195</v>
      </c>
      <c r="AJ3976">
        <v>92.5909984600993</v>
      </c>
      <c r="AK3976">
        <v>197.758311898594</v>
      </c>
      <c r="AL3976">
        <v>78.656242456376205</v>
      </c>
      <c r="AM3976">
        <v>88.942014892450402</v>
      </c>
      <c r="AN3976">
        <v>1.0000000234187501</v>
      </c>
    </row>
    <row r="3977" spans="1:40" x14ac:dyDescent="0.25">
      <c r="A3977" t="str">
        <f>"20190303170332537"</f>
        <v>20190303170332537</v>
      </c>
      <c r="B3977" t="str">
        <f>"1551603812529368"</f>
        <v>1551603812529368</v>
      </c>
      <c r="C3977" t="s">
        <v>40</v>
      </c>
      <c r="D3977">
        <v>4.0393589999999904</v>
      </c>
      <c r="E3977">
        <v>0.47914800000000002</v>
      </c>
      <c r="F3977" t="s">
        <v>55</v>
      </c>
      <c r="G3977">
        <v>-157.25</v>
      </c>
      <c r="H3977">
        <v>1.915759</v>
      </c>
      <c r="I3977">
        <v>225.5943</v>
      </c>
      <c r="J3977">
        <v>-354.24509999999998</v>
      </c>
      <c r="K3977">
        <v>1.1217239999999999</v>
      </c>
      <c r="L3977">
        <v>214.34809999999999</v>
      </c>
      <c r="M3977">
        <v>0.99979110000000004</v>
      </c>
      <c r="N3977">
        <v>-1.5362819999999999E-2</v>
      </c>
      <c r="O3977">
        <v>1.347478E-2</v>
      </c>
      <c r="P3977">
        <v>0.98343100000000006</v>
      </c>
      <c r="Q3977">
        <v>0.18120549999999999</v>
      </c>
      <c r="R3977">
        <v>-5.2886599999999997E-3</v>
      </c>
      <c r="S3977">
        <v>3.0493769999999998</v>
      </c>
      <c r="T3977">
        <v>1.226521E-2</v>
      </c>
      <c r="U3977">
        <v>0.1737976</v>
      </c>
      <c r="V3977">
        <v>1.845223E-2</v>
      </c>
      <c r="W3977">
        <v>0.19629859999999999</v>
      </c>
      <c r="X3977">
        <v>0.98037050000000003</v>
      </c>
      <c r="Y3977">
        <v>-4.3445930000000001E-2</v>
      </c>
      <c r="Z3977">
        <v>5.0773289999999998E-4</v>
      </c>
      <c r="AA3977">
        <v>0.99905560000000004</v>
      </c>
      <c r="AB3977">
        <v>43</v>
      </c>
      <c r="AC3977">
        <v>196.99510000000001</v>
      </c>
      <c r="AD3977">
        <v>0.79403500000000005</v>
      </c>
      <c r="AE3977">
        <v>11.2462</v>
      </c>
      <c r="AF3977">
        <v>-8.5902604530014806</v>
      </c>
      <c r="AG3977">
        <v>0.79403500000000005</v>
      </c>
      <c r="AH3977">
        <v>197.12557650205301</v>
      </c>
      <c r="AI3977">
        <v>89.769428840098001</v>
      </c>
      <c r="AJ3977">
        <v>92.495234141245106</v>
      </c>
      <c r="AK3977">
        <v>197.31425690379999</v>
      </c>
      <c r="AL3977">
        <v>78.679405491590003</v>
      </c>
      <c r="AM3977">
        <v>88.921723895008796</v>
      </c>
      <c r="AN3977">
        <v>0.99999997121209105</v>
      </c>
    </row>
    <row r="3978" spans="1:40" x14ac:dyDescent="0.25">
      <c r="A3978" t="str">
        <f>"20190303170332558"</f>
        <v>20190303170332558</v>
      </c>
      <c r="B3978" t="str">
        <f>"1551603812549864"</f>
        <v>1551603812549864</v>
      </c>
      <c r="C3978" t="s">
        <v>40</v>
      </c>
      <c r="D3978">
        <v>4.0602619999999998</v>
      </c>
      <c r="E3978">
        <v>0.47924620000000001</v>
      </c>
      <c r="F3978" t="s">
        <v>55</v>
      </c>
      <c r="G3978">
        <v>-157.25</v>
      </c>
      <c r="H3978">
        <v>1.80738</v>
      </c>
      <c r="I3978">
        <v>225.4393</v>
      </c>
      <c r="J3978">
        <v>-353.83269999999999</v>
      </c>
      <c r="K3978">
        <v>1.1217029999999999</v>
      </c>
      <c r="L3978">
        <v>214.35380000000001</v>
      </c>
      <c r="M3978">
        <v>0.99978979999999995</v>
      </c>
      <c r="N3978">
        <v>-1.535826E-2</v>
      </c>
      <c r="O3978">
        <v>1.358142E-2</v>
      </c>
      <c r="P3978">
        <v>0.98345859999999996</v>
      </c>
      <c r="Q3978">
        <v>0.1810389</v>
      </c>
      <c r="R3978">
        <v>-5.8333469999999896E-3</v>
      </c>
      <c r="S3978">
        <v>3.0495000000000001</v>
      </c>
      <c r="T3978">
        <v>1.061487E-2</v>
      </c>
      <c r="U3978">
        <v>0.17169189999999901</v>
      </c>
      <c r="V3978">
        <v>1.9111940000000001E-2</v>
      </c>
      <c r="W3978">
        <v>0.19612650000000001</v>
      </c>
      <c r="X3978">
        <v>0.98039229999999999</v>
      </c>
      <c r="Y3978">
        <v>-4.2649189999999997E-2</v>
      </c>
      <c r="Z3978">
        <v>5.0930219999999996E-4</v>
      </c>
      <c r="AA3978">
        <v>0.99909000000000003</v>
      </c>
      <c r="AB3978">
        <v>43</v>
      </c>
      <c r="AC3978">
        <v>196.58269999999999</v>
      </c>
      <c r="AD3978">
        <v>0.68567699999999898</v>
      </c>
      <c r="AE3978">
        <v>11.0854999999999</v>
      </c>
      <c r="AF3978">
        <v>-8.4141880993874008</v>
      </c>
      <c r="AG3978">
        <v>0.68567699999999898</v>
      </c>
      <c r="AH3978">
        <v>196.71275352497199</v>
      </c>
      <c r="AI3978">
        <v>89.800468710801596</v>
      </c>
      <c r="AJ3978">
        <v>92.449275720357903</v>
      </c>
      <c r="AK3978">
        <v>196.893819389275</v>
      </c>
      <c r="AL3978">
        <v>78.689461512939204</v>
      </c>
      <c r="AM3978">
        <v>88.883207447338805</v>
      </c>
      <c r="AN3978">
        <v>0.99999996607605102</v>
      </c>
    </row>
    <row r="3979" spans="1:40" x14ac:dyDescent="0.25">
      <c r="A3979" t="str">
        <f>"20190303170332580"</f>
        <v>20190303170332580</v>
      </c>
      <c r="B3979" t="str">
        <f>"1551603812569383"</f>
        <v>1551603812569383</v>
      </c>
      <c r="C3979" t="s">
        <v>40</v>
      </c>
      <c r="D3979">
        <v>4.039968</v>
      </c>
      <c r="E3979">
        <v>0.47940650000000001</v>
      </c>
      <c r="F3979" t="s">
        <v>55</v>
      </c>
      <c r="G3979">
        <v>-157.25</v>
      </c>
      <c r="H3979">
        <v>1.739177</v>
      </c>
      <c r="I3979">
        <v>225.2577</v>
      </c>
      <c r="J3979">
        <v>-353.42180000000002</v>
      </c>
      <c r="K3979">
        <v>1.1216809999999999</v>
      </c>
      <c r="L3979">
        <v>214.3595</v>
      </c>
      <c r="M3979">
        <v>0.99978880000000003</v>
      </c>
      <c r="N3979">
        <v>-1.53537E-2</v>
      </c>
      <c r="O3979">
        <v>1.3674530000000001E-2</v>
      </c>
      <c r="P3979">
        <v>0.98356710000000003</v>
      </c>
      <c r="Q3979">
        <v>0.1804325</v>
      </c>
      <c r="R3979">
        <v>-6.34995E-3</v>
      </c>
      <c r="S3979">
        <v>3.0497130000000001</v>
      </c>
      <c r="T3979">
        <v>9.580135E-3</v>
      </c>
      <c r="U3979">
        <v>0.1691589</v>
      </c>
      <c r="V3979">
        <v>1.9730259999999999E-2</v>
      </c>
      <c r="W3979">
        <v>0.1955172</v>
      </c>
      <c r="X3979">
        <v>0.98050179999999998</v>
      </c>
      <c r="Y3979">
        <v>-4.1724829999999997E-2</v>
      </c>
      <c r="Z3979">
        <v>5.0783739999999897E-4</v>
      </c>
      <c r="AA3979">
        <v>0.99912900000000004</v>
      </c>
      <c r="AB3979">
        <v>43</v>
      </c>
      <c r="AC3979">
        <v>196.17179999999999</v>
      </c>
      <c r="AD3979">
        <v>0.61749600000000004</v>
      </c>
      <c r="AE3979">
        <v>10.898199999999999</v>
      </c>
      <c r="AF3979">
        <v>-8.2142267254606001</v>
      </c>
      <c r="AG3979">
        <v>0.61749600000000004</v>
      </c>
      <c r="AH3979">
        <v>196.30055977113699</v>
      </c>
      <c r="AI3979">
        <v>89.819924795298604</v>
      </c>
      <c r="AJ3979">
        <v>92.396152676857298</v>
      </c>
      <c r="AK3979">
        <v>196.473317751976</v>
      </c>
      <c r="AL3979">
        <v>78.725061665891204</v>
      </c>
      <c r="AM3979">
        <v>88.847214679404502</v>
      </c>
      <c r="AN3979">
        <v>1.0000000192293701</v>
      </c>
    </row>
    <row r="3980" spans="1:40" x14ac:dyDescent="0.25">
      <c r="A3980" t="str">
        <f>"20190303170332603"</f>
        <v>20190303170332603</v>
      </c>
      <c r="B3980" t="str">
        <f>"1551603812589879"</f>
        <v>1551603812589879</v>
      </c>
      <c r="C3980" t="s">
        <v>40</v>
      </c>
      <c r="D3980">
        <v>4.0685010000000004</v>
      </c>
      <c r="E3980">
        <v>0.47955890000000001</v>
      </c>
      <c r="F3980" t="s">
        <v>55</v>
      </c>
      <c r="G3980">
        <v>-168.35059999999999</v>
      </c>
      <c r="H3980">
        <v>1.5977049999999999</v>
      </c>
      <c r="I3980">
        <v>224.48849999999999</v>
      </c>
      <c r="J3980">
        <v>-352.97809999999998</v>
      </c>
      <c r="K3980">
        <v>1.1216699999999999</v>
      </c>
      <c r="L3980">
        <v>214.3656</v>
      </c>
      <c r="M3980">
        <v>0.99978750000000005</v>
      </c>
      <c r="N3980">
        <v>-1.534873E-2</v>
      </c>
      <c r="O3980">
        <v>1.376518E-2</v>
      </c>
      <c r="P3980">
        <v>0.98362229999999995</v>
      </c>
      <c r="Q3980">
        <v>0.18011750000000001</v>
      </c>
      <c r="R3980">
        <v>-6.6986469999999899E-3</v>
      </c>
      <c r="S3980">
        <v>3.0497740000000002</v>
      </c>
      <c r="T3980">
        <v>7.8452829999999998E-3</v>
      </c>
      <c r="U3980">
        <v>0.16691589999999901</v>
      </c>
      <c r="V3980">
        <v>2.0176240000000002E-2</v>
      </c>
      <c r="W3980">
        <v>0.19519739999999999</v>
      </c>
      <c r="X3980">
        <v>0.98055639999999999</v>
      </c>
      <c r="Y3980">
        <v>-4.0900249999999999E-2</v>
      </c>
      <c r="Z3980">
        <v>5.0810150000000001E-4</v>
      </c>
      <c r="AA3980">
        <v>0.99916309999999997</v>
      </c>
      <c r="AB3980">
        <v>43</v>
      </c>
      <c r="AC3980">
        <v>184.6275</v>
      </c>
      <c r="AD3980">
        <v>0.47603499999999899</v>
      </c>
      <c r="AE3980">
        <v>10.1228999999999</v>
      </c>
      <c r="AF3980">
        <v>-7.5801603984458499</v>
      </c>
      <c r="AG3980">
        <v>0.47603499999999899</v>
      </c>
      <c r="AH3980">
        <v>184.74813886709899</v>
      </c>
      <c r="AI3980">
        <v>89.852492113777203</v>
      </c>
      <c r="AJ3980">
        <v>92.349510721299396</v>
      </c>
      <c r="AK3980">
        <v>184.90419209916399</v>
      </c>
      <c r="AL3980">
        <v>78.743744388889795</v>
      </c>
      <c r="AM3980">
        <v>88.821230177388699</v>
      </c>
      <c r="AN3980">
        <v>0.99999997960412801</v>
      </c>
    </row>
    <row r="3981" spans="1:40" x14ac:dyDescent="0.25">
      <c r="A3981" t="str">
        <f>"20190303170332625"</f>
        <v>20190303170332625</v>
      </c>
      <c r="B3981" t="str">
        <f>"1551603812619160"</f>
        <v>1551603812619160</v>
      </c>
      <c r="C3981" t="s">
        <v>40</v>
      </c>
      <c r="D3981">
        <v>4.2452019999999999</v>
      </c>
      <c r="E3981">
        <v>0.47959099999999999</v>
      </c>
      <c r="F3981" t="s">
        <v>55</v>
      </c>
      <c r="G3981">
        <v>-168.35059999999999</v>
      </c>
      <c r="H3981">
        <v>1.4859599999999999</v>
      </c>
      <c r="I3981">
        <v>224.34870000000001</v>
      </c>
      <c r="J3981">
        <v>-352.54770000000002</v>
      </c>
      <c r="K3981">
        <v>1.121658</v>
      </c>
      <c r="L3981">
        <v>214.3716</v>
      </c>
      <c r="M3981">
        <v>0.99978639999999996</v>
      </c>
      <c r="N3981">
        <v>-1.5343910000000001E-2</v>
      </c>
      <c r="O3981">
        <v>1.3846539999999999E-2</v>
      </c>
      <c r="P3981">
        <v>0.9836625</v>
      </c>
      <c r="Q3981">
        <v>0.1799222</v>
      </c>
      <c r="R3981">
        <v>-6.0045940000000003E-3</v>
      </c>
      <c r="S3981">
        <v>3.0499879999999999</v>
      </c>
      <c r="T3981">
        <v>6.0188769999999997E-3</v>
      </c>
      <c r="U3981">
        <v>0.16491700000000001</v>
      </c>
      <c r="V3981">
        <v>1.956861E-2</v>
      </c>
      <c r="W3981">
        <v>0.19499710000000001</v>
      </c>
      <c r="X3981">
        <v>0.98060860000000005</v>
      </c>
      <c r="Y3981">
        <v>-4.016194E-2</v>
      </c>
      <c r="Z3981">
        <v>5.0840519999999895E-4</v>
      </c>
      <c r="AA3981">
        <v>0.99919309999999995</v>
      </c>
      <c r="AB3981">
        <v>43</v>
      </c>
      <c r="AC3981">
        <v>184.19710000000001</v>
      </c>
      <c r="AD3981">
        <v>0.36430199999999902</v>
      </c>
      <c r="AE3981">
        <v>9.9771000000000001</v>
      </c>
      <c r="AF3981">
        <v>-7.4253215363411504</v>
      </c>
      <c r="AG3981">
        <v>0.36430199999999902</v>
      </c>
      <c r="AH3981">
        <v>184.316882955849</v>
      </c>
      <c r="AI3981">
        <v>89.886846920878</v>
      </c>
      <c r="AJ3981">
        <v>92.306949040359896</v>
      </c>
      <c r="AK3981">
        <v>184.46674892355401</v>
      </c>
      <c r="AL3981">
        <v>78.7554459649688</v>
      </c>
      <c r="AM3981">
        <v>88.8567814215764</v>
      </c>
      <c r="AN3981">
        <v>1.0000000129498501</v>
      </c>
    </row>
    <row r="3982" spans="1:40" x14ac:dyDescent="0.25">
      <c r="A3982" t="str">
        <f>"20190303170332649"</f>
        <v>20190303170332649</v>
      </c>
      <c r="B3982" t="str">
        <f>"1551603812639656"</f>
        <v>1551603812639656</v>
      </c>
      <c r="C3982" t="s">
        <v>40</v>
      </c>
      <c r="D3982">
        <v>4.1796509999999998</v>
      </c>
      <c r="E3982">
        <v>0.47900989999999999</v>
      </c>
      <c r="F3982" t="s">
        <v>55</v>
      </c>
      <c r="G3982">
        <v>-168.35059999999999</v>
      </c>
      <c r="H3982">
        <v>1.3819410000000001</v>
      </c>
      <c r="I3982">
        <v>224.45930000000001</v>
      </c>
      <c r="J3982">
        <v>-352.11360000000002</v>
      </c>
      <c r="K3982">
        <v>1.1216440000000001</v>
      </c>
      <c r="L3982">
        <v>214.3777</v>
      </c>
      <c r="M3982">
        <v>0.99978549999999999</v>
      </c>
      <c r="N3982">
        <v>-1.5338930000000001E-2</v>
      </c>
      <c r="O3982">
        <v>1.392495E-2</v>
      </c>
      <c r="P3982">
        <v>0.98366480000000001</v>
      </c>
      <c r="Q3982">
        <v>0.179922</v>
      </c>
      <c r="R3982">
        <v>-5.6463219999999996E-3</v>
      </c>
      <c r="S3982">
        <v>3.050049</v>
      </c>
      <c r="T3982">
        <v>4.3108460000000001E-3</v>
      </c>
      <c r="U3982">
        <v>0.16703799999999999</v>
      </c>
      <c r="V3982">
        <v>1.929196E-2</v>
      </c>
      <c r="W3982">
        <v>0.19499159999999999</v>
      </c>
      <c r="X3982">
        <v>0.98061520000000002</v>
      </c>
      <c r="Y3982">
        <v>-4.0775020000000002E-2</v>
      </c>
      <c r="Z3982">
        <v>5.1731499999999996E-4</v>
      </c>
      <c r="AA3982">
        <v>0.99916819999999895</v>
      </c>
      <c r="AB3982">
        <v>42</v>
      </c>
      <c r="AC3982">
        <v>183.76300000000001</v>
      </c>
      <c r="AD3982">
        <v>0.260297</v>
      </c>
      <c r="AE3982">
        <v>10.0816</v>
      </c>
      <c r="AF3982">
        <v>-7.52141587130982</v>
      </c>
      <c r="AG3982">
        <v>0.260297</v>
      </c>
      <c r="AH3982">
        <v>183.88521316897899</v>
      </c>
      <c r="AI3982">
        <v>89.918963307660903</v>
      </c>
      <c r="AJ3982">
        <v>92.342250851552606</v>
      </c>
      <c r="AK3982">
        <v>184.039156359288</v>
      </c>
      <c r="AL3982">
        <v>78.755767534643496</v>
      </c>
      <c r="AM3982">
        <v>88.872946987611499</v>
      </c>
      <c r="AN3982">
        <v>1.00000003713112</v>
      </c>
    </row>
    <row r="3983" spans="1:40" x14ac:dyDescent="0.25">
      <c r="A3983" t="str">
        <f>"20190303170332670"</f>
        <v>20190303170332670</v>
      </c>
      <c r="B3983" t="str">
        <f>"1551603812659174"</f>
        <v>1551603812659174</v>
      </c>
      <c r="C3983" t="s">
        <v>40</v>
      </c>
      <c r="D3983">
        <v>4.2675269999999896</v>
      </c>
      <c r="E3983">
        <v>0.47762379999999999</v>
      </c>
      <c r="F3983" t="s">
        <v>55</v>
      </c>
      <c r="G3983">
        <v>-157.25</v>
      </c>
      <c r="H3983">
        <v>1.294125</v>
      </c>
      <c r="I3983">
        <v>225.41229999999999</v>
      </c>
      <c r="J3983">
        <v>-351.70769999999999</v>
      </c>
      <c r="K3983">
        <v>1.121642</v>
      </c>
      <c r="L3983">
        <v>214.3835</v>
      </c>
      <c r="M3983">
        <v>0.99978460000000002</v>
      </c>
      <c r="N3983">
        <v>-1.533433E-2</v>
      </c>
      <c r="O3983">
        <v>1.399715E-2</v>
      </c>
      <c r="P3983">
        <v>0.98359949999999996</v>
      </c>
      <c r="Q3983">
        <v>0.18029880000000001</v>
      </c>
      <c r="R3983">
        <v>-4.9607280000000002E-3</v>
      </c>
      <c r="S3983">
        <v>3.0502929999999999</v>
      </c>
      <c r="T3983">
        <v>2.700806E-3</v>
      </c>
      <c r="U3983">
        <v>0.17272950000000001</v>
      </c>
      <c r="V3983">
        <v>1.8679939999999999E-2</v>
      </c>
      <c r="W3983">
        <v>0.19536239999999999</v>
      </c>
      <c r="X3983">
        <v>0.98055320000000001</v>
      </c>
      <c r="Y3983">
        <v>-4.2556770000000001E-2</v>
      </c>
      <c r="Z3983">
        <v>5.3462919999999997E-4</v>
      </c>
      <c r="AA3983">
        <v>0.99909389999999998</v>
      </c>
      <c r="AB3983">
        <v>42</v>
      </c>
      <c r="AC3983">
        <v>194.45769999999999</v>
      </c>
      <c r="AD3983">
        <v>0.172482999999999</v>
      </c>
      <c r="AE3983">
        <v>11.028799999999899</v>
      </c>
      <c r="AF3983">
        <v>-8.3055395544587398</v>
      </c>
      <c r="AG3983">
        <v>0.172482999999999</v>
      </c>
      <c r="AH3983">
        <v>194.59288278541601</v>
      </c>
      <c r="AI3983">
        <v>89.949260446351502</v>
      </c>
      <c r="AJ3983">
        <v>92.443993340537205</v>
      </c>
      <c r="AK3983">
        <v>194.770125451555</v>
      </c>
      <c r="AL3983">
        <v>78.7341051534532</v>
      </c>
      <c r="AM3983">
        <v>88.908623951384797</v>
      </c>
      <c r="AN3983">
        <v>0.999999992761201</v>
      </c>
    </row>
    <row r="3984" spans="1:40" x14ac:dyDescent="0.25">
      <c r="A3984" t="str">
        <f>"20190303170332692"</f>
        <v>20190303170332692</v>
      </c>
      <c r="B3984" t="str">
        <f>"1551603812679671"</f>
        <v>1551603812679671</v>
      </c>
      <c r="C3984" t="s">
        <v>40</v>
      </c>
      <c r="D3984">
        <v>4.0732220000000003</v>
      </c>
      <c r="E3984">
        <v>0.45296890000000001</v>
      </c>
      <c r="F3984" t="s">
        <v>55</v>
      </c>
      <c r="G3984">
        <v>-157.25</v>
      </c>
      <c r="H3984">
        <v>1.3244290000000001</v>
      </c>
      <c r="I3984">
        <v>226.21860000000001</v>
      </c>
      <c r="J3984">
        <v>-351.29640000000001</v>
      </c>
      <c r="K3984">
        <v>1.121637</v>
      </c>
      <c r="L3984">
        <v>214.38929999999999</v>
      </c>
      <c r="M3984">
        <v>0.99978350000000005</v>
      </c>
      <c r="N3984">
        <v>-1.532971E-2</v>
      </c>
      <c r="O3984">
        <v>1.4069720000000001E-2</v>
      </c>
      <c r="P3984">
        <v>0.98360570000000003</v>
      </c>
      <c r="Q3984">
        <v>0.1802774</v>
      </c>
      <c r="R3984">
        <v>-4.4781619999999999E-3</v>
      </c>
      <c r="S3984">
        <v>3.0503849999999999</v>
      </c>
      <c r="T3984">
        <v>3.181934E-3</v>
      </c>
      <c r="U3984">
        <v>0.1856537</v>
      </c>
      <c r="V3984">
        <v>1.8272050000000001E-2</v>
      </c>
      <c r="W3984">
        <v>0.19533619999999999</v>
      </c>
      <c r="X3984">
        <v>0.9805661</v>
      </c>
      <c r="Y3984">
        <v>-4.6700800000000001E-2</v>
      </c>
      <c r="Z3984">
        <v>5.6415709999999995E-4</v>
      </c>
      <c r="AA3984">
        <v>0.99890880000000004</v>
      </c>
      <c r="AB3984">
        <v>42</v>
      </c>
      <c r="AC3984">
        <v>194.04640000000001</v>
      </c>
      <c r="AD3984">
        <v>0.202792</v>
      </c>
      <c r="AE3984">
        <v>11.8293</v>
      </c>
      <c r="AF3984">
        <v>-9.0976195587382307</v>
      </c>
      <c r="AG3984">
        <v>0.202792</v>
      </c>
      <c r="AH3984">
        <v>194.193431301777</v>
      </c>
      <c r="AI3984">
        <v>89.940232829700506</v>
      </c>
      <c r="AJ3984">
        <v>92.682245013978005</v>
      </c>
      <c r="AK3984">
        <v>194.40652398257799</v>
      </c>
      <c r="AL3984">
        <v>78.735635734327303</v>
      </c>
      <c r="AM3984">
        <v>88.932463401203904</v>
      </c>
      <c r="AN3984">
        <v>0.99999998765542597</v>
      </c>
    </row>
    <row r="3985" spans="1:40" x14ac:dyDescent="0.25">
      <c r="A3985" t="str">
        <f>"20190303170332716"</f>
        <v>20190303170332716</v>
      </c>
      <c r="B3985" t="str">
        <f>"1551603812709789"</f>
        <v>1551603812709789</v>
      </c>
      <c r="C3985" t="s">
        <v>40</v>
      </c>
      <c r="D3985">
        <v>4.1706750000000001</v>
      </c>
      <c r="E3985">
        <v>0.45197100000000001</v>
      </c>
      <c r="F3985" t="s">
        <v>55</v>
      </c>
      <c r="G3985">
        <v>-157.25</v>
      </c>
      <c r="H3985">
        <v>1.2040329999999999</v>
      </c>
      <c r="I3985">
        <v>238.8032</v>
      </c>
      <c r="J3985">
        <v>-350.85500000000002</v>
      </c>
      <c r="K3985">
        <v>1.1216330000000001</v>
      </c>
      <c r="L3985">
        <v>214.3956</v>
      </c>
      <c r="M3985">
        <v>0.99978259999999997</v>
      </c>
      <c r="N3985">
        <v>-1.532504E-2</v>
      </c>
      <c r="O3985">
        <v>1.4147959999999999E-2</v>
      </c>
      <c r="P3985">
        <v>0.98372999999999999</v>
      </c>
      <c r="Q3985">
        <v>0.1796065</v>
      </c>
      <c r="R3985">
        <v>-4.1130139999999999E-3</v>
      </c>
      <c r="S3985">
        <v>3.0515140000000001</v>
      </c>
      <c r="T3985">
        <v>1.296639E-3</v>
      </c>
      <c r="U3985">
        <v>0.3839264</v>
      </c>
      <c r="V3985">
        <v>1.7988509999999999E-2</v>
      </c>
      <c r="W3985">
        <v>0.19466320000000001</v>
      </c>
      <c r="X3985">
        <v>0.98070520000000005</v>
      </c>
      <c r="Y3985">
        <v>-0.1107815</v>
      </c>
      <c r="Z3985">
        <v>1.050823E-3</v>
      </c>
      <c r="AA3985">
        <v>0.99384419999999996</v>
      </c>
      <c r="AB3985">
        <v>42</v>
      </c>
      <c r="AC3985">
        <v>193.60499999999999</v>
      </c>
      <c r="AD3985">
        <v>8.2399999999999807E-2</v>
      </c>
      <c r="AE3985">
        <v>24.407599999999999</v>
      </c>
      <c r="AF3985">
        <v>-21.665715536336499</v>
      </c>
      <c r="AG3985">
        <v>8.2399999999999807E-2</v>
      </c>
      <c r="AH3985">
        <v>193.930941712616</v>
      </c>
      <c r="AI3985">
        <v>89.9758059120186</v>
      </c>
      <c r="AJ3985">
        <v>96.374578016017594</v>
      </c>
      <c r="AK3985">
        <v>195.13743918839199</v>
      </c>
      <c r="AL3985">
        <v>78.774950861201106</v>
      </c>
      <c r="AM3985">
        <v>88.949174391255497</v>
      </c>
      <c r="AN3985">
        <v>1.00000001861665</v>
      </c>
    </row>
    <row r="3986" spans="1:40" x14ac:dyDescent="0.25">
      <c r="A3986" t="str">
        <f>"20190303170332738"</f>
        <v>20190303170332738</v>
      </c>
      <c r="B3986" t="str">
        <f>"1551603812729309"</f>
        <v>1551603812729309</v>
      </c>
      <c r="C3986" t="s">
        <v>40</v>
      </c>
      <c r="D3986">
        <v>4.184793</v>
      </c>
      <c r="E3986">
        <v>0.45196360000000002</v>
      </c>
      <c r="F3986" t="s">
        <v>55</v>
      </c>
      <c r="G3986">
        <v>-157.25</v>
      </c>
      <c r="H3986">
        <v>0.60675069999999998</v>
      </c>
      <c r="I3986">
        <v>239.32300000000001</v>
      </c>
      <c r="J3986">
        <v>-350.43819999999999</v>
      </c>
      <c r="K3986">
        <v>1.1216330000000001</v>
      </c>
      <c r="L3986">
        <v>214.4015</v>
      </c>
      <c r="M3986">
        <v>0.99978149999999999</v>
      </c>
      <c r="N3986">
        <v>-1.5320449999999999E-2</v>
      </c>
      <c r="O3986">
        <v>1.422241E-2</v>
      </c>
      <c r="P3986">
        <v>0.98372389999999998</v>
      </c>
      <c r="Q3986">
        <v>0.179647</v>
      </c>
      <c r="R3986">
        <v>-3.8023229999999998E-3</v>
      </c>
      <c r="S3986">
        <v>3.0527340000000001</v>
      </c>
      <c r="T3986">
        <v>-8.1176759999999903E-3</v>
      </c>
      <c r="U3986">
        <v>0.39305109999999999</v>
      </c>
      <c r="V3986">
        <v>1.77532E-2</v>
      </c>
      <c r="W3986">
        <v>0.19469880000000001</v>
      </c>
      <c r="X3986">
        <v>0.98070239999999997</v>
      </c>
      <c r="Y3986">
        <v>-0.1135775</v>
      </c>
      <c r="Z3986">
        <v>1.2034700000000001E-3</v>
      </c>
      <c r="AA3986">
        <v>0.99352839999999998</v>
      </c>
      <c r="AB3986">
        <v>42</v>
      </c>
      <c r="AC3986">
        <v>193.18819999999999</v>
      </c>
      <c r="AD3986">
        <v>-0.51488230000000001</v>
      </c>
      <c r="AE3986">
        <v>24.921499999999899</v>
      </c>
      <c r="AF3986">
        <v>-22.1708996101605</v>
      </c>
      <c r="AG3986">
        <v>-0.51488230000000001</v>
      </c>
      <c r="AH3986">
        <v>193.521788928164</v>
      </c>
      <c r="AI3986">
        <v>90.151449606111299</v>
      </c>
      <c r="AJ3986">
        <v>96.535619005938798</v>
      </c>
      <c r="AK3986">
        <v>194.78833816033199</v>
      </c>
      <c r="AL3986">
        <v>78.772871109912003</v>
      </c>
      <c r="AM3986">
        <v>88.962914393042098</v>
      </c>
      <c r="AN3986">
        <v>0.99999999809871998</v>
      </c>
    </row>
    <row r="3987" spans="1:40" x14ac:dyDescent="0.25">
      <c r="A3987" t="str">
        <f>"20190303170332759"</f>
        <v>20190303170332759</v>
      </c>
      <c r="B3987" t="str">
        <f>"1551603812749805"</f>
        <v>1551603812749805</v>
      </c>
      <c r="C3987" t="s">
        <v>40</v>
      </c>
      <c r="D3987">
        <v>4.2157799999999996</v>
      </c>
      <c r="E3987">
        <v>0.45145350000000001</v>
      </c>
      <c r="F3987" t="s">
        <v>55</v>
      </c>
      <c r="G3987">
        <v>-157.25</v>
      </c>
      <c r="H3987">
        <v>0.4223073</v>
      </c>
      <c r="I3987">
        <v>239.3186</v>
      </c>
      <c r="J3987">
        <v>-350.02960000000002</v>
      </c>
      <c r="K3987">
        <v>1.1216330000000001</v>
      </c>
      <c r="L3987">
        <v>214.4074</v>
      </c>
      <c r="M3987">
        <v>0.99978069999999997</v>
      </c>
      <c r="N3987">
        <v>-1.531565E-2</v>
      </c>
      <c r="O3987">
        <v>1.429486E-2</v>
      </c>
      <c r="P3987">
        <v>0.98367769999999999</v>
      </c>
      <c r="Q3987">
        <v>0.17990970000000001</v>
      </c>
      <c r="R3987">
        <v>-3.3445879999999999E-3</v>
      </c>
      <c r="S3987">
        <v>3.053223</v>
      </c>
      <c r="T3987">
        <v>-1.105154E-2</v>
      </c>
      <c r="U3987">
        <v>0.3937988</v>
      </c>
      <c r="V3987">
        <v>1.736774E-2</v>
      </c>
      <c r="W3987">
        <v>0.1949555</v>
      </c>
      <c r="X3987">
        <v>0.98065829999999998</v>
      </c>
      <c r="Y3987">
        <v>-0.1137234</v>
      </c>
      <c r="Z3987">
        <v>1.246088E-3</v>
      </c>
      <c r="AA3987">
        <v>0.9935117</v>
      </c>
      <c r="AB3987">
        <v>42</v>
      </c>
      <c r="AC3987">
        <v>192.77959999999999</v>
      </c>
      <c r="AD3987">
        <v>-0.69932569999999905</v>
      </c>
      <c r="AE3987">
        <v>24.911200000000001</v>
      </c>
      <c r="AF3987">
        <v>-22.152287174148501</v>
      </c>
      <c r="AG3987">
        <v>-0.69932569999999905</v>
      </c>
      <c r="AH3987">
        <v>193.11354209551001</v>
      </c>
      <c r="AI3987">
        <v>90.206133599513194</v>
      </c>
      <c r="AJ3987">
        <v>96.543865122515498</v>
      </c>
      <c r="AK3987">
        <v>194.38120542931799</v>
      </c>
      <c r="AL3987">
        <v>78.757875885762502</v>
      </c>
      <c r="AM3987">
        <v>88.985381368492</v>
      </c>
      <c r="AN3987">
        <v>0.99999999336592305</v>
      </c>
    </row>
    <row r="3988" spans="1:40" x14ac:dyDescent="0.25">
      <c r="A3988" t="str">
        <f>"20190303170332773"</f>
        <v>20190303170332773</v>
      </c>
      <c r="B3988" t="str">
        <f>"1551603812759566"</f>
        <v>1551603812759566</v>
      </c>
      <c r="C3988" t="s">
        <v>40</v>
      </c>
      <c r="D3988">
        <v>4.2166579999999998</v>
      </c>
      <c r="E3988">
        <v>0.45153989999999999</v>
      </c>
      <c r="F3988" t="s">
        <v>55</v>
      </c>
      <c r="G3988">
        <v>-157.25</v>
      </c>
      <c r="H3988">
        <v>0.61598730000000002</v>
      </c>
      <c r="I3988">
        <v>239.61369999999999</v>
      </c>
      <c r="J3988">
        <v>-349.77690000000001</v>
      </c>
      <c r="K3988">
        <v>1.121624</v>
      </c>
      <c r="L3988">
        <v>214.4111</v>
      </c>
      <c r="M3988">
        <v>0.99978</v>
      </c>
      <c r="N3988">
        <v>-1.5312600000000001E-2</v>
      </c>
      <c r="O3988">
        <v>1.4339670000000001E-2</v>
      </c>
      <c r="P3988">
        <v>0.98364660000000004</v>
      </c>
      <c r="Q3988">
        <v>0.18008089999999999</v>
      </c>
      <c r="R3988">
        <v>-3.235885E-3</v>
      </c>
      <c r="S3988">
        <v>3.0526430000000002</v>
      </c>
      <c r="T3988">
        <v>-8.0059769999999992E-3</v>
      </c>
      <c r="U3988">
        <v>0.39913939999999998</v>
      </c>
      <c r="V3988">
        <v>1.7303610000000001E-2</v>
      </c>
      <c r="W3988">
        <v>0.1951234</v>
      </c>
      <c r="X3988">
        <v>0.980626</v>
      </c>
      <c r="Y3988">
        <v>-0.1154133</v>
      </c>
      <c r="Z3988">
        <v>1.219428E-3</v>
      </c>
      <c r="AA3988">
        <v>0.9933168</v>
      </c>
      <c r="AB3988">
        <v>42</v>
      </c>
      <c r="AC3988">
        <v>192.52690000000001</v>
      </c>
      <c r="AD3988">
        <v>-0.50563669999999905</v>
      </c>
      <c r="AE3988">
        <v>25.202599999999901</v>
      </c>
      <c r="AF3988">
        <v>-22.438760209385901</v>
      </c>
      <c r="AG3988">
        <v>-0.50563669999999905</v>
      </c>
      <c r="AH3988">
        <v>192.86723148034201</v>
      </c>
      <c r="AI3988">
        <v>90.149204618511206</v>
      </c>
      <c r="AJ3988">
        <v>96.6361309707125</v>
      </c>
      <c r="AK3988">
        <v>194.16879926264801</v>
      </c>
      <c r="AL3988">
        <v>78.748067110700305</v>
      </c>
      <c r="AM3988">
        <v>88.9890937573727</v>
      </c>
      <c r="AN3988">
        <v>0.99999995401129405</v>
      </c>
    </row>
    <row r="3989" spans="1:40" x14ac:dyDescent="0.25">
      <c r="A3989" t="str">
        <f>"20190303170332793"</f>
        <v>20190303170332793</v>
      </c>
      <c r="B3989" t="str">
        <f>"1551603812789564"</f>
        <v>1551603812789564</v>
      </c>
      <c r="C3989" t="s">
        <v>40</v>
      </c>
      <c r="D3989">
        <v>4.2047660000000002</v>
      </c>
      <c r="E3989">
        <v>0.45144960000000001</v>
      </c>
      <c r="F3989" t="s">
        <v>55</v>
      </c>
      <c r="G3989">
        <v>-157.25</v>
      </c>
      <c r="H3989">
        <v>0.56402489999999905</v>
      </c>
      <c r="I3989">
        <v>239.584</v>
      </c>
      <c r="J3989">
        <v>-349.40260000000001</v>
      </c>
      <c r="K3989">
        <v>1.121623</v>
      </c>
      <c r="L3989">
        <v>214.41650000000001</v>
      </c>
      <c r="M3989">
        <v>0.99977919999999998</v>
      </c>
      <c r="N3989">
        <v>-1.530804E-2</v>
      </c>
      <c r="O3989">
        <v>1.440576E-2</v>
      </c>
      <c r="P3989">
        <v>0.98367320000000003</v>
      </c>
      <c r="Q3989">
        <v>0.179938299999999</v>
      </c>
      <c r="R3989">
        <v>-3.1115190000000001E-3</v>
      </c>
      <c r="S3989">
        <v>3.0527950000000001</v>
      </c>
      <c r="T3989">
        <v>-8.8406800000000001E-3</v>
      </c>
      <c r="U3989">
        <v>0.39915469999999997</v>
      </c>
      <c r="V3989">
        <v>1.724556E-2</v>
      </c>
      <c r="W3989">
        <v>0.1949766</v>
      </c>
      <c r="X3989">
        <v>0.98065630000000004</v>
      </c>
      <c r="Y3989">
        <v>-0.115345699999999</v>
      </c>
      <c r="Z3989">
        <v>1.2311030000000001E-3</v>
      </c>
      <c r="AA3989">
        <v>0.9933246</v>
      </c>
      <c r="AB3989">
        <v>42</v>
      </c>
      <c r="AC3989">
        <v>192.15260000000001</v>
      </c>
      <c r="AD3989">
        <v>-0.55759809999999999</v>
      </c>
      <c r="AE3989">
        <v>25.167499999999901</v>
      </c>
      <c r="AF3989">
        <v>-22.3962741873688</v>
      </c>
      <c r="AG3989">
        <v>-0.55759809999999999</v>
      </c>
      <c r="AH3989">
        <v>192.49366177090999</v>
      </c>
      <c r="AI3989">
        <v>90.164856663614401</v>
      </c>
      <c r="AJ3989">
        <v>96.636417660298903</v>
      </c>
      <c r="AK3989">
        <v>193.792966423167</v>
      </c>
      <c r="AL3989">
        <v>78.756643723471498</v>
      </c>
      <c r="AM3989">
        <v>88.992515560056702</v>
      </c>
      <c r="AN3989">
        <v>1.00000003130848</v>
      </c>
    </row>
    <row r="3990" spans="1:40" x14ac:dyDescent="0.25">
      <c r="A3990" t="str">
        <f>"20190303170332819"</f>
        <v>20190303170332819</v>
      </c>
      <c r="B3990" t="str">
        <f>"1551603812809084"</f>
        <v>1551603812809084</v>
      </c>
      <c r="C3990" t="s">
        <v>40</v>
      </c>
      <c r="D3990">
        <v>4.2400330000000004</v>
      </c>
      <c r="E3990">
        <v>0.45140049999999998</v>
      </c>
      <c r="F3990" t="s">
        <v>55</v>
      </c>
      <c r="G3990">
        <v>-157.25</v>
      </c>
      <c r="H3990">
        <v>0.37388969999999999</v>
      </c>
      <c r="I3990">
        <v>239.6465</v>
      </c>
      <c r="J3990">
        <v>-348.91699999999997</v>
      </c>
      <c r="K3990">
        <v>1.121626</v>
      </c>
      <c r="L3990">
        <v>214.42359999999999</v>
      </c>
      <c r="M3990">
        <v>0.9997779</v>
      </c>
      <c r="N3990">
        <v>-1.5302140000000001E-2</v>
      </c>
      <c r="O3990">
        <v>1.449129E-2</v>
      </c>
      <c r="P3990">
        <v>0.98370250000000004</v>
      </c>
      <c r="Q3990">
        <v>0.17977609999999999</v>
      </c>
      <c r="R3990">
        <v>-3.1049910000000001E-3</v>
      </c>
      <c r="S3990">
        <v>3.053223</v>
      </c>
      <c r="T3990">
        <v>-1.188028E-2</v>
      </c>
      <c r="U3990">
        <v>0.40089419999999998</v>
      </c>
      <c r="V3990">
        <v>1.7325050000000002E-2</v>
      </c>
      <c r="W3990">
        <v>0.1948087</v>
      </c>
      <c r="X3990">
        <v>0.98068820000000001</v>
      </c>
      <c r="Y3990">
        <v>-0.11579780000000001</v>
      </c>
      <c r="Z3990">
        <v>1.278901E-3</v>
      </c>
      <c r="AA3990">
        <v>0.99327200000000004</v>
      </c>
      <c r="AB3990">
        <v>42</v>
      </c>
      <c r="AC3990">
        <v>191.667</v>
      </c>
      <c r="AD3990">
        <v>-0.74773630000000002</v>
      </c>
      <c r="AE3990">
        <v>25.222899999999999</v>
      </c>
      <c r="AF3990">
        <v>-22.442087805367699</v>
      </c>
      <c r="AG3990">
        <v>-0.74773630000000002</v>
      </c>
      <c r="AH3990">
        <v>192.00955203919</v>
      </c>
      <c r="AI3990">
        <v>90.221615299482295</v>
      </c>
      <c r="AJ3990">
        <v>96.6664870585047</v>
      </c>
      <c r="AK3990">
        <v>193.318065604145</v>
      </c>
      <c r="AL3990">
        <v>78.766451017800705</v>
      </c>
      <c r="AM3990">
        <v>88.987905639272796</v>
      </c>
      <c r="AN3990">
        <v>0.99999996628621501</v>
      </c>
    </row>
    <row r="3991" spans="1:40" x14ac:dyDescent="0.25">
      <c r="A3991" t="str">
        <f>"20190303170332838"</f>
        <v>20190303170332838</v>
      </c>
      <c r="B3991" t="str">
        <f>"1551603812829581"</f>
        <v>1551603812829581</v>
      </c>
      <c r="C3991" t="s">
        <v>40</v>
      </c>
      <c r="D3991">
        <v>4.2149049999999999</v>
      </c>
      <c r="E3991">
        <v>0.45171790000000001</v>
      </c>
      <c r="F3991" t="s">
        <v>55</v>
      </c>
      <c r="G3991">
        <v>-157.25</v>
      </c>
      <c r="H3991">
        <v>0.22338459999999999</v>
      </c>
      <c r="I3991">
        <v>239.5856</v>
      </c>
      <c r="J3991">
        <v>-348.54989999999998</v>
      </c>
      <c r="K3991">
        <v>1.121618</v>
      </c>
      <c r="L3991">
        <v>214.4289</v>
      </c>
      <c r="M3991">
        <v>0.99977709999999997</v>
      </c>
      <c r="N3991">
        <v>-1.5297760000000001E-2</v>
      </c>
      <c r="O3991">
        <v>1.455555E-2</v>
      </c>
      <c r="P3991">
        <v>0.98370789999999997</v>
      </c>
      <c r="Q3991">
        <v>0.1797435</v>
      </c>
      <c r="R3991">
        <v>-3.357863E-3</v>
      </c>
      <c r="S3991">
        <v>3.0536189999999999</v>
      </c>
      <c r="T3991">
        <v>-1.4309759999999999E-2</v>
      </c>
      <c r="U3991">
        <v>0.40087889999999998</v>
      </c>
      <c r="V3991">
        <v>1.764166E-2</v>
      </c>
      <c r="W3991">
        <v>0.19477220000000001</v>
      </c>
      <c r="X3991">
        <v>0.98068979999999994</v>
      </c>
      <c r="Y3991">
        <v>-0.1157112</v>
      </c>
      <c r="Z3991">
        <v>1.3127670000000001E-3</v>
      </c>
      <c r="AA3991">
        <v>0.993282</v>
      </c>
      <c r="AB3991">
        <v>42</v>
      </c>
      <c r="AC3991">
        <v>191.29990000000001</v>
      </c>
      <c r="AD3991">
        <v>-0.89823339999999996</v>
      </c>
      <c r="AE3991">
        <v>25.156700000000001</v>
      </c>
      <c r="AF3991">
        <v>-22.368748613798001</v>
      </c>
      <c r="AG3991">
        <v>-0.89823339999999996</v>
      </c>
      <c r="AH3991">
        <v>191.641688539645</v>
      </c>
      <c r="AI3991">
        <v>90.266735163315403</v>
      </c>
      <c r="AJ3991">
        <v>96.657537318168394</v>
      </c>
      <c r="AK3991">
        <v>192.94482248589699</v>
      </c>
      <c r="AL3991">
        <v>78.768583094369902</v>
      </c>
      <c r="AM3991">
        <v>88.969415558150104</v>
      </c>
      <c r="AN3991">
        <v>0.99999996094221599</v>
      </c>
    </row>
    <row r="3992" spans="1:40" x14ac:dyDescent="0.25">
      <c r="A3992" t="str">
        <f>"20190303170332860"</f>
        <v>20190303170332860</v>
      </c>
      <c r="B3992" t="str">
        <f>"1551603812849099"</f>
        <v>1551603812849099</v>
      </c>
      <c r="C3992" t="s">
        <v>40</v>
      </c>
      <c r="D3992">
        <v>4.1150419999999999</v>
      </c>
      <c r="E3992">
        <v>0.4516405</v>
      </c>
      <c r="F3992" t="s">
        <v>55</v>
      </c>
      <c r="G3992">
        <v>-157.25</v>
      </c>
      <c r="H3992">
        <v>0.21790619999999999</v>
      </c>
      <c r="I3992">
        <v>239.3699</v>
      </c>
      <c r="J3992">
        <v>-348.13150000000002</v>
      </c>
      <c r="K3992">
        <v>1.1216140000000001</v>
      </c>
      <c r="L3992">
        <v>214.43510000000001</v>
      </c>
      <c r="M3992">
        <v>0.99977609999999995</v>
      </c>
      <c r="N3992">
        <v>-1.5292969999999999E-2</v>
      </c>
      <c r="O3992">
        <v>1.46287E-2</v>
      </c>
      <c r="P3992">
        <v>0.98381529999999995</v>
      </c>
      <c r="Q3992">
        <v>0.17913860000000001</v>
      </c>
      <c r="R3992">
        <v>-4.1211420000000004E-3</v>
      </c>
      <c r="S3992">
        <v>3.0537109999999998</v>
      </c>
      <c r="T3992">
        <v>-1.442504E-2</v>
      </c>
      <c r="U3992">
        <v>0.39813229999999999</v>
      </c>
      <c r="V3992">
        <v>1.847907E-2</v>
      </c>
      <c r="W3992">
        <v>0.19416420000000001</v>
      </c>
      <c r="X3992">
        <v>0.98079499999999997</v>
      </c>
      <c r="Y3992">
        <v>-0.11475630000000001</v>
      </c>
      <c r="Z3992">
        <v>1.3052059999999999E-3</v>
      </c>
      <c r="AA3992">
        <v>0.99339279999999996</v>
      </c>
      <c r="AB3992">
        <v>42</v>
      </c>
      <c r="AC3992">
        <v>190.88149999999999</v>
      </c>
      <c r="AD3992">
        <v>-0.90370779999999895</v>
      </c>
      <c r="AE3992">
        <v>24.934799999999999</v>
      </c>
      <c r="AF3992">
        <v>-22.138968703145402</v>
      </c>
      <c r="AG3992">
        <v>-0.90370779999999895</v>
      </c>
      <c r="AH3992">
        <v>191.221662048182</v>
      </c>
      <c r="AI3992">
        <v>90.268979409656893</v>
      </c>
      <c r="AJ3992">
        <v>96.604100202876197</v>
      </c>
      <c r="AK3992">
        <v>192.50110300851799</v>
      </c>
      <c r="AL3992">
        <v>78.804097627213594</v>
      </c>
      <c r="AM3992">
        <v>88.920623100647902</v>
      </c>
      <c r="AN3992">
        <v>1.00000002230735</v>
      </c>
    </row>
    <row r="3993" spans="1:40" x14ac:dyDescent="0.25">
      <c r="A3993" t="str">
        <f>"20190303170332884"</f>
        <v>20190303170332884</v>
      </c>
      <c r="B3993" t="str">
        <f>"1551603812869596"</f>
        <v>1551603812869596</v>
      </c>
      <c r="C3993" t="s">
        <v>40</v>
      </c>
      <c r="D3993">
        <v>4.2199229999999996</v>
      </c>
      <c r="E3993">
        <v>0.45131870000000002</v>
      </c>
      <c r="F3993" t="s">
        <v>55</v>
      </c>
      <c r="G3993">
        <v>-157.25</v>
      </c>
      <c r="H3993">
        <v>7.5750109999999996E-2</v>
      </c>
      <c r="I3993">
        <v>239.23150000000001</v>
      </c>
      <c r="J3993">
        <v>-347.70069999999998</v>
      </c>
      <c r="K3993">
        <v>1.121613</v>
      </c>
      <c r="L3993">
        <v>214.44139999999999</v>
      </c>
      <c r="M3993">
        <v>0.99977510000000003</v>
      </c>
      <c r="N3993">
        <v>-1.5288049999999999E-2</v>
      </c>
      <c r="O3993">
        <v>1.4704170000000001E-2</v>
      </c>
      <c r="P3993">
        <v>0.98394389999999998</v>
      </c>
      <c r="Q3993">
        <v>0.17840410000000001</v>
      </c>
      <c r="R3993">
        <v>-5.1558350000000001E-3</v>
      </c>
      <c r="S3993">
        <v>3.0541079999999998</v>
      </c>
      <c r="T3993">
        <v>-1.673293E-2</v>
      </c>
      <c r="U3993">
        <v>0.39674379999999998</v>
      </c>
      <c r="V3993">
        <v>1.9590440000000001E-2</v>
      </c>
      <c r="W3993">
        <v>0.19342690000000001</v>
      </c>
      <c r="X3993">
        <v>0.98091910000000004</v>
      </c>
      <c r="Y3993">
        <v>-0.1142195</v>
      </c>
      <c r="Z3993">
        <v>1.332139E-3</v>
      </c>
      <c r="AA3993">
        <v>0.99345459999999997</v>
      </c>
      <c r="AB3993">
        <v>42</v>
      </c>
      <c r="AC3993">
        <v>190.45070000000001</v>
      </c>
      <c r="AD3993">
        <v>-1.04586289</v>
      </c>
      <c r="AE3993">
        <v>24.790099999999999</v>
      </c>
      <c r="AF3993">
        <v>-21.9860207555123</v>
      </c>
      <c r="AG3993">
        <v>-1.04586289</v>
      </c>
      <c r="AH3993">
        <v>190.789007856257</v>
      </c>
      <c r="AI3993">
        <v>90.312014719859405</v>
      </c>
      <c r="AJ3993">
        <v>96.573618011079105</v>
      </c>
      <c r="AK3993">
        <v>192.05448304223901</v>
      </c>
      <c r="AL3993">
        <v>78.847158076834106</v>
      </c>
      <c r="AM3993">
        <v>88.855868610794104</v>
      </c>
      <c r="AN3993">
        <v>1.0000000158639</v>
      </c>
    </row>
    <row r="3994" spans="1:40" x14ac:dyDescent="0.25">
      <c r="A3994" t="str">
        <f>"20190303170332906"</f>
        <v>20190303170332906</v>
      </c>
      <c r="B3994" t="str">
        <f>"1551603812899384"</f>
        <v>1551603812899384</v>
      </c>
      <c r="C3994" t="s">
        <v>40</v>
      </c>
      <c r="D3994">
        <v>4.1747550000000002</v>
      </c>
      <c r="E3994">
        <v>0.45096599999999998</v>
      </c>
      <c r="F3994" t="s">
        <v>42</v>
      </c>
      <c r="G3994">
        <v>-179.95439999999999</v>
      </c>
      <c r="H3994">
        <v>5.3370380000000002E-2</v>
      </c>
      <c r="I3994">
        <v>236.20660000000001</v>
      </c>
      <c r="J3994">
        <v>-347.27269999999999</v>
      </c>
      <c r="K3994">
        <v>1.1216200000000001</v>
      </c>
      <c r="L3994">
        <v>214.4478</v>
      </c>
      <c r="M3994">
        <v>0.99977400000000005</v>
      </c>
      <c r="N3994">
        <v>-1.5283110000000001E-2</v>
      </c>
      <c r="O3994">
        <v>1.477935E-2</v>
      </c>
      <c r="P3994">
        <v>0.98383589999999999</v>
      </c>
      <c r="Q3994">
        <v>0.17897289999999999</v>
      </c>
      <c r="R3994">
        <v>-5.9850869999999896E-3</v>
      </c>
      <c r="S3994">
        <v>3.0545650000000002</v>
      </c>
      <c r="T3994">
        <v>-1.94521E-2</v>
      </c>
      <c r="U3994">
        <v>0.39633180000000001</v>
      </c>
      <c r="V3994">
        <v>2.049229E-2</v>
      </c>
      <c r="W3994">
        <v>0.19398879999999999</v>
      </c>
      <c r="X3994">
        <v>0.98078969999999999</v>
      </c>
      <c r="Y3994">
        <v>-0.1139925</v>
      </c>
      <c r="Z3994">
        <v>1.367552E-3</v>
      </c>
      <c r="AA3994">
        <v>0.99348069999999999</v>
      </c>
      <c r="AB3994">
        <v>42</v>
      </c>
      <c r="AC3994">
        <v>167.31829999999999</v>
      </c>
      <c r="AD3994">
        <v>-1.06824962</v>
      </c>
      <c r="AE3994">
        <v>21.758800000000001</v>
      </c>
      <c r="AF3994">
        <v>-19.2825055108664</v>
      </c>
      <c r="AG3994">
        <v>-1.06824962</v>
      </c>
      <c r="AH3994">
        <v>167.61492086408199</v>
      </c>
      <c r="AI3994">
        <v>90.362762139329305</v>
      </c>
      <c r="AJ3994">
        <v>96.562486988600995</v>
      </c>
      <c r="AK3994">
        <v>168.72379166051201</v>
      </c>
      <c r="AL3994">
        <v>78.814341974671905</v>
      </c>
      <c r="AM3994">
        <v>88.803055413507494</v>
      </c>
      <c r="AN3994">
        <v>1.0000000120504799</v>
      </c>
    </row>
    <row r="3995" spans="1:40" x14ac:dyDescent="0.25">
      <c r="A3995" t="str">
        <f>"20190303170332928"</f>
        <v>20190303170332928</v>
      </c>
      <c r="B3995" t="str">
        <f>"1551603812919881"</f>
        <v>1551603812919881</v>
      </c>
      <c r="C3995" t="s">
        <v>40</v>
      </c>
      <c r="D3995">
        <v>4.2111609999999997</v>
      </c>
      <c r="E3995">
        <v>0.45073790000000002</v>
      </c>
      <c r="F3995" t="s">
        <v>44</v>
      </c>
      <c r="G3995">
        <v>-147.73089999999999</v>
      </c>
      <c r="H3995">
        <v>-0.05</v>
      </c>
      <c r="I3995">
        <v>240.3289</v>
      </c>
      <c r="J3995">
        <v>-346.86309999999997</v>
      </c>
      <c r="K3995">
        <v>1.121623</v>
      </c>
      <c r="L3995">
        <v>214.4539</v>
      </c>
      <c r="M3995">
        <v>0.99977309999999997</v>
      </c>
      <c r="N3995">
        <v>-1.527833E-2</v>
      </c>
      <c r="O3995">
        <v>1.485131E-2</v>
      </c>
      <c r="P3995">
        <v>0.98361460000000001</v>
      </c>
      <c r="Q3995">
        <v>0.1801439</v>
      </c>
      <c r="R3995">
        <v>-7.1155039999999999E-3</v>
      </c>
      <c r="S3995">
        <v>3.0549930000000001</v>
      </c>
      <c r="T3995">
        <v>-1.7937539999999998E-2</v>
      </c>
      <c r="U3995">
        <v>0.39624019999999999</v>
      </c>
      <c r="V3995">
        <v>2.1690290000000001E-2</v>
      </c>
      <c r="W3995">
        <v>0.19515150000000001</v>
      </c>
      <c r="X3995">
        <v>0.98053319999999999</v>
      </c>
      <c r="Y3995">
        <v>-0.1138748</v>
      </c>
      <c r="Z3995">
        <v>1.3457499999999999E-3</v>
      </c>
      <c r="AA3995">
        <v>0.99349419999999999</v>
      </c>
      <c r="AB3995">
        <v>42</v>
      </c>
      <c r="AC3995">
        <v>199.13220000000001</v>
      </c>
      <c r="AD3995">
        <v>-1.1716229999999901</v>
      </c>
      <c r="AE3995">
        <v>25.875</v>
      </c>
      <c r="AF3995">
        <v>-22.9136467219083</v>
      </c>
      <c r="AG3995">
        <v>-1.1716229999999901</v>
      </c>
      <c r="AH3995">
        <v>199.48776462484901</v>
      </c>
      <c r="AI3995">
        <v>90.334305220205096</v>
      </c>
      <c r="AJ3995">
        <v>96.552416220801604</v>
      </c>
      <c r="AK3995">
        <v>200.802829017845</v>
      </c>
      <c r="AL3995">
        <v>78.746425683543606</v>
      </c>
      <c r="AM3995">
        <v>88.732771696057398</v>
      </c>
      <c r="AN3995">
        <v>0.99999996646738598</v>
      </c>
    </row>
    <row r="3996" spans="1:40" x14ac:dyDescent="0.25">
      <c r="A3996" t="str">
        <f>"20190303170332949"</f>
        <v>20190303170332949</v>
      </c>
      <c r="B3996" t="str">
        <f>"1551603812939400"</f>
        <v>1551603812939400</v>
      </c>
      <c r="C3996" t="s">
        <v>40</v>
      </c>
      <c r="D3996">
        <v>4.1736909999999998</v>
      </c>
      <c r="E3996">
        <v>0.450486</v>
      </c>
      <c r="F3996" t="s">
        <v>55</v>
      </c>
      <c r="G3996">
        <v>-157.25</v>
      </c>
      <c r="H3996">
        <v>0.27568130000000002</v>
      </c>
      <c r="I3996">
        <v>238.97630000000001</v>
      </c>
      <c r="J3996">
        <v>-346.48169999999999</v>
      </c>
      <c r="K3996">
        <v>1.1216280000000001</v>
      </c>
      <c r="L3996">
        <v>214.45959999999999</v>
      </c>
      <c r="M3996">
        <v>0.99977210000000005</v>
      </c>
      <c r="N3996">
        <v>-1.527391E-2</v>
      </c>
      <c r="O3996">
        <v>1.4918270000000001E-2</v>
      </c>
      <c r="P3996">
        <v>0.98345689999999997</v>
      </c>
      <c r="Q3996">
        <v>0.18097559999999999</v>
      </c>
      <c r="R3996">
        <v>-7.7763569999999898E-3</v>
      </c>
      <c r="S3996">
        <v>3.0553279999999998</v>
      </c>
      <c r="T3996">
        <v>-1.3630150000000001E-2</v>
      </c>
      <c r="U3996">
        <v>0.39514159999999998</v>
      </c>
      <c r="V3996">
        <v>2.241462E-2</v>
      </c>
      <c r="W3996">
        <v>0.1959764</v>
      </c>
      <c r="X3996">
        <v>0.98035240000000001</v>
      </c>
      <c r="Y3996">
        <v>-0.1134453</v>
      </c>
      <c r="Z3996">
        <v>1.282769E-3</v>
      </c>
      <c r="AA3996">
        <v>0.99354339999999997</v>
      </c>
      <c r="AB3996">
        <v>42</v>
      </c>
      <c r="AC3996">
        <v>189.23169999999999</v>
      </c>
      <c r="AD3996">
        <v>-0.84594669999999905</v>
      </c>
      <c r="AE3996">
        <v>24.5167</v>
      </c>
      <c r="AF3996">
        <v>-21.690205936358101</v>
      </c>
      <c r="AG3996">
        <v>-0.84594669999999905</v>
      </c>
      <c r="AH3996">
        <v>189.572700093592</v>
      </c>
      <c r="AI3996">
        <v>90.2540169775409</v>
      </c>
      <c r="AJ3996">
        <v>96.527186893678106</v>
      </c>
      <c r="AK3996">
        <v>190.81139714429</v>
      </c>
      <c r="AL3996">
        <v>78.698232156391697</v>
      </c>
      <c r="AM3996">
        <v>88.690226687367002</v>
      </c>
      <c r="AN3996">
        <v>0.99999999636623205</v>
      </c>
    </row>
    <row r="3997" spans="1:40" x14ac:dyDescent="0.25">
      <c r="A3997" t="str">
        <f>"20190303170332963"</f>
        <v>20190303170332963</v>
      </c>
      <c r="B3997" t="str">
        <f>"1551603812959896"</f>
        <v>1551603812959896</v>
      </c>
      <c r="C3997" t="s">
        <v>40</v>
      </c>
      <c r="D3997">
        <v>4.2098240000000002</v>
      </c>
      <c r="E3997">
        <v>0.45023039999999998</v>
      </c>
      <c r="F3997" t="s">
        <v>55</v>
      </c>
      <c r="G3997">
        <v>-157.25</v>
      </c>
      <c r="H3997">
        <v>0.44507809999999998</v>
      </c>
      <c r="I3997">
        <v>238.93780000000001</v>
      </c>
      <c r="J3997">
        <v>-346.21280000000002</v>
      </c>
      <c r="K3997">
        <v>1.121631</v>
      </c>
      <c r="L3997">
        <v>214.46369999999999</v>
      </c>
      <c r="M3997">
        <v>0.99977150000000004</v>
      </c>
      <c r="N3997">
        <v>-1.5270819999999999E-2</v>
      </c>
      <c r="O3997">
        <v>1.496549E-2</v>
      </c>
      <c r="P3997">
        <v>0.98349149999999996</v>
      </c>
      <c r="Q3997">
        <v>0.18077850000000001</v>
      </c>
      <c r="R3997">
        <v>-7.9919299999999995E-3</v>
      </c>
      <c r="S3997">
        <v>3.055634</v>
      </c>
      <c r="T3997">
        <v>-1.0923739999999999E-2</v>
      </c>
      <c r="U3997">
        <v>0.3952637</v>
      </c>
      <c r="V3997">
        <v>2.267738E-2</v>
      </c>
      <c r="W3997">
        <v>0.1957767</v>
      </c>
      <c r="X3997">
        <v>0.98038630000000004</v>
      </c>
      <c r="Y3997">
        <v>-0.1134261</v>
      </c>
      <c r="Z3997">
        <v>1.246018E-3</v>
      </c>
      <c r="AA3997">
        <v>0.99354569999999998</v>
      </c>
      <c r="AB3997">
        <v>42</v>
      </c>
      <c r="AC3997">
        <v>188.96279999999999</v>
      </c>
      <c r="AD3997">
        <v>-0.67655290000000001</v>
      </c>
      <c r="AE3997">
        <v>24.4741</v>
      </c>
      <c r="AF3997">
        <v>-21.642835287227999</v>
      </c>
      <c r="AG3997">
        <v>-0.67655290000000001</v>
      </c>
      <c r="AH3997">
        <v>189.30555619167299</v>
      </c>
      <c r="AI3997">
        <v>90.2034413884884</v>
      </c>
      <c r="AJ3997">
        <v>96.522166306448298</v>
      </c>
      <c r="AK3997">
        <v>190.539926650913</v>
      </c>
      <c r="AL3997">
        <v>78.709900631684903</v>
      </c>
      <c r="AM3997">
        <v>88.6749238468269</v>
      </c>
      <c r="AN3997">
        <v>1.0000000385271199</v>
      </c>
    </row>
    <row r="3998" spans="1:40" x14ac:dyDescent="0.25">
      <c r="A3998" t="str">
        <f>"20190303170332976"</f>
        <v>20190303170332976</v>
      </c>
      <c r="B3998" t="str">
        <f>"1551603812969656"</f>
        <v>1551603812969656</v>
      </c>
      <c r="C3998" t="s">
        <v>40</v>
      </c>
      <c r="D3998">
        <v>4.2092229999999997</v>
      </c>
      <c r="E3998">
        <v>0.45016489999999998</v>
      </c>
      <c r="F3998" t="s">
        <v>55</v>
      </c>
      <c r="G3998">
        <v>-157.25</v>
      </c>
      <c r="H3998">
        <v>0.41723680000000002</v>
      </c>
      <c r="I3998">
        <v>238.99529999999999</v>
      </c>
      <c r="J3998">
        <v>-345.96620000000001</v>
      </c>
      <c r="K3998">
        <v>1.121632</v>
      </c>
      <c r="L3998">
        <v>214.4674</v>
      </c>
      <c r="M3998">
        <v>0.99977079999999996</v>
      </c>
      <c r="N3998">
        <v>-1.526799E-2</v>
      </c>
      <c r="O3998">
        <v>1.5008830000000001E-2</v>
      </c>
      <c r="P3998">
        <v>0.98346250000000002</v>
      </c>
      <c r="Q3998">
        <v>0.18092929999999999</v>
      </c>
      <c r="R3998">
        <v>-8.1381579999999995E-3</v>
      </c>
      <c r="S3998">
        <v>3.0556950000000001</v>
      </c>
      <c r="T3998">
        <v>-1.1389730000000001E-2</v>
      </c>
      <c r="U3998">
        <v>0.396698</v>
      </c>
      <c r="V3998">
        <v>2.2865659999999999E-2</v>
      </c>
      <c r="W3998">
        <v>0.19592399999999999</v>
      </c>
      <c r="X3998">
        <v>0.98035249999999996</v>
      </c>
      <c r="Y3998">
        <v>-0.11383890000000001</v>
      </c>
      <c r="Z3998">
        <v>1.2565969999999999E-3</v>
      </c>
      <c r="AA3998">
        <v>0.9934984</v>
      </c>
      <c r="AB3998">
        <v>42</v>
      </c>
      <c r="AC3998">
        <v>188.71619999999999</v>
      </c>
      <c r="AD3998">
        <v>-0.704395199999999</v>
      </c>
      <c r="AE3998">
        <v>24.527899999999899</v>
      </c>
      <c r="AF3998">
        <v>-21.6920998530193</v>
      </c>
      <c r="AG3998">
        <v>-0.704395199999999</v>
      </c>
      <c r="AH3998">
        <v>189.06052602278999</v>
      </c>
      <c r="AI3998">
        <v>90.212078289369401</v>
      </c>
      <c r="AJ3998">
        <v>96.545282655714601</v>
      </c>
      <c r="AK3998">
        <v>190.30219617399399</v>
      </c>
      <c r="AL3998">
        <v>78.701294288027896</v>
      </c>
      <c r="AM3998">
        <v>88.663880264274496</v>
      </c>
      <c r="AN3998">
        <v>1.00000003821974</v>
      </c>
    </row>
    <row r="3999" spans="1:40" x14ac:dyDescent="0.25">
      <c r="A3999" t="str">
        <f>"20190303170332994"</f>
        <v>20190303170332994</v>
      </c>
      <c r="B3999" t="str">
        <f>"1551603812989176"</f>
        <v>1551603812989176</v>
      </c>
      <c r="C3999" t="s">
        <v>40</v>
      </c>
      <c r="D3999">
        <v>4.158798</v>
      </c>
      <c r="E3999">
        <v>0.45000570000000001</v>
      </c>
      <c r="F3999" t="s">
        <v>55</v>
      </c>
      <c r="G3999">
        <v>-157.25</v>
      </c>
      <c r="H3999">
        <v>0.43919970000000003</v>
      </c>
      <c r="I3999">
        <v>238.96109999999999</v>
      </c>
      <c r="J3999">
        <v>-345.64019999999999</v>
      </c>
      <c r="K3999">
        <v>1.121637</v>
      </c>
      <c r="L3999">
        <v>214.47229999999999</v>
      </c>
      <c r="M3999">
        <v>0.99977000000000005</v>
      </c>
      <c r="N3999">
        <v>-1.526426E-2</v>
      </c>
      <c r="O3999">
        <v>1.50658999999999E-2</v>
      </c>
      <c r="P3999">
        <v>0.98340830000000001</v>
      </c>
      <c r="Q3999">
        <v>0.181199</v>
      </c>
      <c r="R3999">
        <v>-8.6862720000000001E-3</v>
      </c>
      <c r="S3999">
        <v>3.0557249999999998</v>
      </c>
      <c r="T3999">
        <v>-1.1049150000000001E-2</v>
      </c>
      <c r="U3999">
        <v>0.39660640000000003</v>
      </c>
      <c r="V3999">
        <v>2.3469139999999999E-2</v>
      </c>
      <c r="W3999">
        <v>0.19618910000000001</v>
      </c>
      <c r="X3999">
        <v>0.98028519999999997</v>
      </c>
      <c r="Y3999">
        <v>-0.1137518</v>
      </c>
      <c r="Z3999">
        <v>1.251512E-3</v>
      </c>
      <c r="AA3999">
        <v>0.99350839999999996</v>
      </c>
      <c r="AB3999">
        <v>42</v>
      </c>
      <c r="AC3999">
        <v>188.39019999999999</v>
      </c>
      <c r="AD3999">
        <v>-0.68243729999999903</v>
      </c>
      <c r="AE3999">
        <v>24.488800000000001</v>
      </c>
      <c r="AF3999">
        <v>-21.647142023150099</v>
      </c>
      <c r="AG3999">
        <v>-0.68243729999999903</v>
      </c>
      <c r="AH3999">
        <v>188.73536658613199</v>
      </c>
      <c r="AI3999">
        <v>90.205822221465198</v>
      </c>
      <c r="AJ3999">
        <v>96.542990379491698</v>
      </c>
      <c r="AK3999">
        <v>189.973953685342</v>
      </c>
      <c r="AL3999">
        <v>78.685804334947306</v>
      </c>
      <c r="AM3999">
        <v>88.628536016888901</v>
      </c>
      <c r="AN3999">
        <v>1.0000000184150899</v>
      </c>
    </row>
    <row r="4000" spans="1:40" x14ac:dyDescent="0.25">
      <c r="A4000" t="str">
        <f>"20190303170333008"</f>
        <v>20190303170333008</v>
      </c>
      <c r="B4000" t="str">
        <f>"1551603812999912"</f>
        <v>1551603812999912</v>
      </c>
      <c r="C4000" t="s">
        <v>40</v>
      </c>
      <c r="D4000">
        <v>4.1729089999999998</v>
      </c>
      <c r="E4000">
        <v>0.44987959999999999</v>
      </c>
      <c r="F4000" t="s">
        <v>55</v>
      </c>
      <c r="G4000">
        <v>-157.25</v>
      </c>
      <c r="H4000">
        <v>0.48014810000000002</v>
      </c>
      <c r="I4000">
        <v>238.91560000000001</v>
      </c>
      <c r="J4000">
        <v>-345.37290000000002</v>
      </c>
      <c r="K4000">
        <v>1.121637</v>
      </c>
      <c r="L4000">
        <v>214.47640000000001</v>
      </c>
      <c r="M4000">
        <v>0.99976929999999997</v>
      </c>
      <c r="N4000">
        <v>-1.5261200000000001E-2</v>
      </c>
      <c r="O4000">
        <v>1.511294E-2</v>
      </c>
      <c r="P4000">
        <v>0.98337249999999998</v>
      </c>
      <c r="Q4000">
        <v>0.18137420000000001</v>
      </c>
      <c r="R4000">
        <v>-9.0627969999999992E-3</v>
      </c>
      <c r="S4000">
        <v>3.0560299999999998</v>
      </c>
      <c r="T4000">
        <v>-1.040518E-2</v>
      </c>
      <c r="U4000">
        <v>0.3965149</v>
      </c>
      <c r="V4000">
        <v>2.3891559999999999E-2</v>
      </c>
      <c r="W4000">
        <v>0.1963607</v>
      </c>
      <c r="X4000">
        <v>0.98024060000000002</v>
      </c>
      <c r="Y4000">
        <v>-0.1136635</v>
      </c>
      <c r="Z4000">
        <v>1.242228E-3</v>
      </c>
      <c r="AA4000">
        <v>0.99351849999999997</v>
      </c>
      <c r="AB4000">
        <v>42</v>
      </c>
      <c r="AC4000">
        <v>188.12289999999999</v>
      </c>
      <c r="AD4000">
        <v>-0.64148890000000003</v>
      </c>
      <c r="AE4000">
        <v>24.4392</v>
      </c>
      <c r="AF4000">
        <v>-21.592740013210399</v>
      </c>
      <c r="AG4000">
        <v>-0.64148890000000003</v>
      </c>
      <c r="AH4000">
        <v>188.46864614006799</v>
      </c>
      <c r="AI4000">
        <v>90.193748902036305</v>
      </c>
      <c r="AJ4000">
        <v>96.535845763820504</v>
      </c>
      <c r="AK4000">
        <v>189.702631787641</v>
      </c>
      <c r="AL4000">
        <v>78.675776931529896</v>
      </c>
      <c r="AM4000">
        <v>88.603797284052703</v>
      </c>
      <c r="AN4000">
        <v>0.99999998251604105</v>
      </c>
    </row>
    <row r="4001" spans="1:40" x14ac:dyDescent="0.25">
      <c r="A4001" t="str">
        <f>"20190303170333023"</f>
        <v>20190303170333023</v>
      </c>
      <c r="B4001" t="str">
        <f>"1551603813019432"</f>
        <v>1551603813019432</v>
      </c>
      <c r="C4001" t="s">
        <v>40</v>
      </c>
      <c r="D4001">
        <v>4.1781969999999999</v>
      </c>
      <c r="E4001">
        <v>0.44957580000000003</v>
      </c>
      <c r="F4001" t="s">
        <v>55</v>
      </c>
      <c r="G4001">
        <v>-157.25</v>
      </c>
      <c r="H4001">
        <v>0.51815180000000005</v>
      </c>
      <c r="I4001">
        <v>238.89599999999999</v>
      </c>
      <c r="J4001">
        <v>-345.1087</v>
      </c>
      <c r="K4001">
        <v>1.1216429999999999</v>
      </c>
      <c r="L4001">
        <v>214.4804</v>
      </c>
      <c r="M4001">
        <v>0.99976869999999995</v>
      </c>
      <c r="N4001">
        <v>-1.525819E-2</v>
      </c>
      <c r="O4001">
        <v>1.515909E-2</v>
      </c>
      <c r="P4001">
        <v>0.98323039999999995</v>
      </c>
      <c r="Q4001">
        <v>0.18211169999999999</v>
      </c>
      <c r="R4001">
        <v>-9.6599790000000008E-3</v>
      </c>
      <c r="S4001">
        <v>3.0561829999999999</v>
      </c>
      <c r="T4001">
        <v>-9.8030570000000004E-3</v>
      </c>
      <c r="U4001">
        <v>0.39671329999999999</v>
      </c>
      <c r="V4001">
        <v>2.4532089999999999E-2</v>
      </c>
      <c r="W4001">
        <v>0.1970934</v>
      </c>
      <c r="X4001">
        <v>0.98007770000000005</v>
      </c>
      <c r="Y4001">
        <v>-0.113675</v>
      </c>
      <c r="Z4001">
        <v>1.23448E-3</v>
      </c>
      <c r="AA4001">
        <v>0.99351719999999999</v>
      </c>
      <c r="AB4001">
        <v>42</v>
      </c>
      <c r="AC4001">
        <v>187.8587</v>
      </c>
      <c r="AD4001">
        <v>-0.60349119999999901</v>
      </c>
      <c r="AE4001">
        <v>24.415599999999898</v>
      </c>
      <c r="AF4001">
        <v>-21.5644766038772</v>
      </c>
      <c r="AG4001">
        <v>-0.60349119999999901</v>
      </c>
      <c r="AH4001">
        <v>188.20536030007699</v>
      </c>
      <c r="AI4001">
        <v>90.182527312019104</v>
      </c>
      <c r="AJ4001">
        <v>96.536417018426405</v>
      </c>
      <c r="AK4001">
        <v>189.43771667360599</v>
      </c>
      <c r="AL4001">
        <v>78.632959385211095</v>
      </c>
      <c r="AM4001">
        <v>88.566142481726601</v>
      </c>
      <c r="AN4001">
        <v>0.99999996490030796</v>
      </c>
    </row>
    <row r="4002" spans="1:40" x14ac:dyDescent="0.25">
      <c r="A4002" t="str">
        <f>"20190303170333039"</f>
        <v>20190303170333039</v>
      </c>
      <c r="B4002" t="str">
        <f>"1551603813029192"</f>
        <v>1551603813029192</v>
      </c>
      <c r="C4002" t="s">
        <v>40</v>
      </c>
      <c r="D4002">
        <v>4.1895480000000003</v>
      </c>
      <c r="E4002">
        <v>0.44945020000000002</v>
      </c>
      <c r="F4002" t="s">
        <v>55</v>
      </c>
      <c r="G4002">
        <v>-157.25</v>
      </c>
      <c r="H4002">
        <v>0.66974199999999995</v>
      </c>
      <c r="I4002">
        <v>238.9034</v>
      </c>
      <c r="J4002">
        <v>-344.7962</v>
      </c>
      <c r="K4002">
        <v>1.1216520000000001</v>
      </c>
      <c r="L4002">
        <v>214.48519999999999</v>
      </c>
      <c r="M4002">
        <v>0.99976799999999999</v>
      </c>
      <c r="N4002">
        <v>-1.525462E-2</v>
      </c>
      <c r="O4002">
        <v>1.5213829999999999E-2</v>
      </c>
      <c r="P4002">
        <v>0.98292840000000004</v>
      </c>
      <c r="Q4002">
        <v>0.18367439999999999</v>
      </c>
      <c r="R4002">
        <v>-1.0763760000000001E-2</v>
      </c>
      <c r="S4002">
        <v>3.0563959999999999</v>
      </c>
      <c r="T4002">
        <v>-7.3513980000000003E-3</v>
      </c>
      <c r="U4002">
        <v>0.39735409999999999</v>
      </c>
      <c r="V4002">
        <v>2.568457E-2</v>
      </c>
      <c r="W4002">
        <v>0.19864699999999999</v>
      </c>
      <c r="X4002">
        <v>0.97973449999999995</v>
      </c>
      <c r="Y4002">
        <v>-0.11381769999999999</v>
      </c>
      <c r="Z4002">
        <v>1.2028849999999999E-3</v>
      </c>
      <c r="AA4002">
        <v>0.99350090000000002</v>
      </c>
      <c r="AB4002">
        <v>42</v>
      </c>
      <c r="AC4002">
        <v>187.5462</v>
      </c>
      <c r="AD4002">
        <v>-0.45190999999999998</v>
      </c>
      <c r="AE4002">
        <v>24.418199999999999</v>
      </c>
      <c r="AF4002">
        <v>-21.561622413542299</v>
      </c>
      <c r="AG4002">
        <v>-0.45190999999999998</v>
      </c>
      <c r="AH4002">
        <v>187.89495369162299</v>
      </c>
      <c r="AI4002">
        <v>90.136904532180907</v>
      </c>
      <c r="AJ4002">
        <v>96.546262617188503</v>
      </c>
      <c r="AK4002">
        <v>189.128584319054</v>
      </c>
      <c r="AL4002">
        <v>78.542149683307898</v>
      </c>
      <c r="AM4002">
        <v>88.498286560899999</v>
      </c>
      <c r="AN4002">
        <v>1.00000000911766</v>
      </c>
    </row>
    <row r="4003" spans="1:40" x14ac:dyDescent="0.25">
      <c r="A4003" t="str">
        <f>"20190303170333062"</f>
        <v>20190303170333062</v>
      </c>
      <c r="B4003" t="str">
        <f>"1551603813049688"</f>
        <v>1551603813049688</v>
      </c>
      <c r="C4003" t="s">
        <v>40</v>
      </c>
      <c r="D4003">
        <v>4.2017239999999996</v>
      </c>
      <c r="E4003">
        <v>0.44918520000000001</v>
      </c>
      <c r="F4003" t="s">
        <v>55</v>
      </c>
      <c r="G4003">
        <v>-157.25</v>
      </c>
      <c r="H4003">
        <v>0.98522909999999997</v>
      </c>
      <c r="I4003">
        <v>238.74969999999999</v>
      </c>
      <c r="J4003">
        <v>-344.3768</v>
      </c>
      <c r="K4003">
        <v>1.1216600000000001</v>
      </c>
      <c r="L4003">
        <v>214.49160000000001</v>
      </c>
      <c r="M4003">
        <v>0.99976690000000001</v>
      </c>
      <c r="N4003">
        <v>-1.5249850000000001E-2</v>
      </c>
      <c r="O4003">
        <v>1.5287469999999999E-2</v>
      </c>
      <c r="P4003">
        <v>0.98268679999999997</v>
      </c>
      <c r="Q4003">
        <v>0.1848929</v>
      </c>
      <c r="R4003">
        <v>-1.1891860000000001E-2</v>
      </c>
      <c r="S4003">
        <v>3.056854</v>
      </c>
      <c r="T4003">
        <v>-2.2226569999999998E-3</v>
      </c>
      <c r="U4003">
        <v>0.39549260000000003</v>
      </c>
      <c r="V4003">
        <v>2.6881249999999999E-2</v>
      </c>
      <c r="W4003">
        <v>0.1998577</v>
      </c>
      <c r="X4003">
        <v>0.97945610000000005</v>
      </c>
      <c r="Y4003">
        <v>-0.1131325</v>
      </c>
      <c r="Z4003">
        <v>1.1283949999999999E-3</v>
      </c>
      <c r="AA4003">
        <v>0.99357930000000005</v>
      </c>
      <c r="AB4003">
        <v>41</v>
      </c>
      <c r="AC4003">
        <v>187.1268</v>
      </c>
      <c r="AD4003">
        <v>-0.13643089999999999</v>
      </c>
      <c r="AE4003">
        <v>24.258099999999899</v>
      </c>
      <c r="AF4003">
        <v>-21.394225482495301</v>
      </c>
      <c r="AG4003">
        <v>-0.13643089999999999</v>
      </c>
      <c r="AH4003">
        <v>187.47571731587601</v>
      </c>
      <c r="AI4003">
        <v>90.041426732023396</v>
      </c>
      <c r="AJ4003">
        <v>96.5102773982005</v>
      </c>
      <c r="AK4003">
        <v>188.69254378615099</v>
      </c>
      <c r="AL4003">
        <v>78.471361887305093</v>
      </c>
      <c r="AM4003">
        <v>88.427907445068598</v>
      </c>
      <c r="AN4003">
        <v>0.99999997683903097</v>
      </c>
    </row>
    <row r="4004" spans="1:40" x14ac:dyDescent="0.25">
      <c r="A4004" t="str">
        <f>"20190303170333084"</f>
        <v>20190303170333084</v>
      </c>
      <c r="B4004" t="str">
        <f>"1551603813078968"</f>
        <v>1551603813078968</v>
      </c>
      <c r="C4004" t="s">
        <v>40</v>
      </c>
      <c r="D4004">
        <v>4.2579690000000001</v>
      </c>
      <c r="E4004">
        <v>0.47065750000000001</v>
      </c>
      <c r="F4004" t="s">
        <v>55</v>
      </c>
      <c r="G4004">
        <v>-157.25</v>
      </c>
      <c r="H4004">
        <v>1.201819</v>
      </c>
      <c r="I4004">
        <v>238.60929999999999</v>
      </c>
      <c r="J4004">
        <v>-343.96510000000001</v>
      </c>
      <c r="K4004">
        <v>1.1216660000000001</v>
      </c>
      <c r="L4004">
        <v>214.49799999999999</v>
      </c>
      <c r="M4004">
        <v>0.99976589999999999</v>
      </c>
      <c r="N4004">
        <v>-1.5245160000000001E-2</v>
      </c>
      <c r="O4004">
        <v>1.535944E-2</v>
      </c>
      <c r="P4004">
        <v>0.98252790000000001</v>
      </c>
      <c r="Q4004">
        <v>0.18565799999999999</v>
      </c>
      <c r="R4004">
        <v>-1.304666E-2</v>
      </c>
      <c r="S4004">
        <v>3.0573429999999999</v>
      </c>
      <c r="T4004">
        <v>1.310587E-3</v>
      </c>
      <c r="U4004">
        <v>0.39404299999999998</v>
      </c>
      <c r="V4004">
        <v>2.810412E-2</v>
      </c>
      <c r="W4004">
        <v>0.2006155</v>
      </c>
      <c r="X4004">
        <v>0.97926690000000005</v>
      </c>
      <c r="Y4004">
        <v>-0.1125787</v>
      </c>
      <c r="Z4004">
        <v>1.0775190000000001E-3</v>
      </c>
      <c r="AA4004">
        <v>0.99364220000000003</v>
      </c>
      <c r="AB4004">
        <v>41</v>
      </c>
      <c r="AC4004">
        <v>186.71510000000001</v>
      </c>
      <c r="AD4004">
        <v>8.0152999999999905E-2</v>
      </c>
      <c r="AE4004">
        <v>24.1113</v>
      </c>
      <c r="AF4004">
        <v>-21.240278807512102</v>
      </c>
      <c r="AG4004">
        <v>8.0152999999999905E-2</v>
      </c>
      <c r="AH4004">
        <v>187.06341454938701</v>
      </c>
      <c r="AI4004">
        <v>89.975606629197898</v>
      </c>
      <c r="AJ4004">
        <v>96.477955036525998</v>
      </c>
      <c r="AK4004">
        <v>188.26544274295199</v>
      </c>
      <c r="AL4004">
        <v>78.427046383366999</v>
      </c>
      <c r="AM4004">
        <v>88.356111502603099</v>
      </c>
      <c r="AN4004">
        <v>1.00000004091841</v>
      </c>
    </row>
    <row r="4005" spans="1:40" x14ac:dyDescent="0.25">
      <c r="A4005" t="str">
        <f>"20190303170333107"</f>
        <v>20190303170333107</v>
      </c>
      <c r="B4005" t="str">
        <f>"1551603813099971"</f>
        <v>1551603813099971</v>
      </c>
      <c r="C4005" t="s">
        <v>40</v>
      </c>
      <c r="D4005">
        <v>4.1528429999999998</v>
      </c>
      <c r="E4005">
        <v>0.47737590000000002</v>
      </c>
      <c r="F4005" t="s">
        <v>55</v>
      </c>
      <c r="G4005">
        <v>-157.25</v>
      </c>
      <c r="H4005">
        <v>0.69193079999999996</v>
      </c>
      <c r="I4005">
        <v>227.90199999999999</v>
      </c>
      <c r="J4005">
        <v>-343.53870000000001</v>
      </c>
      <c r="K4005">
        <v>1.1216660000000001</v>
      </c>
      <c r="L4005">
        <v>214.50460000000001</v>
      </c>
      <c r="M4005">
        <v>0.99976469999999995</v>
      </c>
      <c r="N4005">
        <v>-1.524029E-2</v>
      </c>
      <c r="O4005">
        <v>1.543421E-2</v>
      </c>
      <c r="P4005">
        <v>0.98249980000000003</v>
      </c>
      <c r="Q4005">
        <v>0.1857396</v>
      </c>
      <c r="R4005">
        <v>-1.3972979999999999E-2</v>
      </c>
      <c r="S4005">
        <v>3.0575559999999999</v>
      </c>
      <c r="T4005">
        <v>-7.0362089999999999E-3</v>
      </c>
      <c r="U4005">
        <v>0.21949769999999999</v>
      </c>
      <c r="V4005">
        <v>2.9103529999999999E-2</v>
      </c>
      <c r="W4005">
        <v>0.2006916</v>
      </c>
      <c r="X4005">
        <v>0.97922209999999998</v>
      </c>
      <c r="Y4005">
        <v>-5.6199560000000003E-2</v>
      </c>
      <c r="Z4005">
        <v>6.9291779999999998E-4</v>
      </c>
      <c r="AA4005">
        <v>0.99841930000000001</v>
      </c>
      <c r="AB4005">
        <v>41</v>
      </c>
      <c r="AC4005">
        <v>186.28870000000001</v>
      </c>
      <c r="AD4005">
        <v>-0.42973519999999998</v>
      </c>
      <c r="AE4005">
        <v>13.397399999999999</v>
      </c>
      <c r="AF4005">
        <v>-10.5201951357196</v>
      </c>
      <c r="AG4005">
        <v>-0.42973519999999998</v>
      </c>
      <c r="AH4005">
        <v>186.47232027034201</v>
      </c>
      <c r="AI4005">
        <v>90.131831248811295</v>
      </c>
      <c r="AJ4005">
        <v>93.229028809538903</v>
      </c>
      <c r="AK4005">
        <v>186.769337432676</v>
      </c>
      <c r="AL4005">
        <v>78.422595498934896</v>
      </c>
      <c r="AM4005">
        <v>88.297609189742303</v>
      </c>
      <c r="AN4005">
        <v>1.00000002744871</v>
      </c>
    </row>
    <row r="4006" spans="1:40" x14ac:dyDescent="0.25">
      <c r="A4006" t="str">
        <f>"20190303170333128"</f>
        <v>20190303170333128</v>
      </c>
      <c r="B4006" t="str">
        <f>"1551603813119491"</f>
        <v>1551603813119491</v>
      </c>
      <c r="C4006" t="s">
        <v>40</v>
      </c>
      <c r="D4006">
        <v>4.3108490000000002</v>
      </c>
      <c r="E4006">
        <v>0.48073519999999997</v>
      </c>
      <c r="F4006" t="s">
        <v>55</v>
      </c>
      <c r="G4006">
        <v>-168.35059999999999</v>
      </c>
      <c r="H4006">
        <v>0.57336709999999902</v>
      </c>
      <c r="I4006">
        <v>223.8638</v>
      </c>
      <c r="J4006">
        <v>-343.15730000000002</v>
      </c>
      <c r="K4006">
        <v>1.1216680000000001</v>
      </c>
      <c r="L4006">
        <v>214.51050000000001</v>
      </c>
      <c r="M4006">
        <v>0.99976370000000003</v>
      </c>
      <c r="N4006">
        <v>-1.523594E-2</v>
      </c>
      <c r="O4006">
        <v>1.550117E-2</v>
      </c>
      <c r="P4006">
        <v>0.98240499999999997</v>
      </c>
      <c r="Q4006">
        <v>0.18619630000000001</v>
      </c>
      <c r="R4006">
        <v>-1.454475E-2</v>
      </c>
      <c r="S4006">
        <v>3.0575559999999999</v>
      </c>
      <c r="T4006">
        <v>-9.5684529999999993E-3</v>
      </c>
      <c r="U4006">
        <v>0.1633453</v>
      </c>
      <c r="V4006">
        <v>2.9739539999999998E-2</v>
      </c>
      <c r="W4006">
        <v>0.2011424</v>
      </c>
      <c r="X4006">
        <v>0.97911049999999999</v>
      </c>
      <c r="Y4006">
        <v>-3.7860159999999997E-2</v>
      </c>
      <c r="Z4006">
        <v>5.3542749999999995E-4</v>
      </c>
      <c r="AA4006">
        <v>0.99928289999999997</v>
      </c>
      <c r="AB4006">
        <v>41</v>
      </c>
      <c r="AC4006">
        <v>174.80670000000001</v>
      </c>
      <c r="AD4006">
        <v>-0.54830089999999998</v>
      </c>
      <c r="AE4006">
        <v>9.3532999999999902</v>
      </c>
      <c r="AF4006">
        <v>-6.64208767181134</v>
      </c>
      <c r="AG4006">
        <v>-0.54830089999999998</v>
      </c>
      <c r="AH4006">
        <v>174.92897986964201</v>
      </c>
      <c r="AI4006">
        <v>90.179459132474705</v>
      </c>
      <c r="AJ4006">
        <v>92.174487374034101</v>
      </c>
      <c r="AK4006">
        <v>175.05589381894799</v>
      </c>
      <c r="AL4006">
        <v>78.396229028666596</v>
      </c>
      <c r="AM4006">
        <v>88.260230683691105</v>
      </c>
      <c r="AN4006">
        <v>1.00000003826371</v>
      </c>
    </row>
    <row r="4007" spans="1:40" x14ac:dyDescent="0.25">
      <c r="A4007" t="str">
        <f>"20190303170333149"</f>
        <v>20190303170333149</v>
      </c>
      <c r="B4007" t="str">
        <f>"1551603813139010"</f>
        <v>1551603813139010</v>
      </c>
      <c r="C4007" t="s">
        <v>40</v>
      </c>
      <c r="D4007">
        <v>4.2429489999999896</v>
      </c>
      <c r="E4007">
        <v>0.4824948</v>
      </c>
      <c r="F4007" t="s">
        <v>55</v>
      </c>
      <c r="G4007">
        <v>-168.35059999999999</v>
      </c>
      <c r="H4007">
        <v>0.50938220000000001</v>
      </c>
      <c r="I4007">
        <v>222.20439999999999</v>
      </c>
      <c r="J4007">
        <v>-342.76440000000002</v>
      </c>
      <c r="K4007">
        <v>1.1216699999999999</v>
      </c>
      <c r="L4007">
        <v>214.51669999999999</v>
      </c>
      <c r="M4007">
        <v>0.99976279999999995</v>
      </c>
      <c r="N4007">
        <v>-1.5231410000000001E-2</v>
      </c>
      <c r="O4007">
        <v>1.557009E-2</v>
      </c>
      <c r="P4007">
        <v>0.98241250000000002</v>
      </c>
      <c r="Q4007">
        <v>0.1861621</v>
      </c>
      <c r="R4007">
        <v>-1.448121E-2</v>
      </c>
      <c r="S4007">
        <v>3.0577390000000002</v>
      </c>
      <c r="T4007">
        <v>-1.070917E-2</v>
      </c>
      <c r="U4007">
        <v>0.13458249999999999</v>
      </c>
      <c r="V4007">
        <v>2.974396E-2</v>
      </c>
      <c r="W4007">
        <v>0.20110359999999999</v>
      </c>
      <c r="X4007">
        <v>0.9791183</v>
      </c>
      <c r="Y4007">
        <v>-2.8409139999999999E-2</v>
      </c>
      <c r="Z4007">
        <v>4.4878600000000001E-4</v>
      </c>
      <c r="AA4007">
        <v>0.99959629999999999</v>
      </c>
      <c r="AB4007">
        <v>41</v>
      </c>
      <c r="AC4007">
        <v>174.41380000000001</v>
      </c>
      <c r="AD4007">
        <v>-0.61228780000000005</v>
      </c>
      <c r="AE4007">
        <v>7.6877000000000004</v>
      </c>
      <c r="AF4007">
        <v>-4.9707532130429897</v>
      </c>
      <c r="AG4007">
        <v>-0.61228780000000005</v>
      </c>
      <c r="AH4007">
        <v>174.510218025645</v>
      </c>
      <c r="AI4007">
        <v>90.200946056633498</v>
      </c>
      <c r="AJ4007">
        <v>91.631573192501094</v>
      </c>
      <c r="AK4007">
        <v>174.582070898513</v>
      </c>
      <c r="AL4007">
        <v>78.398498066829902</v>
      </c>
      <c r="AM4007">
        <v>88.259986124859594</v>
      </c>
      <c r="AN4007">
        <v>1.0000000032421601</v>
      </c>
    </row>
    <row r="4008" spans="1:40" x14ac:dyDescent="0.25">
      <c r="A4008" t="str">
        <f>"20190303170333173"</f>
        <v>20190303170333173</v>
      </c>
      <c r="B4008" t="str">
        <f>"1551603813159507"</f>
        <v>1551603813159507</v>
      </c>
      <c r="C4008" t="s">
        <v>40</v>
      </c>
      <c r="D4008">
        <v>4.2526519999999897</v>
      </c>
      <c r="E4008">
        <v>0.4831935</v>
      </c>
      <c r="F4008" t="s">
        <v>55</v>
      </c>
      <c r="G4008">
        <v>-157.8382</v>
      </c>
      <c r="H4008">
        <v>0.3883219</v>
      </c>
      <c r="I4008">
        <v>221.8006</v>
      </c>
      <c r="J4008">
        <v>-342.3442</v>
      </c>
      <c r="K4008">
        <v>1.121667</v>
      </c>
      <c r="L4008">
        <v>214.52330000000001</v>
      </c>
      <c r="M4008">
        <v>0.99976180000000003</v>
      </c>
      <c r="N4008">
        <v>-1.522655E-2</v>
      </c>
      <c r="O4008">
        <v>1.5643730000000002E-2</v>
      </c>
      <c r="P4008">
        <v>0.98249739999999997</v>
      </c>
      <c r="Q4008">
        <v>0.1857415</v>
      </c>
      <c r="R4008">
        <v>-1.4120000000000001E-2</v>
      </c>
      <c r="S4008">
        <v>3.0577390000000002</v>
      </c>
      <c r="T4008">
        <v>-1.2124899999999999E-2</v>
      </c>
      <c r="U4008">
        <v>0.12043760000000001</v>
      </c>
      <c r="V4008">
        <v>2.945677E-2</v>
      </c>
      <c r="W4008">
        <v>0.20068</v>
      </c>
      <c r="X4008">
        <v>0.97921389999999997</v>
      </c>
      <c r="Y4008">
        <v>-2.3719130000000001E-2</v>
      </c>
      <c r="Z4008">
        <v>4.038213E-4</v>
      </c>
      <c r="AA4008">
        <v>0.99971860000000001</v>
      </c>
      <c r="AB4008">
        <v>41</v>
      </c>
      <c r="AC4008">
        <v>184.50599999999901</v>
      </c>
      <c r="AD4008">
        <v>-0.73334509999999997</v>
      </c>
      <c r="AE4008">
        <v>7.2772999999999897</v>
      </c>
      <c r="AF4008">
        <v>-4.38964365633539</v>
      </c>
      <c r="AG4008">
        <v>-0.73334509999999997</v>
      </c>
      <c r="AH4008">
        <v>184.594362306211</v>
      </c>
      <c r="AI4008">
        <v>90.227555612407102</v>
      </c>
      <c r="AJ4008">
        <v>91.362233710377694</v>
      </c>
      <c r="AK4008">
        <v>184.648003947245</v>
      </c>
      <c r="AL4008">
        <v>78.423273760612005</v>
      </c>
      <c r="AM4008">
        <v>88.2769446215258</v>
      </c>
      <c r="AN4008">
        <v>1.00000001282602</v>
      </c>
    </row>
    <row r="4009" spans="1:40" x14ac:dyDescent="0.25">
      <c r="A4009" t="str">
        <f>"20190303170333196"</f>
        <v>20190303170333196</v>
      </c>
      <c r="B4009" t="str">
        <f>"1551603813189763"</f>
        <v>1551603813189763</v>
      </c>
      <c r="C4009" t="s">
        <v>40</v>
      </c>
      <c r="D4009">
        <v>4.1712309999999997</v>
      </c>
      <c r="E4009">
        <v>0.4836493</v>
      </c>
      <c r="F4009" t="s">
        <v>55</v>
      </c>
      <c r="G4009">
        <v>-157.8382</v>
      </c>
      <c r="H4009">
        <v>0.40591339999999998</v>
      </c>
      <c r="I4009">
        <v>221.51439999999999</v>
      </c>
      <c r="J4009">
        <v>-341.91570000000002</v>
      </c>
      <c r="K4009">
        <v>1.1216680000000001</v>
      </c>
      <c r="L4009">
        <v>214.5301</v>
      </c>
      <c r="M4009">
        <v>0.9997606</v>
      </c>
      <c r="N4009">
        <v>-1.522164E-2</v>
      </c>
      <c r="O4009">
        <v>1.5718510000000002E-2</v>
      </c>
      <c r="P4009">
        <v>0.98250349999999997</v>
      </c>
      <c r="Q4009">
        <v>0.1856708</v>
      </c>
      <c r="R4009">
        <v>-1.4618559999999999E-2</v>
      </c>
      <c r="S4009">
        <v>3.057312</v>
      </c>
      <c r="T4009">
        <v>-1.18593E-2</v>
      </c>
      <c r="U4009">
        <v>0.11584469999999999</v>
      </c>
      <c r="V4009">
        <v>3.002869E-2</v>
      </c>
      <c r="W4009">
        <v>0.20060430000000001</v>
      </c>
      <c r="X4009">
        <v>0.97921199999999997</v>
      </c>
      <c r="Y4009">
        <v>-2.2150320000000001E-2</v>
      </c>
      <c r="Z4009">
        <v>3.8987419999999997E-4</v>
      </c>
      <c r="AA4009">
        <v>0.99975449999999999</v>
      </c>
      <c r="AB4009">
        <v>41</v>
      </c>
      <c r="AC4009">
        <v>184.07749999999999</v>
      </c>
      <c r="AD4009">
        <v>-0.71575460000000002</v>
      </c>
      <c r="AE4009">
        <v>6.9842999999999904</v>
      </c>
      <c r="AF4009">
        <v>-4.0896159490623303</v>
      </c>
      <c r="AG4009">
        <v>-0.71575460000000002</v>
      </c>
      <c r="AH4009">
        <v>184.16176831263601</v>
      </c>
      <c r="AI4009">
        <v>90.222627116678893</v>
      </c>
      <c r="AJ4009">
        <v>91.272138242736204</v>
      </c>
      <c r="AK4009">
        <v>184.20856161236199</v>
      </c>
      <c r="AL4009">
        <v>78.427700628936407</v>
      </c>
      <c r="AM4009">
        <v>88.243507869276797</v>
      </c>
      <c r="AN4009">
        <v>0.99999997417280195</v>
      </c>
    </row>
    <row r="4010" spans="1:40" x14ac:dyDescent="0.25">
      <c r="A4010" t="str">
        <f>"20190303170333209"</f>
        <v>20190303170333209</v>
      </c>
      <c r="B4010" t="str">
        <f>"1551603813199522"</f>
        <v>1551603813199522</v>
      </c>
      <c r="C4010" t="s">
        <v>40</v>
      </c>
      <c r="D4010">
        <v>4.1840519999999897</v>
      </c>
      <c r="E4010">
        <v>0.48381809999999997</v>
      </c>
      <c r="F4010" t="s">
        <v>55</v>
      </c>
      <c r="G4010">
        <v>-157.8382</v>
      </c>
      <c r="H4010">
        <v>0.41234019999999999</v>
      </c>
      <c r="I4010">
        <v>221.18979999999999</v>
      </c>
      <c r="J4010">
        <v>-341.6687</v>
      </c>
      <c r="K4010">
        <v>1.1216699999999999</v>
      </c>
      <c r="L4010">
        <v>214.53399999999999</v>
      </c>
      <c r="M4010">
        <v>0.99975999999999998</v>
      </c>
      <c r="N4010">
        <v>-1.5218829999999999E-2</v>
      </c>
      <c r="O4010">
        <v>1.5762040000000001E-2</v>
      </c>
      <c r="P4010">
        <v>0.98248150000000001</v>
      </c>
      <c r="Q4010">
        <v>0.1857964</v>
      </c>
      <c r="R4010">
        <v>-1.449251E-2</v>
      </c>
      <c r="S4010">
        <v>3.057312</v>
      </c>
      <c r="T4010">
        <v>-1.178014E-2</v>
      </c>
      <c r="U4010">
        <v>0.110611</v>
      </c>
      <c r="V4010">
        <v>2.994513E-2</v>
      </c>
      <c r="W4010">
        <v>0.20072709999999999</v>
      </c>
      <c r="X4010">
        <v>0.97918939999999999</v>
      </c>
      <c r="Y4010">
        <v>-2.0397720000000001E-2</v>
      </c>
      <c r="Z4010">
        <v>3.7369760000000003E-4</v>
      </c>
      <c r="AA4010">
        <v>0.99979189999999996</v>
      </c>
      <c r="AB4010">
        <v>41</v>
      </c>
      <c r="AC4010">
        <v>183.8305</v>
      </c>
      <c r="AD4010">
        <v>-0.70932980000000001</v>
      </c>
      <c r="AE4010">
        <v>6.65579999999997</v>
      </c>
      <c r="AF4010">
        <v>-3.7570379587342702</v>
      </c>
      <c r="AG4010">
        <v>-0.70932980000000001</v>
      </c>
      <c r="AH4010">
        <v>183.90984420247901</v>
      </c>
      <c r="AI4010">
        <v>90.220939367005897</v>
      </c>
      <c r="AJ4010">
        <v>91.170315170834996</v>
      </c>
      <c r="AK4010">
        <v>183.949583521053</v>
      </c>
      <c r="AL4010">
        <v>78.420518695099304</v>
      </c>
      <c r="AM4010">
        <v>88.248352159500101</v>
      </c>
      <c r="AN4010">
        <v>0.99999998027874304</v>
      </c>
    </row>
    <row r="4011" spans="1:40" x14ac:dyDescent="0.25">
      <c r="A4011" t="str">
        <f>"20190303170333228"</f>
        <v>20190303170333228</v>
      </c>
      <c r="B4011" t="str">
        <f>"1551603813219042"</f>
        <v>1551603813219042</v>
      </c>
      <c r="C4011" t="s">
        <v>40</v>
      </c>
      <c r="D4011">
        <v>4.1866770000000004</v>
      </c>
      <c r="E4011">
        <v>0.48413519999999999</v>
      </c>
      <c r="F4011" t="s">
        <v>55</v>
      </c>
      <c r="G4011">
        <v>-157.8382</v>
      </c>
      <c r="H4011">
        <v>0.43121429999999999</v>
      </c>
      <c r="I4011">
        <v>221.1335</v>
      </c>
      <c r="J4011">
        <v>-341.31630000000001</v>
      </c>
      <c r="K4011">
        <v>1.121669</v>
      </c>
      <c r="L4011">
        <v>214.53960000000001</v>
      </c>
      <c r="M4011">
        <v>0.99975910000000001</v>
      </c>
      <c r="N4011">
        <v>-1.521483E-2</v>
      </c>
      <c r="O4011">
        <v>1.5823750000000001E-2</v>
      </c>
      <c r="P4011">
        <v>0.98245850000000001</v>
      </c>
      <c r="Q4011">
        <v>0.18596260000000001</v>
      </c>
      <c r="R4011">
        <v>-1.38993E-2</v>
      </c>
      <c r="S4011">
        <v>3.057312</v>
      </c>
      <c r="T4011">
        <v>-1.148212E-2</v>
      </c>
      <c r="U4011">
        <v>0.10975650000000001</v>
      </c>
      <c r="V4011">
        <v>2.9412609999999999E-2</v>
      </c>
      <c r="W4011">
        <v>0.20088880000000001</v>
      </c>
      <c r="X4011">
        <v>0.97917240000000005</v>
      </c>
      <c r="Y4011">
        <v>-2.005699E-2</v>
      </c>
      <c r="Z4011">
        <v>3.7161030000000002E-4</v>
      </c>
      <c r="AA4011">
        <v>0.99979879999999999</v>
      </c>
      <c r="AB4011">
        <v>41</v>
      </c>
      <c r="AC4011">
        <v>183.47810000000001</v>
      </c>
      <c r="AD4011">
        <v>-0.69045469999999998</v>
      </c>
      <c r="AE4011">
        <v>6.5938999999999899</v>
      </c>
      <c r="AF4011">
        <v>-3.6893745666043398</v>
      </c>
      <c r="AG4011">
        <v>-0.69045469999999998</v>
      </c>
      <c r="AH4011">
        <v>183.55687886039101</v>
      </c>
      <c r="AI4011">
        <v>90.215475255535196</v>
      </c>
      <c r="AJ4011">
        <v>91.151453077941497</v>
      </c>
      <c r="AK4011">
        <v>183.59525045423601</v>
      </c>
      <c r="AL4011">
        <v>78.411061561432106</v>
      </c>
      <c r="AM4011">
        <v>88.279453304977693</v>
      </c>
      <c r="AN4011">
        <v>1.0000000002570999</v>
      </c>
    </row>
    <row r="4012" spans="1:40" x14ac:dyDescent="0.25">
      <c r="A4012" t="str">
        <f>"20190303170333251"</f>
        <v>20190303170333251</v>
      </c>
      <c r="B4012" t="str">
        <f>"1551603813239539"</f>
        <v>1551603813239539</v>
      </c>
      <c r="C4012" t="s">
        <v>40</v>
      </c>
      <c r="D4012">
        <v>4.3027249999999997</v>
      </c>
      <c r="E4012">
        <v>0.48447059999999997</v>
      </c>
      <c r="F4012" t="s">
        <v>55</v>
      </c>
      <c r="G4012">
        <v>-157.8382</v>
      </c>
      <c r="H4012">
        <v>0.41158289999999997</v>
      </c>
      <c r="I4012">
        <v>221.0761</v>
      </c>
      <c r="J4012">
        <v>-340.91140000000001</v>
      </c>
      <c r="K4012">
        <v>1.121667</v>
      </c>
      <c r="L4012">
        <v>214.5461</v>
      </c>
      <c r="M4012">
        <v>0.99975789999999998</v>
      </c>
      <c r="N4012">
        <v>-1.521044E-2</v>
      </c>
      <c r="O4012">
        <v>1.5894889999999998E-2</v>
      </c>
      <c r="P4012">
        <v>0.98259070000000004</v>
      </c>
      <c r="Q4012">
        <v>0.18533079999999999</v>
      </c>
      <c r="R4012">
        <v>-1.2963809999999999E-2</v>
      </c>
      <c r="S4012">
        <v>3.057312</v>
      </c>
      <c r="T4012">
        <v>-1.183128E-2</v>
      </c>
      <c r="U4012">
        <v>0.10891720000000001</v>
      </c>
      <c r="V4012">
        <v>2.854928E-2</v>
      </c>
      <c r="W4012">
        <v>0.20025480000000001</v>
      </c>
      <c r="X4012">
        <v>0.97932779999999997</v>
      </c>
      <c r="Y4012">
        <v>-1.9711719999999999E-2</v>
      </c>
      <c r="Z4012">
        <v>3.6834790000000002E-4</v>
      </c>
      <c r="AA4012">
        <v>0.99980559999999996</v>
      </c>
      <c r="AB4012">
        <v>41</v>
      </c>
      <c r="AC4012">
        <v>183.07320000000001</v>
      </c>
      <c r="AD4012">
        <v>-0.710084099999999</v>
      </c>
      <c r="AE4012">
        <v>6.53</v>
      </c>
      <c r="AF4012">
        <v>-3.6188552392522002</v>
      </c>
      <c r="AG4012">
        <v>-0.710084099999999</v>
      </c>
      <c r="AH4012">
        <v>183.15112046849799</v>
      </c>
      <c r="AI4012">
        <v>90.222093529089406</v>
      </c>
      <c r="AJ4012">
        <v>91.131951332416904</v>
      </c>
      <c r="AK4012">
        <v>183.18824542403999</v>
      </c>
      <c r="AL4012">
        <v>78.448140484638799</v>
      </c>
      <c r="AM4012">
        <v>88.330191264556305</v>
      </c>
      <c r="AN4012">
        <v>0.999999993082199</v>
      </c>
    </row>
    <row r="4013" spans="1:40" x14ac:dyDescent="0.25">
      <c r="A4013" t="str">
        <f>"20190303170333276"</f>
        <v>20190303170333276</v>
      </c>
      <c r="B4013" t="str">
        <f>"1551603813269794"</f>
        <v>1551603813269794</v>
      </c>
      <c r="C4013" t="s">
        <v>40</v>
      </c>
      <c r="D4013">
        <v>4.1654150000000003</v>
      </c>
      <c r="E4013">
        <v>0.48481990000000003</v>
      </c>
      <c r="F4013" t="s">
        <v>55</v>
      </c>
      <c r="G4013">
        <v>-157.8382</v>
      </c>
      <c r="H4013">
        <v>0.25631710000000002</v>
      </c>
      <c r="I4013">
        <v>221.03800000000001</v>
      </c>
      <c r="J4013">
        <v>-340.44979999999998</v>
      </c>
      <c r="K4013">
        <v>1.1216649999999999</v>
      </c>
      <c r="L4013">
        <v>214.55350000000001</v>
      </c>
      <c r="M4013">
        <v>0.9997568</v>
      </c>
      <c r="N4013">
        <v>-1.5205349999999999E-2</v>
      </c>
      <c r="O4013">
        <v>1.5975980000000001E-2</v>
      </c>
      <c r="P4013">
        <v>0.98276470000000005</v>
      </c>
      <c r="Q4013">
        <v>0.1844374</v>
      </c>
      <c r="R4013">
        <v>-1.252258E-2</v>
      </c>
      <c r="S4013">
        <v>3.0572810000000001</v>
      </c>
      <c r="T4013">
        <v>-1.445019E-2</v>
      </c>
      <c r="U4013">
        <v>0.1084137</v>
      </c>
      <c r="V4013">
        <v>2.81906E-2</v>
      </c>
      <c r="W4013">
        <v>0.19935919999999999</v>
      </c>
      <c r="X4013">
        <v>0.97952090000000003</v>
      </c>
      <c r="Y4013">
        <v>-1.9466190000000001E-2</v>
      </c>
      <c r="Z4013">
        <v>3.614499E-4</v>
      </c>
      <c r="AA4013">
        <v>0.99981050000000005</v>
      </c>
      <c r="AB4013">
        <v>41</v>
      </c>
      <c r="AC4013">
        <v>182.61160000000001</v>
      </c>
      <c r="AD4013">
        <v>-0.86534789999999995</v>
      </c>
      <c r="AE4013">
        <v>6.4844999999999597</v>
      </c>
      <c r="AF4013">
        <v>-3.5658558112112599</v>
      </c>
      <c r="AG4013">
        <v>-0.86534789999999995</v>
      </c>
      <c r="AH4013">
        <v>182.68779998551801</v>
      </c>
      <c r="AI4013">
        <v>90.2713425297502</v>
      </c>
      <c r="AJ4013">
        <v>91.118205748214606</v>
      </c>
      <c r="AK4013">
        <v>182.72464644432301</v>
      </c>
      <c r="AL4013">
        <v>78.500510662739103</v>
      </c>
      <c r="AM4013">
        <v>88.351483186666002</v>
      </c>
      <c r="AN4013">
        <v>0.99999999704490405</v>
      </c>
    </row>
    <row r="4014" spans="1:40" x14ac:dyDescent="0.25">
      <c r="A4014" t="str">
        <f>"20190303170333298"</f>
        <v>20190303170333298</v>
      </c>
      <c r="B4014" t="str">
        <f>"1551603813289315"</f>
        <v>1551603813289315</v>
      </c>
      <c r="C4014" t="s">
        <v>40</v>
      </c>
      <c r="D4014">
        <v>4.2351380000000001</v>
      </c>
      <c r="E4014">
        <v>0.48505120000000002</v>
      </c>
      <c r="F4014" t="s">
        <v>55</v>
      </c>
      <c r="G4014">
        <v>-157.8382</v>
      </c>
      <c r="H4014">
        <v>8.4774970000000005E-2</v>
      </c>
      <c r="I4014">
        <v>220.93440000000001</v>
      </c>
      <c r="J4014">
        <v>-340.05840000000001</v>
      </c>
      <c r="K4014">
        <v>1.121661</v>
      </c>
      <c r="L4014">
        <v>214.5599</v>
      </c>
      <c r="M4014">
        <v>0.99975579999999997</v>
      </c>
      <c r="N4014">
        <v>-1.5200709999999999E-2</v>
      </c>
      <c r="O4014">
        <v>1.604473E-2</v>
      </c>
      <c r="P4014">
        <v>0.98291090000000003</v>
      </c>
      <c r="Q4014">
        <v>0.1836718</v>
      </c>
      <c r="R4014">
        <v>-1.22906E-2</v>
      </c>
      <c r="S4014">
        <v>3.05722</v>
      </c>
      <c r="T4014">
        <v>-1.73583E-2</v>
      </c>
      <c r="U4014">
        <v>0.1068268</v>
      </c>
      <c r="V4014">
        <v>2.80288E-2</v>
      </c>
      <c r="W4014">
        <v>0.1985914</v>
      </c>
      <c r="X4014">
        <v>0.97968149999999998</v>
      </c>
      <c r="Y4014">
        <v>-1.8879449999999999E-2</v>
      </c>
      <c r="Z4014">
        <v>3.4992520000000002E-4</v>
      </c>
      <c r="AA4014">
        <v>0.99982170000000004</v>
      </c>
      <c r="AB4014">
        <v>41</v>
      </c>
      <c r="AC4014">
        <v>182.22020000000001</v>
      </c>
      <c r="AD4014">
        <v>-1.03688603</v>
      </c>
      <c r="AE4014">
        <v>6.37450000000001</v>
      </c>
      <c r="AF4014">
        <v>-3.4495561786790301</v>
      </c>
      <c r="AG4014">
        <v>-1.03688603</v>
      </c>
      <c r="AH4014">
        <v>182.29313190432001</v>
      </c>
      <c r="AI4014">
        <v>90.325837394337697</v>
      </c>
      <c r="AJ4014">
        <v>91.084085955475999</v>
      </c>
      <c r="AK4014">
        <v>182.328715538598</v>
      </c>
      <c r="AL4014">
        <v>78.545399976918802</v>
      </c>
      <c r="AM4014">
        <v>88.361208221827695</v>
      </c>
      <c r="AN4014">
        <v>0.99999999961282404</v>
      </c>
    </row>
    <row r="4015" spans="1:40" x14ac:dyDescent="0.25">
      <c r="A4015" t="str">
        <f>"20190303170333318"</f>
        <v>20190303170333318</v>
      </c>
      <c r="B4015" t="str">
        <f>"1551603813309811"</f>
        <v>1551603813309811</v>
      </c>
      <c r="C4015" t="s">
        <v>40</v>
      </c>
      <c r="D4015">
        <v>4.4072370000000003</v>
      </c>
      <c r="E4015">
        <v>0.50956179999999995</v>
      </c>
      <c r="F4015" t="s">
        <v>57</v>
      </c>
      <c r="G4015">
        <v>-179.9434</v>
      </c>
      <c r="H4015">
        <v>6.4392599999999994E-2</v>
      </c>
      <c r="I4015">
        <v>220.0676</v>
      </c>
      <c r="J4015">
        <v>-339.6687</v>
      </c>
      <c r="K4015">
        <v>1.121661</v>
      </c>
      <c r="L4015">
        <v>214.56620000000001</v>
      </c>
      <c r="M4015">
        <v>0.9997547</v>
      </c>
      <c r="N4015">
        <v>-1.519596E-2</v>
      </c>
      <c r="O4015">
        <v>1.6113490000000001E-2</v>
      </c>
      <c r="P4015">
        <v>0.98305670000000001</v>
      </c>
      <c r="Q4015">
        <v>0.18293429999999999</v>
      </c>
      <c r="R4015">
        <v>-1.1616659999999999E-2</v>
      </c>
      <c r="S4015">
        <v>3.05722</v>
      </c>
      <c r="T4015">
        <v>-2.0187380000000001E-2</v>
      </c>
      <c r="U4015">
        <v>0.1051636</v>
      </c>
      <c r="V4015">
        <v>2.7425020000000001E-2</v>
      </c>
      <c r="W4015">
        <v>0.19785150000000001</v>
      </c>
      <c r="X4015">
        <v>0.97984830000000001</v>
      </c>
      <c r="Y4015">
        <v>-1.826709E-2</v>
      </c>
      <c r="Z4015">
        <v>3.3761229999999999E-4</v>
      </c>
      <c r="AA4015">
        <v>0.99983310000000003</v>
      </c>
      <c r="AB4015">
        <v>41</v>
      </c>
      <c r="AC4015">
        <v>159.7253</v>
      </c>
      <c r="AD4015">
        <v>-1.0572683999999899</v>
      </c>
      <c r="AE4015">
        <v>5.5013999999999896</v>
      </c>
      <c r="AF4015">
        <v>-2.92652830336334</v>
      </c>
      <c r="AG4015">
        <v>-1.0572683999999899</v>
      </c>
      <c r="AH4015">
        <v>159.78622220939101</v>
      </c>
      <c r="AI4015">
        <v>90.379043793689902</v>
      </c>
      <c r="AJ4015">
        <v>91.049270536232896</v>
      </c>
      <c r="AK4015">
        <v>159.816517270053</v>
      </c>
      <c r="AL4015">
        <v>78.588651579803297</v>
      </c>
      <c r="AM4015">
        <v>88.396764305191198</v>
      </c>
      <c r="AN4015">
        <v>1.0000000193935701</v>
      </c>
    </row>
    <row r="4016" spans="1:40" x14ac:dyDescent="0.25">
      <c r="A4016" t="str">
        <f>"20190303170333340"</f>
        <v>20190303170333340</v>
      </c>
      <c r="B4016" t="str">
        <f>"1551603813329331"</f>
        <v>1551603813329331</v>
      </c>
      <c r="C4016" t="s">
        <v>40</v>
      </c>
      <c r="D4016">
        <v>4.2904249999999999</v>
      </c>
      <c r="E4016">
        <v>0.51977959999999901</v>
      </c>
      <c r="F4016" t="s">
        <v>63</v>
      </c>
      <c r="G4016">
        <v>-318.36169999999998</v>
      </c>
      <c r="H4016" s="1">
        <v>4.613709E-6</v>
      </c>
      <c r="I4016">
        <v>213.98750000000001</v>
      </c>
      <c r="J4016">
        <v>-339.2817</v>
      </c>
      <c r="K4016">
        <v>1.121659</v>
      </c>
      <c r="L4016">
        <v>214.57249999999999</v>
      </c>
      <c r="M4016">
        <v>0.99975369999999997</v>
      </c>
      <c r="N4016">
        <v>-1.519125E-2</v>
      </c>
      <c r="O4016">
        <v>1.618141E-2</v>
      </c>
      <c r="P4016">
        <v>0.98306579999999999</v>
      </c>
      <c r="Q4016">
        <v>0.18297730000000001</v>
      </c>
      <c r="R4016">
        <v>-1.003765E-2</v>
      </c>
      <c r="S4016">
        <v>3.080902</v>
      </c>
      <c r="T4016">
        <v>-0.16218669999999999</v>
      </c>
      <c r="U4016">
        <v>-8.3679199999999995E-2</v>
      </c>
      <c r="V4016">
        <v>2.591328E-2</v>
      </c>
      <c r="W4016">
        <v>0.19789029999999999</v>
      </c>
      <c r="X4016">
        <v>0.97988160000000002</v>
      </c>
      <c r="Y4016">
        <v>4.3235900000000001E-2</v>
      </c>
      <c r="Z4016">
        <v>-2.0712510000000001E-3</v>
      </c>
      <c r="AA4016">
        <v>0.99906269999999997</v>
      </c>
      <c r="AB4016">
        <v>41</v>
      </c>
      <c r="AC4016">
        <v>20.92</v>
      </c>
      <c r="AD4016">
        <v>-1.121654386291</v>
      </c>
      <c r="AE4016">
        <v>-0.58499999999997898</v>
      </c>
      <c r="AF4016">
        <v>0.920832479221253</v>
      </c>
      <c r="AG4016">
        <v>-1.121654386291</v>
      </c>
      <c r="AH4016">
        <v>20.8479081847114</v>
      </c>
      <c r="AI4016">
        <v>93.076651337513994</v>
      </c>
      <c r="AJ4016">
        <v>87.470943150383704</v>
      </c>
      <c r="AK4016">
        <v>20.8983567941413</v>
      </c>
      <c r="AL4016">
        <v>78.586383547718597</v>
      </c>
      <c r="AM4016">
        <v>88.485147994641196</v>
      </c>
      <c r="AN4016">
        <v>1.0000000094665</v>
      </c>
    </row>
    <row r="4017" spans="1:40" x14ac:dyDescent="0.25">
      <c r="A4017" t="str">
        <f>"20190303170333363"</f>
        <v>20190303170333363</v>
      </c>
      <c r="B4017" t="str">
        <f>"1551603813349826"</f>
        <v>1551603813349826</v>
      </c>
      <c r="C4017" t="s">
        <v>40</v>
      </c>
      <c r="D4017">
        <v>4.2638879999999997</v>
      </c>
      <c r="E4017">
        <v>0.55713400000000002</v>
      </c>
      <c r="F4017" t="s">
        <v>43</v>
      </c>
      <c r="G4017">
        <v>-338.27140000000003</v>
      </c>
      <c r="H4017">
        <v>1.045374</v>
      </c>
      <c r="I4017">
        <v>214.5206</v>
      </c>
      <c r="J4017">
        <v>-338.86180000000002</v>
      </c>
      <c r="K4017">
        <v>1.1216539999999999</v>
      </c>
      <c r="L4017">
        <v>214.57939999999999</v>
      </c>
      <c r="M4017">
        <v>0.99975259999999999</v>
      </c>
      <c r="N4017">
        <v>-1.5186130000000001E-2</v>
      </c>
      <c r="O4017">
        <v>1.6254879999999999E-2</v>
      </c>
      <c r="P4017">
        <v>0.98302290000000003</v>
      </c>
      <c r="Q4017">
        <v>0.18330659999999999</v>
      </c>
      <c r="R4017">
        <v>-8.0540660000000003E-3</v>
      </c>
      <c r="S4017">
        <v>3.0935359999999998</v>
      </c>
      <c r="T4017">
        <v>-0.23357520000000001</v>
      </c>
      <c r="U4017">
        <v>-0.1588745</v>
      </c>
      <c r="V4017">
        <v>2.400132E-2</v>
      </c>
      <c r="W4017">
        <v>0.1982138</v>
      </c>
      <c r="X4017">
        <v>0.97986490000000004</v>
      </c>
      <c r="Y4017">
        <v>6.7258879999999993E-2</v>
      </c>
      <c r="Z4017">
        <v>-4.0242809999999898E-3</v>
      </c>
      <c r="AA4017">
        <v>0.99772749999999999</v>
      </c>
      <c r="AB4017">
        <v>41</v>
      </c>
      <c r="AC4017">
        <v>0.59039999999998805</v>
      </c>
      <c r="AD4017">
        <v>-7.6280000000000098E-2</v>
      </c>
      <c r="AE4017">
        <v>-5.8799999999990797E-2</v>
      </c>
      <c r="AF4017">
        <v>6.7278187156261396E-2</v>
      </c>
      <c r="AG4017">
        <v>-7.6280000000000098E-2</v>
      </c>
      <c r="AH4017">
        <v>0.57978294627809102</v>
      </c>
      <c r="AI4017">
        <v>97.445759259347696</v>
      </c>
      <c r="AJ4017">
        <v>83.380983737138195</v>
      </c>
      <c r="AK4017">
        <v>0.58863677905983502</v>
      </c>
      <c r="AL4017">
        <v>78.567473657129597</v>
      </c>
      <c r="AM4017">
        <v>88.596847982488399</v>
      </c>
      <c r="AN4017">
        <v>0.99999999806209605</v>
      </c>
    </row>
    <row r="4018" spans="1:40" x14ac:dyDescent="0.25">
      <c r="A4018" t="str">
        <f>"20190303170333385"</f>
        <v>20190303170333385</v>
      </c>
      <c r="B4018" t="str">
        <f>"1551603813379107"</f>
        <v>1551603813379107</v>
      </c>
      <c r="C4018" t="s">
        <v>40</v>
      </c>
      <c r="D4018">
        <v>4.2482379999999997</v>
      </c>
      <c r="E4018">
        <v>0.55978989999999995</v>
      </c>
      <c r="F4018" t="s">
        <v>43</v>
      </c>
      <c r="G4018">
        <v>-337.94970000000001</v>
      </c>
      <c r="H4018">
        <v>0.95600220000000002</v>
      </c>
      <c r="I4018">
        <v>214.45259999999999</v>
      </c>
      <c r="J4018">
        <v>-338.45359999999999</v>
      </c>
      <c r="K4018">
        <v>1.121658</v>
      </c>
      <c r="L4018">
        <v>214.58609999999999</v>
      </c>
      <c r="M4018">
        <v>0.99975150000000002</v>
      </c>
      <c r="N4018">
        <v>-1.518132E-2</v>
      </c>
      <c r="O4018">
        <v>1.6326609999999998E-2</v>
      </c>
      <c r="P4018">
        <v>0.98316749999999997</v>
      </c>
      <c r="Q4018">
        <v>0.18257190000000001</v>
      </c>
      <c r="R4018">
        <v>-7.0172460000000004E-3</v>
      </c>
      <c r="S4018">
        <v>3.15509</v>
      </c>
      <c r="T4018">
        <v>-0.57313970000000003</v>
      </c>
      <c r="U4018">
        <v>-0.43719479999999999</v>
      </c>
      <c r="V4018">
        <v>2.3037999999999999E-2</v>
      </c>
      <c r="W4018">
        <v>0.19747670000000001</v>
      </c>
      <c r="X4018">
        <v>0.98003689999999999</v>
      </c>
      <c r="Y4018">
        <v>0.15056410000000001</v>
      </c>
      <c r="Z4018">
        <v>-1.7343709999999998E-2</v>
      </c>
      <c r="AA4018">
        <v>0.98844810000000005</v>
      </c>
      <c r="AB4018">
        <v>41</v>
      </c>
      <c r="AC4018">
        <v>0.50389999999998702</v>
      </c>
      <c r="AD4018">
        <v>-0.16565579999999999</v>
      </c>
      <c r="AE4018">
        <v>-0.13349999999999701</v>
      </c>
      <c r="AF4018">
        <v>0.12871194587190801</v>
      </c>
      <c r="AG4018">
        <v>-0.16565579999999999</v>
      </c>
      <c r="AH4018">
        <v>0.45563948188269199</v>
      </c>
      <c r="AI4018">
        <v>109.28370733014</v>
      </c>
      <c r="AJ4018">
        <v>74.225736967364199</v>
      </c>
      <c r="AK4018">
        <v>0.50161334365634802</v>
      </c>
      <c r="AL4018">
        <v>78.610558739959004</v>
      </c>
      <c r="AM4018">
        <v>88.653380181785494</v>
      </c>
      <c r="AN4018">
        <v>1.0000000609242401</v>
      </c>
    </row>
    <row r="4019" spans="1:40" x14ac:dyDescent="0.25">
      <c r="A4019" t="str">
        <f>"20190303170333407"</f>
        <v>20190303170333407</v>
      </c>
      <c r="B4019" t="str">
        <f>"1551603813399603"</f>
        <v>1551603813399603</v>
      </c>
      <c r="C4019" t="s">
        <v>40</v>
      </c>
      <c r="D4019">
        <v>4.2412890000000001</v>
      </c>
      <c r="E4019">
        <v>0.56074460000000004</v>
      </c>
      <c r="F4019" t="s">
        <v>43</v>
      </c>
      <c r="G4019">
        <v>-337.58769999999998</v>
      </c>
      <c r="H4019">
        <v>0.95308919999999997</v>
      </c>
      <c r="I4019">
        <v>214.4622</v>
      </c>
      <c r="J4019">
        <v>-338.04910000000001</v>
      </c>
      <c r="K4019">
        <v>1.121664</v>
      </c>
      <c r="L4019">
        <v>214.59270000000001</v>
      </c>
      <c r="M4019">
        <v>0.99975040000000004</v>
      </c>
      <c r="N4019">
        <v>-1.517671E-2</v>
      </c>
      <c r="O4019">
        <v>1.6397869999999998E-2</v>
      </c>
      <c r="P4019">
        <v>0.98321259999999999</v>
      </c>
      <c r="Q4019">
        <v>0.18235019999999999</v>
      </c>
      <c r="R4019">
        <v>-6.4314209999999997E-3</v>
      </c>
      <c r="S4019">
        <v>3.1624759999999998</v>
      </c>
      <c r="T4019">
        <v>-0.61566829999999995</v>
      </c>
      <c r="U4019">
        <v>-0.4521637</v>
      </c>
      <c r="V4019">
        <v>2.252299E-2</v>
      </c>
      <c r="W4019">
        <v>0.19725090000000001</v>
      </c>
      <c r="X4019">
        <v>0.98009429999999997</v>
      </c>
      <c r="Y4019">
        <v>0.154424799999999</v>
      </c>
      <c r="Z4019">
        <v>-1.8910360000000001E-2</v>
      </c>
      <c r="AA4019">
        <v>0.98782349999999997</v>
      </c>
      <c r="AB4019">
        <v>41</v>
      </c>
      <c r="AC4019">
        <v>0.46140000000002601</v>
      </c>
      <c r="AD4019">
        <v>-0.1685748</v>
      </c>
      <c r="AE4019">
        <v>-0.130500000000012</v>
      </c>
      <c r="AF4019">
        <v>0.12286370475753799</v>
      </c>
      <c r="AG4019">
        <v>-0.1685748</v>
      </c>
      <c r="AH4019">
        <v>0.408685457054765</v>
      </c>
      <c r="AI4019">
        <v>111.55481240638299</v>
      </c>
      <c r="AJ4019">
        <v>73.267568996248897</v>
      </c>
      <c r="AK4019">
        <v>0.45884284450108898</v>
      </c>
      <c r="AL4019">
        <v>78.623755231793496</v>
      </c>
      <c r="AM4019">
        <v>88.683549965822905</v>
      </c>
      <c r="AN4019">
        <v>1.00000001976092</v>
      </c>
    </row>
    <row r="4020" spans="1:40" x14ac:dyDescent="0.25">
      <c r="A4020" t="str">
        <f>"20190303170333428"</f>
        <v>20190303170333428</v>
      </c>
      <c r="B4020" t="str">
        <f>"1551603813419123"</f>
        <v>1551603813419123</v>
      </c>
      <c r="C4020" t="s">
        <v>40</v>
      </c>
      <c r="D4020">
        <v>4.2330870000000003</v>
      </c>
      <c r="E4020">
        <v>0.56131049999999905</v>
      </c>
      <c r="F4020" t="s">
        <v>43</v>
      </c>
      <c r="G4020">
        <v>-337.22210000000001</v>
      </c>
      <c r="H4020">
        <v>0.95840840000000005</v>
      </c>
      <c r="I4020">
        <v>214.47239999999999</v>
      </c>
      <c r="J4020">
        <v>-337.66489999999999</v>
      </c>
      <c r="K4020">
        <v>1.1216649999999999</v>
      </c>
      <c r="L4020">
        <v>214.59909999999999</v>
      </c>
      <c r="M4020">
        <v>0.99974940000000001</v>
      </c>
      <c r="N4020">
        <v>-1.517229E-2</v>
      </c>
      <c r="O4020">
        <v>1.6465489999999999E-2</v>
      </c>
      <c r="P4020">
        <v>0.98321099999999995</v>
      </c>
      <c r="Q4020">
        <v>0.1823775</v>
      </c>
      <c r="R4020">
        <v>-5.8729129999999996E-3</v>
      </c>
      <c r="S4020">
        <v>3.1641240000000002</v>
      </c>
      <c r="T4020">
        <v>-0.6247933</v>
      </c>
      <c r="U4020">
        <v>-0.45861819999999998</v>
      </c>
      <c r="V4020">
        <v>2.203109E-2</v>
      </c>
      <c r="W4020">
        <v>0.19727430000000001</v>
      </c>
      <c r="X4020">
        <v>0.98010079999999999</v>
      </c>
      <c r="Y4020">
        <v>0.1562634</v>
      </c>
      <c r="Z4020">
        <v>-1.9365429999999999E-2</v>
      </c>
      <c r="AA4020">
        <v>0.9875256</v>
      </c>
      <c r="AB4020">
        <v>41</v>
      </c>
      <c r="AC4020">
        <v>0.44279999999997699</v>
      </c>
      <c r="AD4020">
        <v>-0.163256599999999</v>
      </c>
      <c r="AE4020">
        <v>-0.12669999999999901</v>
      </c>
      <c r="AF4020">
        <v>0.11902012271246901</v>
      </c>
      <c r="AG4020">
        <v>-0.163256599999999</v>
      </c>
      <c r="AH4020">
        <v>0.39146709313012601</v>
      </c>
      <c r="AI4020">
        <v>111.752190421514</v>
      </c>
      <c r="AJ4020">
        <v>73.088835556123598</v>
      </c>
      <c r="AK4020">
        <v>0.44052808316587699</v>
      </c>
      <c r="AL4020">
        <v>78.622387966932195</v>
      </c>
      <c r="AM4020">
        <v>88.7122998601169</v>
      </c>
      <c r="AN4020">
        <v>1.00000004826385</v>
      </c>
    </row>
    <row r="4021" spans="1:40" x14ac:dyDescent="0.25">
      <c r="A4021" t="str">
        <f>"20190303170333451"</f>
        <v>20190303170333451</v>
      </c>
      <c r="B4021" t="str">
        <f>"1551603813439618"</f>
        <v>1551603813439618</v>
      </c>
      <c r="C4021" t="s">
        <v>40</v>
      </c>
      <c r="D4021">
        <v>4.2099500000000001</v>
      </c>
      <c r="E4021">
        <v>0.56175819999999999</v>
      </c>
      <c r="F4021" t="s">
        <v>43</v>
      </c>
      <c r="G4021">
        <v>-336.858</v>
      </c>
      <c r="H4021">
        <v>0.96170160000000005</v>
      </c>
      <c r="I4021">
        <v>214.4813</v>
      </c>
      <c r="J4021">
        <v>-337.25619999999998</v>
      </c>
      <c r="K4021">
        <v>1.121661</v>
      </c>
      <c r="L4021">
        <v>214.60589999999999</v>
      </c>
      <c r="M4021">
        <v>0.99974839999999998</v>
      </c>
      <c r="N4021">
        <v>-1.5167659999999999E-2</v>
      </c>
      <c r="O4021">
        <v>1.6537570000000001E-2</v>
      </c>
      <c r="P4021">
        <v>0.98329829999999996</v>
      </c>
      <c r="Q4021">
        <v>0.1818871</v>
      </c>
      <c r="R4021">
        <v>-6.4823069999999997E-3</v>
      </c>
      <c r="S4021">
        <v>3.1648559999999999</v>
      </c>
      <c r="T4021">
        <v>-0.62730719999999995</v>
      </c>
      <c r="U4021">
        <v>-0.46250920000000001</v>
      </c>
      <c r="V4021">
        <v>2.271287E-2</v>
      </c>
      <c r="W4021">
        <v>0.1967806</v>
      </c>
      <c r="X4021">
        <v>0.98018439999999996</v>
      </c>
      <c r="Y4021">
        <v>0.15744089999999999</v>
      </c>
      <c r="Z4021">
        <v>-1.9569349999999999E-2</v>
      </c>
      <c r="AA4021">
        <v>0.9873345</v>
      </c>
      <c r="AB4021">
        <v>41</v>
      </c>
      <c r="AC4021">
        <v>0.39819999999997402</v>
      </c>
      <c r="AD4021">
        <v>-0.1599594</v>
      </c>
      <c r="AE4021">
        <v>-0.124599999999986</v>
      </c>
      <c r="AF4021">
        <v>0.11436058496019</v>
      </c>
      <c r="AG4021">
        <v>-0.1599594</v>
      </c>
      <c r="AH4021">
        <v>0.34532922311985498</v>
      </c>
      <c r="AI4021">
        <v>113.73621674140701</v>
      </c>
      <c r="AJ4021">
        <v>71.676991435496305</v>
      </c>
      <c r="AK4021">
        <v>0.39738850685614902</v>
      </c>
      <c r="AL4021">
        <v>78.651239542325698</v>
      </c>
      <c r="AM4021">
        <v>88.672577578991195</v>
      </c>
      <c r="AN4021">
        <v>0.99999996850167705</v>
      </c>
    </row>
    <row r="4022" spans="1:40" x14ac:dyDescent="0.25">
      <c r="A4022" t="str">
        <f>"20190303170333475"</f>
        <v>20190303170333475</v>
      </c>
      <c r="B4022" t="str">
        <f>"1551603813469875"</f>
        <v>1551603813469875</v>
      </c>
      <c r="C4022" t="s">
        <v>40</v>
      </c>
      <c r="D4022">
        <v>4.2091629999999904</v>
      </c>
      <c r="E4022">
        <v>0.56232340000000003</v>
      </c>
      <c r="F4022" t="s">
        <v>43</v>
      </c>
      <c r="G4022">
        <v>-336.4923</v>
      </c>
      <c r="H4022">
        <v>0.96912600000000004</v>
      </c>
      <c r="I4022">
        <v>214.49270000000001</v>
      </c>
      <c r="J4022">
        <v>-336.82569999999998</v>
      </c>
      <c r="K4022">
        <v>1.121669</v>
      </c>
      <c r="L4022">
        <v>214.6131</v>
      </c>
      <c r="M4022">
        <v>0.99974700000000005</v>
      </c>
      <c r="N4022">
        <v>-1.516266E-2</v>
      </c>
      <c r="O4022">
        <v>1.6614130000000001E-2</v>
      </c>
      <c r="P4022">
        <v>0.98337330000000001</v>
      </c>
      <c r="Q4022">
        <v>0.1814761</v>
      </c>
      <c r="R4022">
        <v>-6.6193290000000002E-3</v>
      </c>
      <c r="S4022">
        <v>3.1647639999999999</v>
      </c>
      <c r="T4022">
        <v>-0.63195029999999996</v>
      </c>
      <c r="U4022">
        <v>-0.46803280000000003</v>
      </c>
      <c r="V4022">
        <v>2.292663E-2</v>
      </c>
      <c r="W4022">
        <v>0.19636590000000001</v>
      </c>
      <c r="X4022">
        <v>0.98026259999999998</v>
      </c>
      <c r="Y4022">
        <v>0.1591215</v>
      </c>
      <c r="Z4022">
        <v>-1.989488E-2</v>
      </c>
      <c r="AA4022">
        <v>0.98705849999999995</v>
      </c>
      <c r="AB4022">
        <v>41</v>
      </c>
      <c r="AC4022">
        <v>0.33339999999998299</v>
      </c>
      <c r="AD4022">
        <v>-0.15254299999999901</v>
      </c>
      <c r="AE4022">
        <v>-0.120399999999989</v>
      </c>
      <c r="AF4022">
        <v>0.106247293202232</v>
      </c>
      <c r="AG4022">
        <v>-0.15254299999999901</v>
      </c>
      <c r="AH4022">
        <v>0.27957843737250998</v>
      </c>
      <c r="AI4022">
        <v>117.02295106885001</v>
      </c>
      <c r="AJ4022">
        <v>69.191868245577794</v>
      </c>
      <c r="AK4022">
        <v>0.33574090725655598</v>
      </c>
      <c r="AL4022">
        <v>78.675473060438406</v>
      </c>
      <c r="AM4022">
        <v>88.660196055038298</v>
      </c>
      <c r="AN4022">
        <v>0.99999998100236298</v>
      </c>
    </row>
    <row r="4023" spans="1:40" x14ac:dyDescent="0.25">
      <c r="A4023" t="str">
        <f>"20190303170333498"</f>
        <v>20190303170333498</v>
      </c>
      <c r="B4023" t="str">
        <f>"1551603813489395"</f>
        <v>1551603813489395</v>
      </c>
      <c r="C4023" t="s">
        <v>40</v>
      </c>
      <c r="D4023">
        <v>4.2195429999999998</v>
      </c>
      <c r="E4023">
        <v>0.56254989999999905</v>
      </c>
      <c r="F4023" t="s">
        <v>43</v>
      </c>
      <c r="G4023">
        <v>-335.79140000000001</v>
      </c>
      <c r="H4023">
        <v>0.91424799999999995</v>
      </c>
      <c r="I4023">
        <v>214.458</v>
      </c>
      <c r="J4023">
        <v>-336.41460000000001</v>
      </c>
      <c r="K4023">
        <v>1.121669</v>
      </c>
      <c r="L4023">
        <v>214.62010000000001</v>
      </c>
      <c r="M4023">
        <v>0.99974580000000002</v>
      </c>
      <c r="N4023">
        <v>-1.51579E-2</v>
      </c>
      <c r="O4023">
        <v>1.6686880000000001E-2</v>
      </c>
      <c r="P4023">
        <v>0.98330620000000002</v>
      </c>
      <c r="Q4023">
        <v>0.18184020000000001</v>
      </c>
      <c r="R4023">
        <v>-6.573794E-3</v>
      </c>
      <c r="S4023">
        <v>3.1646730000000001</v>
      </c>
      <c r="T4023">
        <v>-0.63468239999999998</v>
      </c>
      <c r="U4023">
        <v>-0.47372439999999999</v>
      </c>
      <c r="V4023">
        <v>2.2951579999999999E-2</v>
      </c>
      <c r="W4023">
        <v>0.19672400000000001</v>
      </c>
      <c r="X4023">
        <v>0.98019020000000001</v>
      </c>
      <c r="Y4023">
        <v>0.16086689999999901</v>
      </c>
      <c r="Z4023">
        <v>-2.0172309999999999E-2</v>
      </c>
      <c r="AA4023">
        <v>0.98677000000000004</v>
      </c>
      <c r="AB4023">
        <v>40</v>
      </c>
      <c r="AC4023">
        <v>0.62319999999999698</v>
      </c>
      <c r="AD4023">
        <v>-0.20742099999999999</v>
      </c>
      <c r="AE4023">
        <v>-0.16210000000000899</v>
      </c>
      <c r="AF4023">
        <v>0.156264311612198</v>
      </c>
      <c r="AG4023">
        <v>-0.20742099999999999</v>
      </c>
      <c r="AH4023">
        <v>0.56208726428181199</v>
      </c>
      <c r="AI4023">
        <v>109.572109623524</v>
      </c>
      <c r="AJ4023">
        <v>74.4636859300103</v>
      </c>
      <c r="AK4023">
        <v>0.61918018297781896</v>
      </c>
      <c r="AL4023">
        <v>78.654547126987694</v>
      </c>
      <c r="AM4023">
        <v>88.6586395064855</v>
      </c>
      <c r="AN4023">
        <v>0.99999996768826704</v>
      </c>
    </row>
    <row r="4024" spans="1:40" x14ac:dyDescent="0.25">
      <c r="A4024" t="str">
        <f>"20190303170333519"</f>
        <v>20190303170333519</v>
      </c>
      <c r="B4024" t="str">
        <f>"1551603813509891"</f>
        <v>1551603813509891</v>
      </c>
      <c r="C4024" t="s">
        <v>40</v>
      </c>
      <c r="D4024">
        <v>4.2135239999999996</v>
      </c>
      <c r="E4024">
        <v>0.56280330000000001</v>
      </c>
      <c r="F4024" t="s">
        <v>43</v>
      </c>
      <c r="G4024">
        <v>-335.42660000000001</v>
      </c>
      <c r="H4024">
        <v>0.92365129999999995</v>
      </c>
      <c r="I4024">
        <v>214.47120000000001</v>
      </c>
      <c r="J4024">
        <v>-336.029</v>
      </c>
      <c r="K4024">
        <v>1.121669</v>
      </c>
      <c r="L4024">
        <v>214.62649999999999</v>
      </c>
      <c r="M4024">
        <v>0.99974499999999999</v>
      </c>
      <c r="N4024">
        <v>-1.5153450000000001E-2</v>
      </c>
      <c r="O4024">
        <v>1.67548E-2</v>
      </c>
      <c r="P4024">
        <v>0.98336400000000002</v>
      </c>
      <c r="Q4024">
        <v>0.18153430000000001</v>
      </c>
      <c r="R4024">
        <v>-6.4144190000000002E-3</v>
      </c>
      <c r="S4024">
        <v>3.1650700000000001</v>
      </c>
      <c r="T4024">
        <v>-0.63448130000000003</v>
      </c>
      <c r="U4024">
        <v>-0.4764099</v>
      </c>
      <c r="V4024">
        <v>2.2859850000000001E-2</v>
      </c>
      <c r="W4024">
        <v>0.19641449999999999</v>
      </c>
      <c r="X4024">
        <v>0.98025439999999997</v>
      </c>
      <c r="Y4024">
        <v>0.16171920000000001</v>
      </c>
      <c r="Z4024">
        <v>-2.0265720000000001E-2</v>
      </c>
      <c r="AA4024">
        <v>0.98662870000000003</v>
      </c>
      <c r="AB4024">
        <v>40</v>
      </c>
      <c r="AC4024">
        <v>0.60239999999998795</v>
      </c>
      <c r="AD4024">
        <v>-0.19801769999999999</v>
      </c>
      <c r="AE4024">
        <v>-0.15529999999998201</v>
      </c>
      <c r="AF4024">
        <v>0.15015847286245201</v>
      </c>
      <c r="AG4024">
        <v>-0.19801769999999999</v>
      </c>
      <c r="AH4024">
        <v>0.54454056266062301</v>
      </c>
      <c r="AI4024">
        <v>109.31851452746</v>
      </c>
      <c r="AJ4024">
        <v>74.583667704815994</v>
      </c>
      <c r="AK4024">
        <v>0.59856745724138904</v>
      </c>
      <c r="AL4024">
        <v>78.672632924479799</v>
      </c>
      <c r="AM4024">
        <v>88.664086008486606</v>
      </c>
      <c r="AN4024">
        <v>0.99999995863581503</v>
      </c>
    </row>
    <row r="4025" spans="1:40" x14ac:dyDescent="0.25">
      <c r="A4025" t="str">
        <f>"20190303170333541"</f>
        <v>20190303170333541</v>
      </c>
      <c r="B4025" t="str">
        <f>"1551603813529411"</f>
        <v>1551603813529411</v>
      </c>
      <c r="C4025" t="s">
        <v>40</v>
      </c>
      <c r="D4025">
        <v>4.2173309999999997</v>
      </c>
      <c r="E4025">
        <v>0.56299809999999995</v>
      </c>
      <c r="F4025" t="s">
        <v>43</v>
      </c>
      <c r="G4025">
        <v>-335.0643</v>
      </c>
      <c r="H4025">
        <v>0.92781659999999999</v>
      </c>
      <c r="I4025">
        <v>214.48089999999999</v>
      </c>
      <c r="J4025">
        <v>-335.63889999999998</v>
      </c>
      <c r="K4025">
        <v>1.1216660000000001</v>
      </c>
      <c r="L4025">
        <v>214.63310000000001</v>
      </c>
      <c r="M4025">
        <v>0.99974379999999996</v>
      </c>
      <c r="N4025">
        <v>-1.514896E-2</v>
      </c>
      <c r="O4025">
        <v>1.682355E-2</v>
      </c>
      <c r="P4025">
        <v>0.98341109999999998</v>
      </c>
      <c r="Q4025">
        <v>0.1812725</v>
      </c>
      <c r="R4025">
        <v>-6.5616299999999997E-3</v>
      </c>
      <c r="S4025">
        <v>3.1650700000000001</v>
      </c>
      <c r="T4025">
        <v>-0.6361154</v>
      </c>
      <c r="U4025">
        <v>-0.47732540000000001</v>
      </c>
      <c r="V4025">
        <v>2.3075700000000001E-2</v>
      </c>
      <c r="W4025">
        <v>0.19614889999999999</v>
      </c>
      <c r="X4025">
        <v>0.98030260000000002</v>
      </c>
      <c r="Y4025">
        <v>0.16204009999999999</v>
      </c>
      <c r="Z4025">
        <v>-2.0360630000000001E-2</v>
      </c>
      <c r="AA4025">
        <v>0.98657410000000001</v>
      </c>
      <c r="AB4025">
        <v>40</v>
      </c>
      <c r="AC4025">
        <v>0.57459999999997502</v>
      </c>
      <c r="AD4025">
        <v>-0.19384940000000001</v>
      </c>
      <c r="AE4025">
        <v>-0.15220000000002101</v>
      </c>
      <c r="AF4025">
        <v>0.14628823080048201</v>
      </c>
      <c r="AG4025">
        <v>-0.19384940000000001</v>
      </c>
      <c r="AH4025">
        <v>0.51697603908629797</v>
      </c>
      <c r="AI4025">
        <v>109.839497027878</v>
      </c>
      <c r="AJ4025">
        <v>74.200127513151998</v>
      </c>
      <c r="AK4025">
        <v>0.57117603358373903</v>
      </c>
      <c r="AL4025">
        <v>78.688153434551595</v>
      </c>
      <c r="AM4025">
        <v>88.651542798692702</v>
      </c>
      <c r="AN4025">
        <v>1.00000003323422</v>
      </c>
    </row>
    <row r="4026" spans="1:40" x14ac:dyDescent="0.25">
      <c r="A4026" t="str">
        <f>"20190303170333564"</f>
        <v>20190303170333564</v>
      </c>
      <c r="B4026" t="str">
        <f>"1551603813559667"</f>
        <v>1551603813559667</v>
      </c>
      <c r="C4026" t="s">
        <v>40</v>
      </c>
      <c r="D4026">
        <v>4.2519030000000004</v>
      </c>
      <c r="E4026">
        <v>0.56302940000000001</v>
      </c>
      <c r="F4026" t="s">
        <v>43</v>
      </c>
      <c r="G4026">
        <v>-334.70209999999997</v>
      </c>
      <c r="H4026">
        <v>0.93287240000000005</v>
      </c>
      <c r="I4026">
        <v>214.49119999999999</v>
      </c>
      <c r="J4026">
        <v>-335.21499999999997</v>
      </c>
      <c r="K4026">
        <v>1.121669</v>
      </c>
      <c r="L4026">
        <v>214.6404</v>
      </c>
      <c r="M4026">
        <v>0.99974249999999998</v>
      </c>
      <c r="N4026">
        <v>-1.5144110000000001E-2</v>
      </c>
      <c r="O4026">
        <v>1.689827E-2</v>
      </c>
      <c r="P4026">
        <v>0.98334940000000004</v>
      </c>
      <c r="Q4026">
        <v>0.18161440000000001</v>
      </c>
      <c r="R4026">
        <v>-6.3187929999999996E-3</v>
      </c>
      <c r="S4026">
        <v>3.165009</v>
      </c>
      <c r="T4026">
        <v>-0.63783259999999997</v>
      </c>
      <c r="U4026">
        <v>-0.47949219999999998</v>
      </c>
      <c r="V4026">
        <v>2.290557E-2</v>
      </c>
      <c r="W4026">
        <v>0.19648560000000001</v>
      </c>
      <c r="X4026">
        <v>0.98023919999999998</v>
      </c>
      <c r="Y4026">
        <v>0.16274179999999999</v>
      </c>
      <c r="Z4026">
        <v>-2.0499860000000002E-2</v>
      </c>
      <c r="AA4026">
        <v>0.98645570000000005</v>
      </c>
      <c r="AB4026">
        <v>40</v>
      </c>
      <c r="AC4026">
        <v>0.51290000000000102</v>
      </c>
      <c r="AD4026">
        <v>-0.18879660000000001</v>
      </c>
      <c r="AE4026">
        <v>-0.14920000000000699</v>
      </c>
      <c r="AF4026">
        <v>0.14031777091005701</v>
      </c>
      <c r="AG4026">
        <v>-0.18879660000000001</v>
      </c>
      <c r="AH4026">
        <v>0.45363535770575097</v>
      </c>
      <c r="AI4026">
        <v>111.682743479726</v>
      </c>
      <c r="AJ4026">
        <v>72.812198634318094</v>
      </c>
      <c r="AK4026">
        <v>0.51099732950921795</v>
      </c>
      <c r="AL4026">
        <v>78.668479544834398</v>
      </c>
      <c r="AM4026">
        <v>88.661394385014901</v>
      </c>
      <c r="AN4026">
        <v>1.0000000726805001</v>
      </c>
    </row>
    <row r="4027" spans="1:40" x14ac:dyDescent="0.25">
      <c r="A4027" t="str">
        <f>"20190303170333586"</f>
        <v>20190303170333586</v>
      </c>
      <c r="B4027" t="str">
        <f>"1551603813579187"</f>
        <v>1551603813579187</v>
      </c>
      <c r="C4027" t="s">
        <v>40</v>
      </c>
      <c r="D4027">
        <v>4.2014550000000002</v>
      </c>
      <c r="E4027">
        <v>0.53038289999999999</v>
      </c>
      <c r="F4027" t="s">
        <v>43</v>
      </c>
      <c r="G4027">
        <v>-334.3372</v>
      </c>
      <c r="H4027">
        <v>0.94499</v>
      </c>
      <c r="I4027">
        <v>214.50710000000001</v>
      </c>
      <c r="J4027">
        <v>-334.81529999999998</v>
      </c>
      <c r="K4027">
        <v>1.1216759999999999</v>
      </c>
      <c r="L4027">
        <v>214.6472</v>
      </c>
      <c r="M4027">
        <v>0.99974149999999995</v>
      </c>
      <c r="N4027">
        <v>-1.513955E-2</v>
      </c>
      <c r="O4027">
        <v>1.6968690000000002E-2</v>
      </c>
      <c r="P4027">
        <v>0.98322860000000001</v>
      </c>
      <c r="Q4027">
        <v>0.18227560000000001</v>
      </c>
      <c r="R4027">
        <v>-6.1192939999999999E-3</v>
      </c>
      <c r="S4027">
        <v>3.1654049999999998</v>
      </c>
      <c r="T4027">
        <v>-0.63718549999999996</v>
      </c>
      <c r="U4027">
        <v>-0.47938540000000002</v>
      </c>
      <c r="V4027">
        <v>2.2773000000000002E-2</v>
      </c>
      <c r="W4027">
        <v>0.1971406</v>
      </c>
      <c r="X4027">
        <v>0.9801107</v>
      </c>
      <c r="Y4027">
        <v>0.16276689999999999</v>
      </c>
      <c r="Z4027">
        <v>-2.0493399999999998E-2</v>
      </c>
      <c r="AA4027">
        <v>0.98645170000000004</v>
      </c>
      <c r="AB4027">
        <v>40</v>
      </c>
      <c r="AC4027">
        <v>0.47809999999998298</v>
      </c>
      <c r="AD4027">
        <v>-0.17668600000000001</v>
      </c>
      <c r="AE4027">
        <v>-0.14009999999998901</v>
      </c>
      <c r="AF4027">
        <v>0.13163703260566101</v>
      </c>
      <c r="AG4027">
        <v>-0.17668600000000001</v>
      </c>
      <c r="AH4027">
        <v>0.42251266333726301</v>
      </c>
      <c r="AI4027">
        <v>111.76438623767601</v>
      </c>
      <c r="AJ4027">
        <v>72.695180067869003</v>
      </c>
      <c r="AK4027">
        <v>0.476511491602848</v>
      </c>
      <c r="AL4027">
        <v>78.630201364543893</v>
      </c>
      <c r="AM4027">
        <v>88.668964581816297</v>
      </c>
      <c r="AN4027">
        <v>1.0000000049759199</v>
      </c>
    </row>
    <row r="4028" spans="1:40" x14ac:dyDescent="0.25">
      <c r="A4028" t="str">
        <f>"20190303170333608"</f>
        <v>20190303170333608</v>
      </c>
      <c r="B4028" t="str">
        <f>"1551603813599683"</f>
        <v>1551603813599683</v>
      </c>
      <c r="C4028" t="s">
        <v>40</v>
      </c>
      <c r="D4028">
        <v>4.1312899999999999</v>
      </c>
      <c r="E4028">
        <v>0.50297970000000003</v>
      </c>
      <c r="F4028" t="s">
        <v>43</v>
      </c>
      <c r="G4028">
        <v>-333.95519999999999</v>
      </c>
      <c r="H4028">
        <v>0.99683869999999997</v>
      </c>
      <c r="I4028">
        <v>214.5855</v>
      </c>
      <c r="J4028">
        <v>-334.43110000000001</v>
      </c>
      <c r="K4028">
        <v>1.1216790000000001</v>
      </c>
      <c r="L4028">
        <v>214.65379999999999</v>
      </c>
      <c r="M4028">
        <v>0.99974030000000003</v>
      </c>
      <c r="N4028">
        <v>-1.513518E-2</v>
      </c>
      <c r="O4028">
        <v>1.7036539999999999E-2</v>
      </c>
      <c r="P4028">
        <v>0.98306269999999996</v>
      </c>
      <c r="Q4028">
        <v>0.183171</v>
      </c>
      <c r="R4028">
        <v>-6.0202719999999897E-3</v>
      </c>
      <c r="S4028">
        <v>3.134064</v>
      </c>
      <c r="T4028">
        <v>-0.4550266</v>
      </c>
      <c r="U4028">
        <v>-0.2240143</v>
      </c>
      <c r="V4028">
        <v>2.2737859999999999E-2</v>
      </c>
      <c r="W4028">
        <v>0.19802919999999999</v>
      </c>
      <c r="X4028">
        <v>0.97993240000000004</v>
      </c>
      <c r="Y4028">
        <v>8.7132139999999997E-2</v>
      </c>
      <c r="Z4028">
        <v>-9.1498880000000001E-3</v>
      </c>
      <c r="AA4028">
        <v>0.99615469999999895</v>
      </c>
      <c r="AB4028">
        <v>40</v>
      </c>
      <c r="AC4028">
        <v>0.47590000000002403</v>
      </c>
      <c r="AD4028">
        <v>-0.1248403</v>
      </c>
      <c r="AE4028">
        <v>-6.8299999999993505E-2</v>
      </c>
      <c r="AF4028">
        <v>7.1572871103934593E-2</v>
      </c>
      <c r="AG4028">
        <v>-0.1248403</v>
      </c>
      <c r="AH4028">
        <v>0.44468416147935902</v>
      </c>
      <c r="AI4028">
        <v>105.49188672064</v>
      </c>
      <c r="AJ4028">
        <v>80.856538639895504</v>
      </c>
      <c r="AK4028">
        <v>0.46738825386690103</v>
      </c>
      <c r="AL4028">
        <v>78.578264859281802</v>
      </c>
      <c r="AM4028">
        <v>88.670775982664395</v>
      </c>
      <c r="AN4028">
        <v>1.00000004144988</v>
      </c>
    </row>
    <row r="4029" spans="1:40" x14ac:dyDescent="0.25">
      <c r="A4029" t="str">
        <f>"20190303170333629"</f>
        <v>20190303170333629</v>
      </c>
      <c r="B4029" t="str">
        <f>"1551603813619203"</f>
        <v>1551603813619203</v>
      </c>
      <c r="C4029" t="s">
        <v>40</v>
      </c>
      <c r="D4029">
        <v>4.0828110000000004</v>
      </c>
      <c r="E4029">
        <v>0.495813</v>
      </c>
      <c r="F4029" t="s">
        <v>63</v>
      </c>
      <c r="G4029">
        <v>-302.33150000000001</v>
      </c>
      <c r="H4029" s="1">
        <v>2.239686E-6</v>
      </c>
      <c r="I4029">
        <v>214.47389999999999</v>
      </c>
      <c r="J4029">
        <v>-334.0385</v>
      </c>
      <c r="K4029">
        <v>1.1216870000000001</v>
      </c>
      <c r="L4029">
        <v>214.66050000000001</v>
      </c>
      <c r="M4029">
        <v>0.9997393</v>
      </c>
      <c r="N4029">
        <v>-1.513073E-2</v>
      </c>
      <c r="O4029">
        <v>1.7105769999999999E-2</v>
      </c>
      <c r="P4029">
        <v>0.98309809999999997</v>
      </c>
      <c r="Q4029">
        <v>0.1829962</v>
      </c>
      <c r="R4029">
        <v>-5.5417349999999999E-3</v>
      </c>
      <c r="S4029">
        <v>3.0715940000000002</v>
      </c>
      <c r="T4029">
        <v>-0.10733280000000001</v>
      </c>
      <c r="U4029">
        <v>-1.721191E-2</v>
      </c>
      <c r="V4029">
        <v>2.2328319999999999E-2</v>
      </c>
      <c r="W4029">
        <v>0.1978502</v>
      </c>
      <c r="X4029">
        <v>0.97997800000000002</v>
      </c>
      <c r="Y4029">
        <v>2.2686930000000001E-2</v>
      </c>
      <c r="Z4029">
        <v>-9.0671930000000005E-4</v>
      </c>
      <c r="AA4029">
        <v>0.99974220000000003</v>
      </c>
      <c r="AB4029">
        <v>40</v>
      </c>
      <c r="AC4029">
        <v>31.706999999999901</v>
      </c>
      <c r="AD4029">
        <v>-1.1216847603139899</v>
      </c>
      <c r="AE4029">
        <v>-0.186600000000026</v>
      </c>
      <c r="AF4029">
        <v>0.72809619668536196</v>
      </c>
      <c r="AG4029">
        <v>-1.1216847603139899</v>
      </c>
      <c r="AH4029">
        <v>31.659546852122201</v>
      </c>
      <c r="AI4029">
        <v>92.028581300406302</v>
      </c>
      <c r="AJ4029">
        <v>88.682562100757593</v>
      </c>
      <c r="AK4029">
        <v>31.687776944034201</v>
      </c>
      <c r="AL4029">
        <v>78.588728128509999</v>
      </c>
      <c r="AM4029">
        <v>88.694769485315604</v>
      </c>
      <c r="AN4029">
        <v>1.00000006799902</v>
      </c>
    </row>
    <row r="4030" spans="1:40" x14ac:dyDescent="0.25">
      <c r="A4030" t="str">
        <f>"20190303170333653"</f>
        <v>20190303170333653</v>
      </c>
      <c r="B4030" t="str">
        <f>"1551603813639699"</f>
        <v>1551603813639699</v>
      </c>
      <c r="C4030" t="s">
        <v>40</v>
      </c>
      <c r="D4030">
        <v>4.078138</v>
      </c>
      <c r="E4030">
        <v>0.49223840000000002</v>
      </c>
      <c r="F4030" t="s">
        <v>62</v>
      </c>
      <c r="G4030">
        <v>-220.16079999999999</v>
      </c>
      <c r="H4030" s="1">
        <v>-1.515992E-6</v>
      </c>
      <c r="I4030">
        <v>216.09790000000001</v>
      </c>
      <c r="J4030">
        <v>-333.63</v>
      </c>
      <c r="K4030">
        <v>1.1216889999999999</v>
      </c>
      <c r="L4030">
        <v>214.66759999999999</v>
      </c>
      <c r="M4030">
        <v>0.99973800000000002</v>
      </c>
      <c r="N4030">
        <v>-1.51261E-2</v>
      </c>
      <c r="O4030">
        <v>1.717834E-2</v>
      </c>
      <c r="P4030">
        <v>0.98319789999999996</v>
      </c>
      <c r="Q4030">
        <v>0.1824644</v>
      </c>
      <c r="R4030">
        <v>-5.3718689999999996E-3</v>
      </c>
      <c r="S4030">
        <v>3.057404</v>
      </c>
      <c r="T4030">
        <v>-3.011525E-2</v>
      </c>
      <c r="U4030">
        <v>3.8589480000000002E-2</v>
      </c>
      <c r="V4030">
        <v>2.2231569999999999E-2</v>
      </c>
      <c r="W4030">
        <v>0.1973154</v>
      </c>
      <c r="X4030">
        <v>0.98008790000000001</v>
      </c>
      <c r="Y4030">
        <v>4.5593539999999998E-3</v>
      </c>
      <c r="Z4030" s="1">
        <v>3.3740479999999999E-5</v>
      </c>
      <c r="AA4030">
        <v>0.99998960000000003</v>
      </c>
      <c r="AB4030">
        <v>40</v>
      </c>
      <c r="AC4030">
        <v>113.4692</v>
      </c>
      <c r="AD4030">
        <v>-1.1216905159920001</v>
      </c>
      <c r="AE4030">
        <v>1.4303000000000099</v>
      </c>
      <c r="AF4030">
        <v>0.51929592341883102</v>
      </c>
      <c r="AG4030">
        <v>-1.1216905159920001</v>
      </c>
      <c r="AH4030">
        <v>113.465939506075</v>
      </c>
      <c r="AI4030">
        <v>90.566384646430194</v>
      </c>
      <c r="AJ4030">
        <v>89.737778075739797</v>
      </c>
      <c r="AK4030">
        <v>113.472671978173</v>
      </c>
      <c r="AL4030">
        <v>78.619984771385703</v>
      </c>
      <c r="AM4030">
        <v>88.700568861790998</v>
      </c>
      <c r="AN4030">
        <v>0.99999995075411596</v>
      </c>
    </row>
    <row r="4031" spans="1:40" x14ac:dyDescent="0.25">
      <c r="A4031" t="str">
        <f>"20190303170333676"</f>
        <v>20190303170333676</v>
      </c>
      <c r="B4031" t="str">
        <f>"1551603813668979"</f>
        <v>1551603813668979</v>
      </c>
      <c r="C4031" t="s">
        <v>40</v>
      </c>
      <c r="D4031">
        <v>4.1427319999999996</v>
      </c>
      <c r="E4031">
        <v>0.49048989999999998</v>
      </c>
      <c r="F4031" t="s">
        <v>55</v>
      </c>
      <c r="G4031">
        <v>-138.59479999999999</v>
      </c>
      <c r="H4031">
        <v>0.88324550000000002</v>
      </c>
      <c r="I4031">
        <v>218.89709999999999</v>
      </c>
      <c r="J4031">
        <v>-333.2097</v>
      </c>
      <c r="K4031">
        <v>1.1216809999999999</v>
      </c>
      <c r="L4031">
        <v>214.67490000000001</v>
      </c>
      <c r="M4031">
        <v>0.99973690000000004</v>
      </c>
      <c r="N4031">
        <v>-1.5121290000000001E-2</v>
      </c>
      <c r="O4031">
        <v>1.7252750000000001E-2</v>
      </c>
      <c r="P4031">
        <v>0.98326749999999996</v>
      </c>
      <c r="Q4031">
        <v>0.18208050000000001</v>
      </c>
      <c r="R4031">
        <v>-5.6323099999999997E-3</v>
      </c>
      <c r="S4031">
        <v>3.0523380000000002</v>
      </c>
      <c r="T4031">
        <v>-3.7307740000000001E-3</v>
      </c>
      <c r="U4031">
        <v>6.6192630000000002E-2</v>
      </c>
      <c r="V4031">
        <v>2.2566530000000001E-2</v>
      </c>
      <c r="W4031">
        <v>0.19692789999999999</v>
      </c>
      <c r="X4031">
        <v>0.98015819999999998</v>
      </c>
      <c r="Y4031">
        <v>-4.4285080000000003E-3</v>
      </c>
      <c r="Z4031">
        <v>2.7600239999999999E-4</v>
      </c>
      <c r="AA4031">
        <v>0.99999020000000005</v>
      </c>
      <c r="AB4031">
        <v>40</v>
      </c>
      <c r="AC4031">
        <v>194.61490000000001</v>
      </c>
      <c r="AD4031">
        <v>-0.238435499999999</v>
      </c>
      <c r="AE4031">
        <v>4.2221999999999804</v>
      </c>
      <c r="AF4031">
        <v>-0.86354428183862197</v>
      </c>
      <c r="AG4031">
        <v>-0.238435499999999</v>
      </c>
      <c r="AH4031">
        <v>194.65848777642299</v>
      </c>
      <c r="AI4031">
        <v>90.070180379674895</v>
      </c>
      <c r="AJ4031">
        <v>90.254173957533993</v>
      </c>
      <c r="AK4031">
        <v>194.66054922253301</v>
      </c>
      <c r="AL4031">
        <v>78.642631471977793</v>
      </c>
      <c r="AM4031">
        <v>88.681091946724905</v>
      </c>
      <c r="AN4031">
        <v>0.999999971550945</v>
      </c>
    </row>
    <row r="4032" spans="1:40" x14ac:dyDescent="0.25">
      <c r="A4032" t="str">
        <f>"20190303170333698"</f>
        <v>20190303170333698</v>
      </c>
      <c r="B4032" t="str">
        <f>"1551603813689475"</f>
        <v>1551603813689475</v>
      </c>
      <c r="C4032" t="s">
        <v>40</v>
      </c>
      <c r="D4032">
        <v>4.06813</v>
      </c>
      <c r="E4032">
        <v>0.49000830000000001</v>
      </c>
      <c r="F4032" t="s">
        <v>55</v>
      </c>
      <c r="G4032">
        <v>-157.8382</v>
      </c>
      <c r="H4032">
        <v>1.5626719999999901</v>
      </c>
      <c r="I4032">
        <v>219.2002</v>
      </c>
      <c r="J4032">
        <v>-332.81810000000002</v>
      </c>
      <c r="K4032">
        <v>1.121685</v>
      </c>
      <c r="L4032">
        <v>214.68170000000001</v>
      </c>
      <c r="M4032">
        <v>0.9997357</v>
      </c>
      <c r="N4032">
        <v>-1.511681E-2</v>
      </c>
      <c r="O4032">
        <v>1.7321980000000001E-2</v>
      </c>
      <c r="P4032">
        <v>0.98328409999999999</v>
      </c>
      <c r="Q4032">
        <v>0.1819771</v>
      </c>
      <c r="R4032">
        <v>-6.0877730000000003E-3</v>
      </c>
      <c r="S4032">
        <v>3.0500790000000002</v>
      </c>
      <c r="T4032">
        <v>7.6707600000000004E-3</v>
      </c>
      <c r="U4032">
        <v>7.8704830000000003E-2</v>
      </c>
      <c r="V4032">
        <v>2.3090260000000001E-2</v>
      </c>
      <c r="W4032">
        <v>0.1968203</v>
      </c>
      <c r="X4032">
        <v>0.98016760000000003</v>
      </c>
      <c r="Y4032">
        <v>-8.4763649999999996E-3</v>
      </c>
      <c r="Z4032">
        <v>3.5882310000000001E-4</v>
      </c>
      <c r="AA4032">
        <v>0.99996399999999996</v>
      </c>
      <c r="AB4032">
        <v>40</v>
      </c>
      <c r="AC4032">
        <v>174.97989999999999</v>
      </c>
      <c r="AD4032">
        <v>0.44098699999999902</v>
      </c>
      <c r="AE4032">
        <v>4.51849999999998</v>
      </c>
      <c r="AF4032">
        <v>-1.4864678214962399</v>
      </c>
      <c r="AG4032">
        <v>0.44098699999999902</v>
      </c>
      <c r="AH4032">
        <v>175.03080792909</v>
      </c>
      <c r="AI4032">
        <v>89.855649815940396</v>
      </c>
      <c r="AJ4032">
        <v>90.486578826203399</v>
      </c>
      <c r="AK4032">
        <v>175.03767531714001</v>
      </c>
      <c r="AL4032">
        <v>78.648919400274295</v>
      </c>
      <c r="AM4032">
        <v>88.650506507924803</v>
      </c>
      <c r="AN4032">
        <v>0.99999995734435698</v>
      </c>
    </row>
    <row r="4033" spans="1:40" x14ac:dyDescent="0.25">
      <c r="A4033" t="str">
        <f>"20190303170333720"</f>
        <v>20190303170333720</v>
      </c>
      <c r="B4033" t="str">
        <f>"1551603813708995"</f>
        <v>1551603813708995</v>
      </c>
      <c r="C4033" t="s">
        <v>40</v>
      </c>
      <c r="D4033">
        <v>4.0259640000000001</v>
      </c>
      <c r="E4033">
        <v>0.48955090000000001</v>
      </c>
      <c r="F4033" t="s">
        <v>55</v>
      </c>
      <c r="G4033">
        <v>-157.8382</v>
      </c>
      <c r="H4033">
        <v>1.7986799999999901</v>
      </c>
      <c r="I4033">
        <v>219.32939999999999</v>
      </c>
      <c r="J4033">
        <v>-332.43</v>
      </c>
      <c r="K4033">
        <v>1.121688</v>
      </c>
      <c r="L4033">
        <v>214.6885</v>
      </c>
      <c r="M4033">
        <v>0.99973460000000003</v>
      </c>
      <c r="N4033">
        <v>-1.51124E-2</v>
      </c>
      <c r="O4033">
        <v>1.739067E-2</v>
      </c>
      <c r="P4033">
        <v>0.98327620000000004</v>
      </c>
      <c r="Q4033">
        <v>0.18201580000000001</v>
      </c>
      <c r="R4033">
        <v>-6.1756340000000002E-3</v>
      </c>
      <c r="S4033">
        <v>3.0493160000000001</v>
      </c>
      <c r="T4033">
        <v>1.179874E-2</v>
      </c>
      <c r="U4033">
        <v>8.099365E-2</v>
      </c>
      <c r="V4033">
        <v>2.3245700000000001E-2</v>
      </c>
      <c r="W4033">
        <v>0.1968549</v>
      </c>
      <c r="X4033">
        <v>0.98015699999999994</v>
      </c>
      <c r="Y4033">
        <v>-9.1646699999999998E-3</v>
      </c>
      <c r="Z4033">
        <v>3.8161340000000002E-4</v>
      </c>
      <c r="AA4033">
        <v>0.99995789999999996</v>
      </c>
      <c r="AB4033">
        <v>40</v>
      </c>
      <c r="AC4033">
        <v>174.59180000000001</v>
      </c>
      <c r="AD4033">
        <v>0.67699199999999904</v>
      </c>
      <c r="AE4033">
        <v>4.6408999999999798</v>
      </c>
      <c r="AF4033">
        <v>-1.6035588880268901</v>
      </c>
      <c r="AG4033">
        <v>0.67699199999999904</v>
      </c>
      <c r="AH4033">
        <v>174.64348417065099</v>
      </c>
      <c r="AI4033">
        <v>89.777907802852695</v>
      </c>
      <c r="AJ4033">
        <v>90.526069295288195</v>
      </c>
      <c r="AK4033">
        <v>174.65215796702901</v>
      </c>
      <c r="AL4033">
        <v>78.646897662317997</v>
      </c>
      <c r="AM4033">
        <v>88.641410636363304</v>
      </c>
      <c r="AN4033">
        <v>0.99999997943574903</v>
      </c>
    </row>
    <row r="4034" spans="1:40" x14ac:dyDescent="0.25">
      <c r="A4034" t="str">
        <f>"20190303170333742"</f>
        <v>20190303170333742</v>
      </c>
      <c r="B4034" t="str">
        <f>"1551603813729492"</f>
        <v>1551603813729492</v>
      </c>
      <c r="C4034" t="s">
        <v>40</v>
      </c>
      <c r="D4034">
        <v>4.0185940000000002</v>
      </c>
      <c r="E4034">
        <v>0.48904880000000001</v>
      </c>
      <c r="F4034" t="s">
        <v>55</v>
      </c>
      <c r="G4034">
        <v>-157.8382</v>
      </c>
      <c r="H4034">
        <v>1.9763360000000001</v>
      </c>
      <c r="I4034">
        <v>219.53460000000001</v>
      </c>
      <c r="J4034">
        <v>-332.03210000000001</v>
      </c>
      <c r="K4034">
        <v>1.1216919999999999</v>
      </c>
      <c r="L4034">
        <v>214.69540000000001</v>
      </c>
      <c r="M4034">
        <v>0.99973339999999999</v>
      </c>
      <c r="N4034">
        <v>-1.51079E-2</v>
      </c>
      <c r="O4034">
        <v>1.7461040000000001E-2</v>
      </c>
      <c r="P4034">
        <v>0.98328890000000002</v>
      </c>
      <c r="Q4034">
        <v>0.18194099999999999</v>
      </c>
      <c r="R4034">
        <v>-6.3489069999999896E-3</v>
      </c>
      <c r="S4034">
        <v>3.0487980000000001</v>
      </c>
      <c r="T4034">
        <v>1.4925239999999999E-2</v>
      </c>
      <c r="U4034">
        <v>8.4625240000000004E-2</v>
      </c>
      <c r="V4034">
        <v>2.3488390000000001E-2</v>
      </c>
      <c r="W4034">
        <v>0.19677549999999999</v>
      </c>
      <c r="X4034">
        <v>0.98016720000000002</v>
      </c>
      <c r="Y4034">
        <v>-1.028945E-2</v>
      </c>
      <c r="Z4034">
        <v>4.0180149999999998E-4</v>
      </c>
      <c r="AA4034">
        <v>0.99994700000000003</v>
      </c>
      <c r="AB4034">
        <v>40</v>
      </c>
      <c r="AC4034">
        <v>174.19390000000001</v>
      </c>
      <c r="AD4034">
        <v>0.85464399999999996</v>
      </c>
      <c r="AE4034">
        <v>4.8391999999999999</v>
      </c>
      <c r="AF4034">
        <v>-1.7964650333435299</v>
      </c>
      <c r="AG4034">
        <v>0.85464399999999996</v>
      </c>
      <c r="AH4034">
        <v>174.247653032128</v>
      </c>
      <c r="AI4034">
        <v>89.718994784153594</v>
      </c>
      <c r="AJ4034">
        <v>90.590689263214301</v>
      </c>
      <c r="AK4034">
        <v>174.25900920809701</v>
      </c>
      <c r="AL4034">
        <v>78.651538180646597</v>
      </c>
      <c r="AM4034">
        <v>88.627246357130105</v>
      </c>
      <c r="AN4034">
        <v>1.00000002091044</v>
      </c>
    </row>
    <row r="4035" spans="1:40" x14ac:dyDescent="0.25">
      <c r="A4035" t="str">
        <f>"20190303170333764"</f>
        <v>20190303170333764</v>
      </c>
      <c r="B4035" t="str">
        <f>"1551603813759748"</f>
        <v>1551603813759748</v>
      </c>
      <c r="C4035" t="s">
        <v>40</v>
      </c>
      <c r="D4035">
        <v>4.2021889999999997</v>
      </c>
      <c r="E4035">
        <v>0.48876049999999899</v>
      </c>
      <c r="F4035" t="s">
        <v>55</v>
      </c>
      <c r="G4035">
        <v>-157.8382</v>
      </c>
      <c r="H4035">
        <v>2.141216</v>
      </c>
      <c r="I4035">
        <v>219.71279999999999</v>
      </c>
      <c r="J4035">
        <v>-331.63409999999999</v>
      </c>
      <c r="K4035">
        <v>1.121688</v>
      </c>
      <c r="L4035">
        <v>214.70249999999999</v>
      </c>
      <c r="M4035">
        <v>0.99973230000000002</v>
      </c>
      <c r="N4035">
        <v>-1.5103429999999999E-2</v>
      </c>
      <c r="O4035">
        <v>1.7531399999999999E-2</v>
      </c>
      <c r="P4035">
        <v>0.98328090000000001</v>
      </c>
      <c r="Q4035">
        <v>0.1819789</v>
      </c>
      <c r="R4035">
        <v>-6.5229229999999999E-3</v>
      </c>
      <c r="S4035">
        <v>3.0482480000000001</v>
      </c>
      <c r="T4035">
        <v>1.7841820000000001E-2</v>
      </c>
      <c r="U4035">
        <v>8.7799070000000007E-2</v>
      </c>
      <c r="V4035">
        <v>2.3731559999999999E-2</v>
      </c>
      <c r="W4035">
        <v>0.1968086</v>
      </c>
      <c r="X4035">
        <v>0.98015469999999905</v>
      </c>
      <c r="Y4035">
        <v>-1.126479E-2</v>
      </c>
      <c r="Z4035">
        <v>4.1947399999999998E-4</v>
      </c>
      <c r="AA4035">
        <v>0.99993650000000001</v>
      </c>
      <c r="AB4035">
        <v>40</v>
      </c>
      <c r="AC4035">
        <v>173.79589999999999</v>
      </c>
      <c r="AD4035">
        <v>1.019528</v>
      </c>
      <c r="AE4035">
        <v>5.0103</v>
      </c>
      <c r="AF4035">
        <v>-1.9622295251739299</v>
      </c>
      <c r="AG4035">
        <v>1.019528</v>
      </c>
      <c r="AH4035">
        <v>173.85105363707299</v>
      </c>
      <c r="AI4035">
        <v>89.664021239315602</v>
      </c>
      <c r="AJ4035">
        <v>90.6466610014173</v>
      </c>
      <c r="AK4035">
        <v>173.86511620440899</v>
      </c>
      <c r="AL4035">
        <v>78.649603900328003</v>
      </c>
      <c r="AM4035">
        <v>88.613022390215306</v>
      </c>
      <c r="AN4035">
        <v>1.00000002395304</v>
      </c>
    </row>
    <row r="4036" spans="1:40" x14ac:dyDescent="0.25">
      <c r="A4036" t="str">
        <f>"20190303170333788"</f>
        <v>20190303170333788</v>
      </c>
      <c r="B4036" t="str">
        <f>"1551603813779267"</f>
        <v>1551603813779267</v>
      </c>
      <c r="C4036" t="s">
        <v>40</v>
      </c>
      <c r="D4036">
        <v>4.0259839999999896</v>
      </c>
      <c r="E4036">
        <v>0.48872660000000001</v>
      </c>
      <c r="F4036" t="s">
        <v>55</v>
      </c>
      <c r="G4036">
        <v>-157.8382</v>
      </c>
      <c r="H4036">
        <v>2.336395</v>
      </c>
      <c r="I4036">
        <v>219.79640000000001</v>
      </c>
      <c r="J4036">
        <v>-331.21499999999997</v>
      </c>
      <c r="K4036">
        <v>1.121691</v>
      </c>
      <c r="L4036">
        <v>214.7099</v>
      </c>
      <c r="M4036">
        <v>0.99973109999999998</v>
      </c>
      <c r="N4036">
        <v>-1.5098800000000001E-2</v>
      </c>
      <c r="O4036">
        <v>1.7605630000000001E-2</v>
      </c>
      <c r="P4036">
        <v>0.98328850000000001</v>
      </c>
      <c r="Q4036">
        <v>0.18194750000000001</v>
      </c>
      <c r="R4036">
        <v>-6.2351159999999997E-3</v>
      </c>
      <c r="S4036">
        <v>3.0476380000000001</v>
      </c>
      <c r="T4036">
        <v>2.1301750000000001E-2</v>
      </c>
      <c r="U4036">
        <v>8.932495E-2</v>
      </c>
      <c r="V4036">
        <v>2.3517030000000001E-2</v>
      </c>
      <c r="W4036">
        <v>0.19677259999999999</v>
      </c>
      <c r="X4036">
        <v>0.98016709999999996</v>
      </c>
      <c r="Y4036">
        <v>-1.1696990000000001E-2</v>
      </c>
      <c r="Z4036">
        <v>4.362735E-4</v>
      </c>
      <c r="AA4036">
        <v>0.99993149999999997</v>
      </c>
      <c r="AB4036">
        <v>40</v>
      </c>
      <c r="AC4036">
        <v>173.37679999999901</v>
      </c>
      <c r="AD4036">
        <v>1.214704</v>
      </c>
      <c r="AE4036">
        <v>5.0865</v>
      </c>
      <c r="AF4036">
        <v>-2.0328562853462899</v>
      </c>
      <c r="AG4036">
        <v>1.214704</v>
      </c>
      <c r="AH4036">
        <v>173.430977513469</v>
      </c>
      <c r="AI4036">
        <v>89.598736654644995</v>
      </c>
      <c r="AJ4036">
        <v>90.671556797012997</v>
      </c>
      <c r="AK4036">
        <v>173.447144605387</v>
      </c>
      <c r="AL4036">
        <v>78.651707702997996</v>
      </c>
      <c r="AM4036">
        <v>88.625573024681799</v>
      </c>
      <c r="AN4036">
        <v>1.0000000253665899</v>
      </c>
    </row>
    <row r="4037" spans="1:40" x14ac:dyDescent="0.25">
      <c r="A4037" t="str">
        <f>"20190303170333801"</f>
        <v>20190303170333801</v>
      </c>
      <c r="B4037" t="str">
        <f>"1551603813789027"</f>
        <v>1551603813789027</v>
      </c>
      <c r="C4037" t="s">
        <v>40</v>
      </c>
      <c r="D4037">
        <v>4.065124</v>
      </c>
      <c r="E4037">
        <v>0.48870560000000002</v>
      </c>
      <c r="F4037" t="s">
        <v>55</v>
      </c>
      <c r="G4037">
        <v>-157.8382</v>
      </c>
      <c r="H4037">
        <v>2.3785750000000001</v>
      </c>
      <c r="I4037">
        <v>219.8707</v>
      </c>
      <c r="J4037">
        <v>-330.9821</v>
      </c>
      <c r="K4037">
        <v>1.121688</v>
      </c>
      <c r="L4037">
        <v>214.714</v>
      </c>
      <c r="M4037">
        <v>0.99973029999999996</v>
      </c>
      <c r="N4037">
        <v>-1.509634E-2</v>
      </c>
      <c r="O4037">
        <v>1.7646950000000002E-2</v>
      </c>
      <c r="P4037">
        <v>0.98326170000000002</v>
      </c>
      <c r="Q4037">
        <v>0.18210119999999999</v>
      </c>
      <c r="R4037">
        <v>-5.9850729999999996E-3</v>
      </c>
      <c r="S4037">
        <v>3.047485</v>
      </c>
      <c r="T4037">
        <v>2.209353E-2</v>
      </c>
      <c r="U4037">
        <v>9.0713500000000002E-2</v>
      </c>
      <c r="V4037">
        <v>2.3306980000000001E-2</v>
      </c>
      <c r="W4037">
        <v>0.1969236</v>
      </c>
      <c r="X4037">
        <v>0.98014179999999995</v>
      </c>
      <c r="Y4037">
        <v>-1.211246E-2</v>
      </c>
      <c r="Z4037">
        <v>4.4182569999999999E-4</v>
      </c>
      <c r="AA4037">
        <v>0.9999266</v>
      </c>
      <c r="AB4037">
        <v>40</v>
      </c>
      <c r="AC4037">
        <v>173.1439</v>
      </c>
      <c r="AD4037">
        <v>1.2568870000000001</v>
      </c>
      <c r="AE4037">
        <v>5.1566999999999696</v>
      </c>
      <c r="AF4037">
        <v>-2.0999762610872299</v>
      </c>
      <c r="AG4037">
        <v>1.2568870000000001</v>
      </c>
      <c r="AH4037">
        <v>173.198823556756</v>
      </c>
      <c r="AI4037">
        <v>89.584247962091496</v>
      </c>
      <c r="AJ4037">
        <v>90.694657613287802</v>
      </c>
      <c r="AK4037">
        <v>173.21611399252799</v>
      </c>
      <c r="AL4037">
        <v>78.6428834812736</v>
      </c>
      <c r="AM4037">
        <v>88.637809372571297</v>
      </c>
      <c r="AN4037">
        <v>1.00000003383045</v>
      </c>
    </row>
    <row r="4038" spans="1:40" x14ac:dyDescent="0.25">
      <c r="A4038" t="str">
        <f>"20190303170333821"</f>
        <v>20190303170333821</v>
      </c>
      <c r="B4038" t="str">
        <f>"1551603813809524"</f>
        <v>1551603813809524</v>
      </c>
      <c r="C4038" t="s">
        <v>40</v>
      </c>
      <c r="D4038">
        <v>4.105334</v>
      </c>
      <c r="E4038">
        <v>0.48870130000000001</v>
      </c>
      <c r="F4038" t="s">
        <v>55</v>
      </c>
      <c r="G4038">
        <v>-157.8382</v>
      </c>
      <c r="H4038">
        <v>2.396722</v>
      </c>
      <c r="I4038">
        <v>219.91560000000001</v>
      </c>
      <c r="J4038">
        <v>-330.63049999999998</v>
      </c>
      <c r="K4038">
        <v>1.1216930000000001</v>
      </c>
      <c r="L4038">
        <v>214.72020000000001</v>
      </c>
      <c r="M4038">
        <v>0.99972939999999999</v>
      </c>
      <c r="N4038">
        <v>-1.509276E-2</v>
      </c>
      <c r="O4038">
        <v>1.7709260000000001E-2</v>
      </c>
      <c r="P4038">
        <v>0.98326250000000004</v>
      </c>
      <c r="Q4038">
        <v>0.1821026</v>
      </c>
      <c r="R4038">
        <v>-5.8116779999999998E-3</v>
      </c>
      <c r="S4038">
        <v>3.047485</v>
      </c>
      <c r="T4038">
        <v>2.2442699999999999E-2</v>
      </c>
      <c r="U4038">
        <v>9.1552729999999999E-2</v>
      </c>
      <c r="V4038">
        <v>2.3195210000000001E-2</v>
      </c>
      <c r="W4038">
        <v>0.19692180000000001</v>
      </c>
      <c r="X4038">
        <v>0.98014480000000004</v>
      </c>
      <c r="Y4038">
        <v>-1.2325330000000001E-2</v>
      </c>
      <c r="Z4038">
        <v>4.4528919999999999E-4</v>
      </c>
      <c r="AA4038">
        <v>0.99992389999999998</v>
      </c>
      <c r="AB4038">
        <v>40</v>
      </c>
      <c r="AC4038">
        <v>172.79229999999899</v>
      </c>
      <c r="AD4038">
        <v>1.275029</v>
      </c>
      <c r="AE4038">
        <v>5.1954000000000002</v>
      </c>
      <c r="AF4038">
        <v>-2.1340970532171202</v>
      </c>
      <c r="AG4038">
        <v>1.275029</v>
      </c>
      <c r="AH4038">
        <v>172.84781056643601</v>
      </c>
      <c r="AI4038">
        <v>89.577391880374805</v>
      </c>
      <c r="AJ4038">
        <v>90.707376860470902</v>
      </c>
      <c r="AK4038">
        <v>172.865686840373</v>
      </c>
      <c r="AL4038">
        <v>78.642988526067697</v>
      </c>
      <c r="AM4038">
        <v>88.644343542401899</v>
      </c>
      <c r="AN4038">
        <v>1.0000000210246101</v>
      </c>
    </row>
    <row r="4039" spans="1:40" x14ac:dyDescent="0.25">
      <c r="A4039" t="str">
        <f>"20190303170333842"</f>
        <v>20190303170333842</v>
      </c>
      <c r="B4039" t="str">
        <f>"1551603813829043"</f>
        <v>1551603813829043</v>
      </c>
      <c r="C4039" t="s">
        <v>40</v>
      </c>
      <c r="D4039">
        <v>4.0310620000000004</v>
      </c>
      <c r="E4039">
        <v>0.4886529</v>
      </c>
      <c r="F4039" t="s">
        <v>55</v>
      </c>
      <c r="G4039">
        <v>-157.8382</v>
      </c>
      <c r="H4039">
        <v>2.3835649999999999</v>
      </c>
      <c r="I4039">
        <v>219.9606</v>
      </c>
      <c r="J4039">
        <v>-330.24959999999999</v>
      </c>
      <c r="K4039">
        <v>1.1216919999999999</v>
      </c>
      <c r="L4039">
        <v>214.72710000000001</v>
      </c>
      <c r="M4039">
        <v>0.99972810000000001</v>
      </c>
      <c r="N4039">
        <v>-1.508866E-2</v>
      </c>
      <c r="O4039">
        <v>1.7777109999999999E-2</v>
      </c>
      <c r="P4039">
        <v>0.98335159999999999</v>
      </c>
      <c r="Q4039">
        <v>0.18161079999999999</v>
      </c>
      <c r="R4039">
        <v>-6.1053729999999999E-3</v>
      </c>
      <c r="S4039">
        <v>3.047485</v>
      </c>
      <c r="T4039">
        <v>2.225626E-2</v>
      </c>
      <c r="U4039">
        <v>9.2422489999999996E-2</v>
      </c>
      <c r="V4039">
        <v>2.3557249999999998E-2</v>
      </c>
      <c r="W4039">
        <v>0.19642709999999999</v>
      </c>
      <c r="X4039">
        <v>0.98023539999999998</v>
      </c>
      <c r="Y4039">
        <v>-1.2542579999999999E-2</v>
      </c>
      <c r="Z4039">
        <v>4.4684990000000001E-4</v>
      </c>
      <c r="AA4039">
        <v>0.99992130000000001</v>
      </c>
      <c r="AB4039">
        <v>40</v>
      </c>
      <c r="AC4039">
        <v>172.41139999999999</v>
      </c>
      <c r="AD4039">
        <v>1.261873</v>
      </c>
      <c r="AE4039">
        <v>5.2334999999999896</v>
      </c>
      <c r="AF4039">
        <v>-2.16723136955591</v>
      </c>
      <c r="AG4039">
        <v>1.261873</v>
      </c>
      <c r="AH4039">
        <v>172.467965399664</v>
      </c>
      <c r="AI4039">
        <v>89.58083230311</v>
      </c>
      <c r="AJ4039">
        <v>90.719940513077702</v>
      </c>
      <c r="AK4039">
        <v>172.48619743149601</v>
      </c>
      <c r="AL4039">
        <v>78.671897066836706</v>
      </c>
      <c r="AM4039">
        <v>88.623319207887405</v>
      </c>
      <c r="AN4039">
        <v>0.99999999452756605</v>
      </c>
    </row>
    <row r="4040" spans="1:40" x14ac:dyDescent="0.25">
      <c r="A4040" t="str">
        <f>"20190303170333858"</f>
        <v>20190303170333858</v>
      </c>
      <c r="B4040" t="str">
        <f>"1551603813849539"</f>
        <v>1551603813849539</v>
      </c>
      <c r="C4040" t="s">
        <v>40</v>
      </c>
      <c r="D4040">
        <v>4.1408690000000004</v>
      </c>
      <c r="E4040">
        <v>0.48860579999999998</v>
      </c>
      <c r="F4040" t="s">
        <v>55</v>
      </c>
      <c r="G4040">
        <v>-157.8382</v>
      </c>
      <c r="H4040">
        <v>2.3084720000000001</v>
      </c>
      <c r="I4040">
        <v>219.94030000000001</v>
      </c>
      <c r="J4040">
        <v>-329.97750000000002</v>
      </c>
      <c r="K4040">
        <v>1.121694</v>
      </c>
      <c r="L4040">
        <v>214.7319</v>
      </c>
      <c r="M4040">
        <v>0.99972740000000004</v>
      </c>
      <c r="N4040">
        <v>-1.5085599999999999E-2</v>
      </c>
      <c r="O4040">
        <v>1.782541E-2</v>
      </c>
      <c r="P4040">
        <v>0.98345269999999996</v>
      </c>
      <c r="Q4040">
        <v>0.18105470000000001</v>
      </c>
      <c r="R4040">
        <v>-6.34177E-3</v>
      </c>
      <c r="S4040">
        <v>3.0475159999999999</v>
      </c>
      <c r="T4040">
        <v>2.097833E-2</v>
      </c>
      <c r="U4040">
        <v>9.214783E-2</v>
      </c>
      <c r="V4040">
        <v>2.3842990000000001E-2</v>
      </c>
      <c r="W4040">
        <v>0.19586980000000001</v>
      </c>
      <c r="X4040">
        <v>0.98033999999999999</v>
      </c>
      <c r="Y4040">
        <v>-1.240377E-2</v>
      </c>
      <c r="Z4040">
        <v>4.4244519999999998E-4</v>
      </c>
      <c r="AA4040">
        <v>0.99992300000000001</v>
      </c>
      <c r="AB4040">
        <v>40</v>
      </c>
      <c r="AC4040">
        <v>172.13929999999999</v>
      </c>
      <c r="AD4040">
        <v>1.1867780000000001</v>
      </c>
      <c r="AE4040">
        <v>5.2084000000000099</v>
      </c>
      <c r="AF4040">
        <v>-2.1386682010638798</v>
      </c>
      <c r="AG4040">
        <v>1.1867780000000001</v>
      </c>
      <c r="AH4040">
        <v>172.19661857879601</v>
      </c>
      <c r="AI4040">
        <v>89.605154555275305</v>
      </c>
      <c r="AJ4040">
        <v>90.711572403031894</v>
      </c>
      <c r="AK4040">
        <v>172.21398837976801</v>
      </c>
      <c r="AL4040">
        <v>78.704460538752102</v>
      </c>
      <c r="AM4040">
        <v>88.606775776358404</v>
      </c>
      <c r="AN4040">
        <v>0.99999999116209004</v>
      </c>
    </row>
    <row r="4041" spans="1:40" x14ac:dyDescent="0.25">
      <c r="A4041" t="str">
        <f>"20190303170333877"</f>
        <v>20190303170333877</v>
      </c>
      <c r="B4041" t="str">
        <f>"1551603813869059"</f>
        <v>1551603813869059</v>
      </c>
      <c r="C4041" t="s">
        <v>40</v>
      </c>
      <c r="D4041">
        <v>4.0877339999999904</v>
      </c>
      <c r="E4041">
        <v>0.48857440000000002</v>
      </c>
      <c r="F4041" t="s">
        <v>55</v>
      </c>
      <c r="G4041">
        <v>-157.8382</v>
      </c>
      <c r="H4041">
        <v>2.22418</v>
      </c>
      <c r="I4041">
        <v>219.92490000000001</v>
      </c>
      <c r="J4041">
        <v>-329.62400000000002</v>
      </c>
      <c r="K4041">
        <v>1.1216900000000001</v>
      </c>
      <c r="L4041">
        <v>214.73830000000001</v>
      </c>
      <c r="M4041">
        <v>0.99972620000000001</v>
      </c>
      <c r="N4041">
        <v>-1.5081560000000001E-2</v>
      </c>
      <c r="O4041">
        <v>1.7888080000000001E-2</v>
      </c>
      <c r="P4041">
        <v>0.9834794</v>
      </c>
      <c r="Q4041">
        <v>0.18090639999999999</v>
      </c>
      <c r="R4041">
        <v>-6.411646E-3</v>
      </c>
      <c r="S4041">
        <v>3.047485</v>
      </c>
      <c r="T4041">
        <v>1.951897E-2</v>
      </c>
      <c r="U4041">
        <v>9.1934199999999994E-2</v>
      </c>
      <c r="V4041">
        <v>2.397519E-2</v>
      </c>
      <c r="W4041">
        <v>0.1957178</v>
      </c>
      <c r="X4041">
        <v>0.98036710000000005</v>
      </c>
      <c r="Y4041">
        <v>-1.227118E-2</v>
      </c>
      <c r="Z4041">
        <v>4.3755690000000001E-4</v>
      </c>
      <c r="AA4041">
        <v>0.99992460000000005</v>
      </c>
      <c r="AB4041">
        <v>40</v>
      </c>
      <c r="AC4041">
        <v>171.78579999999999</v>
      </c>
      <c r="AD4041">
        <v>1.10249</v>
      </c>
      <c r="AE4041">
        <v>5.1865999999999897</v>
      </c>
      <c r="AF4041">
        <v>-2.1124152026799101</v>
      </c>
      <c r="AG4041">
        <v>1.10249</v>
      </c>
      <c r="AH4041">
        <v>171.84402458292701</v>
      </c>
      <c r="AI4041">
        <v>89.632443516320293</v>
      </c>
      <c r="AJ4041">
        <v>90.704280408833895</v>
      </c>
      <c r="AK4041">
        <v>171.86054395074601</v>
      </c>
      <c r="AL4041">
        <v>78.713341016046897</v>
      </c>
      <c r="AM4041">
        <v>88.599092676690802</v>
      </c>
      <c r="AN4041">
        <v>0.99999995886739201</v>
      </c>
    </row>
    <row r="4042" spans="1:40" x14ac:dyDescent="0.25">
      <c r="A4042" t="str">
        <f>"20190303170333900"</f>
        <v>20190303170333900</v>
      </c>
      <c r="B4042" t="str">
        <f>"1551603813889555"</f>
        <v>1551603813889555</v>
      </c>
      <c r="C4042" t="s">
        <v>40</v>
      </c>
      <c r="D4042">
        <v>4.0734269999999997</v>
      </c>
      <c r="E4042">
        <v>0.48838510000000002</v>
      </c>
      <c r="F4042" t="s">
        <v>55</v>
      </c>
      <c r="G4042">
        <v>-157.8382</v>
      </c>
      <c r="H4042">
        <v>2.198715</v>
      </c>
      <c r="I4042">
        <v>219.92830000000001</v>
      </c>
      <c r="J4042">
        <v>-329.23820000000001</v>
      </c>
      <c r="K4042">
        <v>1.1216889999999999</v>
      </c>
      <c r="L4042">
        <v>214.74529999999999</v>
      </c>
      <c r="M4042">
        <v>0.99972510000000003</v>
      </c>
      <c r="N4042">
        <v>-1.5077119999999999E-2</v>
      </c>
      <c r="O4042">
        <v>1.795563E-2</v>
      </c>
      <c r="P4042">
        <v>0.98334449999999995</v>
      </c>
      <c r="Q4042">
        <v>0.18161640000000001</v>
      </c>
      <c r="R4042">
        <v>-7.0063219999999997E-3</v>
      </c>
      <c r="S4042">
        <v>3.047485</v>
      </c>
      <c r="T4042">
        <v>1.910746E-2</v>
      </c>
      <c r="U4042">
        <v>9.2071529999999999E-2</v>
      </c>
      <c r="V4042">
        <v>2.4633909999999998E-2</v>
      </c>
      <c r="W4042">
        <v>0.19642109999999999</v>
      </c>
      <c r="X4042">
        <v>0.98021009999999997</v>
      </c>
      <c r="Y4042">
        <v>-1.224859E-2</v>
      </c>
      <c r="Z4042">
        <v>4.372065E-4</v>
      </c>
      <c r="AA4042">
        <v>0.99992490000000001</v>
      </c>
      <c r="AB4042">
        <v>40</v>
      </c>
      <c r="AC4042">
        <v>171.4</v>
      </c>
      <c r="AD4042">
        <v>1.077026</v>
      </c>
      <c r="AE4042">
        <v>5.1830000000000203</v>
      </c>
      <c r="AF4042">
        <v>-2.1041363845834198</v>
      </c>
      <c r="AG4042">
        <v>1.077026</v>
      </c>
      <c r="AH4042">
        <v>171.45867218177801</v>
      </c>
      <c r="AI4042">
        <v>89.640125601114903</v>
      </c>
      <c r="AJ4042">
        <v>90.703097027970699</v>
      </c>
      <c r="AK4042">
        <v>171.47496505690799</v>
      </c>
      <c r="AL4042">
        <v>78.672247264947302</v>
      </c>
      <c r="AM4042">
        <v>88.560388178909804</v>
      </c>
      <c r="AN4042">
        <v>0.99999995909455297</v>
      </c>
    </row>
    <row r="4043" spans="1:40" x14ac:dyDescent="0.25">
      <c r="A4043" t="str">
        <f>"20190303170333920"</f>
        <v>20190303170333920</v>
      </c>
      <c r="B4043" t="str">
        <f>"1551603813909075"</f>
        <v>1551603813909075</v>
      </c>
      <c r="C4043" t="s">
        <v>40</v>
      </c>
      <c r="D4043">
        <v>4.0481989999999897</v>
      </c>
      <c r="E4043">
        <v>0.4882746</v>
      </c>
      <c r="F4043" t="s">
        <v>55</v>
      </c>
      <c r="G4043">
        <v>-157.8382</v>
      </c>
      <c r="H4043">
        <v>2.3547859999999998</v>
      </c>
      <c r="I4043">
        <v>219.87989999999999</v>
      </c>
      <c r="J4043">
        <v>-328.86630000000002</v>
      </c>
      <c r="K4043">
        <v>1.1216919999999999</v>
      </c>
      <c r="L4043">
        <v>214.75200000000001</v>
      </c>
      <c r="M4043">
        <v>0.99972419999999995</v>
      </c>
      <c r="N4043">
        <v>-1.5072830000000001E-2</v>
      </c>
      <c r="O4043">
        <v>1.801641E-2</v>
      </c>
      <c r="P4043">
        <v>0.98331329999999995</v>
      </c>
      <c r="Q4043">
        <v>0.1818022</v>
      </c>
      <c r="R4043">
        <v>-6.5587090000000002E-3</v>
      </c>
      <c r="S4043">
        <v>3.0474549999999998</v>
      </c>
      <c r="T4043">
        <v>2.1925210000000001E-2</v>
      </c>
      <c r="U4043">
        <v>9.1293330000000006E-2</v>
      </c>
      <c r="V4043">
        <v>2.4246650000000002E-2</v>
      </c>
      <c r="W4043">
        <v>0.19660250000000001</v>
      </c>
      <c r="X4043">
        <v>0.98018340000000004</v>
      </c>
      <c r="Y4043">
        <v>-1.193337E-2</v>
      </c>
      <c r="Z4043">
        <v>4.4814859999999998E-4</v>
      </c>
      <c r="AA4043">
        <v>0.9999287</v>
      </c>
      <c r="AB4043">
        <v>40</v>
      </c>
      <c r="AC4043">
        <v>171.02809999999999</v>
      </c>
      <c r="AD4043">
        <v>1.2330939999999999</v>
      </c>
      <c r="AE4043">
        <v>5.1278999999999799</v>
      </c>
      <c r="AF4043">
        <v>-2.0452992277883801</v>
      </c>
      <c r="AG4043">
        <v>1.2330939999999999</v>
      </c>
      <c r="AH4043">
        <v>171.083845801862</v>
      </c>
      <c r="AI4043">
        <v>89.587074920569293</v>
      </c>
      <c r="AJ4043">
        <v>90.684935685769503</v>
      </c>
      <c r="AK4043">
        <v>171.100514505653</v>
      </c>
      <c r="AL4043">
        <v>78.661647251970095</v>
      </c>
      <c r="AM4043">
        <v>88.582971866165906</v>
      </c>
      <c r="AN4043">
        <v>0.999999970339016</v>
      </c>
    </row>
    <row r="4044" spans="1:40" x14ac:dyDescent="0.25">
      <c r="A4044" t="str">
        <f>"20190303170333944"</f>
        <v>20190303170333944</v>
      </c>
      <c r="B4044" t="str">
        <f>"1551603813939332"</f>
        <v>1551603813939332</v>
      </c>
      <c r="C4044" t="s">
        <v>40</v>
      </c>
      <c r="D4044">
        <v>4.1509470000000004</v>
      </c>
      <c r="E4044">
        <v>0.48803360000000001</v>
      </c>
      <c r="F4044" t="s">
        <v>55</v>
      </c>
      <c r="G4044">
        <v>-157.8382</v>
      </c>
      <c r="H4044">
        <v>2.4342800000000002</v>
      </c>
      <c r="I4044">
        <v>220.0018</v>
      </c>
      <c r="J4044">
        <v>-328.45909999999998</v>
      </c>
      <c r="K4044">
        <v>1.121686</v>
      </c>
      <c r="L4044">
        <v>214.7594</v>
      </c>
      <c r="M4044">
        <v>0.99972329999999998</v>
      </c>
      <c r="N4044">
        <v>-1.506823E-2</v>
      </c>
      <c r="O4044">
        <v>1.807193E-2</v>
      </c>
      <c r="P4044">
        <v>0.98331199999999996</v>
      </c>
      <c r="Q4044">
        <v>0.18184919999999999</v>
      </c>
      <c r="R4044">
        <v>-5.383611E-3</v>
      </c>
      <c r="S4044">
        <v>3.0472109999999999</v>
      </c>
      <c r="T4044">
        <v>2.3387430000000001E-2</v>
      </c>
      <c r="U4044">
        <v>9.3536380000000002E-2</v>
      </c>
      <c r="V4044">
        <v>2.312964E-2</v>
      </c>
      <c r="W4044">
        <v>0.19664409999999999</v>
      </c>
      <c r="X4044">
        <v>0.98020209999999997</v>
      </c>
      <c r="Y4044">
        <v>-1.261583E-2</v>
      </c>
      <c r="Z4044">
        <v>4.5760819999999999E-4</v>
      </c>
      <c r="AA4044">
        <v>0.99992029999999998</v>
      </c>
      <c r="AB4044">
        <v>40</v>
      </c>
      <c r="AC4044">
        <v>170.62089999999901</v>
      </c>
      <c r="AD4044">
        <v>1.31259399999999</v>
      </c>
      <c r="AE4044">
        <v>5.2423999999999999</v>
      </c>
      <c r="AF4044">
        <v>-2.1576175182452202</v>
      </c>
      <c r="AG4044">
        <v>1.31259399999999</v>
      </c>
      <c r="AH4044">
        <v>170.677688819552</v>
      </c>
      <c r="AI4044">
        <v>89.559411624414594</v>
      </c>
      <c r="AJ4044">
        <v>90.724264511962105</v>
      </c>
      <c r="AK4044">
        <v>170.69637277091601</v>
      </c>
      <c r="AL4044">
        <v>78.659216858792206</v>
      </c>
      <c r="AM4044">
        <v>88.648253386870707</v>
      </c>
      <c r="AN4044">
        <v>1.00000001957787</v>
      </c>
    </row>
    <row r="4045" spans="1:40" x14ac:dyDescent="0.25">
      <c r="A4045" t="str">
        <f>"20190303170333957"</f>
        <v>20190303170333957</v>
      </c>
      <c r="B4045" t="str">
        <f>"1551603813949091"</f>
        <v>1551603813949091</v>
      </c>
      <c r="C4045" t="s">
        <v>40</v>
      </c>
      <c r="D4045">
        <v>4.1631559999999999</v>
      </c>
      <c r="E4045">
        <v>0.47627849999999999</v>
      </c>
      <c r="F4045" t="s">
        <v>55</v>
      </c>
      <c r="G4045">
        <v>-157.8382</v>
      </c>
      <c r="H4045">
        <v>2.4638439999999999</v>
      </c>
      <c r="I4045">
        <v>220.31309999999999</v>
      </c>
      <c r="J4045">
        <v>-328.20710000000003</v>
      </c>
      <c r="K4045">
        <v>1.121675</v>
      </c>
      <c r="L4045">
        <v>214.76400000000001</v>
      </c>
      <c r="M4045">
        <v>0.99972269999999996</v>
      </c>
      <c r="N4045">
        <v>-1.5065449999999999E-2</v>
      </c>
      <c r="O4045">
        <v>1.8099899999999999E-2</v>
      </c>
      <c r="P4045">
        <v>0.98332269999999999</v>
      </c>
      <c r="Q4045">
        <v>0.18180060000000001</v>
      </c>
      <c r="R4045">
        <v>-5.0088199999999998E-3</v>
      </c>
      <c r="S4045">
        <v>3.0470579999999998</v>
      </c>
      <c r="T4045">
        <v>2.3970129999999999E-2</v>
      </c>
      <c r="U4045">
        <v>9.9182129999999993E-2</v>
      </c>
      <c r="V4045">
        <v>2.2785799999999998E-2</v>
      </c>
      <c r="W4045">
        <v>0.19659309999999999</v>
      </c>
      <c r="X4045">
        <v>0.98022039999999999</v>
      </c>
      <c r="Y4045">
        <v>-1.4440359999999999E-2</v>
      </c>
      <c r="Z4045">
        <v>4.670009E-4</v>
      </c>
      <c r="AA4045">
        <v>0.9998956</v>
      </c>
      <c r="AB4045">
        <v>39</v>
      </c>
      <c r="AC4045">
        <v>170.3689</v>
      </c>
      <c r="AD4045">
        <v>1.3421689999999999</v>
      </c>
      <c r="AE4045">
        <v>5.5490999999999797</v>
      </c>
      <c r="AF4045">
        <v>-2.4640280159764898</v>
      </c>
      <c r="AG4045">
        <v>1.3421689999999999</v>
      </c>
      <c r="AH4045">
        <v>170.43086769634499</v>
      </c>
      <c r="AI4045">
        <v>89.548843497680593</v>
      </c>
      <c r="AJ4045">
        <v>90.8283040069674</v>
      </c>
      <c r="AK4045">
        <v>170.45396303816801</v>
      </c>
      <c r="AL4045">
        <v>78.662197307957101</v>
      </c>
      <c r="AM4045">
        <v>88.668365708279794</v>
      </c>
      <c r="AN4045">
        <v>1.0000000361126999</v>
      </c>
    </row>
    <row r="4046" spans="1:40" x14ac:dyDescent="0.25">
      <c r="A4046" t="str">
        <f>"20190303170333978"</f>
        <v>20190303170333978</v>
      </c>
      <c r="B4046" t="str">
        <f>"1551603813969588"</f>
        <v>1551603813969588</v>
      </c>
      <c r="C4046" t="s">
        <v>40</v>
      </c>
      <c r="D4046">
        <v>4.1635450000000001</v>
      </c>
      <c r="E4046">
        <v>0.47621619999999998</v>
      </c>
      <c r="F4046" t="s">
        <v>55</v>
      </c>
      <c r="G4046">
        <v>-157.25</v>
      </c>
      <c r="H4046">
        <v>1.6223529999999999</v>
      </c>
      <c r="I4046">
        <v>225.697</v>
      </c>
      <c r="J4046">
        <v>-327.85739999999998</v>
      </c>
      <c r="K4046">
        <v>1.1216649999999999</v>
      </c>
      <c r="L4046">
        <v>214.77029999999999</v>
      </c>
      <c r="M4046">
        <v>0.99972229999999995</v>
      </c>
      <c r="N4046">
        <v>-1.506162E-2</v>
      </c>
      <c r="O4046">
        <v>1.8129300000000001E-2</v>
      </c>
      <c r="P4046">
        <v>0.9834408</v>
      </c>
      <c r="Q4046">
        <v>0.18118039999999999</v>
      </c>
      <c r="R4046">
        <v>-4.2453179999999997E-3</v>
      </c>
      <c r="S4046">
        <v>3.0502319999999998</v>
      </c>
      <c r="T4046">
        <v>8.9341400000000001E-3</v>
      </c>
      <c r="U4046">
        <v>0.1950684</v>
      </c>
      <c r="V4046">
        <v>2.205876E-2</v>
      </c>
      <c r="W4046">
        <v>0.19597029999999999</v>
      </c>
      <c r="X4046">
        <v>0.9803617</v>
      </c>
      <c r="Y4046">
        <v>-4.5720440000000001E-2</v>
      </c>
      <c r="Z4046">
        <v>6.0366789999999999E-4</v>
      </c>
      <c r="AA4046">
        <v>0.99895409999999996</v>
      </c>
      <c r="AB4046">
        <v>39</v>
      </c>
      <c r="AC4046">
        <v>170.60739999999899</v>
      </c>
      <c r="AD4046">
        <v>0.50068800000000002</v>
      </c>
      <c r="AE4046">
        <v>10.9267</v>
      </c>
      <c r="AF4046">
        <v>-7.8314933111646496</v>
      </c>
      <c r="AG4046">
        <v>0.50068800000000002</v>
      </c>
      <c r="AH4046">
        <v>170.776005485756</v>
      </c>
      <c r="AI4046">
        <v>89.832194749567094</v>
      </c>
      <c r="AJ4046">
        <v>92.625646179168001</v>
      </c>
      <c r="AK4046">
        <v>170.95621376723099</v>
      </c>
      <c r="AL4046">
        <v>78.698588671834599</v>
      </c>
      <c r="AM4046">
        <v>88.711026120947196</v>
      </c>
      <c r="AN4046">
        <v>1.00000000510085</v>
      </c>
    </row>
    <row r="4047" spans="1:40" x14ac:dyDescent="0.25">
      <c r="A4047" t="str">
        <f>"20190303170333992"</f>
        <v>20190303170333992</v>
      </c>
      <c r="B4047" t="str">
        <f>"1551603813979347"</f>
        <v>1551603813979347</v>
      </c>
      <c r="C4047" t="s">
        <v>40</v>
      </c>
      <c r="D4047">
        <v>4.1686670000000001</v>
      </c>
      <c r="E4047">
        <v>0.47642649999999998</v>
      </c>
      <c r="F4047" t="s">
        <v>55</v>
      </c>
      <c r="G4047">
        <v>-157.25</v>
      </c>
      <c r="H4047">
        <v>1.74305</v>
      </c>
      <c r="I4047">
        <v>225.88570000000001</v>
      </c>
      <c r="J4047">
        <v>-327.61169999999998</v>
      </c>
      <c r="K4047">
        <v>1.121656</v>
      </c>
      <c r="L4047">
        <v>214.7748</v>
      </c>
      <c r="M4047">
        <v>0.99972209999999995</v>
      </c>
      <c r="N4047">
        <v>-1.505894E-2</v>
      </c>
      <c r="O4047">
        <v>1.814491E-2</v>
      </c>
      <c r="P4047">
        <v>0.98349949999999997</v>
      </c>
      <c r="Q4047">
        <v>0.1808649</v>
      </c>
      <c r="R4047">
        <v>-4.1305630000000003E-3</v>
      </c>
      <c r="S4047">
        <v>3.049347</v>
      </c>
      <c r="T4047">
        <v>1.110733E-2</v>
      </c>
      <c r="U4047">
        <v>0.1986694</v>
      </c>
      <c r="V4047">
        <v>2.196381E-2</v>
      </c>
      <c r="W4047">
        <v>0.19565279999999999</v>
      </c>
      <c r="X4047">
        <v>0.98042720000000005</v>
      </c>
      <c r="Y4047">
        <v>-4.6898479999999999E-2</v>
      </c>
      <c r="Z4047">
        <v>6.0721410000000005E-4</v>
      </c>
      <c r="AA4047">
        <v>0.99889950000000005</v>
      </c>
      <c r="AB4047">
        <v>39</v>
      </c>
      <c r="AC4047">
        <v>170.36169999999899</v>
      </c>
      <c r="AD4047">
        <v>0.621394</v>
      </c>
      <c r="AE4047">
        <v>11.110900000000001</v>
      </c>
      <c r="AF4047">
        <v>-8.0174163288351092</v>
      </c>
      <c r="AG4047">
        <v>0.621394</v>
      </c>
      <c r="AH4047">
        <v>170.53301649665801</v>
      </c>
      <c r="AI4047">
        <v>89.791454960448505</v>
      </c>
      <c r="AJ4047">
        <v>92.691714080284498</v>
      </c>
      <c r="AK4047">
        <v>170.72250821301401</v>
      </c>
      <c r="AL4047">
        <v>78.717138684826907</v>
      </c>
      <c r="AM4047">
        <v>88.716658250375801</v>
      </c>
      <c r="AN4047">
        <v>0.99999996079869702</v>
      </c>
    </row>
    <row r="4048" spans="1:40" x14ac:dyDescent="0.25">
      <c r="A4048" t="str">
        <f>"20190303170334010"</f>
        <v>20190303170334010</v>
      </c>
      <c r="B4048" t="str">
        <f>"1551603813999844"</f>
        <v>1551603813999844</v>
      </c>
      <c r="C4048" t="s">
        <v>40</v>
      </c>
      <c r="D4048">
        <v>4.110779</v>
      </c>
      <c r="E4048">
        <v>0.47724699999999998</v>
      </c>
      <c r="F4048" t="s">
        <v>55</v>
      </c>
      <c r="G4048">
        <v>-157.25</v>
      </c>
      <c r="H4048">
        <v>1.535925</v>
      </c>
      <c r="I4048">
        <v>225.79679999999999</v>
      </c>
      <c r="J4048">
        <v>-327.2953</v>
      </c>
      <c r="K4048">
        <v>1.12165</v>
      </c>
      <c r="L4048">
        <v>214.78059999999999</v>
      </c>
      <c r="M4048">
        <v>0.99972179999999999</v>
      </c>
      <c r="N4048">
        <v>-1.505536E-2</v>
      </c>
      <c r="O4048">
        <v>1.8159149999999999E-2</v>
      </c>
      <c r="P4048">
        <v>0.98346359999999999</v>
      </c>
      <c r="Q4048">
        <v>0.18106649999999999</v>
      </c>
      <c r="R4048">
        <v>-3.7808569999999999E-3</v>
      </c>
      <c r="S4048">
        <v>3.049744</v>
      </c>
      <c r="T4048">
        <v>7.4170829999999997E-3</v>
      </c>
      <c r="U4048">
        <v>0.1973114</v>
      </c>
      <c r="V4048">
        <v>2.163195E-2</v>
      </c>
      <c r="W4048">
        <v>0.19584969999999999</v>
      </c>
      <c r="X4048">
        <v>0.98039529999999997</v>
      </c>
      <c r="Y4048">
        <v>-4.6432220000000003E-2</v>
      </c>
      <c r="Z4048">
        <v>6.1078599999999999E-4</v>
      </c>
      <c r="AA4048">
        <v>0.99892130000000001</v>
      </c>
      <c r="AB4048">
        <v>39</v>
      </c>
      <c r="AC4048">
        <v>170.0453</v>
      </c>
      <c r="AD4048">
        <v>0.414275</v>
      </c>
      <c r="AE4048">
        <v>11.0161999999999</v>
      </c>
      <c r="AF4048">
        <v>-7.9261082927882098</v>
      </c>
      <c r="AG4048">
        <v>0.414275</v>
      </c>
      <c r="AH4048">
        <v>170.21631613142401</v>
      </c>
      <c r="AI4048">
        <v>89.860703890514202</v>
      </c>
      <c r="AJ4048">
        <v>92.666047293570699</v>
      </c>
      <c r="AK4048">
        <v>170.401259073392</v>
      </c>
      <c r="AL4048">
        <v>78.705634976482003</v>
      </c>
      <c r="AM4048">
        <v>88.736001322978197</v>
      </c>
      <c r="AN4048">
        <v>0.99999999525649097</v>
      </c>
    </row>
    <row r="4049" spans="1:40" x14ac:dyDescent="0.25">
      <c r="A4049" t="str">
        <f>"20190303170334034"</f>
        <v>20190303170334034</v>
      </c>
      <c r="B4049" t="str">
        <f>"1551603814019363"</f>
        <v>1551603814019363</v>
      </c>
      <c r="C4049" t="s">
        <v>40</v>
      </c>
      <c r="D4049">
        <v>4.1032199999999897</v>
      </c>
      <c r="E4049">
        <v>0.47749809999999998</v>
      </c>
      <c r="F4049" t="s">
        <v>55</v>
      </c>
      <c r="G4049">
        <v>-157.25</v>
      </c>
      <c r="H4049">
        <v>1.8184039999999999</v>
      </c>
      <c r="I4049">
        <v>225.42519999999999</v>
      </c>
      <c r="J4049">
        <v>-326.887</v>
      </c>
      <c r="K4049">
        <v>1.1216440000000001</v>
      </c>
      <c r="L4049">
        <v>214.78800000000001</v>
      </c>
      <c r="M4049">
        <v>0.999722</v>
      </c>
      <c r="N4049">
        <v>-1.50507E-2</v>
      </c>
      <c r="O4049">
        <v>1.8157550000000001E-2</v>
      </c>
      <c r="P4049">
        <v>0.98347130000000005</v>
      </c>
      <c r="Q4049">
        <v>0.1810262</v>
      </c>
      <c r="R4049">
        <v>-3.7214990000000001E-3</v>
      </c>
      <c r="S4049">
        <v>3.048889</v>
      </c>
      <c r="T4049">
        <v>1.249373E-2</v>
      </c>
      <c r="U4049">
        <v>0.1908569</v>
      </c>
      <c r="V4049">
        <v>2.1577949999999999E-2</v>
      </c>
      <c r="W4049">
        <v>0.19580429999999999</v>
      </c>
      <c r="X4049">
        <v>0.98040559999999999</v>
      </c>
      <c r="Y4049">
        <v>-4.4346440000000001E-2</v>
      </c>
      <c r="Z4049">
        <v>5.9068759999999999E-4</v>
      </c>
      <c r="AA4049">
        <v>0.99901600000000002</v>
      </c>
      <c r="AB4049">
        <v>39</v>
      </c>
      <c r="AC4049">
        <v>169.637</v>
      </c>
      <c r="AD4049">
        <v>0.69676000000000005</v>
      </c>
      <c r="AE4049">
        <v>10.6372</v>
      </c>
      <c r="AF4049">
        <v>-7.5547782028138304</v>
      </c>
      <c r="AG4049">
        <v>0.69676000000000005</v>
      </c>
      <c r="AH4049">
        <v>169.79934097229199</v>
      </c>
      <c r="AI4049">
        <v>89.765124360260998</v>
      </c>
      <c r="AJ4049">
        <v>92.547545936153497</v>
      </c>
      <c r="AK4049">
        <v>169.968751077414</v>
      </c>
      <c r="AL4049">
        <v>78.708288031086596</v>
      </c>
      <c r="AM4049">
        <v>88.739168874546394</v>
      </c>
      <c r="AN4049">
        <v>1.0000000361680199</v>
      </c>
    </row>
    <row r="4050" spans="1:40" x14ac:dyDescent="0.25">
      <c r="A4050" t="str">
        <f>"20190303170334056"</f>
        <v>20190303170334056</v>
      </c>
      <c r="B4050" t="str">
        <f>"1551603814049619"</f>
        <v>1551603814049619</v>
      </c>
      <c r="C4050" t="s">
        <v>40</v>
      </c>
      <c r="D4050">
        <v>4.1187569999999996</v>
      </c>
      <c r="E4050">
        <v>0.47812139999999997</v>
      </c>
      <c r="F4050" t="s">
        <v>55</v>
      </c>
      <c r="G4050">
        <v>-168.35059999999999</v>
      </c>
      <c r="H4050">
        <v>1.7365189999999999</v>
      </c>
      <c r="I4050">
        <v>224.57239999999999</v>
      </c>
      <c r="J4050">
        <v>-326.48410000000001</v>
      </c>
      <c r="K4050">
        <v>1.1216269999999999</v>
      </c>
      <c r="L4050">
        <v>214.7953</v>
      </c>
      <c r="M4050">
        <v>0.99972280000000002</v>
      </c>
      <c r="N4050">
        <v>-1.504614E-2</v>
      </c>
      <c r="O4050">
        <v>1.8118249999999999E-2</v>
      </c>
      <c r="P4050">
        <v>0.98346789999999995</v>
      </c>
      <c r="Q4050">
        <v>0.18102879999999999</v>
      </c>
      <c r="R4050">
        <v>-4.4625949999999998E-3</v>
      </c>
      <c r="S4050">
        <v>3.04895</v>
      </c>
      <c r="T4050">
        <v>1.182628E-2</v>
      </c>
      <c r="U4050">
        <v>0.18817139999999999</v>
      </c>
      <c r="V4050">
        <v>2.229103E-2</v>
      </c>
      <c r="W4050">
        <v>0.19580059999999999</v>
      </c>
      <c r="X4050">
        <v>0.9803904</v>
      </c>
      <c r="Y4050">
        <v>-4.3507749999999998E-2</v>
      </c>
      <c r="Z4050">
        <v>5.8594680000000001E-4</v>
      </c>
      <c r="AA4050">
        <v>0.99905290000000002</v>
      </c>
      <c r="AB4050">
        <v>39</v>
      </c>
      <c r="AC4050">
        <v>158.1335</v>
      </c>
      <c r="AD4050">
        <v>0.61489199999999899</v>
      </c>
      <c r="AE4050">
        <v>9.7770999999999901</v>
      </c>
      <c r="AF4050">
        <v>-6.9099644833263802</v>
      </c>
      <c r="AG4050">
        <v>0.61489199999999899</v>
      </c>
      <c r="AH4050">
        <v>158.28231654306899</v>
      </c>
      <c r="AI4050">
        <v>89.777631409938806</v>
      </c>
      <c r="AJ4050">
        <v>92.499714322230503</v>
      </c>
      <c r="AK4050">
        <v>158.434268488773</v>
      </c>
      <c r="AL4050">
        <v>78.7085043761533</v>
      </c>
      <c r="AM4050">
        <v>88.697496505884402</v>
      </c>
      <c r="AN4050">
        <v>1.00000005069548</v>
      </c>
    </row>
    <row r="4051" spans="1:40" x14ac:dyDescent="0.25">
      <c r="A4051" t="str">
        <f>"20190303170334079"</f>
        <v>20190303170334079</v>
      </c>
      <c r="B4051" t="str">
        <f>"1551603814069139"</f>
        <v>1551603814069139</v>
      </c>
      <c r="C4051" t="s">
        <v>40</v>
      </c>
      <c r="D4051">
        <v>4.1821060000000001</v>
      </c>
      <c r="E4051">
        <v>0.47822930000000002</v>
      </c>
      <c r="F4051" t="s">
        <v>55</v>
      </c>
      <c r="G4051">
        <v>-168.35059999999999</v>
      </c>
      <c r="H4051">
        <v>1.706755</v>
      </c>
      <c r="I4051">
        <v>224.18129999999999</v>
      </c>
      <c r="J4051">
        <v>-326.08749999999998</v>
      </c>
      <c r="K4051">
        <v>1.1215999999999999</v>
      </c>
      <c r="L4051">
        <v>214.80240000000001</v>
      </c>
      <c r="M4051">
        <v>0.99972419999999995</v>
      </c>
      <c r="N4051">
        <v>-1.504168E-2</v>
      </c>
      <c r="O4051">
        <v>1.8036880000000002E-2</v>
      </c>
      <c r="P4051">
        <v>0.98336000000000001</v>
      </c>
      <c r="Q4051">
        <v>0.18159459999999999</v>
      </c>
      <c r="R4051">
        <v>-5.1704239999999999E-3</v>
      </c>
      <c r="S4051">
        <v>3.049194</v>
      </c>
      <c r="T4051">
        <v>1.128376E-2</v>
      </c>
      <c r="U4051">
        <v>0.18098449999999999</v>
      </c>
      <c r="V4051">
        <v>2.2932000000000001E-2</v>
      </c>
      <c r="W4051">
        <v>0.19635929999999999</v>
      </c>
      <c r="X4051">
        <v>0.98026380000000002</v>
      </c>
      <c r="Y4051">
        <v>-4.123773E-2</v>
      </c>
      <c r="Z4051">
        <v>5.7199569999999997E-4</v>
      </c>
      <c r="AA4051">
        <v>0.99914919999999996</v>
      </c>
      <c r="AB4051">
        <v>39</v>
      </c>
      <c r="AC4051">
        <v>157.73689999999999</v>
      </c>
      <c r="AD4051">
        <v>0.58515499999999998</v>
      </c>
      <c r="AE4051">
        <v>9.3788999999999803</v>
      </c>
      <c r="AF4051">
        <v>-6.53188097972152</v>
      </c>
      <c r="AG4051">
        <v>0.58515499999999998</v>
      </c>
      <c r="AH4051">
        <v>157.87825410430901</v>
      </c>
      <c r="AI4051">
        <v>89.787823209592901</v>
      </c>
      <c r="AJ4051">
        <v>92.369141319490794</v>
      </c>
      <c r="AK4051">
        <v>158.01440122511701</v>
      </c>
      <c r="AL4051">
        <v>78.675858760499196</v>
      </c>
      <c r="AM4051">
        <v>88.659883993216695</v>
      </c>
      <c r="AN4051">
        <v>0.99999998445546501</v>
      </c>
    </row>
    <row r="4052" spans="1:40" x14ac:dyDescent="0.25">
      <c r="A4052" t="str">
        <f>"20190303170334101"</f>
        <v>20190303170334101</v>
      </c>
      <c r="B4052" t="str">
        <f>"1551603814089635"</f>
        <v>1551603814089635</v>
      </c>
      <c r="C4052" t="s">
        <v>40</v>
      </c>
      <c r="D4052">
        <v>4.1449309999999997</v>
      </c>
      <c r="E4052">
        <v>0.47814129999999999</v>
      </c>
      <c r="F4052" t="s">
        <v>55</v>
      </c>
      <c r="G4052">
        <v>-168.35059999999999</v>
      </c>
      <c r="H4052">
        <v>1.780025</v>
      </c>
      <c r="I4052">
        <v>224.0121</v>
      </c>
      <c r="J4052">
        <v>-325.69909999999999</v>
      </c>
      <c r="K4052">
        <v>1.121567</v>
      </c>
      <c r="L4052">
        <v>214.80930000000001</v>
      </c>
      <c r="M4052">
        <v>0.99972640000000002</v>
      </c>
      <c r="N4052">
        <v>-1.503737E-2</v>
      </c>
      <c r="O4052">
        <v>1.792268E-2</v>
      </c>
      <c r="P4052">
        <v>0.9831626</v>
      </c>
      <c r="Q4052">
        <v>0.18266279999999999</v>
      </c>
      <c r="R4052">
        <v>-5.0901439999999996E-3</v>
      </c>
      <c r="S4052">
        <v>3.0493160000000001</v>
      </c>
      <c r="T4052">
        <v>1.2729529999999999E-2</v>
      </c>
      <c r="U4052">
        <v>0.17803959999999999</v>
      </c>
      <c r="V4052">
        <v>2.275228E-2</v>
      </c>
      <c r="W4052">
        <v>0.19741819999999999</v>
      </c>
      <c r="X4052">
        <v>0.98005529999999996</v>
      </c>
      <c r="Y4052">
        <v>-4.0388060000000003E-2</v>
      </c>
      <c r="Z4052">
        <v>5.6378720000000002E-4</v>
      </c>
      <c r="AA4052">
        <v>0.99918390000000001</v>
      </c>
      <c r="AB4052">
        <v>39</v>
      </c>
      <c r="AC4052">
        <v>157.3485</v>
      </c>
      <c r="AD4052">
        <v>0.65845799999999999</v>
      </c>
      <c r="AE4052">
        <v>9.2027999999999892</v>
      </c>
      <c r="AF4052">
        <v>-6.3807847132820497</v>
      </c>
      <c r="AG4052">
        <v>0.65845799999999999</v>
      </c>
      <c r="AH4052">
        <v>157.48542934302401</v>
      </c>
      <c r="AI4052">
        <v>89.760639970918604</v>
      </c>
      <c r="AJ4052">
        <v>92.320164985359696</v>
      </c>
      <c r="AK4052">
        <v>157.61601579741699</v>
      </c>
      <c r="AL4052">
        <v>78.613977167630495</v>
      </c>
      <c r="AM4052">
        <v>88.670100043924094</v>
      </c>
      <c r="AN4052">
        <v>1.0000000014972601</v>
      </c>
    </row>
    <row r="4053" spans="1:40" x14ac:dyDescent="0.25">
      <c r="A4053" t="str">
        <f>"20190303170334123"</f>
        <v>20190303170334123</v>
      </c>
      <c r="B4053" t="str">
        <f>"1551603814109156"</f>
        <v>1551603814109156</v>
      </c>
      <c r="C4053" t="s">
        <v>40</v>
      </c>
      <c r="D4053">
        <v>4.2009080000000001</v>
      </c>
      <c r="E4053">
        <v>0.4782052</v>
      </c>
      <c r="F4053" t="s">
        <v>55</v>
      </c>
      <c r="G4053">
        <v>-168.35059999999999</v>
      </c>
      <c r="H4053">
        <v>1.9905440000000001</v>
      </c>
      <c r="I4053">
        <v>224.02670000000001</v>
      </c>
      <c r="J4053">
        <v>-325.31970000000001</v>
      </c>
      <c r="K4053">
        <v>1.121534</v>
      </c>
      <c r="L4053">
        <v>214.816</v>
      </c>
      <c r="M4053">
        <v>0.99972899999999998</v>
      </c>
      <c r="N4053">
        <v>-1.503319E-2</v>
      </c>
      <c r="O4053">
        <v>1.7774359999999999E-2</v>
      </c>
      <c r="P4053">
        <v>0.98310589999999998</v>
      </c>
      <c r="Q4053">
        <v>0.18294640000000001</v>
      </c>
      <c r="R4053">
        <v>-5.7942999999999996E-3</v>
      </c>
      <c r="S4053">
        <v>3.0491640000000002</v>
      </c>
      <c r="T4053">
        <v>1.6840460000000002E-2</v>
      </c>
      <c r="U4053">
        <v>0.17861939999999901</v>
      </c>
      <c r="V4053">
        <v>2.3326599999999999E-2</v>
      </c>
      <c r="W4053">
        <v>0.1976945</v>
      </c>
      <c r="X4053">
        <v>0.97998609999999997</v>
      </c>
      <c r="Y4053">
        <v>-4.072916E-2</v>
      </c>
      <c r="Z4053">
        <v>5.5913960000000004E-4</v>
      </c>
      <c r="AA4053">
        <v>0.99917009999999995</v>
      </c>
      <c r="AB4053">
        <v>39</v>
      </c>
      <c r="AC4053">
        <v>156.9691</v>
      </c>
      <c r="AD4053">
        <v>0.86900999999999895</v>
      </c>
      <c r="AE4053">
        <v>9.2107000000000294</v>
      </c>
      <c r="AF4053">
        <v>-6.4187079267863698</v>
      </c>
      <c r="AG4053">
        <v>0.86900999999999895</v>
      </c>
      <c r="AH4053">
        <v>157.10323118983399</v>
      </c>
      <c r="AI4053">
        <v>89.683338187467399</v>
      </c>
      <c r="AJ4053">
        <v>92.339610992399898</v>
      </c>
      <c r="AK4053">
        <v>157.236701314025</v>
      </c>
      <c r="AL4053">
        <v>78.597828062791805</v>
      </c>
      <c r="AM4053">
        <v>88.636446577406403</v>
      </c>
      <c r="AN4053">
        <v>1.0000000008954999</v>
      </c>
    </row>
    <row r="4054" spans="1:40" x14ac:dyDescent="0.25">
      <c r="A4054" t="str">
        <f>"20190303170334145"</f>
        <v>20190303170334145</v>
      </c>
      <c r="B4054" t="str">
        <f>"1551603814139412"</f>
        <v>1551603814139412</v>
      </c>
      <c r="C4054" t="s">
        <v>40</v>
      </c>
      <c r="D4054">
        <v>4.205279</v>
      </c>
      <c r="E4054">
        <v>0.47832540000000001</v>
      </c>
      <c r="F4054" t="s">
        <v>55</v>
      </c>
      <c r="G4054">
        <v>-168.35059999999999</v>
      </c>
      <c r="H4054">
        <v>2.0800990000000001</v>
      </c>
      <c r="I4054">
        <v>223.87139999999999</v>
      </c>
      <c r="J4054">
        <v>-324.93310000000002</v>
      </c>
      <c r="K4054">
        <v>1.1214919999999999</v>
      </c>
      <c r="L4054">
        <v>214.8227</v>
      </c>
      <c r="M4054">
        <v>0.99973270000000003</v>
      </c>
      <c r="N4054">
        <v>-1.5028939999999999E-2</v>
      </c>
      <c r="O4054">
        <v>1.7578719999999999E-2</v>
      </c>
      <c r="P4054">
        <v>0.98306879999999996</v>
      </c>
      <c r="Q4054">
        <v>0.1831217</v>
      </c>
      <c r="R4054">
        <v>-6.5390509999999997E-3</v>
      </c>
      <c r="S4054">
        <v>3.0491640000000002</v>
      </c>
      <c r="T4054">
        <v>1.862144E-2</v>
      </c>
      <c r="U4054">
        <v>0.17590329999999901</v>
      </c>
      <c r="V4054">
        <v>2.3896830000000001E-2</v>
      </c>
      <c r="W4054">
        <v>0.19786229999999999</v>
      </c>
      <c r="X4054">
        <v>0.97993850000000005</v>
      </c>
      <c r="Y4054">
        <v>-4.0037860000000002E-2</v>
      </c>
      <c r="Z4054">
        <v>5.5023829999999998E-4</v>
      </c>
      <c r="AA4054">
        <v>0.99919800000000003</v>
      </c>
      <c r="AB4054">
        <v>39</v>
      </c>
      <c r="AC4054">
        <v>156.58250000000001</v>
      </c>
      <c r="AD4054">
        <v>0.95860699999999999</v>
      </c>
      <c r="AE4054">
        <v>9.0486999999999895</v>
      </c>
      <c r="AF4054">
        <v>-6.2942360335719103</v>
      </c>
      <c r="AG4054">
        <v>0.95860699999999999</v>
      </c>
      <c r="AH4054">
        <v>156.711528353554</v>
      </c>
      <c r="AI4054">
        <v>89.6498074861276</v>
      </c>
      <c r="AJ4054">
        <v>92.300018566555707</v>
      </c>
      <c r="AK4054">
        <v>156.840809273395</v>
      </c>
      <c r="AL4054">
        <v>78.588020150944004</v>
      </c>
      <c r="AM4054">
        <v>88.603059079413697</v>
      </c>
      <c r="AN4054">
        <v>1.0000000060137899</v>
      </c>
    </row>
    <row r="4055" spans="1:40" x14ac:dyDescent="0.25">
      <c r="A4055" t="str">
        <f>"20190303170334167"</f>
        <v>20190303170334167</v>
      </c>
      <c r="B4055" t="str">
        <f>"1551603814159908"</f>
        <v>1551603814159908</v>
      </c>
      <c r="C4055" t="s">
        <v>40</v>
      </c>
      <c r="D4055">
        <v>4.1709809999999896</v>
      </c>
      <c r="E4055">
        <v>0.47846810000000001</v>
      </c>
      <c r="F4055" t="s">
        <v>55</v>
      </c>
      <c r="G4055">
        <v>-168.35059999999999</v>
      </c>
      <c r="H4055">
        <v>2.1163949999999998</v>
      </c>
      <c r="I4055">
        <v>223.70590000000001</v>
      </c>
      <c r="J4055">
        <v>-324.54520000000002</v>
      </c>
      <c r="K4055">
        <v>1.121456</v>
      </c>
      <c r="L4055">
        <v>214.82929999999999</v>
      </c>
      <c r="M4055">
        <v>0.99973699999999999</v>
      </c>
      <c r="N4055">
        <v>-1.502472E-2</v>
      </c>
      <c r="O4055">
        <v>1.7336020000000001E-2</v>
      </c>
      <c r="P4055">
        <v>0.98307330000000004</v>
      </c>
      <c r="Q4055">
        <v>0.18305660000000001</v>
      </c>
      <c r="R4055">
        <v>-7.59158199999999E-3</v>
      </c>
      <c r="S4055">
        <v>3.0492249999999999</v>
      </c>
      <c r="T4055">
        <v>1.9375440000000001E-2</v>
      </c>
      <c r="U4055">
        <v>0.1729889</v>
      </c>
      <c r="V4055">
        <v>2.4730019999999998E-2</v>
      </c>
      <c r="W4055">
        <v>0.1977903</v>
      </c>
      <c r="X4055">
        <v>0.97993240000000004</v>
      </c>
      <c r="Y4055">
        <v>-3.9327399999999998E-2</v>
      </c>
      <c r="Z4055">
        <v>5.4120229999999995E-4</v>
      </c>
      <c r="AA4055">
        <v>0.99922619999999895</v>
      </c>
      <c r="AB4055">
        <v>39</v>
      </c>
      <c r="AC4055">
        <v>156.19460000000001</v>
      </c>
      <c r="AD4055">
        <v>0.99493900000000002</v>
      </c>
      <c r="AE4055">
        <v>8.8766000000000194</v>
      </c>
      <c r="AF4055">
        <v>-6.1669183843242399</v>
      </c>
      <c r="AG4055">
        <v>0.99493900000000002</v>
      </c>
      <c r="AH4055">
        <v>156.318701783362</v>
      </c>
      <c r="AI4055">
        <v>89.635611558739399</v>
      </c>
      <c r="AJ4055">
        <v>92.259200299459593</v>
      </c>
      <c r="AK4055">
        <v>156.44346363210099</v>
      </c>
      <c r="AL4055">
        <v>78.592229041768704</v>
      </c>
      <c r="AM4055">
        <v>88.554364479731603</v>
      </c>
      <c r="AN4055">
        <v>1.0000000426165201</v>
      </c>
    </row>
    <row r="4056" spans="1:40" x14ac:dyDescent="0.25">
      <c r="A4056" t="str">
        <f>"20190303170334189"</f>
        <v>20190303170334189</v>
      </c>
      <c r="B4056" t="str">
        <f>"1551603814179428"</f>
        <v>1551603814179428</v>
      </c>
      <c r="C4056" t="s">
        <v>40</v>
      </c>
      <c r="D4056">
        <v>4.092587</v>
      </c>
      <c r="E4056">
        <v>0.47840359999999998</v>
      </c>
      <c r="F4056" t="s">
        <v>55</v>
      </c>
      <c r="G4056">
        <v>-168.35059999999999</v>
      </c>
      <c r="H4056">
        <v>2.1240670000000001</v>
      </c>
      <c r="I4056">
        <v>223.4675</v>
      </c>
      <c r="J4056">
        <v>-324.1678</v>
      </c>
      <c r="K4056">
        <v>1.1214219999999999</v>
      </c>
      <c r="L4056">
        <v>214.8356</v>
      </c>
      <c r="M4056">
        <v>0.99974180000000001</v>
      </c>
      <c r="N4056">
        <v>-1.5020530000000001E-2</v>
      </c>
      <c r="O4056">
        <v>1.7056350000000001E-2</v>
      </c>
      <c r="P4056">
        <v>0.9829485</v>
      </c>
      <c r="Q4056">
        <v>0.1837017</v>
      </c>
      <c r="R4056">
        <v>-8.1489760000000005E-3</v>
      </c>
      <c r="S4056">
        <v>3.0493160000000001</v>
      </c>
      <c r="T4056">
        <v>1.9574640000000001E-2</v>
      </c>
      <c r="U4056">
        <v>0.16864009999999999</v>
      </c>
      <c r="V4056">
        <v>2.50301E-2</v>
      </c>
      <c r="W4056">
        <v>0.19842689999999999</v>
      </c>
      <c r="X4056">
        <v>0.97979609999999995</v>
      </c>
      <c r="Y4056">
        <v>-3.8184540000000003E-2</v>
      </c>
      <c r="Z4056">
        <v>5.2997609999999996E-4</v>
      </c>
      <c r="AA4056">
        <v>0.99927060000000001</v>
      </c>
      <c r="AB4056">
        <v>39</v>
      </c>
      <c r="AC4056">
        <v>155.81720000000001</v>
      </c>
      <c r="AD4056">
        <v>1.00264499999999</v>
      </c>
      <c r="AE4056">
        <v>8.6318999999999999</v>
      </c>
      <c r="AF4056">
        <v>-5.9724252070035702</v>
      </c>
      <c r="AG4056">
        <v>1.00264499999999</v>
      </c>
      <c r="AH4056">
        <v>155.93533653759101</v>
      </c>
      <c r="AI4056">
        <v>89.631870180258602</v>
      </c>
      <c r="AJ4056">
        <v>92.193393660085505</v>
      </c>
      <c r="AK4056">
        <v>156.05288956293299</v>
      </c>
      <c r="AL4056">
        <v>78.5550173165704</v>
      </c>
      <c r="AM4056">
        <v>88.536626917190205</v>
      </c>
      <c r="AN4056">
        <v>1.00000006906241</v>
      </c>
    </row>
    <row r="4057" spans="1:40" x14ac:dyDescent="0.25">
      <c r="A4057" t="str">
        <f>"20190303170334204"</f>
        <v>20190303170334204</v>
      </c>
      <c r="B4057" t="str">
        <f>"1551603814189187"</f>
        <v>1551603814189187</v>
      </c>
      <c r="C4057" t="s">
        <v>40</v>
      </c>
      <c r="D4057">
        <v>4.1647089999999896</v>
      </c>
      <c r="E4057">
        <v>0.47836289999999998</v>
      </c>
      <c r="F4057" t="s">
        <v>55</v>
      </c>
      <c r="G4057">
        <v>-168.35059999999999</v>
      </c>
      <c r="H4057">
        <v>2.256173</v>
      </c>
      <c r="I4057">
        <v>223.40860000000001</v>
      </c>
      <c r="J4057">
        <v>-323.91309999999999</v>
      </c>
      <c r="K4057">
        <v>1.121397</v>
      </c>
      <c r="L4057">
        <v>214.83969999999999</v>
      </c>
      <c r="M4057">
        <v>0.99974540000000001</v>
      </c>
      <c r="N4057">
        <v>-1.501775E-2</v>
      </c>
      <c r="O4057">
        <v>1.6843609999999998E-2</v>
      </c>
      <c r="P4057">
        <v>0.98284609999999994</v>
      </c>
      <c r="Q4057">
        <v>0.18423729999999999</v>
      </c>
      <c r="R4057">
        <v>-8.3899270000000001E-3</v>
      </c>
      <c r="S4057">
        <v>3.0492859999999999</v>
      </c>
      <c r="T4057">
        <v>2.220774E-2</v>
      </c>
      <c r="U4057">
        <v>0.16777039999999999</v>
      </c>
      <c r="V4057">
        <v>2.5073809999999998E-2</v>
      </c>
      <c r="W4057">
        <v>0.19895640000000001</v>
      </c>
      <c r="X4057">
        <v>0.97968750000000004</v>
      </c>
      <c r="Y4057">
        <v>-3.8113859999999999E-2</v>
      </c>
      <c r="Z4057">
        <v>5.2309920000000003E-4</v>
      </c>
      <c r="AA4057">
        <v>0.99927319999999997</v>
      </c>
      <c r="AB4057">
        <v>39</v>
      </c>
      <c r="AC4057">
        <v>155.5625</v>
      </c>
      <c r="AD4057">
        <v>1.134776</v>
      </c>
      <c r="AE4057">
        <v>8.56890000000001</v>
      </c>
      <c r="AF4057">
        <v>-5.9468391561478198</v>
      </c>
      <c r="AG4057">
        <v>1.134776</v>
      </c>
      <c r="AH4057">
        <v>155.67651502169599</v>
      </c>
      <c r="AI4057">
        <v>89.582664475431002</v>
      </c>
      <c r="AJ4057">
        <v>92.1876337300004</v>
      </c>
      <c r="AK4057">
        <v>155.79419097585</v>
      </c>
      <c r="AL4057">
        <v>78.524060881438899</v>
      </c>
      <c r="AM4057">
        <v>88.533910117006798</v>
      </c>
      <c r="AN4057">
        <v>0.99999997135256202</v>
      </c>
    </row>
    <row r="4058" spans="1:40" x14ac:dyDescent="0.25">
      <c r="A4058" t="str">
        <f>"20190303170334222"</f>
        <v>20190303170334222</v>
      </c>
      <c r="B4058" t="str">
        <f>"1551603814209684"</f>
        <v>1551603814209684</v>
      </c>
      <c r="C4058" t="s">
        <v>40</v>
      </c>
      <c r="D4058">
        <v>4.1793300000000002</v>
      </c>
      <c r="E4058">
        <v>0.4782672</v>
      </c>
      <c r="F4058" t="s">
        <v>55</v>
      </c>
      <c r="G4058">
        <v>-168.35059999999999</v>
      </c>
      <c r="H4058">
        <v>2.3323450000000001</v>
      </c>
      <c r="I4058">
        <v>223.37909999999999</v>
      </c>
      <c r="J4058">
        <v>-323.59190000000001</v>
      </c>
      <c r="K4058">
        <v>1.1213759999999999</v>
      </c>
      <c r="L4058">
        <v>214.8449</v>
      </c>
      <c r="M4058">
        <v>0.99975029999999998</v>
      </c>
      <c r="N4058">
        <v>-1.5014339999999999E-2</v>
      </c>
      <c r="O4058">
        <v>1.655177E-2</v>
      </c>
      <c r="P4058">
        <v>0.98255289999999995</v>
      </c>
      <c r="Q4058">
        <v>0.18575220000000001</v>
      </c>
      <c r="R4058">
        <v>-9.2881360000000007E-3</v>
      </c>
      <c r="S4058">
        <v>3.049347</v>
      </c>
      <c r="T4058">
        <v>2.373815E-2</v>
      </c>
      <c r="U4058">
        <v>0.16738889999999901</v>
      </c>
      <c r="V4058">
        <v>2.5697729999999998E-2</v>
      </c>
      <c r="W4058">
        <v>0.2004609</v>
      </c>
      <c r="X4058">
        <v>0.97936460000000003</v>
      </c>
      <c r="Y4058">
        <v>-3.827995E-2</v>
      </c>
      <c r="Z4058">
        <v>5.1581739999999896E-4</v>
      </c>
      <c r="AA4058">
        <v>0.99926689999999996</v>
      </c>
      <c r="AB4058">
        <v>39</v>
      </c>
      <c r="AC4058">
        <v>155.2413</v>
      </c>
      <c r="AD4058">
        <v>1.210969</v>
      </c>
      <c r="AE4058">
        <v>8.5341999999999896</v>
      </c>
      <c r="AF4058">
        <v>-5.9628610020452504</v>
      </c>
      <c r="AG4058">
        <v>1.210969</v>
      </c>
      <c r="AH4058">
        <v>155.351876264911</v>
      </c>
      <c r="AI4058">
        <v>89.553716638632807</v>
      </c>
      <c r="AJ4058">
        <v>92.198101166198498</v>
      </c>
      <c r="AK4058">
        <v>155.47098641314699</v>
      </c>
      <c r="AL4058">
        <v>78.436087300609799</v>
      </c>
      <c r="AM4058">
        <v>88.496950262606106</v>
      </c>
      <c r="AN4058">
        <v>0.99999998274456103</v>
      </c>
    </row>
    <row r="4059" spans="1:40" x14ac:dyDescent="0.25">
      <c r="A4059" t="str">
        <f>"20190303170334245"</f>
        <v>20190303170334245</v>
      </c>
      <c r="B4059" t="str">
        <f>"1551603814239940"</f>
        <v>1551603814239940</v>
      </c>
      <c r="C4059" t="s">
        <v>40</v>
      </c>
      <c r="D4059">
        <v>4.1038269999999999</v>
      </c>
      <c r="E4059">
        <v>0.47815869999999999</v>
      </c>
      <c r="F4059" t="s">
        <v>55</v>
      </c>
      <c r="G4059">
        <v>-168.35059999999999</v>
      </c>
      <c r="H4059">
        <v>2.6120679999999998</v>
      </c>
      <c r="I4059">
        <v>223.2953</v>
      </c>
      <c r="J4059">
        <v>-323.18729999999999</v>
      </c>
      <c r="K4059">
        <v>1.121337</v>
      </c>
      <c r="L4059">
        <v>214.85120000000001</v>
      </c>
      <c r="M4059">
        <v>0.99975689999999995</v>
      </c>
      <c r="N4059">
        <v>-1.501007E-2</v>
      </c>
      <c r="O4059">
        <v>1.6149440000000001E-2</v>
      </c>
      <c r="P4059">
        <v>0.98239679999999996</v>
      </c>
      <c r="Q4059">
        <v>0.18652840000000001</v>
      </c>
      <c r="R4059">
        <v>-1.016832E-2</v>
      </c>
      <c r="S4059">
        <v>3.0492859999999999</v>
      </c>
      <c r="T4059">
        <v>2.9281620000000001E-2</v>
      </c>
      <c r="U4059">
        <v>0.1659851</v>
      </c>
      <c r="V4059">
        <v>2.620053E-2</v>
      </c>
      <c r="W4059">
        <v>0.2012274</v>
      </c>
      <c r="X4059">
        <v>0.97919409999999896</v>
      </c>
      <c r="Y4059">
        <v>-3.8225019999999998E-2</v>
      </c>
      <c r="Z4059">
        <v>5.009096E-4</v>
      </c>
      <c r="AA4059">
        <v>0.99926899999999996</v>
      </c>
      <c r="AB4059">
        <v>39</v>
      </c>
      <c r="AC4059">
        <v>154.83670000000001</v>
      </c>
      <c r="AD4059">
        <v>1.49073099999999</v>
      </c>
      <c r="AE4059">
        <v>8.4440999999999899</v>
      </c>
      <c r="AF4059">
        <v>-5.9416416564928598</v>
      </c>
      <c r="AG4059">
        <v>1.49073099999999</v>
      </c>
      <c r="AH4059">
        <v>154.93856667841999</v>
      </c>
      <c r="AI4059">
        <v>89.449154382465494</v>
      </c>
      <c r="AJ4059">
        <v>92.196123700431201</v>
      </c>
      <c r="AK4059">
        <v>155.05961701504199</v>
      </c>
      <c r="AL4059">
        <v>78.391256896562197</v>
      </c>
      <c r="AM4059">
        <v>88.467288878310697</v>
      </c>
      <c r="AN4059">
        <v>1.0000000098789199</v>
      </c>
    </row>
    <row r="4060" spans="1:40" x14ac:dyDescent="0.25">
      <c r="A4060" t="str">
        <f>"20190303170334267"</f>
        <v>20190303170334267</v>
      </c>
      <c r="B4060" t="str">
        <f>"1551603814259460"</f>
        <v>1551603814259460</v>
      </c>
      <c r="C4060" t="s">
        <v>40</v>
      </c>
      <c r="D4060">
        <v>4.1296730000000004</v>
      </c>
      <c r="E4060">
        <v>0.47814109999999999</v>
      </c>
      <c r="F4060" t="s">
        <v>55</v>
      </c>
      <c r="G4060">
        <v>-168.35059999999999</v>
      </c>
      <c r="H4060">
        <v>2.7920310000000002</v>
      </c>
      <c r="I4060">
        <v>223.2139</v>
      </c>
      <c r="J4060">
        <v>-322.80860000000001</v>
      </c>
      <c r="K4060">
        <v>1.121302</v>
      </c>
      <c r="L4060">
        <v>214.8569</v>
      </c>
      <c r="M4060">
        <v>0.99976350000000003</v>
      </c>
      <c r="N4060">
        <v>-1.500597E-2</v>
      </c>
      <c r="O4060">
        <v>1.574468E-2</v>
      </c>
      <c r="P4060">
        <v>0.98248950000000002</v>
      </c>
      <c r="Q4060">
        <v>0.18599370000000001</v>
      </c>
      <c r="R4060">
        <v>-1.0981690000000001E-2</v>
      </c>
      <c r="S4060">
        <v>3.0492249999999999</v>
      </c>
      <c r="T4060">
        <v>3.2902359999999999E-2</v>
      </c>
      <c r="U4060">
        <v>0.1646881</v>
      </c>
      <c r="V4060">
        <v>2.6633449999999999E-2</v>
      </c>
      <c r="W4060">
        <v>0.2006879</v>
      </c>
      <c r="X4060">
        <v>0.97929310000000003</v>
      </c>
      <c r="Y4060">
        <v>-3.8207100000000001E-2</v>
      </c>
      <c r="Z4060">
        <v>4.8677110000000003E-4</v>
      </c>
      <c r="AA4060">
        <v>0.99926970000000004</v>
      </c>
      <c r="AB4060">
        <v>39</v>
      </c>
      <c r="AC4060">
        <v>154.458</v>
      </c>
      <c r="AD4060">
        <v>1.6707289999999999</v>
      </c>
      <c r="AE4060">
        <v>8.3569999999999993</v>
      </c>
      <c r="AF4060">
        <v>-5.9231074070684402</v>
      </c>
      <c r="AG4060">
        <v>1.6707289999999999</v>
      </c>
      <c r="AH4060">
        <v>154.55241284955801</v>
      </c>
      <c r="AI4060">
        <v>89.381104590186396</v>
      </c>
      <c r="AJ4060">
        <v>92.194744466931496</v>
      </c>
      <c r="AK4060">
        <v>154.674894066127</v>
      </c>
      <c r="AL4060">
        <v>78.422811277826696</v>
      </c>
      <c r="AM4060">
        <v>88.442133196327305</v>
      </c>
      <c r="AN4060">
        <v>0.99999997478646097</v>
      </c>
    </row>
    <row r="4061" spans="1:40" x14ac:dyDescent="0.25">
      <c r="A4061" t="str">
        <f>"20190303170334290"</f>
        <v>20190303170334290</v>
      </c>
      <c r="B4061" t="str">
        <f>"1551603814279956"</f>
        <v>1551603814279956</v>
      </c>
      <c r="C4061" t="s">
        <v>40</v>
      </c>
      <c r="D4061">
        <v>4.1455039999999999</v>
      </c>
      <c r="E4061">
        <v>0.47805049999999999</v>
      </c>
      <c r="F4061" t="s">
        <v>55</v>
      </c>
      <c r="G4061">
        <v>-168.35059999999999</v>
      </c>
      <c r="H4061">
        <v>2.710137</v>
      </c>
      <c r="I4061">
        <v>223.1046</v>
      </c>
      <c r="J4061">
        <v>-322.41489999999999</v>
      </c>
      <c r="K4061">
        <v>1.12127</v>
      </c>
      <c r="L4061">
        <v>214.86269999999999</v>
      </c>
      <c r="M4061">
        <v>0.99977039999999995</v>
      </c>
      <c r="N4061">
        <v>-1.500168E-2</v>
      </c>
      <c r="O4061">
        <v>1.5300060000000001E-2</v>
      </c>
      <c r="P4061">
        <v>0.98250079999999995</v>
      </c>
      <c r="Q4061">
        <v>0.18591050000000001</v>
      </c>
      <c r="R4061">
        <v>-1.1387660000000001E-2</v>
      </c>
      <c r="S4061">
        <v>3.049347</v>
      </c>
      <c r="T4061">
        <v>3.1368260000000002E-2</v>
      </c>
      <c r="U4061">
        <v>0.16282650000000001</v>
      </c>
      <c r="V4061">
        <v>2.661664E-2</v>
      </c>
      <c r="W4061">
        <v>0.20059859999999999</v>
      </c>
      <c r="X4061">
        <v>0.97931190000000001</v>
      </c>
      <c r="Y4061">
        <v>-3.8040770000000002E-2</v>
      </c>
      <c r="Z4061">
        <v>4.7668180000000001E-4</v>
      </c>
      <c r="AA4061">
        <v>0.9992761</v>
      </c>
      <c r="AB4061">
        <v>39</v>
      </c>
      <c r="AC4061">
        <v>154.0643</v>
      </c>
      <c r="AD4061">
        <v>1.588867</v>
      </c>
      <c r="AE4061">
        <v>8.24190000000001</v>
      </c>
      <c r="AF4061">
        <v>-5.8828528131823496</v>
      </c>
      <c r="AG4061">
        <v>1.588867</v>
      </c>
      <c r="AH4061">
        <v>154.156029072113</v>
      </c>
      <c r="AI4061">
        <v>89.409909935025496</v>
      </c>
      <c r="AJ4061">
        <v>92.185442629547794</v>
      </c>
      <c r="AK4061">
        <v>154.27641995732</v>
      </c>
      <c r="AL4061">
        <v>78.428034536598105</v>
      </c>
      <c r="AM4061">
        <v>88.443145850341494</v>
      </c>
      <c r="AN4061">
        <v>1.0000000206642199</v>
      </c>
    </row>
    <row r="4062" spans="1:40" x14ac:dyDescent="0.25">
      <c r="A4062" t="str">
        <f>"20190303170334312"</f>
        <v>20190303170334312</v>
      </c>
      <c r="B4062" t="str">
        <f>"1551603814299982"</f>
        <v>1551603814299982</v>
      </c>
      <c r="C4062" t="s">
        <v>40</v>
      </c>
      <c r="D4062">
        <v>4.1596760000000002</v>
      </c>
      <c r="E4062">
        <v>0.47795729999999997</v>
      </c>
      <c r="F4062" t="s">
        <v>55</v>
      </c>
      <c r="G4062">
        <v>-168.35059999999999</v>
      </c>
      <c r="H4062">
        <v>2.65943</v>
      </c>
      <c r="I4062">
        <v>223.08109999999999</v>
      </c>
      <c r="J4062">
        <v>-322.03480000000002</v>
      </c>
      <c r="K4062">
        <v>1.121251</v>
      </c>
      <c r="L4062">
        <v>214.8681</v>
      </c>
      <c r="M4062">
        <v>0.99977729999999998</v>
      </c>
      <c r="N4062">
        <v>-1.49975E-2</v>
      </c>
      <c r="O4062">
        <v>1.48516E-2</v>
      </c>
      <c r="P4062">
        <v>0.98239929999999998</v>
      </c>
      <c r="Q4062">
        <v>0.18641060000000001</v>
      </c>
      <c r="R4062">
        <v>-1.195192E-2</v>
      </c>
      <c r="S4062">
        <v>3.0495299999999999</v>
      </c>
      <c r="T4062">
        <v>3.044724E-2</v>
      </c>
      <c r="U4062">
        <v>0.16267400000000001</v>
      </c>
      <c r="V4062">
        <v>2.6751090000000002E-2</v>
      </c>
      <c r="W4062">
        <v>0.20109099999999999</v>
      </c>
      <c r="X4062">
        <v>0.97920720000000006</v>
      </c>
      <c r="Y4062">
        <v>-3.8435730000000001E-2</v>
      </c>
      <c r="Z4062">
        <v>4.6746230000000003E-4</v>
      </c>
      <c r="AA4062">
        <v>0.99926099999999995</v>
      </c>
      <c r="AB4062">
        <v>39</v>
      </c>
      <c r="AC4062">
        <v>153.6842</v>
      </c>
      <c r="AD4062">
        <v>1.538179</v>
      </c>
      <c r="AE4062">
        <v>8.2129999999999903</v>
      </c>
      <c r="AF4062">
        <v>-5.9287889223311598</v>
      </c>
      <c r="AG4062">
        <v>1.538179</v>
      </c>
      <c r="AH4062">
        <v>153.77387580534199</v>
      </c>
      <c r="AI4062">
        <v>89.427322743465695</v>
      </c>
      <c r="AJ4062">
        <v>92.207959002412693</v>
      </c>
      <c r="AK4062">
        <v>153.895813500298</v>
      </c>
      <c r="AL4062">
        <v>78.399234726661206</v>
      </c>
      <c r="AM4062">
        <v>88.435118311620798</v>
      </c>
      <c r="AN4062">
        <v>0.99999997581451305</v>
      </c>
    </row>
    <row r="4063" spans="1:40" x14ac:dyDescent="0.25">
      <c r="A4063" t="str">
        <f>"20190303170334335"</f>
        <v>20190303170334335</v>
      </c>
      <c r="B4063" t="str">
        <f>"1551603814329263"</f>
        <v>1551603814329263</v>
      </c>
      <c r="C4063" t="s">
        <v>40</v>
      </c>
      <c r="D4063">
        <v>4.1092089999999999</v>
      </c>
      <c r="E4063">
        <v>0.47795890000000002</v>
      </c>
      <c r="F4063" t="s">
        <v>55</v>
      </c>
      <c r="G4063">
        <v>-168.35059999999999</v>
      </c>
      <c r="H4063">
        <v>2.7395079999999998</v>
      </c>
      <c r="I4063">
        <v>223.03909999999999</v>
      </c>
      <c r="J4063">
        <v>-321.65089999999998</v>
      </c>
      <c r="K4063">
        <v>1.1212310000000001</v>
      </c>
      <c r="L4063">
        <v>214.8734</v>
      </c>
      <c r="M4063">
        <v>0.99978420000000001</v>
      </c>
      <c r="N4063">
        <v>-1.4993289999999999E-2</v>
      </c>
      <c r="O4063">
        <v>1.438353E-2</v>
      </c>
      <c r="P4063">
        <v>0.98232249999999999</v>
      </c>
      <c r="Q4063">
        <v>0.18678230000000001</v>
      </c>
      <c r="R4063">
        <v>-1.244929E-2</v>
      </c>
      <c r="S4063">
        <v>3.0496219999999998</v>
      </c>
      <c r="T4063">
        <v>3.2112839999999997E-2</v>
      </c>
      <c r="U4063">
        <v>0.162139899999999</v>
      </c>
      <c r="V4063">
        <v>2.679838E-2</v>
      </c>
      <c r="W4063">
        <v>0.2014563</v>
      </c>
      <c r="X4063">
        <v>0.97913090000000003</v>
      </c>
      <c r="Y4063">
        <v>-3.872747E-2</v>
      </c>
      <c r="Z4063">
        <v>4.5364979999999998E-4</v>
      </c>
      <c r="AA4063">
        <v>0.99924970000000002</v>
      </c>
      <c r="AB4063">
        <v>39</v>
      </c>
      <c r="AC4063">
        <v>153.30029999999999</v>
      </c>
      <c r="AD4063">
        <v>1.618277</v>
      </c>
      <c r="AE4063">
        <v>8.1656999999999798</v>
      </c>
      <c r="AF4063">
        <v>-5.9589457270764301</v>
      </c>
      <c r="AG4063">
        <v>1.618277</v>
      </c>
      <c r="AH4063">
        <v>153.38485855643901</v>
      </c>
      <c r="AI4063">
        <v>89.395982636974196</v>
      </c>
      <c r="AJ4063">
        <v>92.224801262279996</v>
      </c>
      <c r="AK4063">
        <v>153.50909643733101</v>
      </c>
      <c r="AL4063">
        <v>78.377868247017204</v>
      </c>
      <c r="AM4063">
        <v>88.432231226837004</v>
      </c>
      <c r="AN4063">
        <v>1.00000005665756</v>
      </c>
    </row>
    <row r="4064" spans="1:40" x14ac:dyDescent="0.25">
      <c r="A4064" t="str">
        <f>"20190303170334357"</f>
        <v>20190303170334357</v>
      </c>
      <c r="B4064" t="str">
        <f>"1551603814349758"</f>
        <v>1551603814349758</v>
      </c>
      <c r="C4064" t="s">
        <v>40</v>
      </c>
      <c r="D4064">
        <v>4.1588229999999999</v>
      </c>
      <c r="E4064">
        <v>0.50221959999999999</v>
      </c>
      <c r="F4064" t="s">
        <v>55</v>
      </c>
      <c r="G4064">
        <v>-168.35059999999999</v>
      </c>
      <c r="H4064">
        <v>2.7890220000000001</v>
      </c>
      <c r="I4064">
        <v>222.983</v>
      </c>
      <c r="J4064">
        <v>-321.25670000000002</v>
      </c>
      <c r="K4064">
        <v>1.121213</v>
      </c>
      <c r="L4064">
        <v>214.87860000000001</v>
      </c>
      <c r="M4064">
        <v>0.99979130000000005</v>
      </c>
      <c r="N4064">
        <v>-1.498902E-2</v>
      </c>
      <c r="O4064">
        <v>1.3889749999999999E-2</v>
      </c>
      <c r="P4064">
        <v>0.98235989999999995</v>
      </c>
      <c r="Q4064">
        <v>0.18654970000000001</v>
      </c>
      <c r="R4064">
        <v>-1.2979009999999999E-2</v>
      </c>
      <c r="S4064">
        <v>3.049744</v>
      </c>
      <c r="T4064">
        <v>3.3180000000000001E-2</v>
      </c>
      <c r="U4064">
        <v>0.16133120000000001</v>
      </c>
      <c r="V4064">
        <v>2.6852520000000001E-2</v>
      </c>
      <c r="W4064">
        <v>0.20121900000000001</v>
      </c>
      <c r="X4064">
        <v>0.97917810000000005</v>
      </c>
      <c r="Y4064">
        <v>-3.8954549999999998E-2</v>
      </c>
      <c r="Z4064">
        <v>4.3946870000000001E-4</v>
      </c>
      <c r="AA4064">
        <v>0.99924089999999999</v>
      </c>
      <c r="AB4064">
        <v>39</v>
      </c>
      <c r="AC4064">
        <v>152.90610000000001</v>
      </c>
      <c r="AD4064">
        <v>1.6678090000000001</v>
      </c>
      <c r="AE4064">
        <v>8.1043999999999894</v>
      </c>
      <c r="AF4064">
        <v>-5.9788428268517304</v>
      </c>
      <c r="AG4064">
        <v>1.6678090000000001</v>
      </c>
      <c r="AH4064">
        <v>152.985777022414</v>
      </c>
      <c r="AI4064">
        <v>89.375878262176201</v>
      </c>
      <c r="AJ4064">
        <v>92.238039541827703</v>
      </c>
      <c r="AK4064">
        <v>153.111645930545</v>
      </c>
      <c r="AL4064">
        <v>78.391747498795795</v>
      </c>
      <c r="AM4064">
        <v>88.429141180872094</v>
      </c>
      <c r="AN4064">
        <v>0.99999994765547795</v>
      </c>
    </row>
    <row r="4065" spans="1:40" x14ac:dyDescent="0.25">
      <c r="A4065" t="str">
        <f>"20190303170334379"</f>
        <v>20190303170334379</v>
      </c>
      <c r="B4065" t="str">
        <f>"1551603814369278"</f>
        <v>1551603814369278</v>
      </c>
      <c r="C4065" t="s">
        <v>40</v>
      </c>
      <c r="D4065">
        <v>4.0962839999999998</v>
      </c>
      <c r="E4065">
        <v>0.50645660000000003</v>
      </c>
      <c r="F4065" t="s">
        <v>89</v>
      </c>
      <c r="G4065">
        <v>-107.39749999999999</v>
      </c>
      <c r="H4065">
        <v>0.232849</v>
      </c>
      <c r="I4065">
        <v>212.63499999999999</v>
      </c>
      <c r="J4065">
        <v>-320.8929</v>
      </c>
      <c r="K4065">
        <v>1.1211990000000001</v>
      </c>
      <c r="L4065">
        <v>214.88329999999999</v>
      </c>
      <c r="M4065">
        <v>0.99979770000000001</v>
      </c>
      <c r="N4065">
        <v>-1.498552E-2</v>
      </c>
      <c r="O4065">
        <v>1.342608E-2</v>
      </c>
      <c r="P4065">
        <v>0.98252169999999905</v>
      </c>
      <c r="Q4065">
        <v>0.18566099999999999</v>
      </c>
      <c r="R4065">
        <v>-1.34688E-2</v>
      </c>
      <c r="S4065">
        <v>3.055847</v>
      </c>
      <c r="T4065">
        <v>-1.269317E-2</v>
      </c>
      <c r="U4065">
        <v>-3.2058719999999999E-2</v>
      </c>
      <c r="V4065">
        <v>2.689561E-2</v>
      </c>
      <c r="W4065">
        <v>0.20032820000000001</v>
      </c>
      <c r="X4065">
        <v>0.9793596</v>
      </c>
      <c r="Y4065">
        <v>2.391453E-2</v>
      </c>
      <c r="Z4065" s="1">
        <v>-8.3430520000000002E-5</v>
      </c>
      <c r="AA4065">
        <v>0.99971399999999999</v>
      </c>
      <c r="AB4065">
        <v>39</v>
      </c>
      <c r="AC4065">
        <v>213.49539999999999</v>
      </c>
      <c r="AD4065">
        <v>-0.88834999999999997</v>
      </c>
      <c r="AE4065">
        <v>-2.2483</v>
      </c>
      <c r="AF4065">
        <v>5.11473660189007</v>
      </c>
      <c r="AG4065">
        <v>-0.88834999999999997</v>
      </c>
      <c r="AH4065">
        <v>213.442268197007</v>
      </c>
      <c r="AI4065">
        <v>90.238396101371805</v>
      </c>
      <c r="AJ4065">
        <v>88.627278705448802</v>
      </c>
      <c r="AK4065">
        <v>213.50538997718999</v>
      </c>
      <c r="AL4065">
        <v>78.443848001626705</v>
      </c>
      <c r="AM4065">
        <v>88.426913143831101</v>
      </c>
      <c r="AN4065">
        <v>0.99999999383233595</v>
      </c>
    </row>
    <row r="4066" spans="1:40" x14ac:dyDescent="0.25">
      <c r="A4066" t="str">
        <f>"20190303170334401"</f>
        <v>20190303170334401</v>
      </c>
      <c r="B4066" t="str">
        <f>"1551603814389774"</f>
        <v>1551603814389774</v>
      </c>
      <c r="C4066" t="s">
        <v>40</v>
      </c>
      <c r="D4066">
        <v>4.101159</v>
      </c>
      <c r="E4066">
        <v>0.50823300000000005</v>
      </c>
      <c r="F4066" t="s">
        <v>57</v>
      </c>
      <c r="G4066">
        <v>-200.00229999999999</v>
      </c>
      <c r="H4066" s="1">
        <v>2.4246489999999999E-6</v>
      </c>
      <c r="I4066">
        <v>212.2525</v>
      </c>
      <c r="J4066">
        <v>-320.5061</v>
      </c>
      <c r="K4066">
        <v>1.121181</v>
      </c>
      <c r="L4066">
        <v>214.88800000000001</v>
      </c>
      <c r="M4066">
        <v>0.99980429999999998</v>
      </c>
      <c r="N4066">
        <v>-1.4981309999999999E-2</v>
      </c>
      <c r="O4066">
        <v>1.292633E-2</v>
      </c>
      <c r="P4066">
        <v>0.98265420000000003</v>
      </c>
      <c r="Q4066">
        <v>0.1848978</v>
      </c>
      <c r="R4066">
        <v>-1.4258109999999999E-2</v>
      </c>
      <c r="S4066">
        <v>3.0578310000000002</v>
      </c>
      <c r="T4066">
        <v>-2.8359769999999999E-2</v>
      </c>
      <c r="U4066">
        <v>-6.6543580000000005E-2</v>
      </c>
      <c r="V4066">
        <v>2.7201469999999998E-2</v>
      </c>
      <c r="W4066">
        <v>0.19956199999999999</v>
      </c>
      <c r="X4066">
        <v>0.97950760000000003</v>
      </c>
      <c r="Y4066">
        <v>3.4675329999999997E-2</v>
      </c>
      <c r="Z4066">
        <v>-3.4680490000000002E-4</v>
      </c>
      <c r="AA4066">
        <v>0.99939860000000003</v>
      </c>
      <c r="AB4066">
        <v>38</v>
      </c>
      <c r="AC4066">
        <v>120.5038</v>
      </c>
      <c r="AD4066">
        <v>-1.121178575351</v>
      </c>
      <c r="AE4066">
        <v>-2.6355</v>
      </c>
      <c r="AF4066">
        <v>4.1927635659771303</v>
      </c>
      <c r="AG4066">
        <v>-1.121178575351</v>
      </c>
      <c r="AH4066">
        <v>120.449236825445</v>
      </c>
      <c r="AI4066">
        <v>90.532988558207606</v>
      </c>
      <c r="AJ4066">
        <v>88.006374251628799</v>
      </c>
      <c r="AK4066">
        <v>120.527403355212</v>
      </c>
      <c r="AL4066">
        <v>78.488653132775397</v>
      </c>
      <c r="AM4066">
        <v>88.409273225721904</v>
      </c>
      <c r="AN4066">
        <v>1.00000002513596</v>
      </c>
    </row>
    <row r="4067" spans="1:40" x14ac:dyDescent="0.25">
      <c r="A4067" t="str">
        <f>"20190303170334423"</f>
        <v>20190303170334423</v>
      </c>
      <c r="B4067" t="str">
        <f>"1551603814420030"</f>
        <v>1551603814420030</v>
      </c>
      <c r="C4067" t="s">
        <v>40</v>
      </c>
      <c r="D4067">
        <v>4.1130959999999996</v>
      </c>
      <c r="E4067">
        <v>0.50876869999999996</v>
      </c>
      <c r="F4067" t="s">
        <v>62</v>
      </c>
      <c r="G4067">
        <v>-213.97659999999999</v>
      </c>
      <c r="H4067" s="1">
        <v>6.940276E-7</v>
      </c>
      <c r="I4067">
        <v>211.99289999999999</v>
      </c>
      <c r="J4067">
        <v>-320.1103</v>
      </c>
      <c r="K4067">
        <v>1.1211709999999999</v>
      </c>
      <c r="L4067">
        <v>214.89259999999999</v>
      </c>
      <c r="M4067">
        <v>0.99981089999999995</v>
      </c>
      <c r="N4067">
        <v>-1.497661E-2</v>
      </c>
      <c r="O4067">
        <v>1.240958E-2</v>
      </c>
      <c r="P4067">
        <v>0.98257369999999999</v>
      </c>
      <c r="Q4067">
        <v>0.18528130000000001</v>
      </c>
      <c r="R4067">
        <v>-1.482781E-2</v>
      </c>
      <c r="S4067">
        <v>3.0577999999999999</v>
      </c>
      <c r="T4067">
        <v>-3.2182099999999998E-2</v>
      </c>
      <c r="U4067">
        <v>-8.3099370000000006E-2</v>
      </c>
      <c r="V4067">
        <v>2.7267900000000001E-2</v>
      </c>
      <c r="W4067">
        <v>0.19993910000000001</v>
      </c>
      <c r="X4067">
        <v>0.97942879999999999</v>
      </c>
      <c r="Y4067">
        <v>3.9565040000000003E-2</v>
      </c>
      <c r="Z4067">
        <v>-4.4927850000000001E-4</v>
      </c>
      <c r="AA4067">
        <v>0.99921689999999996</v>
      </c>
      <c r="AB4067">
        <v>38</v>
      </c>
      <c r="AC4067">
        <v>106.1337</v>
      </c>
      <c r="AD4067">
        <v>-1.1211703059724001</v>
      </c>
      <c r="AE4067">
        <v>-2.89969999999999</v>
      </c>
      <c r="AF4067">
        <v>4.2162288052690702</v>
      </c>
      <c r="AG4067">
        <v>-1.1211703059724001</v>
      </c>
      <c r="AH4067">
        <v>106.077708898616</v>
      </c>
      <c r="AI4067">
        <v>90.605077725743001</v>
      </c>
      <c r="AJ4067">
        <v>87.723885369762499</v>
      </c>
      <c r="AK4067">
        <v>106.167386392305</v>
      </c>
      <c r="AL4067">
        <v>78.466601954554804</v>
      </c>
      <c r="AM4067">
        <v>88.405262211553406</v>
      </c>
      <c r="AN4067">
        <v>0.99999997817432895</v>
      </c>
    </row>
    <row r="4068" spans="1:40" x14ac:dyDescent="0.25">
      <c r="A4068" t="str">
        <f>"20190303170334446"</f>
        <v>20190303170334446</v>
      </c>
      <c r="B4068" t="str">
        <f>"1551603814439550"</f>
        <v>1551603814439550</v>
      </c>
      <c r="C4068" t="s">
        <v>40</v>
      </c>
      <c r="D4068">
        <v>4.0845419999999999</v>
      </c>
      <c r="E4068">
        <v>0.5089264</v>
      </c>
      <c r="F4068" t="s">
        <v>62</v>
      </c>
      <c r="G4068">
        <v>-221.46029999999999</v>
      </c>
      <c r="H4068" s="1">
        <v>-6.4629880000000005E-7</v>
      </c>
      <c r="I4068">
        <v>212.02269999999999</v>
      </c>
      <c r="J4068">
        <v>-319.72379999999998</v>
      </c>
      <c r="K4068">
        <v>1.121159</v>
      </c>
      <c r="L4068">
        <v>214.89689999999999</v>
      </c>
      <c r="M4068">
        <v>0.99981710000000001</v>
      </c>
      <c r="N4068">
        <v>-1.497192E-2</v>
      </c>
      <c r="O4068">
        <v>1.190129E-2</v>
      </c>
      <c r="P4068">
        <v>0.9825699</v>
      </c>
      <c r="Q4068">
        <v>0.18525259999999999</v>
      </c>
      <c r="R4068">
        <v>-1.5433789999999999E-2</v>
      </c>
      <c r="S4068">
        <v>3.058411</v>
      </c>
      <c r="T4068">
        <v>-3.4759279999999997E-2</v>
      </c>
      <c r="U4068">
        <v>-8.8973999999999998E-2</v>
      </c>
      <c r="V4068">
        <v>2.737844E-2</v>
      </c>
      <c r="W4068">
        <v>0.1999049</v>
      </c>
      <c r="X4068">
        <v>0.97943270000000004</v>
      </c>
      <c r="Y4068">
        <v>4.0968600000000001E-2</v>
      </c>
      <c r="Z4068">
        <v>-4.9662030000000002E-4</v>
      </c>
      <c r="AA4068">
        <v>0.9991603</v>
      </c>
      <c r="AB4068">
        <v>38</v>
      </c>
      <c r="AC4068">
        <v>98.263499999999993</v>
      </c>
      <c r="AD4068">
        <v>-1.1211596462988</v>
      </c>
      <c r="AE4068">
        <v>-2.8742000000000001</v>
      </c>
      <c r="AF4068">
        <v>4.0430639969754099</v>
      </c>
      <c r="AG4068">
        <v>-1.1211596462988</v>
      </c>
      <c r="AH4068">
        <v>98.209554443099094</v>
      </c>
      <c r="AI4068">
        <v>90.653506347776201</v>
      </c>
      <c r="AJ4068">
        <v>87.642594227414804</v>
      </c>
      <c r="AK4068">
        <v>98.299135038657198</v>
      </c>
      <c r="AL4068">
        <v>78.468601876559106</v>
      </c>
      <c r="AM4068">
        <v>88.398807113545701</v>
      </c>
      <c r="AN4068">
        <v>0.99999998092506603</v>
      </c>
    </row>
    <row r="4069" spans="1:40" x14ac:dyDescent="0.25">
      <c r="A4069" t="str">
        <f>"20190303170334467"</f>
        <v>20190303170334467</v>
      </c>
      <c r="B4069" t="str">
        <f>"1551603814459069"</f>
        <v>1551603814459069</v>
      </c>
      <c r="C4069" t="s">
        <v>40</v>
      </c>
      <c r="D4069">
        <v>4.1177339999999996</v>
      </c>
      <c r="E4069">
        <v>0.50906669999999998</v>
      </c>
      <c r="F4069" t="s">
        <v>62</v>
      </c>
      <c r="G4069">
        <v>-220.6046</v>
      </c>
      <c r="H4069" s="1">
        <v>-1.096608E-6</v>
      </c>
      <c r="I4069">
        <v>211.90690000000001</v>
      </c>
      <c r="J4069">
        <v>-319.35750000000002</v>
      </c>
      <c r="K4069">
        <v>1.1211610000000001</v>
      </c>
      <c r="L4069">
        <v>214.9008</v>
      </c>
      <c r="M4069">
        <v>0.99982280000000001</v>
      </c>
      <c r="N4069">
        <v>-1.496741E-2</v>
      </c>
      <c r="O4069">
        <v>1.141671E-2</v>
      </c>
      <c r="P4069">
        <v>0.98252859999999997</v>
      </c>
      <c r="Q4069">
        <v>0.18541830000000001</v>
      </c>
      <c r="R4069">
        <v>-1.6054740000000001E-2</v>
      </c>
      <c r="S4069">
        <v>3.0582889999999998</v>
      </c>
      <c r="T4069">
        <v>-3.4592989999999997E-2</v>
      </c>
      <c r="U4069">
        <v>-9.2254639999999999E-2</v>
      </c>
      <c r="V4069">
        <v>2.7525930000000001E-2</v>
      </c>
      <c r="W4069">
        <v>0.2000652</v>
      </c>
      <c r="X4069">
        <v>0.97939589999999999</v>
      </c>
      <c r="Y4069">
        <v>4.1556309999999999E-2</v>
      </c>
      <c r="Z4069">
        <v>-5.0433230000000002E-4</v>
      </c>
      <c r="AA4069">
        <v>0.99913600000000002</v>
      </c>
      <c r="AB4069">
        <v>38</v>
      </c>
      <c r="AC4069">
        <v>98.752899999999997</v>
      </c>
      <c r="AD4069">
        <v>-1.121162096608</v>
      </c>
      <c r="AE4069">
        <v>-2.9938999999999898</v>
      </c>
      <c r="AF4069">
        <v>4.1207337101802004</v>
      </c>
      <c r="AG4069">
        <v>-1.121162096608</v>
      </c>
      <c r="AH4069">
        <v>98.699568012997105</v>
      </c>
      <c r="AI4069">
        <v>90.6502479097811</v>
      </c>
      <c r="AJ4069">
        <v>87.609274113793205</v>
      </c>
      <c r="AK4069">
        <v>98.7919135188165</v>
      </c>
      <c r="AL4069">
        <v>78.459228750462302</v>
      </c>
      <c r="AM4069">
        <v>88.390125421457697</v>
      </c>
      <c r="AN4069">
        <v>1.0000000450051001</v>
      </c>
    </row>
    <row r="4070" spans="1:40" x14ac:dyDescent="0.25">
      <c r="A4070" t="str">
        <f>"20190303170334491"</f>
        <v>20190303170334491</v>
      </c>
      <c r="B4070" t="str">
        <f>"1551603814479566"</f>
        <v>1551603814479566</v>
      </c>
      <c r="C4070" t="s">
        <v>40</v>
      </c>
      <c r="D4070">
        <v>4.0902960000000004</v>
      </c>
      <c r="E4070">
        <v>0.50905749999999905</v>
      </c>
      <c r="F4070" t="s">
        <v>62</v>
      </c>
      <c r="G4070">
        <v>-220.19880000000001</v>
      </c>
      <c r="H4070" s="1">
        <v>-1.3082839999999901E-6</v>
      </c>
      <c r="I4070">
        <v>211.8092</v>
      </c>
      <c r="J4070">
        <v>-318.96609999999998</v>
      </c>
      <c r="K4070">
        <v>1.121157</v>
      </c>
      <c r="L4070">
        <v>214.90479999999999</v>
      </c>
      <c r="M4070">
        <v>0.99982870000000001</v>
      </c>
      <c r="N4070">
        <v>-1.4962649999999999E-2</v>
      </c>
      <c r="O4070">
        <v>1.0897530000000001E-2</v>
      </c>
      <c r="P4070">
        <v>0.98232560000000002</v>
      </c>
      <c r="Q4070">
        <v>0.18643950000000001</v>
      </c>
      <c r="R4070">
        <v>-1.6640579999999999E-2</v>
      </c>
      <c r="S4070">
        <v>3.0582889999999998</v>
      </c>
      <c r="T4070">
        <v>-3.4579279999999997E-2</v>
      </c>
      <c r="U4070">
        <v>-9.535217E-2</v>
      </c>
      <c r="V4070">
        <v>2.7602979999999999E-2</v>
      </c>
      <c r="W4070">
        <v>0.2010779</v>
      </c>
      <c r="X4070">
        <v>0.97918620000000001</v>
      </c>
      <c r="Y4070">
        <v>4.2048429999999998E-2</v>
      </c>
      <c r="Z4070">
        <v>-5.1250779999999999E-4</v>
      </c>
      <c r="AA4070">
        <v>0.99911550000000005</v>
      </c>
      <c r="AB4070">
        <v>38</v>
      </c>
      <c r="AC4070">
        <v>98.767299999999906</v>
      </c>
      <c r="AD4070">
        <v>-1.121158308284</v>
      </c>
      <c r="AE4070">
        <v>-3.0955999999999899</v>
      </c>
      <c r="AF4070">
        <v>4.1713192499929397</v>
      </c>
      <c r="AG4070">
        <v>-1.121158308284</v>
      </c>
      <c r="AH4070">
        <v>98.714988111317794</v>
      </c>
      <c r="AI4070">
        <v>90.650130357746306</v>
      </c>
      <c r="AJ4070">
        <v>87.580338165905601</v>
      </c>
      <c r="AK4070">
        <v>98.809441745489096</v>
      </c>
      <c r="AL4070">
        <v>78.400000417342696</v>
      </c>
      <c r="AM4070">
        <v>88.385275927850202</v>
      </c>
      <c r="AN4070">
        <v>0.99999993032186196</v>
      </c>
    </row>
    <row r="4071" spans="1:40" x14ac:dyDescent="0.25">
      <c r="A4071" t="str">
        <f>"20190303170334513"</f>
        <v>20190303170334513</v>
      </c>
      <c r="B4071" t="str">
        <f>"1551603814509822"</f>
        <v>1551603814509822</v>
      </c>
      <c r="C4071" t="s">
        <v>40</v>
      </c>
      <c r="D4071">
        <v>4.1248740000000002</v>
      </c>
      <c r="E4071">
        <v>0.50931349999999997</v>
      </c>
      <c r="F4071" t="s">
        <v>57</v>
      </c>
      <c r="G4071">
        <v>-207.60130000000001</v>
      </c>
      <c r="H4071" s="1">
        <v>5.8707629999999901E-6</v>
      </c>
      <c r="I4071">
        <v>211.3802</v>
      </c>
      <c r="J4071">
        <v>-318.57130000000001</v>
      </c>
      <c r="K4071">
        <v>1.1211629999999999</v>
      </c>
      <c r="L4071">
        <v>214.90860000000001</v>
      </c>
      <c r="M4071">
        <v>0.99983440000000001</v>
      </c>
      <c r="N4071">
        <v>-1.4957929999999999E-2</v>
      </c>
      <c r="O4071">
        <v>1.0372839999999999E-2</v>
      </c>
      <c r="P4071">
        <v>0.9822227</v>
      </c>
      <c r="Q4071">
        <v>0.1869161</v>
      </c>
      <c r="R4071">
        <v>-1.735395E-2</v>
      </c>
      <c r="S4071">
        <v>3.0581670000000001</v>
      </c>
      <c r="T4071">
        <v>-3.0787709999999999E-2</v>
      </c>
      <c r="U4071">
        <v>-9.6786499999999998E-2</v>
      </c>
      <c r="V4071">
        <v>2.780202E-2</v>
      </c>
      <c r="W4071">
        <v>0.20154830000000001</v>
      </c>
      <c r="X4071">
        <v>0.97908399999999995</v>
      </c>
      <c r="Y4071">
        <v>4.1994389999999999E-2</v>
      </c>
      <c r="Z4071">
        <v>-4.7479649999999999E-4</v>
      </c>
      <c r="AA4071">
        <v>0.9991177</v>
      </c>
      <c r="AB4071">
        <v>38</v>
      </c>
      <c r="AC4071">
        <v>110.97</v>
      </c>
      <c r="AD4071">
        <v>-1.1211571292369999</v>
      </c>
      <c r="AE4071">
        <v>-3.5284</v>
      </c>
      <c r="AF4071">
        <v>4.6789357623545298</v>
      </c>
      <c r="AG4071">
        <v>-1.1211571292369999</v>
      </c>
      <c r="AH4071">
        <v>110.916114539586</v>
      </c>
      <c r="AI4071">
        <v>90.578620248007496</v>
      </c>
      <c r="AJ4071">
        <v>87.5844409813471</v>
      </c>
      <c r="AK4071">
        <v>111.0204210843</v>
      </c>
      <c r="AL4071">
        <v>78.372486856514698</v>
      </c>
      <c r="AM4071">
        <v>88.373469007458795</v>
      </c>
      <c r="AN4071">
        <v>1.0000000743024799</v>
      </c>
    </row>
    <row r="4072" spans="1:40" x14ac:dyDescent="0.25">
      <c r="A4072" t="str">
        <f>"20190303170334537"</f>
        <v>20190303170334537</v>
      </c>
      <c r="B4072" t="str">
        <f>"1551603814529342"</f>
        <v>1551603814529342</v>
      </c>
      <c r="C4072" t="s">
        <v>40</v>
      </c>
      <c r="D4072">
        <v>4.1338809999999997</v>
      </c>
      <c r="E4072">
        <v>0.5094455</v>
      </c>
      <c r="F4072" t="s">
        <v>57</v>
      </c>
      <c r="G4072">
        <v>-207.60769999999999</v>
      </c>
      <c r="H4072" s="1">
        <v>5.8839459999999997E-6</v>
      </c>
      <c r="I4072">
        <v>211.2619</v>
      </c>
      <c r="J4072">
        <v>-318.19369999999998</v>
      </c>
      <c r="K4072">
        <v>1.12117</v>
      </c>
      <c r="L4072">
        <v>214.91200000000001</v>
      </c>
      <c r="M4072">
        <v>0.99983960000000005</v>
      </c>
      <c r="N4072">
        <v>-1.4953839999999999E-2</v>
      </c>
      <c r="O4072">
        <v>9.870864E-3</v>
      </c>
      <c r="P4072">
        <v>0.98213870000000003</v>
      </c>
      <c r="Q4072">
        <v>0.18730659999999999</v>
      </c>
      <c r="R4072">
        <v>-1.790228E-2</v>
      </c>
      <c r="S4072">
        <v>3.058411</v>
      </c>
      <c r="T4072">
        <v>-3.0901669999999999E-2</v>
      </c>
      <c r="U4072">
        <v>-0.1005096</v>
      </c>
      <c r="V4072">
        <v>2.785808E-2</v>
      </c>
      <c r="W4072">
        <v>0.2019331</v>
      </c>
      <c r="X4072">
        <v>0.97900299999999996</v>
      </c>
      <c r="Y4072">
        <v>4.2705140000000003E-2</v>
      </c>
      <c r="Z4072">
        <v>-4.8723990000000002E-4</v>
      </c>
      <c r="AA4072">
        <v>0.99908759999999996</v>
      </c>
      <c r="AB4072">
        <v>38</v>
      </c>
      <c r="AC4072">
        <v>110.585999999999</v>
      </c>
      <c r="AD4072">
        <v>-1.121164116054</v>
      </c>
      <c r="AE4072">
        <v>-3.6501000000000001</v>
      </c>
      <c r="AF4072">
        <v>4.7411366209253201</v>
      </c>
      <c r="AG4072">
        <v>-1.121164116054</v>
      </c>
      <c r="AH4072">
        <v>110.53322857285499</v>
      </c>
      <c r="AI4072">
        <v>90.580610588431895</v>
      </c>
      <c r="AJ4072">
        <v>87.5438996018175</v>
      </c>
      <c r="AK4072">
        <v>110.640544124531</v>
      </c>
      <c r="AL4072">
        <v>78.349975278566305</v>
      </c>
      <c r="AM4072">
        <v>88.370056263947305</v>
      </c>
      <c r="AN4072">
        <v>0.99999996175294703</v>
      </c>
    </row>
    <row r="4073" spans="1:40" x14ac:dyDescent="0.25">
      <c r="A4073" t="str">
        <f>"20190303170334557"</f>
        <v>20190303170334557</v>
      </c>
      <c r="B4073" t="str">
        <f>"1551603814549838"</f>
        <v>1551603814549838</v>
      </c>
      <c r="C4073" t="s">
        <v>40</v>
      </c>
      <c r="D4073">
        <v>4.1155530000000002</v>
      </c>
      <c r="E4073">
        <v>0.50946369999999996</v>
      </c>
      <c r="F4073" t="s">
        <v>57</v>
      </c>
      <c r="G4073">
        <v>-206.74549999999999</v>
      </c>
      <c r="H4073" s="1">
        <v>5.5103219999999998E-6</v>
      </c>
      <c r="I4073">
        <v>211.1618</v>
      </c>
      <c r="J4073">
        <v>-317.82310000000001</v>
      </c>
      <c r="K4073">
        <v>1.1211709999999999</v>
      </c>
      <c r="L4073">
        <v>214.9152</v>
      </c>
      <c r="M4073">
        <v>0.99984430000000002</v>
      </c>
      <c r="N4073">
        <v>-1.49497E-2</v>
      </c>
      <c r="O4073">
        <v>9.3786219999999997E-3</v>
      </c>
      <c r="P4073">
        <v>0.98222480000000001</v>
      </c>
      <c r="Q4073">
        <v>0.18673480000000001</v>
      </c>
      <c r="R4073">
        <v>-1.909804E-2</v>
      </c>
      <c r="S4073">
        <v>3.0585629999999999</v>
      </c>
      <c r="T4073">
        <v>-3.076899E-2</v>
      </c>
      <c r="U4073">
        <v>-0.1029205</v>
      </c>
      <c r="V4073">
        <v>2.8571269999999999E-2</v>
      </c>
      <c r="W4073">
        <v>0.2013577</v>
      </c>
      <c r="X4073">
        <v>0.979101</v>
      </c>
      <c r="Y4073">
        <v>4.2998290000000002E-2</v>
      </c>
      <c r="Z4073">
        <v>-4.9189709999999996E-4</v>
      </c>
      <c r="AA4073">
        <v>0.99907500000000005</v>
      </c>
      <c r="AB4073">
        <v>38</v>
      </c>
      <c r="AC4073">
        <v>111.0776</v>
      </c>
      <c r="AD4073">
        <v>-1.1211654896779999</v>
      </c>
      <c r="AE4073">
        <v>-3.7533999999999899</v>
      </c>
      <c r="AF4073">
        <v>4.7946181874019196</v>
      </c>
      <c r="AG4073">
        <v>-1.1211654896779999</v>
      </c>
      <c r="AH4073">
        <v>111.02620965045701</v>
      </c>
      <c r="AI4073">
        <v>90.578026199996501</v>
      </c>
      <c r="AJ4073">
        <v>87.527243271023906</v>
      </c>
      <c r="AK4073">
        <v>111.135343635431</v>
      </c>
      <c r="AL4073">
        <v>78.383635187129698</v>
      </c>
      <c r="AM4073">
        <v>88.328518953743398</v>
      </c>
      <c r="AN4073">
        <v>1.00000000450985</v>
      </c>
    </row>
    <row r="4074" spans="1:40" x14ac:dyDescent="0.25">
      <c r="A4074" t="str">
        <f>"20190303170334580"</f>
        <v>20190303170334580</v>
      </c>
      <c r="B4074" t="str">
        <f>"1551603814569359"</f>
        <v>1551603814569359</v>
      </c>
      <c r="C4074" t="s">
        <v>40</v>
      </c>
      <c r="D4074">
        <v>4.0787399999999998</v>
      </c>
      <c r="E4074">
        <v>0.50936170000000003</v>
      </c>
      <c r="F4074" t="s">
        <v>62</v>
      </c>
      <c r="G4074">
        <v>-213.12739999999999</v>
      </c>
      <c r="H4074" s="1">
        <v>2.7342189999999998E-7</v>
      </c>
      <c r="I4074">
        <v>211.2766</v>
      </c>
      <c r="J4074">
        <v>-317.45440000000002</v>
      </c>
      <c r="K4074">
        <v>1.121167</v>
      </c>
      <c r="L4074">
        <v>214.91820000000001</v>
      </c>
      <c r="M4074">
        <v>0.99984890000000004</v>
      </c>
      <c r="N4074">
        <v>-1.49455E-2</v>
      </c>
      <c r="O4074">
        <v>8.8898609999999902E-3</v>
      </c>
      <c r="P4074">
        <v>0.98219440000000002</v>
      </c>
      <c r="Q4074">
        <v>0.18679090000000001</v>
      </c>
      <c r="R4074">
        <v>-2.0087190000000001E-2</v>
      </c>
      <c r="S4074">
        <v>3.0584410000000002</v>
      </c>
      <c r="T4074">
        <v>-3.2752389999999999E-2</v>
      </c>
      <c r="U4074">
        <v>-0.1062927</v>
      </c>
      <c r="V4074">
        <v>2.9080100000000001E-2</v>
      </c>
      <c r="W4074">
        <v>0.20140859999999999</v>
      </c>
      <c r="X4074">
        <v>0.97907560000000005</v>
      </c>
      <c r="Y4074">
        <v>4.3610969999999999E-2</v>
      </c>
      <c r="Z4074">
        <v>-5.2181039999999997E-4</v>
      </c>
      <c r="AA4074">
        <v>0.99904850000000001</v>
      </c>
      <c r="AB4074">
        <v>38</v>
      </c>
      <c r="AC4074">
        <v>104.327</v>
      </c>
      <c r="AD4074">
        <v>-1.1211667265781</v>
      </c>
      <c r="AE4074">
        <v>-3.6416000000000102</v>
      </c>
      <c r="AF4074">
        <v>4.5684851177203001</v>
      </c>
      <c r="AG4074">
        <v>-1.1211667265781</v>
      </c>
      <c r="AH4074">
        <v>104.278471069321</v>
      </c>
      <c r="AI4074">
        <v>90.615410771401798</v>
      </c>
      <c r="AJ4074">
        <v>87.491451119985399</v>
      </c>
      <c r="AK4074">
        <v>104.384518007484</v>
      </c>
      <c r="AL4074">
        <v>78.380658410062196</v>
      </c>
      <c r="AM4074">
        <v>88.298724530031393</v>
      </c>
      <c r="AN4074">
        <v>1.0000000534426601</v>
      </c>
    </row>
    <row r="4075" spans="1:40" x14ac:dyDescent="0.25">
      <c r="A4075" t="str">
        <f>"20190303170334602"</f>
        <v>20190303170334602</v>
      </c>
      <c r="B4075" t="str">
        <f>"1551603814589854"</f>
        <v>1551603814589854</v>
      </c>
      <c r="C4075" t="s">
        <v>40</v>
      </c>
      <c r="D4075">
        <v>4.0726290000000001</v>
      </c>
      <c r="E4075">
        <v>0.50936349999999997</v>
      </c>
      <c r="F4075" t="s">
        <v>62</v>
      </c>
      <c r="G4075">
        <v>-214.58099999999999</v>
      </c>
      <c r="H4075" s="1">
        <v>1.047879E-6</v>
      </c>
      <c r="I4075">
        <v>211.25569999999999</v>
      </c>
      <c r="J4075">
        <v>-317.07069999999999</v>
      </c>
      <c r="K4075">
        <v>1.1211709999999999</v>
      </c>
      <c r="L4075">
        <v>214.9211</v>
      </c>
      <c r="M4075">
        <v>0.99985329999999994</v>
      </c>
      <c r="N4075">
        <v>-1.4941100000000001E-2</v>
      </c>
      <c r="O4075">
        <v>8.3854140000000008E-3</v>
      </c>
      <c r="P4075">
        <v>0.98194119999999996</v>
      </c>
      <c r="Q4075">
        <v>0.18798429999999999</v>
      </c>
      <c r="R4075">
        <v>-2.1294090000000002E-2</v>
      </c>
      <c r="S4075">
        <v>3.0585019999999998</v>
      </c>
      <c r="T4075">
        <v>-3.3333059999999998E-2</v>
      </c>
      <c r="U4075">
        <v>-0.1088867</v>
      </c>
      <c r="V4075">
        <v>2.97901E-2</v>
      </c>
      <c r="W4075">
        <v>0.202593</v>
      </c>
      <c r="X4075">
        <v>0.97880979999999995</v>
      </c>
      <c r="Y4075">
        <v>4.3952320000000003E-2</v>
      </c>
      <c r="Z4075">
        <v>-5.3402430000000002E-4</v>
      </c>
      <c r="AA4075">
        <v>0.99903350000000002</v>
      </c>
      <c r="AB4075">
        <v>38</v>
      </c>
      <c r="AC4075">
        <v>102.4897</v>
      </c>
      <c r="AD4075">
        <v>-1.1211699521209999</v>
      </c>
      <c r="AE4075">
        <v>-3.6654</v>
      </c>
      <c r="AF4075">
        <v>4.5242448147819099</v>
      </c>
      <c r="AG4075">
        <v>-1.1211699521209999</v>
      </c>
      <c r="AH4075">
        <v>102.44311289010599</v>
      </c>
      <c r="AI4075">
        <v>90.626427617396601</v>
      </c>
      <c r="AJ4075">
        <v>87.471261911067003</v>
      </c>
      <c r="AK4075">
        <v>102.549096494414</v>
      </c>
      <c r="AL4075">
        <v>78.311368265923704</v>
      </c>
      <c r="AM4075">
        <v>88.256739683429402</v>
      </c>
      <c r="AN4075">
        <v>0.99999999914152404</v>
      </c>
    </row>
    <row r="4076" spans="1:40" x14ac:dyDescent="0.25">
      <c r="A4076" t="str">
        <f>"20190303170334624"</f>
        <v>20190303170334624</v>
      </c>
      <c r="B4076" t="str">
        <f>"1551603814609374"</f>
        <v>1551603814609374</v>
      </c>
      <c r="C4076" t="s">
        <v>40</v>
      </c>
      <c r="D4076">
        <v>4.1031789999999999</v>
      </c>
      <c r="E4076">
        <v>0.50922449999999997</v>
      </c>
      <c r="F4076" t="s">
        <v>57</v>
      </c>
      <c r="G4076">
        <v>-202.97300000000001</v>
      </c>
      <c r="H4076" s="1">
        <v>3.8710610000000001E-6</v>
      </c>
      <c r="I4076">
        <v>210.7766</v>
      </c>
      <c r="J4076">
        <v>-316.68040000000002</v>
      </c>
      <c r="K4076">
        <v>1.1211739999999999</v>
      </c>
      <c r="L4076">
        <v>214.9238</v>
      </c>
      <c r="M4076">
        <v>0.99985749999999995</v>
      </c>
      <c r="N4076">
        <v>-1.4936659999999999E-2</v>
      </c>
      <c r="O4076">
        <v>7.8790509999999998E-3</v>
      </c>
      <c r="P4076">
        <v>0.98189800000000005</v>
      </c>
      <c r="Q4076">
        <v>0.18807570000000001</v>
      </c>
      <c r="R4076">
        <v>-2.2455099999999999E-2</v>
      </c>
      <c r="S4076">
        <v>3.0585629999999999</v>
      </c>
      <c r="T4076">
        <v>-3.0054569999999999E-2</v>
      </c>
      <c r="U4076">
        <v>-0.1110992</v>
      </c>
      <c r="V4076">
        <v>3.0451220000000001E-2</v>
      </c>
      <c r="W4076">
        <v>0.2026789</v>
      </c>
      <c r="X4076">
        <v>0.97877170000000002</v>
      </c>
      <c r="Y4076">
        <v>4.4168199999999998E-2</v>
      </c>
      <c r="Z4076">
        <v>-5.0668410000000001E-4</v>
      </c>
      <c r="AA4076">
        <v>0.99902400000000002</v>
      </c>
      <c r="AB4076">
        <v>38</v>
      </c>
      <c r="AC4076">
        <v>113.70740000000001</v>
      </c>
      <c r="AD4076">
        <v>-1.1211701289389999</v>
      </c>
      <c r="AE4076">
        <v>-4.14719999999999</v>
      </c>
      <c r="AF4076">
        <v>5.0425879102658202</v>
      </c>
      <c r="AG4076">
        <v>-1.1211701289389999</v>
      </c>
      <c r="AH4076">
        <v>113.66015445594</v>
      </c>
      <c r="AI4076">
        <v>90.564605183712402</v>
      </c>
      <c r="AJ4076">
        <v>87.459710743718901</v>
      </c>
      <c r="AK4076">
        <v>113.77748207021899</v>
      </c>
      <c r="AL4076">
        <v>78.306342620791895</v>
      </c>
      <c r="AM4076">
        <v>88.218007543565406</v>
      </c>
      <c r="AN4076">
        <v>1.00000002701279</v>
      </c>
    </row>
    <row r="4077" spans="1:40" x14ac:dyDescent="0.25">
      <c r="A4077" t="str">
        <f>"20190303170334647"</f>
        <v>20190303170334647</v>
      </c>
      <c r="B4077" t="str">
        <f>"1551603814639630"</f>
        <v>1551603814639630</v>
      </c>
      <c r="C4077" t="s">
        <v>40</v>
      </c>
      <c r="D4077">
        <v>4.1095360000000003</v>
      </c>
      <c r="E4077">
        <v>0.50910250000000001</v>
      </c>
      <c r="F4077" t="s">
        <v>57</v>
      </c>
      <c r="G4077">
        <v>-201.93819999999999</v>
      </c>
      <c r="H4077" s="1">
        <v>3.4208209999999999E-6</v>
      </c>
      <c r="I4077">
        <v>210.67789999999999</v>
      </c>
      <c r="J4077">
        <v>-316.30650000000003</v>
      </c>
      <c r="K4077">
        <v>1.1211789999999999</v>
      </c>
      <c r="L4077">
        <v>214.9263</v>
      </c>
      <c r="M4077">
        <v>0.99986120000000001</v>
      </c>
      <c r="N4077">
        <v>-1.493245E-2</v>
      </c>
      <c r="O4077">
        <v>7.4009080000000003E-3</v>
      </c>
      <c r="P4077">
        <v>0.98228819999999994</v>
      </c>
      <c r="Q4077">
        <v>0.18607270000000001</v>
      </c>
      <c r="R4077">
        <v>-2.2071489999999999E-2</v>
      </c>
      <c r="S4077">
        <v>3.0584410000000002</v>
      </c>
      <c r="T4077">
        <v>-2.98847E-2</v>
      </c>
      <c r="U4077">
        <v>-0.11317439999999999</v>
      </c>
      <c r="V4077">
        <v>2.9595320000000001E-2</v>
      </c>
      <c r="W4077">
        <v>0.20068</v>
      </c>
      <c r="X4077">
        <v>0.97920969999999996</v>
      </c>
      <c r="Y4077">
        <v>4.4368869999999998E-2</v>
      </c>
      <c r="Z4077">
        <v>-5.099204E-4</v>
      </c>
      <c r="AA4077">
        <v>0.99901510000000004</v>
      </c>
      <c r="AB4077">
        <v>38</v>
      </c>
      <c r="AC4077">
        <v>114.3683</v>
      </c>
      <c r="AD4077">
        <v>-1.1211755791789999</v>
      </c>
      <c r="AE4077">
        <v>-4.2484000000000002</v>
      </c>
      <c r="AF4077">
        <v>5.0943182967220899</v>
      </c>
      <c r="AG4077">
        <v>-1.1211755791789999</v>
      </c>
      <c r="AH4077">
        <v>114.32274997152</v>
      </c>
      <c r="AI4077">
        <v>90.561330899218305</v>
      </c>
      <c r="AJ4077">
        <v>87.448539564268302</v>
      </c>
      <c r="AK4077">
        <v>114.441689408355</v>
      </c>
      <c r="AL4077">
        <v>78.423273504090403</v>
      </c>
      <c r="AM4077">
        <v>88.268837724974802</v>
      </c>
      <c r="AN4077">
        <v>0.99999999096999603</v>
      </c>
    </row>
    <row r="4078" spans="1:40" x14ac:dyDescent="0.25">
      <c r="A4078" t="str">
        <f>"20190303170334668"</f>
        <v>20190303170334668</v>
      </c>
      <c r="B4078" t="str">
        <f>"1551603814659150"</f>
        <v>1551603814659150</v>
      </c>
      <c r="C4078" t="s">
        <v>40</v>
      </c>
      <c r="D4078">
        <v>4.0951879999999896</v>
      </c>
      <c r="E4078">
        <v>0.50901719999999995</v>
      </c>
      <c r="F4078" t="s">
        <v>62</v>
      </c>
      <c r="G4078">
        <v>-223.2431</v>
      </c>
      <c r="H4078" s="1">
        <v>3.2353630000000002E-7</v>
      </c>
      <c r="I4078">
        <v>211.53890000000001</v>
      </c>
      <c r="J4078">
        <v>-315.93650000000002</v>
      </c>
      <c r="K4078">
        <v>1.1211719999999901</v>
      </c>
      <c r="L4078">
        <v>214.92859999999999</v>
      </c>
      <c r="M4078">
        <v>0.99986450000000004</v>
      </c>
      <c r="N4078">
        <v>-1.492831E-2</v>
      </c>
      <c r="O4078">
        <v>6.9348169999999898E-3</v>
      </c>
      <c r="P4078">
        <v>0.98265720000000001</v>
      </c>
      <c r="Q4078">
        <v>0.18415899999999999</v>
      </c>
      <c r="R4078">
        <v>-2.1692599999999999E-2</v>
      </c>
      <c r="S4078">
        <v>3.0585330000000002</v>
      </c>
      <c r="T4078">
        <v>-3.684759E-2</v>
      </c>
      <c r="U4078">
        <v>-0.1113281</v>
      </c>
      <c r="V4078">
        <v>2.875542E-2</v>
      </c>
      <c r="W4078">
        <v>0.1987699</v>
      </c>
      <c r="X4078">
        <v>0.97962419999999995</v>
      </c>
      <c r="Y4078">
        <v>4.3298169999999997E-2</v>
      </c>
      <c r="Z4078">
        <v>-5.6408000000000001E-4</v>
      </c>
      <c r="AA4078">
        <v>0.99906209999999995</v>
      </c>
      <c r="AB4078">
        <v>38</v>
      </c>
      <c r="AC4078">
        <v>92.693399999999997</v>
      </c>
      <c r="AD4078">
        <v>-1.1211716764637001</v>
      </c>
      <c r="AE4078">
        <v>-3.3896999999999702</v>
      </c>
      <c r="AF4078">
        <v>4.0319128047088997</v>
      </c>
      <c r="AG4078">
        <v>-1.1211716764637001</v>
      </c>
      <c r="AH4078">
        <v>92.654123749547594</v>
      </c>
      <c r="AI4078">
        <v>90.692624797005493</v>
      </c>
      <c r="AJ4078">
        <v>87.508303708980606</v>
      </c>
      <c r="AK4078">
        <v>92.748584865696699</v>
      </c>
      <c r="AL4078">
        <v>78.534964187301696</v>
      </c>
      <c r="AM4078">
        <v>88.3186498943993</v>
      </c>
      <c r="AN4078">
        <v>0.99999996027551197</v>
      </c>
    </row>
    <row r="4079" spans="1:40" x14ac:dyDescent="0.25">
      <c r="A4079" t="str">
        <f>"20190303170334691"</f>
        <v>20190303170334691</v>
      </c>
      <c r="B4079" t="str">
        <f>"1551603814679646"</f>
        <v>1551603814679646</v>
      </c>
      <c r="C4079" t="s">
        <v>40</v>
      </c>
      <c r="D4079">
        <v>4.0232279999999996</v>
      </c>
      <c r="E4079">
        <v>0.50897009999999998</v>
      </c>
      <c r="F4079" t="s">
        <v>62</v>
      </c>
      <c r="G4079">
        <v>-235.29249999999999</v>
      </c>
      <c r="H4079" s="1">
        <v>1.3923790000000001E-6</v>
      </c>
      <c r="I4079">
        <v>212.03659999999999</v>
      </c>
      <c r="J4079">
        <v>-315.56020000000001</v>
      </c>
      <c r="K4079">
        <v>1.121173</v>
      </c>
      <c r="L4079">
        <v>214.9308</v>
      </c>
      <c r="M4079">
        <v>0.99986790000000003</v>
      </c>
      <c r="N4079">
        <v>-1.4924120000000001E-2</v>
      </c>
      <c r="O4079">
        <v>6.4689789999999997E-3</v>
      </c>
      <c r="P4079">
        <v>0.98290719999999998</v>
      </c>
      <c r="Q4079">
        <v>0.18273539999999999</v>
      </c>
      <c r="R4079">
        <v>-2.2400819999999998E-2</v>
      </c>
      <c r="S4079">
        <v>3.0584410000000002</v>
      </c>
      <c r="T4079">
        <v>-4.2520639999999998E-2</v>
      </c>
      <c r="U4079">
        <v>-0.10968020000000001</v>
      </c>
      <c r="V4079">
        <v>2.9002190000000001E-2</v>
      </c>
      <c r="W4079">
        <v>0.1973463</v>
      </c>
      <c r="X4079">
        <v>0.97990480000000002</v>
      </c>
      <c r="Y4079">
        <v>4.2294749999999999E-2</v>
      </c>
      <c r="Z4079">
        <v>-6.0304279999999998E-4</v>
      </c>
      <c r="AA4079">
        <v>0.99910500000000002</v>
      </c>
      <c r="AB4079">
        <v>38</v>
      </c>
      <c r="AC4079">
        <v>80.267700000000005</v>
      </c>
      <c r="AD4079">
        <v>-1.1211716076210001</v>
      </c>
      <c r="AE4079">
        <v>-2.8942000000000099</v>
      </c>
      <c r="AF4079">
        <v>3.4127822497384401</v>
      </c>
      <c r="AG4079">
        <v>-1.1211716076210001</v>
      </c>
      <c r="AH4079">
        <v>80.231662436337302</v>
      </c>
      <c r="AI4079">
        <v>90.799886143643604</v>
      </c>
      <c r="AJ4079">
        <v>87.564300574272906</v>
      </c>
      <c r="AK4079">
        <v>80.312039980044304</v>
      </c>
      <c r="AL4079">
        <v>78.618180001737201</v>
      </c>
      <c r="AM4079">
        <v>88.304714771587399</v>
      </c>
      <c r="AN4079">
        <v>1.00000005310576</v>
      </c>
    </row>
    <row r="4080" spans="1:40" x14ac:dyDescent="0.25">
      <c r="A4080" t="str">
        <f>"20190303170334714"</f>
        <v>20190303170334714</v>
      </c>
      <c r="B4080" t="str">
        <f>"1551603814709923"</f>
        <v>1551603814709923</v>
      </c>
      <c r="C4080" t="s">
        <v>40</v>
      </c>
      <c r="D4080">
        <v>4.14506</v>
      </c>
      <c r="E4080">
        <v>0.52179540000000002</v>
      </c>
      <c r="F4080" t="s">
        <v>62</v>
      </c>
      <c r="G4080">
        <v>-241.9923</v>
      </c>
      <c r="H4080" s="1">
        <v>-3.7314480000000001E-7</v>
      </c>
      <c r="I4080">
        <v>212.2499</v>
      </c>
      <c r="J4080">
        <v>-315.16480000000001</v>
      </c>
      <c r="K4080">
        <v>1.1211789999999999</v>
      </c>
      <c r="L4080">
        <v>214.93289999999999</v>
      </c>
      <c r="M4080">
        <v>0.99987090000000001</v>
      </c>
      <c r="N4080">
        <v>-1.4919689999999999E-2</v>
      </c>
      <c r="O4080">
        <v>5.9912569999999998E-3</v>
      </c>
      <c r="P4080">
        <v>0.98284159999999998</v>
      </c>
      <c r="Q4080">
        <v>0.1829993</v>
      </c>
      <c r="R4080">
        <v>-2.310678E-2</v>
      </c>
      <c r="S4080">
        <v>3.0583499999999999</v>
      </c>
      <c r="T4080">
        <v>-4.6609159999999997E-2</v>
      </c>
      <c r="U4080">
        <v>-0.1114502</v>
      </c>
      <c r="V4080">
        <v>2.9233930000000002E-2</v>
      </c>
      <c r="W4080">
        <v>0.19760520000000001</v>
      </c>
      <c r="X4080">
        <v>0.97984570000000004</v>
      </c>
      <c r="Y4080">
        <v>4.2394670000000002E-2</v>
      </c>
      <c r="Z4080">
        <v>-6.4124970000000001E-4</v>
      </c>
      <c r="AA4080">
        <v>0.99910069999999995</v>
      </c>
      <c r="AB4080">
        <v>38</v>
      </c>
      <c r="AC4080">
        <v>73.172499999999999</v>
      </c>
      <c r="AD4080">
        <v>-1.1211793731448001</v>
      </c>
      <c r="AE4080">
        <v>-2.6829999999999901</v>
      </c>
      <c r="AF4080">
        <v>3.1206641469543701</v>
      </c>
      <c r="AG4080">
        <v>-1.1211793731448001</v>
      </c>
      <c r="AH4080">
        <v>73.137962085810599</v>
      </c>
      <c r="AI4080">
        <v>90.877457214773401</v>
      </c>
      <c r="AJ4080">
        <v>87.556775012271999</v>
      </c>
      <c r="AK4080">
        <v>73.213093678455706</v>
      </c>
      <c r="AL4080">
        <v>78.603047725552997</v>
      </c>
      <c r="AM4080">
        <v>88.291073703848994</v>
      </c>
      <c r="AN4080">
        <v>1.0000000167693801</v>
      </c>
    </row>
    <row r="4081" spans="1:40" x14ac:dyDescent="0.25">
      <c r="A4081" t="str">
        <f>"20190303170334737"</f>
        <v>20190303170334737</v>
      </c>
      <c r="B4081" t="str">
        <f>"1551603814729443"</f>
        <v>1551603814729443</v>
      </c>
      <c r="C4081" t="s">
        <v>40</v>
      </c>
      <c r="D4081">
        <v>4.0594599999999996</v>
      </c>
      <c r="E4081">
        <v>0.55403669999999905</v>
      </c>
      <c r="F4081" t="s">
        <v>63</v>
      </c>
      <c r="G4081">
        <v>-293.05829999999997</v>
      </c>
      <c r="H4081" s="1">
        <v>1.4369130000000001E-6</v>
      </c>
      <c r="I4081">
        <v>213.41759999999999</v>
      </c>
      <c r="J4081">
        <v>-314.78739999999999</v>
      </c>
      <c r="K4081">
        <v>1.1211979999999999</v>
      </c>
      <c r="L4081">
        <v>214.93469999999999</v>
      </c>
      <c r="M4081">
        <v>0.99987329999999996</v>
      </c>
      <c r="N4081">
        <v>-1.491545E-2</v>
      </c>
      <c r="O4081">
        <v>5.5526839999999996E-3</v>
      </c>
      <c r="P4081">
        <v>0.98280559999999995</v>
      </c>
      <c r="Q4081">
        <v>0.1831682</v>
      </c>
      <c r="R4081">
        <v>-2.3293029999999999E-2</v>
      </c>
      <c r="S4081">
        <v>3.0764770000000001</v>
      </c>
      <c r="T4081">
        <v>-0.15603049999999999</v>
      </c>
      <c r="U4081">
        <v>-0.21087649999999999</v>
      </c>
      <c r="V4081">
        <v>2.8983439999999999E-2</v>
      </c>
      <c r="W4081">
        <v>0.19777069999999999</v>
      </c>
      <c r="X4081">
        <v>0.97981969999999996</v>
      </c>
      <c r="Y4081">
        <v>7.3797699999999994E-2</v>
      </c>
      <c r="Z4081">
        <v>-2.6179459999999999E-3</v>
      </c>
      <c r="AA4081">
        <v>0.99726979999999998</v>
      </c>
      <c r="AB4081">
        <v>38</v>
      </c>
      <c r="AC4081">
        <v>21.729099999999999</v>
      </c>
      <c r="AD4081">
        <v>-1.121196563087</v>
      </c>
      <c r="AE4081">
        <v>-1.5170999999999899</v>
      </c>
      <c r="AF4081">
        <v>1.6334170803079999</v>
      </c>
      <c r="AG4081">
        <v>-1.121196563087</v>
      </c>
      <c r="AH4081">
        <v>21.662943503238999</v>
      </c>
      <c r="AI4081">
        <v>92.954409604553007</v>
      </c>
      <c r="AJ4081">
        <v>85.687975338605597</v>
      </c>
      <c r="AK4081">
        <v>21.753350415874898</v>
      </c>
      <c r="AL4081">
        <v>78.593373795701595</v>
      </c>
      <c r="AM4081">
        <v>88.305663080238304</v>
      </c>
      <c r="AN4081">
        <v>0.99999996704040595</v>
      </c>
    </row>
    <row r="4082" spans="1:40" x14ac:dyDescent="0.25">
      <c r="A4082" t="str">
        <f>"20190303170334758"</f>
        <v>20190303170334758</v>
      </c>
      <c r="B4082" t="str">
        <f>"1551603814749940"</f>
        <v>1551603814749940</v>
      </c>
      <c r="C4082" t="s">
        <v>40</v>
      </c>
      <c r="D4082">
        <v>4.0707890000000004</v>
      </c>
      <c r="E4082">
        <v>0.55427769999999899</v>
      </c>
      <c r="F4082" t="s">
        <v>43</v>
      </c>
      <c r="G4082">
        <v>-313.79239999999999</v>
      </c>
      <c r="H4082">
        <v>0.95451509999999995</v>
      </c>
      <c r="I4082">
        <v>214.79140000000001</v>
      </c>
      <c r="J4082">
        <v>-314.4221</v>
      </c>
      <c r="K4082">
        <v>1.1212120000000001</v>
      </c>
      <c r="L4082">
        <v>214.93629999999999</v>
      </c>
      <c r="M4082">
        <v>0.99987570000000003</v>
      </c>
      <c r="N4082">
        <v>-1.491134E-2</v>
      </c>
      <c r="O4082">
        <v>5.1469549999999999E-3</v>
      </c>
      <c r="P4082">
        <v>0.98288629999999999</v>
      </c>
      <c r="Q4082">
        <v>0.1827443</v>
      </c>
      <c r="R4082">
        <v>-2.3221909999999998E-2</v>
      </c>
      <c r="S4082">
        <v>3.1398009999999998</v>
      </c>
      <c r="T4082">
        <v>-0.52595040000000004</v>
      </c>
      <c r="U4082">
        <v>-0.45237729999999998</v>
      </c>
      <c r="V4082">
        <v>2.8506009999999998E-2</v>
      </c>
      <c r="W4082">
        <v>0.1973463</v>
      </c>
      <c r="X4082">
        <v>0.97991930000000005</v>
      </c>
      <c r="Y4082">
        <v>0.14547209999999999</v>
      </c>
      <c r="Z4082">
        <v>-1.391324E-2</v>
      </c>
      <c r="AA4082">
        <v>0.98926449999999999</v>
      </c>
      <c r="AB4082">
        <v>38</v>
      </c>
      <c r="AC4082">
        <v>0.62970000000001303</v>
      </c>
      <c r="AD4082">
        <v>-0.16669690000000001</v>
      </c>
      <c r="AE4082">
        <v>-0.14489999999997799</v>
      </c>
      <c r="AF4082">
        <v>0.13889531997166099</v>
      </c>
      <c r="AG4082">
        <v>-0.16669690000000001</v>
      </c>
      <c r="AH4082">
        <v>0.589698483848903</v>
      </c>
      <c r="AI4082">
        <v>105.38436083401101</v>
      </c>
      <c r="AJ4082">
        <v>76.746339965969099</v>
      </c>
      <c r="AK4082">
        <v>0.62835027511200703</v>
      </c>
      <c r="AL4082">
        <v>78.618179327179305</v>
      </c>
      <c r="AM4082">
        <v>88.333726476274606</v>
      </c>
      <c r="AN4082">
        <v>0.99999999462114997</v>
      </c>
    </row>
    <row r="4083" spans="1:40" x14ac:dyDescent="0.25">
      <c r="A4083" t="str">
        <f>"20190303170334774"</f>
        <v>20190303170334774</v>
      </c>
      <c r="B4083" t="str">
        <f>"1551603814759699"</f>
        <v>1551603814759699</v>
      </c>
      <c r="C4083" t="s">
        <v>40</v>
      </c>
      <c r="D4083">
        <v>4.0698369999999997</v>
      </c>
      <c r="E4083">
        <v>0.55444569999999904</v>
      </c>
      <c r="F4083" t="s">
        <v>43</v>
      </c>
      <c r="G4083">
        <v>-313.46269999999998</v>
      </c>
      <c r="H4083">
        <v>0.94029249999999998</v>
      </c>
      <c r="I4083">
        <v>214.7988</v>
      </c>
      <c r="J4083">
        <v>-314.15230000000003</v>
      </c>
      <c r="K4083">
        <v>1.121232</v>
      </c>
      <c r="L4083">
        <v>214.9375</v>
      </c>
      <c r="M4083">
        <v>0.99987720000000002</v>
      </c>
      <c r="N4083">
        <v>-1.4908289999999999E-2</v>
      </c>
      <c r="O4083">
        <v>4.8565500000000003E-3</v>
      </c>
      <c r="P4083">
        <v>0.98295940000000004</v>
      </c>
      <c r="Q4083">
        <v>0.18236659999999999</v>
      </c>
      <c r="R4083">
        <v>-2.3094739999999999E-2</v>
      </c>
      <c r="S4083">
        <v>3.152161</v>
      </c>
      <c r="T4083">
        <v>-0.59454680000000004</v>
      </c>
      <c r="U4083">
        <v>-0.4505615</v>
      </c>
      <c r="V4083">
        <v>2.808722E-2</v>
      </c>
      <c r="W4083">
        <v>0.19696759999999999</v>
      </c>
      <c r="X4083">
        <v>0.98000759999999998</v>
      </c>
      <c r="Y4083">
        <v>0.1435505</v>
      </c>
      <c r="Z4083">
        <v>-1.5271089999999999E-2</v>
      </c>
      <c r="AA4083">
        <v>0.98952510000000005</v>
      </c>
      <c r="AB4083">
        <v>38</v>
      </c>
      <c r="AC4083">
        <v>0.68960000000004096</v>
      </c>
      <c r="AD4083">
        <v>-0.1809395</v>
      </c>
      <c r="AE4083">
        <v>-0.13869999999999999</v>
      </c>
      <c r="AF4083">
        <v>0.13323208192042801</v>
      </c>
      <c r="AG4083">
        <v>-0.1809395</v>
      </c>
      <c r="AH4083">
        <v>0.64616274398774098</v>
      </c>
      <c r="AI4083">
        <v>105.33642258176501</v>
      </c>
      <c r="AJ4083">
        <v>78.349475152609401</v>
      </c>
      <c r="AK4083">
        <v>0.68411708210720001</v>
      </c>
      <c r="AL4083">
        <v>78.640311850624201</v>
      </c>
      <c r="AM4083">
        <v>88.358340530554003</v>
      </c>
      <c r="AN4083">
        <v>1.0000000117174199</v>
      </c>
    </row>
    <row r="4084" spans="1:40" x14ac:dyDescent="0.25">
      <c r="A4084" t="str">
        <f>"20190303170334791"</f>
        <v>20190303170334791</v>
      </c>
      <c r="B4084" t="str">
        <f>"1551603814779219"</f>
        <v>1551603814779219</v>
      </c>
      <c r="C4084" t="s">
        <v>40</v>
      </c>
      <c r="D4084">
        <v>4.0316910000000004</v>
      </c>
      <c r="E4084">
        <v>0.55514619999999903</v>
      </c>
      <c r="F4084" t="s">
        <v>43</v>
      </c>
      <c r="G4084">
        <v>-313.44310000000002</v>
      </c>
      <c r="H4084">
        <v>0.98345159999999998</v>
      </c>
      <c r="I4084">
        <v>214.83590000000001</v>
      </c>
      <c r="J4084">
        <v>-313.86259999999999</v>
      </c>
      <c r="K4084">
        <v>1.121246</v>
      </c>
      <c r="L4084">
        <v>214.9385</v>
      </c>
      <c r="M4084">
        <v>0.99987870000000001</v>
      </c>
      <c r="N4084">
        <v>-1.490503E-2</v>
      </c>
      <c r="O4084">
        <v>4.5591570000000003E-3</v>
      </c>
      <c r="P4084">
        <v>0.98289439999999995</v>
      </c>
      <c r="Q4084">
        <v>0.1827358</v>
      </c>
      <c r="R4084">
        <v>-2.2949629999999999E-2</v>
      </c>
      <c r="S4084">
        <v>3.1551819999999999</v>
      </c>
      <c r="T4084">
        <v>-0.61310450000000005</v>
      </c>
      <c r="U4084">
        <v>-0.4504089</v>
      </c>
      <c r="V4084">
        <v>2.7642610000000001E-2</v>
      </c>
      <c r="W4084">
        <v>0.19733410000000001</v>
      </c>
      <c r="X4084">
        <v>0.97994650000000005</v>
      </c>
      <c r="Y4084">
        <v>0.14293159999999999</v>
      </c>
      <c r="Z4084">
        <v>-1.557834E-2</v>
      </c>
      <c r="AA4084">
        <v>0.98960999999999999</v>
      </c>
      <c r="AB4084">
        <v>38</v>
      </c>
      <c r="AC4084">
        <v>0.41949999999997001</v>
      </c>
      <c r="AD4084">
        <v>-0.13779439999999901</v>
      </c>
      <c r="AE4084">
        <v>-0.102599999999995</v>
      </c>
      <c r="AF4084">
        <v>9.4855021629158501E-2</v>
      </c>
      <c r="AG4084">
        <v>-0.13779439999999901</v>
      </c>
      <c r="AH4084">
        <v>0.38031041669965299</v>
      </c>
      <c r="AI4084">
        <v>109.369187370473</v>
      </c>
      <c r="AJ4084">
        <v>75.995321572126201</v>
      </c>
      <c r="AK4084">
        <v>0.41547657557303003</v>
      </c>
      <c r="AL4084">
        <v>78.618892441174594</v>
      </c>
      <c r="AM4084">
        <v>88.384212805037706</v>
      </c>
      <c r="AN4084">
        <v>1.00000000188633</v>
      </c>
    </row>
    <row r="4085" spans="1:40" x14ac:dyDescent="0.25">
      <c r="A4085" t="str">
        <f>"20190303170334815"</f>
        <v>20190303170334815</v>
      </c>
      <c r="B4085" t="str">
        <f>"1551603814809099"</f>
        <v>1551603814809099</v>
      </c>
      <c r="C4085" t="s">
        <v>40</v>
      </c>
      <c r="D4085">
        <v>4.0164249999999999</v>
      </c>
      <c r="E4085">
        <v>0.55563009999999902</v>
      </c>
      <c r="F4085" t="s">
        <v>43</v>
      </c>
      <c r="G4085">
        <v>-313.11290000000002</v>
      </c>
      <c r="H4085">
        <v>0.9711168</v>
      </c>
      <c r="I4085">
        <v>214.83029999999999</v>
      </c>
      <c r="J4085">
        <v>-313.471</v>
      </c>
      <c r="K4085">
        <v>1.121273</v>
      </c>
      <c r="L4085">
        <v>214.94</v>
      </c>
      <c r="M4085">
        <v>0.99988030000000006</v>
      </c>
      <c r="N4085">
        <v>-1.49006E-2</v>
      </c>
      <c r="O4085">
        <v>4.1862940000000001E-3</v>
      </c>
      <c r="P4085">
        <v>0.9828268</v>
      </c>
      <c r="Q4085">
        <v>0.18305830000000001</v>
      </c>
      <c r="R4085">
        <v>-2.3265569999999999E-2</v>
      </c>
      <c r="S4085">
        <v>3.1592099999999999</v>
      </c>
      <c r="T4085">
        <v>-0.63265169999999904</v>
      </c>
      <c r="U4085">
        <v>-0.4550476</v>
      </c>
      <c r="V4085">
        <v>2.7579670000000001E-2</v>
      </c>
      <c r="W4085">
        <v>0.19765379999999999</v>
      </c>
      <c r="X4085">
        <v>0.97988379999999997</v>
      </c>
      <c r="Y4085">
        <v>0.1436299</v>
      </c>
      <c r="Z4085">
        <v>-1.602029E-2</v>
      </c>
      <c r="AA4085">
        <v>0.98950179999999999</v>
      </c>
      <c r="AB4085">
        <v>38</v>
      </c>
      <c r="AC4085">
        <v>0.35809999999997899</v>
      </c>
      <c r="AD4085">
        <v>-0.15015619999999899</v>
      </c>
      <c r="AE4085">
        <v>-0.109700000000003</v>
      </c>
      <c r="AF4085">
        <v>9.5799543929304898E-2</v>
      </c>
      <c r="AG4085">
        <v>-0.15015619999999899</v>
      </c>
      <c r="AH4085">
        <v>0.308111826584128</v>
      </c>
      <c r="AI4085">
        <v>114.95574082678</v>
      </c>
      <c r="AJ4085">
        <v>72.728245817826704</v>
      </c>
      <c r="AK4085">
        <v>0.35588949787330199</v>
      </c>
      <c r="AL4085">
        <v>78.600206494263304</v>
      </c>
      <c r="AM4085">
        <v>88.387786778985003</v>
      </c>
      <c r="AN4085">
        <v>0.99999996217709297</v>
      </c>
    </row>
    <row r="4086" spans="1:40" x14ac:dyDescent="0.25">
      <c r="A4086" t="str">
        <f>"20190303170334838"</f>
        <v>20190303170334838</v>
      </c>
      <c r="B4086" t="str">
        <f>"1551603814829596"</f>
        <v>1551603814829596</v>
      </c>
      <c r="C4086" t="s">
        <v>40</v>
      </c>
      <c r="D4086">
        <v>4.0018260000000003</v>
      </c>
      <c r="E4086">
        <v>0.55574169999999901</v>
      </c>
      <c r="F4086" t="s">
        <v>43</v>
      </c>
      <c r="G4086">
        <v>-312.46620000000001</v>
      </c>
      <c r="H4086">
        <v>0.91542460000000003</v>
      </c>
      <c r="I4086">
        <v>214.7946</v>
      </c>
      <c r="J4086">
        <v>-313.08620000000002</v>
      </c>
      <c r="K4086">
        <v>1.1213059999999999</v>
      </c>
      <c r="L4086">
        <v>214.94120000000001</v>
      </c>
      <c r="M4086">
        <v>0.99988149999999998</v>
      </c>
      <c r="N4086">
        <v>-1.489621E-2</v>
      </c>
      <c r="O4086">
        <v>3.8671500000000002E-3</v>
      </c>
      <c r="P4086">
        <v>0.982626</v>
      </c>
      <c r="Q4086">
        <v>0.18408579999999999</v>
      </c>
      <c r="R4086">
        <v>-2.364047E-2</v>
      </c>
      <c r="S4086">
        <v>3.1622919999999999</v>
      </c>
      <c r="T4086">
        <v>-0.64787030000000001</v>
      </c>
      <c r="U4086">
        <v>-0.4572601</v>
      </c>
      <c r="V4086">
        <v>2.7625110000000001E-2</v>
      </c>
      <c r="W4086">
        <v>0.19867599999999999</v>
      </c>
      <c r="X4086">
        <v>0.97967579999999999</v>
      </c>
      <c r="Y4086">
        <v>0.14372260000000001</v>
      </c>
      <c r="Z4086">
        <v>-1.630918E-2</v>
      </c>
      <c r="AA4086">
        <v>0.98948360000000002</v>
      </c>
      <c r="AB4086">
        <v>38</v>
      </c>
      <c r="AC4086">
        <v>0.62000000000000399</v>
      </c>
      <c r="AD4086">
        <v>-0.20588139999999999</v>
      </c>
      <c r="AE4086">
        <v>-0.146600000000006</v>
      </c>
      <c r="AF4086">
        <v>0.13490835779136501</v>
      </c>
      <c r="AG4086">
        <v>-0.20588139999999999</v>
      </c>
      <c r="AH4086">
        <v>0.56085810829809901</v>
      </c>
      <c r="AI4086">
        <v>109.641634838895</v>
      </c>
      <c r="AJ4086">
        <v>76.475059262189902</v>
      </c>
      <c r="AK4086">
        <v>0.61249427222762298</v>
      </c>
      <c r="AL4086">
        <v>78.540454049940607</v>
      </c>
      <c r="AM4086">
        <v>88.384789237945995</v>
      </c>
      <c r="AN4086">
        <v>0.99999998639207599</v>
      </c>
    </row>
    <row r="4087" spans="1:40" x14ac:dyDescent="0.25">
      <c r="A4087" t="str">
        <f>"20190303170334858"</f>
        <v>20190303170334858</v>
      </c>
      <c r="B4087" t="str">
        <f>"1551603814849115"</f>
        <v>1551603814849115</v>
      </c>
      <c r="C4087" t="s">
        <v>40</v>
      </c>
      <c r="D4087">
        <v>3.9843199999999999</v>
      </c>
      <c r="E4087">
        <v>0.5558227</v>
      </c>
      <c r="F4087" t="s">
        <v>43</v>
      </c>
      <c r="G4087">
        <v>-312.12779999999998</v>
      </c>
      <c r="H4087">
        <v>0.9240718</v>
      </c>
      <c r="I4087">
        <v>214.80240000000001</v>
      </c>
      <c r="J4087">
        <v>-312.74360000000001</v>
      </c>
      <c r="K4087">
        <v>1.121346</v>
      </c>
      <c r="L4087">
        <v>214.94229999999999</v>
      </c>
      <c r="M4087">
        <v>0.99988270000000001</v>
      </c>
      <c r="N4087">
        <v>-1.4892320000000001E-2</v>
      </c>
      <c r="O4087">
        <v>3.6128699999999998E-3</v>
      </c>
      <c r="P4087">
        <v>0.98256049999999995</v>
      </c>
      <c r="Q4087">
        <v>0.18444949999999999</v>
      </c>
      <c r="R4087">
        <v>-2.352754E-2</v>
      </c>
      <c r="S4087">
        <v>3.1640320000000002</v>
      </c>
      <c r="T4087">
        <v>-0.65125489999999997</v>
      </c>
      <c r="U4087">
        <v>-0.45747379999999999</v>
      </c>
      <c r="V4087">
        <v>2.7247250000000001E-2</v>
      </c>
      <c r="W4087">
        <v>0.1990372</v>
      </c>
      <c r="X4087">
        <v>0.97961310000000001</v>
      </c>
      <c r="Y4087">
        <v>0.14344129999999899</v>
      </c>
      <c r="Z4087">
        <v>-1.6300519999999999E-2</v>
      </c>
      <c r="AA4087">
        <v>0.98952450000000003</v>
      </c>
      <c r="AB4087">
        <v>38</v>
      </c>
      <c r="AC4087">
        <v>0.61580000000003499</v>
      </c>
      <c r="AD4087">
        <v>-0.19727419999999901</v>
      </c>
      <c r="AE4087">
        <v>-0.13989999999998301</v>
      </c>
      <c r="AF4087">
        <v>0.12948745499269501</v>
      </c>
      <c r="AG4087">
        <v>-0.19727419999999901</v>
      </c>
      <c r="AH4087">
        <v>0.560583160656138</v>
      </c>
      <c r="AI4087">
        <v>108.925844786504</v>
      </c>
      <c r="AJ4087">
        <v>76.993534238391803</v>
      </c>
      <c r="AK4087">
        <v>0.60822495098224205</v>
      </c>
      <c r="AL4087">
        <v>78.519337500399402</v>
      </c>
      <c r="AM4087">
        <v>88.406768929843807</v>
      </c>
      <c r="AN4087">
        <v>1.000000022654</v>
      </c>
    </row>
    <row r="4088" spans="1:40" x14ac:dyDescent="0.25">
      <c r="A4088" t="str">
        <f>"20190303170334874"</f>
        <v>20190303170334874</v>
      </c>
      <c r="B4088" t="str">
        <f>"1551603814869612"</f>
        <v>1551603814869612</v>
      </c>
      <c r="C4088" t="s">
        <v>40</v>
      </c>
      <c r="D4088">
        <v>4.0084939999999998</v>
      </c>
      <c r="E4088">
        <v>0.55592149999999996</v>
      </c>
      <c r="F4088" t="s">
        <v>43</v>
      </c>
      <c r="G4088">
        <v>-311.79300000000001</v>
      </c>
      <c r="H4088">
        <v>0.92487039999999998</v>
      </c>
      <c r="I4088">
        <v>214.80459999999999</v>
      </c>
      <c r="J4088">
        <v>-312.47919999999999</v>
      </c>
      <c r="K4088">
        <v>1.1213770000000001</v>
      </c>
      <c r="L4088">
        <v>214.94309999999999</v>
      </c>
      <c r="M4088">
        <v>0.99988319999999997</v>
      </c>
      <c r="N4088">
        <v>-1.4889299999999999E-2</v>
      </c>
      <c r="O4088">
        <v>3.4353370000000001E-3</v>
      </c>
      <c r="P4088">
        <v>0.98248329999999995</v>
      </c>
      <c r="Q4088">
        <v>0.1848407</v>
      </c>
      <c r="R4088">
        <v>-2.367965E-2</v>
      </c>
      <c r="S4088">
        <v>3.1650999999999998</v>
      </c>
      <c r="T4088">
        <v>-0.65424419999999905</v>
      </c>
      <c r="U4088">
        <v>-0.45756530000000001</v>
      </c>
      <c r="V4088">
        <v>2.721297E-2</v>
      </c>
      <c r="W4088">
        <v>0.19942599999999999</v>
      </c>
      <c r="X4088">
        <v>0.97953500000000004</v>
      </c>
      <c r="Y4088">
        <v>0.14322799999999999</v>
      </c>
      <c r="Z4088">
        <v>-1.6307169999999999E-2</v>
      </c>
      <c r="AA4088">
        <v>0.98955539999999997</v>
      </c>
      <c r="AB4088">
        <v>37</v>
      </c>
      <c r="AC4088">
        <v>0.68619999999998504</v>
      </c>
      <c r="AD4088">
        <v>-0.1965066</v>
      </c>
      <c r="AE4088">
        <v>-0.13849999999999299</v>
      </c>
      <c r="AF4088">
        <v>0.13056833592563999</v>
      </c>
      <c r="AG4088">
        <v>-0.1965066</v>
      </c>
      <c r="AH4088">
        <v>0.635633852218638</v>
      </c>
      <c r="AI4088">
        <v>106.847766831537</v>
      </c>
      <c r="AJ4088">
        <v>78.392090739561098</v>
      </c>
      <c r="AK4088">
        <v>0.67800687922487701</v>
      </c>
      <c r="AL4088">
        <v>78.496605442774595</v>
      </c>
      <c r="AM4088">
        <v>88.408645550343095</v>
      </c>
      <c r="AN4088">
        <v>1.0000000457186</v>
      </c>
    </row>
    <row r="4089" spans="1:40" x14ac:dyDescent="0.25">
      <c r="A4089" t="str">
        <f>"20190303170334892"</f>
        <v>20190303170334892</v>
      </c>
      <c r="B4089" t="str">
        <f>"1551603814879371"</f>
        <v>1551603814879371</v>
      </c>
      <c r="C4089" t="s">
        <v>40</v>
      </c>
      <c r="D4089">
        <v>3.9586169999999998</v>
      </c>
      <c r="E4089">
        <v>0.55608369999999996</v>
      </c>
      <c r="F4089" t="s">
        <v>43</v>
      </c>
      <c r="G4089">
        <v>-311.77050000000003</v>
      </c>
      <c r="H4089">
        <v>0.97465009999999996</v>
      </c>
      <c r="I4089">
        <v>214.84020000000001</v>
      </c>
      <c r="J4089">
        <v>-312.18299999999999</v>
      </c>
      <c r="K4089">
        <v>1.1214029999999999</v>
      </c>
      <c r="L4089">
        <v>214.94390000000001</v>
      </c>
      <c r="M4089">
        <v>0.99988390000000005</v>
      </c>
      <c r="N4089">
        <v>-1.488594E-2</v>
      </c>
      <c r="O4089">
        <v>3.262207E-3</v>
      </c>
      <c r="P4089">
        <v>0.98250780000000004</v>
      </c>
      <c r="Q4089">
        <v>0.18469169999999999</v>
      </c>
      <c r="R4089">
        <v>-2.382242E-2</v>
      </c>
      <c r="S4089">
        <v>3.1657410000000001</v>
      </c>
      <c r="T4089">
        <v>-0.65552880000000002</v>
      </c>
      <c r="U4089">
        <v>-0.45857239999999999</v>
      </c>
      <c r="V4089">
        <v>2.7172350000000001E-2</v>
      </c>
      <c r="W4089">
        <v>0.19927600000000001</v>
      </c>
      <c r="X4089">
        <v>0.97956659999999995</v>
      </c>
      <c r="Y4089">
        <v>0.14332690000000001</v>
      </c>
      <c r="Z4089">
        <v>-1.6311099999999999E-2</v>
      </c>
      <c r="AA4089">
        <v>0.989541</v>
      </c>
      <c r="AB4089">
        <v>37</v>
      </c>
      <c r="AC4089">
        <v>0.41249999999996501</v>
      </c>
      <c r="AD4089">
        <v>-0.14675289999999999</v>
      </c>
      <c r="AE4089">
        <v>-0.103700000000003</v>
      </c>
      <c r="AF4089">
        <v>9.3870454565289793E-2</v>
      </c>
      <c r="AG4089">
        <v>-0.14675289999999999</v>
      </c>
      <c r="AH4089">
        <v>0.36831360393287998</v>
      </c>
      <c r="AI4089">
        <v>111.11171679385301</v>
      </c>
      <c r="AJ4089">
        <v>75.701680694264297</v>
      </c>
      <c r="AK4089">
        <v>0.40743464106618499</v>
      </c>
      <c r="AL4089">
        <v>78.505375225246894</v>
      </c>
      <c r="AM4089">
        <v>88.411070932550899</v>
      </c>
      <c r="AN4089">
        <v>0.99999999230804104</v>
      </c>
    </row>
    <row r="4090" spans="1:40" x14ac:dyDescent="0.25">
      <c r="A4090" t="str">
        <f>"20190303170334916"</f>
        <v>20190303170334916</v>
      </c>
      <c r="B4090" t="str">
        <f>"1551603814909758"</f>
        <v>1551603814909758</v>
      </c>
      <c r="C4090" t="s">
        <v>40</v>
      </c>
      <c r="D4090">
        <v>3.9924620000000002</v>
      </c>
      <c r="E4090">
        <v>0.55636169999999996</v>
      </c>
      <c r="F4090" t="s">
        <v>43</v>
      </c>
      <c r="G4090">
        <v>-311.43970000000002</v>
      </c>
      <c r="H4090">
        <v>0.96718979999999999</v>
      </c>
      <c r="I4090">
        <v>214.8355</v>
      </c>
      <c r="J4090">
        <v>-311.78379999999999</v>
      </c>
      <c r="K4090">
        <v>1.1214390000000001</v>
      </c>
      <c r="L4090">
        <v>214.94499999999999</v>
      </c>
      <c r="M4090">
        <v>0.99988480000000002</v>
      </c>
      <c r="N4090">
        <v>-1.4881399999999999E-2</v>
      </c>
      <c r="O4090">
        <v>3.0628449999999998E-3</v>
      </c>
      <c r="P4090">
        <v>0.98249470000000005</v>
      </c>
      <c r="Q4090">
        <v>0.18477299999999999</v>
      </c>
      <c r="R4090">
        <v>-2.374998E-2</v>
      </c>
      <c r="S4090">
        <v>3.1657410000000001</v>
      </c>
      <c r="T4090">
        <v>-0.65695309999999996</v>
      </c>
      <c r="U4090">
        <v>-0.46072390000000002</v>
      </c>
      <c r="V4090">
        <v>2.688625E-2</v>
      </c>
      <c r="W4090">
        <v>0.199355</v>
      </c>
      <c r="X4090">
        <v>0.97955840000000005</v>
      </c>
      <c r="Y4090">
        <v>0.143768799999999</v>
      </c>
      <c r="Z4090">
        <v>-1.6353340000000001E-2</v>
      </c>
      <c r="AA4090">
        <v>0.98947620000000003</v>
      </c>
      <c r="AB4090">
        <v>37</v>
      </c>
      <c r="AC4090">
        <v>0.34409999999996899</v>
      </c>
      <c r="AD4090">
        <v>-0.154249199999999</v>
      </c>
      <c r="AE4090">
        <v>-0.109499999999997</v>
      </c>
      <c r="AF4090">
        <v>9.34939521979294E-2</v>
      </c>
      <c r="AG4090">
        <v>-0.154249199999999</v>
      </c>
      <c r="AH4090">
        <v>0.29071671497752799</v>
      </c>
      <c r="AI4090">
        <v>116.798556789043</v>
      </c>
      <c r="AJ4090">
        <v>72.172306203559401</v>
      </c>
      <c r="AK4090">
        <v>0.34212591712051499</v>
      </c>
      <c r="AL4090">
        <v>78.500755951062601</v>
      </c>
      <c r="AM4090">
        <v>88.427779306812397</v>
      </c>
      <c r="AN4090">
        <v>0.999999972737311</v>
      </c>
    </row>
    <row r="4091" spans="1:40" x14ac:dyDescent="0.25">
      <c r="A4091" t="str">
        <f>"20190303170334939"</f>
        <v>20190303170334939</v>
      </c>
      <c r="B4091" t="str">
        <f>"1551603814929277"</f>
        <v>1551603814929277</v>
      </c>
      <c r="C4091" t="s">
        <v>40</v>
      </c>
      <c r="D4091">
        <v>3.9712860000000001</v>
      </c>
      <c r="E4091">
        <v>0.55694719999999998</v>
      </c>
      <c r="F4091" t="s">
        <v>43</v>
      </c>
      <c r="G4091">
        <v>-310.79500000000002</v>
      </c>
      <c r="H4091">
        <v>0.91556700000000002</v>
      </c>
      <c r="I4091">
        <v>214.8004</v>
      </c>
      <c r="J4091">
        <v>-311.41160000000002</v>
      </c>
      <c r="K4091">
        <v>1.1214740000000001</v>
      </c>
      <c r="L4091">
        <v>214.946</v>
      </c>
      <c r="M4091">
        <v>0.99988509999999997</v>
      </c>
      <c r="N4091">
        <v>-1.487716E-2</v>
      </c>
      <c r="O4091">
        <v>2.910574E-3</v>
      </c>
      <c r="P4091">
        <v>0.98240300000000003</v>
      </c>
      <c r="Q4091">
        <v>0.18533759999999999</v>
      </c>
      <c r="R4091">
        <v>-2.3121610000000001E-2</v>
      </c>
      <c r="S4091">
        <v>3.1662599999999999</v>
      </c>
      <c r="T4091">
        <v>-0.65936319999999904</v>
      </c>
      <c r="U4091">
        <v>-0.46247860000000002</v>
      </c>
      <c r="V4091">
        <v>2.6093459999999999E-2</v>
      </c>
      <c r="W4091">
        <v>0.19991709999999999</v>
      </c>
      <c r="X4091">
        <v>0.97946529999999998</v>
      </c>
      <c r="Y4091">
        <v>0.1441055</v>
      </c>
      <c r="Z4091">
        <v>-1.6413210000000001E-2</v>
      </c>
      <c r="AA4091">
        <v>0.98942620000000003</v>
      </c>
      <c r="AB4091">
        <v>37</v>
      </c>
      <c r="AC4091">
        <v>0.61660000000000503</v>
      </c>
      <c r="AD4091">
        <v>-0.20590700000000001</v>
      </c>
      <c r="AE4091">
        <v>-0.14560000000000101</v>
      </c>
      <c r="AF4091">
        <v>0.133312944306793</v>
      </c>
      <c r="AG4091">
        <v>-0.20590700000000001</v>
      </c>
      <c r="AH4091">
        <v>0.55730746806585796</v>
      </c>
      <c r="AI4091">
        <v>109.764880815814</v>
      </c>
      <c r="AJ4091">
        <v>76.547128786742405</v>
      </c>
      <c r="AK4091">
        <v>0.608902001746359</v>
      </c>
      <c r="AL4091">
        <v>78.467888628413803</v>
      </c>
      <c r="AM4091">
        <v>88.473971875171898</v>
      </c>
      <c r="AN4091">
        <v>0.99999999471563505</v>
      </c>
    </row>
    <row r="4092" spans="1:40" x14ac:dyDescent="0.25">
      <c r="A4092" t="str">
        <f>"20190303170334959"</f>
        <v>20190303170334959</v>
      </c>
      <c r="B4092" t="str">
        <f>"1551603814949774"</f>
        <v>1551603814949774</v>
      </c>
      <c r="C4092" t="s">
        <v>40</v>
      </c>
      <c r="D4092">
        <v>3.9680409999999999</v>
      </c>
      <c r="E4092">
        <v>0.55740199999999995</v>
      </c>
      <c r="F4092" t="s">
        <v>43</v>
      </c>
      <c r="G4092">
        <v>-310.45870000000002</v>
      </c>
      <c r="H4092">
        <v>0.92369029999999996</v>
      </c>
      <c r="I4092">
        <v>214.8057</v>
      </c>
      <c r="J4092">
        <v>-311.06360000000001</v>
      </c>
      <c r="K4092">
        <v>1.1215029999999999</v>
      </c>
      <c r="L4092">
        <v>214.9469</v>
      </c>
      <c r="M4092">
        <v>0.99988560000000004</v>
      </c>
      <c r="N4092">
        <v>-1.487318E-2</v>
      </c>
      <c r="O4092">
        <v>2.7860110000000001E-3</v>
      </c>
      <c r="P4092">
        <v>0.98224359999999999</v>
      </c>
      <c r="Q4092">
        <v>0.1863349</v>
      </c>
      <c r="R4092">
        <v>-2.1840020000000002E-2</v>
      </c>
      <c r="S4092">
        <v>3.166779</v>
      </c>
      <c r="T4092">
        <v>-0.65734680000000001</v>
      </c>
      <c r="U4092">
        <v>-0.46621699999999999</v>
      </c>
      <c r="V4092">
        <v>2.4678169999999999E-2</v>
      </c>
      <c r="W4092">
        <v>0.20091020000000001</v>
      </c>
      <c r="X4092">
        <v>0.97929880000000002</v>
      </c>
      <c r="Y4092">
        <v>0.14510339999999999</v>
      </c>
      <c r="Z4092">
        <v>-1.6449080000000001E-2</v>
      </c>
      <c r="AA4092">
        <v>0.98927969999999998</v>
      </c>
      <c r="AB4092">
        <v>37</v>
      </c>
      <c r="AC4092">
        <v>0.604899999999986</v>
      </c>
      <c r="AD4092">
        <v>-0.19781270000000001</v>
      </c>
      <c r="AE4092">
        <v>-0.14119999999999699</v>
      </c>
      <c r="AF4092">
        <v>0.129728557403747</v>
      </c>
      <c r="AG4092">
        <v>-0.19781270000000001</v>
      </c>
      <c r="AH4092">
        <v>0.54884360038695701</v>
      </c>
      <c r="AI4092">
        <v>109.32843430082301</v>
      </c>
      <c r="AJ4092">
        <v>76.701242981218897</v>
      </c>
      <c r="AK4092">
        <v>0.59765262533771701</v>
      </c>
      <c r="AL4092">
        <v>78.409810263762097</v>
      </c>
      <c r="AM4092">
        <v>88.556461215945504</v>
      </c>
      <c r="AN4092">
        <v>1.00000003011001</v>
      </c>
    </row>
    <row r="4093" spans="1:40" x14ac:dyDescent="0.25">
      <c r="A4093" t="str">
        <f>"20190303170334981"</f>
        <v>20190303170334981</v>
      </c>
      <c r="B4093" t="str">
        <f>"1551603814969294"</f>
        <v>1551603814969294</v>
      </c>
      <c r="C4093" t="s">
        <v>40</v>
      </c>
      <c r="D4093">
        <v>3.995625</v>
      </c>
      <c r="E4093">
        <v>0.55785879999999999</v>
      </c>
      <c r="F4093" t="s">
        <v>43</v>
      </c>
      <c r="G4093">
        <v>-310.12450000000001</v>
      </c>
      <c r="H4093">
        <v>0.9275196</v>
      </c>
      <c r="I4093">
        <v>214.8082</v>
      </c>
      <c r="J4093">
        <v>-310.6943</v>
      </c>
      <c r="K4093">
        <v>1.121524</v>
      </c>
      <c r="L4093">
        <v>214.9478</v>
      </c>
      <c r="M4093">
        <v>0.99988589999999999</v>
      </c>
      <c r="N4093">
        <v>-1.4868889999999999E-2</v>
      </c>
      <c r="O4093">
        <v>2.6677509999999999E-3</v>
      </c>
      <c r="P4093">
        <v>0.98217969999999999</v>
      </c>
      <c r="Q4093">
        <v>0.1867991</v>
      </c>
      <c r="R4093">
        <v>-2.0713289999999999E-2</v>
      </c>
      <c r="S4093">
        <v>3.1679689999999998</v>
      </c>
      <c r="T4093">
        <v>-0.65441329999999998</v>
      </c>
      <c r="U4093">
        <v>-0.46679690000000001</v>
      </c>
      <c r="V4093">
        <v>2.3425709999999999E-2</v>
      </c>
      <c r="W4093">
        <v>0.20137079999999999</v>
      </c>
      <c r="X4093">
        <v>0.97923490000000002</v>
      </c>
      <c r="Y4093">
        <v>0.14514199999999999</v>
      </c>
      <c r="Z4093">
        <v>-1.6357509999999999E-2</v>
      </c>
      <c r="AA4093">
        <v>0.98927560000000003</v>
      </c>
      <c r="AB4093">
        <v>37</v>
      </c>
      <c r="AC4093">
        <v>0.56979999999998598</v>
      </c>
      <c r="AD4093">
        <v>-0.19400439999999999</v>
      </c>
      <c r="AE4093">
        <v>-0.139600000000001</v>
      </c>
      <c r="AF4093">
        <v>0.12720814448530601</v>
      </c>
      <c r="AG4093">
        <v>-0.19400439999999999</v>
      </c>
      <c r="AH4093">
        <v>0.51329144199485899</v>
      </c>
      <c r="AI4093">
        <v>110.14622905349999</v>
      </c>
      <c r="AJ4093">
        <v>76.080926222145195</v>
      </c>
      <c r="AK4093">
        <v>0.56328298719907799</v>
      </c>
      <c r="AL4093">
        <v>78.382868582764601</v>
      </c>
      <c r="AM4093">
        <v>88.629605251906895</v>
      </c>
      <c r="AN4093">
        <v>0.99999997617982594</v>
      </c>
    </row>
    <row r="4094" spans="1:40" x14ac:dyDescent="0.25">
      <c r="A4094" t="str">
        <f>"20190303170335005"</f>
        <v>20190303170335005</v>
      </c>
      <c r="B4094" t="str">
        <f>"1551603814999550"</f>
        <v>1551603814999550</v>
      </c>
      <c r="C4094" t="s">
        <v>40</v>
      </c>
      <c r="D4094">
        <v>3.9679799999999998</v>
      </c>
      <c r="E4094">
        <v>0.55847209999999903</v>
      </c>
      <c r="F4094" t="s">
        <v>43</v>
      </c>
      <c r="G4094">
        <v>-309.78879999999998</v>
      </c>
      <c r="H4094">
        <v>0.93492790000000003</v>
      </c>
      <c r="I4094">
        <v>214.8143</v>
      </c>
      <c r="J4094">
        <v>-310.29579999999999</v>
      </c>
      <c r="K4094">
        <v>1.1215440000000001</v>
      </c>
      <c r="L4094">
        <v>214.9487</v>
      </c>
      <c r="M4094">
        <v>0.99988630000000001</v>
      </c>
      <c r="N4094">
        <v>-1.4864199999999999E-2</v>
      </c>
      <c r="O4094">
        <v>2.5497150000000001E-3</v>
      </c>
      <c r="P4094">
        <v>0.9821356</v>
      </c>
      <c r="Q4094">
        <v>0.18705140000000001</v>
      </c>
      <c r="R4094">
        <v>-2.0537260000000002E-2</v>
      </c>
      <c r="S4094">
        <v>3.1687319999999999</v>
      </c>
      <c r="T4094">
        <v>-0.65305299999999999</v>
      </c>
      <c r="U4094">
        <v>-0.46723940000000003</v>
      </c>
      <c r="V4094">
        <v>2.3125590000000001E-2</v>
      </c>
      <c r="W4094">
        <v>0.2016193</v>
      </c>
      <c r="X4094">
        <v>0.97919089999999998</v>
      </c>
      <c r="Y4094">
        <v>0.14514289999999999</v>
      </c>
      <c r="Z4094">
        <v>-1.6300129999999999E-2</v>
      </c>
      <c r="AA4094">
        <v>0.98927639999999994</v>
      </c>
      <c r="AB4094">
        <v>37</v>
      </c>
      <c r="AC4094">
        <v>0.507000000000005</v>
      </c>
      <c r="AD4094">
        <v>-0.18661610000000001</v>
      </c>
      <c r="AE4094">
        <v>-0.13439999999999899</v>
      </c>
      <c r="AF4094">
        <v>0.120445599099494</v>
      </c>
      <c r="AG4094">
        <v>-0.18661610000000001</v>
      </c>
      <c r="AH4094">
        <v>0.44972626356113499</v>
      </c>
      <c r="AI4094">
        <v>111.842323849035</v>
      </c>
      <c r="AJ4094">
        <v>75.006917108947704</v>
      </c>
      <c r="AK4094">
        <v>0.50158391447324702</v>
      </c>
      <c r="AL4094">
        <v>78.368332445873406</v>
      </c>
      <c r="AM4094">
        <v>88.647094818394095</v>
      </c>
      <c r="AN4094">
        <v>0.99999997684407305</v>
      </c>
    </row>
    <row r="4095" spans="1:40" x14ac:dyDescent="0.25">
      <c r="A4095" t="str">
        <f>"20190303170335020"</f>
        <v>20190303170335020</v>
      </c>
      <c r="B4095" t="str">
        <f>"1551603815009310"</f>
        <v>1551603815009310</v>
      </c>
      <c r="C4095" t="s">
        <v>40</v>
      </c>
      <c r="D4095">
        <v>3.957036</v>
      </c>
      <c r="E4095">
        <v>0.55862709999999904</v>
      </c>
      <c r="F4095" t="s">
        <v>43</v>
      </c>
      <c r="G4095">
        <v>-309.45119999999997</v>
      </c>
      <c r="H4095">
        <v>0.94760929999999999</v>
      </c>
      <c r="I4095">
        <v>214.8228</v>
      </c>
      <c r="J4095">
        <v>-310.06310000000002</v>
      </c>
      <c r="K4095">
        <v>1.121553</v>
      </c>
      <c r="L4095">
        <v>214.94929999999999</v>
      </c>
      <c r="M4095">
        <v>0.99988659999999996</v>
      </c>
      <c r="N4095">
        <v>-1.486151E-2</v>
      </c>
      <c r="O4095">
        <v>2.483177E-3</v>
      </c>
      <c r="P4095">
        <v>0.98215790000000003</v>
      </c>
      <c r="Q4095">
        <v>0.1868754</v>
      </c>
      <c r="R4095">
        <v>-2.1066390000000001E-2</v>
      </c>
      <c r="S4095">
        <v>3.169006</v>
      </c>
      <c r="T4095">
        <v>-0.652692099999999</v>
      </c>
      <c r="U4095">
        <v>-0.4713135</v>
      </c>
      <c r="V4095">
        <v>2.3585780000000001E-2</v>
      </c>
      <c r="W4095">
        <v>0.20144090000000001</v>
      </c>
      <c r="X4095">
        <v>0.97921670000000005</v>
      </c>
      <c r="Y4095">
        <v>0.14628969999999999</v>
      </c>
      <c r="Z4095">
        <v>-1.6401510000000001E-2</v>
      </c>
      <c r="AA4095">
        <v>0.98910580000000003</v>
      </c>
      <c r="AB4095">
        <v>37</v>
      </c>
      <c r="AC4095">
        <v>0.61190000000004796</v>
      </c>
      <c r="AD4095">
        <v>-0.17394369999999901</v>
      </c>
      <c r="AE4095">
        <v>-0.12649999999999201</v>
      </c>
      <c r="AF4095">
        <v>0.118811759878972</v>
      </c>
      <c r="AG4095">
        <v>-0.17394369999999901</v>
      </c>
      <c r="AH4095">
        <v>0.56759725996136401</v>
      </c>
      <c r="AI4095">
        <v>106.69688664762199</v>
      </c>
      <c r="AJ4095">
        <v>78.177318929774998</v>
      </c>
      <c r="AK4095">
        <v>0.60542488763749702</v>
      </c>
      <c r="AL4095">
        <v>78.378768818995397</v>
      </c>
      <c r="AM4095">
        <v>88.620219193243202</v>
      </c>
      <c r="AN4095">
        <v>1.0000000353849501</v>
      </c>
    </row>
    <row r="4096" spans="1:40" x14ac:dyDescent="0.25">
      <c r="A4096" t="str">
        <f>"20190303170335038"</f>
        <v>20190303170335038</v>
      </c>
      <c r="B4096" t="str">
        <f>"1551603815029806"</f>
        <v>1551603815029806</v>
      </c>
      <c r="C4096" t="s">
        <v>40</v>
      </c>
      <c r="D4096">
        <v>3.9887250000000001</v>
      </c>
      <c r="E4096">
        <v>0.5589594</v>
      </c>
      <c r="F4096" t="s">
        <v>43</v>
      </c>
      <c r="G4096">
        <v>-309.12810000000002</v>
      </c>
      <c r="H4096">
        <v>0.92862469999999997</v>
      </c>
      <c r="I4096">
        <v>214.8092</v>
      </c>
      <c r="J4096">
        <v>-309.74619999999999</v>
      </c>
      <c r="K4096">
        <v>1.1215619999999999</v>
      </c>
      <c r="L4096">
        <v>214.95</v>
      </c>
      <c r="M4096">
        <v>0.99988679999999996</v>
      </c>
      <c r="N4096">
        <v>-1.4857850000000001E-2</v>
      </c>
      <c r="O4096">
        <v>2.394663E-3</v>
      </c>
      <c r="P4096">
        <v>0.98214520000000005</v>
      </c>
      <c r="Q4096">
        <v>0.18687100000000001</v>
      </c>
      <c r="R4096">
        <v>-2.1689130000000001E-2</v>
      </c>
      <c r="S4096">
        <v>3.1687319999999999</v>
      </c>
      <c r="T4096">
        <v>-0.65379309999999902</v>
      </c>
      <c r="U4096">
        <v>-0.47409059999999997</v>
      </c>
      <c r="V4096">
        <v>2.4117880000000001E-2</v>
      </c>
      <c r="W4096">
        <v>0.2014329</v>
      </c>
      <c r="X4096">
        <v>0.9792054</v>
      </c>
      <c r="Y4096">
        <v>0.147037</v>
      </c>
      <c r="Z4096">
        <v>-1.6491869999999999E-2</v>
      </c>
      <c r="AA4096">
        <v>0.98899349999999997</v>
      </c>
      <c r="AB4096">
        <v>37</v>
      </c>
      <c r="AC4096">
        <v>0.61809999999996901</v>
      </c>
      <c r="AD4096">
        <v>-0.19293730000000001</v>
      </c>
      <c r="AE4096">
        <v>-0.14079999999998399</v>
      </c>
      <c r="AF4096">
        <v>0.130218009007803</v>
      </c>
      <c r="AG4096">
        <v>-0.19293730000000001</v>
      </c>
      <c r="AH4096">
        <v>0.56538983977797297</v>
      </c>
      <c r="AI4096">
        <v>108.394061414486</v>
      </c>
      <c r="AJ4096">
        <v>77.030071403893999</v>
      </c>
      <c r="AK4096">
        <v>0.61143045600085</v>
      </c>
      <c r="AL4096">
        <v>78.379236954158998</v>
      </c>
      <c r="AM4096">
        <v>88.589087225555502</v>
      </c>
      <c r="AN4096">
        <v>1.0000000503636299</v>
      </c>
    </row>
    <row r="4097" spans="1:40" x14ac:dyDescent="0.25">
      <c r="A4097" t="str">
        <f>"20190303170335061"</f>
        <v>20190303170335061</v>
      </c>
      <c r="B4097" t="str">
        <f>"1551603815049326"</f>
        <v>1551603815049326</v>
      </c>
      <c r="C4097" t="s">
        <v>40</v>
      </c>
      <c r="D4097">
        <v>4.0389850000000003</v>
      </c>
      <c r="E4097">
        <v>0.54260180000000002</v>
      </c>
      <c r="F4097" t="s">
        <v>43</v>
      </c>
      <c r="G4097">
        <v>-308.79790000000003</v>
      </c>
      <c r="H4097">
        <v>0.92571769999999998</v>
      </c>
      <c r="I4097">
        <v>214.8066</v>
      </c>
      <c r="J4097">
        <v>-309.38740000000001</v>
      </c>
      <c r="K4097">
        <v>1.121569</v>
      </c>
      <c r="L4097">
        <v>214.95070000000001</v>
      </c>
      <c r="M4097">
        <v>0.99988710000000003</v>
      </c>
      <c r="N4097">
        <v>-1.4853720000000001E-2</v>
      </c>
      <c r="O4097">
        <v>2.2941070000000001E-3</v>
      </c>
      <c r="P4097">
        <v>0.98210249999999999</v>
      </c>
      <c r="Q4097">
        <v>0.1870192</v>
      </c>
      <c r="R4097">
        <v>-2.2335029999999999E-2</v>
      </c>
      <c r="S4097">
        <v>3.1684570000000001</v>
      </c>
      <c r="T4097">
        <v>-0.65440959999999904</v>
      </c>
      <c r="U4097">
        <v>-0.47828670000000001</v>
      </c>
      <c r="V4097">
        <v>2.466132E-2</v>
      </c>
      <c r="W4097">
        <v>0.2015768</v>
      </c>
      <c r="X4097">
        <v>0.97916219999999998</v>
      </c>
      <c r="Y4097">
        <v>0.14820120000000001</v>
      </c>
      <c r="Z4097">
        <v>-1.6613909999999999E-2</v>
      </c>
      <c r="AA4097">
        <v>0.98881770000000002</v>
      </c>
      <c r="AB4097">
        <v>37</v>
      </c>
      <c r="AC4097">
        <v>0.58949999999998604</v>
      </c>
      <c r="AD4097">
        <v>-0.19585130000000001</v>
      </c>
      <c r="AE4097">
        <v>-0.144100000000008</v>
      </c>
      <c r="AF4097">
        <v>0.131731623382741</v>
      </c>
      <c r="AG4097">
        <v>-0.19585130000000001</v>
      </c>
      <c r="AH4097">
        <v>0.533591542008089</v>
      </c>
      <c r="AI4097">
        <v>109.61325970069601</v>
      </c>
      <c r="AJ4097">
        <v>76.132274434642596</v>
      </c>
      <c r="AK4097">
        <v>0.58346455420471999</v>
      </c>
      <c r="AL4097">
        <v>78.370818839044702</v>
      </c>
      <c r="AM4097">
        <v>88.557245271430602</v>
      </c>
      <c r="AN4097">
        <v>1.00000000045561</v>
      </c>
    </row>
    <row r="4098" spans="1:40" x14ac:dyDescent="0.25">
      <c r="A4098" t="str">
        <f>"20190303170335083"</f>
        <v>20190303170335083</v>
      </c>
      <c r="B4098" t="str">
        <f>"1551603815069822"</f>
        <v>1551603815069822</v>
      </c>
      <c r="C4098" t="s">
        <v>40</v>
      </c>
      <c r="D4098">
        <v>3.9051840000000002</v>
      </c>
      <c r="E4098">
        <v>0.5324624</v>
      </c>
      <c r="F4098" t="s">
        <v>43</v>
      </c>
      <c r="G4098">
        <v>-308.45139999999998</v>
      </c>
      <c r="H4098">
        <v>0.96188510000000005</v>
      </c>
      <c r="I4098">
        <v>214.8449</v>
      </c>
      <c r="J4098">
        <v>-309.01749999999998</v>
      </c>
      <c r="K4098">
        <v>1.121569</v>
      </c>
      <c r="L4098">
        <v>214.95140000000001</v>
      </c>
      <c r="M4098">
        <v>0.99988750000000004</v>
      </c>
      <c r="N4098">
        <v>-1.484944E-2</v>
      </c>
      <c r="O4098">
        <v>2.1893609999999999E-3</v>
      </c>
      <c r="P4098">
        <v>0.98216479999999995</v>
      </c>
      <c r="Q4098">
        <v>0.1866439</v>
      </c>
      <c r="R4098">
        <v>-2.272923E-2</v>
      </c>
      <c r="S4098">
        <v>3.1488649999999998</v>
      </c>
      <c r="T4098">
        <v>-0.53722139999999996</v>
      </c>
      <c r="U4098">
        <v>-0.35530089999999998</v>
      </c>
      <c r="V4098">
        <v>2.4949430000000002E-2</v>
      </c>
      <c r="W4098">
        <v>0.2011985</v>
      </c>
      <c r="X4098">
        <v>0.97923269999999996</v>
      </c>
      <c r="Y4098">
        <v>0.1125237</v>
      </c>
      <c r="Z4098">
        <v>-1.0682469999999999E-2</v>
      </c>
      <c r="AA4098">
        <v>0.99359160000000002</v>
      </c>
      <c r="AB4098">
        <v>37</v>
      </c>
      <c r="AC4098">
        <v>0.56610000000000504</v>
      </c>
      <c r="AD4098">
        <v>-0.15968389999999999</v>
      </c>
      <c r="AE4098">
        <v>-0.106500000000011</v>
      </c>
      <c r="AF4098">
        <v>0.10005061841410499</v>
      </c>
      <c r="AG4098">
        <v>-0.15968389999999999</v>
      </c>
      <c r="AH4098">
        <v>0.52548326910555099</v>
      </c>
      <c r="AI4098">
        <v>106.62128241068299</v>
      </c>
      <c r="AJ4098">
        <v>79.220061637314501</v>
      </c>
      <c r="AK4098">
        <v>0.55824881573910401</v>
      </c>
      <c r="AL4098">
        <v>78.392947149888002</v>
      </c>
      <c r="AM4098">
        <v>88.540502335934306</v>
      </c>
      <c r="AN4098">
        <v>0.99999999560443198</v>
      </c>
    </row>
    <row r="4099" spans="1:40" x14ac:dyDescent="0.25">
      <c r="A4099" t="str">
        <f>"20190303170335105"</f>
        <v>20190303170335105</v>
      </c>
      <c r="B4099" t="str">
        <f>"1551603815089342"</f>
        <v>1551603815089342</v>
      </c>
      <c r="C4099" t="s">
        <v>40</v>
      </c>
      <c r="D4099">
        <v>3.8585039999999999</v>
      </c>
      <c r="E4099">
        <v>0.52876279999999998</v>
      </c>
      <c r="F4099" t="s">
        <v>43</v>
      </c>
      <c r="G4099">
        <v>-308.09449999999998</v>
      </c>
      <c r="H4099">
        <v>1.0160480000000001</v>
      </c>
      <c r="I4099">
        <v>214.86689999999999</v>
      </c>
      <c r="J4099">
        <v>-308.64069999999998</v>
      </c>
      <c r="K4099">
        <v>1.1215679999999999</v>
      </c>
      <c r="L4099">
        <v>214.9521</v>
      </c>
      <c r="M4099">
        <v>0.99988779999999999</v>
      </c>
      <c r="N4099">
        <v>-1.484507E-2</v>
      </c>
      <c r="O4099">
        <v>2.081374E-3</v>
      </c>
      <c r="P4099">
        <v>0.98226610000000003</v>
      </c>
      <c r="Q4099">
        <v>0.18605260000000001</v>
      </c>
      <c r="R4099">
        <v>-2.3196769999999999E-2</v>
      </c>
      <c r="S4099">
        <v>3.11557</v>
      </c>
      <c r="T4099">
        <v>-0.3562554</v>
      </c>
      <c r="U4099">
        <v>-0.28495789999999999</v>
      </c>
      <c r="V4099">
        <v>2.5308279999999999E-2</v>
      </c>
      <c r="W4099">
        <v>0.2006047</v>
      </c>
      <c r="X4099">
        <v>0.97934529999999997</v>
      </c>
      <c r="Y4099">
        <v>9.2468679999999998E-2</v>
      </c>
      <c r="Z4099">
        <v>-6.1550240000000003E-3</v>
      </c>
      <c r="AA4099">
        <v>0.99569649999999998</v>
      </c>
      <c r="AB4099">
        <v>37</v>
      </c>
      <c r="AC4099">
        <v>0.54619999999999802</v>
      </c>
      <c r="AD4099">
        <v>-0.10552</v>
      </c>
      <c r="AE4099">
        <v>-8.5200000000014597E-2</v>
      </c>
      <c r="AF4099">
        <v>8.3301644696942803E-2</v>
      </c>
      <c r="AG4099">
        <v>-0.10552</v>
      </c>
      <c r="AH4099">
        <v>0.52682625308333297</v>
      </c>
      <c r="AI4099">
        <v>101.190656790844</v>
      </c>
      <c r="AJ4099">
        <v>81.014794130475806</v>
      </c>
      <c r="AK4099">
        <v>0.54370905394984903</v>
      </c>
      <c r="AL4099">
        <v>78.427677369915102</v>
      </c>
      <c r="AM4099">
        <v>88.519689662205394</v>
      </c>
      <c r="AN4099">
        <v>0.99999998566536896</v>
      </c>
    </row>
    <row r="4100" spans="1:40" x14ac:dyDescent="0.25">
      <c r="A4100" t="str">
        <f>"20190303170335128"</f>
        <v>20190303170335128</v>
      </c>
      <c r="B4100" t="str">
        <f>"1551603815119599"</f>
        <v>1551603815119599</v>
      </c>
      <c r="C4100" t="s">
        <v>40</v>
      </c>
      <c r="D4100">
        <v>3.8967869999999998</v>
      </c>
      <c r="E4100">
        <v>0.52690499999999996</v>
      </c>
      <c r="F4100" t="s">
        <v>43</v>
      </c>
      <c r="G4100">
        <v>-307.74509999999998</v>
      </c>
      <c r="H4100">
        <v>1.0497590000000001</v>
      </c>
      <c r="I4100">
        <v>214.87610000000001</v>
      </c>
      <c r="J4100">
        <v>-308.26749999999998</v>
      </c>
      <c r="K4100">
        <v>1.12157</v>
      </c>
      <c r="L4100">
        <v>214.9528</v>
      </c>
      <c r="M4100">
        <v>0.999888</v>
      </c>
      <c r="N4100">
        <v>-1.484078E-2</v>
      </c>
      <c r="O4100">
        <v>1.9738970000000001E-3</v>
      </c>
      <c r="P4100">
        <v>0.98239030000000005</v>
      </c>
      <c r="Q4100">
        <v>0.185312</v>
      </c>
      <c r="R4100">
        <v>-2.3853119999999998E-2</v>
      </c>
      <c r="S4100">
        <v>3.0949710000000001</v>
      </c>
      <c r="T4100">
        <v>-0.24822659999999999</v>
      </c>
      <c r="U4100">
        <v>-0.26229859999999999</v>
      </c>
      <c r="V4100">
        <v>2.585722E-2</v>
      </c>
      <c r="W4100">
        <v>0.19986190000000001</v>
      </c>
      <c r="X4100">
        <v>0.97948279999999999</v>
      </c>
      <c r="Y4100">
        <v>8.6084209999999994E-2</v>
      </c>
      <c r="Z4100">
        <v>-4.2101839999999996E-3</v>
      </c>
      <c r="AA4100">
        <v>0.99627889999999997</v>
      </c>
      <c r="AB4100">
        <v>37</v>
      </c>
      <c r="AC4100">
        <v>0.52240000000000397</v>
      </c>
      <c r="AD4100">
        <v>-7.1811E-2</v>
      </c>
      <c r="AE4100">
        <v>-7.6699999999988194E-2</v>
      </c>
      <c r="AF4100">
        <v>7.6319409376610997E-2</v>
      </c>
      <c r="AG4100">
        <v>-7.1811E-2</v>
      </c>
      <c r="AH4100">
        <v>0.51276273755854895</v>
      </c>
      <c r="AI4100">
        <v>97.886498162177503</v>
      </c>
      <c r="AJ4100">
        <v>81.534267495098703</v>
      </c>
      <c r="AK4100">
        <v>0.52336134457670103</v>
      </c>
      <c r="AL4100">
        <v>78.471116153914295</v>
      </c>
      <c r="AM4100">
        <v>88.487808499095905</v>
      </c>
      <c r="AN4100">
        <v>0.99999996519678802</v>
      </c>
    </row>
    <row r="4101" spans="1:40" x14ac:dyDescent="0.25">
      <c r="A4101" t="str">
        <f>"20190303170335149"</f>
        <v>20190303170335149</v>
      </c>
      <c r="B4101" t="str">
        <f>"1551603815139118"</f>
        <v>1551603815139118</v>
      </c>
      <c r="C4101" t="s">
        <v>40</v>
      </c>
      <c r="D4101">
        <v>3.9162910000000002</v>
      </c>
      <c r="E4101">
        <v>0.52657730000000003</v>
      </c>
      <c r="F4101" t="s">
        <v>63</v>
      </c>
      <c r="G4101">
        <v>-288.6275</v>
      </c>
      <c r="H4101" s="1">
        <v>3.4167599999999998E-6</v>
      </c>
      <c r="I4101">
        <v>213.34309999999999</v>
      </c>
      <c r="J4101">
        <v>-307.91480000000001</v>
      </c>
      <c r="K4101">
        <v>1.121575</v>
      </c>
      <c r="L4101">
        <v>214.95339999999999</v>
      </c>
      <c r="M4101">
        <v>0.9998882</v>
      </c>
      <c r="N4101">
        <v>-1.4836759999999999E-2</v>
      </c>
      <c r="O4101">
        <v>1.8722369999999999E-3</v>
      </c>
      <c r="P4101">
        <v>0.98239580000000004</v>
      </c>
      <c r="Q4101">
        <v>0.18525420000000001</v>
      </c>
      <c r="R4101">
        <v>-2.4070609999999999E-2</v>
      </c>
      <c r="S4101">
        <v>3.0808719999999998</v>
      </c>
      <c r="T4101">
        <v>-0.1759367</v>
      </c>
      <c r="U4101">
        <v>-0.25251770000000001</v>
      </c>
      <c r="V4101">
        <v>2.5973590000000001E-2</v>
      </c>
      <c r="W4101">
        <v>0.1998007</v>
      </c>
      <c r="X4101">
        <v>0.97949219999999904</v>
      </c>
      <c r="Y4101">
        <v>8.3383280000000004E-2</v>
      </c>
      <c r="Z4101">
        <v>-3.0741449999999999E-3</v>
      </c>
      <c r="AA4101">
        <v>0.99651279999999998</v>
      </c>
      <c r="AB4101">
        <v>37</v>
      </c>
      <c r="AC4101">
        <v>19.287299999999998</v>
      </c>
      <c r="AD4101">
        <v>-1.1215715832399999</v>
      </c>
      <c r="AE4101">
        <v>-1.6102999999999901</v>
      </c>
      <c r="AF4101">
        <v>1.64090122873666</v>
      </c>
      <c r="AG4101">
        <v>-1.1215715832399999</v>
      </c>
      <c r="AH4101">
        <v>19.219709183874599</v>
      </c>
      <c r="AI4101">
        <v>93.327645619199501</v>
      </c>
      <c r="AJ4101">
        <v>85.120151041551097</v>
      </c>
      <c r="AK4101">
        <v>19.322207450793901</v>
      </c>
      <c r="AL4101">
        <v>78.474694758160595</v>
      </c>
      <c r="AM4101">
        <v>88.481020657712094</v>
      </c>
      <c r="AN4101">
        <v>0.99999995847940804</v>
      </c>
    </row>
    <row r="4102" spans="1:40" x14ac:dyDescent="0.25">
      <c r="A4102" t="str">
        <f>"20190303170335172"</f>
        <v>20190303170335172</v>
      </c>
      <c r="B4102" t="str">
        <f>"1551603815159615"</f>
        <v>1551603815159615</v>
      </c>
      <c r="C4102" t="s">
        <v>40</v>
      </c>
      <c r="D4102">
        <v>3.9181900000000001</v>
      </c>
      <c r="E4102">
        <v>0.52633660000000004</v>
      </c>
      <c r="F4102" t="s">
        <v>63</v>
      </c>
      <c r="G4102">
        <v>-284.88330000000002</v>
      </c>
      <c r="H4102" s="1">
        <v>5.110459E-6</v>
      </c>
      <c r="I4102">
        <v>213.0635</v>
      </c>
      <c r="J4102">
        <v>-307.54360000000003</v>
      </c>
      <c r="K4102">
        <v>1.1215900000000001</v>
      </c>
      <c r="L4102">
        <v>214.95400000000001</v>
      </c>
      <c r="M4102">
        <v>0.99988840000000001</v>
      </c>
      <c r="N4102">
        <v>-1.483256E-2</v>
      </c>
      <c r="O4102">
        <v>1.765382E-3</v>
      </c>
      <c r="P4102">
        <v>0.9823345</v>
      </c>
      <c r="Q4102">
        <v>0.1856756</v>
      </c>
      <c r="R4102">
        <v>-2.33124E-2</v>
      </c>
      <c r="S4102">
        <v>3.0758359999999998</v>
      </c>
      <c r="T4102">
        <v>-0.14978520000000001</v>
      </c>
      <c r="U4102">
        <v>-0.2523956</v>
      </c>
      <c r="V4102">
        <v>2.5109360000000001E-2</v>
      </c>
      <c r="W4102">
        <v>0.20021700000000001</v>
      </c>
      <c r="X4102">
        <v>0.97942980000000002</v>
      </c>
      <c r="Y4102">
        <v>8.3412929999999996E-2</v>
      </c>
      <c r="Z4102">
        <v>-2.7061989999999998E-3</v>
      </c>
      <c r="AA4102">
        <v>0.99651140000000005</v>
      </c>
      <c r="AB4102">
        <v>37</v>
      </c>
      <c r="AC4102">
        <v>22.660299999999999</v>
      </c>
      <c r="AD4102">
        <v>-1.1215848895410001</v>
      </c>
      <c r="AE4102">
        <v>-1.8905000000000001</v>
      </c>
      <c r="AF4102">
        <v>1.9258202522388099</v>
      </c>
      <c r="AG4102">
        <v>-1.1215848895410001</v>
      </c>
      <c r="AH4102">
        <v>22.6019390543855</v>
      </c>
      <c r="AI4102">
        <v>92.830640650869796</v>
      </c>
      <c r="AJ4102">
        <v>85.129820445285105</v>
      </c>
      <c r="AK4102">
        <v>22.711547400530399</v>
      </c>
      <c r="AL4102">
        <v>78.4503514670849</v>
      </c>
      <c r="AM4102">
        <v>88.531446259539607</v>
      </c>
      <c r="AN4102">
        <v>1.0000000300883201</v>
      </c>
    </row>
    <row r="4103" spans="1:40" x14ac:dyDescent="0.25">
      <c r="A4103" t="str">
        <f>"20190303170335193"</f>
        <v>20190303170335193</v>
      </c>
      <c r="B4103" t="str">
        <f>"1551603815179134"</f>
        <v>1551603815179134</v>
      </c>
      <c r="C4103" t="s">
        <v>40</v>
      </c>
      <c r="D4103">
        <v>3.9240879999999998</v>
      </c>
      <c r="E4103">
        <v>0.52613710000000002</v>
      </c>
      <c r="F4103" t="s">
        <v>63</v>
      </c>
      <c r="G4103">
        <v>-281.15649999999999</v>
      </c>
      <c r="H4103" s="1">
        <v>6.7933239999999996E-6</v>
      </c>
      <c r="I4103">
        <v>212.81039999999999</v>
      </c>
      <c r="J4103">
        <v>-307.18259999999998</v>
      </c>
      <c r="K4103">
        <v>1.1215949999999999</v>
      </c>
      <c r="L4103">
        <v>214.9546</v>
      </c>
      <c r="M4103">
        <v>0.99988880000000002</v>
      </c>
      <c r="N4103">
        <v>-1.482848E-2</v>
      </c>
      <c r="O4103">
        <v>1.6614959999999999E-3</v>
      </c>
      <c r="P4103">
        <v>0.98234350000000004</v>
      </c>
      <c r="Q4103">
        <v>0.18579319999999999</v>
      </c>
      <c r="R4103">
        <v>-2.197122E-2</v>
      </c>
      <c r="S4103">
        <v>3.0727229999999999</v>
      </c>
      <c r="T4103">
        <v>-0.1306059</v>
      </c>
      <c r="U4103">
        <v>-0.24961849999999999</v>
      </c>
      <c r="V4103">
        <v>2.366538E-2</v>
      </c>
      <c r="W4103">
        <v>0.2003315</v>
      </c>
      <c r="X4103">
        <v>0.97944229999999999</v>
      </c>
      <c r="Y4103">
        <v>8.2525630000000003E-2</v>
      </c>
      <c r="Z4103">
        <v>-2.4093629999999999E-3</v>
      </c>
      <c r="AA4103">
        <v>0.99658599999999997</v>
      </c>
      <c r="AB4103">
        <v>37</v>
      </c>
      <c r="AC4103">
        <v>26.0260999999999</v>
      </c>
      <c r="AD4103">
        <v>-1.1215882066759999</v>
      </c>
      <c r="AE4103">
        <v>-2.1442000000000099</v>
      </c>
      <c r="AF4103">
        <v>2.1834164400307601</v>
      </c>
      <c r="AG4103">
        <v>-1.1215882066759999</v>
      </c>
      <c r="AH4103">
        <v>25.9745874201015</v>
      </c>
      <c r="AI4103">
        <v>92.463829348473496</v>
      </c>
      <c r="AJ4103">
        <v>85.195029168825499</v>
      </c>
      <c r="AK4103">
        <v>26.0903135109651</v>
      </c>
      <c r="AL4103">
        <v>78.443654963411504</v>
      </c>
      <c r="AM4103">
        <v>88.615883119862502</v>
      </c>
      <c r="AN4103">
        <v>0.99999998956604197</v>
      </c>
    </row>
    <row r="4104" spans="1:40" x14ac:dyDescent="0.25">
      <c r="A4104" t="str">
        <f>"20190303170335217"</f>
        <v>20190303170335217</v>
      </c>
      <c r="B4104" t="str">
        <f>"1551603815209390"</f>
        <v>1551603815209390</v>
      </c>
      <c r="C4104" t="s">
        <v>40</v>
      </c>
      <c r="D4104">
        <v>3.9352800000000001</v>
      </c>
      <c r="E4104">
        <v>0.52570309999999998</v>
      </c>
      <c r="F4104" t="s">
        <v>62</v>
      </c>
      <c r="G4104">
        <v>-277.87329999999997</v>
      </c>
      <c r="H4104" s="1">
        <v>2.7403050000000002E-6</v>
      </c>
      <c r="I4104">
        <v>212.61869999999999</v>
      </c>
      <c r="J4104">
        <v>-306.80630000000002</v>
      </c>
      <c r="K4104">
        <v>1.121602</v>
      </c>
      <c r="L4104">
        <v>214.95509999999999</v>
      </c>
      <c r="M4104">
        <v>0.99988889999999997</v>
      </c>
      <c r="N4104">
        <v>-1.4824240000000001E-2</v>
      </c>
      <c r="O4104">
        <v>1.553434E-3</v>
      </c>
      <c r="P4104">
        <v>0.98227909999999996</v>
      </c>
      <c r="Q4104">
        <v>0.18626210000000001</v>
      </c>
      <c r="R4104">
        <v>-2.0845700000000002E-2</v>
      </c>
      <c r="S4104">
        <v>3.0706479999999998</v>
      </c>
      <c r="T4104">
        <v>-0.1175057</v>
      </c>
      <c r="U4104">
        <v>-0.24472050000000001</v>
      </c>
      <c r="V4104">
        <v>2.2432980000000002E-2</v>
      </c>
      <c r="W4104">
        <v>0.2007958</v>
      </c>
      <c r="X4104">
        <v>0.97937629999999998</v>
      </c>
      <c r="Y4104">
        <v>8.0911179999999999E-2</v>
      </c>
      <c r="Z4104">
        <v>-2.1824679999999999E-3</v>
      </c>
      <c r="AA4104">
        <v>0.99671889999999996</v>
      </c>
      <c r="AB4104">
        <v>37</v>
      </c>
      <c r="AC4104">
        <v>28.933</v>
      </c>
      <c r="AD4104">
        <v>-1.121599259695</v>
      </c>
      <c r="AE4104">
        <v>-2.33639999999999</v>
      </c>
      <c r="AF4104">
        <v>2.3777975261541702</v>
      </c>
      <c r="AG4104">
        <v>-1.121599259695</v>
      </c>
      <c r="AH4104">
        <v>28.8862075475623</v>
      </c>
      <c r="AI4104">
        <v>92.216086793923395</v>
      </c>
      <c r="AJ4104">
        <v>85.294249160124807</v>
      </c>
      <c r="AK4104">
        <v>29.005601053168601</v>
      </c>
      <c r="AL4104">
        <v>78.416501657031304</v>
      </c>
      <c r="AM4104">
        <v>88.687848211335407</v>
      </c>
      <c r="AN4104">
        <v>1.0000000644455</v>
      </c>
    </row>
    <row r="4105" spans="1:40" x14ac:dyDescent="0.25">
      <c r="A4105" t="str">
        <f>"20190303170335250"</f>
        <v>20190303170335250</v>
      </c>
      <c r="B4105" t="str">
        <f>"1551603815239646"</f>
        <v>1551603815239646</v>
      </c>
      <c r="C4105" t="s">
        <v>40</v>
      </c>
      <c r="D4105">
        <v>3.9633150000000001</v>
      </c>
      <c r="E4105">
        <v>0.52545739999999996</v>
      </c>
      <c r="F4105" t="s">
        <v>62</v>
      </c>
      <c r="G4105">
        <v>-272.76960000000003</v>
      </c>
      <c r="H4105" s="1">
        <v>3.8196269999999901E-8</v>
      </c>
      <c r="I4105">
        <v>212.30189999999999</v>
      </c>
      <c r="J4105">
        <v>-306.27330000000001</v>
      </c>
      <c r="K4105">
        <v>1.121607</v>
      </c>
      <c r="L4105">
        <v>214.95580000000001</v>
      </c>
      <c r="M4105">
        <v>0.99988940000000004</v>
      </c>
      <c r="N4105">
        <v>-1.481827E-2</v>
      </c>
      <c r="O4105">
        <v>1.40003E-3</v>
      </c>
      <c r="P4105">
        <v>0.98221979999999998</v>
      </c>
      <c r="Q4105">
        <v>0.1865994</v>
      </c>
      <c r="R4105">
        <v>-2.0625319999999999E-2</v>
      </c>
      <c r="S4105">
        <v>3.0681759999999998</v>
      </c>
      <c r="T4105">
        <v>-0.1011046</v>
      </c>
      <c r="U4105">
        <v>-0.2391663</v>
      </c>
      <c r="V4105">
        <v>2.2061549999999999E-2</v>
      </c>
      <c r="W4105">
        <v>0.20112650000000001</v>
      </c>
      <c r="X4105">
        <v>0.97931679999999999</v>
      </c>
      <c r="Y4105">
        <v>7.9048569999999999E-2</v>
      </c>
      <c r="Z4105">
        <v>-1.912279E-3</v>
      </c>
      <c r="AA4105">
        <v>0.99686889999999995</v>
      </c>
      <c r="AB4105">
        <v>37</v>
      </c>
      <c r="AC4105">
        <v>33.503699999999903</v>
      </c>
      <c r="AD4105">
        <v>-1.1216069618037201</v>
      </c>
      <c r="AE4105">
        <v>-2.6539000000000201</v>
      </c>
      <c r="AF4105">
        <v>2.6978041045495198</v>
      </c>
      <c r="AG4105">
        <v>-1.1216069618037201</v>
      </c>
      <c r="AH4105">
        <v>33.462682865332198</v>
      </c>
      <c r="AI4105">
        <v>91.913525336557697</v>
      </c>
      <c r="AJ4105">
        <v>85.390710514418899</v>
      </c>
      <c r="AK4105">
        <v>33.589987998049203</v>
      </c>
      <c r="AL4105">
        <v>78.397158444755703</v>
      </c>
      <c r="AM4105">
        <v>88.709488142794498</v>
      </c>
      <c r="AN4105">
        <v>0.99999998787644595</v>
      </c>
    </row>
    <row r="4106" spans="1:40" x14ac:dyDescent="0.25">
      <c r="A4106" t="str">
        <f>"20190303170335271"</f>
        <v>20190303170335271</v>
      </c>
      <c r="B4106" t="str">
        <f>"1551603815259166"</f>
        <v>1551603815259166</v>
      </c>
      <c r="C4106" t="s">
        <v>40</v>
      </c>
      <c r="D4106">
        <v>3.981007</v>
      </c>
      <c r="E4106">
        <v>0.52539969999999903</v>
      </c>
      <c r="F4106" t="s">
        <v>62</v>
      </c>
      <c r="G4106">
        <v>-268.55009999999999</v>
      </c>
      <c r="H4106" s="1">
        <v>3.1250539999999999E-6</v>
      </c>
      <c r="I4106">
        <v>212.0565</v>
      </c>
      <c r="J4106">
        <v>-305.91140000000001</v>
      </c>
      <c r="K4106">
        <v>1.121607</v>
      </c>
      <c r="L4106">
        <v>214.9562</v>
      </c>
      <c r="M4106">
        <v>0.99988949999999999</v>
      </c>
      <c r="N4106">
        <v>-1.4814219999999999E-2</v>
      </c>
      <c r="O4106">
        <v>1.295952E-3</v>
      </c>
      <c r="P4106">
        <v>0.98220700000000005</v>
      </c>
      <c r="Q4106">
        <v>0.18673239999999999</v>
      </c>
      <c r="R4106">
        <v>-2.0019559999999999E-2</v>
      </c>
      <c r="S4106">
        <v>3.0667110000000002</v>
      </c>
      <c r="T4106">
        <v>-9.1180919999999999E-2</v>
      </c>
      <c r="U4106">
        <v>-0.23570250000000001</v>
      </c>
      <c r="V4106">
        <v>2.1353049999999998E-2</v>
      </c>
      <c r="W4106">
        <v>0.2012554</v>
      </c>
      <c r="X4106">
        <v>0.97930600000000001</v>
      </c>
      <c r="Y4106">
        <v>7.7873109999999995E-2</v>
      </c>
      <c r="Z4106">
        <v>-1.752906E-3</v>
      </c>
      <c r="AA4106">
        <v>0.99696169999999995</v>
      </c>
      <c r="AB4106">
        <v>37</v>
      </c>
      <c r="AC4106">
        <v>37.3613</v>
      </c>
      <c r="AD4106">
        <v>-1.121603874946</v>
      </c>
      <c r="AE4106">
        <v>-2.89969999999999</v>
      </c>
      <c r="AF4106">
        <v>2.9454826668204102</v>
      </c>
      <c r="AG4106">
        <v>-1.121603874946</v>
      </c>
      <c r="AH4106">
        <v>37.324074214378399</v>
      </c>
      <c r="AI4106">
        <v>91.715912214125296</v>
      </c>
      <c r="AJ4106">
        <v>85.487773242788094</v>
      </c>
      <c r="AK4106">
        <v>37.456913638916703</v>
      </c>
      <c r="AL4106">
        <v>78.389618582451206</v>
      </c>
      <c r="AM4106">
        <v>88.750905421818103</v>
      </c>
      <c r="AN4106">
        <v>0.99999996520473</v>
      </c>
    </row>
    <row r="4107" spans="1:40" x14ac:dyDescent="0.25">
      <c r="A4107" t="str">
        <f>"20190303170335296"</f>
        <v>20190303170335296</v>
      </c>
      <c r="B4107" t="str">
        <f>"1551603815289422"</f>
        <v>1551603815289422</v>
      </c>
      <c r="C4107" t="s">
        <v>40</v>
      </c>
      <c r="D4107">
        <v>3.9974400000000001</v>
      </c>
      <c r="E4107">
        <v>0.52536590000000005</v>
      </c>
      <c r="F4107" t="s">
        <v>62</v>
      </c>
      <c r="G4107">
        <v>-266.37560000000002</v>
      </c>
      <c r="H4107" s="1">
        <v>1.9733600000000002E-6</v>
      </c>
      <c r="I4107">
        <v>211.93109999999999</v>
      </c>
      <c r="J4107">
        <v>-305.52249999999998</v>
      </c>
      <c r="K4107">
        <v>1.1216060000000001</v>
      </c>
      <c r="L4107">
        <v>214.95660000000001</v>
      </c>
      <c r="M4107">
        <v>0.99988969999999999</v>
      </c>
      <c r="N4107">
        <v>-1.4809900000000001E-2</v>
      </c>
      <c r="O4107">
        <v>1.184006E-3</v>
      </c>
      <c r="P4107">
        <v>0.98239100000000001</v>
      </c>
      <c r="Q4107">
        <v>0.1858872</v>
      </c>
      <c r="R4107">
        <v>-1.8813529999999998E-2</v>
      </c>
      <c r="S4107">
        <v>3.0661320000000001</v>
      </c>
      <c r="T4107">
        <v>-8.6984160000000005E-2</v>
      </c>
      <c r="U4107">
        <v>-0.2346039</v>
      </c>
      <c r="V4107">
        <v>2.003684E-2</v>
      </c>
      <c r="W4107">
        <v>0.20040949999999999</v>
      </c>
      <c r="X4107">
        <v>0.97950729999999997</v>
      </c>
      <c r="Y4107">
        <v>7.7424919999999994E-2</v>
      </c>
      <c r="Z4107">
        <v>-1.686821E-3</v>
      </c>
      <c r="AA4107">
        <v>0.99699680000000002</v>
      </c>
      <c r="AB4107">
        <v>37</v>
      </c>
      <c r="AC4107">
        <v>39.146899999999903</v>
      </c>
      <c r="AD4107">
        <v>-1.12160402663999</v>
      </c>
      <c r="AE4107">
        <v>-3.0255000000000201</v>
      </c>
      <c r="AF4107">
        <v>3.0693484902339399</v>
      </c>
      <c r="AG4107">
        <v>-1.12160402663999</v>
      </c>
      <c r="AH4107">
        <v>39.111374493897202</v>
      </c>
      <c r="AI4107">
        <v>91.637599124614596</v>
      </c>
      <c r="AJ4107">
        <v>85.512788218385595</v>
      </c>
      <c r="AK4107">
        <v>39.247656115352299</v>
      </c>
      <c r="AL4107">
        <v>78.439093468253802</v>
      </c>
      <c r="AM4107">
        <v>88.828118711725594</v>
      </c>
      <c r="AN4107">
        <v>0.99999999670036199</v>
      </c>
    </row>
    <row r="4108" spans="1:40" x14ac:dyDescent="0.25">
      <c r="A4108" t="str">
        <f>"20190303170335317"</f>
        <v>20190303170335317</v>
      </c>
      <c r="B4108" t="str">
        <f>"1551603815309917"</f>
        <v>1551603815309917</v>
      </c>
      <c r="C4108" t="s">
        <v>40</v>
      </c>
      <c r="D4108">
        <v>4.0420780000000001</v>
      </c>
      <c r="E4108">
        <v>0.52528900000000001</v>
      </c>
      <c r="F4108" t="s">
        <v>62</v>
      </c>
      <c r="G4108">
        <v>-264.68880000000001</v>
      </c>
      <c r="H4108" s="1">
        <v>1.077975E-6</v>
      </c>
      <c r="I4108">
        <v>211.87909999999999</v>
      </c>
      <c r="J4108">
        <v>-305.15859999999998</v>
      </c>
      <c r="K4108">
        <v>1.1215999999999999</v>
      </c>
      <c r="L4108">
        <v>214.95699999999999</v>
      </c>
      <c r="M4108">
        <v>0.9998899</v>
      </c>
      <c r="N4108">
        <v>-1.4805830000000001E-2</v>
      </c>
      <c r="O4108">
        <v>1.0792079999999999E-3</v>
      </c>
      <c r="P4108">
        <v>0.9824986</v>
      </c>
      <c r="Q4108">
        <v>0.18533259999999999</v>
      </c>
      <c r="R4108">
        <v>-1.8668500000000001E-2</v>
      </c>
      <c r="S4108">
        <v>3.065277</v>
      </c>
      <c r="T4108">
        <v>-8.4195729999999996E-2</v>
      </c>
      <c r="U4108">
        <v>-0.2310181</v>
      </c>
      <c r="V4108">
        <v>1.9788449999999999E-2</v>
      </c>
      <c r="W4108">
        <v>0.199853</v>
      </c>
      <c r="X4108">
        <v>0.97962610000000006</v>
      </c>
      <c r="Y4108">
        <v>7.6185080000000002E-2</v>
      </c>
      <c r="Z4108">
        <v>-1.6232569999999999E-3</v>
      </c>
      <c r="AA4108">
        <v>0.99709239999999999</v>
      </c>
      <c r="AB4108">
        <v>37</v>
      </c>
      <c r="AC4108">
        <v>40.4697999999999</v>
      </c>
      <c r="AD4108">
        <v>-1.121598922025</v>
      </c>
      <c r="AE4108">
        <v>-3.0779000000000001</v>
      </c>
      <c r="AF4108">
        <v>3.1191962725895301</v>
      </c>
      <c r="AG4108">
        <v>-1.121598922025</v>
      </c>
      <c r="AH4108">
        <v>40.435574756867702</v>
      </c>
      <c r="AI4108">
        <v>91.584154700270702</v>
      </c>
      <c r="AJ4108">
        <v>85.588944767656997</v>
      </c>
      <c r="AK4108">
        <v>40.571209933240397</v>
      </c>
      <c r="AL4108">
        <v>78.471637578106595</v>
      </c>
      <c r="AM4108">
        <v>88.842782471175596</v>
      </c>
      <c r="AN4108">
        <v>1.0000000500818</v>
      </c>
    </row>
    <row r="4109" spans="1:40" x14ac:dyDescent="0.25">
      <c r="A4109" t="str">
        <f>"20190303170335341"</f>
        <v>20190303170335341</v>
      </c>
      <c r="B4109" t="str">
        <f>"1551603815329437"</f>
        <v>1551603815329437</v>
      </c>
      <c r="C4109" t="s">
        <v>40</v>
      </c>
      <c r="D4109">
        <v>4.0243399999999996</v>
      </c>
      <c r="E4109">
        <v>0.52524510000000002</v>
      </c>
      <c r="F4109" t="s">
        <v>62</v>
      </c>
      <c r="G4109">
        <v>-263.72019999999998</v>
      </c>
      <c r="H4109" s="1">
        <v>5.644243E-7</v>
      </c>
      <c r="I4109">
        <v>211.83690000000001</v>
      </c>
      <c r="J4109">
        <v>-304.791</v>
      </c>
      <c r="K4109">
        <v>1.1215999999999999</v>
      </c>
      <c r="L4109">
        <v>214.9572</v>
      </c>
      <c r="M4109">
        <v>0.99988999999999995</v>
      </c>
      <c r="N4109">
        <v>-1.4801750000000001E-2</v>
      </c>
      <c r="O4109">
        <v>9.7309839999999996E-4</v>
      </c>
      <c r="P4109">
        <v>0.98247169999999895</v>
      </c>
      <c r="Q4109">
        <v>0.18554229999999999</v>
      </c>
      <c r="R4109">
        <v>-1.7984489999999999E-2</v>
      </c>
      <c r="S4109">
        <v>3.0647579999999999</v>
      </c>
      <c r="T4109">
        <v>-8.2952860000000003E-2</v>
      </c>
      <c r="U4109">
        <v>-0.23075870000000001</v>
      </c>
      <c r="V4109">
        <v>1.9000079999999999E-2</v>
      </c>
      <c r="W4109">
        <v>0.2000586</v>
      </c>
      <c r="X4109">
        <v>0.97959969999999996</v>
      </c>
      <c r="Y4109">
        <v>7.6009179999999996E-2</v>
      </c>
      <c r="Z4109">
        <v>-1.6024500000000001E-3</v>
      </c>
      <c r="AA4109">
        <v>0.99710580000000004</v>
      </c>
      <c r="AB4109">
        <v>36</v>
      </c>
      <c r="AC4109">
        <v>41.070799999999998</v>
      </c>
      <c r="AD4109">
        <v>-1.1215994355757</v>
      </c>
      <c r="AE4109">
        <v>-3.1202999999999799</v>
      </c>
      <c r="AF4109">
        <v>3.1579272347247</v>
      </c>
      <c r="AG4109">
        <v>-1.1215994355757</v>
      </c>
      <c r="AH4109">
        <v>41.037314791994099</v>
      </c>
      <c r="AI4109">
        <v>91.560960534383497</v>
      </c>
      <c r="AJ4109">
        <v>85.599614211075803</v>
      </c>
      <c r="AK4109">
        <v>41.173920083602901</v>
      </c>
      <c r="AL4109">
        <v>78.459614288291306</v>
      </c>
      <c r="AM4109">
        <v>88.888844174454903</v>
      </c>
      <c r="AN4109">
        <v>1.00000000935702</v>
      </c>
    </row>
    <row r="4110" spans="1:40" x14ac:dyDescent="0.25">
      <c r="A4110" t="str">
        <f>"20190303170335361"</f>
        <v>20190303170335361</v>
      </c>
      <c r="B4110" t="str">
        <f>"1551603815349936"</f>
        <v>1551603815349936</v>
      </c>
      <c r="C4110" t="s">
        <v>40</v>
      </c>
      <c r="D4110">
        <v>4.0451489999999897</v>
      </c>
      <c r="E4110">
        <v>0.52525959999999905</v>
      </c>
      <c r="F4110" t="s">
        <v>62</v>
      </c>
      <c r="G4110">
        <v>-261.83269999999999</v>
      </c>
      <c r="H4110" s="1">
        <v>-4.3613630000000001E-7</v>
      </c>
      <c r="I4110">
        <v>211.7474</v>
      </c>
      <c r="J4110">
        <v>-304.44889999999998</v>
      </c>
      <c r="K4110">
        <v>1.121604</v>
      </c>
      <c r="L4110">
        <v>214.95750000000001</v>
      </c>
      <c r="M4110">
        <v>0.9998901</v>
      </c>
      <c r="N4110">
        <v>-1.4797950000000001E-2</v>
      </c>
      <c r="O4110">
        <v>8.7425789999999903E-4</v>
      </c>
      <c r="P4110">
        <v>0.98247340000000005</v>
      </c>
      <c r="Q4110">
        <v>0.185614</v>
      </c>
      <c r="R4110">
        <v>-1.7132669999999999E-2</v>
      </c>
      <c r="S4110">
        <v>3.0644529999999999</v>
      </c>
      <c r="T4110">
        <v>-8.0009940000000002E-2</v>
      </c>
      <c r="U4110">
        <v>-0.22897339999999999</v>
      </c>
      <c r="V4110">
        <v>1.8050690000000001E-2</v>
      </c>
      <c r="W4110">
        <v>0.20012679999999999</v>
      </c>
      <c r="X4110">
        <v>0.97960369999999997</v>
      </c>
      <c r="Y4110">
        <v>7.5343220000000002E-2</v>
      </c>
      <c r="Z4110">
        <v>-1.5503229999999999E-3</v>
      </c>
      <c r="AA4110">
        <v>0.99715640000000005</v>
      </c>
      <c r="AB4110">
        <v>36</v>
      </c>
      <c r="AC4110">
        <v>42.6161999999999</v>
      </c>
      <c r="AD4110">
        <v>-1.1216044361363</v>
      </c>
      <c r="AE4110">
        <v>-3.2101000000000099</v>
      </c>
      <c r="AF4110">
        <v>3.2451252657749601</v>
      </c>
      <c r="AG4110">
        <v>-1.1216044361363</v>
      </c>
      <c r="AH4110">
        <v>42.584046431194302</v>
      </c>
      <c r="AI4110">
        <v>91.504382353343303</v>
      </c>
      <c r="AJ4110">
        <v>85.642186933165704</v>
      </c>
      <c r="AK4110">
        <v>42.722240635947998</v>
      </c>
      <c r="AL4110">
        <v>78.455625791966398</v>
      </c>
      <c r="AM4110">
        <v>88.944357473030905</v>
      </c>
      <c r="AN4110">
        <v>0.99999998627070197</v>
      </c>
    </row>
    <row r="4111" spans="1:40" x14ac:dyDescent="0.25">
      <c r="A4111" t="str">
        <f>"20190303170335384"</f>
        <v>20190303170335384</v>
      </c>
      <c r="B4111" t="str">
        <f>"1551603815379214"</f>
        <v>1551603815379214</v>
      </c>
      <c r="C4111" t="s">
        <v>40</v>
      </c>
      <c r="D4111">
        <v>4.0686210000000003</v>
      </c>
      <c r="E4111">
        <v>0.5252038</v>
      </c>
      <c r="F4111" t="s">
        <v>62</v>
      </c>
      <c r="G4111">
        <v>-260.32089999999999</v>
      </c>
      <c r="H4111" s="1">
        <v>-1.237945E-6</v>
      </c>
      <c r="I4111">
        <v>211.68620000000001</v>
      </c>
      <c r="J4111">
        <v>-304.07639999999998</v>
      </c>
      <c r="K4111">
        <v>1.121602</v>
      </c>
      <c r="L4111">
        <v>214.95769999999999</v>
      </c>
      <c r="M4111">
        <v>0.99989019999999995</v>
      </c>
      <c r="N4111">
        <v>-1.479392E-2</v>
      </c>
      <c r="O4111">
        <v>7.6677560000000002E-4</v>
      </c>
      <c r="P4111">
        <v>0.98248369999999996</v>
      </c>
      <c r="Q4111">
        <v>0.18564020000000001</v>
      </c>
      <c r="R4111">
        <v>-1.62361E-2</v>
      </c>
      <c r="S4111">
        <v>3.06427</v>
      </c>
      <c r="T4111">
        <v>-7.7884789999999995E-2</v>
      </c>
      <c r="U4111">
        <v>-0.22715759999999999</v>
      </c>
      <c r="V4111">
        <v>1.7048379999999998E-2</v>
      </c>
      <c r="W4111">
        <v>0.2001493</v>
      </c>
      <c r="X4111">
        <v>0.97961710000000002</v>
      </c>
      <c r="Y4111">
        <v>7.4654890000000002E-2</v>
      </c>
      <c r="Z4111">
        <v>-1.5085809999999999E-3</v>
      </c>
      <c r="AA4111">
        <v>0.99720830000000005</v>
      </c>
      <c r="AB4111">
        <v>36</v>
      </c>
      <c r="AC4111">
        <v>43.755499999999898</v>
      </c>
      <c r="AD4111">
        <v>-1.1216032379449901</v>
      </c>
      <c r="AE4111">
        <v>-3.2714999999999699</v>
      </c>
      <c r="AF4111">
        <v>3.3028951857207498</v>
      </c>
      <c r="AG4111">
        <v>-1.1216032379449901</v>
      </c>
      <c r="AH4111">
        <v>43.7244079673154</v>
      </c>
      <c r="AI4111">
        <v>91.4652364411359</v>
      </c>
      <c r="AJ4111">
        <v>85.680141961874398</v>
      </c>
      <c r="AK4111">
        <v>43.863321380436602</v>
      </c>
      <c r="AL4111">
        <v>78.454310481709996</v>
      </c>
      <c r="AM4111">
        <v>89.002976136718104</v>
      </c>
      <c r="AN4111">
        <v>1.0000000260817601</v>
      </c>
    </row>
    <row r="4112" spans="1:40" x14ac:dyDescent="0.25">
      <c r="A4112" t="str">
        <f>"20190303170335407"</f>
        <v>20190303170335407</v>
      </c>
      <c r="B4112" t="str">
        <f>"1551603815399711"</f>
        <v>1551603815399711</v>
      </c>
      <c r="C4112" t="s">
        <v>40</v>
      </c>
      <c r="D4112">
        <v>4.1084839999999998</v>
      </c>
      <c r="E4112">
        <v>0.52523509999999995</v>
      </c>
      <c r="F4112" t="s">
        <v>62</v>
      </c>
      <c r="G4112">
        <v>-258.21370000000002</v>
      </c>
      <c r="H4112" s="1">
        <v>2.9660399999999999E-6</v>
      </c>
      <c r="I4112">
        <v>211.59809999999999</v>
      </c>
      <c r="J4112">
        <v>-303.70620000000002</v>
      </c>
      <c r="K4112">
        <v>1.121607</v>
      </c>
      <c r="L4112">
        <v>214.9579</v>
      </c>
      <c r="M4112">
        <v>0.99989050000000002</v>
      </c>
      <c r="N4112">
        <v>-1.478996E-2</v>
      </c>
      <c r="O4112">
        <v>6.5964899999999902E-4</v>
      </c>
      <c r="P4112">
        <v>0.98252490000000003</v>
      </c>
      <c r="Q4112">
        <v>0.1855038</v>
      </c>
      <c r="R4112">
        <v>-1.5279920000000001E-2</v>
      </c>
      <c r="S4112">
        <v>3.0639340000000002</v>
      </c>
      <c r="T4112">
        <v>-7.4930189999999994E-2</v>
      </c>
      <c r="U4112">
        <v>-0.22444149999999999</v>
      </c>
      <c r="V4112">
        <v>1.5986879999999998E-2</v>
      </c>
      <c r="W4112">
        <v>0.20000999999999999</v>
      </c>
      <c r="X4112">
        <v>0.97966339999999996</v>
      </c>
      <c r="Y4112">
        <v>7.3679670000000003E-2</v>
      </c>
      <c r="Z4112">
        <v>-1.4517130000000001E-3</v>
      </c>
      <c r="AA4112">
        <v>0.99728090000000003</v>
      </c>
      <c r="AB4112">
        <v>36</v>
      </c>
      <c r="AC4112">
        <v>45.4925</v>
      </c>
      <c r="AD4112">
        <v>-1.12160403396</v>
      </c>
      <c r="AE4112">
        <v>-3.3597999999999999</v>
      </c>
      <c r="AF4112">
        <v>3.3877635352007398</v>
      </c>
      <c r="AG4112">
        <v>-1.12160403396</v>
      </c>
      <c r="AH4112">
        <v>45.4627887293924</v>
      </c>
      <c r="AI4112">
        <v>91.409340966089601</v>
      </c>
      <c r="AJ4112">
        <v>85.738350549999097</v>
      </c>
      <c r="AK4112">
        <v>45.602632560333603</v>
      </c>
      <c r="AL4112">
        <v>78.462455946787998</v>
      </c>
      <c r="AM4112">
        <v>89.065087605043004</v>
      </c>
      <c r="AN4112">
        <v>0.99999997886584602</v>
      </c>
    </row>
    <row r="4113" spans="1:40" x14ac:dyDescent="0.25">
      <c r="A4113" t="str">
        <f>"20190303170335428"</f>
        <v>20190303170335428</v>
      </c>
      <c r="B4113" t="str">
        <f>"1551603815419233"</f>
        <v>1551603815419233</v>
      </c>
      <c r="C4113" t="s">
        <v>40</v>
      </c>
      <c r="D4113">
        <v>4.2014269999999998</v>
      </c>
      <c r="E4113">
        <v>0.52539380000000002</v>
      </c>
      <c r="F4113" t="s">
        <v>62</v>
      </c>
      <c r="G4113">
        <v>-257.4128</v>
      </c>
      <c r="H4113" s="1">
        <v>2.539438E-6</v>
      </c>
      <c r="I4113">
        <v>211.60849999999999</v>
      </c>
      <c r="J4113">
        <v>-303.35989999999998</v>
      </c>
      <c r="K4113">
        <v>1.121615</v>
      </c>
      <c r="L4113">
        <v>214.958</v>
      </c>
      <c r="M4113">
        <v>0.99989050000000002</v>
      </c>
      <c r="N4113">
        <v>-1.47863E-2</v>
      </c>
      <c r="O4113">
        <v>5.5990769999999905E-4</v>
      </c>
      <c r="P4113">
        <v>0.98242119999999999</v>
      </c>
      <c r="Q4113">
        <v>0.18615770000000001</v>
      </c>
      <c r="R4113">
        <v>-1.3921370000000001E-2</v>
      </c>
      <c r="S4113">
        <v>3.0639340000000002</v>
      </c>
      <c r="T4113">
        <v>-7.4233649999999998E-2</v>
      </c>
      <c r="U4113">
        <v>-0.22167970000000001</v>
      </c>
      <c r="V4113">
        <v>1.4530319999999999E-2</v>
      </c>
      <c r="W4113">
        <v>0.2006589</v>
      </c>
      <c r="X4113">
        <v>0.97955340000000002</v>
      </c>
      <c r="Y4113">
        <v>7.2686929999999997E-2</v>
      </c>
      <c r="Z4113">
        <v>-1.42278E-3</v>
      </c>
      <c r="AA4113">
        <v>0.99735379999999996</v>
      </c>
      <c r="AB4113">
        <v>36</v>
      </c>
      <c r="AC4113">
        <v>45.947099999999899</v>
      </c>
      <c r="AD4113">
        <v>-1.1216124605619999</v>
      </c>
      <c r="AE4113">
        <v>-3.3494999999999999</v>
      </c>
      <c r="AF4113">
        <v>3.3732289600418102</v>
      </c>
      <c r="AG4113">
        <v>-1.1216124605619999</v>
      </c>
      <c r="AH4113">
        <v>45.917999535007198</v>
      </c>
      <c r="AI4113">
        <v>91.395493729753298</v>
      </c>
      <c r="AJ4113">
        <v>85.798483566798794</v>
      </c>
      <c r="AK4113">
        <v>46.055394574636701</v>
      </c>
      <c r="AL4113">
        <v>78.424507581086303</v>
      </c>
      <c r="AM4113">
        <v>89.150158677328804</v>
      </c>
      <c r="AN4113">
        <v>0.99999999390003602</v>
      </c>
    </row>
    <row r="4114" spans="1:40" x14ac:dyDescent="0.25">
      <c r="A4114" t="str">
        <f>"20190303170335450"</f>
        <v>20190303170335450</v>
      </c>
      <c r="B4114" t="str">
        <f>"1551603815439726"</f>
        <v>1551603815439726</v>
      </c>
      <c r="C4114" t="s">
        <v>40</v>
      </c>
      <c r="D4114">
        <v>4.1536439999999999</v>
      </c>
      <c r="E4114">
        <v>0.52538289999999999</v>
      </c>
      <c r="F4114" t="s">
        <v>62</v>
      </c>
      <c r="G4114">
        <v>-254.7921</v>
      </c>
      <c r="H4114" s="1">
        <v>1.1502330000000001E-6</v>
      </c>
      <c r="I4114">
        <v>211.4845</v>
      </c>
      <c r="J4114">
        <v>-303.00130000000001</v>
      </c>
      <c r="K4114">
        <v>1.121624</v>
      </c>
      <c r="L4114">
        <v>214.9581</v>
      </c>
      <c r="M4114">
        <v>0.99989070000000002</v>
      </c>
      <c r="N4114">
        <v>-1.478253E-2</v>
      </c>
      <c r="O4114">
        <v>4.564716E-4</v>
      </c>
      <c r="P4114">
        <v>0.98232160000000002</v>
      </c>
      <c r="Q4114">
        <v>0.18671760000000001</v>
      </c>
      <c r="R4114">
        <v>-1.345294E-2</v>
      </c>
      <c r="S4114">
        <v>3.0639949999999998</v>
      </c>
      <c r="T4114">
        <v>-7.0759299999999997E-2</v>
      </c>
      <c r="U4114">
        <v>-0.21913150000000001</v>
      </c>
      <c r="V4114">
        <v>1.3960200000000001E-2</v>
      </c>
      <c r="W4114">
        <v>0.20121430000000001</v>
      </c>
      <c r="X4114">
        <v>0.97944779999999998</v>
      </c>
      <c r="Y4114">
        <v>7.1760069999999995E-2</v>
      </c>
      <c r="Z4114">
        <v>-1.362446E-3</v>
      </c>
      <c r="AA4114">
        <v>0.997421</v>
      </c>
      <c r="AB4114">
        <v>36</v>
      </c>
      <c r="AC4114">
        <v>48.209200000000003</v>
      </c>
      <c r="AD4114">
        <v>-1.121622849767</v>
      </c>
      <c r="AE4114">
        <v>-3.4735999999999998</v>
      </c>
      <c r="AF4114">
        <v>3.4937268030942099</v>
      </c>
      <c r="AG4114">
        <v>-1.121622849767</v>
      </c>
      <c r="AH4114">
        <v>48.181663419704101</v>
      </c>
      <c r="AI4114">
        <v>91.330059033177704</v>
      </c>
      <c r="AJ4114">
        <v>85.852653215207397</v>
      </c>
      <c r="AK4114">
        <v>48.321184326146501</v>
      </c>
      <c r="AL4114">
        <v>78.392023467098895</v>
      </c>
      <c r="AM4114">
        <v>89.183410914406807</v>
      </c>
      <c r="AN4114">
        <v>1.00000003731668</v>
      </c>
    </row>
    <row r="4115" spans="1:40" x14ac:dyDescent="0.25">
      <c r="A4115" t="str">
        <f>"20190303170335472"</f>
        <v>20190303170335472</v>
      </c>
      <c r="B4115" t="str">
        <f>"1551603815459246"</f>
        <v>1551603815459246</v>
      </c>
      <c r="C4115" t="s">
        <v>40</v>
      </c>
      <c r="D4115">
        <v>4.1716449999999998</v>
      </c>
      <c r="E4115">
        <v>0.52542330000000004</v>
      </c>
      <c r="F4115" t="s">
        <v>62</v>
      </c>
      <c r="G4115">
        <v>-252.78290000000001</v>
      </c>
      <c r="H4115" s="1">
        <v>8.465334E-8</v>
      </c>
      <c r="I4115">
        <v>211.40090000000001</v>
      </c>
      <c r="J4115">
        <v>-302.64</v>
      </c>
      <c r="K4115">
        <v>1.121626</v>
      </c>
      <c r="L4115">
        <v>214.95820000000001</v>
      </c>
      <c r="M4115">
        <v>0.99989070000000002</v>
      </c>
      <c r="N4115">
        <v>-1.477872E-2</v>
      </c>
      <c r="O4115">
        <v>3.5220210000000001E-4</v>
      </c>
      <c r="P4115">
        <v>0.98221000000000003</v>
      </c>
      <c r="Q4115">
        <v>0.18726219999999999</v>
      </c>
      <c r="R4115">
        <v>-1.400496E-2</v>
      </c>
      <c r="S4115">
        <v>3.0640559999999999</v>
      </c>
      <c r="T4115">
        <v>-6.8435430000000005E-2</v>
      </c>
      <c r="U4115">
        <v>-0.21704100000000001</v>
      </c>
      <c r="V4115">
        <v>1.4410030000000001E-2</v>
      </c>
      <c r="W4115">
        <v>0.2017533</v>
      </c>
      <c r="X4115">
        <v>0.97933040000000005</v>
      </c>
      <c r="Y4115">
        <v>7.0979509999999996E-2</v>
      </c>
      <c r="Z4115">
        <v>-1.3195139999999999E-3</v>
      </c>
      <c r="AA4115">
        <v>0.9974769</v>
      </c>
      <c r="AB4115">
        <v>36</v>
      </c>
      <c r="AC4115">
        <v>49.857099999999903</v>
      </c>
      <c r="AD4115">
        <v>-1.1216259153466599</v>
      </c>
      <c r="AE4115">
        <v>-3.5572999999999899</v>
      </c>
      <c r="AF4115">
        <v>3.5730622818037099</v>
      </c>
      <c r="AG4115">
        <v>-1.1216259153466599</v>
      </c>
      <c r="AH4115">
        <v>49.830751945027203</v>
      </c>
      <c r="AI4115">
        <v>91.286135367015007</v>
      </c>
      <c r="AJ4115">
        <v>85.898684976230896</v>
      </c>
      <c r="AK4115">
        <v>49.971278332362601</v>
      </c>
      <c r="AL4115">
        <v>78.360494445067005</v>
      </c>
      <c r="AM4115">
        <v>89.157001228276599</v>
      </c>
      <c r="AN4115">
        <v>1.0000000376948199</v>
      </c>
    </row>
    <row r="4116" spans="1:40" x14ac:dyDescent="0.25">
      <c r="A4116" t="str">
        <f>"20190303170335496"</f>
        <v>20190303170335496</v>
      </c>
      <c r="B4116" t="str">
        <f>"1551603815489503"</f>
        <v>1551603815489503</v>
      </c>
      <c r="C4116" t="s">
        <v>40</v>
      </c>
      <c r="D4116">
        <v>4.120069</v>
      </c>
      <c r="E4116">
        <v>0.52545739999999996</v>
      </c>
      <c r="F4116" t="s">
        <v>62</v>
      </c>
      <c r="G4116">
        <v>-251.04130000000001</v>
      </c>
      <c r="H4116" s="1">
        <v>-8.3683950000000001E-7</v>
      </c>
      <c r="I4116">
        <v>211.27979999999999</v>
      </c>
      <c r="J4116">
        <v>-302.26060000000001</v>
      </c>
      <c r="K4116">
        <v>1.121626</v>
      </c>
      <c r="L4116">
        <v>214.95820000000001</v>
      </c>
      <c r="M4116">
        <v>0.99989090000000003</v>
      </c>
      <c r="N4116">
        <v>-1.47747E-2</v>
      </c>
      <c r="O4116">
        <v>2.4263069999999999E-4</v>
      </c>
      <c r="P4116">
        <v>0.98213499999999998</v>
      </c>
      <c r="Q4116">
        <v>0.18765960000000001</v>
      </c>
      <c r="R4116">
        <v>-1.395038E-2</v>
      </c>
      <c r="S4116">
        <v>3.0638429999999999</v>
      </c>
      <c r="T4116">
        <v>-6.6600199999999998E-2</v>
      </c>
      <c r="U4116">
        <v>-0.21841430000000001</v>
      </c>
      <c r="V4116">
        <v>1.424768E-2</v>
      </c>
      <c r="W4116">
        <v>0.2021461</v>
      </c>
      <c r="X4116">
        <v>0.97925169999999995</v>
      </c>
      <c r="Y4116">
        <v>7.1321079999999995E-2</v>
      </c>
      <c r="Z4116">
        <v>-1.3034570000000001E-3</v>
      </c>
      <c r="AA4116">
        <v>0.99745260000000002</v>
      </c>
      <c r="AB4116">
        <v>36</v>
      </c>
      <c r="AC4116">
        <v>51.219299999999997</v>
      </c>
      <c r="AD4116">
        <v>-1.1216268368394999</v>
      </c>
      <c r="AE4116">
        <v>-3.6784000000000101</v>
      </c>
      <c r="AF4116">
        <v>3.68906862436932</v>
      </c>
      <c r="AG4116">
        <v>-1.1216268368394999</v>
      </c>
      <c r="AH4116">
        <v>51.193982045272499</v>
      </c>
      <c r="AI4116">
        <v>91.251867390325003</v>
      </c>
      <c r="AJ4116">
        <v>85.878356581332397</v>
      </c>
      <c r="AK4116">
        <v>51.338981989596498</v>
      </c>
      <c r="AL4116">
        <v>78.337514361175394</v>
      </c>
      <c r="AM4116">
        <v>89.166430514075401</v>
      </c>
      <c r="AN4116">
        <v>0.99999996704173999</v>
      </c>
    </row>
    <row r="4117" spans="1:40" x14ac:dyDescent="0.25">
      <c r="A4117" t="str">
        <f>"20190303170335518"</f>
        <v>20190303170335518</v>
      </c>
      <c r="B4117" t="str">
        <f>"1551603815509999"</f>
        <v>1551603815509999</v>
      </c>
      <c r="C4117" t="s">
        <v>40</v>
      </c>
      <c r="D4117">
        <v>4.0929799999999998</v>
      </c>
      <c r="E4117">
        <v>0.52552349999999903</v>
      </c>
      <c r="F4117" t="s">
        <v>62</v>
      </c>
      <c r="G4117">
        <v>-249.12610000000001</v>
      </c>
      <c r="H4117" s="1">
        <v>3.4702159999999998E-6</v>
      </c>
      <c r="I4117">
        <v>211.1721</v>
      </c>
      <c r="J4117">
        <v>-301.90469999999999</v>
      </c>
      <c r="K4117">
        <v>1.121624</v>
      </c>
      <c r="L4117">
        <v>214.95820000000001</v>
      </c>
      <c r="M4117">
        <v>0.99989090000000003</v>
      </c>
      <c r="N4117">
        <v>-1.477089E-2</v>
      </c>
      <c r="O4117">
        <v>1.39854599999999E-4</v>
      </c>
      <c r="P4117">
        <v>0.98209360000000001</v>
      </c>
      <c r="Q4117">
        <v>0.1878898</v>
      </c>
      <c r="R4117">
        <v>-1.3767379999999999E-2</v>
      </c>
      <c r="S4117">
        <v>3.063812</v>
      </c>
      <c r="T4117">
        <v>-6.4674380000000004E-2</v>
      </c>
      <c r="U4117">
        <v>-0.21830749999999999</v>
      </c>
      <c r="V4117">
        <v>1.396356E-2</v>
      </c>
      <c r="W4117">
        <v>0.20237160000000001</v>
      </c>
      <c r="X4117">
        <v>0.9792092</v>
      </c>
      <c r="Y4117">
        <v>7.1185990000000005E-2</v>
      </c>
      <c r="Z4117">
        <v>-1.2777209999999999E-3</v>
      </c>
      <c r="AA4117">
        <v>0.99746219999999997</v>
      </c>
      <c r="AB4117">
        <v>36</v>
      </c>
      <c r="AC4117">
        <v>52.778599999999898</v>
      </c>
      <c r="AD4117">
        <v>-1.1216205297840001</v>
      </c>
      <c r="AE4117">
        <v>-3.7860999999999998</v>
      </c>
      <c r="AF4117">
        <v>3.7917784106244099</v>
      </c>
      <c r="AG4117">
        <v>-1.1216205297840001</v>
      </c>
      <c r="AH4117">
        <v>52.754366806524203</v>
      </c>
      <c r="AI4117">
        <v>91.214859753203001</v>
      </c>
      <c r="AJ4117">
        <v>85.888872406520406</v>
      </c>
      <c r="AK4117">
        <v>52.902351869131699</v>
      </c>
      <c r="AL4117">
        <v>78.324321308670406</v>
      </c>
      <c r="AM4117">
        <v>89.183015404997704</v>
      </c>
      <c r="AN4117">
        <v>0.99999995142953502</v>
      </c>
    </row>
    <row r="4118" spans="1:40" x14ac:dyDescent="0.25">
      <c r="A4118" t="str">
        <f>"20190303170335541"</f>
        <v>20190303170335541</v>
      </c>
      <c r="B4118" t="str">
        <f>"1551603815529518"</f>
        <v>1551603815529518</v>
      </c>
      <c r="C4118" t="s">
        <v>40</v>
      </c>
      <c r="D4118">
        <v>4.1139960000000002</v>
      </c>
      <c r="E4118">
        <v>0.52559109999999998</v>
      </c>
      <c r="F4118" t="s">
        <v>62</v>
      </c>
      <c r="G4118">
        <v>-247.9605</v>
      </c>
      <c r="H4118" s="1">
        <v>2.8528399999999999E-6</v>
      </c>
      <c r="I4118">
        <v>211.1061</v>
      </c>
      <c r="J4118">
        <v>-301.5462</v>
      </c>
      <c r="K4118">
        <v>1.121621</v>
      </c>
      <c r="L4118">
        <v>214.9581</v>
      </c>
      <c r="M4118">
        <v>0.99989099999999997</v>
      </c>
      <c r="N4118">
        <v>-1.476705E-2</v>
      </c>
      <c r="O4118" s="1">
        <v>3.5764959999999998E-5</v>
      </c>
      <c r="P4118">
        <v>0.98204880000000006</v>
      </c>
      <c r="Q4118">
        <v>0.18815009999999999</v>
      </c>
      <c r="R4118">
        <v>-1.340802E-2</v>
      </c>
      <c r="S4118">
        <v>3.063812</v>
      </c>
      <c r="T4118">
        <v>-6.3703540000000003E-2</v>
      </c>
      <c r="U4118">
        <v>-0.21878049999999999</v>
      </c>
      <c r="V4118">
        <v>1.350175E-2</v>
      </c>
      <c r="W4118">
        <v>0.202628</v>
      </c>
      <c r="X4118">
        <v>0.97916270000000005</v>
      </c>
      <c r="Y4118">
        <v>7.1235999999999994E-2</v>
      </c>
      <c r="Z4118">
        <v>-1.2665389999999999E-3</v>
      </c>
      <c r="AA4118">
        <v>0.99745870000000003</v>
      </c>
      <c r="AB4118">
        <v>36</v>
      </c>
      <c r="AC4118">
        <v>53.585700000000003</v>
      </c>
      <c r="AD4118">
        <v>-1.12161814716</v>
      </c>
      <c r="AE4118">
        <v>-3.8519999999999999</v>
      </c>
      <c r="AF4118">
        <v>3.8522376342295499</v>
      </c>
      <c r="AG4118">
        <v>-1.12161814716</v>
      </c>
      <c r="AH4118">
        <v>53.562216190192999</v>
      </c>
      <c r="AI4118">
        <v>91.196535695361007</v>
      </c>
      <c r="AJ4118">
        <v>85.886324535936097</v>
      </c>
      <c r="AK4118">
        <v>53.712277602644903</v>
      </c>
      <c r="AL4118">
        <v>78.309320431190201</v>
      </c>
      <c r="AM4118">
        <v>89.209994144344606</v>
      </c>
      <c r="AN4118">
        <v>0.99999999835417597</v>
      </c>
    </row>
    <row r="4119" spans="1:40" x14ac:dyDescent="0.25">
      <c r="A4119" t="str">
        <f>"20190303170335562"</f>
        <v>20190303170335562</v>
      </c>
      <c r="B4119" t="str">
        <f>"1551603815550014"</f>
        <v>1551603815550014</v>
      </c>
      <c r="C4119" t="s">
        <v>40</v>
      </c>
      <c r="D4119">
        <v>4.0949710000000001</v>
      </c>
      <c r="E4119">
        <v>0.52573040000000004</v>
      </c>
      <c r="F4119" t="s">
        <v>62</v>
      </c>
      <c r="G4119">
        <v>-246.3074</v>
      </c>
      <c r="H4119" s="1">
        <v>1.976836E-6</v>
      </c>
      <c r="I4119">
        <v>211.0215</v>
      </c>
      <c r="J4119">
        <v>-301.19529999999997</v>
      </c>
      <c r="K4119">
        <v>1.1216250000000001</v>
      </c>
      <c r="L4119">
        <v>214.958</v>
      </c>
      <c r="M4119">
        <v>0.99989110000000003</v>
      </c>
      <c r="N4119">
        <v>-1.476325E-2</v>
      </c>
      <c r="O4119" s="1">
        <v>-6.7743780000000005E-5</v>
      </c>
      <c r="P4119">
        <v>0.98187460000000004</v>
      </c>
      <c r="Q4119">
        <v>0.189055</v>
      </c>
      <c r="R4119">
        <v>-1.3443510000000001E-2</v>
      </c>
      <c r="S4119">
        <v>3.0637819999999998</v>
      </c>
      <c r="T4119">
        <v>-6.2209840000000002E-2</v>
      </c>
      <c r="U4119">
        <v>-0.218338</v>
      </c>
      <c r="V4119">
        <v>1.3436190000000001E-2</v>
      </c>
      <c r="W4119">
        <v>0.20352580000000001</v>
      </c>
      <c r="X4119">
        <v>0.9789774</v>
      </c>
      <c r="Y4119">
        <v>7.0991170000000006E-2</v>
      </c>
      <c r="Z4119">
        <v>-1.2441889999999999E-3</v>
      </c>
      <c r="AA4119">
        <v>0.99747620000000004</v>
      </c>
      <c r="AB4119">
        <v>36</v>
      </c>
      <c r="AC4119">
        <v>54.887899999999902</v>
      </c>
      <c r="AD4119">
        <v>-1.1216230231640001</v>
      </c>
      <c r="AE4119">
        <v>-3.9364999999999899</v>
      </c>
      <c r="AF4119">
        <v>3.9311481003023601</v>
      </c>
      <c r="AG4119">
        <v>-1.1216230231640001</v>
      </c>
      <c r="AH4119">
        <v>54.8653730865515</v>
      </c>
      <c r="AI4119">
        <v>91.168151264135105</v>
      </c>
      <c r="AJ4119">
        <v>85.901715059188206</v>
      </c>
      <c r="AK4119">
        <v>55.0174620236076</v>
      </c>
      <c r="AL4119">
        <v>78.256785810210403</v>
      </c>
      <c r="AM4119">
        <v>89.2136808799996</v>
      </c>
      <c r="AN4119">
        <v>1.0000000160890501</v>
      </c>
    </row>
    <row r="4120" spans="1:40" x14ac:dyDescent="0.25">
      <c r="A4120" t="str">
        <f>"20190303170335585"</f>
        <v>20190303170335585</v>
      </c>
      <c r="B4120" t="str">
        <f>"1551603815569535"</f>
        <v>1551603815569535</v>
      </c>
      <c r="C4120" t="s">
        <v>40</v>
      </c>
      <c r="D4120">
        <v>4.0487520000000004</v>
      </c>
      <c r="E4120">
        <v>0.52580700000000002</v>
      </c>
      <c r="F4120" t="s">
        <v>62</v>
      </c>
      <c r="G4120">
        <v>-243.4264</v>
      </c>
      <c r="H4120" s="1">
        <v>4.5237459999999998E-7</v>
      </c>
      <c r="I4120">
        <v>210.8228</v>
      </c>
      <c r="J4120">
        <v>-300.83010000000002</v>
      </c>
      <c r="K4120">
        <v>1.121626</v>
      </c>
      <c r="L4120">
        <v>214.9579</v>
      </c>
      <c r="M4120">
        <v>0.99989110000000003</v>
      </c>
      <c r="N4120">
        <v>-1.47593E-2</v>
      </c>
      <c r="O4120">
        <v>-1.804063E-4</v>
      </c>
      <c r="P4120">
        <v>0.98182959999999997</v>
      </c>
      <c r="Q4120">
        <v>0.1892587</v>
      </c>
      <c r="R4120">
        <v>-1.3843360000000001E-2</v>
      </c>
      <c r="S4120">
        <v>3.0638429999999999</v>
      </c>
      <c r="T4120">
        <v>-5.9486629999999999E-2</v>
      </c>
      <c r="U4120">
        <v>-0.2193146</v>
      </c>
      <c r="V4120">
        <v>1.3726820000000001E-2</v>
      </c>
      <c r="W4120">
        <v>0.2037252</v>
      </c>
      <c r="X4120">
        <v>0.97893189999999997</v>
      </c>
      <c r="Y4120">
        <v>7.1195339999999996E-2</v>
      </c>
      <c r="Z4120">
        <v>-1.215551E-3</v>
      </c>
      <c r="AA4120">
        <v>0.99746170000000001</v>
      </c>
      <c r="AB4120">
        <v>36</v>
      </c>
      <c r="AC4120">
        <v>57.403700000000001</v>
      </c>
      <c r="AD4120">
        <v>-1.12162554762539</v>
      </c>
      <c r="AE4120">
        <v>-4.1350999999999898</v>
      </c>
      <c r="AF4120">
        <v>4.1231767854154997</v>
      </c>
      <c r="AG4120">
        <v>-1.12162554762539</v>
      </c>
      <c r="AH4120">
        <v>57.382650547804701</v>
      </c>
      <c r="AI4120">
        <v>91.116906082277595</v>
      </c>
      <c r="AJ4120">
        <v>85.890128637699505</v>
      </c>
      <c r="AK4120">
        <v>57.5415260013527</v>
      </c>
      <c r="AL4120">
        <v>78.245116639078603</v>
      </c>
      <c r="AM4120">
        <v>89.196637364785602</v>
      </c>
      <c r="AN4120">
        <v>1.00000002376998</v>
      </c>
    </row>
    <row r="4121" spans="1:40" x14ac:dyDescent="0.25">
      <c r="A4121" t="str">
        <f>"20190303170335607"</f>
        <v>20190303170335607</v>
      </c>
      <c r="B4121" t="str">
        <f>"1551603815599791"</f>
        <v>1551603815599791</v>
      </c>
      <c r="C4121" t="s">
        <v>40</v>
      </c>
      <c r="D4121">
        <v>4.1182239999999997</v>
      </c>
      <c r="E4121">
        <v>0.52574900000000002</v>
      </c>
      <c r="F4121" t="s">
        <v>62</v>
      </c>
      <c r="G4121">
        <v>-241.86850000000001</v>
      </c>
      <c r="H4121" s="1">
        <v>-3.7156459999999898E-7</v>
      </c>
      <c r="I4121">
        <v>210.7064</v>
      </c>
      <c r="J4121">
        <v>-300.47000000000003</v>
      </c>
      <c r="K4121">
        <v>1.1216250000000001</v>
      </c>
      <c r="L4121">
        <v>214.95769999999999</v>
      </c>
      <c r="M4121">
        <v>0.99989099999999997</v>
      </c>
      <c r="N4121">
        <v>-1.475543E-2</v>
      </c>
      <c r="O4121">
        <v>-2.9895980000000001E-4</v>
      </c>
      <c r="P4121">
        <v>0.98174799999999995</v>
      </c>
      <c r="Q4121">
        <v>0.1896815</v>
      </c>
      <c r="R4121">
        <v>-1.384644E-2</v>
      </c>
      <c r="S4121">
        <v>3.063599</v>
      </c>
      <c r="T4121">
        <v>-5.8278799999999999E-2</v>
      </c>
      <c r="U4121">
        <v>-0.2209015</v>
      </c>
      <c r="V4121">
        <v>1.3616100000000001E-2</v>
      </c>
      <c r="W4121">
        <v>0.20414299999999999</v>
      </c>
      <c r="X4121">
        <v>0.97884640000000001</v>
      </c>
      <c r="Y4121">
        <v>7.1597350000000004E-2</v>
      </c>
      <c r="Z4121">
        <v>-1.2078029999999999E-3</v>
      </c>
      <c r="AA4121">
        <v>0.99743289999999996</v>
      </c>
      <c r="AB4121">
        <v>36</v>
      </c>
      <c r="AC4121">
        <v>58.601500000000001</v>
      </c>
      <c r="AD4121">
        <v>-1.1216253715646001</v>
      </c>
      <c r="AE4121">
        <v>-4.2512999999999801</v>
      </c>
      <c r="AF4121">
        <v>4.2322361097888397</v>
      </c>
      <c r="AG4121">
        <v>-1.1216253715646001</v>
      </c>
      <c r="AH4121">
        <v>58.581420426545698</v>
      </c>
      <c r="AI4121">
        <v>91.094025248802396</v>
      </c>
      <c r="AJ4121">
        <v>85.867824657315296</v>
      </c>
      <c r="AK4121">
        <v>58.7448098571682</v>
      </c>
      <c r="AL4121">
        <v>78.2206645332693</v>
      </c>
      <c r="AM4121">
        <v>89.203046820782404</v>
      </c>
      <c r="AN4121">
        <v>1.00000001871058</v>
      </c>
    </row>
    <row r="4122" spans="1:40" x14ac:dyDescent="0.25">
      <c r="A4122" t="str">
        <f>"20190303170335629"</f>
        <v>20190303170335629</v>
      </c>
      <c r="B4122" t="str">
        <f>"1551603815619310"</f>
        <v>1551603815619310</v>
      </c>
      <c r="C4122" t="s">
        <v>40</v>
      </c>
      <c r="D4122">
        <v>4.1126680000000002</v>
      </c>
      <c r="E4122">
        <v>0.48961100000000002</v>
      </c>
      <c r="F4122" t="s">
        <v>62</v>
      </c>
      <c r="G4122">
        <v>-239.64099999999999</v>
      </c>
      <c r="H4122" s="1">
        <v>3.770163E-6</v>
      </c>
      <c r="I4122">
        <v>210.5788</v>
      </c>
      <c r="J4122">
        <v>-300.12889999999999</v>
      </c>
      <c r="K4122">
        <v>1.1216250000000001</v>
      </c>
      <c r="L4122">
        <v>214.95750000000001</v>
      </c>
      <c r="M4122">
        <v>0.99989119999999998</v>
      </c>
      <c r="N4122">
        <v>-1.4751790000000001E-2</v>
      </c>
      <c r="O4122">
        <v>-4.2029099999999999E-4</v>
      </c>
      <c r="P4122">
        <v>0.98148299999999999</v>
      </c>
      <c r="Q4122">
        <v>0.19102949999999999</v>
      </c>
      <c r="R4122">
        <v>-1.4113219999999999E-2</v>
      </c>
      <c r="S4122">
        <v>3.0635680000000001</v>
      </c>
      <c r="T4122">
        <v>-5.6488869999999997E-2</v>
      </c>
      <c r="U4122">
        <v>-0.22053529999999999</v>
      </c>
      <c r="V4122">
        <v>1.3767740000000001E-2</v>
      </c>
      <c r="W4122">
        <v>0.205483</v>
      </c>
      <c r="X4122">
        <v>0.97856379999999998</v>
      </c>
      <c r="Y4122">
        <v>7.1359599999999995E-2</v>
      </c>
      <c r="Z4122">
        <v>-1.182574E-3</v>
      </c>
      <c r="AA4122">
        <v>0.9974499</v>
      </c>
      <c r="AB4122">
        <v>36</v>
      </c>
      <c r="AC4122">
        <v>60.487900000000003</v>
      </c>
      <c r="AD4122">
        <v>-1.1216212298370001</v>
      </c>
      <c r="AE4122">
        <v>-4.3787000000000003</v>
      </c>
      <c r="AF4122">
        <v>4.35178581469658</v>
      </c>
      <c r="AG4122">
        <v>-1.1216212298370001</v>
      </c>
      <c r="AH4122">
        <v>60.469051938060197</v>
      </c>
      <c r="AI4122">
        <v>91.059898771443002</v>
      </c>
      <c r="AJ4122">
        <v>85.883682304165006</v>
      </c>
      <c r="AK4122">
        <v>60.6358171071195</v>
      </c>
      <c r="AL4122">
        <v>78.142224682462</v>
      </c>
      <c r="AM4122">
        <v>89.193939779118693</v>
      </c>
      <c r="AN4122">
        <v>0.999999962312073</v>
      </c>
    </row>
    <row r="4123" spans="1:40" x14ac:dyDescent="0.25">
      <c r="A4123" t="str">
        <f>"20190303170335652"</f>
        <v>20190303170335652</v>
      </c>
      <c r="B4123" t="str">
        <f>"1551603815639807"</f>
        <v>1551603815639807</v>
      </c>
      <c r="C4123" t="s">
        <v>40</v>
      </c>
      <c r="D4123">
        <v>4.0752240000000004</v>
      </c>
      <c r="E4123">
        <v>0.48658259999999998</v>
      </c>
      <c r="F4123" t="s">
        <v>89</v>
      </c>
      <c r="G4123">
        <v>-107.39749999999999</v>
      </c>
      <c r="H4123">
        <v>0.18861749999999999</v>
      </c>
      <c r="I4123">
        <v>219.1087</v>
      </c>
      <c r="J4123">
        <v>-299.76159999999999</v>
      </c>
      <c r="K4123">
        <v>1.121623</v>
      </c>
      <c r="L4123">
        <v>214.9572</v>
      </c>
      <c r="M4123">
        <v>0.99989119999999998</v>
      </c>
      <c r="N4123">
        <v>-1.474786E-2</v>
      </c>
      <c r="O4123">
        <v>-5.6120309999999995E-4</v>
      </c>
      <c r="P4123">
        <v>0.98128720000000003</v>
      </c>
      <c r="Q4123">
        <v>0.19198799999999999</v>
      </c>
      <c r="R4123">
        <v>-1.470247E-2</v>
      </c>
      <c r="S4123">
        <v>3.060425</v>
      </c>
      <c r="T4123">
        <v>-1.4814620000000001E-2</v>
      </c>
      <c r="U4123">
        <v>6.5917970000000006E-2</v>
      </c>
      <c r="V4123">
        <v>1.4223660000000001E-2</v>
      </c>
      <c r="W4123">
        <v>0.2064339</v>
      </c>
      <c r="X4123">
        <v>0.97835709999999998</v>
      </c>
      <c r="Y4123">
        <v>-2.2093890000000001E-2</v>
      </c>
      <c r="Z4123">
        <v>2.1085909999999999E-4</v>
      </c>
      <c r="AA4123">
        <v>0.99975590000000003</v>
      </c>
      <c r="AB4123">
        <v>36</v>
      </c>
      <c r="AC4123">
        <v>192.36410000000001</v>
      </c>
      <c r="AD4123">
        <v>-0.93300550000000004</v>
      </c>
      <c r="AE4123">
        <v>4.1514999999999898</v>
      </c>
      <c r="AF4123">
        <v>-4.2593662523592997</v>
      </c>
      <c r="AG4123">
        <v>-0.93300550000000004</v>
      </c>
      <c r="AH4123">
        <v>192.35721661290901</v>
      </c>
      <c r="AI4123">
        <v>90.2778359911987</v>
      </c>
      <c r="AJ4123">
        <v>91.2684932740748</v>
      </c>
      <c r="AK4123">
        <v>192.40663055934499</v>
      </c>
      <c r="AL4123">
        <v>78.086548210653802</v>
      </c>
      <c r="AM4123">
        <v>89.167074805827497</v>
      </c>
      <c r="AN4123">
        <v>0.999999941346706</v>
      </c>
    </row>
    <row r="4124" spans="1:40" x14ac:dyDescent="0.25">
      <c r="A4124" t="str">
        <f>"20190303170335673"</f>
        <v>20190303170335673</v>
      </c>
      <c r="B4124" t="str">
        <f>"1551603815659327"</f>
        <v>1551603815659327</v>
      </c>
      <c r="C4124" t="s">
        <v>40</v>
      </c>
      <c r="D4124">
        <v>4.0681719999999997</v>
      </c>
      <c r="E4124">
        <v>0.48536580000000001</v>
      </c>
      <c r="F4124" t="s">
        <v>55</v>
      </c>
      <c r="G4124">
        <v>-157.8382</v>
      </c>
      <c r="H4124">
        <v>0.54131130000000005</v>
      </c>
      <c r="I4124">
        <v>219.07470000000001</v>
      </c>
      <c r="J4124">
        <v>-299.4058</v>
      </c>
      <c r="K4124">
        <v>1.1216120000000001</v>
      </c>
      <c r="L4124">
        <v>214.95679999999999</v>
      </c>
      <c r="M4124">
        <v>0.99989110000000003</v>
      </c>
      <c r="N4124">
        <v>-1.4744E-2</v>
      </c>
      <c r="O4124">
        <v>-7.085514E-4</v>
      </c>
      <c r="P4124">
        <v>0.98114900000000005</v>
      </c>
      <c r="Q4124">
        <v>0.19262290000000001</v>
      </c>
      <c r="R4124">
        <v>-1.560334E-2</v>
      </c>
      <c r="S4124">
        <v>3.0610050000000002</v>
      </c>
      <c r="T4124">
        <v>-1.251495E-2</v>
      </c>
      <c r="U4124">
        <v>8.880615E-2</v>
      </c>
      <c r="V4124">
        <v>1.4984620000000001E-2</v>
      </c>
      <c r="W4124">
        <v>0.2070623</v>
      </c>
      <c r="X4124">
        <v>0.978213</v>
      </c>
      <c r="Y4124">
        <v>-2.9707029999999999E-2</v>
      </c>
      <c r="Z4124">
        <v>2.7222910000000001E-4</v>
      </c>
      <c r="AA4124">
        <v>0.99955859999999996</v>
      </c>
      <c r="AB4124">
        <v>36</v>
      </c>
      <c r="AC4124">
        <v>141.5676</v>
      </c>
      <c r="AD4124">
        <v>-0.5803007</v>
      </c>
      <c r="AE4124">
        <v>4.1179000000000201</v>
      </c>
      <c r="AF4124">
        <v>-4.2181469705602703</v>
      </c>
      <c r="AG4124">
        <v>-0.5803007</v>
      </c>
      <c r="AH4124">
        <v>141.56226978068699</v>
      </c>
      <c r="AI4124">
        <v>90.234764846458205</v>
      </c>
      <c r="AJ4124">
        <v>91.706743823714504</v>
      </c>
      <c r="AK4124">
        <v>141.626289008177</v>
      </c>
      <c r="AL4124">
        <v>78.049749213419503</v>
      </c>
      <c r="AM4124">
        <v>89.122391197943301</v>
      </c>
      <c r="AN4124">
        <v>1.0000000041434101</v>
      </c>
    </row>
    <row r="4125" spans="1:40" x14ac:dyDescent="0.25">
      <c r="A4125" t="str">
        <f>"20190303170335696"</f>
        <v>20190303170335696</v>
      </c>
      <c r="B4125" t="str">
        <f>"1551603815689583"</f>
        <v>1551603815689583</v>
      </c>
      <c r="C4125" t="s">
        <v>40</v>
      </c>
      <c r="D4125">
        <v>4.0658479999999999</v>
      </c>
      <c r="E4125">
        <v>0.48411939999999998</v>
      </c>
      <c r="F4125" t="s">
        <v>55</v>
      </c>
      <c r="G4125">
        <v>-157.8382</v>
      </c>
      <c r="H4125">
        <v>0.51717380000000002</v>
      </c>
      <c r="I4125">
        <v>219.41720000000001</v>
      </c>
      <c r="J4125">
        <v>-299.04730000000001</v>
      </c>
      <c r="K4125">
        <v>1.121607</v>
      </c>
      <c r="L4125">
        <v>214.9564</v>
      </c>
      <c r="M4125">
        <v>0.99989090000000003</v>
      </c>
      <c r="N4125">
        <v>-1.4740079999999999E-2</v>
      </c>
      <c r="O4125">
        <v>-8.7093089999999999E-4</v>
      </c>
      <c r="P4125">
        <v>0.98106380000000004</v>
      </c>
      <c r="Q4125">
        <v>0.1930299</v>
      </c>
      <c r="R4125">
        <v>-1.5912809999999999E-2</v>
      </c>
      <c r="S4125">
        <v>3.0617369999999999</v>
      </c>
      <c r="T4125">
        <v>-1.307118E-2</v>
      </c>
      <c r="U4125">
        <v>9.6466060000000006E-2</v>
      </c>
      <c r="V4125">
        <v>1.5139909999999999E-2</v>
      </c>
      <c r="W4125">
        <v>0.20746400000000001</v>
      </c>
      <c r="X4125">
        <v>0.97812549999999998</v>
      </c>
      <c r="Y4125">
        <v>-3.2360569999999998E-2</v>
      </c>
      <c r="Z4125">
        <v>2.9851729999999998E-4</v>
      </c>
      <c r="AA4125">
        <v>0.99947620000000004</v>
      </c>
      <c r="AB4125">
        <v>36</v>
      </c>
      <c r="AC4125">
        <v>141.20910000000001</v>
      </c>
      <c r="AD4125">
        <v>-0.604433199999999</v>
      </c>
      <c r="AE4125">
        <v>4.4607999999999999</v>
      </c>
      <c r="AF4125">
        <v>-4.5837111499540502</v>
      </c>
      <c r="AG4125">
        <v>-0.604433199999999</v>
      </c>
      <c r="AH4125">
        <v>141.20257643760499</v>
      </c>
      <c r="AI4125">
        <v>90.245130283772298</v>
      </c>
      <c r="AJ4125">
        <v>91.859279894107104</v>
      </c>
      <c r="AK4125">
        <v>141.27824793653599</v>
      </c>
      <c r="AL4125">
        <v>78.026222707011897</v>
      </c>
      <c r="AM4125">
        <v>89.113218416984793</v>
      </c>
      <c r="AN4125">
        <v>1.00000001096052</v>
      </c>
    </row>
    <row r="4126" spans="1:40" x14ac:dyDescent="0.25">
      <c r="A4126" t="str">
        <f>"20190303170335717"</f>
        <v>20190303170335717</v>
      </c>
      <c r="B4126" t="str">
        <f>"1551603815709102"</f>
        <v>1551603815709102</v>
      </c>
      <c r="C4126" t="s">
        <v>40</v>
      </c>
      <c r="D4126">
        <v>4.0584790000000002</v>
      </c>
      <c r="E4126">
        <v>0.48339179999999998</v>
      </c>
      <c r="F4126" t="s">
        <v>55</v>
      </c>
      <c r="G4126">
        <v>-157.8382</v>
      </c>
      <c r="H4126">
        <v>0.62983129999999998</v>
      </c>
      <c r="I4126">
        <v>219.8201</v>
      </c>
      <c r="J4126">
        <v>-298.70159999999998</v>
      </c>
      <c r="K4126">
        <v>1.1215999999999999</v>
      </c>
      <c r="L4126">
        <v>214.95599999999999</v>
      </c>
      <c r="M4126">
        <v>0.99989090000000003</v>
      </c>
      <c r="N4126">
        <v>-1.4736300000000001E-2</v>
      </c>
      <c r="O4126">
        <v>-1.040947E-3</v>
      </c>
      <c r="P4126">
        <v>0.98089340000000003</v>
      </c>
      <c r="Q4126">
        <v>0.1938674</v>
      </c>
      <c r="R4126">
        <v>-1.6230459999999999E-2</v>
      </c>
      <c r="S4126">
        <v>3.0617070000000002</v>
      </c>
      <c r="T4126">
        <v>-1.0661479999999999E-2</v>
      </c>
      <c r="U4126">
        <v>0.10545350000000001</v>
      </c>
      <c r="V4126">
        <v>1.529631E-2</v>
      </c>
      <c r="W4126">
        <v>0.20829510000000001</v>
      </c>
      <c r="X4126">
        <v>0.97794639999999999</v>
      </c>
      <c r="Y4126">
        <v>-3.546154E-2</v>
      </c>
      <c r="Z4126">
        <v>3.1139299999999998E-4</v>
      </c>
      <c r="AA4126">
        <v>0.99937100000000001</v>
      </c>
      <c r="AB4126">
        <v>36</v>
      </c>
      <c r="AC4126">
        <v>140.86339999999899</v>
      </c>
      <c r="AD4126">
        <v>-0.4917687</v>
      </c>
      <c r="AE4126">
        <v>4.8640999999999996</v>
      </c>
      <c r="AF4126">
        <v>-5.01068362102823</v>
      </c>
      <c r="AG4126">
        <v>-0.4917687</v>
      </c>
      <c r="AH4126">
        <v>140.85654515833801</v>
      </c>
      <c r="AI4126">
        <v>90.199907970144594</v>
      </c>
      <c r="AJ4126">
        <v>92.037321142163506</v>
      </c>
      <c r="AK4126">
        <v>140.94649729861101</v>
      </c>
      <c r="AL4126">
        <v>77.9775404847137</v>
      </c>
      <c r="AM4126">
        <v>89.103895116976204</v>
      </c>
      <c r="AN4126">
        <v>0.99999999352829305</v>
      </c>
    </row>
    <row r="4127" spans="1:40" x14ac:dyDescent="0.25">
      <c r="A4127" t="str">
        <f>"20190303170335741"</f>
        <v>20190303170335741</v>
      </c>
      <c r="B4127" t="str">
        <f>"1551603815729599"</f>
        <v>1551603815729599</v>
      </c>
      <c r="C4127" t="s">
        <v>40</v>
      </c>
      <c r="D4127">
        <v>4.063669</v>
      </c>
      <c r="E4127">
        <v>0.48285850000000002</v>
      </c>
      <c r="F4127" t="s">
        <v>55</v>
      </c>
      <c r="G4127">
        <v>-157.8382</v>
      </c>
      <c r="H4127">
        <v>0.77646059999999995</v>
      </c>
      <c r="I4127">
        <v>220.0231</v>
      </c>
      <c r="J4127">
        <v>-298.32979999999998</v>
      </c>
      <c r="K4127">
        <v>1.121588</v>
      </c>
      <c r="L4127">
        <v>214.9554</v>
      </c>
      <c r="M4127">
        <v>0.99989079999999997</v>
      </c>
      <c r="N4127">
        <v>-1.473226E-2</v>
      </c>
      <c r="O4127">
        <v>-1.2357689999999901E-3</v>
      </c>
      <c r="P4127">
        <v>0.98075429999999997</v>
      </c>
      <c r="Q4127">
        <v>0.1945355</v>
      </c>
      <c r="R4127">
        <v>-1.6649899999999999E-2</v>
      </c>
      <c r="S4127">
        <v>3.0617369999999999</v>
      </c>
      <c r="T4127">
        <v>-7.5005289999999997E-3</v>
      </c>
      <c r="U4127">
        <v>0.1101379</v>
      </c>
      <c r="V4127">
        <v>1.55303E-2</v>
      </c>
      <c r="W4127">
        <v>0.2089569</v>
      </c>
      <c r="X4127">
        <v>0.97780149999999999</v>
      </c>
      <c r="Y4127">
        <v>-3.7183319999999999E-2</v>
      </c>
      <c r="Z4127">
        <v>3.0435949999999999E-4</v>
      </c>
      <c r="AA4127">
        <v>0.99930839999999999</v>
      </c>
      <c r="AB4127">
        <v>36</v>
      </c>
      <c r="AC4127">
        <v>140.49159999999901</v>
      </c>
      <c r="AD4127">
        <v>-0.34512739999999997</v>
      </c>
      <c r="AE4127">
        <v>5.0677000000000003</v>
      </c>
      <c r="AF4127">
        <v>-5.2412985331873996</v>
      </c>
      <c r="AG4127">
        <v>-0.34512739999999997</v>
      </c>
      <c r="AH4127">
        <v>140.48438283255899</v>
      </c>
      <c r="AI4127">
        <v>90.140660159376196</v>
      </c>
      <c r="AJ4127">
        <v>92.136643659307197</v>
      </c>
      <c r="AK4127">
        <v>140.58254565585699</v>
      </c>
      <c r="AL4127">
        <v>77.9387687604587</v>
      </c>
      <c r="AM4127">
        <v>89.090054748189999</v>
      </c>
      <c r="AN4127">
        <v>0.99999997483897396</v>
      </c>
    </row>
    <row r="4128" spans="1:40" x14ac:dyDescent="0.25">
      <c r="A4128" t="str">
        <f>"20190303170335764"</f>
        <v>20190303170335764</v>
      </c>
      <c r="B4128" t="str">
        <f>"1551603815759855"</f>
        <v>1551603815759855</v>
      </c>
      <c r="C4128" t="s">
        <v>40</v>
      </c>
      <c r="D4128">
        <v>4.0530179999999998</v>
      </c>
      <c r="E4128">
        <v>0.48250720000000002</v>
      </c>
      <c r="F4128" t="s">
        <v>55</v>
      </c>
      <c r="G4128">
        <v>-157.8382</v>
      </c>
      <c r="H4128">
        <v>0.8742723</v>
      </c>
      <c r="I4128">
        <v>220.12520000000001</v>
      </c>
      <c r="J4128">
        <v>-297.97160000000002</v>
      </c>
      <c r="K4128">
        <v>1.1215809999999999</v>
      </c>
      <c r="L4128">
        <v>214.9547</v>
      </c>
      <c r="M4128">
        <v>0.99989050000000002</v>
      </c>
      <c r="N4128">
        <v>-1.4728359999999999E-2</v>
      </c>
      <c r="O4128">
        <v>-1.4337900000000001E-3</v>
      </c>
      <c r="P4128">
        <v>0.98063500000000003</v>
      </c>
      <c r="Q4128">
        <v>0.19508110000000001</v>
      </c>
      <c r="R4128">
        <v>-1.7266380000000001E-2</v>
      </c>
      <c r="S4128">
        <v>3.0618590000000001</v>
      </c>
      <c r="T4128">
        <v>-5.3887369999999898E-3</v>
      </c>
      <c r="U4128">
        <v>0.11267089999999901</v>
      </c>
      <c r="V4128">
        <v>1.5957840000000001E-2</v>
      </c>
      <c r="W4128">
        <v>0.2094964</v>
      </c>
      <c r="X4128">
        <v>0.97767919999999997</v>
      </c>
      <c r="Y4128">
        <v>-3.8205580000000003E-2</v>
      </c>
      <c r="Z4128">
        <v>2.9648510000000001E-4</v>
      </c>
      <c r="AA4128">
        <v>0.99926979999999999</v>
      </c>
      <c r="AB4128">
        <v>36</v>
      </c>
      <c r="AC4128">
        <v>140.13339999999999</v>
      </c>
      <c r="AD4128">
        <v>-0.24730869999999899</v>
      </c>
      <c r="AE4128">
        <v>5.1704999999999997</v>
      </c>
      <c r="AF4128">
        <v>-5.3714216417329697</v>
      </c>
      <c r="AG4128">
        <v>-0.24730869999999899</v>
      </c>
      <c r="AH4128">
        <v>140.12540587895199</v>
      </c>
      <c r="AI4128">
        <v>90.101047563882304</v>
      </c>
      <c r="AJ4128">
        <v>92.1952420299355</v>
      </c>
      <c r="AK4128">
        <v>140.22853741228101</v>
      </c>
      <c r="AL4128">
        <v>77.907158436694502</v>
      </c>
      <c r="AM4128">
        <v>89.064891940207701</v>
      </c>
      <c r="AN4128">
        <v>1.00000000619153</v>
      </c>
    </row>
    <row r="4129" spans="1:40" x14ac:dyDescent="0.25">
      <c r="A4129" t="str">
        <f>"20190303170335787"</f>
        <v>20190303170335787</v>
      </c>
      <c r="B4129" t="str">
        <f>"1551603815779374"</f>
        <v>1551603815779374</v>
      </c>
      <c r="C4129" t="s">
        <v>40</v>
      </c>
      <c r="D4129">
        <v>4.1002269999999896</v>
      </c>
      <c r="E4129">
        <v>0.48238219999999998</v>
      </c>
      <c r="F4129" t="s">
        <v>55</v>
      </c>
      <c r="G4129">
        <v>-157.8382</v>
      </c>
      <c r="H4129">
        <v>0.97874260000000002</v>
      </c>
      <c r="I4129">
        <v>220.17769999999999</v>
      </c>
      <c r="J4129">
        <v>-297.60989999999998</v>
      </c>
      <c r="K4129">
        <v>1.121577</v>
      </c>
      <c r="L4129">
        <v>214.95400000000001</v>
      </c>
      <c r="M4129">
        <v>0.99989030000000001</v>
      </c>
      <c r="N4129">
        <v>-1.472442E-2</v>
      </c>
      <c r="O4129">
        <v>-1.6427550000000001E-3</v>
      </c>
      <c r="P4129">
        <v>0.98060639999999999</v>
      </c>
      <c r="Q4129">
        <v>0.1951707</v>
      </c>
      <c r="R4129">
        <v>-1.7874919999999999E-2</v>
      </c>
      <c r="S4129">
        <v>3.0618590000000001</v>
      </c>
      <c r="T4129">
        <v>-3.1197070000000002E-3</v>
      </c>
      <c r="U4129">
        <v>0.1141205</v>
      </c>
      <c r="V4129">
        <v>1.6365729999999998E-2</v>
      </c>
      <c r="W4129">
        <v>0.2095813</v>
      </c>
      <c r="X4129">
        <v>0.97765429999999998</v>
      </c>
      <c r="Y4129">
        <v>-3.8887049999999999E-2</v>
      </c>
      <c r="Z4129">
        <v>2.8370640000000003E-4</v>
      </c>
      <c r="AA4129">
        <v>0.99924360000000001</v>
      </c>
      <c r="AB4129">
        <v>36</v>
      </c>
      <c r="AC4129">
        <v>139.77169999999899</v>
      </c>
      <c r="AD4129">
        <v>-0.1428344</v>
      </c>
      <c r="AE4129">
        <v>5.2236999999999796</v>
      </c>
      <c r="AF4129">
        <v>-5.4533228031943697</v>
      </c>
      <c r="AG4129">
        <v>-0.1428344</v>
      </c>
      <c r="AH4129">
        <v>139.76278342146799</v>
      </c>
      <c r="AI4129">
        <v>90.058510446660804</v>
      </c>
      <c r="AJ4129">
        <v>92.234457235057207</v>
      </c>
      <c r="AK4129">
        <v>139.869205906725</v>
      </c>
      <c r="AL4129">
        <v>77.902184053781994</v>
      </c>
      <c r="AM4129">
        <v>89.040970120082406</v>
      </c>
      <c r="AN4129">
        <v>1.0000000443682999</v>
      </c>
    </row>
    <row r="4130" spans="1:40" x14ac:dyDescent="0.25">
      <c r="A4130" t="str">
        <f>"20190303170335808"</f>
        <v>20190303170335808</v>
      </c>
      <c r="B4130" t="str">
        <f>"1551603815799871"</f>
        <v>1551603815799871</v>
      </c>
      <c r="C4130" t="s">
        <v>40</v>
      </c>
      <c r="D4130">
        <v>4.0767439999999997</v>
      </c>
      <c r="E4130">
        <v>0.48213319999999998</v>
      </c>
      <c r="F4130" t="s">
        <v>55</v>
      </c>
      <c r="G4130">
        <v>-157.8382</v>
      </c>
      <c r="H4130">
        <v>0.96440599999999999</v>
      </c>
      <c r="I4130">
        <v>220.14779999999999</v>
      </c>
      <c r="J4130">
        <v>-297.26510000000002</v>
      </c>
      <c r="K4130">
        <v>1.121578</v>
      </c>
      <c r="L4130">
        <v>214.95320000000001</v>
      </c>
      <c r="M4130">
        <v>0.99988999999999995</v>
      </c>
      <c r="N4130">
        <v>-1.472066E-2</v>
      </c>
      <c r="O4130">
        <v>-1.847633E-3</v>
      </c>
      <c r="P4130">
        <v>0.98055289999999995</v>
      </c>
      <c r="Q4130">
        <v>0.1954187</v>
      </c>
      <c r="R4130">
        <v>-1.810471E-2</v>
      </c>
      <c r="S4130">
        <v>3.062103</v>
      </c>
      <c r="T4130">
        <v>-3.442049E-3</v>
      </c>
      <c r="U4130">
        <v>0.11378480000000001</v>
      </c>
      <c r="V4130">
        <v>1.6397729999999999E-2</v>
      </c>
      <c r="W4130">
        <v>0.2098246</v>
      </c>
      <c r="X4130">
        <v>0.97760150000000001</v>
      </c>
      <c r="Y4130">
        <v>-3.8979380000000001E-2</v>
      </c>
      <c r="Z4130">
        <v>2.8380309999999999E-4</v>
      </c>
      <c r="AA4130">
        <v>0.99924000000000002</v>
      </c>
      <c r="AB4130">
        <v>36</v>
      </c>
      <c r="AC4130">
        <v>139.42689999999999</v>
      </c>
      <c r="AD4130">
        <v>-0.15717199999999901</v>
      </c>
      <c r="AE4130">
        <v>5.1945999999999799</v>
      </c>
      <c r="AF4130">
        <v>-5.4522218546492596</v>
      </c>
      <c r="AG4130">
        <v>-0.15717199999999901</v>
      </c>
      <c r="AH4130">
        <v>139.41688629300401</v>
      </c>
      <c r="AI4130">
        <v>90.064543186328194</v>
      </c>
      <c r="AJ4130">
        <v>92.239543581956298</v>
      </c>
      <c r="AK4130">
        <v>139.523545001646</v>
      </c>
      <c r="AL4130">
        <v>77.887926079832695</v>
      </c>
      <c r="AM4130">
        <v>89.039043386568906</v>
      </c>
      <c r="AN4130">
        <v>0.99999997055828105</v>
      </c>
    </row>
    <row r="4131" spans="1:40" x14ac:dyDescent="0.25">
      <c r="A4131" t="str">
        <f>"20190303170335831"</f>
        <v>20190303170335831</v>
      </c>
      <c r="B4131" t="str">
        <f>"1551603815819390"</f>
        <v>1551603815819390</v>
      </c>
      <c r="C4131" t="s">
        <v>40</v>
      </c>
      <c r="D4131">
        <v>4.067056</v>
      </c>
      <c r="E4131">
        <v>0.48191509999999999</v>
      </c>
      <c r="F4131" t="s">
        <v>55</v>
      </c>
      <c r="G4131">
        <v>-157.8382</v>
      </c>
      <c r="H4131">
        <v>0.99390409999999996</v>
      </c>
      <c r="I4131">
        <v>220.18809999999999</v>
      </c>
      <c r="J4131">
        <v>-296.92039999999997</v>
      </c>
      <c r="K4131">
        <v>1.1215790000000001</v>
      </c>
      <c r="L4131">
        <v>214.95230000000001</v>
      </c>
      <c r="M4131">
        <v>0.99988969999999999</v>
      </c>
      <c r="N4131">
        <v>-1.471688E-2</v>
      </c>
      <c r="O4131">
        <v>-2.0562950000000001E-3</v>
      </c>
      <c r="P4131">
        <v>0.9802843</v>
      </c>
      <c r="Q4131">
        <v>0.19668140000000001</v>
      </c>
      <c r="R4131">
        <v>-1.895815E-2</v>
      </c>
      <c r="S4131">
        <v>3.0622250000000002</v>
      </c>
      <c r="T4131">
        <v>-2.8028490000000001E-3</v>
      </c>
      <c r="U4131">
        <v>0.11497499999999999</v>
      </c>
      <c r="V4131">
        <v>1.705021E-2</v>
      </c>
      <c r="W4131">
        <v>0.21107860000000001</v>
      </c>
      <c r="X4131">
        <v>0.97732039999999998</v>
      </c>
      <c r="Y4131">
        <v>-3.95743E-2</v>
      </c>
      <c r="Z4131">
        <v>2.8105760000000002E-4</v>
      </c>
      <c r="AA4131">
        <v>0.99921660000000001</v>
      </c>
      <c r="AB4131">
        <v>36</v>
      </c>
      <c r="AC4131">
        <v>139.08219999999901</v>
      </c>
      <c r="AD4131">
        <v>-0.12767490000000001</v>
      </c>
      <c r="AE4131">
        <v>5.2357999999999798</v>
      </c>
      <c r="AF4131">
        <v>-5.5218092578390996</v>
      </c>
      <c r="AG4131">
        <v>-0.12767490000000001</v>
      </c>
      <c r="AH4131">
        <v>139.07102134981599</v>
      </c>
      <c r="AI4131">
        <v>90.052559271041304</v>
      </c>
      <c r="AJ4131">
        <v>92.2737322678054</v>
      </c>
      <c r="AK4131">
        <v>139.180658346054</v>
      </c>
      <c r="AL4131">
        <v>77.814431862673402</v>
      </c>
      <c r="AM4131">
        <v>89.000526356457797</v>
      </c>
      <c r="AN4131">
        <v>1.00000002464758</v>
      </c>
    </row>
    <row r="4132" spans="1:40" x14ac:dyDescent="0.25">
      <c r="A4132" t="str">
        <f>"20190303170335852"</f>
        <v>20190303170335852</v>
      </c>
      <c r="B4132" t="str">
        <f>"1551603815839887"</f>
        <v>1551603815839887</v>
      </c>
      <c r="C4132" t="s">
        <v>40</v>
      </c>
      <c r="D4132">
        <v>4.0898269999999997</v>
      </c>
      <c r="E4132">
        <v>0.48178860000000001</v>
      </c>
      <c r="F4132" t="s">
        <v>55</v>
      </c>
      <c r="G4132">
        <v>-157.8382</v>
      </c>
      <c r="H4132">
        <v>1.171527</v>
      </c>
      <c r="I4132">
        <v>220.172</v>
      </c>
      <c r="J4132">
        <v>-296.56459999999998</v>
      </c>
      <c r="K4132">
        <v>1.1215790000000001</v>
      </c>
      <c r="L4132">
        <v>214.95140000000001</v>
      </c>
      <c r="M4132">
        <v>0.99988929999999998</v>
      </c>
      <c r="N4132">
        <v>-1.471299E-2</v>
      </c>
      <c r="O4132">
        <v>-2.2739930000000002E-3</v>
      </c>
      <c r="P4132">
        <v>0.98006309999999996</v>
      </c>
      <c r="Q4132">
        <v>0.1976426</v>
      </c>
      <c r="R4132">
        <v>-2.033548E-2</v>
      </c>
      <c r="S4132">
        <v>3.0623469999999999</v>
      </c>
      <c r="T4132">
        <v>1.1010169999999999E-3</v>
      </c>
      <c r="U4132">
        <v>0.1149292</v>
      </c>
      <c r="V4132">
        <v>1.8216949999999999E-2</v>
      </c>
      <c r="W4132">
        <v>0.2120321</v>
      </c>
      <c r="X4132">
        <v>0.97709290000000004</v>
      </c>
      <c r="Y4132">
        <v>-3.977576E-2</v>
      </c>
      <c r="Z4132">
        <v>2.5131650000000003E-4</v>
      </c>
      <c r="AA4132">
        <v>0.9992086</v>
      </c>
      <c r="AB4132">
        <v>35</v>
      </c>
      <c r="AC4132">
        <v>138.72639999999899</v>
      </c>
      <c r="AD4132">
        <v>4.9947999999999798E-2</v>
      </c>
      <c r="AE4132">
        <v>5.2205999999999904</v>
      </c>
      <c r="AF4132">
        <v>-5.5360827546551299</v>
      </c>
      <c r="AG4132">
        <v>4.9947999999999798E-2</v>
      </c>
      <c r="AH4132">
        <v>138.71415039371101</v>
      </c>
      <c r="AI4132">
        <v>89.979385426612097</v>
      </c>
      <c r="AJ4132">
        <v>92.285462058927394</v>
      </c>
      <c r="AK4132">
        <v>138.824587975323</v>
      </c>
      <c r="AL4132">
        <v>77.758534889174697</v>
      </c>
      <c r="AM4132">
        <v>88.931899474940906</v>
      </c>
      <c r="AN4132">
        <v>1.00000000196406</v>
      </c>
    </row>
    <row r="4133" spans="1:40" x14ac:dyDescent="0.25">
      <c r="A4133" t="str">
        <f>"20190303170335875"</f>
        <v>20190303170335875</v>
      </c>
      <c r="B4133" t="str">
        <f>"1551603815869166"</f>
        <v>1551603815869166</v>
      </c>
      <c r="C4133" t="s">
        <v>40</v>
      </c>
      <c r="D4133">
        <v>4.1386000000000003</v>
      </c>
      <c r="E4133">
        <v>0.4810488</v>
      </c>
      <c r="F4133" t="s">
        <v>55</v>
      </c>
      <c r="G4133">
        <v>-157.8382</v>
      </c>
      <c r="H4133">
        <v>1.31118</v>
      </c>
      <c r="I4133">
        <v>220.06</v>
      </c>
      <c r="J4133">
        <v>-296.20330000000001</v>
      </c>
      <c r="K4133">
        <v>1.1215790000000001</v>
      </c>
      <c r="L4133">
        <v>214.9503</v>
      </c>
      <c r="M4133">
        <v>0.99988880000000002</v>
      </c>
      <c r="N4133">
        <v>-1.470905E-2</v>
      </c>
      <c r="O4133">
        <v>-2.4964380000000001E-3</v>
      </c>
      <c r="P4133">
        <v>0.97990529999999998</v>
      </c>
      <c r="Q4133">
        <v>0.19826289999999999</v>
      </c>
      <c r="R4133">
        <v>-2.1859300000000002E-2</v>
      </c>
      <c r="S4133">
        <v>3.0625309999999999</v>
      </c>
      <c r="T4133">
        <v>4.1868690000000002E-3</v>
      </c>
      <c r="U4133">
        <v>0.11277769999999999</v>
      </c>
      <c r="V4133">
        <v>1.9524440000000001E-2</v>
      </c>
      <c r="W4133">
        <v>0.2126458</v>
      </c>
      <c r="X4133">
        <v>0.97693430000000003</v>
      </c>
      <c r="Y4133">
        <v>-3.9294999999999997E-2</v>
      </c>
      <c r="Z4133">
        <v>2.2213570000000001E-4</v>
      </c>
      <c r="AA4133">
        <v>0.99922759999999999</v>
      </c>
      <c r="AB4133">
        <v>35</v>
      </c>
      <c r="AC4133">
        <v>138.36510000000001</v>
      </c>
      <c r="AD4133">
        <v>0.18960099999999899</v>
      </c>
      <c r="AE4133">
        <v>5.1097000000000001</v>
      </c>
      <c r="AF4133">
        <v>-5.4551310767551797</v>
      </c>
      <c r="AG4133">
        <v>0.18960099999999899</v>
      </c>
      <c r="AH4133">
        <v>138.351651888075</v>
      </c>
      <c r="AI4133">
        <v>89.9215412647943</v>
      </c>
      <c r="AJ4133">
        <v>92.257972051305302</v>
      </c>
      <c r="AK4133">
        <v>138.459286376042</v>
      </c>
      <c r="AL4133">
        <v>77.722552305992494</v>
      </c>
      <c r="AM4133">
        <v>88.855072335233203</v>
      </c>
      <c r="AN4133">
        <v>1.00000003326572</v>
      </c>
    </row>
    <row r="4134" spans="1:40" x14ac:dyDescent="0.25">
      <c r="A4134" t="str">
        <f>"20190303170335897"</f>
        <v>20190303170335897</v>
      </c>
      <c r="B4134" t="str">
        <f>"1551603815889663"</f>
        <v>1551603815889663</v>
      </c>
      <c r="C4134" t="s">
        <v>40</v>
      </c>
      <c r="D4134">
        <v>4.0612849999999998</v>
      </c>
      <c r="E4134">
        <v>0.48013060000000002</v>
      </c>
      <c r="F4134" t="s">
        <v>55</v>
      </c>
      <c r="G4134">
        <v>-157.8382</v>
      </c>
      <c r="H4134">
        <v>1.38979599999999</v>
      </c>
      <c r="I4134">
        <v>220.11949999999999</v>
      </c>
      <c r="J4134">
        <v>-295.86279999999999</v>
      </c>
      <c r="K4134">
        <v>1.1215820000000001</v>
      </c>
      <c r="L4134">
        <v>214.94919999999999</v>
      </c>
      <c r="M4134">
        <v>0.99988840000000001</v>
      </c>
      <c r="N4134">
        <v>-1.470547E-2</v>
      </c>
      <c r="O4134">
        <v>-2.7055220000000001E-3</v>
      </c>
      <c r="P4134">
        <v>0.97993240000000004</v>
      </c>
      <c r="Q4134">
        <v>0.1979996</v>
      </c>
      <c r="R4134">
        <v>-2.3002109999999999E-2</v>
      </c>
      <c r="S4134">
        <v>3.0628660000000001</v>
      </c>
      <c r="T4134">
        <v>5.93853E-3</v>
      </c>
      <c r="U4134">
        <v>0.11442570000000001</v>
      </c>
      <c r="V4134">
        <v>2.0462890000000001E-2</v>
      </c>
      <c r="W4134">
        <v>0.21237880000000001</v>
      </c>
      <c r="X4134">
        <v>0.97697310000000004</v>
      </c>
      <c r="Y4134">
        <v>-4.0036879999999997E-2</v>
      </c>
      <c r="Z4134">
        <v>2.106802E-4</v>
      </c>
      <c r="AA4134">
        <v>0.99919820000000004</v>
      </c>
      <c r="AB4134">
        <v>35</v>
      </c>
      <c r="AC4134">
        <v>138.02459999999999</v>
      </c>
      <c r="AD4134">
        <v>0.26821399999999901</v>
      </c>
      <c r="AE4134">
        <v>5.1702999999999903</v>
      </c>
      <c r="AF4134">
        <v>-5.5437290722732602</v>
      </c>
      <c r="AG4134">
        <v>0.26821399999999901</v>
      </c>
      <c r="AH4134">
        <v>138.00958444447701</v>
      </c>
      <c r="AI4134">
        <v>89.888738686343601</v>
      </c>
      <c r="AJ4134">
        <v>92.300286645740599</v>
      </c>
      <c r="AK4134">
        <v>138.12114345499</v>
      </c>
      <c r="AL4134">
        <v>77.738206981414507</v>
      </c>
      <c r="AM4134">
        <v>88.800104292616396</v>
      </c>
      <c r="AN4134">
        <v>0.99999996134010005</v>
      </c>
    </row>
    <row r="4135" spans="1:40" x14ac:dyDescent="0.25">
      <c r="A4135" t="str">
        <f>"20190303170335918"</f>
        <v>20190303170335918</v>
      </c>
      <c r="B4135" t="str">
        <f>"1551603815909183"</f>
        <v>1551603815909183</v>
      </c>
      <c r="C4135" t="s">
        <v>40</v>
      </c>
      <c r="D4135">
        <v>4.0455649999999999</v>
      </c>
      <c r="E4135">
        <v>0.47933900000000002</v>
      </c>
      <c r="F4135" t="s">
        <v>55</v>
      </c>
      <c r="G4135">
        <v>-157.8382</v>
      </c>
      <c r="H4135">
        <v>1.41065</v>
      </c>
      <c r="I4135">
        <v>220.30709999999999</v>
      </c>
      <c r="J4135">
        <v>-295.5154</v>
      </c>
      <c r="K4135">
        <v>1.121583</v>
      </c>
      <c r="L4135">
        <v>214.94800000000001</v>
      </c>
      <c r="M4135">
        <v>0.99988770000000005</v>
      </c>
      <c r="N4135">
        <v>-1.470166E-2</v>
      </c>
      <c r="O4135">
        <v>-2.9191249999999998E-3</v>
      </c>
      <c r="P4135">
        <v>0.98001719999999903</v>
      </c>
      <c r="Q4135">
        <v>0.19734189999999999</v>
      </c>
      <c r="R4135">
        <v>-2.4954859999999999E-2</v>
      </c>
      <c r="S4135">
        <v>3.062897</v>
      </c>
      <c r="T4135">
        <v>6.4159630000000002E-3</v>
      </c>
      <c r="U4135">
        <v>0.1188965</v>
      </c>
      <c r="V4135">
        <v>2.2206279999999998E-2</v>
      </c>
      <c r="W4135">
        <v>0.2117175</v>
      </c>
      <c r="X4135">
        <v>0.97707860000000002</v>
      </c>
      <c r="Y4135">
        <v>-4.1706319999999998E-2</v>
      </c>
      <c r="Z4135">
        <v>2.140268E-4</v>
      </c>
      <c r="AA4135">
        <v>0.99912990000000002</v>
      </c>
      <c r="AB4135">
        <v>35</v>
      </c>
      <c r="AC4135">
        <v>137.6772</v>
      </c>
      <c r="AD4135">
        <v>0.28906700000000002</v>
      </c>
      <c r="AE4135">
        <v>5.3591000000000104</v>
      </c>
      <c r="AF4135">
        <v>-5.7609921855648301</v>
      </c>
      <c r="AG4135">
        <v>0.28906700000000002</v>
      </c>
      <c r="AH4135">
        <v>137.66036177248</v>
      </c>
      <c r="AI4135">
        <v>89.879792481360099</v>
      </c>
      <c r="AJ4135">
        <v>92.396390935064801</v>
      </c>
      <c r="AK4135">
        <v>137.78115906764199</v>
      </c>
      <c r="AL4135">
        <v>77.776978911787893</v>
      </c>
      <c r="AM4135">
        <v>88.698050364464706</v>
      </c>
      <c r="AN4135">
        <v>1.0000000046278199</v>
      </c>
    </row>
    <row r="4136" spans="1:40" x14ac:dyDescent="0.25">
      <c r="A4136" t="str">
        <f>"20190303170335942"</f>
        <v>20190303170335942</v>
      </c>
      <c r="B4136" t="str">
        <f>"1551603815929680"</f>
        <v>1551603815929680</v>
      </c>
      <c r="C4136" t="s">
        <v>40</v>
      </c>
      <c r="D4136">
        <v>4.1263639999999997</v>
      </c>
      <c r="E4136">
        <v>0.47858040000000002</v>
      </c>
      <c r="F4136" t="s">
        <v>55</v>
      </c>
      <c r="G4136">
        <v>-157.8382</v>
      </c>
      <c r="H4136">
        <v>1.354897</v>
      </c>
      <c r="I4136">
        <v>220.34270000000001</v>
      </c>
      <c r="J4136">
        <v>-295.1515</v>
      </c>
      <c r="K4136">
        <v>1.1215820000000001</v>
      </c>
      <c r="L4136">
        <v>214.94669999999999</v>
      </c>
      <c r="M4136">
        <v>0.99988710000000003</v>
      </c>
      <c r="N4136">
        <v>-1.469764E-2</v>
      </c>
      <c r="O4136">
        <v>-3.1424930000000001E-3</v>
      </c>
      <c r="P4136">
        <v>0.97969669999999998</v>
      </c>
      <c r="Q4136">
        <v>0.1986628</v>
      </c>
      <c r="R4136">
        <v>-2.6969529999999999E-2</v>
      </c>
      <c r="S4136">
        <v>3.063202</v>
      </c>
      <c r="T4136">
        <v>5.1922799999999996E-3</v>
      </c>
      <c r="U4136">
        <v>0.1200256</v>
      </c>
      <c r="V4136">
        <v>2.4004169999999998E-2</v>
      </c>
      <c r="W4136">
        <v>0.2130292</v>
      </c>
      <c r="X4136">
        <v>0.97675089999999998</v>
      </c>
      <c r="Y4136">
        <v>-4.2293299999999999E-2</v>
      </c>
      <c r="Z4136">
        <v>2.2361350000000001E-4</v>
      </c>
      <c r="AA4136">
        <v>0.99910520000000003</v>
      </c>
      <c r="AB4136">
        <v>35</v>
      </c>
      <c r="AC4136">
        <v>137.3133</v>
      </c>
      <c r="AD4136">
        <v>0.233314999999999</v>
      </c>
      <c r="AE4136">
        <v>5.3960000000000097</v>
      </c>
      <c r="AF4136">
        <v>-5.8275092273992399</v>
      </c>
      <c r="AG4136">
        <v>0.233314999999999</v>
      </c>
      <c r="AH4136">
        <v>137.29526735392901</v>
      </c>
      <c r="AI4136">
        <v>89.902721144701104</v>
      </c>
      <c r="AJ4136">
        <v>92.430465341308405</v>
      </c>
      <c r="AK4136">
        <v>137.419084327729</v>
      </c>
      <c r="AL4136">
        <v>77.700069321027001</v>
      </c>
      <c r="AM4136">
        <v>88.592209282241299</v>
      </c>
      <c r="AN4136">
        <v>0.99999998044041905</v>
      </c>
    </row>
    <row r="4137" spans="1:40" x14ac:dyDescent="0.25">
      <c r="A4137" t="str">
        <f>"20190303170335965"</f>
        <v>20190303170335965</v>
      </c>
      <c r="B4137" t="str">
        <f>"1551603815959935"</f>
        <v>1551603815959935</v>
      </c>
      <c r="C4137" t="s">
        <v>40</v>
      </c>
      <c r="D4137">
        <v>4.1459260000000002</v>
      </c>
      <c r="E4137">
        <v>0.47754390000000002</v>
      </c>
      <c r="F4137" t="s">
        <v>55</v>
      </c>
      <c r="G4137">
        <v>-157.8382</v>
      </c>
      <c r="H4137">
        <v>1.5649820000000001</v>
      </c>
      <c r="I4137">
        <v>220.3546</v>
      </c>
      <c r="J4137">
        <v>-294.79169999999999</v>
      </c>
      <c r="K4137">
        <v>1.121588</v>
      </c>
      <c r="L4137">
        <v>214.94540000000001</v>
      </c>
      <c r="M4137">
        <v>0.99988639999999995</v>
      </c>
      <c r="N4137">
        <v>-1.4693660000000001E-2</v>
      </c>
      <c r="O4137">
        <v>-3.3631099999999999E-3</v>
      </c>
      <c r="P4137">
        <v>0.97938009999999998</v>
      </c>
      <c r="Q4137">
        <v>0.1999534</v>
      </c>
      <c r="R4137">
        <v>-2.8865760000000001E-2</v>
      </c>
      <c r="S4137">
        <v>3.063507</v>
      </c>
      <c r="T4137">
        <v>9.8936560000000007E-3</v>
      </c>
      <c r="U4137">
        <v>0.1206512</v>
      </c>
      <c r="V4137">
        <v>2.5686049999999998E-2</v>
      </c>
      <c r="W4137">
        <v>0.21431020000000001</v>
      </c>
      <c r="X4137">
        <v>0.97642790000000002</v>
      </c>
      <c r="Y4137">
        <v>-4.2713769999999998E-2</v>
      </c>
      <c r="Z4137">
        <v>1.8474520000000001E-4</v>
      </c>
      <c r="AA4137">
        <v>0.99908730000000001</v>
      </c>
      <c r="AB4137">
        <v>35</v>
      </c>
      <c r="AC4137">
        <v>136.95349999999999</v>
      </c>
      <c r="AD4137">
        <v>0.44339399999999901</v>
      </c>
      <c r="AE4137">
        <v>5.4091999999999896</v>
      </c>
      <c r="AF4137">
        <v>-5.8697473822732</v>
      </c>
      <c r="AG4137">
        <v>0.44339399999999901</v>
      </c>
      <c r="AH4137">
        <v>136.933098563686</v>
      </c>
      <c r="AI4137">
        <v>89.814645191630703</v>
      </c>
      <c r="AJ4137">
        <v>92.454527019043994</v>
      </c>
      <c r="AK4137">
        <v>137.05956374811299</v>
      </c>
      <c r="AL4137">
        <v>77.624939084040193</v>
      </c>
      <c r="AM4137">
        <v>88.493116676419106</v>
      </c>
      <c r="AN4137">
        <v>1.00000003944352</v>
      </c>
    </row>
    <row r="4138" spans="1:40" x14ac:dyDescent="0.25">
      <c r="A4138" t="str">
        <f>"20190303170335987"</f>
        <v>20190303170335987</v>
      </c>
      <c r="B4138" t="str">
        <f>"1551603815979455"</f>
        <v>1551603815979455</v>
      </c>
      <c r="C4138" t="s">
        <v>40</v>
      </c>
      <c r="D4138">
        <v>4.1800610000000002</v>
      </c>
      <c r="E4138">
        <v>0.47689939999999997</v>
      </c>
      <c r="F4138" t="s">
        <v>55</v>
      </c>
      <c r="G4138">
        <v>-157.8382</v>
      </c>
      <c r="H4138">
        <v>1.7450829999999999</v>
      </c>
      <c r="I4138">
        <v>220.47130000000001</v>
      </c>
      <c r="J4138">
        <v>-294.44290000000001</v>
      </c>
      <c r="K4138">
        <v>1.1215900000000001</v>
      </c>
      <c r="L4138">
        <v>214.94390000000001</v>
      </c>
      <c r="M4138">
        <v>0.99988580000000005</v>
      </c>
      <c r="N4138">
        <v>-1.4689789999999999E-2</v>
      </c>
      <c r="O4138">
        <v>-3.576568E-3</v>
      </c>
      <c r="P4138">
        <v>0.97925629999999997</v>
      </c>
      <c r="Q4138">
        <v>0.20040160000000001</v>
      </c>
      <c r="R4138">
        <v>-2.994552E-2</v>
      </c>
      <c r="S4138">
        <v>3.0639340000000002</v>
      </c>
      <c r="T4138">
        <v>1.395011E-2</v>
      </c>
      <c r="U4138">
        <v>0.12362670000000001</v>
      </c>
      <c r="V4138">
        <v>2.6557239999999999E-2</v>
      </c>
      <c r="W4138">
        <v>0.2147522</v>
      </c>
      <c r="X4138">
        <v>0.97630749999999999</v>
      </c>
      <c r="Y4138">
        <v>-4.389034E-2</v>
      </c>
      <c r="Z4138">
        <v>1.5384329999999999E-4</v>
      </c>
      <c r="AA4138">
        <v>0.99903640000000005</v>
      </c>
      <c r="AB4138">
        <v>35</v>
      </c>
      <c r="AC4138">
        <v>136.60470000000001</v>
      </c>
      <c r="AD4138">
        <v>0.62349299999999996</v>
      </c>
      <c r="AE4138">
        <v>5.5274000000000001</v>
      </c>
      <c r="AF4138">
        <v>-6.0158681959640301</v>
      </c>
      <c r="AG4138">
        <v>0.62349299999999996</v>
      </c>
      <c r="AH4138">
        <v>136.58121422769401</v>
      </c>
      <c r="AI4138">
        <v>89.738700027484896</v>
      </c>
      <c r="AJ4138">
        <v>92.5220248375973</v>
      </c>
      <c r="AK4138">
        <v>136.71505949815301</v>
      </c>
      <c r="AL4138">
        <v>77.599010977788296</v>
      </c>
      <c r="AM4138">
        <v>88.441840674738202</v>
      </c>
      <c r="AN4138">
        <v>1.0000000644787499</v>
      </c>
    </row>
    <row r="4139" spans="1:40" x14ac:dyDescent="0.25">
      <c r="A4139" t="str">
        <f>"20190303170336008"</f>
        <v>20190303170336008</v>
      </c>
      <c r="B4139" t="str">
        <f>"1551603815999951"</f>
        <v>1551603815999951</v>
      </c>
      <c r="C4139" t="s">
        <v>40</v>
      </c>
      <c r="D4139">
        <v>4.1387859999999996</v>
      </c>
      <c r="E4139">
        <v>0.47625489999999998</v>
      </c>
      <c r="F4139" t="s">
        <v>55</v>
      </c>
      <c r="G4139">
        <v>-157.8382</v>
      </c>
      <c r="H4139">
        <v>1.798365</v>
      </c>
      <c r="I4139">
        <v>220.54089999999999</v>
      </c>
      <c r="J4139">
        <v>-294.1105</v>
      </c>
      <c r="K4139">
        <v>1.121583</v>
      </c>
      <c r="L4139">
        <v>214.9426</v>
      </c>
      <c r="M4139">
        <v>0.99988500000000002</v>
      </c>
      <c r="N4139">
        <v>-1.4685989999999999E-2</v>
      </c>
      <c r="O4139">
        <v>-3.7776139999999999E-3</v>
      </c>
      <c r="P4139">
        <v>0.97932989999999998</v>
      </c>
      <c r="Q4139">
        <v>0.19985629999999999</v>
      </c>
      <c r="R4139">
        <v>-3.1149079999999999E-2</v>
      </c>
      <c r="S4139">
        <v>3.0643009999999999</v>
      </c>
      <c r="T4139">
        <v>1.5182609999999999E-2</v>
      </c>
      <c r="U4139">
        <v>0.1255493</v>
      </c>
      <c r="V4139">
        <v>2.756283E-2</v>
      </c>
      <c r="W4139">
        <v>0.21420410000000001</v>
      </c>
      <c r="X4139">
        <v>0.97640000000000005</v>
      </c>
      <c r="Y4139">
        <v>-4.4712170000000002E-2</v>
      </c>
      <c r="Z4139">
        <v>1.435881E-4</v>
      </c>
      <c r="AA4139">
        <v>0.99899990000000005</v>
      </c>
      <c r="AB4139">
        <v>35</v>
      </c>
      <c r="AC4139">
        <v>136.2723</v>
      </c>
      <c r="AD4139">
        <v>0.67678199999999999</v>
      </c>
      <c r="AE4139">
        <v>5.5982999999999903</v>
      </c>
      <c r="AF4139">
        <v>-6.1129492050015504</v>
      </c>
      <c r="AG4139">
        <v>0.67678199999999999</v>
      </c>
      <c r="AH4139">
        <v>136.24682208506701</v>
      </c>
      <c r="AI4139">
        <v>89.715681707170702</v>
      </c>
      <c r="AJ4139">
        <v>92.568951334052898</v>
      </c>
      <c r="AK4139">
        <v>136.385566355603</v>
      </c>
      <c r="AL4139">
        <v>77.631162614497001</v>
      </c>
      <c r="AM4139">
        <v>88.383024841153002</v>
      </c>
      <c r="AN4139">
        <v>1.0000000330272001</v>
      </c>
    </row>
    <row r="4140" spans="1:40" x14ac:dyDescent="0.25">
      <c r="A4140" t="str">
        <f>"20190303170336031"</f>
        <v>20190303170336031</v>
      </c>
      <c r="B4140" t="str">
        <f>"1551603816019472"</f>
        <v>1551603816019472</v>
      </c>
      <c r="C4140" t="s">
        <v>40</v>
      </c>
      <c r="D4140">
        <v>4.071485</v>
      </c>
      <c r="E4140">
        <v>0.47573330000000003</v>
      </c>
      <c r="F4140" t="s">
        <v>55</v>
      </c>
      <c r="G4140">
        <v>-157.8382</v>
      </c>
      <c r="H4140">
        <v>1.744224</v>
      </c>
      <c r="I4140">
        <v>220.6062</v>
      </c>
      <c r="J4140">
        <v>-293.75790000000001</v>
      </c>
      <c r="K4140">
        <v>1.121588</v>
      </c>
      <c r="L4140">
        <v>214.941</v>
      </c>
      <c r="M4140">
        <v>0.99988440000000001</v>
      </c>
      <c r="N4140">
        <v>-1.468202E-2</v>
      </c>
      <c r="O4140">
        <v>-3.9873369999999997E-3</v>
      </c>
      <c r="P4140">
        <v>0.9793636</v>
      </c>
      <c r="Q4140">
        <v>0.199517</v>
      </c>
      <c r="R4140">
        <v>-3.2251540000000002E-2</v>
      </c>
      <c r="S4140">
        <v>3.064514</v>
      </c>
      <c r="T4140">
        <v>1.400328E-2</v>
      </c>
      <c r="U4140">
        <v>0.12736510000000001</v>
      </c>
      <c r="V4140">
        <v>2.8458069999999999E-2</v>
      </c>
      <c r="W4140">
        <v>0.2138612</v>
      </c>
      <c r="X4140">
        <v>0.97644940000000002</v>
      </c>
      <c r="Y4140">
        <v>-4.5509729999999998E-2</v>
      </c>
      <c r="Z4140">
        <v>1.535826E-4</v>
      </c>
      <c r="AA4140">
        <v>0.99896390000000002</v>
      </c>
      <c r="AB4140">
        <v>35</v>
      </c>
      <c r="AC4140">
        <v>135.91970000000001</v>
      </c>
      <c r="AD4140">
        <v>0.62263599999999997</v>
      </c>
      <c r="AE4140">
        <v>5.66520000000002</v>
      </c>
      <c r="AF4140">
        <v>-6.2070409244500997</v>
      </c>
      <c r="AG4140">
        <v>0.62263599999999997</v>
      </c>
      <c r="AH4140">
        <v>135.89318104775501</v>
      </c>
      <c r="AI4140">
        <v>89.737757182140797</v>
      </c>
      <c r="AJ4140">
        <v>92.615217586794699</v>
      </c>
      <c r="AK4140">
        <v>136.03628812895499</v>
      </c>
      <c r="AL4140">
        <v>77.651274412949604</v>
      </c>
      <c r="AM4140">
        <v>88.330619196957798</v>
      </c>
      <c r="AN4140">
        <v>0.99999995268696096</v>
      </c>
    </row>
    <row r="4141" spans="1:40" x14ac:dyDescent="0.25">
      <c r="A4141" t="str">
        <f>"20190303170336055"</f>
        <v>20190303170336055</v>
      </c>
      <c r="B4141" t="str">
        <f>"1551603816039967"</f>
        <v>1551603816039967</v>
      </c>
      <c r="C4141" t="s">
        <v>40</v>
      </c>
      <c r="D4141">
        <v>4.2477320000000001</v>
      </c>
      <c r="E4141">
        <v>0.47524509999999998</v>
      </c>
      <c r="F4141" t="s">
        <v>55</v>
      </c>
      <c r="G4141">
        <v>-157.8382</v>
      </c>
      <c r="H4141">
        <v>1.71912</v>
      </c>
      <c r="I4141">
        <v>220.6317</v>
      </c>
      <c r="J4141">
        <v>-293.38839999999999</v>
      </c>
      <c r="K4141">
        <v>1.121594</v>
      </c>
      <c r="L4141">
        <v>214.9393</v>
      </c>
      <c r="M4141">
        <v>0.99988350000000004</v>
      </c>
      <c r="N4141">
        <v>-1.4677920000000001E-2</v>
      </c>
      <c r="O4141">
        <v>-4.2022759999999996E-3</v>
      </c>
      <c r="P4141">
        <v>0.9791938</v>
      </c>
      <c r="Q4141">
        <v>0.20006460000000001</v>
      </c>
      <c r="R4141">
        <v>-3.3967009999999999E-2</v>
      </c>
      <c r="S4141">
        <v>3.064667</v>
      </c>
      <c r="T4141">
        <v>1.347423E-2</v>
      </c>
      <c r="U4141">
        <v>0.12831119999999999</v>
      </c>
      <c r="V4141">
        <v>2.9962010000000001E-2</v>
      </c>
      <c r="W4141">
        <v>0.2144025</v>
      </c>
      <c r="X4141">
        <v>0.97628579999999998</v>
      </c>
      <c r="Y4141">
        <v>-4.6030219999999997E-2</v>
      </c>
      <c r="Z4141">
        <v>1.5670929999999999E-4</v>
      </c>
      <c r="AA4141">
        <v>0.9989401</v>
      </c>
      <c r="AB4141">
        <v>35</v>
      </c>
      <c r="AC4141">
        <v>135.55019999999999</v>
      </c>
      <c r="AD4141">
        <v>0.597526</v>
      </c>
      <c r="AE4141">
        <v>5.6923999999999904</v>
      </c>
      <c r="AF4141">
        <v>-6.2619089509945498</v>
      </c>
      <c r="AG4141">
        <v>0.597526</v>
      </c>
      <c r="AH4141">
        <v>135.52245046568601</v>
      </c>
      <c r="AI4141">
        <v>89.747650599128306</v>
      </c>
      <c r="AJ4141">
        <v>92.645509666648906</v>
      </c>
      <c r="AK4141">
        <v>135.668357111213</v>
      </c>
      <c r="AL4141">
        <v>77.619525074121</v>
      </c>
      <c r="AM4141">
        <v>88.242156079222696</v>
      </c>
      <c r="AN4141">
        <v>1.00000005866556</v>
      </c>
    </row>
    <row r="4142" spans="1:40" x14ac:dyDescent="0.25">
      <c r="A4142" t="str">
        <f>"20190303170336078"</f>
        <v>20190303170336078</v>
      </c>
      <c r="B4142" t="str">
        <f>"1551603816069247"</f>
        <v>1551603816069247</v>
      </c>
      <c r="C4142" t="s">
        <v>40</v>
      </c>
      <c r="D4142">
        <v>4.1450199999999997</v>
      </c>
      <c r="E4142">
        <v>0.47461179999999997</v>
      </c>
      <c r="F4142" t="s">
        <v>55</v>
      </c>
      <c r="G4142">
        <v>-157.8382</v>
      </c>
      <c r="H4142">
        <v>1.792883</v>
      </c>
      <c r="I4142">
        <v>220.5557</v>
      </c>
      <c r="J4142">
        <v>-293.041</v>
      </c>
      <c r="K4142">
        <v>1.1216090000000001</v>
      </c>
      <c r="L4142">
        <v>214.9376</v>
      </c>
      <c r="M4142">
        <v>0.99988270000000001</v>
      </c>
      <c r="N4142">
        <v>-1.4674059999999999E-2</v>
      </c>
      <c r="O4142">
        <v>-4.3977690000000002E-3</v>
      </c>
      <c r="P4142">
        <v>0.97894729999999996</v>
      </c>
      <c r="Q4142">
        <v>0.20082620000000001</v>
      </c>
      <c r="R4142">
        <v>-3.648245E-2</v>
      </c>
      <c r="S4142">
        <v>3.0650629999999999</v>
      </c>
      <c r="T4142">
        <v>1.518047E-2</v>
      </c>
      <c r="U4142">
        <v>0.1269989</v>
      </c>
      <c r="V4142">
        <v>3.2284859999999999E-2</v>
      </c>
      <c r="W4142">
        <v>0.2151555</v>
      </c>
      <c r="X4142">
        <v>0.97604599999999997</v>
      </c>
      <c r="Y4142">
        <v>-4.5793149999999998E-2</v>
      </c>
      <c r="Z4142">
        <v>1.3651439999999999E-4</v>
      </c>
      <c r="AA4142">
        <v>0.99895100000000003</v>
      </c>
      <c r="AB4142">
        <v>35</v>
      </c>
      <c r="AC4142">
        <v>135.2028</v>
      </c>
      <c r="AD4142">
        <v>0.67127400000000004</v>
      </c>
      <c r="AE4142">
        <v>5.6180999999999903</v>
      </c>
      <c r="AF4142">
        <v>-6.2125474651189601</v>
      </c>
      <c r="AG4142">
        <v>0.67127400000000004</v>
      </c>
      <c r="AH4142">
        <v>135.173456141146</v>
      </c>
      <c r="AI4142">
        <v>89.715770415187706</v>
      </c>
      <c r="AJ4142">
        <v>92.631451841074195</v>
      </c>
      <c r="AK4142">
        <v>135.317809618437</v>
      </c>
      <c r="AL4142">
        <v>77.5753496666307</v>
      </c>
      <c r="AM4142">
        <v>88.105507275988401</v>
      </c>
      <c r="AN4142">
        <v>0.999999997740734</v>
      </c>
    </row>
    <row r="4143" spans="1:40" x14ac:dyDescent="0.25">
      <c r="A4143" t="str">
        <f>"20190303170336098"</f>
        <v>20190303170336098</v>
      </c>
      <c r="B4143" t="str">
        <f>"1551603816089743"</f>
        <v>1551603816089743</v>
      </c>
      <c r="C4143" t="s">
        <v>40</v>
      </c>
      <c r="D4143">
        <v>4.0779509999999997</v>
      </c>
      <c r="E4143">
        <v>0.47440090000000001</v>
      </c>
      <c r="F4143" t="s">
        <v>55</v>
      </c>
      <c r="G4143">
        <v>-157.8382</v>
      </c>
      <c r="H4143">
        <v>1.8995869999999999</v>
      </c>
      <c r="I4143">
        <v>220.44450000000001</v>
      </c>
      <c r="J4143">
        <v>-292.70510000000002</v>
      </c>
      <c r="K4143">
        <v>1.1216159999999999</v>
      </c>
      <c r="L4143">
        <v>214.9359</v>
      </c>
      <c r="M4143">
        <v>0.99988200000000005</v>
      </c>
      <c r="N4143">
        <v>-1.467035E-2</v>
      </c>
      <c r="O4143">
        <v>-4.5778499999999996E-3</v>
      </c>
      <c r="P4143">
        <v>0.97891379999999995</v>
      </c>
      <c r="Q4143">
        <v>0.20059679999999999</v>
      </c>
      <c r="R4143">
        <v>-3.8588009999999999E-2</v>
      </c>
      <c r="S4143">
        <v>3.0655519999999998</v>
      </c>
      <c r="T4143">
        <v>1.7640949999999999E-2</v>
      </c>
      <c r="U4143">
        <v>0.12486269999999999</v>
      </c>
      <c r="V4143">
        <v>3.4210579999999997E-2</v>
      </c>
      <c r="W4143">
        <v>0.21492220000000001</v>
      </c>
      <c r="X4143">
        <v>0.9760318</v>
      </c>
      <c r="Y4143">
        <v>-4.5271480000000003E-2</v>
      </c>
      <c r="Z4143">
        <v>1.0855730000000001E-4</v>
      </c>
      <c r="AA4143">
        <v>0.99897469999999999</v>
      </c>
      <c r="AB4143">
        <v>35</v>
      </c>
      <c r="AC4143">
        <v>134.86689999999999</v>
      </c>
      <c r="AD4143">
        <v>0.77797099999999997</v>
      </c>
      <c r="AE4143">
        <v>5.5086000000000004</v>
      </c>
      <c r="AF4143">
        <v>-6.1258055989456501</v>
      </c>
      <c r="AG4143">
        <v>0.77797099999999997</v>
      </c>
      <c r="AH4143">
        <v>134.83578708152601</v>
      </c>
      <c r="AI4143">
        <v>89.669761030585505</v>
      </c>
      <c r="AJ4143">
        <v>92.601250257247401</v>
      </c>
      <c r="AK4143">
        <v>134.97710995204901</v>
      </c>
      <c r="AL4143">
        <v>77.589036948246004</v>
      </c>
      <c r="AM4143">
        <v>87.992565675507294</v>
      </c>
      <c r="AN4143">
        <v>0.99999999522400795</v>
      </c>
    </row>
    <row r="4144" spans="1:40" x14ac:dyDescent="0.25">
      <c r="A4144" t="str">
        <f>"20190303170336121"</f>
        <v>20190303170336121</v>
      </c>
      <c r="B4144" t="str">
        <f>"1551603816109551"</f>
        <v>1551603816109551</v>
      </c>
      <c r="C4144" t="s">
        <v>40</v>
      </c>
      <c r="D4144">
        <v>4.1545699999999997</v>
      </c>
      <c r="E4144">
        <v>0.47469729999999999</v>
      </c>
      <c r="F4144" t="s">
        <v>55</v>
      </c>
      <c r="G4144">
        <v>-157.8382</v>
      </c>
      <c r="H4144">
        <v>1.8822430000000001</v>
      </c>
      <c r="I4144">
        <v>220.23070000000001</v>
      </c>
      <c r="J4144">
        <v>-292.35879999999997</v>
      </c>
      <c r="K4144">
        <v>1.121621</v>
      </c>
      <c r="L4144">
        <v>214.9341</v>
      </c>
      <c r="M4144">
        <v>0.99988120000000003</v>
      </c>
      <c r="N4144">
        <v>-1.4666500000000001E-2</v>
      </c>
      <c r="O4144">
        <v>-4.7537339999999999E-3</v>
      </c>
      <c r="P4144">
        <v>0.9789947</v>
      </c>
      <c r="Q4144">
        <v>0.19986419999999999</v>
      </c>
      <c r="R4144">
        <v>-4.0300229999999999E-2</v>
      </c>
      <c r="S4144">
        <v>3.0658259999999999</v>
      </c>
      <c r="T4144">
        <v>1.7292020000000002E-2</v>
      </c>
      <c r="U4144">
        <v>0.1203613</v>
      </c>
      <c r="V4144">
        <v>3.5745430000000002E-2</v>
      </c>
      <c r="W4144">
        <v>0.21418680000000001</v>
      </c>
      <c r="X4144">
        <v>0.97613850000000002</v>
      </c>
      <c r="Y4144">
        <v>-4.3979079999999997E-2</v>
      </c>
      <c r="Z4144">
        <v>1.02173E-4</v>
      </c>
      <c r="AA4144">
        <v>0.99903240000000004</v>
      </c>
      <c r="AB4144">
        <v>35</v>
      </c>
      <c r="AC4144">
        <v>134.52059999999901</v>
      </c>
      <c r="AD4144">
        <v>0.76062200000000002</v>
      </c>
      <c r="AE4144">
        <v>5.2966000000000104</v>
      </c>
      <c r="AF4144">
        <v>-5.93589455680568</v>
      </c>
      <c r="AG4144">
        <v>0.76062200000000002</v>
      </c>
      <c r="AH4144">
        <v>134.48960523207299</v>
      </c>
      <c r="AI4144">
        <v>89.676275493317604</v>
      </c>
      <c r="AJ4144">
        <v>92.527192495740195</v>
      </c>
      <c r="AK4144">
        <v>134.622684958722</v>
      </c>
      <c r="AL4144">
        <v>77.632177547907801</v>
      </c>
      <c r="AM4144">
        <v>87.902810359116799</v>
      </c>
      <c r="AN4144">
        <v>1.00000004612118</v>
      </c>
    </row>
    <row r="4145" spans="1:40" x14ac:dyDescent="0.25">
      <c r="A4145" t="str">
        <f>"20190303170336143"</f>
        <v>20190303170336143</v>
      </c>
      <c r="B4145" t="str">
        <f>"1551603816130047"</f>
        <v>1551603816130047</v>
      </c>
      <c r="C4145" t="s">
        <v>40</v>
      </c>
      <c r="D4145">
        <v>4.1375890000000002</v>
      </c>
      <c r="E4145">
        <v>0.49920550000000002</v>
      </c>
      <c r="F4145" t="s">
        <v>55</v>
      </c>
      <c r="G4145">
        <v>-157.8382</v>
      </c>
      <c r="H4145">
        <v>1.7609349999999999</v>
      </c>
      <c r="I4145">
        <v>219.87280000000001</v>
      </c>
      <c r="J4145">
        <v>-292.00380000000001</v>
      </c>
      <c r="K4145">
        <v>1.121631</v>
      </c>
      <c r="L4145">
        <v>214.9323</v>
      </c>
      <c r="M4145">
        <v>0.9998804</v>
      </c>
      <c r="N4145">
        <v>-1.466257E-2</v>
      </c>
      <c r="O4145">
        <v>-4.9211239999999998E-3</v>
      </c>
      <c r="P4145">
        <v>0.97900469999999895</v>
      </c>
      <c r="Q4145">
        <v>0.19958519999999999</v>
      </c>
      <c r="R4145">
        <v>-4.1419789999999998E-2</v>
      </c>
      <c r="S4145">
        <v>3.0660400000000001</v>
      </c>
      <c r="T4145">
        <v>1.4572740000000001E-2</v>
      </c>
      <c r="U4145">
        <v>0.1125641</v>
      </c>
      <c r="V4145">
        <v>3.6695949999999998E-2</v>
      </c>
      <c r="W4145">
        <v>0.21390500000000001</v>
      </c>
      <c r="X4145">
        <v>0.97616499999999995</v>
      </c>
      <c r="Y4145">
        <v>-4.1606419999999998E-2</v>
      </c>
      <c r="Z4145">
        <v>1.1078600000000001E-4</v>
      </c>
      <c r="AA4145">
        <v>0.99913410000000002</v>
      </c>
      <c r="AB4145">
        <v>35</v>
      </c>
      <c r="AC4145">
        <v>134.16560000000001</v>
      </c>
      <c r="AD4145">
        <v>0.63930399999999898</v>
      </c>
      <c r="AE4145">
        <v>4.9405000000000099</v>
      </c>
      <c r="AF4145">
        <v>-5.60062970176888</v>
      </c>
      <c r="AG4145">
        <v>0.63930399999999898</v>
      </c>
      <c r="AH4145">
        <v>134.136618114317</v>
      </c>
      <c r="AI4145">
        <v>89.727164304108101</v>
      </c>
      <c r="AJ4145">
        <v>92.390891989738904</v>
      </c>
      <c r="AK4145">
        <v>134.255011384331</v>
      </c>
      <c r="AL4145">
        <v>77.648706309999497</v>
      </c>
      <c r="AM4145">
        <v>87.847153399149306</v>
      </c>
      <c r="AN4145">
        <v>1.0000000244981999</v>
      </c>
    </row>
    <row r="4146" spans="1:40" x14ac:dyDescent="0.25">
      <c r="A4146" t="str">
        <f>"20190303170336166"</f>
        <v>20190303170336166</v>
      </c>
      <c r="B4146" t="str">
        <f>"1551603816159327"</f>
        <v>1551603816159327</v>
      </c>
      <c r="C4146" t="s">
        <v>40</v>
      </c>
      <c r="D4146">
        <v>4.1950180000000001</v>
      </c>
      <c r="E4146">
        <v>0.50020759999999997</v>
      </c>
      <c r="F4146" t="s">
        <v>56</v>
      </c>
      <c r="G4146">
        <v>-121.2529</v>
      </c>
      <c r="H4146">
        <v>0.96326829999999997</v>
      </c>
      <c r="I4146">
        <v>210.161</v>
      </c>
      <c r="J4146">
        <v>-291.64909999999998</v>
      </c>
      <c r="K4146">
        <v>1.1216459999999999</v>
      </c>
      <c r="L4146">
        <v>214.93029999999999</v>
      </c>
      <c r="M4146">
        <v>0.99987979999999999</v>
      </c>
      <c r="N4146">
        <v>-1.4658620000000001E-2</v>
      </c>
      <c r="O4146">
        <v>-5.0711749999999998E-3</v>
      </c>
      <c r="P4146">
        <v>0.97907440000000001</v>
      </c>
      <c r="Q4146">
        <v>0.19916149999999999</v>
      </c>
      <c r="R4146">
        <v>-4.1815539999999998E-2</v>
      </c>
      <c r="S4146">
        <v>3.0612789999999999</v>
      </c>
      <c r="T4146">
        <v>-2.8386119999999999E-3</v>
      </c>
      <c r="U4146">
        <v>-8.5540770000000002E-2</v>
      </c>
      <c r="V4146">
        <v>3.6937459999999998E-2</v>
      </c>
      <c r="W4146">
        <v>0.21347969999999999</v>
      </c>
      <c r="X4146">
        <v>0.97624900000000003</v>
      </c>
      <c r="Y4146">
        <v>2.2862130000000001E-2</v>
      </c>
      <c r="Z4146">
        <v>-2.4782999999999999E-4</v>
      </c>
      <c r="AA4146">
        <v>0.99973860000000003</v>
      </c>
      <c r="AB4146">
        <v>35</v>
      </c>
      <c r="AC4146">
        <v>170.396199999999</v>
      </c>
      <c r="AD4146">
        <v>-0.15837769999999901</v>
      </c>
      <c r="AE4146">
        <v>-4.7693000000000101</v>
      </c>
      <c r="AF4146">
        <v>3.9050335768199198</v>
      </c>
      <c r="AG4146">
        <v>-0.15837769999999901</v>
      </c>
      <c r="AH4146">
        <v>170.41804993241499</v>
      </c>
      <c r="AI4146">
        <v>90.053233737640298</v>
      </c>
      <c r="AJ4146">
        <v>88.687329217386505</v>
      </c>
      <c r="AK4146">
        <v>170.46285845749199</v>
      </c>
      <c r="AL4146">
        <v>77.673650508288304</v>
      </c>
      <c r="AM4146">
        <v>87.833184439840693</v>
      </c>
      <c r="AN4146">
        <v>1.00000003413217</v>
      </c>
    </row>
    <row r="4147" spans="1:40" x14ac:dyDescent="0.25">
      <c r="A4147" t="str">
        <f>"20190303170336187"</f>
        <v>20190303170336187</v>
      </c>
      <c r="B4147" t="str">
        <f>"1551603816179823"</f>
        <v>1551603816179823</v>
      </c>
      <c r="C4147" t="s">
        <v>40</v>
      </c>
      <c r="D4147">
        <v>4.2017889999999998</v>
      </c>
      <c r="E4147">
        <v>0.50008409999999903</v>
      </c>
      <c r="F4147" t="s">
        <v>56</v>
      </c>
      <c r="G4147">
        <v>-138.61779999999999</v>
      </c>
      <c r="H4147">
        <v>0.74638939999999998</v>
      </c>
      <c r="I4147">
        <v>210.22669999999999</v>
      </c>
      <c r="J4147">
        <v>-291.31240000000003</v>
      </c>
      <c r="K4147">
        <v>1.1216630000000001</v>
      </c>
      <c r="L4147">
        <v>214.92850000000001</v>
      </c>
      <c r="M4147">
        <v>0.99987919999999997</v>
      </c>
      <c r="N4147">
        <v>-1.465489E-2</v>
      </c>
      <c r="O4147">
        <v>-5.1928019999999998E-3</v>
      </c>
      <c r="P4147">
        <v>0.97911040000000005</v>
      </c>
      <c r="Q4147">
        <v>0.1990072</v>
      </c>
      <c r="R4147">
        <v>-4.1700000000000001E-2</v>
      </c>
      <c r="S4147">
        <v>3.0615839999999999</v>
      </c>
      <c r="T4147">
        <v>-7.5068469999999997E-3</v>
      </c>
      <c r="U4147">
        <v>-9.4100950000000003E-2</v>
      </c>
      <c r="V4147">
        <v>3.6694400000000002E-2</v>
      </c>
      <c r="W4147">
        <v>0.2133237</v>
      </c>
      <c r="X4147">
        <v>0.9762923</v>
      </c>
      <c r="Y4147">
        <v>2.5530049999999999E-2</v>
      </c>
      <c r="Z4147">
        <v>-2.8177729999999998E-4</v>
      </c>
      <c r="AA4147">
        <v>0.99967399999999995</v>
      </c>
      <c r="AB4147">
        <v>35</v>
      </c>
      <c r="AC4147">
        <v>152.69460000000001</v>
      </c>
      <c r="AD4147">
        <v>-0.37527359999999899</v>
      </c>
      <c r="AE4147">
        <v>-4.70180000000002</v>
      </c>
      <c r="AF4147">
        <v>3.9087150810521698</v>
      </c>
      <c r="AG4147">
        <v>-0.37527359999999899</v>
      </c>
      <c r="AH4147">
        <v>152.716037405424</v>
      </c>
      <c r="AI4147">
        <v>90.140748223478795</v>
      </c>
      <c r="AJ4147">
        <v>88.533854088708694</v>
      </c>
      <c r="AK4147">
        <v>152.76651126694799</v>
      </c>
      <c r="AL4147">
        <v>77.682799815993903</v>
      </c>
      <c r="AM4147">
        <v>87.847524684184805</v>
      </c>
      <c r="AN4147">
        <v>1.00000006750616</v>
      </c>
    </row>
    <row r="4148" spans="1:40" x14ac:dyDescent="0.25">
      <c r="A4148" t="str">
        <f>"20190303170336210"</f>
        <v>20190303170336210</v>
      </c>
      <c r="B4148" t="str">
        <f>"1551603816199342"</f>
        <v>1551603816199342</v>
      </c>
      <c r="C4148" t="s">
        <v>40</v>
      </c>
      <c r="D4148">
        <v>4.1736529999999998</v>
      </c>
      <c r="E4148">
        <v>0.49982270000000001</v>
      </c>
      <c r="F4148" t="s">
        <v>56</v>
      </c>
      <c r="G4148">
        <v>-121.253</v>
      </c>
      <c r="H4148">
        <v>0.71350290000000005</v>
      </c>
      <c r="I4148">
        <v>209.78800000000001</v>
      </c>
      <c r="J4148">
        <v>-290.97710000000001</v>
      </c>
      <c r="K4148">
        <v>1.1216839999999999</v>
      </c>
      <c r="L4148">
        <v>214.92660000000001</v>
      </c>
      <c r="M4148">
        <v>0.99987870000000001</v>
      </c>
      <c r="N4148">
        <v>-1.465122E-2</v>
      </c>
      <c r="O4148">
        <v>-5.2911199999999999E-3</v>
      </c>
      <c r="P4148">
        <v>0.97917529999999997</v>
      </c>
      <c r="Q4148">
        <v>0.19871369999999999</v>
      </c>
      <c r="R4148">
        <v>-4.1579489999999997E-2</v>
      </c>
      <c r="S4148">
        <v>3.0615839999999999</v>
      </c>
      <c r="T4148">
        <v>-7.3475839999999999E-3</v>
      </c>
      <c r="U4148">
        <v>-9.2544559999999998E-2</v>
      </c>
      <c r="V4148">
        <v>3.646692E-2</v>
      </c>
      <c r="W4148">
        <v>0.21302969999999999</v>
      </c>
      <c r="X4148">
        <v>0.97636500000000004</v>
      </c>
      <c r="Y4148">
        <v>2.4924060000000001E-2</v>
      </c>
      <c r="Z4148">
        <v>-2.7735359999999997E-4</v>
      </c>
      <c r="AA4148">
        <v>0.9996893</v>
      </c>
      <c r="AB4148">
        <v>35</v>
      </c>
      <c r="AC4148">
        <v>169.72409999999999</v>
      </c>
      <c r="AD4148">
        <v>-0.40818110000000002</v>
      </c>
      <c r="AE4148">
        <v>-5.1386000000000198</v>
      </c>
      <c r="AF4148">
        <v>4.2403766013270996</v>
      </c>
      <c r="AG4148">
        <v>-0.40818110000000002</v>
      </c>
      <c r="AH4148">
        <v>169.747934645215</v>
      </c>
      <c r="AI4148">
        <v>90.137731959551701</v>
      </c>
      <c r="AJ4148">
        <v>88.569024326193698</v>
      </c>
      <c r="AK4148">
        <v>169.80138021184601</v>
      </c>
      <c r="AL4148">
        <v>77.700040885066599</v>
      </c>
      <c r="AM4148">
        <v>87.861015245377402</v>
      </c>
      <c r="AN4148">
        <v>1.0000000512806799</v>
      </c>
    </row>
    <row r="4149" spans="1:40" x14ac:dyDescent="0.25">
      <c r="A4149" t="str">
        <f>"20190303170336232"</f>
        <v>20190303170336232</v>
      </c>
      <c r="B4149" t="str">
        <f>"1551603816219840"</f>
        <v>1551603816219840</v>
      </c>
      <c r="C4149" t="s">
        <v>40</v>
      </c>
      <c r="D4149">
        <v>4.2361719999999998</v>
      </c>
      <c r="E4149">
        <v>0.49950290000000003</v>
      </c>
      <c r="F4149" t="s">
        <v>56</v>
      </c>
      <c r="G4149">
        <v>-121.2529</v>
      </c>
      <c r="H4149">
        <v>0.75487329999999997</v>
      </c>
      <c r="I4149">
        <v>209.91839999999999</v>
      </c>
      <c r="J4149">
        <v>-290.6327</v>
      </c>
      <c r="K4149">
        <v>1.121705</v>
      </c>
      <c r="L4149">
        <v>214.9247</v>
      </c>
      <c r="M4149">
        <v>0.9998783</v>
      </c>
      <c r="N4149">
        <v>-1.464738E-2</v>
      </c>
      <c r="O4149">
        <v>-5.366488E-3</v>
      </c>
      <c r="P4149">
        <v>0.97932300000000005</v>
      </c>
      <c r="Q4149">
        <v>0.19812550000000001</v>
      </c>
      <c r="R4149">
        <v>-4.0899499999999998E-2</v>
      </c>
      <c r="S4149">
        <v>3.0612789999999999</v>
      </c>
      <c r="T4149">
        <v>-6.6155199999999997E-3</v>
      </c>
      <c r="U4149">
        <v>-9.0332029999999994E-2</v>
      </c>
      <c r="V4149">
        <v>3.570044E-2</v>
      </c>
      <c r="W4149">
        <v>0.2124422</v>
      </c>
      <c r="X4149">
        <v>0.97652130000000004</v>
      </c>
      <c r="Y4149">
        <v>2.4129919999999999E-2</v>
      </c>
      <c r="Z4149">
        <v>-2.6983669999999999E-4</v>
      </c>
      <c r="AA4149">
        <v>0.99970879999999995</v>
      </c>
      <c r="AB4149">
        <v>35</v>
      </c>
      <c r="AC4149">
        <v>169.37979999999999</v>
      </c>
      <c r="AD4149">
        <v>-0.36683169999999998</v>
      </c>
      <c r="AE4149">
        <v>-5.0063000000000004</v>
      </c>
      <c r="AF4149">
        <v>4.0971364883870702</v>
      </c>
      <c r="AG4149">
        <v>-0.36683169999999998</v>
      </c>
      <c r="AH4149">
        <v>169.403435712576</v>
      </c>
      <c r="AI4149">
        <v>90.124033676211795</v>
      </c>
      <c r="AJ4149">
        <v>88.614532980884306</v>
      </c>
      <c r="AK4149">
        <v>169.45337153366299</v>
      </c>
      <c r="AL4149">
        <v>77.734490449873903</v>
      </c>
      <c r="AM4149">
        <v>87.906267917987805</v>
      </c>
      <c r="AN4149">
        <v>1.0000000295553599</v>
      </c>
    </row>
    <row r="4150" spans="1:40" x14ac:dyDescent="0.25">
      <c r="A4150" t="str">
        <f>"20190303170336255"</f>
        <v>20190303170336255</v>
      </c>
      <c r="B4150" t="str">
        <f>"1551603816249119"</f>
        <v>1551603816249119</v>
      </c>
      <c r="C4150" t="s">
        <v>40</v>
      </c>
      <c r="D4150">
        <v>4.2125949999999897</v>
      </c>
      <c r="E4150">
        <v>0.49931409999999998</v>
      </c>
      <c r="F4150" t="s">
        <v>56</v>
      </c>
      <c r="G4150">
        <v>-121.25279999999999</v>
      </c>
      <c r="H4150">
        <v>0.71822549999999996</v>
      </c>
      <c r="I4150">
        <v>210.1816</v>
      </c>
      <c r="J4150">
        <v>-290.27229999999997</v>
      </c>
      <c r="K4150">
        <v>1.121726</v>
      </c>
      <c r="L4150">
        <v>214.92269999999999</v>
      </c>
      <c r="M4150">
        <v>0.99987820000000005</v>
      </c>
      <c r="N4150">
        <v>-1.464326E-2</v>
      </c>
      <c r="O4150">
        <v>-5.4187130000000003E-3</v>
      </c>
      <c r="P4150">
        <v>0.97942890000000005</v>
      </c>
      <c r="Q4150">
        <v>0.1977817</v>
      </c>
      <c r="R4150">
        <v>-4.0018909999999998E-2</v>
      </c>
      <c r="S4150">
        <v>3.0612490000000001</v>
      </c>
      <c r="T4150">
        <v>-7.2916750000000001E-3</v>
      </c>
      <c r="U4150">
        <v>-8.5723880000000002E-2</v>
      </c>
      <c r="V4150">
        <v>3.4755729999999999E-2</v>
      </c>
      <c r="W4150">
        <v>0.21209829999999999</v>
      </c>
      <c r="X4150">
        <v>0.97663009999999995</v>
      </c>
      <c r="Y4150">
        <v>2.257431E-2</v>
      </c>
      <c r="Z4150">
        <v>-2.58638E-4</v>
      </c>
      <c r="AA4150">
        <v>0.99974510000000005</v>
      </c>
      <c r="AB4150">
        <v>35</v>
      </c>
      <c r="AC4150">
        <v>169.01949999999999</v>
      </c>
      <c r="AD4150">
        <v>-0.40350049999999998</v>
      </c>
      <c r="AE4150">
        <v>-4.7410999999999799</v>
      </c>
      <c r="AF4150">
        <v>3.8250423192943801</v>
      </c>
      <c r="AG4150">
        <v>-0.40350049999999998</v>
      </c>
      <c r="AH4150">
        <v>169.04174880244801</v>
      </c>
      <c r="AI4150">
        <v>90.136729036536096</v>
      </c>
      <c r="AJ4150">
        <v>88.703743956509101</v>
      </c>
      <c r="AK4150">
        <v>169.085500855596</v>
      </c>
      <c r="AL4150">
        <v>77.754653618507803</v>
      </c>
      <c r="AM4150">
        <v>87.961852065522294</v>
      </c>
      <c r="AN4150">
        <v>1.0000000009283601</v>
      </c>
    </row>
    <row r="4151" spans="1:40" x14ac:dyDescent="0.25">
      <c r="A4151" t="str">
        <f>"20190303170336288"</f>
        <v>20190303170336288</v>
      </c>
      <c r="B4151" t="str">
        <f>"1551603816279375"</f>
        <v>1551603816279375</v>
      </c>
      <c r="C4151" t="s">
        <v>40</v>
      </c>
      <c r="D4151">
        <v>4.2942640000000001</v>
      </c>
      <c r="E4151">
        <v>0.49939850000000002</v>
      </c>
      <c r="F4151" t="s">
        <v>89</v>
      </c>
      <c r="G4151">
        <v>-107.39749999999999</v>
      </c>
      <c r="H4151">
        <v>0.68588549999999904</v>
      </c>
      <c r="I4151">
        <v>210.03479999999999</v>
      </c>
      <c r="J4151">
        <v>-289.7593</v>
      </c>
      <c r="K4151">
        <v>1.1217509999999999</v>
      </c>
      <c r="L4151">
        <v>214.91990000000001</v>
      </c>
      <c r="M4151">
        <v>0.99987800000000004</v>
      </c>
      <c r="N4151">
        <v>-1.4637310000000001E-2</v>
      </c>
      <c r="O4151">
        <v>-5.4528669999999897E-3</v>
      </c>
      <c r="P4151">
        <v>0.97945839999999995</v>
      </c>
      <c r="Q4151">
        <v>0.19782749999999999</v>
      </c>
      <c r="R4151">
        <v>-3.9059679999999999E-2</v>
      </c>
      <c r="S4151">
        <v>3.0611269999999999</v>
      </c>
      <c r="T4151">
        <v>-7.2946549999999997E-3</v>
      </c>
      <c r="U4151">
        <v>-8.1817630000000002E-2</v>
      </c>
      <c r="V4151">
        <v>3.374887E-2</v>
      </c>
      <c r="W4151">
        <v>0.21214069999999999</v>
      </c>
      <c r="X4151">
        <v>0.97665619999999997</v>
      </c>
      <c r="Y4151">
        <v>2.1266480000000001E-2</v>
      </c>
      <c r="Z4151">
        <v>-2.4783029999999998E-4</v>
      </c>
      <c r="AA4151">
        <v>0.99977380000000005</v>
      </c>
      <c r="AB4151">
        <v>35</v>
      </c>
      <c r="AC4151">
        <v>182.36179999999999</v>
      </c>
      <c r="AD4151">
        <v>-0.43586549999999902</v>
      </c>
      <c r="AE4151">
        <v>-4.88510000000002</v>
      </c>
      <c r="AF4151">
        <v>3.89050396497103</v>
      </c>
      <c r="AG4151">
        <v>-0.43586549999999902</v>
      </c>
      <c r="AH4151">
        <v>182.38468775073699</v>
      </c>
      <c r="AI4151">
        <v>90.136894859968393</v>
      </c>
      <c r="AJ4151">
        <v>88.777991400605302</v>
      </c>
      <c r="AK4151">
        <v>182.426698500437</v>
      </c>
      <c r="AL4151">
        <v>77.752167669872506</v>
      </c>
      <c r="AM4151">
        <v>88.020901611999705</v>
      </c>
      <c r="AN4151">
        <v>0.99999999791060301</v>
      </c>
    </row>
    <row r="4152" spans="1:40" x14ac:dyDescent="0.25">
      <c r="A4152" t="str">
        <f>"20190303170336310"</f>
        <v>20190303170336310</v>
      </c>
      <c r="B4152" t="str">
        <f>"1551603816299872"</f>
        <v>1551603816299872</v>
      </c>
      <c r="C4152" t="s">
        <v>40</v>
      </c>
      <c r="D4152">
        <v>4.2764449999999998</v>
      </c>
      <c r="E4152">
        <v>0.49935940000000001</v>
      </c>
      <c r="F4152" t="s">
        <v>89</v>
      </c>
      <c r="G4152">
        <v>-107.39749999999999</v>
      </c>
      <c r="H4152">
        <v>0.64707239999999999</v>
      </c>
      <c r="I4152">
        <v>210.17420000000001</v>
      </c>
      <c r="J4152">
        <v>-289.42380000000003</v>
      </c>
      <c r="K4152">
        <v>1.121761</v>
      </c>
      <c r="L4152">
        <v>214.91800000000001</v>
      </c>
      <c r="M4152">
        <v>0.99987820000000005</v>
      </c>
      <c r="N4152">
        <v>-1.4633449999999999E-2</v>
      </c>
      <c r="O4152">
        <v>-5.4604800000000002E-3</v>
      </c>
      <c r="P4152">
        <v>0.97947130000000004</v>
      </c>
      <c r="Q4152">
        <v>0.1978753</v>
      </c>
      <c r="R4152">
        <v>-3.8493029999999998E-2</v>
      </c>
      <c r="S4152">
        <v>3.0613100000000002</v>
      </c>
      <c r="T4152">
        <v>-7.9675909999999996E-3</v>
      </c>
      <c r="U4152">
        <v>-7.9666139999999996E-2</v>
      </c>
      <c r="V4152">
        <v>3.3168049999999998E-2</v>
      </c>
      <c r="W4152">
        <v>0.21218590000000001</v>
      </c>
      <c r="X4152">
        <v>0.97666629999999999</v>
      </c>
      <c r="Y4152">
        <v>2.0555070000000002E-2</v>
      </c>
      <c r="Z4152">
        <v>-2.4286509999999999E-4</v>
      </c>
      <c r="AA4152">
        <v>0.99978869999999997</v>
      </c>
      <c r="AB4152">
        <v>35</v>
      </c>
      <c r="AC4152">
        <v>182.02629999999999</v>
      </c>
      <c r="AD4152">
        <v>-0.47468859999999902</v>
      </c>
      <c r="AE4152">
        <v>-4.7437999999999896</v>
      </c>
      <c r="AF4152">
        <v>3.7496465538464401</v>
      </c>
      <c r="AG4152">
        <v>-0.47468859999999902</v>
      </c>
      <c r="AH4152">
        <v>182.04825466592999</v>
      </c>
      <c r="AI4152">
        <v>90.149366026799498</v>
      </c>
      <c r="AJ4152">
        <v>88.820046094278197</v>
      </c>
      <c r="AK4152">
        <v>182.08748503248901</v>
      </c>
      <c r="AL4152">
        <v>77.749517826771395</v>
      </c>
      <c r="AM4152">
        <v>88.054955717101393</v>
      </c>
      <c r="AN4152">
        <v>1.0000000186276501</v>
      </c>
    </row>
    <row r="4153" spans="1:40" x14ac:dyDescent="0.25">
      <c r="A4153" t="str">
        <f>"20190303170336333"</f>
        <v>20190303170336333</v>
      </c>
      <c r="B4153" t="str">
        <f>"1551603816319391"</f>
        <v>1551603816319391</v>
      </c>
      <c r="C4153" t="s">
        <v>40</v>
      </c>
      <c r="D4153">
        <v>4.3642500000000002</v>
      </c>
      <c r="E4153">
        <v>0.49924160000000001</v>
      </c>
      <c r="F4153" t="s">
        <v>89</v>
      </c>
      <c r="G4153">
        <v>-107.39749999999999</v>
      </c>
      <c r="H4153">
        <v>0.66842889999999999</v>
      </c>
      <c r="I4153">
        <v>210.2791</v>
      </c>
      <c r="J4153">
        <v>-289.07889999999998</v>
      </c>
      <c r="K4153">
        <v>1.1217710000000001</v>
      </c>
      <c r="L4153">
        <v>214.9162</v>
      </c>
      <c r="M4153">
        <v>0.99987800000000004</v>
      </c>
      <c r="N4153">
        <v>-1.462948E-2</v>
      </c>
      <c r="O4153">
        <v>-5.4601739999999999E-3</v>
      </c>
      <c r="P4153">
        <v>0.97967979999999999</v>
      </c>
      <c r="Q4153">
        <v>0.19699820000000001</v>
      </c>
      <c r="R4153">
        <v>-3.7673190000000002E-2</v>
      </c>
      <c r="S4153">
        <v>3.0613709999999998</v>
      </c>
      <c r="T4153">
        <v>-7.6234340000000001E-3</v>
      </c>
      <c r="U4153">
        <v>-7.8018190000000001E-2</v>
      </c>
      <c r="V4153">
        <v>3.2342849999999999E-2</v>
      </c>
      <c r="W4153">
        <v>0.21130879999999999</v>
      </c>
      <c r="X4153">
        <v>0.97688410000000003</v>
      </c>
      <c r="Y4153">
        <v>2.001706E-2</v>
      </c>
      <c r="Z4153">
        <v>-2.376507E-4</v>
      </c>
      <c r="AA4153">
        <v>0.99979960000000001</v>
      </c>
      <c r="AB4153">
        <v>35</v>
      </c>
      <c r="AC4153">
        <v>181.6814</v>
      </c>
      <c r="AD4153">
        <v>-0.45334209999999903</v>
      </c>
      <c r="AE4153">
        <v>-4.6371000000000002</v>
      </c>
      <c r="AF4153">
        <v>3.6448898770809599</v>
      </c>
      <c r="AG4153">
        <v>-0.45334209999999903</v>
      </c>
      <c r="AH4153">
        <v>181.70288260198501</v>
      </c>
      <c r="AI4153">
        <v>90.142921842590695</v>
      </c>
      <c r="AJ4153">
        <v>88.850822841305899</v>
      </c>
      <c r="AK4153">
        <v>181.740001890466</v>
      </c>
      <c r="AL4153">
        <v>77.800937790062804</v>
      </c>
      <c r="AM4153">
        <v>88.103733952123306</v>
      </c>
      <c r="AN4153">
        <v>1.00000000686818</v>
      </c>
    </row>
    <row r="4154" spans="1:40" x14ac:dyDescent="0.25">
      <c r="A4154" t="str">
        <f>"20190303170336357"</f>
        <v>20190303170336357</v>
      </c>
      <c r="B4154" t="str">
        <f>"1551603816349647"</f>
        <v>1551603816349647</v>
      </c>
      <c r="C4154" t="s">
        <v>40</v>
      </c>
      <c r="D4154">
        <v>4.2173540000000003</v>
      </c>
      <c r="E4154">
        <v>0.49922899999999998</v>
      </c>
      <c r="F4154" t="s">
        <v>89</v>
      </c>
      <c r="G4154">
        <v>-107.39749999999999</v>
      </c>
      <c r="H4154">
        <v>0.48928870000000002</v>
      </c>
      <c r="I4154">
        <v>210.4555</v>
      </c>
      <c r="J4154">
        <v>-288.71710000000002</v>
      </c>
      <c r="K4154">
        <v>1.121777</v>
      </c>
      <c r="L4154">
        <v>214.91419999999999</v>
      </c>
      <c r="M4154">
        <v>0.99987820000000005</v>
      </c>
      <c r="N4154">
        <v>-1.4625300000000001E-2</v>
      </c>
      <c r="O4154">
        <v>-5.4546530000000003E-3</v>
      </c>
      <c r="P4154">
        <v>0.97982599999999997</v>
      </c>
      <c r="Q4154">
        <v>0.1963628</v>
      </c>
      <c r="R4154">
        <v>-3.7185570000000001E-2</v>
      </c>
      <c r="S4154">
        <v>3.0614620000000001</v>
      </c>
      <c r="T4154">
        <v>-1.065695E-2</v>
      </c>
      <c r="U4154">
        <v>-7.5164789999999995E-2</v>
      </c>
      <c r="V4154">
        <v>3.1856379999999997E-2</v>
      </c>
      <c r="W4154">
        <v>0.2106721</v>
      </c>
      <c r="X4154">
        <v>0.97703759999999995</v>
      </c>
      <c r="Y4154">
        <v>1.9090309999999999E-2</v>
      </c>
      <c r="Z4154">
        <v>-2.336393E-4</v>
      </c>
      <c r="AA4154">
        <v>0.99981770000000003</v>
      </c>
      <c r="AB4154">
        <v>34</v>
      </c>
      <c r="AC4154">
        <v>181.31960000000001</v>
      </c>
      <c r="AD4154">
        <v>-0.6324883</v>
      </c>
      <c r="AE4154">
        <v>-4.4586999999999897</v>
      </c>
      <c r="AF4154">
        <v>3.4694502037952999</v>
      </c>
      <c r="AG4154">
        <v>-0.6324883</v>
      </c>
      <c r="AH4154">
        <v>181.33902006139701</v>
      </c>
      <c r="AI4154">
        <v>90.199803288432705</v>
      </c>
      <c r="AJ4154">
        <v>88.903928100019002</v>
      </c>
      <c r="AK4154">
        <v>181.37330929051899</v>
      </c>
      <c r="AL4154">
        <v>77.838258293115999</v>
      </c>
      <c r="AM4154">
        <v>88.132528635876895</v>
      </c>
      <c r="AN4154">
        <v>1.0000000172394301</v>
      </c>
    </row>
    <row r="4155" spans="1:40" x14ac:dyDescent="0.25">
      <c r="A4155" t="str">
        <f>"20190303170336378"</f>
        <v>20190303170336378</v>
      </c>
      <c r="B4155" t="str">
        <f>"1551603816369167"</f>
        <v>1551603816369167</v>
      </c>
      <c r="C4155" t="s">
        <v>40</v>
      </c>
      <c r="D4155">
        <v>4.3145790000000002</v>
      </c>
      <c r="E4155">
        <v>0.49924950000000001</v>
      </c>
      <c r="F4155" t="s">
        <v>89</v>
      </c>
      <c r="G4155">
        <v>-107.39749999999999</v>
      </c>
      <c r="H4155">
        <v>0.34439320000000001</v>
      </c>
      <c r="I4155">
        <v>210.5204</v>
      </c>
      <c r="J4155">
        <v>-288.37509999999997</v>
      </c>
      <c r="K4155">
        <v>1.121785</v>
      </c>
      <c r="L4155">
        <v>214.91229999999999</v>
      </c>
      <c r="M4155">
        <v>0.9998783</v>
      </c>
      <c r="N4155">
        <v>-1.4621469999999999E-2</v>
      </c>
      <c r="O4155">
        <v>-5.4460539999999997E-3</v>
      </c>
      <c r="P4155">
        <v>0.9798038</v>
      </c>
      <c r="Q4155">
        <v>0.1966495</v>
      </c>
      <c r="R4155">
        <v>-3.6245220000000002E-2</v>
      </c>
      <c r="S4155">
        <v>3.0615839999999999</v>
      </c>
      <c r="T4155">
        <v>-1.3125299999999901E-2</v>
      </c>
      <c r="U4155">
        <v>-7.4188229999999994E-2</v>
      </c>
      <c r="V4155">
        <v>3.0921319999999999E-2</v>
      </c>
      <c r="W4155">
        <v>0.21095549999999999</v>
      </c>
      <c r="X4155">
        <v>0.9770065</v>
      </c>
      <c r="Y4155">
        <v>1.8779000000000001E-2</v>
      </c>
      <c r="Z4155">
        <v>-2.3384670000000001E-4</v>
      </c>
      <c r="AA4155">
        <v>0.99982360000000003</v>
      </c>
      <c r="AB4155">
        <v>34</v>
      </c>
      <c r="AC4155">
        <v>180.9776</v>
      </c>
      <c r="AD4155">
        <v>-0.77739179999999997</v>
      </c>
      <c r="AE4155">
        <v>-4.3918999999999899</v>
      </c>
      <c r="AF4155">
        <v>3.4060529204479</v>
      </c>
      <c r="AG4155">
        <v>-0.77739179999999997</v>
      </c>
      <c r="AH4155">
        <v>180.99549897244299</v>
      </c>
      <c r="AI4155">
        <v>90.246045404364594</v>
      </c>
      <c r="AJ4155">
        <v>88.921910067071806</v>
      </c>
      <c r="AK4155">
        <v>181.02921361700501</v>
      </c>
      <c r="AL4155">
        <v>77.821647467872495</v>
      </c>
      <c r="AM4155">
        <v>88.187248546358205</v>
      </c>
      <c r="AN4155">
        <v>1.0000000260265201</v>
      </c>
    </row>
    <row r="4156" spans="1:40" x14ac:dyDescent="0.25">
      <c r="A4156" t="str">
        <f>"20190303170336399"</f>
        <v>20190303170336399</v>
      </c>
      <c r="B4156" t="str">
        <f>"1551603816389664"</f>
        <v>1551603816389664</v>
      </c>
      <c r="C4156" t="s">
        <v>40</v>
      </c>
      <c r="D4156">
        <v>4.4833379999999998</v>
      </c>
      <c r="E4156">
        <v>0.49913469999999999</v>
      </c>
      <c r="F4156" t="s">
        <v>89</v>
      </c>
      <c r="G4156">
        <v>-107.39749999999999</v>
      </c>
      <c r="H4156">
        <v>0.36595240000000001</v>
      </c>
      <c r="I4156">
        <v>210.63980000000001</v>
      </c>
      <c r="J4156">
        <v>-288.05329999999998</v>
      </c>
      <c r="K4156">
        <v>1.1217889999999999</v>
      </c>
      <c r="L4156">
        <v>214.91059999999999</v>
      </c>
      <c r="M4156">
        <v>0.99987839999999995</v>
      </c>
      <c r="N4156">
        <v>-1.461787E-2</v>
      </c>
      <c r="O4156">
        <v>-5.4366329999999997E-3</v>
      </c>
      <c r="P4156">
        <v>0.97967380000000004</v>
      </c>
      <c r="Q4156">
        <v>0.19741400000000001</v>
      </c>
      <c r="R4156">
        <v>-3.559002E-2</v>
      </c>
      <c r="S4156">
        <v>3.0617369999999999</v>
      </c>
      <c r="T4156">
        <v>-1.278615E-2</v>
      </c>
      <c r="U4156">
        <v>-7.2280880000000006E-2</v>
      </c>
      <c r="V4156">
        <v>3.0273620000000001E-2</v>
      </c>
      <c r="W4156">
        <v>0.21171480000000001</v>
      </c>
      <c r="X4156">
        <v>0.97686249999999997</v>
      </c>
      <c r="Y4156">
        <v>1.816477E-2</v>
      </c>
      <c r="Z4156">
        <v>-2.2748420000000001E-4</v>
      </c>
      <c r="AA4156">
        <v>0.99983500000000003</v>
      </c>
      <c r="AB4156">
        <v>34</v>
      </c>
      <c r="AC4156">
        <v>180.6558</v>
      </c>
      <c r="AD4156">
        <v>-0.75583659999999897</v>
      </c>
      <c r="AE4156">
        <v>-4.2707999999999799</v>
      </c>
      <c r="AF4156">
        <v>3.2884151306491001</v>
      </c>
      <c r="AG4156">
        <v>-0.75583659999999897</v>
      </c>
      <c r="AH4156">
        <v>180.67318999857099</v>
      </c>
      <c r="AI4156">
        <v>90.239652730779696</v>
      </c>
      <c r="AJ4156">
        <v>88.957280230040794</v>
      </c>
      <c r="AK4156">
        <v>180.70469431449999</v>
      </c>
      <c r="AL4156">
        <v>77.777137094661995</v>
      </c>
      <c r="AM4156">
        <v>88.224933727630599</v>
      </c>
      <c r="AN4156">
        <v>0.99999999625659697</v>
      </c>
    </row>
    <row r="4157" spans="1:40" x14ac:dyDescent="0.25">
      <c r="A4157" t="str">
        <f>"20190303170336422"</f>
        <v>20190303170336422</v>
      </c>
      <c r="B4157" t="str">
        <f>"1551603816410159"</f>
        <v>1551603816410159</v>
      </c>
      <c r="C4157" t="s">
        <v>40</v>
      </c>
      <c r="D4157">
        <v>4.3566880000000001</v>
      </c>
      <c r="E4157">
        <v>0.4991198</v>
      </c>
      <c r="F4157" t="s">
        <v>89</v>
      </c>
      <c r="G4157">
        <v>-107.39749999999999</v>
      </c>
      <c r="H4157">
        <v>0.53793530000000001</v>
      </c>
      <c r="I4157">
        <v>210.79060000000001</v>
      </c>
      <c r="J4157">
        <v>-287.70780000000002</v>
      </c>
      <c r="K4157">
        <v>1.121799</v>
      </c>
      <c r="L4157">
        <v>214.90870000000001</v>
      </c>
      <c r="M4157">
        <v>0.9998785</v>
      </c>
      <c r="N4157">
        <v>-1.461401E-2</v>
      </c>
      <c r="O4157">
        <v>-5.4246989999999998E-3</v>
      </c>
      <c r="P4157">
        <v>0.97957070000000002</v>
      </c>
      <c r="Q4157">
        <v>0.19802890000000001</v>
      </c>
      <c r="R4157">
        <v>-3.5011699999999903E-2</v>
      </c>
      <c r="S4157">
        <v>3.0617369999999999</v>
      </c>
      <c r="T4157">
        <v>-9.8942519999999992E-3</v>
      </c>
      <c r="U4157">
        <v>-6.9824220000000006E-2</v>
      </c>
      <c r="V4157">
        <v>2.9704319999999999E-2</v>
      </c>
      <c r="W4157">
        <v>0.21232470000000001</v>
      </c>
      <c r="X4157">
        <v>0.97674760000000005</v>
      </c>
      <c r="Y4157">
        <v>1.7375149999999999E-2</v>
      </c>
      <c r="Z4157">
        <v>-2.168014E-4</v>
      </c>
      <c r="AA4157">
        <v>0.99984899999999999</v>
      </c>
      <c r="AB4157">
        <v>34</v>
      </c>
      <c r="AC4157">
        <v>180.31030000000001</v>
      </c>
      <c r="AD4157">
        <v>-0.58386369999999999</v>
      </c>
      <c r="AE4157">
        <v>-4.1180999999999903</v>
      </c>
      <c r="AF4157">
        <v>3.1397729254131299</v>
      </c>
      <c r="AG4157">
        <v>-0.58386369999999999</v>
      </c>
      <c r="AH4157">
        <v>180.32809841162799</v>
      </c>
      <c r="AI4157">
        <v>90.185482682149797</v>
      </c>
      <c r="AJ4157">
        <v>89.002498428280603</v>
      </c>
      <c r="AK4157">
        <v>180.356375400475</v>
      </c>
      <c r="AL4157">
        <v>77.741379501950703</v>
      </c>
      <c r="AM4157">
        <v>88.258088600319496</v>
      </c>
      <c r="AN4157">
        <v>0.99999999948125595</v>
      </c>
    </row>
    <row r="4158" spans="1:40" x14ac:dyDescent="0.25">
      <c r="A4158" t="str">
        <f>"20190303170336445"</f>
        <v>20190303170336445</v>
      </c>
      <c r="B4158" t="str">
        <f>"1551603816439439"</f>
        <v>1551603816439439</v>
      </c>
      <c r="C4158" t="s">
        <v>40</v>
      </c>
      <c r="D4158">
        <v>4.3178570000000001</v>
      </c>
      <c r="E4158">
        <v>0.49908970000000002</v>
      </c>
      <c r="F4158" t="s">
        <v>89</v>
      </c>
      <c r="G4158">
        <v>-107.39749999999999</v>
      </c>
      <c r="H4158">
        <v>0.64429110000000001</v>
      </c>
      <c r="I4158">
        <v>210.92439999999999</v>
      </c>
      <c r="J4158">
        <v>-287.35039999999998</v>
      </c>
      <c r="K4158">
        <v>1.1218060000000001</v>
      </c>
      <c r="L4158">
        <v>214.9068</v>
      </c>
      <c r="M4158">
        <v>0.99987879999999996</v>
      </c>
      <c r="N4158">
        <v>-1.461001E-2</v>
      </c>
      <c r="O4158">
        <v>-5.4096780000000002E-3</v>
      </c>
      <c r="P4158">
        <v>0.97971330000000001</v>
      </c>
      <c r="Q4158">
        <v>0.19735839999999999</v>
      </c>
      <c r="R4158">
        <v>-3.481451E-2</v>
      </c>
      <c r="S4158">
        <v>3.0618289999999999</v>
      </c>
      <c r="T4158">
        <v>-8.1076619999999999E-3</v>
      </c>
      <c r="U4158">
        <v>-6.7657469999999997E-2</v>
      </c>
      <c r="V4158">
        <v>2.9518349999999999E-2</v>
      </c>
      <c r="W4158">
        <v>0.21165320000000001</v>
      </c>
      <c r="X4158">
        <v>0.97689899999999996</v>
      </c>
      <c r="Y4158">
        <v>1.668244E-2</v>
      </c>
      <c r="Z4158">
        <v>-2.086821E-4</v>
      </c>
      <c r="AA4158">
        <v>0.99986079999999999</v>
      </c>
      <c r="AB4158">
        <v>34</v>
      </c>
      <c r="AC4158">
        <v>179.9529</v>
      </c>
      <c r="AD4158">
        <v>-0.47751489999999902</v>
      </c>
      <c r="AE4158">
        <v>-3.9824000000000099</v>
      </c>
      <c r="AF4158">
        <v>3.0087295444012399</v>
      </c>
      <c r="AG4158">
        <v>-0.47751489999999902</v>
      </c>
      <c r="AH4158">
        <v>179.970545474956</v>
      </c>
      <c r="AI4158">
        <v>90.152000993476705</v>
      </c>
      <c r="AJ4158">
        <v>89.042224122071502</v>
      </c>
      <c r="AK4158">
        <v>179.99632694170299</v>
      </c>
      <c r="AL4158">
        <v>77.780748809941002</v>
      </c>
      <c r="AM4158">
        <v>88.269255648326407</v>
      </c>
      <c r="AN4158">
        <v>1.00000003312898</v>
      </c>
    </row>
    <row r="4159" spans="1:40" x14ac:dyDescent="0.25">
      <c r="A4159" t="str">
        <f>"20190303170336467"</f>
        <v>20190303170336467</v>
      </c>
      <c r="B4159" t="str">
        <f>"1551603816459936"</f>
        <v>1551603816459936</v>
      </c>
      <c r="C4159" t="s">
        <v>40</v>
      </c>
      <c r="D4159">
        <v>4.3190489999999997</v>
      </c>
      <c r="E4159">
        <v>0.4991564</v>
      </c>
      <c r="F4159" t="s">
        <v>89</v>
      </c>
      <c r="G4159">
        <v>-107.39749999999999</v>
      </c>
      <c r="H4159">
        <v>0.55178570000000005</v>
      </c>
      <c r="I4159">
        <v>210.96250000000001</v>
      </c>
      <c r="J4159">
        <v>-287.01549999999997</v>
      </c>
      <c r="K4159">
        <v>1.12181</v>
      </c>
      <c r="L4159">
        <v>214.905</v>
      </c>
      <c r="M4159">
        <v>0.99987879999999996</v>
      </c>
      <c r="N4159">
        <v>-1.4606269999999999E-2</v>
      </c>
      <c r="O4159">
        <v>-5.3931339999999999E-3</v>
      </c>
      <c r="P4159">
        <v>0.97990270000000002</v>
      </c>
      <c r="Q4159">
        <v>0.1965267</v>
      </c>
      <c r="R4159">
        <v>-3.4171380000000001E-2</v>
      </c>
      <c r="S4159">
        <v>3.0617070000000002</v>
      </c>
      <c r="T4159">
        <v>-9.6974369999999997E-3</v>
      </c>
      <c r="U4159">
        <v>-6.7108150000000005E-2</v>
      </c>
      <c r="V4159">
        <v>2.8888750000000001E-2</v>
      </c>
      <c r="W4159">
        <v>0.21082029999999999</v>
      </c>
      <c r="X4159">
        <v>0.97709789999999996</v>
      </c>
      <c r="Y4159">
        <v>1.6520440000000001E-2</v>
      </c>
      <c r="Z4159">
        <v>-2.0852429999999999E-4</v>
      </c>
      <c r="AA4159">
        <v>0.99986350000000002</v>
      </c>
      <c r="AB4159">
        <v>34</v>
      </c>
      <c r="AC4159">
        <v>179.61799999999999</v>
      </c>
      <c r="AD4159">
        <v>-0.57002429999999904</v>
      </c>
      <c r="AE4159">
        <v>-3.9424999999999901</v>
      </c>
      <c r="AF4159">
        <v>2.97360544669217</v>
      </c>
      <c r="AG4159">
        <v>-0.57002429999999904</v>
      </c>
      <c r="AH4159">
        <v>179.63484365596901</v>
      </c>
      <c r="AI4159">
        <v>90.181787689455803</v>
      </c>
      <c r="AJ4159">
        <v>89.051634532865705</v>
      </c>
      <c r="AK4159">
        <v>179.660358210596</v>
      </c>
      <c r="AL4159">
        <v>77.829572159277006</v>
      </c>
      <c r="AM4159">
        <v>88.306493740659207</v>
      </c>
      <c r="AN4159">
        <v>1.0000000324765299</v>
      </c>
    </row>
    <row r="4160" spans="1:40" x14ac:dyDescent="0.25">
      <c r="A4160" t="str">
        <f>"20190303170336489"</f>
        <v>20190303170336489</v>
      </c>
      <c r="B4160" t="str">
        <f>"1551603816479455"</f>
        <v>1551603816479455</v>
      </c>
      <c r="C4160" t="s">
        <v>40</v>
      </c>
      <c r="D4160">
        <v>4.3194739999999996</v>
      </c>
      <c r="E4160">
        <v>0.49919409999999997</v>
      </c>
      <c r="F4160" t="s">
        <v>89</v>
      </c>
      <c r="G4160">
        <v>-107.39749999999999</v>
      </c>
      <c r="H4160">
        <v>0.38260650000000002</v>
      </c>
      <c r="I4160">
        <v>211.02090000000001</v>
      </c>
      <c r="J4160">
        <v>-286.6859</v>
      </c>
      <c r="K4160">
        <v>1.121807</v>
      </c>
      <c r="L4160">
        <v>214.9033</v>
      </c>
      <c r="M4160">
        <v>0.99987910000000002</v>
      </c>
      <c r="N4160">
        <v>-1.460262E-2</v>
      </c>
      <c r="O4160">
        <v>-5.3756560000000004E-3</v>
      </c>
      <c r="P4160">
        <v>0.98009869999999999</v>
      </c>
      <c r="Q4160">
        <v>0.1954137</v>
      </c>
      <c r="R4160">
        <v>-3.4930719999999998E-2</v>
      </c>
      <c r="S4160">
        <v>3.0617070000000002</v>
      </c>
      <c r="T4160">
        <v>-1.259935E-2</v>
      </c>
      <c r="U4160">
        <v>-6.6207890000000005E-2</v>
      </c>
      <c r="V4160">
        <v>2.9662669999999999E-2</v>
      </c>
      <c r="W4160">
        <v>0.20970710000000001</v>
      </c>
      <c r="X4160">
        <v>0.97731420000000002</v>
      </c>
      <c r="Y4160">
        <v>1.6243830000000001E-2</v>
      </c>
      <c r="Z4160">
        <v>-2.0841990000000001E-4</v>
      </c>
      <c r="AA4160">
        <v>0.99986799999999998</v>
      </c>
      <c r="AB4160">
        <v>34</v>
      </c>
      <c r="AC4160">
        <v>179.2884</v>
      </c>
      <c r="AD4160">
        <v>-0.73920049999999904</v>
      </c>
      <c r="AE4160">
        <v>-3.8823999999999899</v>
      </c>
      <c r="AF4160">
        <v>2.9183989358498299</v>
      </c>
      <c r="AG4160">
        <v>-0.73920049999999904</v>
      </c>
      <c r="AH4160">
        <v>179.30363505814501</v>
      </c>
      <c r="AI4160">
        <v>90.236176026646604</v>
      </c>
      <c r="AJ4160">
        <v>89.067519303522005</v>
      </c>
      <c r="AK4160">
        <v>179.328907359612</v>
      </c>
      <c r="AL4160">
        <v>77.894811807696797</v>
      </c>
      <c r="AM4160">
        <v>88.261537367689101</v>
      </c>
      <c r="AN4160">
        <v>0.99999999365178904</v>
      </c>
    </row>
    <row r="4161" spans="1:40" x14ac:dyDescent="0.25">
      <c r="A4161" t="str">
        <f>"20190303170336510"</f>
        <v>20190303170336510</v>
      </c>
      <c r="B4161" t="str">
        <f>"1551603816499952"</f>
        <v>1551603816499952</v>
      </c>
      <c r="C4161" t="s">
        <v>40</v>
      </c>
      <c r="D4161">
        <v>4.3619190000000003</v>
      </c>
      <c r="E4161">
        <v>0.49923220000000001</v>
      </c>
      <c r="F4161" t="s">
        <v>89</v>
      </c>
      <c r="G4161">
        <v>-107.39749999999999</v>
      </c>
      <c r="H4161">
        <v>0.1604178</v>
      </c>
      <c r="I4161">
        <v>210.83150000000001</v>
      </c>
      <c r="J4161">
        <v>-286.34910000000002</v>
      </c>
      <c r="K4161">
        <v>1.1218090000000001</v>
      </c>
      <c r="L4161">
        <v>214.9015</v>
      </c>
      <c r="M4161">
        <v>0.99987919999999997</v>
      </c>
      <c r="N4161">
        <v>-1.459889E-2</v>
      </c>
      <c r="O4161">
        <v>-5.3560500000000002E-3</v>
      </c>
      <c r="P4161">
        <v>0.98011919999999997</v>
      </c>
      <c r="Q4161">
        <v>0.19517799999999999</v>
      </c>
      <c r="R4161">
        <v>-3.566772E-2</v>
      </c>
      <c r="S4161">
        <v>3.0617070000000002</v>
      </c>
      <c r="T4161">
        <v>-1.6416790000000001E-2</v>
      </c>
      <c r="U4161">
        <v>-6.9534299999999993E-2</v>
      </c>
      <c r="V4161">
        <v>3.0417860000000001E-2</v>
      </c>
      <c r="W4161">
        <v>0.2094684</v>
      </c>
      <c r="X4161">
        <v>0.97734219999999905</v>
      </c>
      <c r="Y4161">
        <v>1.7348840000000001E-2</v>
      </c>
      <c r="Z4161">
        <v>-2.226435E-4</v>
      </c>
      <c r="AA4161">
        <v>0.99984949999999995</v>
      </c>
      <c r="AB4161">
        <v>34</v>
      </c>
      <c r="AC4161">
        <v>178.95160000000001</v>
      </c>
      <c r="AD4161">
        <v>-0.9613912</v>
      </c>
      <c r="AE4161">
        <v>-4.0699999999999896</v>
      </c>
      <c r="AF4161">
        <v>3.1112760946629598</v>
      </c>
      <c r="AG4161">
        <v>-0.9613912</v>
      </c>
      <c r="AH4161">
        <v>178.96567139406599</v>
      </c>
      <c r="AI4161">
        <v>90.307739501648001</v>
      </c>
      <c r="AJ4161">
        <v>89.004026681870499</v>
      </c>
      <c r="AK4161">
        <v>178.995295607191</v>
      </c>
      <c r="AL4161">
        <v>77.9087992460598</v>
      </c>
      <c r="AM4161">
        <v>88.217356618342194</v>
      </c>
      <c r="AN4161">
        <v>1.0000000163531799</v>
      </c>
    </row>
    <row r="4162" spans="1:40" x14ac:dyDescent="0.25">
      <c r="A4162" t="str">
        <f>"20190303170336534"</f>
        <v>20190303170336534</v>
      </c>
      <c r="B4162" t="str">
        <f>"1551603816519471"</f>
        <v>1551603816519471</v>
      </c>
      <c r="C4162" t="s">
        <v>40</v>
      </c>
      <c r="D4162">
        <v>4.4762760000000004</v>
      </c>
      <c r="E4162">
        <v>0.49925829999999999</v>
      </c>
      <c r="F4162" t="s">
        <v>89</v>
      </c>
      <c r="G4162">
        <v>-107.39749999999999</v>
      </c>
      <c r="H4162">
        <v>0.11737930000000001</v>
      </c>
      <c r="I4162">
        <v>210.67230000000001</v>
      </c>
      <c r="J4162">
        <v>-285.9975</v>
      </c>
      <c r="K4162">
        <v>1.1218129999999999</v>
      </c>
      <c r="L4162">
        <v>214.89959999999999</v>
      </c>
      <c r="M4162">
        <v>0.99987939999999997</v>
      </c>
      <c r="N4162">
        <v>-1.459501E-2</v>
      </c>
      <c r="O4162">
        <v>-5.3351369999999898E-3</v>
      </c>
      <c r="P4162">
        <v>0.97990299999999997</v>
      </c>
      <c r="Q4162">
        <v>0.19619829999999999</v>
      </c>
      <c r="R4162">
        <v>-3.600768E-2</v>
      </c>
      <c r="S4162">
        <v>3.0616759999999998</v>
      </c>
      <c r="T4162">
        <v>-1.7183899999999998E-2</v>
      </c>
      <c r="U4162">
        <v>-7.2357179999999993E-2</v>
      </c>
      <c r="V4162">
        <v>3.0778730000000001E-2</v>
      </c>
      <c r="W4162">
        <v>0.21048149999999999</v>
      </c>
      <c r="X4162">
        <v>0.97711320000000002</v>
      </c>
      <c r="Y4162">
        <v>1.829122E-2</v>
      </c>
      <c r="Z4162">
        <v>-2.3275600000000001E-4</v>
      </c>
      <c r="AA4162">
        <v>0.99983270000000002</v>
      </c>
      <c r="AB4162">
        <v>34</v>
      </c>
      <c r="AC4162">
        <v>178.6</v>
      </c>
      <c r="AD4162">
        <v>-1.0044337000000001</v>
      </c>
      <c r="AE4162">
        <v>-4.2272999999999801</v>
      </c>
      <c r="AF4162">
        <v>3.2741794939250202</v>
      </c>
      <c r="AG4162">
        <v>-1.0044337000000001</v>
      </c>
      <c r="AH4162">
        <v>178.61436710267</v>
      </c>
      <c r="AI4162">
        <v>90.322143956022401</v>
      </c>
      <c r="AJ4162">
        <v>88.949828833876595</v>
      </c>
      <c r="AK4162">
        <v>178.64719777792101</v>
      </c>
      <c r="AL4162">
        <v>77.849429126664305</v>
      </c>
      <c r="AM4162">
        <v>88.195799204498897</v>
      </c>
      <c r="AN4162">
        <v>0.99999999883845103</v>
      </c>
    </row>
    <row r="4163" spans="1:40" x14ac:dyDescent="0.25">
      <c r="A4163" t="str">
        <f>"20190303170336558"</f>
        <v>20190303170336558</v>
      </c>
      <c r="B4163" t="str">
        <f>"1551603816549726"</f>
        <v>1551603816549726</v>
      </c>
      <c r="C4163" t="s">
        <v>40</v>
      </c>
      <c r="D4163">
        <v>4.3573690000000003</v>
      </c>
      <c r="E4163">
        <v>0.51014490000000001</v>
      </c>
      <c r="F4163" t="s">
        <v>89</v>
      </c>
      <c r="G4163">
        <v>-107.39749999999999</v>
      </c>
      <c r="H4163">
        <v>0.31171219999999999</v>
      </c>
      <c r="I4163">
        <v>210.54589999999999</v>
      </c>
      <c r="J4163">
        <v>-285.6422</v>
      </c>
      <c r="K4163">
        <v>1.1218159999999999</v>
      </c>
      <c r="L4163">
        <v>214.89779999999999</v>
      </c>
      <c r="M4163">
        <v>0.99987939999999997</v>
      </c>
      <c r="N4163">
        <v>-1.4588139999999999E-2</v>
      </c>
      <c r="O4163">
        <v>-5.3132600000000002E-3</v>
      </c>
      <c r="P4163">
        <v>0.97993669999999999</v>
      </c>
      <c r="Q4163">
        <v>0.19615340000000001</v>
      </c>
      <c r="R4163">
        <v>-3.5326440000000001E-2</v>
      </c>
      <c r="S4163">
        <v>3.0615540000000001</v>
      </c>
      <c r="T4163">
        <v>-1.388586E-2</v>
      </c>
      <c r="U4163">
        <v>-7.4630740000000001E-2</v>
      </c>
      <c r="V4163">
        <v>3.011836E-2</v>
      </c>
      <c r="W4163">
        <v>0.2104307</v>
      </c>
      <c r="X4163">
        <v>0.97714469999999998</v>
      </c>
      <c r="Y4163">
        <v>1.9056360000000001E-2</v>
      </c>
      <c r="Z4163">
        <v>-2.3564979999999999E-4</v>
      </c>
      <c r="AA4163">
        <v>0.9998184</v>
      </c>
      <c r="AB4163">
        <v>34</v>
      </c>
      <c r="AC4163">
        <v>178.24469999999999</v>
      </c>
      <c r="AD4163">
        <v>-0.81010379999999904</v>
      </c>
      <c r="AE4163">
        <v>-4.3518999999999997</v>
      </c>
      <c r="AF4163">
        <v>3.4046069825269099</v>
      </c>
      <c r="AG4163">
        <v>-0.81010379999999904</v>
      </c>
      <c r="AH4163">
        <v>178.26162870147701</v>
      </c>
      <c r="AI4163">
        <v>90.260329418806805</v>
      </c>
      <c r="AJ4163">
        <v>88.905844745477395</v>
      </c>
      <c r="AK4163">
        <v>178.29597831744701</v>
      </c>
      <c r="AL4163">
        <v>77.852406200841301</v>
      </c>
      <c r="AM4163">
        <v>88.234541167753093</v>
      </c>
      <c r="AN4163">
        <v>0.99999997992483403</v>
      </c>
    </row>
    <row r="4164" spans="1:40" x14ac:dyDescent="0.25">
      <c r="A4164" t="str">
        <f>"20190303170336579"</f>
        <v>20190303170336579</v>
      </c>
      <c r="B4164" t="str">
        <f>"1551603816570224"</f>
        <v>1551603816570224</v>
      </c>
      <c r="C4164" t="s">
        <v>40</v>
      </c>
      <c r="D4164">
        <v>4.4825339999999896</v>
      </c>
      <c r="E4164">
        <v>0.51142659999999995</v>
      </c>
      <c r="F4164" t="s">
        <v>56</v>
      </c>
      <c r="G4164">
        <v>-169.39240000000001</v>
      </c>
      <c r="H4164">
        <v>0.1176891</v>
      </c>
      <c r="I4164">
        <v>208.84370000000001</v>
      </c>
      <c r="J4164">
        <v>-285.3082</v>
      </c>
      <c r="K4164">
        <v>1.121812</v>
      </c>
      <c r="L4164">
        <v>214.89599999999999</v>
      </c>
      <c r="M4164">
        <v>0.99987990000000004</v>
      </c>
      <c r="N4164">
        <v>-1.45703E-2</v>
      </c>
      <c r="O4164">
        <v>-5.2936880000000004E-3</v>
      </c>
      <c r="P4164">
        <v>0.9801166</v>
      </c>
      <c r="Q4164">
        <v>0.19543740000000001</v>
      </c>
      <c r="R4164">
        <v>-3.4288819999999998E-2</v>
      </c>
      <c r="S4164">
        <v>3.0609739999999999</v>
      </c>
      <c r="T4164">
        <v>-2.6438710000000001E-2</v>
      </c>
      <c r="U4164">
        <v>-0.15940860000000001</v>
      </c>
      <c r="V4164">
        <v>2.9098570000000001E-2</v>
      </c>
      <c r="W4164">
        <v>0.2097001</v>
      </c>
      <c r="X4164">
        <v>0.97733270000000005</v>
      </c>
      <c r="Y4164">
        <v>4.6714859999999997E-2</v>
      </c>
      <c r="Z4164">
        <v>-5.7359269999999996E-4</v>
      </c>
      <c r="AA4164">
        <v>0.99890809999999997</v>
      </c>
      <c r="AB4164">
        <v>34</v>
      </c>
      <c r="AC4164">
        <v>115.9158</v>
      </c>
      <c r="AD4164">
        <v>-1.0041229</v>
      </c>
      <c r="AE4164">
        <v>-6.0522999999999696</v>
      </c>
      <c r="AF4164">
        <v>5.4381210325449798</v>
      </c>
      <c r="AG4164">
        <v>-1.0041229</v>
      </c>
      <c r="AH4164">
        <v>115.937541656302</v>
      </c>
      <c r="AI4164">
        <v>90.495675385792495</v>
      </c>
      <c r="AJ4164">
        <v>87.314474904209803</v>
      </c>
      <c r="AK4164">
        <v>116.06935421751</v>
      </c>
      <c r="AL4164">
        <v>77.895222477387307</v>
      </c>
      <c r="AM4164">
        <v>88.2946105551393</v>
      </c>
      <c r="AN4164">
        <v>1.0000000326026699</v>
      </c>
    </row>
    <row r="4165" spans="1:40" x14ac:dyDescent="0.25">
      <c r="A4165" t="str">
        <f>"20190303170336623"</f>
        <v>20190303170336623</v>
      </c>
      <c r="B4165" t="str">
        <f>"1551603816609263"</f>
        <v>1551603816609263</v>
      </c>
      <c r="C4165" t="s">
        <v>40</v>
      </c>
      <c r="D4165">
        <v>4.2931119999999998</v>
      </c>
      <c r="E4165">
        <v>0.51220019999999999</v>
      </c>
      <c r="F4165" t="s">
        <v>57</v>
      </c>
      <c r="G4165">
        <v>-179.94820000000001</v>
      </c>
      <c r="H4165">
        <v>5.9559510000000003E-2</v>
      </c>
      <c r="I4165">
        <v>209.1585</v>
      </c>
      <c r="J4165">
        <v>-284.63659999999999</v>
      </c>
      <c r="K4165">
        <v>1.1218049999999999</v>
      </c>
      <c r="L4165">
        <v>214.89259999999999</v>
      </c>
      <c r="M4165">
        <v>0.99988109999999997</v>
      </c>
      <c r="N4165">
        <v>-1.450216E-2</v>
      </c>
      <c r="O4165">
        <v>-5.2542029999999998E-3</v>
      </c>
      <c r="P4165">
        <v>0.98015969999999997</v>
      </c>
      <c r="Q4165">
        <v>0.19565879999999999</v>
      </c>
      <c r="R4165">
        <v>-3.1696630000000003E-2</v>
      </c>
      <c r="S4165">
        <v>3.061188</v>
      </c>
      <c r="T4165">
        <v>-3.0863290000000002E-2</v>
      </c>
      <c r="U4165">
        <v>-0.1667023</v>
      </c>
      <c r="V4165">
        <v>2.6544600000000002E-2</v>
      </c>
      <c r="W4165">
        <v>0.2098554</v>
      </c>
      <c r="X4165">
        <v>0.97737209999999997</v>
      </c>
      <c r="Y4165">
        <v>4.9122399999999997E-2</v>
      </c>
      <c r="Z4165">
        <v>-6.2715229999999996E-4</v>
      </c>
      <c r="AA4165">
        <v>0.99879260000000003</v>
      </c>
      <c r="AB4165">
        <v>34</v>
      </c>
      <c r="AC4165">
        <v>104.68839999999901</v>
      </c>
      <c r="AD4165">
        <v>-1.06224549</v>
      </c>
      <c r="AE4165">
        <v>-5.7340999999999802</v>
      </c>
      <c r="AF4165">
        <v>5.1833768489983898</v>
      </c>
      <c r="AG4165">
        <v>-1.06224549</v>
      </c>
      <c r="AH4165">
        <v>104.706338004325</v>
      </c>
      <c r="AI4165">
        <v>90.580534716848703</v>
      </c>
      <c r="AJ4165">
        <v>87.1659464254829</v>
      </c>
      <c r="AK4165">
        <v>104.839939809767</v>
      </c>
      <c r="AL4165">
        <v>77.886122325362294</v>
      </c>
      <c r="AM4165">
        <v>88.444277499562602</v>
      </c>
      <c r="AN4165">
        <v>1.0000000632783601</v>
      </c>
    </row>
    <row r="4166" spans="1:40" x14ac:dyDescent="0.25">
      <c r="A4166" t="str">
        <f>"20190303170336646"</f>
        <v>20190303170336646</v>
      </c>
      <c r="B4166" t="str">
        <f>"1551603816639520"</f>
        <v>1551603816639520</v>
      </c>
      <c r="C4166" t="s">
        <v>40</v>
      </c>
      <c r="D4166">
        <v>4.2146679999999996</v>
      </c>
      <c r="E4166">
        <v>0.51254549999999999</v>
      </c>
      <c r="F4166" t="s">
        <v>57</v>
      </c>
      <c r="G4166">
        <v>-182.78280000000001</v>
      </c>
      <c r="H4166" s="1">
        <v>3.219253E-6</v>
      </c>
      <c r="I4166">
        <v>209.38220000000001</v>
      </c>
      <c r="J4166">
        <v>-284.30090000000001</v>
      </c>
      <c r="K4166">
        <v>1.1217999999999999</v>
      </c>
      <c r="L4166">
        <v>214.89080000000001</v>
      </c>
      <c r="M4166">
        <v>0.99988189999999999</v>
      </c>
      <c r="N4166">
        <v>-1.445252E-2</v>
      </c>
      <c r="O4166">
        <v>-5.2345309999999997E-3</v>
      </c>
      <c r="P4166">
        <v>0.97990690000000003</v>
      </c>
      <c r="Q4166">
        <v>0.19701779999999999</v>
      </c>
      <c r="R4166">
        <v>-3.1094320000000002E-2</v>
      </c>
      <c r="S4166">
        <v>3.0621339999999999</v>
      </c>
      <c r="T4166">
        <v>-3.3725860000000003E-2</v>
      </c>
      <c r="U4166">
        <v>-0.1656647</v>
      </c>
      <c r="V4166">
        <v>2.596273E-2</v>
      </c>
      <c r="W4166">
        <v>0.2111616</v>
      </c>
      <c r="X4166">
        <v>0.97710629999999998</v>
      </c>
      <c r="Y4166">
        <v>4.8787079999999997E-2</v>
      </c>
      <c r="Z4166">
        <v>-6.3930930000000001E-4</v>
      </c>
      <c r="AA4166">
        <v>0.99880899999999995</v>
      </c>
      <c r="AB4166">
        <v>34</v>
      </c>
      <c r="AC4166">
        <v>101.5181</v>
      </c>
      <c r="AD4166">
        <v>-1.121796780747</v>
      </c>
      <c r="AE4166">
        <v>-5.5086000000000004</v>
      </c>
      <c r="AF4166">
        <v>4.9764635122190199</v>
      </c>
      <c r="AG4166">
        <v>-1.121796780747</v>
      </c>
      <c r="AH4166">
        <v>101.53318529430901</v>
      </c>
      <c r="AI4166">
        <v>90.632251920355401</v>
      </c>
      <c r="AJ4166">
        <v>87.193997589818693</v>
      </c>
      <c r="AK4166">
        <v>101.66125777853701</v>
      </c>
      <c r="AL4166">
        <v>77.809566384931799</v>
      </c>
      <c r="AM4166">
        <v>88.477949716796005</v>
      </c>
      <c r="AN4166">
        <v>1.00000000308165</v>
      </c>
    </row>
    <row r="4167" spans="1:40" x14ac:dyDescent="0.25">
      <c r="A4167" t="str">
        <f>"20190303170336667"</f>
        <v>20190303170336667</v>
      </c>
      <c r="B4167" t="str">
        <f>"1551603816660016"</f>
        <v>1551603816660016</v>
      </c>
      <c r="C4167" t="s">
        <v>40</v>
      </c>
      <c r="D4167">
        <v>4.2518469999999997</v>
      </c>
      <c r="E4167">
        <v>0.51294969999999995</v>
      </c>
      <c r="F4167" t="s">
        <v>57</v>
      </c>
      <c r="G4167">
        <v>-175.44229999999999</v>
      </c>
      <c r="H4167">
        <v>8.0004800000000001E-2</v>
      </c>
      <c r="I4167">
        <v>208.9607</v>
      </c>
      <c r="J4167">
        <v>-283.97359999999998</v>
      </c>
      <c r="K4167">
        <v>1.121796</v>
      </c>
      <c r="L4167">
        <v>214.88919999999999</v>
      </c>
      <c r="M4167">
        <v>0.99988279999999996</v>
      </c>
      <c r="N4167">
        <v>-1.439958E-2</v>
      </c>
      <c r="O4167">
        <v>-5.2154339999999997E-3</v>
      </c>
      <c r="P4167">
        <v>0.97984599999999999</v>
      </c>
      <c r="Q4167">
        <v>0.1974458</v>
      </c>
      <c r="R4167">
        <v>-3.0281209999999999E-2</v>
      </c>
      <c r="S4167">
        <v>3.062103</v>
      </c>
      <c r="T4167">
        <v>-2.9304859999999999E-2</v>
      </c>
      <c r="U4167">
        <v>-0.16680909999999999</v>
      </c>
      <c r="V4167">
        <v>2.5168759999999998E-2</v>
      </c>
      <c r="W4167">
        <v>0.21153669999999999</v>
      </c>
      <c r="X4167">
        <v>0.97704599999999997</v>
      </c>
      <c r="Y4167">
        <v>4.9180109999999999E-2</v>
      </c>
      <c r="Z4167">
        <v>-6.1471819999999995E-4</v>
      </c>
      <c r="AA4167">
        <v>0.9987897</v>
      </c>
      <c r="AB4167">
        <v>34</v>
      </c>
      <c r="AC4167">
        <v>108.5313</v>
      </c>
      <c r="AD4167">
        <v>-1.0417912</v>
      </c>
      <c r="AE4167">
        <v>-5.9284999999999801</v>
      </c>
      <c r="AF4167">
        <v>5.3618303014413797</v>
      </c>
      <c r="AG4167">
        <v>-1.0417912</v>
      </c>
      <c r="AH4167">
        <v>108.55077433638699</v>
      </c>
      <c r="AI4167">
        <v>90.549196716861999</v>
      </c>
      <c r="AJ4167">
        <v>87.172191848509698</v>
      </c>
      <c r="AK4167">
        <v>108.688109570988</v>
      </c>
      <c r="AL4167">
        <v>77.787578790651096</v>
      </c>
      <c r="AM4167">
        <v>88.524383831064597</v>
      </c>
      <c r="AN4167">
        <v>1.00000006402141</v>
      </c>
    </row>
    <row r="4168" spans="1:40" x14ac:dyDescent="0.25">
      <c r="A4168" t="str">
        <f>"20190303170336690"</f>
        <v>20190303170336690</v>
      </c>
      <c r="B4168" t="str">
        <f>"1551603816679536"</f>
        <v>1551603816679536</v>
      </c>
      <c r="C4168" t="s">
        <v>40</v>
      </c>
      <c r="D4168">
        <v>4.412077</v>
      </c>
      <c r="E4168">
        <v>0.51307999999999998</v>
      </c>
      <c r="F4168" t="s">
        <v>56</v>
      </c>
      <c r="G4168">
        <v>-169.39250000000001</v>
      </c>
      <c r="H4168">
        <v>8.5134509999999997E-2</v>
      </c>
      <c r="I4168">
        <v>208.60159999999999</v>
      </c>
      <c r="J4168">
        <v>-283.63659999999999</v>
      </c>
      <c r="K4168">
        <v>1.1217889999999999</v>
      </c>
      <c r="L4168">
        <v>214.88740000000001</v>
      </c>
      <c r="M4168">
        <v>0.99988379999999999</v>
      </c>
      <c r="N4168">
        <v>-1.434267E-2</v>
      </c>
      <c r="O4168">
        <v>-5.1957150000000001E-3</v>
      </c>
      <c r="P4168">
        <v>0.97982409999999998</v>
      </c>
      <c r="Q4168">
        <v>0.1976647</v>
      </c>
      <c r="R4168">
        <v>-2.955557E-2</v>
      </c>
      <c r="S4168">
        <v>3.062103</v>
      </c>
      <c r="T4168">
        <v>-2.7703169999999999E-2</v>
      </c>
      <c r="U4168">
        <v>-0.16802979999999901</v>
      </c>
      <c r="V4168">
        <v>2.446253E-2</v>
      </c>
      <c r="W4168">
        <v>0.21169979999999999</v>
      </c>
      <c r="X4168">
        <v>0.97702849999999997</v>
      </c>
      <c r="Y4168">
        <v>4.9597200000000001E-2</v>
      </c>
      <c r="Z4168">
        <v>-6.0766879999999996E-4</v>
      </c>
      <c r="AA4168">
        <v>0.99876909999999997</v>
      </c>
      <c r="AB4168">
        <v>34</v>
      </c>
      <c r="AC4168">
        <v>114.24409999999899</v>
      </c>
      <c r="AD4168">
        <v>-1.0366544900000001</v>
      </c>
      <c r="AE4168">
        <v>-6.2858000000000196</v>
      </c>
      <c r="AF4168">
        <v>5.6916071652311704</v>
      </c>
      <c r="AG4168">
        <v>-1.0366544900000001</v>
      </c>
      <c r="AH4168">
        <v>114.265840188078</v>
      </c>
      <c r="AI4168">
        <v>90.519146912130793</v>
      </c>
      <c r="AJ4168">
        <v>87.148441089682905</v>
      </c>
      <c r="AK4168">
        <v>114.412198993562</v>
      </c>
      <c r="AL4168">
        <v>77.778015955033595</v>
      </c>
      <c r="AM4168">
        <v>88.565746081674703</v>
      </c>
      <c r="AN4168">
        <v>0.999999955253144</v>
      </c>
    </row>
    <row r="4169" spans="1:40" x14ac:dyDescent="0.25">
      <c r="A4169" t="str">
        <f>"20190303170336712"</f>
        <v>20190303170336712</v>
      </c>
      <c r="B4169" t="str">
        <f>"1551603816700031"</f>
        <v>1551603816700031</v>
      </c>
      <c r="C4169" t="s">
        <v>40</v>
      </c>
      <c r="D4169">
        <v>4.2763519999999904</v>
      </c>
      <c r="E4169">
        <v>0.5132639</v>
      </c>
      <c r="F4169" t="s">
        <v>56</v>
      </c>
      <c r="G4169">
        <v>-169.39250000000001</v>
      </c>
      <c r="H4169">
        <v>0.1126938</v>
      </c>
      <c r="I4169">
        <v>208.643</v>
      </c>
      <c r="J4169">
        <v>-283.3</v>
      </c>
      <c r="K4169">
        <v>1.121775</v>
      </c>
      <c r="L4169">
        <v>214.88570000000001</v>
      </c>
      <c r="M4169">
        <v>0.99988460000000001</v>
      </c>
      <c r="N4169">
        <v>-1.4283250000000001E-2</v>
      </c>
      <c r="O4169">
        <v>-5.175743E-3</v>
      </c>
      <c r="P4169">
        <v>0.97989280000000001</v>
      </c>
      <c r="Q4169">
        <v>0.19741339999999999</v>
      </c>
      <c r="R4169">
        <v>-2.8953110000000001E-2</v>
      </c>
      <c r="S4169">
        <v>3.0621640000000001</v>
      </c>
      <c r="T4169">
        <v>-2.7046560000000001E-2</v>
      </c>
      <c r="U4169">
        <v>-0.16737369999999999</v>
      </c>
      <c r="V4169">
        <v>2.387908E-2</v>
      </c>
      <c r="W4169">
        <v>0.21139179999999999</v>
      </c>
      <c r="X4169">
        <v>0.97710969999999997</v>
      </c>
      <c r="Y4169">
        <v>4.94029E-2</v>
      </c>
      <c r="Z4169">
        <v>-5.9932550000000001E-4</v>
      </c>
      <c r="AA4169">
        <v>0.99877879999999997</v>
      </c>
      <c r="AB4169">
        <v>34</v>
      </c>
      <c r="AC4169">
        <v>113.9075</v>
      </c>
      <c r="AD4169">
        <v>-1.0090812</v>
      </c>
      <c r="AE4169">
        <v>-6.2427000000000099</v>
      </c>
      <c r="AF4169">
        <v>5.65255800477218</v>
      </c>
      <c r="AG4169">
        <v>-1.0090812</v>
      </c>
      <c r="AH4169">
        <v>113.929373722463</v>
      </c>
      <c r="AI4169">
        <v>90.506836443639997</v>
      </c>
      <c r="AJ4169">
        <v>87.159623077019702</v>
      </c>
      <c r="AK4169">
        <v>114.0739753566</v>
      </c>
      <c r="AL4169">
        <v>77.796072676443401</v>
      </c>
      <c r="AM4169">
        <v>88.600056651718205</v>
      </c>
      <c r="AN4169">
        <v>1.0000000347014799</v>
      </c>
    </row>
    <row r="4170" spans="1:40" x14ac:dyDescent="0.25">
      <c r="A4170" t="str">
        <f>"20190303170336736"</f>
        <v>20190303170336736</v>
      </c>
      <c r="B4170" t="str">
        <f>"1551603816729311"</f>
        <v>1551603816729311</v>
      </c>
      <c r="C4170" t="s">
        <v>40</v>
      </c>
      <c r="D4170">
        <v>4.3171179999999998</v>
      </c>
      <c r="E4170">
        <v>0.51356619999999997</v>
      </c>
      <c r="F4170" t="s">
        <v>56</v>
      </c>
      <c r="G4170">
        <v>-169.39240000000001</v>
      </c>
      <c r="H4170">
        <v>6.1632159999999998E-2</v>
      </c>
      <c r="I4170">
        <v>208.6679</v>
      </c>
      <c r="J4170">
        <v>-282.95159999999998</v>
      </c>
      <c r="K4170">
        <v>1.121761</v>
      </c>
      <c r="L4170">
        <v>214.88390000000001</v>
      </c>
      <c r="M4170">
        <v>0.99988569999999999</v>
      </c>
      <c r="N4170">
        <v>-1.421645E-2</v>
      </c>
      <c r="O4170">
        <v>-5.1551239999999996E-3</v>
      </c>
      <c r="P4170">
        <v>0.97992860000000004</v>
      </c>
      <c r="Q4170">
        <v>0.1972198</v>
      </c>
      <c r="R4170">
        <v>-2.906427E-2</v>
      </c>
      <c r="S4170">
        <v>3.0623170000000002</v>
      </c>
      <c r="T4170">
        <v>-2.85002E-2</v>
      </c>
      <c r="U4170">
        <v>-0.16716</v>
      </c>
      <c r="V4170">
        <v>2.4010159999999999E-2</v>
      </c>
      <c r="W4170">
        <v>0.21113309999999999</v>
      </c>
      <c r="X4170">
        <v>0.97716239999999999</v>
      </c>
      <c r="Y4170">
        <v>4.9350949999999998E-2</v>
      </c>
      <c r="Z4170">
        <v>-6.058697E-4</v>
      </c>
      <c r="AA4170">
        <v>0.99878129999999998</v>
      </c>
      <c r="AB4170">
        <v>34</v>
      </c>
      <c r="AC4170">
        <v>113.559199999999</v>
      </c>
      <c r="AD4170">
        <v>-1.06012884</v>
      </c>
      <c r="AE4170">
        <v>-6.2160000000000002</v>
      </c>
      <c r="AF4170">
        <v>5.6299572994425002</v>
      </c>
      <c r="AG4170">
        <v>-1.06012884</v>
      </c>
      <c r="AH4170">
        <v>113.579869202513</v>
      </c>
      <c r="AI4170">
        <v>90.534114610195203</v>
      </c>
      <c r="AJ4170">
        <v>87.162270086940694</v>
      </c>
      <c r="AK4170">
        <v>113.724258539728</v>
      </c>
      <c r="AL4170">
        <v>77.811237124937307</v>
      </c>
      <c r="AM4170">
        <v>88.592450877917699</v>
      </c>
      <c r="AN4170">
        <v>1.00000001483629</v>
      </c>
    </row>
    <row r="4171" spans="1:40" x14ac:dyDescent="0.25">
      <c r="A4171" t="str">
        <f>"20190303170336758"</f>
        <v>20190303170336758</v>
      </c>
      <c r="B4171" t="str">
        <f>"1551603816749807"</f>
        <v>1551603816749807</v>
      </c>
      <c r="C4171" t="s">
        <v>40</v>
      </c>
      <c r="D4171">
        <v>4.2256109999999998</v>
      </c>
      <c r="E4171">
        <v>0.51370280000000001</v>
      </c>
      <c r="F4171" t="s">
        <v>57</v>
      </c>
      <c r="G4171">
        <v>-179.9323</v>
      </c>
      <c r="H4171">
        <v>7.5451899999999905E-2</v>
      </c>
      <c r="I4171">
        <v>209.1662</v>
      </c>
      <c r="J4171">
        <v>-282.60989999999998</v>
      </c>
      <c r="K4171">
        <v>1.1217539999999999</v>
      </c>
      <c r="L4171">
        <v>214.88220000000001</v>
      </c>
      <c r="M4171">
        <v>0.99988679999999996</v>
      </c>
      <c r="N4171">
        <v>-1.4149470000000001E-2</v>
      </c>
      <c r="O4171">
        <v>-5.1349830000000001E-3</v>
      </c>
      <c r="P4171">
        <v>0.97995350000000003</v>
      </c>
      <c r="Q4171">
        <v>0.1971031</v>
      </c>
      <c r="R4171">
        <v>-2.901623E-2</v>
      </c>
      <c r="S4171">
        <v>3.0626530000000001</v>
      </c>
      <c r="T4171">
        <v>-3.110564E-2</v>
      </c>
      <c r="U4171">
        <v>-0.16998289999999999</v>
      </c>
      <c r="V4171">
        <v>2.3981929999999999E-2</v>
      </c>
      <c r="W4171">
        <v>0.21095130000000001</v>
      </c>
      <c r="X4171">
        <v>0.97720240000000003</v>
      </c>
      <c r="Y4171">
        <v>5.028208E-2</v>
      </c>
      <c r="Z4171">
        <v>-6.3168489999999996E-4</v>
      </c>
      <c r="AA4171">
        <v>0.99873480000000003</v>
      </c>
      <c r="AB4171">
        <v>34</v>
      </c>
      <c r="AC4171">
        <v>102.677599999999</v>
      </c>
      <c r="AD4171">
        <v>-1.0463020999999999</v>
      </c>
      <c r="AE4171">
        <v>-5.7160000000000002</v>
      </c>
      <c r="AF4171">
        <v>5.1880870921316404</v>
      </c>
      <c r="AG4171">
        <v>-1.0463020999999999</v>
      </c>
      <c r="AH4171">
        <v>102.694969661855</v>
      </c>
      <c r="AI4171">
        <v>90.582991296357903</v>
      </c>
      <c r="AJ4171">
        <v>87.107910975227</v>
      </c>
      <c r="AK4171">
        <v>102.83125881564099</v>
      </c>
      <c r="AL4171">
        <v>77.821894036296399</v>
      </c>
      <c r="AM4171">
        <v>88.594162667049005</v>
      </c>
      <c r="AN4171">
        <v>1.00000005725198</v>
      </c>
    </row>
    <row r="4172" spans="1:40" x14ac:dyDescent="0.25">
      <c r="A4172" t="str">
        <f>"20190303170336780"</f>
        <v>20190303170336780</v>
      </c>
      <c r="B4172" t="str">
        <f>"1551603816769327"</f>
        <v>1551603816769327</v>
      </c>
      <c r="C4172" t="s">
        <v>40</v>
      </c>
      <c r="D4172">
        <v>4.2668019999999904</v>
      </c>
      <c r="E4172">
        <v>0.51384359999999996</v>
      </c>
      <c r="F4172" t="s">
        <v>57</v>
      </c>
      <c r="G4172">
        <v>-179.95359999999999</v>
      </c>
      <c r="H4172">
        <v>5.4149309999999999E-2</v>
      </c>
      <c r="I4172">
        <v>209.14070000000001</v>
      </c>
      <c r="J4172">
        <v>-282.28199999999998</v>
      </c>
      <c r="K4172">
        <v>1.1217440000000001</v>
      </c>
      <c r="L4172">
        <v>214.88050000000001</v>
      </c>
      <c r="M4172">
        <v>0.99988779999999999</v>
      </c>
      <c r="N4172">
        <v>-1.408796E-2</v>
      </c>
      <c r="O4172">
        <v>-5.115835E-3</v>
      </c>
      <c r="P4172">
        <v>0.9799795</v>
      </c>
      <c r="Q4172">
        <v>0.19692480000000001</v>
      </c>
      <c r="R4172">
        <v>-2.934606E-2</v>
      </c>
      <c r="S4172">
        <v>3.0626829999999998</v>
      </c>
      <c r="T4172">
        <v>-3.1851289999999997E-2</v>
      </c>
      <c r="U4172">
        <v>-0.17129520000000001</v>
      </c>
      <c r="V4172">
        <v>2.433043E-2</v>
      </c>
      <c r="W4172">
        <v>0.21071309999999999</v>
      </c>
      <c r="X4172">
        <v>0.97724509999999998</v>
      </c>
      <c r="Y4172">
        <v>5.072699E-2</v>
      </c>
      <c r="Z4172">
        <v>-6.4006550000000005E-4</v>
      </c>
      <c r="AA4172">
        <v>0.99871239999999994</v>
      </c>
      <c r="AB4172">
        <v>34</v>
      </c>
      <c r="AC4172">
        <v>102.3284</v>
      </c>
      <c r="AD4172">
        <v>-1.06759469</v>
      </c>
      <c r="AE4172">
        <v>-5.7397999999999998</v>
      </c>
      <c r="AF4172">
        <v>5.2156118455432496</v>
      </c>
      <c r="AG4172">
        <v>-1.06759469</v>
      </c>
      <c r="AH4172">
        <v>102.345322305382</v>
      </c>
      <c r="AI4172">
        <v>90.596873263032506</v>
      </c>
      <c r="AJ4172">
        <v>87.0826780253403</v>
      </c>
      <c r="AK4172">
        <v>102.48369315719501</v>
      </c>
      <c r="AL4172">
        <v>77.835854798917197</v>
      </c>
      <c r="AM4172">
        <v>88.5738040274301</v>
      </c>
      <c r="AN4172">
        <v>0.99999998290480197</v>
      </c>
    </row>
    <row r="4173" spans="1:40" x14ac:dyDescent="0.25">
      <c r="A4173" t="str">
        <f>"20190303170336802"</f>
        <v>20190303170336802</v>
      </c>
      <c r="B4173" t="str">
        <f>"1551603816789824"</f>
        <v>1551603816789824</v>
      </c>
      <c r="C4173" t="s">
        <v>40</v>
      </c>
      <c r="D4173">
        <v>4.2993030000000001</v>
      </c>
      <c r="E4173">
        <v>0.51405029999999996</v>
      </c>
      <c r="F4173" t="s">
        <v>57</v>
      </c>
      <c r="G4173">
        <v>-179.95599999999999</v>
      </c>
      <c r="H4173">
        <v>5.1719590000000003E-2</v>
      </c>
      <c r="I4173">
        <v>209.0771</v>
      </c>
      <c r="J4173">
        <v>-281.95150000000001</v>
      </c>
      <c r="K4173">
        <v>1.1217330000000001</v>
      </c>
      <c r="L4173">
        <v>214.87889999999999</v>
      </c>
      <c r="M4173">
        <v>0.99988869999999996</v>
      </c>
      <c r="N4173">
        <v>-1.4024790000000001E-2</v>
      </c>
      <c r="O4173">
        <v>-5.0967979999999996E-3</v>
      </c>
      <c r="P4173">
        <v>0.98002590000000001</v>
      </c>
      <c r="Q4173">
        <v>0.196663</v>
      </c>
      <c r="R4173">
        <v>-2.9548250000000002E-2</v>
      </c>
      <c r="S4173">
        <v>3.0625</v>
      </c>
      <c r="T4173">
        <v>-3.2024619999999997E-2</v>
      </c>
      <c r="U4173">
        <v>-0.17369079999999901</v>
      </c>
      <c r="V4173">
        <v>2.4551030000000001E-2</v>
      </c>
      <c r="W4173">
        <v>0.21039060000000001</v>
      </c>
      <c r="X4173">
        <v>0.97730910000000004</v>
      </c>
      <c r="Y4173">
        <v>5.1527959999999998E-2</v>
      </c>
      <c r="Z4173">
        <v>-6.490364E-4</v>
      </c>
      <c r="AA4173">
        <v>0.99867139999999999</v>
      </c>
      <c r="AB4173">
        <v>34</v>
      </c>
      <c r="AC4173">
        <v>101.99550000000001</v>
      </c>
      <c r="AD4173">
        <v>-1.0700134100000001</v>
      </c>
      <c r="AE4173">
        <v>-5.8017999999999796</v>
      </c>
      <c r="AF4173">
        <v>5.2812436935413896</v>
      </c>
      <c r="AG4173">
        <v>-1.0700134100000001</v>
      </c>
      <c r="AH4173">
        <v>102.012557500981</v>
      </c>
      <c r="AI4173">
        <v>90.600151805356603</v>
      </c>
      <c r="AJ4173">
        <v>87.036413160855602</v>
      </c>
      <c r="AK4173">
        <v>102.15477644995001</v>
      </c>
      <c r="AL4173">
        <v>77.854756835537799</v>
      </c>
      <c r="AM4173">
        <v>88.560972559709796</v>
      </c>
      <c r="AN4173">
        <v>1.00000001729261</v>
      </c>
    </row>
    <row r="4174" spans="1:40" x14ac:dyDescent="0.25">
      <c r="A4174" t="str">
        <f>"20190303170336825"</f>
        <v>20190303170336825</v>
      </c>
      <c r="B4174" t="str">
        <f>"1551603816820081"</f>
        <v>1551603816820081</v>
      </c>
      <c r="C4174" t="s">
        <v>40</v>
      </c>
      <c r="D4174">
        <v>4.2743440000000001</v>
      </c>
      <c r="E4174">
        <v>0.51428039999999997</v>
      </c>
      <c r="F4174" t="s">
        <v>57</v>
      </c>
      <c r="G4174">
        <v>-179.95779999999999</v>
      </c>
      <c r="H4174">
        <v>3.9997560000000001E-2</v>
      </c>
      <c r="I4174">
        <v>209.006</v>
      </c>
      <c r="J4174">
        <v>-281.58620000000002</v>
      </c>
      <c r="K4174">
        <v>1.121721</v>
      </c>
      <c r="L4174">
        <v>214.87700000000001</v>
      </c>
      <c r="M4174">
        <v>0.9998899</v>
      </c>
      <c r="N4174">
        <v>-1.3949339999999999E-2</v>
      </c>
      <c r="O4174">
        <v>-5.075174E-3</v>
      </c>
      <c r="P4174">
        <v>0.98008830000000002</v>
      </c>
      <c r="Q4174">
        <v>0.19632530000000001</v>
      </c>
      <c r="R4174">
        <v>-2.9715780000000001E-2</v>
      </c>
      <c r="S4174">
        <v>3.0623469999999999</v>
      </c>
      <c r="T4174">
        <v>-3.2478930000000003E-2</v>
      </c>
      <c r="U4174">
        <v>-0.1763306</v>
      </c>
      <c r="V4174">
        <v>2.473972E-2</v>
      </c>
      <c r="W4174">
        <v>0.20998030000000001</v>
      </c>
      <c r="X4174">
        <v>0.97739259999999994</v>
      </c>
      <c r="Y4174">
        <v>5.2410169999999999E-2</v>
      </c>
      <c r="Z4174">
        <v>-6.6054340000000001E-4</v>
      </c>
      <c r="AA4174">
        <v>0.9986254</v>
      </c>
      <c r="AB4174">
        <v>34</v>
      </c>
      <c r="AC4174">
        <v>101.6284</v>
      </c>
      <c r="AD4174">
        <v>-1.08172344</v>
      </c>
      <c r="AE4174">
        <v>-5.8710000000000298</v>
      </c>
      <c r="AF4174">
        <v>5.3544878043199198</v>
      </c>
      <c r="AG4174">
        <v>-1.08172344</v>
      </c>
      <c r="AH4174">
        <v>101.645412749567</v>
      </c>
      <c r="AI4174">
        <v>90.608881802754098</v>
      </c>
      <c r="AJ4174">
        <v>86.984554075541595</v>
      </c>
      <c r="AK4174">
        <v>101.79209496948801</v>
      </c>
      <c r="AL4174">
        <v>77.878802682058904</v>
      </c>
      <c r="AM4174">
        <v>88.550041268864703</v>
      </c>
      <c r="AN4174">
        <v>1.0000000373342599</v>
      </c>
    </row>
    <row r="4175" spans="1:40" x14ac:dyDescent="0.25">
      <c r="A4175" t="str">
        <f>"20190303170336846"</f>
        <v>20190303170336846</v>
      </c>
      <c r="B4175" t="str">
        <f>"1551603816839600"</f>
        <v>1551603816839600</v>
      </c>
      <c r="C4175" t="s">
        <v>40</v>
      </c>
      <c r="D4175">
        <v>4.2942739999999997</v>
      </c>
      <c r="E4175">
        <v>0.51446449999999999</v>
      </c>
      <c r="F4175" t="s">
        <v>57</v>
      </c>
      <c r="G4175">
        <v>-179.95779999999999</v>
      </c>
      <c r="H4175">
        <v>2.121673E-2</v>
      </c>
      <c r="I4175">
        <v>208.94640000000001</v>
      </c>
      <c r="J4175">
        <v>-281.27409999999998</v>
      </c>
      <c r="K4175">
        <v>1.1217189999999999</v>
      </c>
      <c r="L4175">
        <v>214.87549999999999</v>
      </c>
      <c r="M4175">
        <v>0.99989090000000003</v>
      </c>
      <c r="N4175">
        <v>-1.3882200000000001E-2</v>
      </c>
      <c r="O4175">
        <v>-5.0568289999999997E-3</v>
      </c>
      <c r="P4175">
        <v>0.98012440000000001</v>
      </c>
      <c r="Q4175">
        <v>0.19613920000000001</v>
      </c>
      <c r="R4175">
        <v>-2.976171E-2</v>
      </c>
      <c r="S4175">
        <v>3.0621640000000001</v>
      </c>
      <c r="T4175">
        <v>-3.3159260000000003E-2</v>
      </c>
      <c r="U4175">
        <v>-0.17869570000000001</v>
      </c>
      <c r="V4175">
        <v>2.4803180000000001E-2</v>
      </c>
      <c r="W4175">
        <v>0.20972859999999999</v>
      </c>
      <c r="X4175">
        <v>0.97744500000000001</v>
      </c>
      <c r="Y4175">
        <v>5.3200339999999999E-2</v>
      </c>
      <c r="Z4175">
        <v>-6.7285580000000004E-4</v>
      </c>
      <c r="AA4175">
        <v>0.99858360000000002</v>
      </c>
      <c r="AB4175">
        <v>34</v>
      </c>
      <c r="AC4175">
        <v>101.316299999999</v>
      </c>
      <c r="AD4175">
        <v>-1.10050227</v>
      </c>
      <c r="AE4175">
        <v>-5.9290999999999698</v>
      </c>
      <c r="AF4175">
        <v>5.41599880271961</v>
      </c>
      <c r="AG4175">
        <v>-1.10050227</v>
      </c>
      <c r="AH4175">
        <v>101.33307478863701</v>
      </c>
      <c r="AI4175">
        <v>90.621335122014699</v>
      </c>
      <c r="AJ4175">
        <v>86.940595211635795</v>
      </c>
      <c r="AK4175">
        <v>101.483674521555</v>
      </c>
      <c r="AL4175">
        <v>77.893552079429</v>
      </c>
      <c r="AM4175">
        <v>88.5464014620527</v>
      </c>
      <c r="AN4175">
        <v>1.00000000571053</v>
      </c>
    </row>
    <row r="4176" spans="1:40" x14ac:dyDescent="0.25">
      <c r="A4176" t="str">
        <f>"20190303170336867"</f>
        <v>20190303170336867</v>
      </c>
      <c r="B4176" t="str">
        <f>"1551603816860096"</f>
        <v>1551603816860096</v>
      </c>
      <c r="C4176" t="s">
        <v>40</v>
      </c>
      <c r="D4176">
        <v>4.2724869999999999</v>
      </c>
      <c r="E4176">
        <v>0.51465090000000002</v>
      </c>
      <c r="F4176" t="s">
        <v>57</v>
      </c>
      <c r="G4176">
        <v>-179.95779999999999</v>
      </c>
      <c r="H4176">
        <v>1.2811599999999999E-2</v>
      </c>
      <c r="I4176">
        <v>208.92</v>
      </c>
      <c r="J4176">
        <v>-280.95060000000001</v>
      </c>
      <c r="K4176">
        <v>1.1217079999999999</v>
      </c>
      <c r="L4176">
        <v>214.87389999999999</v>
      </c>
      <c r="M4176">
        <v>0.99989189999999994</v>
      </c>
      <c r="N4176">
        <v>-1.381223E-2</v>
      </c>
      <c r="O4176">
        <v>-5.0379880000000002E-3</v>
      </c>
      <c r="P4176">
        <v>0.98017480000000001</v>
      </c>
      <c r="Q4176">
        <v>0.19582939999999999</v>
      </c>
      <c r="R4176">
        <v>-3.0135510000000001E-2</v>
      </c>
      <c r="S4176">
        <v>3.0620729999999998</v>
      </c>
      <c r="T4176">
        <v>-3.3514380000000003E-2</v>
      </c>
      <c r="U4176">
        <v>-0.17999270000000001</v>
      </c>
      <c r="V4176">
        <v>2.5195120000000001E-2</v>
      </c>
      <c r="W4176">
        <v>0.20935139999999999</v>
      </c>
      <c r="X4176">
        <v>0.97751580000000005</v>
      </c>
      <c r="Y4176">
        <v>5.3642259999999997E-2</v>
      </c>
      <c r="Z4176">
        <v>-6.785602E-4</v>
      </c>
      <c r="AA4176">
        <v>0.99856</v>
      </c>
      <c r="AB4176">
        <v>34</v>
      </c>
      <c r="AC4176">
        <v>100.9928</v>
      </c>
      <c r="AD4176">
        <v>-1.1088963999999999</v>
      </c>
      <c r="AE4176">
        <v>-5.9539</v>
      </c>
      <c r="AF4176">
        <v>5.4443212725365804</v>
      </c>
      <c r="AG4176">
        <v>-1.1088963999999999</v>
      </c>
      <c r="AH4176">
        <v>101.009381166336</v>
      </c>
      <c r="AI4176">
        <v>90.6280649760877</v>
      </c>
      <c r="AJ4176">
        <v>86.914790666352104</v>
      </c>
      <c r="AK4176">
        <v>101.16207475605999</v>
      </c>
      <c r="AL4176">
        <v>77.915654298763201</v>
      </c>
      <c r="AM4176">
        <v>88.523548676360093</v>
      </c>
      <c r="AN4176">
        <v>0.99999997100170701</v>
      </c>
    </row>
    <row r="4177" spans="1:40" x14ac:dyDescent="0.25">
      <c r="A4177" t="str">
        <f>"20190303170336890"</f>
        <v>20190303170336890</v>
      </c>
      <c r="B4177" t="str">
        <f>"1551603816879616"</f>
        <v>1551603816879616</v>
      </c>
      <c r="C4177" t="s">
        <v>40</v>
      </c>
      <c r="D4177">
        <v>4.4480389999999996</v>
      </c>
      <c r="E4177">
        <v>0.54016309999999901</v>
      </c>
      <c r="F4177" t="s">
        <v>57</v>
      </c>
      <c r="G4177">
        <v>-180.26949999999999</v>
      </c>
      <c r="H4177" s="1">
        <v>2.9009259999999999E-6</v>
      </c>
      <c r="I4177">
        <v>208.87459999999999</v>
      </c>
      <c r="J4177">
        <v>-280.61750000000001</v>
      </c>
      <c r="K4177">
        <v>1.1217010000000001</v>
      </c>
      <c r="L4177">
        <v>214.87219999999999</v>
      </c>
      <c r="M4177">
        <v>0.99989309999999998</v>
      </c>
      <c r="N4177">
        <v>-1.3741049999999999E-2</v>
      </c>
      <c r="O4177">
        <v>-5.0190219999999997E-3</v>
      </c>
      <c r="P4177">
        <v>0.98019250000000002</v>
      </c>
      <c r="Q4177">
        <v>0.19570660000000001</v>
      </c>
      <c r="R4177">
        <v>-3.0360729999999999E-2</v>
      </c>
      <c r="S4177">
        <v>3.06189</v>
      </c>
      <c r="T4177">
        <v>-3.4113049999999999E-2</v>
      </c>
      <c r="U4177">
        <v>-0.18244930000000001</v>
      </c>
      <c r="V4177">
        <v>2.5438880000000001E-2</v>
      </c>
      <c r="W4177">
        <v>0.20915929999999999</v>
      </c>
      <c r="X4177">
        <v>0.97755060000000005</v>
      </c>
      <c r="Y4177">
        <v>5.4462799999999999E-2</v>
      </c>
      <c r="Z4177">
        <v>-6.9072229999999897E-4</v>
      </c>
      <c r="AA4177">
        <v>0.9985155</v>
      </c>
      <c r="AB4177">
        <v>34</v>
      </c>
      <c r="AC4177">
        <v>100.348</v>
      </c>
      <c r="AD4177">
        <v>-1.121698099074</v>
      </c>
      <c r="AE4177">
        <v>-5.9976000000000003</v>
      </c>
      <c r="AF4177">
        <v>5.4931442012970697</v>
      </c>
      <c r="AG4177">
        <v>-1.121698099074</v>
      </c>
      <c r="AH4177">
        <v>100.36434492972499</v>
      </c>
      <c r="AI4177">
        <v>90.639369067951705</v>
      </c>
      <c r="AJ4177">
        <v>86.867211448211194</v>
      </c>
      <c r="AK4177">
        <v>100.52081661533801</v>
      </c>
      <c r="AL4177">
        <v>77.926909903668601</v>
      </c>
      <c r="AM4177">
        <v>88.509323632666593</v>
      </c>
      <c r="AN4177">
        <v>0.999999962476251</v>
      </c>
    </row>
    <row r="4178" spans="1:40" x14ac:dyDescent="0.25">
      <c r="A4178" t="str">
        <f>"20190303170336907"</f>
        <v>20190303170336907</v>
      </c>
      <c r="B4178" t="str">
        <f>"1551603816900112"</f>
        <v>1551603816900112</v>
      </c>
      <c r="C4178" t="s">
        <v>40</v>
      </c>
      <c r="D4178">
        <v>4.3618399999999999</v>
      </c>
      <c r="E4178">
        <v>0.55093669999999995</v>
      </c>
      <c r="F4178" t="s">
        <v>62</v>
      </c>
      <c r="G4178">
        <v>-211.70820000000001</v>
      </c>
      <c r="H4178">
        <v>8.0001329999999996E-2</v>
      </c>
      <c r="I4178">
        <v>206.16030000000001</v>
      </c>
      <c r="J4178">
        <v>-280.36200000000002</v>
      </c>
      <c r="K4178">
        <v>1.121702</v>
      </c>
      <c r="L4178">
        <v>214.87090000000001</v>
      </c>
      <c r="M4178">
        <v>0.99989380000000005</v>
      </c>
      <c r="N4178">
        <v>-1.3689160000000001E-2</v>
      </c>
      <c r="O4178">
        <v>-5.0041230000000001E-3</v>
      </c>
      <c r="P4178">
        <v>0.98019049999999996</v>
      </c>
      <c r="Q4178">
        <v>0.19567699999999999</v>
      </c>
      <c r="R4178">
        <v>-3.0615940000000001E-2</v>
      </c>
      <c r="S4178">
        <v>3.057922</v>
      </c>
      <c r="T4178">
        <v>-4.6226499999999997E-2</v>
      </c>
      <c r="U4178">
        <v>-0.38659670000000002</v>
      </c>
      <c r="V4178">
        <v>2.570863E-2</v>
      </c>
      <c r="W4178">
        <v>0.2090786</v>
      </c>
      <c r="X4178">
        <v>0.97756080000000001</v>
      </c>
      <c r="Y4178">
        <v>0.1204336</v>
      </c>
      <c r="Z4178">
        <v>-1.727251E-3</v>
      </c>
      <c r="AA4178">
        <v>0.99271989999999999</v>
      </c>
      <c r="AB4178">
        <v>34</v>
      </c>
      <c r="AC4178">
        <v>68.653800000000004</v>
      </c>
      <c r="AD4178">
        <v>-1.04170067</v>
      </c>
      <c r="AE4178">
        <v>-8.7105999999999995</v>
      </c>
      <c r="AF4178">
        <v>8.3650113281172995</v>
      </c>
      <c r="AG4178">
        <v>-1.04170067</v>
      </c>
      <c r="AH4178">
        <v>68.680971521219604</v>
      </c>
      <c r="AI4178">
        <v>90.8625788694508</v>
      </c>
      <c r="AJ4178">
        <v>83.055852056122205</v>
      </c>
      <c r="AK4178">
        <v>69.196346752585001</v>
      </c>
      <c r="AL4178">
        <v>77.931638137922505</v>
      </c>
      <c r="AM4178">
        <v>88.493539685457506</v>
      </c>
      <c r="AN4178">
        <v>0.99999995616553705</v>
      </c>
    </row>
    <row r="4179" spans="1:40" x14ac:dyDescent="0.25">
      <c r="A4179" t="str">
        <f>"20190303170336925"</f>
        <v>20190303170336925</v>
      </c>
      <c r="B4179" t="str">
        <f>"1551603816919632"</f>
        <v>1551603816919632</v>
      </c>
      <c r="C4179" t="s">
        <v>40</v>
      </c>
      <c r="D4179">
        <v>4.356795</v>
      </c>
      <c r="E4179">
        <v>0.55598780000000003</v>
      </c>
      <c r="F4179" t="s">
        <v>44</v>
      </c>
      <c r="G4179">
        <v>-204.63079999999999</v>
      </c>
      <c r="H4179">
        <v>-0.05</v>
      </c>
      <c r="I4179">
        <v>203.14400000000001</v>
      </c>
      <c r="J4179">
        <v>-280.09559999999999</v>
      </c>
      <c r="K4179">
        <v>1.12169599999999</v>
      </c>
      <c r="L4179">
        <v>214.86959999999999</v>
      </c>
      <c r="M4179">
        <v>0.99989470000000003</v>
      </c>
      <c r="N4179">
        <v>-1.3638590000000001E-2</v>
      </c>
      <c r="O4179">
        <v>-4.9886409999999898E-3</v>
      </c>
      <c r="P4179">
        <v>0.98025830000000003</v>
      </c>
      <c r="Q4179">
        <v>0.19541120000000001</v>
      </c>
      <c r="R4179">
        <v>-3.0138180000000001E-2</v>
      </c>
      <c r="S4179">
        <v>3.0553279999999998</v>
      </c>
      <c r="T4179">
        <v>-4.7271609999999999E-2</v>
      </c>
      <c r="U4179">
        <v>-0.47311399999999998</v>
      </c>
      <c r="V4179">
        <v>2.524581E-2</v>
      </c>
      <c r="W4179">
        <v>0.20876430000000001</v>
      </c>
      <c r="X4179">
        <v>0.97764010000000001</v>
      </c>
      <c r="Y4179">
        <v>0.14805989999999999</v>
      </c>
      <c r="Z4179">
        <v>-2.145264E-3</v>
      </c>
      <c r="AA4179">
        <v>0.98897610000000002</v>
      </c>
      <c r="AB4179">
        <v>34</v>
      </c>
      <c r="AC4179">
        <v>75.464799999999997</v>
      </c>
      <c r="AD4179">
        <v>-1.1716959999999901</v>
      </c>
      <c r="AE4179">
        <v>-11.725599999999901</v>
      </c>
      <c r="AF4179">
        <v>11.3462815554694</v>
      </c>
      <c r="AG4179">
        <v>-1.1716959999999901</v>
      </c>
      <c r="AH4179">
        <v>75.5045883068791</v>
      </c>
      <c r="AI4179">
        <v>90.879186675638195</v>
      </c>
      <c r="AJ4179">
        <v>81.453951878575893</v>
      </c>
      <c r="AK4179">
        <v>76.361337285590494</v>
      </c>
      <c r="AL4179">
        <v>77.950053399884894</v>
      </c>
      <c r="AM4179">
        <v>88.520767540603501</v>
      </c>
      <c r="AN4179">
        <v>1.00000002450252</v>
      </c>
    </row>
    <row r="4180" spans="1:40" x14ac:dyDescent="0.25">
      <c r="A4180" t="str">
        <f>"20190303170336946"</f>
        <v>20190303170336946</v>
      </c>
      <c r="B4180" t="str">
        <f>"1551603816939151"</f>
        <v>1551603816939151</v>
      </c>
      <c r="C4180" t="s">
        <v>40</v>
      </c>
      <c r="D4180">
        <v>4.3811920000000004</v>
      </c>
      <c r="E4180">
        <v>0.55870280000000005</v>
      </c>
      <c r="F4180" t="s">
        <v>45</v>
      </c>
      <c r="G4180">
        <v>-234.5341</v>
      </c>
      <c r="H4180">
        <v>0.39733190000000002</v>
      </c>
      <c r="I4180">
        <v>207.23089999999999</v>
      </c>
      <c r="J4180">
        <v>-279.76420000000002</v>
      </c>
      <c r="K4180">
        <v>1.1216870000000001</v>
      </c>
      <c r="L4180">
        <v>214.86799999999999</v>
      </c>
      <c r="M4180">
        <v>0.99989539999999999</v>
      </c>
      <c r="N4180">
        <v>-1.358096E-2</v>
      </c>
      <c r="O4180">
        <v>-4.9691789999999998E-3</v>
      </c>
      <c r="P4180">
        <v>0.98043219999999998</v>
      </c>
      <c r="Q4180">
        <v>0.1945519</v>
      </c>
      <c r="R4180">
        <v>-3.0034680000000001E-2</v>
      </c>
      <c r="S4180">
        <v>3.0543520000000002</v>
      </c>
      <c r="T4180">
        <v>-4.855669E-2</v>
      </c>
      <c r="U4180">
        <v>-0.51208500000000001</v>
      </c>
      <c r="V4180">
        <v>2.5160350000000001E-2</v>
      </c>
      <c r="W4180">
        <v>0.20785110000000001</v>
      </c>
      <c r="X4180">
        <v>0.97783679999999995</v>
      </c>
      <c r="Y4180">
        <v>0.16040940000000001</v>
      </c>
      <c r="Z4180">
        <v>-2.3517159999999998E-3</v>
      </c>
      <c r="AA4180">
        <v>0.98704780000000003</v>
      </c>
      <c r="AB4180">
        <v>34</v>
      </c>
      <c r="AC4180">
        <v>45.2301</v>
      </c>
      <c r="AD4180">
        <v>-0.72435510000000003</v>
      </c>
      <c r="AE4180">
        <v>-7.6371000000000002</v>
      </c>
      <c r="AF4180">
        <v>7.4103805864883698</v>
      </c>
      <c r="AG4180">
        <v>-0.72435510000000003</v>
      </c>
      <c r="AH4180">
        <v>45.256209670638199</v>
      </c>
      <c r="AI4180">
        <v>90.904928892705399</v>
      </c>
      <c r="AJ4180">
        <v>80.700749596910399</v>
      </c>
      <c r="AK4180">
        <v>45.864615385940702</v>
      </c>
      <c r="AL4180">
        <v>78.003548708760505</v>
      </c>
      <c r="AM4180">
        <v>88.526069123077306</v>
      </c>
      <c r="AN4180">
        <v>0.99999996520878498</v>
      </c>
    </row>
    <row r="4181" spans="1:40" x14ac:dyDescent="0.25">
      <c r="A4181" t="str">
        <f>"20190303170336970"</f>
        <v>20190303170336970</v>
      </c>
      <c r="B4181" t="str">
        <f>"1551603816959648"</f>
        <v>1551603816959648</v>
      </c>
      <c r="C4181" t="s">
        <v>40</v>
      </c>
      <c r="D4181">
        <v>4.3743679999999996</v>
      </c>
      <c r="E4181">
        <v>0.56043880000000001</v>
      </c>
      <c r="F4181" t="s">
        <v>45</v>
      </c>
      <c r="G4181">
        <v>-234.76859999999999</v>
      </c>
      <c r="H4181">
        <v>0.37734719999999999</v>
      </c>
      <c r="I4181">
        <v>207.00309999999999</v>
      </c>
      <c r="J4181">
        <v>-279.43400000000003</v>
      </c>
      <c r="K4181">
        <v>1.1216870000000001</v>
      </c>
      <c r="L4181">
        <v>214.8664</v>
      </c>
      <c r="M4181">
        <v>0.99989629999999996</v>
      </c>
      <c r="N4181">
        <v>-1.352914E-2</v>
      </c>
      <c r="O4181">
        <v>-4.9498779999999996E-3</v>
      </c>
      <c r="P4181">
        <v>0.98044100000000001</v>
      </c>
      <c r="Q4181">
        <v>0.19455910000000001</v>
      </c>
      <c r="R4181">
        <v>-2.970983E-2</v>
      </c>
      <c r="S4181">
        <v>3.0535580000000002</v>
      </c>
      <c r="T4181">
        <v>-5.051017E-2</v>
      </c>
      <c r="U4181">
        <v>-0.53373719999999902</v>
      </c>
      <c r="V4181">
        <v>2.4854310000000001E-2</v>
      </c>
      <c r="W4181">
        <v>0.20780779999999999</v>
      </c>
      <c r="X4181">
        <v>0.97785390000000005</v>
      </c>
      <c r="Y4181">
        <v>0.16726199999999999</v>
      </c>
      <c r="Z4181">
        <v>-2.4982609999999999E-3</v>
      </c>
      <c r="AA4181">
        <v>0.98590929999999999</v>
      </c>
      <c r="AB4181">
        <v>34</v>
      </c>
      <c r="AC4181">
        <v>44.665399999999998</v>
      </c>
      <c r="AD4181">
        <v>-0.7443398</v>
      </c>
      <c r="AE4181">
        <v>-7.8632999999999997</v>
      </c>
      <c r="AF4181">
        <v>7.6400371774902096</v>
      </c>
      <c r="AG4181">
        <v>-0.7443398</v>
      </c>
      <c r="AH4181">
        <v>44.691740177146599</v>
      </c>
      <c r="AI4181">
        <v>90.940530082751195</v>
      </c>
      <c r="AJ4181">
        <v>80.299080570059601</v>
      </c>
      <c r="AK4181">
        <v>45.346177897071698</v>
      </c>
      <c r="AL4181">
        <v>78.006085834362906</v>
      </c>
      <c r="AM4181">
        <v>88.544015089053502</v>
      </c>
      <c r="AN4181">
        <v>1.00000003410581</v>
      </c>
    </row>
    <row r="4182" spans="1:40" x14ac:dyDescent="0.25">
      <c r="A4182" t="str">
        <f>"20190303170336992"</f>
        <v>20190303170336992</v>
      </c>
      <c r="B4182" t="str">
        <f>"1551603816980143"</f>
        <v>1551603816980143</v>
      </c>
      <c r="C4182" t="s">
        <v>40</v>
      </c>
      <c r="D4182">
        <v>4.3697150000000002</v>
      </c>
      <c r="E4182">
        <v>0.56166839999999996</v>
      </c>
      <c r="F4182" t="s">
        <v>45</v>
      </c>
      <c r="G4182">
        <v>-234.76589999999999</v>
      </c>
      <c r="H4182">
        <v>0.38899280000000003</v>
      </c>
      <c r="I4182">
        <v>206.86859999999999</v>
      </c>
      <c r="J4182">
        <v>-279.09739999999999</v>
      </c>
      <c r="K4182">
        <v>1.121686</v>
      </c>
      <c r="L4182">
        <v>214.8647</v>
      </c>
      <c r="M4182">
        <v>0.99989709999999998</v>
      </c>
      <c r="N4182">
        <v>-1.348186E-2</v>
      </c>
      <c r="O4182">
        <v>-4.9300120000000001E-3</v>
      </c>
      <c r="P4182">
        <v>0.98037339999999995</v>
      </c>
      <c r="Q4182">
        <v>0.194912</v>
      </c>
      <c r="R4182">
        <v>-2.9623380000000001E-2</v>
      </c>
      <c r="S4182">
        <v>3.053223</v>
      </c>
      <c r="T4182">
        <v>-5.0078989999999997E-2</v>
      </c>
      <c r="U4182">
        <v>-0.54667659999999996</v>
      </c>
      <c r="V4182">
        <v>2.478789E-2</v>
      </c>
      <c r="W4182">
        <v>0.2081133</v>
      </c>
      <c r="X4182">
        <v>0.97779059999999995</v>
      </c>
      <c r="Y4182">
        <v>0.17134959999999999</v>
      </c>
      <c r="Z4182">
        <v>-2.5441629999999999E-3</v>
      </c>
      <c r="AA4182">
        <v>0.98520700000000005</v>
      </c>
      <c r="AB4182">
        <v>34</v>
      </c>
      <c r="AC4182">
        <v>44.331499999999998</v>
      </c>
      <c r="AD4182">
        <v>-0.73269319999999905</v>
      </c>
      <c r="AE4182">
        <v>-7.99610000000001</v>
      </c>
      <c r="AF4182">
        <v>7.7753711371824803</v>
      </c>
      <c r="AG4182">
        <v>-0.73269319999999905</v>
      </c>
      <c r="AH4182">
        <v>44.358650322209897</v>
      </c>
      <c r="AI4182">
        <v>90.932087844592701</v>
      </c>
      <c r="AJ4182">
        <v>80.057954903438898</v>
      </c>
      <c r="AK4182">
        <v>45.040904676242299</v>
      </c>
      <c r="AL4182">
        <v>77.988190581334095</v>
      </c>
      <c r="AM4182">
        <v>88.547810391231394</v>
      </c>
      <c r="AN4182">
        <v>1.0000000212879501</v>
      </c>
    </row>
    <row r="4183" spans="1:40" x14ac:dyDescent="0.25">
      <c r="A4183" t="str">
        <f>"20190303170337015"</f>
        <v>20190303170337015</v>
      </c>
      <c r="B4183" t="str">
        <f>"1551603817009424"</f>
        <v>1551603817009424</v>
      </c>
      <c r="C4183" t="s">
        <v>40</v>
      </c>
      <c r="D4183">
        <v>4.3692589999999996</v>
      </c>
      <c r="E4183">
        <v>0.56296349999999995</v>
      </c>
      <c r="F4183" t="s">
        <v>45</v>
      </c>
      <c r="G4183">
        <v>-234.76320000000001</v>
      </c>
      <c r="H4183">
        <v>0.40110699999999999</v>
      </c>
      <c r="I4183">
        <v>206.79140000000001</v>
      </c>
      <c r="J4183">
        <v>-278.75689999999997</v>
      </c>
      <c r="K4183">
        <v>1.1216820000000001</v>
      </c>
      <c r="L4183">
        <v>214.8631</v>
      </c>
      <c r="M4183">
        <v>0.9998977</v>
      </c>
      <c r="N4183">
        <v>-1.3439380000000001E-2</v>
      </c>
      <c r="O4183">
        <v>-4.9101780000000003E-3</v>
      </c>
      <c r="P4183">
        <v>0.98043590000000003</v>
      </c>
      <c r="Q4183">
        <v>0.19456519999999999</v>
      </c>
      <c r="R4183">
        <v>-2.98339E-2</v>
      </c>
      <c r="S4183">
        <v>3.0531619999999999</v>
      </c>
      <c r="T4183">
        <v>-4.9620869999999997E-2</v>
      </c>
      <c r="U4183">
        <v>-0.55598449999999999</v>
      </c>
      <c r="V4183">
        <v>2.5017459999999998E-2</v>
      </c>
      <c r="W4183">
        <v>0.2077261</v>
      </c>
      <c r="X4183">
        <v>0.97786709999999999</v>
      </c>
      <c r="Y4183">
        <v>0.174280399999999</v>
      </c>
      <c r="Z4183">
        <v>-2.5717650000000002E-3</v>
      </c>
      <c r="AA4183">
        <v>0.98469269999999998</v>
      </c>
      <c r="AB4183">
        <v>34</v>
      </c>
      <c r="AC4183">
        <v>43.993699999999897</v>
      </c>
      <c r="AD4183">
        <v>-0.72057499999999997</v>
      </c>
      <c r="AE4183">
        <v>-8.0716999999999892</v>
      </c>
      <c r="AF4183">
        <v>7.85352800657716</v>
      </c>
      <c r="AG4183">
        <v>-0.72057499999999997</v>
      </c>
      <c r="AH4183">
        <v>44.021381462932403</v>
      </c>
      <c r="AI4183">
        <v>90.923202609563603</v>
      </c>
      <c r="AJ4183">
        <v>79.884703997289506</v>
      </c>
      <c r="AK4183">
        <v>44.722244536536003</v>
      </c>
      <c r="AL4183">
        <v>78.010871344807995</v>
      </c>
      <c r="AM4183">
        <v>88.534481563400405</v>
      </c>
      <c r="AN4183">
        <v>1.00000003559423</v>
      </c>
    </row>
    <row r="4184" spans="1:40" x14ac:dyDescent="0.25">
      <c r="A4184" t="str">
        <f>"20190303170337037"</f>
        <v>20190303170337037</v>
      </c>
      <c r="B4184" t="str">
        <f>"1551603817029920"</f>
        <v>1551603817029920</v>
      </c>
      <c r="C4184" t="s">
        <v>40</v>
      </c>
      <c r="D4184">
        <v>4.3468780000000002</v>
      </c>
      <c r="E4184">
        <v>0.56358129999999995</v>
      </c>
      <c r="F4184" t="s">
        <v>45</v>
      </c>
      <c r="G4184">
        <v>-234.77019999999999</v>
      </c>
      <c r="H4184">
        <v>0.36985449999999997</v>
      </c>
      <c r="I4184">
        <v>206.71530000000001</v>
      </c>
      <c r="J4184">
        <v>-278.4196</v>
      </c>
      <c r="K4184">
        <v>1.12168</v>
      </c>
      <c r="L4184">
        <v>214.8614</v>
      </c>
      <c r="M4184">
        <v>0.99989830000000002</v>
      </c>
      <c r="N4184">
        <v>-1.3402529999999999E-2</v>
      </c>
      <c r="O4184">
        <v>-4.8901459999999997E-3</v>
      </c>
      <c r="P4184">
        <v>0.9804001</v>
      </c>
      <c r="Q4184">
        <v>0.1947207</v>
      </c>
      <c r="R4184">
        <v>-2.999508E-2</v>
      </c>
      <c r="S4184">
        <v>3.0530400000000002</v>
      </c>
      <c r="T4184">
        <v>-5.2179690000000001E-2</v>
      </c>
      <c r="U4184">
        <v>-0.56552119999999995</v>
      </c>
      <c r="V4184">
        <v>2.5198660000000001E-2</v>
      </c>
      <c r="W4184">
        <v>0.2078451</v>
      </c>
      <c r="X4184">
        <v>0.97783710000000001</v>
      </c>
      <c r="Y4184">
        <v>0.17727770000000001</v>
      </c>
      <c r="Z4184">
        <v>-2.6823989999999998E-3</v>
      </c>
      <c r="AA4184">
        <v>0.98415719999999995</v>
      </c>
      <c r="AB4184">
        <v>33</v>
      </c>
      <c r="AC4184">
        <v>43.6494</v>
      </c>
      <c r="AD4184">
        <v>-0.75182550000000004</v>
      </c>
      <c r="AE4184">
        <v>-8.1460999999999899</v>
      </c>
      <c r="AF4184">
        <v>7.9302579782464599</v>
      </c>
      <c r="AG4184">
        <v>-0.75182550000000004</v>
      </c>
      <c r="AH4184">
        <v>43.676195767958397</v>
      </c>
      <c r="AI4184">
        <v>90.970308970262494</v>
      </c>
      <c r="AJ4184">
        <v>79.708955556171603</v>
      </c>
      <c r="AK4184">
        <v>44.396670032166</v>
      </c>
      <c r="AL4184">
        <v>78.003900291297597</v>
      </c>
      <c r="AM4184">
        <v>88.523826311010794</v>
      </c>
      <c r="AN4184">
        <v>0.99999997609810698</v>
      </c>
    </row>
    <row r="4185" spans="1:40" x14ac:dyDescent="0.25">
      <c r="A4185" t="str">
        <f>"20190303170337058"</f>
        <v>20190303170337058</v>
      </c>
      <c r="B4185" t="str">
        <f>"1551603817049439"</f>
        <v>1551603817049439</v>
      </c>
      <c r="C4185" t="s">
        <v>40</v>
      </c>
      <c r="D4185">
        <v>4.3797680000000003</v>
      </c>
      <c r="E4185">
        <v>0.56406780000000001</v>
      </c>
      <c r="F4185" t="s">
        <v>45</v>
      </c>
      <c r="G4185">
        <v>-234.7653</v>
      </c>
      <c r="H4185">
        <v>0.39201999999999998</v>
      </c>
      <c r="I4185">
        <v>206.696</v>
      </c>
      <c r="J4185">
        <v>-278.1026</v>
      </c>
      <c r="K4185">
        <v>1.121678</v>
      </c>
      <c r="L4185">
        <v>214.85990000000001</v>
      </c>
      <c r="M4185">
        <v>0.99989890000000003</v>
      </c>
      <c r="N4185">
        <v>-1.337174E-2</v>
      </c>
      <c r="O4185">
        <v>-4.8718190000000003E-3</v>
      </c>
      <c r="P4185">
        <v>0.98042960000000001</v>
      </c>
      <c r="Q4185">
        <v>0.19457940000000001</v>
      </c>
      <c r="R4185">
        <v>-2.9946500000000001E-2</v>
      </c>
      <c r="S4185">
        <v>3.0526430000000002</v>
      </c>
      <c r="T4185">
        <v>-5.1020030000000001E-2</v>
      </c>
      <c r="U4185">
        <v>-0.57098389999999999</v>
      </c>
      <c r="V4185">
        <v>2.5167809999999999E-2</v>
      </c>
      <c r="W4185">
        <v>0.20767440000000001</v>
      </c>
      <c r="X4185">
        <v>0.97787420000000003</v>
      </c>
      <c r="Y4185">
        <v>0.17902170000000001</v>
      </c>
      <c r="Z4185">
        <v>-2.6743600000000002E-3</v>
      </c>
      <c r="AA4185">
        <v>0.98384150000000004</v>
      </c>
      <c r="AB4185">
        <v>33</v>
      </c>
      <c r="AC4185">
        <v>43.337299999999999</v>
      </c>
      <c r="AD4185">
        <v>-0.72965800000000003</v>
      </c>
      <c r="AE4185">
        <v>-8.1639000000000106</v>
      </c>
      <c r="AF4185">
        <v>7.9504762520360002</v>
      </c>
      <c r="AG4185">
        <v>-0.72965800000000003</v>
      </c>
      <c r="AH4185">
        <v>43.364690675280201</v>
      </c>
      <c r="AI4185">
        <v>90.948171708838601</v>
      </c>
      <c r="AJ4185">
        <v>79.610780478157196</v>
      </c>
      <c r="AK4185">
        <v>44.093524136701603</v>
      </c>
      <c r="AL4185">
        <v>78.013899300336405</v>
      </c>
      <c r="AM4185">
        <v>88.525688662117304</v>
      </c>
      <c r="AN4185">
        <v>1.0000000130505899</v>
      </c>
    </row>
    <row r="4186" spans="1:40" x14ac:dyDescent="0.25">
      <c r="A4186" t="str">
        <f>"20190303170337081"</f>
        <v>20190303170337081</v>
      </c>
      <c r="B4186" t="str">
        <f>"1551603817069936"</f>
        <v>1551603817069936</v>
      </c>
      <c r="C4186" t="s">
        <v>40</v>
      </c>
      <c r="D4186">
        <v>4.3733529999999998</v>
      </c>
      <c r="E4186">
        <v>0.56458180000000002</v>
      </c>
      <c r="F4186" t="s">
        <v>45</v>
      </c>
      <c r="G4186">
        <v>-234.76329999999999</v>
      </c>
      <c r="H4186">
        <v>0.40092860000000002</v>
      </c>
      <c r="I4186">
        <v>206.696</v>
      </c>
      <c r="J4186">
        <v>-277.7568</v>
      </c>
      <c r="K4186">
        <v>1.1216759999999999</v>
      </c>
      <c r="L4186">
        <v>214.85820000000001</v>
      </c>
      <c r="M4186">
        <v>0.99989930000000005</v>
      </c>
      <c r="N4186">
        <v>-1.334219E-2</v>
      </c>
      <c r="O4186">
        <v>-4.8518349999999997E-3</v>
      </c>
      <c r="P4186">
        <v>0.98054419999999998</v>
      </c>
      <c r="Q4186">
        <v>0.19385669999999999</v>
      </c>
      <c r="R4186">
        <v>-3.086796E-2</v>
      </c>
      <c r="S4186">
        <v>3.0523989999999999</v>
      </c>
      <c r="T4186">
        <v>-5.0759199999999997E-2</v>
      </c>
      <c r="U4186">
        <v>-0.57498169999999904</v>
      </c>
      <c r="V4186">
        <v>2.6108340000000001E-2</v>
      </c>
      <c r="W4186">
        <v>0.20692379999999999</v>
      </c>
      <c r="X4186">
        <v>0.97800860000000001</v>
      </c>
      <c r="Y4186">
        <v>0.1803003</v>
      </c>
      <c r="Z4186">
        <v>-2.683665E-3</v>
      </c>
      <c r="AA4186">
        <v>0.98360789999999998</v>
      </c>
      <c r="AB4186">
        <v>33</v>
      </c>
      <c r="AC4186">
        <v>42.993499999999997</v>
      </c>
      <c r="AD4186">
        <v>-0.72074740000000004</v>
      </c>
      <c r="AE4186">
        <v>-8.1622000000000092</v>
      </c>
      <c r="AF4186">
        <v>7.9513311265880899</v>
      </c>
      <c r="AG4186">
        <v>-0.72074740000000004</v>
      </c>
      <c r="AH4186">
        <v>43.020929247990999</v>
      </c>
      <c r="AI4186">
        <v>90.943827744559997</v>
      </c>
      <c r="AJ4186">
        <v>79.528492721492299</v>
      </c>
      <c r="AK4186">
        <v>43.755496761662997</v>
      </c>
      <c r="AL4186">
        <v>78.057859848435299</v>
      </c>
      <c r="AM4186">
        <v>88.470828890449994</v>
      </c>
      <c r="AN4186">
        <v>0.99999996304897698</v>
      </c>
    </row>
    <row r="4187" spans="1:40" x14ac:dyDescent="0.25">
      <c r="A4187" t="str">
        <f>"20190303170337104"</f>
        <v>20190303170337104</v>
      </c>
      <c r="B4187" t="str">
        <f>"1551603817089456"</f>
        <v>1551603817089456</v>
      </c>
      <c r="C4187" t="s">
        <v>40</v>
      </c>
      <c r="D4187">
        <v>4.3569230000000001</v>
      </c>
      <c r="E4187">
        <v>0.56495010000000001</v>
      </c>
      <c r="F4187" t="s">
        <v>45</v>
      </c>
      <c r="G4187">
        <v>-234.76929999999999</v>
      </c>
      <c r="H4187">
        <v>0.37409379999999998</v>
      </c>
      <c r="I4187">
        <v>206.66550000000001</v>
      </c>
      <c r="J4187">
        <v>-277.43220000000002</v>
      </c>
      <c r="K4187">
        <v>1.1216680000000001</v>
      </c>
      <c r="L4187">
        <v>214.85659999999999</v>
      </c>
      <c r="M4187">
        <v>0.99989969999999995</v>
      </c>
      <c r="N4187">
        <v>-1.331771E-2</v>
      </c>
      <c r="O4187">
        <v>-4.8329559999999898E-3</v>
      </c>
      <c r="P4187">
        <v>0.98051429999999995</v>
      </c>
      <c r="Q4187">
        <v>0.1938327</v>
      </c>
      <c r="R4187">
        <v>-3.1952759999999997E-2</v>
      </c>
      <c r="S4187">
        <v>3.0517270000000001</v>
      </c>
      <c r="T4187">
        <v>-5.3068160000000003E-2</v>
      </c>
      <c r="U4187">
        <v>-0.58160400000000001</v>
      </c>
      <c r="V4187">
        <v>2.721167E-2</v>
      </c>
      <c r="W4187">
        <v>0.2068758</v>
      </c>
      <c r="X4187">
        <v>0.97798870000000004</v>
      </c>
      <c r="Y4187">
        <v>0.18241460000000001</v>
      </c>
      <c r="Z4187">
        <v>-2.7780330000000001E-3</v>
      </c>
      <c r="AA4187">
        <v>0.98321780000000003</v>
      </c>
      <c r="AB4187">
        <v>33</v>
      </c>
      <c r="AC4187">
        <v>42.6629</v>
      </c>
      <c r="AD4187">
        <v>-0.74757419999999997</v>
      </c>
      <c r="AE4187">
        <v>-8.1910999999999703</v>
      </c>
      <c r="AF4187">
        <v>7.9824342664527697</v>
      </c>
      <c r="AG4187">
        <v>-0.74757419999999997</v>
      </c>
      <c r="AH4187">
        <v>42.689350671259298</v>
      </c>
      <c r="AI4187">
        <v>90.98616980189</v>
      </c>
      <c r="AJ4187">
        <v>79.408637260006799</v>
      </c>
      <c r="AK4187">
        <v>43.435685613749598</v>
      </c>
      <c r="AL4187">
        <v>78.060671129970501</v>
      </c>
      <c r="AM4187">
        <v>88.406206855293206</v>
      </c>
      <c r="AN4187">
        <v>0.99999998446875904</v>
      </c>
    </row>
    <row r="4188" spans="1:40" x14ac:dyDescent="0.25">
      <c r="A4188" t="str">
        <f>"20190303170337119"</f>
        <v>20190303170337119</v>
      </c>
      <c r="B4188" t="str">
        <f>"1551603817109952"</f>
        <v>1551603817109952</v>
      </c>
      <c r="C4188" t="s">
        <v>40</v>
      </c>
      <c r="D4188">
        <v>4.3399789999999996</v>
      </c>
      <c r="E4188">
        <v>0.56536819999999999</v>
      </c>
      <c r="F4188" t="s">
        <v>45</v>
      </c>
      <c r="G4188">
        <v>-234.7689</v>
      </c>
      <c r="H4188">
        <v>0.37596849999999998</v>
      </c>
      <c r="I4188">
        <v>206.64230000000001</v>
      </c>
      <c r="J4188">
        <v>-277.19409999999999</v>
      </c>
      <c r="K4188">
        <v>1.121672</v>
      </c>
      <c r="L4188">
        <v>214.85550000000001</v>
      </c>
      <c r="M4188">
        <v>0.99990000000000001</v>
      </c>
      <c r="N4188">
        <v>-1.3301500000000001E-2</v>
      </c>
      <c r="O4188">
        <v>-4.8191400000000004E-3</v>
      </c>
      <c r="P4188">
        <v>0.9805064</v>
      </c>
      <c r="Q4188">
        <v>0.1938349</v>
      </c>
      <c r="R4188">
        <v>-3.2182170000000003E-2</v>
      </c>
      <c r="S4188">
        <v>3.051056</v>
      </c>
      <c r="T4188">
        <v>-5.3325060000000001E-2</v>
      </c>
      <c r="U4188">
        <v>-0.58744810000000003</v>
      </c>
      <c r="V4188">
        <v>2.745448E-2</v>
      </c>
      <c r="W4188">
        <v>0.2068622</v>
      </c>
      <c r="X4188">
        <v>0.97798479999999999</v>
      </c>
      <c r="Y4188">
        <v>0.18428340000000001</v>
      </c>
      <c r="Z4188">
        <v>-2.8127149999999999E-3</v>
      </c>
      <c r="AA4188">
        <v>0.98286910000000005</v>
      </c>
      <c r="AB4188">
        <v>33</v>
      </c>
      <c r="AC4188">
        <v>42.425199999999897</v>
      </c>
      <c r="AD4188">
        <v>-0.74570349999999996</v>
      </c>
      <c r="AE4188">
        <v>-8.2132000000000005</v>
      </c>
      <c r="AF4188">
        <v>8.00624940305301</v>
      </c>
      <c r="AG4188">
        <v>-0.74570349999999996</v>
      </c>
      <c r="AH4188">
        <v>42.451649778702098</v>
      </c>
      <c r="AI4188">
        <v>90.988921082428206</v>
      </c>
      <c r="AJ4188">
        <v>79.319643707027893</v>
      </c>
      <c r="AK4188">
        <v>43.2064656289702</v>
      </c>
      <c r="AL4188">
        <v>78.061467692068703</v>
      </c>
      <c r="AM4188">
        <v>88.391986447763699</v>
      </c>
      <c r="AN4188">
        <v>0.99999999364597503</v>
      </c>
    </row>
    <row r="4189" spans="1:40" x14ac:dyDescent="0.25">
      <c r="A4189" t="str">
        <f>"20190303170337137"</f>
        <v>20190303170337137</v>
      </c>
      <c r="B4189" t="str">
        <f>"1551603817129471"</f>
        <v>1551603817129471</v>
      </c>
      <c r="C4189" t="s">
        <v>40</v>
      </c>
      <c r="D4189">
        <v>4.3451810000000002</v>
      </c>
      <c r="E4189">
        <v>0.56582469999999996</v>
      </c>
      <c r="F4189" t="s">
        <v>45</v>
      </c>
      <c r="G4189">
        <v>-234.76650000000001</v>
      </c>
      <c r="H4189">
        <v>0.3867313</v>
      </c>
      <c r="I4189">
        <v>206.6284</v>
      </c>
      <c r="J4189">
        <v>-276.93040000000002</v>
      </c>
      <c r="K4189">
        <v>1.121672</v>
      </c>
      <c r="L4189">
        <v>214.85419999999999</v>
      </c>
      <c r="M4189">
        <v>0.99990020000000002</v>
      </c>
      <c r="N4189">
        <v>-1.32852E-2</v>
      </c>
      <c r="O4189">
        <v>-4.8035380000000004E-3</v>
      </c>
      <c r="P4189">
        <v>0.9802881</v>
      </c>
      <c r="Q4189">
        <v>0.1949034</v>
      </c>
      <c r="R4189">
        <v>-3.2369729999999999E-2</v>
      </c>
      <c r="S4189">
        <v>3.050659</v>
      </c>
      <c r="T4189">
        <v>-5.2840709999999999E-2</v>
      </c>
      <c r="U4189">
        <v>-0.59155269999999904</v>
      </c>
      <c r="V4189">
        <v>2.765871E-2</v>
      </c>
      <c r="W4189">
        <v>0.2079117</v>
      </c>
      <c r="X4189">
        <v>0.97775639999999997</v>
      </c>
      <c r="Y4189">
        <v>0.1855975</v>
      </c>
      <c r="Z4189">
        <v>-2.8176849999999999E-3</v>
      </c>
      <c r="AA4189">
        <v>0.98262179999999999</v>
      </c>
      <c r="AB4189">
        <v>33</v>
      </c>
      <c r="AC4189">
        <v>42.163899999999998</v>
      </c>
      <c r="AD4189">
        <v>-0.734940699999999</v>
      </c>
      <c r="AE4189">
        <v>-8.2257999999999907</v>
      </c>
      <c r="AF4189">
        <v>8.0208037396295797</v>
      </c>
      <c r="AG4189">
        <v>-0.734940699999999</v>
      </c>
      <c r="AH4189">
        <v>42.190581349880901</v>
      </c>
      <c r="AI4189">
        <v>90.980409524937002</v>
      </c>
      <c r="AJ4189">
        <v>79.236012585797994</v>
      </c>
      <c r="AK4189">
        <v>42.952515468865002</v>
      </c>
      <c r="AL4189">
        <v>77.999998591231503</v>
      </c>
      <c r="AM4189">
        <v>88.379652795780103</v>
      </c>
      <c r="AN4189">
        <v>0.99999992848835395</v>
      </c>
    </row>
    <row r="4190" spans="1:40" x14ac:dyDescent="0.25">
      <c r="A4190" t="str">
        <f>"20190303170337158"</f>
        <v>20190303170337158</v>
      </c>
      <c r="B4190" t="str">
        <f>"1551603817149968"</f>
        <v>1551603817149968</v>
      </c>
      <c r="C4190" t="s">
        <v>40</v>
      </c>
      <c r="D4190">
        <v>4.3335850000000002</v>
      </c>
      <c r="E4190">
        <v>0.56616569999999899</v>
      </c>
      <c r="F4190" t="s">
        <v>44</v>
      </c>
      <c r="G4190">
        <v>-203.48439999999999</v>
      </c>
      <c r="H4190">
        <v>-0.05</v>
      </c>
      <c r="I4190">
        <v>200.50049999999999</v>
      </c>
      <c r="J4190">
        <v>-276.60419999999999</v>
      </c>
      <c r="K4190">
        <v>1.121669</v>
      </c>
      <c r="L4190">
        <v>214.8527</v>
      </c>
      <c r="M4190">
        <v>0.99990060000000003</v>
      </c>
      <c r="N4190">
        <v>-1.326739E-2</v>
      </c>
      <c r="O4190">
        <v>-4.7845850000000001E-3</v>
      </c>
      <c r="P4190">
        <v>0.98020180000000001</v>
      </c>
      <c r="Q4190">
        <v>0.19539129999999999</v>
      </c>
      <c r="R4190">
        <v>-3.2042279999999999E-2</v>
      </c>
      <c r="S4190">
        <v>3.0503230000000001</v>
      </c>
      <c r="T4190">
        <v>-4.8661349999999999E-2</v>
      </c>
      <c r="U4190">
        <v>-0.59613039999999995</v>
      </c>
      <c r="V4190">
        <v>2.7350309999999999E-2</v>
      </c>
      <c r="W4190">
        <v>0.20838100000000001</v>
      </c>
      <c r="X4190">
        <v>0.97766520000000001</v>
      </c>
      <c r="Y4190">
        <v>0.18706229999999999</v>
      </c>
      <c r="Z4190">
        <v>-2.7180500000000001E-3</v>
      </c>
      <c r="AA4190">
        <v>0.98234429999999995</v>
      </c>
      <c r="AB4190">
        <v>33</v>
      </c>
      <c r="AC4190">
        <v>73.119799999999998</v>
      </c>
      <c r="AD4190">
        <v>-1.1716690000000001</v>
      </c>
      <c r="AE4190">
        <v>-14.3522</v>
      </c>
      <c r="AF4190">
        <v>13.9986959581036</v>
      </c>
      <c r="AG4190">
        <v>-1.1716690000000001</v>
      </c>
      <c r="AH4190">
        <v>73.169547694194094</v>
      </c>
      <c r="AI4190">
        <v>90.901063099927399</v>
      </c>
      <c r="AJ4190">
        <v>79.169132298332897</v>
      </c>
      <c r="AK4190">
        <v>74.505832030425196</v>
      </c>
      <c r="AL4190">
        <v>77.972507971187596</v>
      </c>
      <c r="AM4190">
        <v>88.397561122041097</v>
      </c>
      <c r="AN4190">
        <v>0.99999996195456697</v>
      </c>
    </row>
    <row r="4191" spans="1:40" x14ac:dyDescent="0.25">
      <c r="A4191" t="str">
        <f>"20190303170337182"</f>
        <v>20190303170337182</v>
      </c>
      <c r="B4191" t="str">
        <f>"1551603817169488"</f>
        <v>1551603817169488</v>
      </c>
      <c r="C4191" t="s">
        <v>40</v>
      </c>
      <c r="D4191">
        <v>4.3405519999999997</v>
      </c>
      <c r="E4191">
        <v>0.56638769999999905</v>
      </c>
      <c r="F4191" t="s">
        <v>45</v>
      </c>
      <c r="G4191">
        <v>-234.74629999999999</v>
      </c>
      <c r="H4191">
        <v>0.476692</v>
      </c>
      <c r="I4191">
        <v>206.65379999999999</v>
      </c>
      <c r="J4191">
        <v>-276.26409999999998</v>
      </c>
      <c r="K4191">
        <v>1.1216710000000001</v>
      </c>
      <c r="L4191">
        <v>214.8511</v>
      </c>
      <c r="M4191">
        <v>0.99990089999999998</v>
      </c>
      <c r="N4191">
        <v>-1.325112E-2</v>
      </c>
      <c r="O4191">
        <v>-4.7646920000000001E-3</v>
      </c>
      <c r="P4191">
        <v>0.98027560000000002</v>
      </c>
      <c r="Q4191">
        <v>0.19506000000000001</v>
      </c>
      <c r="R4191">
        <v>-3.1812010000000002E-2</v>
      </c>
      <c r="S4191">
        <v>3.050446</v>
      </c>
      <c r="T4191">
        <v>-4.6999930000000002E-2</v>
      </c>
      <c r="U4191">
        <v>-0.59750369999999997</v>
      </c>
      <c r="V4191">
        <v>2.7139030000000001E-2</v>
      </c>
      <c r="W4191">
        <v>0.20803489999999999</v>
      </c>
      <c r="X4191">
        <v>0.97774479999999997</v>
      </c>
      <c r="Y4191">
        <v>0.18750249999999999</v>
      </c>
      <c r="Z4191">
        <v>-2.6748369999999998E-3</v>
      </c>
      <c r="AA4191">
        <v>0.98226049999999998</v>
      </c>
      <c r="AB4191">
        <v>33</v>
      </c>
      <c r="AC4191">
        <v>41.517800000000001</v>
      </c>
      <c r="AD4191">
        <v>-0.64497899999999897</v>
      </c>
      <c r="AE4191">
        <v>-8.1973000000000091</v>
      </c>
      <c r="AF4191">
        <v>7.9975123730756703</v>
      </c>
      <c r="AG4191">
        <v>-0.64497899999999897</v>
      </c>
      <c r="AH4191">
        <v>41.546739149389197</v>
      </c>
      <c r="AI4191">
        <v>90.873367294344007</v>
      </c>
      <c r="AJ4191">
        <v>79.104160244611904</v>
      </c>
      <c r="AK4191">
        <v>42.314391594531102</v>
      </c>
      <c r="AL4191">
        <v>77.992782464212894</v>
      </c>
      <c r="AM4191">
        <v>88.410062899530701</v>
      </c>
      <c r="AN4191">
        <v>0.999999970247195</v>
      </c>
    </row>
    <row r="4192" spans="1:40" x14ac:dyDescent="0.25">
      <c r="A4192" t="str">
        <f>"20190303170337205"</f>
        <v>20190303170337205</v>
      </c>
      <c r="B4192" t="str">
        <f>"1551603817189984"</f>
        <v>1551603817189984</v>
      </c>
      <c r="C4192" t="s">
        <v>40</v>
      </c>
      <c r="D4192">
        <v>4.3400150000000002</v>
      </c>
      <c r="E4192">
        <v>0.56662419999999902</v>
      </c>
      <c r="F4192" t="s">
        <v>45</v>
      </c>
      <c r="G4192">
        <v>-234.74979999999999</v>
      </c>
      <c r="H4192">
        <v>0.46123950000000002</v>
      </c>
      <c r="I4192">
        <v>206.71080000000001</v>
      </c>
      <c r="J4192">
        <v>-275.91520000000003</v>
      </c>
      <c r="K4192">
        <v>1.1216660000000001</v>
      </c>
      <c r="L4192">
        <v>214.8494</v>
      </c>
      <c r="M4192">
        <v>0.99990109999999999</v>
      </c>
      <c r="N4192">
        <v>-1.323657E-2</v>
      </c>
      <c r="O4192">
        <v>-4.7442120000000003E-3</v>
      </c>
      <c r="P4192">
        <v>0.98029149999999998</v>
      </c>
      <c r="Q4192">
        <v>0.195017</v>
      </c>
      <c r="R4192">
        <v>-3.1578910000000002E-2</v>
      </c>
      <c r="S4192">
        <v>3.0506289999999998</v>
      </c>
      <c r="T4192">
        <v>-4.8527479999999998E-2</v>
      </c>
      <c r="U4192">
        <v>-0.59817500000000001</v>
      </c>
      <c r="V4192">
        <v>2.6925850000000001E-2</v>
      </c>
      <c r="W4192">
        <v>0.207978</v>
      </c>
      <c r="X4192">
        <v>0.97776280000000004</v>
      </c>
      <c r="Y4192">
        <v>0.18771760000000001</v>
      </c>
      <c r="Z4192">
        <v>-2.7206280000000001E-3</v>
      </c>
      <c r="AA4192">
        <v>0.98221930000000002</v>
      </c>
      <c r="AB4192">
        <v>33</v>
      </c>
      <c r="AC4192">
        <v>41.165399999999998</v>
      </c>
      <c r="AD4192">
        <v>-0.66042650000000003</v>
      </c>
      <c r="AE4192">
        <v>-8.1385999999999896</v>
      </c>
      <c r="AF4192">
        <v>7.94122682002972</v>
      </c>
      <c r="AG4192">
        <v>-0.66042650000000003</v>
      </c>
      <c r="AH4192">
        <v>41.193347538159202</v>
      </c>
      <c r="AI4192">
        <v>90.901904333314405</v>
      </c>
      <c r="AJ4192">
        <v>79.088414920280101</v>
      </c>
      <c r="AK4192">
        <v>41.957015241418503</v>
      </c>
      <c r="AL4192">
        <v>77.996115510994699</v>
      </c>
      <c r="AM4192">
        <v>88.422574716595093</v>
      </c>
      <c r="AN4192">
        <v>0.99999997147302999</v>
      </c>
    </row>
    <row r="4193" spans="1:40" x14ac:dyDescent="0.25">
      <c r="A4193" t="str">
        <f>"20190303170337226"</f>
        <v>20190303170337226</v>
      </c>
      <c r="B4193" t="str">
        <f>"1551603817219264"</f>
        <v>1551603817219264</v>
      </c>
      <c r="C4193" t="s">
        <v>40</v>
      </c>
      <c r="D4193">
        <v>4.2981769999999999</v>
      </c>
      <c r="E4193">
        <v>0.56703329999999996</v>
      </c>
      <c r="F4193" t="s">
        <v>45</v>
      </c>
      <c r="G4193">
        <v>-234.7483</v>
      </c>
      <c r="H4193">
        <v>0.46789190000000003</v>
      </c>
      <c r="I4193">
        <v>206.7653</v>
      </c>
      <c r="J4193">
        <v>-275.59559999999999</v>
      </c>
      <c r="K4193">
        <v>1.121669</v>
      </c>
      <c r="L4193">
        <v>214.84790000000001</v>
      </c>
      <c r="M4193">
        <v>0.9999015</v>
      </c>
      <c r="N4193">
        <v>-1.322486E-2</v>
      </c>
      <c r="O4193">
        <v>-4.7256590000000001E-3</v>
      </c>
      <c r="P4193">
        <v>0.980182</v>
      </c>
      <c r="Q4193">
        <v>0.19552410000000001</v>
      </c>
      <c r="R4193">
        <v>-3.1840800000000002E-2</v>
      </c>
      <c r="S4193">
        <v>3.0505979999999999</v>
      </c>
      <c r="T4193">
        <v>-4.8443199999999999E-2</v>
      </c>
      <c r="U4193">
        <v>-0.59906009999999998</v>
      </c>
      <c r="V4193">
        <v>2.7206600000000001E-2</v>
      </c>
      <c r="W4193">
        <v>0.20847189999999999</v>
      </c>
      <c r="X4193">
        <v>0.97764989999999996</v>
      </c>
      <c r="Y4193">
        <v>0.18801219999999999</v>
      </c>
      <c r="Z4193">
        <v>-2.721364E-3</v>
      </c>
      <c r="AA4193">
        <v>0.98216300000000001</v>
      </c>
      <c r="AB4193">
        <v>33</v>
      </c>
      <c r="AC4193">
        <v>40.847299999999898</v>
      </c>
      <c r="AD4193">
        <v>-0.6537771</v>
      </c>
      <c r="AE4193">
        <v>-8.08260000000001</v>
      </c>
      <c r="AF4193">
        <v>7.88751802987698</v>
      </c>
      <c r="AG4193">
        <v>-0.6537771</v>
      </c>
      <c r="AH4193">
        <v>40.874966255497498</v>
      </c>
      <c r="AI4193">
        <v>90.899746955099602</v>
      </c>
      <c r="AJ4193">
        <v>79.078051197731497</v>
      </c>
      <c r="AK4193">
        <v>41.634159431363301</v>
      </c>
      <c r="AL4193">
        <v>77.967183659994504</v>
      </c>
      <c r="AM4193">
        <v>88.405951719282399</v>
      </c>
      <c r="AN4193">
        <v>1.0000000295715801</v>
      </c>
    </row>
    <row r="4194" spans="1:40" x14ac:dyDescent="0.25">
      <c r="A4194" t="str">
        <f>"20190303170337248"</f>
        <v>20190303170337248</v>
      </c>
      <c r="B4194" t="str">
        <f>"1551603817239760"</f>
        <v>1551603817239760</v>
      </c>
      <c r="C4194" t="s">
        <v>40</v>
      </c>
      <c r="D4194">
        <v>4.2585459999999999</v>
      </c>
      <c r="E4194">
        <v>0.56725599999999998</v>
      </c>
      <c r="F4194" t="s">
        <v>45</v>
      </c>
      <c r="G4194">
        <v>-234.7407</v>
      </c>
      <c r="H4194">
        <v>0.50163080000000004</v>
      </c>
      <c r="I4194">
        <v>206.7739</v>
      </c>
      <c r="J4194">
        <v>-275.27089999999998</v>
      </c>
      <c r="K4194">
        <v>1.1216759999999999</v>
      </c>
      <c r="L4194">
        <v>214.84639999999999</v>
      </c>
      <c r="M4194">
        <v>0.9999017</v>
      </c>
      <c r="N4194">
        <v>-1.321428E-2</v>
      </c>
      <c r="O4194">
        <v>-4.7067539999999996E-3</v>
      </c>
      <c r="P4194">
        <v>0.97996589999999995</v>
      </c>
      <c r="Q4194">
        <v>0.1964873</v>
      </c>
      <c r="R4194">
        <v>-3.2551150000000001E-2</v>
      </c>
      <c r="S4194">
        <v>3.050354</v>
      </c>
      <c r="T4194">
        <v>-4.6290520000000002E-2</v>
      </c>
      <c r="U4194">
        <v>-0.60282899999999995</v>
      </c>
      <c r="V4194">
        <v>2.793669E-2</v>
      </c>
      <c r="W4194">
        <v>0.20942179999999999</v>
      </c>
      <c r="X4194">
        <v>0.97742620000000002</v>
      </c>
      <c r="Y4194">
        <v>0.1892163</v>
      </c>
      <c r="Z4194">
        <v>-2.6751100000000001E-3</v>
      </c>
      <c r="AA4194">
        <v>0.98193180000000002</v>
      </c>
      <c r="AB4194">
        <v>33</v>
      </c>
      <c r="AC4194">
        <v>40.530199999999901</v>
      </c>
      <c r="AD4194">
        <v>-0.62004519999999996</v>
      </c>
      <c r="AE4194">
        <v>-8.0724999999999891</v>
      </c>
      <c r="AF4194">
        <v>7.8798544151637602</v>
      </c>
      <c r="AG4194">
        <v>-0.62004519999999996</v>
      </c>
      <c r="AH4194">
        <v>40.558619430916998</v>
      </c>
      <c r="AI4194">
        <v>90.859774778615204</v>
      </c>
      <c r="AJ4194">
        <v>79.005366853274694</v>
      </c>
      <c r="AK4194">
        <v>41.321642898076703</v>
      </c>
      <c r="AL4194">
        <v>77.911529133406006</v>
      </c>
      <c r="AM4194">
        <v>88.362823942321597</v>
      </c>
      <c r="AN4194">
        <v>0.99999996270491698</v>
      </c>
    </row>
    <row r="4195" spans="1:40" x14ac:dyDescent="0.25">
      <c r="A4195" t="str">
        <f>"20190303170337270"</f>
        <v>20190303170337270</v>
      </c>
      <c r="B4195" t="str">
        <f>"1551603817259280"</f>
        <v>1551603817259280</v>
      </c>
      <c r="C4195" t="s">
        <v>40</v>
      </c>
      <c r="D4195">
        <v>4.371588</v>
      </c>
      <c r="E4195">
        <v>0.5673783</v>
      </c>
      <c r="F4195" t="s">
        <v>45</v>
      </c>
      <c r="G4195">
        <v>-234.73050000000001</v>
      </c>
      <c r="H4195">
        <v>0.54736219999999902</v>
      </c>
      <c r="I4195">
        <v>206.7877</v>
      </c>
      <c r="J4195">
        <v>-274.94139999999999</v>
      </c>
      <c r="K4195">
        <v>1.121683</v>
      </c>
      <c r="L4195">
        <v>214.84479999999999</v>
      </c>
      <c r="M4195">
        <v>0.99990179999999995</v>
      </c>
      <c r="N4195">
        <v>-1.320473E-2</v>
      </c>
      <c r="O4195">
        <v>-4.6872629999999997E-3</v>
      </c>
      <c r="P4195">
        <v>0.97980080000000003</v>
      </c>
      <c r="Q4195">
        <v>0.19733339999999999</v>
      </c>
      <c r="R4195">
        <v>-3.2405780000000002E-2</v>
      </c>
      <c r="S4195">
        <v>3.0498660000000002</v>
      </c>
      <c r="T4195">
        <v>-4.3202160000000003E-2</v>
      </c>
      <c r="U4195">
        <v>-0.60626219999999997</v>
      </c>
      <c r="V4195">
        <v>2.7811019999999999E-2</v>
      </c>
      <c r="W4195">
        <v>0.21025630000000001</v>
      </c>
      <c r="X4195">
        <v>0.97725059999999997</v>
      </c>
      <c r="Y4195">
        <v>0.19033249999999999</v>
      </c>
      <c r="Z4195">
        <v>-2.5994870000000002E-3</v>
      </c>
      <c r="AA4195">
        <v>0.98171629999999999</v>
      </c>
      <c r="AB4195">
        <v>33</v>
      </c>
      <c r="AC4195">
        <v>40.210899999999903</v>
      </c>
      <c r="AD4195">
        <v>-0.57432079999999996</v>
      </c>
      <c r="AE4195">
        <v>-8.0570999999999895</v>
      </c>
      <c r="AF4195">
        <v>7.8669730860550402</v>
      </c>
      <c r="AG4195">
        <v>-0.57432079999999996</v>
      </c>
      <c r="AH4195">
        <v>40.240335223989597</v>
      </c>
      <c r="AI4195">
        <v>90.802495239999899</v>
      </c>
      <c r="AJ4195">
        <v>78.938212207085797</v>
      </c>
      <c r="AK4195">
        <v>41.006142086973803</v>
      </c>
      <c r="AL4195">
        <v>77.862626884670107</v>
      </c>
      <c r="AM4195">
        <v>88.369891910275996</v>
      </c>
      <c r="AN4195">
        <v>0.99999994986174301</v>
      </c>
    </row>
    <row r="4196" spans="1:40" x14ac:dyDescent="0.25">
      <c r="A4196" t="str">
        <f>"20190303170337305"</f>
        <v>20190303170337305</v>
      </c>
      <c r="B4196" t="str">
        <f>"1551603817299296"</f>
        <v>1551603817299296</v>
      </c>
      <c r="C4196" t="s">
        <v>40</v>
      </c>
      <c r="D4196">
        <v>4.2922079999999996</v>
      </c>
      <c r="E4196">
        <v>0.5300376</v>
      </c>
      <c r="F4196" t="s">
        <v>45</v>
      </c>
      <c r="G4196">
        <v>-234.72110000000001</v>
      </c>
      <c r="H4196">
        <v>0.58912739999999997</v>
      </c>
      <c r="I4196">
        <v>206.84180000000001</v>
      </c>
      <c r="J4196">
        <v>-274.4271</v>
      </c>
      <c r="K4196">
        <v>1.121685</v>
      </c>
      <c r="L4196">
        <v>214.8425</v>
      </c>
      <c r="M4196">
        <v>0.99990219999999996</v>
      </c>
      <c r="N4196">
        <v>-1.318976E-2</v>
      </c>
      <c r="O4196">
        <v>-4.6570070000000003E-3</v>
      </c>
      <c r="P4196">
        <v>0.97968549999999999</v>
      </c>
      <c r="Q4196">
        <v>0.19782920000000001</v>
      </c>
      <c r="R4196">
        <v>-3.2867050000000002E-2</v>
      </c>
      <c r="S4196">
        <v>3.0499269999999998</v>
      </c>
      <c r="T4196">
        <v>-4.0380359999999997E-2</v>
      </c>
      <c r="U4196">
        <v>-0.60687259999999998</v>
      </c>
      <c r="V4196">
        <v>2.8302460000000002E-2</v>
      </c>
      <c r="W4196">
        <v>0.21073549999999999</v>
      </c>
      <c r="X4196">
        <v>0.97713329999999998</v>
      </c>
      <c r="Y4196">
        <v>0.1905509</v>
      </c>
      <c r="Z4196">
        <v>-2.5179400000000002E-3</v>
      </c>
      <c r="AA4196">
        <v>0.98167409999999999</v>
      </c>
      <c r="AB4196">
        <v>33</v>
      </c>
      <c r="AC4196">
        <v>39.705999999999896</v>
      </c>
      <c r="AD4196">
        <v>-0.53255759999999996</v>
      </c>
      <c r="AE4196">
        <v>-8.0006999999999895</v>
      </c>
      <c r="AF4196">
        <v>7.8143351094534497</v>
      </c>
      <c r="AG4196">
        <v>-0.53255759999999996</v>
      </c>
      <c r="AH4196">
        <v>39.735962491818697</v>
      </c>
      <c r="AI4196">
        <v>90.753426454604195</v>
      </c>
      <c r="AJ4196">
        <v>78.874386100917306</v>
      </c>
      <c r="AK4196">
        <v>40.500545254988602</v>
      </c>
      <c r="AL4196">
        <v>77.8345418950599</v>
      </c>
      <c r="AM4196">
        <v>88.340903695076605</v>
      </c>
      <c r="AN4196">
        <v>0.99999998308559501</v>
      </c>
    </row>
    <row r="4197" spans="1:40" x14ac:dyDescent="0.25">
      <c r="A4197" t="str">
        <f>"20190303170337327"</f>
        <v>20190303170337327</v>
      </c>
      <c r="B4197" t="str">
        <f>"1551603817319252"</f>
        <v>1551603817319252</v>
      </c>
      <c r="C4197" t="s">
        <v>40</v>
      </c>
      <c r="D4197">
        <v>4.1404649999999998</v>
      </c>
      <c r="E4197">
        <v>0.52453260000000002</v>
      </c>
      <c r="F4197" t="s">
        <v>57</v>
      </c>
      <c r="G4197">
        <v>-179.95779999999999</v>
      </c>
      <c r="H4197">
        <v>8.9128460000000003E-3</v>
      </c>
      <c r="I4197">
        <v>205.27109999999999</v>
      </c>
      <c r="J4197">
        <v>-274.09910000000002</v>
      </c>
      <c r="K4197">
        <v>1.1216820000000001</v>
      </c>
      <c r="L4197">
        <v>214.84100000000001</v>
      </c>
      <c r="M4197">
        <v>0.99990250000000003</v>
      </c>
      <c r="N4197">
        <v>-1.3175829999999999E-2</v>
      </c>
      <c r="O4197">
        <v>-4.6378419999999997E-3</v>
      </c>
      <c r="P4197">
        <v>0.97977199999999998</v>
      </c>
      <c r="Q4197">
        <v>0.1973723</v>
      </c>
      <c r="R4197">
        <v>-3.3030459999999998E-2</v>
      </c>
      <c r="S4197">
        <v>3.0590820000000001</v>
      </c>
      <c r="T4197">
        <v>-3.6033509999999998E-2</v>
      </c>
      <c r="U4197">
        <v>-0.3099365</v>
      </c>
      <c r="V4197">
        <v>2.848432E-2</v>
      </c>
      <c r="W4197">
        <v>0.2102666</v>
      </c>
      <c r="X4197">
        <v>0.97722909999999996</v>
      </c>
      <c r="Y4197">
        <v>9.6171039999999999E-2</v>
      </c>
      <c r="Z4197">
        <v>-1.206674E-3</v>
      </c>
      <c r="AA4197">
        <v>0.99536409999999997</v>
      </c>
      <c r="AB4197">
        <v>33</v>
      </c>
      <c r="AC4197">
        <v>94.141300000000001</v>
      </c>
      <c r="AD4197">
        <v>-1.112769154</v>
      </c>
      <c r="AE4197">
        <v>-9.5698999999999899</v>
      </c>
      <c r="AF4197">
        <v>9.1318838760836396</v>
      </c>
      <c r="AG4197">
        <v>-1.112769154</v>
      </c>
      <c r="AH4197">
        <v>94.171652060515896</v>
      </c>
      <c r="AI4197">
        <v>90.673837439512297</v>
      </c>
      <c r="AJ4197">
        <v>84.461309839450294</v>
      </c>
      <c r="AK4197">
        <v>94.619921845894794</v>
      </c>
      <c r="AL4197">
        <v>77.862024560687502</v>
      </c>
      <c r="AM4197">
        <v>88.330412635288496</v>
      </c>
      <c r="AN4197">
        <v>1.0000000567241101</v>
      </c>
    </row>
    <row r="4198" spans="1:40" x14ac:dyDescent="0.25">
      <c r="A4198" t="str">
        <f>"20190303170337348"</f>
        <v>20190303170337348</v>
      </c>
      <c r="B4198" t="str">
        <f>"1551603817339748"</f>
        <v>1551603817339748</v>
      </c>
      <c r="C4198" t="s">
        <v>40</v>
      </c>
      <c r="D4198">
        <v>4.1207890000000003</v>
      </c>
      <c r="E4198">
        <v>0.52159179999999905</v>
      </c>
      <c r="F4198" t="s">
        <v>57</v>
      </c>
      <c r="G4198">
        <v>-180.8458</v>
      </c>
      <c r="H4198" s="1">
        <v>3.5948770000000001E-6</v>
      </c>
      <c r="I4198">
        <v>206.73650000000001</v>
      </c>
      <c r="J4198">
        <v>-273.78370000000001</v>
      </c>
      <c r="K4198">
        <v>1.1216729999999999</v>
      </c>
      <c r="L4198">
        <v>214.83949999999999</v>
      </c>
      <c r="M4198">
        <v>0.99990290000000004</v>
      </c>
      <c r="N4198">
        <v>-1.316079E-2</v>
      </c>
      <c r="O4198">
        <v>-4.6199780000000003E-3</v>
      </c>
      <c r="P4198">
        <v>0.97995869999999996</v>
      </c>
      <c r="Q4198">
        <v>0.19637859999999999</v>
      </c>
      <c r="R4198">
        <v>-3.3419230000000001E-2</v>
      </c>
      <c r="S4198">
        <v>3.060425</v>
      </c>
      <c r="T4198">
        <v>-3.6811709999999997E-2</v>
      </c>
      <c r="U4198">
        <v>-0.26597599999999999</v>
      </c>
      <c r="V4198">
        <v>2.8889640000000001E-2</v>
      </c>
      <c r="W4198">
        <v>0.2092609</v>
      </c>
      <c r="X4198">
        <v>0.977433</v>
      </c>
      <c r="Y4198">
        <v>8.1965490000000002E-2</v>
      </c>
      <c r="Z4198">
        <v>-1.037685E-3</v>
      </c>
      <c r="AA4198">
        <v>0.99663460000000004</v>
      </c>
      <c r="AB4198">
        <v>33</v>
      </c>
      <c r="AC4198">
        <v>92.937899999999999</v>
      </c>
      <c r="AD4198">
        <v>-1.1216694051229901</v>
      </c>
      <c r="AE4198">
        <v>-8.1029999999999802</v>
      </c>
      <c r="AF4198">
        <v>7.6723962032014503</v>
      </c>
      <c r="AG4198">
        <v>-1.1216694051229901</v>
      </c>
      <c r="AH4198">
        <v>92.960908251464204</v>
      </c>
      <c r="AI4198">
        <v>90.688956924517598</v>
      </c>
      <c r="AJ4198">
        <v>85.281868002516006</v>
      </c>
      <c r="AK4198">
        <v>93.283729924839704</v>
      </c>
      <c r="AL4198">
        <v>77.920957407984801</v>
      </c>
      <c r="AM4198">
        <v>88.307021873961503</v>
      </c>
      <c r="AN4198">
        <v>1.00000000252856</v>
      </c>
    </row>
    <row r="4199" spans="1:40" x14ac:dyDescent="0.25">
      <c r="A4199" t="str">
        <f>"20190303170337370"</f>
        <v>20190303170337370</v>
      </c>
      <c r="B4199" t="str">
        <f>"1551603817359268"</f>
        <v>1551603817359268</v>
      </c>
      <c r="C4199" t="s">
        <v>40</v>
      </c>
      <c r="D4199">
        <v>4.1195130000000004</v>
      </c>
      <c r="E4199">
        <v>0.51967299999999905</v>
      </c>
      <c r="F4199" t="s">
        <v>57</v>
      </c>
      <c r="G4199">
        <v>-184.97190000000001</v>
      </c>
      <c r="H4199" s="1">
        <v>4.1774110000000001E-6</v>
      </c>
      <c r="I4199">
        <v>207.77010000000001</v>
      </c>
      <c r="J4199">
        <v>-273.44909999999999</v>
      </c>
      <c r="K4199">
        <v>1.1216680000000001</v>
      </c>
      <c r="L4199">
        <v>214.83799999999999</v>
      </c>
      <c r="M4199">
        <v>0.99990310000000004</v>
      </c>
      <c r="N4199">
        <v>-1.3141959999999999E-2</v>
      </c>
      <c r="O4199">
        <v>-4.600781E-3</v>
      </c>
      <c r="P4199">
        <v>0.97997369999999995</v>
      </c>
      <c r="Q4199">
        <v>0.1962768</v>
      </c>
      <c r="R4199">
        <v>-3.3571539999999997E-2</v>
      </c>
      <c r="S4199">
        <v>3.060791</v>
      </c>
      <c r="T4199">
        <v>-3.8656950000000002E-2</v>
      </c>
      <c r="U4199">
        <v>-0.2436371</v>
      </c>
      <c r="V4199">
        <v>2.9060559999999999E-2</v>
      </c>
      <c r="W4199">
        <v>0.20914060000000001</v>
      </c>
      <c r="X4199">
        <v>0.97745369999999998</v>
      </c>
      <c r="Y4199">
        <v>7.4748780000000001E-2</v>
      </c>
      <c r="Z4199">
        <v>-9.6563750000000005E-4</v>
      </c>
      <c r="AA4199">
        <v>0.99720189999999997</v>
      </c>
      <c r="AB4199">
        <v>33</v>
      </c>
      <c r="AC4199">
        <v>88.477199999999897</v>
      </c>
      <c r="AD4199">
        <v>-1.1216638225890001</v>
      </c>
      <c r="AE4199">
        <v>-7.0678999999999803</v>
      </c>
      <c r="AF4199">
        <v>6.6596622870603301</v>
      </c>
      <c r="AG4199">
        <v>-1.1216638225890001</v>
      </c>
      <c r="AH4199">
        <v>88.494651655596698</v>
      </c>
      <c r="AI4199">
        <v>90.724133923739899</v>
      </c>
      <c r="AJ4199">
        <v>85.696320001211902</v>
      </c>
      <c r="AK4199">
        <v>88.751972390217901</v>
      </c>
      <c r="AL4199">
        <v>77.928006286280095</v>
      </c>
      <c r="AM4199">
        <v>88.297047618942798</v>
      </c>
      <c r="AN4199">
        <v>1.0000000211797799</v>
      </c>
    </row>
    <row r="4200" spans="1:40" x14ac:dyDescent="0.25">
      <c r="A4200" t="str">
        <f>"20190303170337394"</f>
        <v>20190303170337394</v>
      </c>
      <c r="B4200" t="str">
        <f>"1551603817379764"</f>
        <v>1551603817379764</v>
      </c>
      <c r="C4200" t="s">
        <v>40</v>
      </c>
      <c r="D4200">
        <v>4.1066180000000001</v>
      </c>
      <c r="E4200">
        <v>0.51846440000000005</v>
      </c>
      <c r="F4200" t="s">
        <v>57</v>
      </c>
      <c r="G4200">
        <v>-185.74690000000001</v>
      </c>
      <c r="H4200" s="1">
        <v>4.1324980000000002E-6</v>
      </c>
      <c r="I4200">
        <v>208.2861</v>
      </c>
      <c r="J4200">
        <v>-273.10550000000001</v>
      </c>
      <c r="K4200">
        <v>1.1216630000000001</v>
      </c>
      <c r="L4200">
        <v>214.8364</v>
      </c>
      <c r="M4200">
        <v>0.99990349999999995</v>
      </c>
      <c r="N4200">
        <v>-1.3114900000000001E-2</v>
      </c>
      <c r="O4200">
        <v>-4.5811719999999997E-3</v>
      </c>
      <c r="P4200">
        <v>0.97981629999999997</v>
      </c>
      <c r="Q4200">
        <v>0.19697300000000001</v>
      </c>
      <c r="R4200">
        <v>-3.4083269999999999E-2</v>
      </c>
      <c r="S4200">
        <v>3.0613100000000002</v>
      </c>
      <c r="T4200">
        <v>-3.91525E-2</v>
      </c>
      <c r="U4200">
        <v>-0.2286987</v>
      </c>
      <c r="V4200">
        <v>2.959229E-2</v>
      </c>
      <c r="W4200">
        <v>0.2098083</v>
      </c>
      <c r="X4200">
        <v>0.97729460000000001</v>
      </c>
      <c r="Y4200">
        <v>6.9917409999999999E-2</v>
      </c>
      <c r="Z4200">
        <v>-9.0713730000000002E-4</v>
      </c>
      <c r="AA4200">
        <v>0.99755240000000001</v>
      </c>
      <c r="AB4200">
        <v>33</v>
      </c>
      <c r="AC4200">
        <v>87.358599999999996</v>
      </c>
      <c r="AD4200">
        <v>-1.1216588675019901</v>
      </c>
      <c r="AE4200">
        <v>-6.5502999999999902</v>
      </c>
      <c r="AF4200">
        <v>6.1489840144849</v>
      </c>
      <c r="AG4200">
        <v>-1.1216588675019901</v>
      </c>
      <c r="AH4200">
        <v>87.373370090826697</v>
      </c>
      <c r="AI4200">
        <v>90.733681847677005</v>
      </c>
      <c r="AJ4200">
        <v>85.974392247871194</v>
      </c>
      <c r="AK4200">
        <v>87.596654753786197</v>
      </c>
      <c r="AL4200">
        <v>77.888881388388398</v>
      </c>
      <c r="AM4200">
        <v>88.2656248980648</v>
      </c>
      <c r="AN4200">
        <v>0.99999998078274599</v>
      </c>
    </row>
    <row r="4201" spans="1:40" x14ac:dyDescent="0.25">
      <c r="A4201" t="str">
        <f>"20190303170337417"</f>
        <v>20190303170337417</v>
      </c>
      <c r="B4201" t="str">
        <f>"1551603817410019"</f>
        <v>1551603817410019</v>
      </c>
      <c r="C4201" t="s">
        <v>40</v>
      </c>
      <c r="D4201">
        <v>4.0772449999999996</v>
      </c>
      <c r="E4201">
        <v>0.51739170000000001</v>
      </c>
      <c r="F4201" t="s">
        <v>57</v>
      </c>
      <c r="G4201">
        <v>-179.95779999999999</v>
      </c>
      <c r="H4201">
        <v>2.8470760000000001E-2</v>
      </c>
      <c r="I4201">
        <v>208.12440000000001</v>
      </c>
      <c r="J4201">
        <v>-272.76760000000002</v>
      </c>
      <c r="K4201">
        <v>1.121664</v>
      </c>
      <c r="L4201">
        <v>214.8349</v>
      </c>
      <c r="M4201">
        <v>0.99990409999999996</v>
      </c>
      <c r="N4201">
        <v>-1.308278E-2</v>
      </c>
      <c r="O4201">
        <v>-4.5647309999999998E-3</v>
      </c>
      <c r="P4201">
        <v>0.97973809999999995</v>
      </c>
      <c r="Q4201">
        <v>0.1972785</v>
      </c>
      <c r="R4201">
        <v>-3.456799E-2</v>
      </c>
      <c r="S4201">
        <v>3.0613709999999998</v>
      </c>
      <c r="T4201">
        <v>-3.592861E-2</v>
      </c>
      <c r="U4201">
        <v>-0.2205963</v>
      </c>
      <c r="V4201">
        <v>3.0092710000000002E-2</v>
      </c>
      <c r="W4201">
        <v>0.2100815</v>
      </c>
      <c r="X4201">
        <v>0.97722070000000005</v>
      </c>
      <c r="Y4201">
        <v>6.7307839999999994E-2</v>
      </c>
      <c r="Z4201">
        <v>-8.4149780000000003E-4</v>
      </c>
      <c r="AA4201">
        <v>0.9977319</v>
      </c>
      <c r="AB4201">
        <v>33</v>
      </c>
      <c r="AC4201">
        <v>92.809799999999996</v>
      </c>
      <c r="AD4201">
        <v>-1.09319324</v>
      </c>
      <c r="AE4201">
        <v>-6.7104999999999899</v>
      </c>
      <c r="AF4201">
        <v>6.2858745110716203</v>
      </c>
      <c r="AG4201">
        <v>-1.09319324</v>
      </c>
      <c r="AH4201">
        <v>92.826655222198795</v>
      </c>
      <c r="AI4201">
        <v>90.673183452447802</v>
      </c>
      <c r="AJ4201">
        <v>86.126057820739206</v>
      </c>
      <c r="AK4201">
        <v>93.045661959974694</v>
      </c>
      <c r="AL4201">
        <v>77.872872248188102</v>
      </c>
      <c r="AM4201">
        <v>88.236180851827498</v>
      </c>
      <c r="AN4201">
        <v>1.00000005217294</v>
      </c>
    </row>
    <row r="4202" spans="1:40" x14ac:dyDescent="0.25">
      <c r="A4202" t="str">
        <f>"20190303170337437"</f>
        <v>20190303170337437</v>
      </c>
      <c r="B4202" t="str">
        <f>"1551603817429905"</f>
        <v>1551603817429905</v>
      </c>
      <c r="C4202" t="s">
        <v>40</v>
      </c>
      <c r="D4202">
        <v>4.1218170000000001</v>
      </c>
      <c r="E4202">
        <v>0.51683869999999998</v>
      </c>
      <c r="F4202" t="s">
        <v>57</v>
      </c>
      <c r="G4202">
        <v>-178.04089999999999</v>
      </c>
      <c r="H4202">
        <v>8.0004309999999995E-2</v>
      </c>
      <c r="I4202">
        <v>208.23320000000001</v>
      </c>
      <c r="J4202">
        <v>-272.4554</v>
      </c>
      <c r="K4202">
        <v>1.1216520000000001</v>
      </c>
      <c r="L4202">
        <v>214.83349999999999</v>
      </c>
      <c r="M4202">
        <v>0.99990469999999998</v>
      </c>
      <c r="N4202">
        <v>-1.304866E-2</v>
      </c>
      <c r="O4202">
        <v>-4.5462899999999997E-3</v>
      </c>
      <c r="P4202">
        <v>0.97985409999999995</v>
      </c>
      <c r="Q4202">
        <v>0.1966957</v>
      </c>
      <c r="R4202">
        <v>-3.4598940000000002E-2</v>
      </c>
      <c r="S4202">
        <v>3.0612789999999999</v>
      </c>
      <c r="T4202">
        <v>-3.3663270000000002E-2</v>
      </c>
      <c r="U4202">
        <v>-0.21334839999999999</v>
      </c>
      <c r="V4202">
        <v>3.01418E-2</v>
      </c>
      <c r="W4202">
        <v>0.20946699999999999</v>
      </c>
      <c r="X4202">
        <v>0.97735099999999997</v>
      </c>
      <c r="Y4202">
        <v>6.4978960000000002E-2</v>
      </c>
      <c r="Z4202">
        <v>-7.9065750000000001E-4</v>
      </c>
      <c r="AA4202">
        <v>0.9978863</v>
      </c>
      <c r="AB4202">
        <v>33</v>
      </c>
      <c r="AC4202">
        <v>94.414500000000004</v>
      </c>
      <c r="AD4202">
        <v>-1.04164769</v>
      </c>
      <c r="AE4202">
        <v>-6.6002999999999696</v>
      </c>
      <c r="AF4202">
        <v>6.1702122181136101</v>
      </c>
      <c r="AG4202">
        <v>-1.04164769</v>
      </c>
      <c r="AH4202">
        <v>94.432095105024501</v>
      </c>
      <c r="AI4202">
        <v>90.630639575644693</v>
      </c>
      <c r="AJ4202">
        <v>86.261596294605994</v>
      </c>
      <c r="AK4202">
        <v>94.639194494939701</v>
      </c>
      <c r="AL4202">
        <v>77.908880646025693</v>
      </c>
      <c r="AM4202">
        <v>88.233540755245201</v>
      </c>
      <c r="AN4202">
        <v>0.99999996469861896</v>
      </c>
    </row>
    <row r="4203" spans="1:40" x14ac:dyDescent="0.25">
      <c r="A4203" t="str">
        <f>"20190303170337460"</f>
        <v>20190303170337460</v>
      </c>
      <c r="B4203" t="str">
        <f>"1551603817449424"</f>
        <v>1551603817449424</v>
      </c>
      <c r="C4203" t="s">
        <v>40</v>
      </c>
      <c r="D4203">
        <v>4.1005099999999999</v>
      </c>
      <c r="E4203">
        <v>0.51650689999999999</v>
      </c>
      <c r="F4203" t="s">
        <v>57</v>
      </c>
      <c r="G4203">
        <v>-179.9408</v>
      </c>
      <c r="H4203">
        <v>6.6994639999999994E-2</v>
      </c>
      <c r="I4203">
        <v>208.51329999999999</v>
      </c>
      <c r="J4203">
        <v>-272.12270000000001</v>
      </c>
      <c r="K4203">
        <v>1.121642</v>
      </c>
      <c r="L4203">
        <v>214.83199999999999</v>
      </c>
      <c r="M4203">
        <v>0.99990520000000005</v>
      </c>
      <c r="N4203">
        <v>-1.301074E-2</v>
      </c>
      <c r="O4203">
        <v>-4.5249620000000004E-3</v>
      </c>
      <c r="P4203">
        <v>0.98006800000000005</v>
      </c>
      <c r="Q4203">
        <v>0.19567109999999999</v>
      </c>
      <c r="R4203">
        <v>-3.4341690000000001E-2</v>
      </c>
      <c r="S4203">
        <v>3.0613100000000002</v>
      </c>
      <c r="T4203">
        <v>-3.4898640000000002E-2</v>
      </c>
      <c r="U4203">
        <v>-0.20913699999999999</v>
      </c>
      <c r="V4203">
        <v>2.9905350000000001E-2</v>
      </c>
      <c r="W4203">
        <v>0.20840800000000001</v>
      </c>
      <c r="X4203">
        <v>0.97758469999999997</v>
      </c>
      <c r="Y4203">
        <v>6.3632969999999997E-2</v>
      </c>
      <c r="Z4203">
        <v>-7.8404470000000004E-4</v>
      </c>
      <c r="AA4203">
        <v>0.99797309999999995</v>
      </c>
      <c r="AB4203">
        <v>33</v>
      </c>
      <c r="AC4203">
        <v>92.181899999999999</v>
      </c>
      <c r="AD4203">
        <v>-1.0546473599999999</v>
      </c>
      <c r="AE4203">
        <v>-6.3186999999999998</v>
      </c>
      <c r="AF4203">
        <v>5.9007116684524998</v>
      </c>
      <c r="AG4203">
        <v>-1.0546473599999999</v>
      </c>
      <c r="AH4203">
        <v>92.1975386420701</v>
      </c>
      <c r="AI4203">
        <v>90.654039641378503</v>
      </c>
      <c r="AJ4203">
        <v>86.338021598725902</v>
      </c>
      <c r="AK4203">
        <v>92.3921902051476</v>
      </c>
      <c r="AL4203">
        <v>77.970927150740295</v>
      </c>
      <c r="AM4203">
        <v>88.247807939121699</v>
      </c>
      <c r="AN4203">
        <v>1.00000003504835</v>
      </c>
    </row>
    <row r="4204" spans="1:40" x14ac:dyDescent="0.25">
      <c r="A4204" t="str">
        <f>"20190303170337482"</f>
        <v>20190303170337482</v>
      </c>
      <c r="B4204" t="str">
        <f>"1551603817469920"</f>
        <v>1551603817469920</v>
      </c>
      <c r="C4204" t="s">
        <v>40</v>
      </c>
      <c r="D4204">
        <v>4.1229360000000002</v>
      </c>
      <c r="E4204">
        <v>0.51619329999999997</v>
      </c>
      <c r="F4204" t="s">
        <v>57</v>
      </c>
      <c r="G4204">
        <v>-182.3459</v>
      </c>
      <c r="H4204" s="1">
        <v>3.3473519999999999E-6</v>
      </c>
      <c r="I4204">
        <v>208.8006</v>
      </c>
      <c r="J4204">
        <v>-271.79169999999999</v>
      </c>
      <c r="K4204">
        <v>1.1216360000000001</v>
      </c>
      <c r="L4204">
        <v>214.8305</v>
      </c>
      <c r="M4204">
        <v>0.99990570000000001</v>
      </c>
      <c r="N4204">
        <v>-1.2974650000000001E-2</v>
      </c>
      <c r="O4204">
        <v>-4.5047009999999998E-3</v>
      </c>
      <c r="P4204">
        <v>0.98009789999999997</v>
      </c>
      <c r="Q4204">
        <v>0.19560159999999999</v>
      </c>
      <c r="R4204">
        <v>-3.3883669999999998E-2</v>
      </c>
      <c r="S4204">
        <v>3.061401</v>
      </c>
      <c r="T4204">
        <v>-3.824806E-2</v>
      </c>
      <c r="U4204">
        <v>-0.2056732</v>
      </c>
      <c r="V4204">
        <v>2.9466780000000001E-2</v>
      </c>
      <c r="W4204">
        <v>0.20830360000000001</v>
      </c>
      <c r="X4204">
        <v>0.97762020000000005</v>
      </c>
      <c r="Y4204">
        <v>6.2526059999999994E-2</v>
      </c>
      <c r="Z4204">
        <v>-7.9844089999999996E-4</v>
      </c>
      <c r="AA4204">
        <v>0.99804300000000001</v>
      </c>
      <c r="AB4204">
        <v>33</v>
      </c>
      <c r="AC4204">
        <v>89.445799999999906</v>
      </c>
      <c r="AD4204">
        <v>-1.1216326526480001</v>
      </c>
      <c r="AE4204">
        <v>-6.0298999999999898</v>
      </c>
      <c r="AF4204">
        <v>5.6259976470947501</v>
      </c>
      <c r="AG4204">
        <v>-1.1216326526480001</v>
      </c>
      <c r="AH4204">
        <v>89.458054154887094</v>
      </c>
      <c r="AI4204">
        <v>90.716925473825896</v>
      </c>
      <c r="AJ4204">
        <v>86.401420122148593</v>
      </c>
      <c r="AK4204">
        <v>89.641805886044693</v>
      </c>
      <c r="AL4204">
        <v>77.977042239002898</v>
      </c>
      <c r="AM4204">
        <v>88.273551295250599</v>
      </c>
      <c r="AN4204">
        <v>0.99999996817228298</v>
      </c>
    </row>
    <row r="4205" spans="1:40" x14ac:dyDescent="0.25">
      <c r="A4205" t="str">
        <f>"20190303170337506"</f>
        <v>20190303170337506</v>
      </c>
      <c r="B4205" t="str">
        <f>"1551603817500177"</f>
        <v>1551603817500177</v>
      </c>
      <c r="C4205" t="s">
        <v>40</v>
      </c>
      <c r="D4205">
        <v>4.1174999999999997</v>
      </c>
      <c r="E4205">
        <v>0.51578610000000003</v>
      </c>
      <c r="F4205" t="s">
        <v>57</v>
      </c>
      <c r="G4205">
        <v>-182.12780000000001</v>
      </c>
      <c r="H4205" s="1">
        <v>3.264674E-6</v>
      </c>
      <c r="I4205">
        <v>208.92500000000001</v>
      </c>
      <c r="J4205">
        <v>-271.45060000000001</v>
      </c>
      <c r="K4205">
        <v>1.121631</v>
      </c>
      <c r="L4205">
        <v>214.82900000000001</v>
      </c>
      <c r="M4205">
        <v>0.99990630000000003</v>
      </c>
      <c r="N4205">
        <v>-1.294002E-2</v>
      </c>
      <c r="O4205">
        <v>-4.4856360000000003E-3</v>
      </c>
      <c r="P4205">
        <v>0.98012730000000003</v>
      </c>
      <c r="Q4205">
        <v>0.19550809999999999</v>
      </c>
      <c r="R4205">
        <v>-3.3576990000000001E-2</v>
      </c>
      <c r="S4205">
        <v>3.0615839999999999</v>
      </c>
      <c r="T4205">
        <v>-3.8298249999999999E-2</v>
      </c>
      <c r="U4205">
        <v>-0.20164489999999999</v>
      </c>
      <c r="V4205">
        <v>2.9178329999999999E-2</v>
      </c>
      <c r="W4205">
        <v>0.20817620000000001</v>
      </c>
      <c r="X4205">
        <v>0.97765599999999997</v>
      </c>
      <c r="Y4205">
        <v>6.1233839999999998E-2</v>
      </c>
      <c r="Z4205">
        <v>-7.8116589999999999E-4</v>
      </c>
      <c r="AA4205">
        <v>0.99812319999999999</v>
      </c>
      <c r="AB4205">
        <v>33</v>
      </c>
      <c r="AC4205">
        <v>89.322800000000001</v>
      </c>
      <c r="AD4205">
        <v>-1.121627735326</v>
      </c>
      <c r="AE4205">
        <v>-5.9039999999999901</v>
      </c>
      <c r="AF4205">
        <v>5.5023736784653003</v>
      </c>
      <c r="AG4205">
        <v>-1.121627735326</v>
      </c>
      <c r="AH4205">
        <v>89.334361779657996</v>
      </c>
      <c r="AI4205">
        <v>90.717972595064793</v>
      </c>
      <c r="AJ4205">
        <v>86.475432107946602</v>
      </c>
      <c r="AK4205">
        <v>89.510682934792399</v>
      </c>
      <c r="AL4205">
        <v>77.984505470396897</v>
      </c>
      <c r="AM4205">
        <v>88.290503969053006</v>
      </c>
      <c r="AN4205">
        <v>0.99999997976201405</v>
      </c>
    </row>
    <row r="4206" spans="1:40" x14ac:dyDescent="0.25">
      <c r="A4206" t="str">
        <f>"20190303170337527"</f>
        <v>20190303170337527</v>
      </c>
      <c r="B4206" t="str">
        <f>"1551603817519697"</f>
        <v>1551603817519697</v>
      </c>
      <c r="C4206" t="s">
        <v>40</v>
      </c>
      <c r="D4206">
        <v>4.11876</v>
      </c>
      <c r="E4206">
        <v>0.51561869999999999</v>
      </c>
      <c r="F4206" t="s">
        <v>57</v>
      </c>
      <c r="G4206">
        <v>-181.38079999999999</v>
      </c>
      <c r="H4206" s="1">
        <v>3.0922650000000001E-6</v>
      </c>
      <c r="I4206">
        <v>209.03790000000001</v>
      </c>
      <c r="J4206">
        <v>-271.12709999999998</v>
      </c>
      <c r="K4206">
        <v>1.121629</v>
      </c>
      <c r="L4206">
        <v>214.82759999999999</v>
      </c>
      <c r="M4206">
        <v>0.99990679999999998</v>
      </c>
      <c r="N4206">
        <v>-1.291016E-2</v>
      </c>
      <c r="O4206">
        <v>-4.4680359999999999E-3</v>
      </c>
      <c r="P4206">
        <v>0.98027299999999995</v>
      </c>
      <c r="Q4206">
        <v>0.1948713</v>
      </c>
      <c r="R4206">
        <v>-3.302128E-2</v>
      </c>
      <c r="S4206">
        <v>3.0616759999999998</v>
      </c>
      <c r="T4206">
        <v>-3.8126710000000001E-2</v>
      </c>
      <c r="U4206">
        <v>-0.19685359999999999</v>
      </c>
      <c r="V4206">
        <v>2.8639230000000002E-2</v>
      </c>
      <c r="W4206">
        <v>0.20751249999999999</v>
      </c>
      <c r="X4206">
        <v>0.97781309999999999</v>
      </c>
      <c r="Y4206">
        <v>5.969431E-2</v>
      </c>
      <c r="Z4206">
        <v>-7.5911070000000004E-4</v>
      </c>
      <c r="AA4206">
        <v>0.9982164</v>
      </c>
      <c r="AB4206">
        <v>33</v>
      </c>
      <c r="AC4206">
        <v>89.746299999999906</v>
      </c>
      <c r="AD4206">
        <v>-1.1216259077349999</v>
      </c>
      <c r="AE4206">
        <v>-5.7896999999999803</v>
      </c>
      <c r="AF4206">
        <v>5.3877810792027896</v>
      </c>
      <c r="AG4206">
        <v>-1.1216259077349999</v>
      </c>
      <c r="AH4206">
        <v>89.757313364422103</v>
      </c>
      <c r="AI4206">
        <v>90.714656409035996</v>
      </c>
      <c r="AJ4206">
        <v>86.564879831361296</v>
      </c>
      <c r="AK4206">
        <v>89.925866868401002</v>
      </c>
      <c r="AL4206">
        <v>78.023382526507405</v>
      </c>
      <c r="AM4206">
        <v>88.322339891004901</v>
      </c>
      <c r="AN4206">
        <v>1.00000005084142</v>
      </c>
    </row>
    <row r="4207" spans="1:40" x14ac:dyDescent="0.25">
      <c r="A4207" t="str">
        <f>"20190303170337549"</f>
        <v>20190303170337549</v>
      </c>
      <c r="B4207" t="str">
        <f>"1551603817540192"</f>
        <v>1551603817540192</v>
      </c>
      <c r="C4207" t="s">
        <v>40</v>
      </c>
      <c r="D4207">
        <v>4.1313890000000004</v>
      </c>
      <c r="E4207">
        <v>0.51542379999999999</v>
      </c>
      <c r="F4207" t="s">
        <v>57</v>
      </c>
      <c r="G4207">
        <v>-185.00810000000001</v>
      </c>
      <c r="H4207" s="1">
        <v>3.6177999999999999E-6</v>
      </c>
      <c r="I4207">
        <v>209.37139999999999</v>
      </c>
      <c r="J4207">
        <v>-270.80099999999999</v>
      </c>
      <c r="K4207">
        <v>1.121623</v>
      </c>
      <c r="L4207">
        <v>214.8262</v>
      </c>
      <c r="M4207">
        <v>0.9999072</v>
      </c>
      <c r="N4207">
        <v>-1.28828E-2</v>
      </c>
      <c r="O4207">
        <v>-4.4490320000000003E-3</v>
      </c>
      <c r="P4207">
        <v>0.98039019999999999</v>
      </c>
      <c r="Q4207">
        <v>0.1943404</v>
      </c>
      <c r="R4207">
        <v>-3.2663329999999997E-2</v>
      </c>
      <c r="S4207">
        <v>3.061798</v>
      </c>
      <c r="T4207">
        <v>-3.9877299999999997E-2</v>
      </c>
      <c r="U4207">
        <v>-0.19398499999999999</v>
      </c>
      <c r="V4207">
        <v>2.829957E-2</v>
      </c>
      <c r="W4207">
        <v>0.20695649999999999</v>
      </c>
      <c r="X4207">
        <v>0.97794080000000005</v>
      </c>
      <c r="Y4207">
        <v>5.8778759999999999E-2</v>
      </c>
      <c r="Z4207">
        <v>-7.6079719999999997E-4</v>
      </c>
      <c r="AA4207">
        <v>0.99827080000000001</v>
      </c>
      <c r="AB4207">
        <v>33</v>
      </c>
      <c r="AC4207">
        <v>85.792899999999904</v>
      </c>
      <c r="AD4207">
        <v>-1.1216193822</v>
      </c>
      <c r="AE4207">
        <v>-5.4547999999999996</v>
      </c>
      <c r="AF4207">
        <v>5.0721555682206301</v>
      </c>
      <c r="AG4207">
        <v>-1.1216193822</v>
      </c>
      <c r="AH4207">
        <v>85.801715330070294</v>
      </c>
      <c r="AI4207">
        <v>90.747635655843297</v>
      </c>
      <c r="AJ4207">
        <v>86.616905713146494</v>
      </c>
      <c r="AK4207">
        <v>85.958822384495093</v>
      </c>
      <c r="AL4207">
        <v>78.055945675994906</v>
      </c>
      <c r="AM4207">
        <v>88.342442048591394</v>
      </c>
      <c r="AN4207">
        <v>1.00000003342953</v>
      </c>
    </row>
    <row r="4208" spans="1:40" x14ac:dyDescent="0.25">
      <c r="A4208" t="str">
        <f>"20190303170337572"</f>
        <v>20190303170337572</v>
      </c>
      <c r="B4208" t="str">
        <f>"1551603817559713"</f>
        <v>1551603817559713</v>
      </c>
      <c r="C4208" t="s">
        <v>40</v>
      </c>
      <c r="D4208">
        <v>4.1174239999999998</v>
      </c>
      <c r="E4208">
        <v>0.51525659999999995</v>
      </c>
      <c r="F4208" t="s">
        <v>57</v>
      </c>
      <c r="G4208">
        <v>-187.2688</v>
      </c>
      <c r="H4208" s="1">
        <v>3.9404800000000001E-6</v>
      </c>
      <c r="I4208">
        <v>209.59299999999999</v>
      </c>
      <c r="J4208">
        <v>-270.46140000000003</v>
      </c>
      <c r="K4208">
        <v>1.1216170000000001</v>
      </c>
      <c r="L4208">
        <v>214.82470000000001</v>
      </c>
      <c r="M4208">
        <v>0.99990760000000001</v>
      </c>
      <c r="N4208">
        <v>-1.2856950000000001E-2</v>
      </c>
      <c r="O4208">
        <v>-4.4292009999999998E-3</v>
      </c>
      <c r="P4208">
        <v>0.98044319999999896</v>
      </c>
      <c r="Q4208">
        <v>0.19416630000000001</v>
      </c>
      <c r="R4208">
        <v>-3.2099780000000001E-2</v>
      </c>
      <c r="S4208">
        <v>3.061798</v>
      </c>
      <c r="T4208">
        <v>-4.1111950000000001E-2</v>
      </c>
      <c r="U4208">
        <v>-0.19181819999999999</v>
      </c>
      <c r="V4208">
        <v>2.775553E-2</v>
      </c>
      <c r="W4208">
        <v>0.20675769999999999</v>
      </c>
      <c r="X4208">
        <v>0.97799840000000005</v>
      </c>
      <c r="Y4208">
        <v>5.8094550000000002E-2</v>
      </c>
      <c r="Z4208">
        <v>-7.6098810000000002E-4</v>
      </c>
      <c r="AA4208">
        <v>0.99831080000000005</v>
      </c>
      <c r="AB4208">
        <v>33</v>
      </c>
      <c r="AC4208">
        <v>83.192599999999999</v>
      </c>
      <c r="AD4208">
        <v>-1.12161305952</v>
      </c>
      <c r="AE4208">
        <v>-5.2317000000000098</v>
      </c>
      <c r="AF4208">
        <v>4.86226117116599</v>
      </c>
      <c r="AG4208">
        <v>-1.12161305952</v>
      </c>
      <c r="AH4208">
        <v>83.199894515411401</v>
      </c>
      <c r="AI4208">
        <v>90.771038978638998</v>
      </c>
      <c r="AJ4208">
        <v>86.655397947370702</v>
      </c>
      <c r="AK4208">
        <v>83.349397399906294</v>
      </c>
      <c r="AL4208">
        <v>78.067587396604097</v>
      </c>
      <c r="AM4208">
        <v>88.374385902215195</v>
      </c>
      <c r="AN4208">
        <v>0.99999999317871502</v>
      </c>
    </row>
    <row r="4209" spans="1:40" x14ac:dyDescent="0.25">
      <c r="A4209" t="str">
        <f>"20190303170337594"</f>
        <v>20190303170337594</v>
      </c>
      <c r="B4209" t="str">
        <f>"1551603817589968"</f>
        <v>1551603817589968</v>
      </c>
      <c r="C4209" t="s">
        <v>40</v>
      </c>
      <c r="D4209">
        <v>4.1121349999999897</v>
      </c>
      <c r="E4209">
        <v>0.51505879999999904</v>
      </c>
      <c r="F4209" t="s">
        <v>57</v>
      </c>
      <c r="G4209">
        <v>-187.83869999999999</v>
      </c>
      <c r="H4209" s="1">
        <v>4.0244839999999997E-6</v>
      </c>
      <c r="I4209">
        <v>209.7174</v>
      </c>
      <c r="J4209">
        <v>-270.12900000000002</v>
      </c>
      <c r="K4209">
        <v>1.1216159999999999</v>
      </c>
      <c r="L4209">
        <v>214.82329999999999</v>
      </c>
      <c r="M4209">
        <v>0.99990809999999997</v>
      </c>
      <c r="N4209">
        <v>-1.2834299999999899E-2</v>
      </c>
      <c r="O4209">
        <v>-4.4098669999999996E-3</v>
      </c>
      <c r="P4209">
        <v>0.98044010000000004</v>
      </c>
      <c r="Q4209">
        <v>0.19433909999999999</v>
      </c>
      <c r="R4209">
        <v>-3.1143629999999999E-2</v>
      </c>
      <c r="S4209">
        <v>3.06189</v>
      </c>
      <c r="T4209">
        <v>-4.1565539999999998E-2</v>
      </c>
      <c r="U4209">
        <v>-0.18926999999999999</v>
      </c>
      <c r="V4209">
        <v>2.681805E-2</v>
      </c>
      <c r="W4209">
        <v>0.20690839999999999</v>
      </c>
      <c r="X4209">
        <v>0.97799270000000005</v>
      </c>
      <c r="Y4209">
        <v>5.7284340000000003E-2</v>
      </c>
      <c r="Z4209">
        <v>-7.5317869999999999E-4</v>
      </c>
      <c r="AA4209">
        <v>0.99835759999999996</v>
      </c>
      <c r="AB4209">
        <v>33</v>
      </c>
      <c r="AC4209">
        <v>82.290300000000002</v>
      </c>
      <c r="AD4209">
        <v>-1.1216119755159999</v>
      </c>
      <c r="AE4209">
        <v>-5.1058999999999903</v>
      </c>
      <c r="AF4209">
        <v>4.7420536651504896</v>
      </c>
      <c r="AG4209">
        <v>-1.1216119755159999</v>
      </c>
      <c r="AH4209">
        <v>82.296787831311406</v>
      </c>
      <c r="AI4209">
        <v>90.779535332618806</v>
      </c>
      <c r="AJ4209">
        <v>86.702185286702303</v>
      </c>
      <c r="AK4209">
        <v>82.440926570112495</v>
      </c>
      <c r="AL4209">
        <v>78.058762260103293</v>
      </c>
      <c r="AM4209">
        <v>88.429256047061699</v>
      </c>
      <c r="AN4209">
        <v>1.0000000075248201</v>
      </c>
    </row>
    <row r="4210" spans="1:40" x14ac:dyDescent="0.25">
      <c r="A4210" t="str">
        <f>"20190303170337618"</f>
        <v>20190303170337618</v>
      </c>
      <c r="B4210" t="str">
        <f>"1551603817609488"</f>
        <v>1551603817609488</v>
      </c>
      <c r="C4210" t="s">
        <v>40</v>
      </c>
      <c r="D4210">
        <v>4.1137870000000003</v>
      </c>
      <c r="E4210">
        <v>0.51489839999999998</v>
      </c>
      <c r="F4210" t="s">
        <v>57</v>
      </c>
      <c r="G4210">
        <v>-186.5129</v>
      </c>
      <c r="H4210" s="1">
        <v>3.7849299999999999E-6</v>
      </c>
      <c r="I4210">
        <v>209.76740000000001</v>
      </c>
      <c r="J4210">
        <v>-269.79730000000001</v>
      </c>
      <c r="K4210">
        <v>1.1216109999999999</v>
      </c>
      <c r="L4210">
        <v>214.8218</v>
      </c>
      <c r="M4210">
        <v>0.99990809999999997</v>
      </c>
      <c r="N4210">
        <v>-1.28202E-2</v>
      </c>
      <c r="O4210">
        <v>-4.3917720000000004E-3</v>
      </c>
      <c r="P4210">
        <v>0.98042209999999996</v>
      </c>
      <c r="Q4210">
        <v>0.19452179999999999</v>
      </c>
      <c r="R4210">
        <v>-3.0559780000000002E-2</v>
      </c>
      <c r="S4210">
        <v>3.062103</v>
      </c>
      <c r="T4210">
        <v>-4.1074510000000002E-2</v>
      </c>
      <c r="U4210">
        <v>-0.18515010000000001</v>
      </c>
      <c r="V4210">
        <v>2.6252009999999999E-2</v>
      </c>
      <c r="W4210">
        <v>0.20707729999999999</v>
      </c>
      <c r="X4210">
        <v>0.97797230000000002</v>
      </c>
      <c r="Y4210">
        <v>5.5960259999999998E-2</v>
      </c>
      <c r="Z4210">
        <v>-7.3145000000000003E-4</v>
      </c>
      <c r="AA4210">
        <v>0.99843280000000001</v>
      </c>
      <c r="AB4210">
        <v>33</v>
      </c>
      <c r="AC4210">
        <v>83.284400000000005</v>
      </c>
      <c r="AD4210">
        <v>-1.1216072150700001</v>
      </c>
      <c r="AE4210">
        <v>-5.0543999999999798</v>
      </c>
      <c r="AF4210">
        <v>4.6877079954499798</v>
      </c>
      <c r="AG4210">
        <v>-1.1216072150700001</v>
      </c>
      <c r="AH4210">
        <v>83.290745661074695</v>
      </c>
      <c r="AI4210">
        <v>90.770289124241003</v>
      </c>
      <c r="AJ4210">
        <v>86.778719769401306</v>
      </c>
      <c r="AK4210">
        <v>83.430096019202495</v>
      </c>
      <c r="AL4210">
        <v>78.048870660889193</v>
      </c>
      <c r="AM4210">
        <v>88.4623610919501</v>
      </c>
      <c r="AN4210">
        <v>0.99999999788580995</v>
      </c>
    </row>
    <row r="4211" spans="1:40" x14ac:dyDescent="0.25">
      <c r="A4211" t="str">
        <f>"20190303170337638"</f>
        <v>20190303170337638</v>
      </c>
      <c r="B4211" t="str">
        <f>"1551603817629985"</f>
        <v>1551603817629985</v>
      </c>
      <c r="C4211" t="s">
        <v>40</v>
      </c>
      <c r="D4211">
        <v>4.1373610000000003</v>
      </c>
      <c r="E4211">
        <v>0.51479090000000005</v>
      </c>
      <c r="F4211" t="s">
        <v>57</v>
      </c>
      <c r="G4211">
        <v>-185.26050000000001</v>
      </c>
      <c r="H4211" s="1">
        <v>3.5573260000000001E-6</v>
      </c>
      <c r="I4211">
        <v>209.82990000000001</v>
      </c>
      <c r="J4211">
        <v>-269.4785</v>
      </c>
      <c r="K4211">
        <v>1.1216120000000001</v>
      </c>
      <c r="L4211">
        <v>214.82040000000001</v>
      </c>
      <c r="M4211">
        <v>0.99990829999999997</v>
      </c>
      <c r="N4211">
        <v>-1.28171E-2</v>
      </c>
      <c r="O4211">
        <v>-4.3799199999999998E-3</v>
      </c>
      <c r="P4211">
        <v>0.98062740000000004</v>
      </c>
      <c r="Q4211">
        <v>0.1934881</v>
      </c>
      <c r="R4211">
        <v>-3.0538349999999999E-2</v>
      </c>
      <c r="S4211">
        <v>3.0623170000000002</v>
      </c>
      <c r="T4211">
        <v>-4.0629859999999997E-2</v>
      </c>
      <c r="U4211">
        <v>-0.18083189999999999</v>
      </c>
      <c r="V4211">
        <v>2.6240360000000001E-2</v>
      </c>
      <c r="W4211">
        <v>0.2060429</v>
      </c>
      <c r="X4211">
        <v>0.97819109999999998</v>
      </c>
      <c r="Y4211">
        <v>5.456536E-2</v>
      </c>
      <c r="Z4211">
        <v>-7.0971779999999996E-4</v>
      </c>
      <c r="AA4211">
        <v>0.99850989999999995</v>
      </c>
      <c r="AB4211">
        <v>33</v>
      </c>
      <c r="AC4211">
        <v>84.217999999999904</v>
      </c>
      <c r="AD4211">
        <v>-1.1216084426740001</v>
      </c>
      <c r="AE4211">
        <v>-4.9904999999999902</v>
      </c>
      <c r="AF4211">
        <v>4.6207370336836897</v>
      </c>
      <c r="AG4211">
        <v>-1.1216084426740001</v>
      </c>
      <c r="AH4211">
        <v>84.224165531066902</v>
      </c>
      <c r="AI4211">
        <v>90.761814064403097</v>
      </c>
      <c r="AJ4211">
        <v>86.859765998337195</v>
      </c>
      <c r="AK4211">
        <v>84.358279235873994</v>
      </c>
      <c r="AL4211">
        <v>78.109444137727493</v>
      </c>
      <c r="AM4211">
        <v>88.463386749989098</v>
      </c>
      <c r="AN4211">
        <v>1.00000003062627</v>
      </c>
    </row>
    <row r="4212" spans="1:40" x14ac:dyDescent="0.25">
      <c r="A4212" t="str">
        <f>"20190303170337661"</f>
        <v>20190303170337661</v>
      </c>
      <c r="B4212" t="str">
        <f>"1551603817649504"</f>
        <v>1551603817649504</v>
      </c>
      <c r="C4212" t="s">
        <v>40</v>
      </c>
      <c r="D4212">
        <v>4.2186760000000003</v>
      </c>
      <c r="E4212">
        <v>0.5146963</v>
      </c>
      <c r="F4212" t="s">
        <v>57</v>
      </c>
      <c r="G4212">
        <v>-190.67490000000001</v>
      </c>
      <c r="H4212" s="1">
        <v>4.2309999999999998E-6</v>
      </c>
      <c r="I4212">
        <v>210.1996</v>
      </c>
      <c r="J4212">
        <v>-269.14909999999998</v>
      </c>
      <c r="K4212">
        <v>1.1216079999999999</v>
      </c>
      <c r="L4212">
        <v>214.81899999999999</v>
      </c>
      <c r="M4212">
        <v>0.99990840000000003</v>
      </c>
      <c r="N4212">
        <v>-1.2819880000000001E-2</v>
      </c>
      <c r="O4212">
        <v>-4.360666E-3</v>
      </c>
      <c r="P4212">
        <v>0.9809312</v>
      </c>
      <c r="Q4212">
        <v>0.19192310000000001</v>
      </c>
      <c r="R4212">
        <v>-3.0656510000000001E-2</v>
      </c>
      <c r="S4212">
        <v>3.0622859999999998</v>
      </c>
      <c r="T4212">
        <v>-4.358542E-2</v>
      </c>
      <c r="U4212">
        <v>-0.17956539999999999</v>
      </c>
      <c r="V4212">
        <v>2.6377279999999999E-2</v>
      </c>
      <c r="W4212">
        <v>0.2044842</v>
      </c>
      <c r="X4212">
        <v>0.97851440000000001</v>
      </c>
      <c r="Y4212">
        <v>5.4172650000000003E-2</v>
      </c>
      <c r="Z4212">
        <v>-7.2661009999999996E-4</v>
      </c>
      <c r="AA4212">
        <v>0.99853130000000001</v>
      </c>
      <c r="AB4212">
        <v>33</v>
      </c>
      <c r="AC4212">
        <v>78.474199999999897</v>
      </c>
      <c r="AD4212">
        <v>-1.121603769</v>
      </c>
      <c r="AE4212">
        <v>-4.6194000000000104</v>
      </c>
      <c r="AF4212">
        <v>4.2762576669288803</v>
      </c>
      <c r="AG4212">
        <v>-1.121603769</v>
      </c>
      <c r="AH4212">
        <v>78.4776230553299</v>
      </c>
      <c r="AI4212">
        <v>90.817603945962901</v>
      </c>
      <c r="AJ4212">
        <v>86.881028708298402</v>
      </c>
      <c r="AK4212">
        <v>78.602046379614407</v>
      </c>
      <c r="AL4212">
        <v>78.200693599819303</v>
      </c>
      <c r="AM4212">
        <v>88.455882800906494</v>
      </c>
      <c r="AN4212">
        <v>0.99999998997859896</v>
      </c>
    </row>
    <row r="4213" spans="1:40" x14ac:dyDescent="0.25">
      <c r="A4213" t="str">
        <f>"20190303170337684"</f>
        <v>20190303170337684</v>
      </c>
      <c r="B4213" t="str">
        <f>"1551603817679761"</f>
        <v>1551603817679761</v>
      </c>
      <c r="C4213" t="s">
        <v>40</v>
      </c>
      <c r="D4213">
        <v>4.1321580000000004</v>
      </c>
      <c r="E4213">
        <v>0.51462829999999904</v>
      </c>
      <c r="F4213" t="s">
        <v>57</v>
      </c>
      <c r="G4213">
        <v>-197.67779999999999</v>
      </c>
      <c r="H4213" s="1">
        <v>2.9508109999999999E-6</v>
      </c>
      <c r="I4213">
        <v>210.63419999999999</v>
      </c>
      <c r="J4213">
        <v>-268.8091</v>
      </c>
      <c r="K4213">
        <v>1.1216010000000001</v>
      </c>
      <c r="L4213">
        <v>214.8176</v>
      </c>
      <c r="M4213">
        <v>0.99990840000000003</v>
      </c>
      <c r="N4213">
        <v>-1.282488E-2</v>
      </c>
      <c r="O4213">
        <v>-4.3371340000000003E-3</v>
      </c>
      <c r="P4213">
        <v>0.98113019999999995</v>
      </c>
      <c r="Q4213">
        <v>0.19082940000000001</v>
      </c>
      <c r="R4213">
        <v>-3.1110349999999998E-2</v>
      </c>
      <c r="S4213">
        <v>3.0620729999999998</v>
      </c>
      <c r="T4213">
        <v>-4.805338E-2</v>
      </c>
      <c r="U4213">
        <v>-0.1792908</v>
      </c>
      <c r="V4213">
        <v>2.6854659999999999E-2</v>
      </c>
      <c r="W4213">
        <v>0.20339840000000001</v>
      </c>
      <c r="X4213">
        <v>0.97872769999999998</v>
      </c>
      <c r="Y4213">
        <v>5.4109289999999997E-2</v>
      </c>
      <c r="Z4213">
        <v>-7.5908499999999995E-4</v>
      </c>
      <c r="AA4213">
        <v>0.9985347</v>
      </c>
      <c r="AB4213">
        <v>33</v>
      </c>
      <c r="AC4213">
        <v>71.131299999999996</v>
      </c>
      <c r="AD4213">
        <v>-1.1215980491890001</v>
      </c>
      <c r="AE4213">
        <v>-4.1833999999999998</v>
      </c>
      <c r="AF4213">
        <v>3.8738694688708502</v>
      </c>
      <c r="AG4213">
        <v>-1.1215980491890001</v>
      </c>
      <c r="AH4213">
        <v>71.131151972903396</v>
      </c>
      <c r="AI4213">
        <v>90.902030138993993</v>
      </c>
      <c r="AJ4213">
        <v>86.882697467108898</v>
      </c>
      <c r="AK4213">
        <v>71.245390221670206</v>
      </c>
      <c r="AL4213">
        <v>78.264241003584303</v>
      </c>
      <c r="AM4213">
        <v>88.428293467244899</v>
      </c>
      <c r="AN4213">
        <v>0.99999999631678205</v>
      </c>
    </row>
    <row r="4214" spans="1:40" x14ac:dyDescent="0.25">
      <c r="A4214" t="str">
        <f>"20190303170337707"</f>
        <v>20190303170337707</v>
      </c>
      <c r="B4214" t="str">
        <f>"1551603817699280"</f>
        <v>1551603817699280</v>
      </c>
      <c r="C4214" t="s">
        <v>40</v>
      </c>
      <c r="D4214">
        <v>4.1324909999999999</v>
      </c>
      <c r="E4214">
        <v>0.51458609999999905</v>
      </c>
      <c r="F4214" t="s">
        <v>57</v>
      </c>
      <c r="G4214">
        <v>-201.1832</v>
      </c>
      <c r="H4214" s="1">
        <v>3.0725409999999999E-6</v>
      </c>
      <c r="I4214">
        <v>210.83170000000001</v>
      </c>
      <c r="J4214">
        <v>-268.47910000000002</v>
      </c>
      <c r="K4214">
        <v>1.1215999999999999</v>
      </c>
      <c r="L4214">
        <v>214.81610000000001</v>
      </c>
      <c r="M4214">
        <v>0.99990829999999997</v>
      </c>
      <c r="N4214">
        <v>-1.283048E-2</v>
      </c>
      <c r="O4214">
        <v>-4.3149900000000003E-3</v>
      </c>
      <c r="P4214">
        <v>0.98119529999999999</v>
      </c>
      <c r="Q4214">
        <v>0.1904005</v>
      </c>
      <c r="R4214">
        <v>-3.1671159999999997E-2</v>
      </c>
      <c r="S4214">
        <v>3.0618590000000001</v>
      </c>
      <c r="T4214">
        <v>-5.0781970000000003E-2</v>
      </c>
      <c r="U4214">
        <v>-0.18046570000000001</v>
      </c>
      <c r="V4214">
        <v>2.7436680000000001E-2</v>
      </c>
      <c r="W4214">
        <v>0.20297589999999999</v>
      </c>
      <c r="X4214">
        <v>0.97879930000000004</v>
      </c>
      <c r="Y4214">
        <v>5.4516149999999999E-2</v>
      </c>
      <c r="Z4214">
        <v>-7.8557829999999999E-4</v>
      </c>
      <c r="AA4214">
        <v>0.99851259999999997</v>
      </c>
      <c r="AB4214">
        <v>33</v>
      </c>
      <c r="AC4214">
        <v>67.295900000000003</v>
      </c>
      <c r="AD4214">
        <v>-1.1215969274590001</v>
      </c>
      <c r="AE4214">
        <v>-3.9843999999999902</v>
      </c>
      <c r="AF4214">
        <v>3.69293560930155</v>
      </c>
      <c r="AG4214">
        <v>-1.1215969274590001</v>
      </c>
      <c r="AH4214">
        <v>67.2938400723759</v>
      </c>
      <c r="AI4214">
        <v>90.953434957399395</v>
      </c>
      <c r="AJ4214">
        <v>86.858886317362405</v>
      </c>
      <c r="AK4214">
        <v>67.404426151170796</v>
      </c>
      <c r="AL4214">
        <v>78.288964581226494</v>
      </c>
      <c r="AM4214">
        <v>88.394364978180903</v>
      </c>
      <c r="AN4214">
        <v>1.0000000285353601</v>
      </c>
    </row>
    <row r="4215" spans="1:40" x14ac:dyDescent="0.25">
      <c r="A4215" t="str">
        <f>"20190303170337728"</f>
        <v>20190303170337728</v>
      </c>
      <c r="B4215" t="str">
        <f>"1551603817719777"</f>
        <v>1551603817719777</v>
      </c>
      <c r="C4215" t="s">
        <v>40</v>
      </c>
      <c r="D4215">
        <v>4.1484670000000001</v>
      </c>
      <c r="E4215">
        <v>0.51463170000000003</v>
      </c>
      <c r="F4215" t="s">
        <v>57</v>
      </c>
      <c r="G4215">
        <v>-202.1524</v>
      </c>
      <c r="H4215" s="1">
        <v>3.4982950000000001E-6</v>
      </c>
      <c r="I4215">
        <v>210.87790000000001</v>
      </c>
      <c r="J4215">
        <v>-268.15699999999998</v>
      </c>
      <c r="K4215">
        <v>1.12161</v>
      </c>
      <c r="L4215">
        <v>214.81479999999999</v>
      </c>
      <c r="M4215">
        <v>0.99990840000000003</v>
      </c>
      <c r="N4215">
        <v>-1.28364E-2</v>
      </c>
      <c r="O4215">
        <v>-4.2926750000000001E-3</v>
      </c>
      <c r="P4215">
        <v>0.98102549999999999</v>
      </c>
      <c r="Q4215">
        <v>0.1911349</v>
      </c>
      <c r="R4215">
        <v>-3.2506279999999999E-2</v>
      </c>
      <c r="S4215">
        <v>3.0616759999999998</v>
      </c>
      <c r="T4215">
        <v>-5.1773430000000002E-2</v>
      </c>
      <c r="U4215">
        <v>-0.18179319999999999</v>
      </c>
      <c r="V4215">
        <v>2.8292299999999999E-2</v>
      </c>
      <c r="W4215">
        <v>0.20371400000000001</v>
      </c>
      <c r="X4215">
        <v>0.97862150000000003</v>
      </c>
      <c r="Y4215">
        <v>5.4972849999999997E-2</v>
      </c>
      <c r="Z4215">
        <v>-8.0009259999999996E-4</v>
      </c>
      <c r="AA4215">
        <v>0.99848749999999997</v>
      </c>
      <c r="AB4215">
        <v>33</v>
      </c>
      <c r="AC4215">
        <v>66.004599999999897</v>
      </c>
      <c r="AD4215">
        <v>-1.1216065017049901</v>
      </c>
      <c r="AE4215">
        <v>-3.9368999999999699</v>
      </c>
      <c r="AF4215">
        <v>3.6524531471836799</v>
      </c>
      <c r="AG4215">
        <v>-1.1216065017049901</v>
      </c>
      <c r="AH4215">
        <v>66.001902033038107</v>
      </c>
      <c r="AI4215">
        <v>90.972077877970605</v>
      </c>
      <c r="AJ4215">
        <v>86.832562166274101</v>
      </c>
      <c r="AK4215">
        <v>66.112400403523395</v>
      </c>
      <c r="AL4215">
        <v>78.245771147984499</v>
      </c>
      <c r="AM4215">
        <v>88.344019638381198</v>
      </c>
      <c r="AN4215">
        <v>0.99999994414876803</v>
      </c>
    </row>
    <row r="4216" spans="1:40" x14ac:dyDescent="0.25">
      <c r="A4216" t="str">
        <f>"20190303170337751"</f>
        <v>20190303170337751</v>
      </c>
      <c r="B4216" t="str">
        <f>"1551603817739296"</f>
        <v>1551603817739296</v>
      </c>
      <c r="C4216" t="s">
        <v>40</v>
      </c>
      <c r="D4216">
        <v>4.1614339999999999</v>
      </c>
      <c r="E4216">
        <v>0.51458199999999998</v>
      </c>
      <c r="F4216" t="s">
        <v>57</v>
      </c>
      <c r="G4216">
        <v>-198.84289999999999</v>
      </c>
      <c r="H4216" s="1">
        <v>2.745407E-6</v>
      </c>
      <c r="I4216">
        <v>210.6198</v>
      </c>
      <c r="J4216">
        <v>-267.82909999999998</v>
      </c>
      <c r="K4216">
        <v>1.121615</v>
      </c>
      <c r="L4216">
        <v>214.8134</v>
      </c>
      <c r="M4216">
        <v>0.99990860000000004</v>
      </c>
      <c r="N4216">
        <v>-1.284243E-2</v>
      </c>
      <c r="O4216">
        <v>-4.2618530000000003E-3</v>
      </c>
      <c r="P4216">
        <v>0.98107940000000005</v>
      </c>
      <c r="Q4216">
        <v>0.1908822</v>
      </c>
      <c r="R4216">
        <v>-3.2365600000000001E-2</v>
      </c>
      <c r="S4216">
        <v>3.0615230000000002</v>
      </c>
      <c r="T4216">
        <v>-4.954004E-2</v>
      </c>
      <c r="U4216">
        <v>-0.18528749999999999</v>
      </c>
      <c r="V4216">
        <v>2.8178330000000001E-2</v>
      </c>
      <c r="W4216">
        <v>0.20346800000000001</v>
      </c>
      <c r="X4216">
        <v>0.97867599999999999</v>
      </c>
      <c r="Y4216">
        <v>5.6142699999999997E-2</v>
      </c>
      <c r="Z4216">
        <v>-8.0047539999999996E-4</v>
      </c>
      <c r="AA4216">
        <v>0.99842240000000004</v>
      </c>
      <c r="AB4216">
        <v>33</v>
      </c>
      <c r="AC4216">
        <v>68.986199999999997</v>
      </c>
      <c r="AD4216">
        <v>-1.1216122545930001</v>
      </c>
      <c r="AE4216">
        <v>-4.1936</v>
      </c>
      <c r="AF4216">
        <v>3.8985019294901302</v>
      </c>
      <c r="AG4216">
        <v>-1.1216122545930001</v>
      </c>
      <c r="AH4216">
        <v>68.985279006543493</v>
      </c>
      <c r="AI4216">
        <v>90.929990326887506</v>
      </c>
      <c r="AJ4216">
        <v>86.765536339728797</v>
      </c>
      <c r="AK4216">
        <v>69.104450297752507</v>
      </c>
      <c r="AL4216">
        <v>78.260167842505396</v>
      </c>
      <c r="AM4216">
        <v>88.350778535015806</v>
      </c>
      <c r="AN4216">
        <v>0.99999997914079397</v>
      </c>
    </row>
    <row r="4217" spans="1:40" x14ac:dyDescent="0.25">
      <c r="A4217" t="str">
        <f>"20190303170337773"</f>
        <v>20190303170337773</v>
      </c>
      <c r="B4217" t="str">
        <f>"1551603817769553"</f>
        <v>1551603817769553</v>
      </c>
      <c r="C4217" t="s">
        <v>40</v>
      </c>
      <c r="D4217">
        <v>4.1023809999999896</v>
      </c>
      <c r="E4217">
        <v>0.51456170000000001</v>
      </c>
      <c r="F4217" t="s">
        <v>57</v>
      </c>
      <c r="G4217">
        <v>-199.0839</v>
      </c>
      <c r="H4217" s="1">
        <v>2.6979719999999999E-6</v>
      </c>
      <c r="I4217">
        <v>210.67339999999999</v>
      </c>
      <c r="J4217">
        <v>-267.49380000000002</v>
      </c>
      <c r="K4217">
        <v>1.121621</v>
      </c>
      <c r="L4217">
        <v>214.81200000000001</v>
      </c>
      <c r="M4217">
        <v>0.99990869999999998</v>
      </c>
      <c r="N4217">
        <v>-1.284829E-2</v>
      </c>
      <c r="O4217">
        <v>-4.2142890000000004E-3</v>
      </c>
      <c r="P4217">
        <v>0.98132839999999999</v>
      </c>
      <c r="Q4217">
        <v>0.18959429999999999</v>
      </c>
      <c r="R4217">
        <v>-3.2387909999999999E-2</v>
      </c>
      <c r="S4217">
        <v>3.061493</v>
      </c>
      <c r="T4217">
        <v>-4.9949769999999998E-2</v>
      </c>
      <c r="U4217">
        <v>-0.18437190000000001</v>
      </c>
      <c r="V4217">
        <v>2.8241390000000002E-2</v>
      </c>
      <c r="W4217">
        <v>0.2021905</v>
      </c>
      <c r="X4217">
        <v>0.97893889999999995</v>
      </c>
      <c r="Y4217">
        <v>5.5893190000000002E-2</v>
      </c>
      <c r="Z4217">
        <v>-8.003795E-4</v>
      </c>
      <c r="AA4217">
        <v>0.99843649999999995</v>
      </c>
      <c r="AB4217">
        <v>33</v>
      </c>
      <c r="AC4217">
        <v>68.409899999999993</v>
      </c>
      <c r="AD4217">
        <v>-1.1216183020279999</v>
      </c>
      <c r="AE4217">
        <v>-4.1386000000000198</v>
      </c>
      <c r="AF4217">
        <v>3.8492094410320798</v>
      </c>
      <c r="AG4217">
        <v>-1.1216183020279999</v>
      </c>
      <c r="AH4217">
        <v>68.408413005163297</v>
      </c>
      <c r="AI4217">
        <v>90.937849156545695</v>
      </c>
      <c r="AJ4217">
        <v>86.779472976988501</v>
      </c>
      <c r="AK4217">
        <v>68.525801059318994</v>
      </c>
      <c r="AL4217">
        <v>78.334916851328998</v>
      </c>
      <c r="AM4217">
        <v>88.347533457045103</v>
      </c>
      <c r="AN4217">
        <v>0.99999997216629499</v>
      </c>
    </row>
    <row r="4218" spans="1:40" x14ac:dyDescent="0.25">
      <c r="A4218" t="str">
        <f>"20190303170337796"</f>
        <v>20190303170337796</v>
      </c>
      <c r="B4218" t="str">
        <f>"1551603817790048"</f>
        <v>1551603817790048</v>
      </c>
      <c r="C4218" t="s">
        <v>40</v>
      </c>
      <c r="D4218">
        <v>4.1369629999999997</v>
      </c>
      <c r="E4218">
        <v>0.51451939999999996</v>
      </c>
      <c r="F4218" t="s">
        <v>57</v>
      </c>
      <c r="G4218">
        <v>-203.19329999999999</v>
      </c>
      <c r="H4218" s="1">
        <v>3.9530759999999997E-6</v>
      </c>
      <c r="I4218">
        <v>210.9562</v>
      </c>
      <c r="J4218">
        <v>-267.15089999999998</v>
      </c>
      <c r="K4218">
        <v>1.1216390000000001</v>
      </c>
      <c r="L4218">
        <v>214.81059999999999</v>
      </c>
      <c r="M4218">
        <v>0.99990869999999998</v>
      </c>
      <c r="N4218">
        <v>-1.285379E-2</v>
      </c>
      <c r="O4218">
        <v>-4.1422000000000004E-3</v>
      </c>
      <c r="P4218">
        <v>0.98137249999999998</v>
      </c>
      <c r="Q4218">
        <v>0.18938469999999999</v>
      </c>
      <c r="R4218">
        <v>-3.2269159999999998E-2</v>
      </c>
      <c r="S4218">
        <v>3.0613709999999998</v>
      </c>
      <c r="T4218">
        <v>-5.3400639999999999E-2</v>
      </c>
      <c r="U4218">
        <v>-0.18357850000000001</v>
      </c>
      <c r="V4218">
        <v>2.8185410000000001E-2</v>
      </c>
      <c r="W4218">
        <v>0.20198730000000001</v>
      </c>
      <c r="X4218">
        <v>0.97898249999999998</v>
      </c>
      <c r="Y4218">
        <v>5.5708300000000002E-2</v>
      </c>
      <c r="Z4218">
        <v>-8.2482919999999997E-4</v>
      </c>
      <c r="AA4218">
        <v>0.99844679999999997</v>
      </c>
      <c r="AB4218">
        <v>33</v>
      </c>
      <c r="AC4218">
        <v>63.9575999999999</v>
      </c>
      <c r="AD4218">
        <v>-1.121635046924</v>
      </c>
      <c r="AE4218">
        <v>-3.8543999999999898</v>
      </c>
      <c r="AF4218">
        <v>3.588320238453</v>
      </c>
      <c r="AG4218">
        <v>-1.121635046924</v>
      </c>
      <c r="AH4218">
        <v>63.953420398901201</v>
      </c>
      <c r="AI4218">
        <v>91.003190720716702</v>
      </c>
      <c r="AJ4218">
        <v>86.788596102897102</v>
      </c>
      <c r="AK4218">
        <v>64.063828234275604</v>
      </c>
      <c r="AL4218">
        <v>78.346805091424997</v>
      </c>
      <c r="AM4218">
        <v>88.350880568615693</v>
      </c>
      <c r="AN4218">
        <v>1.0000000110022</v>
      </c>
    </row>
    <row r="4219" spans="1:40" x14ac:dyDescent="0.25">
      <c r="A4219" t="str">
        <f>"20190303170337819"</f>
        <v>20190303170337819</v>
      </c>
      <c r="B4219" t="str">
        <f>"1551603817809567"</f>
        <v>1551603817809567</v>
      </c>
      <c r="C4219" t="s">
        <v>40</v>
      </c>
      <c r="D4219">
        <v>4.1728829999999997</v>
      </c>
      <c r="E4219">
        <v>0.51448240000000001</v>
      </c>
      <c r="F4219" t="s">
        <v>57</v>
      </c>
      <c r="G4219">
        <v>-203.40469999999999</v>
      </c>
      <c r="H4219" s="1">
        <v>4.042292E-6</v>
      </c>
      <c r="I4219">
        <v>211.00800000000001</v>
      </c>
      <c r="J4219">
        <v>-266.82130000000001</v>
      </c>
      <c r="K4219">
        <v>1.1216680000000001</v>
      </c>
      <c r="L4219">
        <v>214.80940000000001</v>
      </c>
      <c r="M4219">
        <v>0.9999093</v>
      </c>
      <c r="N4219">
        <v>-1.285851E-2</v>
      </c>
      <c r="O4219">
        <v>-4.0491440000000002E-3</v>
      </c>
      <c r="P4219">
        <v>0.981263</v>
      </c>
      <c r="Q4219">
        <v>0.18998950000000001</v>
      </c>
      <c r="R4219">
        <v>-3.204825E-2</v>
      </c>
      <c r="S4219">
        <v>3.0613709999999998</v>
      </c>
      <c r="T4219">
        <v>-5.3865789999999997E-2</v>
      </c>
      <c r="U4219">
        <v>-0.18261720000000001</v>
      </c>
      <c r="V4219">
        <v>2.8045299999999999E-2</v>
      </c>
      <c r="W4219">
        <v>0.20259720000000001</v>
      </c>
      <c r="X4219">
        <v>0.97886050000000002</v>
      </c>
      <c r="Y4219">
        <v>5.5488679999999999E-2</v>
      </c>
      <c r="Z4219">
        <v>-8.256769E-4</v>
      </c>
      <c r="AA4219">
        <v>0.99845899999999999</v>
      </c>
      <c r="AB4219">
        <v>33</v>
      </c>
      <c r="AC4219">
        <v>63.416600000000003</v>
      </c>
      <c r="AD4219">
        <v>-1.1216639577079901</v>
      </c>
      <c r="AE4219">
        <v>-3.8014000000000201</v>
      </c>
      <c r="AF4219">
        <v>3.5434601391704601</v>
      </c>
      <c r="AG4219">
        <v>-1.1216639577079901</v>
      </c>
      <c r="AH4219">
        <v>63.411707150578003</v>
      </c>
      <c r="AI4219">
        <v>91.011797954206301</v>
      </c>
      <c r="AJ4219">
        <v>86.801625554721497</v>
      </c>
      <c r="AK4219">
        <v>63.520538753560501</v>
      </c>
      <c r="AL4219">
        <v>78.311122791286607</v>
      </c>
      <c r="AM4219">
        <v>88.358869462771494</v>
      </c>
      <c r="AN4219">
        <v>1.0000000213800799</v>
      </c>
    </row>
    <row r="4220" spans="1:40" x14ac:dyDescent="0.25">
      <c r="A4220" t="str">
        <f>"20190303170337840"</f>
        <v>20190303170337840</v>
      </c>
      <c r="B4220" t="str">
        <f>"1551603817830066"</f>
        <v>1551603817830066</v>
      </c>
      <c r="C4220" t="s">
        <v>40</v>
      </c>
      <c r="D4220">
        <v>4.1614500000000003</v>
      </c>
      <c r="E4220">
        <v>0.51448119999999997</v>
      </c>
      <c r="F4220" t="s">
        <v>57</v>
      </c>
      <c r="G4220">
        <v>-200.34620000000001</v>
      </c>
      <c r="H4220" s="1">
        <v>2.6984330000000001E-6</v>
      </c>
      <c r="I4220">
        <v>210.86519999999999</v>
      </c>
      <c r="J4220">
        <v>-266.50080000000003</v>
      </c>
      <c r="K4220">
        <v>1.121688</v>
      </c>
      <c r="L4220">
        <v>214.8082</v>
      </c>
      <c r="M4220">
        <v>0.99990959999999995</v>
      </c>
      <c r="N4220">
        <v>-1.28626E-2</v>
      </c>
      <c r="O4220">
        <v>-3.9308570000000003E-3</v>
      </c>
      <c r="P4220">
        <v>0.98112849999999996</v>
      </c>
      <c r="Q4220">
        <v>0.1907259</v>
      </c>
      <c r="R4220">
        <v>-3.1789999999999999E-2</v>
      </c>
      <c r="S4220">
        <v>3.06134</v>
      </c>
      <c r="T4220">
        <v>-5.1655409999999999E-2</v>
      </c>
      <c r="U4220">
        <v>-0.18164060000000001</v>
      </c>
      <c r="V4220">
        <v>2.7894059999999998E-2</v>
      </c>
      <c r="W4220">
        <v>0.20333670000000001</v>
      </c>
      <c r="X4220">
        <v>0.97871140000000001</v>
      </c>
      <c r="Y4220">
        <v>5.5290980000000003E-2</v>
      </c>
      <c r="Z4220">
        <v>-8.0625420000000002E-4</v>
      </c>
      <c r="AA4220">
        <v>0.99846990000000002</v>
      </c>
      <c r="AB4220">
        <v>33</v>
      </c>
      <c r="AC4220">
        <v>66.154600000000002</v>
      </c>
      <c r="AD4220">
        <v>-1.1216853015670001</v>
      </c>
      <c r="AE4220">
        <v>-3.9430000000000098</v>
      </c>
      <c r="AF4220">
        <v>3.6818490130087902</v>
      </c>
      <c r="AG4220">
        <v>-1.1216853015670001</v>
      </c>
      <c r="AH4220">
        <v>66.150639173469003</v>
      </c>
      <c r="AI4220">
        <v>90.969943577533101</v>
      </c>
      <c r="AJ4220">
        <v>86.814286617544695</v>
      </c>
      <c r="AK4220">
        <v>66.262517708949403</v>
      </c>
      <c r="AL4220">
        <v>78.267851034768498</v>
      </c>
      <c r="AM4220">
        <v>88.367466260190696</v>
      </c>
      <c r="AN4220">
        <v>0.999999948320065</v>
      </c>
    </row>
    <row r="4221" spans="1:40" x14ac:dyDescent="0.25">
      <c r="A4221" t="str">
        <f>"20190303170337863"</f>
        <v>20190303170337863</v>
      </c>
      <c r="B4221" t="str">
        <f>"1551603817849584"</f>
        <v>1551603817849584</v>
      </c>
      <c r="C4221" t="s">
        <v>40</v>
      </c>
      <c r="D4221">
        <v>4.0758530000000004</v>
      </c>
      <c r="E4221">
        <v>0.51455299999999904</v>
      </c>
      <c r="F4221" t="s">
        <v>57</v>
      </c>
      <c r="G4221">
        <v>-196.94059999999999</v>
      </c>
      <c r="H4221" s="1">
        <v>3.075229E-6</v>
      </c>
      <c r="I4221">
        <v>210.70679999999999</v>
      </c>
      <c r="J4221">
        <v>-266.17809999999997</v>
      </c>
      <c r="K4221">
        <v>1.121713</v>
      </c>
      <c r="L4221">
        <v>214.80709999999999</v>
      </c>
      <c r="M4221">
        <v>0.99991010000000002</v>
      </c>
      <c r="N4221">
        <v>-1.286619E-2</v>
      </c>
      <c r="O4221">
        <v>-3.7846529999999998E-3</v>
      </c>
      <c r="P4221">
        <v>0.98102250000000002</v>
      </c>
      <c r="Q4221">
        <v>0.1913137</v>
      </c>
      <c r="R4221">
        <v>-3.1531770000000001E-2</v>
      </c>
      <c r="S4221">
        <v>3.061493</v>
      </c>
      <c r="T4221">
        <v>-4.9367790000000002E-2</v>
      </c>
      <c r="U4221">
        <v>-0.18051149999999999</v>
      </c>
      <c r="V4221">
        <v>2.776913E-2</v>
      </c>
      <c r="W4221">
        <v>0.20392830000000001</v>
      </c>
      <c r="X4221">
        <v>0.97859189999999996</v>
      </c>
      <c r="Y4221">
        <v>5.5068039999999999E-2</v>
      </c>
      <c r="Z4221">
        <v>-7.8588859999999998E-4</v>
      </c>
      <c r="AA4221">
        <v>0.99848230000000004</v>
      </c>
      <c r="AB4221">
        <v>33</v>
      </c>
      <c r="AC4221">
        <v>69.237499999999898</v>
      </c>
      <c r="AD4221">
        <v>-1.1217099247710001</v>
      </c>
      <c r="AE4221">
        <v>-4.1002999999999998</v>
      </c>
      <c r="AF4221">
        <v>3.8372054066254901</v>
      </c>
      <c r="AG4221">
        <v>-1.1217099247710001</v>
      </c>
      <c r="AH4221">
        <v>69.2344151533933</v>
      </c>
      <c r="AI4221">
        <v>90.926781354873</v>
      </c>
      <c r="AJ4221">
        <v>86.827719647131602</v>
      </c>
      <c r="AK4221">
        <v>69.349741312570004</v>
      </c>
      <c r="AL4221">
        <v>78.233229951148402</v>
      </c>
      <c r="AM4221">
        <v>88.374575653217306</v>
      </c>
      <c r="AN4221">
        <v>0.99999999143372797</v>
      </c>
    </row>
    <row r="4222" spans="1:40" x14ac:dyDescent="0.25">
      <c r="A4222" t="str">
        <f>"20190303170337885"</f>
        <v>20190303170337885</v>
      </c>
      <c r="B4222" t="str">
        <f>"1551603817879840"</f>
        <v>1551603817879840</v>
      </c>
      <c r="C4222" t="s">
        <v>40</v>
      </c>
      <c r="D4222">
        <v>4.0908189999999998</v>
      </c>
      <c r="E4222">
        <v>0.51454860000000002</v>
      </c>
      <c r="F4222" t="s">
        <v>57</v>
      </c>
      <c r="G4222">
        <v>-193.2792</v>
      </c>
      <c r="H4222" s="1">
        <v>3.7416700000000001E-6</v>
      </c>
      <c r="I4222">
        <v>210.5127</v>
      </c>
      <c r="J4222">
        <v>-265.83569999999997</v>
      </c>
      <c r="K4222">
        <v>1.121739</v>
      </c>
      <c r="L4222">
        <v>214.80600000000001</v>
      </c>
      <c r="M4222">
        <v>0.99991079999999999</v>
      </c>
      <c r="N4222">
        <v>-1.286706E-2</v>
      </c>
      <c r="O4222">
        <v>-3.6009530000000001E-3</v>
      </c>
      <c r="P4222">
        <v>0.98096729999999999</v>
      </c>
      <c r="Q4222">
        <v>0.19162390000000001</v>
      </c>
      <c r="R4222">
        <v>-3.1366289999999998E-2</v>
      </c>
      <c r="S4222">
        <v>3.061401</v>
      </c>
      <c r="T4222">
        <v>-4.7106389999999998E-2</v>
      </c>
      <c r="U4222">
        <v>-0.18034359999999999</v>
      </c>
      <c r="V4222">
        <v>2.777201E-2</v>
      </c>
      <c r="W4222">
        <v>0.20424010000000001</v>
      </c>
      <c r="X4222">
        <v>0.97852680000000003</v>
      </c>
      <c r="Y4222">
        <v>5.5199529999999997E-2</v>
      </c>
      <c r="Z4222">
        <v>-7.7071959999999999E-4</v>
      </c>
      <c r="AA4222">
        <v>0.99847509999999995</v>
      </c>
      <c r="AB4222">
        <v>33</v>
      </c>
      <c r="AC4222">
        <v>72.5564999999999</v>
      </c>
      <c r="AD4222">
        <v>-1.12173525833</v>
      </c>
      <c r="AE4222">
        <v>-4.2932999999999799</v>
      </c>
      <c r="AF4222">
        <v>4.0310178818512101</v>
      </c>
      <c r="AG4222">
        <v>-1.12173525833</v>
      </c>
      <c r="AH4222">
        <v>72.554209600958103</v>
      </c>
      <c r="AI4222">
        <v>90.884395742993604</v>
      </c>
      <c r="AJ4222">
        <v>86.819990021640095</v>
      </c>
      <c r="AK4222">
        <v>72.674759896220806</v>
      </c>
      <c r="AL4222">
        <v>78.214981158581097</v>
      </c>
      <c r="AM4222">
        <v>88.374299076834703</v>
      </c>
      <c r="AN4222">
        <v>1.00000000065284</v>
      </c>
    </row>
    <row r="4223" spans="1:40" x14ac:dyDescent="0.25">
      <c r="A4223" t="str">
        <f>"20190303170337907"</f>
        <v>20190303170337907</v>
      </c>
      <c r="B4223" t="str">
        <f>"1551603817899360"</f>
        <v>1551603817899360</v>
      </c>
      <c r="C4223" t="s">
        <v>40</v>
      </c>
      <c r="D4223">
        <v>4.1181900000000002</v>
      </c>
      <c r="E4223">
        <v>0.51457889999999995</v>
      </c>
      <c r="F4223" t="s">
        <v>57</v>
      </c>
      <c r="G4223">
        <v>-190.5247</v>
      </c>
      <c r="H4223" s="1">
        <v>4.241978E-6</v>
      </c>
      <c r="I4223">
        <v>210.37880000000001</v>
      </c>
      <c r="J4223">
        <v>-265.52089999999998</v>
      </c>
      <c r="K4223">
        <v>1.1217619999999999</v>
      </c>
      <c r="L4223">
        <v>214.80510000000001</v>
      </c>
      <c r="M4223">
        <v>0.99991169999999996</v>
      </c>
      <c r="N4223">
        <v>-1.2862820000000001E-2</v>
      </c>
      <c r="O4223">
        <v>-3.4080780000000001E-3</v>
      </c>
      <c r="P4223">
        <v>0.9808462</v>
      </c>
      <c r="Q4223">
        <v>0.19229350000000001</v>
      </c>
      <c r="R4223">
        <v>-3.1051740000000001E-2</v>
      </c>
      <c r="S4223">
        <v>3.0613100000000002</v>
      </c>
      <c r="T4223">
        <v>-4.5597310000000002E-2</v>
      </c>
      <c r="U4223">
        <v>-0.17996219999999999</v>
      </c>
      <c r="V4223">
        <v>2.7636210000000001E-2</v>
      </c>
      <c r="W4223">
        <v>0.20490520000000001</v>
      </c>
      <c r="X4223">
        <v>0.97839160000000003</v>
      </c>
      <c r="Y4223">
        <v>5.5270470000000002E-2</v>
      </c>
      <c r="Z4223">
        <v>-7.6015390000000005E-4</v>
      </c>
      <c r="AA4223">
        <v>0.99847109999999994</v>
      </c>
      <c r="AB4223">
        <v>33</v>
      </c>
      <c r="AC4223">
        <v>74.996199999999902</v>
      </c>
      <c r="AD4223">
        <v>-1.121757758022</v>
      </c>
      <c r="AE4223">
        <v>-4.4262999999999897</v>
      </c>
      <c r="AF4223">
        <v>4.1697306588582697</v>
      </c>
      <c r="AG4223">
        <v>-1.121757758022</v>
      </c>
      <c r="AH4223">
        <v>74.994130789162</v>
      </c>
      <c r="AI4223">
        <v>90.855641594693495</v>
      </c>
      <c r="AJ4223">
        <v>86.817587838542906</v>
      </c>
      <c r="AK4223">
        <v>75.118337621762095</v>
      </c>
      <c r="AL4223">
        <v>78.176050539556499</v>
      </c>
      <c r="AM4223">
        <v>88.382020787116005</v>
      </c>
      <c r="AN4223">
        <v>1.00000001202038</v>
      </c>
    </row>
    <row r="4224" spans="1:40" x14ac:dyDescent="0.25">
      <c r="A4224" t="str">
        <f>"20190303170337929"</f>
        <v>20190303170337929</v>
      </c>
      <c r="B4224" t="str">
        <f>"1551603817919590"</f>
        <v>1551603817919590</v>
      </c>
      <c r="C4224" t="s">
        <v>40</v>
      </c>
      <c r="D4224">
        <v>4.0672949999999997</v>
      </c>
      <c r="E4224">
        <v>0.51466409999999996</v>
      </c>
      <c r="F4224" t="s">
        <v>57</v>
      </c>
      <c r="G4224">
        <v>-186.37129999999999</v>
      </c>
      <c r="H4224" s="1">
        <v>3.7252100000000002E-6</v>
      </c>
      <c r="I4224">
        <v>210.1634</v>
      </c>
      <c r="J4224">
        <v>-265.19889999999998</v>
      </c>
      <c r="K4224">
        <v>1.1217790000000001</v>
      </c>
      <c r="L4224">
        <v>214.80420000000001</v>
      </c>
      <c r="M4224">
        <v>0.99991229999999998</v>
      </c>
      <c r="N4224">
        <v>-1.2852769999999999E-2</v>
      </c>
      <c r="O4224">
        <v>-3.189805E-3</v>
      </c>
      <c r="P4224">
        <v>0.98080049999999996</v>
      </c>
      <c r="Q4224">
        <v>0.19265879999999999</v>
      </c>
      <c r="R4224">
        <v>-3.0217819999999999E-2</v>
      </c>
      <c r="S4224">
        <v>3.061401</v>
      </c>
      <c r="T4224">
        <v>-4.3388129999999997E-2</v>
      </c>
      <c r="U4224">
        <v>-0.1795349</v>
      </c>
      <c r="V4224">
        <v>2.700644E-2</v>
      </c>
      <c r="W4224">
        <v>0.20526130000000001</v>
      </c>
      <c r="X4224">
        <v>0.9783345</v>
      </c>
      <c r="Y4224">
        <v>5.5348620000000001E-2</v>
      </c>
      <c r="Z4224">
        <v>-7.437066E-4</v>
      </c>
      <c r="AA4224">
        <v>0.99846679999999999</v>
      </c>
      <c r="AB4224">
        <v>33</v>
      </c>
      <c r="AC4224">
        <v>78.827599999999904</v>
      </c>
      <c r="AD4224">
        <v>-1.1217752747900001</v>
      </c>
      <c r="AE4224">
        <v>-4.6408000000000103</v>
      </c>
      <c r="AF4224">
        <v>4.3884252915502602</v>
      </c>
      <c r="AG4224">
        <v>-1.1217752747900001</v>
      </c>
      <c r="AH4224">
        <v>78.826095120837095</v>
      </c>
      <c r="AI4224">
        <v>90.814061607063707</v>
      </c>
      <c r="AJ4224">
        <v>86.813504963741295</v>
      </c>
      <c r="AK4224">
        <v>78.956126603993894</v>
      </c>
      <c r="AL4224">
        <v>78.155203931464598</v>
      </c>
      <c r="AM4224">
        <v>88.418779897267299</v>
      </c>
      <c r="AN4224">
        <v>0.99999997148470599</v>
      </c>
    </row>
    <row r="4225" spans="1:40" x14ac:dyDescent="0.25">
      <c r="A4225" t="str">
        <f>"20190303170337946"</f>
        <v>20190303170337946</v>
      </c>
      <c r="B4225" t="str">
        <f>"1551603817940085"</f>
        <v>1551603817940085</v>
      </c>
      <c r="C4225" t="s">
        <v>40</v>
      </c>
      <c r="D4225">
        <v>4.144469</v>
      </c>
      <c r="E4225">
        <v>0.51470779999999905</v>
      </c>
      <c r="F4225" t="s">
        <v>57</v>
      </c>
      <c r="G4225">
        <v>-183.53039999999999</v>
      </c>
      <c r="H4225" s="1">
        <v>3.2305240000000001E-6</v>
      </c>
      <c r="I4225">
        <v>210.05760000000001</v>
      </c>
      <c r="J4225">
        <v>-264.94600000000003</v>
      </c>
      <c r="K4225">
        <v>1.1217900000000001</v>
      </c>
      <c r="L4225">
        <v>214.80359999999999</v>
      </c>
      <c r="M4225">
        <v>0.9999131</v>
      </c>
      <c r="N4225">
        <v>-1.284123E-2</v>
      </c>
      <c r="O4225">
        <v>-3.0082239999999999E-3</v>
      </c>
      <c r="P4225">
        <v>0.98080389999999995</v>
      </c>
      <c r="Q4225">
        <v>0.19268750000000001</v>
      </c>
      <c r="R4225">
        <v>-2.992477E-2</v>
      </c>
      <c r="S4225">
        <v>3.0614620000000001</v>
      </c>
      <c r="T4225">
        <v>-4.2051430000000001E-2</v>
      </c>
      <c r="U4225">
        <v>-0.1779327</v>
      </c>
      <c r="V4225">
        <v>2.6884849999999998E-2</v>
      </c>
      <c r="W4225">
        <v>0.20527899999999999</v>
      </c>
      <c r="X4225">
        <v>0.97833419999999904</v>
      </c>
      <c r="Y4225">
        <v>5.5008580000000001E-2</v>
      </c>
      <c r="Z4225">
        <v>-7.2830529999999896E-4</v>
      </c>
      <c r="AA4225">
        <v>0.99848559999999997</v>
      </c>
      <c r="AB4225">
        <v>33</v>
      </c>
      <c r="AC4225">
        <v>81.415599999999898</v>
      </c>
      <c r="AD4225">
        <v>-1.121786769476</v>
      </c>
      <c r="AE4225">
        <v>-4.74599999999998</v>
      </c>
      <c r="AF4225">
        <v>4.5001905261211599</v>
      </c>
      <c r="AG4225">
        <v>-1.121786769476</v>
      </c>
      <c r="AH4225">
        <v>81.414105826847404</v>
      </c>
      <c r="AI4225">
        <v>90.788212719117595</v>
      </c>
      <c r="AJ4225">
        <v>86.836177197264902</v>
      </c>
      <c r="AK4225">
        <v>81.546101978651805</v>
      </c>
      <c r="AL4225">
        <v>78.154168493242494</v>
      </c>
      <c r="AM4225">
        <v>88.425894888206003</v>
      </c>
      <c r="AN4225">
        <v>1.0000000349450799</v>
      </c>
    </row>
    <row r="4226" spans="1:40" x14ac:dyDescent="0.25">
      <c r="A4226" t="str">
        <f>"20190303170337963"</f>
        <v>20190303170337963</v>
      </c>
      <c r="B4226" t="str">
        <f>"1551603817949845"</f>
        <v>1551603817949845</v>
      </c>
      <c r="C4226" t="s">
        <v>40</v>
      </c>
      <c r="D4226">
        <v>4.1381600000000001</v>
      </c>
      <c r="E4226">
        <v>0.514733</v>
      </c>
      <c r="F4226" t="s">
        <v>57</v>
      </c>
      <c r="G4226">
        <v>-182.726</v>
      </c>
      <c r="H4226" s="1">
        <v>3.08949E-6</v>
      </c>
      <c r="I4226">
        <v>210.0386</v>
      </c>
      <c r="J4226">
        <v>-264.7011</v>
      </c>
      <c r="K4226">
        <v>1.1217919999999999</v>
      </c>
      <c r="L4226">
        <v>214.8031</v>
      </c>
      <c r="M4226">
        <v>0.99991379999999996</v>
      </c>
      <c r="N4226">
        <v>-1.282879E-2</v>
      </c>
      <c r="O4226">
        <v>-2.8271609999999999E-3</v>
      </c>
      <c r="P4226">
        <v>0.98085929999999999</v>
      </c>
      <c r="Q4226">
        <v>0.1925365</v>
      </c>
      <c r="R4226">
        <v>-2.9068650000000001E-2</v>
      </c>
      <c r="S4226">
        <v>3.0615230000000002</v>
      </c>
      <c r="T4226">
        <v>-4.1770580000000002E-2</v>
      </c>
      <c r="U4226">
        <v>-0.17742920000000001</v>
      </c>
      <c r="V4226">
        <v>2.620105E-2</v>
      </c>
      <c r="W4226">
        <v>0.20511660000000001</v>
      </c>
      <c r="X4226">
        <v>0.9783868</v>
      </c>
      <c r="Y4226">
        <v>5.5024650000000001E-2</v>
      </c>
      <c r="Z4226">
        <v>-7.2603330000000005E-4</v>
      </c>
      <c r="AA4226">
        <v>0.9984847</v>
      </c>
      <c r="AB4226">
        <v>33</v>
      </c>
      <c r="AC4226">
        <v>81.975099999999998</v>
      </c>
      <c r="AD4226">
        <v>-1.1217889105099901</v>
      </c>
      <c r="AE4226">
        <v>-4.7644999999999902</v>
      </c>
      <c r="AF4226">
        <v>4.5318592926038903</v>
      </c>
      <c r="AG4226">
        <v>-1.1217889105099901</v>
      </c>
      <c r="AH4226">
        <v>81.972944410388195</v>
      </c>
      <c r="AI4226">
        <v>90.782840949081404</v>
      </c>
      <c r="AJ4226">
        <v>86.835634515309096</v>
      </c>
      <c r="AK4226">
        <v>82.105784049093003</v>
      </c>
      <c r="AL4226">
        <v>78.163675485247794</v>
      </c>
      <c r="AM4226">
        <v>88.465994360449301</v>
      </c>
      <c r="AN4226">
        <v>1.0000000225154499</v>
      </c>
    </row>
    <row r="4227" spans="1:40" x14ac:dyDescent="0.25">
      <c r="A4227" t="str">
        <f>"20190303170337985"</f>
        <v>20190303170337985</v>
      </c>
      <c r="B4227" t="str">
        <f>"1551603817980102"</f>
        <v>1551603817980102</v>
      </c>
      <c r="C4227" t="s">
        <v>40</v>
      </c>
      <c r="D4227">
        <v>4.1348570000000002</v>
      </c>
      <c r="E4227">
        <v>0.51483259999999997</v>
      </c>
      <c r="F4227" t="s">
        <v>57</v>
      </c>
      <c r="G4227">
        <v>-183.31899999999999</v>
      </c>
      <c r="H4227" s="1">
        <v>3.1852500000000001E-6</v>
      </c>
      <c r="I4227">
        <v>210.1464</v>
      </c>
      <c r="J4227">
        <v>-264.36700000000002</v>
      </c>
      <c r="K4227">
        <v>1.1217969999999999</v>
      </c>
      <c r="L4227">
        <v>214.80240000000001</v>
      </c>
      <c r="M4227">
        <v>0.99991479999999999</v>
      </c>
      <c r="N4227">
        <v>-1.2811639999999999E-2</v>
      </c>
      <c r="O4227">
        <v>-2.574921E-3</v>
      </c>
      <c r="P4227">
        <v>0.98096910000000004</v>
      </c>
      <c r="Q4227">
        <v>0.19207340000000001</v>
      </c>
      <c r="R4227">
        <v>-2.8422739999999998E-2</v>
      </c>
      <c r="S4227">
        <v>3.0616460000000001</v>
      </c>
      <c r="T4227">
        <v>-4.220235E-2</v>
      </c>
      <c r="U4227">
        <v>-0.17518619999999999</v>
      </c>
      <c r="V4227">
        <v>2.5798209999999999E-2</v>
      </c>
      <c r="W4227">
        <v>0.20463870000000001</v>
      </c>
      <c r="X4227">
        <v>0.97849759999999997</v>
      </c>
      <c r="Y4227">
        <v>5.4545070000000001E-2</v>
      </c>
      <c r="Z4227">
        <v>-7.2284499999999995E-4</v>
      </c>
      <c r="AA4227">
        <v>0.99851109999999998</v>
      </c>
      <c r="AB4227">
        <v>33</v>
      </c>
      <c r="AC4227">
        <v>81.048000000000002</v>
      </c>
      <c r="AD4227">
        <v>-1.12179381475</v>
      </c>
      <c r="AE4227">
        <v>-4.6559999999999997</v>
      </c>
      <c r="AF4227">
        <v>4.4464262476850003</v>
      </c>
      <c r="AG4227">
        <v>-1.12179381475</v>
      </c>
      <c r="AH4227">
        <v>81.0442460115854</v>
      </c>
      <c r="AI4227">
        <v>90.791832254496498</v>
      </c>
      <c r="AJ4227">
        <v>86.859662298364597</v>
      </c>
      <c r="AK4227">
        <v>81.173880893581099</v>
      </c>
      <c r="AL4227">
        <v>78.191650876128193</v>
      </c>
      <c r="AM4227">
        <v>88.4897395735495</v>
      </c>
      <c r="AN4227">
        <v>1.0000000491913199</v>
      </c>
    </row>
    <row r="4228" spans="1:40" x14ac:dyDescent="0.25">
      <c r="A4228" t="str">
        <f>"20190303170338008"</f>
        <v>20190303170338008</v>
      </c>
      <c r="B4228" t="str">
        <f>"1551603817999622"</f>
        <v>1551603817999622</v>
      </c>
      <c r="C4228" t="s">
        <v>40</v>
      </c>
      <c r="D4228">
        <v>4.140574</v>
      </c>
      <c r="E4228">
        <v>0.51488179999999995</v>
      </c>
      <c r="F4228" t="s">
        <v>57</v>
      </c>
      <c r="G4228">
        <v>-185.91220000000001</v>
      </c>
      <c r="H4228" s="1">
        <v>3.6281579999999999E-6</v>
      </c>
      <c r="I4228">
        <v>210.34190000000001</v>
      </c>
      <c r="J4228">
        <v>-264.03530000000001</v>
      </c>
      <c r="K4228">
        <v>1.121796</v>
      </c>
      <c r="L4228">
        <v>214.80189999999999</v>
      </c>
      <c r="M4228">
        <v>0.99991549999999996</v>
      </c>
      <c r="N4228">
        <v>-1.2795320000000001E-2</v>
      </c>
      <c r="O4228">
        <v>-2.3204929999999999E-3</v>
      </c>
      <c r="P4228">
        <v>0.98112299999999997</v>
      </c>
      <c r="Q4228">
        <v>0.1913472</v>
      </c>
      <c r="R4228">
        <v>-2.799898E-2</v>
      </c>
      <c r="S4228">
        <v>3.0617369999999999</v>
      </c>
      <c r="T4228">
        <v>-4.3778539999999998E-2</v>
      </c>
      <c r="U4228">
        <v>-0.17407230000000001</v>
      </c>
      <c r="V4228">
        <v>2.5621919999999999E-2</v>
      </c>
      <c r="W4228">
        <v>0.20389879999999999</v>
      </c>
      <c r="X4228">
        <v>0.97865659999999999</v>
      </c>
      <c r="Y4228">
        <v>5.443481E-2</v>
      </c>
      <c r="Z4228">
        <v>-7.339394E-4</v>
      </c>
      <c r="AA4228">
        <v>0.99851699999999999</v>
      </c>
      <c r="AB4228">
        <v>33</v>
      </c>
      <c r="AC4228">
        <v>78.123099999999994</v>
      </c>
      <c r="AD4228">
        <v>-1.121792371842</v>
      </c>
      <c r="AE4228">
        <v>-4.4599999999999804</v>
      </c>
      <c r="AF4228">
        <v>4.2778098788452299</v>
      </c>
      <c r="AG4228">
        <v>-1.121792371842</v>
      </c>
      <c r="AH4228">
        <v>78.117185277472402</v>
      </c>
      <c r="AI4228">
        <v>90.821501870892405</v>
      </c>
      <c r="AJ4228">
        <v>86.8655310999943</v>
      </c>
      <c r="AK4228">
        <v>78.242269337999304</v>
      </c>
      <c r="AL4228">
        <v>78.234956221335295</v>
      </c>
      <c r="AM4228">
        <v>88.500298667472705</v>
      </c>
      <c r="AN4228">
        <v>0.99999997207474201</v>
      </c>
    </row>
    <row r="4229" spans="1:40" x14ac:dyDescent="0.25">
      <c r="A4229" t="str">
        <f>"20190303170338031"</f>
        <v>20190303170338031</v>
      </c>
      <c r="B4229" t="str">
        <f>"1551603818019647"</f>
        <v>1551603818019647</v>
      </c>
      <c r="C4229" t="s">
        <v>40</v>
      </c>
      <c r="D4229">
        <v>4.1214629999999897</v>
      </c>
      <c r="E4229">
        <v>0.51492479999999996</v>
      </c>
      <c r="F4229" t="s">
        <v>57</v>
      </c>
      <c r="G4229">
        <v>-189.3295</v>
      </c>
      <c r="H4229" s="1">
        <v>4.2141909999999998E-6</v>
      </c>
      <c r="I4229">
        <v>210.57239999999999</v>
      </c>
      <c r="J4229">
        <v>-263.70280000000002</v>
      </c>
      <c r="K4229">
        <v>1.121799</v>
      </c>
      <c r="L4229">
        <v>214.8014</v>
      </c>
      <c r="M4229">
        <v>0.99991629999999998</v>
      </c>
      <c r="N4229">
        <v>-1.277995E-2</v>
      </c>
      <c r="O4229">
        <v>-2.0653939999999999E-3</v>
      </c>
      <c r="P4229">
        <v>0.98129029999999995</v>
      </c>
      <c r="Q4229">
        <v>0.19059380000000001</v>
      </c>
      <c r="R4229">
        <v>-2.7265060000000001E-2</v>
      </c>
      <c r="S4229">
        <v>3.0617070000000002</v>
      </c>
      <c r="T4229">
        <v>-4.5974969999999997E-2</v>
      </c>
      <c r="U4229">
        <v>-0.17333979999999999</v>
      </c>
      <c r="V4229">
        <v>2.5137550000000002E-2</v>
      </c>
      <c r="W4229">
        <v>0.20313229999999999</v>
      </c>
      <c r="X4229">
        <v>0.97882860000000005</v>
      </c>
      <c r="Y4229">
        <v>5.445121E-2</v>
      </c>
      <c r="Z4229">
        <v>-7.5213220000000004E-4</v>
      </c>
      <c r="AA4229">
        <v>0.99851610000000002</v>
      </c>
      <c r="AB4229">
        <v>33</v>
      </c>
      <c r="AC4229">
        <v>74.3733</v>
      </c>
      <c r="AD4229">
        <v>-1.1217947858090001</v>
      </c>
      <c r="AE4229">
        <v>-4.2290000000000099</v>
      </c>
      <c r="AF4229">
        <v>4.0744443074545504</v>
      </c>
      <c r="AG4229">
        <v>-1.1217947858090001</v>
      </c>
      <c r="AH4229">
        <v>74.365012648839894</v>
      </c>
      <c r="AI4229">
        <v>90.862946099790605</v>
      </c>
      <c r="AJ4229">
        <v>86.863911184013602</v>
      </c>
      <c r="AK4229">
        <v>74.484995980520296</v>
      </c>
      <c r="AL4229">
        <v>78.279812861749093</v>
      </c>
      <c r="AM4229">
        <v>88.528895647312495</v>
      </c>
      <c r="AN4229">
        <v>1.00000002795062</v>
      </c>
    </row>
    <row r="4230" spans="1:40" x14ac:dyDescent="0.25">
      <c r="A4230" t="str">
        <f>"20190303170338053"</f>
        <v>20190303170338053</v>
      </c>
      <c r="B4230" t="str">
        <f>"1551603818040144"</f>
        <v>1551603818040144</v>
      </c>
      <c r="C4230" t="s">
        <v>40</v>
      </c>
      <c r="D4230">
        <v>4.0973319999999998</v>
      </c>
      <c r="E4230">
        <v>0.49900899999999998</v>
      </c>
      <c r="F4230" t="s">
        <v>57</v>
      </c>
      <c r="G4230">
        <v>-192.8468</v>
      </c>
      <c r="H4230" s="1">
        <v>3.7902659999999999E-6</v>
      </c>
      <c r="I4230">
        <v>210.83420000000001</v>
      </c>
      <c r="J4230">
        <v>-263.38040000000001</v>
      </c>
      <c r="K4230">
        <v>1.121793</v>
      </c>
      <c r="L4230">
        <v>214.80099999999999</v>
      </c>
      <c r="M4230">
        <v>0.9999169</v>
      </c>
      <c r="N4230">
        <v>-1.276585E-2</v>
      </c>
      <c r="O4230">
        <v>-1.8199749999999999E-3</v>
      </c>
      <c r="P4230">
        <v>0.9813326</v>
      </c>
      <c r="Q4230">
        <v>0.19042629999999999</v>
      </c>
      <c r="R4230">
        <v>-2.6907090000000002E-2</v>
      </c>
      <c r="S4230">
        <v>3.0618590000000001</v>
      </c>
      <c r="T4230">
        <v>-4.8475499999999998E-2</v>
      </c>
      <c r="U4230">
        <v>-0.17143249999999999</v>
      </c>
      <c r="V4230">
        <v>2.5020130000000002E-2</v>
      </c>
      <c r="W4230">
        <v>0.2029511</v>
      </c>
      <c r="X4230">
        <v>0.97886910000000005</v>
      </c>
      <c r="Y4230">
        <v>5.4072540000000002E-2</v>
      </c>
      <c r="Z4230">
        <v>-7.6756920000000002E-4</v>
      </c>
      <c r="AA4230">
        <v>0.99853670000000005</v>
      </c>
      <c r="AB4230">
        <v>33</v>
      </c>
      <c r="AC4230">
        <v>70.533600000000007</v>
      </c>
      <c r="AD4230">
        <v>-1.1217892097339901</v>
      </c>
      <c r="AE4230">
        <v>-3.9667999999999699</v>
      </c>
      <c r="AF4230">
        <v>3.8374459729622701</v>
      </c>
      <c r="AG4230">
        <v>-1.1217892097339901</v>
      </c>
      <c r="AH4230">
        <v>70.522920877878093</v>
      </c>
      <c r="AI4230">
        <v>90.909965822398505</v>
      </c>
      <c r="AJ4230">
        <v>86.885369516892794</v>
      </c>
      <c r="AK4230">
        <v>70.636157679859295</v>
      </c>
      <c r="AL4230">
        <v>78.2904146142467</v>
      </c>
      <c r="AM4230">
        <v>88.5358248790684</v>
      </c>
      <c r="AN4230">
        <v>0.99999993541561605</v>
      </c>
    </row>
    <row r="4231" spans="1:40" x14ac:dyDescent="0.25">
      <c r="A4231" t="str">
        <f>"20190303170338076"</f>
        <v>20190303170338076</v>
      </c>
      <c r="B4231" t="str">
        <f>"1551603818069423"</f>
        <v>1551603818069423</v>
      </c>
      <c r="C4231" t="s">
        <v>40</v>
      </c>
      <c r="D4231">
        <v>4.242712</v>
      </c>
      <c r="E4231">
        <v>0.49352509999999999</v>
      </c>
      <c r="F4231" t="s">
        <v>44</v>
      </c>
      <c r="G4231">
        <v>-131.05090000000001</v>
      </c>
      <c r="H4231">
        <v>-0.05</v>
      </c>
      <c r="I4231">
        <v>212.8862</v>
      </c>
      <c r="J4231">
        <v>-263.05099999999999</v>
      </c>
      <c r="K4231">
        <v>1.1217889999999999</v>
      </c>
      <c r="L4231">
        <v>214.80070000000001</v>
      </c>
      <c r="M4231">
        <v>0.99991739999999996</v>
      </c>
      <c r="N4231">
        <v>-1.275272E-2</v>
      </c>
      <c r="O4231">
        <v>-1.570639E-3</v>
      </c>
      <c r="P4231">
        <v>0.9814155</v>
      </c>
      <c r="Q4231">
        <v>0.19004289999999999</v>
      </c>
      <c r="R4231">
        <v>-2.6598790000000001E-2</v>
      </c>
      <c r="S4231">
        <v>3.0611269999999999</v>
      </c>
      <c r="T4231">
        <v>-2.7106640000000001E-2</v>
      </c>
      <c r="U4231">
        <v>-4.4296259999999997E-2</v>
      </c>
      <c r="V4231">
        <v>2.495642E-2</v>
      </c>
      <c r="W4231">
        <v>0.20255609999999999</v>
      </c>
      <c r="X4231">
        <v>0.97895259999999995</v>
      </c>
      <c r="Y4231">
        <v>1.2897219999999999E-2</v>
      </c>
      <c r="Z4231">
        <v>-1.454708E-4</v>
      </c>
      <c r="AA4231">
        <v>0.99991680000000005</v>
      </c>
      <c r="AB4231">
        <v>33</v>
      </c>
      <c r="AC4231">
        <v>132.00009999999901</v>
      </c>
      <c r="AD4231">
        <v>-1.171789</v>
      </c>
      <c r="AE4231">
        <v>-1.9145000000000001</v>
      </c>
      <c r="AF4231">
        <v>1.70702176998595</v>
      </c>
      <c r="AG4231">
        <v>-1.171789</v>
      </c>
      <c r="AH4231">
        <v>131.99254498845599</v>
      </c>
      <c r="AI4231">
        <v>90.508598322555002</v>
      </c>
      <c r="AJ4231">
        <v>89.259051405436907</v>
      </c>
      <c r="AK4231">
        <v>132.00878359152199</v>
      </c>
      <c r="AL4231">
        <v>78.313527191096895</v>
      </c>
      <c r="AM4231">
        <v>88.539676079524398</v>
      </c>
      <c r="AN4231">
        <v>0.99999999479659296</v>
      </c>
    </row>
    <row r="4232" spans="1:40" x14ac:dyDescent="0.25">
      <c r="A4232" t="str">
        <f>"20190303170338097"</f>
        <v>20190303170338097</v>
      </c>
      <c r="B4232" t="str">
        <f>"1551603818089920"</f>
        <v>1551603818089920</v>
      </c>
      <c r="C4232" t="s">
        <v>40</v>
      </c>
      <c r="D4232">
        <v>4.1262220000000003</v>
      </c>
      <c r="E4232">
        <v>0.4924828</v>
      </c>
      <c r="F4232" t="s">
        <v>89</v>
      </c>
      <c r="G4232">
        <v>-107.39749999999999</v>
      </c>
      <c r="H4232">
        <v>0.17482799999999901</v>
      </c>
      <c r="I4232">
        <v>214.81</v>
      </c>
      <c r="J4232">
        <v>-262.72329999999999</v>
      </c>
      <c r="K4232">
        <v>1.121788</v>
      </c>
      <c r="L4232">
        <v>214.8005</v>
      </c>
      <c r="M4232">
        <v>0.99991790000000003</v>
      </c>
      <c r="N4232">
        <v>-1.274105E-2</v>
      </c>
      <c r="O4232">
        <v>-1.3250110000000001E-3</v>
      </c>
      <c r="P4232">
        <v>0.981456</v>
      </c>
      <c r="Q4232">
        <v>0.18981329999999999</v>
      </c>
      <c r="R4232">
        <v>-2.6740779999999999E-2</v>
      </c>
      <c r="S4232">
        <v>3.0603940000000001</v>
      </c>
      <c r="T4232">
        <v>-1.8617749999999999E-2</v>
      </c>
      <c r="U4232">
        <v>1.8310550000000001E-4</v>
      </c>
      <c r="V4232">
        <v>2.5339770000000001E-2</v>
      </c>
      <c r="W4232">
        <v>0.20231560000000001</v>
      </c>
      <c r="X4232">
        <v>0.97899250000000004</v>
      </c>
      <c r="Y4232">
        <v>-1.38484E-3</v>
      </c>
      <c r="Z4232" s="1">
        <v>4.2127039999999996E-6</v>
      </c>
      <c r="AA4232">
        <v>0.99999899999999997</v>
      </c>
      <c r="AB4232">
        <v>33</v>
      </c>
      <c r="AC4232">
        <v>155.32579999999999</v>
      </c>
      <c r="AD4232">
        <v>-0.94696000000000002</v>
      </c>
      <c r="AE4232">
        <v>9.5000000000027198E-3</v>
      </c>
      <c r="AF4232">
        <v>-0.21531709975841201</v>
      </c>
      <c r="AG4232">
        <v>-0.94696000000000002</v>
      </c>
      <c r="AH4232">
        <v>155.319878019329</v>
      </c>
      <c r="AI4232">
        <v>90.349318372343703</v>
      </c>
      <c r="AJ4232">
        <v>90.079428037979696</v>
      </c>
      <c r="AK4232">
        <v>155.322913965179</v>
      </c>
      <c r="AL4232">
        <v>78.327598344054095</v>
      </c>
      <c r="AM4232">
        <v>88.517314711809306</v>
      </c>
      <c r="AN4232">
        <v>1.00000001050163</v>
      </c>
    </row>
    <row r="4233" spans="1:40" x14ac:dyDescent="0.25">
      <c r="A4233" t="str">
        <f>"20190303170338119"</f>
        <v>20190303170338119</v>
      </c>
      <c r="B4233" t="str">
        <f>"1551603818109439"</f>
        <v>1551603818109439</v>
      </c>
      <c r="C4233" t="s">
        <v>40</v>
      </c>
      <c r="D4233">
        <v>4.243303</v>
      </c>
      <c r="E4233">
        <v>0.49202439999999997</v>
      </c>
      <c r="F4233" t="s">
        <v>89</v>
      </c>
      <c r="G4233">
        <v>-107.39749999999999</v>
      </c>
      <c r="H4233">
        <v>0.15793479999999999</v>
      </c>
      <c r="I4233">
        <v>215.2071</v>
      </c>
      <c r="J4233">
        <v>-262.40980000000002</v>
      </c>
      <c r="K4233">
        <v>1.121788</v>
      </c>
      <c r="L4233">
        <v>214.8004</v>
      </c>
      <c r="M4233">
        <v>0.99991850000000004</v>
      </c>
      <c r="N4233">
        <v>-1.2730099999999999E-2</v>
      </c>
      <c r="O4233">
        <v>-1.090829E-3</v>
      </c>
      <c r="P4233">
        <v>0.98154330000000001</v>
      </c>
      <c r="Q4233">
        <v>0.1894228</v>
      </c>
      <c r="R4233">
        <v>-2.6310400000000001E-2</v>
      </c>
      <c r="S4233">
        <v>3.0605769999999999</v>
      </c>
      <c r="T4233">
        <v>-1.8990989999999999E-2</v>
      </c>
      <c r="U4233">
        <v>8.0108639999999995E-3</v>
      </c>
      <c r="V4233">
        <v>2.5139470000000001E-2</v>
      </c>
      <c r="W4233">
        <v>0.20191539999999999</v>
      </c>
      <c r="X4233">
        <v>0.97908030000000001</v>
      </c>
      <c r="Y4233">
        <v>-3.7080979999999999E-3</v>
      </c>
      <c r="Z4233" s="1">
        <v>2.7989750000000001E-5</v>
      </c>
      <c r="AA4233">
        <v>0.99999309999999997</v>
      </c>
      <c r="AB4233">
        <v>33</v>
      </c>
      <c r="AC4233">
        <v>155.01230000000001</v>
      </c>
      <c r="AD4233">
        <v>-0.96385319999999997</v>
      </c>
      <c r="AE4233">
        <v>0.40670000000000001</v>
      </c>
      <c r="AF4233">
        <v>-0.57578309064076305</v>
      </c>
      <c r="AG4233">
        <v>-0.96385319999999997</v>
      </c>
      <c r="AH4233">
        <v>155.00577122087299</v>
      </c>
      <c r="AI4233">
        <v>90.356268203835697</v>
      </c>
      <c r="AJ4233">
        <v>90.212829425745397</v>
      </c>
      <c r="AK4233">
        <v>155.00983727149799</v>
      </c>
      <c r="AL4233">
        <v>78.351011523202502</v>
      </c>
      <c r="AM4233">
        <v>88.529161385365995</v>
      </c>
      <c r="AN4233">
        <v>1.0000000277785599</v>
      </c>
    </row>
    <row r="4234" spans="1:40" x14ac:dyDescent="0.25">
      <c r="A4234" t="str">
        <f>"20190303170338141"</f>
        <v>20190303170338141</v>
      </c>
      <c r="B4234" t="str">
        <f>"1551603818129936"</f>
        <v>1551603818129936</v>
      </c>
      <c r="C4234" t="s">
        <v>40</v>
      </c>
      <c r="D4234">
        <v>4.2414529999999999</v>
      </c>
      <c r="E4234">
        <v>0.49167119999999997</v>
      </c>
      <c r="F4234" t="s">
        <v>89</v>
      </c>
      <c r="G4234">
        <v>-107.39749999999999</v>
      </c>
      <c r="H4234">
        <v>8.3699079999999995E-2</v>
      </c>
      <c r="I4234">
        <v>215.44489999999999</v>
      </c>
      <c r="J4234">
        <v>-262.07900000000001</v>
      </c>
      <c r="K4234">
        <v>1.121791</v>
      </c>
      <c r="L4234">
        <v>214.80029999999999</v>
      </c>
      <c r="M4234">
        <v>0.999919</v>
      </c>
      <c r="N4234">
        <v>-1.271455E-2</v>
      </c>
      <c r="O4234">
        <v>-8.4039979999999998E-4</v>
      </c>
      <c r="P4234">
        <v>0.98160639999999999</v>
      </c>
      <c r="Q4234">
        <v>0.1891254</v>
      </c>
      <c r="R4234">
        <v>-2.6089790000000002E-2</v>
      </c>
      <c r="S4234">
        <v>3.06073</v>
      </c>
      <c r="T4234">
        <v>-2.0496130000000001E-2</v>
      </c>
      <c r="U4234">
        <v>1.272583E-2</v>
      </c>
      <c r="V4234">
        <v>2.516463E-2</v>
      </c>
      <c r="W4234">
        <v>0.20160339999999999</v>
      </c>
      <c r="X4234">
        <v>0.97914389999999996</v>
      </c>
      <c r="Y4234">
        <v>-4.9978599999999998E-3</v>
      </c>
      <c r="Z4234" s="1">
        <v>4.3450830000000003E-5</v>
      </c>
      <c r="AA4234">
        <v>0.99998750000000003</v>
      </c>
      <c r="AB4234">
        <v>33</v>
      </c>
      <c r="AC4234">
        <v>154.6815</v>
      </c>
      <c r="AD4234">
        <v>-1.0380919200000001</v>
      </c>
      <c r="AE4234">
        <v>0.64459999999999695</v>
      </c>
      <c r="AF4234">
        <v>-0.77456967273988198</v>
      </c>
      <c r="AG4234">
        <v>-1.0380919200000001</v>
      </c>
      <c r="AH4234">
        <v>154.67393726533501</v>
      </c>
      <c r="AI4234">
        <v>90.384529210615099</v>
      </c>
      <c r="AJ4234">
        <v>90.286921009438899</v>
      </c>
      <c r="AK4234">
        <v>154.67936016861799</v>
      </c>
      <c r="AL4234">
        <v>78.369262622842498</v>
      </c>
      <c r="AM4234">
        <v>88.527785584568207</v>
      </c>
      <c r="AN4234">
        <v>0.999999983200903</v>
      </c>
    </row>
    <row r="4235" spans="1:40" x14ac:dyDescent="0.25">
      <c r="A4235" t="str">
        <f>"20190303170338159"</f>
        <v>20190303170338159</v>
      </c>
      <c r="B4235" t="str">
        <f>"1551603818149455"</f>
        <v>1551603818149455</v>
      </c>
      <c r="C4235" t="s">
        <v>40</v>
      </c>
      <c r="D4235">
        <v>4.300745</v>
      </c>
      <c r="E4235">
        <v>0.49134040000000001</v>
      </c>
      <c r="F4235" t="s">
        <v>89</v>
      </c>
      <c r="G4235">
        <v>-107.39749999999999</v>
      </c>
      <c r="H4235">
        <v>6.2325760000000001E-2</v>
      </c>
      <c r="I4235">
        <v>215.6208</v>
      </c>
      <c r="J4235">
        <v>-261.82429999999999</v>
      </c>
      <c r="K4235">
        <v>1.1217859999999999</v>
      </c>
      <c r="L4235">
        <v>214.80029999999999</v>
      </c>
      <c r="M4235">
        <v>0.99991909999999895</v>
      </c>
      <c r="N4235">
        <v>-1.2700970000000001E-2</v>
      </c>
      <c r="O4235">
        <v>-6.4470459999999995E-4</v>
      </c>
      <c r="P4235">
        <v>0.98159719999999995</v>
      </c>
      <c r="Q4235">
        <v>0.18918560000000001</v>
      </c>
      <c r="R4235">
        <v>-2.5995999999999998E-2</v>
      </c>
      <c r="S4235">
        <v>3.0606990000000001</v>
      </c>
      <c r="T4235">
        <v>-2.0962720000000001E-2</v>
      </c>
      <c r="U4235">
        <v>1.6235349999999999E-2</v>
      </c>
      <c r="V4235">
        <v>2.5263150000000002E-2</v>
      </c>
      <c r="W4235">
        <v>0.20165060000000001</v>
      </c>
      <c r="X4235">
        <v>0.97913159999999999</v>
      </c>
      <c r="Y4235">
        <v>-5.9487209999999997E-3</v>
      </c>
      <c r="Z4235" s="1">
        <v>5.437809E-5</v>
      </c>
      <c r="AA4235">
        <v>0.99998229999999999</v>
      </c>
      <c r="AB4235">
        <v>33</v>
      </c>
      <c r="AC4235">
        <v>154.42679999999999</v>
      </c>
      <c r="AD4235">
        <v>-1.0594602399999999</v>
      </c>
      <c r="AE4235">
        <v>0.820500000000009</v>
      </c>
      <c r="AF4235">
        <v>-0.92002422980870102</v>
      </c>
      <c r="AG4235">
        <v>-1.0594602399999999</v>
      </c>
      <c r="AH4235">
        <v>154.418970921278</v>
      </c>
      <c r="AI4235">
        <v>90.393090111843804</v>
      </c>
      <c r="AJ4235">
        <v>90.341362731436604</v>
      </c>
      <c r="AK4235">
        <v>154.42534597976399</v>
      </c>
      <c r="AL4235">
        <v>78.366501054607994</v>
      </c>
      <c r="AM4235">
        <v>88.5220058306233</v>
      </c>
      <c r="AN4235">
        <v>0.99999994067341902</v>
      </c>
    </row>
    <row r="4236" spans="1:40" x14ac:dyDescent="0.25">
      <c r="A4236" t="str">
        <f>"20190303170338175"</f>
        <v>20190303170338175</v>
      </c>
      <c r="B4236" t="str">
        <f>"1551603818169952"</f>
        <v>1551603818169952</v>
      </c>
      <c r="C4236" t="s">
        <v>40</v>
      </c>
      <c r="D4236">
        <v>4.1008190000000004</v>
      </c>
      <c r="E4236">
        <v>0.49118679999999898</v>
      </c>
      <c r="F4236" t="s">
        <v>89</v>
      </c>
      <c r="G4236">
        <v>-107.39749999999999</v>
      </c>
      <c r="H4236">
        <v>9.3072669999999996E-2</v>
      </c>
      <c r="I4236">
        <v>215.7758</v>
      </c>
      <c r="J4236">
        <v>-261.57569999999998</v>
      </c>
      <c r="K4236">
        <v>1.1217839999999999</v>
      </c>
      <c r="L4236">
        <v>214.8004</v>
      </c>
      <c r="M4236">
        <v>0.99991940000000001</v>
      </c>
      <c r="N4236">
        <v>-1.2687739999999999E-2</v>
      </c>
      <c r="O4236">
        <v>-4.5140140000000001E-4</v>
      </c>
      <c r="P4236">
        <v>0.98154039999999998</v>
      </c>
      <c r="Q4236">
        <v>0.18953719999999999</v>
      </c>
      <c r="R4236">
        <v>-2.557458E-2</v>
      </c>
      <c r="S4236">
        <v>3.06073</v>
      </c>
      <c r="T4236">
        <v>-2.0388010000000002E-2</v>
      </c>
      <c r="U4236">
        <v>1.9332889999999998E-2</v>
      </c>
      <c r="V4236">
        <v>2.5031390000000001E-2</v>
      </c>
      <c r="W4236">
        <v>0.2019878</v>
      </c>
      <c r="X4236">
        <v>0.9790681</v>
      </c>
      <c r="Y4236">
        <v>-6.7672870000000003E-3</v>
      </c>
      <c r="Z4236" s="1">
        <v>6.2752149999999995E-5</v>
      </c>
      <c r="AA4236">
        <v>0.99997709999999995</v>
      </c>
      <c r="AB4236">
        <v>33</v>
      </c>
      <c r="AC4236">
        <v>154.1782</v>
      </c>
      <c r="AD4236">
        <v>-1.0287113299999999</v>
      </c>
      <c r="AE4236">
        <v>0.97540000000000704</v>
      </c>
      <c r="AF4236">
        <v>-1.04495524071589</v>
      </c>
      <c r="AG4236">
        <v>-1.0287113299999999</v>
      </c>
      <c r="AH4236">
        <v>154.17088076632601</v>
      </c>
      <c r="AI4236">
        <v>90.382293911648802</v>
      </c>
      <c r="AJ4236">
        <v>90.388339276319996</v>
      </c>
      <c r="AK4236">
        <v>154.17785396975901</v>
      </c>
      <c r="AL4236">
        <v>78.346775629501295</v>
      </c>
      <c r="AM4236">
        <v>88.535463836575104</v>
      </c>
      <c r="AN4236">
        <v>0.99999999313589105</v>
      </c>
    </row>
    <row r="4237" spans="1:40" x14ac:dyDescent="0.25">
      <c r="A4237" t="str">
        <f>"20190303170338197"</f>
        <v>20190303170338197</v>
      </c>
      <c r="B4237" t="str">
        <f>"1551603818189471"</f>
        <v>1551603818189471</v>
      </c>
      <c r="C4237" t="s">
        <v>40</v>
      </c>
      <c r="D4237">
        <v>4.0815630000000001</v>
      </c>
      <c r="E4237">
        <v>0.49102069999999998</v>
      </c>
      <c r="F4237" t="s">
        <v>89</v>
      </c>
      <c r="G4237">
        <v>-107.39749999999999</v>
      </c>
      <c r="H4237">
        <v>0.12433950000000001</v>
      </c>
      <c r="I4237">
        <v>215.88720000000001</v>
      </c>
      <c r="J4237">
        <v>-261.26229999999998</v>
      </c>
      <c r="K4237">
        <v>1.1217870000000001</v>
      </c>
      <c r="L4237">
        <v>214.8005</v>
      </c>
      <c r="M4237">
        <v>0.99991969999999997</v>
      </c>
      <c r="N4237">
        <v>-1.267223E-2</v>
      </c>
      <c r="O4237">
        <v>-2.0682130000000001E-4</v>
      </c>
      <c r="P4237">
        <v>0.98145499999999997</v>
      </c>
      <c r="Q4237">
        <v>0.1899952</v>
      </c>
      <c r="R4237">
        <v>-2.5454600000000001E-2</v>
      </c>
      <c r="S4237">
        <v>3.060883</v>
      </c>
      <c r="T4237">
        <v>-1.9801139999999998E-2</v>
      </c>
      <c r="U4237">
        <v>2.157593E-2</v>
      </c>
      <c r="V4237">
        <v>2.515148E-2</v>
      </c>
      <c r="W4237">
        <v>0.20242950000000001</v>
      </c>
      <c r="X4237">
        <v>0.97897380000000001</v>
      </c>
      <c r="Y4237">
        <v>-7.2551289999999999E-3</v>
      </c>
      <c r="Z4237" s="1">
        <v>6.8156630000000006E-5</v>
      </c>
      <c r="AA4237">
        <v>0.99997369999999997</v>
      </c>
      <c r="AB4237">
        <v>33</v>
      </c>
      <c r="AC4237">
        <v>153.8648</v>
      </c>
      <c r="AD4237">
        <v>-0.99744750000000004</v>
      </c>
      <c r="AE4237">
        <v>1.0867</v>
      </c>
      <c r="AF4237">
        <v>-1.11847804856102</v>
      </c>
      <c r="AG4237">
        <v>-0.99744750000000004</v>
      </c>
      <c r="AH4237">
        <v>153.85810646557201</v>
      </c>
      <c r="AI4237">
        <v>90.371428082634097</v>
      </c>
      <c r="AJ4237">
        <v>90.416506769132198</v>
      </c>
      <c r="AK4237">
        <v>153.86540488307199</v>
      </c>
      <c r="AL4237">
        <v>78.320934348610507</v>
      </c>
      <c r="AM4237">
        <v>88.528299008746899</v>
      </c>
      <c r="AN4237">
        <v>1.00000000025144</v>
      </c>
    </row>
    <row r="4238" spans="1:40" x14ac:dyDescent="0.25">
      <c r="A4238" t="str">
        <f>"20190303170338221"</f>
        <v>20190303170338221</v>
      </c>
      <c r="B4238" t="str">
        <f>"1551603818209968"</f>
        <v>1551603818209968</v>
      </c>
      <c r="C4238" t="s">
        <v>40</v>
      </c>
      <c r="D4238">
        <v>4.1831149999999999</v>
      </c>
      <c r="E4238">
        <v>0.49097229999999997</v>
      </c>
      <c r="F4238" t="s">
        <v>89</v>
      </c>
      <c r="G4238">
        <v>-107.39749999999999</v>
      </c>
      <c r="H4238">
        <v>0.23211280000000001</v>
      </c>
      <c r="I4238">
        <v>215.96799999999999</v>
      </c>
      <c r="J4238">
        <v>-260.91160000000002</v>
      </c>
      <c r="K4238">
        <v>1.121783</v>
      </c>
      <c r="L4238">
        <v>214.80080000000001</v>
      </c>
      <c r="M4238">
        <v>0.99992000000000003</v>
      </c>
      <c r="N4238">
        <v>-1.265643E-2</v>
      </c>
      <c r="O4238" s="1">
        <v>6.5905810000000002E-5</v>
      </c>
      <c r="P4238">
        <v>0.98144819999999999</v>
      </c>
      <c r="Q4238">
        <v>0.19012599999999999</v>
      </c>
      <c r="R4238">
        <v>-2.4730909999999998E-2</v>
      </c>
      <c r="S4238">
        <v>3.0606990000000001</v>
      </c>
      <c r="T4238">
        <v>-1.76965E-2</v>
      </c>
      <c r="U4238">
        <v>2.3223879999999999E-2</v>
      </c>
      <c r="V4238">
        <v>2.4695189999999999E-2</v>
      </c>
      <c r="W4238">
        <v>0.20254440000000001</v>
      </c>
      <c r="X4238">
        <v>0.97896159999999999</v>
      </c>
      <c r="Y4238">
        <v>-7.5212419999999896E-3</v>
      </c>
      <c r="Z4238" s="1">
        <v>6.9795849999999997E-5</v>
      </c>
      <c r="AA4238">
        <v>0.99997170000000002</v>
      </c>
      <c r="AB4238">
        <v>33</v>
      </c>
      <c r="AC4238">
        <v>153.51410000000001</v>
      </c>
      <c r="AD4238">
        <v>-0.88967019999999997</v>
      </c>
      <c r="AE4238">
        <v>1.16719999999997</v>
      </c>
      <c r="AF4238">
        <v>-1.1570428584302701</v>
      </c>
      <c r="AG4238">
        <v>-0.88967019999999997</v>
      </c>
      <c r="AH4238">
        <v>153.50902110328201</v>
      </c>
      <c r="AI4238">
        <v>90.332047776149096</v>
      </c>
      <c r="AJ4238">
        <v>90.431847045018998</v>
      </c>
      <c r="AK4238">
        <v>153.51595950040101</v>
      </c>
      <c r="AL4238">
        <v>78.314211214179707</v>
      </c>
      <c r="AM4238">
        <v>88.554968706276995</v>
      </c>
      <c r="AN4238">
        <v>0.99999995032752598</v>
      </c>
    </row>
    <row r="4239" spans="1:40" x14ac:dyDescent="0.25">
      <c r="A4239" t="str">
        <f>"20190303170338242"</f>
        <v>20190303170338242</v>
      </c>
      <c r="B4239" t="str">
        <f>"1551603818229995"</f>
        <v>1551603818229995</v>
      </c>
      <c r="C4239" t="s">
        <v>40</v>
      </c>
      <c r="D4239">
        <v>4.1848850000000004</v>
      </c>
      <c r="E4239">
        <v>0.49087589999999998</v>
      </c>
      <c r="F4239" t="s">
        <v>89</v>
      </c>
      <c r="G4239">
        <v>-107.39749999999999</v>
      </c>
      <c r="H4239">
        <v>0.28020479999999998</v>
      </c>
      <c r="I4239">
        <v>216.08199999999999</v>
      </c>
      <c r="J4239">
        <v>-260.601</v>
      </c>
      <c r="K4239">
        <v>1.121783</v>
      </c>
      <c r="L4239">
        <v>214.80109999999999</v>
      </c>
      <c r="M4239">
        <v>0.99992000000000003</v>
      </c>
      <c r="N4239">
        <v>-1.264348E-2</v>
      </c>
      <c r="O4239">
        <v>3.0602169999999998E-4</v>
      </c>
      <c r="P4239">
        <v>0.98139310000000002</v>
      </c>
      <c r="Q4239">
        <v>0.1904554</v>
      </c>
      <c r="R4239">
        <v>-2.437659E-2</v>
      </c>
      <c r="S4239">
        <v>3.0606080000000002</v>
      </c>
      <c r="T4239">
        <v>-1.6777520000000001E-2</v>
      </c>
      <c r="U4239">
        <v>2.554321E-2</v>
      </c>
      <c r="V4239">
        <v>2.4575699999999999E-2</v>
      </c>
      <c r="W4239">
        <v>0.2028605</v>
      </c>
      <c r="X4239">
        <v>0.97889919999999997</v>
      </c>
      <c r="Y4239">
        <v>-8.0390800000000005E-3</v>
      </c>
      <c r="Z4239" s="1">
        <v>7.5050569999999994E-5</v>
      </c>
      <c r="AA4239">
        <v>0.99996770000000001</v>
      </c>
      <c r="AB4239">
        <v>33</v>
      </c>
      <c r="AC4239">
        <v>153.20349999999999</v>
      </c>
      <c r="AD4239">
        <v>-0.84157819999999905</v>
      </c>
      <c r="AE4239">
        <v>1.2808999999999999</v>
      </c>
      <c r="AF4239">
        <v>-1.2339753627322101</v>
      </c>
      <c r="AG4239">
        <v>-0.84157819999999905</v>
      </c>
      <c r="AH4239">
        <v>153.199262329291</v>
      </c>
      <c r="AI4239">
        <v>90.314732781189306</v>
      </c>
      <c r="AJ4239">
        <v>90.461490808063999</v>
      </c>
      <c r="AK4239">
        <v>153.206543356677</v>
      </c>
      <c r="AL4239">
        <v>78.295716602613297</v>
      </c>
      <c r="AM4239">
        <v>88.561866053434898</v>
      </c>
      <c r="AN4239">
        <v>0.99999999562568997</v>
      </c>
    </row>
    <row r="4240" spans="1:40" x14ac:dyDescent="0.25">
      <c r="A4240" t="str">
        <f>"20190303170338265"</f>
        <v>20190303170338265</v>
      </c>
      <c r="B4240" t="str">
        <f>"1551603818259275"</f>
        <v>1551603818259275</v>
      </c>
      <c r="C4240" t="s">
        <v>40</v>
      </c>
      <c r="D4240">
        <v>4.1816820000000003</v>
      </c>
      <c r="E4240">
        <v>0.49083890000000002</v>
      </c>
      <c r="F4240" t="s">
        <v>89</v>
      </c>
      <c r="G4240">
        <v>-107.39749999999999</v>
      </c>
      <c r="H4240">
        <v>0.34872019999999998</v>
      </c>
      <c r="I4240">
        <v>216.17140000000001</v>
      </c>
      <c r="J4240">
        <v>-260.26990000000001</v>
      </c>
      <c r="K4240">
        <v>1.121785</v>
      </c>
      <c r="L4240">
        <v>214.8015</v>
      </c>
      <c r="M4240">
        <v>0.99992020000000004</v>
      </c>
      <c r="N4240">
        <v>-1.263075E-2</v>
      </c>
      <c r="O4240">
        <v>5.6097880000000001E-4</v>
      </c>
      <c r="P4240">
        <v>0.98144129999999996</v>
      </c>
      <c r="Q4240">
        <v>0.19020809999999999</v>
      </c>
      <c r="R4240">
        <v>-2.4373240000000001E-2</v>
      </c>
      <c r="S4240">
        <v>3.0605769999999999</v>
      </c>
      <c r="T4240">
        <v>-1.5442610000000001E-2</v>
      </c>
      <c r="U4240">
        <v>2.7374269999999999E-2</v>
      </c>
      <c r="V4240">
        <v>2.4822049999999998E-2</v>
      </c>
      <c r="W4240">
        <v>0.20260130000000001</v>
      </c>
      <c r="X4240">
        <v>0.97894669999999895</v>
      </c>
      <c r="Y4240">
        <v>-8.3824329999999999E-3</v>
      </c>
      <c r="Z4240" s="1">
        <v>7.8344799999999996E-5</v>
      </c>
      <c r="AA4240">
        <v>0.99996490000000005</v>
      </c>
      <c r="AB4240">
        <v>33</v>
      </c>
      <c r="AC4240">
        <v>152.8724</v>
      </c>
      <c r="AD4240">
        <v>-0.7730648</v>
      </c>
      <c r="AE4240">
        <v>1.3698999999999999</v>
      </c>
      <c r="AF4240">
        <v>-1.2841019432634999</v>
      </c>
      <c r="AG4240">
        <v>-0.7730648</v>
      </c>
      <c r="AH4240">
        <v>152.86923554935001</v>
      </c>
      <c r="AI4240">
        <v>90.289733968049205</v>
      </c>
      <c r="AJ4240">
        <v>90.481273365238195</v>
      </c>
      <c r="AK4240">
        <v>152.876583309637</v>
      </c>
      <c r="AL4240">
        <v>78.310883019964706</v>
      </c>
      <c r="AM4240">
        <v>88.547526607390296</v>
      </c>
      <c r="AN4240">
        <v>1.00000003118439</v>
      </c>
    </row>
    <row r="4241" spans="1:40" x14ac:dyDescent="0.25">
      <c r="A4241" t="str">
        <f>"20190303170338287"</f>
        <v>20190303170338287</v>
      </c>
      <c r="B4241" t="str">
        <f>"1551603818279771"</f>
        <v>1551603818279771</v>
      </c>
      <c r="C4241" t="s">
        <v>40</v>
      </c>
      <c r="D4241">
        <v>4.0976679999999996</v>
      </c>
      <c r="E4241">
        <v>0.49081669999999999</v>
      </c>
      <c r="F4241" t="s">
        <v>89</v>
      </c>
      <c r="G4241">
        <v>-107.39749999999999</v>
      </c>
      <c r="H4241">
        <v>0.3299185</v>
      </c>
      <c r="I4241">
        <v>216.21530000000001</v>
      </c>
      <c r="J4241">
        <v>-259.94159999999999</v>
      </c>
      <c r="K4241">
        <v>1.121785</v>
      </c>
      <c r="L4241">
        <v>214.80199999999999</v>
      </c>
      <c r="M4241">
        <v>0.99992000000000003</v>
      </c>
      <c r="N4241">
        <v>-1.2619409999999999E-2</v>
      </c>
      <c r="O4241">
        <v>8.1431020000000002E-4</v>
      </c>
      <c r="P4241">
        <v>0.98154090000000005</v>
      </c>
      <c r="Q4241">
        <v>0.18970020000000001</v>
      </c>
      <c r="R4241">
        <v>-2.4318289999999999E-2</v>
      </c>
      <c r="S4241">
        <v>3.0605159999999998</v>
      </c>
      <c r="T4241">
        <v>-1.5852209999999999E-2</v>
      </c>
      <c r="U4241">
        <v>2.8305049999999998E-2</v>
      </c>
      <c r="V4241">
        <v>2.5015599999999999E-2</v>
      </c>
      <c r="W4241">
        <v>0.20208400000000001</v>
      </c>
      <c r="X4241">
        <v>0.97904869999999999</v>
      </c>
      <c r="Y4241">
        <v>-8.4333519999999999E-3</v>
      </c>
      <c r="Z4241" s="1">
        <v>8.111521E-5</v>
      </c>
      <c r="AA4241">
        <v>0.99996439999999998</v>
      </c>
      <c r="AB4241">
        <v>33</v>
      </c>
      <c r="AC4241">
        <v>152.54409999999999</v>
      </c>
      <c r="AD4241">
        <v>-0.79186650000000003</v>
      </c>
      <c r="AE4241">
        <v>1.41329999999999</v>
      </c>
      <c r="AF4241">
        <v>-1.2890366848019199</v>
      </c>
      <c r="AG4241">
        <v>-0.79186650000000003</v>
      </c>
      <c r="AH4241">
        <v>152.54109017475599</v>
      </c>
      <c r="AI4241">
        <v>90.297418754322507</v>
      </c>
      <c r="AJ4241">
        <v>90.484162029054502</v>
      </c>
      <c r="AK4241">
        <v>152.548591798914</v>
      </c>
      <c r="AL4241">
        <v>78.341148272973101</v>
      </c>
      <c r="AM4241">
        <v>88.536358286576203</v>
      </c>
      <c r="AN4241">
        <v>1.00000004013552</v>
      </c>
    </row>
    <row r="4242" spans="1:40" x14ac:dyDescent="0.25">
      <c r="A4242" t="str">
        <f>"20190303170338320"</f>
        <v>20190303170338320</v>
      </c>
      <c r="B4242" t="str">
        <f>"1551603818310027"</f>
        <v>1551603818310027</v>
      </c>
      <c r="C4242" t="s">
        <v>40</v>
      </c>
      <c r="D4242">
        <v>4.125489</v>
      </c>
      <c r="E4242">
        <v>0.49075380000000002</v>
      </c>
      <c r="F4242" t="s">
        <v>89</v>
      </c>
      <c r="G4242">
        <v>-107.39749999999999</v>
      </c>
      <c r="H4242">
        <v>0.25785849999999999</v>
      </c>
      <c r="I4242">
        <v>216.20060000000001</v>
      </c>
      <c r="J4242">
        <v>-259.4624</v>
      </c>
      <c r="K4242">
        <v>1.121774</v>
      </c>
      <c r="L4242">
        <v>214.80279999999999</v>
      </c>
      <c r="M4242">
        <v>0.99991980000000003</v>
      </c>
      <c r="N4242">
        <v>-1.260727E-2</v>
      </c>
      <c r="O4242">
        <v>1.18374E-3</v>
      </c>
      <c r="P4242">
        <v>0.98181079999999998</v>
      </c>
      <c r="Q4242">
        <v>0.188328</v>
      </c>
      <c r="R4242">
        <v>-2.4088419999999999E-2</v>
      </c>
      <c r="S4242">
        <v>3.0604550000000001</v>
      </c>
      <c r="T4242">
        <v>-1.7331719999999998E-2</v>
      </c>
      <c r="U4242">
        <v>2.8060910000000001E-2</v>
      </c>
      <c r="V4242">
        <v>2.5149250000000001E-2</v>
      </c>
      <c r="W4242">
        <v>0.2007033</v>
      </c>
      <c r="X4242">
        <v>0.97932920000000001</v>
      </c>
      <c r="Y4242">
        <v>-7.9843090000000002E-3</v>
      </c>
      <c r="Z4242" s="1">
        <v>8.1162639999999997E-5</v>
      </c>
      <c r="AA4242">
        <v>0.99996810000000003</v>
      </c>
      <c r="AB4242">
        <v>33</v>
      </c>
      <c r="AC4242">
        <v>152.06489999999999</v>
      </c>
      <c r="AD4242">
        <v>-0.86391549999999995</v>
      </c>
      <c r="AE4242">
        <v>1.3978000000000099</v>
      </c>
      <c r="AF4242">
        <v>-1.2177401034542401</v>
      </c>
      <c r="AG4242">
        <v>-0.86391549999999995</v>
      </c>
      <c r="AH4242">
        <v>152.06154062802099</v>
      </c>
      <c r="AI4242">
        <v>90.3255036885718</v>
      </c>
      <c r="AJ4242">
        <v>90.458826582514405</v>
      </c>
      <c r="AK4242">
        <v>152.06887051306001</v>
      </c>
      <c r="AL4242">
        <v>78.421910783912693</v>
      </c>
      <c r="AM4242">
        <v>88.528963236878994</v>
      </c>
      <c r="AN4242">
        <v>0.99999999068954604</v>
      </c>
    </row>
    <row r="4243" spans="1:40" x14ac:dyDescent="0.25">
      <c r="A4243" t="str">
        <f>"20190303170338343"</f>
        <v>20190303170338343</v>
      </c>
      <c r="B4243" t="str">
        <f>"1551603818329547"</f>
        <v>1551603818329547</v>
      </c>
      <c r="C4243" t="s">
        <v>40</v>
      </c>
      <c r="D4243">
        <v>4.0427850000000003</v>
      </c>
      <c r="E4243">
        <v>0.4907416</v>
      </c>
      <c r="F4243" t="s">
        <v>89</v>
      </c>
      <c r="G4243">
        <v>-107.39749999999999</v>
      </c>
      <c r="H4243">
        <v>6.9698109999999994E-2</v>
      </c>
      <c r="I4243">
        <v>216.2501</v>
      </c>
      <c r="J4243">
        <v>-259.1266</v>
      </c>
      <c r="K4243">
        <v>1.121772</v>
      </c>
      <c r="L4243">
        <v>214.80350000000001</v>
      </c>
      <c r="M4243">
        <v>0.99991969999999997</v>
      </c>
      <c r="N4243">
        <v>-1.261148E-2</v>
      </c>
      <c r="O4243">
        <v>1.4372390000000001E-3</v>
      </c>
      <c r="P4243">
        <v>0.98185250000000002</v>
      </c>
      <c r="Q4243">
        <v>0.18806349999999999</v>
      </c>
      <c r="R4243">
        <v>-2.445485E-2</v>
      </c>
      <c r="S4243">
        <v>3.0603639999999999</v>
      </c>
      <c r="T4243">
        <v>-2.1172400000000001E-2</v>
      </c>
      <c r="U4243">
        <v>2.912903E-2</v>
      </c>
      <c r="V4243">
        <v>2.5765639999999999E-2</v>
      </c>
      <c r="W4243">
        <v>0.2004436</v>
      </c>
      <c r="X4243">
        <v>0.97936639999999997</v>
      </c>
      <c r="Y4243">
        <v>-8.0799099999999992E-3</v>
      </c>
      <c r="Z4243" s="1">
        <v>8.708659E-5</v>
      </c>
      <c r="AA4243">
        <v>0.9999673</v>
      </c>
      <c r="AB4243">
        <v>33</v>
      </c>
      <c r="AC4243">
        <v>151.72909999999999</v>
      </c>
      <c r="AD4243">
        <v>-1.05207389</v>
      </c>
      <c r="AE4243">
        <v>1.4465999999999799</v>
      </c>
      <c r="AF4243">
        <v>-1.22845118125597</v>
      </c>
      <c r="AG4243">
        <v>-1.05207389</v>
      </c>
      <c r="AH4243">
        <v>151.723728489482</v>
      </c>
      <c r="AI4243">
        <v>90.397277686932497</v>
      </c>
      <c r="AJ4243">
        <v>90.463892699866193</v>
      </c>
      <c r="AK4243">
        <v>151.73234901801601</v>
      </c>
      <c r="AL4243">
        <v>78.437099550551196</v>
      </c>
      <c r="AM4243">
        <v>88.492982832222793</v>
      </c>
      <c r="AN4243">
        <v>1.0000000252172601</v>
      </c>
    </row>
    <row r="4244" spans="1:40" x14ac:dyDescent="0.25">
      <c r="A4244" t="str">
        <f>"20190303170338365"</f>
        <v>20190303170338365</v>
      </c>
      <c r="B4244" t="str">
        <f>"1551603818359803"</f>
        <v>1551603818359803</v>
      </c>
      <c r="C4244" t="s">
        <v>40</v>
      </c>
      <c r="D4244">
        <v>4.1080899999999998</v>
      </c>
      <c r="E4244">
        <v>0.49064370000000002</v>
      </c>
      <c r="F4244" t="s">
        <v>44</v>
      </c>
      <c r="G4244">
        <v>-94.766599999999997</v>
      </c>
      <c r="H4244">
        <v>-0.05</v>
      </c>
      <c r="I4244">
        <v>216.3245</v>
      </c>
      <c r="J4244">
        <v>-258.8014</v>
      </c>
      <c r="K4244">
        <v>1.1217779999999999</v>
      </c>
      <c r="L4244">
        <v>214.80430000000001</v>
      </c>
      <c r="M4244">
        <v>0.99991909999999895</v>
      </c>
      <c r="N4244">
        <v>-1.262218E-2</v>
      </c>
      <c r="O4244">
        <v>1.6768830000000001E-3</v>
      </c>
      <c r="P4244">
        <v>0.98175500000000004</v>
      </c>
      <c r="Q4244">
        <v>0.18865100000000001</v>
      </c>
      <c r="R4244">
        <v>-2.3834330000000001E-2</v>
      </c>
      <c r="S4244">
        <v>3.060333</v>
      </c>
      <c r="T4244">
        <v>-2.181804E-2</v>
      </c>
      <c r="U4244">
        <v>2.8320310000000001E-2</v>
      </c>
      <c r="V4244">
        <v>2.5380389999999999E-2</v>
      </c>
      <c r="W4244">
        <v>0.2010401</v>
      </c>
      <c r="X4244">
        <v>0.97925410000000002</v>
      </c>
      <c r="Y4244">
        <v>-7.5761359999999998E-3</v>
      </c>
      <c r="Z4244" s="1">
        <v>8.4035639999999995E-5</v>
      </c>
      <c r="AA4244">
        <v>0.99997130000000001</v>
      </c>
      <c r="AB4244">
        <v>33</v>
      </c>
      <c r="AC4244">
        <v>164.03479999999999</v>
      </c>
      <c r="AD4244">
        <v>-1.171778</v>
      </c>
      <c r="AE4244">
        <v>1.52019999999998</v>
      </c>
      <c r="AF4244">
        <v>-1.24504529867224</v>
      </c>
      <c r="AG4244">
        <v>-1.171778</v>
      </c>
      <c r="AH4244">
        <v>164.02874919991399</v>
      </c>
      <c r="AI4244">
        <v>90.409287142258194</v>
      </c>
      <c r="AJ4244">
        <v>90.4348900502102</v>
      </c>
      <c r="AK4244">
        <v>164.03765959548801</v>
      </c>
      <c r="AL4244">
        <v>78.402211451294903</v>
      </c>
      <c r="AM4244">
        <v>88.515335555108905</v>
      </c>
      <c r="AN4244">
        <v>0.99999993918568397</v>
      </c>
    </row>
    <row r="4245" spans="1:40" x14ac:dyDescent="0.25">
      <c r="A4245" t="str">
        <f>"20190303170338387"</f>
        <v>20190303170338387</v>
      </c>
      <c r="B4245" t="str">
        <f>"1551603818379323"</f>
        <v>1551603818379323</v>
      </c>
      <c r="C4245" t="s">
        <v>40</v>
      </c>
      <c r="D4245">
        <v>4.0547110000000002</v>
      </c>
      <c r="E4245">
        <v>0.49058220000000002</v>
      </c>
      <c r="F4245" t="s">
        <v>89</v>
      </c>
      <c r="G4245">
        <v>-107.39749999999999</v>
      </c>
      <c r="H4245">
        <v>0.15203329999999901</v>
      </c>
      <c r="I4245">
        <v>216.30500000000001</v>
      </c>
      <c r="J4245">
        <v>-258.47539999999998</v>
      </c>
      <c r="K4245">
        <v>1.1217809999999999</v>
      </c>
      <c r="L4245">
        <v>214.80510000000001</v>
      </c>
      <c r="M4245">
        <v>0.99991839999999999</v>
      </c>
      <c r="N4245">
        <v>-1.263718E-2</v>
      </c>
      <c r="O4245">
        <v>1.9138759999999999E-3</v>
      </c>
      <c r="P4245">
        <v>0.98169680000000004</v>
      </c>
      <c r="Q4245">
        <v>0.18903900000000001</v>
      </c>
      <c r="R4245">
        <v>-2.315074E-2</v>
      </c>
      <c r="S4245">
        <v>3.0602870000000002</v>
      </c>
      <c r="T4245">
        <v>-1.960015E-2</v>
      </c>
      <c r="U4245">
        <v>3.0334469999999999E-2</v>
      </c>
      <c r="V4245">
        <v>2.49295E-2</v>
      </c>
      <c r="W4245">
        <v>0.2014418</v>
      </c>
      <c r="X4245">
        <v>0.97918320000000003</v>
      </c>
      <c r="Y4245">
        <v>-7.9974069999999998E-3</v>
      </c>
      <c r="Z4245" s="1">
        <v>8.8076030000000004E-5</v>
      </c>
      <c r="AA4245">
        <v>0.99996799999999997</v>
      </c>
      <c r="AB4245">
        <v>33</v>
      </c>
      <c r="AC4245">
        <v>151.0779</v>
      </c>
      <c r="AD4245">
        <v>-0.96974769999999999</v>
      </c>
      <c r="AE4245">
        <v>1.49989999999999</v>
      </c>
      <c r="AF4245">
        <v>-1.2106799419765899</v>
      </c>
      <c r="AG4245">
        <v>-0.96974769999999999</v>
      </c>
      <c r="AH4245">
        <v>151.074270203488</v>
      </c>
      <c r="AI4245">
        <v>90.367765492023693</v>
      </c>
      <c r="AJ4245">
        <v>90.459147451395097</v>
      </c>
      <c r="AK4245">
        <v>151.082233482432</v>
      </c>
      <c r="AL4245">
        <v>78.378715862220304</v>
      </c>
      <c r="AM4245">
        <v>88.541594011857697</v>
      </c>
      <c r="AN4245">
        <v>1.00000000895986</v>
      </c>
    </row>
    <row r="4246" spans="1:40" x14ac:dyDescent="0.25">
      <c r="A4246" t="str">
        <f>"20190303170338409"</f>
        <v>20190303170338409</v>
      </c>
      <c r="B4246" t="str">
        <f>"1551603818399820"</f>
        <v>1551603818399820</v>
      </c>
      <c r="C4246" t="s">
        <v>40</v>
      </c>
      <c r="D4246">
        <v>4.1864780000000001</v>
      </c>
      <c r="E4246">
        <v>0.49056830000000001</v>
      </c>
      <c r="F4246" t="s">
        <v>89</v>
      </c>
      <c r="G4246">
        <v>-107.39749999999999</v>
      </c>
      <c r="H4246">
        <v>0.27021469999999997</v>
      </c>
      <c r="I4246">
        <v>216.4188</v>
      </c>
      <c r="J4246">
        <v>-258.15499999999997</v>
      </c>
      <c r="K4246">
        <v>1.1217889999999999</v>
      </c>
      <c r="L4246">
        <v>214.80600000000001</v>
      </c>
      <c r="M4246">
        <v>0.99991759999999996</v>
      </c>
      <c r="N4246">
        <v>-1.266282E-2</v>
      </c>
      <c r="O4246">
        <v>2.1459560000000001E-3</v>
      </c>
      <c r="P4246">
        <v>0.9816916</v>
      </c>
      <c r="Q4246">
        <v>0.18911140000000001</v>
      </c>
      <c r="R4246">
        <v>-2.2783749999999998E-2</v>
      </c>
      <c r="S4246">
        <v>3.0599980000000002</v>
      </c>
      <c r="T4246">
        <v>-1.7246959999999999E-2</v>
      </c>
      <c r="U4246">
        <v>3.2684329999999998E-2</v>
      </c>
      <c r="V4246">
        <v>2.4791359999999998E-2</v>
      </c>
      <c r="W4246">
        <v>0.201539</v>
      </c>
      <c r="X4246">
        <v>0.97916669999999995</v>
      </c>
      <c r="Y4246">
        <v>-8.5341369999999903E-3</v>
      </c>
      <c r="Z4246" s="1">
        <v>9.3167470000000003E-5</v>
      </c>
      <c r="AA4246">
        <v>0.99996359999999995</v>
      </c>
      <c r="AB4246">
        <v>33</v>
      </c>
      <c r="AC4246">
        <v>150.75749999999999</v>
      </c>
      <c r="AD4246">
        <v>-0.85157430000000001</v>
      </c>
      <c r="AE4246">
        <v>1.61280000000002</v>
      </c>
      <c r="AF4246">
        <v>-1.2892102788565001</v>
      </c>
      <c r="AG4246">
        <v>-0.85157430000000001</v>
      </c>
      <c r="AH4246">
        <v>150.75580446130101</v>
      </c>
      <c r="AI4246">
        <v>90.3236313894853</v>
      </c>
      <c r="AJ4246">
        <v>90.489961282724295</v>
      </c>
      <c r="AK4246">
        <v>150.76372183222901</v>
      </c>
      <c r="AL4246">
        <v>78.373030032640997</v>
      </c>
      <c r="AM4246">
        <v>88.549647479039095</v>
      </c>
      <c r="AN4246">
        <v>1.0000000032202601</v>
      </c>
    </row>
    <row r="4247" spans="1:40" x14ac:dyDescent="0.25">
      <c r="A4247" t="str">
        <f>"20190303170338433"</f>
        <v>20190303170338433</v>
      </c>
      <c r="B4247" t="str">
        <f>"1551603818419339"</f>
        <v>1551603818419339</v>
      </c>
      <c r="C4247" t="s">
        <v>40</v>
      </c>
      <c r="D4247">
        <v>4.127078</v>
      </c>
      <c r="E4247">
        <v>0.49062840000000002</v>
      </c>
      <c r="F4247" t="s">
        <v>89</v>
      </c>
      <c r="G4247">
        <v>-107.39749999999999</v>
      </c>
      <c r="H4247">
        <v>0.31333840000000002</v>
      </c>
      <c r="I4247">
        <v>216.5035</v>
      </c>
      <c r="J4247">
        <v>-257.81950000000001</v>
      </c>
      <c r="K4247">
        <v>1.1217919999999999</v>
      </c>
      <c r="L4247">
        <v>214.80699999999999</v>
      </c>
      <c r="M4247">
        <v>0.99991649999999999</v>
      </c>
      <c r="N4247">
        <v>-1.270458E-2</v>
      </c>
      <c r="O4247">
        <v>2.393624E-3</v>
      </c>
      <c r="P4247">
        <v>0.98173319999999997</v>
      </c>
      <c r="Q4247">
        <v>0.18899260000000001</v>
      </c>
      <c r="R4247">
        <v>-2.194405E-2</v>
      </c>
      <c r="S4247">
        <v>3.0599059999999998</v>
      </c>
      <c r="T4247">
        <v>-1.6407970000000001E-2</v>
      </c>
      <c r="U4247">
        <v>3.4454350000000002E-2</v>
      </c>
      <c r="V4247">
        <v>2.4198049999999999E-2</v>
      </c>
      <c r="W4247">
        <v>0.201461</v>
      </c>
      <c r="X4247">
        <v>0.9791976</v>
      </c>
      <c r="Y4247">
        <v>-8.8651600000000004E-3</v>
      </c>
      <c r="Z4247" s="1">
        <v>9.7663170000000002E-5</v>
      </c>
      <c r="AA4247">
        <v>0.99996070000000004</v>
      </c>
      <c r="AB4247">
        <v>33</v>
      </c>
      <c r="AC4247">
        <v>150.422</v>
      </c>
      <c r="AD4247">
        <v>-0.808453599999999</v>
      </c>
      <c r="AE4247">
        <v>1.6964999999999799</v>
      </c>
      <c r="AF4247">
        <v>-1.3363737970076699</v>
      </c>
      <c r="AG4247">
        <v>-0.808453599999999</v>
      </c>
      <c r="AH4247">
        <v>150.42128560648499</v>
      </c>
      <c r="AI4247">
        <v>90.307926535418702</v>
      </c>
      <c r="AJ4247">
        <v>90.509014157870197</v>
      </c>
      <c r="AK4247">
        <v>150.42939425410401</v>
      </c>
      <c r="AL4247">
        <v>78.377592770156298</v>
      </c>
      <c r="AM4247">
        <v>88.584387858279101</v>
      </c>
      <c r="AN4247">
        <v>1.0000000099952799</v>
      </c>
    </row>
    <row r="4248" spans="1:40" x14ac:dyDescent="0.25">
      <c r="A4248" t="str">
        <f>"20190303170338455"</f>
        <v>20190303170338455</v>
      </c>
      <c r="B4248" t="str">
        <f>"1551603818449594"</f>
        <v>1551603818449594</v>
      </c>
      <c r="C4248" t="s">
        <v>40</v>
      </c>
      <c r="D4248">
        <v>4.1307470000000004</v>
      </c>
      <c r="E4248">
        <v>0.490705</v>
      </c>
      <c r="F4248" t="s">
        <v>89</v>
      </c>
      <c r="G4248">
        <v>-107.39749999999999</v>
      </c>
      <c r="H4248">
        <v>0.30154629999999999</v>
      </c>
      <c r="I4248">
        <v>216.5968</v>
      </c>
      <c r="J4248">
        <v>-257.48950000000002</v>
      </c>
      <c r="K4248">
        <v>1.121799</v>
      </c>
      <c r="L4248">
        <v>214.8081</v>
      </c>
      <c r="M4248">
        <v>0.9999152</v>
      </c>
      <c r="N4248">
        <v>-1.2757340000000001E-2</v>
      </c>
      <c r="O4248">
        <v>2.6437119999999999E-3</v>
      </c>
      <c r="P4248">
        <v>0.98160170000000002</v>
      </c>
      <c r="Q4248">
        <v>0.1897412</v>
      </c>
      <c r="R4248">
        <v>-2.1368620000000001E-2</v>
      </c>
      <c r="S4248">
        <v>3.0598450000000001</v>
      </c>
      <c r="T4248">
        <v>-1.6684170000000002E-2</v>
      </c>
      <c r="U4248">
        <v>3.6407469999999997E-2</v>
      </c>
      <c r="V4248">
        <v>2.3870209999999999E-2</v>
      </c>
      <c r="W4248">
        <v>0.20225860000000001</v>
      </c>
      <c r="X4248">
        <v>0.97904119999999994</v>
      </c>
      <c r="Y4248">
        <v>-9.2534580000000009E-3</v>
      </c>
      <c r="Z4248">
        <v>1.0357029999999999E-4</v>
      </c>
      <c r="AA4248">
        <v>0.99995719999999999</v>
      </c>
      <c r="AB4248">
        <v>33</v>
      </c>
      <c r="AC4248">
        <v>150.09200000000001</v>
      </c>
      <c r="AD4248">
        <v>-0.82025269999999995</v>
      </c>
      <c r="AE4248">
        <v>1.7887</v>
      </c>
      <c r="AF4248">
        <v>-1.3918198996804501</v>
      </c>
      <c r="AG4248">
        <v>-0.82025269999999995</v>
      </c>
      <c r="AH4248">
        <v>150.091722557726</v>
      </c>
      <c r="AI4248">
        <v>90.313105404534198</v>
      </c>
      <c r="AJ4248">
        <v>90.531295923981602</v>
      </c>
      <c r="AK4248">
        <v>150.10041691304599</v>
      </c>
      <c r="AL4248">
        <v>78.330933019031406</v>
      </c>
      <c r="AM4248">
        <v>88.603336216686799</v>
      </c>
      <c r="AN4248">
        <v>0.99999999974842202</v>
      </c>
    </row>
    <row r="4249" spans="1:40" x14ac:dyDescent="0.25">
      <c r="A4249" t="str">
        <f>"20190303170338477"</f>
        <v>20190303170338477</v>
      </c>
      <c r="B4249" t="str">
        <f>"1551603818470092"</f>
        <v>1551603818470092</v>
      </c>
      <c r="C4249" t="s">
        <v>40</v>
      </c>
      <c r="D4249">
        <v>4.072343</v>
      </c>
      <c r="E4249">
        <v>0.49069259999999898</v>
      </c>
      <c r="F4249" t="s">
        <v>89</v>
      </c>
      <c r="G4249">
        <v>-107.39749999999999</v>
      </c>
      <c r="H4249">
        <v>0.43435610000000002</v>
      </c>
      <c r="I4249">
        <v>216.6524</v>
      </c>
      <c r="J4249">
        <v>-257.16649999999998</v>
      </c>
      <c r="K4249">
        <v>1.121812</v>
      </c>
      <c r="L4249">
        <v>214.8092</v>
      </c>
      <c r="M4249">
        <v>0.99991379999999996</v>
      </c>
      <c r="N4249">
        <v>-1.28179E-2</v>
      </c>
      <c r="O4249">
        <v>2.8899210000000002E-3</v>
      </c>
      <c r="P4249">
        <v>0.98153159999999895</v>
      </c>
      <c r="Q4249">
        <v>0.19007930000000001</v>
      </c>
      <c r="R4249">
        <v>-2.1580439999999999E-2</v>
      </c>
      <c r="S4249">
        <v>3.0597530000000002</v>
      </c>
      <c r="T4249">
        <v>-1.4013050000000001E-2</v>
      </c>
      <c r="U4249">
        <v>3.7597659999999998E-2</v>
      </c>
      <c r="V4249">
        <v>2.4325079999999999E-2</v>
      </c>
      <c r="W4249">
        <v>0.2026551</v>
      </c>
      <c r="X4249">
        <v>0.97894800000000004</v>
      </c>
      <c r="Y4249">
        <v>-9.3966109999999992E-3</v>
      </c>
      <c r="Z4249">
        <v>1.0555350000000001E-4</v>
      </c>
      <c r="AA4249">
        <v>0.99995579999999995</v>
      </c>
      <c r="AB4249">
        <v>33</v>
      </c>
      <c r="AC4249">
        <v>149.76900000000001</v>
      </c>
      <c r="AD4249">
        <v>-0.68745590000000001</v>
      </c>
      <c r="AE4249">
        <v>1.84319999999999</v>
      </c>
      <c r="AF4249">
        <v>-1.4103065097067899</v>
      </c>
      <c r="AG4249">
        <v>-0.68745590000000001</v>
      </c>
      <c r="AH4249">
        <v>149.77054657517201</v>
      </c>
      <c r="AI4249">
        <v>90.262977600319999</v>
      </c>
      <c r="AJ4249">
        <v>90.539506762175094</v>
      </c>
      <c r="AK4249">
        <v>149.77876412059101</v>
      </c>
      <c r="AL4249">
        <v>78.307734754026001</v>
      </c>
      <c r="AM4249">
        <v>88.576596833469694</v>
      </c>
      <c r="AN4249">
        <v>0.99999999288850805</v>
      </c>
    </row>
    <row r="4250" spans="1:40" x14ac:dyDescent="0.25">
      <c r="A4250" t="str">
        <f>"20190303170338499"</f>
        <v>20190303170338499</v>
      </c>
      <c r="B4250" t="str">
        <f>"1551603818489612"</f>
        <v>1551603818489612</v>
      </c>
      <c r="C4250" t="s">
        <v>40</v>
      </c>
      <c r="D4250">
        <v>4.0196149999999999</v>
      </c>
      <c r="E4250">
        <v>0.49077720000000002</v>
      </c>
      <c r="F4250" t="s">
        <v>89</v>
      </c>
      <c r="G4250">
        <v>-107.39749999999999</v>
      </c>
      <c r="H4250">
        <v>0.53626640000000003</v>
      </c>
      <c r="I4250">
        <v>216.631</v>
      </c>
      <c r="J4250">
        <v>-256.85169999999999</v>
      </c>
      <c r="K4250">
        <v>1.121829</v>
      </c>
      <c r="L4250">
        <v>214.81039999999999</v>
      </c>
      <c r="M4250">
        <v>0.99991229999999998</v>
      </c>
      <c r="N4250">
        <v>-1.2878260000000001E-2</v>
      </c>
      <c r="O4250">
        <v>3.1275970000000002E-3</v>
      </c>
      <c r="P4250">
        <v>0.98144609999999999</v>
      </c>
      <c r="Q4250">
        <v>0.19045280000000001</v>
      </c>
      <c r="R4250">
        <v>-2.217098E-2</v>
      </c>
      <c r="S4250">
        <v>3.0595859999999999</v>
      </c>
      <c r="T4250">
        <v>-1.196086E-2</v>
      </c>
      <c r="U4250">
        <v>3.7216190000000003E-2</v>
      </c>
      <c r="V4250">
        <v>2.5148449999999999E-2</v>
      </c>
      <c r="W4250">
        <v>0.20308699999999999</v>
      </c>
      <c r="X4250">
        <v>0.97883770000000003</v>
      </c>
      <c r="Y4250">
        <v>-9.0350450000000002E-3</v>
      </c>
      <c r="Z4250">
        <v>1.038956E-4</v>
      </c>
      <c r="AA4250">
        <v>0.99995919999999905</v>
      </c>
      <c r="AB4250">
        <v>33</v>
      </c>
      <c r="AC4250">
        <v>149.45419999999999</v>
      </c>
      <c r="AD4250">
        <v>-0.58556260000000004</v>
      </c>
      <c r="AE4250">
        <v>1.82059999999998</v>
      </c>
      <c r="AF4250">
        <v>-1.3530991078115999</v>
      </c>
      <c r="AG4250">
        <v>-0.58556260000000004</v>
      </c>
      <c r="AH4250">
        <v>149.45686954260501</v>
      </c>
      <c r="AI4250">
        <v>90.224470907171096</v>
      </c>
      <c r="AJ4250">
        <v>90.5187098480218</v>
      </c>
      <c r="AK4250">
        <v>149.46414156656201</v>
      </c>
      <c r="AL4250">
        <v>78.282463381880902</v>
      </c>
      <c r="AM4250">
        <v>88.528271712374107</v>
      </c>
      <c r="AN4250">
        <v>1.0000000085238401</v>
      </c>
    </row>
    <row r="4251" spans="1:40" x14ac:dyDescent="0.25">
      <c r="A4251" t="str">
        <f>"20190303170338521"</f>
        <v>20190303170338521</v>
      </c>
      <c r="B4251" t="str">
        <f>"1551603818510108"</f>
        <v>1551603818510108</v>
      </c>
      <c r="C4251" t="s">
        <v>40</v>
      </c>
      <c r="D4251">
        <v>4.0634779999999999</v>
      </c>
      <c r="E4251">
        <v>0.49087140000000001</v>
      </c>
      <c r="F4251" t="s">
        <v>89</v>
      </c>
      <c r="G4251">
        <v>-107.39749999999999</v>
      </c>
      <c r="H4251">
        <v>0.60645819999999995</v>
      </c>
      <c r="I4251">
        <v>216.4956</v>
      </c>
      <c r="J4251">
        <v>-256.52069999999998</v>
      </c>
      <c r="K4251">
        <v>1.1218429999999999</v>
      </c>
      <c r="L4251">
        <v>214.8116</v>
      </c>
      <c r="M4251">
        <v>0.99991059999999998</v>
      </c>
      <c r="N4251">
        <v>-1.2940299999999899E-2</v>
      </c>
      <c r="O4251">
        <v>3.3741169999999998E-3</v>
      </c>
      <c r="P4251">
        <v>0.98134869999999996</v>
      </c>
      <c r="Q4251">
        <v>0.19090489999999999</v>
      </c>
      <c r="R4251">
        <v>-2.2583530000000001E-2</v>
      </c>
      <c r="S4251">
        <v>3.0595699999999999</v>
      </c>
      <c r="T4251">
        <v>-1.054943E-2</v>
      </c>
      <c r="U4251">
        <v>3.4500120000000002E-2</v>
      </c>
      <c r="V4251">
        <v>2.5801250000000001E-2</v>
      </c>
      <c r="W4251">
        <v>0.20359869999999999</v>
      </c>
      <c r="X4251">
        <v>0.97871439999999998</v>
      </c>
      <c r="Y4251">
        <v>-7.9010959999999998E-3</v>
      </c>
      <c r="Z4251" s="1">
        <v>9.6776460000000001E-5</v>
      </c>
      <c r="AA4251">
        <v>0.99996879999999999</v>
      </c>
      <c r="AB4251">
        <v>33</v>
      </c>
      <c r="AC4251">
        <v>149.1232</v>
      </c>
      <c r="AD4251">
        <v>-0.51538479999999998</v>
      </c>
      <c r="AE4251">
        <v>1.6839999999999899</v>
      </c>
      <c r="AF4251">
        <v>-1.18077506458488</v>
      </c>
      <c r="AG4251">
        <v>-0.51538479999999998</v>
      </c>
      <c r="AH4251">
        <v>149.126252454152</v>
      </c>
      <c r="AI4251">
        <v>90.198008936785797</v>
      </c>
      <c r="AJ4251">
        <v>90.453655965150205</v>
      </c>
      <c r="AK4251">
        <v>149.13181760531401</v>
      </c>
      <c r="AL4251">
        <v>78.252519501795703</v>
      </c>
      <c r="AM4251">
        <v>88.489896120394604</v>
      </c>
      <c r="AN4251">
        <v>1.0000000059553</v>
      </c>
    </row>
    <row r="4252" spans="1:40" x14ac:dyDescent="0.25">
      <c r="A4252" t="str">
        <f>"20190303170338544"</f>
        <v>20190303170338544</v>
      </c>
      <c r="B4252" t="str">
        <f>"1551603818529628"</f>
        <v>1551603818529628</v>
      </c>
      <c r="C4252" t="s">
        <v>40</v>
      </c>
      <c r="D4252">
        <v>4.0715190000000003</v>
      </c>
      <c r="E4252">
        <v>0.49099959999999998</v>
      </c>
      <c r="F4252" t="s">
        <v>89</v>
      </c>
      <c r="G4252">
        <v>-107.39749999999999</v>
      </c>
      <c r="H4252">
        <v>0.68184500000000003</v>
      </c>
      <c r="I4252">
        <v>216.38980000000001</v>
      </c>
      <c r="J4252">
        <v>-256.18810000000002</v>
      </c>
      <c r="K4252">
        <v>1.1218490000000001</v>
      </c>
      <c r="L4252">
        <v>214.81299999999999</v>
      </c>
      <c r="M4252">
        <v>0.99990900000000005</v>
      </c>
      <c r="N4252">
        <v>-1.300541E-2</v>
      </c>
      <c r="O4252">
        <v>3.6197899999999999E-3</v>
      </c>
      <c r="P4252">
        <v>0.98138769999999997</v>
      </c>
      <c r="Q4252">
        <v>0.1907114</v>
      </c>
      <c r="R4252">
        <v>-2.253612E-2</v>
      </c>
      <c r="S4252">
        <v>3.0595249999999998</v>
      </c>
      <c r="T4252">
        <v>-9.0262889999999998E-3</v>
      </c>
      <c r="U4252">
        <v>3.2379150000000002E-2</v>
      </c>
      <c r="V4252">
        <v>2.5993559999999999E-2</v>
      </c>
      <c r="W4252">
        <v>0.20346980000000001</v>
      </c>
      <c r="X4252">
        <v>0.9787361</v>
      </c>
      <c r="Y4252">
        <v>-6.9625310000000001E-3</v>
      </c>
      <c r="Z4252" s="1">
        <v>9.1948589999999995E-5</v>
      </c>
      <c r="AA4252">
        <v>0.99997570000000002</v>
      </c>
      <c r="AB4252">
        <v>33</v>
      </c>
      <c r="AC4252">
        <v>148.79060000000001</v>
      </c>
      <c r="AD4252">
        <v>-0.44000399999999901</v>
      </c>
      <c r="AE4252">
        <v>1.57680000000002</v>
      </c>
      <c r="AF4252">
        <v>-1.03814437758962</v>
      </c>
      <c r="AG4252">
        <v>-0.44000399999999901</v>
      </c>
      <c r="AH4252">
        <v>148.79403214137901</v>
      </c>
      <c r="AI4252">
        <v>90.169426721872497</v>
      </c>
      <c r="AJ4252">
        <v>90.399749407712903</v>
      </c>
      <c r="AK4252">
        <v>148.79830425162299</v>
      </c>
      <c r="AL4252">
        <v>78.260062624710699</v>
      </c>
      <c r="AM4252">
        <v>88.478679523628202</v>
      </c>
      <c r="AN4252">
        <v>0.99999998905836096</v>
      </c>
    </row>
    <row r="4253" spans="1:40" x14ac:dyDescent="0.25">
      <c r="A4253" t="str">
        <f>"20190303170338566"</f>
        <v>20190303170338566</v>
      </c>
      <c r="B4253" t="str">
        <f>"1551603818559884"</f>
        <v>1551603818559884</v>
      </c>
      <c r="C4253" t="s">
        <v>40</v>
      </c>
      <c r="D4253">
        <v>4.0346019999999996</v>
      </c>
      <c r="E4253">
        <v>0.49104170000000003</v>
      </c>
      <c r="F4253" t="s">
        <v>89</v>
      </c>
      <c r="G4253">
        <v>-107.39749999999999</v>
      </c>
      <c r="H4253">
        <v>0.65685890000000002</v>
      </c>
      <c r="I4253">
        <v>216.34020000000001</v>
      </c>
      <c r="J4253">
        <v>-255.86619999999999</v>
      </c>
      <c r="K4253">
        <v>1.1218549999999901</v>
      </c>
      <c r="L4253">
        <v>214.81450000000001</v>
      </c>
      <c r="M4253">
        <v>0.9999072</v>
      </c>
      <c r="N4253">
        <v>-1.307378E-2</v>
      </c>
      <c r="O4253">
        <v>3.858331E-3</v>
      </c>
      <c r="P4253">
        <v>0.98151770000000005</v>
      </c>
      <c r="Q4253">
        <v>0.1899969</v>
      </c>
      <c r="R4253">
        <v>-2.29006E-2</v>
      </c>
      <c r="S4253">
        <v>3.0594790000000001</v>
      </c>
      <c r="T4253">
        <v>-9.5602269999999993E-3</v>
      </c>
      <c r="U4253">
        <v>3.1402590000000001E-2</v>
      </c>
      <c r="V4253">
        <v>2.6592109999999999E-2</v>
      </c>
      <c r="W4253">
        <v>0.20282410000000001</v>
      </c>
      <c r="X4253">
        <v>0.97885409999999995</v>
      </c>
      <c r="Y4253">
        <v>-6.4049880000000003E-3</v>
      </c>
      <c r="Z4253" s="1">
        <v>9.0267439999999998E-5</v>
      </c>
      <c r="AA4253">
        <v>0.99997950000000002</v>
      </c>
      <c r="AB4253">
        <v>33</v>
      </c>
      <c r="AC4253">
        <v>148.46870000000001</v>
      </c>
      <c r="AD4253">
        <v>-0.46499609999999902</v>
      </c>
      <c r="AE4253">
        <v>1.5257000000000001</v>
      </c>
      <c r="AF4253">
        <v>-0.95278900932729305</v>
      </c>
      <c r="AG4253">
        <v>-0.46499609999999902</v>
      </c>
      <c r="AH4253">
        <v>148.47202563748999</v>
      </c>
      <c r="AI4253">
        <v>90.179439044037196</v>
      </c>
      <c r="AJ4253">
        <v>90.367678957733801</v>
      </c>
      <c r="AK4253">
        <v>148.47581090928199</v>
      </c>
      <c r="AL4253">
        <v>78.297847120026901</v>
      </c>
      <c r="AM4253">
        <v>88.443852851720806</v>
      </c>
      <c r="AN4253">
        <v>1.00000005247093</v>
      </c>
    </row>
    <row r="4254" spans="1:40" x14ac:dyDescent="0.25">
      <c r="A4254" t="str">
        <f>"20190303170338589"</f>
        <v>20190303170338589</v>
      </c>
      <c r="B4254" t="str">
        <f>"1551603818579403"</f>
        <v>1551603818579403</v>
      </c>
      <c r="C4254" t="s">
        <v>40</v>
      </c>
      <c r="D4254">
        <v>4.0533419999999998</v>
      </c>
      <c r="E4254">
        <v>0.49106519999999998</v>
      </c>
      <c r="F4254" t="s">
        <v>89</v>
      </c>
      <c r="G4254">
        <v>-107.39749999999999</v>
      </c>
      <c r="H4254">
        <v>0.60812480000000002</v>
      </c>
      <c r="I4254">
        <v>216.27260000000001</v>
      </c>
      <c r="J4254">
        <v>-255.54230000000001</v>
      </c>
      <c r="K4254">
        <v>1.121866</v>
      </c>
      <c r="L4254">
        <v>214.816</v>
      </c>
      <c r="M4254">
        <v>0.99990509999999999</v>
      </c>
      <c r="N4254">
        <v>-1.315116E-2</v>
      </c>
      <c r="O4254">
        <v>4.1007860000000004E-3</v>
      </c>
      <c r="P4254">
        <v>0.98168469999999997</v>
      </c>
      <c r="Q4254">
        <v>0.1890616</v>
      </c>
      <c r="R4254">
        <v>-2.346763E-2</v>
      </c>
      <c r="S4254">
        <v>3.0592350000000001</v>
      </c>
      <c r="T4254">
        <v>-1.058447E-2</v>
      </c>
      <c r="U4254">
        <v>3.0044560000000001E-2</v>
      </c>
      <c r="V4254">
        <v>2.739805E-2</v>
      </c>
      <c r="W4254">
        <v>0.20196720000000001</v>
      </c>
      <c r="X4254">
        <v>0.97900900000000002</v>
      </c>
      <c r="Y4254">
        <v>-5.7194680000000001E-3</v>
      </c>
      <c r="Z4254" s="1">
        <v>8.7250229999999996E-5</v>
      </c>
      <c r="AA4254">
        <v>0.99998370000000003</v>
      </c>
      <c r="AB4254">
        <v>33</v>
      </c>
      <c r="AC4254">
        <v>148.1448</v>
      </c>
      <c r="AD4254">
        <v>-0.51374120000000001</v>
      </c>
      <c r="AE4254">
        <v>1.4566000000000301</v>
      </c>
      <c r="AF4254">
        <v>-0.84901487074479598</v>
      </c>
      <c r="AG4254">
        <v>-0.51374120000000001</v>
      </c>
      <c r="AH4254">
        <v>148.14774643520201</v>
      </c>
      <c r="AI4254">
        <v>90.198684096730602</v>
      </c>
      <c r="AJ4254">
        <v>90.328350835381997</v>
      </c>
      <c r="AK4254">
        <v>148.15106995935</v>
      </c>
      <c r="AL4254">
        <v>78.347980989502801</v>
      </c>
      <c r="AM4254">
        <v>88.396967739635102</v>
      </c>
      <c r="AN4254">
        <v>1.0000000125503199</v>
      </c>
    </row>
    <row r="4255" spans="1:40" x14ac:dyDescent="0.25">
      <c r="A4255" t="str">
        <f>"20190303170338610"</f>
        <v>20190303170338610</v>
      </c>
      <c r="B4255" t="str">
        <f>"1551603818599900"</f>
        <v>1551603818599900</v>
      </c>
      <c r="C4255" t="s">
        <v>40</v>
      </c>
      <c r="D4255">
        <v>4.0127759999999997</v>
      </c>
      <c r="E4255">
        <v>0.49114039999999998</v>
      </c>
      <c r="F4255" t="s">
        <v>89</v>
      </c>
      <c r="G4255">
        <v>-107.39749999999999</v>
      </c>
      <c r="H4255">
        <v>0.4997663</v>
      </c>
      <c r="I4255">
        <v>216.18600000000001</v>
      </c>
      <c r="J4255">
        <v>-255.22489999999999</v>
      </c>
      <c r="K4255">
        <v>1.1218840000000001</v>
      </c>
      <c r="L4255">
        <v>214.8176</v>
      </c>
      <c r="M4255">
        <v>0.99990310000000004</v>
      </c>
      <c r="N4255">
        <v>-1.323658E-2</v>
      </c>
      <c r="O4255">
        <v>4.3399550000000004E-3</v>
      </c>
      <c r="P4255">
        <v>0.9816937</v>
      </c>
      <c r="Q4255">
        <v>0.18896589999999999</v>
      </c>
      <c r="R4255">
        <v>-2.3872569999999999E-2</v>
      </c>
      <c r="S4255">
        <v>3.0591279999999998</v>
      </c>
      <c r="T4255">
        <v>-1.284504E-2</v>
      </c>
      <c r="U4255">
        <v>2.8289789999999999E-2</v>
      </c>
      <c r="V4255">
        <v>2.8037719999999999E-2</v>
      </c>
      <c r="W4255">
        <v>0.20195560000000001</v>
      </c>
      <c r="X4255">
        <v>0.97899329999999996</v>
      </c>
      <c r="Y4255">
        <v>-4.9070320000000004E-3</v>
      </c>
      <c r="Z4255" s="1">
        <v>8.2006630000000004E-5</v>
      </c>
      <c r="AA4255">
        <v>0.99998799999999999</v>
      </c>
      <c r="AB4255">
        <v>33</v>
      </c>
      <c r="AC4255">
        <v>147.82740000000001</v>
      </c>
      <c r="AD4255">
        <v>-0.6221177</v>
      </c>
      <c r="AE4255">
        <v>1.3683999999999801</v>
      </c>
      <c r="AF4255">
        <v>-0.72675384673308396</v>
      </c>
      <c r="AG4255">
        <v>-0.6221177</v>
      </c>
      <c r="AH4255">
        <v>147.82932895018601</v>
      </c>
      <c r="AI4255">
        <v>90.241116412233694</v>
      </c>
      <c r="AJ4255">
        <v>90.281673420302695</v>
      </c>
      <c r="AK4255">
        <v>147.832424384668</v>
      </c>
      <c r="AL4255">
        <v>78.348659807983907</v>
      </c>
      <c r="AM4255">
        <v>88.359535217031507</v>
      </c>
      <c r="AN4255">
        <v>1.00000002977952</v>
      </c>
    </row>
    <row r="4256" spans="1:40" x14ac:dyDescent="0.25">
      <c r="A4256" t="str">
        <f>"20190303170338634"</f>
        <v>20190303170338634</v>
      </c>
      <c r="B4256" t="str">
        <f>"1551603818619419"</f>
        <v>1551603818619419</v>
      </c>
      <c r="C4256" t="s">
        <v>40</v>
      </c>
      <c r="D4256">
        <v>4.1293540000000002</v>
      </c>
      <c r="E4256">
        <v>0.49123339999999999</v>
      </c>
      <c r="F4256" t="s">
        <v>89</v>
      </c>
      <c r="G4256">
        <v>-107.39749999999999</v>
      </c>
      <c r="H4256">
        <v>0.49288480000000001</v>
      </c>
      <c r="I4256">
        <v>216.11160000000001</v>
      </c>
      <c r="J4256">
        <v>-254.89269999999999</v>
      </c>
      <c r="K4256">
        <v>1.1218950000000001</v>
      </c>
      <c r="L4256">
        <v>214.8193</v>
      </c>
      <c r="M4256">
        <v>0.99990060000000003</v>
      </c>
      <c r="N4256">
        <v>-1.3332689999999999E-2</v>
      </c>
      <c r="O4256">
        <v>4.591744E-3</v>
      </c>
      <c r="P4256">
        <v>0.98169770000000001</v>
      </c>
      <c r="Q4256">
        <v>0.18889210000000001</v>
      </c>
      <c r="R4256">
        <v>-2.4273639999999999E-2</v>
      </c>
      <c r="S4256">
        <v>3.059097</v>
      </c>
      <c r="T4256">
        <v>-1.3015270000000001E-2</v>
      </c>
      <c r="U4256">
        <v>2.6779170000000001E-2</v>
      </c>
      <c r="V4256">
        <v>2.8686489999999999E-2</v>
      </c>
      <c r="W4256">
        <v>0.20197609999999999</v>
      </c>
      <c r="X4256">
        <v>0.97897020000000001</v>
      </c>
      <c r="Y4256">
        <v>-4.1615760000000002E-3</v>
      </c>
      <c r="Z4256" s="1">
        <v>7.8284989999999999E-5</v>
      </c>
      <c r="AA4256">
        <v>0.99999139999999997</v>
      </c>
      <c r="AB4256">
        <v>33</v>
      </c>
      <c r="AC4256">
        <v>147.49520000000001</v>
      </c>
      <c r="AD4256">
        <v>-0.62901019999999996</v>
      </c>
      <c r="AE4256">
        <v>1.29230000000001</v>
      </c>
      <c r="AF4256">
        <v>-0.61495480646726497</v>
      </c>
      <c r="AG4256">
        <v>-0.62901019999999996</v>
      </c>
      <c r="AH4256">
        <v>147.49689693969</v>
      </c>
      <c r="AI4256">
        <v>90.244338008301298</v>
      </c>
      <c r="AJ4256">
        <v>90.238880353265699</v>
      </c>
      <c r="AK4256">
        <v>147.499520101196</v>
      </c>
      <c r="AL4256">
        <v>78.347459659726894</v>
      </c>
      <c r="AM4256">
        <v>88.321558083562707</v>
      </c>
      <c r="AN4256">
        <v>0.99999995608388403</v>
      </c>
    </row>
    <row r="4257" spans="1:40" x14ac:dyDescent="0.25">
      <c r="A4257" t="str">
        <f>"20190303170338657"</f>
        <v>20190303170338657</v>
      </c>
      <c r="B4257" t="str">
        <f>"1551603818649675"</f>
        <v>1551603818649675</v>
      </c>
      <c r="C4257" t="s">
        <v>40</v>
      </c>
      <c r="D4257">
        <v>4.0098690000000001</v>
      </c>
      <c r="E4257">
        <v>0.51366499999999904</v>
      </c>
      <c r="F4257" t="s">
        <v>89</v>
      </c>
      <c r="G4257">
        <v>-107.39749999999999</v>
      </c>
      <c r="H4257">
        <v>0.48459839999999998</v>
      </c>
      <c r="I4257">
        <v>216.00149999999999</v>
      </c>
      <c r="J4257">
        <v>-254.55619999999999</v>
      </c>
      <c r="K4257">
        <v>1.121909</v>
      </c>
      <c r="L4257">
        <v>214.8211</v>
      </c>
      <c r="M4257">
        <v>0.99989810000000001</v>
      </c>
      <c r="N4257">
        <v>-1.343448E-2</v>
      </c>
      <c r="O4257">
        <v>4.8460609999999996E-3</v>
      </c>
      <c r="P4257">
        <v>0.981792</v>
      </c>
      <c r="Q4257">
        <v>0.18841530000000001</v>
      </c>
      <c r="R4257">
        <v>-2.4177819999999999E-2</v>
      </c>
      <c r="S4257">
        <v>3.0590820000000001</v>
      </c>
      <c r="T4257">
        <v>-1.321661E-2</v>
      </c>
      <c r="U4257">
        <v>2.452087E-2</v>
      </c>
      <c r="V4257">
        <v>2.8840899999999999E-2</v>
      </c>
      <c r="W4257">
        <v>0.20159969999999999</v>
      </c>
      <c r="X4257">
        <v>0.97904329999999995</v>
      </c>
      <c r="Y4257">
        <v>-3.1691480000000001E-3</v>
      </c>
      <c r="Z4257" s="1">
        <v>7.2306330000000005E-5</v>
      </c>
      <c r="AA4257">
        <v>0.99999499999999997</v>
      </c>
      <c r="AB4257">
        <v>32</v>
      </c>
      <c r="AC4257">
        <v>147.15870000000001</v>
      </c>
      <c r="AD4257">
        <v>-0.63731059999999995</v>
      </c>
      <c r="AE4257">
        <v>1.1803999999999899</v>
      </c>
      <c r="AF4257">
        <v>-0.46717303840186403</v>
      </c>
      <c r="AG4257">
        <v>-0.63731059999999995</v>
      </c>
      <c r="AH4257">
        <v>147.15993263267001</v>
      </c>
      <c r="AI4257">
        <v>90.248130008542603</v>
      </c>
      <c r="AJ4257">
        <v>90.181890226535003</v>
      </c>
      <c r="AK4257">
        <v>147.16205417124499</v>
      </c>
      <c r="AL4257">
        <v>78.369479376250695</v>
      </c>
      <c r="AM4257">
        <v>88.312654710605699</v>
      </c>
      <c r="AN4257">
        <v>1.0000000099138899</v>
      </c>
    </row>
    <row r="4258" spans="1:40" x14ac:dyDescent="0.25">
      <c r="A4258" t="str">
        <f>"20190303170338677"</f>
        <v>20190303170338677</v>
      </c>
      <c r="B4258" t="str">
        <f>"1551603818670173"</f>
        <v>1551603818670173</v>
      </c>
      <c r="C4258" t="s">
        <v>40</v>
      </c>
      <c r="D4258">
        <v>4.0018630000000002</v>
      </c>
      <c r="E4258">
        <v>0.51912049999999998</v>
      </c>
      <c r="F4258" t="s">
        <v>56</v>
      </c>
      <c r="G4258">
        <v>-151.66839999999999</v>
      </c>
      <c r="H4258">
        <v>0.22235679999999999</v>
      </c>
      <c r="I4258">
        <v>209.63200000000001</v>
      </c>
      <c r="J4258">
        <v>-254.2533</v>
      </c>
      <c r="K4258">
        <v>1.1219129999999999</v>
      </c>
      <c r="L4258">
        <v>214.8228</v>
      </c>
      <c r="M4258">
        <v>0.9998958</v>
      </c>
      <c r="N4258">
        <v>-1.352396E-2</v>
      </c>
      <c r="O4258">
        <v>5.0747120000000003E-3</v>
      </c>
      <c r="P4258">
        <v>0.98198019999999997</v>
      </c>
      <c r="Q4258">
        <v>0.187525</v>
      </c>
      <c r="R4258">
        <v>-2.3448279999999998E-2</v>
      </c>
      <c r="S4258">
        <v>3.0569609999999998</v>
      </c>
      <c r="T4258">
        <v>-2.6726130000000001E-2</v>
      </c>
      <c r="U4258">
        <v>-0.154174799999999</v>
      </c>
      <c r="V4258">
        <v>2.833666E-2</v>
      </c>
      <c r="W4258">
        <v>0.20079959999999999</v>
      </c>
      <c r="X4258">
        <v>0.97922240000000005</v>
      </c>
      <c r="Y4258">
        <v>5.5432629999999997E-2</v>
      </c>
      <c r="Z4258">
        <v>-5.9301530000000001E-4</v>
      </c>
      <c r="AA4258">
        <v>0.99846230000000002</v>
      </c>
      <c r="AB4258">
        <v>32</v>
      </c>
      <c r="AC4258">
        <v>102.5849</v>
      </c>
      <c r="AD4258">
        <v>-0.89955619999999903</v>
      </c>
      <c r="AE4258">
        <v>-5.1907999999999896</v>
      </c>
      <c r="AF4258">
        <v>5.7109315054676397</v>
      </c>
      <c r="AG4258">
        <v>-0.89955619999999903</v>
      </c>
      <c r="AH4258">
        <v>102.54936936640399</v>
      </c>
      <c r="AI4258">
        <v>90.501804362052795</v>
      </c>
      <c r="AJ4258">
        <v>86.812514420513907</v>
      </c>
      <c r="AK4258">
        <v>102.712205202031</v>
      </c>
      <c r="AL4258">
        <v>78.416278381361096</v>
      </c>
      <c r="AM4258">
        <v>88.342441863546895</v>
      </c>
      <c r="AN4258">
        <v>0.99999997716093703</v>
      </c>
    </row>
    <row r="4259" spans="1:40" x14ac:dyDescent="0.25">
      <c r="A4259" t="str">
        <f>"20190303170338700"</f>
        <v>20190303170338700</v>
      </c>
      <c r="B4259" t="str">
        <f>"1551603818689692"</f>
        <v>1551603818689692</v>
      </c>
      <c r="C4259" t="s">
        <v>40</v>
      </c>
      <c r="D4259">
        <v>3.9457040000000001</v>
      </c>
      <c r="E4259">
        <v>0.52101209999999998</v>
      </c>
      <c r="F4259" t="s">
        <v>56</v>
      </c>
      <c r="G4259">
        <v>-169.3922</v>
      </c>
      <c r="H4259">
        <v>0.21031759999999999</v>
      </c>
      <c r="I4259">
        <v>209.40209999999999</v>
      </c>
      <c r="J4259">
        <v>-253.93049999999999</v>
      </c>
      <c r="K4259">
        <v>1.12191</v>
      </c>
      <c r="L4259">
        <v>214.82470000000001</v>
      </c>
      <c r="M4259">
        <v>0.99989320000000004</v>
      </c>
      <c r="N4259">
        <v>-1.3612559999999999E-2</v>
      </c>
      <c r="O4259">
        <v>5.317553E-3</v>
      </c>
      <c r="P4259">
        <v>0.98211219999999999</v>
      </c>
      <c r="Q4259">
        <v>0.18691479999999999</v>
      </c>
      <c r="R4259">
        <v>-2.2777019999999999E-2</v>
      </c>
      <c r="S4259">
        <v>3.0566409999999999</v>
      </c>
      <c r="T4259">
        <v>-3.2833929999999997E-2</v>
      </c>
      <c r="U4259">
        <v>-0.19525149999999999</v>
      </c>
      <c r="V4259">
        <v>2.7904720000000001E-2</v>
      </c>
      <c r="W4259">
        <v>0.20027819999999999</v>
      </c>
      <c r="X4259">
        <v>0.97934160000000003</v>
      </c>
      <c r="Y4259">
        <v>6.9045159999999994E-2</v>
      </c>
      <c r="Z4259">
        <v>-8.2566919999999997E-4</v>
      </c>
      <c r="AA4259">
        <v>0.99761319999999998</v>
      </c>
      <c r="AB4259">
        <v>32</v>
      </c>
      <c r="AC4259">
        <v>84.538299999999893</v>
      </c>
      <c r="AD4259">
        <v>-0.91159239999999997</v>
      </c>
      <c r="AE4259">
        <v>-5.4226000000000099</v>
      </c>
      <c r="AF4259">
        <v>5.8714219536887198</v>
      </c>
      <c r="AG4259">
        <v>-0.91159239999999997</v>
      </c>
      <c r="AH4259">
        <v>84.498481933884904</v>
      </c>
      <c r="AI4259">
        <v>90.616611668337697</v>
      </c>
      <c r="AJ4259">
        <v>86.025161232077807</v>
      </c>
      <c r="AK4259">
        <v>84.707131019726205</v>
      </c>
      <c r="AL4259">
        <v>78.446772123400507</v>
      </c>
      <c r="AM4259">
        <v>88.367893066139402</v>
      </c>
      <c r="AN4259">
        <v>1.0000000001420299</v>
      </c>
    </row>
    <row r="4260" spans="1:40" x14ac:dyDescent="0.25">
      <c r="A4260" t="str">
        <f>"20190303170338722"</f>
        <v>20190303170338722</v>
      </c>
      <c r="B4260" t="str">
        <f>"1551603818710188"</f>
        <v>1551603818710188</v>
      </c>
      <c r="C4260" t="s">
        <v>40</v>
      </c>
      <c r="D4260">
        <v>3.9555709999999999</v>
      </c>
      <c r="E4260">
        <v>0.52229360000000002</v>
      </c>
      <c r="F4260" t="s">
        <v>56</v>
      </c>
      <c r="G4260">
        <v>-169.39230000000001</v>
      </c>
      <c r="H4260">
        <v>0.17428969999999999</v>
      </c>
      <c r="I4260">
        <v>209.0712</v>
      </c>
      <c r="J4260">
        <v>-253.60509999999999</v>
      </c>
      <c r="K4260">
        <v>1.121915</v>
      </c>
      <c r="L4260">
        <v>214.82669999999999</v>
      </c>
      <c r="M4260">
        <v>0.99989070000000002</v>
      </c>
      <c r="N4260">
        <v>-1.3695250000000001E-2</v>
      </c>
      <c r="O4260">
        <v>5.5618009999999999E-3</v>
      </c>
      <c r="P4260">
        <v>0.9822149</v>
      </c>
      <c r="Q4260">
        <v>0.1864835</v>
      </c>
      <c r="R4260">
        <v>-2.185687E-2</v>
      </c>
      <c r="S4260">
        <v>3.0563199999999999</v>
      </c>
      <c r="T4260">
        <v>-3.4258249999999997E-2</v>
      </c>
      <c r="U4260">
        <v>-0.20800779999999999</v>
      </c>
      <c r="V4260">
        <v>2.7225019999999999E-2</v>
      </c>
      <c r="W4260">
        <v>0.1999292</v>
      </c>
      <c r="X4260">
        <v>0.97943199999999997</v>
      </c>
      <c r="Y4260">
        <v>7.3439370000000004E-2</v>
      </c>
      <c r="Z4260">
        <v>-9.0081470000000002E-4</v>
      </c>
      <c r="AA4260">
        <v>0.9972993</v>
      </c>
      <c r="AB4260">
        <v>32</v>
      </c>
      <c r="AC4260">
        <v>84.212799999999902</v>
      </c>
      <c r="AD4260">
        <v>-0.9476253</v>
      </c>
      <c r="AE4260">
        <v>-5.7554999999999801</v>
      </c>
      <c r="AF4260">
        <v>6.2230454258651102</v>
      </c>
      <c r="AG4260">
        <v>-0.9476253</v>
      </c>
      <c r="AH4260">
        <v>84.168875017904796</v>
      </c>
      <c r="AI4260">
        <v>90.6432884038677</v>
      </c>
      <c r="AJ4260">
        <v>85.7715168515724</v>
      </c>
      <c r="AK4260">
        <v>84.4039324312633</v>
      </c>
      <c r="AL4260">
        <v>78.467180713683405</v>
      </c>
      <c r="AM4260">
        <v>88.407773916019195</v>
      </c>
      <c r="AN4260">
        <v>0.99999996467531904</v>
      </c>
    </row>
    <row r="4261" spans="1:40" x14ac:dyDescent="0.25">
      <c r="A4261" t="str">
        <f>"20190303170338745"</f>
        <v>20190303170338745</v>
      </c>
      <c r="B4261" t="str">
        <f>"1551603818729707"</f>
        <v>1551603818729707</v>
      </c>
      <c r="C4261" t="s">
        <v>40</v>
      </c>
      <c r="D4261">
        <v>3.9676420000000001</v>
      </c>
      <c r="E4261">
        <v>0.52297749999999998</v>
      </c>
      <c r="F4261" t="s">
        <v>56</v>
      </c>
      <c r="G4261">
        <v>-169.39240000000001</v>
      </c>
      <c r="H4261">
        <v>0.1220417</v>
      </c>
      <c r="I4261">
        <v>208.88659999999999</v>
      </c>
      <c r="J4261">
        <v>-253.28280000000001</v>
      </c>
      <c r="K4261">
        <v>1.121928</v>
      </c>
      <c r="L4261">
        <v>214.8288</v>
      </c>
      <c r="M4261">
        <v>0.99988840000000001</v>
      </c>
      <c r="N4261">
        <v>-1.3774160000000001E-2</v>
      </c>
      <c r="O4261">
        <v>5.8040380000000001E-3</v>
      </c>
      <c r="P4261">
        <v>0.98221290000000006</v>
      </c>
      <c r="Q4261">
        <v>0.18658469999999999</v>
      </c>
      <c r="R4261">
        <v>-2.108119E-2</v>
      </c>
      <c r="S4261">
        <v>3.0564269999999998</v>
      </c>
      <c r="T4261">
        <v>-3.6288140000000003E-2</v>
      </c>
      <c r="U4261">
        <v>-0.21559139999999999</v>
      </c>
      <c r="V4261">
        <v>2.668684E-2</v>
      </c>
      <c r="W4261">
        <v>0.20010720000000001</v>
      </c>
      <c r="X4261">
        <v>0.97941049999999996</v>
      </c>
      <c r="Y4261">
        <v>7.6139680000000001E-2</v>
      </c>
      <c r="Z4261">
        <v>-9.6549009999999998E-4</v>
      </c>
      <c r="AA4261">
        <v>0.99709669999999895</v>
      </c>
      <c r="AB4261">
        <v>32</v>
      </c>
      <c r="AC4261">
        <v>83.8904</v>
      </c>
      <c r="AD4261">
        <v>-0.99988630000000001</v>
      </c>
      <c r="AE4261">
        <v>-5.9422000000000104</v>
      </c>
      <c r="AF4261">
        <v>6.4281404703476204</v>
      </c>
      <c r="AG4261">
        <v>-0.99988630000000001</v>
      </c>
      <c r="AH4261">
        <v>83.842643337078101</v>
      </c>
      <c r="AI4261">
        <v>90.681263518755003</v>
      </c>
      <c r="AJ4261">
        <v>85.615760817308697</v>
      </c>
      <c r="AK4261">
        <v>84.094646703984296</v>
      </c>
      <c r="AL4261">
        <v>78.456772172516594</v>
      </c>
      <c r="AM4261">
        <v>88.439198825828001</v>
      </c>
      <c r="AN4261">
        <v>1.00000000321563</v>
      </c>
    </row>
    <row r="4262" spans="1:40" x14ac:dyDescent="0.25">
      <c r="A4262" t="str">
        <f>"20190303170338767"</f>
        <v>20190303170338767</v>
      </c>
      <c r="B4262" t="str">
        <f>"1551603818759963"</f>
        <v>1551603818759963</v>
      </c>
      <c r="C4262" t="s">
        <v>40</v>
      </c>
      <c r="D4262">
        <v>3.9715340000000001</v>
      </c>
      <c r="E4262">
        <v>0.52376820000000002</v>
      </c>
      <c r="F4262" t="s">
        <v>56</v>
      </c>
      <c r="G4262">
        <v>-169.39240000000001</v>
      </c>
      <c r="H4262">
        <v>0.12987899999999999</v>
      </c>
      <c r="I4262">
        <v>208.81139999999999</v>
      </c>
      <c r="J4262">
        <v>-252.96129999999999</v>
      </c>
      <c r="K4262">
        <v>1.1219380000000001</v>
      </c>
      <c r="L4262">
        <v>214.83090000000001</v>
      </c>
      <c r="M4262">
        <v>0.99988569999999999</v>
      </c>
      <c r="N4262">
        <v>-1.384874E-2</v>
      </c>
      <c r="O4262">
        <v>6.0464129999999996E-3</v>
      </c>
      <c r="P4262">
        <v>0.98217929999999998</v>
      </c>
      <c r="Q4262">
        <v>0.18681890000000001</v>
      </c>
      <c r="R4262">
        <v>-2.0551030000000001E-2</v>
      </c>
      <c r="S4262">
        <v>3.0565030000000002</v>
      </c>
      <c r="T4262">
        <v>-3.6143420000000002E-2</v>
      </c>
      <c r="U4262">
        <v>-0.2192383</v>
      </c>
      <c r="V4262">
        <v>2.6394549999999999E-2</v>
      </c>
      <c r="W4262">
        <v>0.2004137</v>
      </c>
      <c r="X4262">
        <v>0.9793558</v>
      </c>
      <c r="Y4262">
        <v>7.7563069999999998E-2</v>
      </c>
      <c r="Z4262">
        <v>-9.8360250000000004E-4</v>
      </c>
      <c r="AA4262">
        <v>0.99698699999999996</v>
      </c>
      <c r="AB4262">
        <v>32</v>
      </c>
      <c r="AC4262">
        <v>83.5688999999999</v>
      </c>
      <c r="AD4262">
        <v>-0.99205900000000002</v>
      </c>
      <c r="AE4262">
        <v>-6.0195000000000203</v>
      </c>
      <c r="AF4262">
        <v>6.5238159312222104</v>
      </c>
      <c r="AG4262">
        <v>-0.99205900000000002</v>
      </c>
      <c r="AH4262">
        <v>83.519263076827798</v>
      </c>
      <c r="AI4262">
        <v>90.678472581498198</v>
      </c>
      <c r="AJ4262">
        <v>85.533609049060303</v>
      </c>
      <c r="AK4262">
        <v>83.779542015102507</v>
      </c>
      <c r="AL4262">
        <v>78.438848504953</v>
      </c>
      <c r="AM4262">
        <v>88.456199143192507</v>
      </c>
      <c r="AN4262">
        <v>1.00000005320551</v>
      </c>
    </row>
    <row r="4263" spans="1:40" x14ac:dyDescent="0.25">
      <c r="A4263" t="str">
        <f>"20190303170338789"</f>
        <v>20190303170338789</v>
      </c>
      <c r="B4263" t="str">
        <f>"1551603818779483"</f>
        <v>1551603818779483</v>
      </c>
      <c r="C4263" t="s">
        <v>40</v>
      </c>
      <c r="D4263">
        <v>3.9699209999999998</v>
      </c>
      <c r="E4263">
        <v>0.52428669999999999</v>
      </c>
      <c r="F4263" t="s">
        <v>56</v>
      </c>
      <c r="G4263">
        <v>-169.39240000000001</v>
      </c>
      <c r="H4263">
        <v>0.10441400000000001</v>
      </c>
      <c r="I4263">
        <v>208.71080000000001</v>
      </c>
      <c r="J4263">
        <v>-252.64830000000001</v>
      </c>
      <c r="K4263">
        <v>1.121945</v>
      </c>
      <c r="L4263">
        <v>214.8331</v>
      </c>
      <c r="M4263">
        <v>0.99988350000000004</v>
      </c>
      <c r="N4263">
        <v>-1.391593E-2</v>
      </c>
      <c r="O4263">
        <v>6.2822149999999998E-3</v>
      </c>
      <c r="P4263">
        <v>0.98218530000000004</v>
      </c>
      <c r="Q4263">
        <v>0.1868264</v>
      </c>
      <c r="R4263">
        <v>-2.020429E-2</v>
      </c>
      <c r="S4263">
        <v>3.0568240000000002</v>
      </c>
      <c r="T4263">
        <v>-3.7218210000000002E-2</v>
      </c>
      <c r="U4263">
        <v>-0.2238617</v>
      </c>
      <c r="V4263">
        <v>2.62797E-2</v>
      </c>
      <c r="W4263">
        <v>0.200487</v>
      </c>
      <c r="X4263">
        <v>0.97934379999999999</v>
      </c>
      <c r="Y4263">
        <v>7.9289879999999993E-2</v>
      </c>
      <c r="Z4263">
        <v>-1.023618E-3</v>
      </c>
      <c r="AA4263">
        <v>0.99685109999999999</v>
      </c>
      <c r="AB4263">
        <v>32</v>
      </c>
      <c r="AC4263">
        <v>83.255899999999997</v>
      </c>
      <c r="AD4263">
        <v>-1.017531</v>
      </c>
      <c r="AE4263">
        <v>-6.1222999999999903</v>
      </c>
      <c r="AF4263">
        <v>6.6442741215063901</v>
      </c>
      <c r="AG4263">
        <v>-1.017531</v>
      </c>
      <c r="AH4263">
        <v>83.203430134826306</v>
      </c>
      <c r="AI4263">
        <v>90.698436937184198</v>
      </c>
      <c r="AJ4263">
        <v>85.434289955879095</v>
      </c>
      <c r="AK4263">
        <v>83.474502299436296</v>
      </c>
      <c r="AL4263">
        <v>78.434560734376603</v>
      </c>
      <c r="AM4263">
        <v>88.462894593775502</v>
      </c>
      <c r="AN4263">
        <v>0.99999996919976397</v>
      </c>
    </row>
    <row r="4264" spans="1:40" x14ac:dyDescent="0.25">
      <c r="A4264" t="str">
        <f>"20190303170338816"</f>
        <v>20190303170338816</v>
      </c>
      <c r="B4264" t="str">
        <f>"1551603818809740"</f>
        <v>1551603818809740</v>
      </c>
      <c r="C4264" t="s">
        <v>40</v>
      </c>
      <c r="D4264">
        <v>3.9903710000000001</v>
      </c>
      <c r="E4264">
        <v>0.52494689999999999</v>
      </c>
      <c r="F4264" t="s">
        <v>56</v>
      </c>
      <c r="G4264">
        <v>-169.39250000000001</v>
      </c>
      <c r="H4264">
        <v>0.1153793</v>
      </c>
      <c r="I4264">
        <v>208.64599999999999</v>
      </c>
      <c r="J4264">
        <v>-252.27090000000001</v>
      </c>
      <c r="K4264">
        <v>1.1219509999999999</v>
      </c>
      <c r="L4264">
        <v>214.83580000000001</v>
      </c>
      <c r="M4264">
        <v>0.99988069999999896</v>
      </c>
      <c r="N4264">
        <v>-1.3988810000000001E-2</v>
      </c>
      <c r="O4264">
        <v>6.5673809999999997E-3</v>
      </c>
      <c r="P4264">
        <v>0.98219909999999999</v>
      </c>
      <c r="Q4264">
        <v>0.1867993</v>
      </c>
      <c r="R4264">
        <v>-1.978309E-2</v>
      </c>
      <c r="S4264">
        <v>3.0567630000000001</v>
      </c>
      <c r="T4264">
        <v>-3.6955000000000002E-2</v>
      </c>
      <c r="U4264">
        <v>-0.22715759999999999</v>
      </c>
      <c r="V4264">
        <v>2.613886E-2</v>
      </c>
      <c r="W4264">
        <v>0.2005314</v>
      </c>
      <c r="X4264">
        <v>0.9793385</v>
      </c>
      <c r="Y4264">
        <v>8.0644469999999996E-2</v>
      </c>
      <c r="Z4264">
        <v>-1.0392450000000001E-3</v>
      </c>
      <c r="AA4264">
        <v>0.99674240000000003</v>
      </c>
      <c r="AB4264">
        <v>32</v>
      </c>
      <c r="AC4264">
        <v>82.878399999999999</v>
      </c>
      <c r="AD4264">
        <v>-1.0065716999999901</v>
      </c>
      <c r="AE4264">
        <v>-6.1898000000000204</v>
      </c>
      <c r="AF4264">
        <v>6.7330260717777701</v>
      </c>
      <c r="AG4264">
        <v>-1.0065716999999901</v>
      </c>
      <c r="AH4264">
        <v>82.823808431623902</v>
      </c>
      <c r="AI4264">
        <v>90.694001791001298</v>
      </c>
      <c r="AJ4264">
        <v>85.352453258344099</v>
      </c>
      <c r="AK4264">
        <v>83.103129121524802</v>
      </c>
      <c r="AL4264">
        <v>78.431964311884101</v>
      </c>
      <c r="AM4264">
        <v>88.471120165853307</v>
      </c>
      <c r="AN4264">
        <v>0.99999998998515405</v>
      </c>
    </row>
    <row r="4265" spans="1:40" x14ac:dyDescent="0.25">
      <c r="A4265" t="str">
        <f>"20190303170338835"</f>
        <v>20190303170338835</v>
      </c>
      <c r="B4265" t="str">
        <f>"1551603818819500"</f>
        <v>1551603818819500</v>
      </c>
      <c r="C4265" t="s">
        <v>40</v>
      </c>
      <c r="D4265">
        <v>3.9319600000000001</v>
      </c>
      <c r="E4265">
        <v>0.52505409999999997</v>
      </c>
      <c r="F4265" t="s">
        <v>56</v>
      </c>
      <c r="G4265">
        <v>-169.39250000000001</v>
      </c>
      <c r="H4265">
        <v>0.1104946</v>
      </c>
      <c r="I4265">
        <v>208.566</v>
      </c>
      <c r="J4265">
        <v>-251.99</v>
      </c>
      <c r="K4265">
        <v>1.1219520000000001</v>
      </c>
      <c r="L4265">
        <v>214.83779999999999</v>
      </c>
      <c r="M4265">
        <v>0.9998785</v>
      </c>
      <c r="N4265">
        <v>-1.40363E-2</v>
      </c>
      <c r="O4265">
        <v>6.7798889999999999E-3</v>
      </c>
      <c r="P4265">
        <v>0.98226860000000005</v>
      </c>
      <c r="Q4265">
        <v>0.1864516</v>
      </c>
      <c r="R4265">
        <v>-1.96069E-2</v>
      </c>
      <c r="S4265">
        <v>3.0568240000000002</v>
      </c>
      <c r="T4265">
        <v>-3.7304400000000001E-2</v>
      </c>
      <c r="U4265">
        <v>-0.23124690000000001</v>
      </c>
      <c r="V4265">
        <v>2.617214E-2</v>
      </c>
      <c r="W4265">
        <v>0.20023060000000001</v>
      </c>
      <c r="X4265">
        <v>0.97939920000000003</v>
      </c>
      <c r="Y4265">
        <v>8.2180249999999996E-2</v>
      </c>
      <c r="Z4265">
        <v>-1.065961E-3</v>
      </c>
      <c r="AA4265">
        <v>0.99661690000000003</v>
      </c>
      <c r="AB4265">
        <v>32</v>
      </c>
      <c r="AC4265">
        <v>82.597499999999997</v>
      </c>
      <c r="AD4265">
        <v>-1.0114574000000001</v>
      </c>
      <c r="AE4265">
        <v>-6.2718000000000096</v>
      </c>
      <c r="AF4265">
        <v>6.8306944516077897</v>
      </c>
      <c r="AG4265">
        <v>-1.0114574000000001</v>
      </c>
      <c r="AH4265">
        <v>82.540768473273403</v>
      </c>
      <c r="AI4265">
        <v>90.699677772602897</v>
      </c>
      <c r="AJ4265">
        <v>85.269244556210396</v>
      </c>
      <c r="AK4265">
        <v>82.829100519815896</v>
      </c>
      <c r="AL4265">
        <v>78.449556179505706</v>
      </c>
      <c r="AM4265">
        <v>88.469269351976493</v>
      </c>
      <c r="AN4265">
        <v>1.00000003352458</v>
      </c>
    </row>
    <row r="4266" spans="1:40" x14ac:dyDescent="0.25">
      <c r="A4266" t="str">
        <f>"20190303170338858"</f>
        <v>20190303170338858</v>
      </c>
      <c r="B4266" t="str">
        <f>"1551603818849755"</f>
        <v>1551603818849755</v>
      </c>
      <c r="C4266" t="s">
        <v>40</v>
      </c>
      <c r="D4266">
        <v>4.0510109999999999</v>
      </c>
      <c r="E4266">
        <v>0.52548130000000004</v>
      </c>
      <c r="F4266" t="s">
        <v>56</v>
      </c>
      <c r="G4266">
        <v>-169.39250000000001</v>
      </c>
      <c r="H4266">
        <v>8.8430399999999895E-2</v>
      </c>
      <c r="I4266">
        <v>208.57980000000001</v>
      </c>
      <c r="J4266">
        <v>-251.6627</v>
      </c>
      <c r="K4266">
        <v>1.121955</v>
      </c>
      <c r="L4266">
        <v>214.84030000000001</v>
      </c>
      <c r="M4266">
        <v>0.99987610000000005</v>
      </c>
      <c r="N4266">
        <v>-1.408512E-2</v>
      </c>
      <c r="O4266">
        <v>7.0270209999999996E-3</v>
      </c>
      <c r="P4266">
        <v>0.98227569999999997</v>
      </c>
      <c r="Q4266">
        <v>0.18646889999999999</v>
      </c>
      <c r="R4266">
        <v>-1.9071310000000001E-2</v>
      </c>
      <c r="S4266">
        <v>3.0567929999999999</v>
      </c>
      <c r="T4266">
        <v>-3.8247469999999999E-2</v>
      </c>
      <c r="U4266">
        <v>-0.2315979</v>
      </c>
      <c r="V4266">
        <v>2.587944E-2</v>
      </c>
      <c r="W4266">
        <v>0.200296</v>
      </c>
      <c r="X4266">
        <v>0.97939359999999998</v>
      </c>
      <c r="Y4266">
        <v>8.2540530000000001E-2</v>
      </c>
      <c r="Z4266">
        <v>-1.0867979999999999E-3</v>
      </c>
      <c r="AA4266">
        <v>0.99658709999999995</v>
      </c>
      <c r="AB4266">
        <v>32</v>
      </c>
      <c r="AC4266">
        <v>82.270199999999903</v>
      </c>
      <c r="AD4266">
        <v>-1.0335246</v>
      </c>
      <c r="AE4266">
        <v>-6.2605000000000004</v>
      </c>
      <c r="AF4266">
        <v>6.8374443217706</v>
      </c>
      <c r="AG4266">
        <v>-1.0335246</v>
      </c>
      <c r="AH4266">
        <v>82.211271611336997</v>
      </c>
      <c r="AI4266">
        <v>90.717781900985003</v>
      </c>
      <c r="AJ4266">
        <v>85.245698674777302</v>
      </c>
      <c r="AK4266">
        <v>82.501587850811305</v>
      </c>
      <c r="AL4266">
        <v>78.445731496578304</v>
      </c>
      <c r="AM4266">
        <v>88.486371845306195</v>
      </c>
      <c r="AN4266">
        <v>1.0000000283758299</v>
      </c>
    </row>
    <row r="4267" spans="1:40" x14ac:dyDescent="0.25">
      <c r="A4267" t="str">
        <f>"20190303170338879"</f>
        <v>20190303170338879</v>
      </c>
      <c r="B4267" t="str">
        <f>"1551603818870252"</f>
        <v>1551603818870252</v>
      </c>
      <c r="C4267" t="s">
        <v>40</v>
      </c>
      <c r="D4267">
        <v>4.0310600000000001</v>
      </c>
      <c r="E4267">
        <v>0.52574460000000001</v>
      </c>
      <c r="F4267" t="s">
        <v>56</v>
      </c>
      <c r="G4267">
        <v>-169.39250000000001</v>
      </c>
      <c r="H4267">
        <v>0.11353870000000001</v>
      </c>
      <c r="I4267">
        <v>208.5478</v>
      </c>
      <c r="J4267">
        <v>-251.364</v>
      </c>
      <c r="K4267">
        <v>1.1219539999999999</v>
      </c>
      <c r="L4267">
        <v>214.8426</v>
      </c>
      <c r="M4267">
        <v>0.99987389999999998</v>
      </c>
      <c r="N4267">
        <v>-1.4124370000000001E-2</v>
      </c>
      <c r="O4267">
        <v>7.2523400000000003E-3</v>
      </c>
      <c r="P4267">
        <v>0.9822476</v>
      </c>
      <c r="Q4267">
        <v>0.186559</v>
      </c>
      <c r="R4267">
        <v>-1.9633310000000001E-2</v>
      </c>
      <c r="S4267">
        <v>3.056702</v>
      </c>
      <c r="T4267">
        <v>-3.7465810000000002E-2</v>
      </c>
      <c r="U4267">
        <v>-0.23379520000000001</v>
      </c>
      <c r="V4267">
        <v>2.6662559999999998E-2</v>
      </c>
      <c r="W4267">
        <v>0.2004244</v>
      </c>
      <c r="X4267">
        <v>0.9793463</v>
      </c>
      <c r="Y4267">
        <v>8.3479800000000007E-2</v>
      </c>
      <c r="Z4267">
        <v>-1.0878039999999999E-3</v>
      </c>
      <c r="AA4267">
        <v>0.99650890000000003</v>
      </c>
      <c r="AB4267">
        <v>32</v>
      </c>
      <c r="AC4267">
        <v>81.971499999999907</v>
      </c>
      <c r="AD4267">
        <v>-1.0084153</v>
      </c>
      <c r="AE4267">
        <v>-6.2948000000000004</v>
      </c>
      <c r="AF4267">
        <v>6.8881426073262597</v>
      </c>
      <c r="AG4267">
        <v>-1.0084153</v>
      </c>
      <c r="AH4267">
        <v>81.911363477668601</v>
      </c>
      <c r="AI4267">
        <v>90.702855341828098</v>
      </c>
      <c r="AJ4267">
        <v>85.193156134257606</v>
      </c>
      <c r="AK4267">
        <v>82.206659564580704</v>
      </c>
      <c r="AL4267">
        <v>78.438222164194102</v>
      </c>
      <c r="AM4267">
        <v>88.440515986451601</v>
      </c>
      <c r="AN4267">
        <v>1.0000000037723999</v>
      </c>
    </row>
    <row r="4268" spans="1:40" x14ac:dyDescent="0.25">
      <c r="A4268" t="str">
        <f>"20190303170338900"</f>
        <v>20190303170338900</v>
      </c>
      <c r="B4268" t="str">
        <f>"1551603818889772"</f>
        <v>1551603818889772</v>
      </c>
      <c r="C4268" t="s">
        <v>40</v>
      </c>
      <c r="D4268">
        <v>4.0196569999999996</v>
      </c>
      <c r="E4268">
        <v>0.52597090000000002</v>
      </c>
      <c r="F4268" t="s">
        <v>56</v>
      </c>
      <c r="G4268">
        <v>-169.39250000000001</v>
      </c>
      <c r="H4268">
        <v>0.10485839999999901</v>
      </c>
      <c r="I4268">
        <v>208.49969999999999</v>
      </c>
      <c r="J4268">
        <v>-251.04830000000001</v>
      </c>
      <c r="K4268">
        <v>1.1219629999999901</v>
      </c>
      <c r="L4268">
        <v>214.84520000000001</v>
      </c>
      <c r="M4268">
        <v>0.99987170000000003</v>
      </c>
      <c r="N4268">
        <v>-1.4160570000000001E-2</v>
      </c>
      <c r="O4268">
        <v>7.4904330000000003E-3</v>
      </c>
      <c r="P4268">
        <v>0.98226930000000001</v>
      </c>
      <c r="Q4268">
        <v>0.18640300000000001</v>
      </c>
      <c r="R4268">
        <v>-2.0028460000000001E-2</v>
      </c>
      <c r="S4268">
        <v>3.056702</v>
      </c>
      <c r="T4268">
        <v>-3.7925960000000002E-2</v>
      </c>
      <c r="U4268">
        <v>-0.2365265</v>
      </c>
      <c r="V4268">
        <v>2.7291869999999999E-2</v>
      </c>
      <c r="W4268">
        <v>0.20030439999999999</v>
      </c>
      <c r="X4268">
        <v>0.97935349999999999</v>
      </c>
      <c r="Y4268">
        <v>8.4601800000000005E-2</v>
      </c>
      <c r="Z4268">
        <v>-1.110914E-3</v>
      </c>
      <c r="AA4268">
        <v>0.99641420000000003</v>
      </c>
      <c r="AB4268">
        <v>32</v>
      </c>
      <c r="AC4268">
        <v>81.655799999999999</v>
      </c>
      <c r="AD4268">
        <v>-1.0171045999999999</v>
      </c>
      <c r="AE4268">
        <v>-6.3455000000000101</v>
      </c>
      <c r="AF4268">
        <v>6.9559478169613103</v>
      </c>
      <c r="AG4268">
        <v>-1.0171045999999999</v>
      </c>
      <c r="AH4268">
        <v>81.593390105137004</v>
      </c>
      <c r="AI4268">
        <v>90.711604142376004</v>
      </c>
      <c r="AJ4268">
        <v>85.127238585059303</v>
      </c>
      <c r="AK4268">
        <v>81.895671562352504</v>
      </c>
      <c r="AL4268">
        <v>78.445239788524006</v>
      </c>
      <c r="AM4268">
        <v>88.4037384136669</v>
      </c>
      <c r="AN4268">
        <v>0.99999998839485305</v>
      </c>
    </row>
    <row r="4269" spans="1:40" x14ac:dyDescent="0.25">
      <c r="A4269" t="str">
        <f>"20190303170338923"</f>
        <v>20190303170338923</v>
      </c>
      <c r="B4269" t="str">
        <f>"1551603818910268"</f>
        <v>1551603818910268</v>
      </c>
      <c r="C4269" t="s">
        <v>40</v>
      </c>
      <c r="D4269">
        <v>4.0112779999999999</v>
      </c>
      <c r="E4269">
        <v>0.52608279999999996</v>
      </c>
      <c r="F4269" t="s">
        <v>56</v>
      </c>
      <c r="G4269">
        <v>-169.39250000000001</v>
      </c>
      <c r="H4269">
        <v>0.1061573</v>
      </c>
      <c r="I4269">
        <v>208.44149999999999</v>
      </c>
      <c r="J4269">
        <v>-250.72319999999999</v>
      </c>
      <c r="K4269">
        <v>1.121961</v>
      </c>
      <c r="L4269">
        <v>214.84790000000001</v>
      </c>
      <c r="M4269">
        <v>0.99986940000000002</v>
      </c>
      <c r="N4269">
        <v>-1.4192949999999999E-2</v>
      </c>
      <c r="O4269">
        <v>7.735881E-3</v>
      </c>
      <c r="P4269">
        <v>0.98234900000000003</v>
      </c>
      <c r="Q4269">
        <v>0.18600900000000001</v>
      </c>
      <c r="R4269">
        <v>-1.977402E-2</v>
      </c>
      <c r="S4269">
        <v>3.0564879999999999</v>
      </c>
      <c r="T4269">
        <v>-3.8021680000000002E-2</v>
      </c>
      <c r="U4269">
        <v>-0.23970030000000001</v>
      </c>
      <c r="V4269">
        <v>2.7279649999999999E-2</v>
      </c>
      <c r="W4269">
        <v>0.19994319999999999</v>
      </c>
      <c r="X4269">
        <v>0.97942759999999995</v>
      </c>
      <c r="Y4269">
        <v>8.5879830000000004E-2</v>
      </c>
      <c r="Z4269">
        <v>-1.13024E-3</v>
      </c>
      <c r="AA4269">
        <v>0.99630490000000005</v>
      </c>
      <c r="AB4269">
        <v>32</v>
      </c>
      <c r="AC4269">
        <v>81.330699999999894</v>
      </c>
      <c r="AD4269">
        <v>-1.0158037</v>
      </c>
      <c r="AE4269">
        <v>-6.4064000000000103</v>
      </c>
      <c r="AF4269">
        <v>7.0343456749106297</v>
      </c>
      <c r="AG4269">
        <v>-1.0158037</v>
      </c>
      <c r="AH4269">
        <v>81.266102834322197</v>
      </c>
      <c r="AI4269">
        <v>90.713476417589803</v>
      </c>
      <c r="AJ4269">
        <v>85.052842285963905</v>
      </c>
      <c r="AK4269">
        <v>81.576303827212499</v>
      </c>
      <c r="AL4269">
        <v>78.466361790470202</v>
      </c>
      <c r="AM4269">
        <v>88.404573425095094</v>
      </c>
      <c r="AN4269">
        <v>0.999999943086059</v>
      </c>
    </row>
    <row r="4270" spans="1:40" x14ac:dyDescent="0.25">
      <c r="A4270" t="str">
        <f>"20190303170338946"</f>
        <v>20190303170338946</v>
      </c>
      <c r="B4270" t="str">
        <f>"1551603818939547"</f>
        <v>1551603818939547</v>
      </c>
      <c r="C4270" t="s">
        <v>40</v>
      </c>
      <c r="D4270">
        <v>4.0005420000000003</v>
      </c>
      <c r="E4270">
        <v>0.52639959999999997</v>
      </c>
      <c r="F4270" t="s">
        <v>56</v>
      </c>
      <c r="G4270">
        <v>-169.39250000000001</v>
      </c>
      <c r="H4270">
        <v>7.7924729999999998E-2</v>
      </c>
      <c r="I4270">
        <v>208.4522</v>
      </c>
      <c r="J4270">
        <v>-250.39850000000001</v>
      </c>
      <c r="K4270">
        <v>1.1219680000000001</v>
      </c>
      <c r="L4270">
        <v>214.85069999999999</v>
      </c>
      <c r="M4270">
        <v>0.99986710000000001</v>
      </c>
      <c r="N4270">
        <v>-1.4220419999999999E-2</v>
      </c>
      <c r="O4270">
        <v>7.9810019999999992E-3</v>
      </c>
      <c r="P4270">
        <v>0.98245720000000003</v>
      </c>
      <c r="Q4270">
        <v>0.18540789999999999</v>
      </c>
      <c r="R4270">
        <v>-2.00514E-2</v>
      </c>
      <c r="S4270">
        <v>3.0564879999999999</v>
      </c>
      <c r="T4270">
        <v>-3.9234640000000001E-2</v>
      </c>
      <c r="U4270">
        <v>-0.2403564</v>
      </c>
      <c r="V4270">
        <v>2.7799190000000001E-2</v>
      </c>
      <c r="W4270">
        <v>0.1993704</v>
      </c>
      <c r="X4270">
        <v>0.97952980000000001</v>
      </c>
      <c r="Y4270">
        <v>8.6335880000000004E-2</v>
      </c>
      <c r="Z4270">
        <v>-1.157122E-3</v>
      </c>
      <c r="AA4270">
        <v>0.99626539999999997</v>
      </c>
      <c r="AB4270">
        <v>32</v>
      </c>
      <c r="AC4270">
        <v>81.006</v>
      </c>
      <c r="AD4270">
        <v>-1.04404327</v>
      </c>
      <c r="AE4270">
        <v>-6.3984999999999799</v>
      </c>
      <c r="AF4270">
        <v>7.0437077640453101</v>
      </c>
      <c r="AG4270">
        <v>-1.04404327</v>
      </c>
      <c r="AH4270">
        <v>80.938986318090102</v>
      </c>
      <c r="AI4270">
        <v>90.736242922000699</v>
      </c>
      <c r="AJ4270">
        <v>85.026370507851695</v>
      </c>
      <c r="AK4270">
        <v>81.251605224849996</v>
      </c>
      <c r="AL4270">
        <v>78.499855724433303</v>
      </c>
      <c r="AM4270">
        <v>88.374374273250396</v>
      </c>
      <c r="AN4270">
        <v>0.99999999022442798</v>
      </c>
    </row>
    <row r="4271" spans="1:40" x14ac:dyDescent="0.25">
      <c r="A4271" t="str">
        <f>"20190303170338967"</f>
        <v>20190303170338967</v>
      </c>
      <c r="B4271" t="str">
        <f>"1551603818960044"</f>
        <v>1551603818960044</v>
      </c>
      <c r="C4271" t="s">
        <v>40</v>
      </c>
      <c r="D4271">
        <v>3.970726</v>
      </c>
      <c r="E4271">
        <v>0.52654109999999998</v>
      </c>
      <c r="F4271" t="s">
        <v>56</v>
      </c>
      <c r="G4271">
        <v>-169.39250000000001</v>
      </c>
      <c r="H4271">
        <v>3.3634190000000001E-2</v>
      </c>
      <c r="I4271">
        <v>208.3912</v>
      </c>
      <c r="J4271">
        <v>-250.095</v>
      </c>
      <c r="K4271">
        <v>1.1219650000000001</v>
      </c>
      <c r="L4271">
        <v>214.85329999999999</v>
      </c>
      <c r="M4271">
        <v>0.99986489999999995</v>
      </c>
      <c r="N4271">
        <v>-1.424221E-2</v>
      </c>
      <c r="O4271">
        <v>8.2106669999999996E-3</v>
      </c>
      <c r="P4271">
        <v>0.98246840000000002</v>
      </c>
      <c r="Q4271">
        <v>0.18533169999999999</v>
      </c>
      <c r="R4271">
        <v>-2.0208009999999998E-2</v>
      </c>
      <c r="S4271">
        <v>3.0563509999999998</v>
      </c>
      <c r="T4271">
        <v>-4.1061399999999998E-2</v>
      </c>
      <c r="U4271">
        <v>-0.2437134</v>
      </c>
      <c r="V4271">
        <v>2.8181399999999999E-2</v>
      </c>
      <c r="W4271">
        <v>0.19931570000000001</v>
      </c>
      <c r="X4271">
        <v>0.97953000000000001</v>
      </c>
      <c r="Y4271">
        <v>8.7654270000000006E-2</v>
      </c>
      <c r="Z4271">
        <v>-1.2065089999999999E-3</v>
      </c>
      <c r="AA4271">
        <v>0.99615030000000004</v>
      </c>
      <c r="AB4271">
        <v>32</v>
      </c>
      <c r="AC4271">
        <v>80.702499999999901</v>
      </c>
      <c r="AD4271">
        <v>-1.08833081</v>
      </c>
      <c r="AE4271">
        <v>-6.4620999999999897</v>
      </c>
      <c r="AF4271">
        <v>7.1232834543683996</v>
      </c>
      <c r="AG4271">
        <v>-1.08833081</v>
      </c>
      <c r="AH4271">
        <v>80.632144889917896</v>
      </c>
      <c r="AI4271">
        <v>90.770302015179297</v>
      </c>
      <c r="AJ4271">
        <v>84.951427065710405</v>
      </c>
      <c r="AK4271">
        <v>80.953495419728398</v>
      </c>
      <c r="AL4271">
        <v>78.503053877212096</v>
      </c>
      <c r="AM4271">
        <v>88.352036184839207</v>
      </c>
      <c r="AN4271">
        <v>0.99999998023622405</v>
      </c>
    </row>
    <row r="4272" spans="1:40" x14ac:dyDescent="0.25">
      <c r="A4272" t="str">
        <f>"20190303170338986"</f>
        <v>20190303170338986</v>
      </c>
      <c r="B4272" t="str">
        <f>"1551603818979564"</f>
        <v>1551603818979564</v>
      </c>
      <c r="C4272" t="s">
        <v>40</v>
      </c>
      <c r="D4272">
        <v>3.9781209999999998</v>
      </c>
      <c r="E4272">
        <v>0.52671950000000001</v>
      </c>
      <c r="F4272" t="s">
        <v>56</v>
      </c>
      <c r="G4272">
        <v>-169.39250000000001</v>
      </c>
      <c r="H4272">
        <v>4.0508269999999999E-2</v>
      </c>
      <c r="I4272">
        <v>208.3751</v>
      </c>
      <c r="J4272">
        <v>-249.83799999999999</v>
      </c>
      <c r="K4272">
        <v>1.121969</v>
      </c>
      <c r="L4272">
        <v>214.85570000000001</v>
      </c>
      <c r="M4272">
        <v>0.9998631</v>
      </c>
      <c r="N4272">
        <v>-1.4257250000000001E-2</v>
      </c>
      <c r="O4272">
        <v>8.4049759999999998E-3</v>
      </c>
      <c r="P4272">
        <v>0.98248069999999998</v>
      </c>
      <c r="Q4272">
        <v>0.18529390000000001</v>
      </c>
      <c r="R4272">
        <v>-1.9947670000000001E-2</v>
      </c>
      <c r="S4272">
        <v>3.0561980000000002</v>
      </c>
      <c r="T4272">
        <v>-4.0953280000000002E-2</v>
      </c>
      <c r="U4272">
        <v>-0.24533079999999999</v>
      </c>
      <c r="V4272">
        <v>2.8112720000000001E-2</v>
      </c>
      <c r="W4272">
        <v>0.19929279999999999</v>
      </c>
      <c r="X4272">
        <v>0.97953670000000004</v>
      </c>
      <c r="Y4272">
        <v>8.8375519999999999E-2</v>
      </c>
      <c r="Z4272">
        <v>-1.215053E-3</v>
      </c>
      <c r="AA4272">
        <v>0.99608649999999999</v>
      </c>
      <c r="AB4272">
        <v>32</v>
      </c>
      <c r="AC4272">
        <v>80.445499999999896</v>
      </c>
      <c r="AD4272">
        <v>-1.0814607300000001</v>
      </c>
      <c r="AE4272">
        <v>-6.4806000000000097</v>
      </c>
      <c r="AF4272">
        <v>7.1552974227894799</v>
      </c>
      <c r="AG4272">
        <v>-1.0814607300000001</v>
      </c>
      <c r="AH4272">
        <v>80.373751191824397</v>
      </c>
      <c r="AI4272">
        <v>90.767854492779406</v>
      </c>
      <c r="AJ4272">
        <v>84.912637644211202</v>
      </c>
      <c r="AK4272">
        <v>80.698870618890396</v>
      </c>
      <c r="AL4272">
        <v>78.504393577937293</v>
      </c>
      <c r="AM4272">
        <v>88.356061417254395</v>
      </c>
      <c r="AN4272">
        <v>1.00000004590226</v>
      </c>
    </row>
    <row r="4273" spans="1:40" x14ac:dyDescent="0.25">
      <c r="A4273" t="str">
        <f>"20190303170339002"</f>
        <v>20190303170339002</v>
      </c>
      <c r="B4273" t="str">
        <f>"1551603818990300"</f>
        <v>1551603818990300</v>
      </c>
      <c r="C4273" t="s">
        <v>40</v>
      </c>
      <c r="D4273">
        <v>4.0189409999999999</v>
      </c>
      <c r="E4273">
        <v>0.52680019999999905</v>
      </c>
      <c r="F4273" t="s">
        <v>56</v>
      </c>
      <c r="G4273">
        <v>-169.39250000000001</v>
      </c>
      <c r="H4273">
        <v>5.2755360000000001E-2</v>
      </c>
      <c r="I4273">
        <v>208.37620000000001</v>
      </c>
      <c r="J4273">
        <v>-249.61519999999999</v>
      </c>
      <c r="K4273">
        <v>1.121972</v>
      </c>
      <c r="L4273">
        <v>214.85769999999999</v>
      </c>
      <c r="M4273">
        <v>0.99986149999999996</v>
      </c>
      <c r="N4273">
        <v>-1.4267729999999999E-2</v>
      </c>
      <c r="O4273">
        <v>8.5735689999999996E-3</v>
      </c>
      <c r="P4273">
        <v>0.98230989999999996</v>
      </c>
      <c r="Q4273">
        <v>0.18624460000000001</v>
      </c>
      <c r="R4273">
        <v>-1.9500440000000001E-2</v>
      </c>
      <c r="S4273">
        <v>3.0561370000000001</v>
      </c>
      <c r="T4273">
        <v>-4.0618300000000003E-2</v>
      </c>
      <c r="U4273">
        <v>-0.24615480000000001</v>
      </c>
      <c r="V4273">
        <v>2.7829400000000001E-2</v>
      </c>
      <c r="W4273">
        <v>0.20025109999999999</v>
      </c>
      <c r="X4273">
        <v>0.97934929999999998</v>
      </c>
      <c r="Y4273">
        <v>8.8812020000000005E-2</v>
      </c>
      <c r="Z4273">
        <v>-1.21554E-3</v>
      </c>
      <c r="AA4273">
        <v>0.99604769999999998</v>
      </c>
      <c r="AB4273">
        <v>32</v>
      </c>
      <c r="AC4273">
        <v>80.222699999999904</v>
      </c>
      <c r="AD4273">
        <v>-1.0692166400000001</v>
      </c>
      <c r="AE4273">
        <v>-6.4814999999999801</v>
      </c>
      <c r="AF4273">
        <v>7.1678615413902396</v>
      </c>
      <c r="AG4273">
        <v>-1.0692166400000001</v>
      </c>
      <c r="AH4273">
        <v>80.150030287985601</v>
      </c>
      <c r="AI4273">
        <v>90.761253490965601</v>
      </c>
      <c r="AJ4273">
        <v>84.889601832441102</v>
      </c>
      <c r="AK4273">
        <v>80.477008011386701</v>
      </c>
      <c r="AL4273">
        <v>78.448357118387904</v>
      </c>
      <c r="AM4273">
        <v>88.372308842232997</v>
      </c>
      <c r="AN4273">
        <v>1.0000000149830299</v>
      </c>
    </row>
    <row r="4274" spans="1:40" x14ac:dyDescent="0.25">
      <c r="A4274" t="str">
        <f>"20190303170339025"</f>
        <v>20190303170339025</v>
      </c>
      <c r="B4274" t="str">
        <f>"1551603819009820"</f>
        <v>1551603819009820</v>
      </c>
      <c r="C4274" t="s">
        <v>40</v>
      </c>
      <c r="D4274">
        <v>3.8041830000000001</v>
      </c>
      <c r="E4274">
        <v>0.52692349999999999</v>
      </c>
      <c r="F4274" t="s">
        <v>56</v>
      </c>
      <c r="G4274">
        <v>-169.39250000000001</v>
      </c>
      <c r="H4274">
        <v>0.1407108</v>
      </c>
      <c r="I4274">
        <v>208.4093</v>
      </c>
      <c r="J4274">
        <v>-249.28399999999999</v>
      </c>
      <c r="K4274">
        <v>1.1219730000000001</v>
      </c>
      <c r="L4274">
        <v>214.86080000000001</v>
      </c>
      <c r="M4274">
        <v>0.99985930000000001</v>
      </c>
      <c r="N4274">
        <v>-1.427731E-2</v>
      </c>
      <c r="O4274">
        <v>8.8241199999999995E-3</v>
      </c>
      <c r="P4274">
        <v>0.98224769999999995</v>
      </c>
      <c r="Q4274">
        <v>0.1866429</v>
      </c>
      <c r="R4274">
        <v>-1.8820509999999999E-2</v>
      </c>
      <c r="S4274">
        <v>3.0562740000000002</v>
      </c>
      <c r="T4274">
        <v>-3.738213E-2</v>
      </c>
      <c r="U4274">
        <v>-0.24566650000000001</v>
      </c>
      <c r="V4274">
        <v>2.7395019999999999E-2</v>
      </c>
      <c r="W4274">
        <v>0.20065749999999999</v>
      </c>
      <c r="X4274">
        <v>0.97927830000000005</v>
      </c>
      <c r="Y4274">
        <v>8.8901750000000002E-2</v>
      </c>
      <c r="Z4274">
        <v>-1.1605210000000001E-3</v>
      </c>
      <c r="AA4274">
        <v>0.99603969999999997</v>
      </c>
      <c r="AB4274">
        <v>32</v>
      </c>
      <c r="AC4274">
        <v>79.891499999999994</v>
      </c>
      <c r="AD4274">
        <v>-0.98126219999999997</v>
      </c>
      <c r="AE4274">
        <v>-6.4515000000000002</v>
      </c>
      <c r="AF4274">
        <v>7.1552202704312799</v>
      </c>
      <c r="AG4274">
        <v>-0.98126219999999997</v>
      </c>
      <c r="AH4274">
        <v>79.819490910645101</v>
      </c>
      <c r="AI4274">
        <v>90.701518408179993</v>
      </c>
      <c r="AJ4274">
        <v>84.877553641457695</v>
      </c>
      <c r="AK4274">
        <v>80.145562458929007</v>
      </c>
      <c r="AL4274">
        <v>78.4245889938814</v>
      </c>
      <c r="AM4274">
        <v>88.3975854821864</v>
      </c>
      <c r="AN4274">
        <v>0.99999995413896903</v>
      </c>
    </row>
    <row r="4275" spans="1:40" x14ac:dyDescent="0.25">
      <c r="A4275" t="str">
        <f>"20190303170339046"</f>
        <v>20190303170339046</v>
      </c>
      <c r="B4275" t="str">
        <f>"1551603819040077"</f>
        <v>1551603819040077</v>
      </c>
      <c r="C4275" t="s">
        <v>40</v>
      </c>
      <c r="D4275">
        <v>4.097194</v>
      </c>
      <c r="E4275">
        <v>0.52705939999999996</v>
      </c>
      <c r="F4275" t="s">
        <v>56</v>
      </c>
      <c r="G4275">
        <v>-169.39250000000001</v>
      </c>
      <c r="H4275">
        <v>0.17150879999999999</v>
      </c>
      <c r="I4275">
        <v>208.47329999999999</v>
      </c>
      <c r="J4275">
        <v>-248.9725</v>
      </c>
      <c r="K4275">
        <v>1.1219779999999999</v>
      </c>
      <c r="L4275">
        <v>214.8638</v>
      </c>
      <c r="M4275">
        <v>0.99985710000000005</v>
      </c>
      <c r="N4275">
        <v>-1.4278819999999999E-2</v>
      </c>
      <c r="O4275">
        <v>9.0597090000000009E-3</v>
      </c>
      <c r="P4275">
        <v>0.98234060000000001</v>
      </c>
      <c r="Q4275">
        <v>0.18621260000000001</v>
      </c>
      <c r="R4275">
        <v>-1.8222539999999999E-2</v>
      </c>
      <c r="S4275">
        <v>3.0564420000000001</v>
      </c>
      <c r="T4275">
        <v>-3.6360980000000001E-2</v>
      </c>
      <c r="U4275">
        <v>-0.24436949999999999</v>
      </c>
      <c r="V4275">
        <v>2.7029480000000002E-2</v>
      </c>
      <c r="W4275">
        <v>0.20022960000000001</v>
      </c>
      <c r="X4275">
        <v>0.97937609999999997</v>
      </c>
      <c r="Y4275">
        <v>8.8712699999999894E-2</v>
      </c>
      <c r="Z4275">
        <v>-1.1397320000000001E-3</v>
      </c>
      <c r="AA4275">
        <v>0.99605659999999896</v>
      </c>
      <c r="AB4275">
        <v>32</v>
      </c>
      <c r="AC4275">
        <v>79.579999999999899</v>
      </c>
      <c r="AD4275">
        <v>-0.95046920000000001</v>
      </c>
      <c r="AE4275">
        <v>-6.3905000000000003</v>
      </c>
      <c r="AF4275">
        <v>7.1102749914987502</v>
      </c>
      <c r="AG4275">
        <v>-0.95046920000000001</v>
      </c>
      <c r="AH4275">
        <v>79.507562410431404</v>
      </c>
      <c r="AI4275">
        <v>90.682184715643999</v>
      </c>
      <c r="AJ4275">
        <v>84.889694980371203</v>
      </c>
      <c r="AK4275">
        <v>79.830519744039705</v>
      </c>
      <c r="AL4275">
        <v>78.449614447085096</v>
      </c>
      <c r="AM4275">
        <v>88.419113858016999</v>
      </c>
      <c r="AN4275">
        <v>1.00000001537822</v>
      </c>
    </row>
    <row r="4276" spans="1:40" x14ac:dyDescent="0.25">
      <c r="A4276" t="str">
        <f>"20190303170339070"</f>
        <v>20190303170339070</v>
      </c>
      <c r="B4276" t="str">
        <f>"1551603819059598"</f>
        <v>1551603819059598</v>
      </c>
      <c r="C4276" t="s">
        <v>40</v>
      </c>
      <c r="D4276">
        <v>4.0299430000000003</v>
      </c>
      <c r="E4276">
        <v>0.53294900000000001</v>
      </c>
      <c r="F4276" t="s">
        <v>56</v>
      </c>
      <c r="G4276">
        <v>-169.39250000000001</v>
      </c>
      <c r="H4276">
        <v>0.13514329999999999</v>
      </c>
      <c r="I4276">
        <v>208.52529999999999</v>
      </c>
      <c r="J4276">
        <v>-248.65629999999999</v>
      </c>
      <c r="K4276">
        <v>1.1219749999999999</v>
      </c>
      <c r="L4276">
        <v>214.86689999999999</v>
      </c>
      <c r="M4276">
        <v>0.99985489999999999</v>
      </c>
      <c r="N4276">
        <v>-1.4276169999999999E-2</v>
      </c>
      <c r="O4276">
        <v>9.2988440000000006E-3</v>
      </c>
      <c r="P4276">
        <v>0.98236670000000004</v>
      </c>
      <c r="Q4276">
        <v>0.18615180000000001</v>
      </c>
      <c r="R4276">
        <v>-1.7408099999999999E-2</v>
      </c>
      <c r="S4276">
        <v>3.0565799999999999</v>
      </c>
      <c r="T4276">
        <v>-3.7901879999999999E-2</v>
      </c>
      <c r="U4276">
        <v>-0.243454</v>
      </c>
      <c r="V4276">
        <v>2.6450520000000002E-2</v>
      </c>
      <c r="W4276">
        <v>0.2001666</v>
      </c>
      <c r="X4276">
        <v>0.97940479999999996</v>
      </c>
      <c r="Y4276">
        <v>8.8650060000000003E-2</v>
      </c>
      <c r="Z4276">
        <v>-1.1652120000000001E-3</v>
      </c>
      <c r="AA4276">
        <v>0.99606220000000001</v>
      </c>
      <c r="AB4276">
        <v>32</v>
      </c>
      <c r="AC4276">
        <v>79.263799999999904</v>
      </c>
      <c r="AD4276">
        <v>-0.98683169999999898</v>
      </c>
      <c r="AE4276">
        <v>-6.3415999999999997</v>
      </c>
      <c r="AF4276">
        <v>7.0773725326254198</v>
      </c>
      <c r="AG4276">
        <v>-0.98683169999999898</v>
      </c>
      <c r="AH4276">
        <v>79.189200370332301</v>
      </c>
      <c r="AI4276">
        <v>90.711131451427804</v>
      </c>
      <c r="AJ4276">
        <v>84.892876015507795</v>
      </c>
      <c r="AK4276">
        <v>79.5109583269018</v>
      </c>
      <c r="AL4276">
        <v>78.453298837855797</v>
      </c>
      <c r="AM4276">
        <v>88.453004444912196</v>
      </c>
      <c r="AN4276">
        <v>1.00000003001343</v>
      </c>
    </row>
    <row r="4277" spans="1:40" x14ac:dyDescent="0.25">
      <c r="A4277" t="str">
        <f>"20190303170339091"</f>
        <v>20190303170339091</v>
      </c>
      <c r="B4277" t="str">
        <f>"1551603819080093"</f>
        <v>1551603819080093</v>
      </c>
      <c r="C4277" t="s">
        <v>40</v>
      </c>
      <c r="D4277">
        <v>4.0996169999999896</v>
      </c>
      <c r="E4277">
        <v>0.53129300000000002</v>
      </c>
      <c r="F4277" t="s">
        <v>56</v>
      </c>
      <c r="G4277">
        <v>-168.41030000000001</v>
      </c>
      <c r="H4277">
        <v>0.32918170000000002</v>
      </c>
      <c r="I4277">
        <v>207.27269999999999</v>
      </c>
      <c r="J4277">
        <v>-248.34610000000001</v>
      </c>
      <c r="K4277">
        <v>1.121982</v>
      </c>
      <c r="L4277">
        <v>214.87010000000001</v>
      </c>
      <c r="M4277">
        <v>0.99985279999999999</v>
      </c>
      <c r="N4277">
        <v>-1.427206E-2</v>
      </c>
      <c r="O4277">
        <v>9.5332219999999992E-3</v>
      </c>
      <c r="P4277">
        <v>0.98216380000000003</v>
      </c>
      <c r="Q4277">
        <v>0.18725069999999999</v>
      </c>
      <c r="R4277">
        <v>-1.7079420000000001E-2</v>
      </c>
      <c r="S4277">
        <v>3.054443</v>
      </c>
      <c r="T4277">
        <v>-3.0175210000000001E-2</v>
      </c>
      <c r="U4277">
        <v>-0.2890625</v>
      </c>
      <c r="V4277">
        <v>2.6349589999999999E-2</v>
      </c>
      <c r="W4277">
        <v>0.20125870000000001</v>
      </c>
      <c r="X4277">
        <v>0.97918369999999999</v>
      </c>
      <c r="Y4277">
        <v>0.1036908</v>
      </c>
      <c r="Z4277">
        <v>-1.2109320000000001E-3</v>
      </c>
      <c r="AA4277">
        <v>0.99460879999999996</v>
      </c>
      <c r="AB4277">
        <v>32</v>
      </c>
      <c r="AC4277">
        <v>79.9358</v>
      </c>
      <c r="AD4277">
        <v>-0.79280030000000001</v>
      </c>
      <c r="AE4277">
        <v>-7.5974000000000199</v>
      </c>
      <c r="AF4277">
        <v>8.3583631446848692</v>
      </c>
      <c r="AG4277">
        <v>-0.79280030000000001</v>
      </c>
      <c r="AH4277">
        <v>79.851947334454096</v>
      </c>
      <c r="AI4277">
        <v>90.565744811423002</v>
      </c>
      <c r="AJ4277">
        <v>84.024424710231898</v>
      </c>
      <c r="AK4277">
        <v>80.292118292386206</v>
      </c>
      <c r="AL4277">
        <v>78.389426458252402</v>
      </c>
      <c r="AM4277">
        <v>88.458556812660802</v>
      </c>
      <c r="AN4277">
        <v>1.0000000417822701</v>
      </c>
    </row>
    <row r="4278" spans="1:40" x14ac:dyDescent="0.25">
      <c r="A4278" t="str">
        <f>"20190303170339114"</f>
        <v>20190303170339114</v>
      </c>
      <c r="B4278" t="str">
        <f>"1551603819110349"</f>
        <v>1551603819110349</v>
      </c>
      <c r="C4278" t="s">
        <v>40</v>
      </c>
      <c r="D4278">
        <v>4.0472640000000002</v>
      </c>
      <c r="E4278">
        <v>0.47840709999999997</v>
      </c>
      <c r="F4278" t="s">
        <v>56</v>
      </c>
      <c r="G4278">
        <v>-168.4102</v>
      </c>
      <c r="H4278">
        <v>0.3756504</v>
      </c>
      <c r="I4278">
        <v>207.6849</v>
      </c>
      <c r="J4278">
        <v>-248.03020000000001</v>
      </c>
      <c r="K4278">
        <v>1.121991</v>
      </c>
      <c r="L4278">
        <v>214.8733</v>
      </c>
      <c r="M4278">
        <v>0.99985060000000003</v>
      </c>
      <c r="N4278">
        <v>-1.426702E-2</v>
      </c>
      <c r="O4278">
        <v>9.7723110000000005E-3</v>
      </c>
      <c r="P4278">
        <v>0.98181149999999995</v>
      </c>
      <c r="Q4278">
        <v>0.1891002</v>
      </c>
      <c r="R4278">
        <v>-1.6956860000000001E-2</v>
      </c>
      <c r="S4278">
        <v>3.0551149999999998</v>
      </c>
      <c r="T4278">
        <v>-2.852321E-2</v>
      </c>
      <c r="U4278">
        <v>-0.27461239999999998</v>
      </c>
      <c r="V4278">
        <v>2.6457990000000001E-2</v>
      </c>
      <c r="W4278">
        <v>0.20309769999999999</v>
      </c>
      <c r="X4278">
        <v>0.97880100000000003</v>
      </c>
      <c r="Y4278">
        <v>9.9243940000000003E-2</v>
      </c>
      <c r="Z4278">
        <v>-1.123719E-3</v>
      </c>
      <c r="AA4278">
        <v>0.99506249999999996</v>
      </c>
      <c r="AB4278">
        <v>32</v>
      </c>
      <c r="AC4278">
        <v>79.62</v>
      </c>
      <c r="AD4278">
        <v>-0.74634059999999902</v>
      </c>
      <c r="AE4278">
        <v>-7.1883999999999997</v>
      </c>
      <c r="AF4278">
        <v>7.9655129266101099</v>
      </c>
      <c r="AG4278">
        <v>-0.74634059999999902</v>
      </c>
      <c r="AH4278">
        <v>79.539010525797806</v>
      </c>
      <c r="AI4278">
        <v>90.534933662057099</v>
      </c>
      <c r="AJ4278">
        <v>84.281125207969197</v>
      </c>
      <c r="AK4278">
        <v>79.940356616030797</v>
      </c>
      <c r="AL4278">
        <v>78.281837753071102</v>
      </c>
      <c r="AM4278">
        <v>88.451613652854903</v>
      </c>
      <c r="AN4278">
        <v>1.0000000492905601</v>
      </c>
    </row>
    <row r="4279" spans="1:40" x14ac:dyDescent="0.25">
      <c r="A4279" t="str">
        <f>"20190303170339136"</f>
        <v>20190303170339136</v>
      </c>
      <c r="B4279" t="str">
        <f>"1551603819129868"</f>
        <v>1551603819129868</v>
      </c>
      <c r="C4279" t="s">
        <v>40</v>
      </c>
      <c r="D4279">
        <v>4.062735</v>
      </c>
      <c r="E4279">
        <v>0.46876420000000002</v>
      </c>
      <c r="F4279" t="s">
        <v>55</v>
      </c>
      <c r="G4279">
        <v>-157.8382</v>
      </c>
      <c r="H4279">
        <v>1.423405</v>
      </c>
      <c r="I4279">
        <v>219.21119999999999</v>
      </c>
      <c r="J4279">
        <v>-247.71209999999999</v>
      </c>
      <c r="K4279">
        <v>1.1219920000000001</v>
      </c>
      <c r="L4279">
        <v>214.8767</v>
      </c>
      <c r="M4279">
        <v>0.99984819999999996</v>
      </c>
      <c r="N4279">
        <v>-1.426124E-2</v>
      </c>
      <c r="O4279">
        <v>1.0013070000000001E-2</v>
      </c>
      <c r="P4279">
        <v>0.98177840000000005</v>
      </c>
      <c r="Q4279">
        <v>0.18929029999999999</v>
      </c>
      <c r="R4279">
        <v>-1.6751530000000001E-2</v>
      </c>
      <c r="S4279">
        <v>3.056152</v>
      </c>
      <c r="T4279">
        <v>1.021528E-2</v>
      </c>
      <c r="U4279">
        <v>0.14698789999999901</v>
      </c>
      <c r="V4279">
        <v>2.6488729999999999E-2</v>
      </c>
      <c r="W4279">
        <v>0.20328170000000001</v>
      </c>
      <c r="X4279">
        <v>0.97876189999999996</v>
      </c>
      <c r="Y4279">
        <v>-3.8037519999999998E-2</v>
      </c>
      <c r="Z4279">
        <v>3.8404420000000001E-4</v>
      </c>
      <c r="AA4279">
        <v>0.99927619999999895</v>
      </c>
      <c r="AB4279">
        <v>32</v>
      </c>
      <c r="AC4279">
        <v>89.873899999999907</v>
      </c>
      <c r="AD4279">
        <v>0.30141299999999899</v>
      </c>
      <c r="AE4279">
        <v>4.3344999999999896</v>
      </c>
      <c r="AF4279">
        <v>-3.4342389724678499</v>
      </c>
      <c r="AG4279">
        <v>0.30141299999999899</v>
      </c>
      <c r="AH4279">
        <v>89.911790648419299</v>
      </c>
      <c r="AI4279">
        <v>89.808066946049095</v>
      </c>
      <c r="AJ4279">
        <v>92.187386022948999</v>
      </c>
      <c r="AK4279">
        <v>89.977858080317503</v>
      </c>
      <c r="AL4279">
        <v>78.271069894731298</v>
      </c>
      <c r="AM4279">
        <v>88.449753652871195</v>
      </c>
      <c r="AN4279">
        <v>0.99999997963175602</v>
      </c>
    </row>
    <row r="4280" spans="1:40" x14ac:dyDescent="0.25">
      <c r="A4280" t="str">
        <f>"20190303170339158"</f>
        <v>20190303170339158</v>
      </c>
      <c r="B4280" t="str">
        <f>"1551603819149388"</f>
        <v>1551603819149388</v>
      </c>
      <c r="C4280" t="s">
        <v>40</v>
      </c>
      <c r="D4280">
        <v>4.0738250000000003</v>
      </c>
      <c r="E4280">
        <v>0.46387600000000001</v>
      </c>
      <c r="F4280" t="s">
        <v>55</v>
      </c>
      <c r="G4280">
        <v>-157.8382</v>
      </c>
      <c r="H4280">
        <v>1.5824510000000001</v>
      </c>
      <c r="I4280">
        <v>221.47980000000001</v>
      </c>
      <c r="J4280">
        <v>-247.4075</v>
      </c>
      <c r="K4280">
        <v>1.121988</v>
      </c>
      <c r="L4280">
        <v>214.88</v>
      </c>
      <c r="M4280">
        <v>0.99984600000000001</v>
      </c>
      <c r="N4280">
        <v>-1.425536E-2</v>
      </c>
      <c r="O4280">
        <v>1.024388E-2</v>
      </c>
      <c r="P4280">
        <v>0.98185120000000004</v>
      </c>
      <c r="Q4280">
        <v>0.1888994</v>
      </c>
      <c r="R4280">
        <v>-1.6890550000000001E-2</v>
      </c>
      <c r="S4280">
        <v>3.0564879999999999</v>
      </c>
      <c r="T4280">
        <v>1.5661479999999998E-2</v>
      </c>
      <c r="U4280">
        <v>0.2245636</v>
      </c>
      <c r="V4280">
        <v>2.6855670000000002E-2</v>
      </c>
      <c r="W4280">
        <v>0.20288619999999999</v>
      </c>
      <c r="X4280">
        <v>0.97883399999999998</v>
      </c>
      <c r="Y4280">
        <v>-6.3055780000000006E-2</v>
      </c>
      <c r="Z4280">
        <v>4.8699950000000001E-4</v>
      </c>
      <c r="AA4280">
        <v>0.99800990000000001</v>
      </c>
      <c r="AB4280">
        <v>32</v>
      </c>
      <c r="AC4280">
        <v>89.569299999999998</v>
      </c>
      <c r="AD4280">
        <v>0.46046300000000001</v>
      </c>
      <c r="AE4280">
        <v>6.5998000000000099</v>
      </c>
      <c r="AF4280">
        <v>-5.6816739688569697</v>
      </c>
      <c r="AG4280">
        <v>0.46046300000000001</v>
      </c>
      <c r="AH4280">
        <v>89.6298577919883</v>
      </c>
      <c r="AI4280">
        <v>89.706241775719903</v>
      </c>
      <c r="AJ4280">
        <v>93.627150111852302</v>
      </c>
      <c r="AK4280">
        <v>89.810939495558102</v>
      </c>
      <c r="AL4280">
        <v>78.294213099976204</v>
      </c>
      <c r="AM4280">
        <v>88.428404991167298</v>
      </c>
      <c r="AN4280">
        <v>1.00000001835879</v>
      </c>
    </row>
    <row r="4281" spans="1:40" x14ac:dyDescent="0.25">
      <c r="A4281" t="str">
        <f>"20190303170339180"</f>
        <v>20190303170339180</v>
      </c>
      <c r="B4281" t="str">
        <f>"1551603819169885"</f>
        <v>1551603819169885</v>
      </c>
      <c r="C4281" t="s">
        <v>40</v>
      </c>
      <c r="D4281">
        <v>4.1186499999999997</v>
      </c>
      <c r="E4281">
        <v>0.46095950000000002</v>
      </c>
      <c r="F4281" t="s">
        <v>55</v>
      </c>
      <c r="G4281">
        <v>-168.20529999999999</v>
      </c>
      <c r="H4281">
        <v>1.5510900000000001</v>
      </c>
      <c r="I4281">
        <v>221.6901</v>
      </c>
      <c r="J4281">
        <v>-247.09100000000001</v>
      </c>
      <c r="K4281">
        <v>1.121983</v>
      </c>
      <c r="L4281">
        <v>214.8835</v>
      </c>
      <c r="M4281">
        <v>0.9998435</v>
      </c>
      <c r="N4281">
        <v>-1.424927E-2</v>
      </c>
      <c r="O4281">
        <v>1.048405E-2</v>
      </c>
      <c r="P4281">
        <v>0.98192880000000005</v>
      </c>
      <c r="Q4281">
        <v>0.1884692</v>
      </c>
      <c r="R4281">
        <v>-1.719267E-2</v>
      </c>
      <c r="S4281">
        <v>3.0567929999999999</v>
      </c>
      <c r="T4281">
        <v>1.65633E-2</v>
      </c>
      <c r="U4281">
        <v>0.26283260000000003</v>
      </c>
      <c r="V4281">
        <v>2.7394749999999999E-2</v>
      </c>
      <c r="W4281">
        <v>0.20245099999999999</v>
      </c>
      <c r="X4281">
        <v>0.97890909999999998</v>
      </c>
      <c r="Y4281">
        <v>-7.5219560000000005E-2</v>
      </c>
      <c r="Z4281">
        <v>5.3934040000000005E-4</v>
      </c>
      <c r="AA4281">
        <v>0.99716689999999997</v>
      </c>
      <c r="AB4281">
        <v>31</v>
      </c>
      <c r="AC4281">
        <v>78.8856999999999</v>
      </c>
      <c r="AD4281">
        <v>0.42910699999999902</v>
      </c>
      <c r="AE4281">
        <v>6.8066000000000004</v>
      </c>
      <c r="AF4281">
        <v>-5.9789246286952702</v>
      </c>
      <c r="AG4281">
        <v>0.42910699999999902</v>
      </c>
      <c r="AH4281">
        <v>78.950412785007899</v>
      </c>
      <c r="AI4281">
        <v>89.689481284220605</v>
      </c>
      <c r="AJ4281">
        <v>94.330750142365901</v>
      </c>
      <c r="AK4281">
        <v>79.177644265639799</v>
      </c>
      <c r="AL4281">
        <v>78.319675883029802</v>
      </c>
      <c r="AM4281">
        <v>88.3969972303628</v>
      </c>
      <c r="AN4281">
        <v>0.999999952895685</v>
      </c>
    </row>
    <row r="4282" spans="1:40" x14ac:dyDescent="0.25">
      <c r="A4282" t="str">
        <f>"20190303170339203"</f>
        <v>20190303170339203</v>
      </c>
      <c r="B4282" t="str">
        <f>"1551603819189404"</f>
        <v>1551603819189404</v>
      </c>
      <c r="C4282" t="s">
        <v>40</v>
      </c>
      <c r="D4282">
        <v>4.111262</v>
      </c>
      <c r="E4282">
        <v>0.4589995</v>
      </c>
      <c r="F4282" t="s">
        <v>55</v>
      </c>
      <c r="G4282">
        <v>-168.35059999999999</v>
      </c>
      <c r="H4282">
        <v>1.5547089999999999</v>
      </c>
      <c r="I4282">
        <v>222.22800000000001</v>
      </c>
      <c r="J4282">
        <v>-246.77950000000001</v>
      </c>
      <c r="K4282">
        <v>1.1219870000000001</v>
      </c>
      <c r="L4282">
        <v>214.887</v>
      </c>
      <c r="M4282">
        <v>0.99984119999999999</v>
      </c>
      <c r="N4282">
        <v>-1.4243489999999999E-2</v>
      </c>
      <c r="O4282">
        <v>1.071998E-2</v>
      </c>
      <c r="P4282">
        <v>0.98184959999999999</v>
      </c>
      <c r="Q4282">
        <v>0.1888184</v>
      </c>
      <c r="R4282">
        <v>-1.7877520000000001E-2</v>
      </c>
      <c r="S4282">
        <v>3.0569920000000002</v>
      </c>
      <c r="T4282">
        <v>1.6802190000000002E-2</v>
      </c>
      <c r="U4282">
        <v>0.28514099999999998</v>
      </c>
      <c r="V4282">
        <v>2.8310470000000001E-2</v>
      </c>
      <c r="W4282">
        <v>0.2027938</v>
      </c>
      <c r="X4282">
        <v>0.97881220000000002</v>
      </c>
      <c r="Y4282">
        <v>-8.2195859999999996E-2</v>
      </c>
      <c r="Z4282">
        <v>5.7244040000000004E-4</v>
      </c>
      <c r="AA4282">
        <v>0.99661599999999995</v>
      </c>
      <c r="AB4282">
        <v>31</v>
      </c>
      <c r="AC4282">
        <v>78.428899999999999</v>
      </c>
      <c r="AD4282">
        <v>0.432722</v>
      </c>
      <c r="AE4282">
        <v>7.3409999999999798</v>
      </c>
      <c r="AF4282">
        <v>-6.4995405138720601</v>
      </c>
      <c r="AG4282">
        <v>0.432722</v>
      </c>
      <c r="AH4282">
        <v>78.500726936832393</v>
      </c>
      <c r="AI4282">
        <v>89.685246868509793</v>
      </c>
      <c r="AJ4282">
        <v>94.733061612603805</v>
      </c>
      <c r="AK4282">
        <v>78.770523705456398</v>
      </c>
      <c r="AL4282">
        <v>78.299620180005704</v>
      </c>
      <c r="AM4282">
        <v>88.343279378891495</v>
      </c>
      <c r="AN4282">
        <v>1.0000000654494401</v>
      </c>
    </row>
    <row r="4283" spans="1:40" x14ac:dyDescent="0.25">
      <c r="A4283" t="str">
        <f>"20190303170339225"</f>
        <v>20190303170339225</v>
      </c>
      <c r="B4283" t="str">
        <f>"1551603819219660"</f>
        <v>1551603819219660</v>
      </c>
      <c r="C4283" t="s">
        <v>40</v>
      </c>
      <c r="D4283">
        <v>4.1276900000000003</v>
      </c>
      <c r="E4283">
        <v>0.45713740000000003</v>
      </c>
      <c r="F4283" t="s">
        <v>55</v>
      </c>
      <c r="G4283">
        <v>-168.35059999999999</v>
      </c>
      <c r="H4283">
        <v>1.5703659999999999</v>
      </c>
      <c r="I4283">
        <v>222.5581</v>
      </c>
      <c r="J4283">
        <v>-246.46369999999999</v>
      </c>
      <c r="K4283">
        <v>1.1219939999999999</v>
      </c>
      <c r="L4283">
        <v>214.89070000000001</v>
      </c>
      <c r="M4283">
        <v>0.99983869999999997</v>
      </c>
      <c r="N4283">
        <v>-1.423782E-2</v>
      </c>
      <c r="O4283">
        <v>1.095926E-2</v>
      </c>
      <c r="P4283">
        <v>0.98175029999999996</v>
      </c>
      <c r="Q4283">
        <v>0.18929260000000001</v>
      </c>
      <c r="R4283">
        <v>-1.83042E-2</v>
      </c>
      <c r="S4283">
        <v>3.0575410000000001</v>
      </c>
      <c r="T4283">
        <v>1.748216E-2</v>
      </c>
      <c r="U4283">
        <v>0.29905700000000002</v>
      </c>
      <c r="V4283">
        <v>2.8971009999999998E-2</v>
      </c>
      <c r="W4283">
        <v>0.2032611</v>
      </c>
      <c r="X4283">
        <v>0.97869589999999995</v>
      </c>
      <c r="Y4283">
        <v>-8.6435209999999998E-2</v>
      </c>
      <c r="Z4283">
        <v>5.8849100000000001E-4</v>
      </c>
      <c r="AA4283">
        <v>0.99625730000000001</v>
      </c>
      <c r="AB4283">
        <v>31</v>
      </c>
      <c r="AC4283">
        <v>78.113100000000003</v>
      </c>
      <c r="AD4283">
        <v>0.44837199999999899</v>
      </c>
      <c r="AE4283">
        <v>7.6673999999999802</v>
      </c>
      <c r="AF4283">
        <v>-6.8105687433364297</v>
      </c>
      <c r="AG4283">
        <v>0.44837199999999899</v>
      </c>
      <c r="AH4283">
        <v>78.189893928450701</v>
      </c>
      <c r="AI4283">
        <v>89.672686055919996</v>
      </c>
      <c r="AJ4283">
        <v>94.978066161557393</v>
      </c>
      <c r="AK4283">
        <v>78.487224416464599</v>
      </c>
      <c r="AL4283">
        <v>78.272275947267602</v>
      </c>
      <c r="AM4283">
        <v>88.304445724285102</v>
      </c>
      <c r="AN4283">
        <v>1.00000002943521</v>
      </c>
    </row>
    <row r="4284" spans="1:40" x14ac:dyDescent="0.25">
      <c r="A4284" t="str">
        <f>"20190303170339244"</f>
        <v>20190303170339244</v>
      </c>
      <c r="B4284" t="str">
        <f>"1551603819240157"</f>
        <v>1551603819240157</v>
      </c>
      <c r="C4284" t="s">
        <v>40</v>
      </c>
      <c r="D4284">
        <v>4.1173590000000004</v>
      </c>
      <c r="E4284">
        <v>0.45651799999999998</v>
      </c>
      <c r="F4284" t="s">
        <v>55</v>
      </c>
      <c r="G4284">
        <v>-168.35059999999999</v>
      </c>
      <c r="H4284">
        <v>1.5810789999999999</v>
      </c>
      <c r="I4284">
        <v>222.87780000000001</v>
      </c>
      <c r="J4284">
        <v>-246.2039</v>
      </c>
      <c r="K4284">
        <v>1.121993</v>
      </c>
      <c r="L4284">
        <v>214.8937</v>
      </c>
      <c r="M4284">
        <v>0.99983659999999996</v>
      </c>
      <c r="N4284">
        <v>-1.4233320000000001E-2</v>
      </c>
      <c r="O4284">
        <v>1.1156259999999999E-2</v>
      </c>
      <c r="P4284">
        <v>0.98171819999999999</v>
      </c>
      <c r="Q4284">
        <v>0.18944530000000001</v>
      </c>
      <c r="R4284">
        <v>-1.8445280000000001E-2</v>
      </c>
      <c r="S4284">
        <v>3.0581360000000002</v>
      </c>
      <c r="T4284">
        <v>1.797545E-2</v>
      </c>
      <c r="U4284">
        <v>0.31269839999999999</v>
      </c>
      <c r="V4284">
        <v>2.930518E-2</v>
      </c>
      <c r="W4284">
        <v>0.2034087</v>
      </c>
      <c r="X4284">
        <v>0.97865530000000001</v>
      </c>
      <c r="Y4284">
        <v>-9.0619500000000006E-2</v>
      </c>
      <c r="Z4284">
        <v>6.0477830000000004E-4</v>
      </c>
      <c r="AA4284">
        <v>0.99588540000000003</v>
      </c>
      <c r="AB4284">
        <v>31</v>
      </c>
      <c r="AC4284">
        <v>77.853300000000004</v>
      </c>
      <c r="AD4284">
        <v>0.45908599999999999</v>
      </c>
      <c r="AE4284">
        <v>7.9841000000000104</v>
      </c>
      <c r="AF4284">
        <v>-7.1147186754027203</v>
      </c>
      <c r="AG4284">
        <v>0.45908599999999999</v>
      </c>
      <c r="AH4284">
        <v>77.934853908345204</v>
      </c>
      <c r="AI4284">
        <v>89.663892832051999</v>
      </c>
      <c r="AJ4284">
        <v>95.216107195429302</v>
      </c>
      <c r="AK4284">
        <v>78.260280062753694</v>
      </c>
      <c r="AL4284">
        <v>78.263638830330706</v>
      </c>
      <c r="AM4284">
        <v>88.2848286312921</v>
      </c>
      <c r="AN4284">
        <v>1.0000000445143</v>
      </c>
    </row>
    <row r="4285" spans="1:40" x14ac:dyDescent="0.25">
      <c r="A4285" t="str">
        <f>"20190303170339259"</f>
        <v>20190303170339259</v>
      </c>
      <c r="B4285" t="str">
        <f>"1551603819249916"</f>
        <v>1551603819249916</v>
      </c>
      <c r="C4285" t="s">
        <v>40</v>
      </c>
      <c r="D4285">
        <v>4.1173520000000003</v>
      </c>
      <c r="E4285">
        <v>0.45629809999999998</v>
      </c>
      <c r="F4285" t="s">
        <v>55</v>
      </c>
      <c r="G4285">
        <v>-168.35059999999999</v>
      </c>
      <c r="H4285">
        <v>1.592732</v>
      </c>
      <c r="I4285">
        <v>222.96510000000001</v>
      </c>
      <c r="J4285">
        <v>-245.98779999999999</v>
      </c>
      <c r="K4285">
        <v>1.121993</v>
      </c>
      <c r="L4285">
        <v>214.8963</v>
      </c>
      <c r="M4285">
        <v>0.99983469999999997</v>
      </c>
      <c r="N4285">
        <v>-1.422969E-2</v>
      </c>
      <c r="O4285">
        <v>1.132007E-2</v>
      </c>
      <c r="P4285">
        <v>0.98176090000000005</v>
      </c>
      <c r="Q4285">
        <v>0.18922050000000001</v>
      </c>
      <c r="R4285">
        <v>-1.8469079999999999E-2</v>
      </c>
      <c r="S4285">
        <v>3.0582579999999999</v>
      </c>
      <c r="T4285">
        <v>1.8493889999999999E-2</v>
      </c>
      <c r="U4285">
        <v>0.31706240000000002</v>
      </c>
      <c r="V4285">
        <v>2.949067E-2</v>
      </c>
      <c r="W4285">
        <v>0.20318130000000001</v>
      </c>
      <c r="X4285">
        <v>0.97869689999999998</v>
      </c>
      <c r="Y4285">
        <v>-9.1858549999999997E-2</v>
      </c>
      <c r="Z4285">
        <v>6.0727239999999998E-4</v>
      </c>
      <c r="AA4285">
        <v>0.99577190000000004</v>
      </c>
      <c r="AB4285">
        <v>31</v>
      </c>
      <c r="AC4285">
        <v>77.637200000000007</v>
      </c>
      <c r="AD4285">
        <v>0.47073900000000002</v>
      </c>
      <c r="AE4285">
        <v>8.0688000000000102</v>
      </c>
      <c r="AF4285">
        <v>-7.1890739159089998</v>
      </c>
      <c r="AG4285">
        <v>0.47073900000000002</v>
      </c>
      <c r="AH4285">
        <v>77.7207463118894</v>
      </c>
      <c r="AI4285">
        <v>89.654450259410197</v>
      </c>
      <c r="AJ4285">
        <v>95.284751566382596</v>
      </c>
      <c r="AK4285">
        <v>78.053947922264598</v>
      </c>
      <c r="AL4285">
        <v>78.276945018758497</v>
      </c>
      <c r="AM4285">
        <v>88.274052153822197</v>
      </c>
      <c r="AN4285">
        <v>0.99999998117817401</v>
      </c>
    </row>
    <row r="4286" spans="1:40" x14ac:dyDescent="0.25">
      <c r="A4286" t="str">
        <f>"20190303170339281"</f>
        <v>20190303170339281</v>
      </c>
      <c r="B4286" t="str">
        <f>"1551603819269436"</f>
        <v>1551603819269436</v>
      </c>
      <c r="C4286" t="s">
        <v>40</v>
      </c>
      <c r="D4286">
        <v>4.1208790000000004</v>
      </c>
      <c r="E4286">
        <v>0.45598529999999998</v>
      </c>
      <c r="F4286" t="s">
        <v>55</v>
      </c>
      <c r="G4286">
        <v>-168.35059999999999</v>
      </c>
      <c r="H4286">
        <v>1.570595</v>
      </c>
      <c r="I4286">
        <v>222.98660000000001</v>
      </c>
      <c r="J4286">
        <v>-245.68610000000001</v>
      </c>
      <c r="K4286">
        <v>1.1219939999999999</v>
      </c>
      <c r="L4286">
        <v>214.9</v>
      </c>
      <c r="M4286">
        <v>0.99983219999999995</v>
      </c>
      <c r="N4286">
        <v>-1.4224799999999999E-2</v>
      </c>
      <c r="O4286">
        <v>1.154903E-2</v>
      </c>
      <c r="P4286">
        <v>0.98185650000000002</v>
      </c>
      <c r="Q4286">
        <v>0.18871930000000001</v>
      </c>
      <c r="R4286">
        <v>-1.8523149999999999E-2</v>
      </c>
      <c r="S4286">
        <v>3.0583040000000001</v>
      </c>
      <c r="T4286">
        <v>1.7673609999999999E-2</v>
      </c>
      <c r="U4286">
        <v>0.31869509999999901</v>
      </c>
      <c r="V4286">
        <v>2.9770919999999999E-2</v>
      </c>
      <c r="W4286">
        <v>0.20267660000000001</v>
      </c>
      <c r="X4286">
        <v>0.97879309999999997</v>
      </c>
      <c r="Y4286">
        <v>-9.2154879999999995E-2</v>
      </c>
      <c r="Z4286">
        <v>6.2210049999999995E-4</v>
      </c>
      <c r="AA4286">
        <v>0.99574450000000003</v>
      </c>
      <c r="AB4286">
        <v>31</v>
      </c>
      <c r="AC4286">
        <v>77.335499999999996</v>
      </c>
      <c r="AD4286">
        <v>0.44860099999999897</v>
      </c>
      <c r="AE4286">
        <v>8.0866000000000007</v>
      </c>
      <c r="AF4286">
        <v>-7.1925808598747496</v>
      </c>
      <c r="AG4286">
        <v>0.44860099999999897</v>
      </c>
      <c r="AH4286">
        <v>77.421166193513102</v>
      </c>
      <c r="AI4286">
        <v>89.6694385281899</v>
      </c>
      <c r="AJ4286">
        <v>95.307657513190605</v>
      </c>
      <c r="AK4286">
        <v>77.755845034612094</v>
      </c>
      <c r="AL4286">
        <v>78.3064771374424</v>
      </c>
      <c r="AM4286">
        <v>88.257831663131199</v>
      </c>
      <c r="AN4286">
        <v>1.0000000222364001</v>
      </c>
    </row>
    <row r="4287" spans="1:40" x14ac:dyDescent="0.25">
      <c r="A4287" t="str">
        <f>"20190303170339303"</f>
        <v>20190303170339303</v>
      </c>
      <c r="B4287" t="str">
        <f>"1551603819299692"</f>
        <v>1551603819299692</v>
      </c>
      <c r="C4287" t="s">
        <v>40</v>
      </c>
      <c r="D4287">
        <v>4.1266780000000001</v>
      </c>
      <c r="E4287">
        <v>0.45526529999999998</v>
      </c>
      <c r="F4287" t="s">
        <v>55</v>
      </c>
      <c r="G4287">
        <v>-168.35059999999999</v>
      </c>
      <c r="H4287">
        <v>1.5345409999999999</v>
      </c>
      <c r="I4287">
        <v>223.0258</v>
      </c>
      <c r="J4287">
        <v>-245.3717</v>
      </c>
      <c r="K4287">
        <v>1.12199</v>
      </c>
      <c r="L4287">
        <v>214.90389999999999</v>
      </c>
      <c r="M4287">
        <v>0.99982939999999998</v>
      </c>
      <c r="N4287">
        <v>-1.421992E-2</v>
      </c>
      <c r="O4287">
        <v>1.17874E-2</v>
      </c>
      <c r="P4287">
        <v>0.9819774</v>
      </c>
      <c r="Q4287">
        <v>0.18810299999999999</v>
      </c>
      <c r="R4287">
        <v>-1.8374040000000001E-2</v>
      </c>
      <c r="S4287">
        <v>3.0583650000000002</v>
      </c>
      <c r="T4287">
        <v>1.6317129999999999E-2</v>
      </c>
      <c r="U4287">
        <v>0.32135010000000003</v>
      </c>
      <c r="V4287">
        <v>2.985788E-2</v>
      </c>
      <c r="W4287">
        <v>0.2020573</v>
      </c>
      <c r="X4287">
        <v>0.97891839999999997</v>
      </c>
      <c r="Y4287">
        <v>-9.2770359999999996E-2</v>
      </c>
      <c r="Z4287">
        <v>6.4452800000000001E-4</v>
      </c>
      <c r="AA4287">
        <v>0.99568730000000005</v>
      </c>
      <c r="AB4287">
        <v>31</v>
      </c>
      <c r="AC4287">
        <v>77.021100000000004</v>
      </c>
      <c r="AD4287">
        <v>0.412550999999999</v>
      </c>
      <c r="AE4287">
        <v>8.1219000000000001</v>
      </c>
      <c r="AF4287">
        <v>-7.21316062696794</v>
      </c>
      <c r="AG4287">
        <v>0.412550999999999</v>
      </c>
      <c r="AH4287">
        <v>77.109305770586801</v>
      </c>
      <c r="AI4287">
        <v>89.694790903334294</v>
      </c>
      <c r="AJ4287">
        <v>95.344159877780498</v>
      </c>
      <c r="AK4287">
        <v>77.447045915127703</v>
      </c>
      <c r="AL4287">
        <v>78.342709105631798</v>
      </c>
      <c r="AM4287">
        <v>88.252969496501294</v>
      </c>
      <c r="AN4287">
        <v>0.99999993966997003</v>
      </c>
    </row>
    <row r="4288" spans="1:40" x14ac:dyDescent="0.25">
      <c r="A4288" t="str">
        <f>"20190303170339321"</f>
        <v>20190303170339321</v>
      </c>
      <c r="B4288" t="str">
        <f>"1551603819309452"</f>
        <v>1551603819309452</v>
      </c>
      <c r="C4288" t="s">
        <v>40</v>
      </c>
      <c r="D4288">
        <v>4.1407689999999997</v>
      </c>
      <c r="E4288">
        <v>0.45491670000000001</v>
      </c>
      <c r="F4288" t="s">
        <v>55</v>
      </c>
      <c r="G4288">
        <v>-168.35059999999999</v>
      </c>
      <c r="H4288">
        <v>1.4823789999999999</v>
      </c>
      <c r="I4288">
        <v>223.1508</v>
      </c>
      <c r="J4288">
        <v>-245.12430000000001</v>
      </c>
      <c r="K4288">
        <v>1.1219920000000001</v>
      </c>
      <c r="L4288">
        <v>214.90700000000001</v>
      </c>
      <c r="M4288">
        <v>0.99982729999999997</v>
      </c>
      <c r="N4288">
        <v>-1.421615E-2</v>
      </c>
      <c r="O4288">
        <v>1.1975100000000001E-2</v>
      </c>
      <c r="P4288">
        <v>0.98190580000000005</v>
      </c>
      <c r="Q4288">
        <v>0.188471</v>
      </c>
      <c r="R4288">
        <v>-1.8434659999999999E-2</v>
      </c>
      <c r="S4288">
        <v>3.0584720000000001</v>
      </c>
      <c r="T4288">
        <v>1.43131E-2</v>
      </c>
      <c r="U4288">
        <v>0.3274841</v>
      </c>
      <c r="V4288">
        <v>3.010183E-2</v>
      </c>
      <c r="W4288">
        <v>0.20242019999999999</v>
      </c>
      <c r="X4288">
        <v>0.97883600000000004</v>
      </c>
      <c r="Y4288">
        <v>-9.4554189999999996E-2</v>
      </c>
      <c r="Z4288">
        <v>6.7908520000000002E-4</v>
      </c>
      <c r="AA4288">
        <v>0.9955195</v>
      </c>
      <c r="AB4288">
        <v>31</v>
      </c>
      <c r="AC4288">
        <v>76.773700000000005</v>
      </c>
      <c r="AD4288">
        <v>0.36038700000000001</v>
      </c>
      <c r="AE4288">
        <v>8.2437999999999896</v>
      </c>
      <c r="AF4288">
        <v>-7.3235836401993204</v>
      </c>
      <c r="AG4288">
        <v>0.36038700000000001</v>
      </c>
      <c r="AH4288">
        <v>76.8652497797476</v>
      </c>
      <c r="AI4288">
        <v>89.732578576014205</v>
      </c>
      <c r="AJ4288">
        <v>95.442609938987303</v>
      </c>
      <c r="AK4288">
        <v>77.214191570123702</v>
      </c>
      <c r="AL4288">
        <v>78.321478297526994</v>
      </c>
      <c r="AM4288">
        <v>88.238556385508801</v>
      </c>
      <c r="AN4288">
        <v>0.99999998621669395</v>
      </c>
    </row>
    <row r="4289" spans="1:40" x14ac:dyDescent="0.25">
      <c r="A4289" t="str">
        <f>"20190303170339336"</f>
        <v>20190303170339336</v>
      </c>
      <c r="B4289" t="str">
        <f>"1551603819329948"</f>
        <v>1551603819329948</v>
      </c>
      <c r="C4289" t="s">
        <v>40</v>
      </c>
      <c r="D4289">
        <v>4.1612390000000001</v>
      </c>
      <c r="E4289">
        <v>0.4543992</v>
      </c>
      <c r="F4289" t="s">
        <v>55</v>
      </c>
      <c r="G4289">
        <v>-168.35059999999999</v>
      </c>
      <c r="H4289">
        <v>1.5215959999999999</v>
      </c>
      <c r="I4289">
        <v>223.19540000000001</v>
      </c>
      <c r="J4289">
        <v>-244.89920000000001</v>
      </c>
      <c r="K4289">
        <v>1.1219969999999999</v>
      </c>
      <c r="L4289">
        <v>214.90989999999999</v>
      </c>
      <c r="M4289">
        <v>0.99982539999999998</v>
      </c>
      <c r="N4289">
        <v>-1.4212870000000001E-2</v>
      </c>
      <c r="O4289">
        <v>1.2145700000000001E-2</v>
      </c>
      <c r="P4289">
        <v>0.98181660000000004</v>
      </c>
      <c r="Q4289">
        <v>0.188942</v>
      </c>
      <c r="R4289">
        <v>-1.8366380000000002E-2</v>
      </c>
      <c r="S4289">
        <v>3.0584259999999999</v>
      </c>
      <c r="T4289">
        <v>1.592124E-2</v>
      </c>
      <c r="U4289">
        <v>0.3301849</v>
      </c>
      <c r="V4289">
        <v>3.019995E-2</v>
      </c>
      <c r="W4289">
        <v>0.2028867</v>
      </c>
      <c r="X4289">
        <v>0.97873639999999995</v>
      </c>
      <c r="Y4289">
        <v>-9.5255220000000002E-2</v>
      </c>
      <c r="Z4289">
        <v>6.6688979999999999E-4</v>
      </c>
      <c r="AA4289">
        <v>0.99545260000000002</v>
      </c>
      <c r="AB4289">
        <v>31</v>
      </c>
      <c r="AC4289">
        <v>76.548599999999993</v>
      </c>
      <c r="AD4289">
        <v>0.39959899999999998</v>
      </c>
      <c r="AE4289">
        <v>8.2855000000000096</v>
      </c>
      <c r="AF4289">
        <v>-7.3548605346677398</v>
      </c>
      <c r="AG4289">
        <v>0.39959899999999998</v>
      </c>
      <c r="AH4289">
        <v>76.641531514619203</v>
      </c>
      <c r="AI4289">
        <v>89.702636022665004</v>
      </c>
      <c r="AJ4289">
        <v>95.481570777199195</v>
      </c>
      <c r="AK4289">
        <v>76.994662189995907</v>
      </c>
      <c r="AL4289">
        <v>78.294183570484506</v>
      </c>
      <c r="AM4289">
        <v>88.232638693057197</v>
      </c>
      <c r="AN4289">
        <v>0.99999999535092599</v>
      </c>
    </row>
    <row r="4290" spans="1:40" x14ac:dyDescent="0.25">
      <c r="A4290" t="str">
        <f>"20190303170339359"</f>
        <v>20190303170339359</v>
      </c>
      <c r="B4290" t="str">
        <f>"1551603819349468"</f>
        <v>1551603819349468</v>
      </c>
      <c r="C4290" t="s">
        <v>40</v>
      </c>
      <c r="D4290">
        <v>4.2325850000000003</v>
      </c>
      <c r="E4290">
        <v>0.45447470000000001</v>
      </c>
      <c r="F4290" t="s">
        <v>55</v>
      </c>
      <c r="G4290">
        <v>-168.35059999999999</v>
      </c>
      <c r="H4290">
        <v>1.567974</v>
      </c>
      <c r="I4290">
        <v>223.28360000000001</v>
      </c>
      <c r="J4290">
        <v>-244.59399999999999</v>
      </c>
      <c r="K4290">
        <v>1.1219980000000001</v>
      </c>
      <c r="L4290">
        <v>214.91380000000001</v>
      </c>
      <c r="M4290">
        <v>0.99982249999999995</v>
      </c>
      <c r="N4290">
        <v>-1.4208490000000001E-2</v>
      </c>
      <c r="O4290">
        <v>1.237775E-2</v>
      </c>
      <c r="P4290">
        <v>0.98177610000000004</v>
      </c>
      <c r="Q4290">
        <v>0.18914010000000001</v>
      </c>
      <c r="R4290">
        <v>-1.849226E-2</v>
      </c>
      <c r="S4290">
        <v>3.058411</v>
      </c>
      <c r="T4290">
        <v>1.7820720000000002E-2</v>
      </c>
      <c r="U4290">
        <v>0.33456419999999998</v>
      </c>
      <c r="V4290">
        <v>3.0553259999999999E-2</v>
      </c>
      <c r="W4290">
        <v>0.20308000000000001</v>
      </c>
      <c r="X4290">
        <v>0.97868540000000004</v>
      </c>
      <c r="Y4290">
        <v>-9.6433679999999994E-2</v>
      </c>
      <c r="Z4290">
        <v>6.5431750000000002E-4</v>
      </c>
      <c r="AA4290">
        <v>0.99533919999999998</v>
      </c>
      <c r="AB4290">
        <v>31</v>
      </c>
      <c r="AC4290">
        <v>76.243399999999994</v>
      </c>
      <c r="AD4290">
        <v>0.44597599999999898</v>
      </c>
      <c r="AE4290">
        <v>8.3697999999999908</v>
      </c>
      <c r="AF4290">
        <v>-7.4250906961858396</v>
      </c>
      <c r="AG4290">
        <v>0.44597599999999898</v>
      </c>
      <c r="AH4290">
        <v>76.338586931773094</v>
      </c>
      <c r="AI4290">
        <v>89.666849523489205</v>
      </c>
      <c r="AJ4290">
        <v>95.555412470675094</v>
      </c>
      <c r="AK4290">
        <v>76.7001350792751</v>
      </c>
      <c r="AL4290">
        <v>78.282873482415795</v>
      </c>
      <c r="AM4290">
        <v>88.211882516411904</v>
      </c>
      <c r="AN4290">
        <v>1.00000005013489</v>
      </c>
    </row>
    <row r="4291" spans="1:40" x14ac:dyDescent="0.25">
      <c r="A4291" t="str">
        <f>"20190303170339381"</f>
        <v>20190303170339381</v>
      </c>
      <c r="B4291" t="str">
        <f>"1551603819369964"</f>
        <v>1551603819369964</v>
      </c>
      <c r="C4291" t="s">
        <v>40</v>
      </c>
      <c r="D4291">
        <v>4.1498369999999998</v>
      </c>
      <c r="E4291">
        <v>0.49442419999999998</v>
      </c>
      <c r="F4291" t="s">
        <v>55</v>
      </c>
      <c r="G4291">
        <v>-168.35059999999999</v>
      </c>
      <c r="H4291">
        <v>1.5813790000000001</v>
      </c>
      <c r="I4291">
        <v>223.22800000000001</v>
      </c>
      <c r="J4291">
        <v>-244.28530000000001</v>
      </c>
      <c r="K4291">
        <v>1.1219939999999999</v>
      </c>
      <c r="L4291">
        <v>214.9179</v>
      </c>
      <c r="M4291">
        <v>0.99981960000000003</v>
      </c>
      <c r="N4291">
        <v>-1.420424E-2</v>
      </c>
      <c r="O4291">
        <v>1.261231E-2</v>
      </c>
      <c r="P4291">
        <v>0.98179190000000005</v>
      </c>
      <c r="Q4291">
        <v>0.18909100000000001</v>
      </c>
      <c r="R4291">
        <v>-1.8148750000000002E-2</v>
      </c>
      <c r="S4291">
        <v>3.058395</v>
      </c>
      <c r="T4291">
        <v>1.8429640000000001E-2</v>
      </c>
      <c r="U4291">
        <v>0.33351140000000001</v>
      </c>
      <c r="V4291">
        <v>3.0440640000000001E-2</v>
      </c>
      <c r="W4291">
        <v>0.2030267</v>
      </c>
      <c r="X4291">
        <v>0.97869989999999996</v>
      </c>
      <c r="Y4291">
        <v>-9.5862219999999998E-2</v>
      </c>
      <c r="Z4291">
        <v>6.4930830000000002E-4</v>
      </c>
      <c r="AA4291">
        <v>0.99539440000000001</v>
      </c>
      <c r="AB4291">
        <v>31</v>
      </c>
      <c r="AC4291">
        <v>75.934700000000007</v>
      </c>
      <c r="AD4291">
        <v>0.45938499999999899</v>
      </c>
      <c r="AE4291">
        <v>8.3100999999999701</v>
      </c>
      <c r="AF4291">
        <v>-7.3513644496713599</v>
      </c>
      <c r="AG4291">
        <v>0.45938499999999899</v>
      </c>
      <c r="AH4291">
        <v>76.030729449134498</v>
      </c>
      <c r="AI4291">
        <v>89.655424491132493</v>
      </c>
      <c r="AJ4291">
        <v>95.522726009408004</v>
      </c>
      <c r="AK4291">
        <v>76.386683488796706</v>
      </c>
      <c r="AL4291">
        <v>78.285991532692094</v>
      </c>
      <c r="AM4291">
        <v>88.218495679636902</v>
      </c>
      <c r="AN4291">
        <v>0.99999998386825395</v>
      </c>
    </row>
    <row r="4292" spans="1:40" x14ac:dyDescent="0.25">
      <c r="A4292" t="str">
        <f>"20190303170339404"</f>
        <v>20190303170339404</v>
      </c>
      <c r="B4292" t="str">
        <f>"1551603819389484"</f>
        <v>1551603819389484</v>
      </c>
      <c r="C4292" t="s">
        <v>40</v>
      </c>
      <c r="D4292">
        <v>4.1407280000000002</v>
      </c>
      <c r="E4292">
        <v>0.5070827</v>
      </c>
      <c r="F4292" t="s">
        <v>44</v>
      </c>
      <c r="G4292">
        <v>-115.2948</v>
      </c>
      <c r="H4292">
        <v>-0.05</v>
      </c>
      <c r="I4292">
        <v>215.64500000000001</v>
      </c>
      <c r="J4292">
        <v>-243.97030000000001</v>
      </c>
      <c r="K4292">
        <v>1.1219950000000001</v>
      </c>
      <c r="L4292">
        <v>214.9221</v>
      </c>
      <c r="M4292">
        <v>0.9998165</v>
      </c>
      <c r="N4292">
        <v>-1.4200050000000001E-2</v>
      </c>
      <c r="O4292">
        <v>1.2851629999999999E-2</v>
      </c>
      <c r="P4292">
        <v>0.98189190000000004</v>
      </c>
      <c r="Q4292">
        <v>0.1886149</v>
      </c>
      <c r="R4292">
        <v>-1.7683790000000001E-2</v>
      </c>
      <c r="S4292">
        <v>3.0613100000000002</v>
      </c>
      <c r="T4292">
        <v>-2.7814749999999999E-2</v>
      </c>
      <c r="U4292">
        <v>1.7257689999999999E-2</v>
      </c>
      <c r="V4292">
        <v>3.02124E-2</v>
      </c>
      <c r="W4292">
        <v>0.20254820000000001</v>
      </c>
      <c r="X4292">
        <v>0.97880610000000001</v>
      </c>
      <c r="Y4292">
        <v>7.2149909999999996E-3</v>
      </c>
      <c r="Z4292" s="1">
        <v>-1.8261419999999999E-5</v>
      </c>
      <c r="AA4292">
        <v>0.99997400000000003</v>
      </c>
      <c r="AB4292">
        <v>31</v>
      </c>
      <c r="AC4292">
        <v>128.6755</v>
      </c>
      <c r="AD4292">
        <v>-1.1719949999999999</v>
      </c>
      <c r="AE4292">
        <v>0.72290000000000898</v>
      </c>
      <c r="AF4292">
        <v>0.93093928672793103</v>
      </c>
      <c r="AG4292">
        <v>-1.1719949999999999</v>
      </c>
      <c r="AH4292">
        <v>128.66348912548301</v>
      </c>
      <c r="AI4292">
        <v>90.521878839996504</v>
      </c>
      <c r="AJ4292">
        <v>89.5854460211862</v>
      </c>
      <c r="AK4292">
        <v>128.67219456502201</v>
      </c>
      <c r="AL4292">
        <v>78.313989137708404</v>
      </c>
      <c r="AM4292">
        <v>88.232036380923802</v>
      </c>
      <c r="AN4292">
        <v>0.99999997191710399</v>
      </c>
    </row>
    <row r="4293" spans="1:40" x14ac:dyDescent="0.25">
      <c r="A4293" t="str">
        <f>"20190303170339426"</f>
        <v>20190303170339426</v>
      </c>
      <c r="B4293" t="str">
        <f>"1551603819419741"</f>
        <v>1551603819419741</v>
      </c>
      <c r="C4293" t="s">
        <v>40</v>
      </c>
      <c r="D4293">
        <v>4.1208580000000001</v>
      </c>
      <c r="E4293">
        <v>0.51540339999999996</v>
      </c>
      <c r="F4293" t="s">
        <v>44</v>
      </c>
      <c r="G4293">
        <v>-141.19730000000001</v>
      </c>
      <c r="H4293">
        <v>-0.05</v>
      </c>
      <c r="I4293">
        <v>212.16900000000001</v>
      </c>
      <c r="J4293">
        <v>-243.6591</v>
      </c>
      <c r="K4293">
        <v>1.121996</v>
      </c>
      <c r="L4293">
        <v>214.9264</v>
      </c>
      <c r="M4293">
        <v>0.99981359999999997</v>
      </c>
      <c r="N4293">
        <v>-1.419601E-2</v>
      </c>
      <c r="O4293">
        <v>1.308815E-2</v>
      </c>
      <c r="P4293">
        <v>0.98190900000000003</v>
      </c>
      <c r="Q4293">
        <v>0.18856239999999999</v>
      </c>
      <c r="R4293">
        <v>-1.7289780000000001E-2</v>
      </c>
      <c r="S4293">
        <v>3.0605470000000001</v>
      </c>
      <c r="T4293">
        <v>-3.4901620000000001E-2</v>
      </c>
      <c r="U4293">
        <v>-8.1985470000000005E-2</v>
      </c>
      <c r="V4293">
        <v>3.0051029999999999E-2</v>
      </c>
      <c r="W4293">
        <v>0.20249159999999999</v>
      </c>
      <c r="X4293">
        <v>0.97882279999999999</v>
      </c>
      <c r="Y4293">
        <v>3.9854859999999999E-2</v>
      </c>
      <c r="Z4293">
        <v>-4.736268E-4</v>
      </c>
      <c r="AA4293">
        <v>0.99920540000000002</v>
      </c>
      <c r="AB4293">
        <v>31</v>
      </c>
      <c r="AC4293">
        <v>102.461799999999</v>
      </c>
      <c r="AD4293">
        <v>-1.17199599999999</v>
      </c>
      <c r="AE4293">
        <v>-2.7573999999999899</v>
      </c>
      <c r="AF4293">
        <v>4.0977985329180502</v>
      </c>
      <c r="AG4293">
        <v>-1.17199599999999</v>
      </c>
      <c r="AH4293">
        <v>102.40354071316</v>
      </c>
      <c r="AI4293">
        <v>90.655190240165496</v>
      </c>
      <c r="AJ4293">
        <v>87.708464384714006</v>
      </c>
      <c r="AK4293">
        <v>102.492198132502</v>
      </c>
      <c r="AL4293">
        <v>78.317300952045301</v>
      </c>
      <c r="AM4293">
        <v>88.2415034395558</v>
      </c>
      <c r="AN4293">
        <v>0.99999999313722998</v>
      </c>
    </row>
    <row r="4294" spans="1:40" x14ac:dyDescent="0.25">
      <c r="A4294" t="str">
        <f>"20190303170339449"</f>
        <v>20190303170339449</v>
      </c>
      <c r="B4294" t="str">
        <f>"1551603819439672"</f>
        <v>1551603819439672</v>
      </c>
      <c r="C4294" t="s">
        <v>40</v>
      </c>
      <c r="D4294">
        <v>4.1351899999999997</v>
      </c>
      <c r="E4294">
        <v>0.51821079999999997</v>
      </c>
      <c r="F4294" t="s">
        <v>44</v>
      </c>
      <c r="G4294">
        <v>-141.6934</v>
      </c>
      <c r="H4294">
        <v>-0.05</v>
      </c>
      <c r="I4294">
        <v>210.03210000000001</v>
      </c>
      <c r="J4294">
        <v>-243.3466</v>
      </c>
      <c r="K4294">
        <v>1.122001</v>
      </c>
      <c r="L4294">
        <v>214.9307</v>
      </c>
      <c r="M4294">
        <v>0.99981059999999999</v>
      </c>
      <c r="N4294">
        <v>-1.419217E-2</v>
      </c>
      <c r="O4294">
        <v>1.3325439999999999E-2</v>
      </c>
      <c r="P4294">
        <v>0.98186790000000002</v>
      </c>
      <c r="Q4294">
        <v>0.18884390000000001</v>
      </c>
      <c r="R4294">
        <v>-1.6539890000000002E-2</v>
      </c>
      <c r="S4294">
        <v>3.0594329999999998</v>
      </c>
      <c r="T4294">
        <v>-3.5165189999999999E-2</v>
      </c>
      <c r="U4294">
        <v>-0.1468506</v>
      </c>
      <c r="V4294">
        <v>2.9533839999999999E-2</v>
      </c>
      <c r="W4294">
        <v>0.202769</v>
      </c>
      <c r="X4294">
        <v>0.97878109999999996</v>
      </c>
      <c r="Y4294">
        <v>6.1242199999999997E-2</v>
      </c>
      <c r="Z4294">
        <v>-7.5069969999999998E-4</v>
      </c>
      <c r="AA4294">
        <v>0.99812259999999997</v>
      </c>
      <c r="AB4294">
        <v>31</v>
      </c>
      <c r="AC4294">
        <v>101.6532</v>
      </c>
      <c r="AD4294">
        <v>-1.1720010000000001</v>
      </c>
      <c r="AE4294">
        <v>-4.8985999999999796</v>
      </c>
      <c r="AF4294">
        <v>6.2520457418562403</v>
      </c>
      <c r="AG4294">
        <v>-1.1720010000000001</v>
      </c>
      <c r="AH4294">
        <v>101.565420542372</v>
      </c>
      <c r="AI4294">
        <v>90.659878946130107</v>
      </c>
      <c r="AJ4294">
        <v>86.477497925859097</v>
      </c>
      <c r="AK4294">
        <v>101.764415746621</v>
      </c>
      <c r="AL4294">
        <v>78.301070230016293</v>
      </c>
      <c r="AM4294">
        <v>88.271675754046299</v>
      </c>
      <c r="AN4294">
        <v>0.99999997839167698</v>
      </c>
    </row>
    <row r="4295" spans="1:40" x14ac:dyDescent="0.25">
      <c r="A4295" t="str">
        <f>"20190303170339471"</f>
        <v>20190303170339471</v>
      </c>
      <c r="B4295" t="str">
        <f>"1551603819460168"</f>
        <v>1551603819460168</v>
      </c>
      <c r="C4295" t="s">
        <v>40</v>
      </c>
      <c r="D4295">
        <v>4.1250830000000001</v>
      </c>
      <c r="E4295">
        <v>0.5201287</v>
      </c>
      <c r="F4295" t="s">
        <v>56</v>
      </c>
      <c r="G4295">
        <v>-151.66820000000001</v>
      </c>
      <c r="H4295">
        <v>4.9783710000000002E-2</v>
      </c>
      <c r="I4295">
        <v>209.91849999999999</v>
      </c>
      <c r="J4295">
        <v>-243.04060000000001</v>
      </c>
      <c r="K4295">
        <v>1.1220000000000001</v>
      </c>
      <c r="L4295">
        <v>214.93510000000001</v>
      </c>
      <c r="M4295">
        <v>0.99980749999999996</v>
      </c>
      <c r="N4295">
        <v>-1.418843E-2</v>
      </c>
      <c r="O4295">
        <v>1.355803E-2</v>
      </c>
      <c r="P4295">
        <v>0.98175500000000004</v>
      </c>
      <c r="Q4295">
        <v>0.189471</v>
      </c>
      <c r="R4295">
        <v>-1.6060749999999999E-2</v>
      </c>
      <c r="S4295">
        <v>3.0594640000000002</v>
      </c>
      <c r="T4295">
        <v>-3.5780550000000001E-2</v>
      </c>
      <c r="U4295">
        <v>-0.16726679999999999</v>
      </c>
      <c r="V4295">
        <v>2.9281379999999999E-2</v>
      </c>
      <c r="W4295">
        <v>0.20338999999999999</v>
      </c>
      <c r="X4295">
        <v>0.97865990000000003</v>
      </c>
      <c r="Y4295">
        <v>6.8114240000000006E-2</v>
      </c>
      <c r="Z4295">
        <v>-8.4785509999999896E-4</v>
      </c>
      <c r="AA4295">
        <v>0.99767709999999998</v>
      </c>
      <c r="AB4295">
        <v>31</v>
      </c>
      <c r="AC4295">
        <v>91.372399999999999</v>
      </c>
      <c r="AD4295">
        <v>-1.0722162900000001</v>
      </c>
      <c r="AE4295">
        <v>-5.0166000000000102</v>
      </c>
      <c r="AF4295">
        <v>6.25423453835994</v>
      </c>
      <c r="AG4295">
        <v>-1.0722162900000001</v>
      </c>
      <c r="AH4295">
        <v>91.283445846005094</v>
      </c>
      <c r="AI4295">
        <v>90.6713920204392</v>
      </c>
      <c r="AJ4295">
        <v>86.080536817479896</v>
      </c>
      <c r="AK4295">
        <v>91.503729885474598</v>
      </c>
      <c r="AL4295">
        <v>78.264733149714004</v>
      </c>
      <c r="AM4295">
        <v>88.286228815360801</v>
      </c>
      <c r="AN4295">
        <v>1.00000004559135</v>
      </c>
    </row>
    <row r="4296" spans="1:40" x14ac:dyDescent="0.25">
      <c r="A4296" t="str">
        <f>"20190303170339493"</f>
        <v>20190303170339493</v>
      </c>
      <c r="B4296" t="str">
        <f>"1551603819479688"</f>
        <v>1551603819479688</v>
      </c>
      <c r="C4296" t="s">
        <v>40</v>
      </c>
      <c r="D4296">
        <v>4.1244880000000004</v>
      </c>
      <c r="E4296">
        <v>0.52118089999999995</v>
      </c>
      <c r="F4296" t="s">
        <v>56</v>
      </c>
      <c r="G4296">
        <v>-151.66839999999999</v>
      </c>
      <c r="H4296">
        <v>6.4655299999999999E-2</v>
      </c>
      <c r="I4296">
        <v>209.52930000000001</v>
      </c>
      <c r="J4296">
        <v>-242.7319</v>
      </c>
      <c r="K4296">
        <v>1.122004</v>
      </c>
      <c r="L4296">
        <v>214.93950000000001</v>
      </c>
      <c r="M4296">
        <v>0.99980429999999998</v>
      </c>
      <c r="N4296">
        <v>-1.4189139999999999E-2</v>
      </c>
      <c r="O4296">
        <v>1.379243E-2</v>
      </c>
      <c r="P4296">
        <v>0.98183560000000003</v>
      </c>
      <c r="Q4296">
        <v>0.1890722</v>
      </c>
      <c r="R4296">
        <v>-1.583507E-2</v>
      </c>
      <c r="S4296">
        <v>3.059631</v>
      </c>
      <c r="T4296">
        <v>-3.5404440000000002E-2</v>
      </c>
      <c r="U4296">
        <v>-0.18101500000000001</v>
      </c>
      <c r="V4296">
        <v>2.9287270000000001E-2</v>
      </c>
      <c r="W4296">
        <v>0.20299310000000001</v>
      </c>
      <c r="X4296">
        <v>0.97874209999999995</v>
      </c>
      <c r="Y4296">
        <v>7.2812340000000003E-2</v>
      </c>
      <c r="Z4296">
        <v>-9.0191760000000001E-4</v>
      </c>
      <c r="AA4296">
        <v>0.99734529999999999</v>
      </c>
      <c r="AB4296">
        <v>31</v>
      </c>
      <c r="AC4296">
        <v>91.063500000000005</v>
      </c>
      <c r="AD4296">
        <v>-1.0573486999999999</v>
      </c>
      <c r="AE4296">
        <v>-5.4101999999999997</v>
      </c>
      <c r="AF4296">
        <v>6.66490316654221</v>
      </c>
      <c r="AG4296">
        <v>-1.0573486999999999</v>
      </c>
      <c r="AH4296">
        <v>90.967987995924403</v>
      </c>
      <c r="AI4296">
        <v>90.664156309635203</v>
      </c>
      <c r="AJ4296">
        <v>85.809627848365494</v>
      </c>
      <c r="AK4296">
        <v>91.217946482692895</v>
      </c>
      <c r="AL4296">
        <v>78.287958047153495</v>
      </c>
      <c r="AM4296">
        <v>88.286028167711095</v>
      </c>
      <c r="AN4296">
        <v>1.0000000205720301</v>
      </c>
    </row>
    <row r="4297" spans="1:40" x14ac:dyDescent="0.25">
      <c r="A4297" t="str">
        <f>"20190303170339515"</f>
        <v>20190303170339515</v>
      </c>
      <c r="B4297" t="str">
        <f>"1551603819509944"</f>
        <v>1551603819509944</v>
      </c>
      <c r="C4297" t="s">
        <v>40</v>
      </c>
      <c r="D4297">
        <v>4.10473</v>
      </c>
      <c r="E4297">
        <v>0.52243109999999904</v>
      </c>
      <c r="F4297" t="s">
        <v>56</v>
      </c>
      <c r="G4297">
        <v>-152.1996</v>
      </c>
      <c r="H4297">
        <v>-2.7828219999999999E-3</v>
      </c>
      <c r="I4297">
        <v>209.3398</v>
      </c>
      <c r="J4297">
        <v>-242.42439999999999</v>
      </c>
      <c r="K4297">
        <v>1.122001</v>
      </c>
      <c r="L4297">
        <v>214.94399999999999</v>
      </c>
      <c r="M4297">
        <v>0.99980089999999999</v>
      </c>
      <c r="N4297">
        <v>-1.419436E-2</v>
      </c>
      <c r="O4297">
        <v>1.402608E-2</v>
      </c>
      <c r="P4297">
        <v>0.98174980000000001</v>
      </c>
      <c r="Q4297">
        <v>0.1895271</v>
      </c>
      <c r="R4297">
        <v>-1.5712440000000001E-2</v>
      </c>
      <c r="S4297">
        <v>3.0597690000000002</v>
      </c>
      <c r="T4297">
        <v>-3.8013940000000003E-2</v>
      </c>
      <c r="U4297">
        <v>-0.1892548</v>
      </c>
      <c r="V4297">
        <v>2.9392979999999999E-2</v>
      </c>
      <c r="W4297">
        <v>0.2034521</v>
      </c>
      <c r="X4297">
        <v>0.97864359999999995</v>
      </c>
      <c r="Y4297">
        <v>7.5716800000000001E-2</v>
      </c>
      <c r="Z4297">
        <v>-9.830412000000001E-4</v>
      </c>
      <c r="AA4297">
        <v>0.99712889999999998</v>
      </c>
      <c r="AB4297">
        <v>31</v>
      </c>
      <c r="AC4297">
        <v>90.224800000000002</v>
      </c>
      <c r="AD4297">
        <v>-1.1247838219999999</v>
      </c>
      <c r="AE4297">
        <v>-5.6042000000000103</v>
      </c>
      <c r="AF4297">
        <v>6.8682130340561596</v>
      </c>
      <c r="AG4297">
        <v>-1.1247838219999999</v>
      </c>
      <c r="AH4297">
        <v>90.123357419559198</v>
      </c>
      <c r="AI4297">
        <v>90.712975179234604</v>
      </c>
      <c r="AJ4297">
        <v>85.641968464939893</v>
      </c>
      <c r="AK4297">
        <v>90.391686794201505</v>
      </c>
      <c r="AL4297">
        <v>78.261098556605702</v>
      </c>
      <c r="AM4297">
        <v>88.279672408267601</v>
      </c>
      <c r="AN4297">
        <v>1.0000000000443201</v>
      </c>
    </row>
    <row r="4298" spans="1:40" x14ac:dyDescent="0.25">
      <c r="A4298" t="str">
        <f>"20190303170339537"</f>
        <v>20190303170339537</v>
      </c>
      <c r="B4298" t="str">
        <f>"1551603819529463"</f>
        <v>1551603819529463</v>
      </c>
      <c r="C4298" t="s">
        <v>40</v>
      </c>
      <c r="D4298">
        <v>4.0922890000000001</v>
      </c>
      <c r="E4298">
        <v>0.5230148</v>
      </c>
      <c r="F4298" t="s">
        <v>56</v>
      </c>
      <c r="G4298">
        <v>-169.392</v>
      </c>
      <c r="H4298">
        <v>0.22477150000000001</v>
      </c>
      <c r="I4298">
        <v>210.20689999999999</v>
      </c>
      <c r="J4298">
        <v>-242.12520000000001</v>
      </c>
      <c r="K4298">
        <v>1.122004</v>
      </c>
      <c r="L4298">
        <v>214.94839999999999</v>
      </c>
      <c r="M4298">
        <v>0.99979759999999995</v>
      </c>
      <c r="N4298">
        <v>-1.420048E-2</v>
      </c>
      <c r="O4298">
        <v>1.425382E-2</v>
      </c>
      <c r="P4298">
        <v>0.98193050000000004</v>
      </c>
      <c r="Q4298">
        <v>0.1885675</v>
      </c>
      <c r="R4298">
        <v>-1.5976879999999999E-2</v>
      </c>
      <c r="S4298">
        <v>3.05986</v>
      </c>
      <c r="T4298">
        <v>-3.7590030000000003E-2</v>
      </c>
      <c r="U4298">
        <v>-0.19847110000000001</v>
      </c>
      <c r="V4298">
        <v>2.9884040000000001E-2</v>
      </c>
      <c r="W4298">
        <v>0.2025005</v>
      </c>
      <c r="X4298">
        <v>0.97882610000000003</v>
      </c>
      <c r="Y4298">
        <v>7.8932749999999996E-2</v>
      </c>
      <c r="Z4298">
        <v>-1.0181560000000001E-3</v>
      </c>
      <c r="AA4298">
        <v>0.99687939999999997</v>
      </c>
      <c r="AB4298">
        <v>31</v>
      </c>
      <c r="AC4298">
        <v>72.733199999999997</v>
      </c>
      <c r="AD4298">
        <v>-0.89723249999999999</v>
      </c>
      <c r="AE4298">
        <v>-4.7415000000000003</v>
      </c>
      <c r="AF4298">
        <v>5.7769732687469197</v>
      </c>
      <c r="AG4298">
        <v>-0.89723249999999999</v>
      </c>
      <c r="AH4298">
        <v>72.647209842571101</v>
      </c>
      <c r="AI4298">
        <v>90.705371525701906</v>
      </c>
      <c r="AJ4298">
        <v>85.453354240398696</v>
      </c>
      <c r="AK4298">
        <v>72.882065998552903</v>
      </c>
      <c r="AL4298">
        <v>78.316780564300302</v>
      </c>
      <c r="AM4298">
        <v>88.251275003489994</v>
      </c>
      <c r="AN4298">
        <v>1.00000002119409</v>
      </c>
    </row>
    <row r="4299" spans="1:40" x14ac:dyDescent="0.25">
      <c r="A4299" t="str">
        <f>"20190303170339559"</f>
        <v>20190303170339559</v>
      </c>
      <c r="B4299" t="str">
        <f>"1551603819549960"</f>
        <v>1551603819549960</v>
      </c>
      <c r="C4299" t="s">
        <v>40</v>
      </c>
      <c r="D4299">
        <v>4.0660590000000001</v>
      </c>
      <c r="E4299">
        <v>0.52363179999999998</v>
      </c>
      <c r="F4299" t="s">
        <v>56</v>
      </c>
      <c r="G4299">
        <v>-169.392</v>
      </c>
      <c r="H4299">
        <v>0.14669989999999999</v>
      </c>
      <c r="I4299">
        <v>210.1189</v>
      </c>
      <c r="J4299">
        <v>-241.8186</v>
      </c>
      <c r="K4299">
        <v>1.1220049999999999</v>
      </c>
      <c r="L4299">
        <v>214.95310000000001</v>
      </c>
      <c r="M4299">
        <v>0.99979419999999997</v>
      </c>
      <c r="N4299">
        <v>-1.420633E-2</v>
      </c>
      <c r="O4299">
        <v>1.448723E-2</v>
      </c>
      <c r="P4299">
        <v>0.98197880000000004</v>
      </c>
      <c r="Q4299">
        <v>0.1882723</v>
      </c>
      <c r="R4299">
        <v>-1.6468389999999999E-2</v>
      </c>
      <c r="S4299">
        <v>3.0597690000000002</v>
      </c>
      <c r="T4299">
        <v>-4.1028139999999998E-2</v>
      </c>
      <c r="U4299">
        <v>-0.20317080000000001</v>
      </c>
      <c r="V4299">
        <v>3.0605920000000002E-2</v>
      </c>
      <c r="W4299">
        <v>0.20221239999999999</v>
      </c>
      <c r="X4299">
        <v>0.97886340000000005</v>
      </c>
      <c r="Y4299">
        <v>8.0689819999999995E-2</v>
      </c>
      <c r="Z4299">
        <v>-1.102705E-3</v>
      </c>
      <c r="AA4299">
        <v>0.99673869999999998</v>
      </c>
      <c r="AB4299">
        <v>31</v>
      </c>
      <c r="AC4299">
        <v>72.426599999999993</v>
      </c>
      <c r="AD4299">
        <v>-0.97530510000000004</v>
      </c>
      <c r="AE4299">
        <v>-4.8342000000000098</v>
      </c>
      <c r="AF4299">
        <v>5.8819973161650898</v>
      </c>
      <c r="AG4299">
        <v>-0.97530510000000004</v>
      </c>
      <c r="AH4299">
        <v>72.335897448981399</v>
      </c>
      <c r="AI4299">
        <v>90.769931397097295</v>
      </c>
      <c r="AJ4299">
        <v>85.351218790311705</v>
      </c>
      <c r="AK4299">
        <v>72.581203987086198</v>
      </c>
      <c r="AL4299">
        <v>78.3336367237806</v>
      </c>
      <c r="AM4299">
        <v>88.209128122179905</v>
      </c>
      <c r="AN4299">
        <v>1.0000000664561799</v>
      </c>
    </row>
    <row r="4300" spans="1:40" x14ac:dyDescent="0.25">
      <c r="A4300" t="str">
        <f>"20190303170339583"</f>
        <v>20190303170339583</v>
      </c>
      <c r="B4300" t="str">
        <f>"1551603819569480"</f>
        <v>1551603819569480</v>
      </c>
      <c r="C4300" t="s">
        <v>40</v>
      </c>
      <c r="D4300">
        <v>4.122865</v>
      </c>
      <c r="E4300">
        <v>0.52406160000000002</v>
      </c>
      <c r="F4300" t="s">
        <v>56</v>
      </c>
      <c r="G4300">
        <v>-169.392</v>
      </c>
      <c r="H4300">
        <v>0.1199532</v>
      </c>
      <c r="I4300">
        <v>209.98150000000001</v>
      </c>
      <c r="J4300">
        <v>-241.50450000000001</v>
      </c>
      <c r="K4300">
        <v>1.121999</v>
      </c>
      <c r="L4300">
        <v>214.9579</v>
      </c>
      <c r="M4300">
        <v>0.99979070000000003</v>
      </c>
      <c r="N4300">
        <v>-1.421188E-2</v>
      </c>
      <c r="O4300">
        <v>1.472613E-2</v>
      </c>
      <c r="P4300">
        <v>0.98197840000000003</v>
      </c>
      <c r="Q4300">
        <v>0.18826680000000001</v>
      </c>
      <c r="R4300">
        <v>-1.6569999999999901E-2</v>
      </c>
      <c r="S4300">
        <v>3.059631</v>
      </c>
      <c r="T4300">
        <v>-4.2329909999999998E-2</v>
      </c>
      <c r="U4300">
        <v>-0.21002199999999999</v>
      </c>
      <c r="V4300">
        <v>3.0942109999999998E-2</v>
      </c>
      <c r="W4300">
        <v>0.20221239999999999</v>
      </c>
      <c r="X4300">
        <v>0.97885270000000002</v>
      </c>
      <c r="Y4300">
        <v>8.3151269999999999E-2</v>
      </c>
      <c r="Z4300">
        <v>-1.16062E-3</v>
      </c>
      <c r="AA4300">
        <v>0.99653630000000004</v>
      </c>
      <c r="AB4300">
        <v>31</v>
      </c>
      <c r="AC4300">
        <v>72.112499999999997</v>
      </c>
      <c r="AD4300">
        <v>-1.0020458000000001</v>
      </c>
      <c r="AE4300">
        <v>-4.9763999999999804</v>
      </c>
      <c r="AF4300">
        <v>6.0367453392729402</v>
      </c>
      <c r="AG4300">
        <v>-1.0020458000000001</v>
      </c>
      <c r="AH4300">
        <v>72.017548598088297</v>
      </c>
      <c r="AI4300">
        <v>90.794371450365901</v>
      </c>
      <c r="AJ4300">
        <v>85.208482588234901</v>
      </c>
      <c r="AK4300">
        <v>72.277062033224198</v>
      </c>
      <c r="AL4300">
        <v>78.333635211097501</v>
      </c>
      <c r="AM4300">
        <v>88.189449576356694</v>
      </c>
      <c r="AN4300">
        <v>0.999999938591149</v>
      </c>
    </row>
    <row r="4301" spans="1:40" x14ac:dyDescent="0.25">
      <c r="A4301" t="str">
        <f>"20190303170339605"</f>
        <v>20190303170339605</v>
      </c>
      <c r="B4301" t="str">
        <f>"1551603819599736"</f>
        <v>1551603819599736</v>
      </c>
      <c r="C4301" t="s">
        <v>40</v>
      </c>
      <c r="D4301">
        <v>4.0392140000000003</v>
      </c>
      <c r="E4301">
        <v>0.52477309999999999</v>
      </c>
      <c r="F4301" t="s">
        <v>56</v>
      </c>
      <c r="G4301">
        <v>-169.392</v>
      </c>
      <c r="H4301">
        <v>0.1089344</v>
      </c>
      <c r="I4301">
        <v>209.91909999999999</v>
      </c>
      <c r="J4301">
        <v>-241.19200000000001</v>
      </c>
      <c r="K4301">
        <v>1.122001</v>
      </c>
      <c r="L4301">
        <v>214.96279999999999</v>
      </c>
      <c r="M4301">
        <v>0.99978690000000003</v>
      </c>
      <c r="N4301">
        <v>-1.421706E-2</v>
      </c>
      <c r="O4301">
        <v>1.49642E-2</v>
      </c>
      <c r="P4301">
        <v>0.98203200000000002</v>
      </c>
      <c r="Q4301">
        <v>0.18792619999999999</v>
      </c>
      <c r="R4301">
        <v>-1.7233990000000001E-2</v>
      </c>
      <c r="S4301">
        <v>3.0596770000000002</v>
      </c>
      <c r="T4301">
        <v>-4.2982220000000002E-2</v>
      </c>
      <c r="U4301">
        <v>-0.21379090000000001</v>
      </c>
      <c r="V4301">
        <v>3.1840849999999997E-2</v>
      </c>
      <c r="W4301">
        <v>0.20187749999999999</v>
      </c>
      <c r="X4301">
        <v>0.97889300000000001</v>
      </c>
      <c r="Y4301">
        <v>8.4608489999999995E-2</v>
      </c>
      <c r="Z4301">
        <v>-1.193295E-3</v>
      </c>
      <c r="AA4301">
        <v>0.99641360000000001</v>
      </c>
      <c r="AB4301">
        <v>31</v>
      </c>
      <c r="AC4301">
        <v>71.8</v>
      </c>
      <c r="AD4301">
        <v>-1.0130665999999999</v>
      </c>
      <c r="AE4301">
        <v>-5.0437000000000003</v>
      </c>
      <c r="AF4301">
        <v>6.1164616745412301</v>
      </c>
      <c r="AG4301">
        <v>-1.0130665999999999</v>
      </c>
      <c r="AH4301">
        <v>71.702271987573397</v>
      </c>
      <c r="AI4301">
        <v>90.8065376222834</v>
      </c>
      <c r="AJ4301">
        <v>85.124267504285498</v>
      </c>
      <c r="AK4301">
        <v>71.969807666354995</v>
      </c>
      <c r="AL4301">
        <v>78.353227596995396</v>
      </c>
      <c r="AM4301">
        <v>88.136973782050404</v>
      </c>
      <c r="AN4301">
        <v>0.99999993509198404</v>
      </c>
    </row>
    <row r="4302" spans="1:40" x14ac:dyDescent="0.25">
      <c r="A4302" t="str">
        <f>"20190303170339627"</f>
        <v>20190303170339627</v>
      </c>
      <c r="B4302" t="str">
        <f>"1551603819620232"</f>
        <v>1551603819620232</v>
      </c>
      <c r="C4302" t="s">
        <v>40</v>
      </c>
      <c r="D4302">
        <v>4.1216100000000004</v>
      </c>
      <c r="E4302">
        <v>0.52518619999999905</v>
      </c>
      <c r="F4302" t="s">
        <v>56</v>
      </c>
      <c r="G4302">
        <v>-169.3921</v>
      </c>
      <c r="H4302">
        <v>7.1174619999999994E-2</v>
      </c>
      <c r="I4302">
        <v>209.7663</v>
      </c>
      <c r="J4302">
        <v>-240.89439999999999</v>
      </c>
      <c r="K4302">
        <v>1.1220030000000001</v>
      </c>
      <c r="L4302">
        <v>214.9675</v>
      </c>
      <c r="M4302">
        <v>0.99978350000000005</v>
      </c>
      <c r="N4302">
        <v>-1.422142E-2</v>
      </c>
      <c r="O4302">
        <v>1.519071E-2</v>
      </c>
      <c r="P4302">
        <v>0.9821512</v>
      </c>
      <c r="Q4302">
        <v>0.18729970000000001</v>
      </c>
      <c r="R4302">
        <v>-1.7263810000000001E-2</v>
      </c>
      <c r="S4302">
        <v>3.0595859999999999</v>
      </c>
      <c r="T4302">
        <v>-4.4777039999999997E-2</v>
      </c>
      <c r="U4302">
        <v>-0.22143550000000001</v>
      </c>
      <c r="V4302">
        <v>3.2095270000000002E-2</v>
      </c>
      <c r="W4302">
        <v>0.20125680000000001</v>
      </c>
      <c r="X4302">
        <v>0.97901249999999995</v>
      </c>
      <c r="Y4302">
        <v>8.7311449999999999E-2</v>
      </c>
      <c r="Z4302">
        <v>-1.2660869999999999E-3</v>
      </c>
      <c r="AA4302">
        <v>0.99618019999999996</v>
      </c>
      <c r="AB4302">
        <v>31</v>
      </c>
      <c r="AC4302">
        <v>71.502299999999906</v>
      </c>
      <c r="AD4302">
        <v>-1.05082838</v>
      </c>
      <c r="AE4302">
        <v>-5.2012</v>
      </c>
      <c r="AF4302">
        <v>6.2855298308375502</v>
      </c>
      <c r="AG4302">
        <v>-1.05082838</v>
      </c>
      <c r="AH4302">
        <v>71.399690002375493</v>
      </c>
      <c r="AI4302">
        <v>90.839944564303195</v>
      </c>
      <c r="AJ4302">
        <v>84.969049459158001</v>
      </c>
      <c r="AK4302">
        <v>71.683525708309602</v>
      </c>
      <c r="AL4302">
        <v>78.389536402305893</v>
      </c>
      <c r="AM4302">
        <v>88.122327195719606</v>
      </c>
      <c r="AN4302">
        <v>0.99999994052942898</v>
      </c>
    </row>
    <row r="4303" spans="1:40" x14ac:dyDescent="0.25">
      <c r="A4303" t="str">
        <f>"20190303170339650"</f>
        <v>20190303170339650</v>
      </c>
      <c r="B4303" t="str">
        <f>"1551603819639752"</f>
        <v>1551603819639752</v>
      </c>
      <c r="C4303" t="s">
        <v>40</v>
      </c>
      <c r="D4303">
        <v>4.1101219999999996</v>
      </c>
      <c r="E4303">
        <v>0.52556349999999996</v>
      </c>
      <c r="F4303" t="s">
        <v>56</v>
      </c>
      <c r="G4303">
        <v>-169.3921</v>
      </c>
      <c r="H4303">
        <v>3.0158999999999998E-2</v>
      </c>
      <c r="I4303">
        <v>209.7004</v>
      </c>
      <c r="J4303">
        <v>-240.5813</v>
      </c>
      <c r="K4303">
        <v>1.1219980000000001</v>
      </c>
      <c r="L4303">
        <v>214.9725</v>
      </c>
      <c r="M4303">
        <v>0.9997798</v>
      </c>
      <c r="N4303">
        <v>-1.4225E-2</v>
      </c>
      <c r="O4303">
        <v>1.542903E-2</v>
      </c>
      <c r="P4303">
        <v>0.98219599999999996</v>
      </c>
      <c r="Q4303">
        <v>0.1871293</v>
      </c>
      <c r="R4303">
        <v>-1.6548980000000001E-2</v>
      </c>
      <c r="S4303">
        <v>3.0594790000000001</v>
      </c>
      <c r="T4303">
        <v>-4.6716929999999997E-2</v>
      </c>
      <c r="U4303">
        <v>-0.2253723</v>
      </c>
      <c r="V4303">
        <v>3.1615539999999998E-2</v>
      </c>
      <c r="W4303">
        <v>0.20109050000000001</v>
      </c>
      <c r="X4303">
        <v>0.97906230000000005</v>
      </c>
      <c r="Y4303">
        <v>8.8824780000000006E-2</v>
      </c>
      <c r="Z4303">
        <v>-1.3260469999999999E-3</v>
      </c>
      <c r="AA4303">
        <v>0.9960464</v>
      </c>
      <c r="AB4303">
        <v>31</v>
      </c>
      <c r="AC4303">
        <v>71.1892</v>
      </c>
      <c r="AD4303">
        <v>-1.091839</v>
      </c>
      <c r="AE4303">
        <v>-5.2720999999999902</v>
      </c>
      <c r="AF4303">
        <v>6.3684738574655499</v>
      </c>
      <c r="AG4303">
        <v>-1.091839</v>
      </c>
      <c r="AH4303">
        <v>71.082743246007993</v>
      </c>
      <c r="AI4303">
        <v>90.876490346229701</v>
      </c>
      <c r="AJ4303">
        <v>84.8804021650176</v>
      </c>
      <c r="AK4303">
        <v>71.375807939756697</v>
      </c>
      <c r="AL4303">
        <v>78.3992637791319</v>
      </c>
      <c r="AM4303">
        <v>88.150467261549295</v>
      </c>
      <c r="AN4303">
        <v>0.99999995942051501</v>
      </c>
    </row>
    <row r="4304" spans="1:40" x14ac:dyDescent="0.25">
      <c r="A4304" t="str">
        <f>"20190303170339671"</f>
        <v>20190303170339671</v>
      </c>
      <c r="B4304" t="str">
        <f>"1551603819660248"</f>
        <v>1551603819660248</v>
      </c>
      <c r="C4304" t="s">
        <v>40</v>
      </c>
      <c r="D4304">
        <v>4.1262740000000004</v>
      </c>
      <c r="E4304">
        <v>0.52589149999999996</v>
      </c>
      <c r="F4304" t="s">
        <v>56</v>
      </c>
      <c r="G4304">
        <v>-169.3921</v>
      </c>
      <c r="H4304">
        <v>2.3950579999999999E-2</v>
      </c>
      <c r="I4304">
        <v>209.6994</v>
      </c>
      <c r="J4304">
        <v>-240.2774</v>
      </c>
      <c r="K4304">
        <v>1.121999</v>
      </c>
      <c r="L4304">
        <v>214.97739999999999</v>
      </c>
      <c r="M4304">
        <v>0.99977609999999995</v>
      </c>
      <c r="N4304">
        <v>-1.4229139999999999E-2</v>
      </c>
      <c r="O4304">
        <v>1.5660489999999999E-2</v>
      </c>
      <c r="P4304">
        <v>0.98212639999999995</v>
      </c>
      <c r="Q4304">
        <v>0.1875117</v>
      </c>
      <c r="R4304">
        <v>-1.634306E-2</v>
      </c>
      <c r="S4304">
        <v>3.0595249999999998</v>
      </c>
      <c r="T4304">
        <v>-4.7189710000000003E-2</v>
      </c>
      <c r="U4304">
        <v>-0.22662350000000001</v>
      </c>
      <c r="V4304">
        <v>3.163593E-2</v>
      </c>
      <c r="W4304">
        <v>0.2014764</v>
      </c>
      <c r="X4304">
        <v>0.97898229999999997</v>
      </c>
      <c r="Y4304">
        <v>8.9458930000000006E-2</v>
      </c>
      <c r="Z4304">
        <v>-1.3450669999999999E-3</v>
      </c>
      <c r="AA4304">
        <v>0.99598960000000003</v>
      </c>
      <c r="AB4304">
        <v>31</v>
      </c>
      <c r="AC4304">
        <v>70.885300000000001</v>
      </c>
      <c r="AD4304">
        <v>-1.09804842</v>
      </c>
      <c r="AE4304">
        <v>-5.2779999999999898</v>
      </c>
      <c r="AF4304">
        <v>6.3860396413427196</v>
      </c>
      <c r="AG4304">
        <v>-1.09804842</v>
      </c>
      <c r="AH4304">
        <v>70.777051224349407</v>
      </c>
      <c r="AI4304">
        <v>90.885230685221003</v>
      </c>
      <c r="AJ4304">
        <v>84.844303037248906</v>
      </c>
      <c r="AK4304">
        <v>71.073048285884397</v>
      </c>
      <c r="AL4304">
        <v>78.376691328157904</v>
      </c>
      <c r="AM4304">
        <v>88.149124129129305</v>
      </c>
      <c r="AN4304">
        <v>0.99999995776860595</v>
      </c>
    </row>
    <row r="4305" spans="1:40" x14ac:dyDescent="0.25">
      <c r="A4305" t="str">
        <f>"20190303170339694"</f>
        <v>20190303170339694</v>
      </c>
      <c r="B4305" t="str">
        <f>"1551603819679768"</f>
        <v>1551603819679768</v>
      </c>
      <c r="C4305" t="s">
        <v>40</v>
      </c>
      <c r="D4305">
        <v>4.0847939999999996</v>
      </c>
      <c r="E4305">
        <v>0.52617919999999996</v>
      </c>
      <c r="F4305" t="s">
        <v>56</v>
      </c>
      <c r="G4305">
        <v>-169.3921</v>
      </c>
      <c r="H4305">
        <v>5.8273320000000003E-2</v>
      </c>
      <c r="I4305">
        <v>209.69120000000001</v>
      </c>
      <c r="J4305">
        <v>-239.9769</v>
      </c>
      <c r="K4305">
        <v>1.1220049999999999</v>
      </c>
      <c r="L4305">
        <v>214.98240000000001</v>
      </c>
      <c r="M4305">
        <v>0.99977249999999995</v>
      </c>
      <c r="N4305">
        <v>-1.4234299999999899E-2</v>
      </c>
      <c r="O4305">
        <v>1.5889250000000001E-2</v>
      </c>
      <c r="P4305">
        <v>0.98205810000000004</v>
      </c>
      <c r="Q4305">
        <v>0.18791949999999999</v>
      </c>
      <c r="R4305">
        <v>-1.5754779999999999E-2</v>
      </c>
      <c r="S4305">
        <v>3.059555</v>
      </c>
      <c r="T4305">
        <v>-4.5911069999999998E-2</v>
      </c>
      <c r="U4305">
        <v>-0.2281647</v>
      </c>
      <c r="V4305">
        <v>3.1271359999999998E-2</v>
      </c>
      <c r="W4305">
        <v>0.20188780000000001</v>
      </c>
      <c r="X4305">
        <v>0.97890929999999998</v>
      </c>
      <c r="Y4305">
        <v>9.0185710000000002E-2</v>
      </c>
      <c r="Z4305">
        <v>-1.3308079999999999E-3</v>
      </c>
      <c r="AA4305">
        <v>0.99592409999999998</v>
      </c>
      <c r="AB4305">
        <v>31</v>
      </c>
      <c r="AC4305">
        <v>70.584800000000001</v>
      </c>
      <c r="AD4305">
        <v>-1.0637316799999901</v>
      </c>
      <c r="AE4305">
        <v>-5.2911999999999999</v>
      </c>
      <c r="AF4305">
        <v>6.4107371625049403</v>
      </c>
      <c r="AG4305">
        <v>-1.0637316799999901</v>
      </c>
      <c r="AH4305">
        <v>70.475889166098696</v>
      </c>
      <c r="AI4305">
        <v>90.861176346806005</v>
      </c>
      <c r="AJ4305">
        <v>84.802476331195095</v>
      </c>
      <c r="AK4305">
        <v>70.774854502188703</v>
      </c>
      <c r="AL4305">
        <v>78.352625806569904</v>
      </c>
      <c r="AM4305">
        <v>88.170302555808306</v>
      </c>
      <c r="AN4305">
        <v>0.99999999968578901</v>
      </c>
    </row>
    <row r="4306" spans="1:40" x14ac:dyDescent="0.25">
      <c r="A4306" t="str">
        <f>"20190303170339716"</f>
        <v>20190303170339716</v>
      </c>
      <c r="B4306" t="str">
        <f>"1551603819710024"</f>
        <v>1551603819710024</v>
      </c>
      <c r="C4306" t="s">
        <v>40</v>
      </c>
      <c r="D4306">
        <v>4.1227539999999996</v>
      </c>
      <c r="E4306">
        <v>0.52670380000000006</v>
      </c>
      <c r="F4306" t="s">
        <v>56</v>
      </c>
      <c r="G4306">
        <v>-169.3921</v>
      </c>
      <c r="H4306">
        <v>9.0696330000000006E-2</v>
      </c>
      <c r="I4306">
        <v>209.71109999999999</v>
      </c>
      <c r="J4306">
        <v>-239.66909999999999</v>
      </c>
      <c r="K4306">
        <v>1.1220049999999999</v>
      </c>
      <c r="L4306">
        <v>214.98750000000001</v>
      </c>
      <c r="M4306">
        <v>0.99976869999999995</v>
      </c>
      <c r="N4306">
        <v>-1.4239369999999999E-2</v>
      </c>
      <c r="O4306">
        <v>1.6124159999999998E-2</v>
      </c>
      <c r="P4306">
        <v>0.98211020000000004</v>
      </c>
      <c r="Q4306">
        <v>0.18768370000000001</v>
      </c>
      <c r="R4306">
        <v>-1.5314970000000001E-2</v>
      </c>
      <c r="S4306">
        <v>3.0596920000000001</v>
      </c>
      <c r="T4306">
        <v>-4.4703359999999998E-2</v>
      </c>
      <c r="U4306">
        <v>-0.22850039999999999</v>
      </c>
      <c r="V4306">
        <v>3.1063250000000001E-2</v>
      </c>
      <c r="W4306">
        <v>0.20165710000000001</v>
      </c>
      <c r="X4306">
        <v>0.97896349999999999</v>
      </c>
      <c r="Y4306">
        <v>9.0525750000000002E-2</v>
      </c>
      <c r="Z4306">
        <v>-1.311872E-3</v>
      </c>
      <c r="AA4306">
        <v>0.99589320000000003</v>
      </c>
      <c r="AB4306">
        <v>31</v>
      </c>
      <c r="AC4306">
        <v>70.276999999999902</v>
      </c>
      <c r="AD4306">
        <v>-1.03130866999999</v>
      </c>
      <c r="AE4306">
        <v>-5.2764000000000202</v>
      </c>
      <c r="AF4306">
        <v>6.4076141255151597</v>
      </c>
      <c r="AG4306">
        <v>-1.03130866999999</v>
      </c>
      <c r="AH4306">
        <v>70.167749679840995</v>
      </c>
      <c r="AI4306">
        <v>90.838570236507096</v>
      </c>
      <c r="AJ4306">
        <v>84.782306427423094</v>
      </c>
      <c r="AK4306">
        <v>70.467256307359804</v>
      </c>
      <c r="AL4306">
        <v>78.366121790878395</v>
      </c>
      <c r="AM4306">
        <v>88.182571504659407</v>
      </c>
      <c r="AN4306">
        <v>1.0000000229066099</v>
      </c>
    </row>
    <row r="4307" spans="1:40" x14ac:dyDescent="0.25">
      <c r="A4307" t="str">
        <f>"20190303170339738"</f>
        <v>20190303170339738</v>
      </c>
      <c r="B4307" t="str">
        <f>"1551603819729544"</f>
        <v>1551603819729544</v>
      </c>
      <c r="C4307" t="s">
        <v>40</v>
      </c>
      <c r="D4307">
        <v>4.1483270000000001</v>
      </c>
      <c r="E4307">
        <v>0.5268642</v>
      </c>
      <c r="F4307" t="s">
        <v>56</v>
      </c>
      <c r="G4307">
        <v>-169.3921</v>
      </c>
      <c r="H4307">
        <v>9.2462539999999996E-2</v>
      </c>
      <c r="I4307">
        <v>209.6602</v>
      </c>
      <c r="J4307">
        <v>-239.37440000000001</v>
      </c>
      <c r="K4307">
        <v>1.122004</v>
      </c>
      <c r="L4307">
        <v>214.99250000000001</v>
      </c>
      <c r="M4307">
        <v>0.99976500000000001</v>
      </c>
      <c r="N4307">
        <v>-1.4243540000000001E-2</v>
      </c>
      <c r="O4307">
        <v>1.6348640000000001E-2</v>
      </c>
      <c r="P4307">
        <v>0.98211939999999998</v>
      </c>
      <c r="Q4307">
        <v>0.1876786</v>
      </c>
      <c r="R4307">
        <v>-1.478836E-2</v>
      </c>
      <c r="S4307">
        <v>3.0596009999999998</v>
      </c>
      <c r="T4307">
        <v>-4.4821140000000002E-2</v>
      </c>
      <c r="U4307">
        <v>-0.23193359999999999</v>
      </c>
      <c r="V4307">
        <v>3.0757610000000001E-2</v>
      </c>
      <c r="W4307">
        <v>0.20165620000000001</v>
      </c>
      <c r="X4307">
        <v>0.97897330000000005</v>
      </c>
      <c r="Y4307">
        <v>9.1862340000000001E-2</v>
      </c>
      <c r="Z4307">
        <v>-1.3337819999999999E-3</v>
      </c>
      <c r="AA4307">
        <v>0.99577079999999996</v>
      </c>
      <c r="AB4307">
        <v>31</v>
      </c>
      <c r="AC4307">
        <v>69.982299999999995</v>
      </c>
      <c r="AD4307">
        <v>-1.0295414599999999</v>
      </c>
      <c r="AE4307">
        <v>-5.3323</v>
      </c>
      <c r="AF4307">
        <v>6.4744254366603204</v>
      </c>
      <c r="AG4307">
        <v>-1.0295414599999999</v>
      </c>
      <c r="AH4307">
        <v>69.870725805944303</v>
      </c>
      <c r="AI4307">
        <v>90.840588608321198</v>
      </c>
      <c r="AJ4307">
        <v>84.705923641036804</v>
      </c>
      <c r="AK4307">
        <v>70.177606577897606</v>
      </c>
      <c r="AL4307">
        <v>78.366174025025899</v>
      </c>
      <c r="AM4307">
        <v>88.200459877999705</v>
      </c>
      <c r="AN4307">
        <v>0.99999998784212096</v>
      </c>
    </row>
    <row r="4308" spans="1:40" x14ac:dyDescent="0.25">
      <c r="A4308" t="str">
        <f>"20190303170339760"</f>
        <v>20190303170339760</v>
      </c>
      <c r="B4308" t="str">
        <f>"1551603819750039"</f>
        <v>1551603819750039</v>
      </c>
      <c r="C4308" t="s">
        <v>40</v>
      </c>
      <c r="D4308">
        <v>4.151726</v>
      </c>
      <c r="E4308">
        <v>0.53418840000000001</v>
      </c>
      <c r="F4308" t="s">
        <v>56</v>
      </c>
      <c r="G4308">
        <v>-169.3921</v>
      </c>
      <c r="H4308">
        <v>9.4367980000000004E-2</v>
      </c>
      <c r="I4308">
        <v>209.69300000000001</v>
      </c>
      <c r="J4308">
        <v>-239.06989999999999</v>
      </c>
      <c r="K4308">
        <v>1.1220159999999999</v>
      </c>
      <c r="L4308">
        <v>214.99780000000001</v>
      </c>
      <c r="M4308">
        <v>0.99976120000000002</v>
      </c>
      <c r="N4308">
        <v>-1.424712E-2</v>
      </c>
      <c r="O4308">
        <v>1.6580640000000001E-2</v>
      </c>
      <c r="P4308">
        <v>0.98198600000000003</v>
      </c>
      <c r="Q4308">
        <v>0.1883956</v>
      </c>
      <c r="R4308">
        <v>-1.4534979999999999E-2</v>
      </c>
      <c r="S4308">
        <v>3.0597379999999998</v>
      </c>
      <c r="T4308">
        <v>-4.4928429999999998E-2</v>
      </c>
      <c r="U4308">
        <v>-0.23170470000000001</v>
      </c>
      <c r="V4308">
        <v>3.0729639999999999E-2</v>
      </c>
      <c r="W4308">
        <v>0.2023749</v>
      </c>
      <c r="X4308">
        <v>0.97882590000000003</v>
      </c>
      <c r="Y4308">
        <v>9.2015879999999994E-2</v>
      </c>
      <c r="Z4308">
        <v>-1.338351E-3</v>
      </c>
      <c r="AA4308">
        <v>0.99575659999999999</v>
      </c>
      <c r="AB4308">
        <v>30</v>
      </c>
      <c r="AC4308">
        <v>69.677799999999905</v>
      </c>
      <c r="AD4308">
        <v>-1.02764802</v>
      </c>
      <c r="AE4308">
        <v>-5.3048000000000197</v>
      </c>
      <c r="AF4308">
        <v>6.4580935215883004</v>
      </c>
      <c r="AG4308">
        <v>-1.02764802</v>
      </c>
      <c r="AH4308">
        <v>69.565209034512193</v>
      </c>
      <c r="AI4308">
        <v>90.842713934768994</v>
      </c>
      <c r="AJ4308">
        <v>84.696142248421296</v>
      </c>
      <c r="AK4308">
        <v>69.871892348797701</v>
      </c>
      <c r="AL4308">
        <v>78.324129129081001</v>
      </c>
      <c r="AM4308">
        <v>88.2018246823081</v>
      </c>
      <c r="AN4308">
        <v>1.0000000267176701</v>
      </c>
    </row>
    <row r="4309" spans="1:40" x14ac:dyDescent="0.25">
      <c r="A4309" t="str">
        <f>"20190303170339784"</f>
        <v>20190303170339784</v>
      </c>
      <c r="B4309" t="str">
        <f>"1551603819769560"</f>
        <v>1551603819769560</v>
      </c>
      <c r="C4309" t="s">
        <v>40</v>
      </c>
      <c r="D4309">
        <v>4.2259039999999999</v>
      </c>
      <c r="E4309">
        <v>0.53559950000000001</v>
      </c>
      <c r="F4309" t="s">
        <v>56</v>
      </c>
      <c r="G4309">
        <v>-169.39250000000001</v>
      </c>
      <c r="H4309">
        <v>0.16657069999999999</v>
      </c>
      <c r="I4309">
        <v>208.41759999999999</v>
      </c>
      <c r="J4309">
        <v>-238.75919999999999</v>
      </c>
      <c r="K4309">
        <v>1.12202</v>
      </c>
      <c r="L4309">
        <v>215.00319999999999</v>
      </c>
      <c r="M4309">
        <v>0.99975709999999995</v>
      </c>
      <c r="N4309">
        <v>-1.425011E-2</v>
      </c>
      <c r="O4309">
        <v>1.6817530000000001E-2</v>
      </c>
      <c r="P4309">
        <v>0.98180409999999996</v>
      </c>
      <c r="Q4309">
        <v>0.18932389999999999</v>
      </c>
      <c r="R4309">
        <v>-1.474439E-2</v>
      </c>
      <c r="S4309">
        <v>3.058792</v>
      </c>
      <c r="T4309">
        <v>-4.1941760000000002E-2</v>
      </c>
      <c r="U4309">
        <v>-0.28886410000000001</v>
      </c>
      <c r="V4309">
        <v>3.1168459999999999E-2</v>
      </c>
      <c r="W4309">
        <v>0.20330309999999999</v>
      </c>
      <c r="X4309">
        <v>0.97861960000000003</v>
      </c>
      <c r="Y4309">
        <v>0.1107293</v>
      </c>
      <c r="Z4309">
        <v>-1.5392730000000001E-3</v>
      </c>
      <c r="AA4309">
        <v>0.99384939999999999</v>
      </c>
      <c r="AB4309">
        <v>30</v>
      </c>
      <c r="AC4309">
        <v>69.366699999999895</v>
      </c>
      <c r="AD4309">
        <v>-0.95544929999999995</v>
      </c>
      <c r="AE4309">
        <v>-6.5856000000000003</v>
      </c>
      <c r="AF4309">
        <v>7.7499061985670403</v>
      </c>
      <c r="AG4309">
        <v>-0.95544929999999995</v>
      </c>
      <c r="AH4309">
        <v>69.233105507698497</v>
      </c>
      <c r="AI4309">
        <v>90.785751468165401</v>
      </c>
      <c r="AJ4309">
        <v>83.6129387971189</v>
      </c>
      <c r="AK4309">
        <v>69.672066337173902</v>
      </c>
      <c r="AL4309">
        <v>78.269817529405699</v>
      </c>
      <c r="AM4309">
        <v>88.1757796979049</v>
      </c>
      <c r="AN4309">
        <v>0.99999997243627003</v>
      </c>
    </row>
    <row r="4310" spans="1:40" x14ac:dyDescent="0.25">
      <c r="A4310" t="str">
        <f>"20190303170339806"</f>
        <v>20190303170339806</v>
      </c>
      <c r="B4310" t="str">
        <f>"1551603819790056"</f>
        <v>1551603819790056</v>
      </c>
      <c r="C4310" t="s">
        <v>40</v>
      </c>
      <c r="D4310">
        <v>4.1742540000000004</v>
      </c>
      <c r="E4310">
        <v>0.54819449999999903</v>
      </c>
      <c r="F4310" t="s">
        <v>56</v>
      </c>
      <c r="G4310">
        <v>-168.41</v>
      </c>
      <c r="H4310">
        <v>0.21648220000000001</v>
      </c>
      <c r="I4310">
        <v>208.08799999999999</v>
      </c>
      <c r="J4310">
        <v>-238.44569999999999</v>
      </c>
      <c r="K4310">
        <v>1.1220220000000001</v>
      </c>
      <c r="L4310">
        <v>215.0087</v>
      </c>
      <c r="M4310">
        <v>0.99975309999999995</v>
      </c>
      <c r="N4310">
        <v>-1.4252580000000001E-2</v>
      </c>
      <c r="O4310">
        <v>1.7056620000000002E-2</v>
      </c>
      <c r="P4310">
        <v>0.98182999999999998</v>
      </c>
      <c r="Q4310">
        <v>0.18921209999999999</v>
      </c>
      <c r="R4310">
        <v>-1.444718E-2</v>
      </c>
      <c r="S4310">
        <v>3.0586700000000002</v>
      </c>
      <c r="T4310">
        <v>-3.936982E-2</v>
      </c>
      <c r="U4310">
        <v>-0.30065920000000002</v>
      </c>
      <c r="V4310">
        <v>3.110688E-2</v>
      </c>
      <c r="W4310">
        <v>0.2031944</v>
      </c>
      <c r="X4310">
        <v>0.97864419999999996</v>
      </c>
      <c r="Y4310">
        <v>0.1147682</v>
      </c>
      <c r="Z4310">
        <v>-1.5333250000000001E-3</v>
      </c>
      <c r="AA4310">
        <v>0.99339109999999997</v>
      </c>
      <c r="AB4310">
        <v>30</v>
      </c>
      <c r="AC4310">
        <v>70.035699999999906</v>
      </c>
      <c r="AD4310">
        <v>-0.90553980000000001</v>
      </c>
      <c r="AE4310">
        <v>-6.9207000000000098</v>
      </c>
      <c r="AF4310">
        <v>8.1130432876108003</v>
      </c>
      <c r="AG4310">
        <v>-0.90553980000000001</v>
      </c>
      <c r="AH4310">
        <v>69.895881810904498</v>
      </c>
      <c r="AI4310">
        <v>90.737307278866794</v>
      </c>
      <c r="AJ4310">
        <v>83.379120035553697</v>
      </c>
      <c r="AK4310">
        <v>70.370986690822804</v>
      </c>
      <c r="AL4310">
        <v>78.276179107337697</v>
      </c>
      <c r="AM4310">
        <v>88.179427143454106</v>
      </c>
      <c r="AN4310">
        <v>1.0000000361841599</v>
      </c>
    </row>
    <row r="4311" spans="1:40" x14ac:dyDescent="0.25">
      <c r="A4311" t="str">
        <f>"20190303170339827"</f>
        <v>20190303170339827</v>
      </c>
      <c r="B4311" t="str">
        <f>"1551603819820313"</f>
        <v>1551603819820313</v>
      </c>
      <c r="C4311" t="s">
        <v>40</v>
      </c>
      <c r="D4311">
        <v>4.0818500000000002</v>
      </c>
      <c r="E4311">
        <v>0.54774840000000002</v>
      </c>
      <c r="F4311" t="s">
        <v>57</v>
      </c>
      <c r="G4311">
        <v>-181.11259999999999</v>
      </c>
      <c r="H4311" s="1">
        <v>3.4460079999999999E-6</v>
      </c>
      <c r="I4311">
        <v>207.52209999999999</v>
      </c>
      <c r="J4311">
        <v>-238.15809999999999</v>
      </c>
      <c r="K4311">
        <v>1.1220209999999999</v>
      </c>
      <c r="L4311">
        <v>215.01390000000001</v>
      </c>
      <c r="M4311">
        <v>0.99974929999999995</v>
      </c>
      <c r="N4311">
        <v>-1.4254299999999999E-2</v>
      </c>
      <c r="O4311">
        <v>1.727588E-2</v>
      </c>
      <c r="P4311">
        <v>0.98194519999999996</v>
      </c>
      <c r="Q4311">
        <v>0.188633</v>
      </c>
      <c r="R4311">
        <v>-1.4195869999999999E-2</v>
      </c>
      <c r="S4311">
        <v>3.061188</v>
      </c>
      <c r="T4311">
        <v>-5.9908030000000001E-2</v>
      </c>
      <c r="U4311">
        <v>-0.39973449999999999</v>
      </c>
      <c r="V4311">
        <v>3.107327E-2</v>
      </c>
      <c r="W4311">
        <v>0.20261860000000001</v>
      </c>
      <c r="X4311">
        <v>0.97876459999999998</v>
      </c>
      <c r="Y4311">
        <v>0.14654679999999901</v>
      </c>
      <c r="Z4311">
        <v>-2.5684319999999998E-3</v>
      </c>
      <c r="AA4311">
        <v>0.98920039999999998</v>
      </c>
      <c r="AB4311">
        <v>30</v>
      </c>
      <c r="AC4311">
        <v>57.045499999999997</v>
      </c>
      <c r="AD4311">
        <v>-1.1220175539920001</v>
      </c>
      <c r="AE4311">
        <v>-7.4918000000000102</v>
      </c>
      <c r="AF4311">
        <v>8.4730705670399704</v>
      </c>
      <c r="AG4311">
        <v>-1.1220175539920001</v>
      </c>
      <c r="AH4311">
        <v>56.885910394950599</v>
      </c>
      <c r="AI4311">
        <v>91.117628822244399</v>
      </c>
      <c r="AJ4311">
        <v>81.528164704464103</v>
      </c>
      <c r="AK4311">
        <v>57.524417856140502</v>
      </c>
      <c r="AL4311">
        <v>78.309870364821904</v>
      </c>
      <c r="AM4311">
        <v>88.181616453908404</v>
      </c>
      <c r="AN4311">
        <v>0.99999999369380599</v>
      </c>
    </row>
    <row r="4312" spans="1:40" x14ac:dyDescent="0.25">
      <c r="A4312" t="str">
        <f>"20190303170339850"</f>
        <v>20190303170339850</v>
      </c>
      <c r="B4312" t="str">
        <f>"1551603819839437"</f>
        <v>1551603819839437</v>
      </c>
      <c r="C4312" t="s">
        <v>40</v>
      </c>
      <c r="D4312">
        <v>4.2205190000000004</v>
      </c>
      <c r="E4312">
        <v>0.54850489999999996</v>
      </c>
      <c r="F4312" t="s">
        <v>57</v>
      </c>
      <c r="G4312">
        <v>-177.8466</v>
      </c>
      <c r="H4312">
        <v>8.0004240000000004E-2</v>
      </c>
      <c r="I4312">
        <v>207.21090000000001</v>
      </c>
      <c r="J4312">
        <v>-237.85489999999999</v>
      </c>
      <c r="K4312">
        <v>1.1220190000000001</v>
      </c>
      <c r="L4312">
        <v>215.01939999999999</v>
      </c>
      <c r="M4312">
        <v>0.99974510000000005</v>
      </c>
      <c r="N4312">
        <v>-1.425542E-2</v>
      </c>
      <c r="O4312">
        <v>1.7507479999999999E-2</v>
      </c>
      <c r="P4312">
        <v>0.982039</v>
      </c>
      <c r="Q4312">
        <v>0.18811990000000001</v>
      </c>
      <c r="R4312">
        <v>-1.45007E-2</v>
      </c>
      <c r="S4312">
        <v>3.0596009999999998</v>
      </c>
      <c r="T4312">
        <v>-5.2861569999999997E-2</v>
      </c>
      <c r="U4312">
        <v>-0.39584350000000001</v>
      </c>
      <c r="V4312">
        <v>3.1607450000000002E-2</v>
      </c>
      <c r="W4312">
        <v>0.2021078</v>
      </c>
      <c r="X4312">
        <v>0.97885310000000003</v>
      </c>
      <c r="Y4312">
        <v>0.14561360000000001</v>
      </c>
      <c r="Z4312">
        <v>-2.3477709999999998E-3</v>
      </c>
      <c r="AA4312">
        <v>0.98933879999999996</v>
      </c>
      <c r="AB4312">
        <v>30</v>
      </c>
      <c r="AC4312">
        <v>60.008299999999899</v>
      </c>
      <c r="AD4312">
        <v>-1.04201476</v>
      </c>
      <c r="AE4312">
        <v>-7.80849999999998</v>
      </c>
      <c r="AF4312">
        <v>8.8553781764986699</v>
      </c>
      <c r="AG4312">
        <v>-1.04201476</v>
      </c>
      <c r="AH4312">
        <v>59.844635469041997</v>
      </c>
      <c r="AI4312">
        <v>90.9867905797649</v>
      </c>
      <c r="AJ4312">
        <v>81.582862261516397</v>
      </c>
      <c r="AK4312">
        <v>60.505238713944301</v>
      </c>
      <c r="AL4312">
        <v>78.339755340276895</v>
      </c>
      <c r="AM4312">
        <v>88.150545298292698</v>
      </c>
      <c r="AN4312">
        <v>0.999999992547976</v>
      </c>
    </row>
    <row r="4313" spans="1:40" x14ac:dyDescent="0.25">
      <c r="A4313" t="str">
        <f>"20190303170339876"</f>
        <v>20190303170339876</v>
      </c>
      <c r="B4313" t="str">
        <f>"1551603819869694"</f>
        <v>1551603819869694</v>
      </c>
      <c r="C4313" t="s">
        <v>40</v>
      </c>
      <c r="D4313">
        <v>4.2962680000000004</v>
      </c>
      <c r="E4313">
        <v>0.54882240000000004</v>
      </c>
      <c r="F4313" t="s">
        <v>57</v>
      </c>
      <c r="G4313">
        <v>-179.95779999999999</v>
      </c>
      <c r="H4313">
        <v>2.3414870000000002E-3</v>
      </c>
      <c r="I4313">
        <v>207.4057</v>
      </c>
      <c r="J4313">
        <v>-237.5061</v>
      </c>
      <c r="K4313">
        <v>1.1220239999999999</v>
      </c>
      <c r="L4313">
        <v>215.0258</v>
      </c>
      <c r="M4313">
        <v>0.99974050000000003</v>
      </c>
      <c r="N4313">
        <v>-1.4256090000000001E-2</v>
      </c>
      <c r="O4313">
        <v>1.777347E-2</v>
      </c>
      <c r="P4313">
        <v>0.98203309999999999</v>
      </c>
      <c r="Q4313">
        <v>0.18818109999999999</v>
      </c>
      <c r="R4313">
        <v>-1.4103360000000001E-2</v>
      </c>
      <c r="S4313">
        <v>3.060257</v>
      </c>
      <c r="T4313">
        <v>-5.9182520000000002E-2</v>
      </c>
      <c r="U4313">
        <v>-0.4024353</v>
      </c>
      <c r="V4313">
        <v>3.1471480000000003E-2</v>
      </c>
      <c r="W4313">
        <v>0.2021694</v>
      </c>
      <c r="X4313">
        <v>0.97884479999999996</v>
      </c>
      <c r="Y4313">
        <v>0.1479364</v>
      </c>
      <c r="Z4313">
        <v>-2.5735210000000001E-3</v>
      </c>
      <c r="AA4313">
        <v>0.98899349999999997</v>
      </c>
      <c r="AB4313">
        <v>30</v>
      </c>
      <c r="AC4313">
        <v>57.548299999999998</v>
      </c>
      <c r="AD4313">
        <v>-1.1196825130000001</v>
      </c>
      <c r="AE4313">
        <v>-7.6200999999999999</v>
      </c>
      <c r="AF4313">
        <v>8.6386191025338803</v>
      </c>
      <c r="AG4313">
        <v>-1.1196825130000001</v>
      </c>
      <c r="AH4313">
        <v>57.382410524236697</v>
      </c>
      <c r="AI4313">
        <v>91.105397373881701</v>
      </c>
      <c r="AJ4313">
        <v>81.438713277874697</v>
      </c>
      <c r="AK4313">
        <v>58.0398179399334</v>
      </c>
      <c r="AL4313">
        <v>78.336151986178194</v>
      </c>
      <c r="AM4313">
        <v>88.158480251412499</v>
      </c>
      <c r="AN4313">
        <v>1.0000000314183899</v>
      </c>
    </row>
    <row r="4314" spans="1:40" x14ac:dyDescent="0.25">
      <c r="A4314" t="str">
        <f>"20190303170339896"</f>
        <v>20190303170339896</v>
      </c>
      <c r="B4314" t="str">
        <f>"1551603819890189"</f>
        <v>1551603819890189</v>
      </c>
      <c r="C4314" t="s">
        <v>40</v>
      </c>
      <c r="D4314">
        <v>4.2468760000000003</v>
      </c>
      <c r="E4314">
        <v>0.54880419999999996</v>
      </c>
      <c r="F4314" t="s">
        <v>57</v>
      </c>
      <c r="G4314">
        <v>-184.1123</v>
      </c>
      <c r="H4314" s="1">
        <v>3.9479129999999997E-6</v>
      </c>
      <c r="I4314">
        <v>207.988</v>
      </c>
      <c r="J4314">
        <v>-237.23949999999999</v>
      </c>
      <c r="K4314">
        <v>1.122023</v>
      </c>
      <c r="L4314">
        <v>215.0307</v>
      </c>
      <c r="M4314">
        <v>0.99973679999999998</v>
      </c>
      <c r="N4314">
        <v>-1.425619E-2</v>
      </c>
      <c r="O4314">
        <v>1.7977110000000001E-2</v>
      </c>
      <c r="P4314">
        <v>0.98195299999999996</v>
      </c>
      <c r="Q4314">
        <v>0.1886147</v>
      </c>
      <c r="R4314">
        <v>-1.389781E-2</v>
      </c>
      <c r="S4314">
        <v>3.0614170000000001</v>
      </c>
      <c r="T4314">
        <v>-6.4332719999999996E-2</v>
      </c>
      <c r="U4314">
        <v>-0.40351870000000001</v>
      </c>
      <c r="V4314">
        <v>3.1464480000000003E-2</v>
      </c>
      <c r="W4314">
        <v>0.2026019</v>
      </c>
      <c r="X4314">
        <v>0.97875559999999995</v>
      </c>
      <c r="Y4314">
        <v>0.14842640000000001</v>
      </c>
      <c r="Z4314">
        <v>-2.7365150000000001E-3</v>
      </c>
      <c r="AA4314">
        <v>0.98891969999999996</v>
      </c>
      <c r="AB4314">
        <v>30</v>
      </c>
      <c r="AC4314">
        <v>53.127199999999903</v>
      </c>
      <c r="AD4314">
        <v>-1.1220190520869999</v>
      </c>
      <c r="AE4314">
        <v>-7.0426999999999902</v>
      </c>
      <c r="AF4314">
        <v>7.9932285353022303</v>
      </c>
      <c r="AG4314">
        <v>-1.1220190520869999</v>
      </c>
      <c r="AH4314">
        <v>52.968774780190003</v>
      </c>
      <c r="AI4314">
        <v>91.199913625320605</v>
      </c>
      <c r="AJ4314">
        <v>81.418555296888798</v>
      </c>
      <c r="AK4314">
        <v>53.5802363832534</v>
      </c>
      <c r="AL4314">
        <v>78.310847947336001</v>
      </c>
      <c r="AM4314">
        <v>88.158721890753796</v>
      </c>
      <c r="AN4314">
        <v>1.0000000339583099</v>
      </c>
    </row>
    <row r="4315" spans="1:40" x14ac:dyDescent="0.25">
      <c r="A4315" t="str">
        <f>"20190303170339917"</f>
        <v>20190303170339917</v>
      </c>
      <c r="B4315" t="str">
        <f>"1551603819909709"</f>
        <v>1551603819909709</v>
      </c>
      <c r="C4315" t="s">
        <v>40</v>
      </c>
      <c r="D4315">
        <v>4.3021839999999996</v>
      </c>
      <c r="E4315">
        <v>0.54883740000000003</v>
      </c>
      <c r="F4315" t="s">
        <v>57</v>
      </c>
      <c r="G4315">
        <v>-183.92910000000001</v>
      </c>
      <c r="H4315" s="1">
        <v>3.9047650000000004E-6</v>
      </c>
      <c r="I4315">
        <v>208.01820000000001</v>
      </c>
      <c r="J4315">
        <v>-236.9504</v>
      </c>
      <c r="K4315">
        <v>1.1220220000000001</v>
      </c>
      <c r="L4315">
        <v>215.0361</v>
      </c>
      <c r="M4315">
        <v>0.99973279999999998</v>
      </c>
      <c r="N4315">
        <v>-1.425593E-2</v>
      </c>
      <c r="O4315">
        <v>1.8198289999999999E-2</v>
      </c>
      <c r="P4315">
        <v>0.98195880000000002</v>
      </c>
      <c r="Q4315">
        <v>0.1886071</v>
      </c>
      <c r="R4315">
        <v>-1.3582250000000001E-2</v>
      </c>
      <c r="S4315">
        <v>3.061798</v>
      </c>
      <c r="T4315">
        <v>-6.4441319999999996E-2</v>
      </c>
      <c r="U4315">
        <v>-0.40275569999999999</v>
      </c>
      <c r="V4315">
        <v>3.1366449999999997E-2</v>
      </c>
      <c r="W4315">
        <v>0.20259389999999999</v>
      </c>
      <c r="X4315">
        <v>0.97876039999999997</v>
      </c>
      <c r="Y4315">
        <v>0.14838689999999999</v>
      </c>
      <c r="Z4315">
        <v>-2.7403269999999999E-3</v>
      </c>
      <c r="AA4315">
        <v>0.98892559999999996</v>
      </c>
      <c r="AB4315">
        <v>30</v>
      </c>
      <c r="AC4315">
        <v>53.021299999999997</v>
      </c>
      <c r="AD4315">
        <v>-1.1220180952349901</v>
      </c>
      <c r="AE4315">
        <v>-7.0178999999999903</v>
      </c>
      <c r="AF4315">
        <v>7.9782213440322796</v>
      </c>
      <c r="AG4315">
        <v>-1.1220180952349901</v>
      </c>
      <c r="AH4315">
        <v>52.861526371038799</v>
      </c>
      <c r="AI4315">
        <v>91.202342388635103</v>
      </c>
      <c r="AJ4315">
        <v>81.417307888238895</v>
      </c>
      <c r="AK4315">
        <v>53.471973132627603</v>
      </c>
      <c r="AL4315">
        <v>78.311315991967703</v>
      </c>
      <c r="AM4315">
        <v>88.164463599111599</v>
      </c>
      <c r="AN4315">
        <v>1.00000003155548</v>
      </c>
    </row>
    <row r="4316" spans="1:40" x14ac:dyDescent="0.25">
      <c r="A4316" t="str">
        <f>"20190303170339940"</f>
        <v>20190303170339940</v>
      </c>
      <c r="B4316" t="str">
        <f>"1551603819930307"</f>
        <v>1551603819930307</v>
      </c>
      <c r="C4316" t="s">
        <v>40</v>
      </c>
      <c r="D4316">
        <v>4.2990599999999999</v>
      </c>
      <c r="E4316">
        <v>0.54905809999999999</v>
      </c>
      <c r="F4316" t="s">
        <v>57</v>
      </c>
      <c r="G4316">
        <v>-185.2672</v>
      </c>
      <c r="H4316" s="1">
        <v>4.0587599999999997E-6</v>
      </c>
      <c r="I4316">
        <v>208.25399999999999</v>
      </c>
      <c r="J4316">
        <v>-236.6506</v>
      </c>
      <c r="K4316">
        <v>1.1220209999999999</v>
      </c>
      <c r="L4316">
        <v>215.0419</v>
      </c>
      <c r="M4316">
        <v>0.99972870000000003</v>
      </c>
      <c r="N4316">
        <v>-1.425541E-2</v>
      </c>
      <c r="O4316">
        <v>1.8427280000000001E-2</v>
      </c>
      <c r="P4316">
        <v>0.98211340000000003</v>
      </c>
      <c r="Q4316">
        <v>0.18778610000000001</v>
      </c>
      <c r="R4316">
        <v>-1.378385E-2</v>
      </c>
      <c r="S4316">
        <v>3.0623320000000001</v>
      </c>
      <c r="T4316">
        <v>-6.6481830000000006E-2</v>
      </c>
      <c r="U4316">
        <v>-0.40185549999999998</v>
      </c>
      <c r="V4316">
        <v>3.17963E-2</v>
      </c>
      <c r="W4316">
        <v>0.2017748</v>
      </c>
      <c r="X4316">
        <v>0.97891570000000006</v>
      </c>
      <c r="Y4316">
        <v>0.1483025</v>
      </c>
      <c r="Z4316">
        <v>-2.8014530000000002E-3</v>
      </c>
      <c r="AA4316">
        <v>0.98893810000000004</v>
      </c>
      <c r="AB4316">
        <v>30</v>
      </c>
      <c r="AC4316">
        <v>51.383400000000002</v>
      </c>
      <c r="AD4316">
        <v>-1.1220169412399901</v>
      </c>
      <c r="AE4316">
        <v>-6.7878999999999703</v>
      </c>
      <c r="AF4316">
        <v>7.7300769792589197</v>
      </c>
      <c r="AG4316">
        <v>-1.1220169412399901</v>
      </c>
      <c r="AH4316">
        <v>51.225571901844702</v>
      </c>
      <c r="AI4316">
        <v>91.240732057247797</v>
      </c>
      <c r="AJ4316">
        <v>81.418658455219401</v>
      </c>
      <c r="AK4316">
        <v>51.8176825880197</v>
      </c>
      <c r="AL4316">
        <v>78.359236406437802</v>
      </c>
      <c r="AM4316">
        <v>88.139621705628798</v>
      </c>
      <c r="AN4316">
        <v>1.0000000111576099</v>
      </c>
    </row>
    <row r="4317" spans="1:40" x14ac:dyDescent="0.25">
      <c r="A4317" t="str">
        <f>"20190303170339962"</f>
        <v>20190303170339962</v>
      </c>
      <c r="B4317" t="str">
        <f>"1551603819949827"</f>
        <v>1551603819949827</v>
      </c>
      <c r="C4317" t="s">
        <v>40</v>
      </c>
      <c r="D4317">
        <v>4.3116320000000004</v>
      </c>
      <c r="E4317">
        <v>0.54935800000000001</v>
      </c>
      <c r="F4317" t="s">
        <v>57</v>
      </c>
      <c r="G4317">
        <v>-188.49850000000001</v>
      </c>
      <c r="H4317" s="1">
        <v>4.4786529999999998E-6</v>
      </c>
      <c r="I4317">
        <v>208.6876</v>
      </c>
      <c r="J4317">
        <v>-236.35059999999999</v>
      </c>
      <c r="K4317">
        <v>1.1220129999999999</v>
      </c>
      <c r="L4317">
        <v>215.04759999999999</v>
      </c>
      <c r="M4317">
        <v>0.99972439999999996</v>
      </c>
      <c r="N4317">
        <v>-1.425451E-2</v>
      </c>
      <c r="O4317">
        <v>1.8656030000000001E-2</v>
      </c>
      <c r="P4317">
        <v>0.98225309999999999</v>
      </c>
      <c r="Q4317">
        <v>0.187033</v>
      </c>
      <c r="R4317">
        <v>-1.406874E-2</v>
      </c>
      <c r="S4317">
        <v>3.062592</v>
      </c>
      <c r="T4317">
        <v>-7.1362969999999998E-2</v>
      </c>
      <c r="U4317">
        <v>-0.40414430000000001</v>
      </c>
      <c r="V4317">
        <v>3.2308669999999998E-2</v>
      </c>
      <c r="W4317">
        <v>0.2010228</v>
      </c>
      <c r="X4317">
        <v>0.97905359999999997</v>
      </c>
      <c r="Y4317">
        <v>0.1492368</v>
      </c>
      <c r="Z4317">
        <v>-2.967688E-3</v>
      </c>
      <c r="AA4317">
        <v>0.98879700000000004</v>
      </c>
      <c r="AB4317">
        <v>30</v>
      </c>
      <c r="AC4317">
        <v>47.852099999999901</v>
      </c>
      <c r="AD4317">
        <v>-1.1220085213469999</v>
      </c>
      <c r="AE4317">
        <v>-6.3599999999999799</v>
      </c>
      <c r="AF4317">
        <v>7.2477982218952297</v>
      </c>
      <c r="AG4317">
        <v>-1.1220085213469999</v>
      </c>
      <c r="AH4317">
        <v>47.699336766412898</v>
      </c>
      <c r="AI4317">
        <v>91.332206856979994</v>
      </c>
      <c r="AJ4317">
        <v>81.3601337291813</v>
      </c>
      <c r="AK4317">
        <v>48.259881994706099</v>
      </c>
      <c r="AL4317">
        <v>78.403223852602395</v>
      </c>
      <c r="AM4317">
        <v>88.109930949745106</v>
      </c>
      <c r="AN4317">
        <v>0.99999998397498402</v>
      </c>
    </row>
    <row r="4318" spans="1:40" x14ac:dyDescent="0.25">
      <c r="A4318" t="str">
        <f>"20190303170339981"</f>
        <v>20190303170339981</v>
      </c>
      <c r="B4318" t="str">
        <f>"1551603819970323"</f>
        <v>1551603819970323</v>
      </c>
      <c r="C4318" t="s">
        <v>40</v>
      </c>
      <c r="D4318">
        <v>4.3217309999999998</v>
      </c>
      <c r="E4318">
        <v>0.54966059999999906</v>
      </c>
      <c r="F4318" t="s">
        <v>57</v>
      </c>
      <c r="G4318">
        <v>-190.50290000000001</v>
      </c>
      <c r="H4318" s="1">
        <v>4.5228000000000001E-6</v>
      </c>
      <c r="I4318">
        <v>208.95310000000001</v>
      </c>
      <c r="J4318">
        <v>-236.09540000000001</v>
      </c>
      <c r="K4318">
        <v>1.1220129999999999</v>
      </c>
      <c r="L4318">
        <v>215.05260000000001</v>
      </c>
      <c r="M4318">
        <v>0.99972079999999997</v>
      </c>
      <c r="N4318">
        <v>-1.425352E-2</v>
      </c>
      <c r="O4318">
        <v>1.8851099999999999E-2</v>
      </c>
      <c r="P4318">
        <v>0.98224480000000003</v>
      </c>
      <c r="Q4318">
        <v>0.18707190000000001</v>
      </c>
      <c r="R4318">
        <v>-1.412061E-2</v>
      </c>
      <c r="S4318">
        <v>3.0626530000000001</v>
      </c>
      <c r="T4318">
        <v>-7.4950810000000007E-2</v>
      </c>
      <c r="U4318">
        <v>-0.40711979999999998</v>
      </c>
      <c r="V4318">
        <v>3.2552329999999997E-2</v>
      </c>
      <c r="W4318">
        <v>0.20106070000000001</v>
      </c>
      <c r="X4318">
        <v>0.97903779999999996</v>
      </c>
      <c r="Y4318">
        <v>0.1503651</v>
      </c>
      <c r="Z4318">
        <v>-3.1001190000000001E-3</v>
      </c>
      <c r="AA4318">
        <v>0.98862559999999999</v>
      </c>
      <c r="AB4318">
        <v>30</v>
      </c>
      <c r="AC4318">
        <v>45.592500000000001</v>
      </c>
      <c r="AD4318">
        <v>-1.1220084772000001</v>
      </c>
      <c r="AE4318">
        <v>-6.0994999999999999</v>
      </c>
      <c r="AF4318">
        <v>6.9538345386311198</v>
      </c>
      <c r="AG4318">
        <v>-1.1220084772000001</v>
      </c>
      <c r="AH4318">
        <v>45.442365485775802</v>
      </c>
      <c r="AI4318">
        <v>91.398122951497598</v>
      </c>
      <c r="AJ4318">
        <v>81.299783817931697</v>
      </c>
      <c r="AK4318">
        <v>45.985033421281699</v>
      </c>
      <c r="AL4318">
        <v>78.401007700290705</v>
      </c>
      <c r="AM4318">
        <v>88.0956564964807</v>
      </c>
      <c r="AN4318">
        <v>1.0000000365508701</v>
      </c>
    </row>
    <row r="4319" spans="1:40" x14ac:dyDescent="0.25">
      <c r="A4319" t="str">
        <f>"20190303170339996"</f>
        <v>20190303170339996</v>
      </c>
      <c r="B4319" t="str">
        <f>"1551603819989842"</f>
        <v>1551603819989842</v>
      </c>
      <c r="C4319" t="s">
        <v>40</v>
      </c>
      <c r="D4319">
        <v>4.3442119999999997</v>
      </c>
      <c r="E4319">
        <v>0.54998840000000004</v>
      </c>
      <c r="F4319" t="s">
        <v>57</v>
      </c>
      <c r="G4319">
        <v>-191.292</v>
      </c>
      <c r="H4319" s="1">
        <v>4.3186189999999999E-6</v>
      </c>
      <c r="I4319">
        <v>209.06460000000001</v>
      </c>
      <c r="J4319">
        <v>-235.8929</v>
      </c>
      <c r="K4319">
        <v>1.1220139999999901</v>
      </c>
      <c r="L4319">
        <v>215.0566</v>
      </c>
      <c r="M4319">
        <v>0.99971790000000005</v>
      </c>
      <c r="N4319">
        <v>-1.4252580000000001E-2</v>
      </c>
      <c r="O4319">
        <v>1.9005890000000001E-2</v>
      </c>
      <c r="P4319">
        <v>0.98213229999999996</v>
      </c>
      <c r="Q4319">
        <v>0.18763179999999999</v>
      </c>
      <c r="R4319">
        <v>-1.4524169999999999E-2</v>
      </c>
      <c r="S4319">
        <v>3.0629580000000001</v>
      </c>
      <c r="T4319">
        <v>-7.6705460000000003E-2</v>
      </c>
      <c r="U4319">
        <v>-0.40936280000000003</v>
      </c>
      <c r="V4319">
        <v>3.3105530000000001E-2</v>
      </c>
      <c r="W4319">
        <v>0.20161789999999999</v>
      </c>
      <c r="X4319">
        <v>0.97890460000000001</v>
      </c>
      <c r="Y4319">
        <v>0.15121329999999999</v>
      </c>
      <c r="Z4319">
        <v>-3.1717239999999999E-3</v>
      </c>
      <c r="AA4319">
        <v>0.98849609999999999</v>
      </c>
      <c r="AB4319">
        <v>30</v>
      </c>
      <c r="AC4319">
        <v>44.600900000000003</v>
      </c>
      <c r="AD4319">
        <v>-1.1220096813810001</v>
      </c>
      <c r="AE4319">
        <v>-5.9919999999999902</v>
      </c>
      <c r="AF4319">
        <v>6.8344347228579601</v>
      </c>
      <c r="AG4319">
        <v>-1.1220096813810001</v>
      </c>
      <c r="AH4319">
        <v>44.451314729527098</v>
      </c>
      <c r="AI4319">
        <v>91.429127762255206</v>
      </c>
      <c r="AJ4319">
        <v>81.259162875917696</v>
      </c>
      <c r="AK4319">
        <v>44.987640356986901</v>
      </c>
      <c r="AL4319">
        <v>78.3684144357116</v>
      </c>
      <c r="AM4319">
        <v>88.063054864012898</v>
      </c>
      <c r="AN4319">
        <v>0.99999998480907504</v>
      </c>
    </row>
    <row r="4320" spans="1:40" x14ac:dyDescent="0.25">
      <c r="A4320" t="str">
        <f>"20190303170340018"</f>
        <v>20190303170340018</v>
      </c>
      <c r="B4320" t="str">
        <f>"1551603820009362"</f>
        <v>1551603820009362</v>
      </c>
      <c r="C4320" t="s">
        <v>40</v>
      </c>
      <c r="D4320">
        <v>4.3474820000000003</v>
      </c>
      <c r="E4320">
        <v>0.55033679999999996</v>
      </c>
      <c r="F4320" t="s">
        <v>57</v>
      </c>
      <c r="G4320">
        <v>-190.77099999999999</v>
      </c>
      <c r="H4320" s="1">
        <v>4.4581599999999997E-6</v>
      </c>
      <c r="I4320">
        <v>208.96780000000001</v>
      </c>
      <c r="J4320">
        <v>-235.60130000000001</v>
      </c>
      <c r="K4320">
        <v>1.1220139999999901</v>
      </c>
      <c r="L4320">
        <v>215.0624</v>
      </c>
      <c r="M4320">
        <v>0.99971359999999998</v>
      </c>
      <c r="N4320">
        <v>-1.4251059999999999E-2</v>
      </c>
      <c r="O4320">
        <v>1.922892E-2</v>
      </c>
      <c r="P4320">
        <v>0.98214020000000002</v>
      </c>
      <c r="Q4320">
        <v>0.1875645</v>
      </c>
      <c r="R4320">
        <v>-1.4847809999999999E-2</v>
      </c>
      <c r="S4320">
        <v>3.063034</v>
      </c>
      <c r="T4320">
        <v>-7.6165800000000006E-2</v>
      </c>
      <c r="U4320">
        <v>-0.41333009999999898</v>
      </c>
      <c r="V4320">
        <v>3.364868E-2</v>
      </c>
      <c r="W4320">
        <v>0.20154920000000001</v>
      </c>
      <c r="X4320">
        <v>0.97890029999999995</v>
      </c>
      <c r="Y4320">
        <v>0.152688299999999</v>
      </c>
      <c r="Z4320">
        <v>-3.1860759999999999E-3</v>
      </c>
      <c r="AA4320">
        <v>0.98826930000000002</v>
      </c>
      <c r="AB4320">
        <v>30</v>
      </c>
      <c r="AC4320">
        <v>44.830300000000001</v>
      </c>
      <c r="AD4320">
        <v>-1.12200954183999</v>
      </c>
      <c r="AE4320">
        <v>-6.0945999999999803</v>
      </c>
      <c r="AF4320">
        <v>6.9513233975465099</v>
      </c>
      <c r="AG4320">
        <v>-1.12200954183999</v>
      </c>
      <c r="AH4320">
        <v>44.6773271396154</v>
      </c>
      <c r="AI4320">
        <v>91.421506261112</v>
      </c>
      <c r="AJ4320">
        <v>81.156286016409396</v>
      </c>
      <c r="AK4320">
        <v>45.228789092009499</v>
      </c>
      <c r="AL4320">
        <v>78.372433988406698</v>
      </c>
      <c r="AM4320">
        <v>88.031292296507303</v>
      </c>
      <c r="AN4320">
        <v>1.00000005551323</v>
      </c>
    </row>
    <row r="4321" spans="1:40" x14ac:dyDescent="0.25">
      <c r="A4321" t="str">
        <f>"20190303170340040"</f>
        <v>20190303170340040</v>
      </c>
      <c r="B4321" t="str">
        <f>"1551603820029473"</f>
        <v>1551603820029473</v>
      </c>
      <c r="C4321" t="s">
        <v>40</v>
      </c>
      <c r="D4321">
        <v>4.3334999999999999</v>
      </c>
      <c r="E4321">
        <v>0.55050379999999999</v>
      </c>
      <c r="F4321" t="s">
        <v>57</v>
      </c>
      <c r="G4321">
        <v>-191.39879999999999</v>
      </c>
      <c r="H4321" s="1">
        <v>4.3060120000000003E-6</v>
      </c>
      <c r="I4321">
        <v>209.04069999999999</v>
      </c>
      <c r="J4321">
        <v>-235.3022</v>
      </c>
      <c r="K4321">
        <v>1.1220159999999999</v>
      </c>
      <c r="L4321">
        <v>215.0684</v>
      </c>
      <c r="M4321">
        <v>0.99970919999999996</v>
      </c>
      <c r="N4321">
        <v>-1.424925E-2</v>
      </c>
      <c r="O4321">
        <v>1.9457439999999999E-2</v>
      </c>
      <c r="P4321">
        <v>0.98226570000000002</v>
      </c>
      <c r="Q4321">
        <v>0.18688370000000001</v>
      </c>
      <c r="R4321">
        <v>-1.5134959999999999E-2</v>
      </c>
      <c r="S4321">
        <v>3.0630950000000001</v>
      </c>
      <c r="T4321">
        <v>-7.7751760000000003E-2</v>
      </c>
      <c r="U4321">
        <v>-0.41728209999999999</v>
      </c>
      <c r="V4321">
        <v>3.4162989999999997E-2</v>
      </c>
      <c r="W4321">
        <v>0.20086870000000001</v>
      </c>
      <c r="X4321">
        <v>0.97902230000000001</v>
      </c>
      <c r="Y4321">
        <v>0.15416009999999999</v>
      </c>
      <c r="Z4321">
        <v>-3.2667519999999999E-3</v>
      </c>
      <c r="AA4321">
        <v>0.98804040000000004</v>
      </c>
      <c r="AB4321">
        <v>30</v>
      </c>
      <c r="AC4321">
        <v>43.903399999999998</v>
      </c>
      <c r="AD4321">
        <v>-1.1220116939879901</v>
      </c>
      <c r="AE4321">
        <v>-6.0277000000000003</v>
      </c>
      <c r="AF4321">
        <v>6.8764849648968402</v>
      </c>
      <c r="AG4321">
        <v>-1.1220116939879901</v>
      </c>
      <c r="AH4321">
        <v>43.749745735033102</v>
      </c>
      <c r="AI4321">
        <v>91.451283294293503</v>
      </c>
      <c r="AJ4321">
        <v>81.067460961999799</v>
      </c>
      <c r="AK4321">
        <v>44.301074564777203</v>
      </c>
      <c r="AL4321">
        <v>78.412237216530499</v>
      </c>
      <c r="AM4321">
        <v>88.001474286221693</v>
      </c>
      <c r="AN4321">
        <v>1.0000000042113599</v>
      </c>
    </row>
    <row r="4322" spans="1:40" x14ac:dyDescent="0.25">
      <c r="A4322" t="str">
        <f>"20190303170340063"</f>
        <v>20190303170340063</v>
      </c>
      <c r="B4322" t="str">
        <f>"1551603820049969"</f>
        <v>1551603820049969</v>
      </c>
      <c r="C4322" t="s">
        <v>40</v>
      </c>
      <c r="D4322">
        <v>4.3498650000000003</v>
      </c>
      <c r="E4322">
        <v>0.55071369999999997</v>
      </c>
      <c r="F4322" t="s">
        <v>57</v>
      </c>
      <c r="G4322">
        <v>-193.18879999999999</v>
      </c>
      <c r="H4322" s="1">
        <v>3.919587E-6</v>
      </c>
      <c r="I4322">
        <v>209.30090000000001</v>
      </c>
      <c r="J4322">
        <v>-234.99469999999999</v>
      </c>
      <c r="K4322">
        <v>1.122012</v>
      </c>
      <c r="L4322">
        <v>215.0746</v>
      </c>
      <c r="M4322">
        <v>0.9997045</v>
      </c>
      <c r="N4322">
        <v>-1.424724E-2</v>
      </c>
      <c r="O4322">
        <v>1.969251E-2</v>
      </c>
      <c r="P4322">
        <v>0.98244120000000001</v>
      </c>
      <c r="Q4322">
        <v>0.1859769</v>
      </c>
      <c r="R4322">
        <v>-1.4901569999999999E-2</v>
      </c>
      <c r="S4322">
        <v>3.0632320000000002</v>
      </c>
      <c r="T4322">
        <v>-8.1612589999999999E-2</v>
      </c>
      <c r="U4322">
        <v>-0.41950989999999999</v>
      </c>
      <c r="V4322">
        <v>3.4164559999999997E-2</v>
      </c>
      <c r="W4322">
        <v>0.19996240000000001</v>
      </c>
      <c r="X4322">
        <v>0.97920779999999996</v>
      </c>
      <c r="Y4322">
        <v>0.15508479999999999</v>
      </c>
      <c r="Z4322">
        <v>-3.409338E-3</v>
      </c>
      <c r="AA4322">
        <v>0.98789530000000003</v>
      </c>
      <c r="AB4322">
        <v>30</v>
      </c>
      <c r="AC4322">
        <v>41.805900000000001</v>
      </c>
      <c r="AD4322">
        <v>-1.1220080804129999</v>
      </c>
      <c r="AE4322">
        <v>-5.7736999999999901</v>
      </c>
      <c r="AF4322">
        <v>6.5912680182773098</v>
      </c>
      <c r="AG4322">
        <v>-1.1220080804129999</v>
      </c>
      <c r="AH4322">
        <v>41.654638818493503</v>
      </c>
      <c r="AI4322">
        <v>91.523991986113998</v>
      </c>
      <c r="AJ4322">
        <v>81.008290902512599</v>
      </c>
      <c r="AK4322">
        <v>42.187825866242797</v>
      </c>
      <c r="AL4322">
        <v>78.465240254035194</v>
      </c>
      <c r="AM4322">
        <v>88.001760824959206</v>
      </c>
      <c r="AN4322">
        <v>1.0000000470772901</v>
      </c>
    </row>
    <row r="4323" spans="1:40" x14ac:dyDescent="0.25">
      <c r="A4323" t="str">
        <f>"20190303170340090"</f>
        <v>20190303170340090</v>
      </c>
      <c r="B4323" t="str">
        <f>"1551603820080225"</f>
        <v>1551603820080225</v>
      </c>
      <c r="C4323" t="s">
        <v>40</v>
      </c>
      <c r="D4323">
        <v>4.3576589999999999</v>
      </c>
      <c r="E4323">
        <v>0.55111180000000004</v>
      </c>
      <c r="F4323" t="s">
        <v>57</v>
      </c>
      <c r="G4323">
        <v>-194.5189</v>
      </c>
      <c r="H4323" s="1">
        <v>3.626842E-6</v>
      </c>
      <c r="I4323">
        <v>209.5155</v>
      </c>
      <c r="J4323">
        <v>-234.63669999999999</v>
      </c>
      <c r="K4323">
        <v>1.1220079999999999</v>
      </c>
      <c r="L4323">
        <v>215.08199999999999</v>
      </c>
      <c r="M4323">
        <v>0.99969920000000001</v>
      </c>
      <c r="N4323">
        <v>-1.424476E-2</v>
      </c>
      <c r="O4323">
        <v>1.9966689999999999E-2</v>
      </c>
      <c r="P4323">
        <v>0.98236860000000004</v>
      </c>
      <c r="Q4323">
        <v>0.18639220000000001</v>
      </c>
      <c r="R4323">
        <v>-1.4499400000000001E-2</v>
      </c>
      <c r="S4323">
        <v>3.0633089999999998</v>
      </c>
      <c r="T4323">
        <v>-8.4916350000000002E-2</v>
      </c>
      <c r="U4323">
        <v>-0.42073060000000001</v>
      </c>
      <c r="V4323">
        <v>3.4030390000000001E-2</v>
      </c>
      <c r="W4323">
        <v>0.200374</v>
      </c>
      <c r="X4323">
        <v>0.97912829999999995</v>
      </c>
      <c r="Y4323">
        <v>0.15573239999999999</v>
      </c>
      <c r="Z4323">
        <v>-3.5306980000000001E-3</v>
      </c>
      <c r="AA4323">
        <v>0.98779300000000003</v>
      </c>
      <c r="AB4323">
        <v>30</v>
      </c>
      <c r="AC4323">
        <v>40.117799999999903</v>
      </c>
      <c r="AD4323">
        <v>-1.1220043731579901</v>
      </c>
      <c r="AE4323">
        <v>-5.5664999999999898</v>
      </c>
      <c r="AF4323">
        <v>6.3616089726129097</v>
      </c>
      <c r="AG4323">
        <v>-1.1220043731579901</v>
      </c>
      <c r="AH4323">
        <v>39.967972654118803</v>
      </c>
      <c r="AI4323">
        <v>91.588038696286802</v>
      </c>
      <c r="AJ4323">
        <v>80.956227891646606</v>
      </c>
      <c r="AK4323">
        <v>40.486637309292597</v>
      </c>
      <c r="AL4323">
        <v>78.441169825400607</v>
      </c>
      <c r="AM4323">
        <v>88.009440443728906</v>
      </c>
      <c r="AN4323">
        <v>1.0000000175902199</v>
      </c>
    </row>
    <row r="4324" spans="1:40" x14ac:dyDescent="0.25">
      <c r="A4324" t="str">
        <f>"20190303170340109"</f>
        <v>20190303170340109</v>
      </c>
      <c r="B4324" t="str">
        <f>"1551603820099745"</f>
        <v>1551603820099745</v>
      </c>
      <c r="C4324" t="s">
        <v>40</v>
      </c>
      <c r="D4324">
        <v>4.3622139999999998</v>
      </c>
      <c r="E4324">
        <v>0.55567699999999998</v>
      </c>
      <c r="F4324" t="s">
        <v>57</v>
      </c>
      <c r="G4324">
        <v>-193.71809999999999</v>
      </c>
      <c r="H4324" s="1">
        <v>3.7901170000000002E-6</v>
      </c>
      <c r="I4324">
        <v>209.43530000000001</v>
      </c>
      <c r="J4324">
        <v>-234.3887</v>
      </c>
      <c r="K4324">
        <v>1.122007</v>
      </c>
      <c r="L4324">
        <v>215.08709999999999</v>
      </c>
      <c r="M4324">
        <v>0.99969540000000001</v>
      </c>
      <c r="N4324">
        <v>-1.4242879999999999E-2</v>
      </c>
      <c r="O4324">
        <v>2.015658E-2</v>
      </c>
      <c r="P4324">
        <v>0.98229650000000002</v>
      </c>
      <c r="Q4324">
        <v>0.18676670000000001</v>
      </c>
      <c r="R4324">
        <v>-1.456578E-2</v>
      </c>
      <c r="S4324">
        <v>3.0635219999999999</v>
      </c>
      <c r="T4324">
        <v>-8.4003090000000002E-2</v>
      </c>
      <c r="U4324">
        <v>-0.42276000000000002</v>
      </c>
      <c r="V4324">
        <v>3.4282069999999998E-2</v>
      </c>
      <c r="W4324">
        <v>0.2007458</v>
      </c>
      <c r="X4324">
        <v>0.97904340000000001</v>
      </c>
      <c r="Y4324">
        <v>0.1565542</v>
      </c>
      <c r="Z4324">
        <v>-3.5209109999999998E-3</v>
      </c>
      <c r="AA4324">
        <v>0.98766310000000002</v>
      </c>
      <c r="AB4324">
        <v>30</v>
      </c>
      <c r="AC4324">
        <v>40.6706</v>
      </c>
      <c r="AD4324">
        <v>-1.122003209883</v>
      </c>
      <c r="AE4324">
        <v>-5.6517999999999802</v>
      </c>
      <c r="AF4324">
        <v>6.4656872308506799</v>
      </c>
      <c r="AG4324">
        <v>-1.122003209883</v>
      </c>
      <c r="AH4324">
        <v>40.518149894778396</v>
      </c>
      <c r="AI4324">
        <v>91.566385505901295</v>
      </c>
      <c r="AJ4324">
        <v>80.933462767360695</v>
      </c>
      <c r="AK4324">
        <v>41.046126168810403</v>
      </c>
      <c r="AL4324">
        <v>78.419425912502703</v>
      </c>
      <c r="AM4324">
        <v>87.9945570030563</v>
      </c>
      <c r="AN4324">
        <v>1.00000005781234</v>
      </c>
    </row>
    <row r="4325" spans="1:40" x14ac:dyDescent="0.25">
      <c r="A4325" t="str">
        <f>"20190303170340130"</f>
        <v>20190303170340130</v>
      </c>
      <c r="B4325" t="str">
        <f>"1551603820120241"</f>
        <v>1551603820120241</v>
      </c>
      <c r="C4325" t="s">
        <v>40</v>
      </c>
      <c r="D4325">
        <v>4.366981</v>
      </c>
      <c r="E4325">
        <v>0.55511269999999902</v>
      </c>
      <c r="F4325" t="s">
        <v>57</v>
      </c>
      <c r="G4325">
        <v>-193.14930000000001</v>
      </c>
      <c r="H4325" s="1">
        <v>4.0306629999999998E-6</v>
      </c>
      <c r="I4325">
        <v>208.90790000000001</v>
      </c>
      <c r="J4325">
        <v>-234.1096</v>
      </c>
      <c r="K4325">
        <v>1.1220110000000001</v>
      </c>
      <c r="L4325">
        <v>215.09299999999999</v>
      </c>
      <c r="M4325">
        <v>0.9996912</v>
      </c>
      <c r="N4325">
        <v>-1.424066E-2</v>
      </c>
      <c r="O4325">
        <v>2.0370559999999999E-2</v>
      </c>
      <c r="P4325">
        <v>0.98241750000000005</v>
      </c>
      <c r="Q4325">
        <v>0.1861448</v>
      </c>
      <c r="R4325">
        <v>-1.4368809999999999E-2</v>
      </c>
      <c r="S4325">
        <v>3.063126</v>
      </c>
      <c r="T4325">
        <v>-8.3338620000000002E-2</v>
      </c>
      <c r="U4325">
        <v>-0.45896910000000002</v>
      </c>
      <c r="V4325">
        <v>3.4298160000000001E-2</v>
      </c>
      <c r="W4325">
        <v>0.2001231</v>
      </c>
      <c r="X4325">
        <v>0.97917030000000005</v>
      </c>
      <c r="Y4325">
        <v>0.16820460000000001</v>
      </c>
      <c r="Z4325">
        <v>-3.7426260000000002E-3</v>
      </c>
      <c r="AA4325">
        <v>0.98574499999999998</v>
      </c>
      <c r="AB4325">
        <v>30</v>
      </c>
      <c r="AC4325">
        <v>40.960299999999897</v>
      </c>
      <c r="AD4325">
        <v>-1.1220069693370001</v>
      </c>
      <c r="AE4325">
        <v>-6.1850999999999701</v>
      </c>
      <c r="AF4325">
        <v>7.0131400784440796</v>
      </c>
      <c r="AG4325">
        <v>-1.1220069693370001</v>
      </c>
      <c r="AH4325">
        <v>40.7958634303791</v>
      </c>
      <c r="AI4325">
        <v>91.552642625508</v>
      </c>
      <c r="AJ4325">
        <v>80.245732028773304</v>
      </c>
      <c r="AK4325">
        <v>41.409485705925697</v>
      </c>
      <c r="AL4325">
        <v>78.455842881990193</v>
      </c>
      <c r="AM4325">
        <v>87.993876348275805</v>
      </c>
      <c r="AN4325">
        <v>1.0000000476675399</v>
      </c>
    </row>
    <row r="4326" spans="1:40" x14ac:dyDescent="0.25">
      <c r="A4326" t="str">
        <f>"20190303170340152"</f>
        <v>20190303170340152</v>
      </c>
      <c r="B4326" t="str">
        <f>"1551603820139761"</f>
        <v>1551603820139761</v>
      </c>
      <c r="C4326" t="s">
        <v>40</v>
      </c>
      <c r="D4326">
        <v>4.3743749999999997</v>
      </c>
      <c r="E4326">
        <v>0.55534969999999995</v>
      </c>
      <c r="F4326" t="s">
        <v>57</v>
      </c>
      <c r="G4326">
        <v>-197.10659999999999</v>
      </c>
      <c r="H4326" s="1">
        <v>3.140819E-6</v>
      </c>
      <c r="I4326">
        <v>209.6199</v>
      </c>
      <c r="J4326">
        <v>-233.81700000000001</v>
      </c>
      <c r="K4326">
        <v>1.1220060000000001</v>
      </c>
      <c r="L4326">
        <v>215.0992</v>
      </c>
      <c r="M4326">
        <v>0.99968670000000004</v>
      </c>
      <c r="N4326">
        <v>-1.4238229999999999E-2</v>
      </c>
      <c r="O4326">
        <v>2.059443E-2</v>
      </c>
      <c r="P4326">
        <v>0.98258230000000002</v>
      </c>
      <c r="Q4326">
        <v>0.18527179999999999</v>
      </c>
      <c r="R4326">
        <v>-1.436987E-2</v>
      </c>
      <c r="S4326">
        <v>3.064667</v>
      </c>
      <c r="T4326">
        <v>-9.2926980000000006E-2</v>
      </c>
      <c r="U4326">
        <v>-0.4532928</v>
      </c>
      <c r="V4326">
        <v>3.4523350000000001E-2</v>
      </c>
      <c r="W4326">
        <v>0.1992498</v>
      </c>
      <c r="X4326">
        <v>0.9793404</v>
      </c>
      <c r="Y4326">
        <v>0.1665479</v>
      </c>
      <c r="Z4326">
        <v>-4.0329739999999999E-3</v>
      </c>
      <c r="AA4326">
        <v>0.98602509999999999</v>
      </c>
      <c r="AB4326">
        <v>30</v>
      </c>
      <c r="AC4326">
        <v>36.7104</v>
      </c>
      <c r="AD4326">
        <v>-1.1220028591810001</v>
      </c>
      <c r="AE4326">
        <v>-5.4792999999999896</v>
      </c>
      <c r="AF4326">
        <v>6.2285524311520097</v>
      </c>
      <c r="AG4326">
        <v>-1.1220028591810001</v>
      </c>
      <c r="AH4326">
        <v>36.556353719568499</v>
      </c>
      <c r="AI4326">
        <v>91.733034522239905</v>
      </c>
      <c r="AJ4326">
        <v>80.330671969639496</v>
      </c>
      <c r="AK4326">
        <v>37.100144919849498</v>
      </c>
      <c r="AL4326">
        <v>78.506906972081396</v>
      </c>
      <c r="AM4326">
        <v>87.981066130155895</v>
      </c>
      <c r="AN4326">
        <v>0.99999998178371097</v>
      </c>
    </row>
    <row r="4327" spans="1:40" x14ac:dyDescent="0.25">
      <c r="A4327" t="str">
        <f>"20190303170340174"</f>
        <v>20190303170340174</v>
      </c>
      <c r="B4327" t="str">
        <f>"1551603820160258"</f>
        <v>1551603820160258</v>
      </c>
      <c r="C4327" t="s">
        <v>40</v>
      </c>
      <c r="D4327">
        <v>4.3920589999999997</v>
      </c>
      <c r="E4327">
        <v>0.55544479999999996</v>
      </c>
      <c r="F4327" t="s">
        <v>57</v>
      </c>
      <c r="G4327">
        <v>-197.7414</v>
      </c>
      <c r="H4327" s="1">
        <v>3.0179840000000001E-6</v>
      </c>
      <c r="I4327">
        <v>209.73670000000001</v>
      </c>
      <c r="J4327">
        <v>-233.50819999999999</v>
      </c>
      <c r="K4327">
        <v>1.1220019999999999</v>
      </c>
      <c r="L4327">
        <v>215.10579999999999</v>
      </c>
      <c r="M4327">
        <v>0.99968170000000001</v>
      </c>
      <c r="N4327">
        <v>-1.423556E-2</v>
      </c>
      <c r="O4327">
        <v>2.0829500000000001E-2</v>
      </c>
      <c r="P4327">
        <v>0.98278750000000004</v>
      </c>
      <c r="Q4327">
        <v>0.1841912</v>
      </c>
      <c r="R4327">
        <v>-1.421769E-2</v>
      </c>
      <c r="S4327">
        <v>3.0644840000000002</v>
      </c>
      <c r="T4327">
        <v>-9.5309969999999994E-2</v>
      </c>
      <c r="U4327">
        <v>-0.4555206</v>
      </c>
      <c r="V4327">
        <v>3.460717E-2</v>
      </c>
      <c r="W4327">
        <v>0.19816990000000001</v>
      </c>
      <c r="X4327">
        <v>0.9795566</v>
      </c>
      <c r="Y4327">
        <v>0.16748389999999999</v>
      </c>
      <c r="Z4327">
        <v>-4.1383239999999996E-3</v>
      </c>
      <c r="AA4327">
        <v>0.98586609999999997</v>
      </c>
      <c r="AB4327">
        <v>30</v>
      </c>
      <c r="AC4327">
        <v>35.766799999999897</v>
      </c>
      <c r="AD4327">
        <v>-1.1219989820159999</v>
      </c>
      <c r="AE4327">
        <v>-5.3690999999999702</v>
      </c>
      <c r="AF4327">
        <v>6.1071375582371701</v>
      </c>
      <c r="AG4327">
        <v>-1.1219989820159999</v>
      </c>
      <c r="AH4327">
        <v>35.612918363644702</v>
      </c>
      <c r="AI4327">
        <v>91.778583697366599</v>
      </c>
      <c r="AJ4327">
        <v>80.269192744127693</v>
      </c>
      <c r="AK4327">
        <v>36.150186240827203</v>
      </c>
      <c r="AL4327">
        <v>78.570040437283595</v>
      </c>
      <c r="AM4327">
        <v>87.976614700379301</v>
      </c>
      <c r="AN4327">
        <v>1.0000000490424801</v>
      </c>
    </row>
    <row r="4328" spans="1:40" x14ac:dyDescent="0.25">
      <c r="A4328" t="str">
        <f>"20190303170340197"</f>
        <v>20190303170340197</v>
      </c>
      <c r="B4328" t="str">
        <f>"1551603820189537"</f>
        <v>1551603820189537</v>
      </c>
      <c r="C4328" t="s">
        <v>40</v>
      </c>
      <c r="D4328">
        <v>4.368474</v>
      </c>
      <c r="E4328">
        <v>0.55598259999999999</v>
      </c>
      <c r="F4328" t="s">
        <v>57</v>
      </c>
      <c r="G4328">
        <v>-199.65</v>
      </c>
      <c r="H4328" s="1">
        <v>2.650336E-6</v>
      </c>
      <c r="I4328">
        <v>210.06950000000001</v>
      </c>
      <c r="J4328">
        <v>-233.2209</v>
      </c>
      <c r="K4328">
        <v>1.1220079999999999</v>
      </c>
      <c r="L4328">
        <v>215.11199999999999</v>
      </c>
      <c r="M4328">
        <v>0.99967740000000005</v>
      </c>
      <c r="N4328">
        <v>-1.4232989999999999E-2</v>
      </c>
      <c r="O4328">
        <v>2.1044469999999999E-2</v>
      </c>
      <c r="P4328">
        <v>0.98270860000000004</v>
      </c>
      <c r="Q4328">
        <v>0.18458459999999999</v>
      </c>
      <c r="R4328">
        <v>-1.4589909999999999E-2</v>
      </c>
      <c r="S4328">
        <v>3.0649869999999999</v>
      </c>
      <c r="T4328">
        <v>-0.1015683</v>
      </c>
      <c r="U4328">
        <v>-0.45590209999999998</v>
      </c>
      <c r="V4328">
        <v>3.5189650000000003E-2</v>
      </c>
      <c r="W4328">
        <v>0.1985596</v>
      </c>
      <c r="X4328">
        <v>0.97945680000000002</v>
      </c>
      <c r="Y4328">
        <v>0.16777819999999999</v>
      </c>
      <c r="Z4328">
        <v>-4.3608809999999996E-3</v>
      </c>
      <c r="AA4328">
        <v>0.98581510000000006</v>
      </c>
      <c r="AB4328">
        <v>30</v>
      </c>
      <c r="AC4328">
        <v>33.570899999999902</v>
      </c>
      <c r="AD4328">
        <v>-1.1220053496639999</v>
      </c>
      <c r="AE4328">
        <v>-5.0424999999999898</v>
      </c>
      <c r="AF4328">
        <v>5.7416642184255</v>
      </c>
      <c r="AG4328">
        <v>-1.1220053496639999</v>
      </c>
      <c r="AH4328">
        <v>33.4208281261607</v>
      </c>
      <c r="AI4328">
        <v>91.895071620565304</v>
      </c>
      <c r="AJ4328">
        <v>80.251805700289196</v>
      </c>
      <c r="AK4328">
        <v>33.929004651480597</v>
      </c>
      <c r="AL4328">
        <v>78.5472581338976</v>
      </c>
      <c r="AM4328">
        <v>87.942378278979604</v>
      </c>
      <c r="AN4328">
        <v>0.999999924642758</v>
      </c>
    </row>
    <row r="4329" spans="1:40" x14ac:dyDescent="0.25">
      <c r="A4329" t="str">
        <f>"20190303170340214"</f>
        <v>20190303170340214</v>
      </c>
      <c r="B4329" t="str">
        <f>"1551603820200273"</f>
        <v>1551603820200273</v>
      </c>
      <c r="C4329" t="s">
        <v>40</v>
      </c>
      <c r="D4329">
        <v>4.3648540000000002</v>
      </c>
      <c r="E4329">
        <v>0.55606290000000003</v>
      </c>
      <c r="F4329" t="s">
        <v>57</v>
      </c>
      <c r="G4329">
        <v>-199.12280000000001</v>
      </c>
      <c r="H4329" s="1">
        <v>2.7512579999999999E-6</v>
      </c>
      <c r="I4329">
        <v>209.98490000000001</v>
      </c>
      <c r="J4329">
        <v>-232.97829999999999</v>
      </c>
      <c r="K4329">
        <v>1.1220049999999999</v>
      </c>
      <c r="L4329">
        <v>215.1173</v>
      </c>
      <c r="M4329">
        <v>0.99967349999999999</v>
      </c>
      <c r="N4329">
        <v>-1.423082E-2</v>
      </c>
      <c r="O4329">
        <v>2.122276E-2</v>
      </c>
      <c r="P4329">
        <v>0.98261270000000001</v>
      </c>
      <c r="Q4329">
        <v>0.18508040000000001</v>
      </c>
      <c r="R4329">
        <v>-1.4754959999999999E-2</v>
      </c>
      <c r="S4329">
        <v>3.06488</v>
      </c>
      <c r="T4329">
        <v>-0.1008506</v>
      </c>
      <c r="U4329">
        <v>-0.46084589999999998</v>
      </c>
      <c r="V4329">
        <v>3.552901E-2</v>
      </c>
      <c r="W4329">
        <v>0.1990517</v>
      </c>
      <c r="X4329">
        <v>0.97934469999999996</v>
      </c>
      <c r="Y4329">
        <v>0.16951440000000001</v>
      </c>
      <c r="Z4329">
        <v>-4.3803490000000004E-3</v>
      </c>
      <c r="AA4329">
        <v>0.98551800000000001</v>
      </c>
      <c r="AB4329">
        <v>30</v>
      </c>
      <c r="AC4329">
        <v>33.8554999999999</v>
      </c>
      <c r="AD4329">
        <v>-1.1220022487419901</v>
      </c>
      <c r="AE4329">
        <v>-5.1323999999999899</v>
      </c>
      <c r="AF4329">
        <v>5.8435498077190999</v>
      </c>
      <c r="AG4329">
        <v>-1.1220022487419901</v>
      </c>
      <c r="AH4329">
        <v>33.702753694159497</v>
      </c>
      <c r="AI4329">
        <v>91.878726372969695</v>
      </c>
      <c r="AJ4329">
        <v>80.163565659093805</v>
      </c>
      <c r="AK4329">
        <v>34.223991146133997</v>
      </c>
      <c r="AL4329">
        <v>78.518489084762606</v>
      </c>
      <c r="AM4329">
        <v>87.922314819193005</v>
      </c>
      <c r="AN4329">
        <v>0.99999996562127902</v>
      </c>
    </row>
    <row r="4330" spans="1:40" x14ac:dyDescent="0.25">
      <c r="A4330" t="str">
        <f>"20190303170340230"</f>
        <v>20190303170340230</v>
      </c>
      <c r="B4330" t="str">
        <f>"1551603820219794"</f>
        <v>1551603820219794</v>
      </c>
      <c r="C4330" t="s">
        <v>40</v>
      </c>
      <c r="D4330">
        <v>4.381297</v>
      </c>
      <c r="E4330">
        <v>0.55620000000000003</v>
      </c>
      <c r="F4330" t="s">
        <v>57</v>
      </c>
      <c r="G4330">
        <v>-198.63820000000001</v>
      </c>
      <c r="H4330" s="1">
        <v>2.8409650000000001E-6</v>
      </c>
      <c r="I4330">
        <v>209.94200000000001</v>
      </c>
      <c r="J4330">
        <v>-232.78020000000001</v>
      </c>
      <c r="K4330">
        <v>1.122007</v>
      </c>
      <c r="L4330">
        <v>215.1216</v>
      </c>
      <c r="M4330">
        <v>0.99967059999999996</v>
      </c>
      <c r="N4330">
        <v>-1.4228879999999999E-2</v>
      </c>
      <c r="O4330">
        <v>2.1365289999999999E-2</v>
      </c>
      <c r="P4330">
        <v>0.98243519999999895</v>
      </c>
      <c r="Q4330">
        <v>0.1860347</v>
      </c>
      <c r="R4330">
        <v>-1.456818E-2</v>
      </c>
      <c r="S4330">
        <v>3.0650330000000001</v>
      </c>
      <c r="T4330">
        <v>-0.1001446</v>
      </c>
      <c r="U4330">
        <v>-0.46192929999999999</v>
      </c>
      <c r="V4330">
        <v>3.5479869999999997E-2</v>
      </c>
      <c r="W4330">
        <v>0.20000119999999999</v>
      </c>
      <c r="X4330">
        <v>0.97915300000000005</v>
      </c>
      <c r="Y4330">
        <v>0.16998959999999999</v>
      </c>
      <c r="Z4330">
        <v>-4.3694770000000001E-3</v>
      </c>
      <c r="AA4330">
        <v>0.98543619999999998</v>
      </c>
      <c r="AB4330">
        <v>30</v>
      </c>
      <c r="AC4330">
        <v>34.142000000000003</v>
      </c>
      <c r="AD4330">
        <v>-1.1220041590350001</v>
      </c>
      <c r="AE4330">
        <v>-5.17959999999999</v>
      </c>
      <c r="AF4330">
        <v>5.9017146673108298</v>
      </c>
      <c r="AG4330">
        <v>-1.1220041590350001</v>
      </c>
      <c r="AH4330">
        <v>33.987650386722997</v>
      </c>
      <c r="AI4330">
        <v>91.862911631097006</v>
      </c>
      <c r="AJ4330">
        <v>80.149216618686197</v>
      </c>
      <c r="AK4330">
        <v>34.514482585682103</v>
      </c>
      <c r="AL4330">
        <v>78.462970201416596</v>
      </c>
      <c r="AM4330">
        <v>87.9247800871441</v>
      </c>
      <c r="AN4330">
        <v>0.99999994929282698</v>
      </c>
    </row>
    <row r="4331" spans="1:40" x14ac:dyDescent="0.25">
      <c r="A4331" t="str">
        <f>"20190303170340252"</f>
        <v>20190303170340252</v>
      </c>
      <c r="B4331" t="str">
        <f>"1551603820240289"</f>
        <v>1551603820240289</v>
      </c>
      <c r="C4331" t="s">
        <v>40</v>
      </c>
      <c r="D4331">
        <v>4.3858689999999996</v>
      </c>
      <c r="E4331">
        <v>0.55651010000000001</v>
      </c>
      <c r="F4331" t="s">
        <v>57</v>
      </c>
      <c r="G4331">
        <v>-197.44049999999999</v>
      </c>
      <c r="H4331" s="1">
        <v>3.06723E-6</v>
      </c>
      <c r="I4331">
        <v>209.7841</v>
      </c>
      <c r="J4331">
        <v>-232.47739999999999</v>
      </c>
      <c r="K4331">
        <v>1.122001</v>
      </c>
      <c r="L4331">
        <v>215.1284</v>
      </c>
      <c r="M4331">
        <v>0.9996661</v>
      </c>
      <c r="N4331">
        <v>-1.4225949999999999E-2</v>
      </c>
      <c r="O4331">
        <v>2.1576310000000001E-2</v>
      </c>
      <c r="P4331">
        <v>0.98241659999999997</v>
      </c>
      <c r="Q4331">
        <v>0.1861199</v>
      </c>
      <c r="R4331">
        <v>-1.475011E-2</v>
      </c>
      <c r="S4331">
        <v>3.0652159999999999</v>
      </c>
      <c r="T4331">
        <v>-9.7317699999999993E-2</v>
      </c>
      <c r="U4331">
        <v>-0.46295170000000002</v>
      </c>
      <c r="V4331">
        <v>3.5871489999999999E-2</v>
      </c>
      <c r="W4331">
        <v>0.2000825</v>
      </c>
      <c r="X4331">
        <v>0.97912220000000005</v>
      </c>
      <c r="Y4331">
        <v>0.17051629999999901</v>
      </c>
      <c r="Z4331">
        <v>-4.2873010000000003E-3</v>
      </c>
      <c r="AA4331">
        <v>0.98534549999999999</v>
      </c>
      <c r="AB4331">
        <v>30</v>
      </c>
      <c r="AC4331">
        <v>35.036900000000003</v>
      </c>
      <c r="AD4331">
        <v>-1.12199793277</v>
      </c>
      <c r="AE4331">
        <v>-5.3442999999999996</v>
      </c>
      <c r="AF4331">
        <v>6.0929928042424404</v>
      </c>
      <c r="AG4331">
        <v>-1.12199793277</v>
      </c>
      <c r="AH4331">
        <v>34.878465618062101</v>
      </c>
      <c r="AI4331">
        <v>91.815032307619802</v>
      </c>
      <c r="AJ4331">
        <v>80.090871906695597</v>
      </c>
      <c r="AK4331">
        <v>35.424437956642699</v>
      </c>
      <c r="AL4331">
        <v>78.458216862607003</v>
      </c>
      <c r="AM4331">
        <v>87.901828627049795</v>
      </c>
      <c r="AN4331">
        <v>1.00000002656695</v>
      </c>
    </row>
    <row r="4332" spans="1:40" x14ac:dyDescent="0.25">
      <c r="A4332" t="str">
        <f>"20190303170340276"</f>
        <v>20190303170340276</v>
      </c>
      <c r="B4332" t="str">
        <f>"1551603820269569"</f>
        <v>1551603820269569</v>
      </c>
      <c r="C4332" t="s">
        <v>40</v>
      </c>
      <c r="D4332">
        <v>4.4088159999999998</v>
      </c>
      <c r="E4332">
        <v>0.55690419999999996</v>
      </c>
      <c r="F4332" t="s">
        <v>57</v>
      </c>
      <c r="G4332">
        <v>-197.0693</v>
      </c>
      <c r="H4332" s="1">
        <v>3.1354730000000002E-6</v>
      </c>
      <c r="I4332">
        <v>209.75659999999999</v>
      </c>
      <c r="J4332">
        <v>-232.1808</v>
      </c>
      <c r="K4332">
        <v>1.121991</v>
      </c>
      <c r="L4332">
        <v>215.13499999999999</v>
      </c>
      <c r="M4332">
        <v>0.99966189999999999</v>
      </c>
      <c r="N4332">
        <v>-1.4223039999999999E-2</v>
      </c>
      <c r="O4332">
        <v>2.177229E-2</v>
      </c>
      <c r="P4332">
        <v>0.98265579999999997</v>
      </c>
      <c r="Q4332">
        <v>0.18479290000000001</v>
      </c>
      <c r="R4332">
        <v>-1.5475569999999999E-2</v>
      </c>
      <c r="S4332">
        <v>3.0651250000000001</v>
      </c>
      <c r="T4332">
        <v>-9.7126480000000001E-2</v>
      </c>
      <c r="U4332">
        <v>-0.46501160000000002</v>
      </c>
      <c r="V4332">
        <v>3.6798839999999999E-2</v>
      </c>
      <c r="W4332">
        <v>0.19875499999999999</v>
      </c>
      <c r="X4332">
        <v>0.97935810000000001</v>
      </c>
      <c r="Y4332">
        <v>0.17136089999999901</v>
      </c>
      <c r="Z4332">
        <v>-4.3032540000000003E-3</v>
      </c>
      <c r="AA4332">
        <v>0.98519889999999999</v>
      </c>
      <c r="AB4332">
        <v>30</v>
      </c>
      <c r="AC4332">
        <v>35.111499999999999</v>
      </c>
      <c r="AD4332">
        <v>-1.1219878645270001</v>
      </c>
      <c r="AE4332">
        <v>-5.3783999999999903</v>
      </c>
      <c r="AF4332">
        <v>6.1355383298139499</v>
      </c>
      <c r="AG4332">
        <v>-1.1219878645270001</v>
      </c>
      <c r="AH4332">
        <v>34.951192219973102</v>
      </c>
      <c r="AI4332">
        <v>91.810979301893695</v>
      </c>
      <c r="AJ4332">
        <v>80.043409222772098</v>
      </c>
      <c r="AK4332">
        <v>35.503373430735799</v>
      </c>
      <c r="AL4332">
        <v>78.535835693741603</v>
      </c>
      <c r="AM4332">
        <v>87.848155017512994</v>
      </c>
      <c r="AN4332">
        <v>0.99999999634297698</v>
      </c>
    </row>
    <row r="4333" spans="1:40" x14ac:dyDescent="0.25">
      <c r="A4333" t="str">
        <f>"20190303170340298"</f>
        <v>20190303170340298</v>
      </c>
      <c r="B4333" t="str">
        <f>"1551603820290065"</f>
        <v>1551603820290065</v>
      </c>
      <c r="C4333" t="s">
        <v>40</v>
      </c>
      <c r="D4333">
        <v>4.3960030000000003</v>
      </c>
      <c r="E4333">
        <v>0.55717720000000004</v>
      </c>
      <c r="F4333" t="s">
        <v>57</v>
      </c>
      <c r="G4333">
        <v>-198.572</v>
      </c>
      <c r="H4333" s="1">
        <v>2.8493649999999999E-6</v>
      </c>
      <c r="I4333">
        <v>209.9804</v>
      </c>
      <c r="J4333">
        <v>-231.87880000000001</v>
      </c>
      <c r="K4333">
        <v>1.1219760000000001</v>
      </c>
      <c r="L4333">
        <v>215.14179999999999</v>
      </c>
      <c r="M4333">
        <v>0.99965780000000004</v>
      </c>
      <c r="N4333">
        <v>-1.422004E-2</v>
      </c>
      <c r="O4333">
        <v>2.195685E-2</v>
      </c>
      <c r="P4333">
        <v>0.98286229999999997</v>
      </c>
      <c r="Q4333">
        <v>0.18364469999999999</v>
      </c>
      <c r="R4333">
        <v>-1.6007960000000002E-2</v>
      </c>
      <c r="S4333">
        <v>3.0647890000000002</v>
      </c>
      <c r="T4333">
        <v>-0.102314</v>
      </c>
      <c r="U4333">
        <v>-0.47004699999999999</v>
      </c>
      <c r="V4333">
        <v>3.7522220000000002E-2</v>
      </c>
      <c r="W4333">
        <v>0.19760659999999999</v>
      </c>
      <c r="X4333">
        <v>0.97956299999999996</v>
      </c>
      <c r="Y4333">
        <v>0.17312710000000001</v>
      </c>
      <c r="Z4333">
        <v>-4.5293989999999999E-3</v>
      </c>
      <c r="AA4333">
        <v>0.98488909999999996</v>
      </c>
      <c r="AB4333">
        <v>30</v>
      </c>
      <c r="AC4333">
        <v>33.306800000000003</v>
      </c>
      <c r="AD4333">
        <v>-1.1219731506349999</v>
      </c>
      <c r="AE4333">
        <v>-5.16139999999998</v>
      </c>
      <c r="AF4333">
        <v>5.8850203819321099</v>
      </c>
      <c r="AG4333">
        <v>-1.1219731506349999</v>
      </c>
      <c r="AH4333">
        <v>33.148695939241399</v>
      </c>
      <c r="AI4333">
        <v>91.908707932548694</v>
      </c>
      <c r="AJ4333">
        <v>79.932942443141101</v>
      </c>
      <c r="AK4333">
        <v>33.685728893980901</v>
      </c>
      <c r="AL4333">
        <v>78.602965452055997</v>
      </c>
      <c r="AM4333">
        <v>87.806354174467799</v>
      </c>
      <c r="AN4333">
        <v>0.99999997816314301</v>
      </c>
    </row>
    <row r="4334" spans="1:40" x14ac:dyDescent="0.25">
      <c r="A4334" t="str">
        <f>"20190303170340330"</f>
        <v>20190303170340330</v>
      </c>
      <c r="B4334" t="str">
        <f>"1551603820319344"</f>
        <v>1551603820319344</v>
      </c>
      <c r="C4334" t="s">
        <v>40</v>
      </c>
      <c r="D4334">
        <v>4.3982250000000001</v>
      </c>
      <c r="E4334">
        <v>0.55754309999999996</v>
      </c>
      <c r="F4334" t="s">
        <v>57</v>
      </c>
      <c r="G4334">
        <v>-199.29150000000001</v>
      </c>
      <c r="H4334" s="1">
        <v>2.7107429999999999E-6</v>
      </c>
      <c r="I4334">
        <v>210.10599999999999</v>
      </c>
      <c r="J4334">
        <v>-231.45500000000001</v>
      </c>
      <c r="K4334">
        <v>1.12195</v>
      </c>
      <c r="L4334">
        <v>215.15129999999999</v>
      </c>
      <c r="M4334">
        <v>0.99965269999999995</v>
      </c>
      <c r="N4334">
        <v>-1.421569E-2</v>
      </c>
      <c r="O4334">
        <v>2.219252E-2</v>
      </c>
      <c r="P4334">
        <v>0.98291010000000001</v>
      </c>
      <c r="Q4334">
        <v>0.18326210000000001</v>
      </c>
      <c r="R4334">
        <v>-1.740334E-2</v>
      </c>
      <c r="S4334">
        <v>3.064346</v>
      </c>
      <c r="T4334">
        <v>-0.105505</v>
      </c>
      <c r="U4334">
        <v>-0.4735413</v>
      </c>
      <c r="V4334">
        <v>3.9157440000000002E-2</v>
      </c>
      <c r="W4334">
        <v>0.19721859999999999</v>
      </c>
      <c r="X4334">
        <v>0.97957720000000004</v>
      </c>
      <c r="Y4334">
        <v>0.1744686</v>
      </c>
      <c r="Z4334">
        <v>-4.6790260000000002E-3</v>
      </c>
      <c r="AA4334">
        <v>0.98465159999999996</v>
      </c>
      <c r="AB4334">
        <v>29</v>
      </c>
      <c r="AC4334">
        <v>32.163499999999999</v>
      </c>
      <c r="AD4334">
        <v>-1.1219472892569999</v>
      </c>
      <c r="AE4334">
        <v>-5.0452999999999903</v>
      </c>
      <c r="AF4334">
        <v>5.7510885289801603</v>
      </c>
      <c r="AG4334">
        <v>-1.1219472892569999</v>
      </c>
      <c r="AH4334">
        <v>32.005588749150299</v>
      </c>
      <c r="AI4334">
        <v>91.976043372008405</v>
      </c>
      <c r="AJ4334">
        <v>79.813224047028498</v>
      </c>
      <c r="AK4334">
        <v>32.537539798942703</v>
      </c>
      <c r="AL4334">
        <v>78.625642578741903</v>
      </c>
      <c r="AM4334">
        <v>87.710887722118798</v>
      </c>
      <c r="AN4334">
        <v>0.99999998602657603</v>
      </c>
    </row>
    <row r="4335" spans="1:40" x14ac:dyDescent="0.25">
      <c r="A4335" t="str">
        <f>"20190303170340353"</f>
        <v>20190303170340353</v>
      </c>
      <c r="B4335" t="str">
        <f>"1551603820339842"</f>
        <v>1551603820339842</v>
      </c>
      <c r="C4335" t="s">
        <v>40</v>
      </c>
      <c r="D4335">
        <v>4.4358510000000004</v>
      </c>
      <c r="E4335">
        <v>0.55779259999999997</v>
      </c>
      <c r="F4335" t="s">
        <v>57</v>
      </c>
      <c r="G4335">
        <v>-199.1345</v>
      </c>
      <c r="H4335" s="1">
        <v>2.7406289999999998E-6</v>
      </c>
      <c r="I4335">
        <v>210.08269999999999</v>
      </c>
      <c r="J4335">
        <v>-231.16040000000001</v>
      </c>
      <c r="K4335">
        <v>1.121934</v>
      </c>
      <c r="L4335">
        <v>215.15799999999999</v>
      </c>
      <c r="M4335">
        <v>0.99964969999999997</v>
      </c>
      <c r="N4335">
        <v>-1.421271E-2</v>
      </c>
      <c r="O4335">
        <v>2.233369E-2</v>
      </c>
      <c r="P4335">
        <v>0.98287429999999998</v>
      </c>
      <c r="Q4335">
        <v>0.18337220000000001</v>
      </c>
      <c r="R4335">
        <v>-1.8249959999999999E-2</v>
      </c>
      <c r="S4335">
        <v>3.0634920000000001</v>
      </c>
      <c r="T4335">
        <v>-0.1063434</v>
      </c>
      <c r="U4335">
        <v>-0.48042299999999899</v>
      </c>
      <c r="V4335">
        <v>4.014823E-2</v>
      </c>
      <c r="W4335">
        <v>0.19732430000000001</v>
      </c>
      <c r="X4335">
        <v>0.97951589999999999</v>
      </c>
      <c r="Y4335">
        <v>0.17680399999999999</v>
      </c>
      <c r="Z4335">
        <v>-4.7691089999999997E-3</v>
      </c>
      <c r="AA4335">
        <v>0.98423450000000001</v>
      </c>
      <c r="AB4335">
        <v>29</v>
      </c>
      <c r="AC4335">
        <v>32.0259</v>
      </c>
      <c r="AD4335">
        <v>-1.121931259371</v>
      </c>
      <c r="AE4335">
        <v>-5.0752999999999897</v>
      </c>
      <c r="AF4335">
        <v>5.7824398934091903</v>
      </c>
      <c r="AG4335">
        <v>-1.121931259371</v>
      </c>
      <c r="AH4335">
        <v>31.866398978083499</v>
      </c>
      <c r="AI4335">
        <v>91.984026083792003</v>
      </c>
      <c r="AJ4335">
        <v>79.7150845460787</v>
      </c>
      <c r="AK4335">
        <v>32.4062142914294</v>
      </c>
      <c r="AL4335">
        <v>78.619466091715395</v>
      </c>
      <c r="AM4335">
        <v>87.652884197466406</v>
      </c>
      <c r="AN4335">
        <v>1.0000000790477099</v>
      </c>
    </row>
    <row r="4336" spans="1:40" x14ac:dyDescent="0.25">
      <c r="A4336" t="str">
        <f>"20190303170340375"</f>
        <v>20190303170340375</v>
      </c>
      <c r="B4336" t="str">
        <f>"1551603820370097"</f>
        <v>1551603820370097</v>
      </c>
      <c r="C4336" t="s">
        <v>40</v>
      </c>
      <c r="D4336">
        <v>4.4075249999999997</v>
      </c>
      <c r="E4336">
        <v>0.55815239999999999</v>
      </c>
      <c r="F4336" t="s">
        <v>57</v>
      </c>
      <c r="G4336">
        <v>-198.69720000000001</v>
      </c>
      <c r="H4336" s="1">
        <v>2.824117E-6</v>
      </c>
      <c r="I4336">
        <v>210.01499999999999</v>
      </c>
      <c r="J4336">
        <v>-230.85820000000001</v>
      </c>
      <c r="K4336">
        <v>1.12191</v>
      </c>
      <c r="L4336">
        <v>215.16489999999999</v>
      </c>
      <c r="M4336">
        <v>0.99964710000000001</v>
      </c>
      <c r="N4336">
        <v>-1.4209869999999999E-2</v>
      </c>
      <c r="O4336">
        <v>2.2448510000000001E-2</v>
      </c>
      <c r="P4336">
        <v>0.98296660000000002</v>
      </c>
      <c r="Q4336">
        <v>0.18283199999999999</v>
      </c>
      <c r="R4336">
        <v>-1.8690869999999998E-2</v>
      </c>
      <c r="S4336">
        <v>3.0630039999999998</v>
      </c>
      <c r="T4336">
        <v>-0.1058577</v>
      </c>
      <c r="U4336">
        <v>-0.48526000000000002</v>
      </c>
      <c r="V4336">
        <v>4.0713810000000003E-2</v>
      </c>
      <c r="W4336">
        <v>0.1967806</v>
      </c>
      <c r="X4336">
        <v>0.97960190000000003</v>
      </c>
      <c r="Y4336">
        <v>0.17845730000000001</v>
      </c>
      <c r="Z4336">
        <v>-4.7943450000000002E-3</v>
      </c>
      <c r="AA4336">
        <v>0.98393600000000003</v>
      </c>
      <c r="AB4336">
        <v>29</v>
      </c>
      <c r="AC4336">
        <v>32.161000000000001</v>
      </c>
      <c r="AD4336">
        <v>-1.1219071758829999</v>
      </c>
      <c r="AE4336">
        <v>-5.1498999999999997</v>
      </c>
      <c r="AF4336">
        <v>5.8636842053622704</v>
      </c>
      <c r="AG4336">
        <v>-1.1219071758829999</v>
      </c>
      <c r="AH4336">
        <v>31.999308120947099</v>
      </c>
      <c r="AI4336">
        <v>91.975127695712303</v>
      </c>
      <c r="AJ4336">
        <v>79.616089067978507</v>
      </c>
      <c r="AK4336">
        <v>32.551454474275403</v>
      </c>
      <c r="AL4336">
        <v>78.651240487250703</v>
      </c>
      <c r="AM4336">
        <v>87.620066159108504</v>
      </c>
      <c r="AN4336">
        <v>1.0000000506723401</v>
      </c>
    </row>
    <row r="4337" spans="1:40" x14ac:dyDescent="0.25">
      <c r="A4337" t="str">
        <f>"20190303170340397"</f>
        <v>20190303170340397</v>
      </c>
      <c r="B4337" t="str">
        <f>"1551603820389617"</f>
        <v>1551603820389617</v>
      </c>
      <c r="C4337" t="s">
        <v>40</v>
      </c>
      <c r="D4337">
        <v>4.4117470000000001</v>
      </c>
      <c r="E4337">
        <v>0.55834039999999996</v>
      </c>
      <c r="F4337" t="s">
        <v>57</v>
      </c>
      <c r="G4337">
        <v>-198.84039999999999</v>
      </c>
      <c r="H4337" s="1">
        <v>2.7966219999999998E-6</v>
      </c>
      <c r="I4337">
        <v>210.03899999999999</v>
      </c>
      <c r="J4337">
        <v>-230.5772</v>
      </c>
      <c r="K4337">
        <v>1.1218870000000001</v>
      </c>
      <c r="L4337">
        <v>215.1713</v>
      </c>
      <c r="M4337">
        <v>0.99964540000000002</v>
      </c>
      <c r="N4337">
        <v>-1.4206979999999999E-2</v>
      </c>
      <c r="O4337">
        <v>2.2522629999999998E-2</v>
      </c>
      <c r="P4337">
        <v>0.98306950000000004</v>
      </c>
      <c r="Q4337">
        <v>0.18222969999999999</v>
      </c>
      <c r="R4337">
        <v>-1.915029E-2</v>
      </c>
      <c r="S4337">
        <v>3.0626069999999999</v>
      </c>
      <c r="T4337">
        <v>-0.1073142</v>
      </c>
      <c r="U4337">
        <v>-0.49031069999999999</v>
      </c>
      <c r="V4337">
        <v>4.1259770000000001E-2</v>
      </c>
      <c r="W4337">
        <v>0.19617419999999999</v>
      </c>
      <c r="X4337">
        <v>0.97970060000000003</v>
      </c>
      <c r="Y4337">
        <v>0.18012709999999901</v>
      </c>
      <c r="Z4337">
        <v>-4.8896419999999996E-3</v>
      </c>
      <c r="AA4337">
        <v>0.98363120000000004</v>
      </c>
      <c r="AB4337">
        <v>29</v>
      </c>
      <c r="AC4337">
        <v>31.736799999999999</v>
      </c>
      <c r="AD4337">
        <v>-1.1218842033779901</v>
      </c>
      <c r="AE4337">
        <v>-5.1322999999999803</v>
      </c>
      <c r="AF4337">
        <v>5.8387560361345701</v>
      </c>
      <c r="AG4337">
        <v>-1.1218842033779901</v>
      </c>
      <c r="AH4337">
        <v>31.5746931539292</v>
      </c>
      <c r="AI4337">
        <v>92.001030415511394</v>
      </c>
      <c r="AJ4337">
        <v>79.523277452546395</v>
      </c>
      <c r="AK4337">
        <v>32.129596075582199</v>
      </c>
      <c r="AL4337">
        <v>78.686674468528594</v>
      </c>
      <c r="AM4337">
        <v>87.588432087249899</v>
      </c>
      <c r="AN4337">
        <v>0.99999997550322595</v>
      </c>
    </row>
    <row r="4338" spans="1:40" x14ac:dyDescent="0.25">
      <c r="A4338" t="str">
        <f>"20190303170340419"</f>
        <v>20190303170340419</v>
      </c>
      <c r="B4338" t="str">
        <f>"1551603820410114"</f>
        <v>1551603820410114</v>
      </c>
      <c r="C4338" t="s">
        <v>40</v>
      </c>
      <c r="D4338">
        <v>4.4096380000000002</v>
      </c>
      <c r="E4338">
        <v>0.55853199999999903</v>
      </c>
      <c r="F4338" t="s">
        <v>57</v>
      </c>
      <c r="G4338">
        <v>-198.9469</v>
      </c>
      <c r="H4338" s="1">
        <v>2.7743700000000001E-6</v>
      </c>
      <c r="I4338">
        <v>210.07749999999999</v>
      </c>
      <c r="J4338">
        <v>-230.28579999999999</v>
      </c>
      <c r="K4338">
        <v>1.1218619999999999</v>
      </c>
      <c r="L4338">
        <v>215.17789999999999</v>
      </c>
      <c r="M4338">
        <v>0.99964430000000004</v>
      </c>
      <c r="N4338">
        <v>-1.420372E-2</v>
      </c>
      <c r="O4338">
        <v>2.2572890000000002E-2</v>
      </c>
      <c r="P4338">
        <v>0.98307250000000002</v>
      </c>
      <c r="Q4338">
        <v>0.1821962</v>
      </c>
      <c r="R4338">
        <v>-1.9321809999999998E-2</v>
      </c>
      <c r="S4338">
        <v>3.0622250000000002</v>
      </c>
      <c r="T4338">
        <v>-0.108612899999999</v>
      </c>
      <c r="U4338">
        <v>-0.4931488</v>
      </c>
      <c r="V4338">
        <v>4.1492439999999998E-2</v>
      </c>
      <c r="W4338">
        <v>0.1961349</v>
      </c>
      <c r="X4338">
        <v>0.97969870000000003</v>
      </c>
      <c r="Y4338">
        <v>0.18108009999999999</v>
      </c>
      <c r="Z4338">
        <v>-4.9618170000000003E-3</v>
      </c>
      <c r="AA4338">
        <v>0.98345579999999999</v>
      </c>
      <c r="AB4338">
        <v>29</v>
      </c>
      <c r="AC4338">
        <v>31.338899999999899</v>
      </c>
      <c r="AD4338">
        <v>-1.12185922563</v>
      </c>
      <c r="AE4338">
        <v>-5.1003999999999996</v>
      </c>
      <c r="AF4338">
        <v>5.79934113647783</v>
      </c>
      <c r="AG4338">
        <v>-1.12185922563</v>
      </c>
      <c r="AH4338">
        <v>31.176849508628099</v>
      </c>
      <c r="AI4338">
        <v>92.026101386325294</v>
      </c>
      <c r="AJ4338">
        <v>79.4625978199592</v>
      </c>
      <c r="AK4338">
        <v>31.731480756860702</v>
      </c>
      <c r="AL4338">
        <v>78.688971453156299</v>
      </c>
      <c r="AM4338">
        <v>87.574844389560397</v>
      </c>
      <c r="AN4338">
        <v>1.0000000321784199</v>
      </c>
    </row>
    <row r="4339" spans="1:40" x14ac:dyDescent="0.25">
      <c r="A4339" t="str">
        <f>"20190303170340442"</f>
        <v>20190303170340442</v>
      </c>
      <c r="B4339" t="str">
        <f>"1551603820429633"</f>
        <v>1551603820429633</v>
      </c>
      <c r="C4339" t="s">
        <v>40</v>
      </c>
      <c r="D4339">
        <v>4.4110040000000001</v>
      </c>
      <c r="E4339">
        <v>0.55872180000000005</v>
      </c>
      <c r="F4339" t="s">
        <v>57</v>
      </c>
      <c r="G4339">
        <v>-198.89609999999999</v>
      </c>
      <c r="H4339" s="1">
        <v>2.7809590000000001E-6</v>
      </c>
      <c r="I4339">
        <v>210.1052</v>
      </c>
      <c r="J4339">
        <v>-229.99109999999999</v>
      </c>
      <c r="K4339">
        <v>1.121847</v>
      </c>
      <c r="L4339">
        <v>215.18459999999999</v>
      </c>
      <c r="M4339">
        <v>0.99964379999999997</v>
      </c>
      <c r="N4339">
        <v>-1.420036E-2</v>
      </c>
      <c r="O4339">
        <v>2.2599910000000001E-2</v>
      </c>
      <c r="P4339">
        <v>0.98288850000000005</v>
      </c>
      <c r="Q4339">
        <v>0.18320149999999999</v>
      </c>
      <c r="R4339">
        <v>-1.9176700000000001E-2</v>
      </c>
      <c r="S4339">
        <v>3.0622099999999999</v>
      </c>
      <c r="T4339">
        <v>-0.1094425</v>
      </c>
      <c r="U4339">
        <v>-0.49487300000000001</v>
      </c>
      <c r="V4339">
        <v>4.1379649999999997E-2</v>
      </c>
      <c r="W4339">
        <v>0.19713220000000001</v>
      </c>
      <c r="X4339">
        <v>0.97950329999999997</v>
      </c>
      <c r="Y4339">
        <v>0.18164449999999999</v>
      </c>
      <c r="Z4339">
        <v>-5.006562E-3</v>
      </c>
      <c r="AA4339">
        <v>0.98335150000000004</v>
      </c>
      <c r="AB4339">
        <v>29</v>
      </c>
      <c r="AC4339">
        <v>31.094999999999999</v>
      </c>
      <c r="AD4339">
        <v>-1.1218442190410001</v>
      </c>
      <c r="AE4339">
        <v>-5.0793999999999899</v>
      </c>
      <c r="AF4339">
        <v>5.7735977152036302</v>
      </c>
      <c r="AG4339">
        <v>-1.1218442190410001</v>
      </c>
      <c r="AH4339">
        <v>30.933034259084501</v>
      </c>
      <c r="AI4339">
        <v>92.041797521179404</v>
      </c>
      <c r="AJ4339">
        <v>79.427494456090201</v>
      </c>
      <c r="AK4339">
        <v>31.4872287364655</v>
      </c>
      <c r="AL4339">
        <v>78.630692769421202</v>
      </c>
      <c r="AM4339">
        <v>87.580947010525193</v>
      </c>
      <c r="AN4339">
        <v>1.0000000472109201</v>
      </c>
    </row>
    <row r="4340" spans="1:40" x14ac:dyDescent="0.25">
      <c r="A4340" t="str">
        <f>"20190303170340464"</f>
        <v>20190303170340464</v>
      </c>
      <c r="B4340" t="str">
        <f>"1551603820459890"</f>
        <v>1551603820459890</v>
      </c>
      <c r="C4340" t="s">
        <v>40</v>
      </c>
      <c r="D4340">
        <v>4.4280749999999998</v>
      </c>
      <c r="E4340">
        <v>0.55901619999999996</v>
      </c>
      <c r="F4340" t="s">
        <v>57</v>
      </c>
      <c r="G4340">
        <v>-197.7457</v>
      </c>
      <c r="H4340" s="1">
        <v>2.99719E-6</v>
      </c>
      <c r="I4340">
        <v>209.96600000000001</v>
      </c>
      <c r="J4340">
        <v>-229.69210000000001</v>
      </c>
      <c r="K4340">
        <v>1.121839</v>
      </c>
      <c r="L4340">
        <v>215.19139999999999</v>
      </c>
      <c r="M4340">
        <v>0.99964370000000002</v>
      </c>
      <c r="N4340">
        <v>-1.419698E-2</v>
      </c>
      <c r="O4340">
        <v>2.2608320000000001E-2</v>
      </c>
      <c r="P4340">
        <v>0.98279399999999995</v>
      </c>
      <c r="Q4340">
        <v>0.18371190000000001</v>
      </c>
      <c r="R4340">
        <v>-1.9130729999999999E-2</v>
      </c>
      <c r="S4340">
        <v>3.0624539999999998</v>
      </c>
      <c r="T4340">
        <v>-0.1065453</v>
      </c>
      <c r="U4340">
        <v>-0.49563600000000002</v>
      </c>
      <c r="V4340">
        <v>4.1347090000000003E-2</v>
      </c>
      <c r="W4340">
        <v>0.19763649999999999</v>
      </c>
      <c r="X4340">
        <v>0.97940300000000002</v>
      </c>
      <c r="Y4340">
        <v>0.18188650000000001</v>
      </c>
      <c r="Z4340">
        <v>-4.9055000000000001E-3</v>
      </c>
      <c r="AA4340">
        <v>0.9833073</v>
      </c>
      <c r="AB4340">
        <v>29</v>
      </c>
      <c r="AC4340">
        <v>31.946400000000001</v>
      </c>
      <c r="AD4340">
        <v>-1.1218360028100001</v>
      </c>
      <c r="AE4340">
        <v>-5.2253999999999996</v>
      </c>
      <c r="AF4340">
        <v>5.9392581318677102</v>
      </c>
      <c r="AG4340">
        <v>-1.1218360028100001</v>
      </c>
      <c r="AH4340">
        <v>31.781912877719101</v>
      </c>
      <c r="AI4340">
        <v>91.987210548038803</v>
      </c>
      <c r="AJ4340">
        <v>79.414919385573995</v>
      </c>
      <c r="AK4340">
        <v>32.351557757565303</v>
      </c>
      <c r="AL4340">
        <v>78.601218120158904</v>
      </c>
      <c r="AM4340">
        <v>87.5826009632748</v>
      </c>
      <c r="AN4340">
        <v>1.00000000219635</v>
      </c>
    </row>
    <row r="4341" spans="1:40" x14ac:dyDescent="0.25">
      <c r="A4341" t="str">
        <f>"20190303170340488"</f>
        <v>20190303170340488</v>
      </c>
      <c r="B4341" t="str">
        <f>"1551603820479409"</f>
        <v>1551603820479409</v>
      </c>
      <c r="C4341" t="s">
        <v>40</v>
      </c>
      <c r="D4341">
        <v>4.3936739999999999</v>
      </c>
      <c r="E4341">
        <v>0.55917890000000003</v>
      </c>
      <c r="F4341" t="s">
        <v>57</v>
      </c>
      <c r="G4341">
        <v>-197.25569999999999</v>
      </c>
      <c r="H4341" s="1">
        <v>3.08791E-6</v>
      </c>
      <c r="I4341">
        <v>209.92240000000001</v>
      </c>
      <c r="J4341">
        <v>-229.4</v>
      </c>
      <c r="K4341">
        <v>1.1218330000000001</v>
      </c>
      <c r="L4341">
        <v>215.19800000000001</v>
      </c>
      <c r="M4341">
        <v>0.99964390000000003</v>
      </c>
      <c r="N4341">
        <v>-1.419371E-2</v>
      </c>
      <c r="O4341">
        <v>2.2601670000000001E-2</v>
      </c>
      <c r="P4341">
        <v>0.9826009</v>
      </c>
      <c r="Q4341">
        <v>0.1846439</v>
      </c>
      <c r="R4341">
        <v>-2.0057410000000001E-2</v>
      </c>
      <c r="S4341">
        <v>3.0626220000000002</v>
      </c>
      <c r="T4341">
        <v>-0.1059232</v>
      </c>
      <c r="U4341">
        <v>-0.49749759999999998</v>
      </c>
      <c r="V4341">
        <v>4.2267270000000003E-2</v>
      </c>
      <c r="W4341">
        <v>0.19856099999999999</v>
      </c>
      <c r="X4341">
        <v>0.97917670000000001</v>
      </c>
      <c r="Y4341">
        <v>0.18245500000000001</v>
      </c>
      <c r="Z4341">
        <v>-4.8957360000000004E-3</v>
      </c>
      <c r="AA4341">
        <v>0.98320200000000002</v>
      </c>
      <c r="AB4341">
        <v>29</v>
      </c>
      <c r="AC4341">
        <v>32.144300000000001</v>
      </c>
      <c r="AD4341">
        <v>-1.1218299120899999</v>
      </c>
      <c r="AE4341">
        <v>-5.2755999999999599</v>
      </c>
      <c r="AF4341">
        <v>5.9937311888666898</v>
      </c>
      <c r="AG4341">
        <v>-1.1218299120899999</v>
      </c>
      <c r="AH4341">
        <v>31.978909150372701</v>
      </c>
      <c r="AI4341">
        <v>91.974770920240402</v>
      </c>
      <c r="AJ4341">
        <v>79.384350383790405</v>
      </c>
      <c r="AK4341">
        <v>32.555090943872997</v>
      </c>
      <c r="AL4341">
        <v>78.547177180339503</v>
      </c>
      <c r="AM4341">
        <v>87.528297283251703</v>
      </c>
      <c r="AN4341">
        <v>1.0000000013285699</v>
      </c>
    </row>
    <row r="4342" spans="1:40" x14ac:dyDescent="0.25">
      <c r="A4342" t="str">
        <f>"20190303170340509"</f>
        <v>20190303170340509</v>
      </c>
      <c r="B4342" t="str">
        <f>"1551603820499905"</f>
        <v>1551603820499905</v>
      </c>
      <c r="C4342" t="s">
        <v>40</v>
      </c>
      <c r="D4342">
        <v>4.4335699999999996</v>
      </c>
      <c r="E4342">
        <v>0.5593899</v>
      </c>
      <c r="F4342" t="s">
        <v>57</v>
      </c>
      <c r="G4342">
        <v>-196.16640000000001</v>
      </c>
      <c r="H4342" s="1">
        <v>3.2951870000000001E-6</v>
      </c>
      <c r="I4342">
        <v>209.76169999999999</v>
      </c>
      <c r="J4342">
        <v>-229.1139</v>
      </c>
      <c r="K4342">
        <v>1.1218300000000001</v>
      </c>
      <c r="L4342">
        <v>215.20439999999999</v>
      </c>
      <c r="M4342">
        <v>0.99964450000000005</v>
      </c>
      <c r="N4342">
        <v>-1.419049E-2</v>
      </c>
      <c r="O4342">
        <v>2.2579709999999999E-2</v>
      </c>
      <c r="P4342">
        <v>0.98251710000000003</v>
      </c>
      <c r="Q4342">
        <v>0.18488930000000001</v>
      </c>
      <c r="R4342">
        <v>-2.1826089999999999E-2</v>
      </c>
      <c r="S4342">
        <v>3.0623320000000001</v>
      </c>
      <c r="T4342">
        <v>-0.1033719</v>
      </c>
      <c r="U4342">
        <v>-0.50093080000000001</v>
      </c>
      <c r="V4342">
        <v>4.4017109999999998E-2</v>
      </c>
      <c r="W4342">
        <v>0.1988008</v>
      </c>
      <c r="X4342">
        <v>0.97905089999999995</v>
      </c>
      <c r="Y4342">
        <v>0.18352740000000001</v>
      </c>
      <c r="Z4342">
        <v>-4.8267279999999997E-3</v>
      </c>
      <c r="AA4342">
        <v>0.98300270000000001</v>
      </c>
      <c r="AB4342">
        <v>29</v>
      </c>
      <c r="AC4342">
        <v>32.947499999999899</v>
      </c>
      <c r="AD4342">
        <v>-1.121826704813</v>
      </c>
      <c r="AE4342">
        <v>-5.4427000000000003</v>
      </c>
      <c r="AF4342">
        <v>6.1783593867680402</v>
      </c>
      <c r="AG4342">
        <v>-1.121826704813</v>
      </c>
      <c r="AH4342">
        <v>32.779198874783503</v>
      </c>
      <c r="AI4342">
        <v>91.926219829547193</v>
      </c>
      <c r="AJ4342">
        <v>79.3258819452209</v>
      </c>
      <c r="AK4342">
        <v>33.375237807996299</v>
      </c>
      <c r="AL4342">
        <v>78.533157743774396</v>
      </c>
      <c r="AM4342">
        <v>87.425774855508905</v>
      </c>
      <c r="AN4342">
        <v>0.99999996442210004</v>
      </c>
    </row>
    <row r="4343" spans="1:40" x14ac:dyDescent="0.25">
      <c r="A4343" t="str">
        <f>"20190303170340532"</f>
        <v>20190303170340532</v>
      </c>
      <c r="B4343" t="str">
        <f>"1551603820519426"</f>
        <v>1551603820519426</v>
      </c>
      <c r="C4343" t="s">
        <v>40</v>
      </c>
      <c r="D4343">
        <v>4.429303</v>
      </c>
      <c r="E4343">
        <v>0.55949569999999904</v>
      </c>
      <c r="F4343" t="s">
        <v>57</v>
      </c>
      <c r="G4343">
        <v>-195.6609</v>
      </c>
      <c r="H4343" s="1">
        <v>3.393938E-6</v>
      </c>
      <c r="I4343">
        <v>209.65790000000001</v>
      </c>
      <c r="J4343">
        <v>-228.8287</v>
      </c>
      <c r="K4343">
        <v>1.1218189999999999</v>
      </c>
      <c r="L4343">
        <v>215.21080000000001</v>
      </c>
      <c r="M4343">
        <v>0.99964529999999996</v>
      </c>
      <c r="N4343">
        <v>-1.418728E-2</v>
      </c>
      <c r="O4343">
        <v>2.2539429999999999E-2</v>
      </c>
      <c r="P4343">
        <v>0.98247430000000002</v>
      </c>
      <c r="Q4343">
        <v>0.1849035</v>
      </c>
      <c r="R4343">
        <v>-2.3557419999999999E-2</v>
      </c>
      <c r="S4343">
        <v>3.0614170000000001</v>
      </c>
      <c r="T4343">
        <v>-0.1026628</v>
      </c>
      <c r="U4343">
        <v>-0.50758359999999902</v>
      </c>
      <c r="V4343">
        <v>4.5714350000000001E-2</v>
      </c>
      <c r="W4343">
        <v>0.19880919999999999</v>
      </c>
      <c r="X4343">
        <v>0.97897149999999999</v>
      </c>
      <c r="Y4343">
        <v>0.1856141</v>
      </c>
      <c r="Z4343">
        <v>-4.8498439999999999E-3</v>
      </c>
      <c r="AA4343">
        <v>0.98261080000000001</v>
      </c>
      <c r="AB4343">
        <v>29</v>
      </c>
      <c r="AC4343">
        <v>33.1678</v>
      </c>
      <c r="AD4343">
        <v>-1.1218156060619999</v>
      </c>
      <c r="AE4343">
        <v>-5.5528999999999904</v>
      </c>
      <c r="AF4343">
        <v>6.2921458777957104</v>
      </c>
      <c r="AG4343">
        <v>-1.1218156060619999</v>
      </c>
      <c r="AH4343">
        <v>32.997481872454998</v>
      </c>
      <c r="AI4343">
        <v>91.912698015372598</v>
      </c>
      <c r="AJ4343">
        <v>79.204122275744993</v>
      </c>
      <c r="AK4343">
        <v>33.610762858412798</v>
      </c>
      <c r="AL4343">
        <v>78.532667637445201</v>
      </c>
      <c r="AM4343">
        <v>87.326441050031207</v>
      </c>
      <c r="AN4343">
        <v>1.0000000488064</v>
      </c>
    </row>
    <row r="4344" spans="1:40" x14ac:dyDescent="0.25">
      <c r="A4344" t="str">
        <f>"20190303170340553"</f>
        <v>20190303170340553</v>
      </c>
      <c r="B4344" t="str">
        <f>"1551603820539922"</f>
        <v>1551603820539922</v>
      </c>
      <c r="C4344" t="s">
        <v>40</v>
      </c>
      <c r="D4344">
        <v>4.416982</v>
      </c>
      <c r="E4344">
        <v>0.56438029999999995</v>
      </c>
      <c r="F4344" t="s">
        <v>57</v>
      </c>
      <c r="G4344">
        <v>-195.5521</v>
      </c>
      <c r="H4344" s="1">
        <v>3.4151710000000002E-6</v>
      </c>
      <c r="I4344">
        <v>209.63570000000001</v>
      </c>
      <c r="J4344">
        <v>-228.54069999999999</v>
      </c>
      <c r="K4344">
        <v>1.121799</v>
      </c>
      <c r="L4344">
        <v>215.21729999999999</v>
      </c>
      <c r="M4344">
        <v>0.9996469</v>
      </c>
      <c r="N4344">
        <v>-1.4184209999999999E-2</v>
      </c>
      <c r="O4344">
        <v>2.2473949999999999E-2</v>
      </c>
      <c r="P4344">
        <v>0.98237200000000002</v>
      </c>
      <c r="Q4344">
        <v>0.18526970000000001</v>
      </c>
      <c r="R4344">
        <v>-2.4915630000000001E-2</v>
      </c>
      <c r="S4344">
        <v>3.060638</v>
      </c>
      <c r="T4344">
        <v>-0.1031796</v>
      </c>
      <c r="U4344">
        <v>-0.51277159999999999</v>
      </c>
      <c r="V4344">
        <v>4.7015689999999999E-2</v>
      </c>
      <c r="W4344">
        <v>0.1991676</v>
      </c>
      <c r="X4344">
        <v>0.97883699999999996</v>
      </c>
      <c r="Y4344">
        <v>0.18720780000000001</v>
      </c>
      <c r="Z4344">
        <v>-4.9064069999999998E-3</v>
      </c>
      <c r="AA4344">
        <v>0.98230810000000002</v>
      </c>
      <c r="AB4344">
        <v>29</v>
      </c>
      <c r="AC4344">
        <v>32.988599999999899</v>
      </c>
      <c r="AD4344">
        <v>-1.121795584829</v>
      </c>
      <c r="AE4344">
        <v>-5.5815999999999804</v>
      </c>
      <c r="AF4344">
        <v>6.3145498508551903</v>
      </c>
      <c r="AG4344">
        <v>-1.121795584829</v>
      </c>
      <c r="AH4344">
        <v>32.817919431673403</v>
      </c>
      <c r="AI4344">
        <v>91.922508411271394</v>
      </c>
      <c r="AJ4344">
        <v>79.108729439184401</v>
      </c>
      <c r="AK4344">
        <v>33.438717095260799</v>
      </c>
      <c r="AL4344">
        <v>78.5117136934944</v>
      </c>
      <c r="AM4344">
        <v>87.250071405419902</v>
      </c>
      <c r="AN4344">
        <v>1.00000004028246</v>
      </c>
    </row>
    <row r="4345" spans="1:40" x14ac:dyDescent="0.25">
      <c r="A4345" t="str">
        <f>"20190303170340577"</f>
        <v>20190303170340577</v>
      </c>
      <c r="B4345" t="str">
        <f>"1551603820570178"</f>
        <v>1551603820570178</v>
      </c>
      <c r="C4345" t="s">
        <v>40</v>
      </c>
      <c r="D4345">
        <v>4.4313449999999897</v>
      </c>
      <c r="E4345">
        <v>0.56451430000000002</v>
      </c>
      <c r="F4345" t="s">
        <v>57</v>
      </c>
      <c r="G4345">
        <v>-195.47669999999999</v>
      </c>
      <c r="H4345" s="1">
        <v>3.5373539999999998E-6</v>
      </c>
      <c r="I4345">
        <v>209.21180000000001</v>
      </c>
      <c r="J4345">
        <v>-228.2465</v>
      </c>
      <c r="K4345">
        <v>1.1217649999999999</v>
      </c>
      <c r="L4345">
        <v>215.22370000000001</v>
      </c>
      <c r="M4345">
        <v>0.99964900000000001</v>
      </c>
      <c r="N4345">
        <v>-1.41811E-2</v>
      </c>
      <c r="O4345">
        <v>2.2373290000000001E-2</v>
      </c>
      <c r="P4345">
        <v>0.98243519999999895</v>
      </c>
      <c r="Q4345">
        <v>0.18479480000000001</v>
      </c>
      <c r="R4345">
        <v>-2.59232E-2</v>
      </c>
      <c r="S4345">
        <v>3.0593110000000001</v>
      </c>
      <c r="T4345">
        <v>-0.10379620000000001</v>
      </c>
      <c r="U4345">
        <v>-0.55566409999999999</v>
      </c>
      <c r="V4345">
        <v>4.7938950000000001E-2</v>
      </c>
      <c r="W4345">
        <v>0.19868669999999999</v>
      </c>
      <c r="X4345">
        <v>0.97888989999999998</v>
      </c>
      <c r="Y4345">
        <v>0.2005132</v>
      </c>
      <c r="Z4345">
        <v>-5.2453969999999997E-3</v>
      </c>
      <c r="AA4345">
        <v>0.97967700000000002</v>
      </c>
      <c r="AB4345">
        <v>29</v>
      </c>
      <c r="AC4345">
        <v>32.769799999999996</v>
      </c>
      <c r="AD4345">
        <v>-1.121761462646</v>
      </c>
      <c r="AE4345">
        <v>-6.01189999999999</v>
      </c>
      <c r="AF4345">
        <v>6.7360006539372801</v>
      </c>
      <c r="AG4345">
        <v>-1.121761462646</v>
      </c>
      <c r="AH4345">
        <v>32.590130475098903</v>
      </c>
      <c r="AI4345">
        <v>91.930584334438393</v>
      </c>
      <c r="AJ4345">
        <v>78.322070093310302</v>
      </c>
      <c r="AK4345">
        <v>33.297877679709401</v>
      </c>
      <c r="AL4345">
        <v>78.539828579678797</v>
      </c>
      <c r="AM4345">
        <v>87.196306927823201</v>
      </c>
      <c r="AN4345">
        <v>0.99999999200300105</v>
      </c>
    </row>
    <row r="4346" spans="1:40" x14ac:dyDescent="0.25">
      <c r="A4346" t="str">
        <f>"20190303170340598"</f>
        <v>20190303170340598</v>
      </c>
      <c r="B4346" t="str">
        <f>"1551603820589697"</f>
        <v>1551603820589697</v>
      </c>
      <c r="C4346" t="s">
        <v>40</v>
      </c>
      <c r="D4346">
        <v>4.4249869999999998</v>
      </c>
      <c r="E4346">
        <v>0.56456899999999999</v>
      </c>
      <c r="F4346" t="s">
        <v>57</v>
      </c>
      <c r="G4346">
        <v>-195.71100000000001</v>
      </c>
      <c r="H4346" s="1">
        <v>3.4806970000000001E-6</v>
      </c>
      <c r="I4346">
        <v>209.2688</v>
      </c>
      <c r="J4346">
        <v>-227.9639</v>
      </c>
      <c r="K4346">
        <v>1.121731</v>
      </c>
      <c r="L4346">
        <v>215.22989999999999</v>
      </c>
      <c r="M4346">
        <v>0.99965230000000005</v>
      </c>
      <c r="N4346">
        <v>-1.4178079999999999E-2</v>
      </c>
      <c r="O4346">
        <v>2.2237300000000002E-2</v>
      </c>
      <c r="P4346">
        <v>0.98254730000000001</v>
      </c>
      <c r="Q4346">
        <v>0.1840473</v>
      </c>
      <c r="R4346">
        <v>-2.6978169999999999E-2</v>
      </c>
      <c r="S4346">
        <v>3.0587010000000001</v>
      </c>
      <c r="T4346">
        <v>-0.1054583</v>
      </c>
      <c r="U4346">
        <v>-0.55982969999999999</v>
      </c>
      <c r="V4346">
        <v>4.8877410000000003E-2</v>
      </c>
      <c r="W4346">
        <v>0.19793379999999999</v>
      </c>
      <c r="X4346">
        <v>0.97899599999999998</v>
      </c>
      <c r="Y4346">
        <v>0.20169989999999999</v>
      </c>
      <c r="Z4346">
        <v>-5.3377650000000004E-3</v>
      </c>
      <c r="AA4346">
        <v>0.97943279999999999</v>
      </c>
      <c r="AB4346">
        <v>29</v>
      </c>
      <c r="AC4346">
        <v>32.252899999999997</v>
      </c>
      <c r="AD4346">
        <v>-1.1217275193030001</v>
      </c>
      <c r="AE4346">
        <v>-5.9610999999999796</v>
      </c>
      <c r="AF4346">
        <v>6.6691146575646796</v>
      </c>
      <c r="AG4346">
        <v>-1.1217275193030001</v>
      </c>
      <c r="AH4346">
        <v>32.074835063094604</v>
      </c>
      <c r="AI4346">
        <v>91.961035466101606</v>
      </c>
      <c r="AJ4346">
        <v>78.254213246910794</v>
      </c>
      <c r="AK4346">
        <v>32.780030617252699</v>
      </c>
      <c r="AL4346">
        <v>78.583840536814506</v>
      </c>
      <c r="AM4346">
        <v>87.141820851915099</v>
      </c>
      <c r="AN4346">
        <v>0.99999997920337302</v>
      </c>
    </row>
    <row r="4347" spans="1:40" x14ac:dyDescent="0.25">
      <c r="A4347" t="str">
        <f>"20190303170340621"</f>
        <v>20190303170340621</v>
      </c>
      <c r="B4347" t="str">
        <f>"1551603820610194"</f>
        <v>1551603820610194</v>
      </c>
      <c r="C4347" t="s">
        <v>40</v>
      </c>
      <c r="D4347">
        <v>4.410857</v>
      </c>
      <c r="E4347">
        <v>0.56470540000000002</v>
      </c>
      <c r="F4347" t="s">
        <v>57</v>
      </c>
      <c r="G4347">
        <v>-196.59450000000001</v>
      </c>
      <c r="H4347" s="1">
        <v>3.2732109999999999E-6</v>
      </c>
      <c r="I4347">
        <v>209.4605</v>
      </c>
      <c r="J4347">
        <v>-227.66249999999999</v>
      </c>
      <c r="K4347">
        <v>1.1216980000000001</v>
      </c>
      <c r="L4347">
        <v>215.2364</v>
      </c>
      <c r="M4347">
        <v>0.99965630000000005</v>
      </c>
      <c r="N4347">
        <v>-1.4174890000000001E-2</v>
      </c>
      <c r="O4347">
        <v>2.2052720000000001E-2</v>
      </c>
      <c r="P4347">
        <v>0.98260400000000003</v>
      </c>
      <c r="Q4347">
        <v>0.18360000000000001</v>
      </c>
      <c r="R4347">
        <v>-2.793928E-2</v>
      </c>
      <c r="S4347">
        <v>3.0583339999999999</v>
      </c>
      <c r="T4347">
        <v>-0.109362</v>
      </c>
      <c r="U4347">
        <v>-0.56248469999999995</v>
      </c>
      <c r="V4347">
        <v>4.967307E-2</v>
      </c>
      <c r="W4347">
        <v>0.1974804</v>
      </c>
      <c r="X4347">
        <v>0.97904749999999996</v>
      </c>
      <c r="Y4347">
        <v>0.20235069999999999</v>
      </c>
      <c r="Z4347">
        <v>-5.5057719999999999E-3</v>
      </c>
      <c r="AA4347">
        <v>0.97929759999999999</v>
      </c>
      <c r="AB4347">
        <v>29</v>
      </c>
      <c r="AC4347">
        <v>31.067999999999898</v>
      </c>
      <c r="AD4347">
        <v>-1.1216947267889901</v>
      </c>
      <c r="AE4347">
        <v>-5.7759</v>
      </c>
      <c r="AF4347">
        <v>6.4515689416490503</v>
      </c>
      <c r="AG4347">
        <v>-1.1216947267889901</v>
      </c>
      <c r="AH4347">
        <v>30.894129747313499</v>
      </c>
      <c r="AI4347">
        <v>92.0354930326492</v>
      </c>
      <c r="AJ4347">
        <v>78.204533318810206</v>
      </c>
      <c r="AK4347">
        <v>31.580503379661302</v>
      </c>
      <c r="AL4347">
        <v>78.610341377047206</v>
      </c>
      <c r="AM4347">
        <v>87.095525019659604</v>
      </c>
      <c r="AN4347">
        <v>0.99999996476181596</v>
      </c>
    </row>
    <row r="4348" spans="1:40" x14ac:dyDescent="0.25">
      <c r="A4348" t="str">
        <f>"20190303170340643"</f>
        <v>20190303170340643</v>
      </c>
      <c r="B4348" t="str">
        <f>"1551603820629714"</f>
        <v>1551603820629714</v>
      </c>
      <c r="C4348" t="s">
        <v>40</v>
      </c>
      <c r="D4348">
        <v>4.4104929999999998</v>
      </c>
      <c r="E4348">
        <v>0.56474380000000002</v>
      </c>
      <c r="F4348" t="s">
        <v>57</v>
      </c>
      <c r="G4348">
        <v>-196.1395</v>
      </c>
      <c r="H4348" s="1">
        <v>3.369935E-6</v>
      </c>
      <c r="I4348">
        <v>209.40010000000001</v>
      </c>
      <c r="J4348">
        <v>-227.3794</v>
      </c>
      <c r="K4348">
        <v>1.1216630000000001</v>
      </c>
      <c r="L4348">
        <v>215.2424</v>
      </c>
      <c r="M4348">
        <v>0.99966109999999997</v>
      </c>
      <c r="N4348">
        <v>-1.4171929999999999E-2</v>
      </c>
      <c r="O4348">
        <v>2.183767E-2</v>
      </c>
      <c r="P4348">
        <v>0.98265309999999995</v>
      </c>
      <c r="Q4348">
        <v>0.18323909999999999</v>
      </c>
      <c r="R4348">
        <v>-2.8568530000000002E-2</v>
      </c>
      <c r="S4348">
        <v>3.0573429999999999</v>
      </c>
      <c r="T4348">
        <v>-0.1087906</v>
      </c>
      <c r="U4348">
        <v>-0.56605530000000004</v>
      </c>
      <c r="V4348">
        <v>5.0105839999999999E-2</v>
      </c>
      <c r="W4348">
        <v>0.19711390000000001</v>
      </c>
      <c r="X4348">
        <v>0.97909930000000001</v>
      </c>
      <c r="Y4348">
        <v>0.20330329999999999</v>
      </c>
      <c r="Z4348">
        <v>-5.5028799999999999E-3</v>
      </c>
      <c r="AA4348">
        <v>0.97910030000000003</v>
      </c>
      <c r="AB4348">
        <v>29</v>
      </c>
      <c r="AC4348">
        <v>31.239899999999999</v>
      </c>
      <c r="AD4348">
        <v>-1.1216596300649999</v>
      </c>
      <c r="AE4348">
        <v>-5.8422999999999901</v>
      </c>
      <c r="AF4348">
        <v>6.5150665671052703</v>
      </c>
      <c r="AG4348">
        <v>-1.1216596300649999</v>
      </c>
      <c r="AH4348">
        <v>31.066158143008799</v>
      </c>
      <c r="AI4348">
        <v>92.023807771695999</v>
      </c>
      <c r="AJ4348">
        <v>78.155813292933004</v>
      </c>
      <c r="AK4348">
        <v>31.761775681878401</v>
      </c>
      <c r="AL4348">
        <v>78.631761285601996</v>
      </c>
      <c r="AM4348">
        <v>87.070418794303095</v>
      </c>
      <c r="AN4348">
        <v>0.99999996201790198</v>
      </c>
    </row>
    <row r="4349" spans="1:40" x14ac:dyDescent="0.25">
      <c r="A4349" t="str">
        <f>"20190303170340665"</f>
        <v>20190303170340665</v>
      </c>
      <c r="B4349" t="str">
        <f>"1551603820659970"</f>
        <v>1551603820659970</v>
      </c>
      <c r="C4349" t="s">
        <v>40</v>
      </c>
      <c r="D4349">
        <v>4.4453880000000003</v>
      </c>
      <c r="E4349">
        <v>0.56506630000000002</v>
      </c>
      <c r="F4349" t="s">
        <v>57</v>
      </c>
      <c r="G4349">
        <v>-195.92140000000001</v>
      </c>
      <c r="H4349" s="1">
        <v>3.4097530000000001E-6</v>
      </c>
      <c r="I4349">
        <v>209.39580000000001</v>
      </c>
      <c r="J4349">
        <v>-227.0891</v>
      </c>
      <c r="K4349">
        <v>1.121632</v>
      </c>
      <c r="L4349">
        <v>215.24850000000001</v>
      </c>
      <c r="M4349">
        <v>0.99966699999999997</v>
      </c>
      <c r="N4349">
        <v>-1.4168999999999999E-2</v>
      </c>
      <c r="O4349">
        <v>2.1567659999999999E-2</v>
      </c>
      <c r="P4349">
        <v>0.98264439999999997</v>
      </c>
      <c r="Q4349">
        <v>0.18322620000000001</v>
      </c>
      <c r="R4349">
        <v>-2.8953969999999999E-2</v>
      </c>
      <c r="S4349">
        <v>3.0567630000000001</v>
      </c>
      <c r="T4349">
        <v>-0.10899109999999999</v>
      </c>
      <c r="U4349">
        <v>-0.56811519999999904</v>
      </c>
      <c r="V4349">
        <v>5.0241340000000002E-2</v>
      </c>
      <c r="W4349">
        <v>0.19709380000000001</v>
      </c>
      <c r="X4349">
        <v>0.97909639999999998</v>
      </c>
      <c r="Y4349">
        <v>0.203709</v>
      </c>
      <c r="Z4349">
        <v>-5.5156379999999998E-3</v>
      </c>
      <c r="AA4349">
        <v>0.97901590000000005</v>
      </c>
      <c r="AB4349">
        <v>29</v>
      </c>
      <c r="AC4349">
        <v>31.1677</v>
      </c>
      <c r="AD4349">
        <v>-1.121628590247</v>
      </c>
      <c r="AE4349">
        <v>-5.8526999999999898</v>
      </c>
      <c r="AF4349">
        <v>6.51546966827211</v>
      </c>
      <c r="AG4349">
        <v>-1.121628590247</v>
      </c>
      <c r="AH4349">
        <v>30.995433334447299</v>
      </c>
      <c r="AI4349">
        <v>92.028165403111998</v>
      </c>
      <c r="AJ4349">
        <v>78.128839740711996</v>
      </c>
      <c r="AK4349">
        <v>31.692685012204301</v>
      </c>
      <c r="AL4349">
        <v>78.632935944631697</v>
      </c>
      <c r="AM4349">
        <v>87.062501570710694</v>
      </c>
      <c r="AN4349">
        <v>0.99999995936819697</v>
      </c>
    </row>
    <row r="4350" spans="1:40" x14ac:dyDescent="0.25">
      <c r="A4350" t="str">
        <f>"20190303170340689"</f>
        <v>20190303170340689</v>
      </c>
      <c r="B4350" t="str">
        <f>"1551603820679489"</f>
        <v>1551603820679489</v>
      </c>
      <c r="C4350" t="s">
        <v>40</v>
      </c>
      <c r="D4350">
        <v>4.4529959999999997</v>
      </c>
      <c r="E4350">
        <v>0.56531209999999998</v>
      </c>
      <c r="F4350" t="s">
        <v>57</v>
      </c>
      <c r="G4350">
        <v>-195.79810000000001</v>
      </c>
      <c r="H4350" s="1">
        <v>3.4321460000000001E-6</v>
      </c>
      <c r="I4350">
        <v>209.3938</v>
      </c>
      <c r="J4350">
        <v>-226.79660000000001</v>
      </c>
      <c r="K4350">
        <v>1.1215900000000001</v>
      </c>
      <c r="L4350">
        <v>215.25450000000001</v>
      </c>
      <c r="M4350">
        <v>0.99967399999999995</v>
      </c>
      <c r="N4350">
        <v>-1.4166110000000001E-2</v>
      </c>
      <c r="O4350">
        <v>2.123982E-2</v>
      </c>
      <c r="P4350">
        <v>0.98266010000000004</v>
      </c>
      <c r="Q4350">
        <v>0.18296799999999999</v>
      </c>
      <c r="R4350">
        <v>-3.002881E-2</v>
      </c>
      <c r="S4350">
        <v>3.0565639999999998</v>
      </c>
      <c r="T4350">
        <v>-0.10956299999999999</v>
      </c>
      <c r="U4350">
        <v>-0.57189939999999995</v>
      </c>
      <c r="V4350">
        <v>5.1013120000000002E-2</v>
      </c>
      <c r="W4350">
        <v>0.19682730000000001</v>
      </c>
      <c r="X4350">
        <v>0.97911009999999998</v>
      </c>
      <c r="Y4350">
        <v>0.20456830000000001</v>
      </c>
      <c r="Z4350">
        <v>-5.5526200000000003E-3</v>
      </c>
      <c r="AA4350">
        <v>0.9788365</v>
      </c>
      <c r="AB4350">
        <v>29</v>
      </c>
      <c r="AC4350">
        <v>30.9985</v>
      </c>
      <c r="AD4350">
        <v>-1.12158656785399</v>
      </c>
      <c r="AE4350">
        <v>-5.8606999999999996</v>
      </c>
      <c r="AF4350">
        <v>6.5096184194846698</v>
      </c>
      <c r="AG4350">
        <v>-1.12158656785399</v>
      </c>
      <c r="AH4350">
        <v>30.828047682037099</v>
      </c>
      <c r="AI4350">
        <v>92.038700988340295</v>
      </c>
      <c r="AJ4350">
        <v>78.076637038337694</v>
      </c>
      <c r="AK4350">
        <v>31.527791110105401</v>
      </c>
      <c r="AL4350">
        <v>78.648510314488504</v>
      </c>
      <c r="AM4350">
        <v>87.017499840897401</v>
      </c>
      <c r="AN4350">
        <v>0.99999995617971604</v>
      </c>
    </row>
    <row r="4351" spans="1:40" x14ac:dyDescent="0.25">
      <c r="A4351" t="str">
        <f>"20190303170340710"</f>
        <v>20190303170340710</v>
      </c>
      <c r="B4351" t="str">
        <f>"1551603820699986"</f>
        <v>1551603820699986</v>
      </c>
      <c r="C4351" t="s">
        <v>40</v>
      </c>
      <c r="D4351">
        <v>4.410914</v>
      </c>
      <c r="E4351">
        <v>0.56543710000000003</v>
      </c>
      <c r="F4351" t="s">
        <v>57</v>
      </c>
      <c r="G4351">
        <v>-195.88730000000001</v>
      </c>
      <c r="H4351" s="1">
        <v>3.4100049999999999E-6</v>
      </c>
      <c r="I4351">
        <v>209.4177</v>
      </c>
      <c r="J4351">
        <v>-226.51840000000001</v>
      </c>
      <c r="K4351">
        <v>1.1215459999999999</v>
      </c>
      <c r="L4351">
        <v>215.26</v>
      </c>
      <c r="M4351">
        <v>0.99968210000000002</v>
      </c>
      <c r="N4351">
        <v>-1.416341E-2</v>
      </c>
      <c r="O4351">
        <v>2.0868910000000001E-2</v>
      </c>
      <c r="P4351">
        <v>0.98271549999999996</v>
      </c>
      <c r="Q4351">
        <v>0.18250730000000001</v>
      </c>
      <c r="R4351">
        <v>-3.1010719999999999E-2</v>
      </c>
      <c r="S4351">
        <v>3.0559690000000002</v>
      </c>
      <c r="T4351">
        <v>-0.1108898</v>
      </c>
      <c r="U4351">
        <v>-0.57707209999999998</v>
      </c>
      <c r="V4351">
        <v>5.1652690000000001E-2</v>
      </c>
      <c r="W4351">
        <v>0.19635939999999999</v>
      </c>
      <c r="X4351">
        <v>0.9791706</v>
      </c>
      <c r="Y4351">
        <v>0.20583480000000001</v>
      </c>
      <c r="Z4351">
        <v>-5.62964E-3</v>
      </c>
      <c r="AA4351">
        <v>0.97857059999999996</v>
      </c>
      <c r="AB4351">
        <v>29</v>
      </c>
      <c r="AC4351">
        <v>30.6311</v>
      </c>
      <c r="AD4351">
        <v>-1.121542589995</v>
      </c>
      <c r="AE4351">
        <v>-5.8422999999999901</v>
      </c>
      <c r="AF4351">
        <v>6.4719571818439201</v>
      </c>
      <c r="AG4351">
        <v>-1.121542589995</v>
      </c>
      <c r="AH4351">
        <v>30.4630872389593</v>
      </c>
      <c r="AI4351">
        <v>92.062483271863996</v>
      </c>
      <c r="AJ4351">
        <v>78.005708028367806</v>
      </c>
      <c r="AK4351">
        <v>31.1631797426585</v>
      </c>
      <c r="AL4351">
        <v>78.675853544478002</v>
      </c>
      <c r="AM4351">
        <v>86.9803621777383</v>
      </c>
      <c r="AN4351">
        <v>1.00000003912847</v>
      </c>
    </row>
    <row r="4352" spans="1:40" x14ac:dyDescent="0.25">
      <c r="A4352" t="str">
        <f>"20190303170340732"</f>
        <v>20190303170340732</v>
      </c>
      <c r="B4352" t="str">
        <f>"1551603820719506"</f>
        <v>1551603820719506</v>
      </c>
      <c r="C4352" t="s">
        <v>40</v>
      </c>
      <c r="D4352">
        <v>4.4111630000000002</v>
      </c>
      <c r="E4352">
        <v>0.56808819999999904</v>
      </c>
      <c r="F4352" t="s">
        <v>57</v>
      </c>
      <c r="G4352">
        <v>-196.14070000000001</v>
      </c>
      <c r="H4352" s="1">
        <v>3.3472989999999999E-6</v>
      </c>
      <c r="I4352">
        <v>209.48480000000001</v>
      </c>
      <c r="J4352">
        <v>-226.23699999999999</v>
      </c>
      <c r="K4352">
        <v>1.121499</v>
      </c>
      <c r="L4352">
        <v>215.2654</v>
      </c>
      <c r="M4352">
        <v>0.999691</v>
      </c>
      <c r="N4352">
        <v>-1.416072E-2</v>
      </c>
      <c r="O4352">
        <v>2.0431600000000001E-2</v>
      </c>
      <c r="P4352">
        <v>0.98263020000000001</v>
      </c>
      <c r="Q4352">
        <v>0.1826892</v>
      </c>
      <c r="R4352">
        <v>-3.2598380000000003E-2</v>
      </c>
      <c r="S4352">
        <v>3.0553889999999999</v>
      </c>
      <c r="T4352">
        <v>-0.1128045</v>
      </c>
      <c r="U4352">
        <v>-0.58087159999999904</v>
      </c>
      <c r="V4352">
        <v>5.28333E-2</v>
      </c>
      <c r="W4352">
        <v>0.19653000000000001</v>
      </c>
      <c r="X4352">
        <v>0.97907330000000004</v>
      </c>
      <c r="Y4352">
        <v>0.20660880000000001</v>
      </c>
      <c r="Z4352">
        <v>-5.7165929999999998E-3</v>
      </c>
      <c r="AA4352">
        <v>0.97840689999999997</v>
      </c>
      <c r="AB4352">
        <v>29</v>
      </c>
      <c r="AC4352">
        <v>30.0962999999999</v>
      </c>
      <c r="AD4352">
        <v>-1.121495652701</v>
      </c>
      <c r="AE4352">
        <v>-5.78059999999999</v>
      </c>
      <c r="AF4352">
        <v>6.3858185787832902</v>
      </c>
      <c r="AG4352">
        <v>-1.121495652701</v>
      </c>
      <c r="AH4352">
        <v>29.931813679742099</v>
      </c>
      <c r="AI4352">
        <v>92.098589595649997</v>
      </c>
      <c r="AJ4352">
        <v>77.956756597340799</v>
      </c>
      <c r="AK4352">
        <v>30.625967765590001</v>
      </c>
      <c r="AL4352">
        <v>78.665883761305594</v>
      </c>
      <c r="AM4352">
        <v>86.911169016615503</v>
      </c>
      <c r="AN4352">
        <v>0.99999996263088897</v>
      </c>
    </row>
    <row r="4353" spans="1:40" x14ac:dyDescent="0.25">
      <c r="A4353" t="str">
        <f>"20190303170340756"</f>
        <v>20190303170340756</v>
      </c>
      <c r="B4353" t="str">
        <f>"1551603820749762"</f>
        <v>1551603820749762</v>
      </c>
      <c r="C4353" t="s">
        <v>40</v>
      </c>
      <c r="D4353">
        <v>4.4253019999999896</v>
      </c>
      <c r="E4353">
        <v>0.56882580000000005</v>
      </c>
      <c r="F4353" t="s">
        <v>57</v>
      </c>
      <c r="G4353">
        <v>-192.60169999999999</v>
      </c>
      <c r="H4353" s="1">
        <v>4.2179139999999998E-6</v>
      </c>
      <c r="I4353">
        <v>208.5677</v>
      </c>
      <c r="J4353">
        <v>-225.93770000000001</v>
      </c>
      <c r="K4353">
        <v>1.12144</v>
      </c>
      <c r="L4353">
        <v>215.27090000000001</v>
      </c>
      <c r="M4353">
        <v>0.99970199999999998</v>
      </c>
      <c r="N4353">
        <v>-1.415808E-2</v>
      </c>
      <c r="O4353">
        <v>1.988943E-2</v>
      </c>
      <c r="P4353">
        <v>0.98251500000000003</v>
      </c>
      <c r="Q4353">
        <v>0.18297550000000001</v>
      </c>
      <c r="R4353">
        <v>-3.4412779999999997E-2</v>
      </c>
      <c r="S4353">
        <v>3.0517880000000002</v>
      </c>
      <c r="T4353">
        <v>-0.1017549</v>
      </c>
      <c r="U4353">
        <v>-0.60769649999999997</v>
      </c>
      <c r="V4353">
        <v>5.414091E-2</v>
      </c>
      <c r="W4353">
        <v>0.19680300000000001</v>
      </c>
      <c r="X4353">
        <v>0.97894700000000001</v>
      </c>
      <c r="Y4353">
        <v>0.2145948</v>
      </c>
      <c r="Z4353">
        <v>-5.4545380000000001E-3</v>
      </c>
      <c r="AA4353">
        <v>0.97668790000000005</v>
      </c>
      <c r="AB4353">
        <v>29</v>
      </c>
      <c r="AC4353">
        <v>33.335999999999999</v>
      </c>
      <c r="AD4353">
        <v>-1.1214357820859999</v>
      </c>
      <c r="AE4353">
        <v>-6.7032000000000096</v>
      </c>
      <c r="AF4353">
        <v>7.3569720525351299</v>
      </c>
      <c r="AG4353">
        <v>-1.1214357820859999</v>
      </c>
      <c r="AH4353">
        <v>33.160000147894301</v>
      </c>
      <c r="AI4353">
        <v>91.890997099969496</v>
      </c>
      <c r="AJ4353">
        <v>77.490815471877099</v>
      </c>
      <c r="AK4353">
        <v>33.9848240513832</v>
      </c>
      <c r="AL4353">
        <v>78.649930236061905</v>
      </c>
      <c r="AM4353">
        <v>86.834467319086599</v>
      </c>
      <c r="AN4353">
        <v>0.99999994387681201</v>
      </c>
    </row>
    <row r="4354" spans="1:40" x14ac:dyDescent="0.25">
      <c r="A4354" t="str">
        <f>"20190303170340778"</f>
        <v>20190303170340778</v>
      </c>
      <c r="B4354" t="str">
        <f>"1551603820770258"</f>
        <v>1551603820770258</v>
      </c>
      <c r="C4354" t="s">
        <v>40</v>
      </c>
      <c r="D4354">
        <v>4.4197730000000002</v>
      </c>
      <c r="E4354">
        <v>0.56891059999999904</v>
      </c>
      <c r="F4354" t="s">
        <v>57</v>
      </c>
      <c r="G4354">
        <v>-192.10919999999999</v>
      </c>
      <c r="H4354" s="1">
        <v>4.3573169999999996E-6</v>
      </c>
      <c r="I4354">
        <v>208.4136</v>
      </c>
      <c r="J4354">
        <v>-225.65600000000001</v>
      </c>
      <c r="K4354">
        <v>1.1213799999999901</v>
      </c>
      <c r="L4354">
        <v>215.27590000000001</v>
      </c>
      <c r="M4354">
        <v>0.99971370000000004</v>
      </c>
      <c r="N4354">
        <v>-1.4155650000000001E-2</v>
      </c>
      <c r="O4354">
        <v>1.9292460000000001E-2</v>
      </c>
      <c r="P4354">
        <v>0.98249010000000003</v>
      </c>
      <c r="Q4354">
        <v>0.18269189999999999</v>
      </c>
      <c r="R4354">
        <v>-3.6567860000000001E-2</v>
      </c>
      <c r="S4354">
        <v>3.050583</v>
      </c>
      <c r="T4354">
        <v>-0.1011287</v>
      </c>
      <c r="U4354">
        <v>-0.61837769999999903</v>
      </c>
      <c r="V4354">
        <v>5.573678E-2</v>
      </c>
      <c r="W4354">
        <v>0.19650709999999999</v>
      </c>
      <c r="X4354">
        <v>0.97891689999999998</v>
      </c>
      <c r="Y4354">
        <v>0.21737139999999999</v>
      </c>
      <c r="Z4354">
        <v>-5.4834740000000003E-3</v>
      </c>
      <c r="AA4354">
        <v>0.97607359999999999</v>
      </c>
      <c r="AB4354">
        <v>29</v>
      </c>
      <c r="AC4354">
        <v>33.546799999999898</v>
      </c>
      <c r="AD4354">
        <v>-1.1213756426829899</v>
      </c>
      <c r="AE4354">
        <v>-6.8623000000000003</v>
      </c>
      <c r="AF4354">
        <v>7.5002436755718502</v>
      </c>
      <c r="AG4354">
        <v>-1.1213756426829899</v>
      </c>
      <c r="AH4354">
        <v>33.372359368893697</v>
      </c>
      <c r="AI4354">
        <v>91.877721736093903</v>
      </c>
      <c r="AJ4354">
        <v>77.333568182725799</v>
      </c>
      <c r="AK4354">
        <v>34.2231720968636</v>
      </c>
      <c r="AL4354">
        <v>78.667221933648406</v>
      </c>
      <c r="AM4354">
        <v>86.741257576707895</v>
      </c>
      <c r="AN4354">
        <v>0.99999996305039296</v>
      </c>
    </row>
    <row r="4355" spans="1:40" x14ac:dyDescent="0.25">
      <c r="A4355" t="str">
        <f>"20190303170340799"</f>
        <v>20190303170340799</v>
      </c>
      <c r="B4355" t="str">
        <f>"1551603820789779"</f>
        <v>1551603820789779</v>
      </c>
      <c r="C4355" t="s">
        <v>40</v>
      </c>
      <c r="D4355">
        <v>4.4403119999999996</v>
      </c>
      <c r="E4355">
        <v>0.56905169999999905</v>
      </c>
      <c r="F4355" t="s">
        <v>57</v>
      </c>
      <c r="G4355">
        <v>-193.07599999999999</v>
      </c>
      <c r="H4355" s="1">
        <v>4.1259480000000002E-6</v>
      </c>
      <c r="I4355">
        <v>208.59719999999999</v>
      </c>
      <c r="J4355">
        <v>-225.3733</v>
      </c>
      <c r="K4355">
        <v>1.1213229999999901</v>
      </c>
      <c r="L4355">
        <v>215.28059999999999</v>
      </c>
      <c r="M4355">
        <v>0.99972640000000002</v>
      </c>
      <c r="N4355">
        <v>-1.4153310000000001E-2</v>
      </c>
      <c r="O4355">
        <v>1.8625760000000002E-2</v>
      </c>
      <c r="P4355">
        <v>0.98261980000000004</v>
      </c>
      <c r="Q4355">
        <v>0.18157780000000001</v>
      </c>
      <c r="R4355">
        <v>-3.8577599999999997E-2</v>
      </c>
      <c r="S4355">
        <v>3.0496979999999998</v>
      </c>
      <c r="T4355">
        <v>-0.10496809999999999</v>
      </c>
      <c r="U4355">
        <v>-0.62516780000000005</v>
      </c>
      <c r="V4355">
        <v>5.7118679999999998E-2</v>
      </c>
      <c r="W4355">
        <v>0.19538349999999999</v>
      </c>
      <c r="X4355">
        <v>0.97906219999999999</v>
      </c>
      <c r="Y4355">
        <v>0.21884960000000001</v>
      </c>
      <c r="Z4355">
        <v>-5.6656689999999999E-3</v>
      </c>
      <c r="AA4355">
        <v>0.9757422</v>
      </c>
      <c r="AB4355">
        <v>29</v>
      </c>
      <c r="AC4355">
        <v>32.2973</v>
      </c>
      <c r="AD4355">
        <v>-1.1213188740519999</v>
      </c>
      <c r="AE4355">
        <v>-6.6833999999999998</v>
      </c>
      <c r="AF4355">
        <v>7.2754527439940402</v>
      </c>
      <c r="AG4355">
        <v>-1.1213188740519999</v>
      </c>
      <c r="AH4355">
        <v>32.130061493315303</v>
      </c>
      <c r="AI4355">
        <v>91.949461297926803</v>
      </c>
      <c r="AJ4355">
        <v>77.241243397402997</v>
      </c>
      <c r="AK4355">
        <v>32.962560886733598</v>
      </c>
      <c r="AL4355">
        <v>78.732872808937799</v>
      </c>
      <c r="AM4355">
        <v>86.661137625567704</v>
      </c>
      <c r="AN4355">
        <v>1.00000002357301</v>
      </c>
    </row>
    <row r="4356" spans="1:40" x14ac:dyDescent="0.25">
      <c r="A4356" t="str">
        <f>"20190303170340822"</f>
        <v>20190303170340822</v>
      </c>
      <c r="B4356" t="str">
        <f>"1551603820810273"</f>
        <v>1551603820810273</v>
      </c>
      <c r="C4356" t="s">
        <v>40</v>
      </c>
      <c r="D4356">
        <v>4.4252690000000001</v>
      </c>
      <c r="E4356">
        <v>0.5692102</v>
      </c>
      <c r="F4356" t="s">
        <v>57</v>
      </c>
      <c r="G4356">
        <v>-194.27869999999999</v>
      </c>
      <c r="H4356" s="1">
        <v>3.8502349999999999E-6</v>
      </c>
      <c r="I4356">
        <v>208.83269999999999</v>
      </c>
      <c r="J4356">
        <v>-225.07939999999999</v>
      </c>
      <c r="K4356">
        <v>1.121265</v>
      </c>
      <c r="L4356">
        <v>215.28530000000001</v>
      </c>
      <c r="M4356">
        <v>0.99974039999999997</v>
      </c>
      <c r="N4356">
        <v>-1.415085E-2</v>
      </c>
      <c r="O4356">
        <v>1.7854390000000001E-2</v>
      </c>
      <c r="P4356">
        <v>0.98280330000000005</v>
      </c>
      <c r="Q4356">
        <v>0.18031800000000001</v>
      </c>
      <c r="R4356">
        <v>-3.9791189999999997E-2</v>
      </c>
      <c r="S4356">
        <v>3.0485380000000002</v>
      </c>
      <c r="T4356">
        <v>-0.1099349</v>
      </c>
      <c r="U4356">
        <v>-0.63215639999999995</v>
      </c>
      <c r="V4356">
        <v>5.7602460000000001E-2</v>
      </c>
      <c r="W4356">
        <v>0.19411600000000001</v>
      </c>
      <c r="X4356">
        <v>0.97928599999999999</v>
      </c>
      <c r="Y4356">
        <v>0.22029879999999999</v>
      </c>
      <c r="Z4356">
        <v>-5.8922790000000003E-3</v>
      </c>
      <c r="AA4356">
        <v>0.97541460000000002</v>
      </c>
      <c r="AB4356">
        <v>29</v>
      </c>
      <c r="AC4356">
        <v>30.800699999999999</v>
      </c>
      <c r="AD4356">
        <v>-1.121261149765</v>
      </c>
      <c r="AE4356">
        <v>-6.4526000000000101</v>
      </c>
      <c r="AF4356">
        <v>6.99267672392347</v>
      </c>
      <c r="AG4356">
        <v>-1.121261149765</v>
      </c>
      <c r="AH4356">
        <v>30.641670425588998</v>
      </c>
      <c r="AI4356">
        <v>92.043189567130398</v>
      </c>
      <c r="AJ4356">
        <v>77.144784784009502</v>
      </c>
      <c r="AK4356">
        <v>31.4494311681736</v>
      </c>
      <c r="AL4356">
        <v>78.806913357009606</v>
      </c>
      <c r="AM4356">
        <v>86.633690863487899</v>
      </c>
      <c r="AN4356">
        <v>1.00000006732502</v>
      </c>
    </row>
    <row r="4357" spans="1:40" x14ac:dyDescent="0.25">
      <c r="A4357" t="str">
        <f>"20190303170340844"</f>
        <v>20190303170340844</v>
      </c>
      <c r="B4357" t="str">
        <f>"1551603820839553"</f>
        <v>1551603820839553</v>
      </c>
      <c r="C4357" t="s">
        <v>40</v>
      </c>
      <c r="D4357">
        <v>4.4383210000000002</v>
      </c>
      <c r="E4357">
        <v>0.56938889999999998</v>
      </c>
      <c r="F4357" t="s">
        <v>57</v>
      </c>
      <c r="G4357">
        <v>-195.28450000000001</v>
      </c>
      <c r="H4357" s="1">
        <v>3.6129050000000001E-6</v>
      </c>
      <c r="I4357">
        <v>209.05529999999999</v>
      </c>
      <c r="J4357">
        <v>-224.7997</v>
      </c>
      <c r="K4357">
        <v>1.1212</v>
      </c>
      <c r="L4357">
        <v>215.2894</v>
      </c>
      <c r="M4357">
        <v>0.9997547</v>
      </c>
      <c r="N4357">
        <v>-1.4148620000000001E-2</v>
      </c>
      <c r="O4357">
        <v>1.7039249999999999E-2</v>
      </c>
      <c r="P4357">
        <v>0.9827939</v>
      </c>
      <c r="Q4357">
        <v>0.17989849999999999</v>
      </c>
      <c r="R4357">
        <v>-4.1868519999999999E-2</v>
      </c>
      <c r="S4357">
        <v>3.0477289999999999</v>
      </c>
      <c r="T4357">
        <v>-0.114694</v>
      </c>
      <c r="U4357">
        <v>-0.6372681</v>
      </c>
      <c r="V4357">
        <v>5.890459E-2</v>
      </c>
      <c r="W4357">
        <v>0.1936842</v>
      </c>
      <c r="X4357">
        <v>0.97929390000000005</v>
      </c>
      <c r="Y4357">
        <v>0.2211071</v>
      </c>
      <c r="Z4357">
        <v>-6.0922759999999998E-3</v>
      </c>
      <c r="AA4357">
        <v>0.9752305</v>
      </c>
      <c r="AB4357">
        <v>29</v>
      </c>
      <c r="AC4357">
        <v>29.5152</v>
      </c>
      <c r="AD4357">
        <v>-1.1211963870949999</v>
      </c>
      <c r="AE4357">
        <v>-6.2341000000000104</v>
      </c>
      <c r="AF4357">
        <v>6.7268695440302899</v>
      </c>
      <c r="AG4357">
        <v>-1.1211963870949999</v>
      </c>
      <c r="AH4357">
        <v>29.364115809874701</v>
      </c>
      <c r="AI4357">
        <v>92.131474297841194</v>
      </c>
      <c r="AJ4357">
        <v>77.097053636359405</v>
      </c>
      <c r="AK4357">
        <v>30.145632395034799</v>
      </c>
      <c r="AL4357">
        <v>78.832130757815193</v>
      </c>
      <c r="AM4357">
        <v>86.557802566801897</v>
      </c>
      <c r="AN4357">
        <v>0.99999993131495601</v>
      </c>
    </row>
    <row r="4358" spans="1:40" x14ac:dyDescent="0.25">
      <c r="A4358" t="str">
        <f>"20190303170340866"</f>
        <v>20190303170340866</v>
      </c>
      <c r="B4358" t="str">
        <f>"1551603820860050"</f>
        <v>1551603820860050</v>
      </c>
      <c r="C4358" t="s">
        <v>40</v>
      </c>
      <c r="D4358">
        <v>4.425656</v>
      </c>
      <c r="E4358">
        <v>0.56953699999999996</v>
      </c>
      <c r="F4358" t="s">
        <v>57</v>
      </c>
      <c r="G4358">
        <v>-195.92609999999999</v>
      </c>
      <c r="H4358" s="1">
        <v>3.465512E-6</v>
      </c>
      <c r="I4358">
        <v>209.18209999999999</v>
      </c>
      <c r="J4358">
        <v>-224.51560000000001</v>
      </c>
      <c r="K4358">
        <v>1.1211249999999999</v>
      </c>
      <c r="L4358">
        <v>215.29329999999999</v>
      </c>
      <c r="M4358">
        <v>0.99977000000000005</v>
      </c>
      <c r="N4358">
        <v>-1.4146489999999999E-2</v>
      </c>
      <c r="O4358">
        <v>1.6124110000000001E-2</v>
      </c>
      <c r="P4358">
        <v>0.98270740000000001</v>
      </c>
      <c r="Q4358">
        <v>0.17983550000000001</v>
      </c>
      <c r="R4358">
        <v>-4.4106939999999997E-2</v>
      </c>
      <c r="S4358">
        <v>3.0467219999999999</v>
      </c>
      <c r="T4358">
        <v>-0.1183078</v>
      </c>
      <c r="U4358">
        <v>-0.64443969999999995</v>
      </c>
      <c r="V4358">
        <v>6.0272680000000002E-2</v>
      </c>
      <c r="W4358">
        <v>0.193607</v>
      </c>
      <c r="X4358">
        <v>0.97922600000000004</v>
      </c>
      <c r="Y4358">
        <v>0.2224641</v>
      </c>
      <c r="Z4358">
        <v>-6.2558889999999997E-3</v>
      </c>
      <c r="AA4358">
        <v>0.97492080000000003</v>
      </c>
      <c r="AB4358">
        <v>29</v>
      </c>
      <c r="AC4358">
        <v>28.589500000000001</v>
      </c>
      <c r="AD4358">
        <v>-1.1211215344879999</v>
      </c>
      <c r="AE4358">
        <v>-6.1111999999999904</v>
      </c>
      <c r="AF4358">
        <v>6.5617820900396397</v>
      </c>
      <c r="AG4358">
        <v>-1.1211215344879999</v>
      </c>
      <c r="AH4358">
        <v>28.4454038259837</v>
      </c>
      <c r="AI4358">
        <v>92.199336579770602</v>
      </c>
      <c r="AJ4358">
        <v>77.010244358224497</v>
      </c>
      <c r="AK4358">
        <v>29.213950375044199</v>
      </c>
      <c r="AL4358">
        <v>78.836640253307706</v>
      </c>
      <c r="AM4358">
        <v>86.477811086622793</v>
      </c>
      <c r="AN4358">
        <v>1.00000001273969</v>
      </c>
    </row>
    <row r="4359" spans="1:40" x14ac:dyDescent="0.25">
      <c r="A4359" t="str">
        <f>"20190303170340890"</f>
        <v>20190303170340890</v>
      </c>
      <c r="B4359" t="str">
        <f>"1551603820879570"</f>
        <v>1551603820879570</v>
      </c>
      <c r="C4359" t="s">
        <v>40</v>
      </c>
      <c r="D4359">
        <v>4.4610079999999996</v>
      </c>
      <c r="E4359">
        <v>0.569646599999999</v>
      </c>
      <c r="F4359" t="s">
        <v>57</v>
      </c>
      <c r="G4359">
        <v>-196.28229999999999</v>
      </c>
      <c r="H4359" s="1">
        <v>3.384341E-6</v>
      </c>
      <c r="I4359">
        <v>209.25</v>
      </c>
      <c r="J4359">
        <v>-224.22919999999999</v>
      </c>
      <c r="K4359">
        <v>1.121051</v>
      </c>
      <c r="L4359">
        <v>215.29679999999999</v>
      </c>
      <c r="M4359">
        <v>0.99978599999999995</v>
      </c>
      <c r="N4359">
        <v>-1.414456E-2</v>
      </c>
      <c r="O4359">
        <v>1.510687E-2</v>
      </c>
      <c r="P4359">
        <v>0.98268420000000001</v>
      </c>
      <c r="Q4359">
        <v>0.17939340000000001</v>
      </c>
      <c r="R4359">
        <v>-4.6371780000000001E-2</v>
      </c>
      <c r="S4359">
        <v>3.0456539999999999</v>
      </c>
      <c r="T4359">
        <v>-0.1209406</v>
      </c>
      <c r="U4359">
        <v>-0.65191650000000001</v>
      </c>
      <c r="V4359">
        <v>6.157083E-2</v>
      </c>
      <c r="W4359">
        <v>0.19314990000000001</v>
      </c>
      <c r="X4359">
        <v>0.97923550000000004</v>
      </c>
      <c r="Y4359">
        <v>0.22382079999999999</v>
      </c>
      <c r="Z4359">
        <v>-6.3759759999999898E-3</v>
      </c>
      <c r="AA4359">
        <v>0.97460939999999996</v>
      </c>
      <c r="AB4359">
        <v>29</v>
      </c>
      <c r="AC4359">
        <v>27.946899999999999</v>
      </c>
      <c r="AD4359">
        <v>-1.1210476156589999</v>
      </c>
      <c r="AE4359">
        <v>-6.0467999999999904</v>
      </c>
      <c r="AF4359">
        <v>6.4584147537932202</v>
      </c>
      <c r="AG4359">
        <v>-1.1210476156589999</v>
      </c>
      <c r="AH4359">
        <v>27.809605835191</v>
      </c>
      <c r="AI4359">
        <v>92.248651245507801</v>
      </c>
      <c r="AJ4359">
        <v>76.925573183139505</v>
      </c>
      <c r="AK4359">
        <v>28.571700082376498</v>
      </c>
      <c r="AL4359">
        <v>78.863333962514602</v>
      </c>
      <c r="AM4359">
        <v>86.402182338876401</v>
      </c>
      <c r="AN4359">
        <v>1.00000000771857</v>
      </c>
    </row>
    <row r="4360" spans="1:40" x14ac:dyDescent="0.25">
      <c r="A4360" t="str">
        <f>"20190303170340911"</f>
        <v>20190303170340911</v>
      </c>
      <c r="B4360" t="str">
        <f>"1551603820900066"</f>
        <v>1551603820900066</v>
      </c>
      <c r="C4360" t="s">
        <v>40</v>
      </c>
      <c r="D4360">
        <v>4.4490619999999996</v>
      </c>
      <c r="E4360">
        <v>0.56985209999999997</v>
      </c>
      <c r="F4360" t="s">
        <v>57</v>
      </c>
      <c r="G4360">
        <v>-196.7936</v>
      </c>
      <c r="H4360" s="1">
        <v>3.2655089999999999E-6</v>
      </c>
      <c r="I4360">
        <v>209.3562</v>
      </c>
      <c r="J4360">
        <v>-223.94470000000001</v>
      </c>
      <c r="K4360">
        <v>1.1209800000000001</v>
      </c>
      <c r="L4360">
        <v>215.29990000000001</v>
      </c>
      <c r="M4360">
        <v>0.99980219999999997</v>
      </c>
      <c r="N4360">
        <v>-1.414283E-2</v>
      </c>
      <c r="O4360">
        <v>1.3996160000000001E-2</v>
      </c>
      <c r="P4360">
        <v>0.98270610000000003</v>
      </c>
      <c r="Q4360">
        <v>0.17861189999999999</v>
      </c>
      <c r="R4360">
        <v>-4.8856919999999998E-2</v>
      </c>
      <c r="S4360">
        <v>3.0444640000000001</v>
      </c>
      <c r="T4360">
        <v>-0.12440039999999999</v>
      </c>
      <c r="U4360">
        <v>-0.65921019999999997</v>
      </c>
      <c r="V4360">
        <v>6.3000719999999996E-2</v>
      </c>
      <c r="W4360">
        <v>0.19235269999999999</v>
      </c>
      <c r="X4360">
        <v>0.97930150000000005</v>
      </c>
      <c r="Y4360">
        <v>0.2250344</v>
      </c>
      <c r="Z4360">
        <v>-6.5233289999999996E-3</v>
      </c>
      <c r="AA4360">
        <v>0.974329</v>
      </c>
      <c r="AB4360">
        <v>28</v>
      </c>
      <c r="AC4360">
        <v>27.1511</v>
      </c>
      <c r="AD4360">
        <v>-1.12097673449099</v>
      </c>
      <c r="AE4360">
        <v>-5.9436999999999998</v>
      </c>
      <c r="AF4360">
        <v>6.3128980163797097</v>
      </c>
      <c r="AG4360">
        <v>-1.12097673449099</v>
      </c>
      <c r="AH4360">
        <v>27.021289025602101</v>
      </c>
      <c r="AI4360">
        <v>92.313326946880295</v>
      </c>
      <c r="AJ4360">
        <v>76.850031044394996</v>
      </c>
      <c r="AK4360">
        <v>27.771556146705301</v>
      </c>
      <c r="AL4360">
        <v>78.909883425900105</v>
      </c>
      <c r="AM4360">
        <v>86.319102983424997</v>
      </c>
      <c r="AN4360">
        <v>1.00000003991002</v>
      </c>
    </row>
    <row r="4361" spans="1:40" x14ac:dyDescent="0.25">
      <c r="A4361" t="str">
        <f>"20190303170340934"</f>
        <v>20190303170340934</v>
      </c>
      <c r="B4361" t="str">
        <f>"1551603820930322"</f>
        <v>1551603820930322</v>
      </c>
      <c r="C4361" t="s">
        <v>40</v>
      </c>
      <c r="D4361">
        <v>4.4058789999999997</v>
      </c>
      <c r="E4361">
        <v>0.56996769999999997</v>
      </c>
      <c r="F4361" t="s">
        <v>57</v>
      </c>
      <c r="G4361">
        <v>-197.3237</v>
      </c>
      <c r="H4361" s="1">
        <v>3.1452680000000002E-6</v>
      </c>
      <c r="I4361">
        <v>209.45529999999999</v>
      </c>
      <c r="J4361">
        <v>-223.65280000000001</v>
      </c>
      <c r="K4361">
        <v>1.120887</v>
      </c>
      <c r="L4361">
        <v>215.30260000000001</v>
      </c>
      <c r="M4361">
        <v>0.99981889999999995</v>
      </c>
      <c r="N4361">
        <v>-1.414135E-2</v>
      </c>
      <c r="O4361">
        <v>1.2746220000000001E-2</v>
      </c>
      <c r="P4361">
        <v>0.98270740000000001</v>
      </c>
      <c r="Q4361">
        <v>0.1777772</v>
      </c>
      <c r="R4361">
        <v>-5.1786909999999998E-2</v>
      </c>
      <c r="S4361">
        <v>3.0428769999999998</v>
      </c>
      <c r="T4361">
        <v>-0.1281313</v>
      </c>
      <c r="U4361">
        <v>-0.66806030000000005</v>
      </c>
      <c r="V4361">
        <v>6.4740049999999993E-2</v>
      </c>
      <c r="W4361">
        <v>0.1915009</v>
      </c>
      <c r="X4361">
        <v>0.97935499999999998</v>
      </c>
      <c r="Y4361">
        <v>0.2266116</v>
      </c>
      <c r="Z4361">
        <v>-6.6874600000000001E-3</v>
      </c>
      <c r="AA4361">
        <v>0.9739622</v>
      </c>
      <c r="AB4361">
        <v>28</v>
      </c>
      <c r="AC4361">
        <v>26.3291</v>
      </c>
      <c r="AD4361">
        <v>-1.1208838547319999</v>
      </c>
      <c r="AE4361">
        <v>-5.8473000000000104</v>
      </c>
      <c r="AF4361">
        <v>6.1717950348193096</v>
      </c>
      <c r="AG4361">
        <v>-1.1208838547319999</v>
      </c>
      <c r="AH4361">
        <v>26.2071574953649</v>
      </c>
      <c r="AI4361">
        <v>92.383919788691699</v>
      </c>
      <c r="AJ4361">
        <v>76.748283661082795</v>
      </c>
      <c r="AK4361">
        <v>26.947403187589</v>
      </c>
      <c r="AL4361">
        <v>78.959612498974806</v>
      </c>
      <c r="AM4361">
        <v>86.217977456709903</v>
      </c>
      <c r="AN4361">
        <v>1.0000000423999</v>
      </c>
    </row>
    <row r="4362" spans="1:40" x14ac:dyDescent="0.25">
      <c r="A4362" t="str">
        <f>"20190303170340957"</f>
        <v>20190303170340957</v>
      </c>
      <c r="B4362" t="str">
        <f>"1551603820949374"</f>
        <v>1551603820949374</v>
      </c>
      <c r="C4362" t="s">
        <v>40</v>
      </c>
      <c r="D4362">
        <v>4.4222060000000001</v>
      </c>
      <c r="E4362">
        <v>0.57009480000000001</v>
      </c>
      <c r="F4362" t="s">
        <v>57</v>
      </c>
      <c r="G4362">
        <v>-198.03630000000001</v>
      </c>
      <c r="H4362" s="1">
        <v>2.9808779999999999E-6</v>
      </c>
      <c r="I4362">
        <v>209.59870000000001</v>
      </c>
      <c r="J4362">
        <v>-223.37370000000001</v>
      </c>
      <c r="K4362">
        <v>1.120803</v>
      </c>
      <c r="L4362">
        <v>215.3047</v>
      </c>
      <c r="M4362">
        <v>0.99983469999999997</v>
      </c>
      <c r="N4362">
        <v>-1.414018E-2</v>
      </c>
      <c r="O4362">
        <v>1.1433189999999999E-2</v>
      </c>
      <c r="P4362">
        <v>0.98258480000000004</v>
      </c>
      <c r="Q4362">
        <v>0.177582399999999</v>
      </c>
      <c r="R4362">
        <v>-5.469603E-2</v>
      </c>
      <c r="S4362">
        <v>3.0411830000000002</v>
      </c>
      <c r="T4362">
        <v>-0.1330712</v>
      </c>
      <c r="U4362">
        <v>-0.67716980000000004</v>
      </c>
      <c r="V4362">
        <v>6.6395469999999998E-2</v>
      </c>
      <c r="W4362">
        <v>0.19128709999999999</v>
      </c>
      <c r="X4362">
        <v>0.97928590000000004</v>
      </c>
      <c r="Y4362">
        <v>0.22820750000000001</v>
      </c>
      <c r="Z4362">
        <v>-6.8986500000000001E-3</v>
      </c>
      <c r="AA4362">
        <v>0.97358800000000001</v>
      </c>
      <c r="AB4362">
        <v>28</v>
      </c>
      <c r="AC4362">
        <v>25.337399999999999</v>
      </c>
      <c r="AD4362">
        <v>-1.120800019122</v>
      </c>
      <c r="AE4362">
        <v>-5.70599999999998</v>
      </c>
      <c r="AF4362">
        <v>5.9841989275763696</v>
      </c>
      <c r="AG4362">
        <v>-1.120800019122</v>
      </c>
      <c r="AH4362">
        <v>25.223525792105502</v>
      </c>
      <c r="AI4362">
        <v>92.4756191031979</v>
      </c>
      <c r="AJ4362">
        <v>76.653519000223298</v>
      </c>
      <c r="AK4362">
        <v>25.947891684541201</v>
      </c>
      <c r="AL4362">
        <v>78.972092514644501</v>
      </c>
      <c r="AM4362">
        <v>86.121288803377496</v>
      </c>
      <c r="AN4362">
        <v>0.99999999350086999</v>
      </c>
    </row>
    <row r="4363" spans="1:40" x14ac:dyDescent="0.25">
      <c r="A4363" t="str">
        <f>"20190303170340977"</f>
        <v>20190303170340977</v>
      </c>
      <c r="B4363" t="str">
        <f>"1551603820969870"</f>
        <v>1551603820969870</v>
      </c>
      <c r="C4363" t="s">
        <v>40</v>
      </c>
      <c r="D4363">
        <v>4.4230989999999997</v>
      </c>
      <c r="E4363">
        <v>0.57263310000000001</v>
      </c>
      <c r="F4363" t="s">
        <v>57</v>
      </c>
      <c r="G4363">
        <v>-197.90809999999999</v>
      </c>
      <c r="H4363" s="1">
        <v>3.0170760000000001E-6</v>
      </c>
      <c r="I4363">
        <v>209.5479</v>
      </c>
      <c r="J4363">
        <v>-223.10140000000001</v>
      </c>
      <c r="K4363">
        <v>1.120738</v>
      </c>
      <c r="L4363">
        <v>215.30629999999999</v>
      </c>
      <c r="M4363">
        <v>0.99984969999999995</v>
      </c>
      <c r="N4363">
        <v>-1.4139260000000001E-2</v>
      </c>
      <c r="O4363">
        <v>1.004912E-2</v>
      </c>
      <c r="P4363">
        <v>0.98238729999999996</v>
      </c>
      <c r="Q4363">
        <v>0.17775550000000001</v>
      </c>
      <c r="R4363">
        <v>-5.7605919999999998E-2</v>
      </c>
      <c r="S4363">
        <v>3.0391080000000001</v>
      </c>
      <c r="T4363">
        <v>-0.13375780000000001</v>
      </c>
      <c r="U4363">
        <v>-0.68702700000000005</v>
      </c>
      <c r="V4363">
        <v>6.7979849999999994E-2</v>
      </c>
      <c r="W4363">
        <v>0.191441</v>
      </c>
      <c r="X4363">
        <v>0.97914710000000005</v>
      </c>
      <c r="Y4363">
        <v>0.2300025</v>
      </c>
      <c r="Z4363">
        <v>-6.9398860000000001E-3</v>
      </c>
      <c r="AA4363">
        <v>0.97316530000000001</v>
      </c>
      <c r="AB4363">
        <v>28</v>
      </c>
      <c r="AC4363">
        <v>25.193300000000001</v>
      </c>
      <c r="AD4363">
        <v>-1.1207349829240001</v>
      </c>
      <c r="AE4363">
        <v>-5.7583999999999902</v>
      </c>
      <c r="AF4363">
        <v>6.0000207069378604</v>
      </c>
      <c r="AG4363">
        <v>-1.1207349829240001</v>
      </c>
      <c r="AH4363">
        <v>25.086973954106</v>
      </c>
      <c r="AI4363">
        <v>92.487856315777293</v>
      </c>
      <c r="AJ4363">
        <v>76.549307319441994</v>
      </c>
      <c r="AK4363">
        <v>25.818841135101799</v>
      </c>
      <c r="AL4363">
        <v>78.963108513440403</v>
      </c>
      <c r="AM4363">
        <v>86.028463565625003</v>
      </c>
      <c r="AN4363">
        <v>0.99999997996271595</v>
      </c>
    </row>
    <row r="4364" spans="1:40" x14ac:dyDescent="0.25">
      <c r="A4364" t="str">
        <f>"20190303170341001"</f>
        <v>20190303170341001</v>
      </c>
      <c r="B4364" t="str">
        <f>"1551603820989390"</f>
        <v>1551603820989390</v>
      </c>
      <c r="C4364" t="s">
        <v>40</v>
      </c>
      <c r="D4364">
        <v>4.4362519999999996</v>
      </c>
      <c r="E4364">
        <v>0.57206239999999997</v>
      </c>
      <c r="F4364" t="s">
        <v>57</v>
      </c>
      <c r="G4364">
        <v>-199.25890000000001</v>
      </c>
      <c r="H4364" s="1">
        <v>2.753272E-6</v>
      </c>
      <c r="I4364">
        <v>209.6857</v>
      </c>
      <c r="J4364">
        <v>-222.8168</v>
      </c>
      <c r="K4364">
        <v>1.1206700000000001</v>
      </c>
      <c r="L4364">
        <v>215.3075</v>
      </c>
      <c r="M4364">
        <v>0.99986370000000002</v>
      </c>
      <c r="N4364">
        <v>-1.413823E-2</v>
      </c>
      <c r="O4364">
        <v>8.5176319999999903E-3</v>
      </c>
      <c r="P4364">
        <v>0.98207429999999996</v>
      </c>
      <c r="Q4364">
        <v>0.17819370000000001</v>
      </c>
      <c r="R4364">
        <v>-6.1456549999999999E-2</v>
      </c>
      <c r="S4364">
        <v>3.0376280000000002</v>
      </c>
      <c r="T4364">
        <v>-0.14278640000000001</v>
      </c>
      <c r="U4364">
        <v>-0.71609500000000004</v>
      </c>
      <c r="V4364">
        <v>7.0357100000000006E-2</v>
      </c>
      <c r="W4364">
        <v>0.19185659999999999</v>
      </c>
      <c r="X4364">
        <v>0.97889780000000004</v>
      </c>
      <c r="Y4364">
        <v>0.2374038</v>
      </c>
      <c r="Z4364">
        <v>-7.4796200000000002E-3</v>
      </c>
      <c r="AA4364">
        <v>0.97138230000000003</v>
      </c>
      <c r="AB4364">
        <v>28</v>
      </c>
      <c r="AC4364">
        <v>23.557899999999901</v>
      </c>
      <c r="AD4364">
        <v>-1.1206672467280001</v>
      </c>
      <c r="AE4364">
        <v>-5.6218000000000004</v>
      </c>
      <c r="AF4364">
        <v>5.8098344782544196</v>
      </c>
      <c r="AG4364">
        <v>-1.1206672467280001</v>
      </c>
      <c r="AH4364">
        <v>23.458929316182498</v>
      </c>
      <c r="AI4364">
        <v>92.654934517416393</v>
      </c>
      <c r="AJ4364">
        <v>76.090020474933695</v>
      </c>
      <c r="AK4364">
        <v>24.193623879118402</v>
      </c>
      <c r="AL4364">
        <v>78.938846767250297</v>
      </c>
      <c r="AM4364">
        <v>85.889004071142594</v>
      </c>
      <c r="AN4364">
        <v>0.99999998966440495</v>
      </c>
    </row>
    <row r="4365" spans="1:40" x14ac:dyDescent="0.25">
      <c r="A4365" t="str">
        <f>"20190303170341023"</f>
        <v>20190303170341023</v>
      </c>
      <c r="B4365" t="str">
        <f>"1551603821009885"</f>
        <v>1551603821009885</v>
      </c>
      <c r="C4365" t="s">
        <v>40</v>
      </c>
      <c r="D4365">
        <v>4.418749</v>
      </c>
      <c r="E4365">
        <v>0.57231869999999996</v>
      </c>
      <c r="F4365" t="s">
        <v>57</v>
      </c>
      <c r="G4365">
        <v>-198.66839999999999</v>
      </c>
      <c r="H4365" s="1">
        <v>2.8781489999999999E-6</v>
      </c>
      <c r="I4365">
        <v>209.56319999999999</v>
      </c>
      <c r="J4365">
        <v>-222.53059999999999</v>
      </c>
      <c r="K4365">
        <v>1.120614</v>
      </c>
      <c r="L4365">
        <v>215.3081</v>
      </c>
      <c r="M4365">
        <v>0.9998764</v>
      </c>
      <c r="N4365">
        <v>-1.413699E-2</v>
      </c>
      <c r="O4365">
        <v>6.8975379999999999E-3</v>
      </c>
      <c r="P4365">
        <v>0.98202780000000001</v>
      </c>
      <c r="Q4365">
        <v>0.1768816</v>
      </c>
      <c r="R4365">
        <v>-6.5838800000000003E-2</v>
      </c>
      <c r="S4365">
        <v>3.0351409999999999</v>
      </c>
      <c r="T4365">
        <v>-0.14085339999999999</v>
      </c>
      <c r="U4365">
        <v>-0.72198490000000004</v>
      </c>
      <c r="V4365">
        <v>7.3171620000000007E-2</v>
      </c>
      <c r="W4365">
        <v>0.190526</v>
      </c>
      <c r="X4365">
        <v>0.97895129999999997</v>
      </c>
      <c r="Y4365">
        <v>0.2378004</v>
      </c>
      <c r="Z4365">
        <v>-7.3638439999999996E-3</v>
      </c>
      <c r="AA4365">
        <v>0.97128610000000004</v>
      </c>
      <c r="AB4365">
        <v>28</v>
      </c>
      <c r="AC4365">
        <v>23.862200000000001</v>
      </c>
      <c r="AD4365">
        <v>-1.120611121851</v>
      </c>
      <c r="AE4365">
        <v>-5.7449000000000003</v>
      </c>
      <c r="AF4365">
        <v>5.8970772362688697</v>
      </c>
      <c r="AG4365">
        <v>-1.120611121851</v>
      </c>
      <c r="AH4365">
        <v>23.772447030846099</v>
      </c>
      <c r="AI4365">
        <v>92.619591959576397</v>
      </c>
      <c r="AJ4365">
        <v>76.0682287664809</v>
      </c>
      <c r="AK4365">
        <v>24.518575143170899</v>
      </c>
      <c r="AL4365">
        <v>79.016516849614305</v>
      </c>
      <c r="AM4365">
        <v>85.725381171519501</v>
      </c>
      <c r="AN4365">
        <v>0.99999994521055502</v>
      </c>
    </row>
    <row r="4366" spans="1:40" x14ac:dyDescent="0.25">
      <c r="A4366" t="str">
        <f>"20190303170341045"</f>
        <v>20190303170341045</v>
      </c>
      <c r="B4366" t="str">
        <f>"1551603821040142"</f>
        <v>1551603821040142</v>
      </c>
      <c r="C4366" t="s">
        <v>40</v>
      </c>
      <c r="D4366">
        <v>4.4338680000000004</v>
      </c>
      <c r="E4366">
        <v>0.57221160000000004</v>
      </c>
      <c r="F4366" t="s">
        <v>57</v>
      </c>
      <c r="G4366">
        <v>-199.07769999999999</v>
      </c>
      <c r="H4366" s="1">
        <v>2.7932970000000001E-6</v>
      </c>
      <c r="I4366">
        <v>209.6095</v>
      </c>
      <c r="J4366">
        <v>-222.24430000000001</v>
      </c>
      <c r="K4366">
        <v>1.120557</v>
      </c>
      <c r="L4366">
        <v>215.3082</v>
      </c>
      <c r="M4366">
        <v>0.99988670000000002</v>
      </c>
      <c r="N4366">
        <v>-1.413557E-2</v>
      </c>
      <c r="O4366">
        <v>5.202903E-3</v>
      </c>
      <c r="P4366">
        <v>0.98199899999999996</v>
      </c>
      <c r="Q4366">
        <v>0.1753816</v>
      </c>
      <c r="R4366">
        <v>-7.0142789999999997E-2</v>
      </c>
      <c r="S4366">
        <v>3.0316160000000001</v>
      </c>
      <c r="T4366">
        <v>-0.14485479999999901</v>
      </c>
      <c r="U4366">
        <v>-0.73663330000000005</v>
      </c>
      <c r="V4366">
        <v>7.5830620000000001E-2</v>
      </c>
      <c r="W4366">
        <v>0.1890086</v>
      </c>
      <c r="X4366">
        <v>0.97904310000000005</v>
      </c>
      <c r="Y4366">
        <v>0.2408237</v>
      </c>
      <c r="Z4366">
        <v>-7.5681150000000003E-3</v>
      </c>
      <c r="AA4366">
        <v>0.97053940000000005</v>
      </c>
      <c r="AB4366">
        <v>28</v>
      </c>
      <c r="AC4366">
        <v>23.166599999999999</v>
      </c>
      <c r="AD4366">
        <v>-1.1205542067030001</v>
      </c>
      <c r="AE4366">
        <v>-5.6986999999999997</v>
      </c>
      <c r="AF4366">
        <v>5.8063590066781403</v>
      </c>
      <c r="AG4366">
        <v>-1.1205542067030001</v>
      </c>
      <c r="AH4366">
        <v>23.085704120396802</v>
      </c>
      <c r="AI4366">
        <v>92.695084572765097</v>
      </c>
      <c r="AJ4366">
        <v>75.882186380858101</v>
      </c>
      <c r="AK4366">
        <v>23.831054978307201</v>
      </c>
      <c r="AL4366">
        <v>79.105066700641899</v>
      </c>
      <c r="AM4366">
        <v>85.571065882539301</v>
      </c>
      <c r="AN4366">
        <v>0.99999996273057601</v>
      </c>
    </row>
    <row r="4367" spans="1:40" x14ac:dyDescent="0.25">
      <c r="A4367" t="str">
        <f>"20190303170341068"</f>
        <v>20190303170341068</v>
      </c>
      <c r="B4367" t="str">
        <f>"1551603821059662"</f>
        <v>1551603821059662</v>
      </c>
      <c r="C4367" t="s">
        <v>40</v>
      </c>
      <c r="D4367">
        <v>4.4247829999999997</v>
      </c>
      <c r="E4367">
        <v>0.57207919999999901</v>
      </c>
      <c r="F4367" t="s">
        <v>57</v>
      </c>
      <c r="G4367">
        <v>-199.6696</v>
      </c>
      <c r="H4367" s="1">
        <v>2.6764969999999998E-6</v>
      </c>
      <c r="I4367">
        <v>209.73070000000001</v>
      </c>
      <c r="J4367">
        <v>-221.9624</v>
      </c>
      <c r="K4367">
        <v>1.120511</v>
      </c>
      <c r="L4367">
        <v>215.30779999999999</v>
      </c>
      <c r="M4367">
        <v>0.99989419999999996</v>
      </c>
      <c r="N4367">
        <v>-1.4134219999999999E-2</v>
      </c>
      <c r="O4367">
        <v>3.4705669999999999E-3</v>
      </c>
      <c r="P4367">
        <v>0.98192270000000004</v>
      </c>
      <c r="Q4367">
        <v>0.1738335</v>
      </c>
      <c r="R4367">
        <v>-7.4900949999999994E-2</v>
      </c>
      <c r="S4367">
        <v>3.028381</v>
      </c>
      <c r="T4367">
        <v>-0.1503216</v>
      </c>
      <c r="U4367">
        <v>-0.74822999999999995</v>
      </c>
      <c r="V4367">
        <v>7.8904349999999998E-2</v>
      </c>
      <c r="W4367">
        <v>0.1874412</v>
      </c>
      <c r="X4367">
        <v>0.97910160000000002</v>
      </c>
      <c r="Y4367">
        <v>0.24285979999999999</v>
      </c>
      <c r="Z4367">
        <v>-7.7991700000000002E-3</v>
      </c>
      <c r="AA4367">
        <v>0.97003010000000001</v>
      </c>
      <c r="AB4367">
        <v>28</v>
      </c>
      <c r="AC4367">
        <v>22.2928</v>
      </c>
      <c r="AD4367">
        <v>-1.120508323503</v>
      </c>
      <c r="AE4367">
        <v>-5.5770999999999704</v>
      </c>
      <c r="AF4367">
        <v>5.6410307463701699</v>
      </c>
      <c r="AG4367">
        <v>-1.120508323503</v>
      </c>
      <c r="AH4367">
        <v>22.220476991095602</v>
      </c>
      <c r="AI4367">
        <v>92.798186278571194</v>
      </c>
      <c r="AJ4367">
        <v>75.755453884633397</v>
      </c>
      <c r="AK4367">
        <v>22.952698414267999</v>
      </c>
      <c r="AL4367">
        <v>79.196507161846</v>
      </c>
      <c r="AM4367">
        <v>85.392574967429098</v>
      </c>
      <c r="AN4367">
        <v>1.00000002151446</v>
      </c>
    </row>
    <row r="4368" spans="1:40" x14ac:dyDescent="0.25">
      <c r="A4368" t="str">
        <f>"20190303170341090"</f>
        <v>20190303170341090</v>
      </c>
      <c r="B4368" t="str">
        <f>"1551603821080158"</f>
        <v>1551603821080158</v>
      </c>
      <c r="C4368" t="s">
        <v>40</v>
      </c>
      <c r="D4368">
        <v>4.4347430000000001</v>
      </c>
      <c r="E4368">
        <v>0.57207889999999995</v>
      </c>
      <c r="F4368" t="s">
        <v>57</v>
      </c>
      <c r="G4368">
        <v>-200.07900000000001</v>
      </c>
      <c r="H4368" s="1">
        <v>2.672828E-6</v>
      </c>
      <c r="I4368">
        <v>209.80279999999999</v>
      </c>
      <c r="J4368">
        <v>-221.6807</v>
      </c>
      <c r="K4368">
        <v>1.120458</v>
      </c>
      <c r="L4368">
        <v>215.30680000000001</v>
      </c>
      <c r="M4368">
        <v>0.99989870000000003</v>
      </c>
      <c r="N4368">
        <v>-1.41329E-2</v>
      </c>
      <c r="O4368">
        <v>1.682343E-3</v>
      </c>
      <c r="P4368">
        <v>0.98163800000000001</v>
      </c>
      <c r="Q4368">
        <v>0.17316899999999999</v>
      </c>
      <c r="R4368">
        <v>-7.9996940000000002E-2</v>
      </c>
      <c r="S4368">
        <v>3.0246119999999999</v>
      </c>
      <c r="T4368">
        <v>-0.15487100000000001</v>
      </c>
      <c r="U4368">
        <v>-0.76087950000000004</v>
      </c>
      <c r="V4368">
        <v>8.2262479999999999E-2</v>
      </c>
      <c r="W4368">
        <v>0.186754</v>
      </c>
      <c r="X4368">
        <v>0.97895650000000001</v>
      </c>
      <c r="Y4368">
        <v>0.2452019</v>
      </c>
      <c r="Z4368">
        <v>-7.9995769999999904E-3</v>
      </c>
      <c r="AA4368">
        <v>0.96943900000000005</v>
      </c>
      <c r="AB4368">
        <v>28</v>
      </c>
      <c r="AC4368">
        <v>21.601699999999902</v>
      </c>
      <c r="AD4368">
        <v>-1.1204553271719999</v>
      </c>
      <c r="AE4368">
        <v>-5.5040000000000102</v>
      </c>
      <c r="AF4368">
        <v>5.5263756665499102</v>
      </c>
      <c r="AG4368">
        <v>-1.1204553271719999</v>
      </c>
      <c r="AH4368">
        <v>21.537996044205901</v>
      </c>
      <c r="AI4368">
        <v>92.884691056200097</v>
      </c>
      <c r="AJ4368">
        <v>75.609089203455298</v>
      </c>
      <c r="AK4368">
        <v>22.263906255377901</v>
      </c>
      <c r="AL4368">
        <v>79.236588377800899</v>
      </c>
      <c r="AM4368">
        <v>85.196675347150901</v>
      </c>
      <c r="AN4368">
        <v>1.000000000512</v>
      </c>
    </row>
    <row r="4369" spans="1:40" x14ac:dyDescent="0.25">
      <c r="A4369" t="str">
        <f>"20190303170341113"</f>
        <v>20190303170341113</v>
      </c>
      <c r="B4369" t="str">
        <f>"1551603821099679"</f>
        <v>1551603821099679</v>
      </c>
      <c r="C4369" t="s">
        <v>40</v>
      </c>
      <c r="D4369">
        <v>4.4250590000000001</v>
      </c>
      <c r="E4369">
        <v>0.5720693</v>
      </c>
      <c r="F4369" t="s">
        <v>57</v>
      </c>
      <c r="G4369">
        <v>-200.21190000000001</v>
      </c>
      <c r="H4369" s="1">
        <v>2.7321169999999999E-6</v>
      </c>
      <c r="I4369">
        <v>209.79900000000001</v>
      </c>
      <c r="J4369">
        <v>-221.4</v>
      </c>
      <c r="K4369">
        <v>1.120401</v>
      </c>
      <c r="L4369">
        <v>215.30529999999999</v>
      </c>
      <c r="M4369">
        <v>0.99990020000000002</v>
      </c>
      <c r="N4369">
        <v>-1.413154E-2</v>
      </c>
      <c r="O4369">
        <v>-1.5594790000000001E-4</v>
      </c>
      <c r="P4369">
        <v>0.98124279999999997</v>
      </c>
      <c r="Q4369">
        <v>0.17297399999999999</v>
      </c>
      <c r="R4369">
        <v>-8.5102979999999995E-2</v>
      </c>
      <c r="S4369">
        <v>3.0207519999999999</v>
      </c>
      <c r="T4369">
        <v>-0.15765299999999999</v>
      </c>
      <c r="U4369">
        <v>-0.77497859999999996</v>
      </c>
      <c r="V4369">
        <v>8.5583870000000006E-2</v>
      </c>
      <c r="W4369">
        <v>0.1865338</v>
      </c>
      <c r="X4369">
        <v>0.97871370000000002</v>
      </c>
      <c r="Y4369">
        <v>0.24794579999999999</v>
      </c>
      <c r="Z4369">
        <v>-8.1384549999999993E-3</v>
      </c>
      <c r="AA4369">
        <v>0.96873969999999998</v>
      </c>
      <c r="AB4369">
        <v>28</v>
      </c>
      <c r="AC4369">
        <v>21.188099999999899</v>
      </c>
      <c r="AD4369">
        <v>-1.120398267883</v>
      </c>
      <c r="AE4369">
        <v>-5.50629999999998</v>
      </c>
      <c r="AF4369">
        <v>5.4886192537768403</v>
      </c>
      <c r="AG4369">
        <v>-1.120398267883</v>
      </c>
      <c r="AH4369">
        <v>21.133604162501999</v>
      </c>
      <c r="AI4369">
        <v>92.937426993745504</v>
      </c>
      <c r="AJ4369">
        <v>75.441320846230894</v>
      </c>
      <c r="AK4369">
        <v>21.8634274186123</v>
      </c>
      <c r="AL4369">
        <v>79.249430374444401</v>
      </c>
      <c r="AM4369">
        <v>85.002468188001799</v>
      </c>
      <c r="AN4369">
        <v>0.99999998195715301</v>
      </c>
    </row>
    <row r="4370" spans="1:40" x14ac:dyDescent="0.25">
      <c r="A4370" t="str">
        <f>"20190303170341136"</f>
        <v>20190303170341136</v>
      </c>
      <c r="B4370" t="str">
        <f>"1551603821129935"</f>
        <v>1551603821129935</v>
      </c>
      <c r="C4370" t="s">
        <v>40</v>
      </c>
      <c r="D4370">
        <v>4.4263059999999896</v>
      </c>
      <c r="E4370">
        <v>0.57194279999999997</v>
      </c>
      <c r="F4370" t="s">
        <v>57</v>
      </c>
      <c r="G4370">
        <v>-200.2133</v>
      </c>
      <c r="H4370" s="1">
        <v>2.7361450000000001E-6</v>
      </c>
      <c r="I4370">
        <v>209.76</v>
      </c>
      <c r="J4370">
        <v>-221.113</v>
      </c>
      <c r="K4370">
        <v>1.1203540000000001</v>
      </c>
      <c r="L4370">
        <v>215.3031</v>
      </c>
      <c r="M4370">
        <v>0.99989799999999995</v>
      </c>
      <c r="N4370">
        <v>-1.4130190000000001E-2</v>
      </c>
      <c r="O4370">
        <v>-2.0990169999999999E-3</v>
      </c>
      <c r="P4370">
        <v>0.98101970000000005</v>
      </c>
      <c r="Q4370">
        <v>0.17195739999999901</v>
      </c>
      <c r="R4370">
        <v>-8.9616219999999996E-2</v>
      </c>
      <c r="S4370">
        <v>3.0169830000000002</v>
      </c>
      <c r="T4370">
        <v>-0.15954479999999999</v>
      </c>
      <c r="U4370">
        <v>-0.78964230000000002</v>
      </c>
      <c r="V4370">
        <v>8.8208320000000007E-2</v>
      </c>
      <c r="W4370">
        <v>0.1854961</v>
      </c>
      <c r="X4370">
        <v>0.97867789999999999</v>
      </c>
      <c r="Y4370">
        <v>0.2507529</v>
      </c>
      <c r="Z4370">
        <v>-8.2386300000000003E-3</v>
      </c>
      <c r="AA4370">
        <v>0.96801599999999999</v>
      </c>
      <c r="AB4370">
        <v>28</v>
      </c>
      <c r="AC4370">
        <v>20.899699999999999</v>
      </c>
      <c r="AD4370">
        <v>-1.1203512638549999</v>
      </c>
      <c r="AE4370">
        <v>-5.5431000000000097</v>
      </c>
      <c r="AF4370">
        <v>5.4844900571958197</v>
      </c>
      <c r="AG4370">
        <v>-1.1203512638549999</v>
      </c>
      <c r="AH4370">
        <v>20.855298754823899</v>
      </c>
      <c r="AI4370">
        <v>92.974056928309807</v>
      </c>
      <c r="AJ4370">
        <v>75.266063612004899</v>
      </c>
      <c r="AK4370">
        <v>21.593478281528899</v>
      </c>
      <c r="AL4370">
        <v>79.309942215076603</v>
      </c>
      <c r="AM4370">
        <v>84.849842227778197</v>
      </c>
      <c r="AN4370">
        <v>0.99999997139041996</v>
      </c>
    </row>
    <row r="4371" spans="1:40" x14ac:dyDescent="0.25">
      <c r="A4371" t="str">
        <f>"20190303170341157"</f>
        <v>20190303170341157</v>
      </c>
      <c r="B4371" t="str">
        <f>"1551603821150430"</f>
        <v>1551603821150430</v>
      </c>
      <c r="C4371" t="s">
        <v>40</v>
      </c>
      <c r="D4371">
        <v>4.4243350000000001</v>
      </c>
      <c r="E4371">
        <v>0.57183359999999905</v>
      </c>
      <c r="F4371" t="s">
        <v>57</v>
      </c>
      <c r="G4371">
        <v>-200.3741</v>
      </c>
      <c r="H4371" s="1">
        <v>2.8054369999999998E-6</v>
      </c>
      <c r="I4371">
        <v>209.7826</v>
      </c>
      <c r="J4371">
        <v>-220.83840000000001</v>
      </c>
      <c r="K4371">
        <v>1.120298</v>
      </c>
      <c r="L4371">
        <v>215.3004</v>
      </c>
      <c r="M4371">
        <v>0.99989220000000001</v>
      </c>
      <c r="N4371">
        <v>-1.4129340000000001E-2</v>
      </c>
      <c r="O4371">
        <v>-4.0287609999999996E-3</v>
      </c>
      <c r="P4371">
        <v>0.98099150000000002</v>
      </c>
      <c r="Q4371">
        <v>0.16992380000000001</v>
      </c>
      <c r="R4371">
        <v>-9.3712429999999999E-2</v>
      </c>
      <c r="S4371">
        <v>3.013306</v>
      </c>
      <c r="T4371">
        <v>-0.1627837</v>
      </c>
      <c r="U4371">
        <v>-0.80210879999999996</v>
      </c>
      <c r="V4371">
        <v>9.0424870000000004E-2</v>
      </c>
      <c r="W4371">
        <v>0.1834462</v>
      </c>
      <c r="X4371">
        <v>0.97886200000000001</v>
      </c>
      <c r="Y4371">
        <v>0.25289929999999999</v>
      </c>
      <c r="Z4371">
        <v>-8.3705410000000004E-3</v>
      </c>
      <c r="AA4371">
        <v>0.96745639999999999</v>
      </c>
      <c r="AB4371">
        <v>28</v>
      </c>
      <c r="AC4371">
        <v>20.464300000000001</v>
      </c>
      <c r="AD4371">
        <v>-1.120295194563</v>
      </c>
      <c r="AE4371">
        <v>-5.5177999999999896</v>
      </c>
      <c r="AF4371">
        <v>5.4201584732970796</v>
      </c>
      <c r="AG4371">
        <v>-1.120295194563</v>
      </c>
      <c r="AH4371">
        <v>20.429291002542801</v>
      </c>
      <c r="AI4371">
        <v>93.0340614196422</v>
      </c>
      <c r="AJ4371">
        <v>75.141012197698501</v>
      </c>
      <c r="AK4371">
        <v>21.165753236423999</v>
      </c>
      <c r="AL4371">
        <v>79.429443955809703</v>
      </c>
      <c r="AM4371">
        <v>84.722135527846703</v>
      </c>
      <c r="AN4371">
        <v>0.99999999022647801</v>
      </c>
    </row>
    <row r="4372" spans="1:40" x14ac:dyDescent="0.25">
      <c r="A4372" t="str">
        <f>"20190303170341178"</f>
        <v>20190303170341178</v>
      </c>
      <c r="B4372" t="str">
        <f>"1551603821169950"</f>
        <v>1551603821169950</v>
      </c>
      <c r="C4372" t="s">
        <v>40</v>
      </c>
      <c r="D4372">
        <v>4.431413</v>
      </c>
      <c r="E4372">
        <v>0.57165999999999995</v>
      </c>
      <c r="F4372" t="s">
        <v>57</v>
      </c>
      <c r="G4372">
        <v>-200.8082</v>
      </c>
      <c r="H4372" s="1">
        <v>2.9890410000000002E-6</v>
      </c>
      <c r="I4372">
        <v>209.88460000000001</v>
      </c>
      <c r="J4372">
        <v>-220.5685</v>
      </c>
      <c r="K4372">
        <v>1.1202460000000001</v>
      </c>
      <c r="L4372">
        <v>215.2971</v>
      </c>
      <c r="M4372">
        <v>0.9998823</v>
      </c>
      <c r="N4372">
        <v>-1.4128409999999999E-2</v>
      </c>
      <c r="O4372">
        <v>-5.9821609999999997E-3</v>
      </c>
      <c r="P4372">
        <v>0.98086629999999997</v>
      </c>
      <c r="Q4372">
        <v>0.16794879999999901</v>
      </c>
      <c r="R4372">
        <v>-9.8462369999999994E-2</v>
      </c>
      <c r="S4372">
        <v>3.0095369999999999</v>
      </c>
      <c r="T4372">
        <v>-0.168324</v>
      </c>
      <c r="U4372">
        <v>-0.81372069999999996</v>
      </c>
      <c r="V4372">
        <v>9.3270790000000006E-2</v>
      </c>
      <c r="W4372">
        <v>0.1814508</v>
      </c>
      <c r="X4372">
        <v>0.97896689999999997</v>
      </c>
      <c r="Y4372">
        <v>0.25476290000000001</v>
      </c>
      <c r="Z4372">
        <v>-8.5814600000000008E-3</v>
      </c>
      <c r="AA4372">
        <v>0.96696550000000003</v>
      </c>
      <c r="AB4372">
        <v>28</v>
      </c>
      <c r="AC4372">
        <v>19.760300000000001</v>
      </c>
      <c r="AD4372">
        <v>-1.12024301095899</v>
      </c>
      <c r="AE4372">
        <v>-5.4124999999999899</v>
      </c>
      <c r="AF4372">
        <v>5.2784015263142798</v>
      </c>
      <c r="AG4372">
        <v>-1.12024301095899</v>
      </c>
      <c r="AH4372">
        <v>19.733332502401598</v>
      </c>
      <c r="AI4372">
        <v>93.139016442551807</v>
      </c>
      <c r="AJ4372">
        <v>75.024733313047506</v>
      </c>
      <c r="AK4372">
        <v>20.4577828399594</v>
      </c>
      <c r="AL4372">
        <v>79.545723916696602</v>
      </c>
      <c r="AM4372">
        <v>84.557588816956297</v>
      </c>
      <c r="AN4372">
        <v>1.0000000121917301</v>
      </c>
    </row>
    <row r="4373" spans="1:40" x14ac:dyDescent="0.25">
      <c r="A4373" t="str">
        <f>"20190303170341201"</f>
        <v>20190303170341201</v>
      </c>
      <c r="B4373" t="str">
        <f>"1551603821189470"</f>
        <v>1551603821189470</v>
      </c>
      <c r="C4373" t="s">
        <v>40</v>
      </c>
      <c r="D4373">
        <v>4.4429689999999997</v>
      </c>
      <c r="E4373">
        <v>0.57144910000000004</v>
      </c>
      <c r="F4373" t="s">
        <v>57</v>
      </c>
      <c r="G4373">
        <v>-201.30969999999999</v>
      </c>
      <c r="H4373" s="1">
        <v>3.2010669999999999E-6</v>
      </c>
      <c r="I4373">
        <v>210.00319999999999</v>
      </c>
      <c r="J4373">
        <v>-220.28880000000001</v>
      </c>
      <c r="K4373">
        <v>1.1201970000000001</v>
      </c>
      <c r="L4373">
        <v>215.29310000000001</v>
      </c>
      <c r="M4373">
        <v>0.99986759999999997</v>
      </c>
      <c r="N4373">
        <v>-1.4127270000000001E-2</v>
      </c>
      <c r="O4373">
        <v>-8.0767770000000003E-3</v>
      </c>
      <c r="P4373">
        <v>0.98041990000000001</v>
      </c>
      <c r="Q4373">
        <v>0.16792409999999999</v>
      </c>
      <c r="R4373">
        <v>-0.1028512</v>
      </c>
      <c r="S4373">
        <v>3.0055390000000002</v>
      </c>
      <c r="T4373">
        <v>-0.17482600000000001</v>
      </c>
      <c r="U4373">
        <v>-0.82617189999999996</v>
      </c>
      <c r="V4373">
        <v>9.562822E-2</v>
      </c>
      <c r="W4373">
        <v>0.18140200000000001</v>
      </c>
      <c r="X4373">
        <v>0.97874839999999996</v>
      </c>
      <c r="Y4373">
        <v>0.25675419999999999</v>
      </c>
      <c r="Z4373">
        <v>-8.8253700000000008E-3</v>
      </c>
      <c r="AA4373">
        <v>0.96643639999999997</v>
      </c>
      <c r="AB4373">
        <v>28</v>
      </c>
      <c r="AC4373">
        <v>18.979099999999999</v>
      </c>
      <c r="AD4373">
        <v>-1.120193798933</v>
      </c>
      <c r="AE4373">
        <v>-5.28990000000001</v>
      </c>
      <c r="AF4373">
        <v>5.1198720176341999</v>
      </c>
      <c r="AG4373">
        <v>-1.120193798933</v>
      </c>
      <c r="AH4373">
        <v>18.959921879715498</v>
      </c>
      <c r="AI4373">
        <v>93.2645649261937</v>
      </c>
      <c r="AJ4373">
        <v>74.888472674180605</v>
      </c>
      <c r="AK4373">
        <v>19.670957305353401</v>
      </c>
      <c r="AL4373">
        <v>79.5485663329939</v>
      </c>
      <c r="AM4373">
        <v>84.4196508783387</v>
      </c>
      <c r="AN4373">
        <v>0.99999993628346195</v>
      </c>
    </row>
    <row r="4374" spans="1:40" x14ac:dyDescent="0.25">
      <c r="A4374" t="str">
        <f>"20190303170341224"</f>
        <v>20190303170341224</v>
      </c>
      <c r="B4374" t="str">
        <f>"1551603821219726"</f>
        <v>1551603821219726</v>
      </c>
      <c r="C4374" t="s">
        <v>40</v>
      </c>
      <c r="D4374">
        <v>4.4318869999999997</v>
      </c>
      <c r="E4374">
        <v>0.57121339999999998</v>
      </c>
      <c r="F4374" t="s">
        <v>57</v>
      </c>
      <c r="G4374">
        <v>-201.05340000000001</v>
      </c>
      <c r="H4374" s="1">
        <v>3.0945230000000002E-6</v>
      </c>
      <c r="I4374">
        <v>209.92179999999999</v>
      </c>
      <c r="J4374">
        <v>-219.99870000000001</v>
      </c>
      <c r="K4374">
        <v>1.1201449999999999</v>
      </c>
      <c r="L4374">
        <v>215.28829999999999</v>
      </c>
      <c r="M4374">
        <v>0.99984680000000004</v>
      </c>
      <c r="N4374">
        <v>-1.412627E-2</v>
      </c>
      <c r="O4374">
        <v>-1.034328E-2</v>
      </c>
      <c r="P4374">
        <v>0.97962669999999996</v>
      </c>
      <c r="Q4374">
        <v>0.1695596</v>
      </c>
      <c r="R4374">
        <v>-0.10761660000000001</v>
      </c>
      <c r="S4374">
        <v>3.0019230000000001</v>
      </c>
      <c r="T4374">
        <v>-0.17481940000000001</v>
      </c>
      <c r="U4374">
        <v>-0.83825680000000002</v>
      </c>
      <c r="V4374">
        <v>9.8209179999999993E-2</v>
      </c>
      <c r="W4374">
        <v>0.18300549999999999</v>
      </c>
      <c r="X4374">
        <v>0.97819420000000001</v>
      </c>
      <c r="Y4374">
        <v>0.25847189999999998</v>
      </c>
      <c r="Z4374">
        <v>-8.7937759999999997E-3</v>
      </c>
      <c r="AA4374">
        <v>0.96597869999999997</v>
      </c>
      <c r="AB4374">
        <v>28</v>
      </c>
      <c r="AC4374">
        <v>18.9453</v>
      </c>
      <c r="AD4374">
        <v>-1.1201419054770001</v>
      </c>
      <c r="AE4374">
        <v>-5.3665000000000003</v>
      </c>
      <c r="AF4374">
        <v>5.1535592880380001</v>
      </c>
      <c r="AG4374">
        <v>-1.1201419054770001</v>
      </c>
      <c r="AH4374">
        <v>18.938511929605401</v>
      </c>
      <c r="AI4374">
        <v>93.266380722409806</v>
      </c>
      <c r="AJ4374">
        <v>74.777239451577699</v>
      </c>
      <c r="AK4374">
        <v>19.6591232086157</v>
      </c>
      <c r="AL4374">
        <v>79.455128865123697</v>
      </c>
      <c r="AM4374">
        <v>84.266804372459703</v>
      </c>
      <c r="AN4374">
        <v>0.99999997449008005</v>
      </c>
    </row>
    <row r="4375" spans="1:40" x14ac:dyDescent="0.25">
      <c r="A4375" t="str">
        <f>"20190303170341247"</f>
        <v>20190303170341247</v>
      </c>
      <c r="B4375" t="str">
        <f>"1551603821240222"</f>
        <v>1551603821240222</v>
      </c>
      <c r="C4375" t="s">
        <v>40</v>
      </c>
      <c r="D4375">
        <v>4.437411</v>
      </c>
      <c r="E4375">
        <v>0.57105280000000003</v>
      </c>
      <c r="F4375" t="s">
        <v>57</v>
      </c>
      <c r="G4375">
        <v>-200.11189999999999</v>
      </c>
      <c r="H4375" s="1">
        <v>2.7012789999999999E-6</v>
      </c>
      <c r="I4375">
        <v>209.64429999999999</v>
      </c>
      <c r="J4375">
        <v>-219.71860000000001</v>
      </c>
      <c r="K4375">
        <v>1.120085</v>
      </c>
      <c r="L4375">
        <v>215.28280000000001</v>
      </c>
      <c r="M4375">
        <v>0.9998205</v>
      </c>
      <c r="N4375">
        <v>-1.412592E-2</v>
      </c>
      <c r="O4375">
        <v>-1.263746E-2</v>
      </c>
      <c r="P4375">
        <v>0.9790124</v>
      </c>
      <c r="Q4375">
        <v>0.16999310000000001</v>
      </c>
      <c r="R4375">
        <v>-0.11241569999999999</v>
      </c>
      <c r="S4375">
        <v>2.9981840000000002</v>
      </c>
      <c r="T4375">
        <v>-0.1688751</v>
      </c>
      <c r="U4375">
        <v>-0.85089110000000001</v>
      </c>
      <c r="V4375">
        <v>0.10079780000000001</v>
      </c>
      <c r="W4375">
        <v>0.18340629999999999</v>
      </c>
      <c r="X4375">
        <v>0.97785580000000005</v>
      </c>
      <c r="Y4375">
        <v>0.26036629999999999</v>
      </c>
      <c r="Z4375">
        <v>-8.5395479999999992E-3</v>
      </c>
      <c r="AA4375">
        <v>0.9654722</v>
      </c>
      <c r="AB4375">
        <v>28</v>
      </c>
      <c r="AC4375">
        <v>19.6067</v>
      </c>
      <c r="AD4375">
        <v>-1.120082298721</v>
      </c>
      <c r="AE4375">
        <v>-5.6385000000000201</v>
      </c>
      <c r="AF4375">
        <v>5.3740472509622199</v>
      </c>
      <c r="AG4375">
        <v>-1.120082298721</v>
      </c>
      <c r="AH4375">
        <v>19.617265714308999</v>
      </c>
      <c r="AI4375">
        <v>93.151970926011401</v>
      </c>
      <c r="AJ4375">
        <v>74.679973545116994</v>
      </c>
      <c r="AK4375">
        <v>20.370863563366299</v>
      </c>
      <c r="AL4375">
        <v>79.4317697947141</v>
      </c>
      <c r="AM4375">
        <v>84.114712315967097</v>
      </c>
      <c r="AN4375">
        <v>1.0000000164790801</v>
      </c>
    </row>
    <row r="4376" spans="1:40" x14ac:dyDescent="0.25">
      <c r="A4376" t="str">
        <f>"20190303170341268"</f>
        <v>20190303170341268</v>
      </c>
      <c r="B4376" t="str">
        <f>"1551603821259742"</f>
        <v>1551603821259742</v>
      </c>
      <c r="C4376" t="s">
        <v>40</v>
      </c>
      <c r="D4376">
        <v>4.455184</v>
      </c>
      <c r="E4376">
        <v>0.57084659999999998</v>
      </c>
      <c r="F4376" t="s">
        <v>57</v>
      </c>
      <c r="G4376">
        <v>-199.79750000000001</v>
      </c>
      <c r="H4376" s="1">
        <v>2.6848929999999999E-6</v>
      </c>
      <c r="I4376">
        <v>209.5367</v>
      </c>
      <c r="J4376">
        <v>-219.45060000000001</v>
      </c>
      <c r="K4376">
        <v>1.120004</v>
      </c>
      <c r="L4376">
        <v>215.27690000000001</v>
      </c>
      <c r="M4376">
        <v>0.99978860000000003</v>
      </c>
      <c r="N4376">
        <v>-1.412624E-2</v>
      </c>
      <c r="O4376">
        <v>-1.494467E-2</v>
      </c>
      <c r="P4376">
        <v>0.97837350000000001</v>
      </c>
      <c r="Q4376">
        <v>0.1695181</v>
      </c>
      <c r="R4376">
        <v>-0.1185292</v>
      </c>
      <c r="S4376">
        <v>2.99437</v>
      </c>
      <c r="T4376">
        <v>-0.16836129999999999</v>
      </c>
      <c r="U4376">
        <v>-0.86370849999999899</v>
      </c>
      <c r="V4376">
        <v>0.1046912</v>
      </c>
      <c r="W4376">
        <v>0.18289069999999999</v>
      </c>
      <c r="X4376">
        <v>0.97754319999999895</v>
      </c>
      <c r="Y4376">
        <v>0.26228109999999999</v>
      </c>
      <c r="Z4376">
        <v>-8.4966629999999998E-3</v>
      </c>
      <c r="AA4376">
        <v>0.96495410000000004</v>
      </c>
      <c r="AB4376">
        <v>28</v>
      </c>
      <c r="AC4376">
        <v>19.653099999999899</v>
      </c>
      <c r="AD4376">
        <v>-1.1200013151070001</v>
      </c>
      <c r="AE4376">
        <v>-5.7402000000000104</v>
      </c>
      <c r="AF4376">
        <v>5.4295729030320503</v>
      </c>
      <c r="AG4376">
        <v>-1.1200013151070001</v>
      </c>
      <c r="AH4376">
        <v>19.677814517039899</v>
      </c>
      <c r="AI4376">
        <v>93.140479314360107</v>
      </c>
      <c r="AJ4376">
        <v>74.574563982550501</v>
      </c>
      <c r="AK4376">
        <v>20.443851129917</v>
      </c>
      <c r="AL4376">
        <v>79.461819415462003</v>
      </c>
      <c r="AM4376">
        <v>83.887137165762695</v>
      </c>
      <c r="AN4376">
        <v>0.99999998168508397</v>
      </c>
    </row>
    <row r="4377" spans="1:40" x14ac:dyDescent="0.25">
      <c r="A4377" t="str">
        <f>"20190303170341290"</f>
        <v>20190303170341290</v>
      </c>
      <c r="B4377" t="str">
        <f>"1551603821280238"</f>
        <v>1551603821280238</v>
      </c>
      <c r="C4377" t="s">
        <v>40</v>
      </c>
      <c r="D4377">
        <v>4.4604710000000001</v>
      </c>
      <c r="E4377">
        <v>0.57075010000000004</v>
      </c>
      <c r="F4377" t="s">
        <v>57</v>
      </c>
      <c r="G4377">
        <v>-199.7801</v>
      </c>
      <c r="H4377" s="1">
        <v>2.7014530000000001E-6</v>
      </c>
      <c r="I4377">
        <v>209.48580000000001</v>
      </c>
      <c r="J4377">
        <v>-219.17089999999999</v>
      </c>
      <c r="K4377">
        <v>1.119909</v>
      </c>
      <c r="L4377">
        <v>215.27</v>
      </c>
      <c r="M4377">
        <v>0.99974730000000001</v>
      </c>
      <c r="N4377">
        <v>-1.4127239999999999E-2</v>
      </c>
      <c r="O4377">
        <v>-1.7485210000000001E-2</v>
      </c>
      <c r="P4377">
        <v>0.97765899999999994</v>
      </c>
      <c r="Q4377">
        <v>0.16930719999999999</v>
      </c>
      <c r="R4377">
        <v>-0.1245706</v>
      </c>
      <c r="S4377">
        <v>2.989166</v>
      </c>
      <c r="T4377">
        <v>-0.1701975</v>
      </c>
      <c r="U4377">
        <v>-0.88003539999999902</v>
      </c>
      <c r="V4377">
        <v>0.1082958</v>
      </c>
      <c r="W4377">
        <v>0.18263470000000001</v>
      </c>
      <c r="X4377">
        <v>0.97719840000000002</v>
      </c>
      <c r="Y4377">
        <v>0.26511960000000001</v>
      </c>
      <c r="Z4377">
        <v>-8.5671769999999901E-3</v>
      </c>
      <c r="AA4377">
        <v>0.96417750000000002</v>
      </c>
      <c r="AB4377">
        <v>28</v>
      </c>
      <c r="AC4377">
        <v>19.390799999999899</v>
      </c>
      <c r="AD4377">
        <v>-1.1199062985470001</v>
      </c>
      <c r="AE4377">
        <v>-5.7841999999999896</v>
      </c>
      <c r="AF4377">
        <v>5.4276045572092499</v>
      </c>
      <c r="AG4377">
        <v>-1.1199062985470001</v>
      </c>
      <c r="AH4377">
        <v>19.429469905460099</v>
      </c>
      <c r="AI4377">
        <v>93.177468169131203</v>
      </c>
      <c r="AJ4377">
        <v>74.392342959037506</v>
      </c>
      <c r="AK4377">
        <v>20.204390170310599</v>
      </c>
      <c r="AL4377">
        <v>79.476739285492002</v>
      </c>
      <c r="AM4377">
        <v>83.676129968510196</v>
      </c>
      <c r="AN4377">
        <v>1.00000006345214</v>
      </c>
    </row>
    <row r="4378" spans="1:40" x14ac:dyDescent="0.25">
      <c r="A4378" t="str">
        <f>"20190303170341315"</f>
        <v>20190303170341315</v>
      </c>
      <c r="B4378" t="str">
        <f>"1551603821299758"</f>
        <v>1551603821299758</v>
      </c>
      <c r="C4378" t="s">
        <v>40</v>
      </c>
      <c r="D4378">
        <v>4.4738410000000002</v>
      </c>
      <c r="E4378">
        <v>0.570658</v>
      </c>
      <c r="F4378" t="s">
        <v>57</v>
      </c>
      <c r="G4378">
        <v>-199.6284</v>
      </c>
      <c r="H4378" s="1">
        <v>2.7533649999999999E-6</v>
      </c>
      <c r="I4378">
        <v>209.3913</v>
      </c>
      <c r="J4378">
        <v>-218.88390000000001</v>
      </c>
      <c r="K4378">
        <v>1.119807</v>
      </c>
      <c r="L4378">
        <v>215.2619</v>
      </c>
      <c r="M4378">
        <v>0.99969529999999995</v>
      </c>
      <c r="N4378">
        <v>-1.412889E-2</v>
      </c>
      <c r="O4378">
        <v>-2.0242050000000001E-2</v>
      </c>
      <c r="P4378">
        <v>0.97684470000000001</v>
      </c>
      <c r="Q4378">
        <v>0.16948289999999999</v>
      </c>
      <c r="R4378">
        <v>-0.1305761</v>
      </c>
      <c r="S4378">
        <v>2.9838100000000001</v>
      </c>
      <c r="T4378">
        <v>-0.17099129999999901</v>
      </c>
      <c r="U4378">
        <v>-0.89756769999999997</v>
      </c>
      <c r="V4378">
        <v>0.1116634</v>
      </c>
      <c r="W4378">
        <v>0.1827618</v>
      </c>
      <c r="X4378">
        <v>0.97679550000000004</v>
      </c>
      <c r="Y4378">
        <v>0.26812429999999998</v>
      </c>
      <c r="Z4378">
        <v>-8.5943400000000007E-3</v>
      </c>
      <c r="AA4378">
        <v>0.96334600000000004</v>
      </c>
      <c r="AB4378">
        <v>28</v>
      </c>
      <c r="AC4378">
        <v>19.255500000000001</v>
      </c>
      <c r="AD4378">
        <v>-1.119804246635</v>
      </c>
      <c r="AE4378">
        <v>-5.8705999999999898</v>
      </c>
      <c r="AF4378">
        <v>5.4626836073499101</v>
      </c>
      <c r="AG4378">
        <v>-1.119804246635</v>
      </c>
      <c r="AH4378">
        <v>19.310644271411899</v>
      </c>
      <c r="AI4378">
        <v>93.193752159324504</v>
      </c>
      <c r="AJ4378">
        <v>74.204609524168703</v>
      </c>
      <c r="AK4378">
        <v>20.099648154179299</v>
      </c>
      <c r="AL4378">
        <v>79.469331859357894</v>
      </c>
      <c r="AM4378">
        <v>83.478482741261104</v>
      </c>
      <c r="AN4378">
        <v>1.00000001962952</v>
      </c>
    </row>
    <row r="4379" spans="1:40" x14ac:dyDescent="0.25">
      <c r="A4379" t="str">
        <f>"20190303170341337"</f>
        <v>20190303170341337</v>
      </c>
      <c r="B4379" t="str">
        <f>"1551603821320254"</f>
        <v>1551603821320254</v>
      </c>
      <c r="C4379" t="s">
        <v>40</v>
      </c>
      <c r="D4379">
        <v>4.4851229999999997</v>
      </c>
      <c r="E4379">
        <v>0.56660500000000003</v>
      </c>
      <c r="F4379" t="s">
        <v>57</v>
      </c>
      <c r="G4379">
        <v>-199.3015</v>
      </c>
      <c r="H4379" s="1">
        <v>2.850542E-6</v>
      </c>
      <c r="I4379">
        <v>209.2433</v>
      </c>
      <c r="J4379">
        <v>-218.6036</v>
      </c>
      <c r="K4379">
        <v>1.1197029999999999</v>
      </c>
      <c r="L4379">
        <v>215.25309999999999</v>
      </c>
      <c r="M4379">
        <v>0.99963340000000001</v>
      </c>
      <c r="N4379">
        <v>-1.4131029999999999E-2</v>
      </c>
      <c r="O4379">
        <v>-2.3100280000000001E-2</v>
      </c>
      <c r="P4379">
        <v>0.97556180000000003</v>
      </c>
      <c r="Q4379">
        <v>0.17037049999999901</v>
      </c>
      <c r="R4379">
        <v>-0.1387565</v>
      </c>
      <c r="S4379">
        <v>2.9783170000000001</v>
      </c>
      <c r="T4379">
        <v>-0.1703131</v>
      </c>
      <c r="U4379">
        <v>-0.91537480000000004</v>
      </c>
      <c r="V4379">
        <v>0.1171239</v>
      </c>
      <c r="W4379">
        <v>0.1835831</v>
      </c>
      <c r="X4379">
        <v>0.97600169999999997</v>
      </c>
      <c r="Y4379">
        <v>0.27112979999999998</v>
      </c>
      <c r="Z4379">
        <v>-8.5625459999999903E-3</v>
      </c>
      <c r="AA4379">
        <v>0.96250469999999999</v>
      </c>
      <c r="AB4379">
        <v>28</v>
      </c>
      <c r="AC4379">
        <v>19.302099999999999</v>
      </c>
      <c r="AD4379">
        <v>-1.1197001494579999</v>
      </c>
      <c r="AE4379">
        <v>-6.0097999999999798</v>
      </c>
      <c r="AF4379">
        <v>5.5452564963570303</v>
      </c>
      <c r="AG4379">
        <v>-1.1197001494579999</v>
      </c>
      <c r="AH4379">
        <v>19.3763496332197</v>
      </c>
      <c r="AI4379">
        <v>93.179889551005999</v>
      </c>
      <c r="AJ4379">
        <v>74.029574670134906</v>
      </c>
      <c r="AK4379">
        <v>20.185304633417299</v>
      </c>
      <c r="AL4379">
        <v>79.421465188502594</v>
      </c>
      <c r="AM4379">
        <v>83.157012695347206</v>
      </c>
      <c r="AN4379">
        <v>1.0000000404798499</v>
      </c>
    </row>
    <row r="4380" spans="1:40" x14ac:dyDescent="0.25">
      <c r="A4380" t="str">
        <f>"20190303170341369"</f>
        <v>20190303170341369</v>
      </c>
      <c r="B4380" t="str">
        <f>"1551603821360270"</f>
        <v>1551603821360270</v>
      </c>
      <c r="C4380" t="s">
        <v>40</v>
      </c>
      <c r="D4380">
        <v>4.4847440000000001</v>
      </c>
      <c r="E4380">
        <v>0.56585469999999904</v>
      </c>
      <c r="F4380" t="s">
        <v>57</v>
      </c>
      <c r="G4380">
        <v>-199.97890000000001</v>
      </c>
      <c r="H4380" s="1">
        <v>2.652762E-6</v>
      </c>
      <c r="I4380">
        <v>209.57900000000001</v>
      </c>
      <c r="J4380">
        <v>-218.1979</v>
      </c>
      <c r="K4380">
        <v>1.1195550000000001</v>
      </c>
      <c r="L4380">
        <v>215.23849999999999</v>
      </c>
      <c r="M4380">
        <v>0.99952149999999995</v>
      </c>
      <c r="N4380">
        <v>-1.413532E-2</v>
      </c>
      <c r="O4380">
        <v>-2.751495E-2</v>
      </c>
      <c r="P4380">
        <v>0.97401420000000005</v>
      </c>
      <c r="Q4380">
        <v>0.1708093</v>
      </c>
      <c r="R4380">
        <v>-0.14873069999999999</v>
      </c>
      <c r="S4380">
        <v>2.9774020000000001</v>
      </c>
      <c r="T4380">
        <v>-0.1789984</v>
      </c>
      <c r="U4380">
        <v>-0.90707400000000005</v>
      </c>
      <c r="V4380">
        <v>0.1228841</v>
      </c>
      <c r="W4380">
        <v>0.18394070000000001</v>
      </c>
      <c r="X4380">
        <v>0.97522580000000003</v>
      </c>
      <c r="Y4380">
        <v>0.26447490000000001</v>
      </c>
      <c r="Z4380">
        <v>-8.4459970000000002E-3</v>
      </c>
      <c r="AA4380">
        <v>0.96435559999999998</v>
      </c>
      <c r="AB4380">
        <v>28</v>
      </c>
      <c r="AC4380">
        <v>18.218999999999902</v>
      </c>
      <c r="AD4380">
        <v>-1.11955234723799</v>
      </c>
      <c r="AE4380">
        <v>-5.65949999999998</v>
      </c>
      <c r="AF4380">
        <v>5.1383167749167997</v>
      </c>
      <c r="AG4380">
        <v>-1.11955234723799</v>
      </c>
      <c r="AH4380">
        <v>18.304799836404001</v>
      </c>
      <c r="AI4380">
        <v>93.3700076684501</v>
      </c>
      <c r="AJ4380">
        <v>74.320106383236094</v>
      </c>
      <c r="AK4380">
        <v>19.045245962927702</v>
      </c>
      <c r="AL4380">
        <v>79.400621065372206</v>
      </c>
      <c r="AM4380">
        <v>82.818249595061999</v>
      </c>
      <c r="AN4380">
        <v>1.0000000220674601</v>
      </c>
    </row>
    <row r="4381" spans="1:40" x14ac:dyDescent="0.25">
      <c r="A4381" t="str">
        <f>"20190303170341392"</f>
        <v>20190303170341392</v>
      </c>
      <c r="B4381" t="str">
        <f>"1551603821379789"</f>
        <v>1551603821379789</v>
      </c>
      <c r="C4381" t="s">
        <v>40</v>
      </c>
      <c r="D4381">
        <v>4.4793279999999998</v>
      </c>
      <c r="E4381">
        <v>0.56571990000000005</v>
      </c>
      <c r="F4381" t="s">
        <v>57</v>
      </c>
      <c r="G4381">
        <v>-199.1499</v>
      </c>
      <c r="H4381" s="1">
        <v>2.869023E-6</v>
      </c>
      <c r="I4381">
        <v>209.27510000000001</v>
      </c>
      <c r="J4381">
        <v>-217.9196</v>
      </c>
      <c r="K4381">
        <v>1.119467</v>
      </c>
      <c r="L4381">
        <v>215.22739999999999</v>
      </c>
      <c r="M4381">
        <v>0.99942920000000002</v>
      </c>
      <c r="N4381">
        <v>-1.4137780000000001E-2</v>
      </c>
      <c r="O4381">
        <v>-3.068601E-2</v>
      </c>
      <c r="P4381">
        <v>0.97331049999999997</v>
      </c>
      <c r="Q4381">
        <v>0.1697661</v>
      </c>
      <c r="R4381">
        <v>-0.15442159999999999</v>
      </c>
      <c r="S4381">
        <v>2.9687190000000001</v>
      </c>
      <c r="T4381">
        <v>-0.17448810000000001</v>
      </c>
      <c r="U4381">
        <v>-0.92942809999999998</v>
      </c>
      <c r="V4381">
        <v>0.12552439999999901</v>
      </c>
      <c r="W4381">
        <v>0.18285650000000001</v>
      </c>
      <c r="X4381">
        <v>0.9750934</v>
      </c>
      <c r="Y4381">
        <v>0.26884209999999997</v>
      </c>
      <c r="Z4381">
        <v>-8.3229089999999999E-3</v>
      </c>
      <c r="AA4381">
        <v>0.96314829999999996</v>
      </c>
      <c r="AB4381">
        <v>28</v>
      </c>
      <c r="AC4381">
        <v>18.7697</v>
      </c>
      <c r="AD4381">
        <v>-1.1194641309769999</v>
      </c>
      <c r="AE4381">
        <v>-5.9522999999999797</v>
      </c>
      <c r="AF4381">
        <v>5.3561598174056702</v>
      </c>
      <c r="AG4381">
        <v>-1.1194641309769999</v>
      </c>
      <c r="AH4381">
        <v>18.882498904561199</v>
      </c>
      <c r="AI4381">
        <v>93.264362896584302</v>
      </c>
      <c r="AJ4381">
        <v>74.163621706604005</v>
      </c>
      <c r="AK4381">
        <v>19.659359420156299</v>
      </c>
      <c r="AL4381">
        <v>79.463812808487603</v>
      </c>
      <c r="AM4381">
        <v>82.664619572247005</v>
      </c>
      <c r="AN4381">
        <v>1.0000000066555801</v>
      </c>
    </row>
    <row r="4382" spans="1:40" x14ac:dyDescent="0.25">
      <c r="A4382" t="str">
        <f>"20190303170341413"</f>
        <v>20190303170341413</v>
      </c>
      <c r="B4382" t="str">
        <f>"1551603821400286"</f>
        <v>1551603821400286</v>
      </c>
      <c r="C4382" t="s">
        <v>40</v>
      </c>
      <c r="D4382">
        <v>4.5140219999999998</v>
      </c>
      <c r="E4382">
        <v>0.56563260000000004</v>
      </c>
      <c r="F4382" t="s">
        <v>57</v>
      </c>
      <c r="G4382">
        <v>-199.28559999999999</v>
      </c>
      <c r="H4382" s="1">
        <v>2.842543E-6</v>
      </c>
      <c r="I4382">
        <v>209.2842</v>
      </c>
      <c r="J4382">
        <v>-217.64259999999999</v>
      </c>
      <c r="K4382">
        <v>1.119378</v>
      </c>
      <c r="L4382">
        <v>215.21530000000001</v>
      </c>
      <c r="M4382">
        <v>0.99932319999999997</v>
      </c>
      <c r="N4382">
        <v>-1.4139789999999999E-2</v>
      </c>
      <c r="O4382">
        <v>-3.3962970000000002E-2</v>
      </c>
      <c r="P4382">
        <v>0.97268259999999995</v>
      </c>
      <c r="Q4382">
        <v>0.1678827</v>
      </c>
      <c r="R4382">
        <v>-0.16032550000000001</v>
      </c>
      <c r="S4382">
        <v>2.9633790000000002</v>
      </c>
      <c r="T4382">
        <v>-0.1780293</v>
      </c>
      <c r="U4382">
        <v>-0.94514469999999995</v>
      </c>
      <c r="V4382">
        <v>0.12826369999999901</v>
      </c>
      <c r="W4382">
        <v>0.1809355</v>
      </c>
      <c r="X4382">
        <v>0.9750953</v>
      </c>
      <c r="Y4382">
        <v>0.2708026</v>
      </c>
      <c r="Z4382">
        <v>-8.3764430000000008E-3</v>
      </c>
      <c r="AA4382">
        <v>0.96259839999999997</v>
      </c>
      <c r="AB4382">
        <v>28</v>
      </c>
      <c r="AC4382">
        <v>18.356999999999999</v>
      </c>
      <c r="AD4382">
        <v>-1.1193751574569999</v>
      </c>
      <c r="AE4382">
        <v>-5.9311000000000096</v>
      </c>
      <c r="AF4382">
        <v>5.2863587140211203</v>
      </c>
      <c r="AG4382">
        <v>-1.1193751574569999</v>
      </c>
      <c r="AH4382">
        <v>18.4856270036192</v>
      </c>
      <c r="AI4382">
        <v>93.331998138089304</v>
      </c>
      <c r="AJ4382">
        <v>74.040990778317493</v>
      </c>
      <c r="AK4382">
        <v>19.259205459036298</v>
      </c>
      <c r="AL4382">
        <v>79.575745632898702</v>
      </c>
      <c r="AM4382">
        <v>82.506355307832095</v>
      </c>
      <c r="AN4382">
        <v>1.00000003799001</v>
      </c>
    </row>
    <row r="4383" spans="1:40" x14ac:dyDescent="0.25">
      <c r="A4383" t="str">
        <f>"20190303170341436"</f>
        <v>20190303170341436</v>
      </c>
      <c r="B4383" t="str">
        <f>"1551603821429566"</f>
        <v>1551603821429566</v>
      </c>
      <c r="C4383" t="s">
        <v>40</v>
      </c>
      <c r="D4383">
        <v>4.4774929999999999</v>
      </c>
      <c r="E4383">
        <v>0.56321949999999998</v>
      </c>
      <c r="F4383" t="s">
        <v>57</v>
      </c>
      <c r="G4383">
        <v>-199.67420000000001</v>
      </c>
      <c r="H4383" s="1">
        <v>2.7511190000000001E-6</v>
      </c>
      <c r="I4383">
        <v>209.36920000000001</v>
      </c>
      <c r="J4383">
        <v>-217.36869999999999</v>
      </c>
      <c r="K4383">
        <v>1.1193029999999999</v>
      </c>
      <c r="L4383">
        <v>215.20230000000001</v>
      </c>
      <c r="M4383">
        <v>0.99920339999999996</v>
      </c>
      <c r="N4383">
        <v>-1.4141859999999999E-2</v>
      </c>
      <c r="O4383">
        <v>-3.7320550000000001E-2</v>
      </c>
      <c r="P4383">
        <v>0.97177860000000005</v>
      </c>
      <c r="Q4383">
        <v>0.16720299999999999</v>
      </c>
      <c r="R4383">
        <v>-0.166403</v>
      </c>
      <c r="S4383">
        <v>2.9574579999999999</v>
      </c>
      <c r="T4383">
        <v>-0.18424070000000001</v>
      </c>
      <c r="U4383">
        <v>-0.96223449999999999</v>
      </c>
      <c r="V4383">
        <v>0.1311138</v>
      </c>
      <c r="W4383">
        <v>0.1802137</v>
      </c>
      <c r="X4383">
        <v>0.97484979999999999</v>
      </c>
      <c r="Y4383">
        <v>0.27312940000000002</v>
      </c>
      <c r="Z4383">
        <v>-8.5225779999999994E-3</v>
      </c>
      <c r="AA4383">
        <v>0.96193960000000001</v>
      </c>
      <c r="AB4383">
        <v>28</v>
      </c>
      <c r="AC4383">
        <v>17.694499999999898</v>
      </c>
      <c r="AD4383">
        <v>-1.119300248881</v>
      </c>
      <c r="AE4383">
        <v>-5.8331</v>
      </c>
      <c r="AF4383">
        <v>5.15001357938079</v>
      </c>
      <c r="AG4383">
        <v>-1.119300248881</v>
      </c>
      <c r="AH4383">
        <v>17.835514574941701</v>
      </c>
      <c r="AI4383">
        <v>93.450391500478503</v>
      </c>
      <c r="AJ4383">
        <v>73.893900881172698</v>
      </c>
      <c r="AK4383">
        <v>18.5978776495575</v>
      </c>
      <c r="AL4383">
        <v>79.617792209074494</v>
      </c>
      <c r="AM4383">
        <v>82.339891164209206</v>
      </c>
      <c r="AN4383">
        <v>0.99999996938908398</v>
      </c>
    </row>
    <row r="4384" spans="1:40" x14ac:dyDescent="0.25">
      <c r="A4384" t="str">
        <f>"20190303170341458"</f>
        <v>20190303170341458</v>
      </c>
      <c r="B4384" t="str">
        <f>"1551603821450008"</f>
        <v>1551603821450008</v>
      </c>
      <c r="C4384" t="s">
        <v>40</v>
      </c>
      <c r="D4384">
        <v>4.4813700000000001</v>
      </c>
      <c r="E4384">
        <v>0.56312189999999995</v>
      </c>
      <c r="F4384" t="s">
        <v>57</v>
      </c>
      <c r="G4384">
        <v>-200.25309999999999</v>
      </c>
      <c r="H4384" s="1">
        <v>2.763934E-6</v>
      </c>
      <c r="I4384">
        <v>209.6439</v>
      </c>
      <c r="J4384">
        <v>-217.09559999999999</v>
      </c>
      <c r="K4384">
        <v>1.119235</v>
      </c>
      <c r="L4384">
        <v>215.1883</v>
      </c>
      <c r="M4384">
        <v>0.99906839999999997</v>
      </c>
      <c r="N4384">
        <v>-1.4144510000000001E-2</v>
      </c>
      <c r="O4384">
        <v>-4.077037E-2</v>
      </c>
      <c r="P4384">
        <v>0.97046670000000002</v>
      </c>
      <c r="Q4384">
        <v>0.16815840000000001</v>
      </c>
      <c r="R4384">
        <v>-0.17296539999999999</v>
      </c>
      <c r="S4384">
        <v>2.9560089999999999</v>
      </c>
      <c r="T4384">
        <v>-0.19331219999999999</v>
      </c>
      <c r="U4384">
        <v>-0.9599915</v>
      </c>
      <c r="V4384">
        <v>0.13438710000000001</v>
      </c>
      <c r="W4384">
        <v>0.1811198</v>
      </c>
      <c r="X4384">
        <v>0.97423599999999999</v>
      </c>
      <c r="Y4384">
        <v>0.26924880000000001</v>
      </c>
      <c r="Z4384">
        <v>-8.4998729999999998E-3</v>
      </c>
      <c r="AA4384">
        <v>0.96303309999999998</v>
      </c>
      <c r="AB4384">
        <v>28</v>
      </c>
      <c r="AC4384">
        <v>16.842500000000001</v>
      </c>
      <c r="AD4384">
        <v>-1.1192322360660001</v>
      </c>
      <c r="AE4384">
        <v>-5.5443999999999898</v>
      </c>
      <c r="AF4384">
        <v>4.83378658175761</v>
      </c>
      <c r="AG4384">
        <v>-1.1192322360660001</v>
      </c>
      <c r="AH4384">
        <v>16.9868836763746</v>
      </c>
      <c r="AI4384">
        <v>93.626110731165497</v>
      </c>
      <c r="AJ4384">
        <v>74.115770287321894</v>
      </c>
      <c r="AK4384">
        <v>17.696677387320701</v>
      </c>
      <c r="AL4384">
        <v>79.565008531041897</v>
      </c>
      <c r="AM4384">
        <v>82.146125688639898</v>
      </c>
      <c r="AN4384">
        <v>1.00000002914722</v>
      </c>
    </row>
    <row r="4385" spans="1:40" x14ac:dyDescent="0.25">
      <c r="A4385" t="str">
        <f>"20190303170341481"</f>
        <v>20190303170341481</v>
      </c>
      <c r="B4385" t="str">
        <f>"1551603821469528"</f>
        <v>1551603821469528</v>
      </c>
      <c r="C4385" t="s">
        <v>40</v>
      </c>
      <c r="D4385">
        <v>4.4582949999999997</v>
      </c>
      <c r="E4385">
        <v>0.56283269999999996</v>
      </c>
      <c r="F4385" t="s">
        <v>57</v>
      </c>
      <c r="G4385">
        <v>-199.4186</v>
      </c>
      <c r="H4385" s="1">
        <v>2.8079740000000002E-6</v>
      </c>
      <c r="I4385">
        <v>209.32570000000001</v>
      </c>
      <c r="J4385">
        <v>-216.8218</v>
      </c>
      <c r="K4385">
        <v>1.119173</v>
      </c>
      <c r="L4385">
        <v>215.17320000000001</v>
      </c>
      <c r="M4385">
        <v>0.99891819999999998</v>
      </c>
      <c r="N4385">
        <v>-1.4146870000000001E-2</v>
      </c>
      <c r="O4385">
        <v>-4.430125E-2</v>
      </c>
      <c r="P4385">
        <v>0.96924219999999905</v>
      </c>
      <c r="Q4385">
        <v>0.16848879999999999</v>
      </c>
      <c r="R4385">
        <v>-0.17939140000000001</v>
      </c>
      <c r="S4385">
        <v>2.949341</v>
      </c>
      <c r="T4385">
        <v>-0.18673980000000001</v>
      </c>
      <c r="U4385">
        <v>-0.9781647</v>
      </c>
      <c r="V4385">
        <v>0.13743739999999999</v>
      </c>
      <c r="W4385">
        <v>0.18140580000000001</v>
      </c>
      <c r="X4385">
        <v>0.97375710000000004</v>
      </c>
      <c r="Y4385">
        <v>0.27187149999999999</v>
      </c>
      <c r="Z4385">
        <v>-8.2376510000000003E-3</v>
      </c>
      <c r="AA4385">
        <v>0.96229830000000005</v>
      </c>
      <c r="AB4385">
        <v>27</v>
      </c>
      <c r="AC4385">
        <v>17.403199999999998</v>
      </c>
      <c r="AD4385">
        <v>-1.119170192026</v>
      </c>
      <c r="AE4385">
        <v>-5.8474999999999904</v>
      </c>
      <c r="AF4385">
        <v>5.0519242250882499</v>
      </c>
      <c r="AG4385">
        <v>-1.119170192026</v>
      </c>
      <c r="AH4385">
        <v>17.579860604051799</v>
      </c>
      <c r="AI4385">
        <v>93.501321248508006</v>
      </c>
      <c r="AJ4385">
        <v>73.966937678276395</v>
      </c>
      <c r="AK4385">
        <v>18.325555357277601</v>
      </c>
      <c r="AL4385">
        <v>79.548345572143404</v>
      </c>
      <c r="AM4385">
        <v>81.966261757497307</v>
      </c>
      <c r="AN4385">
        <v>0.99999999649640503</v>
      </c>
    </row>
    <row r="4386" spans="1:40" x14ac:dyDescent="0.25">
      <c r="A4386" t="str">
        <f>"20190303170341503"</f>
        <v>20190303170341503</v>
      </c>
      <c r="B4386" t="str">
        <f>"1551603821490024"</f>
        <v>1551603821490024</v>
      </c>
      <c r="C4386" t="s">
        <v>40</v>
      </c>
      <c r="D4386">
        <v>4.481865</v>
      </c>
      <c r="E4386">
        <v>0.56265209999999999</v>
      </c>
      <c r="F4386" t="s">
        <v>57</v>
      </c>
      <c r="G4386">
        <v>-199.09989999999999</v>
      </c>
      <c r="H4386" s="1">
        <v>2.9020509999999998E-6</v>
      </c>
      <c r="I4386">
        <v>209.18389999999999</v>
      </c>
      <c r="J4386">
        <v>-216.54179999999999</v>
      </c>
      <c r="K4386">
        <v>1.1191230000000001</v>
      </c>
      <c r="L4386">
        <v>215.1567</v>
      </c>
      <c r="M4386">
        <v>0.99874819999999997</v>
      </c>
      <c r="N4386">
        <v>-1.4148559999999999E-2</v>
      </c>
      <c r="O4386">
        <v>-4.7978010000000001E-2</v>
      </c>
      <c r="P4386">
        <v>0.9682423</v>
      </c>
      <c r="Q4386">
        <v>0.16791519999999999</v>
      </c>
      <c r="R4386">
        <v>-0.18523329999999999</v>
      </c>
      <c r="S4386">
        <v>2.9434049999999998</v>
      </c>
      <c r="T4386">
        <v>-0.18588209999999999</v>
      </c>
      <c r="U4386">
        <v>-0.99476620000000004</v>
      </c>
      <c r="V4386">
        <v>0.13974500000000001</v>
      </c>
      <c r="W4386">
        <v>0.18079899999999999</v>
      </c>
      <c r="X4386">
        <v>0.97354149999999995</v>
      </c>
      <c r="Y4386">
        <v>0.27379170000000003</v>
      </c>
      <c r="Z4386">
        <v>-8.1182790000000008E-3</v>
      </c>
      <c r="AA4386">
        <v>0.96175469999999996</v>
      </c>
      <c r="AB4386">
        <v>27</v>
      </c>
      <c r="AC4386">
        <v>17.4419</v>
      </c>
      <c r="AD4386">
        <v>-1.1191200979489999</v>
      </c>
      <c r="AE4386">
        <v>-5.9728000000000003</v>
      </c>
      <c r="AF4386">
        <v>5.1101790897489501</v>
      </c>
      <c r="AG4386">
        <v>-1.1191200979489999</v>
      </c>
      <c r="AH4386">
        <v>17.643389769221699</v>
      </c>
      <c r="AI4386">
        <v>93.486488781423702</v>
      </c>
      <c r="AJ4386">
        <v>73.847025943980498</v>
      </c>
      <c r="AK4386">
        <v>18.402596628509201</v>
      </c>
      <c r="AL4386">
        <v>79.583697232033998</v>
      </c>
      <c r="AM4386">
        <v>81.8313944582125</v>
      </c>
      <c r="AN4386">
        <v>0.99999999782412397</v>
      </c>
    </row>
    <row r="4387" spans="1:40" x14ac:dyDescent="0.25">
      <c r="A4387" t="str">
        <f>"20190303170341526"</f>
        <v>20190303170341526</v>
      </c>
      <c r="B4387" t="str">
        <f>"1551603821520281"</f>
        <v>1551603821520281</v>
      </c>
      <c r="C4387" t="s">
        <v>40</v>
      </c>
      <c r="D4387">
        <v>4.484718</v>
      </c>
      <c r="E4387">
        <v>0.56237380000000003</v>
      </c>
      <c r="F4387" t="s">
        <v>57</v>
      </c>
      <c r="G4387">
        <v>-198.99930000000001</v>
      </c>
      <c r="H4387" s="1">
        <v>2.9381950000000002E-6</v>
      </c>
      <c r="I4387">
        <v>209.1148</v>
      </c>
      <c r="J4387">
        <v>-216.2655</v>
      </c>
      <c r="K4387">
        <v>1.119073</v>
      </c>
      <c r="L4387">
        <v>215.13929999999999</v>
      </c>
      <c r="M4387">
        <v>0.99856389999999995</v>
      </c>
      <c r="N4387">
        <v>-1.4149749999999999E-2</v>
      </c>
      <c r="O4387">
        <v>-5.1670960000000002E-2</v>
      </c>
      <c r="P4387">
        <v>0.96714650000000002</v>
      </c>
      <c r="Q4387">
        <v>0.1672467</v>
      </c>
      <c r="R4387">
        <v>-0.19145880000000001</v>
      </c>
      <c r="S4387">
        <v>2.9373779999999998</v>
      </c>
      <c r="T4387">
        <v>-0.1873891</v>
      </c>
      <c r="U4387">
        <v>-1.011673</v>
      </c>
      <c r="V4387">
        <v>0.1424222</v>
      </c>
      <c r="W4387">
        <v>0.180095899999999</v>
      </c>
      <c r="X4387">
        <v>0.97328380000000003</v>
      </c>
      <c r="Y4387">
        <v>0.27578180000000002</v>
      </c>
      <c r="Z4387">
        <v>-8.0693819999999999E-3</v>
      </c>
      <c r="AA4387">
        <v>0.9611864</v>
      </c>
      <c r="AB4387">
        <v>27</v>
      </c>
      <c r="AC4387">
        <v>17.266199999999898</v>
      </c>
      <c r="AD4387">
        <v>-1.119070061805</v>
      </c>
      <c r="AE4387">
        <v>-6.0244999999999802</v>
      </c>
      <c r="AF4387">
        <v>5.1050827215748296</v>
      </c>
      <c r="AG4387">
        <v>-1.119070061805</v>
      </c>
      <c r="AH4387">
        <v>17.488960991475398</v>
      </c>
      <c r="AI4387">
        <v>93.514910149241203</v>
      </c>
      <c r="AJ4387">
        <v>73.727309116981601</v>
      </c>
      <c r="AK4387">
        <v>18.2531625741595</v>
      </c>
      <c r="AL4387">
        <v>79.624654093713701</v>
      </c>
      <c r="AM4387">
        <v>81.674901553323195</v>
      </c>
      <c r="AN4387">
        <v>0.99999998579604499</v>
      </c>
    </row>
    <row r="4388" spans="1:40" x14ac:dyDescent="0.25">
      <c r="A4388" t="str">
        <f>"20190303170341548"</f>
        <v>20190303170341548</v>
      </c>
      <c r="B4388" t="str">
        <f>"1551603821540417"</f>
        <v>1551603821540417</v>
      </c>
      <c r="C4388" t="s">
        <v>40</v>
      </c>
      <c r="D4388">
        <v>4.4766389999999996</v>
      </c>
      <c r="E4388">
        <v>0.55980350000000001</v>
      </c>
      <c r="F4388" t="s">
        <v>57</v>
      </c>
      <c r="G4388">
        <v>-199.01320000000001</v>
      </c>
      <c r="H4388" s="1">
        <v>2.9426820000000001E-6</v>
      </c>
      <c r="I4388">
        <v>209.08850000000001</v>
      </c>
      <c r="J4388">
        <v>-215.9932</v>
      </c>
      <c r="K4388">
        <v>1.11904</v>
      </c>
      <c r="L4388">
        <v>215.12119999999999</v>
      </c>
      <c r="M4388">
        <v>0.99836559999999996</v>
      </c>
      <c r="N4388">
        <v>-1.415085E-2</v>
      </c>
      <c r="O4388">
        <v>-5.537131E-2</v>
      </c>
      <c r="P4388">
        <v>0.96589849999999999</v>
      </c>
      <c r="Q4388">
        <v>0.16692179999999901</v>
      </c>
      <c r="R4388">
        <v>-0.19793350000000001</v>
      </c>
      <c r="S4388">
        <v>2.931244</v>
      </c>
      <c r="T4388">
        <v>-0.1901351</v>
      </c>
      <c r="U4388">
        <v>-1.0280609999999999</v>
      </c>
      <c r="V4388">
        <v>0.14535290000000001</v>
      </c>
      <c r="W4388">
        <v>0.17973430000000001</v>
      </c>
      <c r="X4388">
        <v>0.97291729999999998</v>
      </c>
      <c r="Y4388">
        <v>0.27761710000000001</v>
      </c>
      <c r="Z4388">
        <v>-8.0457930000000007E-3</v>
      </c>
      <c r="AA4388">
        <v>0.96065809999999996</v>
      </c>
      <c r="AB4388">
        <v>27</v>
      </c>
      <c r="AC4388">
        <v>16.979999999999901</v>
      </c>
      <c r="AD4388">
        <v>-1.119037057318</v>
      </c>
      <c r="AE4388">
        <v>-6.03269999999997</v>
      </c>
      <c r="AF4388">
        <v>5.0636164229484804</v>
      </c>
      <c r="AG4388">
        <v>-1.119037057318</v>
      </c>
      <c r="AH4388">
        <v>17.221602238590901</v>
      </c>
      <c r="AI4388">
        <v>93.567193344073004</v>
      </c>
      <c r="AJ4388">
        <v>73.615238798117105</v>
      </c>
      <c r="AK4388">
        <v>17.985439635400699</v>
      </c>
      <c r="AL4388">
        <v>79.645715854542402</v>
      </c>
      <c r="AM4388">
        <v>81.502912755853004</v>
      </c>
      <c r="AN4388">
        <v>0.99999997838709398</v>
      </c>
    </row>
    <row r="4389" spans="1:40" x14ac:dyDescent="0.25">
      <c r="A4389" t="str">
        <f>"20190303170341570"</f>
        <v>20190303170341570</v>
      </c>
      <c r="B4389" t="str">
        <f>"1551603821559938"</f>
        <v>1551603821559938</v>
      </c>
      <c r="C4389" t="s">
        <v>40</v>
      </c>
      <c r="D4389">
        <v>4.4728469999999998</v>
      </c>
      <c r="E4389">
        <v>0.55945529999999999</v>
      </c>
      <c r="F4389" t="s">
        <v>57</v>
      </c>
      <c r="G4389">
        <v>-199.65520000000001</v>
      </c>
      <c r="H4389" s="1">
        <v>2.7457779999999999E-6</v>
      </c>
      <c r="I4389">
        <v>209.40199999999999</v>
      </c>
      <c r="J4389">
        <v>-215.72030000000001</v>
      </c>
      <c r="K4389">
        <v>1.1189979999999999</v>
      </c>
      <c r="L4389">
        <v>215.1019</v>
      </c>
      <c r="M4389">
        <v>0.99814939999999996</v>
      </c>
      <c r="N4389">
        <v>-1.4152110000000001E-2</v>
      </c>
      <c r="O4389">
        <v>-5.9140829999999998E-2</v>
      </c>
      <c r="P4389">
        <v>0.96442499999999998</v>
      </c>
      <c r="Q4389">
        <v>0.16836989999999999</v>
      </c>
      <c r="R4389">
        <v>-0.20380419999999999</v>
      </c>
      <c r="S4389">
        <v>2.9303889999999999</v>
      </c>
      <c r="T4389">
        <v>-0.20071130000000001</v>
      </c>
      <c r="U4389">
        <v>-1.025787</v>
      </c>
      <c r="V4389">
        <v>0.14764269999999999</v>
      </c>
      <c r="W4389">
        <v>0.181146</v>
      </c>
      <c r="X4389">
        <v>0.97231049999999997</v>
      </c>
      <c r="Y4389">
        <v>0.2733698</v>
      </c>
      <c r="Z4389">
        <v>-7.9713230000000006E-3</v>
      </c>
      <c r="AA4389">
        <v>0.96187599999999995</v>
      </c>
      <c r="AB4389">
        <v>27</v>
      </c>
      <c r="AC4389">
        <v>16.065100000000001</v>
      </c>
      <c r="AD4389">
        <v>-1.1189952542220001</v>
      </c>
      <c r="AE4389">
        <v>-5.69989999999998</v>
      </c>
      <c r="AF4389">
        <v>4.7193859771669597</v>
      </c>
      <c r="AG4389">
        <v>-1.1189952542220001</v>
      </c>
      <c r="AH4389">
        <v>16.303848871957499</v>
      </c>
      <c r="AI4389">
        <v>93.771900234848403</v>
      </c>
      <c r="AJ4389">
        <v>73.856145081182405</v>
      </c>
      <c r="AK4389">
        <v>17.010004186362799</v>
      </c>
      <c r="AL4389">
        <v>79.563481554059607</v>
      </c>
      <c r="AM4389">
        <v>81.365750498936606</v>
      </c>
      <c r="AN4389">
        <v>0.99999997429476895</v>
      </c>
    </row>
    <row r="4390" spans="1:40" x14ac:dyDescent="0.25">
      <c r="A4390" t="str">
        <f>"20190303170341593"</f>
        <v>20190303170341593</v>
      </c>
      <c r="B4390" t="str">
        <f>"1551603821580433"</f>
        <v>1551603821580433</v>
      </c>
      <c r="C4390" t="s">
        <v>40</v>
      </c>
      <c r="D4390">
        <v>4.4893020000000003</v>
      </c>
      <c r="E4390">
        <v>0.55935199999999996</v>
      </c>
      <c r="F4390" t="s">
        <v>57</v>
      </c>
      <c r="G4390">
        <v>-199.05099999999999</v>
      </c>
      <c r="H4390" s="1">
        <v>2.9133090000000002E-6</v>
      </c>
      <c r="I4390">
        <v>209.17420000000001</v>
      </c>
      <c r="J4390">
        <v>-215.44980000000001</v>
      </c>
      <c r="K4390">
        <v>1.1189610000000001</v>
      </c>
      <c r="L4390">
        <v>215.08160000000001</v>
      </c>
      <c r="M4390">
        <v>0.99791719999999895</v>
      </c>
      <c r="N4390">
        <v>-1.4153539999999999E-2</v>
      </c>
      <c r="O4390">
        <v>-6.2935950000000004E-2</v>
      </c>
      <c r="P4390">
        <v>0.96311460000000004</v>
      </c>
      <c r="Q4390">
        <v>0.16902429999999999</v>
      </c>
      <c r="R4390">
        <v>-0.2093826</v>
      </c>
      <c r="S4390">
        <v>2.925125</v>
      </c>
      <c r="T4390">
        <v>-0.1963609</v>
      </c>
      <c r="U4390">
        <v>-1.040192</v>
      </c>
      <c r="V4390">
        <v>0.149607399999999</v>
      </c>
      <c r="W4390">
        <v>0.18176829999999999</v>
      </c>
      <c r="X4390">
        <v>0.97189400000000004</v>
      </c>
      <c r="Y4390">
        <v>0.27448800000000001</v>
      </c>
      <c r="Z4390">
        <v>-7.7172209999999998E-3</v>
      </c>
      <c r="AA4390">
        <v>0.96155959999999996</v>
      </c>
      <c r="AB4390">
        <v>27</v>
      </c>
      <c r="AC4390">
        <v>16.398800000000001</v>
      </c>
      <c r="AD4390">
        <v>-1.1189580866910001</v>
      </c>
      <c r="AE4390">
        <v>-5.9073999999999902</v>
      </c>
      <c r="AF4390">
        <v>4.84354839220806</v>
      </c>
      <c r="AG4390">
        <v>-1.1189580866910001</v>
      </c>
      <c r="AH4390">
        <v>16.669412583152599</v>
      </c>
      <c r="AI4390">
        <v>93.688207513869997</v>
      </c>
      <c r="AJ4390">
        <v>73.797983014971805</v>
      </c>
      <c r="AK4390">
        <v>17.394865452046499</v>
      </c>
      <c r="AL4390">
        <v>79.527224944056101</v>
      </c>
      <c r="AM4390">
        <v>81.248928507207594</v>
      </c>
      <c r="AN4390">
        <v>1.0000000181278199</v>
      </c>
    </row>
    <row r="4391" spans="1:40" x14ac:dyDescent="0.25">
      <c r="A4391" t="str">
        <f>"20190303170341615"</f>
        <v>20190303170341615</v>
      </c>
      <c r="B4391" t="str">
        <f>"1551603821609713"</f>
        <v>1551603821609713</v>
      </c>
      <c r="C4391" t="s">
        <v>40</v>
      </c>
      <c r="D4391">
        <v>4.4887430000000004</v>
      </c>
      <c r="E4391">
        <v>0.55953140000000001</v>
      </c>
      <c r="F4391" t="s">
        <v>57</v>
      </c>
      <c r="G4391">
        <v>-198.58070000000001</v>
      </c>
      <c r="H4391" s="1">
        <v>3.049538E-6</v>
      </c>
      <c r="I4391">
        <v>208.97470000000001</v>
      </c>
      <c r="J4391">
        <v>-215.17080000000001</v>
      </c>
      <c r="K4391">
        <v>1.1189070000000001</v>
      </c>
      <c r="L4391">
        <v>215.05969999999999</v>
      </c>
      <c r="M4391">
        <v>0.9976583</v>
      </c>
      <c r="N4391">
        <v>-1.415521E-2</v>
      </c>
      <c r="O4391">
        <v>-6.6915959999999997E-2</v>
      </c>
      <c r="P4391">
        <v>0.96189199999999997</v>
      </c>
      <c r="Q4391">
        <v>0.16814770000000001</v>
      </c>
      <c r="R4391">
        <v>-0.2156159</v>
      </c>
      <c r="S4391">
        <v>2.9191129999999998</v>
      </c>
      <c r="T4391">
        <v>-0.19363060000000001</v>
      </c>
      <c r="U4391">
        <v>-1.056778</v>
      </c>
      <c r="V4391">
        <v>0.15203459999999999</v>
      </c>
      <c r="W4391">
        <v>0.1808572</v>
      </c>
      <c r="X4391">
        <v>0.97168730000000003</v>
      </c>
      <c r="Y4391">
        <v>0.27613100000000002</v>
      </c>
      <c r="Z4391">
        <v>-7.5223369999999996E-3</v>
      </c>
      <c r="AA4391">
        <v>0.96109060000000002</v>
      </c>
      <c r="AB4391">
        <v>27</v>
      </c>
      <c r="AC4391">
        <v>16.5901</v>
      </c>
      <c r="AD4391">
        <v>-1.118903950462</v>
      </c>
      <c r="AE4391">
        <v>-6.0849999999999804</v>
      </c>
      <c r="AF4391">
        <v>4.9412935996808196</v>
      </c>
      <c r="AG4391">
        <v>-1.118903950462</v>
      </c>
      <c r="AH4391">
        <v>16.892405001828301</v>
      </c>
      <c r="AI4391">
        <v>93.637574537256299</v>
      </c>
      <c r="AJ4391">
        <v>73.694973583489997</v>
      </c>
      <c r="AK4391">
        <v>17.635806622732101</v>
      </c>
      <c r="AL4391">
        <v>79.580307038794899</v>
      </c>
      <c r="AM4391">
        <v>81.107342326473002</v>
      </c>
      <c r="AN4391">
        <v>1.00000002768514</v>
      </c>
    </row>
    <row r="4392" spans="1:40" x14ac:dyDescent="0.25">
      <c r="A4392" t="str">
        <f>"20190303170341637"</f>
        <v>20190303170341637</v>
      </c>
      <c r="B4392" t="str">
        <f>"1551603821630210"</f>
        <v>1551603821630210</v>
      </c>
      <c r="C4392" t="s">
        <v>40</v>
      </c>
      <c r="D4392">
        <v>4.4734740000000004</v>
      </c>
      <c r="E4392">
        <v>0.55948419999999999</v>
      </c>
      <c r="F4392" t="s">
        <v>57</v>
      </c>
      <c r="G4392">
        <v>-198.58629999999999</v>
      </c>
      <c r="H4392" s="1">
        <v>3.0606439999999999E-6</v>
      </c>
      <c r="I4392">
        <v>208.929</v>
      </c>
      <c r="J4392">
        <v>-214.90469999999999</v>
      </c>
      <c r="K4392">
        <v>1.11886</v>
      </c>
      <c r="L4392">
        <v>215.03749999999999</v>
      </c>
      <c r="M4392">
        <v>0.99739100000000003</v>
      </c>
      <c r="N4392">
        <v>-1.4156820000000001E-2</v>
      </c>
      <c r="O4392">
        <v>-7.0787409999999995E-2</v>
      </c>
      <c r="P4392">
        <v>0.96064419999999995</v>
      </c>
      <c r="Q4392">
        <v>0.16685249999999999</v>
      </c>
      <c r="R4392">
        <v>-0.22208800000000001</v>
      </c>
      <c r="S4392">
        <v>2.9119109999999999</v>
      </c>
      <c r="T4392">
        <v>-0.1964571</v>
      </c>
      <c r="U4392">
        <v>-1.076416</v>
      </c>
      <c r="V4392">
        <v>0.154808</v>
      </c>
      <c r="W4392">
        <v>0.17952319999999999</v>
      </c>
      <c r="X4392">
        <v>0.97149680000000005</v>
      </c>
      <c r="Y4392">
        <v>0.27885860000000001</v>
      </c>
      <c r="Z4392">
        <v>-7.5084230000000002E-3</v>
      </c>
      <c r="AA4392">
        <v>0.96030280000000001</v>
      </c>
      <c r="AB4392">
        <v>27</v>
      </c>
      <c r="AC4392">
        <v>16.318399999999901</v>
      </c>
      <c r="AD4392">
        <v>-1.1188569393559999</v>
      </c>
      <c r="AE4392">
        <v>-6.1084999999999896</v>
      </c>
      <c r="AF4392">
        <v>4.9176435291931702</v>
      </c>
      <c r="AG4392">
        <v>-1.1188569393559999</v>
      </c>
      <c r="AH4392">
        <v>16.641287557272399</v>
      </c>
      <c r="AI4392">
        <v>93.6891792631112</v>
      </c>
      <c r="AJ4392">
        <v>73.537136970044003</v>
      </c>
      <c r="AK4392">
        <v>17.388717902559399</v>
      </c>
      <c r="AL4392">
        <v>79.658011878958106</v>
      </c>
      <c r="AM4392">
        <v>80.946040277056696</v>
      </c>
      <c r="AN4392">
        <v>1.0000000643062299</v>
      </c>
    </row>
    <row r="4393" spans="1:40" x14ac:dyDescent="0.25">
      <c r="A4393" t="str">
        <f>"20190303170341659"</f>
        <v>20190303170341659</v>
      </c>
      <c r="B4393" t="str">
        <f>"1551603821649729"</f>
        <v>1551603821649729</v>
      </c>
      <c r="C4393" t="s">
        <v>40</v>
      </c>
      <c r="D4393">
        <v>4.4925069999999998</v>
      </c>
      <c r="E4393">
        <v>0.55926589999999998</v>
      </c>
      <c r="F4393" t="s">
        <v>57</v>
      </c>
      <c r="G4393">
        <v>-198.79910000000001</v>
      </c>
      <c r="H4393" s="1">
        <v>3.0119189999999998E-6</v>
      </c>
      <c r="I4393">
        <v>208.97049999999999</v>
      </c>
      <c r="J4393">
        <v>-214.63159999999999</v>
      </c>
      <c r="K4393">
        <v>1.1188199999999999</v>
      </c>
      <c r="L4393">
        <v>215.0136</v>
      </c>
      <c r="M4393">
        <v>0.99709630000000005</v>
      </c>
      <c r="N4393">
        <v>-1.4158479999999999E-2</v>
      </c>
      <c r="O4393">
        <v>-7.4824249999999995E-2</v>
      </c>
      <c r="P4393">
        <v>0.95922260000000004</v>
      </c>
      <c r="Q4393">
        <v>0.1665034</v>
      </c>
      <c r="R4393">
        <v>-0.2284061</v>
      </c>
      <c r="S4393">
        <v>2.9049529999999999</v>
      </c>
      <c r="T4393">
        <v>-0.2018075</v>
      </c>
      <c r="U4393">
        <v>-1.0942989999999999</v>
      </c>
      <c r="V4393">
        <v>0.15728710000000001</v>
      </c>
      <c r="W4393">
        <v>0.17913709999999999</v>
      </c>
      <c r="X4393">
        <v>0.97116970000000002</v>
      </c>
      <c r="Y4393">
        <v>0.28087800000000002</v>
      </c>
      <c r="Z4393">
        <v>-7.5077410000000001E-3</v>
      </c>
      <c r="AA4393">
        <v>0.95971410000000001</v>
      </c>
      <c r="AB4393">
        <v>27</v>
      </c>
      <c r="AC4393">
        <v>15.8324999999999</v>
      </c>
      <c r="AD4393">
        <v>-1.1188169880809999</v>
      </c>
      <c r="AE4393">
        <v>-6.0431000000000097</v>
      </c>
      <c r="AF4393">
        <v>4.8203722300246001</v>
      </c>
      <c r="AG4393">
        <v>-1.1188169880809999</v>
      </c>
      <c r="AH4393">
        <v>16.169845261914201</v>
      </c>
      <c r="AI4393">
        <v>93.793610644932102</v>
      </c>
      <c r="AJ4393">
        <v>73.400221293221307</v>
      </c>
      <c r="AK4393">
        <v>16.910104543824101</v>
      </c>
      <c r="AL4393">
        <v>79.680497211354506</v>
      </c>
      <c r="AM4393">
        <v>80.800463843826094</v>
      </c>
      <c r="AN4393">
        <v>0.99999995931045405</v>
      </c>
    </row>
    <row r="4394" spans="1:40" x14ac:dyDescent="0.25">
      <c r="A4394" t="str">
        <f>"20190303170341681"</f>
        <v>20190303170341681</v>
      </c>
      <c r="B4394" t="str">
        <f>"1551603821670226"</f>
        <v>1551603821670226</v>
      </c>
      <c r="C4394" t="s">
        <v>40</v>
      </c>
      <c r="D4394">
        <v>4.4485859999999997</v>
      </c>
      <c r="E4394">
        <v>0.55918040000000002</v>
      </c>
      <c r="F4394" t="s">
        <v>57</v>
      </c>
      <c r="G4394">
        <v>-198.73330000000001</v>
      </c>
      <c r="H4394" s="1">
        <v>3.0388469999999998E-6</v>
      </c>
      <c r="I4394">
        <v>208.91290000000001</v>
      </c>
      <c r="J4394">
        <v>-214.36429999999999</v>
      </c>
      <c r="K4394">
        <v>1.1187849999999999</v>
      </c>
      <c r="L4394">
        <v>214.989</v>
      </c>
      <c r="M4394">
        <v>0.99678619999999996</v>
      </c>
      <c r="N4394">
        <v>-1.4160000000000001E-2</v>
      </c>
      <c r="O4394">
        <v>-7.8845780000000004E-2</v>
      </c>
      <c r="P4394">
        <v>0.95779510000000001</v>
      </c>
      <c r="Q4394">
        <v>0.16649749999999999</v>
      </c>
      <c r="R4394">
        <v>-0.234322</v>
      </c>
      <c r="S4394">
        <v>2.8981170000000001</v>
      </c>
      <c r="T4394">
        <v>-0.20395079999999999</v>
      </c>
      <c r="U4394">
        <v>-1.112106</v>
      </c>
      <c r="V4394">
        <v>0.15938669999999999</v>
      </c>
      <c r="W4394">
        <v>0.179096799999999</v>
      </c>
      <c r="X4394">
        <v>0.9708348</v>
      </c>
      <c r="Y4394">
        <v>0.28289170000000002</v>
      </c>
      <c r="Z4394">
        <v>-7.4296919999999999E-3</v>
      </c>
      <c r="AA4394">
        <v>0.95912310000000001</v>
      </c>
      <c r="AB4394">
        <v>27</v>
      </c>
      <c r="AC4394">
        <v>15.630999999999901</v>
      </c>
      <c r="AD4394">
        <v>-1.1187819611530001</v>
      </c>
      <c r="AE4394">
        <v>-6.0760999999999896</v>
      </c>
      <c r="AF4394">
        <v>4.8032416806415199</v>
      </c>
      <c r="AG4394">
        <v>-1.1187819611530001</v>
      </c>
      <c r="AH4394">
        <v>15.990287310721801</v>
      </c>
      <c r="AI4394">
        <v>93.8335733789215</v>
      </c>
      <c r="AJ4394">
        <v>73.280522952120194</v>
      </c>
      <c r="AK4394">
        <v>16.7335618443499</v>
      </c>
      <c r="AL4394">
        <v>79.682844573993506</v>
      </c>
      <c r="AM4394">
        <v>80.676643154577604</v>
      </c>
      <c r="AN4394">
        <v>0.99999999639908499</v>
      </c>
    </row>
    <row r="4395" spans="1:40" x14ac:dyDescent="0.25">
      <c r="A4395" t="str">
        <f>"20190303170341704"</f>
        <v>20190303170341704</v>
      </c>
      <c r="B4395" t="str">
        <f>"1551603821699505"</f>
        <v>1551603821699505</v>
      </c>
      <c r="C4395" t="s">
        <v>40</v>
      </c>
      <c r="D4395">
        <v>4.4906189999999997</v>
      </c>
      <c r="E4395">
        <v>0.55898769999999998</v>
      </c>
      <c r="F4395" t="s">
        <v>57</v>
      </c>
      <c r="G4395">
        <v>-198.62710000000001</v>
      </c>
      <c r="H4395" s="1">
        <v>3.075774E-6</v>
      </c>
      <c r="I4395">
        <v>208.84460000000001</v>
      </c>
      <c r="J4395">
        <v>-214.08840000000001</v>
      </c>
      <c r="K4395">
        <v>1.118738</v>
      </c>
      <c r="L4395">
        <v>214.9624</v>
      </c>
      <c r="M4395">
        <v>0.99644270000000001</v>
      </c>
      <c r="N4395">
        <v>-1.4161760000000001E-2</v>
      </c>
      <c r="O4395">
        <v>-8.3075189999999993E-2</v>
      </c>
      <c r="P4395">
        <v>0.95614710000000003</v>
      </c>
      <c r="Q4395">
        <v>0.16707520000000001</v>
      </c>
      <c r="R4395">
        <v>-0.24055979999999999</v>
      </c>
      <c r="S4395">
        <v>2.8916930000000001</v>
      </c>
      <c r="T4395">
        <v>-0.20557500000000001</v>
      </c>
      <c r="U4395">
        <v>-1.1290279999999999</v>
      </c>
      <c r="V4395">
        <v>0.16163159999999999</v>
      </c>
      <c r="W4395">
        <v>0.179635299999999</v>
      </c>
      <c r="X4395">
        <v>0.970364</v>
      </c>
      <c r="Y4395">
        <v>0.28440659999999901</v>
      </c>
      <c r="Z4395">
        <v>-7.30453099999999E-3</v>
      </c>
      <c r="AA4395">
        <v>0.95867590000000003</v>
      </c>
      <c r="AB4395">
        <v>27</v>
      </c>
      <c r="AC4395">
        <v>15.4612999999999</v>
      </c>
      <c r="AD4395">
        <v>-1.1187349242260001</v>
      </c>
      <c r="AE4395">
        <v>-6.1177999999999804</v>
      </c>
      <c r="AF4395">
        <v>4.7903839139353801</v>
      </c>
      <c r="AG4395">
        <v>-1.1187349242260001</v>
      </c>
      <c r="AH4395">
        <v>15.844407708280899</v>
      </c>
      <c r="AI4395">
        <v>93.866518607092104</v>
      </c>
      <c r="AJ4395">
        <v>73.177880594405195</v>
      </c>
      <c r="AK4395">
        <v>16.590497325270402</v>
      </c>
      <c r="AL4395">
        <v>79.651481727886505</v>
      </c>
      <c r="AM4395">
        <v>80.543177743485401</v>
      </c>
      <c r="AN4395">
        <v>0.99999995381032303</v>
      </c>
    </row>
    <row r="4396" spans="1:40" x14ac:dyDescent="0.25">
      <c r="A4396" t="str">
        <f>"20190303170341727"</f>
        <v>20190303170341727</v>
      </c>
      <c r="B4396" t="str">
        <f>"1551603821720002"</f>
        <v>1551603821720002</v>
      </c>
      <c r="C4396" t="s">
        <v>40</v>
      </c>
      <c r="D4396">
        <v>4.4730829999999999</v>
      </c>
      <c r="E4396">
        <v>0.5587936</v>
      </c>
      <c r="F4396" t="s">
        <v>57</v>
      </c>
      <c r="G4396">
        <v>-198.27680000000001</v>
      </c>
      <c r="H4396" s="1">
        <v>3.1828759999999998E-6</v>
      </c>
      <c r="I4396">
        <v>208.6747</v>
      </c>
      <c r="J4396">
        <v>-213.8107</v>
      </c>
      <c r="K4396">
        <v>1.118692</v>
      </c>
      <c r="L4396">
        <v>214.93440000000001</v>
      </c>
      <c r="M4396">
        <v>0.99607129999999999</v>
      </c>
      <c r="N4396">
        <v>-1.416391E-2</v>
      </c>
      <c r="O4396">
        <v>-8.7414640000000002E-2</v>
      </c>
      <c r="P4396">
        <v>0.95427240000000002</v>
      </c>
      <c r="Q4396">
        <v>0.16751540000000001</v>
      </c>
      <c r="R4396">
        <v>-0.24759390000000001</v>
      </c>
      <c r="S4396">
        <v>2.8846590000000001</v>
      </c>
      <c r="T4396">
        <v>-0.20410220000000001</v>
      </c>
      <c r="U4396">
        <v>-1.147125</v>
      </c>
      <c r="V4396">
        <v>0.1645887</v>
      </c>
      <c r="W4396">
        <v>0.18002839999999901</v>
      </c>
      <c r="X4396">
        <v>0.96979400000000004</v>
      </c>
      <c r="Y4396">
        <v>0.28623510000000002</v>
      </c>
      <c r="Z4396">
        <v>-7.1253239999999997E-3</v>
      </c>
      <c r="AA4396">
        <v>0.95813289999999995</v>
      </c>
      <c r="AB4396">
        <v>27</v>
      </c>
      <c r="AC4396">
        <v>15.5338999999999</v>
      </c>
      <c r="AD4396">
        <v>-1.1186888171239999</v>
      </c>
      <c r="AE4396">
        <v>-6.2596999999999996</v>
      </c>
      <c r="AF4396">
        <v>4.8560400577635896</v>
      </c>
      <c r="AG4396">
        <v>-1.1186888171239999</v>
      </c>
      <c r="AH4396">
        <v>15.9505012797391</v>
      </c>
      <c r="AI4396">
        <v>93.8384811674198</v>
      </c>
      <c r="AJ4396">
        <v>73.067425291655596</v>
      </c>
      <c r="AK4396">
        <v>16.710807305068201</v>
      </c>
      <c r="AL4396">
        <v>79.6285863244468</v>
      </c>
      <c r="AM4396">
        <v>80.367819675679499</v>
      </c>
      <c r="AN4396">
        <v>1.00000003370512</v>
      </c>
    </row>
    <row r="4397" spans="1:40" x14ac:dyDescent="0.25">
      <c r="A4397" t="str">
        <f>"20190303170341749"</f>
        <v>20190303170341749</v>
      </c>
      <c r="B4397" t="str">
        <f>"1551603821740027"</f>
        <v>1551603821740027</v>
      </c>
      <c r="C4397" t="s">
        <v>40</v>
      </c>
      <c r="D4397">
        <v>4.4995260000000004</v>
      </c>
      <c r="E4397">
        <v>0.55862670000000003</v>
      </c>
      <c r="F4397" t="s">
        <v>57</v>
      </c>
      <c r="G4397">
        <v>-198.0889</v>
      </c>
      <c r="H4397" s="1">
        <v>3.244767E-6</v>
      </c>
      <c r="I4397">
        <v>208.5669</v>
      </c>
      <c r="J4397">
        <v>-213.54820000000001</v>
      </c>
      <c r="K4397">
        <v>1.118636</v>
      </c>
      <c r="L4397">
        <v>214.9067</v>
      </c>
      <c r="M4397">
        <v>0.99569549999999996</v>
      </c>
      <c r="N4397">
        <v>-1.416628E-2</v>
      </c>
      <c r="O4397">
        <v>-9.159726E-2</v>
      </c>
      <c r="P4397">
        <v>0.95249609999999996</v>
      </c>
      <c r="Q4397">
        <v>0.16707230000000001</v>
      </c>
      <c r="R4397">
        <v>-0.25463400000000003</v>
      </c>
      <c r="S4397">
        <v>2.877335</v>
      </c>
      <c r="T4397">
        <v>-0.20473659999999999</v>
      </c>
      <c r="U4397">
        <v>-1.1653439999999999</v>
      </c>
      <c r="V4397">
        <v>0.1676957</v>
      </c>
      <c r="W4397">
        <v>0.1795368</v>
      </c>
      <c r="X4397">
        <v>0.96935269999999996</v>
      </c>
      <c r="Y4397">
        <v>0.28826770000000002</v>
      </c>
      <c r="Z4397">
        <v>-7.0034140000000003E-3</v>
      </c>
      <c r="AA4397">
        <v>0.95752420000000005</v>
      </c>
      <c r="AB4397">
        <v>27</v>
      </c>
      <c r="AC4397">
        <v>15.459300000000001</v>
      </c>
      <c r="AD4397">
        <v>-1.118632755233</v>
      </c>
      <c r="AE4397">
        <v>-6.3397999999999897</v>
      </c>
      <c r="AF4397">
        <v>4.8751205377359099</v>
      </c>
      <c r="AG4397">
        <v>-1.118632755233</v>
      </c>
      <c r="AH4397">
        <v>15.903781558262001</v>
      </c>
      <c r="AI4397">
        <v>93.847286055249697</v>
      </c>
      <c r="AJ4397">
        <v>72.957684088608602</v>
      </c>
      <c r="AK4397">
        <v>16.671784768027901</v>
      </c>
      <c r="AL4397">
        <v>79.6572189437627</v>
      </c>
      <c r="AM4397">
        <v>80.185111576240303</v>
      </c>
      <c r="AN4397">
        <v>0.99999998367500897</v>
      </c>
    </row>
    <row r="4398" spans="1:40" x14ac:dyDescent="0.25">
      <c r="A4398" t="str">
        <f>"20190303170341771"</f>
        <v>20190303170341771</v>
      </c>
      <c r="B4398" t="str">
        <f>"1551603821759548"</f>
        <v>1551603821759548</v>
      </c>
      <c r="C4398" t="s">
        <v>40</v>
      </c>
      <c r="D4398">
        <v>4.4908599999999996</v>
      </c>
      <c r="E4398">
        <v>0.55851779999999995</v>
      </c>
      <c r="F4398" t="s">
        <v>57</v>
      </c>
      <c r="G4398">
        <v>-198.07</v>
      </c>
      <c r="H4398" s="1">
        <v>3.262006E-6</v>
      </c>
      <c r="I4398">
        <v>208.5145</v>
      </c>
      <c r="J4398">
        <v>-213.2826</v>
      </c>
      <c r="K4398">
        <v>1.118584</v>
      </c>
      <c r="L4398">
        <v>214.8775</v>
      </c>
      <c r="M4398">
        <v>0.99528939999999999</v>
      </c>
      <c r="N4398">
        <v>-1.4168760000000001E-2</v>
      </c>
      <c r="O4398">
        <v>-9.5907279999999998E-2</v>
      </c>
      <c r="P4398">
        <v>0.95094509999999999</v>
      </c>
      <c r="Q4398">
        <v>0.16670969999999999</v>
      </c>
      <c r="R4398">
        <v>-0.26059870000000002</v>
      </c>
      <c r="S4398">
        <v>2.8692169999999999</v>
      </c>
      <c r="T4398">
        <v>-0.2073634</v>
      </c>
      <c r="U4398">
        <v>-1.184952</v>
      </c>
      <c r="V4398">
        <v>0.16959299999999999</v>
      </c>
      <c r="W4398">
        <v>0.1791362</v>
      </c>
      <c r="X4398">
        <v>0.96909670000000003</v>
      </c>
      <c r="Y4398">
        <v>0.29065249999999998</v>
      </c>
      <c r="Z4398">
        <v>-6.9216869999999897E-3</v>
      </c>
      <c r="AA4398">
        <v>0.95680370000000003</v>
      </c>
      <c r="AB4398">
        <v>27</v>
      </c>
      <c r="AC4398">
        <v>15.2126</v>
      </c>
      <c r="AD4398">
        <v>-1.118580737994</v>
      </c>
      <c r="AE4398">
        <v>-6.3630000000000004</v>
      </c>
      <c r="AF4398">
        <v>4.8521890141878101</v>
      </c>
      <c r="AG4398">
        <v>-1.118580737994</v>
      </c>
      <c r="AH4398">
        <v>15.6806234337232</v>
      </c>
      <c r="AI4398">
        <v>93.898517816369306</v>
      </c>
      <c r="AJ4398">
        <v>72.805918021799201</v>
      </c>
      <c r="AK4398">
        <v>16.4522616186057</v>
      </c>
      <c r="AL4398">
        <v>79.680549933831102</v>
      </c>
      <c r="AM4398">
        <v>80.073692681455597</v>
      </c>
      <c r="AN4398">
        <v>0.99999998887516495</v>
      </c>
    </row>
    <row r="4399" spans="1:40" x14ac:dyDescent="0.25">
      <c r="A4399" t="str">
        <f>"20190303170341794"</f>
        <v>20190303170341794</v>
      </c>
      <c r="B4399" t="str">
        <f>"1551603821780044"</f>
        <v>1551603821780044</v>
      </c>
      <c r="C4399" t="s">
        <v>40</v>
      </c>
      <c r="D4399">
        <v>4.508324</v>
      </c>
      <c r="E4399">
        <v>0.55845140000000004</v>
      </c>
      <c r="F4399" t="s">
        <v>57</v>
      </c>
      <c r="G4399">
        <v>-197.9829</v>
      </c>
      <c r="H4399" s="1">
        <v>3.293987E-6</v>
      </c>
      <c r="I4399">
        <v>208.452</v>
      </c>
      <c r="J4399">
        <v>-213.00989999999999</v>
      </c>
      <c r="K4399">
        <v>1.1185229999999999</v>
      </c>
      <c r="L4399">
        <v>214.84630000000001</v>
      </c>
      <c r="M4399">
        <v>0.99484519999999999</v>
      </c>
      <c r="N4399">
        <v>-1.417129E-2</v>
      </c>
      <c r="O4399">
        <v>-0.1004115</v>
      </c>
      <c r="P4399">
        <v>0.94916590000000001</v>
      </c>
      <c r="Q4399">
        <v>0.16611329999999999</v>
      </c>
      <c r="R4399">
        <v>-0.26737729999999998</v>
      </c>
      <c r="S4399">
        <v>2.8620450000000002</v>
      </c>
      <c r="T4399">
        <v>-0.20924889999999999</v>
      </c>
      <c r="U4399">
        <v>-1.2019959999999901</v>
      </c>
      <c r="V4399">
        <v>0.17213519999999999</v>
      </c>
      <c r="W4399">
        <v>0.1784953</v>
      </c>
      <c r="X4399">
        <v>0.96876669999999998</v>
      </c>
      <c r="Y4399">
        <v>0.29201339999999998</v>
      </c>
      <c r="Z4399">
        <v>-6.7679269999999904E-3</v>
      </c>
      <c r="AA4399">
        <v>0.95639030000000003</v>
      </c>
      <c r="AB4399">
        <v>27</v>
      </c>
      <c r="AC4399">
        <v>15.0269999999999</v>
      </c>
      <c r="AD4399">
        <v>-1.1185197060130001</v>
      </c>
      <c r="AE4399">
        <v>-6.3943000000000101</v>
      </c>
      <c r="AF4399">
        <v>4.8302827439631102</v>
      </c>
      <c r="AG4399">
        <v>-1.1185197060130001</v>
      </c>
      <c r="AH4399">
        <v>15.5203574247336</v>
      </c>
      <c r="AI4399">
        <v>93.936452345357907</v>
      </c>
      <c r="AJ4399">
        <v>72.712688614618997</v>
      </c>
      <c r="AK4399">
        <v>16.2930725251823</v>
      </c>
      <c r="AL4399">
        <v>79.717872551410593</v>
      </c>
      <c r="AM4399">
        <v>79.924561381376705</v>
      </c>
      <c r="AN4399">
        <v>1.0000000091150001</v>
      </c>
    </row>
    <row r="4400" spans="1:40" x14ac:dyDescent="0.25">
      <c r="A4400" t="str">
        <f>"20190303170341817"</f>
        <v>20190303170341817</v>
      </c>
      <c r="B4400" t="str">
        <f>"1551603821810300"</f>
        <v>1551603821810300</v>
      </c>
      <c r="C4400" t="s">
        <v>40</v>
      </c>
      <c r="D4400">
        <v>4.5192800000000002</v>
      </c>
      <c r="E4400">
        <v>0.55635679999999998</v>
      </c>
      <c r="F4400" t="s">
        <v>57</v>
      </c>
      <c r="G4400">
        <v>-197.99870000000001</v>
      </c>
      <c r="H4400" s="1">
        <v>3.2976789999999998E-6</v>
      </c>
      <c r="I4400">
        <v>208.42750000000001</v>
      </c>
      <c r="J4400">
        <v>-212.73679999999999</v>
      </c>
      <c r="K4400">
        <v>1.118466</v>
      </c>
      <c r="L4400">
        <v>214.8135</v>
      </c>
      <c r="M4400">
        <v>0.99437059999999999</v>
      </c>
      <c r="N4400">
        <v>-1.417362E-2</v>
      </c>
      <c r="O4400">
        <v>-0.10500569999999999</v>
      </c>
      <c r="P4400">
        <v>0.94739410000000002</v>
      </c>
      <c r="Q4400">
        <v>0.1652391</v>
      </c>
      <c r="R4400">
        <v>-0.27411799999999997</v>
      </c>
      <c r="S4400">
        <v>2.8540800000000002</v>
      </c>
      <c r="T4400">
        <v>-0.21266409999999999</v>
      </c>
      <c r="U4400">
        <v>-1.2203980000000001</v>
      </c>
      <c r="V4400">
        <v>0.17455079999999901</v>
      </c>
      <c r="W4400">
        <v>0.17757989999999901</v>
      </c>
      <c r="X4400">
        <v>0.96850259999999999</v>
      </c>
      <c r="Y4400">
        <v>0.29375699999999999</v>
      </c>
      <c r="Z4400">
        <v>-6.6428440000000002E-3</v>
      </c>
      <c r="AA4400">
        <v>0.95585699999999996</v>
      </c>
      <c r="AB4400">
        <v>27</v>
      </c>
      <c r="AC4400">
        <v>14.7380999999999</v>
      </c>
      <c r="AD4400">
        <v>-1.1184627023210001</v>
      </c>
      <c r="AE4400">
        <v>-6.3859999999999904</v>
      </c>
      <c r="AF4400">
        <v>4.7797724144369003</v>
      </c>
      <c r="AG4400">
        <v>-1.1184627023210001</v>
      </c>
      <c r="AH4400">
        <v>15.253279179165499</v>
      </c>
      <c r="AI4400">
        <v>94.002524392046695</v>
      </c>
      <c r="AJ4400">
        <v>72.601079239635297</v>
      </c>
      <c r="AK4400">
        <v>16.023723314756101</v>
      </c>
      <c r="AL4400">
        <v>79.771171979981403</v>
      </c>
      <c r="AM4400">
        <v>79.783401196792497</v>
      </c>
      <c r="AN4400">
        <v>0.99999994443570295</v>
      </c>
    </row>
    <row r="4401" spans="1:40" x14ac:dyDescent="0.25">
      <c r="A4401" t="str">
        <f>"20190303170341838"</f>
        <v>20190303170341838</v>
      </c>
      <c r="B4401" t="str">
        <f>"1551603821829819"</f>
        <v>1551603821829819</v>
      </c>
      <c r="C4401" t="s">
        <v>40</v>
      </c>
      <c r="D4401">
        <v>4.531962</v>
      </c>
      <c r="E4401">
        <v>0.55593380000000003</v>
      </c>
      <c r="F4401" t="s">
        <v>57</v>
      </c>
      <c r="G4401">
        <v>-199.2662</v>
      </c>
      <c r="H4401" s="1">
        <v>2.909007E-6</v>
      </c>
      <c r="I4401">
        <v>209.0462</v>
      </c>
      <c r="J4401">
        <v>-212.47630000000001</v>
      </c>
      <c r="K4401">
        <v>1.1184289999999999</v>
      </c>
      <c r="L4401">
        <v>214.78100000000001</v>
      </c>
      <c r="M4401">
        <v>0.99389059999999996</v>
      </c>
      <c r="N4401">
        <v>-1.4175709999999999E-2</v>
      </c>
      <c r="O4401">
        <v>-0.1094557</v>
      </c>
      <c r="P4401">
        <v>0.94556430000000002</v>
      </c>
      <c r="Q4401">
        <v>0.16419410000000001</v>
      </c>
      <c r="R4401">
        <v>-0.28097810000000001</v>
      </c>
      <c r="S4401">
        <v>2.8543699999999999</v>
      </c>
      <c r="T4401">
        <v>-0.23699809999999999</v>
      </c>
      <c r="U4401">
        <v>-1.2220610000000001</v>
      </c>
      <c r="V4401">
        <v>0.17723059999999999</v>
      </c>
      <c r="W4401">
        <v>0.1764944</v>
      </c>
      <c r="X4401">
        <v>0.96821429999999997</v>
      </c>
      <c r="Y4401">
        <v>0.2898017</v>
      </c>
      <c r="Z4401">
        <v>-6.5164039999999999E-3</v>
      </c>
      <c r="AA4401">
        <v>0.95706449999999998</v>
      </c>
      <c r="AB4401">
        <v>27</v>
      </c>
      <c r="AC4401">
        <v>13.210100000000001</v>
      </c>
      <c r="AD4401">
        <v>-1.1184260909929999</v>
      </c>
      <c r="AE4401">
        <v>-5.7347999999999697</v>
      </c>
      <c r="AF4401">
        <v>4.2287651795509698</v>
      </c>
      <c r="AG4401">
        <v>-1.1184260909929999</v>
      </c>
      <c r="AH4401">
        <v>13.675997849089701</v>
      </c>
      <c r="AI4401">
        <v>94.467466300874904</v>
      </c>
      <c r="AJ4401">
        <v>72.817830429739203</v>
      </c>
      <c r="AK4401">
        <v>14.3584904858799</v>
      </c>
      <c r="AL4401">
        <v>79.834364741145507</v>
      </c>
      <c r="AM4401">
        <v>79.626907723937705</v>
      </c>
      <c r="AN4401">
        <v>0.99999994476610299</v>
      </c>
    </row>
    <row r="4402" spans="1:40" x14ac:dyDescent="0.25">
      <c r="A4402" t="str">
        <f>"20190303170341861"</f>
        <v>20190303170341861</v>
      </c>
      <c r="B4402" t="str">
        <f>"1551603821850315"</f>
        <v>1551603821850315</v>
      </c>
      <c r="C4402" t="s">
        <v>40</v>
      </c>
      <c r="D4402">
        <v>4.5342370000000001</v>
      </c>
      <c r="E4402">
        <v>0.55579269999999903</v>
      </c>
      <c r="F4402" t="s">
        <v>57</v>
      </c>
      <c r="G4402">
        <v>-199.0804</v>
      </c>
      <c r="H4402" s="1">
        <v>2.9695670000000001E-6</v>
      </c>
      <c r="I4402">
        <v>208.94200000000001</v>
      </c>
      <c r="J4402">
        <v>-212.21039999999999</v>
      </c>
      <c r="K4402">
        <v>1.1183890000000001</v>
      </c>
      <c r="L4402">
        <v>214.7465</v>
      </c>
      <c r="M4402">
        <v>0.99337359999999997</v>
      </c>
      <c r="N4402">
        <v>-1.4177439999999999E-2</v>
      </c>
      <c r="O4402">
        <v>-0.11405220000000001</v>
      </c>
      <c r="P4402">
        <v>0.9441562</v>
      </c>
      <c r="Q4402">
        <v>0.16314229999999999</v>
      </c>
      <c r="R4402">
        <v>-0.28627529999999901</v>
      </c>
      <c r="S4402">
        <v>2.8454130000000002</v>
      </c>
      <c r="T4402">
        <v>-0.2375631</v>
      </c>
      <c r="U4402">
        <v>-1.2402500000000001</v>
      </c>
      <c r="V4402">
        <v>0.17816699999999999</v>
      </c>
      <c r="W4402">
        <v>0.1754232</v>
      </c>
      <c r="X4402">
        <v>0.96823720000000002</v>
      </c>
      <c r="Y4402">
        <v>0.29161550000000003</v>
      </c>
      <c r="Z4402">
        <v>-6.318695E-3</v>
      </c>
      <c r="AA4402">
        <v>0.95651470000000005</v>
      </c>
      <c r="AB4402">
        <v>27</v>
      </c>
      <c r="AC4402">
        <v>13.1299999999999</v>
      </c>
      <c r="AD4402">
        <v>-1.11838603043299</v>
      </c>
      <c r="AE4402">
        <v>-5.8044999999999902</v>
      </c>
      <c r="AF4402">
        <v>4.2432080011697497</v>
      </c>
      <c r="AG4402">
        <v>-1.11838603043299</v>
      </c>
      <c r="AH4402">
        <v>13.623704424884</v>
      </c>
      <c r="AI4402">
        <v>94.481544668981201</v>
      </c>
      <c r="AJ4402">
        <v>72.700396411662794</v>
      </c>
      <c r="AK4402">
        <v>14.312963484577899</v>
      </c>
      <c r="AL4402">
        <v>79.896713611968295</v>
      </c>
      <c r="AM4402">
        <v>79.573541531973902</v>
      </c>
      <c r="AN4402">
        <v>1.0000000272255301</v>
      </c>
    </row>
    <row r="4403" spans="1:40" x14ac:dyDescent="0.25">
      <c r="A4403" t="str">
        <f>"20190303170341883"</f>
        <v>20190303170341883</v>
      </c>
      <c r="B4403" t="str">
        <f>"1551603821869836"</f>
        <v>1551603821869836</v>
      </c>
      <c r="C4403" t="s">
        <v>40</v>
      </c>
      <c r="D4403">
        <v>4.496823</v>
      </c>
      <c r="E4403">
        <v>0.55583830000000001</v>
      </c>
      <c r="F4403" t="s">
        <v>57</v>
      </c>
      <c r="G4403">
        <v>-199</v>
      </c>
      <c r="H4403" s="1">
        <v>2.9947919999999999E-6</v>
      </c>
      <c r="I4403">
        <v>208.9006</v>
      </c>
      <c r="J4403">
        <v>-211.93600000000001</v>
      </c>
      <c r="K4403">
        <v>1.118355</v>
      </c>
      <c r="L4403">
        <v>214.70959999999999</v>
      </c>
      <c r="M4403">
        <v>0.99281229999999998</v>
      </c>
      <c r="N4403">
        <v>-1.4178649999999999E-2</v>
      </c>
      <c r="O4403">
        <v>-0.1188386</v>
      </c>
      <c r="P4403">
        <v>0.94220870000000001</v>
      </c>
      <c r="Q4403">
        <v>0.16169169999999999</v>
      </c>
      <c r="R4403">
        <v>-0.2934252</v>
      </c>
      <c r="S4403">
        <v>2.838165</v>
      </c>
      <c r="T4403">
        <v>-0.24027799999999999</v>
      </c>
      <c r="U4403">
        <v>-1.255951</v>
      </c>
      <c r="V4403">
        <v>0.18081559999999999</v>
      </c>
      <c r="W4403">
        <v>0.17393729999999999</v>
      </c>
      <c r="X4403">
        <v>0.96801420000000005</v>
      </c>
      <c r="Y4403">
        <v>0.29232599999999997</v>
      </c>
      <c r="Z4403">
        <v>-6.0735340000000002E-3</v>
      </c>
      <c r="AA4403">
        <v>0.95629940000000002</v>
      </c>
      <c r="AB4403">
        <v>27</v>
      </c>
      <c r="AC4403">
        <v>12.9359999999999</v>
      </c>
      <c r="AD4403">
        <v>-1.118352005208</v>
      </c>
      <c r="AE4403">
        <v>-5.8089999999999904</v>
      </c>
      <c r="AF4403">
        <v>4.2042263984853596</v>
      </c>
      <c r="AG4403">
        <v>-1.118352005208</v>
      </c>
      <c r="AH4403">
        <v>13.451051280406601</v>
      </c>
      <c r="AI4403">
        <v>94.537278874850102</v>
      </c>
      <c r="AJ4403">
        <v>72.642976192367698</v>
      </c>
      <c r="AK4403">
        <v>14.1370793081669</v>
      </c>
      <c r="AL4403">
        <v>79.983178307622794</v>
      </c>
      <c r="AM4403">
        <v>79.419635174480803</v>
      </c>
      <c r="AN4403">
        <v>0.99999997846814404</v>
      </c>
    </row>
    <row r="4404" spans="1:40" x14ac:dyDescent="0.25">
      <c r="A4404" t="str">
        <f>"20190303170341907"</f>
        <v>20190303170341907</v>
      </c>
      <c r="B4404" t="str">
        <f>"1551603821900092"</f>
        <v>1551603821900092</v>
      </c>
      <c r="C4404" t="s">
        <v>40</v>
      </c>
      <c r="D4404">
        <v>4.5082849999999999</v>
      </c>
      <c r="E4404">
        <v>0.55540469999999997</v>
      </c>
      <c r="F4404" t="s">
        <v>57</v>
      </c>
      <c r="G4404">
        <v>-199.0094</v>
      </c>
      <c r="H4404" s="1">
        <v>3.0011890000000001E-6</v>
      </c>
      <c r="I4404">
        <v>208.87010000000001</v>
      </c>
      <c r="J4404">
        <v>-211.65170000000001</v>
      </c>
      <c r="K4404">
        <v>1.1183270000000001</v>
      </c>
      <c r="L4404">
        <v>214.66990000000001</v>
      </c>
      <c r="M4404">
        <v>0.99220019999999998</v>
      </c>
      <c r="N4404">
        <v>-1.4179539999999999E-2</v>
      </c>
      <c r="O4404">
        <v>-0.12384580000000001</v>
      </c>
      <c r="P4404">
        <v>0.94010720000000003</v>
      </c>
      <c r="Q4404">
        <v>0.16076879999999999</v>
      </c>
      <c r="R4404">
        <v>-0.30058610000000002</v>
      </c>
      <c r="S4404">
        <v>2.8281399999999999</v>
      </c>
      <c r="T4404">
        <v>-0.24467739999999999</v>
      </c>
      <c r="U4404">
        <v>-1.2775729999999901</v>
      </c>
      <c r="V4404">
        <v>0.1832849</v>
      </c>
      <c r="W4404">
        <v>0.1729811</v>
      </c>
      <c r="X4404">
        <v>0.9677211</v>
      </c>
      <c r="Y4404">
        <v>0.29482049999999999</v>
      </c>
      <c r="Z4404">
        <v>-5.9069659999999996E-3</v>
      </c>
      <c r="AA4404">
        <v>0.95553440000000001</v>
      </c>
      <c r="AB4404">
        <v>27</v>
      </c>
      <c r="AC4404">
        <v>12.642300000000001</v>
      </c>
      <c r="AD4404">
        <v>-1.1183239988110001</v>
      </c>
      <c r="AE4404">
        <v>-5.7998000000000003</v>
      </c>
      <c r="AF4404">
        <v>4.1623804461156597</v>
      </c>
      <c r="AG4404">
        <v>-1.1183239988110001</v>
      </c>
      <c r="AH4404">
        <v>13.178117017440099</v>
      </c>
      <c r="AI4404">
        <v>94.626384756056297</v>
      </c>
      <c r="AJ4404">
        <v>72.470992868007102</v>
      </c>
      <c r="AK4404">
        <v>13.865021733479701</v>
      </c>
      <c r="AL4404">
        <v>80.038807749648299</v>
      </c>
      <c r="AM4404">
        <v>79.275300622768697</v>
      </c>
      <c r="AN4404">
        <v>0.99999997145521402</v>
      </c>
    </row>
    <row r="4405" spans="1:40" x14ac:dyDescent="0.25">
      <c r="A4405" t="str">
        <f>"20190303170341928"</f>
        <v>20190303170341928</v>
      </c>
      <c r="B4405" t="str">
        <f>"1551603821919612"</f>
        <v>1551603821919612</v>
      </c>
      <c r="C4405" t="s">
        <v>40</v>
      </c>
      <c r="D4405">
        <v>4.5453479999999997</v>
      </c>
      <c r="E4405">
        <v>0.55525009999999997</v>
      </c>
      <c r="F4405" t="s">
        <v>57</v>
      </c>
      <c r="G4405">
        <v>-198.96719999999999</v>
      </c>
      <c r="H4405" s="1">
        <v>3.0165829999999998E-6</v>
      </c>
      <c r="I4405">
        <v>208.84030000000001</v>
      </c>
      <c r="J4405">
        <v>-211.40369999999999</v>
      </c>
      <c r="K4405">
        <v>1.1183110000000001</v>
      </c>
      <c r="L4405">
        <v>214.63399999999999</v>
      </c>
      <c r="M4405">
        <v>0.99164010000000002</v>
      </c>
      <c r="N4405">
        <v>-1.418028E-2</v>
      </c>
      <c r="O4405">
        <v>-0.12825329999999999</v>
      </c>
      <c r="P4405">
        <v>0.93851609999999996</v>
      </c>
      <c r="Q4405">
        <v>0.16018260000000001</v>
      </c>
      <c r="R4405">
        <v>-0.30582530000000002</v>
      </c>
      <c r="S4405">
        <v>2.8193510000000002</v>
      </c>
      <c r="T4405">
        <v>-0.24856529999999999</v>
      </c>
      <c r="U4405">
        <v>-1.295715</v>
      </c>
      <c r="V4405">
        <v>0.1843757</v>
      </c>
      <c r="W4405">
        <v>0.17237620000000001</v>
      </c>
      <c r="X4405">
        <v>0.96762190000000003</v>
      </c>
      <c r="Y4405">
        <v>0.29676069999999999</v>
      </c>
      <c r="Z4405">
        <v>-5.7386009999999899E-3</v>
      </c>
      <c r="AA4405">
        <v>0.95493459999999997</v>
      </c>
      <c r="AB4405">
        <v>27</v>
      </c>
      <c r="AC4405">
        <v>12.436499999999899</v>
      </c>
      <c r="AD4405">
        <v>-1.118307983417</v>
      </c>
      <c r="AE4405">
        <v>-5.7937000000000003</v>
      </c>
      <c r="AF4405">
        <v>4.1232655063108004</v>
      </c>
      <c r="AG4405">
        <v>-1.118307983417</v>
      </c>
      <c r="AH4405">
        <v>12.9905987551239</v>
      </c>
      <c r="AI4405">
        <v>94.690721977491904</v>
      </c>
      <c r="AJ4405">
        <v>72.3903635559804</v>
      </c>
      <c r="AK4405">
        <v>13.6750717437947</v>
      </c>
      <c r="AL4405">
        <v>80.073995296282106</v>
      </c>
      <c r="AM4405">
        <v>79.211887141429997</v>
      </c>
      <c r="AN4405">
        <v>1.00000004721826</v>
      </c>
    </row>
    <row r="4406" spans="1:40" x14ac:dyDescent="0.25">
      <c r="A4406" t="str">
        <f>"20190303170341950"</f>
        <v>20190303170341950</v>
      </c>
      <c r="B4406" t="str">
        <f>"1551603821940107"</f>
        <v>1551603821940107</v>
      </c>
      <c r="C4406" t="s">
        <v>40</v>
      </c>
      <c r="D4406">
        <v>4.5318589999999999</v>
      </c>
      <c r="E4406">
        <v>0.55496290000000004</v>
      </c>
      <c r="F4406" t="s">
        <v>57</v>
      </c>
      <c r="G4406">
        <v>-198.8432</v>
      </c>
      <c r="H4406" s="1">
        <v>3.0553440000000002E-6</v>
      </c>
      <c r="I4406">
        <v>208.77690000000001</v>
      </c>
      <c r="J4406">
        <v>-211.13749999999999</v>
      </c>
      <c r="K4406">
        <v>1.1182859999999999</v>
      </c>
      <c r="L4406">
        <v>214.5942</v>
      </c>
      <c r="M4406">
        <v>0.99101110000000003</v>
      </c>
      <c r="N4406">
        <v>-1.41814E-2</v>
      </c>
      <c r="O4406">
        <v>-0.1330259</v>
      </c>
      <c r="P4406">
        <v>0.9367335</v>
      </c>
      <c r="Q4406">
        <v>0.16061110000000001</v>
      </c>
      <c r="R4406">
        <v>-0.31102190000000002</v>
      </c>
      <c r="S4406">
        <v>2.811966</v>
      </c>
      <c r="T4406">
        <v>-0.25035990000000002</v>
      </c>
      <c r="U4406">
        <v>-1.311234</v>
      </c>
      <c r="V4406">
        <v>0.1851054</v>
      </c>
      <c r="W4406">
        <v>0.17278579999999999</v>
      </c>
      <c r="X4406">
        <v>0.96740950000000003</v>
      </c>
      <c r="Y4406">
        <v>0.29745050000000001</v>
      </c>
      <c r="Z4406">
        <v>-5.4605879999999997E-3</v>
      </c>
      <c r="AA4406">
        <v>0.95472159999999995</v>
      </c>
      <c r="AB4406">
        <v>27</v>
      </c>
      <c r="AC4406">
        <v>12.2942999999999</v>
      </c>
      <c r="AD4406">
        <v>-1.1182829446560001</v>
      </c>
      <c r="AE4406">
        <v>-5.8172999999999799</v>
      </c>
      <c r="AF4406">
        <v>4.1022323464307604</v>
      </c>
      <c r="AG4406">
        <v>-1.1182829446560001</v>
      </c>
      <c r="AH4406">
        <v>12.871926936656701</v>
      </c>
      <c r="AI4406">
        <v>94.731908152412998</v>
      </c>
      <c r="AJ4406">
        <v>72.323124772041595</v>
      </c>
      <c r="AK4406">
        <v>13.5560086320067</v>
      </c>
      <c r="AL4406">
        <v>80.050169386840906</v>
      </c>
      <c r="AM4406">
        <v>79.1678775218612</v>
      </c>
      <c r="AN4406">
        <v>1.0000000412405201</v>
      </c>
    </row>
    <row r="4407" spans="1:40" x14ac:dyDescent="0.25">
      <c r="A4407" t="str">
        <f>"20190303170341972"</f>
        <v>20190303170341972</v>
      </c>
      <c r="B4407" t="str">
        <f>"1551603821959628"</f>
        <v>1551603821959628</v>
      </c>
      <c r="C4407" t="s">
        <v>40</v>
      </c>
      <c r="D4407">
        <v>4.518224</v>
      </c>
      <c r="E4407">
        <v>0.55477769999999904</v>
      </c>
      <c r="F4407" t="s">
        <v>57</v>
      </c>
      <c r="G4407">
        <v>-198.5068</v>
      </c>
      <c r="H4407" s="1">
        <v>3.1548100000000001E-6</v>
      </c>
      <c r="I4407">
        <v>208.6267</v>
      </c>
      <c r="J4407">
        <v>-210.88079999999999</v>
      </c>
      <c r="K4407">
        <v>1.1182570000000001</v>
      </c>
      <c r="L4407">
        <v>214.55449999999999</v>
      </c>
      <c r="M4407">
        <v>0.99037620000000004</v>
      </c>
      <c r="N4407">
        <v>-1.4182749999999999E-2</v>
      </c>
      <c r="O4407">
        <v>-0.1376724</v>
      </c>
      <c r="P4407">
        <v>0.93503930000000002</v>
      </c>
      <c r="Q4407">
        <v>0.16063729999999901</v>
      </c>
      <c r="R4407">
        <v>-0.3160654</v>
      </c>
      <c r="S4407">
        <v>2.805161</v>
      </c>
      <c r="T4407">
        <v>-0.24835969999999999</v>
      </c>
      <c r="U4407">
        <v>-1.3253170000000001</v>
      </c>
      <c r="V4407">
        <v>0.18579519999999999</v>
      </c>
      <c r="W4407">
        <v>0.17279330000000001</v>
      </c>
      <c r="X4407">
        <v>0.96727589999999997</v>
      </c>
      <c r="Y4407">
        <v>0.29780570000000001</v>
      </c>
      <c r="Z4407">
        <v>-5.152668E-3</v>
      </c>
      <c r="AA4407">
        <v>0.95461260000000003</v>
      </c>
      <c r="AB4407">
        <v>27</v>
      </c>
      <c r="AC4407">
        <v>12.373999999999899</v>
      </c>
      <c r="AD4407">
        <v>-1.1182538451899999</v>
      </c>
      <c r="AE4407">
        <v>-5.9277999999999897</v>
      </c>
      <c r="AF4407">
        <v>4.1401123233925201</v>
      </c>
      <c r="AG4407">
        <v>-1.1182538451899999</v>
      </c>
      <c r="AH4407">
        <v>12.986064682905401</v>
      </c>
      <c r="AI4407">
        <v>94.690226558542093</v>
      </c>
      <c r="AJ4407">
        <v>72.3170981028386</v>
      </c>
      <c r="AK4407">
        <v>13.675850893498099</v>
      </c>
      <c r="AL4407">
        <v>80.049732930955102</v>
      </c>
      <c r="AM4407">
        <v>79.127005748372994</v>
      </c>
      <c r="AN4407">
        <v>1.00000002379436</v>
      </c>
    </row>
    <row r="4408" spans="1:40" x14ac:dyDescent="0.25">
      <c r="A4408" t="str">
        <f>"20190303170341995"</f>
        <v>20190303170341995</v>
      </c>
      <c r="B4408" t="str">
        <f>"1551603821989884"</f>
        <v>1551603821989884</v>
      </c>
      <c r="C4408" t="s">
        <v>40</v>
      </c>
      <c r="D4408">
        <v>4.5294249999999998</v>
      </c>
      <c r="E4408">
        <v>0.55446430000000002</v>
      </c>
      <c r="F4408" t="s">
        <v>57</v>
      </c>
      <c r="G4408">
        <v>-198.321</v>
      </c>
      <c r="H4408" s="1">
        <v>3.2076929999999998E-6</v>
      </c>
      <c r="I4408">
        <v>208.5514</v>
      </c>
      <c r="J4408">
        <v>-210.60849999999999</v>
      </c>
      <c r="K4408">
        <v>1.1182299999999901</v>
      </c>
      <c r="L4408">
        <v>214.511</v>
      </c>
      <c r="M4408">
        <v>0.98967150000000004</v>
      </c>
      <c r="N4408">
        <v>-1.4183869999999999E-2</v>
      </c>
      <c r="O4408">
        <v>-0.1426511</v>
      </c>
      <c r="P4408">
        <v>0.93322629999999995</v>
      </c>
      <c r="Q4408">
        <v>0.1607037</v>
      </c>
      <c r="R4408">
        <v>-0.32134600000000002</v>
      </c>
      <c r="S4408">
        <v>2.7990110000000001</v>
      </c>
      <c r="T4408">
        <v>-0.24920809999999999</v>
      </c>
      <c r="U4408">
        <v>-1.3378139999999901</v>
      </c>
      <c r="V4408">
        <v>0.18641489999999999</v>
      </c>
      <c r="W4408">
        <v>0.1728402</v>
      </c>
      <c r="X4408">
        <v>0.96714820000000001</v>
      </c>
      <c r="Y4408">
        <v>0.29729889999999998</v>
      </c>
      <c r="Z4408">
        <v>-4.7923260000000004E-3</v>
      </c>
      <c r="AA4408">
        <v>0.95477239999999997</v>
      </c>
      <c r="AB4408">
        <v>27</v>
      </c>
      <c r="AC4408">
        <v>12.2874999999999</v>
      </c>
      <c r="AD4408">
        <v>-1.11822679230699</v>
      </c>
      <c r="AE4408">
        <v>-5.9595999999999902</v>
      </c>
      <c r="AF4408">
        <v>4.1180271936967596</v>
      </c>
      <c r="AG4408">
        <v>-1.11822679230699</v>
      </c>
      <c r="AH4408">
        <v>12.9253783931815</v>
      </c>
      <c r="AI4408">
        <v>94.712322802774196</v>
      </c>
      <c r="AJ4408">
        <v>72.328114472629906</v>
      </c>
      <c r="AK4408">
        <v>13.6115386982509</v>
      </c>
      <c r="AL4408">
        <v>80.0470039201292</v>
      </c>
      <c r="AM4408">
        <v>79.090202916363495</v>
      </c>
      <c r="AN4408">
        <v>0.99999994522064295</v>
      </c>
    </row>
    <row r="4409" spans="1:40" x14ac:dyDescent="0.25">
      <c r="A4409" t="str">
        <f>"20190303170342017"</f>
        <v>20190303170342017</v>
      </c>
      <c r="B4409" t="str">
        <f>"1551603822010380"</f>
        <v>1551603822010380</v>
      </c>
      <c r="C4409" t="s">
        <v>40</v>
      </c>
      <c r="D4409">
        <v>4.5951899999999997</v>
      </c>
      <c r="E4409">
        <v>0.55447729999999995</v>
      </c>
      <c r="F4409" t="s">
        <v>57</v>
      </c>
      <c r="G4409">
        <v>-198.11259999999999</v>
      </c>
      <c r="H4409" s="1">
        <v>3.2671110000000001E-6</v>
      </c>
      <c r="I4409">
        <v>208.4667</v>
      </c>
      <c r="J4409">
        <v>-210.34989999999999</v>
      </c>
      <c r="K4409">
        <v>1.118207</v>
      </c>
      <c r="L4409">
        <v>214.4683</v>
      </c>
      <c r="M4409">
        <v>0.98897139999999994</v>
      </c>
      <c r="N4409">
        <v>-1.4184530000000001E-2</v>
      </c>
      <c r="O4409">
        <v>-0.1474261</v>
      </c>
      <c r="P4409">
        <v>0.93170379999999997</v>
      </c>
      <c r="Q4409">
        <v>0.160433399999999</v>
      </c>
      <c r="R4409">
        <v>-0.32586690000000001</v>
      </c>
      <c r="S4409">
        <v>2.792557</v>
      </c>
      <c r="T4409">
        <v>-0.24989939999999999</v>
      </c>
      <c r="U4409">
        <v>-1.350784</v>
      </c>
      <c r="V4409">
        <v>0.18643799999999999</v>
      </c>
      <c r="W4409">
        <v>0.17255980000000001</v>
      </c>
      <c r="X4409">
        <v>0.96719390000000005</v>
      </c>
      <c r="Y4409">
        <v>0.2971569</v>
      </c>
      <c r="Z4409">
        <v>-4.4606580000000002E-3</v>
      </c>
      <c r="AA4409">
        <v>0.95481819999999895</v>
      </c>
      <c r="AB4409">
        <v>27</v>
      </c>
      <c r="AC4409">
        <v>12.237299999999999</v>
      </c>
      <c r="AD4409">
        <v>-1.118203732889</v>
      </c>
      <c r="AE4409">
        <v>-6.0015999999999901</v>
      </c>
      <c r="AF4409">
        <v>4.1041050587017001</v>
      </c>
      <c r="AG4409">
        <v>-1.118203732889</v>
      </c>
      <c r="AH4409">
        <v>12.901600663939201</v>
      </c>
      <c r="AI4409">
        <v>94.721539799667596</v>
      </c>
      <c r="AJ4409">
        <v>72.353705719909897</v>
      </c>
      <c r="AK4409">
        <v>13.5847472414051</v>
      </c>
      <c r="AL4409">
        <v>80.063315550222498</v>
      </c>
      <c r="AM4409">
        <v>79.089386630237499</v>
      </c>
      <c r="AN4409">
        <v>1.0000000263086199</v>
      </c>
    </row>
    <row r="4410" spans="1:40" x14ac:dyDescent="0.25">
      <c r="A4410" t="str">
        <f>"20190303170342039"</f>
        <v>20190303170342039</v>
      </c>
      <c r="B4410" t="str">
        <f>"1551603822029901"</f>
        <v>1551603822029901</v>
      </c>
      <c r="C4410" t="s">
        <v>40</v>
      </c>
      <c r="D4410">
        <v>4.5105829999999996</v>
      </c>
      <c r="E4410">
        <v>0.5775055</v>
      </c>
      <c r="F4410" t="s">
        <v>57</v>
      </c>
      <c r="G4410">
        <v>-197.93190000000001</v>
      </c>
      <c r="H4410" s="1">
        <v>3.3205170000000001E-6</v>
      </c>
      <c r="I4410">
        <v>208.386</v>
      </c>
      <c r="J4410">
        <v>-210.08420000000001</v>
      </c>
      <c r="K4410">
        <v>1.1181950000000001</v>
      </c>
      <c r="L4410">
        <v>214.4229</v>
      </c>
      <c r="M4410">
        <v>0.98822180000000004</v>
      </c>
      <c r="N4410">
        <v>-1.4184830000000001E-2</v>
      </c>
      <c r="O4410">
        <v>-0.15237039999999999</v>
      </c>
      <c r="P4410">
        <v>0.9293247</v>
      </c>
      <c r="Q4410">
        <v>0.16154669999999999</v>
      </c>
      <c r="R4410">
        <v>-0.33205180000000001</v>
      </c>
      <c r="S4410">
        <v>2.7858580000000002</v>
      </c>
      <c r="T4410">
        <v>-0.250859</v>
      </c>
      <c r="U4410">
        <v>-1.3645020000000001</v>
      </c>
      <c r="V4410">
        <v>0.18807940000000001</v>
      </c>
      <c r="W4410">
        <v>0.17364280000000001</v>
      </c>
      <c r="X4410">
        <v>0.96668209999999999</v>
      </c>
      <c r="Y4410">
        <v>0.29708709999999899</v>
      </c>
      <c r="Z4410">
        <v>-4.1181409999999996E-3</v>
      </c>
      <c r="AA4410">
        <v>0.95484150000000001</v>
      </c>
      <c r="AB4410">
        <v>27</v>
      </c>
      <c r="AC4410">
        <v>12.152299999999901</v>
      </c>
      <c r="AD4410">
        <v>-1.118191679483</v>
      </c>
      <c r="AE4410">
        <v>-6.0369000000000002</v>
      </c>
      <c r="AF4410">
        <v>4.0868057999222103</v>
      </c>
      <c r="AG4410">
        <v>-1.118191679483</v>
      </c>
      <c r="AH4410">
        <v>12.843095975628501</v>
      </c>
      <c r="AI4410">
        <v>94.7427599354736</v>
      </c>
      <c r="AJ4410">
        <v>72.348392402195799</v>
      </c>
      <c r="AK4410">
        <v>13.5239583154322</v>
      </c>
      <c r="AL4410">
        <v>80.000312694676893</v>
      </c>
      <c r="AM4410">
        <v>78.989980812505095</v>
      </c>
      <c r="AN4410">
        <v>0.99999998257830403</v>
      </c>
    </row>
    <row r="4411" spans="1:40" x14ac:dyDescent="0.25">
      <c r="A4411" t="str">
        <f>"20190303170342063"</f>
        <v>20190303170342063</v>
      </c>
      <c r="B4411" t="str">
        <f>"1551603822050396"</f>
        <v>1551603822050396</v>
      </c>
      <c r="C4411" t="s">
        <v>40</v>
      </c>
      <c r="D4411">
        <v>4.5422190000000002</v>
      </c>
      <c r="E4411">
        <v>0.58388109999999904</v>
      </c>
      <c r="F4411" t="s">
        <v>57</v>
      </c>
      <c r="G4411">
        <v>-196.04509999999999</v>
      </c>
      <c r="H4411" s="1">
        <v>4.2138089999999998E-6</v>
      </c>
      <c r="I4411">
        <v>206.35079999999999</v>
      </c>
      <c r="J4411">
        <v>-209.8228</v>
      </c>
      <c r="K4411">
        <v>1.11818</v>
      </c>
      <c r="L4411">
        <v>214.37700000000001</v>
      </c>
      <c r="M4411">
        <v>0.98745320000000003</v>
      </c>
      <c r="N4411">
        <v>-1.418474E-2</v>
      </c>
      <c r="O4411">
        <v>-0.15727430000000001</v>
      </c>
      <c r="P4411">
        <v>0.92663430000000002</v>
      </c>
      <c r="Q4411">
        <v>0.16286039999999999</v>
      </c>
      <c r="R4411">
        <v>-0.33885969999999999</v>
      </c>
      <c r="S4411">
        <v>2.7091059999999998</v>
      </c>
      <c r="T4411">
        <v>-0.21577550000000001</v>
      </c>
      <c r="U4411">
        <v>-1.557663</v>
      </c>
      <c r="V4411">
        <v>0.1904305</v>
      </c>
      <c r="W4411">
        <v>0.17491950000000001</v>
      </c>
      <c r="X4411">
        <v>0.96599139999999994</v>
      </c>
      <c r="Y4411">
        <v>0.35511959999999998</v>
      </c>
      <c r="Z4411">
        <v>-6.458236E-3</v>
      </c>
      <c r="AA4411">
        <v>0.93479860000000004</v>
      </c>
      <c r="AB4411">
        <v>27</v>
      </c>
      <c r="AC4411">
        <v>13.777699999999999</v>
      </c>
      <c r="AD4411">
        <v>-1.118175786191</v>
      </c>
      <c r="AE4411">
        <v>-8.02620000000001</v>
      </c>
      <c r="AF4411">
        <v>5.7310137119330902</v>
      </c>
      <c r="AG4411">
        <v>-1.118175786191</v>
      </c>
      <c r="AH4411">
        <v>14.795880422438</v>
      </c>
      <c r="AI4411">
        <v>94.031064207365006</v>
      </c>
      <c r="AJ4411">
        <v>68.826697569073403</v>
      </c>
      <c r="AK4411">
        <v>15.906379623606201</v>
      </c>
      <c r="AL4411">
        <v>79.926026416839093</v>
      </c>
      <c r="AM4411">
        <v>78.848005245886597</v>
      </c>
      <c r="AN4411">
        <v>0.99999999584222998</v>
      </c>
    </row>
    <row r="4412" spans="1:40" x14ac:dyDescent="0.25">
      <c r="A4412" t="str">
        <f>"20190303170342085"</f>
        <v>20190303170342085</v>
      </c>
      <c r="B4412" t="str">
        <f>"1551603822069916"</f>
        <v>1551603822069916</v>
      </c>
      <c r="C4412" t="s">
        <v>40</v>
      </c>
      <c r="D4412">
        <v>4.4949919999999999</v>
      </c>
      <c r="E4412">
        <v>0.58670900000000004</v>
      </c>
      <c r="F4412" t="s">
        <v>57</v>
      </c>
      <c r="G4412">
        <v>-194.3955</v>
      </c>
      <c r="H4412" s="1">
        <v>5.0535190000000003E-6</v>
      </c>
      <c r="I4412">
        <v>205.01009999999999</v>
      </c>
      <c r="J4412">
        <v>-209.55279999999999</v>
      </c>
      <c r="K4412">
        <v>1.118166</v>
      </c>
      <c r="L4412">
        <v>214.32820000000001</v>
      </c>
      <c r="M4412">
        <v>0.986626</v>
      </c>
      <c r="N4412">
        <v>-1.418461E-2</v>
      </c>
      <c r="O4412">
        <v>-0.16238279999999999</v>
      </c>
      <c r="P4412">
        <v>0.9243498</v>
      </c>
      <c r="Q4412">
        <v>0.1625462</v>
      </c>
      <c r="R4412">
        <v>-0.34519090000000002</v>
      </c>
      <c r="S4412">
        <v>2.6771850000000001</v>
      </c>
      <c r="T4412">
        <v>-0.1940424</v>
      </c>
      <c r="U4412">
        <v>-1.6254879999999901</v>
      </c>
      <c r="V4412">
        <v>0.19203780000000001</v>
      </c>
      <c r="W4412">
        <v>0.17458009999999999</v>
      </c>
      <c r="X4412">
        <v>0.9657346</v>
      </c>
      <c r="Y4412">
        <v>0.3726025</v>
      </c>
      <c r="Z4412">
        <v>-6.7628000000000002E-3</v>
      </c>
      <c r="AA4412">
        <v>0.92796639999999997</v>
      </c>
      <c r="AB4412">
        <v>26</v>
      </c>
      <c r="AC4412">
        <v>15.1572999999999</v>
      </c>
      <c r="AD4412">
        <v>-1.1181609464810001</v>
      </c>
      <c r="AE4412">
        <v>-9.31810000000001</v>
      </c>
      <c r="AF4412">
        <v>6.7063848685189802</v>
      </c>
      <c r="AG4412">
        <v>-1.1181609464810001</v>
      </c>
      <c r="AH4412">
        <v>16.404551237673498</v>
      </c>
      <c r="AI4412">
        <v>93.610174109001804</v>
      </c>
      <c r="AJ4412">
        <v>67.764644663294206</v>
      </c>
      <c r="AK4412">
        <v>17.7576795560792</v>
      </c>
      <c r="AL4412">
        <v>79.945776775446006</v>
      </c>
      <c r="AM4412">
        <v>78.753353255492698</v>
      </c>
      <c r="AN4412">
        <v>1.000000022791</v>
      </c>
    </row>
    <row r="4413" spans="1:40" x14ac:dyDescent="0.25">
      <c r="A4413" t="str">
        <f>"20190303170342107"</f>
        <v>20190303170342107</v>
      </c>
      <c r="B4413" t="str">
        <f>"1551603822100172"</f>
        <v>1551603822100172</v>
      </c>
      <c r="C4413" t="s">
        <v>40</v>
      </c>
      <c r="D4413">
        <v>4.539974</v>
      </c>
      <c r="E4413">
        <v>0.58897690000000003</v>
      </c>
      <c r="F4413" t="s">
        <v>57</v>
      </c>
      <c r="G4413">
        <v>-193.42359999999999</v>
      </c>
      <c r="H4413" s="1">
        <v>5.5137990000000002E-6</v>
      </c>
      <c r="I4413">
        <v>204.2176</v>
      </c>
      <c r="J4413">
        <v>-209.29810000000001</v>
      </c>
      <c r="K4413">
        <v>1.1181460000000001</v>
      </c>
      <c r="L4413">
        <v>214.2807</v>
      </c>
      <c r="M4413">
        <v>0.98581339999999995</v>
      </c>
      <c r="N4413">
        <v>-1.4184830000000001E-2</v>
      </c>
      <c r="O4413">
        <v>-0.167245</v>
      </c>
      <c r="P4413">
        <v>0.92236479999999998</v>
      </c>
      <c r="Q4413">
        <v>0.16128299999999901</v>
      </c>
      <c r="R4413">
        <v>-0.3510433</v>
      </c>
      <c r="S4413">
        <v>2.6561430000000001</v>
      </c>
      <c r="T4413">
        <v>-0.18413760000000001</v>
      </c>
      <c r="U4413">
        <v>-1.6649929999999999</v>
      </c>
      <c r="V4413">
        <v>0.19336149999999999</v>
      </c>
      <c r="W4413">
        <v>0.173295799999999</v>
      </c>
      <c r="X4413">
        <v>0.96570180000000005</v>
      </c>
      <c r="Y4413">
        <v>0.38128020000000001</v>
      </c>
      <c r="Z4413">
        <v>-6.7936280000000003E-3</v>
      </c>
      <c r="AA4413">
        <v>0.9244346</v>
      </c>
      <c r="AB4413">
        <v>26</v>
      </c>
      <c r="AC4413">
        <v>15.874499999999999</v>
      </c>
      <c r="AD4413">
        <v>-1.11814048620099</v>
      </c>
      <c r="AE4413">
        <v>-10.063099999999899</v>
      </c>
      <c r="AF4413">
        <v>7.2405137318551596</v>
      </c>
      <c r="AG4413">
        <v>-1.11814048620099</v>
      </c>
      <c r="AH4413">
        <v>17.272910241414198</v>
      </c>
      <c r="AI4413">
        <v>93.4165467622352</v>
      </c>
      <c r="AJ4413">
        <v>67.257387727425694</v>
      </c>
      <c r="AK4413">
        <v>18.762428026671198</v>
      </c>
      <c r="AL4413">
        <v>80.020500921733998</v>
      </c>
      <c r="AM4413">
        <v>78.677452317685606</v>
      </c>
      <c r="AN4413">
        <v>1.0000000352515599</v>
      </c>
    </row>
    <row r="4414" spans="1:40" x14ac:dyDescent="0.25">
      <c r="A4414" t="str">
        <f>"20190303170342129"</f>
        <v>20190303170342129</v>
      </c>
      <c r="B4414" t="str">
        <f>"1551603822119692"</f>
        <v>1551603822119692</v>
      </c>
      <c r="C4414" t="s">
        <v>40</v>
      </c>
      <c r="D4414">
        <v>4.5445310000000001</v>
      </c>
      <c r="E4414">
        <v>0.58969780000000005</v>
      </c>
      <c r="F4414" t="s">
        <v>57</v>
      </c>
      <c r="G4414">
        <v>-192.78639999999999</v>
      </c>
      <c r="H4414" s="1">
        <v>5.8082779999999998E-6</v>
      </c>
      <c r="I4414">
        <v>203.63910000000001</v>
      </c>
      <c r="J4414">
        <v>-209.03919999999999</v>
      </c>
      <c r="K4414">
        <v>1.1181049999999999</v>
      </c>
      <c r="L4414">
        <v>214.23099999999999</v>
      </c>
      <c r="M4414">
        <v>0.98495350000000004</v>
      </c>
      <c r="N4414">
        <v>-1.418554E-2</v>
      </c>
      <c r="O4414">
        <v>-0.17223749999999999</v>
      </c>
      <c r="P4414">
        <v>0.92032389999999997</v>
      </c>
      <c r="Q4414">
        <v>0.15976750000000001</v>
      </c>
      <c r="R4414">
        <v>-0.35704209999999997</v>
      </c>
      <c r="S4414">
        <v>2.636917</v>
      </c>
      <c r="T4414">
        <v>-0.17856620000000001</v>
      </c>
      <c r="U4414">
        <v>-1.6994479999999901</v>
      </c>
      <c r="V4414">
        <v>0.19471260000000001</v>
      </c>
      <c r="W4414">
        <v>0.17175660000000001</v>
      </c>
      <c r="X4414">
        <v>0.96570529999999999</v>
      </c>
      <c r="Y4414">
        <v>0.3882179</v>
      </c>
      <c r="Z4414">
        <v>-6.7912579999999997E-3</v>
      </c>
      <c r="AA4414">
        <v>0.92154259999999999</v>
      </c>
      <c r="AB4414">
        <v>26</v>
      </c>
      <c r="AC4414">
        <v>16.252800000000001</v>
      </c>
      <c r="AD4414">
        <v>-1.118099191722</v>
      </c>
      <c r="AE4414">
        <v>-10.5918999999999</v>
      </c>
      <c r="AF4414">
        <v>7.6086792191307797</v>
      </c>
      <c r="AG4414">
        <v>-1.118099191722</v>
      </c>
      <c r="AH4414">
        <v>17.7753190061662</v>
      </c>
      <c r="AI4414">
        <v>93.309547245065204</v>
      </c>
      <c r="AJ4414">
        <v>66.826779564167097</v>
      </c>
      <c r="AK4414">
        <v>19.3676046798033</v>
      </c>
      <c r="AL4414">
        <v>80.110033045058699</v>
      </c>
      <c r="AM4414">
        <v>78.600441555464897</v>
      </c>
      <c r="AN4414">
        <v>1.0000000263452</v>
      </c>
    </row>
    <row r="4415" spans="1:40" x14ac:dyDescent="0.25">
      <c r="A4415" t="str">
        <f>"20190303170342151"</f>
        <v>20190303170342151</v>
      </c>
      <c r="B4415" t="str">
        <f>"1551603822140188"</f>
        <v>1551603822140188</v>
      </c>
      <c r="C4415" t="s">
        <v>40</v>
      </c>
      <c r="D4415">
        <v>4.5588300000000004</v>
      </c>
      <c r="E4415">
        <v>0.59035959999999998</v>
      </c>
      <c r="F4415" t="s">
        <v>57</v>
      </c>
      <c r="G4415">
        <v>-192.57390000000001</v>
      </c>
      <c r="H4415" s="1">
        <v>5.9152729999999901E-6</v>
      </c>
      <c r="I4415">
        <v>203.41300000000001</v>
      </c>
      <c r="J4415">
        <v>-208.77529999999999</v>
      </c>
      <c r="K4415">
        <v>1.118061</v>
      </c>
      <c r="L4415">
        <v>214.179</v>
      </c>
      <c r="M4415">
        <v>0.98403870000000004</v>
      </c>
      <c r="N4415">
        <v>-1.418669E-2</v>
      </c>
      <c r="O4415">
        <v>-0.17738789999999999</v>
      </c>
      <c r="P4415">
        <v>0.91780410000000001</v>
      </c>
      <c r="Q4415">
        <v>0.15864449999999999</v>
      </c>
      <c r="R4415">
        <v>-0.36396050000000002</v>
      </c>
      <c r="S4415">
        <v>2.6222530000000002</v>
      </c>
      <c r="T4415">
        <v>-0.17806739999999999</v>
      </c>
      <c r="U4415">
        <v>-1.7228699999999999</v>
      </c>
      <c r="V4415">
        <v>0.19690640000000001</v>
      </c>
      <c r="W4415">
        <v>0.17059389999999999</v>
      </c>
      <c r="X4415">
        <v>0.96546650000000001</v>
      </c>
      <c r="Y4415">
        <v>0.39151069999999999</v>
      </c>
      <c r="Z4415">
        <v>-6.684939E-3</v>
      </c>
      <c r="AA4415">
        <v>0.92014929999999995</v>
      </c>
      <c r="AB4415">
        <v>26</v>
      </c>
      <c r="AC4415">
        <v>16.2013999999999</v>
      </c>
      <c r="AD4415">
        <v>-1.1180550847270001</v>
      </c>
      <c r="AE4415">
        <v>-10.766</v>
      </c>
      <c r="AF4415">
        <v>7.6955828053701998</v>
      </c>
      <c r="AG4415">
        <v>-1.1180550847270001</v>
      </c>
      <c r="AH4415">
        <v>17.795571455648201</v>
      </c>
      <c r="AI4415">
        <v>93.300398937847902</v>
      </c>
      <c r="AJ4415">
        <v>66.614234952773998</v>
      </c>
      <c r="AK4415">
        <v>19.420463571188801</v>
      </c>
      <c r="AL4415">
        <v>80.177648417067104</v>
      </c>
      <c r="AM4415">
        <v>78.4726480396087</v>
      </c>
      <c r="AN4415">
        <v>0.99999998585020899</v>
      </c>
    </row>
    <row r="4416" spans="1:40" x14ac:dyDescent="0.25">
      <c r="A4416" t="str">
        <f>"20190303170342174"</f>
        <v>20190303170342174</v>
      </c>
      <c r="B4416" t="str">
        <f>"1551603822159708"</f>
        <v>1551603822159708</v>
      </c>
      <c r="C4416" t="s">
        <v>40</v>
      </c>
      <c r="D4416">
        <v>4.5374990000000004</v>
      </c>
      <c r="E4416">
        <v>0.59079959999999998</v>
      </c>
      <c r="F4416" t="s">
        <v>57</v>
      </c>
      <c r="G4416">
        <v>-192.50370000000001</v>
      </c>
      <c r="H4416" s="1">
        <v>5.9751840000000004E-6</v>
      </c>
      <c r="I4416">
        <v>203.27</v>
      </c>
      <c r="J4416">
        <v>-208.5197</v>
      </c>
      <c r="K4416">
        <v>1.1180209999999999</v>
      </c>
      <c r="L4416">
        <v>214.12719999999999</v>
      </c>
      <c r="M4416">
        <v>0.98311280000000001</v>
      </c>
      <c r="N4416">
        <v>-1.4188600000000001E-2</v>
      </c>
      <c r="O4416">
        <v>-0.18245</v>
      </c>
      <c r="P4416">
        <v>0.91517389999999998</v>
      </c>
      <c r="Q4416">
        <v>0.1585675</v>
      </c>
      <c r="R4416">
        <v>-0.37055830000000001</v>
      </c>
      <c r="S4416">
        <v>2.6066129999999998</v>
      </c>
      <c r="T4416">
        <v>-0.1791065</v>
      </c>
      <c r="U4416">
        <v>-1.7475590000000001</v>
      </c>
      <c r="V4416">
        <v>0.1989071</v>
      </c>
      <c r="W4416">
        <v>0.1704745</v>
      </c>
      <c r="X4416">
        <v>0.96507739999999997</v>
      </c>
      <c r="Y4416">
        <v>0.39533099999999999</v>
      </c>
      <c r="Z4416">
        <v>-6.6143740000000001E-3</v>
      </c>
      <c r="AA4416">
        <v>0.91851490000000002</v>
      </c>
      <c r="AB4416">
        <v>26</v>
      </c>
      <c r="AC4416">
        <v>16.015999999999899</v>
      </c>
      <c r="AD4416">
        <v>-1.1180150248159999</v>
      </c>
      <c r="AE4416">
        <v>-10.857199999999899</v>
      </c>
      <c r="AF4416">
        <v>7.7267163735181299</v>
      </c>
      <c r="AG4416">
        <v>-1.1180150248159999</v>
      </c>
      <c r="AH4416">
        <v>17.6692232629124</v>
      </c>
      <c r="AI4416">
        <v>93.317945436918606</v>
      </c>
      <c r="AJ4416">
        <v>66.380336316468501</v>
      </c>
      <c r="AK4416">
        <v>19.317182875024798</v>
      </c>
      <c r="AL4416">
        <v>80.184591262397205</v>
      </c>
      <c r="AM4416">
        <v>78.354138651419504</v>
      </c>
      <c r="AN4416">
        <v>0.99999998878570895</v>
      </c>
    </row>
    <row r="4417" spans="1:40" x14ac:dyDescent="0.25">
      <c r="A4417" t="str">
        <f>"20190303170342196"</f>
        <v>20190303170342196</v>
      </c>
      <c r="B4417" t="str">
        <f>"1551603822189964"</f>
        <v>1551603822189964</v>
      </c>
      <c r="C4417" t="s">
        <v>40</v>
      </c>
      <c r="D4417">
        <v>4.5591520000000001</v>
      </c>
      <c r="E4417">
        <v>0.59139649999999999</v>
      </c>
      <c r="F4417" t="s">
        <v>57</v>
      </c>
      <c r="G4417">
        <v>-192.0703</v>
      </c>
      <c r="H4417" s="1">
        <v>6.2216599999999998E-6</v>
      </c>
      <c r="I4417">
        <v>202.899</v>
      </c>
      <c r="J4417">
        <v>-208.25360000000001</v>
      </c>
      <c r="K4417">
        <v>1.117966</v>
      </c>
      <c r="L4417">
        <v>214.07159999999999</v>
      </c>
      <c r="M4417">
        <v>0.98210109999999995</v>
      </c>
      <c r="N4417">
        <v>-1.419169E-2</v>
      </c>
      <c r="O4417">
        <v>-0.18782009999999999</v>
      </c>
      <c r="P4417">
        <v>0.91272830000000005</v>
      </c>
      <c r="Q4417">
        <v>0.15779589999999999</v>
      </c>
      <c r="R4417">
        <v>-0.37686599999999998</v>
      </c>
      <c r="S4417">
        <v>2.5921780000000001</v>
      </c>
      <c r="T4417">
        <v>-0.1761829</v>
      </c>
      <c r="U4417">
        <v>-1.7693939999999999</v>
      </c>
      <c r="V4417">
        <v>0.20028840000000001</v>
      </c>
      <c r="W4417">
        <v>0.16966349999999999</v>
      </c>
      <c r="X4417">
        <v>0.96493459999999998</v>
      </c>
      <c r="Y4417">
        <v>0.39798529999999999</v>
      </c>
      <c r="Z4417">
        <v>-6.4610609999999997E-3</v>
      </c>
      <c r="AA4417">
        <v>0.91736910000000005</v>
      </c>
      <c r="AB4417">
        <v>26</v>
      </c>
      <c r="AC4417">
        <v>16.183299999999999</v>
      </c>
      <c r="AD4417">
        <v>-1.1179597783399999</v>
      </c>
      <c r="AE4417">
        <v>-11.1725999999999</v>
      </c>
      <c r="AF4417">
        <v>7.90831293740208</v>
      </c>
      <c r="AG4417">
        <v>-1.1179597783399999</v>
      </c>
      <c r="AH4417">
        <v>17.935918536741202</v>
      </c>
      <c r="AI4417">
        <v>93.264210073739306</v>
      </c>
      <c r="AJ4417">
        <v>66.206337500994294</v>
      </c>
      <c r="AK4417">
        <v>19.6338590536472</v>
      </c>
      <c r="AL4417">
        <v>80.231744829731994</v>
      </c>
      <c r="AM4417">
        <v>78.273808977297094</v>
      </c>
      <c r="AN4417">
        <v>0.99999996434198402</v>
      </c>
    </row>
    <row r="4418" spans="1:40" x14ac:dyDescent="0.25">
      <c r="A4418" t="str">
        <f>"20190303170342218"</f>
        <v>20190303170342218</v>
      </c>
      <c r="B4418" t="str">
        <f>"1551603822210460"</f>
        <v>1551603822210460</v>
      </c>
      <c r="C4418" t="s">
        <v>40</v>
      </c>
      <c r="D4418">
        <v>4.5553610000000004</v>
      </c>
      <c r="E4418">
        <v>0.5917424</v>
      </c>
      <c r="F4418" t="s">
        <v>57</v>
      </c>
      <c r="G4418">
        <v>-191.94980000000001</v>
      </c>
      <c r="H4418" s="1">
        <v>6.3112980000000004E-6</v>
      </c>
      <c r="I4418">
        <v>202.7362</v>
      </c>
      <c r="J4418">
        <v>-208.00829999999999</v>
      </c>
      <c r="K4418">
        <v>1.117899</v>
      </c>
      <c r="L4418">
        <v>214.0188</v>
      </c>
      <c r="M4418">
        <v>0.98112140000000003</v>
      </c>
      <c r="N4418">
        <v>-1.419545E-2</v>
      </c>
      <c r="O4418">
        <v>-0.1928714</v>
      </c>
      <c r="P4418">
        <v>0.91043039999999997</v>
      </c>
      <c r="Q4418">
        <v>0.15700819999999999</v>
      </c>
      <c r="R4418">
        <v>-0.38270739999999998</v>
      </c>
      <c r="S4418">
        <v>2.5774840000000001</v>
      </c>
      <c r="T4418">
        <v>-0.17673920000000001</v>
      </c>
      <c r="U4418">
        <v>-1.7920229999999999</v>
      </c>
      <c r="V4418">
        <v>0.20150119999999999</v>
      </c>
      <c r="W4418">
        <v>0.16883679999999901</v>
      </c>
      <c r="X4418">
        <v>0.96482710000000005</v>
      </c>
      <c r="Y4418">
        <v>0.4011401</v>
      </c>
      <c r="Z4418">
        <v>-6.3624669999999897E-3</v>
      </c>
      <c r="AA4418">
        <v>0.91599459999999999</v>
      </c>
      <c r="AB4418">
        <v>26</v>
      </c>
      <c r="AC4418">
        <v>16.058499999999899</v>
      </c>
      <c r="AD4418">
        <v>-1.117892688702</v>
      </c>
      <c r="AE4418">
        <v>-11.2826</v>
      </c>
      <c r="AF4418">
        <v>7.9473928064365698</v>
      </c>
      <c r="AG4418">
        <v>-1.117892688702</v>
      </c>
      <c r="AH4418">
        <v>17.8752391809813</v>
      </c>
      <c r="AI4418">
        <v>93.270618035778696</v>
      </c>
      <c r="AJ4418">
        <v>66.029904408115897</v>
      </c>
      <c r="AK4418">
        <v>19.5942571244878</v>
      </c>
      <c r="AL4418">
        <v>80.279804620211806</v>
      </c>
      <c r="AM4418">
        <v>78.203509859994298</v>
      </c>
      <c r="AN4418">
        <v>0.99999996576504402</v>
      </c>
    </row>
    <row r="4419" spans="1:40" x14ac:dyDescent="0.25">
      <c r="A4419" t="str">
        <f>"20190303170342240"</f>
        <v>20190303170342240</v>
      </c>
      <c r="B4419" t="str">
        <f>"1551603822229979"</f>
        <v>1551603822229979</v>
      </c>
      <c r="C4419" t="s">
        <v>40</v>
      </c>
      <c r="D4419">
        <v>4.5653819999999996</v>
      </c>
      <c r="E4419">
        <v>0.59200810000000004</v>
      </c>
      <c r="F4419" t="s">
        <v>57</v>
      </c>
      <c r="G4419">
        <v>-191.95840000000001</v>
      </c>
      <c r="H4419" s="1">
        <v>6.3282230000000002E-6</v>
      </c>
      <c r="I4419">
        <v>202.68180000000001</v>
      </c>
      <c r="J4419">
        <v>-207.7518</v>
      </c>
      <c r="K4419">
        <v>1.117828</v>
      </c>
      <c r="L4419">
        <v>213.9622</v>
      </c>
      <c r="M4419">
        <v>0.98004970000000002</v>
      </c>
      <c r="N4419">
        <v>-1.419984E-2</v>
      </c>
      <c r="O4419">
        <v>-0.1982447</v>
      </c>
      <c r="P4419">
        <v>0.90773839999999995</v>
      </c>
      <c r="Q4419">
        <v>0.15636659999999999</v>
      </c>
      <c r="R4419">
        <v>-0.38930809999999999</v>
      </c>
      <c r="S4419">
        <v>2.5644840000000002</v>
      </c>
      <c r="T4419">
        <v>-0.17861869999999999</v>
      </c>
      <c r="U4419">
        <v>-1.811447</v>
      </c>
      <c r="V4419">
        <v>0.20322090000000001</v>
      </c>
      <c r="W4419">
        <v>0.16814960000000001</v>
      </c>
      <c r="X4419">
        <v>0.96458639999999995</v>
      </c>
      <c r="Y4419">
        <v>0.4029295</v>
      </c>
      <c r="Z4419">
        <v>-6.197518E-3</v>
      </c>
      <c r="AA4419">
        <v>0.91521010000000003</v>
      </c>
      <c r="AB4419">
        <v>26</v>
      </c>
      <c r="AC4419">
        <v>15.793399999999901</v>
      </c>
      <c r="AD4419">
        <v>-1.117821671777</v>
      </c>
      <c r="AE4419">
        <v>-11.280399999999901</v>
      </c>
      <c r="AF4419">
        <v>7.8989911280514997</v>
      </c>
      <c r="AG4419">
        <v>-1.117821671777</v>
      </c>
      <c r="AH4419">
        <v>17.657807801744902</v>
      </c>
      <c r="AI4419">
        <v>93.307235046396997</v>
      </c>
      <c r="AJ4419">
        <v>65.899264616185107</v>
      </c>
      <c r="AK4419">
        <v>19.376319632331999</v>
      </c>
      <c r="AL4419">
        <v>80.319749446728494</v>
      </c>
      <c r="AM4419">
        <v>78.102805978189807</v>
      </c>
      <c r="AN4419">
        <v>0.99999997262096396</v>
      </c>
    </row>
    <row r="4420" spans="1:40" x14ac:dyDescent="0.25">
      <c r="A4420" t="str">
        <f>"20190303170342263"</f>
        <v>20190303170342263</v>
      </c>
      <c r="B4420" t="str">
        <f>"1551603822249500"</f>
        <v>1551603822249500</v>
      </c>
      <c r="C4420" t="s">
        <v>40</v>
      </c>
      <c r="D4420">
        <v>4.565429</v>
      </c>
      <c r="E4420">
        <v>0.59226939999999995</v>
      </c>
      <c r="F4420" t="s">
        <v>57</v>
      </c>
      <c r="G4420">
        <v>-191.75559999999999</v>
      </c>
      <c r="H4420" s="1">
        <v>6.4570960000000003E-6</v>
      </c>
      <c r="I4420">
        <v>202.4699</v>
      </c>
      <c r="J4420">
        <v>-207.49350000000001</v>
      </c>
      <c r="K4420">
        <v>1.117769</v>
      </c>
      <c r="L4420">
        <v>213.90350000000001</v>
      </c>
      <c r="M4420">
        <v>0.97891799999999995</v>
      </c>
      <c r="N4420">
        <v>-1.4204140000000001E-2</v>
      </c>
      <c r="O4420">
        <v>-0.2037592</v>
      </c>
      <c r="P4420">
        <v>0.90490020000000004</v>
      </c>
      <c r="Q4420">
        <v>0.1564006</v>
      </c>
      <c r="R4420">
        <v>-0.39584639999999999</v>
      </c>
      <c r="S4420">
        <v>2.5499269999999998</v>
      </c>
      <c r="T4420">
        <v>-0.1781896</v>
      </c>
      <c r="U4420">
        <v>-1.831955</v>
      </c>
      <c r="V4420">
        <v>0.20477899999999999</v>
      </c>
      <c r="W4420">
        <v>0.1681375</v>
      </c>
      <c r="X4420">
        <v>0.96425899999999998</v>
      </c>
      <c r="Y4420">
        <v>0.40510930000000001</v>
      </c>
      <c r="Z4420">
        <v>-6.033231E-3</v>
      </c>
      <c r="AA4420">
        <v>0.91424830000000001</v>
      </c>
      <c r="AB4420">
        <v>26</v>
      </c>
      <c r="AC4420">
        <v>15.7379</v>
      </c>
      <c r="AD4420">
        <v>-1.1177625429039999</v>
      </c>
      <c r="AE4420">
        <v>-11.4336</v>
      </c>
      <c r="AF4420">
        <v>7.9603379025842198</v>
      </c>
      <c r="AG4420">
        <v>-1.1177625429039999</v>
      </c>
      <c r="AH4420">
        <v>17.679232470912499</v>
      </c>
      <c r="AI4420">
        <v>93.299458983774898</v>
      </c>
      <c r="AJ4420">
        <v>65.759634018271697</v>
      </c>
      <c r="AK4420">
        <v>19.420907120580299</v>
      </c>
      <c r="AL4420">
        <v>80.320453381763201</v>
      </c>
      <c r="AM4420">
        <v>78.010266398793505</v>
      </c>
      <c r="AN4420">
        <v>1.0000000384141201</v>
      </c>
    </row>
    <row r="4421" spans="1:40" x14ac:dyDescent="0.25">
      <c r="A4421" t="str">
        <f>"20190303170342285"</f>
        <v>20190303170342285</v>
      </c>
      <c r="B4421" t="str">
        <f>"1551603822279757"</f>
        <v>1551603822279757</v>
      </c>
      <c r="C4421" t="s">
        <v>40</v>
      </c>
      <c r="D4421">
        <v>4.5519100000000003</v>
      </c>
      <c r="E4421">
        <v>0.59246209999999999</v>
      </c>
      <c r="F4421" t="s">
        <v>57</v>
      </c>
      <c r="G4421">
        <v>-191.4794</v>
      </c>
      <c r="H4421" s="1">
        <v>6.6250099999999999E-6</v>
      </c>
      <c r="I4421">
        <v>202.20269999999999</v>
      </c>
      <c r="J4421">
        <v>-207.22819999999999</v>
      </c>
      <c r="K4421">
        <v>1.117712</v>
      </c>
      <c r="L4421">
        <v>213.8415</v>
      </c>
      <c r="M4421">
        <v>0.97769620000000002</v>
      </c>
      <c r="N4421">
        <v>-1.4209039999999999E-2</v>
      </c>
      <c r="O4421">
        <v>-0.20954320000000001</v>
      </c>
      <c r="P4421">
        <v>0.90210259999999998</v>
      </c>
      <c r="Q4421">
        <v>0.1563957</v>
      </c>
      <c r="R4421">
        <v>-0.4021825</v>
      </c>
      <c r="S4421">
        <v>2.5354920000000001</v>
      </c>
      <c r="T4421">
        <v>-0.1769744</v>
      </c>
      <c r="U4421">
        <v>-1.8525700000000001</v>
      </c>
      <c r="V4421">
        <v>0.20587030000000001</v>
      </c>
      <c r="W4421">
        <v>0.16808999999999999</v>
      </c>
      <c r="X4421">
        <v>0.96403490000000003</v>
      </c>
      <c r="Y4421">
        <v>0.4070377</v>
      </c>
      <c r="Z4421">
        <v>-5.8480859999999997E-3</v>
      </c>
      <c r="AA4421">
        <v>0.91339269999999995</v>
      </c>
      <c r="AB4421">
        <v>26</v>
      </c>
      <c r="AC4421">
        <v>15.7487999999999</v>
      </c>
      <c r="AD4421">
        <v>-1.1177053749899999</v>
      </c>
      <c r="AE4421">
        <v>-11.6388</v>
      </c>
      <c r="AF4421">
        <v>8.0537355740790701</v>
      </c>
      <c r="AG4421">
        <v>-1.1177053749899999</v>
      </c>
      <c r="AH4421">
        <v>17.780251285446301</v>
      </c>
      <c r="AI4421">
        <v>93.277279567279194</v>
      </c>
      <c r="AJ4421">
        <v>65.6313940980735</v>
      </c>
      <c r="AK4421">
        <v>19.551195814478501</v>
      </c>
      <c r="AL4421">
        <v>80.323214420537496</v>
      </c>
      <c r="AM4421">
        <v>77.945514899748105</v>
      </c>
      <c r="AN4421">
        <v>1.0000000584700399</v>
      </c>
    </row>
    <row r="4422" spans="1:40" x14ac:dyDescent="0.25">
      <c r="A4422" t="str">
        <f>"20190303170342307"</f>
        <v>20190303170342307</v>
      </c>
      <c r="B4422" t="str">
        <f>"1551603822300252"</f>
        <v>1551603822300252</v>
      </c>
      <c r="C4422" t="s">
        <v>40</v>
      </c>
      <c r="D4422">
        <v>4.5617460000000003</v>
      </c>
      <c r="E4422">
        <v>0.59259770000000001</v>
      </c>
      <c r="F4422" t="s">
        <v>57</v>
      </c>
      <c r="G4422">
        <v>-191.20230000000001</v>
      </c>
      <c r="H4422" s="1">
        <v>6.7920499999999996E-6</v>
      </c>
      <c r="I4422">
        <v>201.93879999999999</v>
      </c>
      <c r="J4422">
        <v>-206.9821</v>
      </c>
      <c r="K4422">
        <v>1.117645</v>
      </c>
      <c r="L4422">
        <v>213.7825</v>
      </c>
      <c r="M4422">
        <v>0.97650440000000005</v>
      </c>
      <c r="N4422">
        <v>-1.4214859999999999E-2</v>
      </c>
      <c r="O4422">
        <v>-0.21502840000000001</v>
      </c>
      <c r="P4422">
        <v>0.899124699999999</v>
      </c>
      <c r="Q4422">
        <v>0.1571446</v>
      </c>
      <c r="R4422">
        <v>-0.4085105</v>
      </c>
      <c r="S4422">
        <v>2.5211939999999999</v>
      </c>
      <c r="T4422">
        <v>-0.17583750000000001</v>
      </c>
      <c r="U4422">
        <v>-1.8725430000000001</v>
      </c>
      <c r="V4422">
        <v>0.20729839999999999</v>
      </c>
      <c r="W4422">
        <v>0.16878940000000001</v>
      </c>
      <c r="X4422">
        <v>0.96360650000000003</v>
      </c>
      <c r="Y4422">
        <v>0.40905999999999998</v>
      </c>
      <c r="Z4422">
        <v>-5.6836550000000001E-3</v>
      </c>
      <c r="AA4422">
        <v>0.91248980000000002</v>
      </c>
      <c r="AB4422">
        <v>26</v>
      </c>
      <c r="AC4422">
        <v>15.7797999999999</v>
      </c>
      <c r="AD4422">
        <v>-1.11763820795</v>
      </c>
      <c r="AE4422">
        <v>-11.8437</v>
      </c>
      <c r="AF4422">
        <v>8.1470030346109201</v>
      </c>
      <c r="AG4422">
        <v>-1.11763820795</v>
      </c>
      <c r="AH4422">
        <v>17.900150901036699</v>
      </c>
      <c r="AI4422">
        <v>93.252519610919805</v>
      </c>
      <c r="AJ4422">
        <v>65.5280096132079</v>
      </c>
      <c r="AK4422">
        <v>19.698684623337499</v>
      </c>
      <c r="AL4422">
        <v>80.282560198471899</v>
      </c>
      <c r="AM4422">
        <v>77.859129456168603</v>
      </c>
      <c r="AN4422">
        <v>0.99999998751858399</v>
      </c>
    </row>
    <row r="4423" spans="1:40" x14ac:dyDescent="0.25">
      <c r="A4423" t="str">
        <f>"20190303170342330"</f>
        <v>20190303170342330</v>
      </c>
      <c r="B4423" t="str">
        <f>"1551603822319772"</f>
        <v>1551603822319772</v>
      </c>
      <c r="C4423" t="s">
        <v>40</v>
      </c>
      <c r="D4423">
        <v>4.5635620000000001</v>
      </c>
      <c r="E4423">
        <v>0.59270290000000003</v>
      </c>
      <c r="F4423" t="s">
        <v>57</v>
      </c>
      <c r="G4423">
        <v>-190.7405</v>
      </c>
      <c r="H4423" s="1">
        <v>7.0607939999999996E-6</v>
      </c>
      <c r="I4423">
        <v>201.52619999999999</v>
      </c>
      <c r="J4423">
        <v>-206.72319999999999</v>
      </c>
      <c r="K4423">
        <v>1.1175550000000001</v>
      </c>
      <c r="L4423">
        <v>213.71860000000001</v>
      </c>
      <c r="M4423">
        <v>0.97518490000000002</v>
      </c>
      <c r="N4423">
        <v>-1.42224E-2</v>
      </c>
      <c r="O4423">
        <v>-0.22093470000000001</v>
      </c>
      <c r="P4423">
        <v>0.89598940000000005</v>
      </c>
      <c r="Q4423">
        <v>0.15790270000000001</v>
      </c>
      <c r="R4423">
        <v>-0.41505360000000002</v>
      </c>
      <c r="S4423">
        <v>2.5071409999999998</v>
      </c>
      <c r="T4423">
        <v>-0.1725236</v>
      </c>
      <c r="U4423">
        <v>-1.891937</v>
      </c>
      <c r="V4423">
        <v>0.20856569999999999</v>
      </c>
      <c r="W4423">
        <v>0.16949339999999999</v>
      </c>
      <c r="X4423">
        <v>0.96320939999999999</v>
      </c>
      <c r="Y4423">
        <v>0.41051359999999998</v>
      </c>
      <c r="Z4423">
        <v>-5.4897610000000001E-3</v>
      </c>
      <c r="AA4423">
        <v>0.91183789999999998</v>
      </c>
      <c r="AB4423">
        <v>26</v>
      </c>
      <c r="AC4423">
        <v>15.9826999999999</v>
      </c>
      <c r="AD4423">
        <v>-1.1175479392059999</v>
      </c>
      <c r="AE4423">
        <v>-12.192399999999999</v>
      </c>
      <c r="AF4423">
        <v>8.3338004284506404</v>
      </c>
      <c r="AG4423">
        <v>-1.1175479392059999</v>
      </c>
      <c r="AH4423">
        <v>18.225333818551899</v>
      </c>
      <c r="AI4423">
        <v>93.191789532545002</v>
      </c>
      <c r="AJ4423">
        <v>65.427058155620102</v>
      </c>
      <c r="AK4423">
        <v>20.0714706928844</v>
      </c>
      <c r="AL4423">
        <v>80.241634482156897</v>
      </c>
      <c r="AM4423">
        <v>77.782244989620594</v>
      </c>
      <c r="AN4423">
        <v>1.0000000060542</v>
      </c>
    </row>
    <row r="4424" spans="1:40" x14ac:dyDescent="0.25">
      <c r="A4424" t="str">
        <f>"20190303170342352"</f>
        <v>20190303170342352</v>
      </c>
      <c r="B4424" t="str">
        <f>"1551603822340268"</f>
        <v>1551603822340268</v>
      </c>
      <c r="C4424" t="s">
        <v>40</v>
      </c>
      <c r="D4424">
        <v>4.5679429999999996</v>
      </c>
      <c r="E4424">
        <v>0.59276399999999996</v>
      </c>
      <c r="F4424" t="s">
        <v>57</v>
      </c>
      <c r="G4424">
        <v>-190.29820000000001</v>
      </c>
      <c r="H4424" s="1">
        <v>7.3190999999999999E-6</v>
      </c>
      <c r="I4424">
        <v>201.1284</v>
      </c>
      <c r="J4424">
        <v>-206.46420000000001</v>
      </c>
      <c r="K4424">
        <v>1.1174649999999999</v>
      </c>
      <c r="L4424">
        <v>213.65289999999999</v>
      </c>
      <c r="M4424">
        <v>0.97379309999999997</v>
      </c>
      <c r="N4424">
        <v>-1.4231189999999999E-2</v>
      </c>
      <c r="O4424">
        <v>-0.22698989999999999</v>
      </c>
      <c r="P4424">
        <v>0.89307409999999998</v>
      </c>
      <c r="Q4424">
        <v>0.15888099999999999</v>
      </c>
      <c r="R4424">
        <v>-0.42092200000000002</v>
      </c>
      <c r="S4424">
        <v>2.4929350000000001</v>
      </c>
      <c r="T4424">
        <v>-0.169617299999999</v>
      </c>
      <c r="U4424">
        <v>-1.9109039999999999</v>
      </c>
      <c r="V4424">
        <v>0.20898920000000001</v>
      </c>
      <c r="W4424">
        <v>0.1704233</v>
      </c>
      <c r="X4424">
        <v>0.96295350000000002</v>
      </c>
      <c r="Y4424">
        <v>0.411744</v>
      </c>
      <c r="Z4424">
        <v>-5.290065E-3</v>
      </c>
      <c r="AA4424">
        <v>0.91128419999999999</v>
      </c>
      <c r="AB4424">
        <v>26</v>
      </c>
      <c r="AC4424">
        <v>16.165999999999901</v>
      </c>
      <c r="AD4424">
        <v>-1.1174576809000001</v>
      </c>
      <c r="AE4424">
        <v>-12.5244999999999</v>
      </c>
      <c r="AF4424">
        <v>8.5022299636273395</v>
      </c>
      <c r="AG4424">
        <v>-1.1174576809000001</v>
      </c>
      <c r="AH4424">
        <v>18.531822894136699</v>
      </c>
      <c r="AI4424">
        <v>93.137045937801801</v>
      </c>
      <c r="AJ4424">
        <v>65.354778014574805</v>
      </c>
      <c r="AK4424">
        <v>20.419722960967199</v>
      </c>
      <c r="AL4424">
        <v>80.187568631899893</v>
      </c>
      <c r="AM4424">
        <v>77.755028784344901</v>
      </c>
      <c r="AN4424">
        <v>1.0000000150308801</v>
      </c>
    </row>
    <row r="4425" spans="1:40" x14ac:dyDescent="0.25">
      <c r="A4425" t="str">
        <f>"20190303170342376"</f>
        <v>20190303170342376</v>
      </c>
      <c r="B4425" t="str">
        <f>"1551603822369548"</f>
        <v>1551603822369548</v>
      </c>
      <c r="C4425" t="s">
        <v>40</v>
      </c>
      <c r="D4425">
        <v>4.571377</v>
      </c>
      <c r="E4425">
        <v>0.59288169999999996</v>
      </c>
      <c r="F4425" t="s">
        <v>57</v>
      </c>
      <c r="G4425">
        <v>-189.72980000000001</v>
      </c>
      <c r="H4425" s="1">
        <v>7.5318399999999999E-6</v>
      </c>
      <c r="I4425">
        <v>200.63980000000001</v>
      </c>
      <c r="J4425">
        <v>-206.20570000000001</v>
      </c>
      <c r="K4425">
        <v>1.117372</v>
      </c>
      <c r="L4425">
        <v>213.5855</v>
      </c>
      <c r="M4425">
        <v>0.97232929999999995</v>
      </c>
      <c r="N4425">
        <v>-1.424098E-2</v>
      </c>
      <c r="O4425">
        <v>-0.23318050000000001</v>
      </c>
      <c r="P4425">
        <v>0.89029380000000002</v>
      </c>
      <c r="Q4425">
        <v>0.15968360000000001</v>
      </c>
      <c r="R4425">
        <v>-0.42647230000000003</v>
      </c>
      <c r="S4425">
        <v>2.479752</v>
      </c>
      <c r="T4425">
        <v>-0.1655886</v>
      </c>
      <c r="U4425">
        <v>-1.928329</v>
      </c>
      <c r="V4425">
        <v>0.2089396</v>
      </c>
      <c r="W4425">
        <v>0.1711839</v>
      </c>
      <c r="X4425">
        <v>0.96282939999999995</v>
      </c>
      <c r="Y4425">
        <v>0.41230899999999998</v>
      </c>
      <c r="Z4425">
        <v>-5.078366E-3</v>
      </c>
      <c r="AA4425">
        <v>0.91102989999999995</v>
      </c>
      <c r="AB4425">
        <v>26</v>
      </c>
      <c r="AC4425">
        <v>16.4758999999999</v>
      </c>
      <c r="AD4425">
        <v>-1.1173644681599999</v>
      </c>
      <c r="AE4425">
        <v>-12.945699999999899</v>
      </c>
      <c r="AF4425">
        <v>8.72170916110775</v>
      </c>
      <c r="AG4425">
        <v>-1.1173644681599999</v>
      </c>
      <c r="AH4425">
        <v>18.9866222023578</v>
      </c>
      <c r="AI4425">
        <v>93.0611316406508</v>
      </c>
      <c r="AJ4425">
        <v>65.327806462068907</v>
      </c>
      <c r="AK4425">
        <v>20.923874801305899</v>
      </c>
      <c r="AL4425">
        <v>80.143340054017202</v>
      </c>
      <c r="AM4425">
        <v>77.7563169565951</v>
      </c>
      <c r="AN4425">
        <v>1.0000000687858599</v>
      </c>
    </row>
    <row r="4426" spans="1:40" x14ac:dyDescent="0.25">
      <c r="A4426" t="str">
        <f>"20190303170342407"</f>
        <v>20190303170342407</v>
      </c>
      <c r="B4426" t="str">
        <f>"1551603822399804"</f>
        <v>1551603822399804</v>
      </c>
      <c r="C4426" t="s">
        <v>40</v>
      </c>
      <c r="D4426">
        <v>4.5646820000000004</v>
      </c>
      <c r="E4426">
        <v>0.59296099999999996</v>
      </c>
      <c r="F4426" t="s">
        <v>57</v>
      </c>
      <c r="G4426">
        <v>-189.23609999999999</v>
      </c>
      <c r="H4426" s="1">
        <v>7.5761920000000002E-6</v>
      </c>
      <c r="I4426">
        <v>200.2047</v>
      </c>
      <c r="J4426">
        <v>-205.83860000000001</v>
      </c>
      <c r="K4426">
        <v>1.117251</v>
      </c>
      <c r="L4426">
        <v>213.48609999999999</v>
      </c>
      <c r="M4426">
        <v>0.97011239999999999</v>
      </c>
      <c r="N4426">
        <v>-1.425508E-2</v>
      </c>
      <c r="O4426">
        <v>-0.2422368</v>
      </c>
      <c r="P4426">
        <v>0.8854225</v>
      </c>
      <c r="Q4426">
        <v>0.15909579999999901</v>
      </c>
      <c r="R4426">
        <v>-0.4367106</v>
      </c>
      <c r="S4426">
        <v>2.4669949999999998</v>
      </c>
      <c r="T4426">
        <v>-0.16243929999999901</v>
      </c>
      <c r="U4426">
        <v>-1.9452670000000001</v>
      </c>
      <c r="V4426">
        <v>0.21109059999999999</v>
      </c>
      <c r="W4426">
        <v>0.17051629999999901</v>
      </c>
      <c r="X4426">
        <v>0.96247850000000001</v>
      </c>
      <c r="Y4426">
        <v>0.40998709999999999</v>
      </c>
      <c r="Z4426">
        <v>-4.6523999999999897E-3</v>
      </c>
      <c r="AA4426">
        <v>0.91207950000000004</v>
      </c>
      <c r="AB4426">
        <v>26</v>
      </c>
      <c r="AC4426">
        <v>16.602499999999999</v>
      </c>
      <c r="AD4426">
        <v>-1.117243423808</v>
      </c>
      <c r="AE4426">
        <v>-13.2813999999999</v>
      </c>
      <c r="AF4426">
        <v>8.8392071620278294</v>
      </c>
      <c r="AG4426">
        <v>-1.117243423808</v>
      </c>
      <c r="AH4426">
        <v>19.272281797226501</v>
      </c>
      <c r="AI4426">
        <v>93.016329573836501</v>
      </c>
      <c r="AJ4426">
        <v>65.361504232029006</v>
      </c>
      <c r="AK4426">
        <v>21.232066828102099</v>
      </c>
      <c r="AL4426">
        <v>80.182160391380606</v>
      </c>
      <c r="AM4426">
        <v>77.629759723605105</v>
      </c>
      <c r="AN4426">
        <v>0.99999995646814899</v>
      </c>
    </row>
    <row r="4427" spans="1:40" x14ac:dyDescent="0.25">
      <c r="A4427" t="str">
        <f>"20190303170342430"</f>
        <v>20190303170342430</v>
      </c>
      <c r="B4427" t="str">
        <f>"1551603822420300"</f>
        <v>1551603822420300</v>
      </c>
      <c r="C4427" t="s">
        <v>40</v>
      </c>
      <c r="D4427">
        <v>4.550605</v>
      </c>
      <c r="E4427">
        <v>0.59306000000000003</v>
      </c>
      <c r="F4427" t="s">
        <v>57</v>
      </c>
      <c r="G4427">
        <v>-189.09030000000001</v>
      </c>
      <c r="H4427" s="1">
        <v>7.6251439999999996E-6</v>
      </c>
      <c r="I4427">
        <v>199.9495</v>
      </c>
      <c r="J4427">
        <v>-205.5909</v>
      </c>
      <c r="K4427">
        <v>1.117183</v>
      </c>
      <c r="L4427">
        <v>213.4169</v>
      </c>
      <c r="M4427">
        <v>0.96853420000000001</v>
      </c>
      <c r="N4427">
        <v>-1.4263390000000001E-2</v>
      </c>
      <c r="O4427">
        <v>-0.24847179999999999</v>
      </c>
      <c r="P4427">
        <v>0.88146689999999905</v>
      </c>
      <c r="Q4427">
        <v>0.15906909999999999</v>
      </c>
      <c r="R4427">
        <v>-0.44464979999999998</v>
      </c>
      <c r="S4427">
        <v>2.443451</v>
      </c>
      <c r="T4427">
        <v>-0.1629977</v>
      </c>
      <c r="U4427">
        <v>-1.9748840000000001</v>
      </c>
      <c r="V4427">
        <v>0.21358070000000001</v>
      </c>
      <c r="W4427">
        <v>0.170428</v>
      </c>
      <c r="X4427">
        <v>0.96194469999999999</v>
      </c>
      <c r="Y4427">
        <v>0.41509049999999997</v>
      </c>
      <c r="Z4427">
        <v>-4.5811250000000001E-3</v>
      </c>
      <c r="AA4427">
        <v>0.90976860000000004</v>
      </c>
      <c r="AB4427">
        <v>26</v>
      </c>
      <c r="AC4427">
        <v>16.500599999999899</v>
      </c>
      <c r="AD4427">
        <v>-1.117175374856</v>
      </c>
      <c r="AE4427">
        <v>-13.4673999999999</v>
      </c>
      <c r="AF4427">
        <v>8.9200714403668506</v>
      </c>
      <c r="AG4427">
        <v>-1.117175374856</v>
      </c>
      <c r="AH4427">
        <v>19.2765943746844</v>
      </c>
      <c r="AI4427">
        <v>93.010795180069906</v>
      </c>
      <c r="AJ4427">
        <v>65.168082466013402</v>
      </c>
      <c r="AK4427">
        <v>21.269763656551198</v>
      </c>
      <c r="AL4427">
        <v>80.1872953158977</v>
      </c>
      <c r="AM4427">
        <v>77.481681243768506</v>
      </c>
      <c r="AN4427">
        <v>1.0000000122272801</v>
      </c>
    </row>
    <row r="4428" spans="1:40" x14ac:dyDescent="0.25">
      <c r="A4428" t="str">
        <f>"20190303170342452"</f>
        <v>20190303170342452</v>
      </c>
      <c r="B4428" t="str">
        <f>"1551603822439821"</f>
        <v>1551603822439821</v>
      </c>
      <c r="C4428" t="s">
        <v>40</v>
      </c>
      <c r="D4428">
        <v>4.5357079999999996</v>
      </c>
      <c r="E4428">
        <v>0.59313090000000002</v>
      </c>
      <c r="F4428" t="s">
        <v>57</v>
      </c>
      <c r="G4428">
        <v>-189.04310000000001</v>
      </c>
      <c r="H4428" s="1">
        <v>7.6540050000000003E-6</v>
      </c>
      <c r="I4428">
        <v>199.79310000000001</v>
      </c>
      <c r="J4428">
        <v>-205.33869999999999</v>
      </c>
      <c r="K4428">
        <v>1.1171249999999999</v>
      </c>
      <c r="L4428">
        <v>213.34460000000001</v>
      </c>
      <c r="M4428">
        <v>0.96685480000000001</v>
      </c>
      <c r="N4428">
        <v>-1.4270980000000001E-2</v>
      </c>
      <c r="O4428">
        <v>-0.25492779999999998</v>
      </c>
      <c r="P4428">
        <v>0.87748419999999905</v>
      </c>
      <c r="Q4428">
        <v>0.15886749999999999</v>
      </c>
      <c r="R4428">
        <v>-0.45252910000000002</v>
      </c>
      <c r="S4428">
        <v>2.4256129999999998</v>
      </c>
      <c r="T4428">
        <v>-0.16375899999999999</v>
      </c>
      <c r="U4428">
        <v>-1.997009</v>
      </c>
      <c r="V4428">
        <v>0.21579880000000001</v>
      </c>
      <c r="W4428">
        <v>0.17017189999999999</v>
      </c>
      <c r="X4428">
        <v>0.96149490000000004</v>
      </c>
      <c r="Y4428">
        <v>0.41724689999999998</v>
      </c>
      <c r="Z4428">
        <v>-4.3868229999999998E-3</v>
      </c>
      <c r="AA4428">
        <v>0.90878250000000005</v>
      </c>
      <c r="AB4428">
        <v>26</v>
      </c>
      <c r="AC4428">
        <v>16.295599999999901</v>
      </c>
      <c r="AD4428">
        <v>-1.1171173459949999</v>
      </c>
      <c r="AE4428">
        <v>-13.551500000000001</v>
      </c>
      <c r="AF4428">
        <v>8.9242488876924497</v>
      </c>
      <c r="AG4428">
        <v>-1.1171173459949999</v>
      </c>
      <c r="AH4428">
        <v>19.158861499338901</v>
      </c>
      <c r="AI4428">
        <v>93.025571878939104</v>
      </c>
      <c r="AJ4428">
        <v>65.023770434240305</v>
      </c>
      <c r="AK4428">
        <v>21.1648799506412</v>
      </c>
      <c r="AL4428">
        <v>80.202186366857504</v>
      </c>
      <c r="AM4428">
        <v>77.350109550991107</v>
      </c>
      <c r="AN4428">
        <v>1.00000002017853</v>
      </c>
    </row>
    <row r="4429" spans="1:40" x14ac:dyDescent="0.25">
      <c r="A4429" t="str">
        <f>"20190303170342475"</f>
        <v>20190303170342475</v>
      </c>
      <c r="B4429" t="str">
        <f>"1551603822470076"</f>
        <v>1551603822470076</v>
      </c>
      <c r="C4429" t="s">
        <v>40</v>
      </c>
      <c r="D4429">
        <v>4.5691379999999997</v>
      </c>
      <c r="E4429">
        <v>0.59321899999999905</v>
      </c>
      <c r="F4429" t="s">
        <v>42</v>
      </c>
      <c r="G4429">
        <v>-188.95179999999999</v>
      </c>
      <c r="H4429" s="1">
        <v>-4.4613550000000004E-6</v>
      </c>
      <c r="I4429">
        <v>199.59889999999999</v>
      </c>
      <c r="J4429">
        <v>-205.08510000000001</v>
      </c>
      <c r="K4429">
        <v>1.117065</v>
      </c>
      <c r="L4429">
        <v>213.26990000000001</v>
      </c>
      <c r="M4429">
        <v>0.96508930000000004</v>
      </c>
      <c r="N4429">
        <v>-1.427879E-2</v>
      </c>
      <c r="O4429">
        <v>-0.2615324</v>
      </c>
      <c r="P4429">
        <v>0.87387420000000005</v>
      </c>
      <c r="Q4429">
        <v>0.15736020000000001</v>
      </c>
      <c r="R4429">
        <v>-0.45998060000000002</v>
      </c>
      <c r="S4429">
        <v>2.4072420000000001</v>
      </c>
      <c r="T4429">
        <v>-0.16410640000000001</v>
      </c>
      <c r="U4429">
        <v>-2.0192410000000001</v>
      </c>
      <c r="V4429">
        <v>0.21734629999999999</v>
      </c>
      <c r="W4429">
        <v>0.16862339999999901</v>
      </c>
      <c r="X4429">
        <v>0.96141909999999997</v>
      </c>
      <c r="Y4429">
        <v>0.41937380000000002</v>
      </c>
      <c r="Z4429">
        <v>-4.1882990000000004E-3</v>
      </c>
      <c r="AA4429">
        <v>0.90780400000000006</v>
      </c>
      <c r="AB4429">
        <v>26</v>
      </c>
      <c r="AC4429">
        <v>16.133299999999998</v>
      </c>
      <c r="AD4429">
        <v>-1.1170694613550001</v>
      </c>
      <c r="AE4429">
        <v>-13.670999999999999</v>
      </c>
      <c r="AF4429">
        <v>8.9502926115320793</v>
      </c>
      <c r="AG4429">
        <v>-1.1170694613550001</v>
      </c>
      <c r="AH4429">
        <v>19.0941507065106</v>
      </c>
      <c r="AI4429">
        <v>93.032258964081393</v>
      </c>
      <c r="AJ4429">
        <v>64.885387836002806</v>
      </c>
      <c r="AK4429">
        <v>21.117342948782099</v>
      </c>
      <c r="AL4429">
        <v>80.292209491474594</v>
      </c>
      <c r="AM4429">
        <v>77.261374791665204</v>
      </c>
      <c r="AN4429">
        <v>0.99999997549802899</v>
      </c>
    </row>
    <row r="4430" spans="1:40" x14ac:dyDescent="0.25">
      <c r="A4430" t="str">
        <f>"20190303170342497"</f>
        <v>20190303170342497</v>
      </c>
      <c r="B4430" t="str">
        <f>"1551603822489596"</f>
        <v>1551603822489596</v>
      </c>
      <c r="C4430" t="s">
        <v>40</v>
      </c>
      <c r="D4430">
        <v>4.5374349999999897</v>
      </c>
      <c r="E4430">
        <v>0.59327700000000005</v>
      </c>
      <c r="F4430" t="s">
        <v>57</v>
      </c>
      <c r="G4430">
        <v>-189.29230000000001</v>
      </c>
      <c r="H4430" s="1">
        <v>7.7222319999999996E-6</v>
      </c>
      <c r="I4430">
        <v>199.78579999999999</v>
      </c>
      <c r="J4430">
        <v>-204.84059999999999</v>
      </c>
      <c r="K4430">
        <v>1.116989</v>
      </c>
      <c r="L4430">
        <v>213.19589999999999</v>
      </c>
      <c r="M4430">
        <v>0.96331279999999997</v>
      </c>
      <c r="N4430">
        <v>-1.4287269999999999E-2</v>
      </c>
      <c r="O4430">
        <v>-0.26800109999999999</v>
      </c>
      <c r="P4430">
        <v>0.86996119999999899</v>
      </c>
      <c r="Q4430">
        <v>0.15556039999999999</v>
      </c>
      <c r="R4430">
        <v>-0.467941</v>
      </c>
      <c r="S4430">
        <v>2.389526</v>
      </c>
      <c r="T4430">
        <v>-0.169016</v>
      </c>
      <c r="U4430">
        <v>-2.0402070000000001</v>
      </c>
      <c r="V4430">
        <v>0.21959629999999999</v>
      </c>
      <c r="W4430">
        <v>0.1667727</v>
      </c>
      <c r="X4430">
        <v>0.96123060000000005</v>
      </c>
      <c r="Y4430">
        <v>0.42119250000000003</v>
      </c>
      <c r="Z4430">
        <v>-3.9022969999999999E-3</v>
      </c>
      <c r="AA4430">
        <v>0.90696290000000002</v>
      </c>
      <c r="AB4430">
        <v>26</v>
      </c>
      <c r="AC4430">
        <v>15.5482999999999</v>
      </c>
      <c r="AD4430">
        <v>-1.1169812777679999</v>
      </c>
      <c r="AE4430">
        <v>-13.4101</v>
      </c>
      <c r="AF4430">
        <v>8.7262267643412894</v>
      </c>
      <c r="AG4430">
        <v>-1.1169812777679999</v>
      </c>
      <c r="AH4430">
        <v>18.5188855095709</v>
      </c>
      <c r="AI4430">
        <v>93.123066840803503</v>
      </c>
      <c r="AJ4430">
        <v>64.769862691008896</v>
      </c>
      <c r="AK4430">
        <v>20.502287707331199</v>
      </c>
      <c r="AL4430">
        <v>80.399769960544504</v>
      </c>
      <c r="AM4430">
        <v>77.131430972471193</v>
      </c>
      <c r="AN4430">
        <v>0.99999996740766905</v>
      </c>
    </row>
    <row r="4431" spans="1:40" x14ac:dyDescent="0.25">
      <c r="A4431" t="str">
        <f>"20190303170342519"</f>
        <v>20190303170342519</v>
      </c>
      <c r="B4431" t="str">
        <f>"1551603822510093"</f>
        <v>1551603822510093</v>
      </c>
      <c r="C4431" t="s">
        <v>40</v>
      </c>
      <c r="D4431">
        <v>4.5612309999999896</v>
      </c>
      <c r="E4431">
        <v>0.59330609999999995</v>
      </c>
      <c r="F4431" t="s">
        <v>57</v>
      </c>
      <c r="G4431">
        <v>-189.70590000000001</v>
      </c>
      <c r="H4431" s="1">
        <v>7.7423909999999993E-6</v>
      </c>
      <c r="I4431">
        <v>200.0292</v>
      </c>
      <c r="J4431">
        <v>-204.5891</v>
      </c>
      <c r="K4431">
        <v>1.1169279999999999</v>
      </c>
      <c r="L4431">
        <v>213.11770000000001</v>
      </c>
      <c r="M4431">
        <v>0.96141370000000004</v>
      </c>
      <c r="N4431">
        <v>-1.42957E-2</v>
      </c>
      <c r="O4431">
        <v>-0.27473540000000002</v>
      </c>
      <c r="P4431">
        <v>0.86576839999999999</v>
      </c>
      <c r="Q4431">
        <v>0.15412729999999999</v>
      </c>
      <c r="R4431">
        <v>-0.4761205</v>
      </c>
      <c r="S4431">
        <v>2.3704679999999998</v>
      </c>
      <c r="T4431">
        <v>-0.17494699999999999</v>
      </c>
      <c r="U4431">
        <v>-2.0622250000000002</v>
      </c>
      <c r="V4431">
        <v>0.22187029999999999</v>
      </c>
      <c r="W4431">
        <v>0.16528779999999901</v>
      </c>
      <c r="X4431">
        <v>0.96096490000000001</v>
      </c>
      <c r="Y4431">
        <v>0.42322569999999998</v>
      </c>
      <c r="Z4431">
        <v>-3.573564E-3</v>
      </c>
      <c r="AA4431">
        <v>0.90601719999999997</v>
      </c>
      <c r="AB4431">
        <v>26</v>
      </c>
      <c r="AC4431">
        <v>14.883199999999899</v>
      </c>
      <c r="AD4431">
        <v>-1.116920257609</v>
      </c>
      <c r="AE4431">
        <v>-13.0885</v>
      </c>
      <c r="AF4431">
        <v>8.4684943496477896</v>
      </c>
      <c r="AG4431">
        <v>-1.116920257609</v>
      </c>
      <c r="AH4431">
        <v>17.8499269355035</v>
      </c>
      <c r="AI4431">
        <v>93.235667330124699</v>
      </c>
      <c r="AJ4431">
        <v>64.619056058445594</v>
      </c>
      <c r="AK4431">
        <v>19.788451152495199</v>
      </c>
      <c r="AL4431">
        <v>80.486046365843293</v>
      </c>
      <c r="AM4431">
        <v>76.999203453213497</v>
      </c>
      <c r="AN4431">
        <v>1.0000000129414699</v>
      </c>
    </row>
    <row r="4432" spans="1:40" x14ac:dyDescent="0.25">
      <c r="A4432" t="str">
        <f>"20190303170342543"</f>
        <v>20190303170342543</v>
      </c>
      <c r="B4432" t="str">
        <f>"1551603822529612"</f>
        <v>1551603822529612</v>
      </c>
      <c r="C4432" t="s">
        <v>40</v>
      </c>
      <c r="D4432">
        <v>4.5638399999999999</v>
      </c>
      <c r="E4432">
        <v>0.59338089999999999</v>
      </c>
      <c r="F4432" t="s">
        <v>57</v>
      </c>
      <c r="G4432">
        <v>-189.98400000000001</v>
      </c>
      <c r="H4432" s="1">
        <v>7.7422800000000007E-6</v>
      </c>
      <c r="I4432">
        <v>200.1677</v>
      </c>
      <c r="J4432">
        <v>-204.3409</v>
      </c>
      <c r="K4432">
        <v>1.1168739999999999</v>
      </c>
      <c r="L4432">
        <v>213.0386</v>
      </c>
      <c r="M4432">
        <v>0.95946399999999998</v>
      </c>
      <c r="N4432">
        <v>-1.430318E-2</v>
      </c>
      <c r="O4432">
        <v>-0.281468</v>
      </c>
      <c r="P4432">
        <v>0.86072130000000002</v>
      </c>
      <c r="Q4432">
        <v>0.15347649999999999</v>
      </c>
      <c r="R4432">
        <v>-0.4853904</v>
      </c>
      <c r="S4432">
        <v>2.3508149999999999</v>
      </c>
      <c r="T4432">
        <v>-0.17977770000000001</v>
      </c>
      <c r="U4432">
        <v>-2.0844119999999999</v>
      </c>
      <c r="V4432">
        <v>0.22544159999999999</v>
      </c>
      <c r="W4432">
        <v>0.1645635</v>
      </c>
      <c r="X4432">
        <v>0.96025780000000005</v>
      </c>
      <c r="Y4432">
        <v>0.4253999</v>
      </c>
      <c r="Z4432">
        <v>-3.249891E-3</v>
      </c>
      <c r="AA4432">
        <v>0.90499969999999996</v>
      </c>
      <c r="AB4432">
        <v>26</v>
      </c>
      <c r="AC4432">
        <v>14.3568999999999</v>
      </c>
      <c r="AD4432">
        <v>-1.1168662577199999</v>
      </c>
      <c r="AE4432">
        <v>-12.870900000000001</v>
      </c>
      <c r="AF4432">
        <v>8.2812223387174004</v>
      </c>
      <c r="AG4432">
        <v>-1.1168662577199999</v>
      </c>
      <c r="AH4432">
        <v>17.341272163147</v>
      </c>
      <c r="AI4432">
        <v>93.326188432434407</v>
      </c>
      <c r="AJ4432">
        <v>64.4734667287658</v>
      </c>
      <c r="AK4432">
        <v>19.249565031377799</v>
      </c>
      <c r="AL4432">
        <v>80.528122250023998</v>
      </c>
      <c r="AM4432">
        <v>76.787831702153795</v>
      </c>
      <c r="AN4432">
        <v>1.0000000515018199</v>
      </c>
    </row>
    <row r="4433" spans="1:40" x14ac:dyDescent="0.25">
      <c r="A4433" t="str">
        <f>"20190303170342565"</f>
        <v>20190303170342565</v>
      </c>
      <c r="B4433" t="str">
        <f>"1551603822550108"</f>
        <v>1551603822550108</v>
      </c>
      <c r="C4433" t="s">
        <v>40</v>
      </c>
      <c r="D4433">
        <v>4.5630649999999999</v>
      </c>
      <c r="E4433">
        <v>0.61098240000000004</v>
      </c>
      <c r="F4433" t="s">
        <v>57</v>
      </c>
      <c r="G4433">
        <v>-190.06139999999999</v>
      </c>
      <c r="H4433" s="1">
        <v>7.7477829999999906E-6</v>
      </c>
      <c r="I4433">
        <v>200.09389999999999</v>
      </c>
      <c r="J4433">
        <v>-204.0899</v>
      </c>
      <c r="K4433">
        <v>1.116806</v>
      </c>
      <c r="L4433">
        <v>212.95660000000001</v>
      </c>
      <c r="M4433">
        <v>0.95740769999999997</v>
      </c>
      <c r="N4433">
        <v>-1.4310979999999999E-2</v>
      </c>
      <c r="O4433">
        <v>-0.28838520000000001</v>
      </c>
      <c r="P4433">
        <v>0.85575509999999999</v>
      </c>
      <c r="Q4433">
        <v>0.15212829999999999</v>
      </c>
      <c r="R4433">
        <v>-0.49451040000000002</v>
      </c>
      <c r="S4433">
        <v>2.3278660000000002</v>
      </c>
      <c r="T4433">
        <v>-0.1820736</v>
      </c>
      <c r="U4433">
        <v>-2.1102750000000001</v>
      </c>
      <c r="V4433">
        <v>0.2286618</v>
      </c>
      <c r="W4433">
        <v>0.16314339999999999</v>
      </c>
      <c r="X4433">
        <v>0.9597386</v>
      </c>
      <c r="Y4433">
        <v>0.42881380000000002</v>
      </c>
      <c r="Z4433">
        <v>-3.007334E-3</v>
      </c>
      <c r="AA4433">
        <v>0.90338790000000002</v>
      </c>
      <c r="AB4433">
        <v>26</v>
      </c>
      <c r="AC4433">
        <v>14.028499999999999</v>
      </c>
      <c r="AD4433">
        <v>-1.1167982522169999</v>
      </c>
      <c r="AE4433">
        <v>-12.8627</v>
      </c>
      <c r="AF4433">
        <v>8.2417051677054101</v>
      </c>
      <c r="AG4433">
        <v>-1.1167982522169999</v>
      </c>
      <c r="AH4433">
        <v>17.083340037244898</v>
      </c>
      <c r="AI4433">
        <v>93.369659772306804</v>
      </c>
      <c r="AJ4433">
        <v>64.245428802891396</v>
      </c>
      <c r="AK4433">
        <v>19.000353923958102</v>
      </c>
      <c r="AL4433">
        <v>80.610603047295101</v>
      </c>
      <c r="AM4433">
        <v>76.598880635387005</v>
      </c>
      <c r="AN4433">
        <v>1.0000000840363701</v>
      </c>
    </row>
    <row r="4434" spans="1:40" x14ac:dyDescent="0.25">
      <c r="A4434" t="str">
        <f>"20190303170342588"</f>
        <v>20190303170342588</v>
      </c>
      <c r="B4434" t="str">
        <f>"1551603822580365"</f>
        <v>1551603822580365</v>
      </c>
      <c r="C4434" t="s">
        <v>40</v>
      </c>
      <c r="D4434">
        <v>4.7677250000000004</v>
      </c>
      <c r="E4434">
        <v>0.63286100000000001</v>
      </c>
      <c r="F4434" t="s">
        <v>42</v>
      </c>
      <c r="G4434">
        <v>-187.32579999999999</v>
      </c>
      <c r="H4434" s="1">
        <v>-3.1990050000000001E-6</v>
      </c>
      <c r="I4434">
        <v>195.98400000000001</v>
      </c>
      <c r="J4434">
        <v>-203.84299999999999</v>
      </c>
      <c r="K4434">
        <v>1.1167279999999999</v>
      </c>
      <c r="L4434">
        <v>212.87379999999999</v>
      </c>
      <c r="M4434">
        <v>0.95528919999999995</v>
      </c>
      <c r="N4434">
        <v>-1.4320630000000001E-2</v>
      </c>
      <c r="O4434">
        <v>-0.29532599999999998</v>
      </c>
      <c r="P4434">
        <v>0.85055879999999995</v>
      </c>
      <c r="Q4434">
        <v>0.1521796</v>
      </c>
      <c r="R4434">
        <v>-0.50337979999999904</v>
      </c>
      <c r="S4434">
        <v>2.2283780000000002</v>
      </c>
      <c r="T4434">
        <v>-0.14845239999999901</v>
      </c>
      <c r="U4434">
        <v>-2.2560880000000001</v>
      </c>
      <c r="V4434">
        <v>0.231713</v>
      </c>
      <c r="W4434">
        <v>0.16311419999999999</v>
      </c>
      <c r="X4434">
        <v>0.95901139999999996</v>
      </c>
      <c r="Y4434">
        <v>0.47166999999999998</v>
      </c>
      <c r="Z4434">
        <v>-5.0463510000000001E-3</v>
      </c>
      <c r="AA4434">
        <v>0.88176069999999995</v>
      </c>
      <c r="AB4434">
        <v>26</v>
      </c>
      <c r="AC4434">
        <v>16.517199999999999</v>
      </c>
      <c r="AD4434">
        <v>-1.116731199005</v>
      </c>
      <c r="AE4434">
        <v>-16.889799999999902</v>
      </c>
      <c r="AF4434">
        <v>11.232738869833399</v>
      </c>
      <c r="AG4434">
        <v>-1.116731199005</v>
      </c>
      <c r="AH4434">
        <v>20.722523388452299</v>
      </c>
      <c r="AI4434">
        <v>92.712480084518404</v>
      </c>
      <c r="AJ4434">
        <v>61.539889857979503</v>
      </c>
      <c r="AK4434">
        <v>23.597552556857401</v>
      </c>
      <c r="AL4434">
        <v>80.612298106748597</v>
      </c>
      <c r="AM4434">
        <v>76.416723309256696</v>
      </c>
      <c r="AN4434">
        <v>1.0000000109703</v>
      </c>
    </row>
    <row r="4435" spans="1:40" x14ac:dyDescent="0.25">
      <c r="A4435" t="str">
        <f>"20190303170342608"</f>
        <v>20190303170342608</v>
      </c>
      <c r="B4435" t="str">
        <f>"1551603822599884"</f>
        <v>1551603822599884</v>
      </c>
      <c r="C4435" t="s">
        <v>40</v>
      </c>
      <c r="D4435">
        <v>4.791004</v>
      </c>
      <c r="E4435">
        <v>0.63441309999999995</v>
      </c>
      <c r="F4435" t="s">
        <v>42</v>
      </c>
      <c r="G4435">
        <v>-178.18700000000001</v>
      </c>
      <c r="H4435">
        <v>7.9986500000000002E-2</v>
      </c>
      <c r="I4435">
        <v>183.2603</v>
      </c>
      <c r="J4435">
        <v>-203.60929999999999</v>
      </c>
      <c r="K4435">
        <v>1.1166419999999999</v>
      </c>
      <c r="L4435">
        <v>212.79339999999999</v>
      </c>
      <c r="M4435">
        <v>0.95318250000000004</v>
      </c>
      <c r="N4435">
        <v>-1.433274E-2</v>
      </c>
      <c r="O4435">
        <v>-0.3020563</v>
      </c>
      <c r="P4435">
        <v>0.84512619999999905</v>
      </c>
      <c r="Q4435">
        <v>0.15282229999999999</v>
      </c>
      <c r="R4435">
        <v>-0.51225750000000003</v>
      </c>
      <c r="S4435">
        <v>2.1046299999999998</v>
      </c>
      <c r="T4435">
        <v>-8.5046410000000003E-2</v>
      </c>
      <c r="U4435">
        <v>-2.4292600000000002</v>
      </c>
      <c r="V4435">
        <v>0.2350777</v>
      </c>
      <c r="W4435">
        <v>0.163659</v>
      </c>
      <c r="X4435">
        <v>0.95809920000000004</v>
      </c>
      <c r="Y4435">
        <v>0.52242279999999996</v>
      </c>
      <c r="Z4435">
        <v>-7.3038360000000002E-3</v>
      </c>
      <c r="AA4435">
        <v>0.8526553</v>
      </c>
      <c r="AB4435">
        <v>26</v>
      </c>
      <c r="AC4435">
        <v>25.4222999999999</v>
      </c>
      <c r="AD4435">
        <v>-1.0366555</v>
      </c>
      <c r="AE4435">
        <v>-29.533099999999902</v>
      </c>
      <c r="AF4435">
        <v>20.459088937019001</v>
      </c>
      <c r="AG4435">
        <v>-1.0366555</v>
      </c>
      <c r="AH4435">
        <v>33.132702621334801</v>
      </c>
      <c r="AI4435">
        <v>91.524947008798605</v>
      </c>
      <c r="AJ4435">
        <v>58.305114191275699</v>
      </c>
      <c r="AK4435">
        <v>38.954139160714803</v>
      </c>
      <c r="AL4435">
        <v>80.580657472259304</v>
      </c>
      <c r="AM4435">
        <v>76.214328169738195</v>
      </c>
      <c r="AN4435">
        <v>0.99999993517946295</v>
      </c>
    </row>
    <row r="4436" spans="1:40" x14ac:dyDescent="0.25">
      <c r="A4436" t="str">
        <f>"20190303170342632"</f>
        <v>20190303170342632</v>
      </c>
      <c r="B4436" t="str">
        <f>"1551603822620380"</f>
        <v>1551603822620380</v>
      </c>
      <c r="C4436" t="s">
        <v>40</v>
      </c>
      <c r="D4436">
        <v>4.7930080000000004</v>
      </c>
      <c r="E4436">
        <v>0.6347102</v>
      </c>
      <c r="F4436" t="s">
        <v>42</v>
      </c>
      <c r="G4436">
        <v>-177.7629</v>
      </c>
      <c r="H4436">
        <v>7.9986180000000004E-2</v>
      </c>
      <c r="I4436">
        <v>182.08949999999999</v>
      </c>
      <c r="J4436">
        <v>-203.36699999999999</v>
      </c>
      <c r="K4436">
        <v>1.11652</v>
      </c>
      <c r="L4436">
        <v>212.7079</v>
      </c>
      <c r="M4436">
        <v>0.95087889999999997</v>
      </c>
      <c r="N4436">
        <v>-1.4348980000000001E-2</v>
      </c>
      <c r="O4436">
        <v>-0.30923089999999998</v>
      </c>
      <c r="P4436">
        <v>0.83855769999999996</v>
      </c>
      <c r="Q4436">
        <v>0.1527598</v>
      </c>
      <c r="R4436">
        <v>-0.5229589</v>
      </c>
      <c r="S4436">
        <v>2.072495</v>
      </c>
      <c r="T4436">
        <v>-8.3124279999999995E-2</v>
      </c>
      <c r="U4436">
        <v>-2.4619900000000001</v>
      </c>
      <c r="V4436">
        <v>0.24009330000000001</v>
      </c>
      <c r="W4436">
        <v>0.16345580000000001</v>
      </c>
      <c r="X4436">
        <v>0.95688949999999995</v>
      </c>
      <c r="Y4436">
        <v>0.52810369999999995</v>
      </c>
      <c r="Z4436">
        <v>-7.3634219999999997E-3</v>
      </c>
      <c r="AA4436">
        <v>0.84914799999999901</v>
      </c>
      <c r="AB4436">
        <v>26</v>
      </c>
      <c r="AC4436">
        <v>25.604099999999999</v>
      </c>
      <c r="AD4436">
        <v>-1.0365338200000001</v>
      </c>
      <c r="AE4436">
        <v>-30.618400000000001</v>
      </c>
      <c r="AF4436">
        <v>21.184703090099699</v>
      </c>
      <c r="AG4436">
        <v>-1.0365338200000001</v>
      </c>
      <c r="AH4436">
        <v>33.795237497366202</v>
      </c>
      <c r="AI4436">
        <v>91.488626015746902</v>
      </c>
      <c r="AJ4436">
        <v>57.918264589539199</v>
      </c>
      <c r="AK4436">
        <v>39.8996757490468</v>
      </c>
      <c r="AL4436">
        <v>80.592460016246605</v>
      </c>
      <c r="AM4436">
        <v>75.914686136514305</v>
      </c>
      <c r="AN4436">
        <v>1.00000005323438</v>
      </c>
    </row>
    <row r="4437" spans="1:40" x14ac:dyDescent="0.25">
      <c r="A4437" t="str">
        <f>"20190303170342654"</f>
        <v>20190303170342654</v>
      </c>
      <c r="B4437" t="str">
        <f>"1551603822639900"</f>
        <v>1551603822639900</v>
      </c>
      <c r="C4437" t="s">
        <v>40</v>
      </c>
      <c r="D4437">
        <v>4.8379770000000004</v>
      </c>
      <c r="E4437">
        <v>0.63468100000000005</v>
      </c>
      <c r="F4437" t="s">
        <v>42</v>
      </c>
      <c r="G4437">
        <v>-177.68129999999999</v>
      </c>
      <c r="H4437">
        <v>7.9985959999999995E-2</v>
      </c>
      <c r="I4437">
        <v>181.33590000000001</v>
      </c>
      <c r="J4437">
        <v>-203.12190000000001</v>
      </c>
      <c r="K4437">
        <v>1.116355</v>
      </c>
      <c r="L4437">
        <v>212.619</v>
      </c>
      <c r="M4437">
        <v>0.94840400000000002</v>
      </c>
      <c r="N4437">
        <v>-1.436993E-2</v>
      </c>
      <c r="O4437">
        <v>-0.31673849999999998</v>
      </c>
      <c r="P4437">
        <v>0.83178809999999903</v>
      </c>
      <c r="Q4437">
        <v>0.15228159999999999</v>
      </c>
      <c r="R4437">
        <v>-0.53379650000000001</v>
      </c>
      <c r="S4437">
        <v>2.0392459999999999</v>
      </c>
      <c r="T4437">
        <v>-8.2292799999999999E-2</v>
      </c>
      <c r="U4437">
        <v>-2.4906920000000001</v>
      </c>
      <c r="V4437">
        <v>0.24498710000000001</v>
      </c>
      <c r="W4437">
        <v>0.1628193</v>
      </c>
      <c r="X4437">
        <v>0.95575690000000002</v>
      </c>
      <c r="Y4437">
        <v>0.53296849999999996</v>
      </c>
      <c r="Z4437">
        <v>-7.3909759999999996E-3</v>
      </c>
      <c r="AA4437">
        <v>0.84610280000000004</v>
      </c>
      <c r="AB4437">
        <v>26</v>
      </c>
      <c r="AC4437">
        <v>25.4406</v>
      </c>
      <c r="AD4437">
        <v>-1.0363690400000001</v>
      </c>
      <c r="AE4437">
        <v>-31.283100000000001</v>
      </c>
      <c r="AF4437">
        <v>21.598963644579701</v>
      </c>
      <c r="AG4437">
        <v>-1.0363690400000001</v>
      </c>
      <c r="AH4437">
        <v>34.017572644383598</v>
      </c>
      <c r="AI4437">
        <v>91.473285904650197</v>
      </c>
      <c r="AJ4437">
        <v>57.587087400389201</v>
      </c>
      <c r="AK4437">
        <v>40.308616199553001</v>
      </c>
      <c r="AL4437">
        <v>80.629423731471903</v>
      </c>
      <c r="AM4437">
        <v>75.623036398622403</v>
      </c>
      <c r="AN4437">
        <v>1.0000000277582499</v>
      </c>
    </row>
    <row r="4438" spans="1:40" x14ac:dyDescent="0.25">
      <c r="A4438" t="str">
        <f>"20190303170342676"</f>
        <v>20190303170342676</v>
      </c>
      <c r="B4438" t="str">
        <f>"1551603822670157"</f>
        <v>1551603822670157</v>
      </c>
      <c r="C4438" t="s">
        <v>40</v>
      </c>
      <c r="D4438">
        <v>4.7969689999999998</v>
      </c>
      <c r="E4438">
        <v>0.63380859999999895</v>
      </c>
      <c r="F4438" t="s">
        <v>42</v>
      </c>
      <c r="G4438">
        <v>-178.34350000000001</v>
      </c>
      <c r="H4438">
        <v>7.9985990000000007E-2</v>
      </c>
      <c r="I4438">
        <v>181.53370000000001</v>
      </c>
      <c r="J4438">
        <v>-202.8742</v>
      </c>
      <c r="K4438">
        <v>1.1161479999999999</v>
      </c>
      <c r="L4438">
        <v>212.5265</v>
      </c>
      <c r="M4438">
        <v>0.94572199999999995</v>
      </c>
      <c r="N4438">
        <v>-1.439723E-2</v>
      </c>
      <c r="O4438">
        <v>-0.324658</v>
      </c>
      <c r="P4438">
        <v>0.82501589999999903</v>
      </c>
      <c r="Q4438">
        <v>0.15204509999999999</v>
      </c>
      <c r="R4438">
        <v>-0.54427139999999996</v>
      </c>
      <c r="S4438">
        <v>2.0065770000000001</v>
      </c>
      <c r="T4438">
        <v>-8.3926199999999895E-2</v>
      </c>
      <c r="U4438">
        <v>-2.5173190000000001</v>
      </c>
      <c r="V4438">
        <v>0.24915219999999999</v>
      </c>
      <c r="W4438">
        <v>0.16241459999999999</v>
      </c>
      <c r="X4438">
        <v>0.9547485</v>
      </c>
      <c r="Y4438">
        <v>0.53695609999999905</v>
      </c>
      <c r="Z4438">
        <v>-7.3595789999999998E-3</v>
      </c>
      <c r="AA4438">
        <v>0.843578099999999</v>
      </c>
      <c r="AB4438">
        <v>25</v>
      </c>
      <c r="AC4438">
        <v>24.5307</v>
      </c>
      <c r="AD4438">
        <v>-1.03616201</v>
      </c>
      <c r="AE4438">
        <v>-30.9927999999999</v>
      </c>
      <c r="AF4438">
        <v>21.334034451543701</v>
      </c>
      <c r="AG4438">
        <v>-1.03616201</v>
      </c>
      <c r="AH4438">
        <v>33.2418834654123</v>
      </c>
      <c r="AI4438">
        <v>91.502676873574899</v>
      </c>
      <c r="AJ4438">
        <v>57.308392632174503</v>
      </c>
      <c r="AK4438">
        <v>39.512497694003997</v>
      </c>
      <c r="AL4438">
        <v>80.652923969681794</v>
      </c>
      <c r="AM4438">
        <v>75.374216786229297</v>
      </c>
      <c r="AN4438">
        <v>1.00000000965512</v>
      </c>
    </row>
    <row r="4439" spans="1:40" x14ac:dyDescent="0.25">
      <c r="A4439" t="str">
        <f>"20190303170342698"</f>
        <v>20190303170342698</v>
      </c>
      <c r="B4439" t="str">
        <f>"1551603822689677"</f>
        <v>1551603822689677</v>
      </c>
      <c r="C4439" t="s">
        <v>40</v>
      </c>
      <c r="D4439">
        <v>4.785209</v>
      </c>
      <c r="E4439">
        <v>0.63347240000000005</v>
      </c>
      <c r="F4439" t="s">
        <v>42</v>
      </c>
      <c r="G4439">
        <v>-179.95779999999999</v>
      </c>
      <c r="H4439">
        <v>4.5059040000000002E-2</v>
      </c>
      <c r="I4439">
        <v>183.16970000000001</v>
      </c>
      <c r="J4439">
        <v>-202.64189999999999</v>
      </c>
      <c r="K4439">
        <v>1.115931</v>
      </c>
      <c r="L4439">
        <v>212.43709999999999</v>
      </c>
      <c r="M4439">
        <v>0.94302299999999994</v>
      </c>
      <c r="N4439">
        <v>-1.442854E-2</v>
      </c>
      <c r="O4439">
        <v>-0.3324144</v>
      </c>
      <c r="P4439">
        <v>0.8177335</v>
      </c>
      <c r="Q4439">
        <v>0.15266959999999999</v>
      </c>
      <c r="R4439">
        <v>-0.55498149999999902</v>
      </c>
      <c r="S4439">
        <v>1.980011</v>
      </c>
      <c r="T4439">
        <v>-9.2543600000000004E-2</v>
      </c>
      <c r="U4439">
        <v>-2.5364689999999999</v>
      </c>
      <c r="V4439">
        <v>0.25390069999999998</v>
      </c>
      <c r="W4439">
        <v>0.1628503</v>
      </c>
      <c r="X4439">
        <v>0.9534224</v>
      </c>
      <c r="Y4439">
        <v>0.53856660000000001</v>
      </c>
      <c r="Z4439">
        <v>-7.1433399999999998E-3</v>
      </c>
      <c r="AA4439">
        <v>0.84255270000000004</v>
      </c>
      <c r="AB4439">
        <v>25</v>
      </c>
      <c r="AC4439">
        <v>22.684100000000001</v>
      </c>
      <c r="AD4439">
        <v>-1.0708719600000001</v>
      </c>
      <c r="AE4439">
        <v>-29.267399999999899</v>
      </c>
      <c r="AF4439">
        <v>20.044634822670702</v>
      </c>
      <c r="AG4439">
        <v>-1.0708719600000001</v>
      </c>
      <c r="AH4439">
        <v>31.097766012879401</v>
      </c>
      <c r="AI4439">
        <v>91.657905138896695</v>
      </c>
      <c r="AJ4439">
        <v>57.195454133709802</v>
      </c>
      <c r="AK4439">
        <v>37.013581330651199</v>
      </c>
      <c r="AL4439">
        <v>80.627623549841999</v>
      </c>
      <c r="AM4439">
        <v>75.087956181268098</v>
      </c>
      <c r="AN4439">
        <v>1.0000000292461599</v>
      </c>
    </row>
    <row r="4440" spans="1:40" x14ac:dyDescent="0.25">
      <c r="A4440" t="str">
        <f>"20190303170342720"</f>
        <v>20190303170342720</v>
      </c>
      <c r="B4440" t="str">
        <f>"1551603822710173"</f>
        <v>1551603822710173</v>
      </c>
      <c r="C4440" t="s">
        <v>40</v>
      </c>
      <c r="D4440">
        <v>4.7865159999999998</v>
      </c>
      <c r="E4440">
        <v>0.62590429999999997</v>
      </c>
      <c r="F4440" t="s">
        <v>42</v>
      </c>
      <c r="G4440">
        <v>-179.95779999999999</v>
      </c>
      <c r="H4440">
        <v>5.7306299999999996E-3</v>
      </c>
      <c r="I4440">
        <v>182.66120000000001</v>
      </c>
      <c r="J4440">
        <v>-202.4041</v>
      </c>
      <c r="K4440">
        <v>1.1157220000000001</v>
      </c>
      <c r="L4440">
        <v>212.34299999999999</v>
      </c>
      <c r="M4440">
        <v>0.94007750000000001</v>
      </c>
      <c r="N4440">
        <v>-1.446421E-2</v>
      </c>
      <c r="O4440">
        <v>-0.34065420000000002</v>
      </c>
      <c r="P4440">
        <v>0.80971110000000002</v>
      </c>
      <c r="Q4440">
        <v>0.15373429999999999</v>
      </c>
      <c r="R4440">
        <v>-0.56633409999999995</v>
      </c>
      <c r="S4440">
        <v>1.949646</v>
      </c>
      <c r="T4440">
        <v>-9.5419169999999998E-2</v>
      </c>
      <c r="U4440">
        <v>-2.5591740000000001</v>
      </c>
      <c r="V4440">
        <v>0.25903609999999999</v>
      </c>
      <c r="W4440">
        <v>0.16371729999999901</v>
      </c>
      <c r="X4440">
        <v>0.95189120000000005</v>
      </c>
      <c r="Y4440">
        <v>0.54110559999999996</v>
      </c>
      <c r="Z4440">
        <v>-7.0188459999999996E-3</v>
      </c>
      <c r="AA4440">
        <v>0.84092540000000005</v>
      </c>
      <c r="AB4440">
        <v>25</v>
      </c>
      <c r="AC4440">
        <v>22.446300000000001</v>
      </c>
      <c r="AD4440">
        <v>-1.1099913699999999</v>
      </c>
      <c r="AE4440">
        <v>-29.6817999999999</v>
      </c>
      <c r="AF4440">
        <v>20.240875167329101</v>
      </c>
      <c r="AG4440">
        <v>-1.1099913699999999</v>
      </c>
      <c r="AH4440">
        <v>31.188006193317399</v>
      </c>
      <c r="AI4440">
        <v>91.710010555843994</v>
      </c>
      <c r="AJ4440">
        <v>57.016611151200898</v>
      </c>
      <c r="AK4440">
        <v>37.197000399162299</v>
      </c>
      <c r="AL4440">
        <v>80.577271656241393</v>
      </c>
      <c r="AM4440">
        <v>74.776853181037097</v>
      </c>
      <c r="AN4440">
        <v>0.99999995602996905</v>
      </c>
    </row>
    <row r="4441" spans="1:40" x14ac:dyDescent="0.25">
      <c r="A4441" t="str">
        <f>"20190303170342744"</f>
        <v>20190303170342744</v>
      </c>
      <c r="B4441" t="str">
        <f>"1551603822729692"</f>
        <v>1551603822729692</v>
      </c>
      <c r="C4441" t="s">
        <v>40</v>
      </c>
      <c r="D4441">
        <v>4.672606</v>
      </c>
      <c r="E4441">
        <v>0.6254016</v>
      </c>
      <c r="F4441" t="s">
        <v>42</v>
      </c>
      <c r="G4441">
        <v>-186.36580000000001</v>
      </c>
      <c r="H4441" s="1">
        <v>-1.606798E-6</v>
      </c>
      <c r="I4441">
        <v>191.5283</v>
      </c>
      <c r="J4441">
        <v>-202.1576</v>
      </c>
      <c r="K4441">
        <v>1.115499</v>
      </c>
      <c r="L4441">
        <v>212.24250000000001</v>
      </c>
      <c r="M4441">
        <v>0.93680719999999995</v>
      </c>
      <c r="N4441">
        <v>-1.450192E-2</v>
      </c>
      <c r="O4441">
        <v>-0.34954550000000001</v>
      </c>
      <c r="P4441">
        <v>0.80087129999999995</v>
      </c>
      <c r="Q4441">
        <v>0.15352449999999901</v>
      </c>
      <c r="R4441">
        <v>-0.57882270000000002</v>
      </c>
      <c r="S4441">
        <v>1.955643</v>
      </c>
      <c r="T4441">
        <v>-0.136047</v>
      </c>
      <c r="U4441">
        <v>-2.538071</v>
      </c>
      <c r="V4441">
        <v>0.26486019999999999</v>
      </c>
      <c r="W4441">
        <v>0.16329299999999999</v>
      </c>
      <c r="X4441">
        <v>0.95036019999999999</v>
      </c>
      <c r="Y4441">
        <v>0.52830569999999999</v>
      </c>
      <c r="Z4441">
        <v>-5.4783000000000002E-3</v>
      </c>
      <c r="AA4441">
        <v>0.84903660000000003</v>
      </c>
      <c r="AB4441">
        <v>25</v>
      </c>
      <c r="AC4441">
        <v>15.791799999999901</v>
      </c>
      <c r="AD4441">
        <v>-1.115500606798</v>
      </c>
      <c r="AE4441">
        <v>-20.714200000000002</v>
      </c>
      <c r="AF4441">
        <v>13.8612961470503</v>
      </c>
      <c r="AG4441">
        <v>-1.115500606798</v>
      </c>
      <c r="AH4441">
        <v>21.996400721977299</v>
      </c>
      <c r="AI4441">
        <v>92.456745424000104</v>
      </c>
      <c r="AJ4441">
        <v>57.782427595178802</v>
      </c>
      <c r="AK4441">
        <v>26.023480113194001</v>
      </c>
      <c r="AL4441">
        <v>80.6019144825501</v>
      </c>
      <c r="AM4441">
        <v>74.427136516879102</v>
      </c>
      <c r="AN4441">
        <v>1.0000000195685399</v>
      </c>
    </row>
    <row r="4442" spans="1:40" x14ac:dyDescent="0.25">
      <c r="A4442" t="str">
        <f>"20190303170342766"</f>
        <v>20190303170342766</v>
      </c>
      <c r="B4442" t="str">
        <f>"1551603822759949"</f>
        <v>1551603822759949</v>
      </c>
      <c r="C4442" t="s">
        <v>40</v>
      </c>
      <c r="D4442">
        <v>4.6204769999999904</v>
      </c>
      <c r="E4442">
        <v>0.62655969999999905</v>
      </c>
      <c r="F4442" t="s">
        <v>42</v>
      </c>
      <c r="G4442">
        <v>-185.03370000000001</v>
      </c>
      <c r="H4442" s="1">
        <v>-5.0322379999999996E-6</v>
      </c>
      <c r="I4442">
        <v>189.30959999999999</v>
      </c>
      <c r="J4442">
        <v>-201.92070000000001</v>
      </c>
      <c r="K4442">
        <v>1.115254</v>
      </c>
      <c r="L4442">
        <v>212.1429</v>
      </c>
      <c r="M4442">
        <v>0.93343379999999998</v>
      </c>
      <c r="N4442">
        <v>-1.454095E-2</v>
      </c>
      <c r="O4442">
        <v>-0.35845510000000003</v>
      </c>
      <c r="P4442">
        <v>0.79176369999999996</v>
      </c>
      <c r="Q4442">
        <v>0.152175799999999</v>
      </c>
      <c r="R4442">
        <v>-0.59156830000000005</v>
      </c>
      <c r="S4442">
        <v>1.9156489999999999</v>
      </c>
      <c r="T4442">
        <v>-0.1247915</v>
      </c>
      <c r="U4442">
        <v>-2.5655060000000001</v>
      </c>
      <c r="V4442">
        <v>0.27100239999999998</v>
      </c>
      <c r="W4442">
        <v>0.16171820000000001</v>
      </c>
      <c r="X4442">
        <v>0.94889670000000004</v>
      </c>
      <c r="Y4442">
        <v>0.53309709999999999</v>
      </c>
      <c r="Z4442">
        <v>-5.6709780000000001E-3</v>
      </c>
      <c r="AA4442">
        <v>0.84603510000000004</v>
      </c>
      <c r="AB4442">
        <v>25</v>
      </c>
      <c r="AC4442">
        <v>16.887</v>
      </c>
      <c r="AD4442">
        <v>-1.115259032238</v>
      </c>
      <c r="AE4442">
        <v>-22.833300000000001</v>
      </c>
      <c r="AF4442">
        <v>15.2382551660081</v>
      </c>
      <c r="AG4442">
        <v>-1.115259032238</v>
      </c>
      <c r="AH4442">
        <v>23.913261479860701</v>
      </c>
      <c r="AI4442">
        <v>92.252337509863096</v>
      </c>
      <c r="AJ4442">
        <v>57.493477427740402</v>
      </c>
      <c r="AK4442">
        <v>28.377672522910501</v>
      </c>
      <c r="AL4442">
        <v>80.693359335497803</v>
      </c>
      <c r="AM4442">
        <v>74.0607976065222</v>
      </c>
      <c r="AN4442">
        <v>1.0000000121439401</v>
      </c>
    </row>
    <row r="4443" spans="1:40" x14ac:dyDescent="0.25">
      <c r="A4443" t="str">
        <f>"20190303170342788"</f>
        <v>20190303170342788</v>
      </c>
      <c r="B4443" t="str">
        <f>"1551603822780445"</f>
        <v>1551603822780445</v>
      </c>
      <c r="C4443" t="s">
        <v>40</v>
      </c>
      <c r="D4443">
        <v>4.667313</v>
      </c>
      <c r="E4443">
        <v>0.62689539999999999</v>
      </c>
      <c r="F4443" t="s">
        <v>42</v>
      </c>
      <c r="G4443">
        <v>-149.9821</v>
      </c>
      <c r="H4443" s="1">
        <v>-4.3412510000000004E-6</v>
      </c>
      <c r="I4443">
        <v>139.27070000000001</v>
      </c>
      <c r="J4443">
        <v>-201.69220000000001</v>
      </c>
      <c r="K4443">
        <v>1.1150089999999999</v>
      </c>
      <c r="L4443">
        <v>212.04390000000001</v>
      </c>
      <c r="M4443">
        <v>0.92993859999999995</v>
      </c>
      <c r="N4443">
        <v>-1.4585259999999999E-2</v>
      </c>
      <c r="O4443">
        <v>-0.36742560000000002</v>
      </c>
      <c r="P4443">
        <v>0.78329569999999904</v>
      </c>
      <c r="Q4443">
        <v>0.15254709999999999</v>
      </c>
      <c r="R4443">
        <v>-0.60264200000000001</v>
      </c>
      <c r="S4443">
        <v>1.853577</v>
      </c>
      <c r="T4443">
        <v>-3.9801120000000002E-2</v>
      </c>
      <c r="U4443">
        <v>-2.6006469999999999</v>
      </c>
      <c r="V4443">
        <v>0.2753428</v>
      </c>
      <c r="W4443">
        <v>0.16188429999999901</v>
      </c>
      <c r="X4443">
        <v>0.94761790000000001</v>
      </c>
      <c r="Y4443">
        <v>0.54396719999999998</v>
      </c>
      <c r="Z4443">
        <v>-8.2215750000000001E-3</v>
      </c>
      <c r="AA4443">
        <v>0.83906619999999998</v>
      </c>
      <c r="AB4443">
        <v>25</v>
      </c>
      <c r="AC4443">
        <v>51.710099999999997</v>
      </c>
      <c r="AD4443">
        <v>-1.1150133412509999</v>
      </c>
      <c r="AE4443">
        <v>-72.773200000000003</v>
      </c>
      <c r="AF4443">
        <v>48.672576238151201</v>
      </c>
      <c r="AG4443">
        <v>-1.1150133412509999</v>
      </c>
      <c r="AH4443">
        <v>74.822239172521293</v>
      </c>
      <c r="AI4443">
        <v>90.715685383555495</v>
      </c>
      <c r="AJ4443">
        <v>56.955616085833</v>
      </c>
      <c r="AK4443">
        <v>89.267185500606999</v>
      </c>
      <c r="AL4443">
        <v>80.683714700293606</v>
      </c>
      <c r="AM4443">
        <v>73.798084766667301</v>
      </c>
      <c r="AN4443">
        <v>0.99999993424936695</v>
      </c>
    </row>
    <row r="4444" spans="1:40" x14ac:dyDescent="0.25">
      <c r="A4444" t="str">
        <f>"20190303170342810"</f>
        <v>20190303170342810</v>
      </c>
      <c r="B4444" t="str">
        <f>"1551603822799965"</f>
        <v>1551603822799965</v>
      </c>
      <c r="C4444" t="s">
        <v>40</v>
      </c>
      <c r="D4444">
        <v>4.6555289999999996</v>
      </c>
      <c r="E4444">
        <v>0.62726289999999996</v>
      </c>
      <c r="F4444" t="s">
        <v>42</v>
      </c>
      <c r="G4444">
        <v>-161.6532</v>
      </c>
      <c r="H4444">
        <v>7.9985689999999998E-2</v>
      </c>
      <c r="I4444">
        <v>154.11410000000001</v>
      </c>
      <c r="J4444">
        <v>-201.46170000000001</v>
      </c>
      <c r="K4444">
        <v>1.1147370000000001</v>
      </c>
      <c r="L4444">
        <v>211.9409</v>
      </c>
      <c r="M4444">
        <v>0.92614859999999999</v>
      </c>
      <c r="N4444">
        <v>-1.4638470000000001E-2</v>
      </c>
      <c r="O4444">
        <v>-0.3768745</v>
      </c>
      <c r="P4444">
        <v>0.77509399999999995</v>
      </c>
      <c r="Q4444">
        <v>0.15257009999999999</v>
      </c>
      <c r="R4444">
        <v>-0.61314869999999899</v>
      </c>
      <c r="S4444">
        <v>1.8167720000000001</v>
      </c>
      <c r="T4444">
        <v>-4.6964289999999999E-2</v>
      </c>
      <c r="U4444">
        <v>-2.628571</v>
      </c>
      <c r="V4444">
        <v>0.27858749999999999</v>
      </c>
      <c r="W4444">
        <v>0.16170880000000001</v>
      </c>
      <c r="X4444">
        <v>0.94669910000000002</v>
      </c>
      <c r="Y4444">
        <v>0.54752119999999904</v>
      </c>
      <c r="Z4444">
        <v>-8.0787399999999992E-3</v>
      </c>
      <c r="AA4444">
        <v>0.83675279999999996</v>
      </c>
      <c r="AB4444">
        <v>25</v>
      </c>
      <c r="AC4444">
        <v>39.808500000000002</v>
      </c>
      <c r="AD4444">
        <v>-1.0347513100000001</v>
      </c>
      <c r="AE4444">
        <v>-57.826799999999899</v>
      </c>
      <c r="AF4444">
        <v>38.549160079658797</v>
      </c>
      <c r="AG4444">
        <v>-1.0347513100000001</v>
      </c>
      <c r="AH4444">
        <v>58.655579484844701</v>
      </c>
      <c r="AI4444">
        <v>90.844612032208204</v>
      </c>
      <c r="AJ4444">
        <v>56.686596076085799</v>
      </c>
      <c r="AK4444">
        <v>70.196762445454993</v>
      </c>
      <c r="AL4444">
        <v>80.693904596089595</v>
      </c>
      <c r="AM4444">
        <v>73.602294598582006</v>
      </c>
      <c r="AN4444">
        <v>0.99999995854724899</v>
      </c>
    </row>
    <row r="4445" spans="1:40" x14ac:dyDescent="0.25">
      <c r="A4445" t="str">
        <f>"20190303170342833"</f>
        <v>20190303170342833</v>
      </c>
      <c r="B4445" t="str">
        <f>"1551603822820462"</f>
        <v>1551603822820462</v>
      </c>
      <c r="C4445" t="s">
        <v>40</v>
      </c>
      <c r="D4445">
        <v>4.686852</v>
      </c>
      <c r="E4445">
        <v>0.62565170000000003</v>
      </c>
      <c r="F4445" t="s">
        <v>44</v>
      </c>
      <c r="G4445">
        <v>-161.304</v>
      </c>
      <c r="H4445">
        <v>-0.05</v>
      </c>
      <c r="I4445">
        <v>152.05779999999999</v>
      </c>
      <c r="J4445">
        <v>-201.22399999999999</v>
      </c>
      <c r="K4445">
        <v>1.1144309999999999</v>
      </c>
      <c r="L4445">
        <v>211.8313</v>
      </c>
      <c r="M4445">
        <v>0.9219425</v>
      </c>
      <c r="N4445">
        <v>-1.4701240000000001E-2</v>
      </c>
      <c r="O4445">
        <v>-0.38704749999999999</v>
      </c>
      <c r="P4445">
        <v>0.76589629999999997</v>
      </c>
      <c r="Q4445">
        <v>0.1518072</v>
      </c>
      <c r="R4445">
        <v>-0.62478579999999995</v>
      </c>
      <c r="S4445">
        <v>1.7804259999999901</v>
      </c>
      <c r="T4445">
        <v>-5.163968E-2</v>
      </c>
      <c r="U4445">
        <v>-2.6549680000000002</v>
      </c>
      <c r="V4445">
        <v>0.28251979999999999</v>
      </c>
      <c r="W4445">
        <v>0.16071540000000001</v>
      </c>
      <c r="X4445">
        <v>0.94570240000000005</v>
      </c>
      <c r="Y4445">
        <v>0.55004540000000002</v>
      </c>
      <c r="Z4445">
        <v>-7.9663809999999998E-3</v>
      </c>
      <c r="AA4445">
        <v>0.83509679999999997</v>
      </c>
      <c r="AB4445">
        <v>25</v>
      </c>
      <c r="AC4445">
        <v>39.92</v>
      </c>
      <c r="AD4445">
        <v>-1.164431</v>
      </c>
      <c r="AE4445">
        <v>-59.773499999999999</v>
      </c>
      <c r="AF4445">
        <v>39.650676603584401</v>
      </c>
      <c r="AG4445">
        <v>-1.164431</v>
      </c>
      <c r="AH4445">
        <v>59.929882489297803</v>
      </c>
      <c r="AI4445">
        <v>90.928357105371603</v>
      </c>
      <c r="AJ4445">
        <v>56.510669593787902</v>
      </c>
      <c r="AK4445">
        <v>71.868789261103004</v>
      </c>
      <c r="AL4445">
        <v>80.751576541492796</v>
      </c>
      <c r="AM4445">
        <v>73.366973541833801</v>
      </c>
      <c r="AN4445">
        <v>0.99999995327747904</v>
      </c>
    </row>
    <row r="4446" spans="1:40" x14ac:dyDescent="0.25">
      <c r="A4446" t="str">
        <f>"20190303170342856"</f>
        <v>20190303170342856</v>
      </c>
      <c r="B4446" t="str">
        <f>"1551603822849741"</f>
        <v>1551603822849741</v>
      </c>
      <c r="C4446" t="s">
        <v>40</v>
      </c>
      <c r="D4446">
        <v>4.7095880000000001</v>
      </c>
      <c r="E4446">
        <v>0.62418009999999902</v>
      </c>
      <c r="F4446" t="s">
        <v>44</v>
      </c>
      <c r="G4446">
        <v>-165.50110000000001</v>
      </c>
      <c r="H4446">
        <v>-0.05</v>
      </c>
      <c r="I4446">
        <v>157.2302</v>
      </c>
      <c r="J4446">
        <v>-200.9872</v>
      </c>
      <c r="K4446">
        <v>1.114101</v>
      </c>
      <c r="L4446">
        <v>211.71809999999999</v>
      </c>
      <c r="M4446">
        <v>0.91741320000000004</v>
      </c>
      <c r="N4446">
        <v>-1.477069E-2</v>
      </c>
      <c r="O4446">
        <v>-0.39766180000000001</v>
      </c>
      <c r="P4446">
        <v>0.75540180000000001</v>
      </c>
      <c r="Q4446">
        <v>0.14982019999999999</v>
      </c>
      <c r="R4446">
        <v>-0.63790440000000004</v>
      </c>
      <c r="S4446">
        <v>1.7483519999999999</v>
      </c>
      <c r="T4446">
        <v>-5.698955E-2</v>
      </c>
      <c r="U4446">
        <v>-2.6722869999999999</v>
      </c>
      <c r="V4446">
        <v>0.28785840000000001</v>
      </c>
      <c r="W4446">
        <v>0.15845680000000001</v>
      </c>
      <c r="X4446">
        <v>0.9444728</v>
      </c>
      <c r="Y4446">
        <v>0.54987750000000002</v>
      </c>
      <c r="Z4446">
        <v>-7.745086E-3</v>
      </c>
      <c r="AA4446">
        <v>0.83520939999999999</v>
      </c>
      <c r="AB4446">
        <v>25</v>
      </c>
      <c r="AC4446">
        <v>35.486099999999901</v>
      </c>
      <c r="AD4446">
        <v>-1.1641010000000001</v>
      </c>
      <c r="AE4446">
        <v>-54.487900000000003</v>
      </c>
      <c r="AF4446">
        <v>35.868869576426398</v>
      </c>
      <c r="AG4446">
        <v>-1.1641010000000001</v>
      </c>
      <c r="AH4446">
        <v>54.211712526444998</v>
      </c>
      <c r="AI4446">
        <v>91.025955590946296</v>
      </c>
      <c r="AJ4446">
        <v>56.509614020603998</v>
      </c>
      <c r="AK4446">
        <v>65.014157772586699</v>
      </c>
      <c r="AL4446">
        <v>80.882664756584603</v>
      </c>
      <c r="AM4446">
        <v>73.049717195492903</v>
      </c>
      <c r="AN4446">
        <v>0.99999994292831795</v>
      </c>
    </row>
    <row r="4447" spans="1:40" x14ac:dyDescent="0.25">
      <c r="A4447" t="str">
        <f>"20190303170342878"</f>
        <v>20190303170342878</v>
      </c>
      <c r="B4447" t="str">
        <f>"1551603822870236"</f>
        <v>1551603822870236</v>
      </c>
      <c r="C4447" t="s">
        <v>40</v>
      </c>
      <c r="D4447">
        <v>4.7393650000000003</v>
      </c>
      <c r="E4447">
        <v>0.61554830000000005</v>
      </c>
      <c r="F4447" t="s">
        <v>44</v>
      </c>
      <c r="G4447">
        <v>-170.96809999999999</v>
      </c>
      <c r="H4447">
        <v>-0.05</v>
      </c>
      <c r="I4447">
        <v>164.47309999999999</v>
      </c>
      <c r="J4447">
        <v>-200.7662</v>
      </c>
      <c r="K4447">
        <v>1.113801</v>
      </c>
      <c r="L4447">
        <v>211.6088</v>
      </c>
      <c r="M4447">
        <v>0.91285070000000001</v>
      </c>
      <c r="N4447">
        <v>-1.4841419999999999E-2</v>
      </c>
      <c r="O4447">
        <v>-0.40802349999999998</v>
      </c>
      <c r="P4447">
        <v>0.74445459999999997</v>
      </c>
      <c r="Q4447">
        <v>0.14859169999999999</v>
      </c>
      <c r="R4447">
        <v>-0.65092819999999996</v>
      </c>
      <c r="S4447">
        <v>1.710815</v>
      </c>
      <c r="T4447">
        <v>-6.6343070000000004E-2</v>
      </c>
      <c r="U4447">
        <v>-2.6925349999999999</v>
      </c>
      <c r="V4447">
        <v>0.293570099999999</v>
      </c>
      <c r="W4447">
        <v>0.15695190000000001</v>
      </c>
      <c r="X4447">
        <v>0.94296489999999999</v>
      </c>
      <c r="Y4447">
        <v>0.55151289999999997</v>
      </c>
      <c r="Z4447">
        <v>-7.35491599999999E-3</v>
      </c>
      <c r="AA4447">
        <v>0.83413400000000004</v>
      </c>
      <c r="AB4447">
        <v>25</v>
      </c>
      <c r="AC4447">
        <v>29.798100000000002</v>
      </c>
      <c r="AD4447">
        <v>-1.1638010000000001</v>
      </c>
      <c r="AE4447">
        <v>-47.1357</v>
      </c>
      <c r="AF4447">
        <v>30.859493546624599</v>
      </c>
      <c r="AG4447">
        <v>-1.1638010000000001</v>
      </c>
      <c r="AH4447">
        <v>46.418590449907803</v>
      </c>
      <c r="AI4447">
        <v>91.196101579775402</v>
      </c>
      <c r="AJ4447">
        <v>56.383685143169998</v>
      </c>
      <c r="AK4447">
        <v>55.752563296031802</v>
      </c>
      <c r="AL4447">
        <v>80.9699828410332</v>
      </c>
      <c r="AM4447">
        <v>72.707242858052396</v>
      </c>
      <c r="AN4447">
        <v>1.0000000525798101</v>
      </c>
    </row>
    <row r="4448" spans="1:40" x14ac:dyDescent="0.25">
      <c r="A4448" t="str">
        <f>"20190303170342899"</f>
        <v>20190303170342899</v>
      </c>
      <c r="B4448" t="str">
        <f>"1551603822889756"</f>
        <v>1551603822889756</v>
      </c>
      <c r="C4448" t="s">
        <v>40</v>
      </c>
      <c r="D4448">
        <v>4.7099949999999904</v>
      </c>
      <c r="E4448">
        <v>0.61403069999999904</v>
      </c>
      <c r="F4448" t="s">
        <v>42</v>
      </c>
      <c r="G4448">
        <v>-179.34110000000001</v>
      </c>
      <c r="H4448">
        <v>7.9986429999999997E-2</v>
      </c>
      <c r="I4448">
        <v>178.18599999999901</v>
      </c>
      <c r="J4448">
        <v>-200.5427</v>
      </c>
      <c r="K4448">
        <v>1.113532</v>
      </c>
      <c r="L4448">
        <v>211.49449999999999</v>
      </c>
      <c r="M4448">
        <v>0.90791670000000002</v>
      </c>
      <c r="N4448">
        <v>-1.491524E-2</v>
      </c>
      <c r="O4448">
        <v>-0.41888550000000002</v>
      </c>
      <c r="P4448">
        <v>0.73607609999999901</v>
      </c>
      <c r="Q4448">
        <v>0.14958540000000001</v>
      </c>
      <c r="R4448">
        <v>-0.66016399999999997</v>
      </c>
      <c r="S4448">
        <v>1.711624</v>
      </c>
      <c r="T4448">
        <v>-8.2590220000000006E-2</v>
      </c>
      <c r="U4448">
        <v>-2.670105</v>
      </c>
      <c r="V4448">
        <v>0.29429490000000003</v>
      </c>
      <c r="W4448">
        <v>0.15779860000000001</v>
      </c>
      <c r="X4448">
        <v>0.94259760000000004</v>
      </c>
      <c r="Y4448">
        <v>0.5380973</v>
      </c>
      <c r="Z4448">
        <v>-6.2002439999999997E-3</v>
      </c>
      <c r="AA4448">
        <v>0.84286000000000005</v>
      </c>
      <c r="AB4448">
        <v>25</v>
      </c>
      <c r="AC4448">
        <v>21.2015999999999</v>
      </c>
      <c r="AD4448">
        <v>-1.03354557</v>
      </c>
      <c r="AE4448">
        <v>-33.308500000000002</v>
      </c>
      <c r="AF4448">
        <v>21.348046273014798</v>
      </c>
      <c r="AG4448">
        <v>-1.03354557</v>
      </c>
      <c r="AH4448">
        <v>33.182686691938599</v>
      </c>
      <c r="AI4448">
        <v>91.500487552269703</v>
      </c>
      <c r="AJ4448">
        <v>57.244840079129197</v>
      </c>
      <c r="AK4448">
        <v>39.470216521010002</v>
      </c>
      <c r="AL4448">
        <v>80.920858435678795</v>
      </c>
      <c r="AM4448">
        <v>72.660753924801796</v>
      </c>
      <c r="AN4448">
        <v>1.00000006092686</v>
      </c>
    </row>
    <row r="4449" spans="1:40" x14ac:dyDescent="0.25">
      <c r="A4449" t="str">
        <f>"20190303170342922"</f>
        <v>20190303170342922</v>
      </c>
      <c r="B4449" t="str">
        <f>"1551603822910253"</f>
        <v>1551603822910253</v>
      </c>
      <c r="C4449" t="s">
        <v>40</v>
      </c>
      <c r="D4449">
        <v>4.6991350000000001</v>
      </c>
      <c r="E4449">
        <v>0.61331550000000001</v>
      </c>
      <c r="F4449" t="s">
        <v>42</v>
      </c>
      <c r="G4449">
        <v>-178.29339999999999</v>
      </c>
      <c r="H4449">
        <v>7.9985860000000006E-2</v>
      </c>
      <c r="I4449">
        <v>176.08529999999999</v>
      </c>
      <c r="J4449">
        <v>-200.31630000000001</v>
      </c>
      <c r="K4449">
        <v>1.113281</v>
      </c>
      <c r="L4449">
        <v>211.37469999999999</v>
      </c>
      <c r="M4449">
        <v>0.90257330000000002</v>
      </c>
      <c r="N4449">
        <v>-1.498876E-2</v>
      </c>
      <c r="O4449">
        <v>-0.43027559999999898</v>
      </c>
      <c r="P4449">
        <v>0.72639750000000003</v>
      </c>
      <c r="Q4449">
        <v>0.15130739999999901</v>
      </c>
      <c r="R4449">
        <v>-0.67041309999999998</v>
      </c>
      <c r="S4449">
        <v>1.685608</v>
      </c>
      <c r="T4449">
        <v>-7.8301670000000004E-2</v>
      </c>
      <c r="U4449">
        <v>-2.6826020000000002</v>
      </c>
      <c r="V4449">
        <v>0.29593449999999999</v>
      </c>
      <c r="W4449">
        <v>0.15936220000000001</v>
      </c>
      <c r="X4449">
        <v>0.94182089999999996</v>
      </c>
      <c r="Y4449">
        <v>0.53512680000000001</v>
      </c>
      <c r="Z4449">
        <v>-6.2131690000000002E-3</v>
      </c>
      <c r="AA4449">
        <v>0.84474889999999903</v>
      </c>
      <c r="AB4449">
        <v>25</v>
      </c>
      <c r="AC4449">
        <v>22.0229</v>
      </c>
      <c r="AD4449">
        <v>-1.0332951399999999</v>
      </c>
      <c r="AE4449">
        <v>-35.289400000000001</v>
      </c>
      <c r="AF4449">
        <v>22.3640644657346</v>
      </c>
      <c r="AG4449">
        <v>-1.0332951399999999</v>
      </c>
      <c r="AH4449">
        <v>35.043759422621903</v>
      </c>
      <c r="AI4449">
        <v>91.423831310543505</v>
      </c>
      <c r="AJ4449">
        <v>57.454983431826903</v>
      </c>
      <c r="AK4449">
        <v>41.584662470007899</v>
      </c>
      <c r="AL4449">
        <v>80.830122700162704</v>
      </c>
      <c r="AM4449">
        <v>72.556485440649595</v>
      </c>
      <c r="AN4449">
        <v>1.0000000733779399</v>
      </c>
    </row>
    <row r="4450" spans="1:40" x14ac:dyDescent="0.25">
      <c r="A4450" t="str">
        <f>"20190303170342946"</f>
        <v>20190303170342946</v>
      </c>
      <c r="B4450" t="str">
        <f>"1551603822939532"</f>
        <v>1551603822939532</v>
      </c>
      <c r="C4450" t="s">
        <v>40</v>
      </c>
      <c r="D4450">
        <v>4.7250189999999996</v>
      </c>
      <c r="E4450">
        <v>0.60729140000000004</v>
      </c>
      <c r="F4450" t="s">
        <v>42</v>
      </c>
      <c r="G4450">
        <v>-175.44880000000001</v>
      </c>
      <c r="H4450">
        <v>7.9985860000000006E-2</v>
      </c>
      <c r="I4450">
        <v>170.66159999999999</v>
      </c>
      <c r="J4450">
        <v>-200.08250000000001</v>
      </c>
      <c r="K4450">
        <v>1.113027</v>
      </c>
      <c r="L4450">
        <v>211.2466</v>
      </c>
      <c r="M4450">
        <v>0.89666179999999995</v>
      </c>
      <c r="N4450">
        <v>-1.5064879999999999E-2</v>
      </c>
      <c r="O4450">
        <v>-0.44246010000000002</v>
      </c>
      <c r="P4450">
        <v>0.71450069999999999</v>
      </c>
      <c r="Q4450">
        <v>0.1519596</v>
      </c>
      <c r="R4450">
        <v>-0.68293300000000001</v>
      </c>
      <c r="S4450">
        <v>1.650436</v>
      </c>
      <c r="T4450">
        <v>-6.8578840000000002E-2</v>
      </c>
      <c r="U4450">
        <v>-2.7020870000000001</v>
      </c>
      <c r="V4450">
        <v>0.29972409999999999</v>
      </c>
      <c r="W4450">
        <v>0.15980510000000001</v>
      </c>
      <c r="X4450">
        <v>0.94054660000000001</v>
      </c>
      <c r="Y4450">
        <v>0.53442970000000001</v>
      </c>
      <c r="Z4450">
        <v>-6.6223130000000003E-3</v>
      </c>
      <c r="AA4450">
        <v>0.84518700000000002</v>
      </c>
      <c r="AB4450">
        <v>25</v>
      </c>
      <c r="AC4450">
        <v>24.633700000000001</v>
      </c>
      <c r="AD4450">
        <v>-1.0330411399999999</v>
      </c>
      <c r="AE4450">
        <v>-40.585000000000001</v>
      </c>
      <c r="AF4450">
        <v>25.482414393118699</v>
      </c>
      <c r="AG4450">
        <v>-1.0330411399999999</v>
      </c>
      <c r="AH4450">
        <v>40.030927097043801</v>
      </c>
      <c r="AI4450">
        <v>91.2471077996872</v>
      </c>
      <c r="AJ4450">
        <v>57.520466977663197</v>
      </c>
      <c r="AK4450">
        <v>47.4646788838647</v>
      </c>
      <c r="AL4450">
        <v>80.804416809838003</v>
      </c>
      <c r="AM4450">
        <v>72.324473668046494</v>
      </c>
      <c r="AN4450">
        <v>1.00000005643918</v>
      </c>
    </row>
    <row r="4451" spans="1:40" x14ac:dyDescent="0.25">
      <c r="A4451" t="str">
        <f>"20190303170342967"</f>
        <v>20190303170342967</v>
      </c>
      <c r="B4451" t="str">
        <f>"1551603822960029"</f>
        <v>1551603822960029</v>
      </c>
      <c r="C4451" t="s">
        <v>40</v>
      </c>
      <c r="D4451">
        <v>4.8672979999999999</v>
      </c>
      <c r="E4451">
        <v>0.60848500000000005</v>
      </c>
      <c r="F4451" t="s">
        <v>44</v>
      </c>
      <c r="G4451">
        <v>-166.53290000000001</v>
      </c>
      <c r="H4451">
        <v>-0.05</v>
      </c>
      <c r="I4451">
        <v>155.9479</v>
      </c>
      <c r="J4451">
        <v>-199.8656</v>
      </c>
      <c r="K4451">
        <v>1.1127940000000001</v>
      </c>
      <c r="L4451">
        <v>211.12360000000001</v>
      </c>
      <c r="M4451">
        <v>0.89080149999999902</v>
      </c>
      <c r="N4451">
        <v>-1.513931E-2</v>
      </c>
      <c r="O4451">
        <v>-0.45414070000000001</v>
      </c>
      <c r="P4451">
        <v>0.70284460000000004</v>
      </c>
      <c r="Q4451">
        <v>0.15033050000000001</v>
      </c>
      <c r="R4451">
        <v>-0.69527729999999999</v>
      </c>
      <c r="S4451">
        <v>1.634979</v>
      </c>
      <c r="T4451">
        <v>-5.6678060000000002E-2</v>
      </c>
      <c r="U4451">
        <v>-2.6948850000000002</v>
      </c>
      <c r="V4451">
        <v>0.30372159999999998</v>
      </c>
      <c r="W4451">
        <v>0.15797659999999999</v>
      </c>
      <c r="X4451">
        <v>0.93957259999999998</v>
      </c>
      <c r="Y4451">
        <v>0.52592779999999995</v>
      </c>
      <c r="Z4451">
        <v>-7.0969900000000001E-3</v>
      </c>
      <c r="AA4451">
        <v>0.85049959999999902</v>
      </c>
      <c r="AB4451">
        <v>25</v>
      </c>
      <c r="AC4451">
        <v>33.332699999999903</v>
      </c>
      <c r="AD4451">
        <v>-1.1627940000000001</v>
      </c>
      <c r="AE4451">
        <v>-55.175699999999999</v>
      </c>
      <c r="AF4451">
        <v>34.005689512801901</v>
      </c>
      <c r="AG4451">
        <v>-1.1627940000000001</v>
      </c>
      <c r="AH4451">
        <v>54.738806892550102</v>
      </c>
      <c r="AI4451">
        <v>91.033741040291901</v>
      </c>
      <c r="AJ4451">
        <v>58.149982590307602</v>
      </c>
      <c r="AK4451">
        <v>64.452121680728396</v>
      </c>
      <c r="AL4451">
        <v>80.910530082778706</v>
      </c>
      <c r="AM4451">
        <v>72.086310977742301</v>
      </c>
      <c r="AN4451">
        <v>1.0000000435624301</v>
      </c>
    </row>
    <row r="4452" spans="1:40" x14ac:dyDescent="0.25">
      <c r="A4452" t="str">
        <f>"20190303170342989"</f>
        <v>20190303170342989</v>
      </c>
      <c r="B4452" t="str">
        <f>"1551603822979549"</f>
        <v>1551603822979549</v>
      </c>
      <c r="C4452" t="s">
        <v>40</v>
      </c>
      <c r="D4452">
        <v>5.0337509999999996</v>
      </c>
      <c r="E4452">
        <v>0.639115199999999</v>
      </c>
      <c r="F4452" t="s">
        <v>44</v>
      </c>
      <c r="G4452">
        <v>-171.42410000000001</v>
      </c>
      <c r="H4452">
        <v>-0.05</v>
      </c>
      <c r="I4452">
        <v>162.102</v>
      </c>
      <c r="J4452">
        <v>-199.6508</v>
      </c>
      <c r="K4452">
        <v>1.112565</v>
      </c>
      <c r="L4452">
        <v>210.99770000000001</v>
      </c>
      <c r="M4452">
        <v>0.88462109999999905</v>
      </c>
      <c r="N4452">
        <v>-1.5217410000000001E-2</v>
      </c>
      <c r="O4452">
        <v>-0.4660627</v>
      </c>
      <c r="P4452">
        <v>0.69174409999999997</v>
      </c>
      <c r="Q4452">
        <v>0.14937059999999999</v>
      </c>
      <c r="R4452">
        <v>-0.7065264</v>
      </c>
      <c r="S4452">
        <v>1.583054</v>
      </c>
      <c r="T4452">
        <v>-6.4721109999999998E-2</v>
      </c>
      <c r="U4452">
        <v>-2.7285460000000001</v>
      </c>
      <c r="V4452">
        <v>0.30623820000000002</v>
      </c>
      <c r="W4452">
        <v>0.15685589999999999</v>
      </c>
      <c r="X4452">
        <v>0.93894330000000004</v>
      </c>
      <c r="Y4452">
        <v>0.53114499999999998</v>
      </c>
      <c r="Z4452">
        <v>-6.6219850000000004E-3</v>
      </c>
      <c r="AA4452">
        <v>0.84725509999999904</v>
      </c>
      <c r="AB4452">
        <v>25</v>
      </c>
      <c r="AC4452">
        <v>28.226699999999902</v>
      </c>
      <c r="AD4452">
        <v>-1.1625650000000001</v>
      </c>
      <c r="AE4452">
        <v>-48.895699999999998</v>
      </c>
      <c r="AF4452">
        <v>30.0894756192824</v>
      </c>
      <c r="AG4452">
        <v>-1.1625650000000001</v>
      </c>
      <c r="AH4452">
        <v>47.743671118183002</v>
      </c>
      <c r="AI4452">
        <v>91.180144011531993</v>
      </c>
      <c r="AJ4452">
        <v>57.7796551454162</v>
      </c>
      <c r="AK4452">
        <v>56.446312831431499</v>
      </c>
      <c r="AL4452">
        <v>80.975552327591203</v>
      </c>
      <c r="AM4452">
        <v>71.936161537098798</v>
      </c>
      <c r="AN4452">
        <v>1.00000006455946</v>
      </c>
    </row>
    <row r="4453" spans="1:40" x14ac:dyDescent="0.25">
      <c r="A4453" t="str">
        <f>"20190303170343011"</f>
        <v>20190303170343011</v>
      </c>
      <c r="B4453" t="str">
        <f>"1551603823000045"</f>
        <v>1551603823000045</v>
      </c>
      <c r="C4453" t="s">
        <v>40</v>
      </c>
      <c r="D4453">
        <v>4.9876630000000004</v>
      </c>
      <c r="E4453">
        <v>0.64804019999999996</v>
      </c>
      <c r="F4453" t="s">
        <v>42</v>
      </c>
      <c r="G4453">
        <v>-176.495</v>
      </c>
      <c r="H4453">
        <v>7.9985920000000002E-2</v>
      </c>
      <c r="I4453">
        <v>161.30279999999999</v>
      </c>
      <c r="J4453">
        <v>-199.4393</v>
      </c>
      <c r="K4453">
        <v>1.1123419999999999</v>
      </c>
      <c r="L4453">
        <v>210.86930000000001</v>
      </c>
      <c r="M4453">
        <v>0.87815140000000003</v>
      </c>
      <c r="N4453">
        <v>-1.5297120000000001E-2</v>
      </c>
      <c r="O4453">
        <v>-0.47813830000000002</v>
      </c>
      <c r="P4453">
        <v>0.68201080000000003</v>
      </c>
      <c r="Q4453">
        <v>0.15097289999999999</v>
      </c>
      <c r="R4453">
        <v>-0.71558959999999905</v>
      </c>
      <c r="S4453">
        <v>1.3627929999999999</v>
      </c>
      <c r="T4453">
        <v>-6.077051E-2</v>
      </c>
      <c r="U4453">
        <v>-2.9246979999999998</v>
      </c>
      <c r="V4453">
        <v>0.306052299999999</v>
      </c>
      <c r="W4453">
        <v>0.15836789999999901</v>
      </c>
      <c r="X4453">
        <v>0.93874999999999997</v>
      </c>
      <c r="Y4453">
        <v>0.59390259999999995</v>
      </c>
      <c r="Z4453">
        <v>-8.1762540000000009E-3</v>
      </c>
      <c r="AA4453">
        <v>0.80449550000000003</v>
      </c>
      <c r="AB4453">
        <v>25</v>
      </c>
      <c r="AC4453">
        <v>22.944299999999998</v>
      </c>
      <c r="AD4453">
        <v>-1.03235608</v>
      </c>
      <c r="AE4453">
        <v>-49.566499999999998</v>
      </c>
      <c r="AF4453">
        <v>32.548522884217199</v>
      </c>
      <c r="AG4453">
        <v>-1.03235608</v>
      </c>
      <c r="AH4453">
        <v>43.837679070734303</v>
      </c>
      <c r="AI4453">
        <v>91.083199886090995</v>
      </c>
      <c r="AJ4453">
        <v>53.406917229645998</v>
      </c>
      <c r="AK4453">
        <v>54.609653059958497</v>
      </c>
      <c r="AL4453">
        <v>80.887823852546603</v>
      </c>
      <c r="AM4453">
        <v>71.942939189027001</v>
      </c>
      <c r="AN4453">
        <v>0.99999998229284903</v>
      </c>
    </row>
    <row r="4454" spans="1:40" x14ac:dyDescent="0.25">
      <c r="A4454" t="str">
        <f>"20190303170343036"</f>
        <v>20190303170343036</v>
      </c>
      <c r="B4454" t="str">
        <f>"1551603823030301"</f>
        <v>1551603823030301</v>
      </c>
      <c r="C4454" t="s">
        <v>40</v>
      </c>
      <c r="D4454">
        <v>4.9847460000000003</v>
      </c>
      <c r="E4454">
        <v>0.69247760000000003</v>
      </c>
      <c r="F4454" t="s">
        <v>42</v>
      </c>
      <c r="G4454">
        <v>-163.84440000000001</v>
      </c>
      <c r="H4454">
        <v>7.9985539999999994E-2</v>
      </c>
      <c r="I4454">
        <v>127.015</v>
      </c>
      <c r="J4454">
        <v>-199.2123</v>
      </c>
      <c r="K4454">
        <v>1.1120989999999999</v>
      </c>
      <c r="L4454">
        <v>210.7269</v>
      </c>
      <c r="M4454">
        <v>0.87077159999999998</v>
      </c>
      <c r="N4454">
        <v>-1.538373E-2</v>
      </c>
      <c r="O4454">
        <v>-0.49144759999999998</v>
      </c>
      <c r="P4454">
        <v>0.66943399999999997</v>
      </c>
      <c r="Q4454">
        <v>0.15248699999999901</v>
      </c>
      <c r="R4454">
        <v>-0.72705359999999997</v>
      </c>
      <c r="S4454">
        <v>1.2693479999999999</v>
      </c>
      <c r="T4454">
        <v>-3.6814810000000003E-2</v>
      </c>
      <c r="U4454">
        <v>-2.990326</v>
      </c>
      <c r="V4454">
        <v>0.3079867</v>
      </c>
      <c r="W4454">
        <v>0.15972929999999999</v>
      </c>
      <c r="X4454">
        <v>0.93788629999999995</v>
      </c>
      <c r="Y4454">
        <v>0.60946109999999998</v>
      </c>
      <c r="Z4454">
        <v>-9.9020250000000001E-3</v>
      </c>
      <c r="AA4454">
        <v>0.79275410000000002</v>
      </c>
      <c r="AB4454">
        <v>25</v>
      </c>
      <c r="AC4454">
        <v>35.367899999999899</v>
      </c>
      <c r="AD4454">
        <v>-1.0321134599999999</v>
      </c>
      <c r="AE4454">
        <v>-83.7119</v>
      </c>
      <c r="AF4454">
        <v>55.511868925847203</v>
      </c>
      <c r="AG4454">
        <v>-1.0321134599999999</v>
      </c>
      <c r="AH4454">
        <v>71.936589133328198</v>
      </c>
      <c r="AI4454">
        <v>90.650781159120399</v>
      </c>
      <c r="AJ4454">
        <v>52.343428151340603</v>
      </c>
      <c r="AK4454">
        <v>90.870818781234803</v>
      </c>
      <c r="AL4454">
        <v>80.8088156731108</v>
      </c>
      <c r="AM4454">
        <v>71.820655846407007</v>
      </c>
      <c r="AN4454">
        <v>0.99999998419153502</v>
      </c>
    </row>
    <row r="4455" spans="1:40" x14ac:dyDescent="0.25">
      <c r="A4455" t="str">
        <f>"20190303170343057"</f>
        <v>20190303170343057</v>
      </c>
      <c r="B4455" t="str">
        <f>"1551603823049898"</f>
        <v>1551603823049898</v>
      </c>
      <c r="C4455" t="s">
        <v>40</v>
      </c>
      <c r="D4455">
        <v>4.9481729999999997</v>
      </c>
      <c r="E4455">
        <v>0.69213249999999904</v>
      </c>
      <c r="F4455" t="s">
        <v>59</v>
      </c>
      <c r="G4455">
        <v>-168.977</v>
      </c>
      <c r="H4455">
        <v>3.3937129999999902</v>
      </c>
      <c r="I4455">
        <v>106.3023</v>
      </c>
      <c r="J4455">
        <v>-199.00399999999999</v>
      </c>
      <c r="K4455">
        <v>1.111893</v>
      </c>
      <c r="L4455">
        <v>210.5908</v>
      </c>
      <c r="M4455">
        <v>0.86354880000000001</v>
      </c>
      <c r="N4455">
        <v>-1.54644E-2</v>
      </c>
      <c r="O4455">
        <v>-0.50402840000000004</v>
      </c>
      <c r="P4455">
        <v>0.65724099999999996</v>
      </c>
      <c r="Q4455">
        <v>0.15211150000000001</v>
      </c>
      <c r="R4455">
        <v>-0.73817129999999997</v>
      </c>
      <c r="S4455">
        <v>0.93986510000000001</v>
      </c>
      <c r="T4455">
        <v>7.092416E-2</v>
      </c>
      <c r="U4455">
        <v>-3.2460330000000002</v>
      </c>
      <c r="V4455">
        <v>0.31013249999999998</v>
      </c>
      <c r="W4455">
        <v>0.1592162</v>
      </c>
      <c r="X4455">
        <v>0.93726620000000005</v>
      </c>
      <c r="Y4455">
        <v>0.68947760000000002</v>
      </c>
      <c r="Z4455">
        <v>-1.6464070000000001E-2</v>
      </c>
      <c r="AA4455">
        <v>0.72411979999999998</v>
      </c>
      <c r="AB4455">
        <v>25</v>
      </c>
      <c r="AC4455">
        <v>30.027000000000001</v>
      </c>
      <c r="AD4455">
        <v>2.2818200000000002</v>
      </c>
      <c r="AE4455">
        <v>-104.2885</v>
      </c>
      <c r="AF4455">
        <v>74.899585651834599</v>
      </c>
      <c r="AG4455">
        <v>2.2818200000000002</v>
      </c>
      <c r="AH4455">
        <v>78.468831561921306</v>
      </c>
      <c r="AI4455">
        <v>88.794960010932499</v>
      </c>
      <c r="AJ4455">
        <v>46.3331676927723</v>
      </c>
      <c r="AK4455">
        <v>108.50120810397399</v>
      </c>
      <c r="AL4455">
        <v>80.838594911106398</v>
      </c>
      <c r="AM4455">
        <v>71.691109976305299</v>
      </c>
      <c r="AN4455">
        <v>0.999999947780563</v>
      </c>
    </row>
    <row r="4456" spans="1:40" x14ac:dyDescent="0.25">
      <c r="A4456" t="str">
        <f>"20190303170343079"</f>
        <v>20190303170343079</v>
      </c>
      <c r="B4456" t="str">
        <f>"1551603823070395"</f>
        <v>1551603823070395</v>
      </c>
      <c r="C4456" t="s">
        <v>40</v>
      </c>
      <c r="D4456">
        <v>4.9913699999999999</v>
      </c>
      <c r="E4456">
        <v>0.69125879999999995</v>
      </c>
      <c r="F4456" t="s">
        <v>59</v>
      </c>
      <c r="G4456">
        <v>-168.85929999999999</v>
      </c>
      <c r="H4456">
        <v>3.2924609999999999</v>
      </c>
      <c r="I4456">
        <v>100.1105</v>
      </c>
      <c r="J4456">
        <v>-198.8005</v>
      </c>
      <c r="K4456">
        <v>1.1117220000000001</v>
      </c>
      <c r="L4456">
        <v>210.45339999999999</v>
      </c>
      <c r="M4456">
        <v>0.85609760000000001</v>
      </c>
      <c r="N4456">
        <v>-1.5540780000000001E-2</v>
      </c>
      <c r="O4456">
        <v>-0.51658059999999995</v>
      </c>
      <c r="P4456">
        <v>0.64609430000000001</v>
      </c>
      <c r="Q4456">
        <v>0.15061949999999999</v>
      </c>
      <c r="R4456">
        <v>-0.74824849999999998</v>
      </c>
      <c r="S4456">
        <v>0.88923649999999999</v>
      </c>
      <c r="T4456">
        <v>6.4324740000000005E-2</v>
      </c>
      <c r="U4456">
        <v>-3.2590479999999999</v>
      </c>
      <c r="V4456">
        <v>0.3108011</v>
      </c>
      <c r="W4456">
        <v>0.1576494</v>
      </c>
      <c r="X4456">
        <v>0.93730959999999997</v>
      </c>
      <c r="Y4456">
        <v>0.69009549999999997</v>
      </c>
      <c r="Z4456">
        <v>-1.666347E-2</v>
      </c>
      <c r="AA4456">
        <v>0.72352640000000001</v>
      </c>
      <c r="AB4456">
        <v>25</v>
      </c>
      <c r="AC4456">
        <v>29.941199999999998</v>
      </c>
      <c r="AD4456">
        <v>2.180739</v>
      </c>
      <c r="AE4456">
        <v>-110.3429</v>
      </c>
      <c r="AF4456">
        <v>78.978052505902497</v>
      </c>
      <c r="AG4456">
        <v>2.180739</v>
      </c>
      <c r="AH4456">
        <v>82.613511018730705</v>
      </c>
      <c r="AI4456">
        <v>88.906899582287593</v>
      </c>
      <c r="AJ4456">
        <v>46.2888129323279</v>
      </c>
      <c r="AK4456">
        <v>114.312206710627</v>
      </c>
      <c r="AL4456">
        <v>80.929514505198796</v>
      </c>
      <c r="AM4456">
        <v>71.655071787478903</v>
      </c>
      <c r="AN4456">
        <v>0.99999997166686405</v>
      </c>
    </row>
    <row r="4457" spans="1:40" x14ac:dyDescent="0.25">
      <c r="A4457" t="str">
        <f>"20190303170343102"</f>
        <v>20190303170343102</v>
      </c>
      <c r="B4457" t="str">
        <f>"1551603823089915"</f>
        <v>1551603823089915</v>
      </c>
      <c r="C4457" t="s">
        <v>40</v>
      </c>
      <c r="D4457">
        <v>5.0026910000000004</v>
      </c>
      <c r="E4457">
        <v>0.68989699999999998</v>
      </c>
      <c r="F4457" t="s">
        <v>59</v>
      </c>
      <c r="G4457">
        <v>-168.85929999999999</v>
      </c>
      <c r="H4457">
        <v>3.2933650000000001</v>
      </c>
      <c r="I4457">
        <v>94.548069999999996</v>
      </c>
      <c r="J4457">
        <v>-198.58609999999999</v>
      </c>
      <c r="K4457">
        <v>1.111559</v>
      </c>
      <c r="L4457">
        <v>210.30330000000001</v>
      </c>
      <c r="M4457">
        <v>0.84780339999999998</v>
      </c>
      <c r="N4457">
        <v>-1.561648E-2</v>
      </c>
      <c r="O4457">
        <v>-0.53008089999999997</v>
      </c>
      <c r="P4457">
        <v>0.6343548</v>
      </c>
      <c r="Q4457">
        <v>0.14991109999999999</v>
      </c>
      <c r="R4457">
        <v>-0.75836740000000002</v>
      </c>
      <c r="S4457">
        <v>0.84420779999999995</v>
      </c>
      <c r="T4457">
        <v>6.1512829999999998E-2</v>
      </c>
      <c r="U4457">
        <v>-3.268005</v>
      </c>
      <c r="V4457">
        <v>0.31071949999999998</v>
      </c>
      <c r="W4457">
        <v>0.156897799999999</v>
      </c>
      <c r="X4457">
        <v>0.93746280000000004</v>
      </c>
      <c r="Y4457">
        <v>0.68843980000000005</v>
      </c>
      <c r="Z4457">
        <v>-1.705514E-2</v>
      </c>
      <c r="AA4457">
        <v>0.72509290000000004</v>
      </c>
      <c r="AB4457">
        <v>25</v>
      </c>
      <c r="AC4457">
        <v>29.726800000000001</v>
      </c>
      <c r="AD4457">
        <v>2.1818059999999999</v>
      </c>
      <c r="AE4457">
        <v>-115.75523</v>
      </c>
      <c r="AF4457">
        <v>82.362655670637807</v>
      </c>
      <c r="AG4457">
        <v>2.1818059999999999</v>
      </c>
      <c r="AH4457">
        <v>86.543821640166996</v>
      </c>
      <c r="AI4457">
        <v>88.9537724244895</v>
      </c>
      <c r="AJ4457">
        <v>46.418028795521899</v>
      </c>
      <c r="AK4457">
        <v>119.49142392082599</v>
      </c>
      <c r="AL4457">
        <v>80.9731210799754</v>
      </c>
      <c r="AM4457">
        <v>71.662362483885701</v>
      </c>
      <c r="AN4457">
        <v>1.0000000143544601</v>
      </c>
    </row>
    <row r="4458" spans="1:40" x14ac:dyDescent="0.25">
      <c r="A4458" t="str">
        <f>"20190303170343126"</f>
        <v>20190303170343126</v>
      </c>
      <c r="B4458" t="str">
        <f>"1551603823120170"</f>
        <v>1551603823120170</v>
      </c>
      <c r="C4458" t="s">
        <v>40</v>
      </c>
      <c r="D4458">
        <v>5.0071979999999998</v>
      </c>
      <c r="E4458">
        <v>0.68831489999999995</v>
      </c>
      <c r="F4458" t="s">
        <v>59</v>
      </c>
      <c r="G4458">
        <v>-169.67240000000001</v>
      </c>
      <c r="H4458">
        <v>3.2353239999999999</v>
      </c>
      <c r="I4458">
        <v>92.156229999999994</v>
      </c>
      <c r="J4458">
        <v>-198.3783</v>
      </c>
      <c r="K4458">
        <v>1.111418</v>
      </c>
      <c r="L4458">
        <v>210.15270000000001</v>
      </c>
      <c r="M4458">
        <v>0.83931520000000004</v>
      </c>
      <c r="N4458">
        <v>-1.5686189999999999E-2</v>
      </c>
      <c r="O4458">
        <v>-0.54341890000000004</v>
      </c>
      <c r="P4458">
        <v>0.62233899999999998</v>
      </c>
      <c r="Q4458">
        <v>0.15152750000000001</v>
      </c>
      <c r="R4458">
        <v>-0.76794169999999995</v>
      </c>
      <c r="S4458">
        <v>0.80123900000000003</v>
      </c>
      <c r="T4458">
        <v>5.8852670000000003E-2</v>
      </c>
      <c r="U4458">
        <v>-3.2740170000000002</v>
      </c>
      <c r="V4458">
        <v>0.31048130000000002</v>
      </c>
      <c r="W4458">
        <v>0.15848180000000001</v>
      </c>
      <c r="X4458">
        <v>0.93727519999999998</v>
      </c>
      <c r="Y4458">
        <v>0.68623829999999997</v>
      </c>
      <c r="Z4458">
        <v>-1.742003E-2</v>
      </c>
      <c r="AA4458">
        <v>0.72716809999999998</v>
      </c>
      <c r="AB4458">
        <v>25</v>
      </c>
      <c r="AC4458">
        <v>28.7058999999999</v>
      </c>
      <c r="AD4458">
        <v>2.1239059999999998</v>
      </c>
      <c r="AE4458">
        <v>-117.99647</v>
      </c>
      <c r="AF4458">
        <v>83.4216448282058</v>
      </c>
      <c r="AG4458">
        <v>2.1239059999999998</v>
      </c>
      <c r="AH4458">
        <v>88.198679048468605</v>
      </c>
      <c r="AI4458">
        <v>88.997713858705893</v>
      </c>
      <c r="AJ4458">
        <v>46.594410493822103</v>
      </c>
      <c r="AK4458">
        <v>121.419474502383</v>
      </c>
      <c r="AL4458">
        <v>80.8812141834361</v>
      </c>
      <c r="AM4458">
        <v>71.672058111795195</v>
      </c>
      <c r="AN4458">
        <v>0.99999995955798404</v>
      </c>
    </row>
    <row r="4459" spans="1:40" x14ac:dyDescent="0.25">
      <c r="A4459" t="str">
        <f>"20190303170343148"</f>
        <v>20190303170343148</v>
      </c>
      <c r="B4459" t="str">
        <f>"1551603823139690"</f>
        <v>1551603823139690</v>
      </c>
      <c r="C4459" t="s">
        <v>40</v>
      </c>
      <c r="D4459">
        <v>5.0455240000000003</v>
      </c>
      <c r="E4459">
        <v>0.67501099999999903</v>
      </c>
      <c r="F4459" t="s">
        <v>59</v>
      </c>
      <c r="G4459">
        <v>-168.85939999999999</v>
      </c>
      <c r="H4459">
        <v>3.4304760000000001</v>
      </c>
      <c r="I4459">
        <v>82.973879999999994</v>
      </c>
      <c r="J4459">
        <v>-198.17570000000001</v>
      </c>
      <c r="K4459">
        <v>1.111297</v>
      </c>
      <c r="L4459">
        <v>210.00069999999999</v>
      </c>
      <c r="M4459">
        <v>0.83058430000000005</v>
      </c>
      <c r="N4459">
        <v>-1.5753489999999998E-2</v>
      </c>
      <c r="O4459">
        <v>-0.55667009999999995</v>
      </c>
      <c r="P4459">
        <v>0.60984939999999999</v>
      </c>
      <c r="Q4459">
        <v>0.15376809999999999</v>
      </c>
      <c r="R4459">
        <v>-0.77745690000000001</v>
      </c>
      <c r="S4459">
        <v>0.76087950000000004</v>
      </c>
      <c r="T4459">
        <v>5.9776070000000001E-2</v>
      </c>
      <c r="U4459">
        <v>-3.2781519999999902</v>
      </c>
      <c r="V4459">
        <v>0.3104925</v>
      </c>
      <c r="W4459">
        <v>0.1606881</v>
      </c>
      <c r="X4459">
        <v>0.93689579999999995</v>
      </c>
      <c r="Y4459">
        <v>0.68337490000000001</v>
      </c>
      <c r="Z4459">
        <v>-1.7997229999999999E-2</v>
      </c>
      <c r="AA4459">
        <v>0.72984569999999904</v>
      </c>
      <c r="AB4459">
        <v>24</v>
      </c>
      <c r="AC4459">
        <v>29.316299999999998</v>
      </c>
      <c r="AD4459">
        <v>2.3191790000000001</v>
      </c>
      <c r="AE4459">
        <v>-127.02682</v>
      </c>
      <c r="AF4459">
        <v>89.169821222432802</v>
      </c>
      <c r="AG4459">
        <v>2.3191790000000001</v>
      </c>
      <c r="AH4459">
        <v>95.043407715236498</v>
      </c>
      <c r="AI4459">
        <v>88.980506173252806</v>
      </c>
      <c r="AJ4459">
        <v>46.826240953357598</v>
      </c>
      <c r="AK4459">
        <v>130.345252917777</v>
      </c>
      <c r="AL4459">
        <v>80.753161740554802</v>
      </c>
      <c r="AM4459">
        <v>71.664515296490293</v>
      </c>
      <c r="AN4459">
        <v>0.99999999904774906</v>
      </c>
    </row>
    <row r="4460" spans="1:40" x14ac:dyDescent="0.25">
      <c r="A4460" t="str">
        <f>"20190303170343169"</f>
        <v>20190303170343169</v>
      </c>
      <c r="B4460" t="str">
        <f>"1551603823160186"</f>
        <v>1551603823160186</v>
      </c>
      <c r="C4460" t="s">
        <v>40</v>
      </c>
      <c r="D4460">
        <v>5.0219680000000002</v>
      </c>
      <c r="E4460">
        <v>0.67320519999999995</v>
      </c>
      <c r="F4460" t="s">
        <v>59</v>
      </c>
      <c r="G4460">
        <v>-169.5351</v>
      </c>
      <c r="H4460">
        <v>2.8616519999999999</v>
      </c>
      <c r="I4460">
        <v>93.990650000000002</v>
      </c>
      <c r="J4460">
        <v>-197.98609999999999</v>
      </c>
      <c r="K4460">
        <v>1.1111930000000001</v>
      </c>
      <c r="L4460">
        <v>209.85339999999999</v>
      </c>
      <c r="M4460">
        <v>0.82199310000000003</v>
      </c>
      <c r="N4460">
        <v>-1.581685E-2</v>
      </c>
      <c r="O4460">
        <v>-0.569277699999999</v>
      </c>
      <c r="P4460">
        <v>0.59801599999999999</v>
      </c>
      <c r="Q4460">
        <v>0.1546312</v>
      </c>
      <c r="R4460">
        <v>-0.78642609999999902</v>
      </c>
      <c r="S4460">
        <v>0.79609680000000005</v>
      </c>
      <c r="T4460">
        <v>4.865324E-2</v>
      </c>
      <c r="U4460">
        <v>-3.2246250000000001</v>
      </c>
      <c r="V4460">
        <v>0.31030170000000001</v>
      </c>
      <c r="W4460">
        <v>0.16153049999999999</v>
      </c>
      <c r="X4460">
        <v>0.93681420000000004</v>
      </c>
      <c r="Y4460">
        <v>0.66172940000000002</v>
      </c>
      <c r="Z4460">
        <v>-1.7706179999999998E-2</v>
      </c>
      <c r="AA4460">
        <v>0.74953369999999997</v>
      </c>
      <c r="AB4460">
        <v>24</v>
      </c>
      <c r="AC4460">
        <v>28.451000000000001</v>
      </c>
      <c r="AD4460">
        <v>1.75045899999999</v>
      </c>
      <c r="AE4460">
        <v>-115.86275000000001</v>
      </c>
      <c r="AF4460">
        <v>79.034738945075304</v>
      </c>
      <c r="AG4460">
        <v>1.75045899999999</v>
      </c>
      <c r="AH4460">
        <v>89.336554910676995</v>
      </c>
      <c r="AI4460">
        <v>89.159226623244393</v>
      </c>
      <c r="AJ4460">
        <v>48.501283711715899</v>
      </c>
      <c r="AK4460">
        <v>119.29197001531701</v>
      </c>
      <c r="AL4460">
        <v>80.704257353391</v>
      </c>
      <c r="AM4460">
        <v>71.673540067404502</v>
      </c>
      <c r="AN4460">
        <v>1.0000000463873799</v>
      </c>
    </row>
    <row r="4461" spans="1:40" x14ac:dyDescent="0.25">
      <c r="A4461" t="str">
        <f>"20190303170343191"</f>
        <v>20190303170343191</v>
      </c>
      <c r="B4461" t="str">
        <f>"1551603823179706"</f>
        <v>1551603823179706</v>
      </c>
      <c r="C4461" t="s">
        <v>40</v>
      </c>
      <c r="D4461">
        <v>5.0513709999999996</v>
      </c>
      <c r="E4461">
        <v>0.67142800000000002</v>
      </c>
      <c r="F4461" t="s">
        <v>59</v>
      </c>
      <c r="G4461">
        <v>-168.85919999999999</v>
      </c>
      <c r="H4461">
        <v>3.0753210000000002</v>
      </c>
      <c r="I4461">
        <v>86.006550000000004</v>
      </c>
      <c r="J4461">
        <v>-197.7929</v>
      </c>
      <c r="K4461">
        <v>1.111078</v>
      </c>
      <c r="L4461">
        <v>209.69839999999999</v>
      </c>
      <c r="M4461">
        <v>0.81280180000000002</v>
      </c>
      <c r="N4461">
        <v>-1.588096E-2</v>
      </c>
      <c r="O4461">
        <v>-0.58232399999999995</v>
      </c>
      <c r="P4461">
        <v>0.58612419999999898</v>
      </c>
      <c r="Q4461">
        <v>0.15431320000000001</v>
      </c>
      <c r="R4461">
        <v>-0.7953905</v>
      </c>
      <c r="S4461">
        <v>0.75904850000000001</v>
      </c>
      <c r="T4461">
        <v>5.1185609999999999E-2</v>
      </c>
      <c r="U4461">
        <v>-3.2274630000000002</v>
      </c>
      <c r="V4461">
        <v>0.30952039999999997</v>
      </c>
      <c r="W4461">
        <v>0.16121469999999999</v>
      </c>
      <c r="X4461">
        <v>0.93712700000000004</v>
      </c>
      <c r="Y4461">
        <v>0.65804569999999996</v>
      </c>
      <c r="Z4461">
        <v>-1.837256E-2</v>
      </c>
      <c r="AA4461">
        <v>0.75275380000000003</v>
      </c>
      <c r="AB4461">
        <v>24</v>
      </c>
      <c r="AC4461">
        <v>28.933700000000002</v>
      </c>
      <c r="AD4461">
        <v>1.964243</v>
      </c>
      <c r="AE4461">
        <v>-123.69185</v>
      </c>
      <c r="AF4461">
        <v>83.678709577425906</v>
      </c>
      <c r="AG4461">
        <v>1.964243</v>
      </c>
      <c r="AH4461">
        <v>95.535294949232707</v>
      </c>
      <c r="AI4461">
        <v>89.113909873001106</v>
      </c>
      <c r="AJ4461">
        <v>48.785104599930001</v>
      </c>
      <c r="AK4461">
        <v>127.015657570801</v>
      </c>
      <c r="AL4461">
        <v>80.722591558477404</v>
      </c>
      <c r="AM4461">
        <v>71.722307973392503</v>
      </c>
      <c r="AN4461">
        <v>1.00000003582062</v>
      </c>
    </row>
    <row r="4462" spans="1:40" x14ac:dyDescent="0.25">
      <c r="A4462" t="str">
        <f>"20190303170343213"</f>
        <v>20190303170343213</v>
      </c>
      <c r="B4462" t="str">
        <f>"1551603823209962"</f>
        <v>1551603823209962</v>
      </c>
      <c r="C4462" t="s">
        <v>40</v>
      </c>
      <c r="D4462">
        <v>5.0416840000000001</v>
      </c>
      <c r="E4462">
        <v>0.66142049999999997</v>
      </c>
      <c r="F4462" t="s">
        <v>59</v>
      </c>
      <c r="G4462">
        <v>-168.85919999999999</v>
      </c>
      <c r="H4462">
        <v>3.033226</v>
      </c>
      <c r="I4462">
        <v>80.193089999999998</v>
      </c>
      <c r="J4462">
        <v>-197.60509999999999</v>
      </c>
      <c r="K4462">
        <v>1.1109690000000001</v>
      </c>
      <c r="L4462">
        <v>209.54230000000001</v>
      </c>
      <c r="M4462">
        <v>0.80342119999999995</v>
      </c>
      <c r="N4462">
        <v>-1.5941770000000001E-2</v>
      </c>
      <c r="O4462">
        <v>-0.59519769999999905</v>
      </c>
      <c r="P4462">
        <v>0.57396729999999996</v>
      </c>
      <c r="Q4462">
        <v>0.15460370000000001</v>
      </c>
      <c r="R4462">
        <v>-0.80415130000000001</v>
      </c>
      <c r="S4462">
        <v>0.72175599999999995</v>
      </c>
      <c r="T4462">
        <v>4.7948600000000001E-2</v>
      </c>
      <c r="U4462">
        <v>-3.2305299999999999</v>
      </c>
      <c r="V4462">
        <v>0.30883850000000002</v>
      </c>
      <c r="W4462">
        <v>0.16150599999999901</v>
      </c>
      <c r="X4462">
        <v>0.93730179999999996</v>
      </c>
      <c r="Y4462">
        <v>0.65445200000000003</v>
      </c>
      <c r="Z4462">
        <v>-1.8546010000000002E-2</v>
      </c>
      <c r="AA4462">
        <v>0.75587609999999905</v>
      </c>
      <c r="AB4462">
        <v>24</v>
      </c>
      <c r="AC4462">
        <v>28.745899999999999</v>
      </c>
      <c r="AD4462">
        <v>1.9222570000000001</v>
      </c>
      <c r="AE4462">
        <v>-129.34921</v>
      </c>
      <c r="AF4462">
        <v>86.805165836424607</v>
      </c>
      <c r="AG4462">
        <v>1.9222570000000001</v>
      </c>
      <c r="AH4462">
        <v>100.075073154511</v>
      </c>
      <c r="AI4462">
        <v>89.168689811955204</v>
      </c>
      <c r="AJ4462">
        <v>49.061615580997497</v>
      </c>
      <c r="AK4462">
        <v>132.49095121835299</v>
      </c>
      <c r="AL4462">
        <v>80.705679676525705</v>
      </c>
      <c r="AM4462">
        <v>71.763083128892603</v>
      </c>
      <c r="AN4462">
        <v>1.0000000357007399</v>
      </c>
    </row>
    <row r="4463" spans="1:40" x14ac:dyDescent="0.25">
      <c r="A4463" t="str">
        <f>"20190303170343237"</f>
        <v>20190303170343237</v>
      </c>
      <c r="B4463" t="str">
        <f>"1551603823230459"</f>
        <v>1551603823230459</v>
      </c>
      <c r="C4463" t="s">
        <v>40</v>
      </c>
      <c r="D4463">
        <v>5.0556080000000003</v>
      </c>
      <c r="E4463">
        <v>0.65973959999999998</v>
      </c>
      <c r="F4463" t="s">
        <v>59</v>
      </c>
      <c r="G4463">
        <v>-168.85900000000001</v>
      </c>
      <c r="H4463">
        <v>2.4901710000000001</v>
      </c>
      <c r="I4463">
        <v>85.426900000000003</v>
      </c>
      <c r="J4463">
        <v>-197.40270000000001</v>
      </c>
      <c r="K4463">
        <v>1.1108709999999999</v>
      </c>
      <c r="L4463">
        <v>209.36789999999999</v>
      </c>
      <c r="M4463">
        <v>0.79278959999999998</v>
      </c>
      <c r="N4463">
        <v>-1.600466E-2</v>
      </c>
      <c r="O4463">
        <v>-0.60928519999999997</v>
      </c>
      <c r="P4463">
        <v>0.55960989999999999</v>
      </c>
      <c r="Q4463">
        <v>0.1568185</v>
      </c>
      <c r="R4463">
        <v>-0.81378419999999996</v>
      </c>
      <c r="S4463">
        <v>0.74011229999999995</v>
      </c>
      <c r="T4463">
        <v>3.5509819999999997E-2</v>
      </c>
      <c r="U4463">
        <v>-3.195541</v>
      </c>
      <c r="V4463">
        <v>0.30868909999999899</v>
      </c>
      <c r="W4463">
        <v>0.16370319999999999</v>
      </c>
      <c r="X4463">
        <v>0.93696979999999996</v>
      </c>
      <c r="Y4463">
        <v>0.6349844</v>
      </c>
      <c r="Z4463">
        <v>-1.7818939999999998E-2</v>
      </c>
      <c r="AA4463">
        <v>0.77231939999999999</v>
      </c>
      <c r="AB4463">
        <v>24</v>
      </c>
      <c r="AC4463">
        <v>28.543700000000001</v>
      </c>
      <c r="AD4463">
        <v>1.3793</v>
      </c>
      <c r="AE4463">
        <v>-123.941</v>
      </c>
      <c r="AF4463">
        <v>80.868731872516904</v>
      </c>
      <c r="AG4463">
        <v>1.3793</v>
      </c>
      <c r="AH4463">
        <v>98.145597100339401</v>
      </c>
      <c r="AI4463">
        <v>89.378589895847</v>
      </c>
      <c r="AJ4463">
        <v>50.512604037141102</v>
      </c>
      <c r="AK4463">
        <v>127.177877373941</v>
      </c>
      <c r="AL4463">
        <v>80.578091488944096</v>
      </c>
      <c r="AM4463">
        <v>71.765289987601093</v>
      </c>
      <c r="AN4463">
        <v>1.0000000521305401</v>
      </c>
    </row>
    <row r="4464" spans="1:40" x14ac:dyDescent="0.25">
      <c r="A4464" t="str">
        <f>"20190303170343257"</f>
        <v>20190303170343257</v>
      </c>
      <c r="B4464" t="str">
        <f>"1551603823249979"</f>
        <v>1551603823249979</v>
      </c>
      <c r="C4464" t="s">
        <v>40</v>
      </c>
      <c r="D4464">
        <v>5.0586320000000002</v>
      </c>
      <c r="E4464">
        <v>0.65907109999999902</v>
      </c>
      <c r="F4464" t="s">
        <v>59</v>
      </c>
      <c r="G4464">
        <v>-168.85900000000001</v>
      </c>
      <c r="H4464">
        <v>2.4447190000000001</v>
      </c>
      <c r="I4464">
        <v>78.313069999999996</v>
      </c>
      <c r="J4464">
        <v>-197.22919999999999</v>
      </c>
      <c r="K4464">
        <v>1.1108100000000001</v>
      </c>
      <c r="L4464">
        <v>209.21299999999999</v>
      </c>
      <c r="M4464">
        <v>0.78322740000000002</v>
      </c>
      <c r="N4464">
        <v>-1.605585E-2</v>
      </c>
      <c r="O4464">
        <v>-0.62152819999999998</v>
      </c>
      <c r="P4464">
        <v>0.54696489999999998</v>
      </c>
      <c r="Q4464">
        <v>0.159181399999999</v>
      </c>
      <c r="R4464">
        <v>-0.82188259999999902</v>
      </c>
      <c r="S4464">
        <v>0.69712830000000003</v>
      </c>
      <c r="T4464">
        <v>3.2577040000000002E-2</v>
      </c>
      <c r="U4464">
        <v>-3.2007750000000001</v>
      </c>
      <c r="V4464">
        <v>0.3083533</v>
      </c>
      <c r="W4464">
        <v>0.16606319999999999</v>
      </c>
      <c r="X4464">
        <v>0.93666490000000002</v>
      </c>
      <c r="Y4464">
        <v>0.6331251</v>
      </c>
      <c r="Z4464">
        <v>-1.7869199999999998E-2</v>
      </c>
      <c r="AA4464">
        <v>0.77384319999999995</v>
      </c>
      <c r="AB4464">
        <v>24</v>
      </c>
      <c r="AC4464">
        <v>28.370199999999901</v>
      </c>
      <c r="AD4464">
        <v>1.333909</v>
      </c>
      <c r="AE4464">
        <v>-130.89992999999899</v>
      </c>
      <c r="AF4464">
        <v>84.894045875382005</v>
      </c>
      <c r="AG4464">
        <v>1.333909</v>
      </c>
      <c r="AH4464">
        <v>103.581382496454</v>
      </c>
      <c r="AI4464">
        <v>89.429349181758099</v>
      </c>
      <c r="AJ4464">
        <v>50.662369237332001</v>
      </c>
      <c r="AK4464">
        <v>133.93237524283899</v>
      </c>
      <c r="AL4464">
        <v>80.440995936090005</v>
      </c>
      <c r="AM4464">
        <v>71.778277684072506</v>
      </c>
      <c r="AN4464">
        <v>0.99999993945356802</v>
      </c>
    </row>
    <row r="4465" spans="1:40" x14ac:dyDescent="0.25">
      <c r="A4465" t="str">
        <f>"20190303170343280"</f>
        <v>20190303170343280</v>
      </c>
      <c r="B4465" t="str">
        <f>"1551603823270475"</f>
        <v>1551603823270475</v>
      </c>
      <c r="C4465" t="s">
        <v>40</v>
      </c>
      <c r="D4465">
        <v>5.0886809999999896</v>
      </c>
      <c r="E4465">
        <v>0.6512502</v>
      </c>
      <c r="F4465" t="s">
        <v>59</v>
      </c>
      <c r="G4465">
        <v>-169.0129</v>
      </c>
      <c r="H4465">
        <v>2.72641</v>
      </c>
      <c r="I4465">
        <v>70.744249999999994</v>
      </c>
      <c r="J4465">
        <v>-197.048</v>
      </c>
      <c r="K4465">
        <v>1.1107590000000001</v>
      </c>
      <c r="L4465">
        <v>209.0455</v>
      </c>
      <c r="M4465">
        <v>0.77279229999999999</v>
      </c>
      <c r="N4465">
        <v>-1.6105020000000001E-2</v>
      </c>
      <c r="O4465">
        <v>-0.63445469999999904</v>
      </c>
      <c r="P4465">
        <v>0.53416850000000005</v>
      </c>
      <c r="Q4465">
        <v>0.1591504</v>
      </c>
      <c r="R4465">
        <v>-0.83026250000000001</v>
      </c>
      <c r="S4465">
        <v>0.65368649999999995</v>
      </c>
      <c r="T4465">
        <v>3.7428740000000002E-2</v>
      </c>
      <c r="U4465">
        <v>-3.2079010000000001</v>
      </c>
      <c r="V4465">
        <v>0.30732659999999901</v>
      </c>
      <c r="W4465">
        <v>0.16606599999999999</v>
      </c>
      <c r="X4465">
        <v>0.9370018</v>
      </c>
      <c r="Y4465">
        <v>0.6306638</v>
      </c>
      <c r="Z4465">
        <v>-1.8754199999999999E-2</v>
      </c>
      <c r="AA4465">
        <v>0.77582959999999901</v>
      </c>
      <c r="AB4465">
        <v>24</v>
      </c>
      <c r="AC4465">
        <v>28.0351</v>
      </c>
      <c r="AD4465">
        <v>1.6156509999999999</v>
      </c>
      <c r="AE4465">
        <v>-138.30125000000001</v>
      </c>
      <c r="AF4465">
        <v>89.091014275304303</v>
      </c>
      <c r="AG4465">
        <v>1.6156509999999999</v>
      </c>
      <c r="AH4465">
        <v>109.41103294005499</v>
      </c>
      <c r="AI4465">
        <v>89.343949039564194</v>
      </c>
      <c r="AJ4465">
        <v>50.8448262364493</v>
      </c>
      <c r="AK4465">
        <v>141.104901692911</v>
      </c>
      <c r="AL4465">
        <v>80.440833488835594</v>
      </c>
      <c r="AM4465">
        <v>71.841061089427598</v>
      </c>
      <c r="AN4465">
        <v>0.99999996431339899</v>
      </c>
    </row>
    <row r="4466" spans="1:40" x14ac:dyDescent="0.25">
      <c r="A4466" t="str">
        <f>"20190303170343302"</f>
        <v>20190303170343302</v>
      </c>
      <c r="B4466" t="str">
        <f>"1551603823289995"</f>
        <v>1551603823289995</v>
      </c>
      <c r="C4466" t="s">
        <v>40</v>
      </c>
      <c r="D4466">
        <v>5.0945529999999897</v>
      </c>
      <c r="E4466">
        <v>0.65002040000000005</v>
      </c>
      <c r="F4466" t="s">
        <v>59</v>
      </c>
      <c r="G4466">
        <v>-168.85890000000001</v>
      </c>
      <c r="H4466">
        <v>1.9218409999999999</v>
      </c>
      <c r="I4466">
        <v>72.742620000000002</v>
      </c>
      <c r="J4466">
        <v>-196.8683</v>
      </c>
      <c r="K4466">
        <v>1.110703</v>
      </c>
      <c r="L4466">
        <v>208.87360000000001</v>
      </c>
      <c r="M4466">
        <v>0.76198129999999997</v>
      </c>
      <c r="N4466">
        <v>-1.6148269999999999E-2</v>
      </c>
      <c r="O4466">
        <v>-0.64739769999999996</v>
      </c>
      <c r="P4466">
        <v>0.5195303</v>
      </c>
      <c r="Q4466">
        <v>0.1588299</v>
      </c>
      <c r="R4466">
        <v>-0.83956070000000005</v>
      </c>
      <c r="S4466">
        <v>0.65885930000000004</v>
      </c>
      <c r="T4466">
        <v>1.8957499999999999E-2</v>
      </c>
      <c r="U4466">
        <v>-3.1857760000000002</v>
      </c>
      <c r="V4466">
        <v>0.30800749999999999</v>
      </c>
      <c r="W4466">
        <v>0.16573550000000001</v>
      </c>
      <c r="X4466">
        <v>0.93683680000000003</v>
      </c>
      <c r="Y4466">
        <v>0.6151491</v>
      </c>
      <c r="Z4466">
        <v>-1.6933759999999999E-2</v>
      </c>
      <c r="AA4466">
        <v>0.78822899999999996</v>
      </c>
      <c r="AB4466">
        <v>24</v>
      </c>
      <c r="AC4466">
        <v>28.009399999999999</v>
      </c>
      <c r="AD4466">
        <v>0.81113799999999903</v>
      </c>
      <c r="AE4466">
        <v>-136.13097999999999</v>
      </c>
      <c r="AF4466">
        <v>85.604284462034499</v>
      </c>
      <c r="AG4466">
        <v>0.81113799999999903</v>
      </c>
      <c r="AH4466">
        <v>109.484066710105</v>
      </c>
      <c r="AI4466">
        <v>89.665599645122896</v>
      </c>
      <c r="AJ4466">
        <v>51.9785726378459</v>
      </c>
      <c r="AK4466">
        <v>138.98025876539</v>
      </c>
      <c r="AL4466">
        <v>80.460036502908395</v>
      </c>
      <c r="AM4466">
        <v>71.800483904649596</v>
      </c>
      <c r="AN4466">
        <v>1.00000003292536</v>
      </c>
    </row>
    <row r="4467" spans="1:40" x14ac:dyDescent="0.25">
      <c r="A4467" t="str">
        <f>"20190303170343325"</f>
        <v>20190303170343325</v>
      </c>
      <c r="B4467" t="str">
        <f>"1551603823310490"</f>
        <v>1551603823310490</v>
      </c>
      <c r="C4467" t="s">
        <v>40</v>
      </c>
      <c r="D4467">
        <v>5.3450569999999997</v>
      </c>
      <c r="E4467">
        <v>0.64286840000000001</v>
      </c>
      <c r="F4467" t="s">
        <v>60</v>
      </c>
      <c r="G4467">
        <v>-166.92</v>
      </c>
      <c r="H4467">
        <v>1.8340320000000001</v>
      </c>
      <c r="I4467">
        <v>52.638840000000002</v>
      </c>
      <c r="J4467">
        <v>-196.6892</v>
      </c>
      <c r="K4467">
        <v>1.1106739999999999</v>
      </c>
      <c r="L4467">
        <v>208.6962</v>
      </c>
      <c r="M4467">
        <v>0.75073610000000002</v>
      </c>
      <c r="N4467">
        <v>-1.6185649999999999E-2</v>
      </c>
      <c r="O4467">
        <v>-0.66040410000000005</v>
      </c>
      <c r="P4467">
        <v>0.50288820000000001</v>
      </c>
      <c r="Q4467">
        <v>0.15883369999999999</v>
      </c>
      <c r="R4467">
        <v>-0.84963239999999995</v>
      </c>
      <c r="S4467">
        <v>0.61184689999999997</v>
      </c>
      <c r="T4467">
        <v>1.477766E-2</v>
      </c>
      <c r="U4467">
        <v>-3.1918950000000001</v>
      </c>
      <c r="V4467">
        <v>0.31037019999999998</v>
      </c>
      <c r="W4467">
        <v>0.16568229999999901</v>
      </c>
      <c r="X4467">
        <v>0.93606610000000001</v>
      </c>
      <c r="Y4467">
        <v>0.61304639999999999</v>
      </c>
      <c r="Z4467">
        <v>-1.6686280000000001E-2</v>
      </c>
      <c r="AA4467">
        <v>0.78987069999999904</v>
      </c>
      <c r="AB4467">
        <v>24</v>
      </c>
      <c r="AC4467">
        <v>29.769200000000001</v>
      </c>
      <c r="AD4467">
        <v>0.72335799999999995</v>
      </c>
      <c r="AE4467">
        <v>-156.05735999999999</v>
      </c>
      <c r="AF4467">
        <v>97.508932399285001</v>
      </c>
      <c r="AG4467">
        <v>0.72335799999999995</v>
      </c>
      <c r="AH4467">
        <v>125.423548507088</v>
      </c>
      <c r="AI4467">
        <v>89.739122667133003</v>
      </c>
      <c r="AJ4467">
        <v>52.137176863162701</v>
      </c>
      <c r="AK4467">
        <v>158.869700272123</v>
      </c>
      <c r="AL4467">
        <v>80.463127193775605</v>
      </c>
      <c r="AM4467">
        <v>71.656095833112303</v>
      </c>
      <c r="AN4467">
        <v>1.0000000145752601</v>
      </c>
    </row>
    <row r="4468" spans="1:40" x14ac:dyDescent="0.25">
      <c r="A4468" t="str">
        <f>"20190303170343347"</f>
        <v>20190303170343347</v>
      </c>
      <c r="B4468" t="str">
        <f>"1551603823339770"</f>
        <v>1551603823339770</v>
      </c>
      <c r="C4468" t="s">
        <v>40</v>
      </c>
      <c r="D4468">
        <v>5.0756259999999997</v>
      </c>
      <c r="E4468">
        <v>0.64134029999999997</v>
      </c>
      <c r="F4468" t="s">
        <v>60</v>
      </c>
      <c r="G4468">
        <v>-167.07419999999999</v>
      </c>
      <c r="H4468">
        <v>0.80873530000000005</v>
      </c>
      <c r="I4468">
        <v>52.638840000000002</v>
      </c>
      <c r="J4468">
        <v>-196.51679999999999</v>
      </c>
      <c r="K4468">
        <v>1.1106780000000001</v>
      </c>
      <c r="L4468">
        <v>208.5196</v>
      </c>
      <c r="M4468">
        <v>0.73946230000000002</v>
      </c>
      <c r="N4468">
        <v>-1.62162E-2</v>
      </c>
      <c r="O4468">
        <v>-0.67300269999999995</v>
      </c>
      <c r="P4468">
        <v>0.4868422</v>
      </c>
      <c r="Q4468">
        <v>0.159461299999999</v>
      </c>
      <c r="R4468">
        <v>-0.8588114</v>
      </c>
      <c r="S4468">
        <v>0.60260009999999997</v>
      </c>
      <c r="T4468">
        <v>-6.1438079999999997E-3</v>
      </c>
      <c r="U4468">
        <v>-3.17543</v>
      </c>
      <c r="V4468">
        <v>0.31206089999999997</v>
      </c>
      <c r="W4468">
        <v>0.1662795</v>
      </c>
      <c r="X4468">
        <v>0.9353979</v>
      </c>
      <c r="Y4468">
        <v>0.60103260000000003</v>
      </c>
      <c r="Z4468">
        <v>-1.4112110000000001E-2</v>
      </c>
      <c r="AA4468">
        <v>0.79909989999999997</v>
      </c>
      <c r="AB4468">
        <v>24</v>
      </c>
      <c r="AC4468">
        <v>29.442599999999999</v>
      </c>
      <c r="AD4468">
        <v>-0.30194270000000001</v>
      </c>
      <c r="AE4468">
        <v>-155.88076000000001</v>
      </c>
      <c r="AF4468">
        <v>95.465198638203503</v>
      </c>
      <c r="AG4468">
        <v>-0.30194270000000001</v>
      </c>
      <c r="AH4468">
        <v>126.69605970237799</v>
      </c>
      <c r="AI4468">
        <v>90.109054576996797</v>
      </c>
      <c r="AJ4468">
        <v>53.002056720356798</v>
      </c>
      <c r="AK4468">
        <v>158.636650445394</v>
      </c>
      <c r="AL4468">
        <v>80.428429236926306</v>
      </c>
      <c r="AM4468">
        <v>71.550631018181207</v>
      </c>
      <c r="AN4468">
        <v>1.00000005437673</v>
      </c>
    </row>
    <row r="4469" spans="1:40" x14ac:dyDescent="0.25">
      <c r="A4469" t="str">
        <f>"20190303170343371"</f>
        <v>20190303170343371</v>
      </c>
      <c r="B4469" t="str">
        <f>"1551603823360266"</f>
        <v>1551603823360266</v>
      </c>
      <c r="C4469" t="s">
        <v>40</v>
      </c>
      <c r="D4469">
        <v>5.3408429999999996</v>
      </c>
      <c r="E4469">
        <v>0.63964509999999997</v>
      </c>
      <c r="F4469" t="s">
        <v>60</v>
      </c>
      <c r="G4469">
        <v>-169.0822</v>
      </c>
      <c r="H4469">
        <v>0.59778509999999996</v>
      </c>
      <c r="I4469">
        <v>51.233730000000001</v>
      </c>
      <c r="J4469">
        <v>-196.34610000000001</v>
      </c>
      <c r="K4469">
        <v>1.110695</v>
      </c>
      <c r="L4469">
        <v>208.33860000000001</v>
      </c>
      <c r="M4469">
        <v>0.72785529999999998</v>
      </c>
      <c r="N4469">
        <v>-1.6241040000000002E-2</v>
      </c>
      <c r="O4469">
        <v>-0.6855388</v>
      </c>
      <c r="P4469">
        <v>0.4729468</v>
      </c>
      <c r="Q4469">
        <v>0.1590799</v>
      </c>
      <c r="R4469">
        <v>-0.86661149999999998</v>
      </c>
      <c r="S4469">
        <v>0.55477909999999997</v>
      </c>
      <c r="T4469">
        <v>-1.0371689999999999E-2</v>
      </c>
      <c r="U4469">
        <v>-3.1806179999999999</v>
      </c>
      <c r="V4469">
        <v>0.31117889999999998</v>
      </c>
      <c r="W4469">
        <v>0.16595969999999999</v>
      </c>
      <c r="X4469">
        <v>0.93574840000000004</v>
      </c>
      <c r="Y4469">
        <v>0.59923329999999997</v>
      </c>
      <c r="Z4469">
        <v>-1.364656E-2</v>
      </c>
      <c r="AA4469">
        <v>0.80045819999999901</v>
      </c>
      <c r="AB4469">
        <v>24</v>
      </c>
      <c r="AC4469">
        <v>27.2639</v>
      </c>
      <c r="AD4469">
        <v>-0.51290990000000003</v>
      </c>
      <c r="AE4469">
        <v>-157.10487000000001</v>
      </c>
      <c r="AF4469">
        <v>95.670753078783207</v>
      </c>
      <c r="AG4469">
        <v>-0.51290990000000003</v>
      </c>
      <c r="AH4469">
        <v>127.561127626328</v>
      </c>
      <c r="AI4469">
        <v>90.184303679166305</v>
      </c>
      <c r="AJ4469">
        <v>53.130128985155601</v>
      </c>
      <c r="AK4469">
        <v>159.45217888924401</v>
      </c>
      <c r="AL4469">
        <v>80.447010068683099</v>
      </c>
      <c r="AM4469">
        <v>71.605687424822904</v>
      </c>
      <c r="AN4469">
        <v>0.99999999896592995</v>
      </c>
    </row>
    <row r="4470" spans="1:40" x14ac:dyDescent="0.25">
      <c r="A4470" t="str">
        <f>"20190303170343392"</f>
        <v>20190303170343392</v>
      </c>
      <c r="B4470" t="str">
        <f>"1551603823379786"</f>
        <v>1551603823379786</v>
      </c>
      <c r="C4470" t="s">
        <v>40</v>
      </c>
      <c r="D4470">
        <v>5.1356659999999996</v>
      </c>
      <c r="E4470">
        <v>0.62956769999999995</v>
      </c>
      <c r="F4470" t="s">
        <v>60</v>
      </c>
      <c r="G4470">
        <v>-168.50020000000001</v>
      </c>
      <c r="H4470">
        <v>0.4821859</v>
      </c>
      <c r="I4470">
        <v>35.759619999999998</v>
      </c>
      <c r="J4470">
        <v>-196.17789999999999</v>
      </c>
      <c r="K4470">
        <v>1.1107070000000001</v>
      </c>
      <c r="L4470">
        <v>208.154</v>
      </c>
      <c r="M4470">
        <v>0.71596499999999996</v>
      </c>
      <c r="N4470">
        <v>-1.6260090000000001E-2</v>
      </c>
      <c r="O4470">
        <v>-0.69794690000000004</v>
      </c>
      <c r="P4470">
        <v>0.45944289999999999</v>
      </c>
      <c r="Q4470">
        <v>0.1589681</v>
      </c>
      <c r="R4470">
        <v>-0.87386600000000003</v>
      </c>
      <c r="S4470">
        <v>0.51367189999999996</v>
      </c>
      <c r="T4470">
        <v>-1.159406E-2</v>
      </c>
      <c r="U4470">
        <v>-3.183548</v>
      </c>
      <c r="V4470">
        <v>0.30961379999999999</v>
      </c>
      <c r="W4470">
        <v>0.1659339</v>
      </c>
      <c r="X4470">
        <v>0.93627199999999999</v>
      </c>
      <c r="Y4470">
        <v>0.59564229999999996</v>
      </c>
      <c r="Z4470">
        <v>-1.3537749999999999E-2</v>
      </c>
      <c r="AA4470">
        <v>0.80313579999999996</v>
      </c>
      <c r="AB4470">
        <v>24</v>
      </c>
      <c r="AC4470">
        <v>27.677699999999898</v>
      </c>
      <c r="AD4470">
        <v>-0.62852109999999894</v>
      </c>
      <c r="AE4470">
        <v>-172.39438000000001</v>
      </c>
      <c r="AF4470">
        <v>104.123186152492</v>
      </c>
      <c r="AG4470">
        <v>-0.62852109999999894</v>
      </c>
      <c r="AH4470">
        <v>140.15509043962001</v>
      </c>
      <c r="AI4470">
        <v>90.206251396172505</v>
      </c>
      <c r="AJ4470">
        <v>53.390824085467202</v>
      </c>
      <c r="AK4470">
        <v>174.60092299142499</v>
      </c>
      <c r="AL4470">
        <v>80.448509201568299</v>
      </c>
      <c r="AM4470">
        <v>71.7015754026678</v>
      </c>
      <c r="AN4470">
        <v>1.0000000111518199</v>
      </c>
    </row>
    <row r="4471" spans="1:40" x14ac:dyDescent="0.25">
      <c r="A4471" t="str">
        <f>"20190303170343414"</f>
        <v>20190303170343414</v>
      </c>
      <c r="B4471" t="str">
        <f>"1551603823400282"</f>
        <v>1551603823400282</v>
      </c>
      <c r="C4471" t="s">
        <v>40</v>
      </c>
      <c r="D4471">
        <v>5.1221899999999998</v>
      </c>
      <c r="E4471">
        <v>0.64872430000000003</v>
      </c>
      <c r="F4471" t="s">
        <v>60</v>
      </c>
      <c r="G4471">
        <v>-168.50020000000001</v>
      </c>
      <c r="H4471">
        <v>0.36622060000000001</v>
      </c>
      <c r="I4471">
        <v>44.997700000000002</v>
      </c>
      <c r="J4471">
        <v>-196.01689999999999</v>
      </c>
      <c r="K4471">
        <v>1.110733</v>
      </c>
      <c r="L4471">
        <v>207.97110000000001</v>
      </c>
      <c r="M4471">
        <v>0.70414589999999999</v>
      </c>
      <c r="N4471">
        <v>-1.627354E-2</v>
      </c>
      <c r="O4471">
        <v>-0.70986890000000002</v>
      </c>
      <c r="P4471">
        <v>0.44651819999999998</v>
      </c>
      <c r="Q4471">
        <v>0.15898039999999999</v>
      </c>
      <c r="R4471">
        <v>-0.88053789999999998</v>
      </c>
      <c r="S4471">
        <v>0.53509519999999899</v>
      </c>
      <c r="T4471">
        <v>-1.439321E-2</v>
      </c>
      <c r="U4471">
        <v>-3.154312</v>
      </c>
      <c r="V4471">
        <v>0.30766979999999999</v>
      </c>
      <c r="W4471">
        <v>0.16604389999999999</v>
      </c>
      <c r="X4471">
        <v>0.93689310000000003</v>
      </c>
      <c r="Y4471">
        <v>0.57549329999999999</v>
      </c>
      <c r="Z4471">
        <v>-1.2991870000000001E-2</v>
      </c>
      <c r="AA4471">
        <v>0.81770330000000002</v>
      </c>
      <c r="AB4471">
        <v>24</v>
      </c>
      <c r="AC4471">
        <v>27.516699999999901</v>
      </c>
      <c r="AD4471">
        <v>-0.74451239999999996</v>
      </c>
      <c r="AE4471">
        <v>-162.9734</v>
      </c>
      <c r="AF4471">
        <v>95.234474655637698</v>
      </c>
      <c r="AG4471">
        <v>-0.74451239999999996</v>
      </c>
      <c r="AH4471">
        <v>135.080657978217</v>
      </c>
      <c r="AI4471">
        <v>90.258095233100704</v>
      </c>
      <c r="AJ4471">
        <v>54.815423659536201</v>
      </c>
      <c r="AK4471">
        <v>165.27838219645301</v>
      </c>
      <c r="AL4471">
        <v>80.442117720586097</v>
      </c>
      <c r="AM4471">
        <v>71.820145181126605</v>
      </c>
      <c r="AN4471">
        <v>0.99999998169342896</v>
      </c>
    </row>
    <row r="4472" spans="1:40" x14ac:dyDescent="0.25">
      <c r="A4472" t="str">
        <f>"20190303170343448"</f>
        <v>20190303170343448</v>
      </c>
      <c r="B4472" t="str">
        <f>"1551603823440299"</f>
        <v>1551603823440299</v>
      </c>
      <c r="C4472" t="s">
        <v>40</v>
      </c>
      <c r="D4472">
        <v>5.2094050000000003</v>
      </c>
      <c r="E4472">
        <v>0.64824409999999999</v>
      </c>
      <c r="F4472" t="s">
        <v>55</v>
      </c>
      <c r="G4472">
        <v>-166.46180000000001</v>
      </c>
      <c r="H4472">
        <v>2.011212</v>
      </c>
      <c r="I4472">
        <v>-65.389949999999999</v>
      </c>
      <c r="J4472">
        <v>-195.78110000000001</v>
      </c>
      <c r="K4472">
        <v>1.1107940000000001</v>
      </c>
      <c r="L4472">
        <v>207.69069999999999</v>
      </c>
      <c r="M4472">
        <v>0.68600119999999998</v>
      </c>
      <c r="N4472">
        <v>-1.628516E-2</v>
      </c>
      <c r="O4472">
        <v>-0.72741840000000002</v>
      </c>
      <c r="P4472">
        <v>0.42787219999999998</v>
      </c>
      <c r="Q4472">
        <v>0.15842210000000001</v>
      </c>
      <c r="R4472">
        <v>-0.88984750000000001</v>
      </c>
      <c r="S4472">
        <v>0.3490143</v>
      </c>
      <c r="T4472">
        <v>1.0633470000000001E-2</v>
      </c>
      <c r="U4472">
        <v>-3.2281040000000001</v>
      </c>
      <c r="V4472">
        <v>0.30376999999999998</v>
      </c>
      <c r="W4472">
        <v>0.165664899999999</v>
      </c>
      <c r="X4472">
        <v>0.93823179999999995</v>
      </c>
      <c r="Y4472">
        <v>0.60387360000000001</v>
      </c>
      <c r="Z4472">
        <v>-1.7229749999999999E-2</v>
      </c>
      <c r="AA4472">
        <v>0.79689390000000004</v>
      </c>
      <c r="AB4472">
        <v>24</v>
      </c>
      <c r="AC4472">
        <v>29.319299999999998</v>
      </c>
      <c r="AD4472">
        <v>0.90041799999999905</v>
      </c>
      <c r="AE4472">
        <v>-273.08064999999999</v>
      </c>
      <c r="AF4472">
        <v>166.02645650936901</v>
      </c>
      <c r="AG4472">
        <v>0.90041799999999905</v>
      </c>
      <c r="AH4472">
        <v>218.78358488891899</v>
      </c>
      <c r="AI4472">
        <v>89.812159085788807</v>
      </c>
      <c r="AJ4472">
        <v>52.8065342650712</v>
      </c>
      <c r="AK4472">
        <v>274.64859735756698</v>
      </c>
      <c r="AL4472">
        <v>80.464137886153694</v>
      </c>
      <c r="AM4472">
        <v>72.059674974428106</v>
      </c>
      <c r="AN4472">
        <v>0.99999999126162498</v>
      </c>
    </row>
    <row r="4473" spans="1:40" x14ac:dyDescent="0.25">
      <c r="A4473" t="str">
        <f>"20190303170343470"</f>
        <v>20190303170343470</v>
      </c>
      <c r="B4473" t="str">
        <f>"1551603823459818"</f>
        <v>1551603823459818</v>
      </c>
      <c r="C4473" t="s">
        <v>40</v>
      </c>
      <c r="D4473">
        <v>5.119421</v>
      </c>
      <c r="E4473">
        <v>0.64774969999999998</v>
      </c>
      <c r="F4473" t="s">
        <v>48</v>
      </c>
      <c r="G4473">
        <v>0</v>
      </c>
      <c r="H4473">
        <v>0</v>
      </c>
      <c r="I4473">
        <v>0</v>
      </c>
      <c r="J4473">
        <v>-195.62790000000001</v>
      </c>
      <c r="K4473">
        <v>1.110827</v>
      </c>
      <c r="L4473">
        <v>207.501</v>
      </c>
      <c r="M4473">
        <v>0.67368719999999904</v>
      </c>
      <c r="N4473">
        <v>-1.6288790000000001E-2</v>
      </c>
      <c r="O4473">
        <v>-0.73883710000000002</v>
      </c>
      <c r="P4473">
        <v>0.41547620000000002</v>
      </c>
      <c r="Q4473">
        <v>0.156643</v>
      </c>
      <c r="R4473">
        <v>-0.8960148</v>
      </c>
      <c r="S4473">
        <v>0.28417969999999998</v>
      </c>
      <c r="T4473">
        <v>1.02942E-2</v>
      </c>
      <c r="U4473">
        <v>-3.2328640000000002</v>
      </c>
      <c r="V4473">
        <v>0.30117759999999999</v>
      </c>
      <c r="W4473">
        <v>0.1640057</v>
      </c>
      <c r="X4473">
        <v>0.93935840000000004</v>
      </c>
      <c r="Y4473">
        <v>0.60643639999999999</v>
      </c>
      <c r="Z4473">
        <v>-1.7365909999999998E-2</v>
      </c>
      <c r="AA4473">
        <v>0.79494229999999999</v>
      </c>
      <c r="AB4473">
        <v>24</v>
      </c>
      <c r="AC4473">
        <v>0.28417969999999998</v>
      </c>
      <c r="AD4473">
        <v>1.02942E-2</v>
      </c>
      <c r="AE4473">
        <v>-3.2328640000000002</v>
      </c>
      <c r="AF4473">
        <v>1.9682178876030201</v>
      </c>
      <c r="AG4473">
        <v>1.02942E-2</v>
      </c>
      <c r="AH4473">
        <v>2.58032442793517</v>
      </c>
      <c r="AI4473">
        <v>89.8182563426396</v>
      </c>
      <c r="AJ4473">
        <v>52.664364020652599</v>
      </c>
      <c r="AK4473">
        <v>3.2453138179586101</v>
      </c>
      <c r="AL4473">
        <v>80.560521656082599</v>
      </c>
      <c r="AM4473">
        <v>72.223082301941503</v>
      </c>
      <c r="AN4473">
        <v>1.0000000100124</v>
      </c>
    </row>
    <row r="4474" spans="1:40" x14ac:dyDescent="0.25">
      <c r="A4474" t="str">
        <f>"20190303170343492"</f>
        <v>20190303170343492</v>
      </c>
      <c r="B4474" t="str">
        <f>"1551603823480315"</f>
        <v>1551603823480315</v>
      </c>
      <c r="C4474" t="s">
        <v>40</v>
      </c>
      <c r="D4474">
        <v>5.1431079999999998</v>
      </c>
      <c r="E4474">
        <v>0.64745160000000002</v>
      </c>
      <c r="F4474" t="s">
        <v>61</v>
      </c>
      <c r="G4474">
        <v>-174.2629</v>
      </c>
      <c r="H4474">
        <v>2.070827</v>
      </c>
      <c r="I4474">
        <v>-80.94932</v>
      </c>
      <c r="J4474">
        <v>-195.4811</v>
      </c>
      <c r="K4474">
        <v>1.1108659999999999</v>
      </c>
      <c r="L4474">
        <v>207.31299999999999</v>
      </c>
      <c r="M4474">
        <v>0.66146490000000002</v>
      </c>
      <c r="N4474">
        <v>-1.6289459999999999E-2</v>
      </c>
      <c r="O4474">
        <v>-0.74979910000000005</v>
      </c>
      <c r="P4474">
        <v>0.4014779</v>
      </c>
      <c r="Q4474">
        <v>0.15687590000000001</v>
      </c>
      <c r="R4474">
        <v>-0.90233350000000001</v>
      </c>
      <c r="S4474">
        <v>0.239624</v>
      </c>
      <c r="T4474">
        <v>1.07671E-2</v>
      </c>
      <c r="U4474">
        <v>-3.2351839999999998</v>
      </c>
      <c r="V4474">
        <v>0.30033680000000001</v>
      </c>
      <c r="W4474">
        <v>0.16429589999999999</v>
      </c>
      <c r="X4474">
        <v>0.93957690000000005</v>
      </c>
      <c r="Y4474">
        <v>0.6043056</v>
      </c>
      <c r="Z4474">
        <v>-1.7590339999999999E-2</v>
      </c>
      <c r="AA4474">
        <v>0.7965584</v>
      </c>
      <c r="AB4474">
        <v>24</v>
      </c>
      <c r="AC4474">
        <v>21.2182</v>
      </c>
      <c r="AD4474">
        <v>0.95996099999999995</v>
      </c>
      <c r="AE4474">
        <v>-288.26231999999999</v>
      </c>
      <c r="AF4474">
        <v>174.78729589861101</v>
      </c>
      <c r="AG4474">
        <v>0.95996099999999995</v>
      </c>
      <c r="AH4474">
        <v>230.20194463931799</v>
      </c>
      <c r="AI4474">
        <v>89.809709019681407</v>
      </c>
      <c r="AJ4474">
        <v>52.791393212495201</v>
      </c>
      <c r="AK4474">
        <v>289.04057785783999</v>
      </c>
      <c r="AL4474">
        <v>80.543666095824307</v>
      </c>
      <c r="AM4474">
        <v>72.273463251994599</v>
      </c>
      <c r="AN4474">
        <v>1.00000004360232</v>
      </c>
    </row>
    <row r="4475" spans="1:40" x14ac:dyDescent="0.25">
      <c r="A4475" t="str">
        <f>"20190303170343516"</f>
        <v>20190303170343516</v>
      </c>
      <c r="B4475" t="str">
        <f>"1551603823499835"</f>
        <v>1551603823499835</v>
      </c>
      <c r="C4475" t="s">
        <v>40</v>
      </c>
      <c r="D4475">
        <v>5.1478000000000002</v>
      </c>
      <c r="E4475">
        <v>0.63959929999999998</v>
      </c>
      <c r="F4475" t="s">
        <v>61</v>
      </c>
      <c r="G4475">
        <v>-178.4753</v>
      </c>
      <c r="H4475">
        <v>2.3281529999999999</v>
      </c>
      <c r="I4475">
        <v>-81.815929999999994</v>
      </c>
      <c r="J4475">
        <v>-195.327</v>
      </c>
      <c r="K4475">
        <v>1.110914</v>
      </c>
      <c r="L4475">
        <v>207.1086</v>
      </c>
      <c r="M4475">
        <v>0.64815800000000001</v>
      </c>
      <c r="N4475">
        <v>-1.628717E-2</v>
      </c>
      <c r="O4475">
        <v>-0.7613318</v>
      </c>
      <c r="P4475">
        <v>0.38620979999999999</v>
      </c>
      <c r="Q4475">
        <v>0.1581101</v>
      </c>
      <c r="R4475">
        <v>-0.90875939999999999</v>
      </c>
      <c r="S4475">
        <v>0.19042970000000001</v>
      </c>
      <c r="T4475">
        <v>1.363111E-2</v>
      </c>
      <c r="U4475">
        <v>-3.2376399999999999</v>
      </c>
      <c r="V4475">
        <v>0.29950149999999998</v>
      </c>
      <c r="W4475">
        <v>0.16558589999999901</v>
      </c>
      <c r="X4475">
        <v>0.93961700000000004</v>
      </c>
      <c r="Y4475">
        <v>0.60237189999999996</v>
      </c>
      <c r="Z4475">
        <v>-1.8225769999999999E-2</v>
      </c>
      <c r="AA4475">
        <v>0.79800749999999998</v>
      </c>
      <c r="AB4475">
        <v>24</v>
      </c>
      <c r="AC4475">
        <v>16.851699999999902</v>
      </c>
      <c r="AD4475">
        <v>1.217239</v>
      </c>
      <c r="AE4475">
        <v>-288.92453</v>
      </c>
      <c r="AF4475">
        <v>174.45905063954601</v>
      </c>
      <c r="AG4475">
        <v>1.217239</v>
      </c>
      <c r="AH4475">
        <v>230.91652217981201</v>
      </c>
      <c r="AI4475">
        <v>89.759019588096194</v>
      </c>
      <c r="AJ4475">
        <v>52.928697470593598</v>
      </c>
      <c r="AK4475">
        <v>289.41299597021299</v>
      </c>
      <c r="AL4475">
        <v>80.468727464884196</v>
      </c>
      <c r="AM4475">
        <v>72.320397555759996</v>
      </c>
      <c r="AN4475">
        <v>0.99999997273502905</v>
      </c>
    </row>
    <row r="4476" spans="1:40" x14ac:dyDescent="0.25">
      <c r="A4476" t="str">
        <f>"20190303170343537"</f>
        <v>20190303170343537</v>
      </c>
      <c r="B4476" t="str">
        <f>"1551603823530091"</f>
        <v>1551603823530091</v>
      </c>
      <c r="C4476" t="s">
        <v>40</v>
      </c>
      <c r="D4476">
        <v>5.1743430000000004</v>
      </c>
      <c r="E4476">
        <v>0.63780340000000002</v>
      </c>
      <c r="F4476" t="s">
        <v>61</v>
      </c>
      <c r="G4476">
        <v>-177.6206</v>
      </c>
      <c r="H4476">
        <v>0.69891639999999999</v>
      </c>
      <c r="I4476">
        <v>-80.948859999999996</v>
      </c>
      <c r="J4476">
        <v>-195.18510000000001</v>
      </c>
      <c r="K4476">
        <v>1.110968</v>
      </c>
      <c r="L4476">
        <v>206.91300000000001</v>
      </c>
      <c r="M4476">
        <v>0.63543349999999998</v>
      </c>
      <c r="N4476">
        <v>-1.6281509999999999E-2</v>
      </c>
      <c r="O4476">
        <v>-0.771984</v>
      </c>
      <c r="P4476">
        <v>0.37270330000000002</v>
      </c>
      <c r="Q4476">
        <v>0.15860969999999999</v>
      </c>
      <c r="R4476">
        <v>-0.91429519999999997</v>
      </c>
      <c r="S4476">
        <v>0.19779969999999999</v>
      </c>
      <c r="T4476">
        <v>-4.6024320000000001E-3</v>
      </c>
      <c r="U4476">
        <v>-3.217911</v>
      </c>
      <c r="V4476">
        <v>0.2977612</v>
      </c>
      <c r="W4476">
        <v>0.16617129999999999</v>
      </c>
      <c r="X4476">
        <v>0.94006670000000003</v>
      </c>
      <c r="Y4476">
        <v>0.58687339999999999</v>
      </c>
      <c r="Z4476">
        <v>-1.5119E-2</v>
      </c>
      <c r="AA4476">
        <v>0.80953750000000002</v>
      </c>
      <c r="AB4476">
        <v>24</v>
      </c>
      <c r="AC4476">
        <v>17.564499999999999</v>
      </c>
      <c r="AD4476">
        <v>-0.41205159999999902</v>
      </c>
      <c r="AE4476">
        <v>-287.86185999999998</v>
      </c>
      <c r="AF4476">
        <v>169.37965234766801</v>
      </c>
      <c r="AG4476">
        <v>-0.41205159999999902</v>
      </c>
      <c r="AH4476">
        <v>233.416271715341</v>
      </c>
      <c r="AI4476">
        <v>90.081862262598605</v>
      </c>
      <c r="AJ4476">
        <v>54.033302053459103</v>
      </c>
      <c r="AK4476">
        <v>288.39693534680299</v>
      </c>
      <c r="AL4476">
        <v>80.434715741463904</v>
      </c>
      <c r="AM4476">
        <v>72.424674757561505</v>
      </c>
      <c r="AN4476">
        <v>1.00000001680901</v>
      </c>
    </row>
    <row r="4477" spans="1:40" x14ac:dyDescent="0.25">
      <c r="A4477" t="str">
        <f>"20190303170343560"</f>
        <v>20190303170343560</v>
      </c>
      <c r="B4477" t="str">
        <f>"1551603823549610"</f>
        <v>1551603823549610</v>
      </c>
      <c r="C4477" t="s">
        <v>40</v>
      </c>
      <c r="D4477">
        <v>5.1772369999999999</v>
      </c>
      <c r="E4477">
        <v>0.62525330000000001</v>
      </c>
      <c r="F4477" t="s">
        <v>75</v>
      </c>
      <c r="G4477">
        <v>-181.4298</v>
      </c>
      <c r="H4477" s="1">
        <v>-9.6608469999999993E-6</v>
      </c>
      <c r="I4477">
        <v>-62.367539999999998</v>
      </c>
      <c r="J4477">
        <v>-195.04820000000001</v>
      </c>
      <c r="K4477">
        <v>1.1110139999999999</v>
      </c>
      <c r="L4477">
        <v>206.7176</v>
      </c>
      <c r="M4477">
        <v>0.62271569999999898</v>
      </c>
      <c r="N4477">
        <v>-1.6273289999999999E-2</v>
      </c>
      <c r="O4477">
        <v>-0.78227910000000001</v>
      </c>
      <c r="P4477">
        <v>0.36070570000000002</v>
      </c>
      <c r="Q4477">
        <v>0.15738139999999901</v>
      </c>
      <c r="R4477">
        <v>-0.9193057</v>
      </c>
      <c r="S4477">
        <v>0.1643066</v>
      </c>
      <c r="T4477">
        <v>-1.327062E-2</v>
      </c>
      <c r="U4477">
        <v>-3.2165530000000002</v>
      </c>
      <c r="V4477">
        <v>0.29474879999999998</v>
      </c>
      <c r="W4477">
        <v>0.165071</v>
      </c>
      <c r="X4477">
        <v>0.94120919999999997</v>
      </c>
      <c r="Y4477">
        <v>0.58197929999999998</v>
      </c>
      <c r="Z4477">
        <v>-1.358584E-2</v>
      </c>
      <c r="AA4477">
        <v>0.81309010000000004</v>
      </c>
      <c r="AB4477">
        <v>24</v>
      </c>
      <c r="AC4477">
        <v>13.618399999999999</v>
      </c>
      <c r="AD4477">
        <v>-1.1110236608470001</v>
      </c>
      <c r="AE4477">
        <v>-269.085139999999</v>
      </c>
      <c r="AF4477">
        <v>156.92824389814001</v>
      </c>
      <c r="AG4477">
        <v>-1.1110236608470001</v>
      </c>
      <c r="AH4477">
        <v>219.005321785208</v>
      </c>
      <c r="AI4477">
        <v>90.236268413291498</v>
      </c>
      <c r="AJ4477">
        <v>54.376512575642998</v>
      </c>
      <c r="AK4477">
        <v>269.42724264033097</v>
      </c>
      <c r="AL4477">
        <v>80.498641205280904</v>
      </c>
      <c r="AM4477">
        <v>72.611546106988797</v>
      </c>
      <c r="AN4477">
        <v>1.0000000241535301</v>
      </c>
    </row>
    <row r="4478" spans="1:40" x14ac:dyDescent="0.25">
      <c r="A4478" t="str">
        <f>"20190303170343582"</f>
        <v>20190303170343582</v>
      </c>
      <c r="B4478" t="str">
        <f>"1551603823570107"</f>
        <v>1551603823570107</v>
      </c>
      <c r="C4478" t="s">
        <v>40</v>
      </c>
      <c r="D4478">
        <v>5.1425539999999996</v>
      </c>
      <c r="E4478">
        <v>0.62240799999999996</v>
      </c>
      <c r="F4478" t="s">
        <v>42</v>
      </c>
      <c r="G4478">
        <v>-186.5198</v>
      </c>
      <c r="H4478" s="1">
        <v>-1.290201E-6</v>
      </c>
      <c r="I4478">
        <v>80.718279999999993</v>
      </c>
      <c r="J4478">
        <v>-194.9102</v>
      </c>
      <c r="K4478">
        <v>1.11107</v>
      </c>
      <c r="L4478">
        <v>206.5137</v>
      </c>
      <c r="M4478">
        <v>0.6094484</v>
      </c>
      <c r="N4478">
        <v>-1.6262329999999998E-2</v>
      </c>
      <c r="O4478">
        <v>-0.792659</v>
      </c>
      <c r="P4478">
        <v>0.34748129999999999</v>
      </c>
      <c r="Q4478">
        <v>0.156630399999999</v>
      </c>
      <c r="R4478">
        <v>-0.92451269999999997</v>
      </c>
      <c r="S4478">
        <v>0.2154846</v>
      </c>
      <c r="T4478">
        <v>-2.8071760000000001E-2</v>
      </c>
      <c r="U4478">
        <v>-3.1835939999999998</v>
      </c>
      <c r="V4478">
        <v>0.29242000000000001</v>
      </c>
      <c r="W4478">
        <v>0.16442660000000001</v>
      </c>
      <c r="X4478">
        <v>0.942048</v>
      </c>
      <c r="Y4478">
        <v>0.55448469999999905</v>
      </c>
      <c r="Z4478">
        <v>-1.0541729999999999E-2</v>
      </c>
      <c r="AA4478">
        <v>0.83212719999999996</v>
      </c>
      <c r="AB4478">
        <v>24</v>
      </c>
      <c r="AC4478">
        <v>8.3903999999999996</v>
      </c>
      <c r="AD4478">
        <v>-1.111071290201</v>
      </c>
      <c r="AE4478">
        <v>-125.79541999999999</v>
      </c>
      <c r="AF4478">
        <v>70.018909681676703</v>
      </c>
      <c r="AG4478">
        <v>-1.111071290201</v>
      </c>
      <c r="AH4478">
        <v>104.83210443800201</v>
      </c>
      <c r="AI4478">
        <v>90.504961568466101</v>
      </c>
      <c r="AJ4478">
        <v>56.260453805969597</v>
      </c>
      <c r="AK4478">
        <v>126.07002940161</v>
      </c>
      <c r="AL4478">
        <v>80.536073862415705</v>
      </c>
      <c r="AM4478">
        <v>72.755196724483994</v>
      </c>
      <c r="AN4478">
        <v>0.99999999874577905</v>
      </c>
    </row>
    <row r="4479" spans="1:40" x14ac:dyDescent="0.25">
      <c r="A4479" t="str">
        <f>"20190303170343605"</f>
        <v>20190303170343605</v>
      </c>
      <c r="B4479" t="str">
        <f>"1551603823589627"</f>
        <v>1551603823589627</v>
      </c>
      <c r="C4479" t="s">
        <v>40</v>
      </c>
      <c r="D4479">
        <v>5.0052240000000001</v>
      </c>
      <c r="E4479">
        <v>0.62184589999999995</v>
      </c>
      <c r="F4479" t="s">
        <v>42</v>
      </c>
      <c r="G4479">
        <v>-187.08670000000001</v>
      </c>
      <c r="H4479" s="1">
        <v>-2.938196E-6</v>
      </c>
      <c r="I4479">
        <v>75.277169999999998</v>
      </c>
      <c r="J4479">
        <v>-194.7758</v>
      </c>
      <c r="K4479">
        <v>1.1111489999999999</v>
      </c>
      <c r="L4479">
        <v>206.30779999999999</v>
      </c>
      <c r="M4479">
        <v>0.59606429999999999</v>
      </c>
      <c r="N4479">
        <v>-1.624842E-2</v>
      </c>
      <c r="O4479">
        <v>-0.80277219999999905</v>
      </c>
      <c r="P4479">
        <v>0.3334432</v>
      </c>
      <c r="Q4479">
        <v>0.15717509999999901</v>
      </c>
      <c r="R4479">
        <v>-0.92957610000000002</v>
      </c>
      <c r="S4479">
        <v>0.18946840000000001</v>
      </c>
      <c r="T4479">
        <v>-2.690768E-2</v>
      </c>
      <c r="U4479">
        <v>-3.1782530000000002</v>
      </c>
      <c r="V4479">
        <v>0.2908057</v>
      </c>
      <c r="W4479">
        <v>0.16505590000000001</v>
      </c>
      <c r="X4479">
        <v>0.94243759999999999</v>
      </c>
      <c r="Y4479">
        <v>0.54719589999999996</v>
      </c>
      <c r="Z4479">
        <v>-1.0647480000000001E-2</v>
      </c>
      <c r="AA4479">
        <v>0.83693689999999998</v>
      </c>
      <c r="AB4479">
        <v>24</v>
      </c>
      <c r="AC4479">
        <v>7.6890999999999901</v>
      </c>
      <c r="AD4479">
        <v>-1.111151938196</v>
      </c>
      <c r="AE4479">
        <v>-131.03062999999901</v>
      </c>
      <c r="AF4479">
        <v>71.934431706119298</v>
      </c>
      <c r="AG4479">
        <v>-1.111151938196</v>
      </c>
      <c r="AH4479">
        <v>109.777578495273</v>
      </c>
      <c r="AI4479">
        <v>90.485062306195701</v>
      </c>
      <c r="AJ4479">
        <v>56.764202592153303</v>
      </c>
      <c r="AK4479">
        <v>131.25133852192801</v>
      </c>
      <c r="AL4479">
        <v>80.499518341132799</v>
      </c>
      <c r="AM4479">
        <v>72.851469564772501</v>
      </c>
      <c r="AN4479">
        <v>1.0000000175855299</v>
      </c>
    </row>
    <row r="4480" spans="1:40" x14ac:dyDescent="0.25">
      <c r="A4480" t="str">
        <f>"20190303170343627"</f>
        <v>20190303170343627</v>
      </c>
      <c r="B4480" t="str">
        <f>"1551603823619882"</f>
        <v>1551603823619882</v>
      </c>
      <c r="C4480" t="s">
        <v>40</v>
      </c>
      <c r="D4480">
        <v>4.9529540000000001</v>
      </c>
      <c r="E4480">
        <v>0.62075740000000001</v>
      </c>
      <c r="F4480" t="s">
        <v>42</v>
      </c>
      <c r="G4480">
        <v>-184.30099999999999</v>
      </c>
      <c r="H4480" s="1">
        <v>-3.9450560000000002E-6</v>
      </c>
      <c r="I4480">
        <v>-23.527629999999998</v>
      </c>
      <c r="J4480">
        <v>-194.6439</v>
      </c>
      <c r="K4480">
        <v>1.1112439999999999</v>
      </c>
      <c r="L4480">
        <v>206.0984</v>
      </c>
      <c r="M4480">
        <v>0.58247450000000001</v>
      </c>
      <c r="N4480">
        <v>-1.623045E-2</v>
      </c>
      <c r="O4480">
        <v>-0.81268699999999905</v>
      </c>
      <c r="P4480">
        <v>0.32020219999999999</v>
      </c>
      <c r="Q4480">
        <v>0.15861919999999999</v>
      </c>
      <c r="R4480">
        <v>-0.93397589999999997</v>
      </c>
      <c r="S4480">
        <v>0.1448364</v>
      </c>
      <c r="T4480">
        <v>-1.5364050000000001E-2</v>
      </c>
      <c r="U4480">
        <v>-3.1779630000000001</v>
      </c>
      <c r="V4480">
        <v>0.28819479999999997</v>
      </c>
      <c r="W4480">
        <v>0.16661619999999999</v>
      </c>
      <c r="X4480">
        <v>0.94296489999999999</v>
      </c>
      <c r="Y4480">
        <v>0.54485030000000001</v>
      </c>
      <c r="Z4480">
        <v>-1.290329E-2</v>
      </c>
      <c r="AA4480">
        <v>0.83843400000000001</v>
      </c>
      <c r="AB4480">
        <v>24</v>
      </c>
      <c r="AC4480">
        <v>10.3429</v>
      </c>
      <c r="AD4480">
        <v>-1.111247945056</v>
      </c>
      <c r="AE4480">
        <v>-229.62602999999999</v>
      </c>
      <c r="AF4480">
        <v>125.35934155</v>
      </c>
      <c r="AG4480">
        <v>-1.111247945056</v>
      </c>
      <c r="AH4480">
        <v>192.65942765074499</v>
      </c>
      <c r="AI4480">
        <v>90.276999603466507</v>
      </c>
      <c r="AJ4480">
        <v>56.948813359893698</v>
      </c>
      <c r="AK4480">
        <v>229.85616034502399</v>
      </c>
      <c r="AL4480">
        <v>80.408864320931201</v>
      </c>
      <c r="AM4480">
        <v>73.005473626067101</v>
      </c>
      <c r="AN4480">
        <v>1.00000000174074</v>
      </c>
    </row>
    <row r="4481" spans="1:40" x14ac:dyDescent="0.25">
      <c r="A4481" t="str">
        <f>"20190303170343649"</f>
        <v>20190303170343649</v>
      </c>
      <c r="B4481" t="str">
        <f>"1551603823640380"</f>
        <v>1551603823640380</v>
      </c>
      <c r="C4481" t="s">
        <v>40</v>
      </c>
      <c r="D4481">
        <v>4.9410119999999997</v>
      </c>
      <c r="E4481">
        <v>0.61957759999999995</v>
      </c>
      <c r="F4481" t="s">
        <v>61</v>
      </c>
      <c r="G4481">
        <v>-185.00139999999999</v>
      </c>
      <c r="H4481">
        <v>1.622247</v>
      </c>
      <c r="I4481">
        <v>-81.815700000000007</v>
      </c>
      <c r="J4481">
        <v>-194.5241</v>
      </c>
      <c r="K4481">
        <v>1.1113409999999999</v>
      </c>
      <c r="L4481">
        <v>205.90100000000001</v>
      </c>
      <c r="M4481">
        <v>0.56971850000000002</v>
      </c>
      <c r="N4481">
        <v>-1.620926E-2</v>
      </c>
      <c r="O4481">
        <v>-0.82168009999999903</v>
      </c>
      <c r="P4481">
        <v>0.30945149999999999</v>
      </c>
      <c r="Q4481">
        <v>0.15913350000000001</v>
      </c>
      <c r="R4481">
        <v>-0.93750540000000004</v>
      </c>
      <c r="S4481">
        <v>0.10632320000000001</v>
      </c>
      <c r="T4481">
        <v>5.6346649999999996E-3</v>
      </c>
      <c r="U4481">
        <v>-3.1746979999999998</v>
      </c>
      <c r="V4481">
        <v>0.28422330000000001</v>
      </c>
      <c r="W4481">
        <v>0.16729079999999999</v>
      </c>
      <c r="X4481">
        <v>0.94405030000000001</v>
      </c>
      <c r="Y4481">
        <v>0.54191</v>
      </c>
      <c r="Z4481">
        <v>-1.720035E-2</v>
      </c>
      <c r="AA4481">
        <v>0.84026049999999997</v>
      </c>
      <c r="AB4481">
        <v>23</v>
      </c>
      <c r="AC4481">
        <v>9.5227000000000093</v>
      </c>
      <c r="AD4481">
        <v>0.51090599999999997</v>
      </c>
      <c r="AE4481">
        <v>-287.7167</v>
      </c>
      <c r="AF4481">
        <v>156.11292441769299</v>
      </c>
      <c r="AG4481">
        <v>0.51090599999999997</v>
      </c>
      <c r="AH4481">
        <v>241.86734805781501</v>
      </c>
      <c r="AI4481">
        <v>89.898313866405005</v>
      </c>
      <c r="AJ4481">
        <v>57.159839001626899</v>
      </c>
      <c r="AK4481">
        <v>287.87379222795801</v>
      </c>
      <c r="AL4481">
        <v>80.369662677912103</v>
      </c>
      <c r="AM4481">
        <v>73.244634917799203</v>
      </c>
      <c r="AN4481">
        <v>1.0000000324788001</v>
      </c>
    </row>
    <row r="4482" spans="1:40" x14ac:dyDescent="0.25">
      <c r="A4482" t="str">
        <f>"20190303170343671"</f>
        <v>20190303170343671</v>
      </c>
      <c r="B4482" t="str">
        <f>"1551603823659899"</f>
        <v>1551603823659899</v>
      </c>
      <c r="C4482" t="s">
        <v>40</v>
      </c>
      <c r="D4482">
        <v>4.9633789999999998</v>
      </c>
      <c r="E4482">
        <v>0.61900569999999999</v>
      </c>
      <c r="F4482" t="s">
        <v>61</v>
      </c>
      <c r="G4482">
        <v>-187.6044</v>
      </c>
      <c r="H4482">
        <v>2.4738380000000002</v>
      </c>
      <c r="I4482">
        <v>-81.815979999999996</v>
      </c>
      <c r="J4482">
        <v>-194.40479999999999</v>
      </c>
      <c r="K4482">
        <v>1.111445</v>
      </c>
      <c r="L4482">
        <v>205.6979</v>
      </c>
      <c r="M4482">
        <v>0.55664659999999999</v>
      </c>
      <c r="N4482">
        <v>-1.618263E-2</v>
      </c>
      <c r="O4482">
        <v>-0.83059189999999905</v>
      </c>
      <c r="P4482">
        <v>0.2972513</v>
      </c>
      <c r="Q4482">
        <v>0.15856919999999999</v>
      </c>
      <c r="R4482">
        <v>-0.94154009999999999</v>
      </c>
      <c r="S4482">
        <v>7.6293949999999999E-2</v>
      </c>
      <c r="T4482">
        <v>1.5022399999999899E-2</v>
      </c>
      <c r="U4482">
        <v>-3.172256</v>
      </c>
      <c r="V4482">
        <v>0.2815317</v>
      </c>
      <c r="W4482">
        <v>0.16685639999999999</v>
      </c>
      <c r="X4482">
        <v>0.94493320000000003</v>
      </c>
      <c r="Y4482">
        <v>0.53654230000000003</v>
      </c>
      <c r="Z4482">
        <v>-1.9229820000000002E-2</v>
      </c>
      <c r="AA4482">
        <v>0.84365429999999997</v>
      </c>
      <c r="AB4482">
        <v>23</v>
      </c>
      <c r="AC4482">
        <v>6.80039999999999</v>
      </c>
      <c r="AD4482">
        <v>1.362393</v>
      </c>
      <c r="AE4482">
        <v>-287.51387999999997</v>
      </c>
      <c r="AF4482">
        <v>154.412004792885</v>
      </c>
      <c r="AG4482">
        <v>1.362393</v>
      </c>
      <c r="AH4482">
        <v>242.618419136386</v>
      </c>
      <c r="AI4482">
        <v>89.7285741095058</v>
      </c>
      <c r="AJ4482">
        <v>57.525704023648103</v>
      </c>
      <c r="AK4482">
        <v>287.59106495696898</v>
      </c>
      <c r="AL4482">
        <v>80.394906027194807</v>
      </c>
      <c r="AM4482">
        <v>73.4091953741612</v>
      </c>
      <c r="AN4482">
        <v>0.99999995439404399</v>
      </c>
    </row>
    <row r="4483" spans="1:40" x14ac:dyDescent="0.25">
      <c r="A4483" t="str">
        <f>"20190303170343694"</f>
        <v>20190303170343694</v>
      </c>
      <c r="B4483" t="str">
        <f>"1551603823690154"</f>
        <v>1551603823690154</v>
      </c>
      <c r="C4483" t="s">
        <v>40</v>
      </c>
      <c r="D4483">
        <v>4.9602839999999997</v>
      </c>
      <c r="E4483">
        <v>0.6056262</v>
      </c>
      <c r="F4483" t="s">
        <v>61</v>
      </c>
      <c r="G4483">
        <v>-190.82759999999999</v>
      </c>
      <c r="H4483">
        <v>2.3488169999999999</v>
      </c>
      <c r="I4483">
        <v>-81.815939999999998</v>
      </c>
      <c r="J4483">
        <v>-194.28469999999999</v>
      </c>
      <c r="K4483">
        <v>1.1115710000000001</v>
      </c>
      <c r="L4483">
        <v>205.48580000000001</v>
      </c>
      <c r="M4483">
        <v>0.54308749999999995</v>
      </c>
      <c r="N4483">
        <v>-1.6149380000000001E-2</v>
      </c>
      <c r="O4483">
        <v>-0.83952090000000001</v>
      </c>
      <c r="P4483">
        <v>0.2817712</v>
      </c>
      <c r="Q4483">
        <v>0.15832839999999901</v>
      </c>
      <c r="R4483">
        <v>-0.94632859999999996</v>
      </c>
      <c r="S4483">
        <v>3.9459229999999998E-2</v>
      </c>
      <c r="T4483">
        <v>1.3649110000000001E-2</v>
      </c>
      <c r="U4483">
        <v>-3.171478</v>
      </c>
      <c r="V4483">
        <v>0.28164800000000001</v>
      </c>
      <c r="W4483">
        <v>0.16666929999999999</v>
      </c>
      <c r="X4483">
        <v>0.94493159999999998</v>
      </c>
      <c r="Y4483">
        <v>0.53262319999999996</v>
      </c>
      <c r="Z4483">
        <v>-1.902852E-2</v>
      </c>
      <c r="AA4483">
        <v>0.84613850000000002</v>
      </c>
      <c r="AB4483">
        <v>23</v>
      </c>
      <c r="AC4483">
        <v>3.4570999999999898</v>
      </c>
      <c r="AD4483">
        <v>1.2372459999999901</v>
      </c>
      <c r="AE4483">
        <v>-287.30174</v>
      </c>
      <c r="AF4483">
        <v>153.14479471588899</v>
      </c>
      <c r="AG4483">
        <v>1.2372459999999901</v>
      </c>
      <c r="AH4483">
        <v>243.10049717902399</v>
      </c>
      <c r="AI4483">
        <v>89.753274314672495</v>
      </c>
      <c r="AJ4483">
        <v>57.790509557743803</v>
      </c>
      <c r="AK4483">
        <v>287.31987514776102</v>
      </c>
      <c r="AL4483">
        <v>80.405778657839207</v>
      </c>
      <c r="AM4483">
        <v>73.402692149529699</v>
      </c>
      <c r="AN4483">
        <v>0.99999999007252405</v>
      </c>
    </row>
    <row r="4484" spans="1:40" x14ac:dyDescent="0.25">
      <c r="A4484" t="str">
        <f>"20190303170343717"</f>
        <v>20190303170343717</v>
      </c>
      <c r="B4484" t="str">
        <f>"1551603823709674"</f>
        <v>1551603823709674</v>
      </c>
      <c r="C4484" t="s">
        <v>40</v>
      </c>
      <c r="D4484">
        <v>4.9485659999999996</v>
      </c>
      <c r="E4484">
        <v>0.60393750000000002</v>
      </c>
      <c r="F4484" t="s">
        <v>61</v>
      </c>
      <c r="G4484">
        <v>-185.96770000000001</v>
      </c>
      <c r="H4484">
        <v>2.2611910000000002</v>
      </c>
      <c r="I4484">
        <v>-81.815919999999906</v>
      </c>
      <c r="J4484">
        <v>-194.1662</v>
      </c>
      <c r="K4484">
        <v>1.1117159999999999</v>
      </c>
      <c r="L4484">
        <v>205.26840000000001</v>
      </c>
      <c r="M4484">
        <v>0.52932380000000001</v>
      </c>
      <c r="N4484">
        <v>-1.6108830000000001E-2</v>
      </c>
      <c r="O4484">
        <v>-0.84826710000000005</v>
      </c>
      <c r="P4484">
        <v>0.26641599999999999</v>
      </c>
      <c r="Q4484">
        <v>0.15866939999999999</v>
      </c>
      <c r="R4484">
        <v>-0.95070889999999997</v>
      </c>
      <c r="S4484">
        <v>9.092712E-2</v>
      </c>
      <c r="T4484">
        <v>1.256847E-2</v>
      </c>
      <c r="U4484">
        <v>-3.1409760000000002</v>
      </c>
      <c r="V4484">
        <v>0.28144789999999997</v>
      </c>
      <c r="W4484">
        <v>0.16707929999999999</v>
      </c>
      <c r="X4484">
        <v>0.94491879999999995</v>
      </c>
      <c r="Y4484">
        <v>0.50457909999999995</v>
      </c>
      <c r="Z4484">
        <v>-1.8795240000000001E-2</v>
      </c>
      <c r="AA4484">
        <v>0.86316079999999995</v>
      </c>
      <c r="AB4484">
        <v>23</v>
      </c>
      <c r="AC4484">
        <v>8.1984999999999904</v>
      </c>
      <c r="AD4484">
        <v>1.149475</v>
      </c>
      <c r="AE4484">
        <v>-287.08431999999999</v>
      </c>
      <c r="AF4484">
        <v>145.02252176779899</v>
      </c>
      <c r="AG4484">
        <v>1.149475</v>
      </c>
      <c r="AH4484">
        <v>247.892008443523</v>
      </c>
      <c r="AI4484">
        <v>89.770680859355807</v>
      </c>
      <c r="AJ4484">
        <v>59.671384893157899</v>
      </c>
      <c r="AK4484">
        <v>287.19906156328398</v>
      </c>
      <c r="AL4484">
        <v>80.381953173996806</v>
      </c>
      <c r="AM4484">
        <v>73.413623532923907</v>
      </c>
      <c r="AN4484">
        <v>0.99999997574816901</v>
      </c>
    </row>
    <row r="4485" spans="1:40" x14ac:dyDescent="0.25">
      <c r="A4485" t="str">
        <f>"20190303170343738"</f>
        <v>20190303170343738</v>
      </c>
      <c r="B4485" t="str">
        <f>"1551603823730171"</f>
        <v>1551603823730171</v>
      </c>
      <c r="C4485" t="s">
        <v>40</v>
      </c>
      <c r="D4485">
        <v>4.9983879999999896</v>
      </c>
      <c r="E4485">
        <v>0.60292990000000002</v>
      </c>
      <c r="F4485" t="s">
        <v>61</v>
      </c>
      <c r="G4485">
        <v>-189.27189999999999</v>
      </c>
      <c r="H4485">
        <v>2.520696</v>
      </c>
      <c r="I4485">
        <v>-81.816000000000003</v>
      </c>
      <c r="J4485">
        <v>-194.0573</v>
      </c>
      <c r="K4485">
        <v>1.111872</v>
      </c>
      <c r="L4485">
        <v>205.06110000000001</v>
      </c>
      <c r="M4485">
        <v>0.51633929999999995</v>
      </c>
      <c r="N4485">
        <v>-1.606428E-2</v>
      </c>
      <c r="O4485">
        <v>-0.85623349999999898</v>
      </c>
      <c r="P4485">
        <v>0.25556699999999999</v>
      </c>
      <c r="Q4485">
        <v>0.1585212</v>
      </c>
      <c r="R4485">
        <v>-0.95370690000000002</v>
      </c>
      <c r="S4485">
        <v>5.3497309999999999E-2</v>
      </c>
      <c r="T4485">
        <v>1.540101E-2</v>
      </c>
      <c r="U4485">
        <v>-3.1379999999999999</v>
      </c>
      <c r="V4485">
        <v>0.27774870000000002</v>
      </c>
      <c r="W4485">
        <v>0.16710459999999999</v>
      </c>
      <c r="X4485">
        <v>0.94600830000000002</v>
      </c>
      <c r="Y4485">
        <v>0.50169370000000002</v>
      </c>
      <c r="Z4485">
        <v>-1.9508129999999999E-2</v>
      </c>
      <c r="AA4485">
        <v>0.86482539999999997</v>
      </c>
      <c r="AB4485">
        <v>23</v>
      </c>
      <c r="AC4485">
        <v>4.7854000000000099</v>
      </c>
      <c r="AD4485">
        <v>1.4088240000000001</v>
      </c>
      <c r="AE4485">
        <v>-286.87709999999998</v>
      </c>
      <c r="AF4485">
        <v>144.043605851856</v>
      </c>
      <c r="AG4485">
        <v>1.4088240000000001</v>
      </c>
      <c r="AH4485">
        <v>248.13069287009799</v>
      </c>
      <c r="AI4485">
        <v>89.718660923175804</v>
      </c>
      <c r="AJ4485">
        <v>59.864189191736003</v>
      </c>
      <c r="AK4485">
        <v>286.913551293875</v>
      </c>
      <c r="AL4485">
        <v>80.380483114481805</v>
      </c>
      <c r="AM4485">
        <v>73.637724121515802</v>
      </c>
      <c r="AN4485">
        <v>0.99999999568086995</v>
      </c>
    </row>
    <row r="4486" spans="1:40" x14ac:dyDescent="0.25">
      <c r="A4486" t="str">
        <f>"20190303170343760"</f>
        <v>20190303170343760</v>
      </c>
      <c r="B4486" t="str">
        <f>"1551603823749691"</f>
        <v>1551603823749691</v>
      </c>
      <c r="C4486" t="s">
        <v>40</v>
      </c>
      <c r="D4486">
        <v>5.001099</v>
      </c>
      <c r="E4486">
        <v>0.59572049999999999</v>
      </c>
      <c r="F4486" t="s">
        <v>61</v>
      </c>
      <c r="G4486">
        <v>-191.7629</v>
      </c>
      <c r="H4486">
        <v>2.4613700000000001</v>
      </c>
      <c r="I4486">
        <v>-81.815989999999999</v>
      </c>
      <c r="J4486">
        <v>-193.9512</v>
      </c>
      <c r="K4486">
        <v>1.1120239999999999</v>
      </c>
      <c r="L4486">
        <v>204.8519</v>
      </c>
      <c r="M4486">
        <v>0.5033647</v>
      </c>
      <c r="N4486">
        <v>-1.601613E-2</v>
      </c>
      <c r="O4486">
        <v>-0.86392579999999997</v>
      </c>
      <c r="P4486">
        <v>0.2455898</v>
      </c>
      <c r="Q4486">
        <v>0.15741369999999999</v>
      </c>
      <c r="R4486">
        <v>-0.95650789999999997</v>
      </c>
      <c r="S4486">
        <v>2.5085449999999999E-2</v>
      </c>
      <c r="T4486">
        <v>1.475418E-2</v>
      </c>
      <c r="U4486">
        <v>-3.136444</v>
      </c>
      <c r="V4486">
        <v>0.27334589999999998</v>
      </c>
      <c r="W4486">
        <v>0.1661859</v>
      </c>
      <c r="X4486">
        <v>0.94745140000000005</v>
      </c>
      <c r="Y4486">
        <v>0.49646030000000002</v>
      </c>
      <c r="Z4486">
        <v>-1.941592E-2</v>
      </c>
      <c r="AA4486">
        <v>0.86784229999999996</v>
      </c>
      <c r="AB4486">
        <v>23</v>
      </c>
      <c r="AC4486">
        <v>2.1882999999999901</v>
      </c>
      <c r="AD4486">
        <v>1.3493459999999999</v>
      </c>
      <c r="AE4486">
        <v>-286.66789</v>
      </c>
      <c r="AF4486">
        <v>142.423057617967</v>
      </c>
      <c r="AG4486">
        <v>1.3493459999999999</v>
      </c>
      <c r="AH4486">
        <v>248.78765870606401</v>
      </c>
      <c r="AI4486">
        <v>89.730312591773497</v>
      </c>
      <c r="AJ4486">
        <v>60.2102289880333</v>
      </c>
      <c r="AK4486">
        <v>286.67306675082602</v>
      </c>
      <c r="AL4486">
        <v>80.433866733354705</v>
      </c>
      <c r="AM4486">
        <v>73.906804757543</v>
      </c>
      <c r="AN4486">
        <v>0.99999994488378796</v>
      </c>
    </row>
    <row r="4487" spans="1:40" x14ac:dyDescent="0.25">
      <c r="A4487" t="str">
        <f>"20190303170343783"</f>
        <v>20190303170343783</v>
      </c>
      <c r="B4487" t="str">
        <f>"1551603823770187"</f>
        <v>1551603823770187</v>
      </c>
      <c r="C4487" t="s">
        <v>40</v>
      </c>
      <c r="D4487">
        <v>5.0397129999999999</v>
      </c>
      <c r="E4487">
        <v>0.59408899999999998</v>
      </c>
      <c r="F4487" t="s">
        <v>42</v>
      </c>
      <c r="G4487">
        <v>-191.59309999999999</v>
      </c>
      <c r="H4487" s="1">
        <v>-1.4021009999999999E-6</v>
      </c>
      <c r="I4487">
        <v>61.869349999999997</v>
      </c>
      <c r="J4487">
        <v>-193.8416</v>
      </c>
      <c r="K4487">
        <v>1.112196</v>
      </c>
      <c r="L4487">
        <v>204.6275</v>
      </c>
      <c r="M4487">
        <v>0.48960720000000002</v>
      </c>
      <c r="N4487">
        <v>-1.5963160000000001E-2</v>
      </c>
      <c r="O4487">
        <v>-0.8717973</v>
      </c>
      <c r="P4487">
        <v>0.2326203</v>
      </c>
      <c r="Q4487">
        <v>0.15589320000000001</v>
      </c>
      <c r="R4487">
        <v>-0.95999239999999997</v>
      </c>
      <c r="S4487">
        <v>5.1574710000000003E-2</v>
      </c>
      <c r="T4487">
        <v>-2.4320959999999999E-2</v>
      </c>
      <c r="U4487">
        <v>-3.127151</v>
      </c>
      <c r="V4487">
        <v>0.27116079999999998</v>
      </c>
      <c r="W4487">
        <v>0.16479250000000001</v>
      </c>
      <c r="X4487">
        <v>0.94832240000000001</v>
      </c>
      <c r="Y4487">
        <v>0.47513260000000002</v>
      </c>
      <c r="Z4487">
        <v>-1.007713E-2</v>
      </c>
      <c r="AA4487">
        <v>0.87985650000000004</v>
      </c>
      <c r="AB4487">
        <v>23</v>
      </c>
      <c r="AC4487">
        <v>2.2484999999999999</v>
      </c>
      <c r="AD4487">
        <v>-1.1121974021009999</v>
      </c>
      <c r="AE4487">
        <v>-142.75815</v>
      </c>
      <c r="AF4487">
        <v>67.939697366175807</v>
      </c>
      <c r="AG4487">
        <v>-1.1121974021009999</v>
      </c>
      <c r="AH4487">
        <v>125.565397002952</v>
      </c>
      <c r="AI4487">
        <v>90.446341534874904</v>
      </c>
      <c r="AJ4487">
        <v>61.583499521025999</v>
      </c>
      <c r="AK4487">
        <v>142.77152512240599</v>
      </c>
      <c r="AL4487">
        <v>80.514819995564807</v>
      </c>
      <c r="AM4487">
        <v>74.042788395052497</v>
      </c>
      <c r="AN4487">
        <v>1.0000000609273201</v>
      </c>
    </row>
    <row r="4488" spans="1:40" x14ac:dyDescent="0.25">
      <c r="A4488" t="str">
        <f>"20190303170343807"</f>
        <v>20190303170343807</v>
      </c>
      <c r="B4488" t="str">
        <f>"1551603823800443"</f>
        <v>1551603823800443</v>
      </c>
      <c r="C4488" t="s">
        <v>40</v>
      </c>
      <c r="D4488">
        <v>5.0618030000000003</v>
      </c>
      <c r="E4488">
        <v>0.59148819999999902</v>
      </c>
      <c r="F4488" t="s">
        <v>42</v>
      </c>
      <c r="G4488">
        <v>-193.04689999999999</v>
      </c>
      <c r="H4488" s="1">
        <v>-2.7025040000000001E-6</v>
      </c>
      <c r="I4488">
        <v>93.998919999999998</v>
      </c>
      <c r="J4488">
        <v>-193.73740000000001</v>
      </c>
      <c r="K4488">
        <v>1.112355</v>
      </c>
      <c r="L4488">
        <v>204.40629999999999</v>
      </c>
      <c r="M4488">
        <v>0.47621770000000002</v>
      </c>
      <c r="N4488">
        <v>-1.5909019999999999E-2</v>
      </c>
      <c r="O4488">
        <v>-0.87918359999999995</v>
      </c>
      <c r="P4488">
        <v>0.218753</v>
      </c>
      <c r="Q4488">
        <v>0.15473799999999999</v>
      </c>
      <c r="R4488">
        <v>-0.96343299999999998</v>
      </c>
      <c r="S4488">
        <v>2.2445679999999999E-2</v>
      </c>
      <c r="T4488">
        <v>-3.1413789999999997E-2</v>
      </c>
      <c r="U4488">
        <v>-3.1246800000000001</v>
      </c>
      <c r="V4488">
        <v>0.27032250000000002</v>
      </c>
      <c r="W4488">
        <v>0.16372300000000001</v>
      </c>
      <c r="X4488">
        <v>0.9487468</v>
      </c>
      <c r="Y4488">
        <v>0.46984880000000001</v>
      </c>
      <c r="Z4488">
        <v>-8.2358980000000002E-3</v>
      </c>
      <c r="AA4488">
        <v>0.88270849999999901</v>
      </c>
      <c r="AB4488">
        <v>23</v>
      </c>
      <c r="AC4488">
        <v>0.69050000000001399</v>
      </c>
      <c r="AD4488">
        <v>-1.1123577025039999</v>
      </c>
      <c r="AE4488">
        <v>-110.40738</v>
      </c>
      <c r="AF4488">
        <v>51.972169953500597</v>
      </c>
      <c r="AG4488">
        <v>-1.1123577025039999</v>
      </c>
      <c r="AH4488">
        <v>97.399618050840203</v>
      </c>
      <c r="AI4488">
        <v>90.577284483893493</v>
      </c>
      <c r="AJ4488">
        <v>61.915740969759199</v>
      </c>
      <c r="AK4488">
        <v>110.40393736540101</v>
      </c>
      <c r="AL4488">
        <v>80.576940856197297</v>
      </c>
      <c r="AM4488">
        <v>74.096376822524306</v>
      </c>
      <c r="AN4488">
        <v>0.99999998262274403</v>
      </c>
    </row>
    <row r="4489" spans="1:40" x14ac:dyDescent="0.25">
      <c r="A4489" t="str">
        <f>"20190303170343828"</f>
        <v>20190303170343828</v>
      </c>
      <c r="B4489" t="str">
        <f>"1551603823819962"</f>
        <v>1551603823819962</v>
      </c>
      <c r="C4489" t="s">
        <v>40</v>
      </c>
      <c r="D4489">
        <v>5.0524129999999996</v>
      </c>
      <c r="E4489">
        <v>0.59099159999999995</v>
      </c>
      <c r="F4489" t="s">
        <v>42</v>
      </c>
      <c r="G4489">
        <v>-193.81110000000001</v>
      </c>
      <c r="H4489" s="1">
        <v>-3.1889839999999999E-6</v>
      </c>
      <c r="I4489">
        <v>114.65900000000001</v>
      </c>
      <c r="J4489">
        <v>-193.64070000000001</v>
      </c>
      <c r="K4489">
        <v>1.1125320000000001</v>
      </c>
      <c r="L4489">
        <v>204.1934</v>
      </c>
      <c r="M4489">
        <v>0.4635167</v>
      </c>
      <c r="N4489">
        <v>-1.5853019999999999E-2</v>
      </c>
      <c r="O4489">
        <v>-0.88594660000000003</v>
      </c>
      <c r="P4489">
        <v>0.2081884</v>
      </c>
      <c r="Q4489">
        <v>0.15511150000000001</v>
      </c>
      <c r="R4489">
        <v>-0.9657114</v>
      </c>
      <c r="S4489">
        <v>-2.5634770000000002E-3</v>
      </c>
      <c r="T4489">
        <v>-3.8678410000000003E-2</v>
      </c>
      <c r="U4489">
        <v>-3.1206510000000001</v>
      </c>
      <c r="V4489">
        <v>0.26696039999999999</v>
      </c>
      <c r="W4489">
        <v>0.16424549999999999</v>
      </c>
      <c r="X4489">
        <v>0.94960809999999996</v>
      </c>
      <c r="Y4489">
        <v>0.46419359999999998</v>
      </c>
      <c r="Z4489">
        <v>-6.2892779999999997E-3</v>
      </c>
      <c r="AA4489">
        <v>0.88571139999999904</v>
      </c>
      <c r="AB4489">
        <v>23</v>
      </c>
      <c r="AC4489">
        <v>-0.1704</v>
      </c>
      <c r="AD4489">
        <v>-1.1125351889839901</v>
      </c>
      <c r="AE4489">
        <v>-89.534400000000005</v>
      </c>
      <c r="AF4489">
        <v>41.650450104826099</v>
      </c>
      <c r="AG4489">
        <v>-1.1125351889839901</v>
      </c>
      <c r="AH4489">
        <v>79.241421805082197</v>
      </c>
      <c r="AI4489">
        <v>90.712017007303601</v>
      </c>
      <c r="AJ4489">
        <v>62.272927829656403</v>
      </c>
      <c r="AK4489">
        <v>89.527653036211703</v>
      </c>
      <c r="AL4489">
        <v>80.546593074928296</v>
      </c>
      <c r="AM4489">
        <v>74.297897433936399</v>
      </c>
      <c r="AN4489">
        <v>0.99999999151200902</v>
      </c>
    </row>
    <row r="4490" spans="1:40" x14ac:dyDescent="0.25">
      <c r="A4490" t="str">
        <f>"20190303170343850"</f>
        <v>20190303170343850</v>
      </c>
      <c r="B4490" t="str">
        <f>"1551603823840459"</f>
        <v>1551603823840459</v>
      </c>
      <c r="C4490" t="s">
        <v>40</v>
      </c>
      <c r="D4490">
        <v>5.0533780000000004</v>
      </c>
      <c r="E4490">
        <v>0.58008899999999997</v>
      </c>
      <c r="F4490" t="s">
        <v>42</v>
      </c>
      <c r="G4490">
        <v>-194.63399999999999</v>
      </c>
      <c r="H4490" s="1">
        <v>-3.1781979999999999E-6</v>
      </c>
      <c r="I4490">
        <v>114.1234</v>
      </c>
      <c r="J4490">
        <v>-193.5506</v>
      </c>
      <c r="K4490">
        <v>1.1127119999999999</v>
      </c>
      <c r="L4490">
        <v>203.98779999999999</v>
      </c>
      <c r="M4490">
        <v>0.45144240000000002</v>
      </c>
      <c r="N4490">
        <v>-1.5795010000000002E-2</v>
      </c>
      <c r="O4490">
        <v>-0.89216039999999996</v>
      </c>
      <c r="P4490">
        <v>0.19870489999999999</v>
      </c>
      <c r="Q4490">
        <v>0.15732090000000001</v>
      </c>
      <c r="R4490">
        <v>-0.96734989999999998</v>
      </c>
      <c r="S4490">
        <v>-3.4408569999999999E-2</v>
      </c>
      <c r="T4490">
        <v>-3.8539410000000003E-2</v>
      </c>
      <c r="U4490">
        <v>-3.120117</v>
      </c>
      <c r="V4490">
        <v>0.26318419999999998</v>
      </c>
      <c r="W4490">
        <v>0.16660720000000001</v>
      </c>
      <c r="X4490">
        <v>0.95025059999999995</v>
      </c>
      <c r="Y4490">
        <v>0.46120329999999898</v>
      </c>
      <c r="Z4490">
        <v>-6.1795829999999998E-3</v>
      </c>
      <c r="AA4490">
        <v>0.88727299999999998</v>
      </c>
      <c r="AB4490">
        <v>23</v>
      </c>
      <c r="AC4490">
        <v>-1.0834000000000099</v>
      </c>
      <c r="AD4490">
        <v>-1.112715178198</v>
      </c>
      <c r="AE4490">
        <v>-89.864399999999904</v>
      </c>
      <c r="AF4490">
        <v>41.533984160076201</v>
      </c>
      <c r="AG4490">
        <v>-1.112715178198</v>
      </c>
      <c r="AH4490">
        <v>79.682097122630793</v>
      </c>
      <c r="AI4490">
        <v>90.709466313958004</v>
      </c>
      <c r="AJ4490">
        <v>62.469396191669702</v>
      </c>
      <c r="AK4490">
        <v>89.864044963142106</v>
      </c>
      <c r="AL4490">
        <v>80.4093876874432</v>
      </c>
      <c r="AM4490">
        <v>74.519240541020096</v>
      </c>
      <c r="AN4490">
        <v>1.0000000425109099</v>
      </c>
    </row>
    <row r="4491" spans="1:40" x14ac:dyDescent="0.25">
      <c r="A4491" t="str">
        <f>"20190303170343872"</f>
        <v>20190303170343872</v>
      </c>
      <c r="B4491" t="str">
        <f>"1551603823859979"</f>
        <v>1551603823859979</v>
      </c>
      <c r="C4491" t="s">
        <v>40</v>
      </c>
      <c r="D4491">
        <v>5.0451199999999998</v>
      </c>
      <c r="E4491">
        <v>0.57857019999999904</v>
      </c>
      <c r="F4491" t="s">
        <v>90</v>
      </c>
      <c r="G4491">
        <v>-193.09479999999999</v>
      </c>
      <c r="H4491" s="1">
        <v>-9.2147550000000005E-6</v>
      </c>
      <c r="I4491">
        <v>142.01599999999999</v>
      </c>
      <c r="J4491">
        <v>-193.45609999999999</v>
      </c>
      <c r="K4491">
        <v>1.1129180000000001</v>
      </c>
      <c r="L4491">
        <v>203.7647</v>
      </c>
      <c r="M4491">
        <v>0.4385328</v>
      </c>
      <c r="N4491">
        <v>-1.5729460000000001E-2</v>
      </c>
      <c r="O4491">
        <v>-0.89857749999999903</v>
      </c>
      <c r="P4491">
        <v>0.1884082</v>
      </c>
      <c r="Q4491">
        <v>0.15861259999999999</v>
      </c>
      <c r="R4491">
        <v>-0.96919770000000005</v>
      </c>
      <c r="S4491">
        <v>2.284241E-2</v>
      </c>
      <c r="T4491">
        <v>-5.5762289999999999E-2</v>
      </c>
      <c r="U4491">
        <v>-3.1056210000000002</v>
      </c>
      <c r="V4491">
        <v>0.25942890000000002</v>
      </c>
      <c r="W4491">
        <v>0.16805699999999901</v>
      </c>
      <c r="X4491">
        <v>0.95102759999999997</v>
      </c>
      <c r="Y4491">
        <v>0.43184400000000001</v>
      </c>
      <c r="Z4491">
        <v>-1.356569E-3</v>
      </c>
      <c r="AA4491">
        <v>0.90194730000000001</v>
      </c>
      <c r="AB4491">
        <v>23</v>
      </c>
      <c r="AC4491">
        <v>0.36130000000000001</v>
      </c>
      <c r="AD4491">
        <v>-1.112927214755</v>
      </c>
      <c r="AE4491">
        <v>-61.748699999999999</v>
      </c>
      <c r="AF4491">
        <v>26.7487962133915</v>
      </c>
      <c r="AG4491">
        <v>-1.112927214755</v>
      </c>
      <c r="AH4491">
        <v>55.633248898931498</v>
      </c>
      <c r="AI4491">
        <v>91.032875900952305</v>
      </c>
      <c r="AJ4491">
        <v>64.321476204356699</v>
      </c>
      <c r="AK4491">
        <v>61.739736709038098</v>
      </c>
      <c r="AL4491">
        <v>80.325131921451799</v>
      </c>
      <c r="AM4491">
        <v>74.741643763494906</v>
      </c>
      <c r="AN4491">
        <v>1.0000000026829801</v>
      </c>
    </row>
    <row r="4492" spans="1:40" x14ac:dyDescent="0.25">
      <c r="A4492" t="str">
        <f>"20190303170343896"</f>
        <v>20190303170343896</v>
      </c>
      <c r="B4492" t="str">
        <f>"1551603823890235"</f>
        <v>1551603823890235</v>
      </c>
      <c r="C4492" t="s">
        <v>40</v>
      </c>
      <c r="D4492">
        <v>5.0591730000000004</v>
      </c>
      <c r="E4492">
        <v>0.57132289999999997</v>
      </c>
      <c r="F4492" t="s">
        <v>90</v>
      </c>
      <c r="G4492">
        <v>-193.39420000000001</v>
      </c>
      <c r="H4492" s="1">
        <v>-7.5106529999999997E-6</v>
      </c>
      <c r="I4492">
        <v>136.38630000000001</v>
      </c>
      <c r="J4492">
        <v>-193.363</v>
      </c>
      <c r="K4492">
        <v>1.113132</v>
      </c>
      <c r="L4492">
        <v>203.53620000000001</v>
      </c>
      <c r="M4492">
        <v>0.4255487</v>
      </c>
      <c r="N4492">
        <v>-1.566122E-2</v>
      </c>
      <c r="O4492">
        <v>-0.90480039999999995</v>
      </c>
      <c r="P4492">
        <v>0.17805090000000001</v>
      </c>
      <c r="Q4492">
        <v>0.15861059999999999</v>
      </c>
      <c r="R4492">
        <v>-0.97115450000000003</v>
      </c>
      <c r="S4492">
        <v>2.853394E-3</v>
      </c>
      <c r="T4492">
        <v>-5.1256419999999997E-2</v>
      </c>
      <c r="U4492">
        <v>-3.1031490000000002</v>
      </c>
      <c r="V4492">
        <v>0.25578889999999999</v>
      </c>
      <c r="W4492">
        <v>0.16821259999999999</v>
      </c>
      <c r="X4492">
        <v>0.95198559999999999</v>
      </c>
      <c r="Y4492">
        <v>0.42465589999999998</v>
      </c>
      <c r="Z4492">
        <v>-2.2792429999999998E-3</v>
      </c>
      <c r="AA4492">
        <v>0.90535189999999999</v>
      </c>
      <c r="AB4492">
        <v>23</v>
      </c>
      <c r="AC4492">
        <v>-3.1200000000012499E-2</v>
      </c>
      <c r="AD4492">
        <v>-1.113139510653</v>
      </c>
      <c r="AE4492">
        <v>-67.149900000000002</v>
      </c>
      <c r="AF4492">
        <v>28.599421480289799</v>
      </c>
      <c r="AG4492">
        <v>-1.113139510653</v>
      </c>
      <c r="AH4492">
        <v>60.734718212944401</v>
      </c>
      <c r="AI4492">
        <v>90.949962236302795</v>
      </c>
      <c r="AJ4492">
        <v>64.784684234618595</v>
      </c>
      <c r="AK4492">
        <v>67.140687999030803</v>
      </c>
      <c r="AL4492">
        <v>80.316088033366398</v>
      </c>
      <c r="AM4492">
        <v>74.960411701016596</v>
      </c>
      <c r="AN4492">
        <v>1.0000000113846601</v>
      </c>
    </row>
    <row r="4493" spans="1:40" x14ac:dyDescent="0.25">
      <c r="A4493" t="str">
        <f>"20190303170343918"</f>
        <v>20190303170343918</v>
      </c>
      <c r="B4493" t="str">
        <f>"1551603823909755"</f>
        <v>1551603823909755</v>
      </c>
      <c r="C4493" t="s">
        <v>40</v>
      </c>
      <c r="D4493">
        <v>5.058516</v>
      </c>
      <c r="E4493">
        <v>0.56969539999999996</v>
      </c>
      <c r="F4493" t="s">
        <v>90</v>
      </c>
      <c r="G4493">
        <v>-192.8817</v>
      </c>
      <c r="H4493" s="1">
        <v>-1.164118E-5</v>
      </c>
      <c r="I4493">
        <v>150.63030000000001</v>
      </c>
      <c r="J4493">
        <v>-193.2774</v>
      </c>
      <c r="K4493">
        <v>1.113334</v>
      </c>
      <c r="L4493">
        <v>203.3177</v>
      </c>
      <c r="M4493">
        <v>0.41336640000000002</v>
      </c>
      <c r="N4493">
        <v>-1.559542E-2</v>
      </c>
      <c r="O4493">
        <v>-0.91043130000000005</v>
      </c>
      <c r="P4493">
        <v>0.16818179999999999</v>
      </c>
      <c r="Q4493">
        <v>0.15851479999999901</v>
      </c>
      <c r="R4493">
        <v>-0.97292769999999995</v>
      </c>
      <c r="S4493">
        <v>2.8152469999999999E-2</v>
      </c>
      <c r="T4493">
        <v>-6.5109970000000003E-2</v>
      </c>
      <c r="U4493">
        <v>-3.0945740000000002</v>
      </c>
      <c r="V4493">
        <v>0.25258849999999999</v>
      </c>
      <c r="W4493">
        <v>0.1682554</v>
      </c>
      <c r="X4493">
        <v>0.95283220000000002</v>
      </c>
      <c r="Y4493">
        <v>0.4049934</v>
      </c>
      <c r="Z4493">
        <v>1.7496930000000001E-3</v>
      </c>
      <c r="AA4493">
        <v>0.91431799999999996</v>
      </c>
      <c r="AB4493">
        <v>23</v>
      </c>
      <c r="AC4493">
        <v>0.39570000000000499</v>
      </c>
      <c r="AD4493">
        <v>-1.11334564117999</v>
      </c>
      <c r="AE4493">
        <v>-52.687399999999997</v>
      </c>
      <c r="AF4493">
        <v>21.411986331669901</v>
      </c>
      <c r="AG4493">
        <v>-1.11334564117999</v>
      </c>
      <c r="AH4493">
        <v>48.116193957178901</v>
      </c>
      <c r="AI4493">
        <v>91.2110520709941</v>
      </c>
      <c r="AJ4493">
        <v>66.010657663842593</v>
      </c>
      <c r="AK4493">
        <v>52.677137527671498</v>
      </c>
      <c r="AL4493">
        <v>80.3136003586296</v>
      </c>
      <c r="AM4493">
        <v>75.152830507074</v>
      </c>
      <c r="AN4493">
        <v>1.00000001565912</v>
      </c>
    </row>
    <row r="4494" spans="1:40" x14ac:dyDescent="0.25">
      <c r="A4494" t="str">
        <f>"20190303170343940"</f>
        <v>20190303170343940</v>
      </c>
      <c r="B4494" t="str">
        <f>"1551603823930251"</f>
        <v>1551603823930251</v>
      </c>
      <c r="C4494" t="s">
        <v>40</v>
      </c>
      <c r="D4494">
        <v>5.0388159999999997</v>
      </c>
      <c r="E4494">
        <v>0.56810150000000004</v>
      </c>
      <c r="F4494" t="s">
        <v>90</v>
      </c>
      <c r="G4494">
        <v>-193.13130000000001</v>
      </c>
      <c r="H4494" s="1">
        <v>-1.1762880000000001E-5</v>
      </c>
      <c r="I4494">
        <v>150.8108</v>
      </c>
      <c r="J4494">
        <v>-193.19560000000001</v>
      </c>
      <c r="K4494">
        <v>1.1135120000000001</v>
      </c>
      <c r="L4494">
        <v>203.1011</v>
      </c>
      <c r="M4494">
        <v>0.40146910000000002</v>
      </c>
      <c r="N4494">
        <v>-1.553208E-2</v>
      </c>
      <c r="O4494">
        <v>-0.91574100000000003</v>
      </c>
      <c r="P4494">
        <v>0.15552820000000001</v>
      </c>
      <c r="Q4494">
        <v>0.1600087</v>
      </c>
      <c r="R4494">
        <v>-0.97478670000000001</v>
      </c>
      <c r="S4494">
        <v>8.6059569999999991E-3</v>
      </c>
      <c r="T4494">
        <v>-6.5575960000000003E-2</v>
      </c>
      <c r="U4494">
        <v>-3.092651</v>
      </c>
      <c r="V4494">
        <v>0.25240949999999901</v>
      </c>
      <c r="W4494">
        <v>0.16979739999999999</v>
      </c>
      <c r="X4494">
        <v>0.95260610000000001</v>
      </c>
      <c r="Y4494">
        <v>0.3988468</v>
      </c>
      <c r="Z4494">
        <v>2.1225440000000001E-3</v>
      </c>
      <c r="AA4494">
        <v>0.91701509999999997</v>
      </c>
      <c r="AB4494">
        <v>23</v>
      </c>
      <c r="AC4494">
        <v>6.4300000000002897E-2</v>
      </c>
      <c r="AD4494">
        <v>-1.1135237628799901</v>
      </c>
      <c r="AE4494">
        <v>-52.290300000000002</v>
      </c>
      <c r="AF4494">
        <v>20.927090390446999</v>
      </c>
      <c r="AG4494">
        <v>-1.1135237628799901</v>
      </c>
      <c r="AH4494">
        <v>47.894240904925297</v>
      </c>
      <c r="AI4494">
        <v>91.220483363849596</v>
      </c>
      <c r="AJ4494">
        <v>66.397377115439895</v>
      </c>
      <c r="AK4494">
        <v>52.278498058374403</v>
      </c>
      <c r="AL4494">
        <v>80.223960788783899</v>
      </c>
      <c r="AM4494">
        <v>75.159521694943507</v>
      </c>
      <c r="AN4494">
        <v>1.0000000472471</v>
      </c>
    </row>
    <row r="4495" spans="1:40" x14ac:dyDescent="0.25">
      <c r="A4495" t="str">
        <f>"20190303170343961"</f>
        <v>20190303170343961</v>
      </c>
      <c r="B4495" t="str">
        <f>"1551603823949771"</f>
        <v>1551603823949771</v>
      </c>
      <c r="C4495" t="s">
        <v>40</v>
      </c>
      <c r="D4495">
        <v>5.0340530000000001</v>
      </c>
      <c r="E4495">
        <v>0.56648759999999998</v>
      </c>
      <c r="F4495" t="s">
        <v>90</v>
      </c>
      <c r="G4495">
        <v>-193.5052</v>
      </c>
      <c r="H4495" s="1">
        <v>-1.161053E-5</v>
      </c>
      <c r="I4495">
        <v>150.30099999999999</v>
      </c>
      <c r="J4495">
        <v>-193.1163</v>
      </c>
      <c r="K4495">
        <v>1.113683</v>
      </c>
      <c r="L4495">
        <v>202.88329999999999</v>
      </c>
      <c r="M4495">
        <v>0.38969320000000002</v>
      </c>
      <c r="N4495">
        <v>-1.5471210000000001E-2</v>
      </c>
      <c r="O4495">
        <v>-0.92081480000000004</v>
      </c>
      <c r="P4495">
        <v>0.14348729999999901</v>
      </c>
      <c r="Q4495">
        <v>0.16226399999999999</v>
      </c>
      <c r="R4495">
        <v>-0.97625930000000005</v>
      </c>
      <c r="S4495">
        <v>-1.8127440000000002E-2</v>
      </c>
      <c r="T4495">
        <v>-6.5191979999999997E-2</v>
      </c>
      <c r="U4495">
        <v>-3.0912169999999999</v>
      </c>
      <c r="V4495">
        <v>0.25177729999999998</v>
      </c>
      <c r="W4495">
        <v>0.17210420000000001</v>
      </c>
      <c r="X4495">
        <v>0.95235939999999997</v>
      </c>
      <c r="Y4495">
        <v>0.39501550000000002</v>
      </c>
      <c r="Z4495">
        <v>2.237068E-3</v>
      </c>
      <c r="AA4495">
        <v>0.91867169999999998</v>
      </c>
      <c r="AB4495">
        <v>23</v>
      </c>
      <c r="AC4495">
        <v>-0.38890000000000602</v>
      </c>
      <c r="AD4495">
        <v>-1.1136946105299901</v>
      </c>
      <c r="AE4495">
        <v>-52.582299999999897</v>
      </c>
      <c r="AF4495">
        <v>20.842215637548399</v>
      </c>
      <c r="AG4495">
        <v>-1.1136946105299901</v>
      </c>
      <c r="AH4495">
        <v>48.251140924862199</v>
      </c>
      <c r="AI4495">
        <v>91.213855746411497</v>
      </c>
      <c r="AJ4495">
        <v>66.6379343887549</v>
      </c>
      <c r="AK4495">
        <v>52.5719589602528</v>
      </c>
      <c r="AL4495">
        <v>80.089816175104602</v>
      </c>
      <c r="AM4495">
        <v>75.191390988601597</v>
      </c>
      <c r="AN4495">
        <v>1.0000000456106399</v>
      </c>
    </row>
    <row r="4496" spans="1:40" x14ac:dyDescent="0.25">
      <c r="A4496" t="str">
        <f>"20190303170343986"</f>
        <v>20190303170343986</v>
      </c>
      <c r="B4496" t="str">
        <f>"1551603823980535"</f>
        <v>1551603823980535</v>
      </c>
      <c r="C4496" t="s">
        <v>40</v>
      </c>
      <c r="D4496">
        <v>4.9965679999999999</v>
      </c>
      <c r="E4496">
        <v>0.55686569999999902</v>
      </c>
      <c r="F4496" t="s">
        <v>90</v>
      </c>
      <c r="G4496">
        <v>-193.8604</v>
      </c>
      <c r="H4496" s="1">
        <v>-1.0696949999999999E-5</v>
      </c>
      <c r="I4496">
        <v>147.02699999999999</v>
      </c>
      <c r="J4496">
        <v>-193.03460000000001</v>
      </c>
      <c r="K4496">
        <v>1.113874</v>
      </c>
      <c r="L4496">
        <v>202.65049999999999</v>
      </c>
      <c r="M4496">
        <v>0.37732650000000001</v>
      </c>
      <c r="N4496">
        <v>-1.540701E-2</v>
      </c>
      <c r="O4496">
        <v>-0.9259522</v>
      </c>
      <c r="P4496">
        <v>0.13286899999999999</v>
      </c>
      <c r="Q4496">
        <v>0.16387019999999999</v>
      </c>
      <c r="R4496">
        <v>-0.97749330000000001</v>
      </c>
      <c r="S4496">
        <v>-4.1152950000000001E-2</v>
      </c>
      <c r="T4496">
        <v>-6.1594839999999998E-2</v>
      </c>
      <c r="U4496">
        <v>-3.0892330000000001</v>
      </c>
      <c r="V4496">
        <v>0.2492211</v>
      </c>
      <c r="W4496">
        <v>0.17380999999999999</v>
      </c>
      <c r="X4496">
        <v>0.95272179999999995</v>
      </c>
      <c r="Y4496">
        <v>0.38956190000000002</v>
      </c>
      <c r="Z4496">
        <v>1.4874440000000001E-3</v>
      </c>
      <c r="AA4496">
        <v>0.92099909999999996</v>
      </c>
      <c r="AB4496">
        <v>23</v>
      </c>
      <c r="AC4496">
        <v>-0.82579999999998599</v>
      </c>
      <c r="AD4496">
        <v>-1.11388469695</v>
      </c>
      <c r="AE4496">
        <v>-55.6234999999999</v>
      </c>
      <c r="AF4496">
        <v>21.746733728152702</v>
      </c>
      <c r="AG4496">
        <v>-1.11388469695</v>
      </c>
      <c r="AH4496">
        <v>51.178660429522999</v>
      </c>
      <c r="AI4496">
        <v>91.147552889003194</v>
      </c>
      <c r="AJ4496">
        <v>66.978487860799206</v>
      </c>
      <c r="AK4496">
        <v>55.618490183766198</v>
      </c>
      <c r="AL4496">
        <v>79.990584594695406</v>
      </c>
      <c r="AM4496">
        <v>75.340563596871803</v>
      </c>
      <c r="AN4496">
        <v>0.99999995049022306</v>
      </c>
    </row>
    <row r="4497" spans="1:40" x14ac:dyDescent="0.25">
      <c r="A4497" t="str">
        <f>"20190303170344008"</f>
        <v>20190303170344008</v>
      </c>
      <c r="B4497" t="str">
        <f>"1551603824000054"</f>
        <v>1551603824000054</v>
      </c>
      <c r="C4497" t="s">
        <v>40</v>
      </c>
      <c r="D4497">
        <v>5.0003359999999999</v>
      </c>
      <c r="E4497">
        <v>0.55433520000000003</v>
      </c>
      <c r="F4497" t="s">
        <v>42</v>
      </c>
      <c r="G4497">
        <v>-192.95769999999999</v>
      </c>
      <c r="H4497" s="1">
        <v>-3.4657039999999998E-6</v>
      </c>
      <c r="I4497">
        <v>165.25839999999999</v>
      </c>
      <c r="J4497">
        <v>-192.95830000000001</v>
      </c>
      <c r="K4497">
        <v>1.1140650000000001</v>
      </c>
      <c r="L4497">
        <v>202.42410000000001</v>
      </c>
      <c r="M4497">
        <v>0.3655331</v>
      </c>
      <c r="N4497">
        <v>-1.53425E-2</v>
      </c>
      <c r="O4497">
        <v>-0.93067200000000005</v>
      </c>
      <c r="P4497">
        <v>0.1248851</v>
      </c>
      <c r="Q4497">
        <v>0.16317670000000001</v>
      </c>
      <c r="R4497">
        <v>-0.978661</v>
      </c>
      <c r="S4497">
        <v>6.3476560000000001E-3</v>
      </c>
      <c r="T4497">
        <v>-9.1857430000000004E-2</v>
      </c>
      <c r="U4497">
        <v>-3.0835880000000002</v>
      </c>
      <c r="V4497">
        <v>0.24483260000000001</v>
      </c>
      <c r="W4497">
        <v>0.1732648</v>
      </c>
      <c r="X4497">
        <v>0.95395819999999998</v>
      </c>
      <c r="Y4497">
        <v>0.36352479999999998</v>
      </c>
      <c r="Z4497">
        <v>1.0333719999999999E-2</v>
      </c>
      <c r="AA4497">
        <v>0.9315272</v>
      </c>
      <c r="AB4497">
        <v>23</v>
      </c>
      <c r="AC4497">
        <v>6.0000000001991696E-4</v>
      </c>
      <c r="AD4497">
        <v>-1.1140684657040001</v>
      </c>
      <c r="AE4497">
        <v>-37.165700000000001</v>
      </c>
      <c r="AF4497">
        <v>13.574135898386199</v>
      </c>
      <c r="AG4497">
        <v>-1.1140684657040001</v>
      </c>
      <c r="AH4497">
        <v>34.562308025417202</v>
      </c>
      <c r="AI4497">
        <v>91.718509722778904</v>
      </c>
      <c r="AJ4497">
        <v>68.557884364588105</v>
      </c>
      <c r="AK4497">
        <v>37.149043728983798</v>
      </c>
      <c r="AL4497">
        <v>80.022303716181199</v>
      </c>
      <c r="AM4497">
        <v>75.605760756519501</v>
      </c>
      <c r="AN4497">
        <v>0.99999997014451902</v>
      </c>
    </row>
    <row r="4498" spans="1:40" x14ac:dyDescent="0.25">
      <c r="A4498" t="str">
        <f>"20190303170344029"</f>
        <v>20190303170344029</v>
      </c>
      <c r="B4498" t="str">
        <f>"1551603824020549"</f>
        <v>1551603824020549</v>
      </c>
      <c r="C4498" t="s">
        <v>40</v>
      </c>
      <c r="D4498">
        <v>4.9363099999999998</v>
      </c>
      <c r="E4498">
        <v>0.55296579999999995</v>
      </c>
      <c r="F4498" t="s">
        <v>42</v>
      </c>
      <c r="G4498">
        <v>-192.93940000000001</v>
      </c>
      <c r="H4498" s="1">
        <v>-4.578849E-6</v>
      </c>
      <c r="I4498">
        <v>167.8519</v>
      </c>
      <c r="J4498">
        <v>-192.8913</v>
      </c>
      <c r="K4498">
        <v>1.114242</v>
      </c>
      <c r="L4498">
        <v>202.2182</v>
      </c>
      <c r="M4498">
        <v>0.35502509999999998</v>
      </c>
      <c r="N4498">
        <v>-1.528154E-2</v>
      </c>
      <c r="O4498">
        <v>-0.93473209999999995</v>
      </c>
      <c r="P4498">
        <v>0.1190451</v>
      </c>
      <c r="Q4498">
        <v>0.16246050000000001</v>
      </c>
      <c r="R4498">
        <v>-0.97950760000000003</v>
      </c>
      <c r="S4498">
        <v>1.6784669999999999E-3</v>
      </c>
      <c r="T4498">
        <v>-9.9307889999999996E-2</v>
      </c>
      <c r="U4498">
        <v>-3.0817570000000001</v>
      </c>
      <c r="V4498">
        <v>0.23971100000000001</v>
      </c>
      <c r="W4498">
        <v>0.17271199999999901</v>
      </c>
      <c r="X4498">
        <v>0.95535809999999999</v>
      </c>
      <c r="Y4498">
        <v>0.3544196</v>
      </c>
      <c r="Z4498">
        <v>1.273957E-2</v>
      </c>
      <c r="AA4498">
        <v>0.93499969999999999</v>
      </c>
      <c r="AB4498">
        <v>23</v>
      </c>
      <c r="AC4498">
        <v>-4.8100000000005097E-2</v>
      </c>
      <c r="AD4498">
        <v>-1.1142465788489999</v>
      </c>
      <c r="AE4498">
        <v>-34.366299999999903</v>
      </c>
      <c r="AF4498">
        <v>12.2344259375025</v>
      </c>
      <c r="AG4498">
        <v>-1.1142465788489999</v>
      </c>
      <c r="AH4498">
        <v>32.076229989785503</v>
      </c>
      <c r="AI4498">
        <v>91.858979541296094</v>
      </c>
      <c r="AJ4498">
        <v>69.122288385039099</v>
      </c>
      <c r="AK4498">
        <v>34.348322430889198</v>
      </c>
      <c r="AL4498">
        <v>80.054461427922504</v>
      </c>
      <c r="AM4498">
        <v>75.914576464028201</v>
      </c>
      <c r="AN4498">
        <v>0.99999994885030297</v>
      </c>
    </row>
    <row r="4499" spans="1:40" x14ac:dyDescent="0.25">
      <c r="A4499" t="str">
        <f>"20190303170344051"</f>
        <v>20190303170344051</v>
      </c>
      <c r="B4499" t="str">
        <f>"1551603824040070"</f>
        <v>1551603824040070</v>
      </c>
      <c r="C4499" t="s">
        <v>40</v>
      </c>
      <c r="D4499">
        <v>5.0016629999999997</v>
      </c>
      <c r="E4499">
        <v>0.55230170000000001</v>
      </c>
      <c r="F4499" t="s">
        <v>42</v>
      </c>
      <c r="G4499">
        <v>-192.95269999999999</v>
      </c>
      <c r="H4499" s="1">
        <v>-1.5852080000000001E-6</v>
      </c>
      <c r="I4499">
        <v>171.4529</v>
      </c>
      <c r="J4499">
        <v>-192.82089999999999</v>
      </c>
      <c r="K4499">
        <v>1.1144609999999999</v>
      </c>
      <c r="L4499">
        <v>201.99379999999999</v>
      </c>
      <c r="M4499">
        <v>0.34380569999999999</v>
      </c>
      <c r="N4499">
        <v>-1.521405E-2</v>
      </c>
      <c r="O4499">
        <v>-0.93891769999999997</v>
      </c>
      <c r="P4499">
        <v>0.11164549999999999</v>
      </c>
      <c r="Q4499">
        <v>0.16427020000000001</v>
      </c>
      <c r="R4499">
        <v>-0.98007710000000003</v>
      </c>
      <c r="S4499">
        <v>-6.1492919999999998E-3</v>
      </c>
      <c r="T4499">
        <v>-0.11162229999999999</v>
      </c>
      <c r="U4499">
        <v>-3.082001</v>
      </c>
      <c r="V4499">
        <v>0.2353075</v>
      </c>
      <c r="W4499">
        <v>0.1746711</v>
      </c>
      <c r="X4499">
        <v>0.95609639999999996</v>
      </c>
      <c r="Y4499">
        <v>0.34557270000000001</v>
      </c>
      <c r="Z4499">
        <v>1.6555529999999999E-2</v>
      </c>
      <c r="AA4499">
        <v>0.93824600000000002</v>
      </c>
      <c r="AB4499">
        <v>23</v>
      </c>
      <c r="AC4499">
        <v>-0.131799999999998</v>
      </c>
      <c r="AD4499">
        <v>-1.1144625852079999</v>
      </c>
      <c r="AE4499">
        <v>-30.540899999999901</v>
      </c>
      <c r="AF4499">
        <v>10.6109840413831</v>
      </c>
      <c r="AG4499">
        <v>-1.1144625852079999</v>
      </c>
      <c r="AH4499">
        <v>28.595311865837001</v>
      </c>
      <c r="AI4499">
        <v>92.092603697726403</v>
      </c>
      <c r="AJ4499">
        <v>69.641406546316503</v>
      </c>
      <c r="AK4499">
        <v>30.5209251151533</v>
      </c>
      <c r="AL4499">
        <v>79.940480954635902</v>
      </c>
      <c r="AM4499">
        <v>76.173569970717296</v>
      </c>
      <c r="AN4499">
        <v>0.99999996941220903</v>
      </c>
    </row>
    <row r="4500" spans="1:40" x14ac:dyDescent="0.25">
      <c r="A4500" t="str">
        <f>"20190303170344075"</f>
        <v>20190303170344075</v>
      </c>
      <c r="B4500" t="str">
        <f>"1551603824070326"</f>
        <v>1551603824070326</v>
      </c>
      <c r="C4500" t="s">
        <v>40</v>
      </c>
      <c r="D4500">
        <v>4.9446919999999999</v>
      </c>
      <c r="E4500">
        <v>0.54315849999999999</v>
      </c>
      <c r="F4500" t="s">
        <v>42</v>
      </c>
      <c r="G4500">
        <v>-193.06710000000001</v>
      </c>
      <c r="H4500" s="1">
        <v>-1.3097750000000001E-6</v>
      </c>
      <c r="I4500">
        <v>170.73990000000001</v>
      </c>
      <c r="J4500">
        <v>-192.75129999999999</v>
      </c>
      <c r="K4500">
        <v>1.114692</v>
      </c>
      <c r="L4500">
        <v>201.7637</v>
      </c>
      <c r="M4500">
        <v>0.33255990000000002</v>
      </c>
      <c r="N4500">
        <v>-1.514507E-2</v>
      </c>
      <c r="O4500">
        <v>-0.94296069999999999</v>
      </c>
      <c r="P4500">
        <v>0.1030455</v>
      </c>
      <c r="Q4500">
        <v>0.16645789999999999</v>
      </c>
      <c r="R4500">
        <v>-0.98064980000000002</v>
      </c>
      <c r="S4500">
        <v>-2.427673E-2</v>
      </c>
      <c r="T4500">
        <v>-0.109905</v>
      </c>
      <c r="U4500">
        <v>-3.0821689999999999</v>
      </c>
      <c r="V4500">
        <v>0.2320729</v>
      </c>
      <c r="W4500">
        <v>0.1769848</v>
      </c>
      <c r="X4500">
        <v>0.95646149999999996</v>
      </c>
      <c r="Y4500">
        <v>0.33987460000000003</v>
      </c>
      <c r="Z4500">
        <v>1.6370969999999999E-2</v>
      </c>
      <c r="AA4500">
        <v>0.94032819999999995</v>
      </c>
      <c r="AB4500">
        <v>23</v>
      </c>
      <c r="AC4500">
        <v>-0.31580000000002401</v>
      </c>
      <c r="AD4500">
        <v>-1.114693309775</v>
      </c>
      <c r="AE4500">
        <v>-31.023799999999898</v>
      </c>
      <c r="AF4500">
        <v>10.6025882612508</v>
      </c>
      <c r="AG4500">
        <v>-1.114693309775</v>
      </c>
      <c r="AH4500">
        <v>29.114957314538302</v>
      </c>
      <c r="AI4500">
        <v>92.060314580265896</v>
      </c>
      <c r="AJ4500">
        <v>69.990251290930203</v>
      </c>
      <c r="AK4500">
        <v>31.0054536886636</v>
      </c>
      <c r="AL4500">
        <v>79.805818321487905</v>
      </c>
      <c r="AM4500">
        <v>76.361495001700504</v>
      </c>
      <c r="AN4500">
        <v>1.0000000256638399</v>
      </c>
    </row>
    <row r="4501" spans="1:40" x14ac:dyDescent="0.25">
      <c r="A4501" t="str">
        <f>"20190303170344098"</f>
        <v>20190303170344098</v>
      </c>
      <c r="B4501" t="str">
        <f>"1551603824089846"</f>
        <v>1551603824089846</v>
      </c>
      <c r="C4501" t="s">
        <v>40</v>
      </c>
      <c r="D4501">
        <v>4.8523800000000001</v>
      </c>
      <c r="E4501">
        <v>0.54330239999999996</v>
      </c>
      <c r="F4501" t="s">
        <v>42</v>
      </c>
      <c r="G4501">
        <v>-192.53129999999999</v>
      </c>
      <c r="H4501" s="1">
        <v>-1.9334660000000001E-6</v>
      </c>
      <c r="I4501">
        <v>172.52610000000001</v>
      </c>
      <c r="J4501">
        <v>-192.68459999999999</v>
      </c>
      <c r="K4501">
        <v>1.1149340000000001</v>
      </c>
      <c r="L4501">
        <v>201.53389999999999</v>
      </c>
      <c r="M4501">
        <v>0.32166280000000003</v>
      </c>
      <c r="N4501">
        <v>-1.507589E-2</v>
      </c>
      <c r="O4501">
        <v>-0.94673439999999998</v>
      </c>
      <c r="P4501">
        <v>9.5009549999999998E-2</v>
      </c>
      <c r="Q4501">
        <v>0.16750519999999999</v>
      </c>
      <c r="R4501">
        <v>-0.98128249999999995</v>
      </c>
      <c r="S4501">
        <v>2.3147580000000001E-2</v>
      </c>
      <c r="T4501">
        <v>-0.1172994</v>
      </c>
      <c r="U4501">
        <v>-3.0766749999999998</v>
      </c>
      <c r="V4501">
        <v>0.2287237</v>
      </c>
      <c r="W4501">
        <v>0.17816270000000001</v>
      </c>
      <c r="X4501">
        <v>0.95704940000000005</v>
      </c>
      <c r="Y4501">
        <v>0.31443359999999998</v>
      </c>
      <c r="Z4501">
        <v>1.9044990000000001E-2</v>
      </c>
      <c r="AA4501">
        <v>0.94908840000000005</v>
      </c>
      <c r="AB4501">
        <v>23</v>
      </c>
      <c r="AC4501">
        <v>0.15330000000000099</v>
      </c>
      <c r="AD4501">
        <v>-1.1149359334660001</v>
      </c>
      <c r="AE4501">
        <v>-29.0077999999999</v>
      </c>
      <c r="AF4501">
        <v>9.1730875441526507</v>
      </c>
      <c r="AG4501">
        <v>-1.1149359334660001</v>
      </c>
      <c r="AH4501">
        <v>27.4745293065433</v>
      </c>
      <c r="AI4501">
        <v>92.204339239439193</v>
      </c>
      <c r="AJ4501">
        <v>71.537069478378299</v>
      </c>
      <c r="AK4501">
        <v>28.986865609177698</v>
      </c>
      <c r="AL4501">
        <v>79.737239637824402</v>
      </c>
      <c r="AM4501">
        <v>76.559083276027593</v>
      </c>
      <c r="AN4501">
        <v>1.00000001632666</v>
      </c>
    </row>
    <row r="4502" spans="1:40" x14ac:dyDescent="0.25">
      <c r="A4502" t="str">
        <f>"20190303170344119"</f>
        <v>20190303170344119</v>
      </c>
      <c r="B4502" t="str">
        <f>"1551603824110341"</f>
        <v>1551603824110341</v>
      </c>
      <c r="C4502" t="s">
        <v>40</v>
      </c>
      <c r="D4502">
        <v>4.8567400000000003</v>
      </c>
      <c r="E4502">
        <v>0.54276020000000003</v>
      </c>
      <c r="F4502" t="s">
        <v>42</v>
      </c>
      <c r="G4502">
        <v>-192.70750000000001</v>
      </c>
      <c r="H4502" s="1">
        <v>-2.1379450000000001E-6</v>
      </c>
      <c r="I4502">
        <v>172.89349999999999</v>
      </c>
      <c r="J4502">
        <v>-192.62459999999999</v>
      </c>
      <c r="K4502">
        <v>1.115165</v>
      </c>
      <c r="L4502">
        <v>201.31960000000001</v>
      </c>
      <c r="M4502">
        <v>0.31177820000000001</v>
      </c>
      <c r="N4502">
        <v>-1.5011210000000001E-2</v>
      </c>
      <c r="O4502">
        <v>-0.95003629999999994</v>
      </c>
      <c r="P4502">
        <v>8.8808070000000003E-2</v>
      </c>
      <c r="Q4502">
        <v>0.16792699999999999</v>
      </c>
      <c r="R4502">
        <v>-0.98179130000000003</v>
      </c>
      <c r="S4502">
        <v>-2.4566649999999998E-3</v>
      </c>
      <c r="T4502">
        <v>-0.1198187</v>
      </c>
      <c r="U4502">
        <v>-3.077896</v>
      </c>
      <c r="V4502">
        <v>0.2246708</v>
      </c>
      <c r="W4502">
        <v>0.17872189999999999</v>
      </c>
      <c r="X4502">
        <v>0.9579048</v>
      </c>
      <c r="Y4502">
        <v>0.31243660000000001</v>
      </c>
      <c r="Z4502">
        <v>2.0011290000000001E-2</v>
      </c>
      <c r="AA4502">
        <v>0.94972780000000001</v>
      </c>
      <c r="AB4502">
        <v>23</v>
      </c>
      <c r="AC4502">
        <v>-8.2900000000023497E-2</v>
      </c>
      <c r="AD4502">
        <v>-1.1151671379450001</v>
      </c>
      <c r="AE4502">
        <v>-28.426100000000002</v>
      </c>
      <c r="AF4502">
        <v>8.9286627799745499</v>
      </c>
      <c r="AG4502">
        <v>-1.1151671379450001</v>
      </c>
      <c r="AH4502">
        <v>26.941558029595502</v>
      </c>
      <c r="AI4502">
        <v>92.250028440435699</v>
      </c>
      <c r="AJ4502">
        <v>71.664361999638601</v>
      </c>
      <c r="AK4502">
        <v>28.404439192600101</v>
      </c>
      <c r="AL4502">
        <v>79.704677531191393</v>
      </c>
      <c r="AM4502">
        <v>76.800212178560798</v>
      </c>
      <c r="AN4502">
        <v>1.0000000458876399</v>
      </c>
    </row>
    <row r="4503" spans="1:40" x14ac:dyDescent="0.25">
      <c r="A4503" t="str">
        <f>"20190303170344135"</f>
        <v>20190303170344135</v>
      </c>
      <c r="B4503" t="str">
        <f>"1551603824129861"</f>
        <v>1551603824129861</v>
      </c>
      <c r="C4503" t="s">
        <v>40</v>
      </c>
      <c r="D4503">
        <v>4.8881209999999999</v>
      </c>
      <c r="E4503">
        <v>0.54155200000000003</v>
      </c>
      <c r="F4503" t="s">
        <v>42</v>
      </c>
      <c r="G4503">
        <v>-192.79759999999999</v>
      </c>
      <c r="H4503" s="1">
        <v>-2.0050810000000002E-6</v>
      </c>
      <c r="I4503">
        <v>172.52780000000001</v>
      </c>
      <c r="J4503">
        <v>-192.5789</v>
      </c>
      <c r="K4503">
        <v>1.115329</v>
      </c>
      <c r="L4503">
        <v>201.1516</v>
      </c>
      <c r="M4503">
        <v>0.30417830000000001</v>
      </c>
      <c r="N4503">
        <v>-1.496161E-2</v>
      </c>
      <c r="O4503">
        <v>-0.9524977</v>
      </c>
      <c r="P4503">
        <v>8.2661609999999996E-2</v>
      </c>
      <c r="Q4503">
        <v>0.16851429999999901</v>
      </c>
      <c r="R4503">
        <v>-0.98222710000000002</v>
      </c>
      <c r="S4503">
        <v>-1.849365E-2</v>
      </c>
      <c r="T4503">
        <v>-0.1192052</v>
      </c>
      <c r="U4503">
        <v>-3.0776819999999998</v>
      </c>
      <c r="V4503">
        <v>0.222917</v>
      </c>
      <c r="W4503">
        <v>0.1793797</v>
      </c>
      <c r="X4503">
        <v>0.95819149999999997</v>
      </c>
      <c r="Y4503">
        <v>0.3097973</v>
      </c>
      <c r="Z4503">
        <v>2.0030579999999999E-2</v>
      </c>
      <c r="AA4503">
        <v>0.95059159999999998</v>
      </c>
      <c r="AB4503">
        <v>23</v>
      </c>
      <c r="AC4503">
        <v>-0.21869999999998399</v>
      </c>
      <c r="AD4503">
        <v>-1.1153310050809999</v>
      </c>
      <c r="AE4503">
        <v>-28.6237999999999</v>
      </c>
      <c r="AF4503">
        <v>8.9025315754255203</v>
      </c>
      <c r="AG4503">
        <v>-1.1153310050809999</v>
      </c>
      <c r="AH4503">
        <v>27.159389084932599</v>
      </c>
      <c r="AI4503">
        <v>92.234729607668498</v>
      </c>
      <c r="AJ4503">
        <v>71.851458503922501</v>
      </c>
      <c r="AK4503">
        <v>28.6029971710851</v>
      </c>
      <c r="AL4503">
        <v>79.666368906851005</v>
      </c>
      <c r="AM4503">
        <v>76.903468541784704</v>
      </c>
      <c r="AN4503">
        <v>1.00000000816666</v>
      </c>
    </row>
    <row r="4504" spans="1:40" x14ac:dyDescent="0.25">
      <c r="A4504" t="str">
        <f>"20190303170344151"</f>
        <v>20190303170344151</v>
      </c>
      <c r="B4504" t="str">
        <f>"1551603824139622"</f>
        <v>1551603824139622</v>
      </c>
      <c r="C4504" t="s">
        <v>40</v>
      </c>
      <c r="D4504">
        <v>4.8007359999999997</v>
      </c>
      <c r="E4504">
        <v>0.54106089999999996</v>
      </c>
      <c r="F4504" t="s">
        <v>42</v>
      </c>
      <c r="G4504">
        <v>-192.85939999999999</v>
      </c>
      <c r="H4504" s="1">
        <v>-1.5311860000000001E-6</v>
      </c>
      <c r="I4504">
        <v>171.38480000000001</v>
      </c>
      <c r="J4504">
        <v>-192.53710000000001</v>
      </c>
      <c r="K4504">
        <v>1.115478</v>
      </c>
      <c r="L4504">
        <v>200.99299999999999</v>
      </c>
      <c r="M4504">
        <v>0.29716409999999999</v>
      </c>
      <c r="N4504">
        <v>-1.4915950000000001E-2</v>
      </c>
      <c r="O4504">
        <v>-0.9547099</v>
      </c>
      <c r="P4504">
        <v>7.8137199999999907E-2</v>
      </c>
      <c r="Q4504">
        <v>0.17048289999999999</v>
      </c>
      <c r="R4504">
        <v>-0.98225770000000001</v>
      </c>
      <c r="S4504">
        <v>-2.8991699999999999E-2</v>
      </c>
      <c r="T4504">
        <v>-0.1152736</v>
      </c>
      <c r="U4504">
        <v>-3.076508</v>
      </c>
      <c r="V4504">
        <v>0.2201417</v>
      </c>
      <c r="W4504">
        <v>0.18142639999999999</v>
      </c>
      <c r="X4504">
        <v>0.95844779999999996</v>
      </c>
      <c r="Y4504">
        <v>0.30605300000000002</v>
      </c>
      <c r="Z4504">
        <v>1.907449E-2</v>
      </c>
      <c r="AA4504">
        <v>0.95182339999999999</v>
      </c>
      <c r="AB4504">
        <v>23</v>
      </c>
      <c r="AC4504">
        <v>-0.32229999999998399</v>
      </c>
      <c r="AD4504">
        <v>-1.115479531186</v>
      </c>
      <c r="AE4504">
        <v>-29.608199999999901</v>
      </c>
      <c r="AF4504">
        <v>9.0943036017889192</v>
      </c>
      <c r="AG4504">
        <v>-1.115479531186</v>
      </c>
      <c r="AH4504">
        <v>28.1346712280682</v>
      </c>
      <c r="AI4504">
        <v>92.160511159505404</v>
      </c>
      <c r="AJ4504">
        <v>72.0869956229498</v>
      </c>
      <c r="AK4504">
        <v>29.589024615514099</v>
      </c>
      <c r="AL4504">
        <v>79.547145886708805</v>
      </c>
      <c r="AM4504">
        <v>77.064343017633405</v>
      </c>
      <c r="AN4504">
        <v>1.00000004601034</v>
      </c>
    </row>
    <row r="4505" spans="1:40" x14ac:dyDescent="0.25">
      <c r="A4505" t="str">
        <f>"20190303170344176"</f>
        <v>20190303170344176</v>
      </c>
      <c r="B4505" t="str">
        <f>"1551603824169878"</f>
        <v>1551603824169878</v>
      </c>
      <c r="C4505" t="s">
        <v>40</v>
      </c>
      <c r="D4505">
        <v>4.7817119999999997</v>
      </c>
      <c r="E4505">
        <v>0.52224280000000001</v>
      </c>
      <c r="F4505" t="s">
        <v>42</v>
      </c>
      <c r="G4505">
        <v>-192.94380000000001</v>
      </c>
      <c r="H4505" s="1">
        <v>-5.1447400000000003E-6</v>
      </c>
      <c r="I4505">
        <v>169.3235</v>
      </c>
      <c r="J4505">
        <v>-192.47479999999999</v>
      </c>
      <c r="K4505">
        <v>1.115704</v>
      </c>
      <c r="L4505">
        <v>200.74950000000001</v>
      </c>
      <c r="M4505">
        <v>0.2866416</v>
      </c>
      <c r="N4505">
        <v>-1.4848470000000001E-2</v>
      </c>
      <c r="O4505">
        <v>-0.95792279999999996</v>
      </c>
      <c r="P4505">
        <v>6.9423449999999998E-2</v>
      </c>
      <c r="Q4505">
        <v>0.17185909999999999</v>
      </c>
      <c r="R4505">
        <v>-0.98267230000000005</v>
      </c>
      <c r="S4505">
        <v>-3.9504999999999998E-2</v>
      </c>
      <c r="T4505">
        <v>-0.1083498</v>
      </c>
      <c r="U4505">
        <v>-3.0761409999999998</v>
      </c>
      <c r="V4505">
        <v>0.2179469</v>
      </c>
      <c r="W4505">
        <v>0.18288550000000001</v>
      </c>
      <c r="X4505">
        <v>0.95867199999999997</v>
      </c>
      <c r="Y4505">
        <v>0.29883310000000002</v>
      </c>
      <c r="Z4505">
        <v>1.7307309999999999E-2</v>
      </c>
      <c r="AA4505">
        <v>0.95414840000000001</v>
      </c>
      <c r="AB4505">
        <v>23</v>
      </c>
      <c r="AC4505">
        <v>-0.46900000000002201</v>
      </c>
      <c r="AD4505">
        <v>-1.1157091447399901</v>
      </c>
      <c r="AE4505">
        <v>-31.425999999999998</v>
      </c>
      <c r="AF4505">
        <v>9.4464035446715702</v>
      </c>
      <c r="AG4505">
        <v>-1.1157091447399901</v>
      </c>
      <c r="AH4505">
        <v>29.934828901592699</v>
      </c>
      <c r="AI4505">
        <v>92.035636880942505</v>
      </c>
      <c r="AJ4505">
        <v>72.486093972628694</v>
      </c>
      <c r="AK4505">
        <v>31.4097648541353</v>
      </c>
      <c r="AL4505">
        <v>79.462122451741706</v>
      </c>
      <c r="AM4505">
        <v>77.191932043059296</v>
      </c>
      <c r="AN4505">
        <v>0.99999998045692895</v>
      </c>
    </row>
    <row r="4506" spans="1:40" x14ac:dyDescent="0.25">
      <c r="A4506" t="str">
        <f>"20190303170344199"</f>
        <v>20190303170344199</v>
      </c>
      <c r="B4506" t="str">
        <f>"1551603824190373"</f>
        <v>1551603824190373</v>
      </c>
      <c r="C4506" t="s">
        <v>40</v>
      </c>
      <c r="D4506">
        <v>4.898841</v>
      </c>
      <c r="E4506">
        <v>0.51495670000000004</v>
      </c>
      <c r="F4506" t="s">
        <v>42</v>
      </c>
      <c r="G4506">
        <v>-191.4581</v>
      </c>
      <c r="H4506" s="1">
        <v>-2.0700550000000001E-6</v>
      </c>
      <c r="I4506">
        <v>163.15010000000001</v>
      </c>
      <c r="J4506">
        <v>-192.41919999999999</v>
      </c>
      <c r="K4506">
        <v>1.1159300000000001</v>
      </c>
      <c r="L4506">
        <v>200.52340000000001</v>
      </c>
      <c r="M4506">
        <v>0.27725650000000002</v>
      </c>
      <c r="N4506">
        <v>-1.4783569999999999E-2</v>
      </c>
      <c r="O4506">
        <v>-0.96068229999999999</v>
      </c>
      <c r="P4506">
        <v>6.3221799999999995E-2</v>
      </c>
      <c r="Q4506">
        <v>0.17188699999999901</v>
      </c>
      <c r="R4506">
        <v>-0.98308600000000002</v>
      </c>
      <c r="S4506">
        <v>8.2824709999999996E-2</v>
      </c>
      <c r="T4506">
        <v>-9.0888739999999996E-2</v>
      </c>
      <c r="U4506">
        <v>-3.0629580000000001</v>
      </c>
      <c r="V4506">
        <v>0.2145049</v>
      </c>
      <c r="W4506">
        <v>0.18302950000000001</v>
      </c>
      <c r="X4506">
        <v>0.95942059999999996</v>
      </c>
      <c r="Y4506">
        <v>0.2511312</v>
      </c>
      <c r="Z4506">
        <v>1.271431E-2</v>
      </c>
      <c r="AA4506">
        <v>0.9678696</v>
      </c>
      <c r="AB4506">
        <v>23</v>
      </c>
      <c r="AC4506">
        <v>0.96109999999998696</v>
      </c>
      <c r="AD4506">
        <v>-1.1159320700549999</v>
      </c>
      <c r="AE4506">
        <v>-37.3733</v>
      </c>
      <c r="AF4506">
        <v>9.4313061795014796</v>
      </c>
      <c r="AG4506">
        <v>-1.1159320700549999</v>
      </c>
      <c r="AH4506">
        <v>36.142086903412398</v>
      </c>
      <c r="AI4506">
        <v>91.7112481760999</v>
      </c>
      <c r="AJ4506">
        <v>75.374768714341201</v>
      </c>
      <c r="AK4506">
        <v>37.3690418176637</v>
      </c>
      <c r="AL4506">
        <v>79.453730614634793</v>
      </c>
      <c r="AM4506">
        <v>77.397213743159298</v>
      </c>
      <c r="AN4506">
        <v>1.0000000188493099</v>
      </c>
    </row>
    <row r="4507" spans="1:40" x14ac:dyDescent="0.25">
      <c r="A4507" t="str">
        <f>"20190303170344214"</f>
        <v>20190303170344214</v>
      </c>
      <c r="B4507" t="str">
        <f>"1551603824200134"</f>
        <v>1551603824200134</v>
      </c>
      <c r="C4507" t="s">
        <v>40</v>
      </c>
      <c r="D4507">
        <v>4.7792659999999998</v>
      </c>
      <c r="E4507">
        <v>0.51329179999999996</v>
      </c>
      <c r="F4507" t="s">
        <v>90</v>
      </c>
      <c r="G4507">
        <v>-190.6009</v>
      </c>
      <c r="H4507" s="1">
        <v>-1.2640240000000001E-5</v>
      </c>
      <c r="I4507">
        <v>153.90219999999999</v>
      </c>
      <c r="J4507">
        <v>-192.38059999999999</v>
      </c>
      <c r="K4507">
        <v>1.116093</v>
      </c>
      <c r="L4507">
        <v>200.36170000000001</v>
      </c>
      <c r="M4507">
        <v>0.27070109999999997</v>
      </c>
      <c r="N4507">
        <v>-1.473651E-2</v>
      </c>
      <c r="O4507">
        <v>-0.96255089999999999</v>
      </c>
      <c r="P4507">
        <v>5.8596540000000003E-2</v>
      </c>
      <c r="Q4507">
        <v>0.1716568</v>
      </c>
      <c r="R4507">
        <v>-0.98341299999999998</v>
      </c>
      <c r="S4507">
        <v>0.1192169</v>
      </c>
      <c r="T4507">
        <v>-7.3167800000000005E-2</v>
      </c>
      <c r="U4507">
        <v>-3.0567630000000001</v>
      </c>
      <c r="V4507">
        <v>0.21240529999999999</v>
      </c>
      <c r="W4507">
        <v>0.1828757</v>
      </c>
      <c r="X4507">
        <v>0.95991689999999996</v>
      </c>
      <c r="Y4507">
        <v>0.2329417</v>
      </c>
      <c r="Z4507">
        <v>7.59823599999999E-3</v>
      </c>
      <c r="AA4507">
        <v>0.97246100000000002</v>
      </c>
      <c r="AB4507">
        <v>23</v>
      </c>
      <c r="AC4507">
        <v>1.7796999999999901</v>
      </c>
      <c r="AD4507">
        <v>-1.11610564023999</v>
      </c>
      <c r="AE4507">
        <v>-46.459499999999998</v>
      </c>
      <c r="AF4507">
        <v>10.858505654868599</v>
      </c>
      <c r="AG4507">
        <v>-1.11610564023999</v>
      </c>
      <c r="AH4507">
        <v>45.180262234602097</v>
      </c>
      <c r="AI4507">
        <v>91.375946974631205</v>
      </c>
      <c r="AJ4507">
        <v>76.485990699785006</v>
      </c>
      <c r="AK4507">
        <v>46.480199358914199</v>
      </c>
      <c r="AL4507">
        <v>79.462693726903893</v>
      </c>
      <c r="AM4507">
        <v>77.522938275918705</v>
      </c>
      <c r="AN4507">
        <v>0.99999999401209405</v>
      </c>
    </row>
    <row r="4508" spans="1:40" x14ac:dyDescent="0.25">
      <c r="A4508" t="str">
        <f>"20190303170344230"</f>
        <v>20190303170344230</v>
      </c>
      <c r="B4508" t="str">
        <f>"1551603824219654"</f>
        <v>1551603824219654</v>
      </c>
      <c r="C4508" t="s">
        <v>40</v>
      </c>
      <c r="D4508">
        <v>4.7268569999999999</v>
      </c>
      <c r="E4508">
        <v>0.51097170000000003</v>
      </c>
      <c r="F4508" t="s">
        <v>90</v>
      </c>
      <c r="G4508">
        <v>-190.50880000000001</v>
      </c>
      <c r="H4508" s="1">
        <v>-1.161895E-5</v>
      </c>
      <c r="I4508">
        <v>151.55959999999999</v>
      </c>
      <c r="J4508">
        <v>-192.34540000000001</v>
      </c>
      <c r="K4508">
        <v>1.1162319999999999</v>
      </c>
      <c r="L4508">
        <v>200.2099</v>
      </c>
      <c r="M4508">
        <v>0.26473079999999999</v>
      </c>
      <c r="N4508">
        <v>-1.469233E-2</v>
      </c>
      <c r="O4508">
        <v>-0.96421049999999997</v>
      </c>
      <c r="P4508">
        <v>5.6864270000000001E-2</v>
      </c>
      <c r="Q4508">
        <v>0.17067189999999999</v>
      </c>
      <c r="R4508">
        <v>-0.9836859</v>
      </c>
      <c r="S4508">
        <v>0.1172028</v>
      </c>
      <c r="T4508">
        <v>-6.9886920000000005E-2</v>
      </c>
      <c r="U4508">
        <v>-3.0558320000000001</v>
      </c>
      <c r="V4508">
        <v>0.20809369999999999</v>
      </c>
      <c r="W4508">
        <v>0.18200459999999999</v>
      </c>
      <c r="X4508">
        <v>0.96102619999999905</v>
      </c>
      <c r="Y4508">
        <v>0.2275433</v>
      </c>
      <c r="Z4508">
        <v>6.7195170000000004E-3</v>
      </c>
      <c r="AA4508">
        <v>0.97374479999999997</v>
      </c>
      <c r="AB4508">
        <v>23</v>
      </c>
      <c r="AC4508">
        <v>1.8366</v>
      </c>
      <c r="AD4508">
        <v>-1.11624361894999</v>
      </c>
      <c r="AE4508">
        <v>-48.650300000000001</v>
      </c>
      <c r="AF4508">
        <v>11.1037250502856</v>
      </c>
      <c r="AG4508">
        <v>-1.11624361894999</v>
      </c>
      <c r="AH4508">
        <v>47.375542674155398</v>
      </c>
      <c r="AI4508">
        <v>91.314131826338297</v>
      </c>
      <c r="AJ4508">
        <v>76.809295010720803</v>
      </c>
      <c r="AK4508">
        <v>48.672176379117303</v>
      </c>
      <c r="AL4508">
        <v>79.513456195086604</v>
      </c>
      <c r="AM4508">
        <v>77.782203259610597</v>
      </c>
      <c r="AN4508">
        <v>1.0000000097436399</v>
      </c>
    </row>
    <row r="4509" spans="1:40" x14ac:dyDescent="0.25">
      <c r="A4509" t="str">
        <f>"20190303170344245"</f>
        <v>20190303170344245</v>
      </c>
      <c r="B4509" t="str">
        <f>"1551603824240150"</f>
        <v>1551603824240150</v>
      </c>
      <c r="C4509" t="s">
        <v>40</v>
      </c>
      <c r="D4509">
        <v>4.784548</v>
      </c>
      <c r="E4509">
        <v>0.509633</v>
      </c>
      <c r="F4509" t="s">
        <v>90</v>
      </c>
      <c r="G4509">
        <v>-190.32380000000001</v>
      </c>
      <c r="H4509" s="1">
        <v>-1.20217899999999E-5</v>
      </c>
      <c r="I4509">
        <v>152.5752</v>
      </c>
      <c r="J4509">
        <v>-192.3115</v>
      </c>
      <c r="K4509">
        <v>1.116401</v>
      </c>
      <c r="L4509">
        <v>200.0609</v>
      </c>
      <c r="M4509">
        <v>0.25902429999999999</v>
      </c>
      <c r="N4509">
        <v>-1.464934E-2</v>
      </c>
      <c r="O4509">
        <v>-0.9657599</v>
      </c>
      <c r="P4509">
        <v>5.2856300000000002E-2</v>
      </c>
      <c r="Q4509">
        <v>0.17009850000000001</v>
      </c>
      <c r="R4509">
        <v>-0.98400869999999996</v>
      </c>
      <c r="S4509">
        <v>0.1296387</v>
      </c>
      <c r="T4509">
        <v>-7.158101E-2</v>
      </c>
      <c r="U4509">
        <v>-3.0546570000000002</v>
      </c>
      <c r="V4509">
        <v>0.2062618</v>
      </c>
      <c r="W4509">
        <v>0.18150759999999999</v>
      </c>
      <c r="X4509">
        <v>0.96151500000000001</v>
      </c>
      <c r="Y4509">
        <v>0.21780389999999999</v>
      </c>
      <c r="Z4509">
        <v>7.3725689999999998E-3</v>
      </c>
      <c r="AA4509">
        <v>0.97596470000000002</v>
      </c>
      <c r="AB4509">
        <v>23</v>
      </c>
      <c r="AC4509">
        <v>1.98769999999998</v>
      </c>
      <c r="AD4509">
        <v>-1.1164130217899999</v>
      </c>
      <c r="AE4509">
        <v>-47.485700000000001</v>
      </c>
      <c r="AF4509">
        <v>10.3756962287812</v>
      </c>
      <c r="AG4509">
        <v>-1.1164130217899999</v>
      </c>
      <c r="AH4509">
        <v>46.354038541749297</v>
      </c>
      <c r="AI4509">
        <v>91.346369164126997</v>
      </c>
      <c r="AJ4509">
        <v>77.383118454618796</v>
      </c>
      <c r="AK4509">
        <v>47.514190926471102</v>
      </c>
      <c r="AL4509">
        <v>79.542414615963906</v>
      </c>
      <c r="AM4509">
        <v>77.892545881317602</v>
      </c>
      <c r="AN4509">
        <v>1.000000017111</v>
      </c>
    </row>
    <row r="4510" spans="1:40" x14ac:dyDescent="0.25">
      <c r="A4510" t="str">
        <f>"20190303170344259"</f>
        <v>20190303170344259</v>
      </c>
      <c r="B4510" t="str">
        <f>"1551603824249911"</f>
        <v>1551603824249911</v>
      </c>
      <c r="C4510" t="s">
        <v>40</v>
      </c>
      <c r="D4510">
        <v>4.7807659999999998</v>
      </c>
      <c r="E4510">
        <v>0.50904280000000002</v>
      </c>
      <c r="F4510" t="s">
        <v>90</v>
      </c>
      <c r="G4510">
        <v>-190.32550000000001</v>
      </c>
      <c r="H4510" s="1">
        <v>-1.21821699999999E-5</v>
      </c>
      <c r="I4510">
        <v>152.94829999999999</v>
      </c>
      <c r="J4510">
        <v>-192.27860000000001</v>
      </c>
      <c r="K4510">
        <v>1.1165830000000001</v>
      </c>
      <c r="L4510">
        <v>199.91319999999999</v>
      </c>
      <c r="M4510">
        <v>0.2535232</v>
      </c>
      <c r="N4510">
        <v>-1.4606920000000001E-2</v>
      </c>
      <c r="O4510">
        <v>-0.9672191</v>
      </c>
      <c r="P4510">
        <v>4.8674519999999999E-2</v>
      </c>
      <c r="Q4510">
        <v>0.17034659999999999</v>
      </c>
      <c r="R4510">
        <v>-0.98418150000000004</v>
      </c>
      <c r="S4510">
        <v>0.1287537</v>
      </c>
      <c r="T4510">
        <v>-7.2378040000000005E-2</v>
      </c>
      <c r="U4510">
        <v>-3.0543520000000002</v>
      </c>
      <c r="V4510">
        <v>0.20478099999999999</v>
      </c>
      <c r="W4510">
        <v>0.1818293</v>
      </c>
      <c r="X4510">
        <v>0.96177069999999998</v>
      </c>
      <c r="Y4510">
        <v>0.2125252</v>
      </c>
      <c r="Z4510">
        <v>7.7244180000000003E-3</v>
      </c>
      <c r="AA4510">
        <v>0.97712500000000002</v>
      </c>
      <c r="AB4510">
        <v>23</v>
      </c>
      <c r="AC4510">
        <v>1.9531000000000001</v>
      </c>
      <c r="AD4510">
        <v>-1.11659518217</v>
      </c>
      <c r="AE4510">
        <v>-46.9649</v>
      </c>
      <c r="AF4510">
        <v>10.0130340087085</v>
      </c>
      <c r="AG4510">
        <v>-1.11659518217</v>
      </c>
      <c r="AH4510">
        <v>45.899500225788699</v>
      </c>
      <c r="AI4510">
        <v>91.361548131664605</v>
      </c>
      <c r="AJ4510">
        <v>77.693655249252203</v>
      </c>
      <c r="AK4510">
        <v>46.992252083056997</v>
      </c>
      <c r="AL4510">
        <v>79.523670648046505</v>
      </c>
      <c r="AM4510">
        <v>77.980033535617096</v>
      </c>
      <c r="AN4510">
        <v>1.0000000158389899</v>
      </c>
    </row>
    <row r="4511" spans="1:40" x14ac:dyDescent="0.25">
      <c r="A4511" t="str">
        <f>"20190303170344276"</f>
        <v>20190303170344276</v>
      </c>
      <c r="B4511" t="str">
        <f>"1551603824270406"</f>
        <v>1551603824270406</v>
      </c>
      <c r="C4511" t="s">
        <v>40</v>
      </c>
      <c r="D4511">
        <v>4.7857219999999998</v>
      </c>
      <c r="E4511">
        <v>0.50781679999999996</v>
      </c>
      <c r="F4511" t="s">
        <v>90</v>
      </c>
      <c r="G4511">
        <v>-190.37020000000001</v>
      </c>
      <c r="H4511" s="1">
        <v>-1.179263E-5</v>
      </c>
      <c r="I4511">
        <v>152.02180000000001</v>
      </c>
      <c r="J4511">
        <v>-192.24289999999999</v>
      </c>
      <c r="K4511">
        <v>1.116808</v>
      </c>
      <c r="L4511">
        <v>199.7499</v>
      </c>
      <c r="M4511">
        <v>0.24763650000000001</v>
      </c>
      <c r="N4511">
        <v>-1.4559509999999999E-2</v>
      </c>
      <c r="O4511">
        <v>-0.96874360000000004</v>
      </c>
      <c r="P4511">
        <v>4.5512650000000002E-2</v>
      </c>
      <c r="Q4511">
        <v>0.17155179999999901</v>
      </c>
      <c r="R4511">
        <v>-0.98412339999999998</v>
      </c>
      <c r="S4511">
        <v>0.12171940000000001</v>
      </c>
      <c r="T4511">
        <v>-7.1216459999999995E-2</v>
      </c>
      <c r="U4511">
        <v>-3.0545200000000001</v>
      </c>
      <c r="V4511">
        <v>0.2018799</v>
      </c>
      <c r="W4511">
        <v>0.1831364</v>
      </c>
      <c r="X4511">
        <v>0.96213599999999999</v>
      </c>
      <c r="Y4511">
        <v>0.20883170000000001</v>
      </c>
      <c r="Z4511">
        <v>7.4706190000000004E-3</v>
      </c>
      <c r="AA4511">
        <v>0.97792299999999999</v>
      </c>
      <c r="AB4511">
        <v>23</v>
      </c>
      <c r="AC4511">
        <v>1.87269999999998</v>
      </c>
      <c r="AD4511">
        <v>-1.1168197926299901</v>
      </c>
      <c r="AE4511">
        <v>-47.728099999999898</v>
      </c>
      <c r="AF4511">
        <v>10.000646843910401</v>
      </c>
      <c r="AG4511">
        <v>-1.1168197926299901</v>
      </c>
      <c r="AH4511">
        <v>46.679471600402898</v>
      </c>
      <c r="AI4511">
        <v>91.340157047048805</v>
      </c>
      <c r="AJ4511">
        <v>77.907703947455403</v>
      </c>
      <c r="AK4511">
        <v>47.751788371103402</v>
      </c>
      <c r="AL4511">
        <v>79.447500815355994</v>
      </c>
      <c r="AM4511">
        <v>78.149840799400707</v>
      </c>
      <c r="AN4511">
        <v>1.00000005876248</v>
      </c>
    </row>
    <row r="4512" spans="1:40" x14ac:dyDescent="0.25">
      <c r="A4512" t="str">
        <f>"20190303170344297"</f>
        <v>20190303170344297</v>
      </c>
      <c r="B4512" t="str">
        <f>"1551603824289926"</f>
        <v>1551603824289926</v>
      </c>
      <c r="C4512" t="s">
        <v>40</v>
      </c>
      <c r="D4512">
        <v>4.7264400000000002</v>
      </c>
      <c r="E4512">
        <v>0.50681359999999998</v>
      </c>
      <c r="F4512" t="s">
        <v>90</v>
      </c>
      <c r="G4512">
        <v>-190.16829999999999</v>
      </c>
      <c r="H4512" s="1">
        <v>-1.0331789999999999E-5</v>
      </c>
      <c r="I4512">
        <v>148.12569999999999</v>
      </c>
      <c r="J4512">
        <v>-192.19640000000001</v>
      </c>
      <c r="K4512">
        <v>1.117102</v>
      </c>
      <c r="L4512">
        <v>199.53049999999999</v>
      </c>
      <c r="M4512">
        <v>0.24009810000000001</v>
      </c>
      <c r="N4512">
        <v>-1.449521E-2</v>
      </c>
      <c r="O4512">
        <v>-0.97064039999999996</v>
      </c>
      <c r="P4512">
        <v>4.15786E-2</v>
      </c>
      <c r="Q4512">
        <v>0.1716017</v>
      </c>
      <c r="R4512">
        <v>-0.98428879999999996</v>
      </c>
      <c r="S4512">
        <v>0.1227417</v>
      </c>
      <c r="T4512">
        <v>-6.607449E-2</v>
      </c>
      <c r="U4512">
        <v>-3.0542449999999999</v>
      </c>
      <c r="V4512">
        <v>0.1981038</v>
      </c>
      <c r="W4512">
        <v>0.1833187</v>
      </c>
      <c r="X4512">
        <v>0.96288589999999996</v>
      </c>
      <c r="Y4512">
        <v>0.20089679999999999</v>
      </c>
      <c r="Z4512">
        <v>6.0290409999999997E-3</v>
      </c>
      <c r="AA4512">
        <v>0.97959390000000002</v>
      </c>
      <c r="AB4512">
        <v>23</v>
      </c>
      <c r="AC4512">
        <v>2.0281000000000202</v>
      </c>
      <c r="AD4512">
        <v>-1.11711233178999</v>
      </c>
      <c r="AE4512">
        <v>-51.404800000000002</v>
      </c>
      <c r="AF4512">
        <v>10.3698393150265</v>
      </c>
      <c r="AG4512">
        <v>-1.11711233178999</v>
      </c>
      <c r="AH4512">
        <v>50.364064267364498</v>
      </c>
      <c r="AI4512">
        <v>91.244556118224693</v>
      </c>
      <c r="AJ4512">
        <v>78.365528637822507</v>
      </c>
      <c r="AK4512">
        <v>51.432679075744602</v>
      </c>
      <c r="AL4512">
        <v>79.436875922808497</v>
      </c>
      <c r="AM4512">
        <v>78.374210478962098</v>
      </c>
      <c r="AN4512">
        <v>1.0000000588814599</v>
      </c>
    </row>
    <row r="4513" spans="1:40" x14ac:dyDescent="0.25">
      <c r="A4513" t="str">
        <f>"20190303170344311"</f>
        <v>20190303170344311</v>
      </c>
      <c r="B4513" t="str">
        <f>"1551603824299686"</f>
        <v>1551603824299686</v>
      </c>
      <c r="C4513" t="s">
        <v>40</v>
      </c>
      <c r="D4513">
        <v>4.7286070000000002</v>
      </c>
      <c r="E4513">
        <v>0.50635289999999999</v>
      </c>
      <c r="F4513" t="s">
        <v>90</v>
      </c>
      <c r="G4513">
        <v>-190.1696</v>
      </c>
      <c r="H4513" s="1">
        <v>-1.0026739999999999E-5</v>
      </c>
      <c r="I4513">
        <v>146.96809999999999</v>
      </c>
      <c r="J4513">
        <v>-192.16679999999999</v>
      </c>
      <c r="K4513">
        <v>1.117278</v>
      </c>
      <c r="L4513">
        <v>199.38800000000001</v>
      </c>
      <c r="M4513">
        <v>0.23538249999999999</v>
      </c>
      <c r="N4513">
        <v>-1.4454949999999999E-2</v>
      </c>
      <c r="O4513">
        <v>-0.97179539999999998</v>
      </c>
      <c r="P4513">
        <v>3.9529759999999997E-2</v>
      </c>
      <c r="Q4513">
        <v>0.17063499999999901</v>
      </c>
      <c r="R4513">
        <v>-0.98454109999999995</v>
      </c>
      <c r="S4513">
        <v>0.11776730000000001</v>
      </c>
      <c r="T4513">
        <v>-6.4911129999999997E-2</v>
      </c>
      <c r="U4513">
        <v>-3.0541990000000001</v>
      </c>
      <c r="V4513">
        <v>0.19537470000000001</v>
      </c>
      <c r="W4513">
        <v>0.18243780000000001</v>
      </c>
      <c r="X4513">
        <v>0.96361050000000004</v>
      </c>
      <c r="Y4513">
        <v>0.1977333</v>
      </c>
      <c r="Z4513">
        <v>5.7492749999999999E-3</v>
      </c>
      <c r="AA4513">
        <v>0.98023899999999997</v>
      </c>
      <c r="AB4513">
        <v>23</v>
      </c>
      <c r="AC4513">
        <v>1.9971999999999901</v>
      </c>
      <c r="AD4513">
        <v>-1.1172880267400001</v>
      </c>
      <c r="AE4513">
        <v>-52.419899999999998</v>
      </c>
      <c r="AF4513">
        <v>10.394227736629199</v>
      </c>
      <c r="AG4513">
        <v>-1.1172880267400001</v>
      </c>
      <c r="AH4513">
        <v>51.393577287246003</v>
      </c>
      <c r="AI4513">
        <v>91.220696934030599</v>
      </c>
      <c r="AJ4513">
        <v>78.566296141906406</v>
      </c>
      <c r="AK4513">
        <v>52.446049318854698</v>
      </c>
      <c r="AL4513">
        <v>79.488213033954395</v>
      </c>
      <c r="AM4513">
        <v>78.538492142397899</v>
      </c>
      <c r="AN4513">
        <v>1.0000000099895801</v>
      </c>
    </row>
    <row r="4514" spans="1:40" x14ac:dyDescent="0.25">
      <c r="A4514" t="str">
        <f>"20190303170344325"</f>
        <v>20190303170344325</v>
      </c>
      <c r="B4514" t="str">
        <f>"1551603824320183"</f>
        <v>1551603824320183</v>
      </c>
      <c r="C4514" t="s">
        <v>40</v>
      </c>
      <c r="D4514">
        <v>4.7887649999999997</v>
      </c>
      <c r="E4514">
        <v>0.50563150000000001</v>
      </c>
      <c r="F4514" t="s">
        <v>90</v>
      </c>
      <c r="G4514">
        <v>-190.27629999999999</v>
      </c>
      <c r="H4514" s="1">
        <v>-1.056029E-5</v>
      </c>
      <c r="I4514">
        <v>148.9196</v>
      </c>
      <c r="J4514">
        <v>-192.14099999999999</v>
      </c>
      <c r="K4514">
        <v>1.117421</v>
      </c>
      <c r="L4514">
        <v>199.26079999999999</v>
      </c>
      <c r="M4514">
        <v>0.2313096</v>
      </c>
      <c r="N4514">
        <v>-1.4420809999999999E-2</v>
      </c>
      <c r="O4514">
        <v>-0.97277340000000001</v>
      </c>
      <c r="P4514">
        <v>3.7849720000000003E-2</v>
      </c>
      <c r="Q4514">
        <v>0.1697121</v>
      </c>
      <c r="R4514">
        <v>-0.98476680000000005</v>
      </c>
      <c r="S4514">
        <v>0.1144104</v>
      </c>
      <c r="T4514">
        <v>-6.7615030000000007E-2</v>
      </c>
      <c r="U4514">
        <v>-3.0541990000000001</v>
      </c>
      <c r="V4514">
        <v>0.19293840000000001</v>
      </c>
      <c r="W4514">
        <v>0.181585</v>
      </c>
      <c r="X4514">
        <v>0.96426219999999996</v>
      </c>
      <c r="Y4514">
        <v>0.19470170000000001</v>
      </c>
      <c r="Z4514">
        <v>6.6583110000000001E-3</v>
      </c>
      <c r="AA4514">
        <v>0.98083989999999999</v>
      </c>
      <c r="AB4514">
        <v>23</v>
      </c>
      <c r="AC4514">
        <v>1.86469999999999</v>
      </c>
      <c r="AD4514">
        <v>-1.11743156029</v>
      </c>
      <c r="AE4514">
        <v>-50.341199999999901</v>
      </c>
      <c r="AF4514">
        <v>9.8266586329354695</v>
      </c>
      <c r="AG4514">
        <v>-1.11743156029</v>
      </c>
      <c r="AH4514">
        <v>49.382738269629101</v>
      </c>
      <c r="AI4514">
        <v>91.271348517529105</v>
      </c>
      <c r="AJ4514">
        <v>78.745735235546405</v>
      </c>
      <c r="AK4514">
        <v>50.3633469120835</v>
      </c>
      <c r="AL4514">
        <v>79.537904425582198</v>
      </c>
      <c r="AM4514">
        <v>78.685156376970198</v>
      </c>
      <c r="AN4514">
        <v>0.99999996438419902</v>
      </c>
    </row>
    <row r="4515" spans="1:40" x14ac:dyDescent="0.25">
      <c r="A4515" t="str">
        <f>"20190303170344344"</f>
        <v>20190303170344344</v>
      </c>
      <c r="B4515" t="str">
        <f>"1551603824329942"</f>
        <v>1551603824329942</v>
      </c>
      <c r="C4515" t="s">
        <v>40</v>
      </c>
      <c r="D4515">
        <v>4.7316729999999998</v>
      </c>
      <c r="E4515">
        <v>0.50527509999999998</v>
      </c>
      <c r="F4515" t="s">
        <v>90</v>
      </c>
      <c r="G4515">
        <v>-190.32300000000001</v>
      </c>
      <c r="H4515" s="1">
        <v>-1.122193E-5</v>
      </c>
      <c r="I4515">
        <v>150.71100000000001</v>
      </c>
      <c r="J4515">
        <v>-192.1069</v>
      </c>
      <c r="K4515">
        <v>1.1175919999999999</v>
      </c>
      <c r="L4515">
        <v>199.09030000000001</v>
      </c>
      <c r="M4515">
        <v>0.22601570000000001</v>
      </c>
      <c r="N4515">
        <v>-1.437685E-2</v>
      </c>
      <c r="O4515">
        <v>-0.97401769999999999</v>
      </c>
      <c r="P4515">
        <v>3.650349E-2</v>
      </c>
      <c r="Q4515">
        <v>0.16866579999999901</v>
      </c>
      <c r="R4515">
        <v>-0.98499729999999996</v>
      </c>
      <c r="S4515">
        <v>0.1143646</v>
      </c>
      <c r="T4515">
        <v>-7.0294019999999999E-2</v>
      </c>
      <c r="U4515">
        <v>-3.0541079999999998</v>
      </c>
      <c r="V4515">
        <v>0.18894830000000001</v>
      </c>
      <c r="W4515">
        <v>0.1806372</v>
      </c>
      <c r="X4515">
        <v>0.96522989999999997</v>
      </c>
      <c r="Y4515">
        <v>0.18937850000000001</v>
      </c>
      <c r="Z4515">
        <v>7.5884350000000001E-3</v>
      </c>
      <c r="AA4515">
        <v>0.98187480000000005</v>
      </c>
      <c r="AB4515">
        <v>23</v>
      </c>
      <c r="AC4515">
        <v>1.78390000000001</v>
      </c>
      <c r="AD4515">
        <v>-1.1176032219299901</v>
      </c>
      <c r="AE4515">
        <v>-48.379300000000001</v>
      </c>
      <c r="AF4515">
        <v>9.1929813889439007</v>
      </c>
      <c r="AG4515">
        <v>-1.1176032219299901</v>
      </c>
      <c r="AH4515">
        <v>47.5050732287621</v>
      </c>
      <c r="AI4515">
        <v>91.323152277489299</v>
      </c>
      <c r="AJ4515">
        <v>79.047738053629004</v>
      </c>
      <c r="AK4515">
        <v>48.399296753663499</v>
      </c>
      <c r="AL4515">
        <v>79.593123000492895</v>
      </c>
      <c r="AM4515">
        <v>78.924139196174593</v>
      </c>
      <c r="AN4515">
        <v>1.00000000897536</v>
      </c>
    </row>
    <row r="4516" spans="1:40" x14ac:dyDescent="0.25">
      <c r="A4516" t="str">
        <f>"20190303170344360"</f>
        <v>20190303170344360</v>
      </c>
      <c r="B4516" t="str">
        <f>"1551603824350437"</f>
        <v>1551603824350437</v>
      </c>
      <c r="C4516" t="s">
        <v>40</v>
      </c>
      <c r="D4516">
        <v>4.7850239999999999</v>
      </c>
      <c r="E4516">
        <v>0.50473290000000004</v>
      </c>
      <c r="F4516" t="s">
        <v>90</v>
      </c>
      <c r="G4516">
        <v>-190.399</v>
      </c>
      <c r="H4516" s="1">
        <v>-1.193481E-5</v>
      </c>
      <c r="I4516">
        <v>152.34129999999999</v>
      </c>
      <c r="J4516">
        <v>-192.07079999999999</v>
      </c>
      <c r="K4516">
        <v>1.1177820000000001</v>
      </c>
      <c r="L4516">
        <v>198.9059</v>
      </c>
      <c r="M4516">
        <v>0.2205483</v>
      </c>
      <c r="N4516">
        <v>-1.4330539999999999E-2</v>
      </c>
      <c r="O4516">
        <v>-0.975271</v>
      </c>
      <c r="P4516">
        <v>3.2260459999999998E-2</v>
      </c>
      <c r="Q4516">
        <v>0.16840759999999999</v>
      </c>
      <c r="R4516">
        <v>-0.98518950000000005</v>
      </c>
      <c r="S4516">
        <v>0.1115723</v>
      </c>
      <c r="T4516">
        <v>-7.3011519999999996E-2</v>
      </c>
      <c r="U4516">
        <v>-3.0540470000000002</v>
      </c>
      <c r="V4516">
        <v>0.1876089</v>
      </c>
      <c r="W4516">
        <v>0.1804402</v>
      </c>
      <c r="X4516">
        <v>0.96552800000000005</v>
      </c>
      <c r="Y4516">
        <v>0.1847645</v>
      </c>
      <c r="Z4516">
        <v>8.5341410000000003E-3</v>
      </c>
      <c r="AA4516">
        <v>0.9827458</v>
      </c>
      <c r="AB4516">
        <v>22</v>
      </c>
      <c r="AC4516">
        <v>1.67179999999999</v>
      </c>
      <c r="AD4516">
        <v>-1.1177939348099999</v>
      </c>
      <c r="AE4516">
        <v>-46.564599999999999</v>
      </c>
      <c r="AF4516">
        <v>8.6352010086908297</v>
      </c>
      <c r="AG4516">
        <v>-1.1177939348099999</v>
      </c>
      <c r="AH4516">
        <v>45.760172868520797</v>
      </c>
      <c r="AI4516">
        <v>91.375039770307197</v>
      </c>
      <c r="AJ4516">
        <v>79.313629342393895</v>
      </c>
      <c r="AK4516">
        <v>46.581214890748598</v>
      </c>
      <c r="AL4516">
        <v>79.604599188045398</v>
      </c>
      <c r="AM4516">
        <v>79.004044523963401</v>
      </c>
      <c r="AN4516">
        <v>1.00000004195962</v>
      </c>
    </row>
    <row r="4517" spans="1:40" x14ac:dyDescent="0.25">
      <c r="A4517" t="str">
        <f>"20190303170344378"</f>
        <v>20190303170344378</v>
      </c>
      <c r="B4517" t="str">
        <f>"1551603824369958"</f>
        <v>1551603824369958</v>
      </c>
      <c r="C4517" t="s">
        <v>40</v>
      </c>
      <c r="D4517">
        <v>4.7842630000000002</v>
      </c>
      <c r="E4517">
        <v>0.50423469999999904</v>
      </c>
      <c r="F4517" t="s">
        <v>90</v>
      </c>
      <c r="G4517">
        <v>-190.5025</v>
      </c>
      <c r="H4517" s="1">
        <v>-1.2027370000000001E-5</v>
      </c>
      <c r="I4517">
        <v>152.51429999999999</v>
      </c>
      <c r="J4517">
        <v>-192.03739999999999</v>
      </c>
      <c r="K4517">
        <v>1.1179559999999999</v>
      </c>
      <c r="L4517">
        <v>198.73140000000001</v>
      </c>
      <c r="M4517">
        <v>0.21560000000000001</v>
      </c>
      <c r="N4517">
        <v>-1.428722E-2</v>
      </c>
      <c r="O4517">
        <v>-0.97637739999999995</v>
      </c>
      <c r="P4517">
        <v>2.8861999999999999E-2</v>
      </c>
      <c r="Q4517">
        <v>0.1690372</v>
      </c>
      <c r="R4517">
        <v>-0.98518740000000005</v>
      </c>
      <c r="S4517">
        <v>0.10325620000000001</v>
      </c>
      <c r="T4517">
        <v>-7.3593140000000001E-2</v>
      </c>
      <c r="U4517">
        <v>-3.0543209999999998</v>
      </c>
      <c r="V4517">
        <v>0.1859422</v>
      </c>
      <c r="W4517">
        <v>0.18112729999999999</v>
      </c>
      <c r="X4517">
        <v>0.96572170000000002</v>
      </c>
      <c r="Y4517">
        <v>0.1824567</v>
      </c>
      <c r="Z4517">
        <v>8.7973310000000002E-3</v>
      </c>
      <c r="AA4517">
        <v>0.98317449999999995</v>
      </c>
      <c r="AB4517">
        <v>22</v>
      </c>
      <c r="AC4517">
        <v>1.5348999999999899</v>
      </c>
      <c r="AD4517">
        <v>-1.1179680273699999</v>
      </c>
      <c r="AE4517">
        <v>-46.217100000000002</v>
      </c>
      <c r="AF4517">
        <v>8.4616821953195505</v>
      </c>
      <c r="AG4517">
        <v>-1.1179680273699999</v>
      </c>
      <c r="AH4517">
        <v>45.434333600096501</v>
      </c>
      <c r="AI4517">
        <v>91.385731308322093</v>
      </c>
      <c r="AJ4517">
        <v>79.450111330319501</v>
      </c>
      <c r="AK4517">
        <v>46.229088113109697</v>
      </c>
      <c r="AL4517">
        <v>79.564571290861707</v>
      </c>
      <c r="AM4517">
        <v>79.101515287549205</v>
      </c>
      <c r="AN4517">
        <v>1.00000000119851</v>
      </c>
    </row>
    <row r="4518" spans="1:40" x14ac:dyDescent="0.25">
      <c r="A4518" t="str">
        <f>"20190303170344392"</f>
        <v>20190303170344392</v>
      </c>
      <c r="B4518" t="str">
        <f>"1551603824379718"</f>
        <v>1551603824379718</v>
      </c>
      <c r="C4518" t="s">
        <v>40</v>
      </c>
      <c r="D4518">
        <v>4.7870660000000003</v>
      </c>
      <c r="E4518">
        <v>0.50401569999999996</v>
      </c>
      <c r="F4518" t="s">
        <v>90</v>
      </c>
      <c r="G4518">
        <v>-190.4846</v>
      </c>
      <c r="H4518" s="1">
        <v>-1.1110249999999999E-5</v>
      </c>
      <c r="I4518">
        <v>150.38380000000001</v>
      </c>
      <c r="J4518">
        <v>-192.00970000000001</v>
      </c>
      <c r="K4518">
        <v>1.1181099999999999</v>
      </c>
      <c r="L4518">
        <v>198.58359999999999</v>
      </c>
      <c r="M4518">
        <v>0.2115747</v>
      </c>
      <c r="N4518">
        <v>-1.4251089999999999E-2</v>
      </c>
      <c r="O4518">
        <v>-0.97725799999999996</v>
      </c>
      <c r="P4518">
        <v>2.577515E-2</v>
      </c>
      <c r="Q4518">
        <v>0.16944029999999999</v>
      </c>
      <c r="R4518">
        <v>-0.98520339999999995</v>
      </c>
      <c r="S4518">
        <v>9.8098749999999998E-2</v>
      </c>
      <c r="T4518">
        <v>-7.0627809999999999E-2</v>
      </c>
      <c r="U4518">
        <v>-3.0543670000000001</v>
      </c>
      <c r="V4518">
        <v>0.18490880000000001</v>
      </c>
      <c r="W4518">
        <v>0.18157319999999999</v>
      </c>
      <c r="X4518">
        <v>0.96583640000000004</v>
      </c>
      <c r="Y4518">
        <v>0.18006529999999901</v>
      </c>
      <c r="Z4518">
        <v>7.9378499999999998E-3</v>
      </c>
      <c r="AA4518">
        <v>0.98362260000000001</v>
      </c>
      <c r="AB4518">
        <v>22</v>
      </c>
      <c r="AC4518">
        <v>1.5250999999999999</v>
      </c>
      <c r="AD4518">
        <v>-1.1181211102499999</v>
      </c>
      <c r="AE4518">
        <v>-48.199799999999897</v>
      </c>
      <c r="AF4518">
        <v>8.7036467525319505</v>
      </c>
      <c r="AG4518">
        <v>-1.1181211102499999</v>
      </c>
      <c r="AH4518">
        <v>47.405641103796299</v>
      </c>
      <c r="AI4518">
        <v>91.328937241597103</v>
      </c>
      <c r="AJ4518">
        <v>79.596394703648102</v>
      </c>
      <c r="AK4518">
        <v>48.210978729662699</v>
      </c>
      <c r="AL4518">
        <v>79.5385925482895</v>
      </c>
      <c r="AM4518">
        <v>79.161903170382701</v>
      </c>
      <c r="AN4518">
        <v>1.00000002142031</v>
      </c>
    </row>
    <row r="4519" spans="1:40" x14ac:dyDescent="0.25">
      <c r="A4519" t="str">
        <f>"20190303170344410"</f>
        <v>20190303170344410</v>
      </c>
      <c r="B4519" t="str">
        <f>"1551603824400214"</f>
        <v>1551603824400214</v>
      </c>
      <c r="C4519" t="s">
        <v>40</v>
      </c>
      <c r="D4519">
        <v>4.7895029999999998</v>
      </c>
      <c r="E4519">
        <v>0.50360289999999996</v>
      </c>
      <c r="F4519" t="s">
        <v>90</v>
      </c>
      <c r="G4519">
        <v>-190.52979999999999</v>
      </c>
      <c r="H4519" s="1">
        <v>-1.053515E-5</v>
      </c>
      <c r="I4519">
        <v>148.65369999999999</v>
      </c>
      <c r="J4519">
        <v>-191.97730000000001</v>
      </c>
      <c r="K4519">
        <v>1.1182970000000001</v>
      </c>
      <c r="L4519">
        <v>198.40770000000001</v>
      </c>
      <c r="M4519">
        <v>0.20697450000000001</v>
      </c>
      <c r="N4519">
        <v>-1.421013E-2</v>
      </c>
      <c r="O4519">
        <v>-0.97824319999999998</v>
      </c>
      <c r="P4519">
        <v>2.448825E-2</v>
      </c>
      <c r="Q4519">
        <v>0.16975409999999999</v>
      </c>
      <c r="R4519">
        <v>-0.98518229999999996</v>
      </c>
      <c r="S4519">
        <v>9.0530399999999997E-2</v>
      </c>
      <c r="T4519">
        <v>-6.840098E-2</v>
      </c>
      <c r="U4519">
        <v>-3.054459</v>
      </c>
      <c r="V4519">
        <v>0.18153140000000001</v>
      </c>
      <c r="W4519">
        <v>0.18196100000000001</v>
      </c>
      <c r="X4519">
        <v>0.96640389999999998</v>
      </c>
      <c r="Y4519">
        <v>0.17787420000000001</v>
      </c>
      <c r="Z4519">
        <v>7.3136719999999898E-3</v>
      </c>
      <c r="AA4519">
        <v>0.98402610000000001</v>
      </c>
      <c r="AB4519">
        <v>22</v>
      </c>
      <c r="AC4519">
        <v>1.44750000000001</v>
      </c>
      <c r="AD4519">
        <v>-1.11830753514999</v>
      </c>
      <c r="AE4519">
        <v>-49.753999999999998</v>
      </c>
      <c r="AF4519">
        <v>8.8782170269928393</v>
      </c>
      <c r="AG4519">
        <v>-1.11830753514999</v>
      </c>
      <c r="AH4519">
        <v>48.951340162955901</v>
      </c>
      <c r="AI4519">
        <v>91.287710385732197</v>
      </c>
      <c r="AJ4519">
        <v>79.720111888972497</v>
      </c>
      <c r="AK4519">
        <v>49.762506499079997</v>
      </c>
      <c r="AL4519">
        <v>79.515996358983301</v>
      </c>
      <c r="AM4519">
        <v>79.361407152921799</v>
      </c>
      <c r="AN4519">
        <v>0.99999997632108395</v>
      </c>
    </row>
    <row r="4520" spans="1:40" x14ac:dyDescent="0.25">
      <c r="A4520" t="str">
        <f>"20190303170344431"</f>
        <v>20190303170344431</v>
      </c>
      <c r="B4520" t="str">
        <f>"1551603824419734"</f>
        <v>1551603824419734</v>
      </c>
      <c r="C4520" t="s">
        <v>40</v>
      </c>
      <c r="D4520">
        <v>4.7264220000000003</v>
      </c>
      <c r="E4520">
        <v>0.50320969999999998</v>
      </c>
      <c r="F4520" t="s">
        <v>90</v>
      </c>
      <c r="G4520">
        <v>-190.4794</v>
      </c>
      <c r="H4520" s="1">
        <v>-1.010087E-5</v>
      </c>
      <c r="I4520">
        <v>147.04079999999999</v>
      </c>
      <c r="J4520">
        <v>-191.94059999999999</v>
      </c>
      <c r="K4520">
        <v>1.118509</v>
      </c>
      <c r="L4520">
        <v>198.20439999999999</v>
      </c>
      <c r="M4520">
        <v>0.2019069</v>
      </c>
      <c r="N4520">
        <v>-1.4165260000000001E-2</v>
      </c>
      <c r="O4520">
        <v>-0.97930240000000002</v>
      </c>
      <c r="P4520">
        <v>2.4909879999999999E-2</v>
      </c>
      <c r="Q4520">
        <v>0.17050560000000001</v>
      </c>
      <c r="R4520">
        <v>-0.98504210000000003</v>
      </c>
      <c r="S4520">
        <v>8.9065549999999993E-2</v>
      </c>
      <c r="T4520">
        <v>-6.6496490000000005E-2</v>
      </c>
      <c r="U4520">
        <v>-3.0543670000000001</v>
      </c>
      <c r="V4520">
        <v>0.1759849</v>
      </c>
      <c r="W4520">
        <v>0.1828176</v>
      </c>
      <c r="X4520">
        <v>0.96726780000000001</v>
      </c>
      <c r="Y4520">
        <v>0.17324999999999999</v>
      </c>
      <c r="Z4520">
        <v>6.8029869999999999E-3</v>
      </c>
      <c r="AA4520">
        <v>0.98485440000000002</v>
      </c>
      <c r="AB4520">
        <v>22</v>
      </c>
      <c r="AC4520">
        <v>1.4611999999999901</v>
      </c>
      <c r="AD4520">
        <v>-1.1185191008699999</v>
      </c>
      <c r="AE4520">
        <v>-51.163600000000002</v>
      </c>
      <c r="AF4520">
        <v>8.8959709172357595</v>
      </c>
      <c r="AG4520">
        <v>-1.1185191008699999</v>
      </c>
      <c r="AH4520">
        <v>50.380654948836501</v>
      </c>
      <c r="AI4520">
        <v>91.252466337523899</v>
      </c>
      <c r="AJ4520">
        <v>79.986211157854896</v>
      </c>
      <c r="AK4520">
        <v>51.1722559265569</v>
      </c>
      <c r="AL4520">
        <v>79.466079527971104</v>
      </c>
      <c r="AM4520">
        <v>79.688386092972706</v>
      </c>
      <c r="AN4520">
        <v>0.99999997840730404</v>
      </c>
    </row>
    <row r="4521" spans="1:40" x14ac:dyDescent="0.25">
      <c r="A4521" t="str">
        <f>"20190303170344454"</f>
        <v>20190303170344454</v>
      </c>
      <c r="B4521" t="str">
        <f>"1551603824440230"</f>
        <v>1551603824440230</v>
      </c>
      <c r="C4521" t="s">
        <v>40</v>
      </c>
      <c r="D4521">
        <v>4.7274159999999998</v>
      </c>
      <c r="E4521">
        <v>0.50280420000000003</v>
      </c>
      <c r="F4521" t="s">
        <v>90</v>
      </c>
      <c r="G4521">
        <v>-190.33240000000001</v>
      </c>
      <c r="H4521" s="1">
        <v>-9.3499690000000005E-6</v>
      </c>
      <c r="I4521">
        <v>144.29239999999999</v>
      </c>
      <c r="J4521">
        <v>-191.89930000000001</v>
      </c>
      <c r="K4521">
        <v>1.1187640000000001</v>
      </c>
      <c r="L4521">
        <v>197.97069999999999</v>
      </c>
      <c r="M4521">
        <v>0.1964313</v>
      </c>
      <c r="N4521">
        <v>-1.411602E-2</v>
      </c>
      <c r="O4521">
        <v>-0.98041599999999995</v>
      </c>
      <c r="P4521">
        <v>2.052464E-2</v>
      </c>
      <c r="Q4521">
        <v>0.170982</v>
      </c>
      <c r="R4521">
        <v>-0.9850603</v>
      </c>
      <c r="S4521">
        <v>9.111023E-2</v>
      </c>
      <c r="T4521">
        <v>-6.3366409999999998E-2</v>
      </c>
      <c r="U4521">
        <v>-3.05423</v>
      </c>
      <c r="V4521">
        <v>0.17475779999999999</v>
      </c>
      <c r="W4521">
        <v>0.18336369999999999</v>
      </c>
      <c r="X4521">
        <v>0.967387</v>
      </c>
      <c r="Y4521">
        <v>0.16708589999999901</v>
      </c>
      <c r="Z4521">
        <v>5.9134340000000004E-3</v>
      </c>
      <c r="AA4521">
        <v>0.98592460000000004</v>
      </c>
      <c r="AB4521">
        <v>22</v>
      </c>
      <c r="AC4521">
        <v>1.5669</v>
      </c>
      <c r="AD4521">
        <v>-1.11877334996899</v>
      </c>
      <c r="AE4521">
        <v>-53.6783</v>
      </c>
      <c r="AF4521">
        <v>9.0048734319127206</v>
      </c>
      <c r="AG4521">
        <v>-1.11877334996899</v>
      </c>
      <c r="AH4521">
        <v>52.917158296438302</v>
      </c>
      <c r="AI4521">
        <v>91.194006309830399</v>
      </c>
      <c r="AJ4521">
        <v>80.342529709576198</v>
      </c>
      <c r="AK4521">
        <v>53.689524504354402</v>
      </c>
      <c r="AL4521">
        <v>79.434253289607497</v>
      </c>
      <c r="AM4521">
        <v>79.759994838249895</v>
      </c>
      <c r="AN4521">
        <v>1.00000007145376</v>
      </c>
    </row>
    <row r="4522" spans="1:40" x14ac:dyDescent="0.25">
      <c r="A4522" t="str">
        <f>"20190303170344477"</f>
        <v>20190303170344477</v>
      </c>
      <c r="B4522" t="str">
        <f>"1551603824470514"</f>
        <v>1551603824470514</v>
      </c>
      <c r="C4522" t="s">
        <v>40</v>
      </c>
      <c r="D4522">
        <v>4.6678220000000001</v>
      </c>
      <c r="E4522">
        <v>0.50225620000000004</v>
      </c>
      <c r="F4522" t="s">
        <v>90</v>
      </c>
      <c r="G4522">
        <v>-190.40639999999999</v>
      </c>
      <c r="H4522" s="1">
        <v>-8.8538720000000001E-6</v>
      </c>
      <c r="I4522">
        <v>142.3614</v>
      </c>
      <c r="J4522">
        <v>-191.86</v>
      </c>
      <c r="K4522">
        <v>1.119016</v>
      </c>
      <c r="L4522">
        <v>197.7431</v>
      </c>
      <c r="M4522">
        <v>0.1915057</v>
      </c>
      <c r="N4522">
        <v>-1.4069770000000001E-2</v>
      </c>
      <c r="O4522">
        <v>-0.98139069999999995</v>
      </c>
      <c r="P4522">
        <v>1.496156E-2</v>
      </c>
      <c r="Q4522">
        <v>0.172517899999999</v>
      </c>
      <c r="R4522">
        <v>-0.98489289999999996</v>
      </c>
      <c r="S4522">
        <v>8.2000729999999994E-2</v>
      </c>
      <c r="T4522">
        <v>-6.145072E-2</v>
      </c>
      <c r="U4522">
        <v>-3.054443</v>
      </c>
      <c r="V4522">
        <v>0.17521139999999999</v>
      </c>
      <c r="W4522">
        <v>0.18495210000000001</v>
      </c>
      <c r="X4522">
        <v>0.96700249999999999</v>
      </c>
      <c r="Y4522">
        <v>0.165076</v>
      </c>
      <c r="Z4522">
        <v>5.3824850000000002E-3</v>
      </c>
      <c r="AA4522">
        <v>0.98626610000000003</v>
      </c>
      <c r="AB4522">
        <v>22</v>
      </c>
      <c r="AC4522">
        <v>1.45360000000002</v>
      </c>
      <c r="AD4522">
        <v>-1.119024853872</v>
      </c>
      <c r="AE4522">
        <v>-55.381700000000002</v>
      </c>
      <c r="AF4522">
        <v>9.1765260407900993</v>
      </c>
      <c r="AG4522">
        <v>-1.119024853872</v>
      </c>
      <c r="AH4522">
        <v>54.612582032547998</v>
      </c>
      <c r="AI4522">
        <v>91.1576161882073</v>
      </c>
      <c r="AJ4522">
        <v>80.4617192071277</v>
      </c>
      <c r="AK4522">
        <v>55.3894842281697</v>
      </c>
      <c r="AL4522">
        <v>79.341661066286093</v>
      </c>
      <c r="AM4522">
        <v>79.729985346736001</v>
      </c>
      <c r="AN4522">
        <v>1.0000000744952999</v>
      </c>
    </row>
    <row r="4523" spans="1:40" x14ac:dyDescent="0.25">
      <c r="A4523" t="str">
        <f>"20190303170344498"</f>
        <v>20190303170344498</v>
      </c>
      <c r="B4523" t="str">
        <f>"1551603824490034"</f>
        <v>1551603824490034</v>
      </c>
      <c r="C4523" t="s">
        <v>40</v>
      </c>
      <c r="D4523">
        <v>4.7187330000000003</v>
      </c>
      <c r="E4523">
        <v>0.50186750000000002</v>
      </c>
      <c r="F4523" t="s">
        <v>90</v>
      </c>
      <c r="G4523">
        <v>-190.4119</v>
      </c>
      <c r="H4523" s="1">
        <v>-7.0460769999999998E-6</v>
      </c>
      <c r="I4523">
        <v>136.27289999999999</v>
      </c>
      <c r="J4523">
        <v>-191.82499999999999</v>
      </c>
      <c r="K4523">
        <v>1.1192610000000001</v>
      </c>
      <c r="L4523">
        <v>197.53720000000001</v>
      </c>
      <c r="M4523">
        <v>0.18736030000000001</v>
      </c>
      <c r="N4523">
        <v>-1.403018E-2</v>
      </c>
      <c r="O4523">
        <v>-0.98219100000000004</v>
      </c>
      <c r="P4523">
        <v>1.183185E-2</v>
      </c>
      <c r="Q4523">
        <v>0.1736318</v>
      </c>
      <c r="R4523">
        <v>-0.98473980000000005</v>
      </c>
      <c r="S4523">
        <v>7.1960449999999995E-2</v>
      </c>
      <c r="T4523">
        <v>-5.5607910000000003E-2</v>
      </c>
      <c r="U4523">
        <v>-3.0546570000000002</v>
      </c>
      <c r="V4523">
        <v>0.174068</v>
      </c>
      <c r="W4523">
        <v>0.18612899999999999</v>
      </c>
      <c r="X4523">
        <v>0.96698309999999998</v>
      </c>
      <c r="Y4523">
        <v>0.16415539999999901</v>
      </c>
      <c r="Z4523">
        <v>3.5938010000000002E-3</v>
      </c>
      <c r="AA4523">
        <v>0.98642799999999997</v>
      </c>
      <c r="AB4523">
        <v>22</v>
      </c>
      <c r="AC4523">
        <v>1.41309999999998</v>
      </c>
      <c r="AD4523">
        <v>-1.1192680460769999</v>
      </c>
      <c r="AE4523">
        <v>-61.264299999999999</v>
      </c>
      <c r="AF4523">
        <v>10.0881919865153</v>
      </c>
      <c r="AG4523">
        <v>-1.1192680460769999</v>
      </c>
      <c r="AH4523">
        <v>60.423798455741803</v>
      </c>
      <c r="AI4523">
        <v>91.046719469083399</v>
      </c>
      <c r="AJ4523">
        <v>80.521478632682403</v>
      </c>
      <c r="AK4523">
        <v>61.270382717393403</v>
      </c>
      <c r="AL4523">
        <v>79.273037268791597</v>
      </c>
      <c r="AM4523">
        <v>79.795392550655393</v>
      </c>
      <c r="AN4523">
        <v>0.99999999447530497</v>
      </c>
    </row>
    <row r="4524" spans="1:40" x14ac:dyDescent="0.25">
      <c r="A4524" t="str">
        <f>"20190303170344521"</f>
        <v>20190303170344521</v>
      </c>
      <c r="B4524" t="str">
        <f>"1551603824510530"</f>
        <v>1551603824510530</v>
      </c>
      <c r="C4524" t="s">
        <v>40</v>
      </c>
      <c r="D4524">
        <v>4.7170569999999996</v>
      </c>
      <c r="E4524">
        <v>0.49461179999999899</v>
      </c>
      <c r="F4524" t="s">
        <v>90</v>
      </c>
      <c r="G4524">
        <v>-190.40190000000001</v>
      </c>
      <c r="H4524" s="1">
        <v>-5.4479639999999899E-6</v>
      </c>
      <c r="I4524">
        <v>131.28129999999999</v>
      </c>
      <c r="J4524">
        <v>-191.78819999999999</v>
      </c>
      <c r="K4524">
        <v>1.119467</v>
      </c>
      <c r="L4524">
        <v>197.31739999999999</v>
      </c>
      <c r="M4524">
        <v>0.18321689999999999</v>
      </c>
      <c r="N4524">
        <v>-1.399162E-2</v>
      </c>
      <c r="O4524">
        <v>-0.98297310000000004</v>
      </c>
      <c r="P4524">
        <v>1.160807E-2</v>
      </c>
      <c r="Q4524">
        <v>0.17325889999999999</v>
      </c>
      <c r="R4524">
        <v>-0.98480809999999996</v>
      </c>
      <c r="S4524">
        <v>6.5612790000000004E-2</v>
      </c>
      <c r="T4524">
        <v>-5.160522E-2</v>
      </c>
      <c r="U4524">
        <v>-3.0548099999999998</v>
      </c>
      <c r="V4524">
        <v>0.170116299999999</v>
      </c>
      <c r="W4524">
        <v>0.18583769999999999</v>
      </c>
      <c r="X4524">
        <v>0.96774210000000005</v>
      </c>
      <c r="Y4524">
        <v>0.1620472</v>
      </c>
      <c r="Z4524">
        <v>2.3850260000000002E-3</v>
      </c>
      <c r="AA4524">
        <v>0.98678010000000005</v>
      </c>
      <c r="AB4524">
        <v>22</v>
      </c>
      <c r="AC4524">
        <v>1.3862999999999699</v>
      </c>
      <c r="AD4524">
        <v>-1.1194724479639999</v>
      </c>
      <c r="AE4524">
        <v>-66.036100000000005</v>
      </c>
      <c r="AF4524">
        <v>10.7341997975214</v>
      </c>
      <c r="AG4524">
        <v>-1.1194724479639999</v>
      </c>
      <c r="AH4524">
        <v>65.153356997642803</v>
      </c>
      <c r="AI4524">
        <v>90.971274710173304</v>
      </c>
      <c r="AJ4524">
        <v>80.644402042030407</v>
      </c>
      <c r="AK4524">
        <v>66.041170431157198</v>
      </c>
      <c r="AL4524">
        <v>79.290023839717705</v>
      </c>
      <c r="AM4524">
        <v>80.030018838669093</v>
      </c>
      <c r="AN4524">
        <v>0.99999998918969402</v>
      </c>
    </row>
    <row r="4525" spans="1:40" x14ac:dyDescent="0.25">
      <c r="A4525" t="str">
        <f>"20190303170344542"</f>
        <v>20190303170344542</v>
      </c>
      <c r="B4525" t="str">
        <f>"1551603824530050"</f>
        <v>1551603824530050</v>
      </c>
      <c r="C4525" t="s">
        <v>40</v>
      </c>
      <c r="D4525">
        <v>4.717892</v>
      </c>
      <c r="E4525">
        <v>0.49483369999999999</v>
      </c>
      <c r="F4525" t="s">
        <v>90</v>
      </c>
      <c r="G4525">
        <v>-189.0924</v>
      </c>
      <c r="H4525" s="1">
        <v>-4.6927120000000003E-6</v>
      </c>
      <c r="I4525">
        <v>129.12100000000001</v>
      </c>
      <c r="J4525">
        <v>-191.7527</v>
      </c>
      <c r="K4525">
        <v>1.1196269999999999</v>
      </c>
      <c r="L4525">
        <v>197.1011</v>
      </c>
      <c r="M4525">
        <v>0.17940900000000001</v>
      </c>
      <c r="N4525">
        <v>-1.395705E-2</v>
      </c>
      <c r="O4525">
        <v>-0.98367570000000004</v>
      </c>
      <c r="P4525">
        <v>1.195308E-2</v>
      </c>
      <c r="Q4525">
        <v>0.17263689999999901</v>
      </c>
      <c r="R4525">
        <v>-0.98491329999999999</v>
      </c>
      <c r="S4525">
        <v>0.12071229999999999</v>
      </c>
      <c r="T4525">
        <v>-5.0127629999999999E-2</v>
      </c>
      <c r="U4525">
        <v>-3.053696</v>
      </c>
      <c r="V4525">
        <v>0.16595689999999999</v>
      </c>
      <c r="W4525">
        <v>0.1852857</v>
      </c>
      <c r="X4525">
        <v>0.96856980000000004</v>
      </c>
      <c r="Y4525">
        <v>0.14039849999999901</v>
      </c>
      <c r="Z4525">
        <v>2.0196799999999998E-3</v>
      </c>
      <c r="AA4525">
        <v>0.990093</v>
      </c>
      <c r="AB4525">
        <v>22</v>
      </c>
      <c r="AC4525">
        <v>2.6602999999999999</v>
      </c>
      <c r="AD4525">
        <v>-1.119631692712</v>
      </c>
      <c r="AE4525">
        <v>-67.980099999999993</v>
      </c>
      <c r="AF4525">
        <v>9.5777070774662594</v>
      </c>
      <c r="AG4525">
        <v>-1.119631692712</v>
      </c>
      <c r="AH4525">
        <v>67.335968005165995</v>
      </c>
      <c r="AI4525">
        <v>90.943109479537796</v>
      </c>
      <c r="AJ4525">
        <v>81.904687410238694</v>
      </c>
      <c r="AK4525">
        <v>68.022927275895896</v>
      </c>
      <c r="AL4525">
        <v>79.322209898806605</v>
      </c>
      <c r="AM4525">
        <v>80.277227829039305</v>
      </c>
      <c r="AN4525">
        <v>0.999999970377069</v>
      </c>
    </row>
    <row r="4526" spans="1:40" x14ac:dyDescent="0.25">
      <c r="A4526" t="str">
        <f>"20190303170344567"</f>
        <v>20190303170344567</v>
      </c>
      <c r="B4526" t="str">
        <f>"1551603824560305"</f>
        <v>1551603824560305</v>
      </c>
      <c r="C4526" t="s">
        <v>40</v>
      </c>
      <c r="D4526">
        <v>4.6662520000000001</v>
      </c>
      <c r="E4526">
        <v>0.49426249999999999</v>
      </c>
      <c r="F4526" t="s">
        <v>90</v>
      </c>
      <c r="G4526">
        <v>-189.19489999999999</v>
      </c>
      <c r="H4526" s="1">
        <v>-5.3673409999999999E-6</v>
      </c>
      <c r="I4526">
        <v>131.09030000000001</v>
      </c>
      <c r="J4526">
        <v>-191.71299999999999</v>
      </c>
      <c r="K4526">
        <v>1.1197950000000001</v>
      </c>
      <c r="L4526">
        <v>196.85589999999999</v>
      </c>
      <c r="M4526">
        <v>0.17541779999999901</v>
      </c>
      <c r="N4526">
        <v>-1.3920800000000001E-2</v>
      </c>
      <c r="O4526">
        <v>-0.98439569999999998</v>
      </c>
      <c r="P4526">
        <v>1.0258079999999999E-2</v>
      </c>
      <c r="Q4526">
        <v>0.1724029</v>
      </c>
      <c r="R4526">
        <v>-0.98497330000000005</v>
      </c>
      <c r="S4526">
        <v>0.1183167</v>
      </c>
      <c r="T4526">
        <v>-5.1792980000000002E-2</v>
      </c>
      <c r="U4526">
        <v>-3.0535890000000001</v>
      </c>
      <c r="V4526">
        <v>0.1636176</v>
      </c>
      <c r="W4526">
        <v>0.1851025</v>
      </c>
      <c r="X4526">
        <v>0.96900280000000005</v>
      </c>
      <c r="Y4526">
        <v>0.13715639999999901</v>
      </c>
      <c r="Z4526">
        <v>2.6057110000000001E-3</v>
      </c>
      <c r="AA4526">
        <v>0.99054600000000004</v>
      </c>
      <c r="AB4526">
        <v>22</v>
      </c>
      <c r="AC4526">
        <v>2.5181</v>
      </c>
      <c r="AD4526">
        <v>-1.119800367341</v>
      </c>
      <c r="AE4526">
        <v>-65.765599999999907</v>
      </c>
      <c r="AF4526">
        <v>9.0559057444015192</v>
      </c>
      <c r="AG4526">
        <v>-1.119800367341</v>
      </c>
      <c r="AH4526">
        <v>65.1685409152917</v>
      </c>
      <c r="AI4526">
        <v>90.975057253721303</v>
      </c>
      <c r="AJ4526">
        <v>82.088766503372895</v>
      </c>
      <c r="AK4526">
        <v>65.804271189203405</v>
      </c>
      <c r="AL4526">
        <v>79.332892008886901</v>
      </c>
      <c r="AM4526">
        <v>80.415921310442201</v>
      </c>
      <c r="AN4526">
        <v>1.00000004047192</v>
      </c>
    </row>
    <row r="4527" spans="1:40" x14ac:dyDescent="0.25">
      <c r="A4527" t="str">
        <f>"20190303170344588"</f>
        <v>20190303170344588</v>
      </c>
      <c r="B4527" t="str">
        <f>"1551603824579825"</f>
        <v>1551603824579825</v>
      </c>
      <c r="C4527" t="s">
        <v>40</v>
      </c>
      <c r="D4527">
        <v>4.7237980000000004</v>
      </c>
      <c r="E4527">
        <v>0.49398209999999998</v>
      </c>
      <c r="F4527" t="s">
        <v>90</v>
      </c>
      <c r="G4527">
        <v>-189.24539999999999</v>
      </c>
      <c r="H4527" s="1">
        <v>-6.1027790000000003E-6</v>
      </c>
      <c r="I4527">
        <v>133.39850000000001</v>
      </c>
      <c r="J4527">
        <v>-191.68</v>
      </c>
      <c r="K4527">
        <v>1.1199319999999999</v>
      </c>
      <c r="L4527">
        <v>196.64869999999999</v>
      </c>
      <c r="M4527">
        <v>0.17229800000000001</v>
      </c>
      <c r="N4527">
        <v>-1.389202E-2</v>
      </c>
      <c r="O4527">
        <v>-0.98494689999999996</v>
      </c>
      <c r="P4527">
        <v>9.8311979999999993E-3</v>
      </c>
      <c r="Q4527">
        <v>0.17241619999999999</v>
      </c>
      <c r="R4527">
        <v>-0.98497500000000004</v>
      </c>
      <c r="S4527">
        <v>0.118759199999999</v>
      </c>
      <c r="T4527">
        <v>-5.38919E-2</v>
      </c>
      <c r="U4527">
        <v>-3.0539700000000001</v>
      </c>
      <c r="V4527">
        <v>0.16089589999999901</v>
      </c>
      <c r="W4527">
        <v>0.18516289999999999</v>
      </c>
      <c r="X4527">
        <v>0.96944680000000005</v>
      </c>
      <c r="Y4527">
        <v>0.1338789</v>
      </c>
      <c r="Z4527">
        <v>3.317707E-3</v>
      </c>
      <c r="AA4527">
        <v>0.99099210000000004</v>
      </c>
      <c r="AB4527">
        <v>22</v>
      </c>
      <c r="AC4527">
        <v>2.4346000000000099</v>
      </c>
      <c r="AD4527">
        <v>-1.1199381027790001</v>
      </c>
      <c r="AE4527">
        <v>-63.2501999999999</v>
      </c>
      <c r="AF4527">
        <v>8.4980912396061292</v>
      </c>
      <c r="AG4527">
        <v>-1.1199381027790001</v>
      </c>
      <c r="AH4527">
        <v>62.703988527395502</v>
      </c>
      <c r="AI4527">
        <v>91.013967085627897</v>
      </c>
      <c r="AJ4527">
        <v>82.281892894126699</v>
      </c>
      <c r="AK4527">
        <v>63.287139241037501</v>
      </c>
      <c r="AL4527">
        <v>79.329369428569805</v>
      </c>
      <c r="AM4527">
        <v>80.576702636379395</v>
      </c>
      <c r="AN4527">
        <v>0.99999994410172799</v>
      </c>
    </row>
    <row r="4528" spans="1:40" x14ac:dyDescent="0.25">
      <c r="A4528" t="str">
        <f>"20190303170344610"</f>
        <v>20190303170344610</v>
      </c>
      <c r="B4528" t="str">
        <f>"1551603824600321"</f>
        <v>1551603824600321</v>
      </c>
      <c r="C4528" t="s">
        <v>40</v>
      </c>
      <c r="D4528">
        <v>4.7214619999999998</v>
      </c>
      <c r="E4528">
        <v>0.493838</v>
      </c>
      <c r="F4528" t="s">
        <v>90</v>
      </c>
      <c r="G4528">
        <v>-189.24080000000001</v>
      </c>
      <c r="H4528" s="1">
        <v>-6.5362969999999997E-6</v>
      </c>
      <c r="I4528">
        <v>134.75299999999999</v>
      </c>
      <c r="J4528">
        <v>-191.6465</v>
      </c>
      <c r="K4528">
        <v>1.120085</v>
      </c>
      <c r="L4528">
        <v>196.43520000000001</v>
      </c>
      <c r="M4528">
        <v>0.16930609999999999</v>
      </c>
      <c r="N4528">
        <v>-1.3864370000000001E-2</v>
      </c>
      <c r="O4528">
        <v>-0.98546619999999996</v>
      </c>
      <c r="P4528">
        <v>1.057548E-2</v>
      </c>
      <c r="Q4528">
        <v>0.17270569999999999</v>
      </c>
      <c r="R4528">
        <v>-0.98491700000000004</v>
      </c>
      <c r="S4528">
        <v>0.1203613</v>
      </c>
      <c r="T4528">
        <v>-5.5262800000000001E-2</v>
      </c>
      <c r="U4528">
        <v>-3.054214</v>
      </c>
      <c r="V4528">
        <v>0.1571342</v>
      </c>
      <c r="W4528">
        <v>0.1855069</v>
      </c>
      <c r="X4528">
        <v>0.96999789999999997</v>
      </c>
      <c r="Y4528">
        <v>0.1303531</v>
      </c>
      <c r="Z4528">
        <v>3.798287E-3</v>
      </c>
      <c r="AA4528">
        <v>0.99146040000000002</v>
      </c>
      <c r="AB4528">
        <v>22</v>
      </c>
      <c r="AC4528">
        <v>2.4056999999999902</v>
      </c>
      <c r="AD4528">
        <v>-1.1200915362970001</v>
      </c>
      <c r="AE4528">
        <v>-61.682200000000002</v>
      </c>
      <c r="AF4528">
        <v>8.07055375672366</v>
      </c>
      <c r="AG4528">
        <v>-1.1200915362970001</v>
      </c>
      <c r="AH4528">
        <v>61.178749415028598</v>
      </c>
      <c r="AI4528">
        <v>91.039875908712304</v>
      </c>
      <c r="AJ4528">
        <v>82.485070077875207</v>
      </c>
      <c r="AK4528">
        <v>61.718942173183002</v>
      </c>
      <c r="AL4528">
        <v>79.309312220622601</v>
      </c>
      <c r="AM4528">
        <v>80.798341084243205</v>
      </c>
      <c r="AN4528">
        <v>0.99999994638082801</v>
      </c>
    </row>
    <row r="4529" spans="1:40" x14ac:dyDescent="0.25">
      <c r="A4529" t="str">
        <f>"20190303170344632"</f>
        <v>20190303170344632</v>
      </c>
      <c r="B4529" t="str">
        <f>"1551603824619841"</f>
        <v>1551603824619841</v>
      </c>
      <c r="C4529" t="s">
        <v>40</v>
      </c>
      <c r="D4529">
        <v>4.6644249999999996</v>
      </c>
      <c r="E4529">
        <v>0.49360700000000002</v>
      </c>
      <c r="F4529" t="s">
        <v>90</v>
      </c>
      <c r="G4529">
        <v>-189.16239999999999</v>
      </c>
      <c r="H4529" s="1">
        <v>-6.5503179999999999E-6</v>
      </c>
      <c r="I4529">
        <v>134.7826</v>
      </c>
      <c r="J4529">
        <v>-191.6129</v>
      </c>
      <c r="K4529">
        <v>1.120241</v>
      </c>
      <c r="L4529">
        <v>196.2191</v>
      </c>
      <c r="M4529">
        <v>0.16649459999999999</v>
      </c>
      <c r="N4529">
        <v>-1.383881E-2</v>
      </c>
      <c r="O4529">
        <v>-0.98594539999999997</v>
      </c>
      <c r="P4529">
        <v>1.0470490000000001E-2</v>
      </c>
      <c r="Q4529">
        <v>0.17342479999999999</v>
      </c>
      <c r="R4529">
        <v>-0.98479170000000005</v>
      </c>
      <c r="S4529">
        <v>0.12306209999999999</v>
      </c>
      <c r="T4529">
        <v>-5.5491329999999998E-2</v>
      </c>
      <c r="U4529">
        <v>-3.0543819999999999</v>
      </c>
      <c r="V4529">
        <v>0.15437590000000001</v>
      </c>
      <c r="W4529">
        <v>0.1862743</v>
      </c>
      <c r="X4529">
        <v>0.97029379999999998</v>
      </c>
      <c r="Y4529">
        <v>0.12665190000000001</v>
      </c>
      <c r="Z4529">
        <v>3.9129339999999999E-3</v>
      </c>
      <c r="AA4529">
        <v>0.99193949999999997</v>
      </c>
      <c r="AB4529">
        <v>22</v>
      </c>
      <c r="AC4529">
        <v>2.4504999999999999</v>
      </c>
      <c r="AD4529">
        <v>-1.1202475503180001</v>
      </c>
      <c r="AE4529">
        <v>-61.436500000000002</v>
      </c>
      <c r="AF4529">
        <v>7.8109404503570401</v>
      </c>
      <c r="AG4529">
        <v>-1.1202475503180001</v>
      </c>
      <c r="AH4529">
        <v>60.966622276956699</v>
      </c>
      <c r="AI4529">
        <v>91.044145536597696</v>
      </c>
      <c r="AJ4529">
        <v>82.699134548457906</v>
      </c>
      <c r="AK4529">
        <v>61.475155771694702</v>
      </c>
      <c r="AL4529">
        <v>79.264564565626301</v>
      </c>
      <c r="AM4529">
        <v>80.959884991668801</v>
      </c>
      <c r="AN4529">
        <v>1.0000000458298599</v>
      </c>
    </row>
    <row r="4530" spans="1:40" x14ac:dyDescent="0.25">
      <c r="A4530" t="str">
        <f>"20190303170344655"</f>
        <v>20190303170344655</v>
      </c>
      <c r="B4530" t="str">
        <f>"1551603824650097"</f>
        <v>1551603824650097</v>
      </c>
      <c r="C4530" t="s">
        <v>40</v>
      </c>
      <c r="D4530">
        <v>4.6032390000000003</v>
      </c>
      <c r="E4530">
        <v>0.49337550000000002</v>
      </c>
      <c r="F4530" t="s">
        <v>90</v>
      </c>
      <c r="G4530">
        <v>-189.05869999999999</v>
      </c>
      <c r="H4530" s="1">
        <v>-6.0661710000000003E-6</v>
      </c>
      <c r="I4530">
        <v>133.25020000000001</v>
      </c>
      <c r="J4530">
        <v>-191.57749999999999</v>
      </c>
      <c r="K4530">
        <v>1.1204050000000001</v>
      </c>
      <c r="L4530">
        <v>195.98939999999999</v>
      </c>
      <c r="M4530">
        <v>0.1637391</v>
      </c>
      <c r="N4530">
        <v>-1.381433E-2</v>
      </c>
      <c r="O4530">
        <v>-0.98640729999999999</v>
      </c>
      <c r="P4530">
        <v>8.2807219999999904E-3</v>
      </c>
      <c r="Q4530">
        <v>0.171948499999999</v>
      </c>
      <c r="R4530">
        <v>-0.98507149999999999</v>
      </c>
      <c r="S4530">
        <v>0.12390139999999999</v>
      </c>
      <c r="T4530">
        <v>-5.4342149999999999E-2</v>
      </c>
      <c r="U4530">
        <v>-3.0545650000000002</v>
      </c>
      <c r="V4530">
        <v>0.15378549999999999</v>
      </c>
      <c r="W4530">
        <v>0.18484100000000001</v>
      </c>
      <c r="X4530">
        <v>0.97066149999999995</v>
      </c>
      <c r="Y4530">
        <v>0.123610999999999</v>
      </c>
      <c r="Z4530">
        <v>3.584842E-3</v>
      </c>
      <c r="AA4530">
        <v>0.99232430000000005</v>
      </c>
      <c r="AB4530">
        <v>22</v>
      </c>
      <c r="AC4530">
        <v>2.5188000000000001</v>
      </c>
      <c r="AD4530">
        <v>-1.1204110661709901</v>
      </c>
      <c r="AE4530">
        <v>-62.739199999999897</v>
      </c>
      <c r="AF4530">
        <v>7.7865587314232299</v>
      </c>
      <c r="AG4530">
        <v>-1.1204110661709901</v>
      </c>
      <c r="AH4530">
        <v>62.284922973970097</v>
      </c>
      <c r="AI4530">
        <v>91.022594547747602</v>
      </c>
      <c r="AJ4530">
        <v>82.874129208647005</v>
      </c>
      <c r="AK4530">
        <v>62.779753485566403</v>
      </c>
      <c r="AL4530">
        <v>79.348137089212301</v>
      </c>
      <c r="AM4530">
        <v>80.997246308537598</v>
      </c>
      <c r="AN4530">
        <v>0.99999996143674896</v>
      </c>
    </row>
    <row r="4531" spans="1:40" x14ac:dyDescent="0.25">
      <c r="A4531" t="str">
        <f>"20190303170344677"</f>
        <v>20190303170344677</v>
      </c>
      <c r="B4531" t="str">
        <f>"1551603824669617"</f>
        <v>1551603824669617</v>
      </c>
      <c r="C4531" t="s">
        <v>40</v>
      </c>
      <c r="D4531">
        <v>4.7219309999999997</v>
      </c>
      <c r="E4531">
        <v>0.49328509999999998</v>
      </c>
      <c r="F4531" t="s">
        <v>90</v>
      </c>
      <c r="G4531">
        <v>-189.30930000000001</v>
      </c>
      <c r="H4531" s="1">
        <v>-7.6517479999999996E-6</v>
      </c>
      <c r="I4531">
        <v>138.2525</v>
      </c>
      <c r="J4531">
        <v>-191.5444</v>
      </c>
      <c r="K4531">
        <v>1.120539</v>
      </c>
      <c r="L4531">
        <v>195.77180000000001</v>
      </c>
      <c r="M4531">
        <v>0.16137770000000001</v>
      </c>
      <c r="N4531">
        <v>-1.3793059999999999E-2</v>
      </c>
      <c r="O4531">
        <v>-0.98679660000000002</v>
      </c>
      <c r="P4531">
        <v>6.3570019999999996E-3</v>
      </c>
      <c r="Q4531">
        <v>0.1701511</v>
      </c>
      <c r="R4531">
        <v>-0.98539790000000005</v>
      </c>
      <c r="S4531">
        <v>0.1200104</v>
      </c>
      <c r="T4531">
        <v>-5.9280399999999997E-2</v>
      </c>
      <c r="U4531">
        <v>-3.0548250000000001</v>
      </c>
      <c r="V4531">
        <v>0.15333740000000001</v>
      </c>
      <c r="W4531">
        <v>0.18308289999999999</v>
      </c>
      <c r="X4531">
        <v>0.97106550000000003</v>
      </c>
      <c r="Y4531">
        <v>0.12250030000000001</v>
      </c>
      <c r="Z4531">
        <v>5.1920200000000003E-3</v>
      </c>
      <c r="AA4531">
        <v>0.99245490000000003</v>
      </c>
      <c r="AB4531">
        <v>22</v>
      </c>
      <c r="AC4531">
        <v>2.2350999999999801</v>
      </c>
      <c r="AD4531">
        <v>-1.1205466517479901</v>
      </c>
      <c r="AE4531">
        <v>-57.519300000000001</v>
      </c>
      <c r="AF4531">
        <v>7.0747336698503904</v>
      </c>
      <c r="AG4531">
        <v>-1.1205466517479901</v>
      </c>
      <c r="AH4531">
        <v>57.104324399511199</v>
      </c>
      <c r="AI4531">
        <v>91.115632089472797</v>
      </c>
      <c r="AJ4531">
        <v>82.937534074234804</v>
      </c>
      <c r="AK4531">
        <v>57.5518144494391</v>
      </c>
      <c r="AL4531">
        <v>79.450617760127599</v>
      </c>
      <c r="AM4531">
        <v>81.026724688124602</v>
      </c>
      <c r="AN4531">
        <v>0.999999955900709</v>
      </c>
    </row>
    <row r="4532" spans="1:40" x14ac:dyDescent="0.25">
      <c r="A4532" t="str">
        <f>"20190303170344698"</f>
        <v>20190303170344698</v>
      </c>
      <c r="B4532" t="str">
        <f>"1551603824690114"</f>
        <v>1551603824690114</v>
      </c>
      <c r="C4532" t="s">
        <v>40</v>
      </c>
      <c r="D4532">
        <v>4.6061170000000002</v>
      </c>
      <c r="E4532">
        <v>0.49314449999999999</v>
      </c>
      <c r="F4532" t="s">
        <v>90</v>
      </c>
      <c r="G4532">
        <v>-189.5564</v>
      </c>
      <c r="H4532" s="1">
        <v>-8.9370200000000007E-6</v>
      </c>
      <c r="I4532">
        <v>142.84479999999999</v>
      </c>
      <c r="J4532">
        <v>-191.5138</v>
      </c>
      <c r="K4532">
        <v>1.1206510000000001</v>
      </c>
      <c r="L4532">
        <v>195.56899999999999</v>
      </c>
      <c r="M4532">
        <v>0.1593405</v>
      </c>
      <c r="N4532">
        <v>-1.377506E-2</v>
      </c>
      <c r="O4532">
        <v>-0.98712759999999999</v>
      </c>
      <c r="P4532">
        <v>6.4665570000000004E-3</v>
      </c>
      <c r="Q4532">
        <v>0.16785259999999999</v>
      </c>
      <c r="R4532">
        <v>-0.98579099999999997</v>
      </c>
      <c r="S4532">
        <v>0.1147461</v>
      </c>
      <c r="T4532">
        <v>-6.467676E-2</v>
      </c>
      <c r="U4532">
        <v>-3.0548860000000002</v>
      </c>
      <c r="V4532">
        <v>0.15122639999999901</v>
      </c>
      <c r="W4532">
        <v>0.18082380000000001</v>
      </c>
      <c r="X4532">
        <v>0.97181960000000001</v>
      </c>
      <c r="Y4532">
        <v>0.1221593</v>
      </c>
      <c r="Z4532">
        <v>6.9424459999999997E-3</v>
      </c>
      <c r="AA4532">
        <v>0.99248619999999999</v>
      </c>
      <c r="AB4532">
        <v>22</v>
      </c>
      <c r="AC4532">
        <v>1.9574</v>
      </c>
      <c r="AD4532">
        <v>-1.1206599370200001</v>
      </c>
      <c r="AE4532">
        <v>-52.724200000000003</v>
      </c>
      <c r="AF4532">
        <v>6.4665930476863496</v>
      </c>
      <c r="AG4532">
        <v>-1.1206599370200001</v>
      </c>
      <c r="AH4532">
        <v>52.338759979076102</v>
      </c>
      <c r="AI4532">
        <v>91.217356919869104</v>
      </c>
      <c r="AJ4532">
        <v>82.956648791173293</v>
      </c>
      <c r="AK4532">
        <v>52.748635058038801</v>
      </c>
      <c r="AL4532">
        <v>79.582252536721896</v>
      </c>
      <c r="AM4532">
        <v>81.155050386607897</v>
      </c>
      <c r="AN4532">
        <v>1.0000000028237701</v>
      </c>
    </row>
    <row r="4533" spans="1:40" x14ac:dyDescent="0.25">
      <c r="A4533" t="str">
        <f>"20190303170344721"</f>
        <v>20190303170344721</v>
      </c>
      <c r="B4533" t="str">
        <f>"1551603824709634"</f>
        <v>1551603824709634</v>
      </c>
      <c r="C4533" t="s">
        <v>40</v>
      </c>
      <c r="D4533">
        <v>4.54739</v>
      </c>
      <c r="E4533">
        <v>0.49299120000000002</v>
      </c>
      <c r="F4533" t="s">
        <v>90</v>
      </c>
      <c r="G4533">
        <v>-189.73070000000001</v>
      </c>
      <c r="H4533" s="1">
        <v>-1.035188E-5</v>
      </c>
      <c r="I4533">
        <v>148.2679</v>
      </c>
      <c r="J4533">
        <v>-191.4804</v>
      </c>
      <c r="K4533">
        <v>1.1207499999999999</v>
      </c>
      <c r="L4533">
        <v>195.3466</v>
      </c>
      <c r="M4533">
        <v>0.15729599999999999</v>
      </c>
      <c r="N4533">
        <v>-1.3757159999999999E-2</v>
      </c>
      <c r="O4533">
        <v>-0.98745570000000005</v>
      </c>
      <c r="P4533">
        <v>6.2582799999999997E-3</v>
      </c>
      <c r="Q4533">
        <v>0.16771220000000001</v>
      </c>
      <c r="R4533">
        <v>-0.98581620000000003</v>
      </c>
      <c r="S4533">
        <v>0.1151581</v>
      </c>
      <c r="T4533">
        <v>-7.23747E-2</v>
      </c>
      <c r="U4533">
        <v>-3.0548099999999998</v>
      </c>
      <c r="V4533">
        <v>0.14937210000000001</v>
      </c>
      <c r="W4533">
        <v>0.1807136</v>
      </c>
      <c r="X4533">
        <v>0.97212679999999996</v>
      </c>
      <c r="Y4533">
        <v>0.1199682</v>
      </c>
      <c r="Z4533">
        <v>9.4352340000000007E-3</v>
      </c>
      <c r="AA4533">
        <v>0.99273290000000003</v>
      </c>
      <c r="AB4533">
        <v>22</v>
      </c>
      <c r="AC4533">
        <v>1.74969999999998</v>
      </c>
      <c r="AD4533">
        <v>-1.12076035188</v>
      </c>
      <c r="AE4533">
        <v>-47.078699999999998</v>
      </c>
      <c r="AF4533">
        <v>5.6748654705435397</v>
      </c>
      <c r="AG4533">
        <v>-1.12076035188</v>
      </c>
      <c r="AH4533">
        <v>46.741322929518802</v>
      </c>
      <c r="AI4533">
        <v>91.363562077182493</v>
      </c>
      <c r="AJ4533">
        <v>83.077597934419899</v>
      </c>
      <c r="AK4533">
        <v>47.097892427121103</v>
      </c>
      <c r="AL4533">
        <v>79.588671972522903</v>
      </c>
      <c r="AM4533">
        <v>81.264539622793194</v>
      </c>
      <c r="AN4533">
        <v>0.99999997238080396</v>
      </c>
    </row>
    <row r="4534" spans="1:40" x14ac:dyDescent="0.25">
      <c r="A4534" t="str">
        <f>"20190303170344744"</f>
        <v>20190303170344744</v>
      </c>
      <c r="B4534" t="str">
        <f>"1551603824730130"</f>
        <v>1551603824730130</v>
      </c>
      <c r="C4534" t="s">
        <v>40</v>
      </c>
      <c r="D4534">
        <v>4.5478740000000002</v>
      </c>
      <c r="E4534">
        <v>0.4927839</v>
      </c>
      <c r="F4534" t="s">
        <v>90</v>
      </c>
      <c r="G4534">
        <v>-189.7192</v>
      </c>
      <c r="H4534" s="1">
        <v>-1.028032E-5</v>
      </c>
      <c r="I4534">
        <v>147.99270000000001</v>
      </c>
      <c r="J4534">
        <v>-191.44810000000001</v>
      </c>
      <c r="K4534">
        <v>1.120841</v>
      </c>
      <c r="L4534">
        <v>195.12889999999999</v>
      </c>
      <c r="M4534">
        <v>0.15547729999999901</v>
      </c>
      <c r="N4534">
        <v>-1.374121E-2</v>
      </c>
      <c r="O4534">
        <v>-0.98774390000000001</v>
      </c>
      <c r="P4534">
        <v>4.3212049999999998E-3</v>
      </c>
      <c r="Q4534">
        <v>0.16863739999999999</v>
      </c>
      <c r="R4534">
        <v>-0.98566880000000001</v>
      </c>
      <c r="S4534">
        <v>0.11361690000000001</v>
      </c>
      <c r="T4534">
        <v>-7.2299359999999993E-2</v>
      </c>
      <c r="U4534">
        <v>-3.054764</v>
      </c>
      <c r="V4534">
        <v>0.14942820000000001</v>
      </c>
      <c r="W4534">
        <v>0.18165480000000001</v>
      </c>
      <c r="X4534">
        <v>0.9719428</v>
      </c>
      <c r="Y4534">
        <v>0.11863990000000001</v>
      </c>
      <c r="Z4534">
        <v>9.4386739999999993E-3</v>
      </c>
      <c r="AA4534">
        <v>0.99289249999999996</v>
      </c>
      <c r="AB4534">
        <v>22</v>
      </c>
      <c r="AC4534">
        <v>1.7289000000000101</v>
      </c>
      <c r="AD4534">
        <v>-1.1208512803199999</v>
      </c>
      <c r="AE4534">
        <v>-47.136199999999903</v>
      </c>
      <c r="AF4534">
        <v>5.6182568382654203</v>
      </c>
      <c r="AG4534">
        <v>-1.1208512803199999</v>
      </c>
      <c r="AH4534">
        <v>46.805289735252401</v>
      </c>
      <c r="AI4534">
        <v>91.362032490330606</v>
      </c>
      <c r="AJ4534">
        <v>83.155269157212601</v>
      </c>
      <c r="AK4534">
        <v>47.154599613338199</v>
      </c>
      <c r="AL4534">
        <v>79.533838236292894</v>
      </c>
      <c r="AM4534">
        <v>81.259680668775601</v>
      </c>
      <c r="AN4534">
        <v>1.00000002989505</v>
      </c>
    </row>
    <row r="4535" spans="1:40" x14ac:dyDescent="0.25">
      <c r="A4535" t="str">
        <f>"20190303170344767"</f>
        <v>20190303170344767</v>
      </c>
      <c r="B4535" t="str">
        <f>"1551603824760386"</f>
        <v>1551603824760386</v>
      </c>
      <c r="C4535" t="s">
        <v>40</v>
      </c>
      <c r="D4535">
        <v>4.5591759999999999</v>
      </c>
      <c r="E4535">
        <v>0.4925928</v>
      </c>
      <c r="F4535" t="s">
        <v>90</v>
      </c>
      <c r="G4535">
        <v>-189.66370000000001</v>
      </c>
      <c r="H4535" s="1">
        <v>-9.5871690000000005E-6</v>
      </c>
      <c r="I4535">
        <v>145.3458</v>
      </c>
      <c r="J4535">
        <v>-191.4152</v>
      </c>
      <c r="K4535">
        <v>1.1209439999999999</v>
      </c>
      <c r="L4535">
        <v>194.90559999999999</v>
      </c>
      <c r="M4535">
        <v>0.15377850000000001</v>
      </c>
      <c r="N4535">
        <v>-1.372628E-2</v>
      </c>
      <c r="O4535">
        <v>-0.98801019999999995</v>
      </c>
      <c r="P4535">
        <v>1.2532559999999999E-3</v>
      </c>
      <c r="Q4535">
        <v>0.16976440000000001</v>
      </c>
      <c r="R4535">
        <v>-0.98548400000000003</v>
      </c>
      <c r="S4535">
        <v>0.1094971</v>
      </c>
      <c r="T4535">
        <v>-6.8780179999999996E-2</v>
      </c>
      <c r="U4535">
        <v>-3.0549010000000001</v>
      </c>
      <c r="V4535">
        <v>0.15071619999999999</v>
      </c>
      <c r="W4535">
        <v>0.1827927</v>
      </c>
      <c r="X4535">
        <v>0.97153049999999996</v>
      </c>
      <c r="Y4535">
        <v>0.1182719</v>
      </c>
      <c r="Z4535">
        <v>8.3347539999999998E-3</v>
      </c>
      <c r="AA4535">
        <v>0.99294629999999995</v>
      </c>
      <c r="AB4535">
        <v>22</v>
      </c>
      <c r="AC4535">
        <v>1.7514999999999901</v>
      </c>
      <c r="AD4535">
        <v>-1.120953587169</v>
      </c>
      <c r="AE4535">
        <v>-49.559800000000003</v>
      </c>
      <c r="AF4535">
        <v>5.8882771126061098</v>
      </c>
      <c r="AG4535">
        <v>-1.120953587169</v>
      </c>
      <c r="AH4535">
        <v>49.214414268567097</v>
      </c>
      <c r="AI4535">
        <v>91.295559876228694</v>
      </c>
      <c r="AJ4535">
        <v>83.177257438282595</v>
      </c>
      <c r="AK4535">
        <v>49.578089072669698</v>
      </c>
      <c r="AL4535">
        <v>79.467531176662604</v>
      </c>
      <c r="AM4535">
        <v>81.181839490712093</v>
      </c>
      <c r="AN4535">
        <v>1.00000002827298</v>
      </c>
    </row>
    <row r="4536" spans="1:40" x14ac:dyDescent="0.25">
      <c r="A4536" t="str">
        <f>"20190303170344789"</f>
        <v>20190303170344789</v>
      </c>
      <c r="B4536" t="str">
        <f>"1551603824779906"</f>
        <v>1551603824779906</v>
      </c>
      <c r="C4536" t="s">
        <v>40</v>
      </c>
      <c r="D4536">
        <v>4.5777510000000001</v>
      </c>
      <c r="E4536">
        <v>0.52768979999999999</v>
      </c>
      <c r="F4536" t="s">
        <v>90</v>
      </c>
      <c r="G4536">
        <v>-189.62690000000001</v>
      </c>
      <c r="H4536" s="1">
        <v>-8.6650930000000003E-6</v>
      </c>
      <c r="I4536">
        <v>141.83709999999999</v>
      </c>
      <c r="J4536">
        <v>-191.3828</v>
      </c>
      <c r="K4536">
        <v>1.1210370000000001</v>
      </c>
      <c r="L4536">
        <v>194.6849</v>
      </c>
      <c r="M4536">
        <v>0.15223709999999999</v>
      </c>
      <c r="N4536">
        <v>-1.371293E-2</v>
      </c>
      <c r="O4536">
        <v>-0.98824909999999999</v>
      </c>
      <c r="P4536">
        <v>-1.664186E-3</v>
      </c>
      <c r="Q4536">
        <v>0.170157</v>
      </c>
      <c r="R4536">
        <v>-0.98541570000000001</v>
      </c>
      <c r="S4536">
        <v>0.102951</v>
      </c>
      <c r="T4536">
        <v>-6.4534069999999999E-2</v>
      </c>
      <c r="U4536">
        <v>-3.0551910000000002</v>
      </c>
      <c r="V4536">
        <v>0.152032</v>
      </c>
      <c r="W4536">
        <v>0.18319820000000001</v>
      </c>
      <c r="X4536">
        <v>0.97124900000000003</v>
      </c>
      <c r="Y4536">
        <v>0.1188519</v>
      </c>
      <c r="Z4536">
        <v>6.9918869999999996E-3</v>
      </c>
      <c r="AA4536">
        <v>0.99288739999999998</v>
      </c>
      <c r="AB4536">
        <v>22</v>
      </c>
      <c r="AC4536">
        <v>1.75589999999999</v>
      </c>
      <c r="AD4536">
        <v>-1.1210456650929901</v>
      </c>
      <c r="AE4536">
        <v>-52.847799999999999</v>
      </c>
      <c r="AF4536">
        <v>6.3078858447790598</v>
      </c>
      <c r="AG4536">
        <v>-1.1210456650929901</v>
      </c>
      <c r="AH4536">
        <v>52.475441233908803</v>
      </c>
      <c r="AI4536">
        <v>91.215092910398297</v>
      </c>
      <c r="AJ4536">
        <v>83.145566782472898</v>
      </c>
      <c r="AK4536">
        <v>52.865093397320301</v>
      </c>
      <c r="AL4536">
        <v>79.443897996263502</v>
      </c>
      <c r="AM4536">
        <v>81.103543185739198</v>
      </c>
      <c r="AN4536">
        <v>0.99999996475411901</v>
      </c>
    </row>
    <row r="4537" spans="1:40" x14ac:dyDescent="0.25">
      <c r="A4537" t="str">
        <f>"20190303170344811"</f>
        <v>20190303170344811</v>
      </c>
      <c r="B4537" t="str">
        <f>"1551603824800401"</f>
        <v>1551603824800401</v>
      </c>
      <c r="C4537" t="s">
        <v>40</v>
      </c>
      <c r="D4537">
        <v>4.5380900000000004</v>
      </c>
      <c r="E4537">
        <v>0.54040730000000003</v>
      </c>
      <c r="F4537" t="s">
        <v>90</v>
      </c>
      <c r="G4537">
        <v>-193.87119999999999</v>
      </c>
      <c r="H4537" s="1">
        <v>-1.2981860000000001E-5</v>
      </c>
      <c r="I4537">
        <v>153.8304</v>
      </c>
      <c r="J4537">
        <v>-191.35220000000001</v>
      </c>
      <c r="K4537">
        <v>1.1211089999999999</v>
      </c>
      <c r="L4537">
        <v>194.47579999999999</v>
      </c>
      <c r="M4537">
        <v>0.15088279999999901</v>
      </c>
      <c r="N4537">
        <v>-1.3701649999999999E-2</v>
      </c>
      <c r="O4537">
        <v>-0.98845680000000002</v>
      </c>
      <c r="P4537">
        <v>-2.293926E-3</v>
      </c>
      <c r="Q4537">
        <v>0.170324799999999</v>
      </c>
      <c r="R4537">
        <v>-0.98538550000000003</v>
      </c>
      <c r="S4537">
        <v>-0.1862946</v>
      </c>
      <c r="T4537">
        <v>-8.3927630000000003E-2</v>
      </c>
      <c r="U4537">
        <v>-3.0585779999999998</v>
      </c>
      <c r="V4537">
        <v>0.15128520000000001</v>
      </c>
      <c r="W4537">
        <v>0.1833824</v>
      </c>
      <c r="X4537">
        <v>0.9713309</v>
      </c>
      <c r="Y4537">
        <v>0.2106527</v>
      </c>
      <c r="Z4537">
        <v>1.286314E-2</v>
      </c>
      <c r="AA4537">
        <v>0.97747640000000002</v>
      </c>
      <c r="AB4537">
        <v>22</v>
      </c>
      <c r="AC4537">
        <v>-2.5189999999999699</v>
      </c>
      <c r="AD4537">
        <v>-1.12112198186</v>
      </c>
      <c r="AE4537">
        <v>-40.645400000000002</v>
      </c>
      <c r="AF4537">
        <v>8.6168922390037608</v>
      </c>
      <c r="AG4537">
        <v>-1.12112198186</v>
      </c>
      <c r="AH4537">
        <v>39.769738449058899</v>
      </c>
      <c r="AI4537">
        <v>91.578159292534195</v>
      </c>
      <c r="AJ4537">
        <v>77.774718282913298</v>
      </c>
      <c r="AK4537">
        <v>40.707982542289699</v>
      </c>
      <c r="AL4537">
        <v>79.433162793588096</v>
      </c>
      <c r="AM4537">
        <v>81.147284381304004</v>
      </c>
      <c r="AN4537">
        <v>1.0000000168318</v>
      </c>
    </row>
    <row r="4538" spans="1:40" x14ac:dyDescent="0.25">
      <c r="A4538" t="str">
        <f>"20190303170344833"</f>
        <v>20190303170344833</v>
      </c>
      <c r="B4538" t="str">
        <f>"1551603824819922"</f>
        <v>1551603824819922</v>
      </c>
      <c r="C4538" t="s">
        <v>40</v>
      </c>
      <c r="D4538">
        <v>4.4824159999999997</v>
      </c>
      <c r="E4538">
        <v>0.54558260000000003</v>
      </c>
      <c r="F4538" t="s">
        <v>42</v>
      </c>
      <c r="G4538">
        <v>-194.61670000000001</v>
      </c>
      <c r="H4538" s="1">
        <v>-1.4113280000000001E-6</v>
      </c>
      <c r="I4538">
        <v>159.9787</v>
      </c>
      <c r="J4538">
        <v>-191.3212</v>
      </c>
      <c r="K4538">
        <v>1.1211580000000001</v>
      </c>
      <c r="L4538">
        <v>194.26220000000001</v>
      </c>
      <c r="M4538">
        <v>0.14958060000000001</v>
      </c>
      <c r="N4538">
        <v>-1.3691389999999999E-2</v>
      </c>
      <c r="O4538">
        <v>-0.98865499999999995</v>
      </c>
      <c r="P4538">
        <v>-2.5358780000000001E-3</v>
      </c>
      <c r="Q4538">
        <v>0.17038210000000001</v>
      </c>
      <c r="R4538">
        <v>-0.98537549999999996</v>
      </c>
      <c r="S4538">
        <v>-0.28965760000000002</v>
      </c>
      <c r="T4538">
        <v>-9.9478360000000002E-2</v>
      </c>
      <c r="U4538">
        <v>-3.0610050000000002</v>
      </c>
      <c r="V4538">
        <v>0.15021770000000001</v>
      </c>
      <c r="W4538">
        <v>0.1834518</v>
      </c>
      <c r="X4538">
        <v>0.97148350000000006</v>
      </c>
      <c r="Y4538">
        <v>0.24198439999999999</v>
      </c>
      <c r="Z4538">
        <v>1.7594619999999998E-2</v>
      </c>
      <c r="AA4538">
        <v>0.9701206</v>
      </c>
      <c r="AB4538">
        <v>22</v>
      </c>
      <c r="AC4538">
        <v>-3.2955000000000001</v>
      </c>
      <c r="AD4538">
        <v>-1.1211594113279999</v>
      </c>
      <c r="AE4538">
        <v>-34.283499999999997</v>
      </c>
      <c r="AF4538">
        <v>8.3781649291559397</v>
      </c>
      <c r="AG4538">
        <v>-1.1211594113279999</v>
      </c>
      <c r="AH4538">
        <v>33.369372760580902</v>
      </c>
      <c r="AI4538">
        <v>91.866439533362097</v>
      </c>
      <c r="AJ4538">
        <v>75.905882667318295</v>
      </c>
      <c r="AK4538">
        <v>34.423330525101001</v>
      </c>
      <c r="AL4538">
        <v>79.429118258667202</v>
      </c>
      <c r="AM4538">
        <v>81.210131156485005</v>
      </c>
      <c r="AN4538">
        <v>1.00000005554438</v>
      </c>
    </row>
    <row r="4539" spans="1:40" x14ac:dyDescent="0.25">
      <c r="A4539" t="str">
        <f>"20190303170344857"</f>
        <v>20190303170344857</v>
      </c>
      <c r="B4539" t="str">
        <f>"1551603824850178"</f>
        <v>1551603824850178</v>
      </c>
      <c r="C4539" t="s">
        <v>40</v>
      </c>
      <c r="D4539">
        <v>4.441236</v>
      </c>
      <c r="E4539">
        <v>0.54940690000000003</v>
      </c>
      <c r="F4539" t="s">
        <v>42</v>
      </c>
      <c r="G4539">
        <v>-194.90270000000001</v>
      </c>
      <c r="H4539" s="1">
        <v>-2.0603730000000001E-6</v>
      </c>
      <c r="I4539">
        <v>161.19069999999999</v>
      </c>
      <c r="J4539">
        <v>-191.28909999999999</v>
      </c>
      <c r="K4539">
        <v>1.1211799999999901</v>
      </c>
      <c r="L4539">
        <v>194.0393</v>
      </c>
      <c r="M4539">
        <v>0.1482839</v>
      </c>
      <c r="N4539">
        <v>-1.368203E-2</v>
      </c>
      <c r="O4539">
        <v>-0.98885029999999996</v>
      </c>
      <c r="P4539">
        <v>-3.390358E-3</v>
      </c>
      <c r="Q4539">
        <v>0.1699205</v>
      </c>
      <c r="R4539">
        <v>-0.98545210000000005</v>
      </c>
      <c r="S4539">
        <v>-0.33155820000000003</v>
      </c>
      <c r="T4539">
        <v>-0.10379330000000001</v>
      </c>
      <c r="U4539">
        <v>-3.0616460000000001</v>
      </c>
      <c r="V4539">
        <v>0.1497848</v>
      </c>
      <c r="W4539">
        <v>0.1829934</v>
      </c>
      <c r="X4539">
        <v>0.97163670000000002</v>
      </c>
      <c r="Y4539">
        <v>0.2538069</v>
      </c>
      <c r="Z4539">
        <v>1.8880350000000001E-2</v>
      </c>
      <c r="AA4539">
        <v>0.9670706</v>
      </c>
      <c r="AB4539">
        <v>22</v>
      </c>
      <c r="AC4539">
        <v>-3.6136000000000199</v>
      </c>
      <c r="AD4539">
        <v>-1.1211820603729901</v>
      </c>
      <c r="AE4539">
        <v>-32.848599999999998</v>
      </c>
      <c r="AF4539">
        <v>8.4353080116576091</v>
      </c>
      <c r="AG4539">
        <v>-1.1211820603729901</v>
      </c>
      <c r="AH4539">
        <v>31.912762985561699</v>
      </c>
      <c r="AI4539">
        <v>91.945371305966901</v>
      </c>
      <c r="AJ4539">
        <v>75.193971399937794</v>
      </c>
      <c r="AK4539">
        <v>33.027805131989602</v>
      </c>
      <c r="AL4539">
        <v>79.455834044891901</v>
      </c>
      <c r="AM4539">
        <v>81.236428582731094</v>
      </c>
      <c r="AN4539">
        <v>0.99999997377074401</v>
      </c>
    </row>
    <row r="4540" spans="1:40" x14ac:dyDescent="0.25">
      <c r="A4540" t="str">
        <f>"20190303170344878"</f>
        <v>20190303170344878</v>
      </c>
      <c r="B4540" t="str">
        <f>"1551603824869698"</f>
        <v>1551603824869698</v>
      </c>
      <c r="C4540" t="s">
        <v>40</v>
      </c>
      <c r="D4540">
        <v>4.4654829999999999</v>
      </c>
      <c r="E4540">
        <v>0.55080869999999904</v>
      </c>
      <c r="F4540" t="s">
        <v>42</v>
      </c>
      <c r="G4540">
        <v>-194.99520000000001</v>
      </c>
      <c r="H4540" s="1">
        <v>-2.9306669999999999E-6</v>
      </c>
      <c r="I4540">
        <v>162.97970000000001</v>
      </c>
      <c r="J4540">
        <v>-191.2587</v>
      </c>
      <c r="K4540">
        <v>1.121176</v>
      </c>
      <c r="L4540">
        <v>193.82679999999999</v>
      </c>
      <c r="M4540">
        <v>0.14707600000000001</v>
      </c>
      <c r="N4540">
        <v>-1.3674179999999999E-2</v>
      </c>
      <c r="O4540">
        <v>-0.98903099999999999</v>
      </c>
      <c r="P4540">
        <v>-3.0329070000000001E-3</v>
      </c>
      <c r="Q4540">
        <v>0.16789860000000001</v>
      </c>
      <c r="R4540">
        <v>-0.98580000000000001</v>
      </c>
      <c r="S4540">
        <v>-0.36537170000000002</v>
      </c>
      <c r="T4540">
        <v>-0.11053399999999999</v>
      </c>
      <c r="U4540">
        <v>-3.0620729999999998</v>
      </c>
      <c r="V4540">
        <v>0.14828920000000001</v>
      </c>
      <c r="W4540">
        <v>0.18097440000000001</v>
      </c>
      <c r="X4540">
        <v>0.97224409999999994</v>
      </c>
      <c r="Y4540">
        <v>0.26312920000000001</v>
      </c>
      <c r="Z4540">
        <v>2.093617E-2</v>
      </c>
      <c r="AA4540">
        <v>0.96453339999999999</v>
      </c>
      <c r="AB4540">
        <v>22</v>
      </c>
      <c r="AC4540">
        <v>-3.7364999999999999</v>
      </c>
      <c r="AD4540">
        <v>-1.1211789306669999</v>
      </c>
      <c r="AE4540">
        <v>-30.847099999999902</v>
      </c>
      <c r="AF4540">
        <v>8.2224442570176102</v>
      </c>
      <c r="AG4540">
        <v>-1.1211789306669999</v>
      </c>
      <c r="AH4540">
        <v>29.923021873326</v>
      </c>
      <c r="AI4540">
        <v>92.069171539396393</v>
      </c>
      <c r="AJ4540">
        <v>74.635118751034298</v>
      </c>
      <c r="AK4540">
        <v>31.052421319212399</v>
      </c>
      <c r="AL4540">
        <v>79.573479068687206</v>
      </c>
      <c r="AM4540">
        <v>81.327932978685993</v>
      </c>
      <c r="AN4540">
        <v>1.0000000051383999</v>
      </c>
    </row>
    <row r="4541" spans="1:40" x14ac:dyDescent="0.25">
      <c r="A4541" t="str">
        <f>"20190303170344899"</f>
        <v>20190303170344899</v>
      </c>
      <c r="B4541" t="str">
        <f>"1551603824890194"</f>
        <v>1551603824890194</v>
      </c>
      <c r="C4541" t="s">
        <v>40</v>
      </c>
      <c r="D4541">
        <v>4.4342449999999998</v>
      </c>
      <c r="E4541">
        <v>0.55173130000000004</v>
      </c>
      <c r="F4541" t="s">
        <v>42</v>
      </c>
      <c r="G4541">
        <v>-194.8219</v>
      </c>
      <c r="H4541" s="1">
        <v>-3.7381720000000001E-6</v>
      </c>
      <c r="I4541">
        <v>164.79320000000001</v>
      </c>
      <c r="J4541">
        <v>-191.22970000000001</v>
      </c>
      <c r="K4541">
        <v>1.121162</v>
      </c>
      <c r="L4541">
        <v>193.6217</v>
      </c>
      <c r="M4541">
        <v>0.14591170000000001</v>
      </c>
      <c r="N4541">
        <v>-1.36676E-2</v>
      </c>
      <c r="O4541">
        <v>-0.98920350000000001</v>
      </c>
      <c r="P4541">
        <v>-1.911909E-3</v>
      </c>
      <c r="Q4541">
        <v>0.16658329999999999</v>
      </c>
      <c r="R4541">
        <v>-0.9860255</v>
      </c>
      <c r="S4541">
        <v>-0.3758087</v>
      </c>
      <c r="T4541">
        <v>-0.1182516</v>
      </c>
      <c r="U4541">
        <v>-3.062195</v>
      </c>
      <c r="V4541">
        <v>0.146069899999999</v>
      </c>
      <c r="W4541">
        <v>0.17965880000000001</v>
      </c>
      <c r="X4541">
        <v>0.97282389999999996</v>
      </c>
      <c r="Y4541">
        <v>0.26521640000000002</v>
      </c>
      <c r="Z4541">
        <v>2.3352459999999998E-2</v>
      </c>
      <c r="AA4541">
        <v>0.96390600000000004</v>
      </c>
      <c r="AB4541">
        <v>22</v>
      </c>
      <c r="AC4541">
        <v>-3.5921999999999898</v>
      </c>
      <c r="AD4541">
        <v>-1.1211657381719999</v>
      </c>
      <c r="AE4541">
        <v>-28.828499999999899</v>
      </c>
      <c r="AF4541">
        <v>7.7490136498738602</v>
      </c>
      <c r="AG4541">
        <v>-1.1211657381719999</v>
      </c>
      <c r="AH4541">
        <v>27.954081646124099</v>
      </c>
      <c r="AI4541">
        <v>92.213374909319697</v>
      </c>
      <c r="AJ4541">
        <v>74.506355750991503</v>
      </c>
      <c r="AK4541">
        <v>29.029896758971699</v>
      </c>
      <c r="AL4541">
        <v>79.650113704801299</v>
      </c>
      <c r="AM4541">
        <v>81.460806781591302</v>
      </c>
      <c r="AN4541">
        <v>1.00000002025732</v>
      </c>
    </row>
    <row r="4542" spans="1:40" x14ac:dyDescent="0.25">
      <c r="A4542" t="str">
        <f>"20190303170344922"</f>
        <v>20190303170344922</v>
      </c>
      <c r="B4542" t="str">
        <f>"1551603824909714"</f>
        <v>1551603824909714</v>
      </c>
      <c r="C4542" t="s">
        <v>40</v>
      </c>
      <c r="D4542">
        <v>4.4158520000000001</v>
      </c>
      <c r="E4542">
        <v>0.552419199999999</v>
      </c>
      <c r="F4542" t="s">
        <v>42</v>
      </c>
      <c r="G4542">
        <v>-194.70230000000001</v>
      </c>
      <c r="H4542" s="1">
        <v>-4.0779579999999999E-6</v>
      </c>
      <c r="I4542">
        <v>165.73330000000001</v>
      </c>
      <c r="J4542">
        <v>-191.19880000000001</v>
      </c>
      <c r="K4542">
        <v>1.1211390000000001</v>
      </c>
      <c r="L4542">
        <v>193.40209999999999</v>
      </c>
      <c r="M4542">
        <v>0.1446472</v>
      </c>
      <c r="N4542">
        <v>-1.3661299999999999E-2</v>
      </c>
      <c r="O4542">
        <v>-0.98938890000000002</v>
      </c>
      <c r="P4542">
        <v>-1.8792889999999999E-3</v>
      </c>
      <c r="Q4542">
        <v>0.1665828</v>
      </c>
      <c r="R4542">
        <v>-0.9860257</v>
      </c>
      <c r="S4542">
        <v>-0.38134770000000001</v>
      </c>
      <c r="T4542">
        <v>-0.1231204</v>
      </c>
      <c r="U4542">
        <v>-3.0625610000000001</v>
      </c>
      <c r="V4542">
        <v>0.14480109999999999</v>
      </c>
      <c r="W4542">
        <v>0.1796489</v>
      </c>
      <c r="X4542">
        <v>0.97301539999999997</v>
      </c>
      <c r="Y4542">
        <v>0.26567950000000001</v>
      </c>
      <c r="Z4542">
        <v>2.4885259999999999E-2</v>
      </c>
      <c r="AA4542">
        <v>0.96374020000000005</v>
      </c>
      <c r="AB4542">
        <v>22</v>
      </c>
      <c r="AC4542">
        <v>-3.5034999999999998</v>
      </c>
      <c r="AD4542">
        <v>-1.1211430779579901</v>
      </c>
      <c r="AE4542">
        <v>-27.668799999999901</v>
      </c>
      <c r="AF4542">
        <v>7.4571854950202399</v>
      </c>
      <c r="AG4542">
        <v>-1.1211430779579901</v>
      </c>
      <c r="AH4542">
        <v>26.827589290086699</v>
      </c>
      <c r="AI4542">
        <v>92.305717441999704</v>
      </c>
      <c r="AJ4542">
        <v>74.465822532670103</v>
      </c>
      <c r="AK4542">
        <v>27.867294888919002</v>
      </c>
      <c r="AL4542">
        <v>79.650690387518296</v>
      </c>
      <c r="AM4542">
        <v>81.535542911840395</v>
      </c>
      <c r="AN4542">
        <v>1.00000002723478</v>
      </c>
    </row>
    <row r="4543" spans="1:40" x14ac:dyDescent="0.25">
      <c r="A4543" t="str">
        <f>"20190303170344944"</f>
        <v>20190303170344944</v>
      </c>
      <c r="B4543" t="str">
        <f>"1551603824939969"</f>
        <v>1551603824939969</v>
      </c>
      <c r="C4543" t="s">
        <v>40</v>
      </c>
      <c r="D4543">
        <v>4.4171129999999996</v>
      </c>
      <c r="E4543">
        <v>0.5532243</v>
      </c>
      <c r="F4543" t="s">
        <v>42</v>
      </c>
      <c r="G4543">
        <v>-194.7406</v>
      </c>
      <c r="H4543" s="1">
        <v>-3.9553299999999996E-6</v>
      </c>
      <c r="I4543">
        <v>165.39619999999999</v>
      </c>
      <c r="J4543">
        <v>-191.16849999999999</v>
      </c>
      <c r="K4543">
        <v>1.1211100000000001</v>
      </c>
      <c r="L4543">
        <v>193.18379999999999</v>
      </c>
      <c r="M4543">
        <v>0.1433557</v>
      </c>
      <c r="N4543">
        <v>-1.3655840000000001E-2</v>
      </c>
      <c r="O4543">
        <v>-0.98957720000000005</v>
      </c>
      <c r="P4543">
        <v>-3.9274970000000003E-3</v>
      </c>
      <c r="Q4543">
        <v>0.16670739999999901</v>
      </c>
      <c r="R4543">
        <v>-0.98599899999999996</v>
      </c>
      <c r="S4543">
        <v>-0.38729859999999999</v>
      </c>
      <c r="T4543">
        <v>-0.12259920000000001</v>
      </c>
      <c r="U4543">
        <v>-3.0625</v>
      </c>
      <c r="V4543">
        <v>0.145563</v>
      </c>
      <c r="W4543">
        <v>0.1797559</v>
      </c>
      <c r="X4543">
        <v>0.97288189999999997</v>
      </c>
      <c r="Y4543">
        <v>0.2662679</v>
      </c>
      <c r="Z4543">
        <v>2.4730640000000002E-2</v>
      </c>
      <c r="AA4543">
        <v>0.96358169999999999</v>
      </c>
      <c r="AB4543">
        <v>22</v>
      </c>
      <c r="AC4543">
        <v>-3.5720999999999998</v>
      </c>
      <c r="AD4543">
        <v>-1.12111395533</v>
      </c>
      <c r="AE4543">
        <v>-27.787600000000001</v>
      </c>
      <c r="AF4543">
        <v>7.5070580452630002</v>
      </c>
      <c r="AG4543">
        <v>-1.12111395533</v>
      </c>
      <c r="AH4543">
        <v>26.945257911258398</v>
      </c>
      <c r="AI4543">
        <v>92.295222454040598</v>
      </c>
      <c r="AJ4543">
        <v>74.4319475940313</v>
      </c>
      <c r="AK4543">
        <v>27.993923285242101</v>
      </c>
      <c r="AL4543">
        <v>79.644457802462995</v>
      </c>
      <c r="AM4543">
        <v>81.490505248790001</v>
      </c>
      <c r="AN4543">
        <v>0.99999998095070897</v>
      </c>
    </row>
    <row r="4544" spans="1:40" x14ac:dyDescent="0.25">
      <c r="A4544" t="str">
        <f>"20190303170344967"</f>
        <v>20190303170344967</v>
      </c>
      <c r="B4544" t="str">
        <f>"1551603824960466"</f>
        <v>1551603824960466</v>
      </c>
      <c r="C4544" t="s">
        <v>40</v>
      </c>
      <c r="D4544">
        <v>4.3979509999999999</v>
      </c>
      <c r="E4544">
        <v>0.55377759999999998</v>
      </c>
      <c r="F4544" t="s">
        <v>42</v>
      </c>
      <c r="G4544">
        <v>-194.84139999999999</v>
      </c>
      <c r="H4544" s="1">
        <v>-3.8312529999999998E-6</v>
      </c>
      <c r="I4544">
        <v>165.0266</v>
      </c>
      <c r="J4544">
        <v>-191.13929999999999</v>
      </c>
      <c r="K4544">
        <v>1.1210719999999901</v>
      </c>
      <c r="L4544">
        <v>192.9718</v>
      </c>
      <c r="M4544">
        <v>0.14205599999999999</v>
      </c>
      <c r="N4544">
        <v>-1.365122E-2</v>
      </c>
      <c r="O4544">
        <v>-0.98976450000000005</v>
      </c>
      <c r="P4544">
        <v>-5.9601999999999997E-3</v>
      </c>
      <c r="Q4544">
        <v>0.16639679999999901</v>
      </c>
      <c r="R4544">
        <v>-0.9860409</v>
      </c>
      <c r="S4544">
        <v>-0.39936830000000001</v>
      </c>
      <c r="T4544">
        <v>-0.12190139999999999</v>
      </c>
      <c r="U4544">
        <v>-3.0615999999999999</v>
      </c>
      <c r="V4544">
        <v>0.14631340000000001</v>
      </c>
      <c r="W4544">
        <v>0.179427</v>
      </c>
      <c r="X4544">
        <v>0.97283010000000003</v>
      </c>
      <c r="Y4544">
        <v>0.2687736</v>
      </c>
      <c r="Z4544">
        <v>2.4512590000000001E-2</v>
      </c>
      <c r="AA4544">
        <v>0.96289139999999995</v>
      </c>
      <c r="AB4544">
        <v>22</v>
      </c>
      <c r="AC4544">
        <v>-3.7021000000000002</v>
      </c>
      <c r="AD4544">
        <v>-1.12107583125299</v>
      </c>
      <c r="AE4544">
        <v>-27.9452</v>
      </c>
      <c r="AF4544">
        <v>7.6226457360063904</v>
      </c>
      <c r="AG4544">
        <v>-1.12107583125299</v>
      </c>
      <c r="AH4544">
        <v>27.092939083871102</v>
      </c>
      <c r="AI4544">
        <v>92.281021053284405</v>
      </c>
      <c r="AJ4544">
        <v>74.285959987071095</v>
      </c>
      <c r="AK4544">
        <v>28.1671597296999</v>
      </c>
      <c r="AL4544">
        <v>79.663614364641703</v>
      </c>
      <c r="AM4544">
        <v>81.446835937316095</v>
      </c>
      <c r="AN4544">
        <v>1.0000000314072801</v>
      </c>
    </row>
    <row r="4545" spans="1:40" x14ac:dyDescent="0.25">
      <c r="A4545" t="str">
        <f>"20190303170344979"</f>
        <v>20190303170344979</v>
      </c>
      <c r="B4545" t="str">
        <f>"1551603824970226"</f>
        <v>1551603824970226</v>
      </c>
      <c r="C4545" t="s">
        <v>40</v>
      </c>
      <c r="D4545">
        <v>4.3885329999999998</v>
      </c>
      <c r="E4545">
        <v>0.55402450000000003</v>
      </c>
      <c r="F4545" t="s">
        <v>42</v>
      </c>
      <c r="G4545">
        <v>-194.8811</v>
      </c>
      <c r="H4545" s="1">
        <v>-3.8418049999999997E-6</v>
      </c>
      <c r="I4545">
        <v>165.03569999999999</v>
      </c>
      <c r="J4545">
        <v>-191.1225</v>
      </c>
      <c r="K4545">
        <v>1.1210500000000001</v>
      </c>
      <c r="L4545">
        <v>192.84880000000001</v>
      </c>
      <c r="M4545">
        <v>0.1412783</v>
      </c>
      <c r="N4545">
        <v>-1.3648840000000001E-2</v>
      </c>
      <c r="O4545">
        <v>-0.98987599999999998</v>
      </c>
      <c r="P4545">
        <v>-7.1245609999999997E-3</v>
      </c>
      <c r="Q4545">
        <v>0.16574029999999901</v>
      </c>
      <c r="R4545">
        <v>-0.98614420000000003</v>
      </c>
      <c r="S4545">
        <v>-0.40995789999999999</v>
      </c>
      <c r="T4545">
        <v>-0.12282650000000001</v>
      </c>
      <c r="U4545">
        <v>-3.0607150000000001</v>
      </c>
      <c r="V4545">
        <v>0.1467222</v>
      </c>
      <c r="W4545">
        <v>0.17876129999999901</v>
      </c>
      <c r="X4545">
        <v>0.97289099999999995</v>
      </c>
      <c r="Y4545">
        <v>0.27132329999999999</v>
      </c>
      <c r="Z4545">
        <v>2.479725E-2</v>
      </c>
      <c r="AA4545">
        <v>0.96216880000000005</v>
      </c>
      <c r="AB4545">
        <v>22</v>
      </c>
      <c r="AC4545">
        <v>-3.7585999999999999</v>
      </c>
      <c r="AD4545">
        <v>-1.121053841805</v>
      </c>
      <c r="AE4545">
        <v>-27.813099999999999</v>
      </c>
      <c r="AF4545">
        <v>7.6384596600046102</v>
      </c>
      <c r="AG4545">
        <v>-1.121053841805</v>
      </c>
      <c r="AH4545">
        <v>26.960007767931799</v>
      </c>
      <c r="AI4545">
        <v>92.291029626507196</v>
      </c>
      <c r="AJ4545">
        <v>74.181217624165598</v>
      </c>
      <c r="AK4545">
        <v>28.043623990859</v>
      </c>
      <c r="AL4545">
        <v>79.7023821524851</v>
      </c>
      <c r="AM4545">
        <v>81.423822179879593</v>
      </c>
      <c r="AN4545">
        <v>0.99999995211576298</v>
      </c>
    </row>
    <row r="4546" spans="1:40" x14ac:dyDescent="0.25">
      <c r="A4546" t="str">
        <f>"20190303170344993"</f>
        <v>20190303170344993</v>
      </c>
      <c r="B4546" t="str">
        <f>"1551603824979986"</f>
        <v>1551603824979986</v>
      </c>
      <c r="C4546" t="s">
        <v>40</v>
      </c>
      <c r="D4546">
        <v>4.3633730000000002</v>
      </c>
      <c r="E4546">
        <v>0.55424929999999994</v>
      </c>
      <c r="F4546" t="s">
        <v>42</v>
      </c>
      <c r="G4546">
        <v>-194.86060000000001</v>
      </c>
      <c r="H4546" s="1">
        <v>-3.9467489999999997E-6</v>
      </c>
      <c r="I4546">
        <v>165.3185</v>
      </c>
      <c r="J4546">
        <v>-191.10499999999999</v>
      </c>
      <c r="K4546">
        <v>1.121024</v>
      </c>
      <c r="L4546">
        <v>192.71979999999999</v>
      </c>
      <c r="M4546">
        <v>0.1404446</v>
      </c>
      <c r="N4546">
        <v>-1.364658E-2</v>
      </c>
      <c r="O4546">
        <v>-0.98999479999999995</v>
      </c>
      <c r="P4546">
        <v>-8.1560019999999903E-3</v>
      </c>
      <c r="Q4546">
        <v>0.16518729999999901</v>
      </c>
      <c r="R4546">
        <v>-0.98622869999999996</v>
      </c>
      <c r="S4546">
        <v>-0.4154968</v>
      </c>
      <c r="T4546">
        <v>-0.124609</v>
      </c>
      <c r="U4546">
        <v>-3.0600890000000001</v>
      </c>
      <c r="V4546">
        <v>0.1469434</v>
      </c>
      <c r="W4546">
        <v>0.17819789999999999</v>
      </c>
      <c r="X4546">
        <v>0.97296099999999996</v>
      </c>
      <c r="Y4546">
        <v>0.27224559999999998</v>
      </c>
      <c r="Z4546">
        <v>2.5362780000000001E-2</v>
      </c>
      <c r="AA4546">
        <v>0.96189349999999996</v>
      </c>
      <c r="AB4546">
        <v>22</v>
      </c>
      <c r="AC4546">
        <v>-3.75560000000001</v>
      </c>
      <c r="AD4546">
        <v>-1.1210279467489901</v>
      </c>
      <c r="AE4546">
        <v>-27.4012999999999</v>
      </c>
      <c r="AF4546">
        <v>7.5546798950034502</v>
      </c>
      <c r="AG4546">
        <v>-1.1210279467489901</v>
      </c>
      <c r="AH4546">
        <v>26.558527025206701</v>
      </c>
      <c r="AI4546">
        <v>92.324882741290807</v>
      </c>
      <c r="AJ4546">
        <v>74.121384318936904</v>
      </c>
      <c r="AK4546">
        <v>27.6348557029342</v>
      </c>
      <c r="AL4546">
        <v>79.735189661144702</v>
      </c>
      <c r="AM4546">
        <v>81.411694044318494</v>
      </c>
      <c r="AN4546">
        <v>0.99999998094448395</v>
      </c>
    </row>
    <row r="4547" spans="1:40" x14ac:dyDescent="0.25">
      <c r="A4547" t="str">
        <f>"20190303170345008"</f>
        <v>20190303170345008</v>
      </c>
      <c r="B4547" t="str">
        <f>"1551603825000482"</f>
        <v>1551603825000482</v>
      </c>
      <c r="C4547" t="s">
        <v>40</v>
      </c>
      <c r="D4547">
        <v>4.3749180000000001</v>
      </c>
      <c r="E4547">
        <v>0.55459840000000005</v>
      </c>
      <c r="F4547" t="s">
        <v>42</v>
      </c>
      <c r="G4547">
        <v>-194.8648</v>
      </c>
      <c r="H4547" s="1">
        <v>-3.977438E-6</v>
      </c>
      <c r="I4547">
        <v>165.3964</v>
      </c>
      <c r="J4547">
        <v>-191.08709999999999</v>
      </c>
      <c r="K4547">
        <v>1.1209910000000001</v>
      </c>
      <c r="L4547">
        <v>192.58600000000001</v>
      </c>
      <c r="M4547">
        <v>0.1395479</v>
      </c>
      <c r="N4547">
        <v>-1.364452E-2</v>
      </c>
      <c r="O4547">
        <v>-0.99012149999999999</v>
      </c>
      <c r="P4547">
        <v>-8.9662779999999994E-3</v>
      </c>
      <c r="Q4547">
        <v>0.1644293</v>
      </c>
      <c r="R4547">
        <v>-0.98634829999999996</v>
      </c>
      <c r="S4547">
        <v>-0.42098999999999998</v>
      </c>
      <c r="T4547">
        <v>-0.1255233</v>
      </c>
      <c r="U4547">
        <v>-3.0594480000000002</v>
      </c>
      <c r="V4547">
        <v>0.1468902</v>
      </c>
      <c r="W4547">
        <v>0.17742920000000001</v>
      </c>
      <c r="X4547">
        <v>0.97310949999999996</v>
      </c>
      <c r="Y4547">
        <v>0.27309430000000001</v>
      </c>
      <c r="Z4547">
        <v>2.5657059999999999E-2</v>
      </c>
      <c r="AA4547">
        <v>0.96164510000000003</v>
      </c>
      <c r="AB4547">
        <v>22</v>
      </c>
      <c r="AC4547">
        <v>-3.7776999999999998</v>
      </c>
      <c r="AD4547">
        <v>-1.1209949774379999</v>
      </c>
      <c r="AE4547">
        <v>-27.189599999999899</v>
      </c>
      <c r="AF4547">
        <v>7.5227884564295504</v>
      </c>
      <c r="AG4547">
        <v>-1.1209949774379999</v>
      </c>
      <c r="AH4547">
        <v>26.352343968159101</v>
      </c>
      <c r="AI4547">
        <v>92.3423575582881</v>
      </c>
      <c r="AJ4547">
        <v>74.067575641628196</v>
      </c>
      <c r="AK4547">
        <v>27.4279968010025</v>
      </c>
      <c r="AL4547">
        <v>79.779946102782105</v>
      </c>
      <c r="AM4547">
        <v>81.416047670232601</v>
      </c>
      <c r="AN4547">
        <v>0.99999997542946395</v>
      </c>
    </row>
    <row r="4548" spans="1:40" x14ac:dyDescent="0.25">
      <c r="A4548" t="str">
        <f>"20190303170345024"</f>
        <v>20190303170345024</v>
      </c>
      <c r="B4548" t="str">
        <f>"1551603825010242"</f>
        <v>1551603825010242</v>
      </c>
      <c r="C4548" t="s">
        <v>40</v>
      </c>
      <c r="D4548">
        <v>4.3451919999999999</v>
      </c>
      <c r="E4548">
        <v>0.55473779999999995</v>
      </c>
      <c r="F4548" t="s">
        <v>42</v>
      </c>
      <c r="G4548">
        <v>-194.8775</v>
      </c>
      <c r="H4548" s="1">
        <v>-3.999261E-6</v>
      </c>
      <c r="I4548">
        <v>165.44739999999999</v>
      </c>
      <c r="J4548">
        <v>-191.0659</v>
      </c>
      <c r="K4548">
        <v>1.1209469999999999</v>
      </c>
      <c r="L4548">
        <v>192.4265</v>
      </c>
      <c r="M4548">
        <v>0.13844699999999999</v>
      </c>
      <c r="N4548">
        <v>-1.364226E-2</v>
      </c>
      <c r="O4548">
        <v>-0.99027609999999999</v>
      </c>
      <c r="P4548">
        <v>-9.5883500000000007E-3</v>
      </c>
      <c r="Q4548">
        <v>0.16365009999999999</v>
      </c>
      <c r="R4548">
        <v>-0.98647240000000003</v>
      </c>
      <c r="S4548">
        <v>-0.42721559999999997</v>
      </c>
      <c r="T4548">
        <v>-0.12634429999999999</v>
      </c>
      <c r="U4548">
        <v>-3.058716</v>
      </c>
      <c r="V4548">
        <v>0.1464541</v>
      </c>
      <c r="W4548">
        <v>0.17663799999999999</v>
      </c>
      <c r="X4548">
        <v>0.97331920000000005</v>
      </c>
      <c r="Y4548">
        <v>0.27397440000000001</v>
      </c>
      <c r="Z4548">
        <v>2.5924280000000001E-2</v>
      </c>
      <c r="AA4548">
        <v>0.96138749999999995</v>
      </c>
      <c r="AB4548">
        <v>22</v>
      </c>
      <c r="AC4548">
        <v>-3.8115999999999901</v>
      </c>
      <c r="AD4548">
        <v>-1.1209509992609901</v>
      </c>
      <c r="AE4548">
        <v>-26.979099999999999</v>
      </c>
      <c r="AF4548">
        <v>7.4977190359770303</v>
      </c>
      <c r="AG4548">
        <v>-1.1209509992609901</v>
      </c>
      <c r="AH4548">
        <v>26.147230142165199</v>
      </c>
      <c r="AI4548">
        <v>92.359820700358597</v>
      </c>
      <c r="AJ4548">
        <v>73.9997541049419</v>
      </c>
      <c r="AK4548">
        <v>27.2240696074733</v>
      </c>
      <c r="AL4548">
        <v>79.826006569363699</v>
      </c>
      <c r="AM4548">
        <v>81.442971140932897</v>
      </c>
      <c r="AN4548">
        <v>1.0000000257697199</v>
      </c>
    </row>
    <row r="4549" spans="1:40" x14ac:dyDescent="0.25">
      <c r="A4549" t="str">
        <f>"20190303170345043"</f>
        <v>20190303170345043</v>
      </c>
      <c r="B4549" t="str">
        <f>"1551603825029762"</f>
        <v>1551603825029762</v>
      </c>
      <c r="C4549" t="s">
        <v>40</v>
      </c>
      <c r="D4549">
        <v>4.3591300000000004</v>
      </c>
      <c r="E4549">
        <v>0.55500680000000002</v>
      </c>
      <c r="F4549" t="s">
        <v>42</v>
      </c>
      <c r="G4549">
        <v>-194.85470000000001</v>
      </c>
      <c r="H4549" s="1">
        <v>-4.0445680000000002E-6</v>
      </c>
      <c r="I4549">
        <v>165.57589999999999</v>
      </c>
      <c r="J4549">
        <v>-191.0428</v>
      </c>
      <c r="K4549">
        <v>1.1208929999999999</v>
      </c>
      <c r="L4549">
        <v>192.25110000000001</v>
      </c>
      <c r="M4549">
        <v>0.13718559999999999</v>
      </c>
      <c r="N4549">
        <v>-1.364015E-2</v>
      </c>
      <c r="O4549">
        <v>-0.99045150000000004</v>
      </c>
      <c r="P4549">
        <v>-1.0540870000000001E-2</v>
      </c>
      <c r="Q4549">
        <v>0.16378699999999999</v>
      </c>
      <c r="R4549">
        <v>-0.98643979999999998</v>
      </c>
      <c r="S4549">
        <v>-0.43153380000000002</v>
      </c>
      <c r="T4549">
        <v>-0.12767029999999999</v>
      </c>
      <c r="U4549">
        <v>-3.0581360000000002</v>
      </c>
      <c r="V4549">
        <v>0.14617160000000001</v>
      </c>
      <c r="W4549">
        <v>0.17675629999999901</v>
      </c>
      <c r="X4549">
        <v>0.97334019999999999</v>
      </c>
      <c r="Y4549">
        <v>0.27410329999999999</v>
      </c>
      <c r="Z4549">
        <v>2.635614E-2</v>
      </c>
      <c r="AA4549">
        <v>0.9613391</v>
      </c>
      <c r="AB4549">
        <v>22</v>
      </c>
      <c r="AC4549">
        <v>-3.8119000000000001</v>
      </c>
      <c r="AD4549">
        <v>-1.120897044568</v>
      </c>
      <c r="AE4549">
        <v>-26.6752</v>
      </c>
      <c r="AF4549">
        <v>7.4228025712906103</v>
      </c>
      <c r="AG4549">
        <v>-1.120897044568</v>
      </c>
      <c r="AH4549">
        <v>25.855223174158098</v>
      </c>
      <c r="AI4549">
        <v>92.386111506603697</v>
      </c>
      <c r="AJ4549">
        <v>73.981702509677504</v>
      </c>
      <c r="AK4549">
        <v>26.922982256473801</v>
      </c>
      <c r="AL4549">
        <v>79.819120223429096</v>
      </c>
      <c r="AM4549">
        <v>81.459414963280494</v>
      </c>
      <c r="AN4549">
        <v>1.00000003558614</v>
      </c>
    </row>
    <row r="4550" spans="1:40" x14ac:dyDescent="0.25">
      <c r="A4550" t="str">
        <f>"20190303170345058"</f>
        <v>20190303170345058</v>
      </c>
      <c r="B4550" t="str">
        <f>"1551603825050259"</f>
        <v>1551603825050259</v>
      </c>
      <c r="C4550" t="s">
        <v>40</v>
      </c>
      <c r="D4550">
        <v>4.3631929999999999</v>
      </c>
      <c r="E4550">
        <v>0.5553283</v>
      </c>
      <c r="F4550" t="s">
        <v>42</v>
      </c>
      <c r="G4550">
        <v>-194.9151</v>
      </c>
      <c r="H4550" s="1">
        <v>-3.8848910000000002E-6</v>
      </c>
      <c r="I4550">
        <v>165.13220000000001</v>
      </c>
      <c r="J4550">
        <v>-191.0232</v>
      </c>
      <c r="K4550">
        <v>1.120849</v>
      </c>
      <c r="L4550">
        <v>192.101</v>
      </c>
      <c r="M4550">
        <v>0.13606370000000001</v>
      </c>
      <c r="N4550">
        <v>-1.363869E-2</v>
      </c>
      <c r="O4550">
        <v>-0.99060649999999995</v>
      </c>
      <c r="P4550">
        <v>-1.141269E-2</v>
      </c>
      <c r="Q4550">
        <v>0.16462189999999999</v>
      </c>
      <c r="R4550">
        <v>-0.98629109999999998</v>
      </c>
      <c r="S4550">
        <v>-0.43658449999999999</v>
      </c>
      <c r="T4550">
        <v>-0.12637709999999999</v>
      </c>
      <c r="U4550">
        <v>-3.0575559999999999</v>
      </c>
      <c r="V4550">
        <v>0.14593100000000001</v>
      </c>
      <c r="W4550">
        <v>0.17757290000000001</v>
      </c>
      <c r="X4550">
        <v>0.97322759999999997</v>
      </c>
      <c r="Y4550">
        <v>0.27459800000000001</v>
      </c>
      <c r="Z4550">
        <v>2.5960790000000001E-2</v>
      </c>
      <c r="AA4550">
        <v>0.96120859999999997</v>
      </c>
      <c r="AB4550">
        <v>22</v>
      </c>
      <c r="AC4550">
        <v>-3.8918999999999899</v>
      </c>
      <c r="AD4550">
        <v>-1.120852884891</v>
      </c>
      <c r="AE4550">
        <v>-26.968799999999899</v>
      </c>
      <c r="AF4550">
        <v>7.5128016118504704</v>
      </c>
      <c r="AG4550">
        <v>-1.120852884891</v>
      </c>
      <c r="AH4550">
        <v>26.1441123699597</v>
      </c>
      <c r="AI4550">
        <v>92.359513465367399</v>
      </c>
      <c r="AJ4550">
        <v>73.967406296704098</v>
      </c>
      <c r="AK4550">
        <v>27.225229307788599</v>
      </c>
      <c r="AL4550">
        <v>79.771579858986399</v>
      </c>
      <c r="AM4550">
        <v>81.472294027215597</v>
      </c>
      <c r="AN4550">
        <v>0.99999997648858396</v>
      </c>
    </row>
    <row r="4551" spans="1:40" x14ac:dyDescent="0.25">
      <c r="A4551" t="str">
        <f>"20190303170345072"</f>
        <v>20190303170345072</v>
      </c>
      <c r="B4551" t="str">
        <f>"1551603825060018"</f>
        <v>1551603825060018</v>
      </c>
      <c r="C4551" t="s">
        <v>40</v>
      </c>
      <c r="D4551">
        <v>4.3676909999999998</v>
      </c>
      <c r="E4551">
        <v>0.5554616</v>
      </c>
      <c r="F4551" t="s">
        <v>42</v>
      </c>
      <c r="G4551">
        <v>-195.05500000000001</v>
      </c>
      <c r="H4551" s="1">
        <v>-3.5048709999999999E-6</v>
      </c>
      <c r="I4551">
        <v>164.16079999999999</v>
      </c>
      <c r="J4551">
        <v>-191.0051</v>
      </c>
      <c r="K4551">
        <v>1.1208149999999999</v>
      </c>
      <c r="L4551">
        <v>191.9597</v>
      </c>
      <c r="M4551">
        <v>0.1349658</v>
      </c>
      <c r="N4551">
        <v>-1.363762E-2</v>
      </c>
      <c r="O4551">
        <v>-0.99075659999999999</v>
      </c>
      <c r="P4551">
        <v>-1.2193259999999999E-2</v>
      </c>
      <c r="Q4551">
        <v>0.16457260000000001</v>
      </c>
      <c r="R4551">
        <v>-0.98628990000000005</v>
      </c>
      <c r="S4551">
        <v>-0.44113160000000001</v>
      </c>
      <c r="T4551">
        <v>-0.1226368</v>
      </c>
      <c r="U4551">
        <v>-3.0570529999999998</v>
      </c>
      <c r="V4551">
        <v>0.1456412</v>
      </c>
      <c r="W4551">
        <v>0.177509</v>
      </c>
      <c r="X4551">
        <v>0.97328269999999995</v>
      </c>
      <c r="Y4551">
        <v>0.27496189999999998</v>
      </c>
      <c r="Z4551">
        <v>2.4796350000000002E-2</v>
      </c>
      <c r="AA4551">
        <v>0.96113530000000003</v>
      </c>
      <c r="AB4551">
        <v>21</v>
      </c>
      <c r="AC4551">
        <v>-4.0499000000000001</v>
      </c>
      <c r="AD4551">
        <v>-1.120818504871</v>
      </c>
      <c r="AE4551">
        <v>-27.7989</v>
      </c>
      <c r="AF4551">
        <v>7.7527455529008602</v>
      </c>
      <c r="AG4551">
        <v>-1.120818504871</v>
      </c>
      <c r="AH4551">
        <v>26.954943623801999</v>
      </c>
      <c r="AI4551">
        <v>92.288387142158598</v>
      </c>
      <c r="AJ4551">
        <v>73.953775682179199</v>
      </c>
      <c r="AK4551">
        <v>28.070095893872999</v>
      </c>
      <c r="AL4551">
        <v>79.775300500045404</v>
      </c>
      <c r="AM4551">
        <v>81.489455452682904</v>
      </c>
      <c r="AN4551">
        <v>1.0000000091688599</v>
      </c>
    </row>
    <row r="4552" spans="1:40" x14ac:dyDescent="0.25">
      <c r="A4552" t="str">
        <f>"20190303170345091"</f>
        <v>20190303170345091</v>
      </c>
      <c r="B4552" t="str">
        <f>"1551603825080514"</f>
        <v>1551603825080514</v>
      </c>
      <c r="C4552" t="s">
        <v>40</v>
      </c>
      <c r="D4552">
        <v>4.3337130000000004</v>
      </c>
      <c r="E4552">
        <v>0.55569769999999996</v>
      </c>
      <c r="F4552" t="s">
        <v>42</v>
      </c>
      <c r="G4552">
        <v>-195.07689999999999</v>
      </c>
      <c r="H4552" s="1">
        <v>-3.4221039999999999E-6</v>
      </c>
      <c r="I4552">
        <v>163.97329999999999</v>
      </c>
      <c r="J4552">
        <v>-190.98320000000001</v>
      </c>
      <c r="K4552">
        <v>1.1207670000000001</v>
      </c>
      <c r="L4552">
        <v>191.78720000000001</v>
      </c>
      <c r="M4552">
        <v>0.1335674</v>
      </c>
      <c r="N4552">
        <v>-1.3636519999999999E-2</v>
      </c>
      <c r="O4552">
        <v>-0.99094610000000005</v>
      </c>
      <c r="P4552">
        <v>-1.310797E-2</v>
      </c>
      <c r="Q4552">
        <v>0.1645451</v>
      </c>
      <c r="R4552">
        <v>-0.98628269999999996</v>
      </c>
      <c r="S4552">
        <v>-0.44471739999999998</v>
      </c>
      <c r="T4552">
        <v>-0.12241349999999999</v>
      </c>
      <c r="U4552">
        <v>-3.05661</v>
      </c>
      <c r="V4552">
        <v>0.14519179999999901</v>
      </c>
      <c r="W4552">
        <v>0.1774645</v>
      </c>
      <c r="X4552">
        <v>0.97335799999999995</v>
      </c>
      <c r="Y4552">
        <v>0.27472960000000002</v>
      </c>
      <c r="Z4552">
        <v>2.4742610000000002E-2</v>
      </c>
      <c r="AA4552">
        <v>0.96120320000000004</v>
      </c>
      <c r="AB4552">
        <v>21</v>
      </c>
      <c r="AC4552">
        <v>-4.0936999999999797</v>
      </c>
      <c r="AD4552">
        <v>-1.120770422104</v>
      </c>
      <c r="AE4552">
        <v>-27.8139</v>
      </c>
      <c r="AF4552">
        <v>7.7600546289985299</v>
      </c>
      <c r="AG4552">
        <v>-1.120770422104</v>
      </c>
      <c r="AH4552">
        <v>26.974927038706198</v>
      </c>
      <c r="AI4552">
        <v>92.286560551416301</v>
      </c>
      <c r="AJ4552">
        <v>73.950712505506402</v>
      </c>
      <c r="AK4552">
        <v>28.0913022647158</v>
      </c>
      <c r="AL4552">
        <v>79.777891736820195</v>
      </c>
      <c r="AM4552">
        <v>81.5159801585407</v>
      </c>
      <c r="AN4552">
        <v>1.0000000518557399</v>
      </c>
    </row>
    <row r="4553" spans="1:40" x14ac:dyDescent="0.25">
      <c r="A4553" t="str">
        <f>"20190303170345106"</f>
        <v>20190303170345106</v>
      </c>
      <c r="B4553" t="str">
        <f>"1551603825100034"</f>
        <v>1551603825100034</v>
      </c>
      <c r="C4553" t="s">
        <v>40</v>
      </c>
      <c r="D4553">
        <v>4.3223960000000003</v>
      </c>
      <c r="E4553">
        <v>0.55584880000000003</v>
      </c>
      <c r="F4553" t="s">
        <v>42</v>
      </c>
      <c r="G4553">
        <v>-195.13030000000001</v>
      </c>
      <c r="H4553" s="1">
        <v>-3.2883879999999998E-6</v>
      </c>
      <c r="I4553">
        <v>163.66040000000001</v>
      </c>
      <c r="J4553">
        <v>-190.965</v>
      </c>
      <c r="K4553">
        <v>1.1207229999999999</v>
      </c>
      <c r="L4553">
        <v>191.6414</v>
      </c>
      <c r="M4553">
        <v>0.13232949999999999</v>
      </c>
      <c r="N4553">
        <v>-1.363575E-2</v>
      </c>
      <c r="O4553">
        <v>-0.99111199999999999</v>
      </c>
      <c r="P4553">
        <v>-1.391162E-2</v>
      </c>
      <c r="Q4553">
        <v>0.16453960000000001</v>
      </c>
      <c r="R4553">
        <v>-0.98627260000000005</v>
      </c>
      <c r="S4553">
        <v>-0.45059199999999999</v>
      </c>
      <c r="T4553">
        <v>-0.1217747</v>
      </c>
      <c r="U4553">
        <v>-3.0560459999999998</v>
      </c>
      <c r="V4553">
        <v>0.14478740000000001</v>
      </c>
      <c r="W4553">
        <v>0.17744480000000001</v>
      </c>
      <c r="X4553">
        <v>0.9734218</v>
      </c>
      <c r="Y4553">
        <v>0.27536359999999999</v>
      </c>
      <c r="Z4553">
        <v>2.455015E-2</v>
      </c>
      <c r="AA4553">
        <v>0.96102659999999995</v>
      </c>
      <c r="AB4553">
        <v>21</v>
      </c>
      <c r="AC4553">
        <v>-4.1653000000000002</v>
      </c>
      <c r="AD4553">
        <v>-1.12072628838799</v>
      </c>
      <c r="AE4553">
        <v>-27.980999999999899</v>
      </c>
      <c r="AF4553">
        <v>7.8194461624114098</v>
      </c>
      <c r="AG4553">
        <v>-1.12072628838799</v>
      </c>
      <c r="AH4553">
        <v>27.141042602084799</v>
      </c>
      <c r="AI4553">
        <v>92.272233063022995</v>
      </c>
      <c r="AJ4553">
        <v>73.928090959207196</v>
      </c>
      <c r="AK4553">
        <v>28.2672241160769</v>
      </c>
      <c r="AL4553">
        <v>79.779038383754894</v>
      </c>
      <c r="AM4553">
        <v>81.539814557723005</v>
      </c>
      <c r="AN4553">
        <v>1.0000000244805101</v>
      </c>
    </row>
    <row r="4554" spans="1:40" x14ac:dyDescent="0.25">
      <c r="A4554" t="str">
        <f>"20190303170345121"</f>
        <v>20190303170345121</v>
      </c>
      <c r="B4554" t="str">
        <f>"1551603825109794"</f>
        <v>1551603825109794</v>
      </c>
      <c r="C4554" t="s">
        <v>40</v>
      </c>
      <c r="D4554">
        <v>4.3522740000000004</v>
      </c>
      <c r="E4554">
        <v>0.55597220000000003</v>
      </c>
      <c r="F4554" t="s">
        <v>42</v>
      </c>
      <c r="G4554">
        <v>-195.19909999999999</v>
      </c>
      <c r="H4554" s="1">
        <v>-3.0910850000000002E-6</v>
      </c>
      <c r="I4554">
        <v>163.20429999999999</v>
      </c>
      <c r="J4554">
        <v>-190.94810000000001</v>
      </c>
      <c r="K4554">
        <v>1.120679</v>
      </c>
      <c r="L4554">
        <v>191.50530000000001</v>
      </c>
      <c r="M4554">
        <v>0.1311311</v>
      </c>
      <c r="N4554">
        <v>-1.363522E-2</v>
      </c>
      <c r="O4554">
        <v>-0.99127129999999997</v>
      </c>
      <c r="P4554">
        <v>-1.480336E-2</v>
      </c>
      <c r="Q4554">
        <v>0.1653433</v>
      </c>
      <c r="R4554">
        <v>-0.98612509999999998</v>
      </c>
      <c r="S4554">
        <v>-0.45494079999999898</v>
      </c>
      <c r="T4554">
        <v>-0.1204175</v>
      </c>
      <c r="U4554">
        <v>-3.05545</v>
      </c>
      <c r="V4554">
        <v>0.14449300000000001</v>
      </c>
      <c r="W4554">
        <v>0.17823259999999999</v>
      </c>
      <c r="X4554">
        <v>0.97332160000000001</v>
      </c>
      <c r="Y4554">
        <v>0.27556910000000001</v>
      </c>
      <c r="Z4554">
        <v>2.4135670000000001E-2</v>
      </c>
      <c r="AA4554">
        <v>0.9609782</v>
      </c>
      <c r="AB4554">
        <v>21</v>
      </c>
      <c r="AC4554">
        <v>-4.2509999999999701</v>
      </c>
      <c r="AD4554">
        <v>-1.1206820910849999</v>
      </c>
      <c r="AE4554">
        <v>-28.300999999999998</v>
      </c>
      <c r="AF4554">
        <v>7.9136368492939297</v>
      </c>
      <c r="AG4554">
        <v>-1.1206820910849999</v>
      </c>
      <c r="AH4554">
        <v>27.4569820458299</v>
      </c>
      <c r="AI4554">
        <v>92.245956727770206</v>
      </c>
      <c r="AJ4554">
        <v>73.921988480035594</v>
      </c>
      <c r="AK4554">
        <v>28.596633361233401</v>
      </c>
      <c r="AL4554">
        <v>79.7331694734428</v>
      </c>
      <c r="AM4554">
        <v>81.5559119971646</v>
      </c>
      <c r="AN4554">
        <v>1.0000000118891601</v>
      </c>
    </row>
    <row r="4555" spans="1:40" x14ac:dyDescent="0.25">
      <c r="A4555" t="str">
        <f>"20190303170345136"</f>
        <v>20190303170345136</v>
      </c>
      <c r="B4555" t="str">
        <f>"1551603825120531"</f>
        <v>1551603825120531</v>
      </c>
      <c r="C4555" t="s">
        <v>40</v>
      </c>
      <c r="D4555">
        <v>4.330165</v>
      </c>
      <c r="E4555">
        <v>0.55610349999999997</v>
      </c>
      <c r="F4555" t="s">
        <v>42</v>
      </c>
      <c r="G4555">
        <v>-195.31710000000001</v>
      </c>
      <c r="H4555" s="1">
        <v>-2.7498100000000002E-6</v>
      </c>
      <c r="I4555">
        <v>162.41589999999999</v>
      </c>
      <c r="J4555">
        <v>-190.93100000000001</v>
      </c>
      <c r="K4555">
        <v>1.1206389999999999</v>
      </c>
      <c r="L4555">
        <v>191.3647</v>
      </c>
      <c r="M4555">
        <v>0.12984970000000001</v>
      </c>
      <c r="N4555">
        <v>-1.363492E-2</v>
      </c>
      <c r="O4555">
        <v>-0.99143990000000004</v>
      </c>
      <c r="P4555">
        <v>-1.6596179999999999E-2</v>
      </c>
      <c r="Q4555">
        <v>0.166287299999999</v>
      </c>
      <c r="R4555">
        <v>-0.98593759999999997</v>
      </c>
      <c r="S4555">
        <v>-0.458847</v>
      </c>
      <c r="T4555">
        <v>-0.1176981</v>
      </c>
      <c r="U4555">
        <v>-3.055069</v>
      </c>
      <c r="V4555">
        <v>0.14500769999999999</v>
      </c>
      <c r="W4555">
        <v>0.17915539999999999</v>
      </c>
      <c r="X4555">
        <v>0.97307560000000004</v>
      </c>
      <c r="Y4555">
        <v>0.27555069999999998</v>
      </c>
      <c r="Z4555">
        <v>2.3292090000000001E-2</v>
      </c>
      <c r="AA4555">
        <v>0.96100430000000003</v>
      </c>
      <c r="AB4555">
        <v>21</v>
      </c>
      <c r="AC4555">
        <v>-4.3861000000000203</v>
      </c>
      <c r="AD4555">
        <v>-1.1206417498100001</v>
      </c>
      <c r="AE4555">
        <v>-28.948799999999999</v>
      </c>
      <c r="AF4555">
        <v>8.0964408850488905</v>
      </c>
      <c r="AG4555">
        <v>-1.1206417498100001</v>
      </c>
      <c r="AH4555">
        <v>28.092923880372201</v>
      </c>
      <c r="AI4555">
        <v>92.195096303073001</v>
      </c>
      <c r="AJ4555">
        <v>73.922905137136098</v>
      </c>
      <c r="AK4555">
        <v>29.2578291246103</v>
      </c>
      <c r="AL4555">
        <v>79.679431953395095</v>
      </c>
      <c r="AM4555">
        <v>81.524158054060607</v>
      </c>
      <c r="AN4555">
        <v>1.0000000068618999</v>
      </c>
    </row>
    <row r="4556" spans="1:40" x14ac:dyDescent="0.25">
      <c r="A4556" t="str">
        <f>"20190303170345158"</f>
        <v>20190303170345158</v>
      </c>
      <c r="B4556" t="str">
        <f>"1551603825149810"</f>
        <v>1551603825149810</v>
      </c>
      <c r="C4556" t="s">
        <v>40</v>
      </c>
      <c r="D4556">
        <v>4.3399809999999999</v>
      </c>
      <c r="E4556">
        <v>0.5563709</v>
      </c>
      <c r="F4556" t="s">
        <v>42</v>
      </c>
      <c r="G4556">
        <v>-195.44550000000001</v>
      </c>
      <c r="H4556" s="1">
        <v>-2.4288540000000002E-6</v>
      </c>
      <c r="I4556">
        <v>161.66460000000001</v>
      </c>
      <c r="J4556">
        <v>-190.90530000000001</v>
      </c>
      <c r="K4556">
        <v>1.120573</v>
      </c>
      <c r="L4556">
        <v>191.1499</v>
      </c>
      <c r="M4556">
        <v>0.12778129999999999</v>
      </c>
      <c r="N4556">
        <v>-1.3635080000000001E-2</v>
      </c>
      <c r="O4556">
        <v>-0.99170860000000005</v>
      </c>
      <c r="P4556">
        <v>-1.9320819999999999E-2</v>
      </c>
      <c r="Q4556">
        <v>0.16608220000000001</v>
      </c>
      <c r="R4556">
        <v>-0.98592279999999999</v>
      </c>
      <c r="S4556">
        <v>-0.4642944</v>
      </c>
      <c r="T4556">
        <v>-0.1152503</v>
      </c>
      <c r="U4556">
        <v>-3.054443</v>
      </c>
      <c r="V4556">
        <v>0.14570350000000001</v>
      </c>
      <c r="W4556">
        <v>0.17892230000000001</v>
      </c>
      <c r="X4556">
        <v>0.9730145</v>
      </c>
      <c r="Y4556">
        <v>0.27525440000000001</v>
      </c>
      <c r="Z4556">
        <v>2.2541950000000002E-2</v>
      </c>
      <c r="AA4556">
        <v>0.96110709999999999</v>
      </c>
      <c r="AB4556">
        <v>21</v>
      </c>
      <c r="AC4556">
        <v>-4.5401999999999898</v>
      </c>
      <c r="AD4556">
        <v>-1.120575428854</v>
      </c>
      <c r="AE4556">
        <v>-29.485299999999899</v>
      </c>
      <c r="AF4556">
        <v>8.2593415117119307</v>
      </c>
      <c r="AG4556">
        <v>-1.120575428854</v>
      </c>
      <c r="AH4556">
        <v>28.622954709237</v>
      </c>
      <c r="AI4556">
        <v>92.154156399664203</v>
      </c>
      <c r="AJ4556">
        <v>73.904157365507004</v>
      </c>
      <c r="AK4556">
        <v>29.8118424084435</v>
      </c>
      <c r="AL4556">
        <v>79.693006437969899</v>
      </c>
      <c r="AM4556">
        <v>81.483555886644993</v>
      </c>
      <c r="AN4556">
        <v>0.99999995827989396</v>
      </c>
    </row>
    <row r="4557" spans="1:40" x14ac:dyDescent="0.25">
      <c r="A4557" t="str">
        <f>"20190303170345170"</f>
        <v>20190303170345170</v>
      </c>
      <c r="B4557" t="str">
        <f>"1551603825159570"</f>
        <v>1551603825159570</v>
      </c>
      <c r="C4557" t="s">
        <v>40</v>
      </c>
      <c r="D4557">
        <v>4.3305150000000001</v>
      </c>
      <c r="E4557">
        <v>0.55645009999999995</v>
      </c>
      <c r="F4557" t="s">
        <v>42</v>
      </c>
      <c r="G4557">
        <v>-195.47880000000001</v>
      </c>
      <c r="H4557" s="1">
        <v>-2.448304E-6</v>
      </c>
      <c r="I4557">
        <v>161.68709999999999</v>
      </c>
      <c r="J4557">
        <v>-190.89089999999999</v>
      </c>
      <c r="K4557">
        <v>1.1205350000000001</v>
      </c>
      <c r="L4557">
        <v>191.02719999999999</v>
      </c>
      <c r="M4557">
        <v>0.126554</v>
      </c>
      <c r="N4557">
        <v>-1.3635390000000001E-2</v>
      </c>
      <c r="O4557">
        <v>-0.99186629999999998</v>
      </c>
      <c r="P4557">
        <v>-2.0368859999999999E-2</v>
      </c>
      <c r="Q4557">
        <v>0.16583229999999999</v>
      </c>
      <c r="R4557">
        <v>-0.98594369999999998</v>
      </c>
      <c r="S4557">
        <v>-0.47393800000000003</v>
      </c>
      <c r="T4557">
        <v>-0.11612069999999999</v>
      </c>
      <c r="U4557">
        <v>-3.0531160000000002</v>
      </c>
      <c r="V4557">
        <v>0.14555489999999999</v>
      </c>
      <c r="W4557">
        <v>0.17866000000000001</v>
      </c>
      <c r="X4557">
        <v>0.97308499999999998</v>
      </c>
      <c r="Y4557">
        <v>0.27708969999999999</v>
      </c>
      <c r="Z4557">
        <v>2.2820010000000002E-2</v>
      </c>
      <c r="AA4557">
        <v>0.96057300000000001</v>
      </c>
      <c r="AB4557">
        <v>21</v>
      </c>
      <c r="AC4557">
        <v>-4.5879000000000101</v>
      </c>
      <c r="AD4557">
        <v>-1.120537448304</v>
      </c>
      <c r="AE4557">
        <v>-29.3401</v>
      </c>
      <c r="AF4557">
        <v>8.2527063551886002</v>
      </c>
      <c r="AG4557">
        <v>-1.120537448304</v>
      </c>
      <c r="AH4557">
        <v>28.482929568082099</v>
      </c>
      <c r="AI4557">
        <v>92.163979034647099</v>
      </c>
      <c r="AJ4557">
        <v>73.841467508344294</v>
      </c>
      <c r="AK4557">
        <v>29.675579912418701</v>
      </c>
      <c r="AL4557">
        <v>79.708281895008298</v>
      </c>
      <c r="AM4557">
        <v>81.492721830067893</v>
      </c>
      <c r="AN4557">
        <v>1.0000000208694999</v>
      </c>
    </row>
    <row r="4558" spans="1:40" x14ac:dyDescent="0.25">
      <c r="A4558" t="str">
        <f>"20190303170345183"</f>
        <v>20190303170345183</v>
      </c>
      <c r="B4558" t="str">
        <f>"1551603825170307"</f>
        <v>1551603825170307</v>
      </c>
      <c r="C4558" t="s">
        <v>40</v>
      </c>
      <c r="D4558">
        <v>4.3473160000000002</v>
      </c>
      <c r="E4558">
        <v>0.55656159999999999</v>
      </c>
      <c r="F4558" t="s">
        <v>42</v>
      </c>
      <c r="G4558">
        <v>-195.4777</v>
      </c>
      <c r="H4558" s="1">
        <v>-2.4667980000000002E-6</v>
      </c>
      <c r="I4558">
        <v>161.7268</v>
      </c>
      <c r="J4558">
        <v>-190.8766</v>
      </c>
      <c r="K4558">
        <v>1.1205020000000001</v>
      </c>
      <c r="L4558">
        <v>190.9041</v>
      </c>
      <c r="M4558">
        <v>0.1252878</v>
      </c>
      <c r="N4558">
        <v>-1.3635609999999999E-2</v>
      </c>
      <c r="O4558">
        <v>-0.99202670000000004</v>
      </c>
      <c r="P4558">
        <v>-2.1988500000000001E-2</v>
      </c>
      <c r="Q4558">
        <v>0.16566029999999901</v>
      </c>
      <c r="R4558">
        <v>-0.98593770000000003</v>
      </c>
      <c r="S4558">
        <v>-0.47785949999999999</v>
      </c>
      <c r="T4558">
        <v>-0.1167383</v>
      </c>
      <c r="U4558">
        <v>-3.0525359999999999</v>
      </c>
      <c r="V4558">
        <v>0.14593110000000001</v>
      </c>
      <c r="W4558">
        <v>0.1784742</v>
      </c>
      <c r="X4558">
        <v>0.97306280000000001</v>
      </c>
      <c r="Y4558">
        <v>0.27709460000000002</v>
      </c>
      <c r="Z4558">
        <v>2.302686E-2</v>
      </c>
      <c r="AA4558">
        <v>0.9605667</v>
      </c>
      <c r="AB4558">
        <v>21</v>
      </c>
      <c r="AC4558">
        <v>-4.6010999999999997</v>
      </c>
      <c r="AD4558">
        <v>-1.120504466798</v>
      </c>
      <c r="AE4558">
        <v>-29.177299999999999</v>
      </c>
      <c r="AF4558">
        <v>8.2089254411039398</v>
      </c>
      <c r="AG4558">
        <v>-1.120504466798</v>
      </c>
      <c r="AH4558">
        <v>28.330069695123001</v>
      </c>
      <c r="AI4558">
        <v>92.175569558637605</v>
      </c>
      <c r="AJ4558">
        <v>73.840517744972104</v>
      </c>
      <c r="AK4558">
        <v>29.516687417260201</v>
      </c>
      <c r="AL4558">
        <v>79.719101847795201</v>
      </c>
      <c r="AM4558">
        <v>81.470865238290799</v>
      </c>
      <c r="AN4558">
        <v>1.00000006937834</v>
      </c>
    </row>
    <row r="4559" spans="1:40" x14ac:dyDescent="0.25">
      <c r="A4559" t="str">
        <f>"20190303170345198"</f>
        <v>20190303170345198</v>
      </c>
      <c r="B4559" t="str">
        <f>"1551603825189826"</f>
        <v>1551603825189826</v>
      </c>
      <c r="C4559" t="s">
        <v>40</v>
      </c>
      <c r="D4559">
        <v>4.3723660000000004</v>
      </c>
      <c r="E4559">
        <v>0.55664550000000002</v>
      </c>
      <c r="F4559" t="s">
        <v>42</v>
      </c>
      <c r="G4559">
        <v>-195.5094</v>
      </c>
      <c r="H4559" s="1">
        <v>-2.4567289999999999E-6</v>
      </c>
      <c r="I4559">
        <v>161.68770000000001</v>
      </c>
      <c r="J4559">
        <v>-190.86150000000001</v>
      </c>
      <c r="K4559">
        <v>1.120463</v>
      </c>
      <c r="L4559">
        <v>190.77209999999999</v>
      </c>
      <c r="M4559">
        <v>0.12390089999999999</v>
      </c>
      <c r="N4559">
        <v>-1.363578E-2</v>
      </c>
      <c r="O4559">
        <v>-0.992201</v>
      </c>
      <c r="P4559">
        <v>-2.342516E-2</v>
      </c>
      <c r="Q4559">
        <v>0.16564319999999999</v>
      </c>
      <c r="R4559">
        <v>-0.98590770000000005</v>
      </c>
      <c r="S4559">
        <v>-0.483902</v>
      </c>
      <c r="T4559">
        <v>-0.1170365</v>
      </c>
      <c r="U4559">
        <v>-3.0516510000000001</v>
      </c>
      <c r="V4559">
        <v>0.14600569999999999</v>
      </c>
      <c r="W4559">
        <v>0.1784433</v>
      </c>
      <c r="X4559">
        <v>0.97305719999999996</v>
      </c>
      <c r="Y4559">
        <v>0.27764919999999998</v>
      </c>
      <c r="Z4559">
        <v>2.3132199999999999E-2</v>
      </c>
      <c r="AA4559">
        <v>0.96040400000000004</v>
      </c>
      <c r="AB4559">
        <v>21</v>
      </c>
      <c r="AC4559">
        <v>-4.6478999999999902</v>
      </c>
      <c r="AD4559">
        <v>-1.120465456729</v>
      </c>
      <c r="AE4559">
        <v>-29.084399999999899</v>
      </c>
      <c r="AF4559">
        <v>8.2041245229524602</v>
      </c>
      <c r="AG4559">
        <v>-1.120465456729</v>
      </c>
      <c r="AH4559">
        <v>28.243445133122599</v>
      </c>
      <c r="AI4559">
        <v>92.181740588427999</v>
      </c>
      <c r="AJ4559">
        <v>73.802534537018005</v>
      </c>
      <c r="AK4559">
        <v>29.432215258378701</v>
      </c>
      <c r="AL4559">
        <v>79.720900399369995</v>
      </c>
      <c r="AM4559">
        <v>81.466520931816007</v>
      </c>
      <c r="AN4559">
        <v>0.99999999510960902</v>
      </c>
    </row>
    <row r="4560" spans="1:40" x14ac:dyDescent="0.25">
      <c r="A4560" t="str">
        <f>"20190303170345214"</f>
        <v>20190303170345214</v>
      </c>
      <c r="B4560" t="str">
        <f>"1551603825200562"</f>
        <v>1551603825200562</v>
      </c>
      <c r="C4560" t="s">
        <v>40</v>
      </c>
      <c r="D4560">
        <v>4.364776</v>
      </c>
      <c r="E4560">
        <v>0.55671029999999999</v>
      </c>
      <c r="F4560" t="s">
        <v>42</v>
      </c>
      <c r="G4560">
        <v>-195.56139999999999</v>
      </c>
      <c r="H4560" s="1">
        <v>-2.3579860000000002E-6</v>
      </c>
      <c r="I4560">
        <v>161.4495</v>
      </c>
      <c r="J4560">
        <v>-190.8442</v>
      </c>
      <c r="K4560">
        <v>1.1204069999999999</v>
      </c>
      <c r="L4560">
        <v>190.6182</v>
      </c>
      <c r="M4560">
        <v>0.12222710000000001</v>
      </c>
      <c r="N4560">
        <v>-1.3636000000000001E-2</v>
      </c>
      <c r="O4560">
        <v>-0.99240859999999997</v>
      </c>
      <c r="P4560">
        <v>-2.565417E-2</v>
      </c>
      <c r="Q4560">
        <v>0.16397679999999901</v>
      </c>
      <c r="R4560">
        <v>-0.98613070000000003</v>
      </c>
      <c r="S4560">
        <v>-0.4889984</v>
      </c>
      <c r="T4560">
        <v>-0.116577399999999</v>
      </c>
      <c r="U4560">
        <v>-3.050827</v>
      </c>
      <c r="V4560">
        <v>0.14661289999999999</v>
      </c>
      <c r="W4560">
        <v>0.1767619</v>
      </c>
      <c r="X4560">
        <v>0.97327280000000005</v>
      </c>
      <c r="Y4560">
        <v>0.2776342</v>
      </c>
      <c r="Z4560">
        <v>2.3004750000000001E-2</v>
      </c>
      <c r="AA4560">
        <v>0.96041140000000003</v>
      </c>
      <c r="AB4560">
        <v>21</v>
      </c>
      <c r="AC4560">
        <v>-4.7171999999999903</v>
      </c>
      <c r="AD4560">
        <v>-1.1204093579859999</v>
      </c>
      <c r="AE4560">
        <v>-29.168700000000001</v>
      </c>
      <c r="AF4560">
        <v>8.2355200310759802</v>
      </c>
      <c r="AG4560">
        <v>-1.1204093579859999</v>
      </c>
      <c r="AH4560">
        <v>28.3325963426601</v>
      </c>
      <c r="AI4560">
        <v>92.174660361975995</v>
      </c>
      <c r="AJ4560">
        <v>73.792280051976704</v>
      </c>
      <c r="AK4560">
        <v>29.526515589006301</v>
      </c>
      <c r="AL4560">
        <v>79.818794150673497</v>
      </c>
      <c r="AM4560">
        <v>81.433428013065907</v>
      </c>
      <c r="AN4560">
        <v>1.00000002747892</v>
      </c>
    </row>
    <row r="4561" spans="1:40" x14ac:dyDescent="0.25">
      <c r="A4561" t="str">
        <f>"20190303170345229"</f>
        <v>20190303170345229</v>
      </c>
      <c r="B4561" t="str">
        <f>"1551603825220083"</f>
        <v>1551603825220083</v>
      </c>
      <c r="C4561" t="s">
        <v>40</v>
      </c>
      <c r="D4561">
        <v>4.3729399999999998</v>
      </c>
      <c r="E4561">
        <v>0.55683859999999996</v>
      </c>
      <c r="F4561" t="s">
        <v>42</v>
      </c>
      <c r="G4561">
        <v>-195.41470000000001</v>
      </c>
      <c r="H4561" s="1">
        <v>-2.8406579999999999E-6</v>
      </c>
      <c r="I4561">
        <v>162.5532</v>
      </c>
      <c r="J4561">
        <v>-190.8279</v>
      </c>
      <c r="K4561">
        <v>1.1203639999999999</v>
      </c>
      <c r="L4561">
        <v>190.47020000000001</v>
      </c>
      <c r="M4561">
        <v>0.12055299999999999</v>
      </c>
      <c r="N4561">
        <v>-1.3636560000000001E-2</v>
      </c>
      <c r="O4561">
        <v>-0.99261339999999998</v>
      </c>
      <c r="P4561">
        <v>-2.731242E-2</v>
      </c>
      <c r="Q4561">
        <v>0.16334489999999999</v>
      </c>
      <c r="R4561">
        <v>-0.98619120000000005</v>
      </c>
      <c r="S4561">
        <v>-0.49662780000000001</v>
      </c>
      <c r="T4561">
        <v>-0.1217424</v>
      </c>
      <c r="U4561">
        <v>-3.049515</v>
      </c>
      <c r="V4561">
        <v>0.14663609999999999</v>
      </c>
      <c r="W4561">
        <v>0.176118</v>
      </c>
      <c r="X4561">
        <v>0.97338599999999997</v>
      </c>
      <c r="Y4561">
        <v>0.27841009999999899</v>
      </c>
      <c r="Z4561">
        <v>2.4647659999999998E-2</v>
      </c>
      <c r="AA4561">
        <v>0.96014600000000005</v>
      </c>
      <c r="AB4561">
        <v>21</v>
      </c>
      <c r="AC4561">
        <v>-4.58680000000001</v>
      </c>
      <c r="AD4561">
        <v>-1.1203668406580001</v>
      </c>
      <c r="AE4561">
        <v>-27.916999999999899</v>
      </c>
      <c r="AF4561">
        <v>7.9067325062130296</v>
      </c>
      <c r="AG4561">
        <v>-1.1203668406580001</v>
      </c>
      <c r="AH4561">
        <v>27.117829075585099</v>
      </c>
      <c r="AI4561">
        <v>92.271344172696502</v>
      </c>
      <c r="AJ4561">
        <v>73.744924944677507</v>
      </c>
      <c r="AK4561">
        <v>28.2692110706171</v>
      </c>
      <c r="AL4561">
        <v>79.8562746455232</v>
      </c>
      <c r="AM4561">
        <v>81.433074177123402</v>
      </c>
      <c r="AN4561">
        <v>1.0000000003716001</v>
      </c>
    </row>
    <row r="4562" spans="1:40" x14ac:dyDescent="0.25">
      <c r="A4562" t="str">
        <f>"20190303170345247"</f>
        <v>20190303170345247</v>
      </c>
      <c r="B4562" t="str">
        <f>"1551603825239602"</f>
        <v>1551603825239602</v>
      </c>
      <c r="C4562" t="s">
        <v>40</v>
      </c>
      <c r="D4562">
        <v>4.4037069999999998</v>
      </c>
      <c r="E4562">
        <v>0.55690839999999997</v>
      </c>
      <c r="F4562" t="s">
        <v>42</v>
      </c>
      <c r="G4562">
        <v>-195.39080000000001</v>
      </c>
      <c r="H4562" s="1">
        <v>-2.956171E-6</v>
      </c>
      <c r="I4562">
        <v>162.81100000000001</v>
      </c>
      <c r="J4562">
        <v>-190.80959999999999</v>
      </c>
      <c r="K4562">
        <v>1.1203160000000001</v>
      </c>
      <c r="L4562">
        <v>190.30080000000001</v>
      </c>
      <c r="M4562">
        <v>0.11857719999999999</v>
      </c>
      <c r="N4562">
        <v>-1.363763E-2</v>
      </c>
      <c r="O4562">
        <v>-0.99285140000000005</v>
      </c>
      <c r="P4562">
        <v>-3.0244139999999999E-2</v>
      </c>
      <c r="Q4562">
        <v>0.16450989999999999</v>
      </c>
      <c r="R4562">
        <v>-0.9859118</v>
      </c>
      <c r="S4562">
        <v>-0.50291439999999998</v>
      </c>
      <c r="T4562">
        <v>-0.1234837</v>
      </c>
      <c r="U4562">
        <v>-3.0485229999999999</v>
      </c>
      <c r="V4562">
        <v>0.1475967</v>
      </c>
      <c r="W4562">
        <v>0.17725850000000001</v>
      </c>
      <c r="X4562">
        <v>0.9730337</v>
      </c>
      <c r="Y4562">
        <v>0.27847280000000002</v>
      </c>
      <c r="Z4562">
        <v>2.5215959999999999E-2</v>
      </c>
      <c r="AA4562">
        <v>0.96011299999999999</v>
      </c>
      <c r="AB4562">
        <v>21</v>
      </c>
      <c r="AC4562">
        <v>-4.5812000000000204</v>
      </c>
      <c r="AD4562">
        <v>-1.1203189561710001</v>
      </c>
      <c r="AE4562">
        <v>-27.489799999999999</v>
      </c>
      <c r="AF4562">
        <v>7.79624004840786</v>
      </c>
      <c r="AG4562">
        <v>-1.1203189561710001</v>
      </c>
      <c r="AH4562">
        <v>26.709380022707599</v>
      </c>
      <c r="AI4562">
        <v>92.305743317222195</v>
      </c>
      <c r="AJ4562">
        <v>73.727925835965195</v>
      </c>
      <c r="AK4562">
        <v>27.846498068040201</v>
      </c>
      <c r="AL4562">
        <v>79.789883978492995</v>
      </c>
      <c r="AM4562">
        <v>81.374718938703197</v>
      </c>
      <c r="AN4562">
        <v>0.999999971504414</v>
      </c>
    </row>
    <row r="4563" spans="1:40" x14ac:dyDescent="0.25">
      <c r="A4563" t="str">
        <f>"20190303170345260"</f>
        <v>20190303170345260</v>
      </c>
      <c r="B4563" t="str">
        <f>"1551603825250339"</f>
        <v>1551603825250339</v>
      </c>
      <c r="C4563" t="s">
        <v>40</v>
      </c>
      <c r="D4563">
        <v>4.3945569999999998</v>
      </c>
      <c r="E4563">
        <v>0.55695059999999996</v>
      </c>
      <c r="F4563" t="s">
        <v>42</v>
      </c>
      <c r="G4563">
        <v>-195.5813</v>
      </c>
      <c r="H4563" s="1">
        <v>-2.5684939999999999E-6</v>
      </c>
      <c r="I4563">
        <v>161.8836</v>
      </c>
      <c r="J4563">
        <v>-190.797</v>
      </c>
      <c r="K4563">
        <v>1.120282</v>
      </c>
      <c r="L4563">
        <v>190.18209999999999</v>
      </c>
      <c r="M4563">
        <v>0.11715780000000001</v>
      </c>
      <c r="N4563">
        <v>-1.3638519999999999E-2</v>
      </c>
      <c r="O4563">
        <v>-0.99301969999999995</v>
      </c>
      <c r="P4563">
        <v>-3.2074329999999998E-2</v>
      </c>
      <c r="Q4563">
        <v>0.16487939999999901</v>
      </c>
      <c r="R4563">
        <v>-0.98579220000000001</v>
      </c>
      <c r="S4563">
        <v>-0.51167299999999905</v>
      </c>
      <c r="T4563">
        <v>-0.1201328</v>
      </c>
      <c r="U4563">
        <v>-3.0471949999999999</v>
      </c>
      <c r="V4563">
        <v>0.14802170000000001</v>
      </c>
      <c r="W4563">
        <v>0.1776132</v>
      </c>
      <c r="X4563">
        <v>0.97290449999999995</v>
      </c>
      <c r="Y4563">
        <v>0.279858</v>
      </c>
      <c r="Z4563">
        <v>2.416716E-2</v>
      </c>
      <c r="AA4563">
        <v>0.95973719999999996</v>
      </c>
      <c r="AB4563">
        <v>21</v>
      </c>
      <c r="AC4563">
        <v>-4.7843</v>
      </c>
      <c r="AD4563">
        <v>-1.1202845684939999</v>
      </c>
      <c r="AE4563">
        <v>-28.298499999999901</v>
      </c>
      <c r="AF4563">
        <v>8.0547713218176593</v>
      </c>
      <c r="AG4563">
        <v>-1.1202845684939999</v>
      </c>
      <c r="AH4563">
        <v>27.501107937956501</v>
      </c>
      <c r="AI4563">
        <v>92.238762308049502</v>
      </c>
      <c r="AJ4563">
        <v>73.675273992338703</v>
      </c>
      <c r="AK4563">
        <v>28.6783074182616</v>
      </c>
      <c r="AL4563">
        <v>79.769233984728103</v>
      </c>
      <c r="AM4563">
        <v>81.349126539635094</v>
      </c>
      <c r="AN4563">
        <v>1.0000000193026899</v>
      </c>
    </row>
    <row r="4564" spans="1:40" x14ac:dyDescent="0.25">
      <c r="A4564" t="str">
        <f>"20190303170345272"</f>
        <v>20190303170345272</v>
      </c>
      <c r="B4564" t="str">
        <f>"1551603825260098"</f>
        <v>1551603825260098</v>
      </c>
      <c r="C4564" t="s">
        <v>40</v>
      </c>
      <c r="D4564">
        <v>4.3827179999999997</v>
      </c>
      <c r="E4564">
        <v>0.55698309999999995</v>
      </c>
      <c r="F4564" t="s">
        <v>42</v>
      </c>
      <c r="G4564">
        <v>-195.6506</v>
      </c>
      <c r="H4564" s="1">
        <v>-2.4418890000000002E-6</v>
      </c>
      <c r="I4564">
        <v>161.57679999999999</v>
      </c>
      <c r="J4564">
        <v>-190.78450000000001</v>
      </c>
      <c r="K4564">
        <v>1.12025</v>
      </c>
      <c r="L4564">
        <v>190.0625</v>
      </c>
      <c r="M4564">
        <v>0.115699499999999</v>
      </c>
      <c r="N4564">
        <v>-1.3639470000000001E-2</v>
      </c>
      <c r="O4564">
        <v>-0.99319069999999998</v>
      </c>
      <c r="P4564">
        <v>-3.4024480000000003E-2</v>
      </c>
      <c r="Q4564">
        <v>0.16435859999999999</v>
      </c>
      <c r="R4564">
        <v>-0.98581419999999997</v>
      </c>
      <c r="S4564">
        <v>-0.51689149999999995</v>
      </c>
      <c r="T4564">
        <v>-0.1193061</v>
      </c>
      <c r="U4564">
        <v>-3.0463559999999998</v>
      </c>
      <c r="V4564">
        <v>0.14854110000000001</v>
      </c>
      <c r="W4564">
        <v>0.17708009999999999</v>
      </c>
      <c r="X4564">
        <v>0.97292250000000002</v>
      </c>
      <c r="Y4564">
        <v>0.28009139999999999</v>
      </c>
      <c r="Z4564">
        <v>2.3919320000000001E-2</v>
      </c>
      <c r="AA4564">
        <v>0.95967530000000001</v>
      </c>
      <c r="AB4564">
        <v>21</v>
      </c>
      <c r="AC4564">
        <v>-4.8660999999999799</v>
      </c>
      <c r="AD4564">
        <v>-1.1202524418890001</v>
      </c>
      <c r="AE4564">
        <v>-28.485700000000001</v>
      </c>
      <c r="AF4564">
        <v>8.1173037606225495</v>
      </c>
      <c r="AG4564">
        <v>-1.1202524418890001</v>
      </c>
      <c r="AH4564">
        <v>27.689693545880999</v>
      </c>
      <c r="AI4564">
        <v>92.223308502660004</v>
      </c>
      <c r="AJ4564">
        <v>73.661367367354103</v>
      </c>
      <c r="AK4564">
        <v>28.876715785223499</v>
      </c>
      <c r="AL4564">
        <v>79.800270197802305</v>
      </c>
      <c r="AM4564">
        <v>81.319390872596898</v>
      </c>
      <c r="AN4564">
        <v>1.0000000056057301</v>
      </c>
    </row>
    <row r="4565" spans="1:40" x14ac:dyDescent="0.25">
      <c r="A4565" t="str">
        <f>"20190303170345286"</f>
        <v>20190303170345286</v>
      </c>
      <c r="B4565" t="str">
        <f>"1551603825279619"</f>
        <v>1551603825279619</v>
      </c>
      <c r="C4565" t="s">
        <v>40</v>
      </c>
      <c r="D4565">
        <v>4.3725860000000001</v>
      </c>
      <c r="E4565">
        <v>0.55702299999999905</v>
      </c>
      <c r="F4565" t="s">
        <v>42</v>
      </c>
      <c r="G4565">
        <v>-195.60939999999999</v>
      </c>
      <c r="H4565" s="1">
        <v>-2.6101720000000001E-6</v>
      </c>
      <c r="I4565">
        <v>161.95599999999999</v>
      </c>
      <c r="J4565">
        <v>-190.77170000000001</v>
      </c>
      <c r="K4565">
        <v>1.1202190000000001</v>
      </c>
      <c r="L4565">
        <v>189.93639999999999</v>
      </c>
      <c r="M4565">
        <v>0.11412700000000001</v>
      </c>
      <c r="N4565">
        <v>-1.3640360000000001E-2</v>
      </c>
      <c r="O4565">
        <v>-0.99337260000000005</v>
      </c>
      <c r="P4565">
        <v>-3.633016E-2</v>
      </c>
      <c r="Q4565">
        <v>0.16369919999999999</v>
      </c>
      <c r="R4565">
        <v>-0.98584130000000003</v>
      </c>
      <c r="S4565">
        <v>-0.52278139999999995</v>
      </c>
      <c r="T4565">
        <v>-0.12138160000000001</v>
      </c>
      <c r="U4565">
        <v>-3.0453950000000001</v>
      </c>
      <c r="V4565">
        <v>0.1493012</v>
      </c>
      <c r="W4565">
        <v>0.1764076</v>
      </c>
      <c r="X4565">
        <v>0.97292829999999997</v>
      </c>
      <c r="Y4565">
        <v>0.28042099999999998</v>
      </c>
      <c r="Z4565">
        <v>2.4588289999999999E-2</v>
      </c>
      <c r="AA4565">
        <v>0.95956209999999997</v>
      </c>
      <c r="AB4565">
        <v>21</v>
      </c>
      <c r="AC4565">
        <v>-4.8376999999999803</v>
      </c>
      <c r="AD4565">
        <v>-1.1202216101719999</v>
      </c>
      <c r="AE4565">
        <v>-27.9803999999999</v>
      </c>
      <c r="AF4565">
        <v>7.9872703591661196</v>
      </c>
      <c r="AG4565">
        <v>-1.1202216101719999</v>
      </c>
      <c r="AH4565">
        <v>27.2030456345617</v>
      </c>
      <c r="AI4565">
        <v>92.262695613166997</v>
      </c>
      <c r="AJ4565">
        <v>73.636876569886695</v>
      </c>
      <c r="AK4565">
        <v>28.373527733476401</v>
      </c>
      <c r="AL4565">
        <v>79.839417688211597</v>
      </c>
      <c r="AM4565">
        <v>81.275704242597797</v>
      </c>
      <c r="AN4565">
        <v>0.99999998330004403</v>
      </c>
    </row>
    <row r="4566" spans="1:40" x14ac:dyDescent="0.25">
      <c r="A4566" t="str">
        <f>"20190303170345301"</f>
        <v>20190303170345301</v>
      </c>
      <c r="B4566" t="str">
        <f>"1551603825290355"</f>
        <v>1551603825290355</v>
      </c>
      <c r="C4566" t="s">
        <v>40</v>
      </c>
      <c r="D4566">
        <v>4.3834289999999996</v>
      </c>
      <c r="E4566">
        <v>0.55703119999999995</v>
      </c>
      <c r="F4566" t="s">
        <v>42</v>
      </c>
      <c r="G4566">
        <v>-195.56360000000001</v>
      </c>
      <c r="H4566" s="1">
        <v>-2.7983540000000002E-6</v>
      </c>
      <c r="I4566">
        <v>162.37989999999999</v>
      </c>
      <c r="J4566">
        <v>-190.75800000000001</v>
      </c>
      <c r="K4566">
        <v>1.1201890000000001</v>
      </c>
      <c r="L4566">
        <v>189.8005</v>
      </c>
      <c r="M4566">
        <v>0.112410999999999</v>
      </c>
      <c r="N4566">
        <v>-1.364114E-2</v>
      </c>
      <c r="O4566">
        <v>-0.99356840000000002</v>
      </c>
      <c r="P4566">
        <v>-3.8317570000000002E-2</v>
      </c>
      <c r="Q4566">
        <v>0.16300629999999999</v>
      </c>
      <c r="R4566">
        <v>-0.98588070000000005</v>
      </c>
      <c r="S4566">
        <v>-0.52935790000000005</v>
      </c>
      <c r="T4566">
        <v>-0.12375</v>
      </c>
      <c r="U4566">
        <v>-3.0441440000000002</v>
      </c>
      <c r="V4566">
        <v>0.14960519999999999</v>
      </c>
      <c r="W4566">
        <v>0.1757049</v>
      </c>
      <c r="X4566">
        <v>0.97300880000000001</v>
      </c>
      <c r="Y4566">
        <v>0.28083659999999999</v>
      </c>
      <c r="Z4566">
        <v>2.5353480000000001E-2</v>
      </c>
      <c r="AA4566">
        <v>0.95942059999999996</v>
      </c>
      <c r="AB4566">
        <v>21</v>
      </c>
      <c r="AC4566">
        <v>-4.8056000000000196</v>
      </c>
      <c r="AD4566">
        <v>-1.120191798354</v>
      </c>
      <c r="AE4566">
        <v>-27.4206</v>
      </c>
      <c r="AF4566">
        <v>7.8450960663851097</v>
      </c>
      <c r="AG4566">
        <v>-1.120191798354</v>
      </c>
      <c r="AH4566">
        <v>26.663345369915501</v>
      </c>
      <c r="AI4566">
        <v>92.308003914412595</v>
      </c>
      <c r="AJ4566">
        <v>73.604653766486905</v>
      </c>
      <c r="AK4566">
        <v>27.816080749654599</v>
      </c>
      <c r="AL4566">
        <v>79.880318737078895</v>
      </c>
      <c r="AM4566">
        <v>81.258926437897102</v>
      </c>
      <c r="AN4566">
        <v>1.0000000263142399</v>
      </c>
    </row>
    <row r="4567" spans="1:40" x14ac:dyDescent="0.25">
      <c r="A4567" t="str">
        <f>"20190303170345316"</f>
        <v>20190303170345316</v>
      </c>
      <c r="B4567" t="str">
        <f>"1551603825309875"</f>
        <v>1551603825309875</v>
      </c>
      <c r="C4567" t="s">
        <v>40</v>
      </c>
      <c r="D4567">
        <v>4.4143089999999896</v>
      </c>
      <c r="E4567">
        <v>0.55704449999999905</v>
      </c>
      <c r="F4567" t="s">
        <v>42</v>
      </c>
      <c r="G4567">
        <v>-195.5059</v>
      </c>
      <c r="H4567" s="1">
        <v>-2.9781319999999999E-6</v>
      </c>
      <c r="I4567">
        <v>162.79259999999999</v>
      </c>
      <c r="J4567">
        <v>-190.74350000000001</v>
      </c>
      <c r="K4567">
        <v>1.1201719999999999</v>
      </c>
      <c r="L4567">
        <v>189.6532</v>
      </c>
      <c r="M4567">
        <v>0.11052099999999999</v>
      </c>
      <c r="N4567">
        <v>-1.3641739999999999E-2</v>
      </c>
      <c r="O4567">
        <v>-0.99378040000000001</v>
      </c>
      <c r="P4567">
        <v>-4.1053430000000002E-2</v>
      </c>
      <c r="Q4567">
        <v>0.16171729999999901</v>
      </c>
      <c r="R4567">
        <v>-0.9859831</v>
      </c>
      <c r="S4567">
        <v>-0.53495789999999999</v>
      </c>
      <c r="T4567">
        <v>-0.1262141</v>
      </c>
      <c r="U4567">
        <v>-3.0430299999999999</v>
      </c>
      <c r="V4567">
        <v>0.1504858</v>
      </c>
      <c r="W4567">
        <v>0.1744049</v>
      </c>
      <c r="X4567">
        <v>0.9731069</v>
      </c>
      <c r="Y4567">
        <v>0.28077859999999899</v>
      </c>
      <c r="Z4567">
        <v>2.6153349999999999E-2</v>
      </c>
      <c r="AA4567">
        <v>0.95941620000000005</v>
      </c>
      <c r="AB4567">
        <v>21</v>
      </c>
      <c r="AC4567">
        <v>-4.76239999999998</v>
      </c>
      <c r="AD4567">
        <v>-1.1201749781319901</v>
      </c>
      <c r="AE4567">
        <v>-26.860600000000002</v>
      </c>
      <c r="AF4567">
        <v>7.6891898512833299</v>
      </c>
      <c r="AG4567">
        <v>-1.1201749781319901</v>
      </c>
      <c r="AH4567">
        <v>26.125569748424201</v>
      </c>
      <c r="AI4567">
        <v>92.355367537642906</v>
      </c>
      <c r="AJ4567">
        <v>73.599966646174096</v>
      </c>
      <c r="AK4567">
        <v>27.256629051122399</v>
      </c>
      <c r="AL4567">
        <v>79.955971591345602</v>
      </c>
      <c r="AM4567">
        <v>81.209149081514497</v>
      </c>
      <c r="AN4567">
        <v>1.00000004198662</v>
      </c>
    </row>
    <row r="4568" spans="1:40" x14ac:dyDescent="0.25">
      <c r="A4568" t="str">
        <f>"20190303170345329"</f>
        <v>20190303170345329</v>
      </c>
      <c r="B4568" t="str">
        <f>"1551603825321586"</f>
        <v>1551603825321586</v>
      </c>
      <c r="C4568" t="s">
        <v>40</v>
      </c>
      <c r="D4568">
        <v>4.4299780000000002</v>
      </c>
      <c r="E4568">
        <v>0.55704819999999999</v>
      </c>
      <c r="F4568" t="s">
        <v>42</v>
      </c>
      <c r="G4568">
        <v>-195.3931</v>
      </c>
      <c r="H4568" s="1">
        <v>-3.3193620000000002E-6</v>
      </c>
      <c r="I4568">
        <v>163.578</v>
      </c>
      <c r="J4568">
        <v>-190.73060000000001</v>
      </c>
      <c r="K4568">
        <v>1.1201570000000001</v>
      </c>
      <c r="L4568">
        <v>189.5188</v>
      </c>
      <c r="M4568">
        <v>0.1087679</v>
      </c>
      <c r="N4568">
        <v>-1.3642100000000001E-2</v>
      </c>
      <c r="O4568">
        <v>-0.99397380000000002</v>
      </c>
      <c r="P4568">
        <v>-4.3160080000000003E-2</v>
      </c>
      <c r="Q4568">
        <v>0.1614583</v>
      </c>
      <c r="R4568">
        <v>-0.98593560000000002</v>
      </c>
      <c r="S4568">
        <v>-0.54234309999999997</v>
      </c>
      <c r="T4568">
        <v>-0.13066150000000001</v>
      </c>
      <c r="U4568">
        <v>-3.0415040000000002</v>
      </c>
      <c r="V4568">
        <v>0.1508594</v>
      </c>
      <c r="W4568">
        <v>0.17413919999999999</v>
      </c>
      <c r="X4568">
        <v>0.97309659999999998</v>
      </c>
      <c r="Y4568">
        <v>0.28141650000000001</v>
      </c>
      <c r="Z4568">
        <v>2.7578229999999999E-2</v>
      </c>
      <c r="AA4568">
        <v>0.95918939999999997</v>
      </c>
      <c r="AB4568">
        <v>21</v>
      </c>
      <c r="AC4568">
        <v>-4.6624999999999899</v>
      </c>
      <c r="AD4568">
        <v>-1.120160319362</v>
      </c>
      <c r="AE4568">
        <v>-25.940799999999999</v>
      </c>
      <c r="AF4568">
        <v>7.4431768201683797</v>
      </c>
      <c r="AG4568">
        <v>-1.120160319362</v>
      </c>
      <c r="AH4568">
        <v>25.234111722821702</v>
      </c>
      <c r="AI4568">
        <v>92.438018191321603</v>
      </c>
      <c r="AJ4568">
        <v>73.565791750604106</v>
      </c>
      <c r="AK4568">
        <v>26.3327939033672</v>
      </c>
      <c r="AL4568">
        <v>79.971431294110801</v>
      </c>
      <c r="AM4568">
        <v>81.187575014948493</v>
      </c>
      <c r="AN4568">
        <v>1.0000000062382799</v>
      </c>
    </row>
    <row r="4569" spans="1:40" x14ac:dyDescent="0.25">
      <c r="A4569" t="str">
        <f>"20190303170345342"</f>
        <v>20190303170345342</v>
      </c>
      <c r="B4569" t="str">
        <f>"1551603825330371"</f>
        <v>1551603825330371</v>
      </c>
      <c r="C4569" t="s">
        <v>40</v>
      </c>
      <c r="D4569">
        <v>4.4044499999999998</v>
      </c>
      <c r="E4569">
        <v>0.55704600000000004</v>
      </c>
      <c r="F4569" t="s">
        <v>42</v>
      </c>
      <c r="G4569">
        <v>-195.39259999999999</v>
      </c>
      <c r="H4569" s="1">
        <v>-3.3662390000000001E-6</v>
      </c>
      <c r="I4569">
        <v>163.67740000000001</v>
      </c>
      <c r="J4569">
        <v>-190.72020000000001</v>
      </c>
      <c r="K4569">
        <v>1.120144</v>
      </c>
      <c r="L4569">
        <v>189.40799999999999</v>
      </c>
      <c r="M4569">
        <v>0.1073086</v>
      </c>
      <c r="N4569">
        <v>-1.364227E-2</v>
      </c>
      <c r="O4569">
        <v>-0.99413220000000002</v>
      </c>
      <c r="P4569">
        <v>-4.4823170000000002E-2</v>
      </c>
      <c r="Q4569">
        <v>0.1618898</v>
      </c>
      <c r="R4569">
        <v>-0.98579059999999996</v>
      </c>
      <c r="S4569">
        <v>-0.54850769999999904</v>
      </c>
      <c r="T4569">
        <v>-0.13179189999999999</v>
      </c>
      <c r="U4569">
        <v>-3.040359</v>
      </c>
      <c r="V4569">
        <v>0.15107079999999901</v>
      </c>
      <c r="W4569">
        <v>0.17456549999999901</v>
      </c>
      <c r="X4569">
        <v>0.97298739999999995</v>
      </c>
      <c r="Y4569">
        <v>0.28195170000000003</v>
      </c>
      <c r="Z4569">
        <v>2.795048E-2</v>
      </c>
      <c r="AA4569">
        <v>0.95902140000000002</v>
      </c>
      <c r="AB4569">
        <v>21</v>
      </c>
      <c r="AC4569">
        <v>-4.6723999999999801</v>
      </c>
      <c r="AD4569">
        <v>-1.120147366239</v>
      </c>
      <c r="AE4569">
        <v>-25.7305999999999</v>
      </c>
      <c r="AF4569">
        <v>7.3932227272595101</v>
      </c>
      <c r="AG4569">
        <v>-1.120147366239</v>
      </c>
      <c r="AH4569">
        <v>25.0346317092635</v>
      </c>
      <c r="AI4569">
        <v>92.457156118986802</v>
      </c>
      <c r="AJ4569">
        <v>73.547085338627298</v>
      </c>
      <c r="AK4569">
        <v>26.127519155775602</v>
      </c>
      <c r="AL4569">
        <v>79.946626011282106</v>
      </c>
      <c r="AM4569">
        <v>81.174445548017701</v>
      </c>
      <c r="AN4569">
        <v>0.999999990480824</v>
      </c>
    </row>
    <row r="4570" spans="1:40" x14ac:dyDescent="0.25">
      <c r="A4570" t="str">
        <f>"20190303170345358"</f>
        <v>20190303170345358</v>
      </c>
      <c r="B4570" t="str">
        <f>"1551603825349890"</f>
        <v>1551603825349890</v>
      </c>
      <c r="C4570" t="s">
        <v>40</v>
      </c>
      <c r="D4570">
        <v>4.6110429999999996</v>
      </c>
      <c r="E4570">
        <v>0.55702750000000001</v>
      </c>
      <c r="F4570" t="s">
        <v>42</v>
      </c>
      <c r="G4570">
        <v>-195.46170000000001</v>
      </c>
      <c r="H4570" s="1">
        <v>-3.2327629999999998E-6</v>
      </c>
      <c r="I4570">
        <v>163.3562</v>
      </c>
      <c r="J4570">
        <v>-190.70519999999999</v>
      </c>
      <c r="K4570">
        <v>1.1201479999999999</v>
      </c>
      <c r="L4570">
        <v>189.24680000000001</v>
      </c>
      <c r="M4570">
        <v>0.10516780000000001</v>
      </c>
      <c r="N4570">
        <v>-1.3642369999999999E-2</v>
      </c>
      <c r="O4570">
        <v>-0.99436100000000005</v>
      </c>
      <c r="P4570">
        <v>-4.7290409999999998E-2</v>
      </c>
      <c r="Q4570">
        <v>0.1651031</v>
      </c>
      <c r="R4570">
        <v>-0.98514219999999997</v>
      </c>
      <c r="S4570">
        <v>-0.55320740000000002</v>
      </c>
      <c r="T4570">
        <v>-0.1306908</v>
      </c>
      <c r="U4570">
        <v>-3.039536</v>
      </c>
      <c r="V4570">
        <v>0.15137249999999999</v>
      </c>
      <c r="W4570">
        <v>0.1777667</v>
      </c>
      <c r="X4570">
        <v>0.97236069999999997</v>
      </c>
      <c r="Y4570">
        <v>0.2813697</v>
      </c>
      <c r="Z4570">
        <v>2.7627510000000001E-2</v>
      </c>
      <c r="AA4570">
        <v>0.95920159999999999</v>
      </c>
      <c r="AB4570">
        <v>21</v>
      </c>
      <c r="AC4570">
        <v>-4.7565000000000097</v>
      </c>
      <c r="AD4570">
        <v>-1.1201512327630001</v>
      </c>
      <c r="AE4570">
        <v>-25.890599999999999</v>
      </c>
      <c r="AF4570">
        <v>7.4397571111254504</v>
      </c>
      <c r="AG4570">
        <v>-1.1201512327630001</v>
      </c>
      <c r="AH4570">
        <v>25.2010872130362</v>
      </c>
      <c r="AI4570">
        <v>92.4410234114345</v>
      </c>
      <c r="AJ4570">
        <v>73.552571089619207</v>
      </c>
      <c r="AK4570">
        <v>26.300181014127201</v>
      </c>
      <c r="AL4570">
        <v>79.760296477438899</v>
      </c>
      <c r="AM4570">
        <v>81.151489316738704</v>
      </c>
      <c r="AN4570">
        <v>0.999999982144814</v>
      </c>
    </row>
    <row r="4571" spans="1:40" x14ac:dyDescent="0.25">
      <c r="A4571" t="str">
        <f>"20190303170345372"</f>
        <v>20190303170345372</v>
      </c>
      <c r="B4571" t="str">
        <f>"1551603825360627"</f>
        <v>1551603825360627</v>
      </c>
      <c r="C4571" t="s">
        <v>40</v>
      </c>
      <c r="D4571">
        <v>4.3563010000000002</v>
      </c>
      <c r="E4571">
        <v>0.52915690000000004</v>
      </c>
      <c r="F4571" t="s">
        <v>42</v>
      </c>
      <c r="G4571">
        <v>-195.886</v>
      </c>
      <c r="H4571" s="1">
        <v>-2.2987629999999999E-6</v>
      </c>
      <c r="I4571">
        <v>161.14150000000001</v>
      </c>
      <c r="J4571">
        <v>-190.6936</v>
      </c>
      <c r="K4571">
        <v>1.1201570000000001</v>
      </c>
      <c r="L4571">
        <v>189.11840000000001</v>
      </c>
      <c r="M4571">
        <v>0.10344920000000001</v>
      </c>
      <c r="N4571">
        <v>-1.3642400000000001E-2</v>
      </c>
      <c r="O4571">
        <v>-0.99454140000000002</v>
      </c>
      <c r="P4571">
        <v>-4.927318E-2</v>
      </c>
      <c r="Q4571">
        <v>0.1665287</v>
      </c>
      <c r="R4571">
        <v>-0.98480489999999998</v>
      </c>
      <c r="S4571">
        <v>-0.56011959999999905</v>
      </c>
      <c r="T4571">
        <v>-0.12110659999999999</v>
      </c>
      <c r="U4571">
        <v>-3.0386350000000002</v>
      </c>
      <c r="V4571">
        <v>0.151632399999999</v>
      </c>
      <c r="W4571">
        <v>0.1791855</v>
      </c>
      <c r="X4571">
        <v>0.97205980000000003</v>
      </c>
      <c r="Y4571">
        <v>0.2818929</v>
      </c>
      <c r="Z4571">
        <v>2.460706E-2</v>
      </c>
      <c r="AA4571">
        <v>0.95913029999999999</v>
      </c>
      <c r="AB4571">
        <v>21</v>
      </c>
      <c r="AC4571">
        <v>-5.1923999999999904</v>
      </c>
      <c r="AD4571">
        <v>-1.120159298763</v>
      </c>
      <c r="AE4571">
        <v>-27.976900000000001</v>
      </c>
      <c r="AF4571">
        <v>8.0465230267524497</v>
      </c>
      <c r="AG4571">
        <v>-1.120159298763</v>
      </c>
      <c r="AH4571">
        <v>27.247343473582799</v>
      </c>
      <c r="AI4571">
        <v>92.257857714506898</v>
      </c>
      <c r="AJ4571">
        <v>73.547389619815604</v>
      </c>
      <c r="AK4571">
        <v>28.432710318259399</v>
      </c>
      <c r="AL4571">
        <v>79.677679345002005</v>
      </c>
      <c r="AM4571">
        <v>81.133837740258301</v>
      </c>
      <c r="AN4571">
        <v>1.0000000414580199</v>
      </c>
    </row>
    <row r="4572" spans="1:40" x14ac:dyDescent="0.25">
      <c r="A4572" t="str">
        <f>"20190303170345386"</f>
        <v>20190303170345386</v>
      </c>
      <c r="B4572" t="str">
        <f>"1551603825380146"</f>
        <v>1551603825380146</v>
      </c>
      <c r="C4572" t="s">
        <v>40</v>
      </c>
      <c r="D4572">
        <v>4.2101040000000003</v>
      </c>
      <c r="E4572">
        <v>0.51042790000000005</v>
      </c>
      <c r="F4572" t="s">
        <v>90</v>
      </c>
      <c r="G4572">
        <v>-194.42150000000001</v>
      </c>
      <c r="H4572" s="1">
        <v>-1.3874359999999999E-5</v>
      </c>
      <c r="I4572">
        <v>156.12200000000001</v>
      </c>
      <c r="J4572">
        <v>-190.6832</v>
      </c>
      <c r="K4572">
        <v>1.1201620000000001</v>
      </c>
      <c r="L4572">
        <v>188.99969999999999</v>
      </c>
      <c r="M4572">
        <v>0.1018505</v>
      </c>
      <c r="N4572">
        <v>-1.3642369999999999E-2</v>
      </c>
      <c r="O4572">
        <v>-0.99470619999999998</v>
      </c>
      <c r="P4572">
        <v>-5.0791959999999997E-2</v>
      </c>
      <c r="Q4572">
        <v>0.16780690000000001</v>
      </c>
      <c r="R4572">
        <v>-0.98451069999999996</v>
      </c>
      <c r="S4572">
        <v>-0.34419250000000001</v>
      </c>
      <c r="T4572">
        <v>-0.10342469999999999</v>
      </c>
      <c r="U4572">
        <v>-3.0465390000000001</v>
      </c>
      <c r="V4572">
        <v>0.15155270000000001</v>
      </c>
      <c r="W4572">
        <v>0.18046090000000001</v>
      </c>
      <c r="X4572">
        <v>0.97183620000000004</v>
      </c>
      <c r="Y4572">
        <v>0.21280550000000001</v>
      </c>
      <c r="Z4572">
        <v>1.945328E-2</v>
      </c>
      <c r="AA4572">
        <v>0.97690089999999996</v>
      </c>
      <c r="AB4572">
        <v>21</v>
      </c>
      <c r="AC4572">
        <v>-3.7383000000000002</v>
      </c>
      <c r="AD4572">
        <v>-1.1201758743600001</v>
      </c>
      <c r="AE4572">
        <v>-32.877699999999898</v>
      </c>
      <c r="AF4572">
        <v>7.0596873694279196</v>
      </c>
      <c r="AG4572">
        <v>-1.1201758743600001</v>
      </c>
      <c r="AH4572">
        <v>32.288907970195098</v>
      </c>
      <c r="AI4572">
        <v>91.941106052612497</v>
      </c>
      <c r="AJ4572">
        <v>77.666858942075095</v>
      </c>
      <c r="AK4572">
        <v>33.070644953663802</v>
      </c>
      <c r="AL4572">
        <v>79.603392703399294</v>
      </c>
      <c r="AM4572">
        <v>81.136417430964798</v>
      </c>
      <c r="AN4572">
        <v>0.99999997846826905</v>
      </c>
    </row>
    <row r="4573" spans="1:40" x14ac:dyDescent="0.25">
      <c r="A4573" t="str">
        <f>"20190303170345399"</f>
        <v>20190303170345399</v>
      </c>
      <c r="B4573" t="str">
        <f>"1551603825389906"</f>
        <v>1551603825389906</v>
      </c>
      <c r="C4573" t="s">
        <v>40</v>
      </c>
      <c r="D4573">
        <v>4.375394</v>
      </c>
      <c r="E4573">
        <v>0.50359770000000004</v>
      </c>
      <c r="F4573" t="s">
        <v>90</v>
      </c>
      <c r="G4573">
        <v>-193.6163</v>
      </c>
      <c r="H4573" s="1">
        <v>-9.9455869999999995E-6</v>
      </c>
      <c r="I4573">
        <v>144.34209999999999</v>
      </c>
      <c r="J4573">
        <v>-190.67160000000001</v>
      </c>
      <c r="K4573">
        <v>1.120166</v>
      </c>
      <c r="L4573">
        <v>188.8672</v>
      </c>
      <c r="M4573">
        <v>0.1000602</v>
      </c>
      <c r="N4573">
        <v>-1.364226E-2</v>
      </c>
      <c r="O4573">
        <v>-0.99488810000000005</v>
      </c>
      <c r="P4573">
        <v>-5.2286619999999999E-2</v>
      </c>
      <c r="Q4573">
        <v>0.1683463</v>
      </c>
      <c r="R4573">
        <v>-0.9843404</v>
      </c>
      <c r="S4573">
        <v>-0.20031740000000001</v>
      </c>
      <c r="T4573">
        <v>-7.6502199999999895E-2</v>
      </c>
      <c r="U4573">
        <v>-3.0498959999999999</v>
      </c>
      <c r="V4573">
        <v>0.15127179999999901</v>
      </c>
      <c r="W4573">
        <v>0.18100060000000001</v>
      </c>
      <c r="X4573">
        <v>0.97177959999999997</v>
      </c>
      <c r="Y4573">
        <v>0.16501649999999901</v>
      </c>
      <c r="Z4573">
        <v>1.1002970000000001E-2</v>
      </c>
      <c r="AA4573">
        <v>0.98622940000000003</v>
      </c>
      <c r="AB4573">
        <v>21</v>
      </c>
      <c r="AC4573">
        <v>-2.9446999999999801</v>
      </c>
      <c r="AD4573">
        <v>-1.120175945587</v>
      </c>
      <c r="AE4573">
        <v>-44.525100000000002</v>
      </c>
      <c r="AF4573">
        <v>7.3808715933968196</v>
      </c>
      <c r="AG4573">
        <v>-1.120175945587</v>
      </c>
      <c r="AH4573">
        <v>43.979214460752097</v>
      </c>
      <c r="AI4573">
        <v>91.438926249551997</v>
      </c>
      <c r="AJ4573">
        <v>80.473040121279993</v>
      </c>
      <c r="AK4573">
        <v>44.608332901063598</v>
      </c>
      <c r="AL4573">
        <v>79.571952476817998</v>
      </c>
      <c r="AM4573">
        <v>81.152078612568403</v>
      </c>
      <c r="AN4573">
        <v>0.99999998282587899</v>
      </c>
    </row>
    <row r="4574" spans="1:40" x14ac:dyDescent="0.25">
      <c r="A4574" t="str">
        <f>"20190303170345415"</f>
        <v>20190303170345415</v>
      </c>
      <c r="B4574" t="str">
        <f>"1551603825400642"</f>
        <v>1551603825400642</v>
      </c>
      <c r="C4574" t="s">
        <v>40</v>
      </c>
      <c r="D4574">
        <v>4.4992850000000004</v>
      </c>
      <c r="E4574">
        <v>0.49939080000000002</v>
      </c>
      <c r="F4574" t="s">
        <v>90</v>
      </c>
      <c r="G4574">
        <v>-193.15610000000001</v>
      </c>
      <c r="H4574" s="1">
        <v>-8.1436680000000004E-6</v>
      </c>
      <c r="I4574">
        <v>138.47210000000001</v>
      </c>
      <c r="J4574">
        <v>-190.65899999999999</v>
      </c>
      <c r="K4574">
        <v>1.1201620000000001</v>
      </c>
      <c r="L4574">
        <v>188.7193</v>
      </c>
      <c r="M4574">
        <v>9.8057829999999999E-2</v>
      </c>
      <c r="N4574">
        <v>-1.364195E-2</v>
      </c>
      <c r="O4574">
        <v>-0.99508719999999995</v>
      </c>
      <c r="P4574">
        <v>-5.3171250000000003E-2</v>
      </c>
      <c r="Q4574">
        <v>0.16712260000000001</v>
      </c>
      <c r="R4574">
        <v>-0.98450139999999997</v>
      </c>
      <c r="S4574">
        <v>-0.1504364</v>
      </c>
      <c r="T4574">
        <v>-6.7825559999999993E-2</v>
      </c>
      <c r="U4574">
        <v>-3.0513759999999999</v>
      </c>
      <c r="V4574">
        <v>0.15020220000000001</v>
      </c>
      <c r="W4574">
        <v>0.17978640000000001</v>
      </c>
      <c r="X4574">
        <v>0.9721708</v>
      </c>
      <c r="Y4574">
        <v>0.14691419999999999</v>
      </c>
      <c r="Z4574">
        <v>8.2539980000000002E-3</v>
      </c>
      <c r="AA4574">
        <v>0.98911479999999996</v>
      </c>
      <c r="AB4574">
        <v>21</v>
      </c>
      <c r="AC4574">
        <v>-2.4970999999999801</v>
      </c>
      <c r="AD4574">
        <v>-1.1201701436680001</v>
      </c>
      <c r="AE4574">
        <v>-50.2471999999999</v>
      </c>
      <c r="AF4574">
        <v>7.4089804310700904</v>
      </c>
      <c r="AG4574">
        <v>-1.1201701436680001</v>
      </c>
      <c r="AH4574">
        <v>49.735459462088301</v>
      </c>
      <c r="AI4574">
        <v>91.276152442234405</v>
      </c>
      <c r="AJ4574">
        <v>81.527084192316593</v>
      </c>
      <c r="AK4574">
        <v>50.296756357480703</v>
      </c>
      <c r="AL4574">
        <v>79.642681093658297</v>
      </c>
      <c r="AM4574">
        <v>81.217140633444998</v>
      </c>
      <c r="AN4574">
        <v>0.99999995744121895</v>
      </c>
    </row>
    <row r="4575" spans="1:40" x14ac:dyDescent="0.25">
      <c r="A4575" t="str">
        <f>"20190303170345438"</f>
        <v>20190303170345438</v>
      </c>
      <c r="B4575" t="str">
        <f>"1551603825429922"</f>
        <v>1551603825429922</v>
      </c>
      <c r="C4575" t="s">
        <v>40</v>
      </c>
      <c r="D4575">
        <v>4.431292</v>
      </c>
      <c r="E4575">
        <v>0.49278420000000001</v>
      </c>
      <c r="F4575" t="s">
        <v>90</v>
      </c>
      <c r="G4575">
        <v>-192.56989999999999</v>
      </c>
      <c r="H4575" s="1">
        <v>-8.5068460000000004E-6</v>
      </c>
      <c r="I4575">
        <v>139.88980000000001</v>
      </c>
      <c r="J4575">
        <v>-190.6413</v>
      </c>
      <c r="K4575">
        <v>1.120153</v>
      </c>
      <c r="L4575">
        <v>188.50370000000001</v>
      </c>
      <c r="M4575">
        <v>9.5130870000000006E-2</v>
      </c>
      <c r="N4575">
        <v>-1.364114E-2</v>
      </c>
      <c r="O4575">
        <v>-0.99537129999999996</v>
      </c>
      <c r="P4575">
        <v>-5.5146279999999999E-2</v>
      </c>
      <c r="Q4575">
        <v>0.16601640000000001</v>
      </c>
      <c r="R4575">
        <v>-0.98458000000000001</v>
      </c>
      <c r="S4575">
        <v>-0.1194611</v>
      </c>
      <c r="T4575">
        <v>-7.0028900000000005E-2</v>
      </c>
      <c r="U4575">
        <v>-3.0526430000000002</v>
      </c>
      <c r="V4575">
        <v>0.1493033</v>
      </c>
      <c r="W4575">
        <v>0.17868819999999999</v>
      </c>
      <c r="X4575">
        <v>0.97251169999999998</v>
      </c>
      <c r="Y4575">
        <v>0.1339582</v>
      </c>
      <c r="Z4575">
        <v>9.0011029999999999E-3</v>
      </c>
      <c r="AA4575">
        <v>0.99094610000000005</v>
      </c>
      <c r="AB4575">
        <v>21</v>
      </c>
      <c r="AC4575">
        <v>-1.9285999999999801</v>
      </c>
      <c r="AD4575">
        <v>-1.120161506846</v>
      </c>
      <c r="AE4575">
        <v>-48.613900000000001</v>
      </c>
      <c r="AF4575">
        <v>6.5414970594684698</v>
      </c>
      <c r="AG4575">
        <v>-1.120161506846</v>
      </c>
      <c r="AH4575">
        <v>48.184354907214903</v>
      </c>
      <c r="AI4575">
        <v>91.319637595743799</v>
      </c>
      <c r="AJ4575">
        <v>82.2688039534805</v>
      </c>
      <c r="AK4575">
        <v>48.6392640096959</v>
      </c>
      <c r="AL4575">
        <v>79.706639276755297</v>
      </c>
      <c r="AM4575">
        <v>81.271903632422607</v>
      </c>
      <c r="AN4575">
        <v>0.99999997742350899</v>
      </c>
    </row>
    <row r="4576" spans="1:40" x14ac:dyDescent="0.25">
      <c r="A4576" t="str">
        <f>"20190303170345459"</f>
        <v>20190303170345459</v>
      </c>
      <c r="B4576" t="str">
        <f>"1551603825450419"</f>
        <v>1551603825450419</v>
      </c>
      <c r="C4576" t="s">
        <v>40</v>
      </c>
      <c r="D4576">
        <v>4.4294180000000001</v>
      </c>
      <c r="E4576">
        <v>0.49033320000000002</v>
      </c>
      <c r="F4576" t="s">
        <v>90</v>
      </c>
      <c r="G4576">
        <v>-191.77289999999999</v>
      </c>
      <c r="H4576" s="1">
        <v>-8.9147559999999994E-6</v>
      </c>
      <c r="I4576">
        <v>141.67310000000001</v>
      </c>
      <c r="J4576">
        <v>-190.6258</v>
      </c>
      <c r="K4576">
        <v>1.120152</v>
      </c>
      <c r="L4576">
        <v>188.3083</v>
      </c>
      <c r="M4576">
        <v>9.2474589999999995E-2</v>
      </c>
      <c r="N4576">
        <v>-1.3640060000000001E-2</v>
      </c>
      <c r="O4576">
        <v>-0.99562189999999995</v>
      </c>
      <c r="P4576">
        <v>-5.7736639999999999E-2</v>
      </c>
      <c r="Q4576">
        <v>0.16590650000000001</v>
      </c>
      <c r="R4576">
        <v>-0.98445020000000005</v>
      </c>
      <c r="S4576">
        <v>-7.3822020000000002E-2</v>
      </c>
      <c r="T4576">
        <v>-7.3078039999999997E-2</v>
      </c>
      <c r="U4576">
        <v>-3.0551759999999999</v>
      </c>
      <c r="V4576">
        <v>0.14926619999999999</v>
      </c>
      <c r="W4576">
        <v>0.1785793</v>
      </c>
      <c r="X4576">
        <v>0.9725374</v>
      </c>
      <c r="Y4576">
        <v>0.11647739999999999</v>
      </c>
      <c r="Z4576">
        <v>1.0020340000000001E-2</v>
      </c>
      <c r="AA4576">
        <v>0.99314279999999999</v>
      </c>
      <c r="AB4576">
        <v>21</v>
      </c>
      <c r="AC4576">
        <v>-1.14709999999999</v>
      </c>
      <c r="AD4576">
        <v>-1.1201609147560001</v>
      </c>
      <c r="AE4576">
        <v>-46.635199999999998</v>
      </c>
      <c r="AF4576">
        <v>5.4520112228019402</v>
      </c>
      <c r="AG4576">
        <v>-1.1201609147560001</v>
      </c>
      <c r="AH4576">
        <v>46.302547866428597</v>
      </c>
      <c r="AI4576">
        <v>91.376336594327995</v>
      </c>
      <c r="AJ4576">
        <v>83.284484565677005</v>
      </c>
      <c r="AK4576">
        <v>46.635878095854601</v>
      </c>
      <c r="AL4576">
        <v>79.712980809320001</v>
      </c>
      <c r="AM4576">
        <v>81.274266110868098</v>
      </c>
      <c r="AN4576">
        <v>0.99999997962484399</v>
      </c>
    </row>
    <row r="4577" spans="1:40" x14ac:dyDescent="0.25">
      <c r="A4577" t="str">
        <f>"20190303170345471"</f>
        <v>20190303170345471</v>
      </c>
      <c r="B4577" t="str">
        <f>"1551603825460178"</f>
        <v>1551603825460178</v>
      </c>
      <c r="C4577" t="s">
        <v>40</v>
      </c>
      <c r="D4577">
        <v>4.3931519999999997</v>
      </c>
      <c r="E4577">
        <v>0.48941010000000001</v>
      </c>
      <c r="F4577" t="s">
        <v>90</v>
      </c>
      <c r="G4577">
        <v>-191.57050000000001</v>
      </c>
      <c r="H4577" s="1">
        <v>-8.8454769999999905E-6</v>
      </c>
      <c r="I4577">
        <v>141.54660000000001</v>
      </c>
      <c r="J4577">
        <v>-190.6165</v>
      </c>
      <c r="K4577">
        <v>1.120158</v>
      </c>
      <c r="L4577">
        <v>188.18700000000001</v>
      </c>
      <c r="M4577">
        <v>9.0826270000000001E-2</v>
      </c>
      <c r="N4577">
        <v>-1.3639200000000001E-2</v>
      </c>
      <c r="O4577">
        <v>-0.99577349999999998</v>
      </c>
      <c r="P4577">
        <v>-5.9891119999999999E-2</v>
      </c>
      <c r="Q4577">
        <v>0.1661367</v>
      </c>
      <c r="R4577">
        <v>-0.98428249999999995</v>
      </c>
      <c r="S4577">
        <v>-6.1737060000000003E-2</v>
      </c>
      <c r="T4577">
        <v>-7.3207620000000001E-2</v>
      </c>
      <c r="U4577">
        <v>-3.0560909999999999</v>
      </c>
      <c r="V4577">
        <v>0.14978129999999901</v>
      </c>
      <c r="W4577">
        <v>0.17880689999999999</v>
      </c>
      <c r="X4577">
        <v>0.97241639999999996</v>
      </c>
      <c r="Y4577">
        <v>0.11090029999999999</v>
      </c>
      <c r="Z4577">
        <v>1.0072940000000001E-2</v>
      </c>
      <c r="AA4577">
        <v>0.99378049999999996</v>
      </c>
      <c r="AB4577">
        <v>21</v>
      </c>
      <c r="AC4577">
        <v>-0.95400000000000695</v>
      </c>
      <c r="AD4577">
        <v>-1.120166845477</v>
      </c>
      <c r="AE4577">
        <v>-46.6404</v>
      </c>
      <c r="AF4577">
        <v>5.1836343708779502</v>
      </c>
      <c r="AG4577">
        <v>-1.120166845477</v>
      </c>
      <c r="AH4577">
        <v>46.334216127058099</v>
      </c>
      <c r="AI4577">
        <v>91.376318787779297</v>
      </c>
      <c r="AJ4577">
        <v>83.616585427750806</v>
      </c>
      <c r="AK4577">
        <v>46.636728263907898</v>
      </c>
      <c r="AL4577">
        <v>79.699727180922906</v>
      </c>
      <c r="AM4577">
        <v>81.243547854997502</v>
      </c>
      <c r="AN4577">
        <v>1.00000000015313</v>
      </c>
    </row>
    <row r="4578" spans="1:40" x14ac:dyDescent="0.25">
      <c r="A4578" t="str">
        <f>"20190303170345492"</f>
        <v>20190303170345492</v>
      </c>
      <c r="B4578" t="str">
        <f>"1551603825480674"</f>
        <v>1551603825480674</v>
      </c>
      <c r="C4578" t="s">
        <v>40</v>
      </c>
      <c r="D4578">
        <v>4.364649</v>
      </c>
      <c r="E4578">
        <v>0.48795450000000001</v>
      </c>
      <c r="F4578" t="s">
        <v>90</v>
      </c>
      <c r="G4578">
        <v>-191.55609999999999</v>
      </c>
      <c r="H4578" s="1">
        <v>-8.5680800000000005E-6</v>
      </c>
      <c r="I4578">
        <v>140.58500000000001</v>
      </c>
      <c r="J4578">
        <v>-190.60210000000001</v>
      </c>
      <c r="K4578">
        <v>1.1201719999999999</v>
      </c>
      <c r="L4578">
        <v>187.99510000000001</v>
      </c>
      <c r="M4578">
        <v>8.8216710000000004E-2</v>
      </c>
      <c r="N4578">
        <v>-1.3637669999999999E-2</v>
      </c>
      <c r="O4578">
        <v>-0.99600820000000001</v>
      </c>
      <c r="P4578">
        <v>-6.3424839999999996E-2</v>
      </c>
      <c r="Q4578">
        <v>0.16585510000000001</v>
      </c>
      <c r="R4578">
        <v>-0.98410850000000005</v>
      </c>
      <c r="S4578">
        <v>-6.0333249999999998E-2</v>
      </c>
      <c r="T4578">
        <v>-7.1922539999999993E-2</v>
      </c>
      <c r="U4578">
        <v>-3.056381</v>
      </c>
      <c r="V4578">
        <v>0.15072559999999999</v>
      </c>
      <c r="W4578">
        <v>0.17852209999999999</v>
      </c>
      <c r="X4578">
        <v>0.97232280000000004</v>
      </c>
      <c r="Y4578">
        <v>0.1078387</v>
      </c>
      <c r="Z4578">
        <v>9.6689600000000007E-3</v>
      </c>
      <c r="AA4578">
        <v>0.99412140000000004</v>
      </c>
      <c r="AB4578">
        <v>21</v>
      </c>
      <c r="AC4578">
        <v>-0.95399999999997898</v>
      </c>
      <c r="AD4578">
        <v>-1.1201805680800001</v>
      </c>
      <c r="AE4578">
        <v>-47.4101</v>
      </c>
      <c r="AF4578">
        <v>5.1301681247128403</v>
      </c>
      <c r="AG4578">
        <v>-1.1201805680800001</v>
      </c>
      <c r="AH4578">
        <v>47.114770116285499</v>
      </c>
      <c r="AI4578">
        <v>91.353983330183993</v>
      </c>
      <c r="AJ4578">
        <v>83.785738367429303</v>
      </c>
      <c r="AK4578">
        <v>47.4064868198789</v>
      </c>
      <c r="AL4578">
        <v>79.716311729352896</v>
      </c>
      <c r="AM4578">
        <v>81.1883712830723</v>
      </c>
      <c r="AN4578">
        <v>0.99999998704180504</v>
      </c>
    </row>
    <row r="4579" spans="1:40" x14ac:dyDescent="0.25">
      <c r="A4579" t="str">
        <f>"20190303170345505"</f>
        <v>20190303170345505</v>
      </c>
      <c r="B4579" t="str">
        <f>"1551603825490435"</f>
        <v>1551603825490435</v>
      </c>
      <c r="C4579" t="s">
        <v>40</v>
      </c>
      <c r="D4579">
        <v>4.3442769999999999</v>
      </c>
      <c r="E4579">
        <v>0.48740630000000001</v>
      </c>
      <c r="F4579" t="s">
        <v>90</v>
      </c>
      <c r="G4579">
        <v>-191.50110000000001</v>
      </c>
      <c r="H4579" s="1">
        <v>-8.6859820000000003E-6</v>
      </c>
      <c r="I4579">
        <v>141.00790000000001</v>
      </c>
      <c r="J4579">
        <v>-190.59360000000001</v>
      </c>
      <c r="K4579">
        <v>1.120182</v>
      </c>
      <c r="L4579">
        <v>187.8777</v>
      </c>
      <c r="M4579">
        <v>8.6622089999999999E-2</v>
      </c>
      <c r="N4579">
        <v>-1.363663E-2</v>
      </c>
      <c r="O4579">
        <v>-0.99614780000000003</v>
      </c>
      <c r="P4579">
        <v>-6.5183759999999993E-2</v>
      </c>
      <c r="Q4579">
        <v>0.16570570000000001</v>
      </c>
      <c r="R4579">
        <v>-0.98401850000000002</v>
      </c>
      <c r="S4579">
        <v>-5.8486940000000001E-2</v>
      </c>
      <c r="T4579">
        <v>-7.2878360000000003E-2</v>
      </c>
      <c r="U4579">
        <v>-3.0569609999999998</v>
      </c>
      <c r="V4579">
        <v>0.15090590000000001</v>
      </c>
      <c r="W4579">
        <v>0.178373799999999</v>
      </c>
      <c r="X4579">
        <v>0.97232200000000002</v>
      </c>
      <c r="Y4579">
        <v>0.10564320000000001</v>
      </c>
      <c r="Z4579">
        <v>9.9838040000000006E-3</v>
      </c>
      <c r="AA4579">
        <v>0.99435399999999996</v>
      </c>
      <c r="AB4579">
        <v>21</v>
      </c>
      <c r="AC4579">
        <v>-0.90749999999999797</v>
      </c>
      <c r="AD4579">
        <v>-1.1201906859819999</v>
      </c>
      <c r="AE4579">
        <v>-46.869799999999998</v>
      </c>
      <c r="AF4579">
        <v>4.9615932455797704</v>
      </c>
      <c r="AG4579">
        <v>-1.1201906859819999</v>
      </c>
      <c r="AH4579">
        <v>46.588376171393698</v>
      </c>
      <c r="AI4579">
        <v>91.369636351269705</v>
      </c>
      <c r="AJ4579">
        <v>83.920997564443795</v>
      </c>
      <c r="AK4579">
        <v>46.865221956103298</v>
      </c>
      <c r="AL4579">
        <v>79.724946784802398</v>
      </c>
      <c r="AM4579">
        <v>81.177989259998697</v>
      </c>
      <c r="AN4579">
        <v>0.99999993743262305</v>
      </c>
    </row>
    <row r="4580" spans="1:40" x14ac:dyDescent="0.25">
      <c r="A4580" t="str">
        <f>"20190303170345527"</f>
        <v>20190303170345527</v>
      </c>
      <c r="B4580" t="str">
        <f>"1551603825520690"</f>
        <v>1551603825520690</v>
      </c>
      <c r="C4580" t="s">
        <v>40</v>
      </c>
      <c r="D4580">
        <v>4.3024250000000004</v>
      </c>
      <c r="E4580">
        <v>0.48592279999999999</v>
      </c>
      <c r="F4580" t="s">
        <v>90</v>
      </c>
      <c r="G4580">
        <v>-191.49299999999999</v>
      </c>
      <c r="H4580" s="1">
        <v>-8.7391790000000002E-6</v>
      </c>
      <c r="I4580">
        <v>141.19560000000001</v>
      </c>
      <c r="J4580">
        <v>-190.5787</v>
      </c>
      <c r="K4580">
        <v>1.1201950000000001</v>
      </c>
      <c r="L4580">
        <v>187.66730000000001</v>
      </c>
      <c r="M4580">
        <v>8.3765389999999995E-2</v>
      </c>
      <c r="N4580">
        <v>-1.363464E-2</v>
      </c>
      <c r="O4580">
        <v>-0.99639239999999996</v>
      </c>
      <c r="P4580">
        <v>-6.7362370000000005E-2</v>
      </c>
      <c r="Q4580">
        <v>0.16441359999999999</v>
      </c>
      <c r="R4580">
        <v>-0.98408899999999999</v>
      </c>
      <c r="S4580">
        <v>-5.8898930000000002E-2</v>
      </c>
      <c r="T4580">
        <v>-7.3360439999999999E-2</v>
      </c>
      <c r="U4580">
        <v>-3.057175</v>
      </c>
      <c r="V4580">
        <v>0.15027599999999999</v>
      </c>
      <c r="W4580">
        <v>0.17709179999999999</v>
      </c>
      <c r="X4580">
        <v>0.97265389999999996</v>
      </c>
      <c r="Y4580">
        <v>0.10292469999999999</v>
      </c>
      <c r="Z4580">
        <v>1.015288E-2</v>
      </c>
      <c r="AA4580">
        <v>0.99463729999999995</v>
      </c>
      <c r="AB4580">
        <v>21</v>
      </c>
      <c r="AC4580">
        <v>-0.914299999999997</v>
      </c>
      <c r="AD4580">
        <v>-1.1202037391790001</v>
      </c>
      <c r="AE4580">
        <v>-46.471699999999998</v>
      </c>
      <c r="AF4580">
        <v>4.8013785768088502</v>
      </c>
      <c r="AG4580">
        <v>-1.1202037391790001</v>
      </c>
      <c r="AH4580">
        <v>46.204914037245402</v>
      </c>
      <c r="AI4580">
        <v>91.3813860667656</v>
      </c>
      <c r="AJ4580">
        <v>84.067408186238396</v>
      </c>
      <c r="AK4580">
        <v>46.467216118940797</v>
      </c>
      <c r="AL4580">
        <v>79.799588968017304</v>
      </c>
      <c r="AM4580">
        <v>81.217188952784099</v>
      </c>
      <c r="AN4580">
        <v>0.99999999549422403</v>
      </c>
    </row>
    <row r="4581" spans="1:40" x14ac:dyDescent="0.25">
      <c r="A4581" t="str">
        <f>"20190303170345540"</f>
        <v>20190303170345540</v>
      </c>
      <c r="B4581" t="str">
        <f>"1551603825530451"</f>
        <v>1551603825530451</v>
      </c>
      <c r="C4581" t="s">
        <v>40</v>
      </c>
      <c r="D4581">
        <v>4.352474</v>
      </c>
      <c r="E4581">
        <v>0.4855582</v>
      </c>
      <c r="F4581" t="s">
        <v>90</v>
      </c>
      <c r="G4581">
        <v>-191.34780000000001</v>
      </c>
      <c r="H4581" s="1">
        <v>-9.3755020000000008E-6</v>
      </c>
      <c r="I4581">
        <v>143.7062</v>
      </c>
      <c r="J4581">
        <v>-190.57089999999999</v>
      </c>
      <c r="K4581">
        <v>1.1202000000000001</v>
      </c>
      <c r="L4581">
        <v>187.55279999999999</v>
      </c>
      <c r="M4581">
        <v>8.2214449999999994E-2</v>
      </c>
      <c r="N4581">
        <v>-1.363349E-2</v>
      </c>
      <c r="O4581">
        <v>-0.9965214</v>
      </c>
      <c r="P4581">
        <v>-6.7953280000000005E-2</v>
      </c>
      <c r="Q4581">
        <v>0.164232399999999</v>
      </c>
      <c r="R4581">
        <v>-0.98407860000000003</v>
      </c>
      <c r="S4581">
        <v>-5.3497309999999999E-2</v>
      </c>
      <c r="T4581">
        <v>-7.7919479999999999E-2</v>
      </c>
      <c r="U4581">
        <v>-3.0578609999999999</v>
      </c>
      <c r="V4581">
        <v>0.14934210000000001</v>
      </c>
      <c r="W4581">
        <v>0.1769182</v>
      </c>
      <c r="X4581">
        <v>0.97282930000000001</v>
      </c>
      <c r="Y4581">
        <v>9.961478E-2</v>
      </c>
      <c r="Z4581">
        <v>1.16375E-2</v>
      </c>
      <c r="AA4581">
        <v>0.99495800000000001</v>
      </c>
      <c r="AB4581">
        <v>21</v>
      </c>
      <c r="AC4581">
        <v>-0.77690000000001103</v>
      </c>
      <c r="AD4581">
        <v>-1.1202093755019999</v>
      </c>
      <c r="AE4581">
        <v>-43.846600000000002</v>
      </c>
      <c r="AF4581">
        <v>4.3765728521194802</v>
      </c>
      <c r="AG4581">
        <v>-1.1202093755019999</v>
      </c>
      <c r="AH4581">
        <v>43.605805020385397</v>
      </c>
      <c r="AI4581">
        <v>91.464220503820698</v>
      </c>
      <c r="AJ4581">
        <v>84.268602546129699</v>
      </c>
      <c r="AK4581">
        <v>43.839200385622298</v>
      </c>
      <c r="AL4581">
        <v>79.809694928198795</v>
      </c>
      <c r="AM4581">
        <v>81.272476674391996</v>
      </c>
      <c r="AN4581">
        <v>0.99999997963106901</v>
      </c>
    </row>
    <row r="4582" spans="1:40" x14ac:dyDescent="0.25">
      <c r="A4582" t="str">
        <f>"20190303170345551"</f>
        <v>20190303170345551</v>
      </c>
      <c r="B4582" t="str">
        <f>"1551603825540211"</f>
        <v>1551603825540211</v>
      </c>
      <c r="C4582" t="s">
        <v>40</v>
      </c>
      <c r="D4582">
        <v>4.3915050000000004</v>
      </c>
      <c r="E4582">
        <v>0.48519780000000001</v>
      </c>
      <c r="F4582" t="s">
        <v>90</v>
      </c>
      <c r="G4582">
        <v>-191.32259999999999</v>
      </c>
      <c r="H4582" s="1">
        <v>-9.414683E-6</v>
      </c>
      <c r="I4582">
        <v>143.8717</v>
      </c>
      <c r="J4582">
        <v>-190.56299999999999</v>
      </c>
      <c r="K4582">
        <v>1.120212</v>
      </c>
      <c r="L4582">
        <v>187.43620000000001</v>
      </c>
      <c r="M4582">
        <v>8.0637890000000004E-2</v>
      </c>
      <c r="N4582">
        <v>-1.363232E-2</v>
      </c>
      <c r="O4582">
        <v>-0.99665040000000005</v>
      </c>
      <c r="P4582">
        <v>-6.8446409999999999E-2</v>
      </c>
      <c r="Q4582">
        <v>0.16443969999999999</v>
      </c>
      <c r="R4582">
        <v>-0.98400960000000004</v>
      </c>
      <c r="S4582">
        <v>-5.2627559999999997E-2</v>
      </c>
      <c r="T4582">
        <v>-7.8423259999999995E-2</v>
      </c>
      <c r="U4582">
        <v>-3.058014</v>
      </c>
      <c r="V4582">
        <v>0.14828250000000001</v>
      </c>
      <c r="W4582">
        <v>0.1771336</v>
      </c>
      <c r="X4582">
        <v>0.97295220000000004</v>
      </c>
      <c r="Y4582">
        <v>9.77571E-2</v>
      </c>
      <c r="Z4582">
        <v>1.1808509999999999E-2</v>
      </c>
      <c r="AA4582">
        <v>0.99514029999999998</v>
      </c>
      <c r="AB4582">
        <v>21</v>
      </c>
      <c r="AC4582">
        <v>-0.75960000000000505</v>
      </c>
      <c r="AD4582">
        <v>-1.1202214146830001</v>
      </c>
      <c r="AE4582">
        <v>-43.564500000000002</v>
      </c>
      <c r="AF4582">
        <v>4.2675801963812798</v>
      </c>
      <c r="AG4582">
        <v>-1.1202214146830001</v>
      </c>
      <c r="AH4582">
        <v>43.332702500068102</v>
      </c>
      <c r="AI4582">
        <v>91.473733483033499</v>
      </c>
      <c r="AJ4582">
        <v>84.375417063650801</v>
      </c>
      <c r="AK4582">
        <v>43.556747384416397</v>
      </c>
      <c r="AL4582">
        <v>79.7971555566901</v>
      </c>
      <c r="AM4582">
        <v>81.334534128566403</v>
      </c>
      <c r="AN4582">
        <v>0.99999999777002502</v>
      </c>
    </row>
    <row r="4583" spans="1:40" x14ac:dyDescent="0.25">
      <c r="A4583" t="str">
        <f>"20190303170345565"</f>
        <v>20190303170345565</v>
      </c>
      <c r="B4583" t="str">
        <f>"1551603825560706"</f>
        <v>1551603825560706</v>
      </c>
      <c r="C4583" t="s">
        <v>40</v>
      </c>
      <c r="D4583">
        <v>4.3703519999999996</v>
      </c>
      <c r="E4583">
        <v>0.484375</v>
      </c>
      <c r="F4583" t="s">
        <v>90</v>
      </c>
      <c r="G4583">
        <v>-191.30269999999999</v>
      </c>
      <c r="H4583" s="1">
        <v>-9.2822750000000008E-6</v>
      </c>
      <c r="I4583">
        <v>143.38299999999899</v>
      </c>
      <c r="J4583">
        <v>-190.55529999999999</v>
      </c>
      <c r="K4583">
        <v>1.1202240000000001</v>
      </c>
      <c r="L4583">
        <v>187.3175</v>
      </c>
      <c r="M4583">
        <v>7.9037930000000006E-2</v>
      </c>
      <c r="N4583">
        <v>-1.3630959999999999E-2</v>
      </c>
      <c r="O4583">
        <v>-0.99677859999999996</v>
      </c>
      <c r="P4583">
        <v>-6.9092180000000003E-2</v>
      </c>
      <c r="Q4583">
        <v>0.16476969999999999</v>
      </c>
      <c r="R4583">
        <v>-0.98390940000000005</v>
      </c>
      <c r="S4583">
        <v>-5.1345830000000002E-2</v>
      </c>
      <c r="T4583">
        <v>-7.7764749999999994E-2</v>
      </c>
      <c r="U4583">
        <v>-3.0581360000000002</v>
      </c>
      <c r="V4583">
        <v>0.1473497</v>
      </c>
      <c r="W4583">
        <v>0.17747009999999999</v>
      </c>
      <c r="X4583">
        <v>0.97303260000000003</v>
      </c>
      <c r="Y4583">
        <v>9.5742439999999998E-2</v>
      </c>
      <c r="Z4583">
        <v>1.160314E-2</v>
      </c>
      <c r="AA4583">
        <v>0.99533850000000001</v>
      </c>
      <c r="AB4583">
        <v>21</v>
      </c>
      <c r="AC4583">
        <v>-0.74739999999999895</v>
      </c>
      <c r="AD4583">
        <v>-1.1202332822750001</v>
      </c>
      <c r="AE4583">
        <v>-43.9345</v>
      </c>
      <c r="AF4583">
        <v>4.2151357087215402</v>
      </c>
      <c r="AG4583">
        <v>-1.1202332822750001</v>
      </c>
      <c r="AH4583">
        <v>43.709542751502603</v>
      </c>
      <c r="AI4583">
        <v>91.461337655129199</v>
      </c>
      <c r="AJ4583">
        <v>84.491706781666295</v>
      </c>
      <c r="AK4583">
        <v>43.9266026366152</v>
      </c>
      <c r="AL4583">
        <v>79.777565227072103</v>
      </c>
      <c r="AM4583">
        <v>81.388927025250098</v>
      </c>
      <c r="AN4583">
        <v>1.0000000055734299</v>
      </c>
    </row>
    <row r="4584" spans="1:40" x14ac:dyDescent="0.25">
      <c r="A4584" t="str">
        <f>"20190303170345582"</f>
        <v>20190303170345582</v>
      </c>
      <c r="B4584" t="str">
        <f>"1551603825570467"</f>
        <v>1551603825570467</v>
      </c>
      <c r="C4584" t="s">
        <v>40</v>
      </c>
      <c r="D4584">
        <v>4.4962679999999997</v>
      </c>
      <c r="E4584">
        <v>0.48410930000000002</v>
      </c>
      <c r="F4584" t="s">
        <v>90</v>
      </c>
      <c r="G4584">
        <v>-191.2415</v>
      </c>
      <c r="H4584" s="1">
        <v>-8.9388919999999999E-6</v>
      </c>
      <c r="I4584">
        <v>142.12209999999999</v>
      </c>
      <c r="J4584">
        <v>-190.5454</v>
      </c>
      <c r="K4584">
        <v>1.1202529999999999</v>
      </c>
      <c r="L4584">
        <v>187.161</v>
      </c>
      <c r="M4584">
        <v>7.6938619999999999E-2</v>
      </c>
      <c r="N4584">
        <v>-1.362907E-2</v>
      </c>
      <c r="O4584">
        <v>-0.99694280000000002</v>
      </c>
      <c r="P4584">
        <v>-6.9097249999999999E-2</v>
      </c>
      <c r="Q4584">
        <v>0.16715479999999899</v>
      </c>
      <c r="R4584">
        <v>-0.9835064</v>
      </c>
      <c r="S4584">
        <v>-4.6432500000000002E-2</v>
      </c>
      <c r="T4584">
        <v>-7.5809000000000001E-2</v>
      </c>
      <c r="U4584">
        <v>-3.058487</v>
      </c>
      <c r="V4584">
        <v>0.1452726</v>
      </c>
      <c r="W4584">
        <v>0.1798652</v>
      </c>
      <c r="X4584">
        <v>0.97290520000000003</v>
      </c>
      <c r="Y4584">
        <v>9.2046580000000003E-2</v>
      </c>
      <c r="Z4584">
        <v>1.097946E-2</v>
      </c>
      <c r="AA4584">
        <v>0.99569419999999997</v>
      </c>
      <c r="AB4584">
        <v>21</v>
      </c>
      <c r="AC4584">
        <v>-0.69610000000000105</v>
      </c>
      <c r="AD4584">
        <v>-1.1202619388920001</v>
      </c>
      <c r="AE4584">
        <v>-45.038899999999899</v>
      </c>
      <c r="AF4584">
        <v>4.1570172852130902</v>
      </c>
      <c r="AG4584">
        <v>-1.1202619388920001</v>
      </c>
      <c r="AH4584">
        <v>44.824085366063699</v>
      </c>
      <c r="AI4584">
        <v>91.425546822681298</v>
      </c>
      <c r="AJ4584">
        <v>84.701504821065001</v>
      </c>
      <c r="AK4584">
        <v>45.030372066256099</v>
      </c>
      <c r="AL4584">
        <v>79.638092580601594</v>
      </c>
      <c r="AM4584">
        <v>81.507434408941407</v>
      </c>
      <c r="AN4584">
        <v>1.0000000733344101</v>
      </c>
    </row>
    <row r="4585" spans="1:40" x14ac:dyDescent="0.25">
      <c r="A4585" t="str">
        <f>"20190303170345597"</f>
        <v>20190303170345597</v>
      </c>
      <c r="B4585" t="str">
        <f>"1551603825580228"</f>
        <v>1551603825580228</v>
      </c>
      <c r="C4585" t="s">
        <v>40</v>
      </c>
      <c r="D4585">
        <v>4.4849680000000003</v>
      </c>
      <c r="E4585">
        <v>0.48387079999999999</v>
      </c>
      <c r="F4585" t="s">
        <v>90</v>
      </c>
      <c r="G4585">
        <v>-191.2533</v>
      </c>
      <c r="H4585" s="1">
        <v>-7.3759849999999898E-6</v>
      </c>
      <c r="I4585">
        <v>136.9264</v>
      </c>
      <c r="J4585">
        <v>-190.5368</v>
      </c>
      <c r="K4585">
        <v>1.120277</v>
      </c>
      <c r="L4585">
        <v>187.0215</v>
      </c>
      <c r="M4585">
        <v>7.5076299999999999E-2</v>
      </c>
      <c r="N4585">
        <v>-1.362729E-2</v>
      </c>
      <c r="O4585">
        <v>-0.997085</v>
      </c>
      <c r="P4585">
        <v>-6.9540909999999997E-2</v>
      </c>
      <c r="Q4585">
        <v>0.16914749999999901</v>
      </c>
      <c r="R4585">
        <v>-0.98313470000000003</v>
      </c>
      <c r="S4585">
        <v>-4.3106079999999998E-2</v>
      </c>
      <c r="T4585">
        <v>-6.8214540000000004E-2</v>
      </c>
      <c r="U4585">
        <v>-3.0588679999999999</v>
      </c>
      <c r="V4585">
        <v>0.143866299999999</v>
      </c>
      <c r="W4585">
        <v>0.18186530000000001</v>
      </c>
      <c r="X4585">
        <v>0.97274229999999995</v>
      </c>
      <c r="Y4585">
        <v>8.9104379999999997E-2</v>
      </c>
      <c r="Z4585">
        <v>8.5220109999999995E-3</v>
      </c>
      <c r="AA4585">
        <v>0.99598580000000003</v>
      </c>
      <c r="AB4585">
        <v>21</v>
      </c>
      <c r="AC4585">
        <v>-0.71649999999999603</v>
      </c>
      <c r="AD4585">
        <v>-1.1202843759850001</v>
      </c>
      <c r="AE4585">
        <v>-50.095100000000002</v>
      </c>
      <c r="AF4585">
        <v>4.4735434947822803</v>
      </c>
      <c r="AG4585">
        <v>-1.1202843759850001</v>
      </c>
      <c r="AH4585">
        <v>49.874959970177201</v>
      </c>
      <c r="AI4585">
        <v>91.281610045024905</v>
      </c>
      <c r="AJ4585">
        <v>84.874560503192697</v>
      </c>
      <c r="AK4585">
        <v>50.087715664717301</v>
      </c>
      <c r="AL4585">
        <v>79.521573291627007</v>
      </c>
      <c r="AM4585">
        <v>81.587075746600604</v>
      </c>
      <c r="AN4585">
        <v>1.00000004091453</v>
      </c>
    </row>
    <row r="4586" spans="1:40" x14ac:dyDescent="0.25">
      <c r="A4586" t="str">
        <f>"20190303170345611"</f>
        <v>20190303170345611</v>
      </c>
      <c r="B4586" t="str">
        <f>"1551603825599747"</f>
        <v>1551603825599747</v>
      </c>
      <c r="C4586" t="s">
        <v>40</v>
      </c>
      <c r="D4586">
        <v>4.371543</v>
      </c>
      <c r="E4586">
        <v>0.48350290000000001</v>
      </c>
      <c r="F4586" t="s">
        <v>90</v>
      </c>
      <c r="G4586">
        <v>-191.2961</v>
      </c>
      <c r="H4586" s="1">
        <v>-5.6846389999999998E-6</v>
      </c>
      <c r="I4586">
        <v>131.6198</v>
      </c>
      <c r="J4586">
        <v>-190.52879999999999</v>
      </c>
      <c r="K4586">
        <v>1.120301</v>
      </c>
      <c r="L4586">
        <v>186.8879</v>
      </c>
      <c r="M4586">
        <v>7.3309399999999997E-2</v>
      </c>
      <c r="N4586">
        <v>-1.362534E-2</v>
      </c>
      <c r="O4586">
        <v>-0.99721630000000006</v>
      </c>
      <c r="P4586">
        <v>-7.0905860000000001E-2</v>
      </c>
      <c r="Q4586">
        <v>0.1701925</v>
      </c>
      <c r="R4586">
        <v>-0.98285659999999997</v>
      </c>
      <c r="S4586">
        <v>-4.193115E-2</v>
      </c>
      <c r="T4586">
        <v>-6.1859850000000001E-2</v>
      </c>
      <c r="U4586">
        <v>-3.0591740000000001</v>
      </c>
      <c r="V4586">
        <v>0.14347570000000001</v>
      </c>
      <c r="W4586">
        <v>0.18291370000000001</v>
      </c>
      <c r="X4586">
        <v>0.97260340000000001</v>
      </c>
      <c r="Y4586">
        <v>8.695746E-2</v>
      </c>
      <c r="Z4586">
        <v>6.4648350000000004E-3</v>
      </c>
      <c r="AA4586">
        <v>0.99619100000000005</v>
      </c>
      <c r="AB4586">
        <v>21</v>
      </c>
      <c r="AC4586">
        <v>-0.76730000000000498</v>
      </c>
      <c r="AD4586">
        <v>-1.120306684639</v>
      </c>
      <c r="AE4586">
        <v>-55.268099999999997</v>
      </c>
      <c r="AF4586">
        <v>4.8153036833677296</v>
      </c>
      <c r="AG4586">
        <v>-1.120306684639</v>
      </c>
      <c r="AH4586">
        <v>55.040492813582802</v>
      </c>
      <c r="AI4586">
        <v>91.161614546662307</v>
      </c>
      <c r="AJ4586">
        <v>85.000119291135803</v>
      </c>
      <c r="AK4586">
        <v>55.262085427467902</v>
      </c>
      <c r="AL4586">
        <v>79.4604795793026</v>
      </c>
      <c r="AM4586">
        <v>81.608410231419896</v>
      </c>
      <c r="AN4586">
        <v>1.00000003591486</v>
      </c>
    </row>
    <row r="4587" spans="1:40" x14ac:dyDescent="0.25">
      <c r="A4587" t="str">
        <f>"20190303170345629"</f>
        <v>20190303170345629</v>
      </c>
      <c r="B4587" t="str">
        <f>"1551603825620243"</f>
        <v>1551603825620243</v>
      </c>
      <c r="C4587" t="s">
        <v>40</v>
      </c>
      <c r="D4587">
        <v>4.3549110000000004</v>
      </c>
      <c r="E4587">
        <v>0.4832436</v>
      </c>
      <c r="F4587" t="s">
        <v>90</v>
      </c>
      <c r="G4587">
        <v>-191.3339</v>
      </c>
      <c r="H4587" s="1">
        <v>-4.7586740000000004E-6</v>
      </c>
      <c r="I4587">
        <v>128.67339999999999</v>
      </c>
      <c r="J4587">
        <v>-190.51929999999999</v>
      </c>
      <c r="K4587">
        <v>1.1203299999999901</v>
      </c>
      <c r="L4587">
        <v>186.72450000000001</v>
      </c>
      <c r="M4587">
        <v>7.1168880000000004E-2</v>
      </c>
      <c r="N4587">
        <v>-1.3622810000000001E-2</v>
      </c>
      <c r="O4587">
        <v>-0.99737129999999996</v>
      </c>
      <c r="P4587">
        <v>-7.2552119999999998E-2</v>
      </c>
      <c r="Q4587">
        <v>0.17055709999999999</v>
      </c>
      <c r="R4587">
        <v>-0.98267320000000002</v>
      </c>
      <c r="S4587">
        <v>-4.2312620000000002E-2</v>
      </c>
      <c r="T4587">
        <v>-5.8877939999999997E-2</v>
      </c>
      <c r="U4587">
        <v>-3.0594790000000001</v>
      </c>
      <c r="V4587">
        <v>0.1430023</v>
      </c>
      <c r="W4587">
        <v>0.1832859</v>
      </c>
      <c r="X4587">
        <v>0.972603</v>
      </c>
      <c r="Y4587">
        <v>8.4943030000000003E-2</v>
      </c>
      <c r="Z4587">
        <v>5.503211E-3</v>
      </c>
      <c r="AA4587">
        <v>0.9963706</v>
      </c>
      <c r="AB4587">
        <v>21</v>
      </c>
      <c r="AC4587">
        <v>-0.81460000000001198</v>
      </c>
      <c r="AD4587">
        <v>-1.12033475867399</v>
      </c>
      <c r="AE4587">
        <v>-58.051099999999998</v>
      </c>
      <c r="AF4587">
        <v>4.9425084886446999</v>
      </c>
      <c r="AG4587">
        <v>-1.12033475867399</v>
      </c>
      <c r="AH4587">
        <v>57.824359017271199</v>
      </c>
      <c r="AI4587">
        <v>91.105923251814403</v>
      </c>
      <c r="AJ4587">
        <v>85.114546023661902</v>
      </c>
      <c r="AK4587">
        <v>58.046016537658197</v>
      </c>
      <c r="AL4587">
        <v>79.438786849918799</v>
      </c>
      <c r="AM4587">
        <v>81.635702659390802</v>
      </c>
      <c r="AN4587">
        <v>0.99999998727654904</v>
      </c>
    </row>
    <row r="4588" spans="1:40" x14ac:dyDescent="0.25">
      <c r="A4588" t="str">
        <f>"20190303170345649"</f>
        <v>20190303170345649</v>
      </c>
      <c r="B4588" t="str">
        <f>"1551603825639762"</f>
        <v>1551603825639762</v>
      </c>
      <c r="C4588" t="s">
        <v>40</v>
      </c>
      <c r="D4588">
        <v>4.3558159999999999</v>
      </c>
      <c r="E4588">
        <v>0.4827534</v>
      </c>
      <c r="F4588" t="s">
        <v>90</v>
      </c>
      <c r="G4588">
        <v>-191.38120000000001</v>
      </c>
      <c r="H4588" s="1">
        <v>-4.3318739999999997E-6</v>
      </c>
      <c r="I4588">
        <v>127.6374</v>
      </c>
      <c r="J4588">
        <v>-190.5085</v>
      </c>
      <c r="K4588">
        <v>1.1203609999999999</v>
      </c>
      <c r="L4588">
        <v>186.5307</v>
      </c>
      <c r="M4588">
        <v>6.8671510000000005E-2</v>
      </c>
      <c r="N4588">
        <v>-1.361941E-2</v>
      </c>
      <c r="O4588">
        <v>-0.99754640000000006</v>
      </c>
      <c r="P4588">
        <v>-7.3867959999999996E-2</v>
      </c>
      <c r="Q4588">
        <v>0.16844729999999999</v>
      </c>
      <c r="R4588">
        <v>-0.98293909999999995</v>
      </c>
      <c r="S4588">
        <v>-4.4631959999999998E-2</v>
      </c>
      <c r="T4588">
        <v>-5.801427E-2</v>
      </c>
      <c r="U4588">
        <v>-3.0597080000000001</v>
      </c>
      <c r="V4588">
        <v>0.14186770000000001</v>
      </c>
      <c r="W4588">
        <v>0.1811972</v>
      </c>
      <c r="X4588">
        <v>0.97316040000000004</v>
      </c>
      <c r="Y4588">
        <v>8.3202910000000005E-2</v>
      </c>
      <c r="Z4588">
        <v>5.2307559999999996E-3</v>
      </c>
      <c r="AA4588">
        <v>0.99651889999999999</v>
      </c>
      <c r="AB4588">
        <v>21</v>
      </c>
      <c r="AC4588">
        <v>-0.87270000000000802</v>
      </c>
      <c r="AD4588">
        <v>-1.1203653318739999</v>
      </c>
      <c r="AE4588">
        <v>-58.893300000000004</v>
      </c>
      <c r="AF4588">
        <v>4.9135284506158303</v>
      </c>
      <c r="AG4588">
        <v>-1.1203653318739999</v>
      </c>
      <c r="AH4588">
        <v>58.673082015712403</v>
      </c>
      <c r="AI4588">
        <v>91.090117789627101</v>
      </c>
      <c r="AJ4588">
        <v>85.212982338632898</v>
      </c>
      <c r="AK4588">
        <v>58.889120672110501</v>
      </c>
      <c r="AL4588">
        <v>79.560499096777207</v>
      </c>
      <c r="AM4588">
        <v>81.705825465038998</v>
      </c>
      <c r="AN4588">
        <v>1.0000000168596399</v>
      </c>
    </row>
    <row r="4589" spans="1:40" x14ac:dyDescent="0.25">
      <c r="A4589" t="str">
        <f>"20190303170345670"</f>
        <v>20190303170345670</v>
      </c>
      <c r="B4589" t="str">
        <f>"1551603825660258"</f>
        <v>1551603825660258</v>
      </c>
      <c r="C4589" t="s">
        <v>40</v>
      </c>
      <c r="D4589">
        <v>4.3969690000000003</v>
      </c>
      <c r="E4589">
        <v>0.48232239999999998</v>
      </c>
      <c r="F4589" t="s">
        <v>90</v>
      </c>
      <c r="G4589">
        <v>-191.27619999999999</v>
      </c>
      <c r="H4589" s="1">
        <v>-6.4892060000000002E-6</v>
      </c>
      <c r="I4589">
        <v>134.1439</v>
      </c>
      <c r="J4589">
        <v>-190.49799999999999</v>
      </c>
      <c r="K4589">
        <v>1.120398</v>
      </c>
      <c r="L4589">
        <v>186.3357</v>
      </c>
      <c r="M4589">
        <v>6.6219360000000005E-2</v>
      </c>
      <c r="N4589">
        <v>-1.3615560000000001E-2</v>
      </c>
      <c r="O4589">
        <v>-0.9977123</v>
      </c>
      <c r="P4589">
        <v>-7.5468030000000005E-2</v>
      </c>
      <c r="Q4589">
        <v>0.16773969999999999</v>
      </c>
      <c r="R4589">
        <v>-0.9829386</v>
      </c>
      <c r="S4589">
        <v>-4.4845580000000003E-2</v>
      </c>
      <c r="T4589">
        <v>-6.5441490000000005E-2</v>
      </c>
      <c r="U4589">
        <v>-3.059952</v>
      </c>
      <c r="V4589">
        <v>0.14104269999999999</v>
      </c>
      <c r="W4589">
        <v>0.18050820000000001</v>
      </c>
      <c r="X4589">
        <v>0.9734083</v>
      </c>
      <c r="Y4589">
        <v>8.0820550000000005E-2</v>
      </c>
      <c r="Z4589">
        <v>7.6539889999999999E-3</v>
      </c>
      <c r="AA4589">
        <v>0.99669929999999995</v>
      </c>
      <c r="AB4589">
        <v>21</v>
      </c>
      <c r="AC4589">
        <v>-0.778199999999998</v>
      </c>
      <c r="AD4589">
        <v>-1.1204044892059899</v>
      </c>
      <c r="AE4589">
        <v>-52.191800000000001</v>
      </c>
      <c r="AF4589">
        <v>4.2309698686561896</v>
      </c>
      <c r="AG4589">
        <v>-1.1204044892059899</v>
      </c>
      <c r="AH4589">
        <v>52.001726875426698</v>
      </c>
      <c r="AI4589">
        <v>91.230212762647895</v>
      </c>
      <c r="AJ4589">
        <v>85.348540715616906</v>
      </c>
      <c r="AK4589">
        <v>52.185591979735001</v>
      </c>
      <c r="AL4589">
        <v>79.600637443485596</v>
      </c>
      <c r="AM4589">
        <v>81.755464425362803</v>
      </c>
      <c r="AN4589">
        <v>0.99999998599970996</v>
      </c>
    </row>
    <row r="4590" spans="1:40" x14ac:dyDescent="0.25">
      <c r="A4590" t="str">
        <f>"20190303170345693"</f>
        <v>20190303170345693</v>
      </c>
      <c r="B4590" t="str">
        <f>"1551603825679778"</f>
        <v>1551603825679778</v>
      </c>
      <c r="C4590" t="s">
        <v>40</v>
      </c>
      <c r="D4590">
        <v>4.3933900000000001</v>
      </c>
      <c r="E4590">
        <v>0.48188219999999998</v>
      </c>
      <c r="F4590" t="s">
        <v>90</v>
      </c>
      <c r="G4590">
        <v>-191.2587</v>
      </c>
      <c r="H4590" s="1">
        <v>-6.9542320000000003E-6</v>
      </c>
      <c r="I4590">
        <v>135.60550000000001</v>
      </c>
      <c r="J4590">
        <v>-190.4871</v>
      </c>
      <c r="K4590">
        <v>1.1204639999999999</v>
      </c>
      <c r="L4590">
        <v>186.1251</v>
      </c>
      <c r="M4590">
        <v>6.3652529999999999E-2</v>
      </c>
      <c r="N4590">
        <v>-1.3610779999999999E-2</v>
      </c>
      <c r="O4590">
        <v>-0.99787959999999998</v>
      </c>
      <c r="P4590">
        <v>-7.7852249999999998E-2</v>
      </c>
      <c r="Q4590">
        <v>0.1689165</v>
      </c>
      <c r="R4590">
        <v>-0.98255099999999995</v>
      </c>
      <c r="S4590">
        <v>-4.5883180000000003E-2</v>
      </c>
      <c r="T4590">
        <v>-6.7583799999999999E-2</v>
      </c>
      <c r="U4590">
        <v>-3.0600890000000001</v>
      </c>
      <c r="V4590">
        <v>0.1408634</v>
      </c>
      <c r="W4590">
        <v>0.18169940000000001</v>
      </c>
      <c r="X4590">
        <v>0.97321270000000004</v>
      </c>
      <c r="Y4590">
        <v>7.8593579999999996E-2</v>
      </c>
      <c r="Z4590">
        <v>8.3616190000000007E-3</v>
      </c>
      <c r="AA4590">
        <v>0.99687170000000003</v>
      </c>
      <c r="AB4590">
        <v>21</v>
      </c>
      <c r="AC4590">
        <v>-0.77160000000000595</v>
      </c>
      <c r="AD4590">
        <v>-1.1204709542319999</v>
      </c>
      <c r="AE4590">
        <v>-50.519599999999997</v>
      </c>
      <c r="AF4590">
        <v>3.9840729708753999</v>
      </c>
      <c r="AG4590">
        <v>-1.1204709542319999</v>
      </c>
      <c r="AH4590">
        <v>50.343256291314503</v>
      </c>
      <c r="AI4590">
        <v>91.271027549231803</v>
      </c>
      <c r="AJ4590">
        <v>85.475147524609397</v>
      </c>
      <c r="AK4590">
        <v>50.513084904898797</v>
      </c>
      <c r="AL4590">
        <v>79.531239964328606</v>
      </c>
      <c r="AM4590">
        <v>81.764169212947806</v>
      </c>
      <c r="AN4590">
        <v>1.0000000644306</v>
      </c>
    </row>
    <row r="4591" spans="1:40" x14ac:dyDescent="0.25">
      <c r="A4591" t="str">
        <f>"20190303170345716"</f>
        <v>20190303170345716</v>
      </c>
      <c r="B4591" t="str">
        <f>"1551603825710048"</f>
        <v>1551603825710048</v>
      </c>
      <c r="C4591" t="s">
        <v>40</v>
      </c>
      <c r="D4591">
        <v>4.4012370000000001</v>
      </c>
      <c r="E4591">
        <v>0.48128130000000002</v>
      </c>
      <c r="F4591" t="s">
        <v>90</v>
      </c>
      <c r="G4591">
        <v>-191.34180000000001</v>
      </c>
      <c r="H4591" s="1">
        <v>-5.9596139999999996E-6</v>
      </c>
      <c r="I4591">
        <v>132.4589</v>
      </c>
      <c r="J4591">
        <v>-190.4768</v>
      </c>
      <c r="K4591">
        <v>1.1205430000000001</v>
      </c>
      <c r="L4591">
        <v>185.91659999999999</v>
      </c>
      <c r="M4591">
        <v>6.1216590000000001E-2</v>
      </c>
      <c r="N4591">
        <v>-1.360548E-2</v>
      </c>
      <c r="O4591">
        <v>-0.99803209999999998</v>
      </c>
      <c r="P4591">
        <v>-8.0065549999999999E-2</v>
      </c>
      <c r="Q4591">
        <v>0.16987179999999999</v>
      </c>
      <c r="R4591">
        <v>-0.98220850000000004</v>
      </c>
      <c r="S4591">
        <v>-4.873657E-2</v>
      </c>
      <c r="T4591">
        <v>-6.3896419999999995E-2</v>
      </c>
      <c r="U4591">
        <v>-3.0603940000000001</v>
      </c>
      <c r="V4591">
        <v>0.14064099999999999</v>
      </c>
      <c r="W4591">
        <v>0.18267269999999999</v>
      </c>
      <c r="X4591">
        <v>0.9730626</v>
      </c>
      <c r="Y4591">
        <v>7.7089000000000005E-2</v>
      </c>
      <c r="Z4591">
        <v>7.1717530000000003E-3</v>
      </c>
      <c r="AA4591">
        <v>0.99699839999999995</v>
      </c>
      <c r="AB4591">
        <v>21</v>
      </c>
      <c r="AC4591">
        <v>-0.86500000000000898</v>
      </c>
      <c r="AD4591">
        <v>-1.1205489596139999</v>
      </c>
      <c r="AE4591">
        <v>-53.457699999999903</v>
      </c>
      <c r="AF4591">
        <v>4.1343612759746202</v>
      </c>
      <c r="AG4591">
        <v>-1.1205489596139999</v>
      </c>
      <c r="AH4591">
        <v>53.281060095360701</v>
      </c>
      <c r="AI4591">
        <v>91.201194810649199</v>
      </c>
      <c r="AJ4591">
        <v>85.563006103341095</v>
      </c>
      <c r="AK4591">
        <v>53.452969403173597</v>
      </c>
      <c r="AL4591">
        <v>79.474524275023199</v>
      </c>
      <c r="AM4591">
        <v>81.775743178464296</v>
      </c>
      <c r="AN4591">
        <v>1.0000000148625201</v>
      </c>
    </row>
    <row r="4592" spans="1:40" x14ac:dyDescent="0.25">
      <c r="A4592" t="str">
        <f>"20190303170345738"</f>
        <v>20190303170345738</v>
      </c>
      <c r="B4592" t="str">
        <f>"1551603825730530"</f>
        <v>1551603825730530</v>
      </c>
      <c r="C4592" t="s">
        <v>40</v>
      </c>
      <c r="D4592">
        <v>4.3744329999999998</v>
      </c>
      <c r="E4592">
        <v>0.4808984</v>
      </c>
      <c r="F4592" t="s">
        <v>90</v>
      </c>
      <c r="G4592">
        <v>-191.39080000000001</v>
      </c>
      <c r="H4592" s="1">
        <v>-5.1985600000000002E-6</v>
      </c>
      <c r="I4592">
        <v>130.0171</v>
      </c>
      <c r="J4592">
        <v>-190.46700000000001</v>
      </c>
      <c r="K4592">
        <v>1.1206130000000001</v>
      </c>
      <c r="L4592">
        <v>185.71019999999999</v>
      </c>
      <c r="M4592">
        <v>5.8926689999999997E-2</v>
      </c>
      <c r="N4592">
        <v>-1.359981E-2</v>
      </c>
      <c r="O4592">
        <v>-0.99816990000000005</v>
      </c>
      <c r="P4592">
        <v>-8.1714389999999998E-2</v>
      </c>
      <c r="Q4592">
        <v>0.16916889999999901</v>
      </c>
      <c r="R4592">
        <v>-0.98219389999999995</v>
      </c>
      <c r="S4592">
        <v>-5.0048830000000002E-2</v>
      </c>
      <c r="T4592">
        <v>-6.1357380000000003E-2</v>
      </c>
      <c r="U4592">
        <v>-3.060867</v>
      </c>
      <c r="V4592">
        <v>0.140010299999999</v>
      </c>
      <c r="W4592">
        <v>0.18199660000000001</v>
      </c>
      <c r="X4592">
        <v>0.97328020000000004</v>
      </c>
      <c r="Y4592">
        <v>7.5227279999999994E-2</v>
      </c>
      <c r="Z4592">
        <v>6.354256E-3</v>
      </c>
      <c r="AA4592">
        <v>0.99714619999999998</v>
      </c>
      <c r="AB4592">
        <v>21</v>
      </c>
      <c r="AC4592">
        <v>-0.92379999999999995</v>
      </c>
      <c r="AD4592">
        <v>-1.1206181985599999</v>
      </c>
      <c r="AE4592">
        <v>-55.693099999999902</v>
      </c>
      <c r="AF4592">
        <v>4.2026062199093301</v>
      </c>
      <c r="AG4592">
        <v>-1.1206181985599999</v>
      </c>
      <c r="AH4592">
        <v>55.519391646099102</v>
      </c>
      <c r="AI4592">
        <v>91.153018537300198</v>
      </c>
      <c r="AJ4592">
        <v>85.671183311373895</v>
      </c>
      <c r="AK4592">
        <v>55.689501101549702</v>
      </c>
      <c r="AL4592">
        <v>79.513922212863093</v>
      </c>
      <c r="AM4592">
        <v>81.813929191219103</v>
      </c>
      <c r="AN4592">
        <v>0.999999997114845</v>
      </c>
    </row>
    <row r="4593" spans="1:40" x14ac:dyDescent="0.25">
      <c r="A4593" t="str">
        <f>"20190303170345759"</f>
        <v>20190303170345759</v>
      </c>
      <c r="B4593" t="str">
        <f>"1551603825750051"</f>
        <v>1551603825750051</v>
      </c>
      <c r="C4593" t="s">
        <v>40</v>
      </c>
      <c r="D4593">
        <v>4.370412</v>
      </c>
      <c r="E4593">
        <v>0.48051630000000001</v>
      </c>
      <c r="F4593" t="s">
        <v>90</v>
      </c>
      <c r="G4593">
        <v>-191.38399999999999</v>
      </c>
      <c r="H4593" s="1">
        <v>-5.8985499999999996E-6</v>
      </c>
      <c r="I4593">
        <v>132.249</v>
      </c>
      <c r="J4593">
        <v>-190.458</v>
      </c>
      <c r="K4593">
        <v>1.1206780000000001</v>
      </c>
      <c r="L4593">
        <v>185.5153</v>
      </c>
      <c r="M4593">
        <v>5.6858140000000001E-2</v>
      </c>
      <c r="N4593">
        <v>-1.3594480000000001E-2</v>
      </c>
      <c r="O4593">
        <v>-0.9982898</v>
      </c>
      <c r="P4593">
        <v>-8.2804440000000007E-2</v>
      </c>
      <c r="Q4593">
        <v>0.1673017</v>
      </c>
      <c r="R4593">
        <v>-0.98242240000000003</v>
      </c>
      <c r="S4593">
        <v>-5.2505490000000002E-2</v>
      </c>
      <c r="T4593">
        <v>-6.4163799999999993E-2</v>
      </c>
      <c r="U4593">
        <v>-3.0610499999999998</v>
      </c>
      <c r="V4593">
        <v>0.139052799999999</v>
      </c>
      <c r="W4593">
        <v>0.18015690000000001</v>
      </c>
      <c r="X4593">
        <v>0.97375959999999995</v>
      </c>
      <c r="Y4593">
        <v>7.3959689999999995E-2</v>
      </c>
      <c r="Z4593">
        <v>7.2756039999999998E-3</v>
      </c>
      <c r="AA4593">
        <v>0.99723470000000003</v>
      </c>
      <c r="AB4593">
        <v>21</v>
      </c>
      <c r="AC4593">
        <v>-0.92600000000001603</v>
      </c>
      <c r="AD4593">
        <v>-1.1206838985500001</v>
      </c>
      <c r="AE4593">
        <v>-53.266300000000001</v>
      </c>
      <c r="AF4593">
        <v>3.9516553924145099</v>
      </c>
      <c r="AG4593">
        <v>-1.1206838985500001</v>
      </c>
      <c r="AH4593">
        <v>53.103958542464703</v>
      </c>
      <c r="AI4593">
        <v>91.205634462039498</v>
      </c>
      <c r="AJ4593">
        <v>85.744259875298297</v>
      </c>
      <c r="AK4593">
        <v>53.262575281530303</v>
      </c>
      <c r="AL4593">
        <v>79.6211008120504</v>
      </c>
      <c r="AM4593">
        <v>81.873110322378295</v>
      </c>
      <c r="AN4593">
        <v>0.99999997419880404</v>
      </c>
    </row>
    <row r="4594" spans="1:40" x14ac:dyDescent="0.25">
      <c r="A4594" t="str">
        <f>"20190303170345782"</f>
        <v>20190303170345782</v>
      </c>
      <c r="B4594" t="str">
        <f>"1551603825770547"</f>
        <v>1551603825770547</v>
      </c>
      <c r="C4594" t="s">
        <v>40</v>
      </c>
      <c r="D4594">
        <v>4.3575309999999998</v>
      </c>
      <c r="E4594">
        <v>0.480381</v>
      </c>
      <c r="F4594" t="s">
        <v>90</v>
      </c>
      <c r="G4594">
        <v>-191.3081</v>
      </c>
      <c r="H4594" s="1">
        <v>-7.3831919999999997E-6</v>
      </c>
      <c r="I4594">
        <v>136.92439999999999</v>
      </c>
      <c r="J4594">
        <v>-190.4487</v>
      </c>
      <c r="K4594">
        <v>1.1207339999999999</v>
      </c>
      <c r="L4594">
        <v>185.3065</v>
      </c>
      <c r="M4594">
        <v>5.4750479999999997E-2</v>
      </c>
      <c r="N4594">
        <v>-1.35888E-2</v>
      </c>
      <c r="O4594">
        <v>-0.99840770000000001</v>
      </c>
      <c r="P4594">
        <v>-8.4078600000000003E-2</v>
      </c>
      <c r="Q4594">
        <v>0.16512089999999999</v>
      </c>
      <c r="R4594">
        <v>-0.98268319999999998</v>
      </c>
      <c r="S4594">
        <v>-5.3558349999999998E-2</v>
      </c>
      <c r="T4594">
        <v>-7.0601819999999996E-2</v>
      </c>
      <c r="U4594">
        <v>-3.061172</v>
      </c>
      <c r="V4594">
        <v>0.1382417</v>
      </c>
      <c r="W4594">
        <v>0.1780032</v>
      </c>
      <c r="X4594">
        <v>0.97427109999999995</v>
      </c>
      <c r="Y4594">
        <v>7.2195499999999996E-2</v>
      </c>
      <c r="Z4594">
        <v>9.3799639999999993E-3</v>
      </c>
      <c r="AA4594">
        <v>0.99734639999999997</v>
      </c>
      <c r="AB4594">
        <v>21</v>
      </c>
      <c r="AC4594">
        <v>-0.85939999999999295</v>
      </c>
      <c r="AD4594">
        <v>-1.1207413831919999</v>
      </c>
      <c r="AE4594">
        <v>-48.382100000000001</v>
      </c>
      <c r="AF4594">
        <v>3.5054178766970998</v>
      </c>
      <c r="AG4594">
        <v>-1.1207413831919999</v>
      </c>
      <c r="AH4594">
        <v>48.236584784429098</v>
      </c>
      <c r="AI4594">
        <v>91.327486169661199</v>
      </c>
      <c r="AJ4594">
        <v>85.843544830472496</v>
      </c>
      <c r="AK4594">
        <v>48.376772602186797</v>
      </c>
      <c r="AL4594">
        <v>79.746527026339194</v>
      </c>
      <c r="AM4594">
        <v>81.924073088237705</v>
      </c>
      <c r="AN4594">
        <v>1.0000000415621599</v>
      </c>
    </row>
    <row r="4595" spans="1:40" x14ac:dyDescent="0.25">
      <c r="A4595" t="str">
        <f>"20190303170345808"</f>
        <v>20190303170345808</v>
      </c>
      <c r="B4595" t="str">
        <f>"1551603825799826"</f>
        <v>1551603825799826</v>
      </c>
      <c r="C4595" t="s">
        <v>40</v>
      </c>
      <c r="D4595">
        <v>4.4184950000000001</v>
      </c>
      <c r="E4595">
        <v>0.4801571</v>
      </c>
      <c r="F4595" t="s">
        <v>90</v>
      </c>
      <c r="G4595">
        <v>-191.26570000000001</v>
      </c>
      <c r="H4595" s="1">
        <v>-8.7650539999999993E-6</v>
      </c>
      <c r="I4595">
        <v>141.44659999999999</v>
      </c>
      <c r="J4595">
        <v>-190.43860000000001</v>
      </c>
      <c r="K4595">
        <v>1.120808</v>
      </c>
      <c r="L4595">
        <v>185.0712</v>
      </c>
      <c r="M4595">
        <v>5.2518839999999997E-2</v>
      </c>
      <c r="N4595">
        <v>-1.358236E-2</v>
      </c>
      <c r="O4595">
        <v>-0.99852759999999996</v>
      </c>
      <c r="P4595">
        <v>-8.6248379999999999E-2</v>
      </c>
      <c r="Q4595">
        <v>0.1646724</v>
      </c>
      <c r="R4595">
        <v>-0.98257019999999995</v>
      </c>
      <c r="S4595">
        <v>-5.7022089999999998E-2</v>
      </c>
      <c r="T4595">
        <v>-7.822084E-2</v>
      </c>
      <c r="U4595">
        <v>-3.0611419999999998</v>
      </c>
      <c r="V4595">
        <v>0.13818469999999999</v>
      </c>
      <c r="W4595">
        <v>0.1775757</v>
      </c>
      <c r="X4595">
        <v>0.97435709999999998</v>
      </c>
      <c r="Y4595">
        <v>7.1093119999999996E-2</v>
      </c>
      <c r="Z4595">
        <v>1.1870149999999999E-2</v>
      </c>
      <c r="AA4595">
        <v>0.99739900000000004</v>
      </c>
      <c r="AB4595">
        <v>20</v>
      </c>
      <c r="AC4595">
        <v>-0.82710000000000095</v>
      </c>
      <c r="AD4595">
        <v>-1.120816765054</v>
      </c>
      <c r="AE4595">
        <v>-43.624600000000001</v>
      </c>
      <c r="AF4595">
        <v>3.1152273910625801</v>
      </c>
      <c r="AG4595">
        <v>-1.120816765054</v>
      </c>
      <c r="AH4595">
        <v>43.492243010029597</v>
      </c>
      <c r="AI4595">
        <v>91.472443387121999</v>
      </c>
      <c r="AJ4595">
        <v>85.903060829411203</v>
      </c>
      <c r="AK4595">
        <v>43.618070497929203</v>
      </c>
      <c r="AL4595">
        <v>79.7714165602804</v>
      </c>
      <c r="AM4595">
        <v>81.928062190078506</v>
      </c>
      <c r="AN4595">
        <v>0.99999994943249304</v>
      </c>
    </row>
    <row r="4596" spans="1:40" x14ac:dyDescent="0.25">
      <c r="A4596" t="str">
        <f>"20190303170345830"</f>
        <v>20190303170345830</v>
      </c>
      <c r="B4596" t="str">
        <f>"1551603825820322"</f>
        <v>1551603825820322</v>
      </c>
      <c r="C4596" t="s">
        <v>40</v>
      </c>
      <c r="D4596">
        <v>4.3717839999999999</v>
      </c>
      <c r="E4596">
        <v>0.47995090000000001</v>
      </c>
      <c r="F4596" t="s">
        <v>90</v>
      </c>
      <c r="G4596">
        <v>-191.29570000000001</v>
      </c>
      <c r="H4596" s="1">
        <v>-8.9989329999999998E-6</v>
      </c>
      <c r="I4596">
        <v>142.3133</v>
      </c>
      <c r="J4596">
        <v>-190.43020000000001</v>
      </c>
      <c r="K4596">
        <v>1.120878</v>
      </c>
      <c r="L4596">
        <v>184.87049999999999</v>
      </c>
      <c r="M4596">
        <v>5.0737089999999999E-2</v>
      </c>
      <c r="N4596">
        <v>-1.357674E-2</v>
      </c>
      <c r="O4596">
        <v>-0.99862010000000001</v>
      </c>
      <c r="P4596">
        <v>-8.75943E-2</v>
      </c>
      <c r="Q4596">
        <v>0.1648714</v>
      </c>
      <c r="R4596">
        <v>-0.98241809999999996</v>
      </c>
      <c r="S4596">
        <v>-6.1370849999999998E-2</v>
      </c>
      <c r="T4596">
        <v>-8.024597E-2</v>
      </c>
      <c r="U4596">
        <v>-3.0612949999999999</v>
      </c>
      <c r="V4596">
        <v>0.13774910000000001</v>
      </c>
      <c r="W4596">
        <v>0.17779389999999901</v>
      </c>
      <c r="X4596">
        <v>0.97437910000000005</v>
      </c>
      <c r="Y4596">
        <v>7.0728369999999999E-2</v>
      </c>
      <c r="Z4596">
        <v>1.253662E-2</v>
      </c>
      <c r="AA4596">
        <v>0.99741690000000005</v>
      </c>
      <c r="AB4596">
        <v>20</v>
      </c>
      <c r="AC4596">
        <v>-0.86549999999999705</v>
      </c>
      <c r="AD4596">
        <v>-1.1208869989329999</v>
      </c>
      <c r="AE4596">
        <v>-42.557200000000002</v>
      </c>
      <c r="AF4596">
        <v>3.0217165211818</v>
      </c>
      <c r="AG4596">
        <v>-1.1208869989329999</v>
      </c>
      <c r="AH4596">
        <v>42.429039904707103</v>
      </c>
      <c r="AI4596">
        <v>91.509461970470895</v>
      </c>
      <c r="AJ4596">
        <v>85.926380081553205</v>
      </c>
      <c r="AK4596">
        <v>42.551270082501503</v>
      </c>
      <c r="AL4596">
        <v>79.758713589570903</v>
      </c>
      <c r="AM4596">
        <v>81.953352894079401</v>
      </c>
      <c r="AN4596">
        <v>1.00000005797241</v>
      </c>
    </row>
    <row r="4597" spans="1:40" x14ac:dyDescent="0.25">
      <c r="A4597" t="str">
        <f>"20190303170345849"</f>
        <v>20190303170345849</v>
      </c>
      <c r="B4597" t="str">
        <f>"1551603825839843"</f>
        <v>1551603825839843</v>
      </c>
      <c r="C4597" t="s">
        <v>40</v>
      </c>
      <c r="D4597">
        <v>4.3261209999999997</v>
      </c>
      <c r="E4597">
        <v>0.47965590000000002</v>
      </c>
      <c r="F4597" t="s">
        <v>90</v>
      </c>
      <c r="G4597">
        <v>-191.3297</v>
      </c>
      <c r="H4597" s="1">
        <v>-8.9319360000000001E-6</v>
      </c>
      <c r="I4597">
        <v>142.03639999999999</v>
      </c>
      <c r="J4597">
        <v>-190.4229</v>
      </c>
      <c r="K4597">
        <v>1.1209439999999999</v>
      </c>
      <c r="L4597">
        <v>184.69040000000001</v>
      </c>
      <c r="M4597">
        <v>4.9232390000000001E-2</v>
      </c>
      <c r="N4597">
        <v>-1.3571659999999999E-2</v>
      </c>
      <c r="O4597">
        <v>-0.99869549999999996</v>
      </c>
      <c r="P4597">
        <v>-8.7499469999999996E-2</v>
      </c>
      <c r="Q4597">
        <v>0.1646196</v>
      </c>
      <c r="R4597">
        <v>-0.98246869999999997</v>
      </c>
      <c r="S4597">
        <v>-6.428528E-2</v>
      </c>
      <c r="T4597">
        <v>-8.0110550000000003E-2</v>
      </c>
      <c r="U4597">
        <v>-3.0613860000000002</v>
      </c>
      <c r="V4597">
        <v>0.13615659999999999</v>
      </c>
      <c r="W4597">
        <v>0.1775658</v>
      </c>
      <c r="X4597">
        <v>0.97464439999999997</v>
      </c>
      <c r="Y4597">
        <v>7.0174120000000006E-2</v>
      </c>
      <c r="Z4597">
        <v>1.2499959999999999E-2</v>
      </c>
      <c r="AA4597">
        <v>0.99745640000000002</v>
      </c>
      <c r="AB4597">
        <v>20</v>
      </c>
      <c r="AC4597">
        <v>-0.90680000000000405</v>
      </c>
      <c r="AD4597">
        <v>-1.1209529319360001</v>
      </c>
      <c r="AE4597">
        <v>-42.654000000000003</v>
      </c>
      <c r="AF4597">
        <v>3.00377758848615</v>
      </c>
      <c r="AG4597">
        <v>-1.1209529319360001</v>
      </c>
      <c r="AH4597">
        <v>42.528259444518703</v>
      </c>
      <c r="AI4597">
        <v>91.506092982924002</v>
      </c>
      <c r="AJ4597">
        <v>85.959899429106798</v>
      </c>
      <c r="AK4597">
        <v>42.648939806951802</v>
      </c>
      <c r="AL4597">
        <v>79.771993158533903</v>
      </c>
      <c r="AM4597">
        <v>82.047319111611699</v>
      </c>
      <c r="AN4597">
        <v>0.99999996975227901</v>
      </c>
    </row>
    <row r="4598" spans="1:40" x14ac:dyDescent="0.25">
      <c r="A4598" t="str">
        <f>"20190303170345872"</f>
        <v>20190303170345872</v>
      </c>
      <c r="B4598" t="str">
        <f>"1551603825860339"</f>
        <v>1551603825860339</v>
      </c>
      <c r="C4598" t="s">
        <v>40</v>
      </c>
      <c r="D4598">
        <v>4.3085879999999896</v>
      </c>
      <c r="E4598">
        <v>0.47952479999999997</v>
      </c>
      <c r="F4598" t="s">
        <v>90</v>
      </c>
      <c r="G4598">
        <v>-191.2869</v>
      </c>
      <c r="H4598" s="1">
        <v>-9.0357860000000008E-6</v>
      </c>
      <c r="I4598">
        <v>142.4589</v>
      </c>
      <c r="J4598">
        <v>-190.41499999999999</v>
      </c>
      <c r="K4598">
        <v>1.121011</v>
      </c>
      <c r="L4598">
        <v>184.4898</v>
      </c>
      <c r="M4598">
        <v>4.7649879999999999E-2</v>
      </c>
      <c r="N4598">
        <v>-1.3566129999999999E-2</v>
      </c>
      <c r="O4598">
        <v>-0.99877199999999999</v>
      </c>
      <c r="P4598">
        <v>-8.7949449999999998E-2</v>
      </c>
      <c r="Q4598">
        <v>0.1639661</v>
      </c>
      <c r="R4598">
        <v>-0.98253789999999996</v>
      </c>
      <c r="S4598">
        <v>-6.2637330000000005E-2</v>
      </c>
      <c r="T4598">
        <v>-8.126295E-2</v>
      </c>
      <c r="U4598">
        <v>-3.0615540000000001</v>
      </c>
      <c r="V4598">
        <v>0.13502890000000001</v>
      </c>
      <c r="W4598">
        <v>0.17693599999999901</v>
      </c>
      <c r="X4598">
        <v>0.9749158</v>
      </c>
      <c r="Y4598">
        <v>6.8055879999999999E-2</v>
      </c>
      <c r="Z4598">
        <v>1.288455E-2</v>
      </c>
      <c r="AA4598">
        <v>0.99759830000000005</v>
      </c>
      <c r="AB4598">
        <v>20</v>
      </c>
      <c r="AC4598">
        <v>-0.87190000000001</v>
      </c>
      <c r="AD4598">
        <v>-1.1210200357860001</v>
      </c>
      <c r="AE4598">
        <v>-42.030900000000003</v>
      </c>
      <c r="AF4598">
        <v>2.8718190099885699</v>
      </c>
      <c r="AG4598">
        <v>-1.1210200357860001</v>
      </c>
      <c r="AH4598">
        <v>41.911796982802102</v>
      </c>
      <c r="AI4598">
        <v>91.528549617520994</v>
      </c>
      <c r="AJ4598">
        <v>86.080189108557306</v>
      </c>
      <c r="AK4598">
        <v>42.025025361971899</v>
      </c>
      <c r="AL4598">
        <v>79.808658766233705</v>
      </c>
      <c r="AM4598">
        <v>82.1145219148043</v>
      </c>
      <c r="AN4598">
        <v>0.99999998451042404</v>
      </c>
    </row>
    <row r="4599" spans="1:40" x14ac:dyDescent="0.25">
      <c r="A4599" t="str">
        <f>"20190303170345896"</f>
        <v>20190303170345896</v>
      </c>
      <c r="B4599" t="str">
        <f>"1551603825890594"</f>
        <v>1551603825890594</v>
      </c>
      <c r="C4599" t="s">
        <v>40</v>
      </c>
      <c r="D4599">
        <v>4.417611</v>
      </c>
      <c r="E4599">
        <v>0.47931750000000001</v>
      </c>
      <c r="F4599" t="s">
        <v>90</v>
      </c>
      <c r="G4599">
        <v>-191.2731</v>
      </c>
      <c r="H4599" s="1">
        <v>-9.2987859999999998E-6</v>
      </c>
      <c r="I4599">
        <v>143.46549999999999</v>
      </c>
      <c r="J4599">
        <v>-190.40639999999999</v>
      </c>
      <c r="K4599">
        <v>1.121086</v>
      </c>
      <c r="L4599">
        <v>184.26820000000001</v>
      </c>
      <c r="M4599">
        <v>4.6008640000000003E-2</v>
      </c>
      <c r="N4599">
        <v>-1.356036E-2</v>
      </c>
      <c r="O4599">
        <v>-0.99884919999999999</v>
      </c>
      <c r="P4599">
        <v>-8.964954E-2</v>
      </c>
      <c r="Q4599">
        <v>0.16321840000000001</v>
      </c>
      <c r="R4599">
        <v>-0.98250870000000001</v>
      </c>
      <c r="S4599">
        <v>-6.4041139999999996E-2</v>
      </c>
      <c r="T4599">
        <v>-8.3659410000000003E-2</v>
      </c>
      <c r="U4599">
        <v>-3.0615540000000001</v>
      </c>
      <c r="V4599">
        <v>0.13508779999999901</v>
      </c>
      <c r="W4599">
        <v>0.17620810000000001</v>
      </c>
      <c r="X4599">
        <v>0.97503949999999995</v>
      </c>
      <c r="Y4599">
        <v>6.6873420000000003E-2</v>
      </c>
      <c r="Z4599">
        <v>1.367433E-2</v>
      </c>
      <c r="AA4599">
        <v>0.99766770000000005</v>
      </c>
      <c r="AB4599">
        <v>20</v>
      </c>
      <c r="AC4599">
        <v>-0.86670000000000802</v>
      </c>
      <c r="AD4599">
        <v>-1.1210952987859999</v>
      </c>
      <c r="AE4599">
        <v>-40.802700000000002</v>
      </c>
      <c r="AF4599">
        <v>2.7411625581731802</v>
      </c>
      <c r="AG4599">
        <v>-1.1210952987859999</v>
      </c>
      <c r="AH4599">
        <v>40.688900907295398</v>
      </c>
      <c r="AI4599">
        <v>91.574695304875505</v>
      </c>
      <c r="AJ4599">
        <v>86.145875584344395</v>
      </c>
      <c r="AK4599">
        <v>40.796537645773299</v>
      </c>
      <c r="AL4599">
        <v>79.851030453668699</v>
      </c>
      <c r="AM4599">
        <v>82.112113780890795</v>
      </c>
      <c r="AN4599">
        <v>1.00000001738734</v>
      </c>
    </row>
    <row r="4600" spans="1:40" x14ac:dyDescent="0.25">
      <c r="A4600" t="str">
        <f>"20190303170345916"</f>
        <v>20190303170345916</v>
      </c>
      <c r="B4600" t="str">
        <f>"1551603825910115"</f>
        <v>1551603825910115</v>
      </c>
      <c r="C4600" t="s">
        <v>40</v>
      </c>
      <c r="D4600">
        <v>4.3302209999999999</v>
      </c>
      <c r="E4600">
        <v>0.47918680000000002</v>
      </c>
      <c r="F4600" t="s">
        <v>90</v>
      </c>
      <c r="G4600">
        <v>-191.29140000000001</v>
      </c>
      <c r="H4600" s="1">
        <v>-9.5299509999999995E-6</v>
      </c>
      <c r="I4600">
        <v>144.32980000000001</v>
      </c>
      <c r="J4600">
        <v>-190.3991</v>
      </c>
      <c r="K4600">
        <v>1.121132</v>
      </c>
      <c r="L4600">
        <v>184.0736</v>
      </c>
      <c r="M4600">
        <v>4.4652409999999997E-2</v>
      </c>
      <c r="N4600">
        <v>-1.3555589999999999E-2</v>
      </c>
      <c r="O4600">
        <v>-0.99891070000000004</v>
      </c>
      <c r="P4600">
        <v>-9.0845319999999993E-2</v>
      </c>
      <c r="Q4600">
        <v>0.1641348</v>
      </c>
      <c r="R4600">
        <v>-0.98224590000000001</v>
      </c>
      <c r="S4600">
        <v>-6.7840579999999998E-2</v>
      </c>
      <c r="T4600">
        <v>-8.5938219999999996E-2</v>
      </c>
      <c r="U4600">
        <v>-3.0615079999999999</v>
      </c>
      <c r="V4600">
        <v>0.13492409999999999</v>
      </c>
      <c r="W4600">
        <v>0.1771336</v>
      </c>
      <c r="X4600">
        <v>0.9748945</v>
      </c>
      <c r="Y4600">
        <v>6.6756049999999997E-2</v>
      </c>
      <c r="Z4600">
        <v>1.442324E-2</v>
      </c>
      <c r="AA4600">
        <v>0.99766500000000002</v>
      </c>
      <c r="AB4600">
        <v>20</v>
      </c>
      <c r="AC4600">
        <v>-0.89230000000000498</v>
      </c>
      <c r="AD4600">
        <v>-1.1211415299509999</v>
      </c>
      <c r="AE4600">
        <v>-39.743799999999901</v>
      </c>
      <c r="AF4600">
        <v>2.6641102845319802</v>
      </c>
      <c r="AG4600">
        <v>-1.1211415299509999</v>
      </c>
      <c r="AH4600">
        <v>39.632782308131603</v>
      </c>
      <c r="AI4600">
        <v>91.616717932177707</v>
      </c>
      <c r="AJ4600">
        <v>86.154370633412597</v>
      </c>
      <c r="AK4600">
        <v>39.738040659072198</v>
      </c>
      <c r="AL4600">
        <v>79.797156152727794</v>
      </c>
      <c r="AM4600">
        <v>82.120395178354698</v>
      </c>
      <c r="AN4600">
        <v>1.0000000555699999</v>
      </c>
    </row>
    <row r="4601" spans="1:40" x14ac:dyDescent="0.25">
      <c r="A4601" t="str">
        <f>"20190303170345939"</f>
        <v>20190303170345939</v>
      </c>
      <c r="B4601" t="str">
        <f>"1551603825930611"</f>
        <v>1551603825930611</v>
      </c>
      <c r="C4601" t="s">
        <v>40</v>
      </c>
      <c r="D4601">
        <v>4.5073939999999997</v>
      </c>
      <c r="E4601">
        <v>0.47914800000000002</v>
      </c>
      <c r="F4601" t="s">
        <v>90</v>
      </c>
      <c r="G4601">
        <v>-191.35919999999999</v>
      </c>
      <c r="H4601" s="1">
        <v>-9.1640629999999997E-6</v>
      </c>
      <c r="I4601">
        <v>142.89680000000001</v>
      </c>
      <c r="J4601">
        <v>-190.392</v>
      </c>
      <c r="K4601">
        <v>1.1211719999999901</v>
      </c>
      <c r="L4601">
        <v>183.8776</v>
      </c>
      <c r="M4601">
        <v>4.334379E-2</v>
      </c>
      <c r="N4601">
        <v>-1.3551189999999999E-2</v>
      </c>
      <c r="O4601">
        <v>-0.99896850000000004</v>
      </c>
      <c r="P4601">
        <v>-9.1782920000000004E-2</v>
      </c>
      <c r="Q4601">
        <v>0.1656215</v>
      </c>
      <c r="R4601">
        <v>-0.98190949999999999</v>
      </c>
      <c r="S4601">
        <v>-7.1380620000000006E-2</v>
      </c>
      <c r="T4601">
        <v>-8.3358409999999994E-2</v>
      </c>
      <c r="U4601">
        <v>-3.0615540000000001</v>
      </c>
      <c r="V4601">
        <v>0.13455500000000001</v>
      </c>
      <c r="W4601">
        <v>0.17862439999999999</v>
      </c>
      <c r="X4601">
        <v>0.97467340000000002</v>
      </c>
      <c r="Y4601">
        <v>6.6602330000000001E-2</v>
      </c>
      <c r="Z4601">
        <v>1.35896E-2</v>
      </c>
      <c r="AA4601">
        <v>0.99768699999999999</v>
      </c>
      <c r="AB4601">
        <v>20</v>
      </c>
      <c r="AC4601">
        <v>-0.96719999999999096</v>
      </c>
      <c r="AD4601">
        <v>-1.1211811640629901</v>
      </c>
      <c r="AE4601">
        <v>-40.980799999999903</v>
      </c>
      <c r="AF4601">
        <v>2.74066659614595</v>
      </c>
      <c r="AG4601">
        <v>-1.1211811640629901</v>
      </c>
      <c r="AH4601">
        <v>40.8697799724102</v>
      </c>
      <c r="AI4601">
        <v>91.567882146005402</v>
      </c>
      <c r="AJ4601">
        <v>86.163574053645604</v>
      </c>
      <c r="AK4601">
        <v>40.976910761880298</v>
      </c>
      <c r="AL4601">
        <v>79.710354551937101</v>
      </c>
      <c r="AM4601">
        <v>82.139920708419595</v>
      </c>
      <c r="AN4601">
        <v>0.99999998048395899</v>
      </c>
    </row>
    <row r="4602" spans="1:40" x14ac:dyDescent="0.25">
      <c r="A4602" t="str">
        <f>"20190303170345960"</f>
        <v>20190303170345960</v>
      </c>
      <c r="B4602" t="str">
        <f>"1551603825950131"</f>
        <v>1551603825950131</v>
      </c>
      <c r="C4602" t="s">
        <v>40</v>
      </c>
      <c r="D4602">
        <v>4.2871620000000004</v>
      </c>
      <c r="E4602">
        <v>0.48093320000000001</v>
      </c>
      <c r="F4602" t="s">
        <v>90</v>
      </c>
      <c r="G4602">
        <v>-191.4538</v>
      </c>
      <c r="H4602" s="1">
        <v>-8.5215499999999998E-6</v>
      </c>
      <c r="I4602">
        <v>140.47799999999901</v>
      </c>
      <c r="J4602">
        <v>-190.38489999999999</v>
      </c>
      <c r="K4602">
        <v>1.1211869999999999</v>
      </c>
      <c r="L4602">
        <v>183.67830000000001</v>
      </c>
      <c r="M4602">
        <v>4.2054309999999998E-2</v>
      </c>
      <c r="N4602">
        <v>-1.354701E-2</v>
      </c>
      <c r="O4602">
        <v>-0.99902369999999996</v>
      </c>
      <c r="P4602">
        <v>-9.3502269999999998E-2</v>
      </c>
      <c r="Q4602">
        <v>0.16595770000000001</v>
      </c>
      <c r="R4602">
        <v>-0.98169019999999996</v>
      </c>
      <c r="S4602">
        <v>-7.4905399999999997E-2</v>
      </c>
      <c r="T4602">
        <v>-7.9093460000000004E-2</v>
      </c>
      <c r="U4602">
        <v>-3.0616150000000002</v>
      </c>
      <c r="V4602">
        <v>0.134996</v>
      </c>
      <c r="W4602">
        <v>0.17895939999999999</v>
      </c>
      <c r="X4602">
        <v>0.97455099999999995</v>
      </c>
      <c r="Y4602">
        <v>6.6463049999999996E-2</v>
      </c>
      <c r="Z4602">
        <v>1.220678E-2</v>
      </c>
      <c r="AA4602">
        <v>0.9977142</v>
      </c>
      <c r="AB4602">
        <v>20</v>
      </c>
      <c r="AC4602">
        <v>-1.06890000000001</v>
      </c>
      <c r="AD4602">
        <v>-1.12119552155</v>
      </c>
      <c r="AE4602">
        <v>-43.200299999999999</v>
      </c>
      <c r="AF4602">
        <v>2.8829386361450799</v>
      </c>
      <c r="AG4602">
        <v>-1.12119552155</v>
      </c>
      <c r="AH4602">
        <v>43.0881133228743</v>
      </c>
      <c r="AI4602">
        <v>91.487233042878799</v>
      </c>
      <c r="AJ4602">
        <v>86.172160313441097</v>
      </c>
      <c r="AK4602">
        <v>43.199003742009801</v>
      </c>
      <c r="AL4602">
        <v>79.690846528142998</v>
      </c>
      <c r="AM4602">
        <v>82.1135051577415</v>
      </c>
      <c r="AN4602">
        <v>1.0000000192326699</v>
      </c>
    </row>
    <row r="4603" spans="1:40" x14ac:dyDescent="0.25">
      <c r="A4603" t="str">
        <f>"20190303170345984"</f>
        <v>20190303170345984</v>
      </c>
      <c r="B4603" t="str">
        <f>"1551603825970628"</f>
        <v>1551603825970628</v>
      </c>
      <c r="C4603" t="s">
        <v>40</v>
      </c>
      <c r="D4603">
        <v>4.3992829999999996</v>
      </c>
      <c r="E4603">
        <v>0.55450650000000001</v>
      </c>
      <c r="F4603" t="s">
        <v>90</v>
      </c>
      <c r="G4603">
        <v>-191.7244</v>
      </c>
      <c r="H4603" s="1">
        <v>-8.4738530000000001E-6</v>
      </c>
      <c r="I4603">
        <v>140.18700000000001</v>
      </c>
      <c r="J4603">
        <v>-190.37790000000001</v>
      </c>
      <c r="K4603">
        <v>1.1211949999999999</v>
      </c>
      <c r="L4603">
        <v>183.4736</v>
      </c>
      <c r="M4603">
        <v>4.0754119999999998E-2</v>
      </c>
      <c r="N4603">
        <v>-1.3543049999999999E-2</v>
      </c>
      <c r="O4603">
        <v>-0.99907760000000001</v>
      </c>
      <c r="P4603">
        <v>-9.5415979999999997E-2</v>
      </c>
      <c r="Q4603">
        <v>0.1651928</v>
      </c>
      <c r="R4603">
        <v>-0.98163520000000004</v>
      </c>
      <c r="S4603">
        <v>-9.4253539999999997E-2</v>
      </c>
      <c r="T4603">
        <v>-7.889438E-2</v>
      </c>
      <c r="U4603">
        <v>-3.0603180000000001</v>
      </c>
      <c r="V4603">
        <v>0.13563140000000001</v>
      </c>
      <c r="W4603">
        <v>0.178191299999999</v>
      </c>
      <c r="X4603">
        <v>0.97460349999999996</v>
      </c>
      <c r="Y4603">
        <v>7.1475650000000002E-2</v>
      </c>
      <c r="Z4603">
        <v>1.2150650000000001E-2</v>
      </c>
      <c r="AA4603">
        <v>0.99736829999999999</v>
      </c>
      <c r="AB4603">
        <v>20</v>
      </c>
      <c r="AC4603">
        <v>-1.34649999999999</v>
      </c>
      <c r="AD4603">
        <v>-1.1212034738529999</v>
      </c>
      <c r="AE4603">
        <v>-43.2865999999999</v>
      </c>
      <c r="AF4603">
        <v>3.1075670331901302</v>
      </c>
      <c r="AG4603">
        <v>-1.1212034738529999</v>
      </c>
      <c r="AH4603">
        <v>43.1668178114315</v>
      </c>
      <c r="AI4603">
        <v>91.484012084254502</v>
      </c>
      <c r="AJ4603">
        <v>85.882396384004494</v>
      </c>
      <c r="AK4603">
        <v>43.293050597767703</v>
      </c>
      <c r="AL4603">
        <v>79.735574152720005</v>
      </c>
      <c r="AM4603">
        <v>82.077276677878601</v>
      </c>
      <c r="AN4603">
        <v>0.99999999913694904</v>
      </c>
    </row>
    <row r="4604" spans="1:40" x14ac:dyDescent="0.25">
      <c r="A4604" t="str">
        <f>"20190303170346008"</f>
        <v>20190303170346008</v>
      </c>
      <c r="B4604" t="str">
        <f>"1551603825999907"</f>
        <v>1551603825999907</v>
      </c>
      <c r="C4604" t="s">
        <v>40</v>
      </c>
      <c r="D4604">
        <v>4.3452840000000004</v>
      </c>
      <c r="E4604">
        <v>0.55570240000000004</v>
      </c>
      <c r="F4604" t="s">
        <v>90</v>
      </c>
      <c r="G4604">
        <v>-196.14</v>
      </c>
      <c r="H4604" s="1">
        <v>-1.458492E-5</v>
      </c>
      <c r="I4604">
        <v>158.05609999999999</v>
      </c>
      <c r="J4604">
        <v>-190.3706</v>
      </c>
      <c r="K4604">
        <v>1.1211979999999999</v>
      </c>
      <c r="L4604">
        <v>183.25319999999999</v>
      </c>
      <c r="M4604">
        <v>3.9361060000000003E-2</v>
      </c>
      <c r="N4604">
        <v>-1.353916E-2</v>
      </c>
      <c r="O4604">
        <v>-0.99913359999999996</v>
      </c>
      <c r="P4604">
        <v>-9.671681E-2</v>
      </c>
      <c r="Q4604">
        <v>0.16517609999999999</v>
      </c>
      <c r="R4604">
        <v>-0.98151049999999995</v>
      </c>
      <c r="S4604">
        <v>-0.68284609999999901</v>
      </c>
      <c r="T4604">
        <v>-0.13286889999999901</v>
      </c>
      <c r="U4604">
        <v>-3.0121000000000002</v>
      </c>
      <c r="V4604">
        <v>0.13556589999999999</v>
      </c>
      <c r="W4604">
        <v>0.1781702</v>
      </c>
      <c r="X4604">
        <v>0.9746165</v>
      </c>
      <c r="Y4604">
        <v>0.2591175</v>
      </c>
      <c r="Z4604">
        <v>2.913402E-2</v>
      </c>
      <c r="AA4604">
        <v>0.96540630000000005</v>
      </c>
      <c r="AB4604">
        <v>20</v>
      </c>
      <c r="AC4604">
        <v>-5.7693999999999903</v>
      </c>
      <c r="AD4604">
        <v>-1.1212125849200001</v>
      </c>
      <c r="AE4604">
        <v>-25.197099999999999</v>
      </c>
      <c r="AF4604">
        <v>6.7441149894864703</v>
      </c>
      <c r="AG4604">
        <v>-1.1212125849200001</v>
      </c>
      <c r="AH4604">
        <v>24.9036057659692</v>
      </c>
      <c r="AI4604">
        <v>92.488324811169406</v>
      </c>
      <c r="AJ4604">
        <v>74.847242848394799</v>
      </c>
      <c r="AK4604">
        <v>25.824983732788901</v>
      </c>
      <c r="AL4604">
        <v>79.736803050779201</v>
      </c>
      <c r="AM4604">
        <v>82.081158507676903</v>
      </c>
      <c r="AN4604">
        <v>1.00000002774154</v>
      </c>
    </row>
    <row r="4605" spans="1:40" x14ac:dyDescent="0.25">
      <c r="A4605" t="str">
        <f>"20190303170346030"</f>
        <v>20190303170346030</v>
      </c>
      <c r="B4605" t="str">
        <f>"1551603826020403"</f>
        <v>1551603826020403</v>
      </c>
      <c r="C4605" t="s">
        <v>40</v>
      </c>
      <c r="D4605">
        <v>4.3355550000000003</v>
      </c>
      <c r="E4605">
        <v>0.55559950000000002</v>
      </c>
      <c r="F4605" t="s">
        <v>90</v>
      </c>
      <c r="G4605">
        <v>-196.25280000000001</v>
      </c>
      <c r="H4605" s="1">
        <v>-1.453223E-5</v>
      </c>
      <c r="I4605">
        <v>157.8467</v>
      </c>
      <c r="J4605">
        <v>-190.36439999999999</v>
      </c>
      <c r="K4605">
        <v>1.1212040000000001</v>
      </c>
      <c r="L4605">
        <v>183.0599</v>
      </c>
      <c r="M4605">
        <v>3.8129469999999999E-2</v>
      </c>
      <c r="N4605">
        <v>-1.353616E-2</v>
      </c>
      <c r="O4605">
        <v>-0.99918130000000005</v>
      </c>
      <c r="P4605">
        <v>-9.7640550000000007E-2</v>
      </c>
      <c r="Q4605">
        <v>0.1672112</v>
      </c>
      <c r="R4605">
        <v>-0.98107449999999996</v>
      </c>
      <c r="S4605">
        <v>-0.69692989999999999</v>
      </c>
      <c r="T4605">
        <v>-0.1328416</v>
      </c>
      <c r="U4605">
        <v>-3.0101779999999998</v>
      </c>
      <c r="V4605">
        <v>0.13527500000000001</v>
      </c>
      <c r="W4605">
        <v>0.18019540000000001</v>
      </c>
      <c r="X4605">
        <v>0.9742845</v>
      </c>
      <c r="Y4605">
        <v>0.2623489</v>
      </c>
      <c r="Z4605">
        <v>2.9117629999999999E-2</v>
      </c>
      <c r="AA4605">
        <v>0.96453370000000005</v>
      </c>
      <c r="AB4605">
        <v>20</v>
      </c>
      <c r="AC4605">
        <v>-5.8884000000000096</v>
      </c>
      <c r="AD4605">
        <v>-1.1212185322299999</v>
      </c>
      <c r="AE4605">
        <v>-25.213200000000001</v>
      </c>
      <c r="AF4605">
        <v>6.8327579212874499</v>
      </c>
      <c r="AG4605">
        <v>-1.1212185322299999</v>
      </c>
      <c r="AH4605">
        <v>24.923581618150301</v>
      </c>
      <c r="AI4605">
        <v>92.484243577285994</v>
      </c>
      <c r="AJ4605">
        <v>74.669125657415506</v>
      </c>
      <c r="AK4605">
        <v>25.867520802824</v>
      </c>
      <c r="AL4605">
        <v>79.618858466321598</v>
      </c>
      <c r="AM4605">
        <v>82.095277333929701</v>
      </c>
      <c r="AN4605">
        <v>0.999999997373205</v>
      </c>
    </row>
    <row r="4606" spans="1:40" x14ac:dyDescent="0.25">
      <c r="A4606" t="str">
        <f>"20190303170346051"</f>
        <v>20190303170346051</v>
      </c>
      <c r="B4606" t="str">
        <f>"1551603826039923"</f>
        <v>1551603826039923</v>
      </c>
      <c r="C4606" t="s">
        <v>40</v>
      </c>
      <c r="D4606">
        <v>4.3643470000000004</v>
      </c>
      <c r="E4606">
        <v>0.55551099999999998</v>
      </c>
      <c r="F4606" t="s">
        <v>90</v>
      </c>
      <c r="G4606">
        <v>-196.62819999999999</v>
      </c>
      <c r="H4606" s="1">
        <v>-1.406691E-5</v>
      </c>
      <c r="I4606">
        <v>156.1147</v>
      </c>
      <c r="J4606">
        <v>-190.35849999999999</v>
      </c>
      <c r="K4606">
        <v>1.1212120000000001</v>
      </c>
      <c r="L4606">
        <v>182.86490000000001</v>
      </c>
      <c r="M4606">
        <v>3.6873360000000001E-2</v>
      </c>
      <c r="N4606">
        <v>-1.353331E-2</v>
      </c>
      <c r="O4606">
        <v>-0.99922829999999996</v>
      </c>
      <c r="P4606">
        <v>-9.8374249999999996E-2</v>
      </c>
      <c r="Q4606">
        <v>0.17005629999999999</v>
      </c>
      <c r="R4606">
        <v>-0.98051169999999999</v>
      </c>
      <c r="S4606">
        <v>-0.69961549999999995</v>
      </c>
      <c r="T4606">
        <v>-0.12523190000000001</v>
      </c>
      <c r="U4606">
        <v>-3.0095830000000001</v>
      </c>
      <c r="V4606">
        <v>0.13476920000000001</v>
      </c>
      <c r="W4606">
        <v>0.183029</v>
      </c>
      <c r="X4606">
        <v>0.97382630000000003</v>
      </c>
      <c r="Y4606">
        <v>0.26201439999999998</v>
      </c>
      <c r="Z4606">
        <v>2.6687499999999999E-2</v>
      </c>
      <c r="AA4606">
        <v>0.96469490000000002</v>
      </c>
      <c r="AB4606">
        <v>20</v>
      </c>
      <c r="AC4606">
        <v>-6.2697000000000003</v>
      </c>
      <c r="AD4606">
        <v>-1.12122606691</v>
      </c>
      <c r="AE4606">
        <v>-26.7502</v>
      </c>
      <c r="AF4606">
        <v>7.23983867609976</v>
      </c>
      <c r="AG4606">
        <v>-1.12122606691</v>
      </c>
      <c r="AH4606">
        <v>26.4567391257333</v>
      </c>
      <c r="AI4606">
        <v>92.340761285208998</v>
      </c>
      <c r="AJ4606">
        <v>74.695781252465295</v>
      </c>
      <c r="AK4606">
        <v>27.4523488451566</v>
      </c>
      <c r="AL4606">
        <v>79.453759632012293</v>
      </c>
      <c r="AM4606">
        <v>82.12080289907</v>
      </c>
      <c r="AN4606">
        <v>1.0000000073406601</v>
      </c>
    </row>
    <row r="4607" spans="1:40" x14ac:dyDescent="0.25">
      <c r="A4607" t="str">
        <f>"20190303170346074"</f>
        <v>20190303170346074</v>
      </c>
      <c r="B4607" t="str">
        <f>"1551603826060419"</f>
        <v>1551603826060419</v>
      </c>
      <c r="C4607" t="s">
        <v>40</v>
      </c>
      <c r="D4607">
        <v>4.3639570000000001</v>
      </c>
      <c r="E4607">
        <v>0.55533949999999999</v>
      </c>
      <c r="F4607" t="s">
        <v>90</v>
      </c>
      <c r="G4607">
        <v>-197.30330000000001</v>
      </c>
      <c r="H4607" s="1">
        <v>-1.31152799999999E-5</v>
      </c>
      <c r="I4607">
        <v>153.15090000000001</v>
      </c>
      <c r="J4607">
        <v>-190.35249999999999</v>
      </c>
      <c r="K4607">
        <v>1.1212070000000001</v>
      </c>
      <c r="L4607">
        <v>182.6593</v>
      </c>
      <c r="M4607">
        <v>3.5534980000000001E-2</v>
      </c>
      <c r="N4607">
        <v>-1.3530530000000001E-2</v>
      </c>
      <c r="O4607">
        <v>-0.99927690000000002</v>
      </c>
      <c r="P4607">
        <v>-9.9171449999999994E-2</v>
      </c>
      <c r="Q4607">
        <v>0.17254449999999999</v>
      </c>
      <c r="R4607">
        <v>-0.97999709999999995</v>
      </c>
      <c r="S4607">
        <v>-0.70321659999999997</v>
      </c>
      <c r="T4607">
        <v>-0.1135335</v>
      </c>
      <c r="U4607">
        <v>-3.0087890000000002</v>
      </c>
      <c r="V4607">
        <v>0.1342497</v>
      </c>
      <c r="W4607">
        <v>0.18550639999999999</v>
      </c>
      <c r="X4607">
        <v>0.97342919999999999</v>
      </c>
      <c r="Y4607">
        <v>0.26190099999999999</v>
      </c>
      <c r="Z4607">
        <v>2.2941820000000002E-2</v>
      </c>
      <c r="AA4607">
        <v>0.96482199999999996</v>
      </c>
      <c r="AB4607">
        <v>20</v>
      </c>
      <c r="AC4607">
        <v>-6.9508000000000099</v>
      </c>
      <c r="AD4607">
        <v>-1.1212201152799901</v>
      </c>
      <c r="AE4607">
        <v>-29.508399999999899</v>
      </c>
      <c r="AF4607">
        <v>7.9841645002797801</v>
      </c>
      <c r="AG4607">
        <v>-1.1212201152799901</v>
      </c>
      <c r="AH4607">
        <v>29.202795904807399</v>
      </c>
      <c r="AI4607">
        <v>92.120981844164405</v>
      </c>
      <c r="AJ4607">
        <v>74.708792207241302</v>
      </c>
      <c r="AK4607">
        <v>30.295334722895401</v>
      </c>
      <c r="AL4607">
        <v>79.309342029162295</v>
      </c>
      <c r="AM4607">
        <v>82.147633778642501</v>
      </c>
      <c r="AN4607">
        <v>1.00000000690184</v>
      </c>
    </row>
    <row r="4608" spans="1:40" x14ac:dyDescent="0.25">
      <c r="A4608" t="str">
        <f>"20190303170346097"</f>
        <v>20190303170346097</v>
      </c>
      <c r="B4608" t="str">
        <f>"1551603826090600"</f>
        <v>1551603826090600</v>
      </c>
      <c r="C4608" t="s">
        <v>40</v>
      </c>
      <c r="D4608">
        <v>4.388592</v>
      </c>
      <c r="E4608">
        <v>0.55514790000000003</v>
      </c>
      <c r="F4608" t="s">
        <v>90</v>
      </c>
      <c r="G4608">
        <v>-197.88839999999999</v>
      </c>
      <c r="H4608" s="1">
        <v>-1.249897E-5</v>
      </c>
      <c r="I4608">
        <v>150.55959999999999</v>
      </c>
      <c r="J4608">
        <v>-190.3467</v>
      </c>
      <c r="K4608">
        <v>1.121189</v>
      </c>
      <c r="L4608">
        <v>182.45330000000001</v>
      </c>
      <c r="M4608">
        <v>3.417978E-2</v>
      </c>
      <c r="N4608">
        <v>-1.3527829999999999E-2</v>
      </c>
      <c r="O4608">
        <v>-0.99932430000000005</v>
      </c>
      <c r="P4608">
        <v>-0.1004746</v>
      </c>
      <c r="Q4608">
        <v>0.17165629999999901</v>
      </c>
      <c r="R4608">
        <v>-0.98002029999999996</v>
      </c>
      <c r="S4608">
        <v>-0.70623780000000003</v>
      </c>
      <c r="T4608">
        <v>-0.1050767</v>
      </c>
      <c r="U4608">
        <v>-3.00827</v>
      </c>
      <c r="V4608">
        <v>0.134233399999999</v>
      </c>
      <c r="W4608">
        <v>0.18461320000000001</v>
      </c>
      <c r="X4608">
        <v>0.97360119999999895</v>
      </c>
      <c r="Y4608">
        <v>0.26156610000000002</v>
      </c>
      <c r="Z4608">
        <v>2.0234120000000001E-2</v>
      </c>
      <c r="AA4608">
        <v>0.96497339999999998</v>
      </c>
      <c r="AB4608">
        <v>20</v>
      </c>
      <c r="AC4608">
        <v>-7.5416999999999899</v>
      </c>
      <c r="AD4608">
        <v>-1.1212014989700001</v>
      </c>
      <c r="AE4608">
        <v>-31.893699999999999</v>
      </c>
      <c r="AF4608">
        <v>8.6174261200849802</v>
      </c>
      <c r="AG4608">
        <v>-1.1212014989700001</v>
      </c>
      <c r="AH4608">
        <v>31.5803028327813</v>
      </c>
      <c r="AI4608">
        <v>91.961666434838193</v>
      </c>
      <c r="AJ4608">
        <v>74.737086188086195</v>
      </c>
      <c r="AK4608">
        <v>32.754124209732602</v>
      </c>
      <c r="AL4608">
        <v>79.361417698614105</v>
      </c>
      <c r="AM4608">
        <v>82.149945053795307</v>
      </c>
      <c r="AN4608">
        <v>0.99999996796561896</v>
      </c>
    </row>
    <row r="4609" spans="1:40" x14ac:dyDescent="0.25">
      <c r="A4609" t="str">
        <f>"20190303170346117"</f>
        <v>20190303170346117</v>
      </c>
      <c r="B4609" t="str">
        <f>"1551603826110120"</f>
        <v>1551603826110120</v>
      </c>
      <c r="C4609" t="s">
        <v>40</v>
      </c>
      <c r="D4609">
        <v>4.4040429999999997</v>
      </c>
      <c r="E4609">
        <v>0.55502180000000001</v>
      </c>
      <c r="F4609" t="s">
        <v>90</v>
      </c>
      <c r="G4609">
        <v>-197.67070000000001</v>
      </c>
      <c r="H4609" s="1">
        <v>-1.271503E-5</v>
      </c>
      <c r="I4609">
        <v>151.4306</v>
      </c>
      <c r="J4609">
        <v>-190.3417</v>
      </c>
      <c r="K4609">
        <v>1.121176</v>
      </c>
      <c r="L4609">
        <v>182.26249999999999</v>
      </c>
      <c r="M4609">
        <v>3.2915769999999997E-2</v>
      </c>
      <c r="N4609">
        <v>-1.3525519999999999E-2</v>
      </c>
      <c r="O4609">
        <v>-0.99936650000000005</v>
      </c>
      <c r="P4609">
        <v>-0.10228470000000001</v>
      </c>
      <c r="Q4609">
        <v>0.16887099999999999</v>
      </c>
      <c r="R4609">
        <v>-0.98031670000000004</v>
      </c>
      <c r="S4609">
        <v>-0.71000669999999899</v>
      </c>
      <c r="T4609">
        <v>-0.1086925</v>
      </c>
      <c r="U4609">
        <v>-3.007431</v>
      </c>
      <c r="V4609">
        <v>0.1348172</v>
      </c>
      <c r="W4609">
        <v>0.1818274</v>
      </c>
      <c r="X4609">
        <v>0.97404469999999999</v>
      </c>
      <c r="Y4609">
        <v>0.26154339999999998</v>
      </c>
      <c r="Z4609">
        <v>2.1407539999999999E-2</v>
      </c>
      <c r="AA4609">
        <v>0.96495430000000004</v>
      </c>
      <c r="AB4609">
        <v>20</v>
      </c>
      <c r="AC4609">
        <v>-7.3289999999999997</v>
      </c>
      <c r="AD4609">
        <v>-1.1211887150299999</v>
      </c>
      <c r="AE4609">
        <v>-30.831899999999901</v>
      </c>
      <c r="AF4609">
        <v>8.3295508417501605</v>
      </c>
      <c r="AG4609">
        <v>-1.1211887150299999</v>
      </c>
      <c r="AH4609">
        <v>30.535708039735599</v>
      </c>
      <c r="AI4609">
        <v>92.028742497006505</v>
      </c>
      <c r="AJ4609">
        <v>74.742033802690401</v>
      </c>
      <c r="AK4609">
        <v>31.671247952172401</v>
      </c>
      <c r="AL4609">
        <v>79.523780967338396</v>
      </c>
      <c r="AM4609">
        <v>82.119776961505096</v>
      </c>
      <c r="AN4609">
        <v>0.99999997920234396</v>
      </c>
    </row>
    <row r="4610" spans="1:40" x14ac:dyDescent="0.25">
      <c r="A4610" t="str">
        <f>"20190303170346140"</f>
        <v>20190303170346140</v>
      </c>
      <c r="B4610" t="str">
        <f>"1551603826130616"</f>
        <v>1551603826130616</v>
      </c>
      <c r="C4610" t="s">
        <v>40</v>
      </c>
      <c r="D4610">
        <v>4.390555</v>
      </c>
      <c r="E4610">
        <v>0.55483879999999997</v>
      </c>
      <c r="F4610" t="s">
        <v>90</v>
      </c>
      <c r="G4610">
        <v>-197.0299</v>
      </c>
      <c r="H4610" s="1">
        <v>-1.333677E-5</v>
      </c>
      <c r="I4610">
        <v>154.1275</v>
      </c>
      <c r="J4610">
        <v>-190.33680000000001</v>
      </c>
      <c r="K4610">
        <v>1.1211709999999999</v>
      </c>
      <c r="L4610">
        <v>182.06530000000001</v>
      </c>
      <c r="M4610">
        <v>3.1603630000000001E-2</v>
      </c>
      <c r="N4610">
        <v>-1.352313E-2</v>
      </c>
      <c r="O4610">
        <v>-0.99940899999999999</v>
      </c>
      <c r="P4610">
        <v>-0.10464370000000001</v>
      </c>
      <c r="Q4610">
        <v>0.1685787</v>
      </c>
      <c r="R4610">
        <v>-0.98011809999999999</v>
      </c>
      <c r="S4610">
        <v>-0.71464539999999999</v>
      </c>
      <c r="T4610">
        <v>-0.1198012</v>
      </c>
      <c r="U4610">
        <v>-3.0062709999999999</v>
      </c>
      <c r="V4610">
        <v>0.1358895</v>
      </c>
      <c r="W4610">
        <v>0.18152679999999999</v>
      </c>
      <c r="X4610">
        <v>0.97395180000000003</v>
      </c>
      <c r="Y4610">
        <v>0.26174350000000002</v>
      </c>
      <c r="Z4610">
        <v>2.49921E-2</v>
      </c>
      <c r="AA4610">
        <v>0.96481380000000005</v>
      </c>
      <c r="AB4610">
        <v>20</v>
      </c>
      <c r="AC4610">
        <v>-6.6930999999999798</v>
      </c>
      <c r="AD4610">
        <v>-1.1211843367699901</v>
      </c>
      <c r="AE4610">
        <v>-27.937799999999999</v>
      </c>
      <c r="AF4610">
        <v>7.5612560275263503</v>
      </c>
      <c r="AG4610">
        <v>-1.1211843367699901</v>
      </c>
      <c r="AH4610">
        <v>27.6701515603541</v>
      </c>
      <c r="AI4610">
        <v>92.238354587019003</v>
      </c>
      <c r="AJ4610">
        <v>74.716262507366196</v>
      </c>
      <c r="AK4610">
        <v>28.706566050361801</v>
      </c>
      <c r="AL4610">
        <v>79.541296005520906</v>
      </c>
      <c r="AM4610">
        <v>82.057148582308898</v>
      </c>
      <c r="AN4610">
        <v>1.00000002202586</v>
      </c>
    </row>
    <row r="4611" spans="1:40" x14ac:dyDescent="0.25">
      <c r="A4611" t="str">
        <f>"20190303170346152"</f>
        <v>20190303170346152</v>
      </c>
      <c r="B4611" t="str">
        <f>"1551603826140376"</f>
        <v>1551603826140376</v>
      </c>
      <c r="C4611" t="s">
        <v>40</v>
      </c>
      <c r="D4611">
        <v>4.3927750000000003</v>
      </c>
      <c r="E4611">
        <v>0.55484169999999999</v>
      </c>
      <c r="F4611" t="s">
        <v>90</v>
      </c>
      <c r="G4611">
        <v>-196.9025</v>
      </c>
      <c r="H4611" s="1">
        <v>-1.347581E-5</v>
      </c>
      <c r="I4611">
        <v>154.68010000000001</v>
      </c>
      <c r="J4611">
        <v>-190.334</v>
      </c>
      <c r="K4611">
        <v>1.121173</v>
      </c>
      <c r="L4611">
        <v>181.9486</v>
      </c>
      <c r="M4611">
        <v>3.0825559999999998E-2</v>
      </c>
      <c r="N4611">
        <v>-1.3521689999999999E-2</v>
      </c>
      <c r="O4611">
        <v>-0.99943329999999997</v>
      </c>
      <c r="P4611">
        <v>-0.1057724</v>
      </c>
      <c r="Q4611">
        <v>0.16872789999999999</v>
      </c>
      <c r="R4611">
        <v>-0.97997129999999999</v>
      </c>
      <c r="S4611">
        <v>-0.7204895</v>
      </c>
      <c r="T4611">
        <v>-0.1230323</v>
      </c>
      <c r="U4611">
        <v>-3.005096</v>
      </c>
      <c r="V4611">
        <v>0.13625479999999901</v>
      </c>
      <c r="W4611">
        <v>0.18167220000000001</v>
      </c>
      <c r="X4611">
        <v>0.97387360000000001</v>
      </c>
      <c r="Y4611">
        <v>0.26284350000000001</v>
      </c>
      <c r="Z4611">
        <v>2.603482E-2</v>
      </c>
      <c r="AA4611">
        <v>0.96448710000000004</v>
      </c>
      <c r="AB4611">
        <v>20</v>
      </c>
      <c r="AC4611">
        <v>-6.5685000000000002</v>
      </c>
      <c r="AD4611">
        <v>-1.1211864758100001</v>
      </c>
      <c r="AE4611">
        <v>-27.2684999999999</v>
      </c>
      <c r="AF4611">
        <v>7.3942067156512596</v>
      </c>
      <c r="AG4611">
        <v>-1.1211864758100001</v>
      </c>
      <c r="AH4611">
        <v>27.009884973916499</v>
      </c>
      <c r="AI4611">
        <v>92.292729964654995</v>
      </c>
      <c r="AJ4611">
        <v>74.689859555483494</v>
      </c>
      <c r="AK4611">
        <v>28.0261527572288</v>
      </c>
      <c r="AL4611">
        <v>79.532823826605295</v>
      </c>
      <c r="AM4611">
        <v>82.035438816165893</v>
      </c>
      <c r="AN4611">
        <v>0.99999997377641903</v>
      </c>
    </row>
    <row r="4612" spans="1:40" x14ac:dyDescent="0.25">
      <c r="A4612" t="str">
        <f>"20190303170346164"</f>
        <v>20190303170346164</v>
      </c>
      <c r="B4612" t="str">
        <f>"1551603826150136"</f>
        <v>1551603826150136</v>
      </c>
      <c r="C4612" t="s">
        <v>40</v>
      </c>
      <c r="D4612">
        <v>4.37425</v>
      </c>
      <c r="E4612">
        <v>0.55483479999999996</v>
      </c>
      <c r="F4612" t="s">
        <v>90</v>
      </c>
      <c r="G4612">
        <v>-196.88919999999999</v>
      </c>
      <c r="H4612" s="1">
        <v>-1.349879E-5</v>
      </c>
      <c r="I4612">
        <v>154.7364</v>
      </c>
      <c r="J4612">
        <v>-190.33160000000001</v>
      </c>
      <c r="K4612">
        <v>1.1211739999999999</v>
      </c>
      <c r="L4612">
        <v>181.84440000000001</v>
      </c>
      <c r="M4612">
        <v>3.0130489999999999E-2</v>
      </c>
      <c r="N4612">
        <v>-1.352045E-2</v>
      </c>
      <c r="O4612">
        <v>-0.99945459999999997</v>
      </c>
      <c r="P4612">
        <v>-0.1070324</v>
      </c>
      <c r="Q4612">
        <v>0.1701983</v>
      </c>
      <c r="R4612">
        <v>-0.97958000000000001</v>
      </c>
      <c r="S4612">
        <v>-0.72377009999999997</v>
      </c>
      <c r="T4612">
        <v>-0.123791</v>
      </c>
      <c r="U4612">
        <v>-3.0045169999999999</v>
      </c>
      <c r="V4612">
        <v>0.136827</v>
      </c>
      <c r="W4612">
        <v>0.1831354</v>
      </c>
      <c r="X4612">
        <v>0.97351929999999998</v>
      </c>
      <c r="Y4612">
        <v>0.26320830000000001</v>
      </c>
      <c r="Z4612">
        <v>2.628258E-2</v>
      </c>
      <c r="AA4612">
        <v>0.96438100000000004</v>
      </c>
      <c r="AB4612">
        <v>20</v>
      </c>
      <c r="AC4612">
        <v>-6.5575999999999697</v>
      </c>
      <c r="AD4612">
        <v>-1.1211874987899999</v>
      </c>
      <c r="AE4612">
        <v>-27.108000000000001</v>
      </c>
      <c r="AF4612">
        <v>7.3595803865954901</v>
      </c>
      <c r="AG4612">
        <v>-1.1211874987899999</v>
      </c>
      <c r="AH4612">
        <v>26.8546889185073</v>
      </c>
      <c r="AI4612">
        <v>92.305795957140305</v>
      </c>
      <c r="AJ4612">
        <v>74.674260132999805</v>
      </c>
      <c r="AK4612">
        <v>27.8674505791973</v>
      </c>
      <c r="AL4612">
        <v>79.447558630435196</v>
      </c>
      <c r="AM4612">
        <v>81.999550695683993</v>
      </c>
      <c r="AN4612">
        <v>1.0000000150673201</v>
      </c>
    </row>
    <row r="4613" spans="1:40" x14ac:dyDescent="0.25">
      <c r="A4613" t="str">
        <f>"20190303170346177"</f>
        <v>20190303170346177</v>
      </c>
      <c r="B4613" t="str">
        <f>"1551603826170634"</f>
        <v>1551603826170634</v>
      </c>
      <c r="C4613" t="s">
        <v>40</v>
      </c>
      <c r="D4613">
        <v>4.3978849999999996</v>
      </c>
      <c r="E4613">
        <v>0.55473879999999998</v>
      </c>
      <c r="F4613" t="s">
        <v>90</v>
      </c>
      <c r="G4613">
        <v>-197.11580000000001</v>
      </c>
      <c r="H4613" s="1">
        <v>-1.326509E-5</v>
      </c>
      <c r="I4613">
        <v>153.81229999999999</v>
      </c>
      <c r="J4613">
        <v>-190.32900000000001</v>
      </c>
      <c r="K4613">
        <v>1.121175</v>
      </c>
      <c r="L4613">
        <v>181.73240000000001</v>
      </c>
      <c r="M4613">
        <v>2.9383469999999998E-2</v>
      </c>
      <c r="N4613">
        <v>-1.3519160000000001E-2</v>
      </c>
      <c r="O4613">
        <v>-0.99947719999999995</v>
      </c>
      <c r="P4613">
        <v>-0.10822569999999999</v>
      </c>
      <c r="Q4613">
        <v>0.17159869999999999</v>
      </c>
      <c r="R4613">
        <v>-0.97920479999999999</v>
      </c>
      <c r="S4613">
        <v>-0.72702029999999995</v>
      </c>
      <c r="T4613">
        <v>-0.1201493</v>
      </c>
      <c r="U4613">
        <v>-3.0039829999999998</v>
      </c>
      <c r="V4613">
        <v>0.1372825</v>
      </c>
      <c r="W4613">
        <v>0.18452840000000001</v>
      </c>
      <c r="X4613">
        <v>0.97319199999999995</v>
      </c>
      <c r="Y4613">
        <v>0.26352130000000001</v>
      </c>
      <c r="Z4613">
        <v>2.5115510000000001E-2</v>
      </c>
      <c r="AA4613">
        <v>0.96432660000000003</v>
      </c>
      <c r="AB4613">
        <v>20</v>
      </c>
      <c r="AC4613">
        <v>-6.7868000000000004</v>
      </c>
      <c r="AD4613">
        <v>-1.12118826509</v>
      </c>
      <c r="AE4613">
        <v>-27.920100000000001</v>
      </c>
      <c r="AF4613">
        <v>7.5927721731722997</v>
      </c>
      <c r="AG4613">
        <v>-1.12118826509</v>
      </c>
      <c r="AH4613">
        <v>27.6664788719951</v>
      </c>
      <c r="AI4613">
        <v>92.237989708234494</v>
      </c>
      <c r="AJ4613">
        <v>74.653614150583195</v>
      </c>
      <c r="AK4613">
        <v>28.7113445448664</v>
      </c>
      <c r="AL4613">
        <v>79.366361037171899</v>
      </c>
      <c r="AM4613">
        <v>81.970599255958604</v>
      </c>
      <c r="AN4613">
        <v>0.99999994203840303</v>
      </c>
    </row>
    <row r="4614" spans="1:40" x14ac:dyDescent="0.25">
      <c r="A4614" t="str">
        <f>"20190303170346189"</f>
        <v>20190303170346189</v>
      </c>
      <c r="B4614" t="str">
        <f>"1551603826180392"</f>
        <v>1551603826180392</v>
      </c>
      <c r="C4614" t="s">
        <v>40</v>
      </c>
      <c r="D4614">
        <v>4.4113059999999997</v>
      </c>
      <c r="E4614">
        <v>0.55471479999999995</v>
      </c>
      <c r="F4614" t="s">
        <v>90</v>
      </c>
      <c r="G4614">
        <v>-197.261</v>
      </c>
      <c r="H4614" s="1">
        <v>-1.311836E-5</v>
      </c>
      <c r="I4614">
        <v>153.178</v>
      </c>
      <c r="J4614">
        <v>-190.32660000000001</v>
      </c>
      <c r="K4614">
        <v>1.1211739999999999</v>
      </c>
      <c r="L4614">
        <v>181.62110000000001</v>
      </c>
      <c r="M4614">
        <v>2.8640809999999999E-2</v>
      </c>
      <c r="N4614">
        <v>-1.3517919999999999E-2</v>
      </c>
      <c r="O4614">
        <v>-0.99949840000000001</v>
      </c>
      <c r="P4614">
        <v>-0.109337</v>
      </c>
      <c r="Q4614">
        <v>0.17220179999999999</v>
      </c>
      <c r="R4614">
        <v>-0.97897509999999999</v>
      </c>
      <c r="S4614">
        <v>-0.72920229999999997</v>
      </c>
      <c r="T4614">
        <v>-0.11794300000000001</v>
      </c>
      <c r="U4614">
        <v>-3.0037690000000001</v>
      </c>
      <c r="V4614">
        <v>0.13766320000000001</v>
      </c>
      <c r="W4614">
        <v>0.18512729999999999</v>
      </c>
      <c r="X4614">
        <v>0.97302449999999996</v>
      </c>
      <c r="Y4614">
        <v>0.26348729999999998</v>
      </c>
      <c r="Z4614">
        <v>2.4409259999999999E-2</v>
      </c>
      <c r="AA4614">
        <v>0.96435400000000004</v>
      </c>
      <c r="AB4614">
        <v>20</v>
      </c>
      <c r="AC4614">
        <v>-6.9343999999999797</v>
      </c>
      <c r="AD4614">
        <v>-1.12118711836</v>
      </c>
      <c r="AE4614">
        <v>-28.443100000000001</v>
      </c>
      <c r="AF4614">
        <v>7.7349181706937102</v>
      </c>
      <c r="AG4614">
        <v>-1.12118711836</v>
      </c>
      <c r="AH4614">
        <v>28.1914575885205</v>
      </c>
      <c r="AI4614">
        <v>92.196391339735598</v>
      </c>
      <c r="AJ4614">
        <v>74.657259802198595</v>
      </c>
      <c r="AK4614">
        <v>29.254816708143199</v>
      </c>
      <c r="AL4614">
        <v>79.331445384611897</v>
      </c>
      <c r="AM4614">
        <v>81.947256574287593</v>
      </c>
      <c r="AN4614">
        <v>0.99999997571988897</v>
      </c>
    </row>
    <row r="4615" spans="1:40" x14ac:dyDescent="0.25">
      <c r="A4615" t="str">
        <f>"20190303170346200"</f>
        <v>20190303170346200</v>
      </c>
      <c r="B4615" t="str">
        <f>"1551603826190152"</f>
        <v>1551603826190152</v>
      </c>
      <c r="C4615" t="s">
        <v>40</v>
      </c>
      <c r="D4615">
        <v>4.400741</v>
      </c>
      <c r="E4615">
        <v>0.55463019999999996</v>
      </c>
      <c r="F4615" t="s">
        <v>90</v>
      </c>
      <c r="G4615">
        <v>-197.3458</v>
      </c>
      <c r="H4615" s="1">
        <v>-1.303568E-5</v>
      </c>
      <c r="I4615">
        <v>152.81950000000001</v>
      </c>
      <c r="J4615">
        <v>-190.3245</v>
      </c>
      <c r="K4615">
        <v>1.1211719999999901</v>
      </c>
      <c r="L4615">
        <v>181.51769999999999</v>
      </c>
      <c r="M4615">
        <v>2.7951400000000001E-2</v>
      </c>
      <c r="N4615">
        <v>-1.3516749999999999E-2</v>
      </c>
      <c r="O4615">
        <v>-0.99951820000000002</v>
      </c>
      <c r="P4615">
        <v>-0.11025310000000001</v>
      </c>
      <c r="Q4615">
        <v>0.17203589999999999</v>
      </c>
      <c r="R4615">
        <v>-0.97890189999999999</v>
      </c>
      <c r="S4615">
        <v>-0.73191830000000002</v>
      </c>
      <c r="T4615">
        <v>-0.11691120000000001</v>
      </c>
      <c r="U4615">
        <v>-3.0032649999999999</v>
      </c>
      <c r="V4615">
        <v>0.13790379999999899</v>
      </c>
      <c r="W4615">
        <v>0.1849595</v>
      </c>
      <c r="X4615">
        <v>0.97302230000000001</v>
      </c>
      <c r="Y4615">
        <v>0.26368469999999999</v>
      </c>
      <c r="Z4615">
        <v>2.4081809999999999E-2</v>
      </c>
      <c r="AA4615">
        <v>0.96430830000000001</v>
      </c>
      <c r="AB4615">
        <v>20</v>
      </c>
      <c r="AC4615">
        <v>-7.0212999999999903</v>
      </c>
      <c r="AD4615">
        <v>-1.1211850356799999</v>
      </c>
      <c r="AE4615">
        <v>-28.6981999999999</v>
      </c>
      <c r="AF4615">
        <v>7.8095374320067501</v>
      </c>
      <c r="AG4615">
        <v>-1.1211850356799999</v>
      </c>
      <c r="AH4615">
        <v>28.449741137098702</v>
      </c>
      <c r="AI4615">
        <v>92.176393209130495</v>
      </c>
      <c r="AJ4615">
        <v>74.650229508616604</v>
      </c>
      <c r="AK4615">
        <v>29.523443253693699</v>
      </c>
      <c r="AL4615">
        <v>79.341228135087107</v>
      </c>
      <c r="AM4615">
        <v>81.933349530917098</v>
      </c>
      <c r="AN4615">
        <v>0.99999993549598798</v>
      </c>
    </row>
    <row r="4616" spans="1:40" x14ac:dyDescent="0.25">
      <c r="A4616" t="str">
        <f>"20190303170346216"</f>
        <v>20190303170346216</v>
      </c>
      <c r="B4616" t="str">
        <f>"1551603826210648"</f>
        <v>1551603826210648</v>
      </c>
      <c r="C4616" t="s">
        <v>40</v>
      </c>
      <c r="D4616">
        <v>4.3533920000000004</v>
      </c>
      <c r="E4616">
        <v>0.55452780000000002</v>
      </c>
      <c r="F4616" t="s">
        <v>90</v>
      </c>
      <c r="G4616">
        <v>-197.30520000000001</v>
      </c>
      <c r="H4616" s="1">
        <v>-1.3063930000000001E-5</v>
      </c>
      <c r="I4616">
        <v>152.9461</v>
      </c>
      <c r="J4616">
        <v>-190.3218</v>
      </c>
      <c r="K4616">
        <v>1.1211660000000001</v>
      </c>
      <c r="L4616">
        <v>181.38810000000001</v>
      </c>
      <c r="M4616">
        <v>2.7088520000000001E-2</v>
      </c>
      <c r="N4616">
        <v>-1.3515259999999999E-2</v>
      </c>
      <c r="O4616">
        <v>-0.99954180000000004</v>
      </c>
      <c r="P4616">
        <v>-0.111071699999999</v>
      </c>
      <c r="Q4616">
        <v>0.1709552</v>
      </c>
      <c r="R4616">
        <v>-0.97899860000000005</v>
      </c>
      <c r="S4616">
        <v>-0.73364259999999903</v>
      </c>
      <c r="T4616">
        <v>-0.1178318</v>
      </c>
      <c r="U4616">
        <v>-3.0027469999999998</v>
      </c>
      <c r="V4616">
        <v>0.13788059999999999</v>
      </c>
      <c r="W4616">
        <v>0.18388019999999999</v>
      </c>
      <c r="X4616">
        <v>0.97323020000000005</v>
      </c>
      <c r="Y4616">
        <v>0.263410799999999</v>
      </c>
      <c r="Z4616">
        <v>2.4387309999999999E-2</v>
      </c>
      <c r="AA4616">
        <v>0.96437539999999999</v>
      </c>
      <c r="AB4616">
        <v>20</v>
      </c>
      <c r="AC4616">
        <v>-6.9834000000000103</v>
      </c>
      <c r="AD4616">
        <v>-1.1211790639300001</v>
      </c>
      <c r="AE4616">
        <v>-28.442</v>
      </c>
      <c r="AF4616">
        <v>7.7400153152175903</v>
      </c>
      <c r="AG4616">
        <v>-1.1211790639300001</v>
      </c>
      <c r="AH4616">
        <v>28.201043129073199</v>
      </c>
      <c r="AI4616">
        <v>92.195580788269993</v>
      </c>
      <c r="AJ4616">
        <v>74.6525983415507</v>
      </c>
      <c r="AK4616">
        <v>29.2654012981378</v>
      </c>
      <c r="AL4616">
        <v>79.404147429322904</v>
      </c>
      <c r="AM4616">
        <v>81.936388989203195</v>
      </c>
      <c r="AN4616">
        <v>1.00000000500022</v>
      </c>
    </row>
    <row r="4617" spans="1:40" x14ac:dyDescent="0.25">
      <c r="A4617" t="str">
        <f>"20190303170346229"</f>
        <v>20190303170346229</v>
      </c>
      <c r="B4617" t="str">
        <f>"1551603826220411"</f>
        <v>1551603826220411</v>
      </c>
      <c r="C4617" t="s">
        <v>40</v>
      </c>
      <c r="D4617">
        <v>4.3712819999999999</v>
      </c>
      <c r="E4617">
        <v>0.55447150000000001</v>
      </c>
      <c r="F4617" t="s">
        <v>90</v>
      </c>
      <c r="G4617">
        <v>-197.0275</v>
      </c>
      <c r="H4617" s="1">
        <v>-1.330059E-5</v>
      </c>
      <c r="I4617">
        <v>153.9846</v>
      </c>
      <c r="J4617">
        <v>-190.31950000000001</v>
      </c>
      <c r="K4617">
        <v>1.1211519999999999</v>
      </c>
      <c r="L4617">
        <v>181.2655</v>
      </c>
      <c r="M4617">
        <v>2.627324E-2</v>
      </c>
      <c r="N4617">
        <v>-1.3513860000000001E-2</v>
      </c>
      <c r="O4617">
        <v>-0.99956369999999894</v>
      </c>
      <c r="P4617">
        <v>-0.1117884</v>
      </c>
      <c r="Q4617">
        <v>0.1677814</v>
      </c>
      <c r="R4617">
        <v>-0.9794659</v>
      </c>
      <c r="S4617">
        <v>-0.73471070000000005</v>
      </c>
      <c r="T4617">
        <v>-0.12284200000000001</v>
      </c>
      <c r="U4617">
        <v>-3.002472</v>
      </c>
      <c r="V4617">
        <v>0.1378074</v>
      </c>
      <c r="W4617">
        <v>0.1807136</v>
      </c>
      <c r="X4617">
        <v>0.97383350000000002</v>
      </c>
      <c r="Y4617">
        <v>0.26295570000000001</v>
      </c>
      <c r="Z4617">
        <v>2.6007039999999999E-2</v>
      </c>
      <c r="AA4617">
        <v>0.96445729999999996</v>
      </c>
      <c r="AB4617">
        <v>20</v>
      </c>
      <c r="AC4617">
        <v>-6.7079999999999904</v>
      </c>
      <c r="AD4617">
        <v>-1.12116530059</v>
      </c>
      <c r="AE4617">
        <v>-27.280899999999999</v>
      </c>
      <c r="AF4617">
        <v>7.4107040266200599</v>
      </c>
      <c r="AG4617">
        <v>-1.12116530059</v>
      </c>
      <c r="AH4617">
        <v>27.052138634260899</v>
      </c>
      <c r="AI4617">
        <v>92.289003339913293</v>
      </c>
      <c r="AJ4617">
        <v>74.680146406247999</v>
      </c>
      <c r="AK4617">
        <v>28.071226380204401</v>
      </c>
      <c r="AL4617">
        <v>79.588672107697306</v>
      </c>
      <c r="AM4617">
        <v>81.945540987467098</v>
      </c>
      <c r="AN4617">
        <v>0.99999998522098399</v>
      </c>
    </row>
    <row r="4618" spans="1:40" x14ac:dyDescent="0.25">
      <c r="A4618" t="str">
        <f>"20190303170346252"</f>
        <v>20190303170346252</v>
      </c>
      <c r="B4618" t="str">
        <f>"1551603826239927"</f>
        <v>1551603826239927</v>
      </c>
      <c r="C4618" t="s">
        <v>40</v>
      </c>
      <c r="D4618">
        <v>4.3705860000000003</v>
      </c>
      <c r="E4618">
        <v>0.55442550000000002</v>
      </c>
      <c r="F4618" t="s">
        <v>90</v>
      </c>
      <c r="G4618">
        <v>-196.5016</v>
      </c>
      <c r="H4618" s="1">
        <v>-1.4031449999999999E-5</v>
      </c>
      <c r="I4618">
        <v>156.0582</v>
      </c>
      <c r="J4618">
        <v>-190.3158</v>
      </c>
      <c r="K4618">
        <v>1.1211500000000001</v>
      </c>
      <c r="L4618">
        <v>181.06639999999999</v>
      </c>
      <c r="M4618">
        <v>2.495056E-2</v>
      </c>
      <c r="N4618">
        <v>-1.351159E-2</v>
      </c>
      <c r="O4618">
        <v>-0.99959750000000003</v>
      </c>
      <c r="P4618">
        <v>-0.1128243</v>
      </c>
      <c r="Q4618">
        <v>0.1674136</v>
      </c>
      <c r="R4618">
        <v>-0.97940990000000006</v>
      </c>
      <c r="S4618">
        <v>-0.73617549999999998</v>
      </c>
      <c r="T4618">
        <v>-0.13351060000000001</v>
      </c>
      <c r="U4618">
        <v>-3.0017399999999999</v>
      </c>
      <c r="V4618">
        <v>0.13754820000000001</v>
      </c>
      <c r="W4618">
        <v>0.18034639999999999</v>
      </c>
      <c r="X4618">
        <v>0.97393819999999998</v>
      </c>
      <c r="Y4618">
        <v>0.26214870000000001</v>
      </c>
      <c r="Z4618">
        <v>2.9456909999999999E-2</v>
      </c>
      <c r="AA4618">
        <v>0.96457780000000004</v>
      </c>
      <c r="AB4618">
        <v>20</v>
      </c>
      <c r="AC4618">
        <v>-6.1858000000000004</v>
      </c>
      <c r="AD4618">
        <v>-1.12116403145</v>
      </c>
      <c r="AE4618">
        <v>-25.008199999999899</v>
      </c>
      <c r="AF4618">
        <v>6.7950295171299704</v>
      </c>
      <c r="AG4618">
        <v>-1.12116403145</v>
      </c>
      <c r="AH4618">
        <v>24.799090095325699</v>
      </c>
      <c r="AI4618">
        <v>92.496669796588606</v>
      </c>
      <c r="AJ4618">
        <v>74.676860375928698</v>
      </c>
      <c r="AK4618">
        <v>25.737604870697702</v>
      </c>
      <c r="AL4618">
        <v>79.610062460904203</v>
      </c>
      <c r="AM4618">
        <v>81.961345219934998</v>
      </c>
      <c r="AN4618">
        <v>0.99999997436771904</v>
      </c>
    </row>
    <row r="4619" spans="1:40" x14ac:dyDescent="0.25">
      <c r="A4619" t="str">
        <f>"20190303170346266"</f>
        <v>20190303170346266</v>
      </c>
      <c r="B4619" t="str">
        <f>"1551603826260424"</f>
        <v>1551603826260424</v>
      </c>
      <c r="C4619" t="s">
        <v>40</v>
      </c>
      <c r="D4619">
        <v>4.3608640000000003</v>
      </c>
      <c r="E4619">
        <v>0.55436960000000002</v>
      </c>
      <c r="F4619" t="s">
        <v>90</v>
      </c>
      <c r="G4619">
        <v>-196.39330000000001</v>
      </c>
      <c r="H4619" s="1">
        <v>-1.4153450000000001E-5</v>
      </c>
      <c r="I4619">
        <v>156.36490000000001</v>
      </c>
      <c r="J4619">
        <v>-190.31370000000001</v>
      </c>
      <c r="K4619">
        <v>1.1211519999999999</v>
      </c>
      <c r="L4619">
        <v>180.94130000000001</v>
      </c>
      <c r="M4619">
        <v>2.4121110000000001E-2</v>
      </c>
      <c r="N4619">
        <v>-1.351014E-2</v>
      </c>
      <c r="O4619">
        <v>-0.99961800000000001</v>
      </c>
      <c r="P4619">
        <v>-0.11342380000000001</v>
      </c>
      <c r="Q4619">
        <v>0.16743139999999901</v>
      </c>
      <c r="R4619">
        <v>-0.97933789999999998</v>
      </c>
      <c r="S4619">
        <v>-0.73843380000000003</v>
      </c>
      <c r="T4619">
        <v>-0.13622419999999999</v>
      </c>
      <c r="U4619">
        <v>-3.0012819999999998</v>
      </c>
      <c r="V4619">
        <v>0.13733489999999901</v>
      </c>
      <c r="W4619">
        <v>0.1803633</v>
      </c>
      <c r="X4619">
        <v>0.97396519999999998</v>
      </c>
      <c r="Y4619">
        <v>0.26205869999999998</v>
      </c>
      <c r="Z4619">
        <v>3.033682E-2</v>
      </c>
      <c r="AA4619">
        <v>0.96457499999999996</v>
      </c>
      <c r="AB4619">
        <v>20</v>
      </c>
      <c r="AC4619">
        <v>-6.0795999999999903</v>
      </c>
      <c r="AD4619">
        <v>-1.1211661534499999</v>
      </c>
      <c r="AE4619">
        <v>-24.5764</v>
      </c>
      <c r="AF4619">
        <v>6.6576382348065</v>
      </c>
      <c r="AG4619">
        <v>-1.1211661534499999</v>
      </c>
      <c r="AH4619">
        <v>24.374785648513299</v>
      </c>
      <c r="AI4619">
        <v>92.540638760416599</v>
      </c>
      <c r="AJ4619">
        <v>74.723071646871006</v>
      </c>
      <c r="AK4619">
        <v>25.2925154110888</v>
      </c>
      <c r="AL4619">
        <v>79.609078317430203</v>
      </c>
      <c r="AM4619">
        <v>81.973868029372895</v>
      </c>
      <c r="AN4619">
        <v>1.0000000027779601</v>
      </c>
    </row>
    <row r="4620" spans="1:40" x14ac:dyDescent="0.25">
      <c r="A4620" t="str">
        <f>"20190303170346278"</f>
        <v>20190303170346278</v>
      </c>
      <c r="B4620" t="str">
        <f>"1551603826269715"</f>
        <v>1551603826269715</v>
      </c>
      <c r="C4620" t="s">
        <v>40</v>
      </c>
      <c r="D4620">
        <v>4.3392980000000003</v>
      </c>
      <c r="E4620">
        <v>0.55437360000000002</v>
      </c>
      <c r="F4620" t="s">
        <v>90</v>
      </c>
      <c r="G4620">
        <v>-196.3725</v>
      </c>
      <c r="H4620" s="1">
        <v>-1.415182E-5</v>
      </c>
      <c r="I4620">
        <v>156.36539999999999</v>
      </c>
      <c r="J4620">
        <v>-190.31180000000001</v>
      </c>
      <c r="K4620">
        <v>1.121154</v>
      </c>
      <c r="L4620">
        <v>180.8271</v>
      </c>
      <c r="M4620">
        <v>2.3364030000000001E-2</v>
      </c>
      <c r="N4620">
        <v>-1.35088E-2</v>
      </c>
      <c r="O4620">
        <v>-0.99963559999999996</v>
      </c>
      <c r="P4620">
        <v>-0.1140862</v>
      </c>
      <c r="Q4620">
        <v>0.1675449</v>
      </c>
      <c r="R4620">
        <v>-0.97924109999999998</v>
      </c>
      <c r="S4620">
        <v>-0.73986819999999998</v>
      </c>
      <c r="T4620">
        <v>-0.13690939999999999</v>
      </c>
      <c r="U4620">
        <v>-3.0010379999999999</v>
      </c>
      <c r="V4620">
        <v>0.13725479999999901</v>
      </c>
      <c r="W4620">
        <v>0.18047679999999999</v>
      </c>
      <c r="X4620">
        <v>0.97395549999999997</v>
      </c>
      <c r="Y4620">
        <v>0.26177879999999998</v>
      </c>
      <c r="Z4620">
        <v>3.056362E-2</v>
      </c>
      <c r="AA4620">
        <v>0.96464380000000005</v>
      </c>
      <c r="AB4620">
        <v>20</v>
      </c>
      <c r="AC4620">
        <v>-6.06069999999999</v>
      </c>
      <c r="AD4620">
        <v>-1.1211681518200001</v>
      </c>
      <c r="AE4620">
        <v>-24.4617</v>
      </c>
      <c r="AF4620">
        <v>6.6175238498881201</v>
      </c>
      <c r="AG4620">
        <v>-1.1211681518200001</v>
      </c>
      <c r="AH4620">
        <v>24.265379402256698</v>
      </c>
      <c r="AI4620">
        <v>92.552356253602497</v>
      </c>
      <c r="AJ4620">
        <v>74.745555779066194</v>
      </c>
      <c r="AK4620">
        <v>25.1765223465028</v>
      </c>
      <c r="AL4620">
        <v>79.602467094661193</v>
      </c>
      <c r="AM4620">
        <v>81.978409440016705</v>
      </c>
      <c r="AN4620">
        <v>1.0000000357207599</v>
      </c>
    </row>
    <row r="4621" spans="1:40" x14ac:dyDescent="0.25">
      <c r="A4621" t="str">
        <f>"20190303170346298"</f>
        <v>20190303170346298</v>
      </c>
      <c r="B4621" t="str">
        <f>"1551603826290211"</f>
        <v>1551603826290211</v>
      </c>
      <c r="C4621" t="s">
        <v>40</v>
      </c>
      <c r="D4621">
        <v>4.381113</v>
      </c>
      <c r="E4621">
        <v>0.55437049999999999</v>
      </c>
      <c r="F4621" t="s">
        <v>90</v>
      </c>
      <c r="G4621">
        <v>-196.39580000000001</v>
      </c>
      <c r="H4621" s="1">
        <v>-1.409169E-5</v>
      </c>
      <c r="I4621">
        <v>156.22049999999999</v>
      </c>
      <c r="J4621">
        <v>-190.3092</v>
      </c>
      <c r="K4621">
        <v>1.1211519999999999</v>
      </c>
      <c r="L4621">
        <v>180.65940000000001</v>
      </c>
      <c r="M4621">
        <v>2.2253760000000001E-2</v>
      </c>
      <c r="N4621">
        <v>-1.3506840000000001E-2</v>
      </c>
      <c r="O4621">
        <v>-0.99966109999999997</v>
      </c>
      <c r="P4621">
        <v>-0.1146103</v>
      </c>
      <c r="Q4621">
        <v>0.1674078</v>
      </c>
      <c r="R4621">
        <v>-0.97920339999999995</v>
      </c>
      <c r="S4621">
        <v>-0.74189759999999905</v>
      </c>
      <c r="T4621">
        <v>-0.1367168</v>
      </c>
      <c r="U4621">
        <v>-3.0005649999999999</v>
      </c>
      <c r="V4621">
        <v>0.13669220000000001</v>
      </c>
      <c r="W4621">
        <v>0.18034030000000001</v>
      </c>
      <c r="X4621">
        <v>0.97405989999999998</v>
      </c>
      <c r="Y4621">
        <v>0.26135779999999997</v>
      </c>
      <c r="Z4621">
        <v>3.0512870000000001E-2</v>
      </c>
      <c r="AA4621">
        <v>0.96475960000000005</v>
      </c>
      <c r="AB4621">
        <v>20</v>
      </c>
      <c r="AC4621">
        <v>-6.0865999999999998</v>
      </c>
      <c r="AD4621">
        <v>-1.1211660916899999</v>
      </c>
      <c r="AE4621">
        <v>-24.4389</v>
      </c>
      <c r="AF4621">
        <v>6.6158886506585697</v>
      </c>
      <c r="AG4621">
        <v>-1.1211660916899999</v>
      </c>
      <c r="AH4621">
        <v>24.249329408115901</v>
      </c>
      <c r="AI4621">
        <v>92.553965449149302</v>
      </c>
      <c r="AJ4621">
        <v>74.739525992686794</v>
      </c>
      <c r="AK4621">
        <v>25.160623457823601</v>
      </c>
      <c r="AL4621">
        <v>79.610418428903699</v>
      </c>
      <c r="AM4621">
        <v>82.011709345391395</v>
      </c>
      <c r="AN4621">
        <v>1.00000003506646</v>
      </c>
    </row>
    <row r="4622" spans="1:40" x14ac:dyDescent="0.25">
      <c r="A4622" t="str">
        <f>"20190303170346309"</f>
        <v>20190303170346309</v>
      </c>
      <c r="B4622" t="str">
        <f>"1551603826299971"</f>
        <v>1551603826299971</v>
      </c>
      <c r="C4622" t="s">
        <v>40</v>
      </c>
      <c r="D4622">
        <v>4.3484959999999999</v>
      </c>
      <c r="E4622">
        <v>0.55437029999999998</v>
      </c>
      <c r="F4622" t="s">
        <v>90</v>
      </c>
      <c r="G4622">
        <v>-196.34979999999999</v>
      </c>
      <c r="H4622" s="1">
        <v>-1.41107399999999E-5</v>
      </c>
      <c r="I4622">
        <v>156.27440000000001</v>
      </c>
      <c r="J4622">
        <v>-190.30760000000001</v>
      </c>
      <c r="K4622">
        <v>1.1211549999999999</v>
      </c>
      <c r="L4622">
        <v>180.54759999999999</v>
      </c>
      <c r="M4622">
        <v>2.1513299999999999E-2</v>
      </c>
      <c r="N4622">
        <v>-1.35056E-2</v>
      </c>
      <c r="O4622">
        <v>-0.99967729999999999</v>
      </c>
      <c r="P4622">
        <v>-0.1149372</v>
      </c>
      <c r="Q4622">
        <v>0.16722670000000001</v>
      </c>
      <c r="R4622">
        <v>-0.97919579999999995</v>
      </c>
      <c r="S4622">
        <v>-0.74322509999999997</v>
      </c>
      <c r="T4622">
        <v>-0.13794709999999999</v>
      </c>
      <c r="U4622">
        <v>-3.000305</v>
      </c>
      <c r="V4622">
        <v>0.13629450000000001</v>
      </c>
      <c r="W4622">
        <v>0.18016070000000001</v>
      </c>
      <c r="X4622">
        <v>0.97414880000000004</v>
      </c>
      <c r="Y4622">
        <v>0.26106099999999999</v>
      </c>
      <c r="Z4622">
        <v>3.0915339999999999E-2</v>
      </c>
      <c r="AA4622">
        <v>0.96482710000000005</v>
      </c>
      <c r="AB4622">
        <v>20</v>
      </c>
      <c r="AC4622">
        <v>-6.0421999999999798</v>
      </c>
      <c r="AD4622">
        <v>-1.1211691107399999</v>
      </c>
      <c r="AE4622">
        <v>-24.2731999999999</v>
      </c>
      <c r="AF4622">
        <v>6.5498869530988397</v>
      </c>
      <c r="AG4622">
        <v>-1.1211691107399999</v>
      </c>
      <c r="AH4622">
        <v>24.0891866908369</v>
      </c>
      <c r="AI4622">
        <v>92.571531182105602</v>
      </c>
      <c r="AJ4622">
        <v>74.788926155956702</v>
      </c>
      <c r="AK4622">
        <v>24.9889366460289</v>
      </c>
      <c r="AL4622">
        <v>79.620879490975199</v>
      </c>
      <c r="AM4622">
        <v>82.035369780537494</v>
      </c>
      <c r="AN4622">
        <v>0.99999997654808903</v>
      </c>
    </row>
    <row r="4623" spans="1:40" x14ac:dyDescent="0.25">
      <c r="A4623" t="str">
        <f>"20190303170346324"</f>
        <v>20190303170346324</v>
      </c>
      <c r="B4623" t="str">
        <f>"1551603826310707"</f>
        <v>1551603826310707</v>
      </c>
      <c r="C4623" t="s">
        <v>40</v>
      </c>
      <c r="D4623">
        <v>4.3494989999999998</v>
      </c>
      <c r="E4623">
        <v>0.55435959999999995</v>
      </c>
      <c r="F4623" t="s">
        <v>90</v>
      </c>
      <c r="G4623">
        <v>-196.31729999999999</v>
      </c>
      <c r="H4623" s="1">
        <v>-1.4129309999999999E-5</v>
      </c>
      <c r="I4623">
        <v>156.3244</v>
      </c>
      <c r="J4623">
        <v>-190.30600000000001</v>
      </c>
      <c r="K4623">
        <v>1.121159</v>
      </c>
      <c r="L4623">
        <v>180.42949999999999</v>
      </c>
      <c r="M4623">
        <v>2.0731889999999999E-2</v>
      </c>
      <c r="N4623">
        <v>-1.350437E-2</v>
      </c>
      <c r="O4623">
        <v>-0.99969399999999997</v>
      </c>
      <c r="P4623">
        <v>-0.1152508</v>
      </c>
      <c r="Q4623">
        <v>0.16740920000000001</v>
      </c>
      <c r="R4623">
        <v>-0.9791282</v>
      </c>
      <c r="S4623">
        <v>-0.74430850000000004</v>
      </c>
      <c r="T4623">
        <v>-0.13885839999999999</v>
      </c>
      <c r="U4623">
        <v>-3.000076</v>
      </c>
      <c r="V4623">
        <v>0.13584289999999999</v>
      </c>
      <c r="W4623">
        <v>0.18034359999999999</v>
      </c>
      <c r="X4623">
        <v>0.97417810000000005</v>
      </c>
      <c r="Y4623">
        <v>0.26064929999999997</v>
      </c>
      <c r="Z4623">
        <v>3.121606E-2</v>
      </c>
      <c r="AA4623">
        <v>0.96492869999999997</v>
      </c>
      <c r="AB4623">
        <v>20</v>
      </c>
      <c r="AC4623">
        <v>-6.0113000000000003</v>
      </c>
      <c r="AD4623">
        <v>-1.12117312931</v>
      </c>
      <c r="AE4623">
        <v>-24.1051</v>
      </c>
      <c r="AF4623">
        <v>6.4965660473722897</v>
      </c>
      <c r="AG4623">
        <v>-1.12117312931</v>
      </c>
      <c r="AH4623">
        <v>23.926550203910601</v>
      </c>
      <c r="AI4623">
        <v>92.5892450937788</v>
      </c>
      <c r="AJ4623">
        <v>74.809218853365294</v>
      </c>
      <c r="AK4623">
        <v>24.8181829361864</v>
      </c>
      <c r="AL4623">
        <v>79.610226242708606</v>
      </c>
      <c r="AM4623">
        <v>82.0616586141672</v>
      </c>
      <c r="AN4623">
        <v>1.00000003903048</v>
      </c>
    </row>
    <row r="4624" spans="1:40" x14ac:dyDescent="0.25">
      <c r="A4624" t="str">
        <f>"20190303170346336"</f>
        <v>20190303170346336</v>
      </c>
      <c r="B4624" t="str">
        <f>"1551603826330228"</f>
        <v>1551603826330228</v>
      </c>
      <c r="C4624" t="s">
        <v>40</v>
      </c>
      <c r="D4624">
        <v>4.341418</v>
      </c>
      <c r="E4624">
        <v>0.55441419999999997</v>
      </c>
      <c r="F4624" t="s">
        <v>90</v>
      </c>
      <c r="G4624">
        <v>-196.35130000000001</v>
      </c>
      <c r="H4624" s="1">
        <v>-1.403677E-5</v>
      </c>
      <c r="I4624">
        <v>156.10159999999999</v>
      </c>
      <c r="J4624">
        <v>-190.30449999999999</v>
      </c>
      <c r="K4624">
        <v>1.1211530000000001</v>
      </c>
      <c r="L4624">
        <v>180.3193</v>
      </c>
      <c r="M4624">
        <v>2.000182E-2</v>
      </c>
      <c r="N4624">
        <v>-1.350325E-2</v>
      </c>
      <c r="O4624">
        <v>-0.99970879999999995</v>
      </c>
      <c r="P4624">
        <v>-0.1152446</v>
      </c>
      <c r="Q4624">
        <v>0.16732939999999999</v>
      </c>
      <c r="R4624">
        <v>-0.97914199999999996</v>
      </c>
      <c r="S4624">
        <v>-0.74545289999999997</v>
      </c>
      <c r="T4624">
        <v>-0.13825129999999999</v>
      </c>
      <c r="U4624">
        <v>-2.9998629999999999</v>
      </c>
      <c r="V4624">
        <v>0.1351231</v>
      </c>
      <c r="W4624">
        <v>0.1802667</v>
      </c>
      <c r="X4624">
        <v>0.97429239999999995</v>
      </c>
      <c r="Y4624">
        <v>0.26030910000000002</v>
      </c>
      <c r="Z4624">
        <v>3.1027160000000002E-2</v>
      </c>
      <c r="AA4624">
        <v>0.96502670000000002</v>
      </c>
      <c r="AB4624">
        <v>20</v>
      </c>
      <c r="AC4624">
        <v>-6.0468000000000099</v>
      </c>
      <c r="AD4624">
        <v>-1.12116703677</v>
      </c>
      <c r="AE4624">
        <v>-24.217700000000001</v>
      </c>
      <c r="AF4624">
        <v>6.5168845853700601</v>
      </c>
      <c r="AG4624">
        <v>-1.12116703677</v>
      </c>
      <c r="AH4624">
        <v>24.043389016456299</v>
      </c>
      <c r="AI4624">
        <v>92.576974143530293</v>
      </c>
      <c r="AJ4624">
        <v>74.834535581944607</v>
      </c>
      <c r="AK4624">
        <v>24.936145564622102</v>
      </c>
      <c r="AL4624">
        <v>79.614705377156596</v>
      </c>
      <c r="AM4624">
        <v>82.104104727649798</v>
      </c>
      <c r="AN4624">
        <v>1.0000000079901299</v>
      </c>
    </row>
    <row r="4625" spans="1:40" x14ac:dyDescent="0.25">
      <c r="A4625" t="str">
        <f>"20190303170346347"</f>
        <v>20190303170346347</v>
      </c>
      <c r="B4625" t="str">
        <f>"1551603826339986"</f>
        <v>1551603826339986</v>
      </c>
      <c r="C4625" t="s">
        <v>40</v>
      </c>
      <c r="D4625">
        <v>4.3351249999999997</v>
      </c>
      <c r="E4625">
        <v>0.55435599999999996</v>
      </c>
      <c r="F4625" t="s">
        <v>90</v>
      </c>
      <c r="G4625">
        <v>-196.34790000000001</v>
      </c>
      <c r="H4625" s="1">
        <v>-1.400105E-5</v>
      </c>
      <c r="I4625">
        <v>156.01910000000001</v>
      </c>
      <c r="J4625">
        <v>-190.3031</v>
      </c>
      <c r="K4625">
        <v>1.121151</v>
      </c>
      <c r="L4625">
        <v>180.20939999999999</v>
      </c>
      <c r="M4625">
        <v>1.9274779999999998E-2</v>
      </c>
      <c r="N4625">
        <v>-1.3502149999999999E-2</v>
      </c>
      <c r="O4625">
        <v>-0.99972329999999998</v>
      </c>
      <c r="P4625">
        <v>-0.1155494</v>
      </c>
      <c r="Q4625">
        <v>0.16728219999999999</v>
      </c>
      <c r="R4625">
        <v>-0.97911459999999995</v>
      </c>
      <c r="S4625">
        <v>-0.74603269999999899</v>
      </c>
      <c r="T4625">
        <v>-0.13840339999999901</v>
      </c>
      <c r="U4625">
        <v>-2.9997560000000001</v>
      </c>
      <c r="V4625">
        <v>0.13471629999999901</v>
      </c>
      <c r="W4625">
        <v>0.18021980000000001</v>
      </c>
      <c r="X4625">
        <v>0.97435740000000004</v>
      </c>
      <c r="Y4625">
        <v>0.25979039999999998</v>
      </c>
      <c r="Z4625">
        <v>3.1083050000000001E-2</v>
      </c>
      <c r="AA4625">
        <v>0.96516469999999999</v>
      </c>
      <c r="AB4625">
        <v>20</v>
      </c>
      <c r="AC4625">
        <v>-6.0448000000000004</v>
      </c>
      <c r="AD4625">
        <v>-1.1211650010500001</v>
      </c>
      <c r="AE4625">
        <v>-24.190299999999901</v>
      </c>
      <c r="AF4625">
        <v>6.4968462064548103</v>
      </c>
      <c r="AG4625">
        <v>-1.1211650010500001</v>
      </c>
      <c r="AH4625">
        <v>24.0207159047816</v>
      </c>
      <c r="AI4625">
        <v>92.5797744438498</v>
      </c>
      <c r="AJ4625">
        <v>74.8654104169146</v>
      </c>
      <c r="AK4625">
        <v>24.909050848399101</v>
      </c>
      <c r="AL4625">
        <v>79.617437212283704</v>
      </c>
      <c r="AM4625">
        <v>82.128096112619204</v>
      </c>
      <c r="AN4625">
        <v>1.0000000003662399</v>
      </c>
    </row>
    <row r="4626" spans="1:40" x14ac:dyDescent="0.25">
      <c r="A4626" t="str">
        <f>"20190303170346364"</f>
        <v>20190303170346364</v>
      </c>
      <c r="B4626" t="str">
        <f>"1551603826349747"</f>
        <v>1551603826349747</v>
      </c>
      <c r="C4626" t="s">
        <v>40</v>
      </c>
      <c r="D4626">
        <v>4.3447060000000004</v>
      </c>
      <c r="E4626">
        <v>0.55433149999999998</v>
      </c>
      <c r="F4626" t="s">
        <v>90</v>
      </c>
      <c r="G4626">
        <v>-196.34389999999999</v>
      </c>
      <c r="H4626" s="1">
        <v>-1.396859E-5</v>
      </c>
      <c r="I4626">
        <v>155.9442</v>
      </c>
      <c r="J4626">
        <v>-190.30160000000001</v>
      </c>
      <c r="K4626">
        <v>1.121149</v>
      </c>
      <c r="L4626">
        <v>180.0737</v>
      </c>
      <c r="M4626">
        <v>1.83765E-2</v>
      </c>
      <c r="N4626">
        <v>-1.350078E-2</v>
      </c>
      <c r="O4626">
        <v>-0.99974019999999997</v>
      </c>
      <c r="P4626">
        <v>-0.1161266</v>
      </c>
      <c r="Q4626">
        <v>0.16663359999999999</v>
      </c>
      <c r="R4626">
        <v>-0.9791569</v>
      </c>
      <c r="S4626">
        <v>-0.74673459999999903</v>
      </c>
      <c r="T4626">
        <v>-0.1385931</v>
      </c>
      <c r="U4626">
        <v>-2.9995419999999999</v>
      </c>
      <c r="V4626">
        <v>0.1344147</v>
      </c>
      <c r="W4626">
        <v>0.17957339999999999</v>
      </c>
      <c r="X4626">
        <v>0.97451840000000001</v>
      </c>
      <c r="Y4626">
        <v>0.25915100000000002</v>
      </c>
      <c r="Z4626">
        <v>3.1153810000000001E-2</v>
      </c>
      <c r="AA4626">
        <v>0.96533420000000003</v>
      </c>
      <c r="AB4626">
        <v>20</v>
      </c>
      <c r="AC4626">
        <v>-6.0422999999999796</v>
      </c>
      <c r="AD4626">
        <v>-1.12116296859</v>
      </c>
      <c r="AE4626">
        <v>-24.1295</v>
      </c>
      <c r="AF4626">
        <v>6.4715882125755302</v>
      </c>
      <c r="AG4626">
        <v>-1.12116296859</v>
      </c>
      <c r="AH4626">
        <v>23.965690748697899</v>
      </c>
      <c r="AI4626">
        <v>92.585966453563799</v>
      </c>
      <c r="AJ4626">
        <v>74.888527029268104</v>
      </c>
      <c r="AK4626">
        <v>24.849402275658601</v>
      </c>
      <c r="AL4626">
        <v>79.6550875991461</v>
      </c>
      <c r="AM4626">
        <v>82.146780802654405</v>
      </c>
      <c r="AN4626">
        <v>1.0000000147510999</v>
      </c>
    </row>
    <row r="4627" spans="1:40" x14ac:dyDescent="0.25">
      <c r="A4627" t="str">
        <f>"20190303170346378"</f>
        <v>20190303170346378</v>
      </c>
      <c r="B4627" t="str">
        <f>"1551603826369774"</f>
        <v>1551603826369774</v>
      </c>
      <c r="C4627" t="s">
        <v>40</v>
      </c>
      <c r="D4627">
        <v>4.336735</v>
      </c>
      <c r="E4627">
        <v>0.55433739999999998</v>
      </c>
      <c r="F4627" t="s">
        <v>90</v>
      </c>
      <c r="G4627">
        <v>-196.2638</v>
      </c>
      <c r="H4627" s="1">
        <v>-1.406526E-5</v>
      </c>
      <c r="I4627">
        <v>156.18610000000001</v>
      </c>
      <c r="J4627">
        <v>-190.30019999999999</v>
      </c>
      <c r="K4627">
        <v>1.121149</v>
      </c>
      <c r="L4627">
        <v>179.9443</v>
      </c>
      <c r="M4627">
        <v>1.751952E-2</v>
      </c>
      <c r="N4627">
        <v>-1.349946E-2</v>
      </c>
      <c r="O4627">
        <v>-0.99975539999999996</v>
      </c>
      <c r="P4627">
        <v>-0.1170693</v>
      </c>
      <c r="Q4627">
        <v>0.16658870000000001</v>
      </c>
      <c r="R4627">
        <v>-0.97905209999999998</v>
      </c>
      <c r="S4627">
        <v>-0.74853519999999996</v>
      </c>
      <c r="T4627">
        <v>-0.1407591</v>
      </c>
      <c r="U4627">
        <v>-2.9990230000000002</v>
      </c>
      <c r="V4627">
        <v>0.13451729999999901</v>
      </c>
      <c r="W4627">
        <v>0.17952750000000001</v>
      </c>
      <c r="X4627">
        <v>0.97451270000000001</v>
      </c>
      <c r="Y4627">
        <v>0.25890150000000001</v>
      </c>
      <c r="Z4627">
        <v>3.1860569999999998E-2</v>
      </c>
      <c r="AA4627">
        <v>0.96537810000000002</v>
      </c>
      <c r="AB4627">
        <v>20</v>
      </c>
      <c r="AC4627">
        <v>-5.9636000000000102</v>
      </c>
      <c r="AD4627">
        <v>-1.12116306526</v>
      </c>
      <c r="AE4627">
        <v>-23.758199999999899</v>
      </c>
      <c r="AF4627">
        <v>6.3656190603991396</v>
      </c>
      <c r="AG4627">
        <v>-1.12116306526</v>
      </c>
      <c r="AH4627">
        <v>23.600621835881899</v>
      </c>
      <c r="AI4627">
        <v>92.626118923903704</v>
      </c>
      <c r="AJ4627">
        <v>74.905244404136099</v>
      </c>
      <c r="AK4627">
        <v>24.469725451694899</v>
      </c>
      <c r="AL4627">
        <v>79.657760921271404</v>
      </c>
      <c r="AM4627">
        <v>82.140815852433306</v>
      </c>
      <c r="AN4627">
        <v>1.0000000148584101</v>
      </c>
    </row>
    <row r="4628" spans="1:40" x14ac:dyDescent="0.25">
      <c r="A4628" t="str">
        <f>"20190303170346391"</f>
        <v>20190303170346391</v>
      </c>
      <c r="B4628" t="str">
        <f>"1551603826380510"</f>
        <v>1551603826380510</v>
      </c>
      <c r="C4628" t="s">
        <v>40</v>
      </c>
      <c r="D4628">
        <v>4.347804</v>
      </c>
      <c r="E4628">
        <v>0.55437879999999995</v>
      </c>
      <c r="F4628" t="s">
        <v>90</v>
      </c>
      <c r="G4628">
        <v>-196.2756</v>
      </c>
      <c r="H4628" s="1">
        <v>-1.403405E-5</v>
      </c>
      <c r="I4628">
        <v>156.11099999999999</v>
      </c>
      <c r="J4628">
        <v>-190.29910000000001</v>
      </c>
      <c r="K4628">
        <v>1.1211519999999999</v>
      </c>
      <c r="L4628">
        <v>179.83099999999999</v>
      </c>
      <c r="M4628">
        <v>1.6769059999999999E-2</v>
      </c>
      <c r="N4628">
        <v>-1.3498329999999999E-2</v>
      </c>
      <c r="O4628">
        <v>-0.99976860000000001</v>
      </c>
      <c r="P4628">
        <v>-0.118019</v>
      </c>
      <c r="Q4628">
        <v>0.16655139999999999</v>
      </c>
      <c r="R4628">
        <v>-0.97894499999999995</v>
      </c>
      <c r="S4628">
        <v>-0.75170899999999996</v>
      </c>
      <c r="T4628">
        <v>-0.14104430000000001</v>
      </c>
      <c r="U4628">
        <v>-2.9982760000000002</v>
      </c>
      <c r="V4628">
        <v>0.1347312</v>
      </c>
      <c r="W4628">
        <v>0.1794885</v>
      </c>
      <c r="X4628">
        <v>0.97449030000000003</v>
      </c>
      <c r="Y4628">
        <v>0.25919370000000003</v>
      </c>
      <c r="Z4628">
        <v>3.1958939999999998E-2</v>
      </c>
      <c r="AA4628">
        <v>0.96529640000000005</v>
      </c>
      <c r="AB4628">
        <v>20</v>
      </c>
      <c r="AC4628">
        <v>-5.9764999999999802</v>
      </c>
      <c r="AD4628">
        <v>-1.12116603405</v>
      </c>
      <c r="AE4628">
        <v>-23.72</v>
      </c>
      <c r="AF4628">
        <v>6.3600965709689703</v>
      </c>
      <c r="AG4628">
        <v>-1.12116603405</v>
      </c>
      <c r="AH4628">
        <v>23.566925919178502</v>
      </c>
      <c r="AI4628">
        <v>92.629775489759098</v>
      </c>
      <c r="AJ4628">
        <v>74.897162886078306</v>
      </c>
      <c r="AK4628">
        <v>24.435790123259899</v>
      </c>
      <c r="AL4628">
        <v>79.660032002209704</v>
      </c>
      <c r="AM4628">
        <v>82.128296593839593</v>
      </c>
      <c r="AN4628">
        <v>0.99999998133988899</v>
      </c>
    </row>
    <row r="4629" spans="1:40" x14ac:dyDescent="0.25">
      <c r="A4629" t="str">
        <f>"20190303170346403"</f>
        <v>20190303170346403</v>
      </c>
      <c r="B4629" t="str">
        <f>"1551603826390271"</f>
        <v>1551603826390271</v>
      </c>
      <c r="C4629" t="s">
        <v>40</v>
      </c>
      <c r="D4629">
        <v>4.3732389999999999</v>
      </c>
      <c r="E4629">
        <v>0.55439050000000001</v>
      </c>
      <c r="F4629" t="s">
        <v>90</v>
      </c>
      <c r="G4629">
        <v>-196.30629999999999</v>
      </c>
      <c r="H4629" s="1">
        <v>-1.397698E-5</v>
      </c>
      <c r="I4629">
        <v>155.9716</v>
      </c>
      <c r="J4629">
        <v>-190.29810000000001</v>
      </c>
      <c r="K4629">
        <v>1.121162</v>
      </c>
      <c r="L4629">
        <v>179.7193</v>
      </c>
      <c r="M4629">
        <v>1.6028460000000001E-2</v>
      </c>
      <c r="N4629">
        <v>-1.3497149999999999E-2</v>
      </c>
      <c r="O4629">
        <v>-0.99978069999999997</v>
      </c>
      <c r="P4629">
        <v>-0.1185383</v>
      </c>
      <c r="Q4629">
        <v>0.1669986</v>
      </c>
      <c r="R4629">
        <v>-0.97880549999999999</v>
      </c>
      <c r="S4629">
        <v>-0.75469969999999997</v>
      </c>
      <c r="T4629">
        <v>-0.14085529999999999</v>
      </c>
      <c r="U4629">
        <v>-2.997528</v>
      </c>
      <c r="V4629">
        <v>0.134524799999999</v>
      </c>
      <c r="W4629">
        <v>0.17993509999999999</v>
      </c>
      <c r="X4629">
        <v>0.97443650000000004</v>
      </c>
      <c r="Y4629">
        <v>0.25944139999999999</v>
      </c>
      <c r="Z4629">
        <v>3.1905269999999999E-2</v>
      </c>
      <c r="AA4629">
        <v>0.96523170000000003</v>
      </c>
      <c r="AB4629">
        <v>20</v>
      </c>
      <c r="AC4629">
        <v>-6.00819999999998</v>
      </c>
      <c r="AD4629">
        <v>-1.12117597698</v>
      </c>
      <c r="AE4629">
        <v>-23.747699999999998</v>
      </c>
      <c r="AF4629">
        <v>6.37474733383202</v>
      </c>
      <c r="AG4629">
        <v>-1.12117597698</v>
      </c>
      <c r="AH4629">
        <v>23.5989009451661</v>
      </c>
      <c r="AI4629">
        <v>92.626072162085293</v>
      </c>
      <c r="AJ4629">
        <v>74.883536556658797</v>
      </c>
      <c r="AK4629">
        <v>24.470442680125601</v>
      </c>
      <c r="AL4629">
        <v>79.63402069784</v>
      </c>
      <c r="AM4629">
        <v>82.139776208218905</v>
      </c>
      <c r="AN4629">
        <v>1.0000000272796401</v>
      </c>
    </row>
    <row r="4630" spans="1:40" x14ac:dyDescent="0.25">
      <c r="A4630" t="str">
        <f>"20190303170346420"</f>
        <v>20190303170346420</v>
      </c>
      <c r="B4630" t="str">
        <f>"1551603826409790"</f>
        <v>1551603826409790</v>
      </c>
      <c r="C4630" t="s">
        <v>40</v>
      </c>
      <c r="D4630">
        <v>4.3263119999999997</v>
      </c>
      <c r="E4630">
        <v>0.55438799999999999</v>
      </c>
      <c r="F4630" t="s">
        <v>90</v>
      </c>
      <c r="G4630">
        <v>-196.38069999999999</v>
      </c>
      <c r="H4630" s="1">
        <v>-1.3830189999999999E-5</v>
      </c>
      <c r="I4630">
        <v>155.614</v>
      </c>
      <c r="J4630">
        <v>-190.29689999999999</v>
      </c>
      <c r="K4630">
        <v>1.121165</v>
      </c>
      <c r="L4630">
        <v>179.57730000000001</v>
      </c>
      <c r="M4630">
        <v>1.50877999999999E-2</v>
      </c>
      <c r="N4630">
        <v>-1.349565E-2</v>
      </c>
      <c r="O4630">
        <v>-0.9997954</v>
      </c>
      <c r="P4630">
        <v>-0.119745699999999</v>
      </c>
      <c r="Q4630">
        <v>0.167624</v>
      </c>
      <c r="R4630">
        <v>-0.97855190000000003</v>
      </c>
      <c r="S4630">
        <v>-0.75628660000000003</v>
      </c>
      <c r="T4630">
        <v>-0.13940239999999901</v>
      </c>
      <c r="U4630">
        <v>-2.997147</v>
      </c>
      <c r="V4630">
        <v>0.1348097</v>
      </c>
      <c r="W4630">
        <v>0.18055650000000001</v>
      </c>
      <c r="X4630">
        <v>0.97428210000000004</v>
      </c>
      <c r="Y4630">
        <v>0.25904700000000003</v>
      </c>
      <c r="Z4630">
        <v>3.1446639999999998E-2</v>
      </c>
      <c r="AA4630">
        <v>0.96535269999999995</v>
      </c>
      <c r="AB4630">
        <v>20</v>
      </c>
      <c r="AC4630">
        <v>-6.0837999999999903</v>
      </c>
      <c r="AD4630">
        <v>-1.1211788301900001</v>
      </c>
      <c r="AE4630">
        <v>-23.9633</v>
      </c>
      <c r="AF4630">
        <v>6.4314673396292701</v>
      </c>
      <c r="AG4630">
        <v>-1.1211788301900001</v>
      </c>
      <c r="AH4630">
        <v>23.819786887578299</v>
      </c>
      <c r="AI4630">
        <v>92.601841199270197</v>
      </c>
      <c r="AJ4630">
        <v>74.890144903613304</v>
      </c>
      <c r="AK4630">
        <v>24.698240048222701</v>
      </c>
      <c r="AL4630">
        <v>79.597823528641499</v>
      </c>
      <c r="AM4630">
        <v>82.122105769507598</v>
      </c>
      <c r="AN4630">
        <v>0.99999995764337402</v>
      </c>
    </row>
    <row r="4631" spans="1:40" x14ac:dyDescent="0.25">
      <c r="A4631" t="str">
        <f>"20190303170346435"</f>
        <v>20190303170346435</v>
      </c>
      <c r="B4631" t="str">
        <f>"1551603826420526"</f>
        <v>1551603826420526</v>
      </c>
      <c r="C4631" t="s">
        <v>40</v>
      </c>
      <c r="D4631">
        <v>4.3432259999999996</v>
      </c>
      <c r="E4631">
        <v>0.5543939</v>
      </c>
      <c r="F4631" t="s">
        <v>90</v>
      </c>
      <c r="G4631">
        <v>-196.47380000000001</v>
      </c>
      <c r="H4631" s="1">
        <v>-1.366628E-5</v>
      </c>
      <c r="I4631">
        <v>155.21270000000001</v>
      </c>
      <c r="J4631">
        <v>-190.29599999999999</v>
      </c>
      <c r="K4631">
        <v>1.121164</v>
      </c>
      <c r="L4631">
        <v>179.44749999999999</v>
      </c>
      <c r="M4631">
        <v>1.4226809999999999E-2</v>
      </c>
      <c r="N4631">
        <v>-1.3494330000000001E-2</v>
      </c>
      <c r="O4631">
        <v>-0.99980780000000002</v>
      </c>
      <c r="P4631">
        <v>-0.12103029999999999</v>
      </c>
      <c r="Q4631">
        <v>0.16755400000000001</v>
      </c>
      <c r="R4631">
        <v>-0.97840559999999999</v>
      </c>
      <c r="S4631">
        <v>-0.75964359999999997</v>
      </c>
      <c r="T4631">
        <v>-0.13788349999999999</v>
      </c>
      <c r="U4631">
        <v>-2.9963839999999999</v>
      </c>
      <c r="V4631">
        <v>0.13525039999999999</v>
      </c>
      <c r="W4631">
        <v>0.1804838</v>
      </c>
      <c r="X4631">
        <v>0.9742345</v>
      </c>
      <c r="Y4631">
        <v>0.25929449999999998</v>
      </c>
      <c r="Z4631">
        <v>3.0964510000000001E-2</v>
      </c>
      <c r="AA4631">
        <v>0.96530179999999999</v>
      </c>
      <c r="AB4631">
        <v>20</v>
      </c>
      <c r="AC4631">
        <v>-6.1778000000000102</v>
      </c>
      <c r="AD4631">
        <v>-1.1211776662799999</v>
      </c>
      <c r="AE4631">
        <v>-24.2347999999999</v>
      </c>
      <c r="AF4631">
        <v>6.5089090656692701</v>
      </c>
      <c r="AG4631">
        <v>-1.1211776662799999</v>
      </c>
      <c r="AH4631">
        <v>24.096023041956801</v>
      </c>
      <c r="AI4631">
        <v>92.571974739883601</v>
      </c>
      <c r="AJ4631">
        <v>74.883814365982502</v>
      </c>
      <c r="AK4631">
        <v>24.984820652208601</v>
      </c>
      <c r="AL4631">
        <v>79.602058604318898</v>
      </c>
      <c r="AM4631">
        <v>82.096296165262402</v>
      </c>
      <c r="AN4631">
        <v>0.99999996687642401</v>
      </c>
    </row>
    <row r="4632" spans="1:40" x14ac:dyDescent="0.25">
      <c r="A4632" t="str">
        <f>"20190303170346449"</f>
        <v>20190303170346449</v>
      </c>
      <c r="B4632" t="str">
        <f>"1551603826440046"</f>
        <v>1551603826440046</v>
      </c>
      <c r="C4632" t="s">
        <v>40</v>
      </c>
      <c r="D4632">
        <v>4.3567349999999996</v>
      </c>
      <c r="E4632">
        <v>0.5543863</v>
      </c>
      <c r="F4632" t="s">
        <v>90</v>
      </c>
      <c r="G4632">
        <v>-196.48740000000001</v>
      </c>
      <c r="H4632" s="1">
        <v>-1.3643910000000001E-5</v>
      </c>
      <c r="I4632">
        <v>155.15770000000001</v>
      </c>
      <c r="J4632">
        <v>-190.29519999999999</v>
      </c>
      <c r="K4632">
        <v>1.121165</v>
      </c>
      <c r="L4632">
        <v>179.31979999999999</v>
      </c>
      <c r="M4632">
        <v>1.338017E-2</v>
      </c>
      <c r="N4632">
        <v>-1.3493120000000001E-2</v>
      </c>
      <c r="O4632">
        <v>-0.99981980000000004</v>
      </c>
      <c r="P4632">
        <v>-0.1222101</v>
      </c>
      <c r="Q4632">
        <v>0.16714699999999999</v>
      </c>
      <c r="R4632">
        <v>-0.97832889999999995</v>
      </c>
      <c r="S4632">
        <v>-0.7635345</v>
      </c>
      <c r="T4632">
        <v>-0.138265</v>
      </c>
      <c r="U4632">
        <v>-2.995438</v>
      </c>
      <c r="V4632">
        <v>0.13560079999999999</v>
      </c>
      <c r="W4632">
        <v>0.18007579999999901</v>
      </c>
      <c r="X4632">
        <v>0.9742613</v>
      </c>
      <c r="Y4632">
        <v>0.2597257</v>
      </c>
      <c r="Z4632">
        <v>3.109468E-2</v>
      </c>
      <c r="AA4632">
        <v>0.96518170000000003</v>
      </c>
      <c r="AB4632">
        <v>20</v>
      </c>
      <c r="AC4632">
        <v>-6.1922000000000104</v>
      </c>
      <c r="AD4632">
        <v>-1.12117864391</v>
      </c>
      <c r="AE4632">
        <v>-24.162099999999899</v>
      </c>
      <c r="AF4632">
        <v>6.5018310953685603</v>
      </c>
      <c r="AG4632">
        <v>-1.12117864391</v>
      </c>
      <c r="AH4632">
        <v>24.028527328065401</v>
      </c>
      <c r="AI4632">
        <v>92.578890656489705</v>
      </c>
      <c r="AJ4632">
        <v>74.859028853807899</v>
      </c>
      <c r="AK4632">
        <v>24.917884635334701</v>
      </c>
      <c r="AL4632">
        <v>79.625824774226103</v>
      </c>
      <c r="AM4632">
        <v>82.076294615362698</v>
      </c>
      <c r="AN4632">
        <v>0.99999997569198396</v>
      </c>
    </row>
    <row r="4633" spans="1:40" x14ac:dyDescent="0.25">
      <c r="A4633" t="str">
        <f>"20190303170346464"</f>
        <v>20190303170346464</v>
      </c>
      <c r="B4633" t="str">
        <f>"1551603826449806"</f>
        <v>1551603826449806</v>
      </c>
      <c r="C4633" t="s">
        <v>40</v>
      </c>
      <c r="D4633">
        <v>4.3487629999999999</v>
      </c>
      <c r="E4633">
        <v>0.55437930000000002</v>
      </c>
      <c r="F4633" t="s">
        <v>90</v>
      </c>
      <c r="G4633">
        <v>-196.44589999999999</v>
      </c>
      <c r="H4633" s="1">
        <v>-1.37003799999999E-5</v>
      </c>
      <c r="I4633">
        <v>155.298</v>
      </c>
      <c r="J4633">
        <v>-190.2945</v>
      </c>
      <c r="K4633">
        <v>1.121159</v>
      </c>
      <c r="L4633">
        <v>179.1908</v>
      </c>
      <c r="M4633">
        <v>1.2524540000000001E-2</v>
      </c>
      <c r="N4633">
        <v>-1.3491009999999999E-2</v>
      </c>
      <c r="O4633">
        <v>-0.99983069999999996</v>
      </c>
      <c r="P4633">
        <v>-0.1242468</v>
      </c>
      <c r="Q4633">
        <v>0.16633979999999901</v>
      </c>
      <c r="R4633">
        <v>-0.97820980000000002</v>
      </c>
      <c r="S4633">
        <v>-0.7667389</v>
      </c>
      <c r="T4633">
        <v>-0.13976479999999999</v>
      </c>
      <c r="U4633">
        <v>-2.9945369999999998</v>
      </c>
      <c r="V4633">
        <v>0.13679820000000001</v>
      </c>
      <c r="W4633">
        <v>0.1792648</v>
      </c>
      <c r="X4633">
        <v>0.97424350000000004</v>
      </c>
      <c r="Y4633">
        <v>0.25993359999999999</v>
      </c>
      <c r="Z4633">
        <v>3.1587900000000002E-2</v>
      </c>
      <c r="AA4633">
        <v>0.96510969999999996</v>
      </c>
      <c r="AB4633">
        <v>20</v>
      </c>
      <c r="AC4633">
        <v>-6.15139999999999</v>
      </c>
      <c r="AD4633">
        <v>-1.1211727003799901</v>
      </c>
      <c r="AE4633">
        <v>-23.892799999999902</v>
      </c>
      <c r="AF4633">
        <v>6.4368982115879998</v>
      </c>
      <c r="AG4633">
        <v>-1.1211727003799901</v>
      </c>
      <c r="AH4633">
        <v>23.764798862699902</v>
      </c>
      <c r="AI4633">
        <v>92.607278990349599</v>
      </c>
      <c r="AJ4633">
        <v>74.844587568365895</v>
      </c>
      <c r="AK4633">
        <v>24.646629623439502</v>
      </c>
      <c r="AL4633">
        <v>79.673060646965396</v>
      </c>
      <c r="AM4633">
        <v>82.007081867667495</v>
      </c>
      <c r="AN4633">
        <v>1.0000000066672601</v>
      </c>
    </row>
    <row r="4634" spans="1:40" x14ac:dyDescent="0.25">
      <c r="A4634" t="str">
        <f>"20190303170346479"</f>
        <v>20190303170346479</v>
      </c>
      <c r="B4634" t="str">
        <f>"1551603826470303"</f>
        <v>1551603826470303</v>
      </c>
      <c r="C4634" t="s">
        <v>40</v>
      </c>
      <c r="D4634">
        <v>4.3676069999999996</v>
      </c>
      <c r="E4634">
        <v>0.55437799999999904</v>
      </c>
      <c r="F4634" t="s">
        <v>90</v>
      </c>
      <c r="G4634">
        <v>-196.36429999999999</v>
      </c>
      <c r="H4634" s="1">
        <v>-1.385166E-5</v>
      </c>
      <c r="I4634">
        <v>155.66749999999999</v>
      </c>
      <c r="J4634">
        <v>-190.2938</v>
      </c>
      <c r="K4634">
        <v>1.121156</v>
      </c>
      <c r="L4634">
        <v>179.05869999999999</v>
      </c>
      <c r="M4634">
        <v>1.164784E-2</v>
      </c>
      <c r="N4634">
        <v>-1.3486990000000001E-2</v>
      </c>
      <c r="O4634">
        <v>-0.99984139999999999</v>
      </c>
      <c r="P4634">
        <v>-0.1261534</v>
      </c>
      <c r="Q4634">
        <v>0.16546939999999999</v>
      </c>
      <c r="R4634">
        <v>-0.97811329999999996</v>
      </c>
      <c r="S4634">
        <v>-0.77229309999999995</v>
      </c>
      <c r="T4634">
        <v>-0.142651799999999</v>
      </c>
      <c r="U4634">
        <v>-2.9929809999999999</v>
      </c>
      <c r="V4634">
        <v>0.1378453</v>
      </c>
      <c r="W4634">
        <v>0.178389299999999</v>
      </c>
      <c r="X4634">
        <v>0.97425660000000003</v>
      </c>
      <c r="Y4634">
        <v>0.26087779999999999</v>
      </c>
      <c r="Z4634">
        <v>3.2530629999999998E-2</v>
      </c>
      <c r="AA4634">
        <v>0.9648236</v>
      </c>
      <c r="AB4634">
        <v>20</v>
      </c>
      <c r="AC4634">
        <v>-6.0704999999999796</v>
      </c>
      <c r="AD4634">
        <v>-1.1211698516599999</v>
      </c>
      <c r="AE4634">
        <v>-23.391200000000001</v>
      </c>
      <c r="AF4634">
        <v>6.3289471329068396</v>
      </c>
      <c r="AG4634">
        <v>-1.1211698516599999</v>
      </c>
      <c r="AH4634">
        <v>23.268813591518999</v>
      </c>
      <c r="AI4634">
        <v>92.6620061490094</v>
      </c>
      <c r="AJ4634">
        <v>74.784063426680007</v>
      </c>
      <c r="AK4634">
        <v>24.140221200400401</v>
      </c>
      <c r="AL4634">
        <v>79.724044831321294</v>
      </c>
      <c r="AM4634">
        <v>81.946807847578498</v>
      </c>
      <c r="AN4634">
        <v>0.99999999586507005</v>
      </c>
    </row>
    <row r="4635" spans="1:40" x14ac:dyDescent="0.25">
      <c r="A4635" t="str">
        <f>"20190303170346491"</f>
        <v>20190303170346491</v>
      </c>
      <c r="B4635" t="str">
        <f>"1551603826480062"</f>
        <v>1551603826480062</v>
      </c>
      <c r="C4635" t="s">
        <v>40</v>
      </c>
      <c r="D4635">
        <v>4.3433519999999897</v>
      </c>
      <c r="E4635">
        <v>0.55438069999999995</v>
      </c>
      <c r="F4635" t="s">
        <v>90</v>
      </c>
      <c r="G4635">
        <v>-196.28270000000001</v>
      </c>
      <c r="H4635" s="1">
        <v>-1.399886E-5</v>
      </c>
      <c r="I4635">
        <v>156.0274</v>
      </c>
      <c r="J4635">
        <v>-190.29339999999999</v>
      </c>
      <c r="K4635">
        <v>1.1211519999999999</v>
      </c>
      <c r="L4635">
        <v>178.9496</v>
      </c>
      <c r="M4635">
        <v>1.092299E-2</v>
      </c>
      <c r="N4635">
        <v>-1.3480809999999999E-2</v>
      </c>
      <c r="O4635">
        <v>-0.99984969999999995</v>
      </c>
      <c r="P4635">
        <v>-0.1277855</v>
      </c>
      <c r="Q4635">
        <v>0.16489319999999999</v>
      </c>
      <c r="R4635">
        <v>-0.9779989</v>
      </c>
      <c r="S4635">
        <v>-0.77787779999999995</v>
      </c>
      <c r="T4635">
        <v>-0.14562439999999999</v>
      </c>
      <c r="U4635">
        <v>-2.9914399999999999</v>
      </c>
      <c r="V4635">
        <v>0.13876669999999999</v>
      </c>
      <c r="W4635">
        <v>0.17780509999999999</v>
      </c>
      <c r="X4635">
        <v>0.9742326</v>
      </c>
      <c r="Y4635">
        <v>0.26197589999999998</v>
      </c>
      <c r="Z4635">
        <v>3.350148E-2</v>
      </c>
      <c r="AA4635">
        <v>0.96449280000000004</v>
      </c>
      <c r="AB4635">
        <v>20</v>
      </c>
      <c r="AC4635">
        <v>-5.9893000000000098</v>
      </c>
      <c r="AD4635">
        <v>-1.12116599886</v>
      </c>
      <c r="AE4635">
        <v>-22.9222</v>
      </c>
      <c r="AF4635">
        <v>6.2254026711730699</v>
      </c>
      <c r="AG4635">
        <v>-1.12116599886</v>
      </c>
      <c r="AH4635">
        <v>22.8043356076873</v>
      </c>
      <c r="AI4635">
        <v>92.715448676576699</v>
      </c>
      <c r="AJ4635">
        <v>74.730761093610994</v>
      </c>
      <c r="AK4635">
        <v>23.6653834560795</v>
      </c>
      <c r="AL4635">
        <v>79.758060935860897</v>
      </c>
      <c r="AM4635">
        <v>81.8934939648842</v>
      </c>
      <c r="AN4635">
        <v>1.00000000475883</v>
      </c>
    </row>
    <row r="4636" spans="1:40" x14ac:dyDescent="0.25">
      <c r="A4636" t="str">
        <f>"20190303170346504"</f>
        <v>20190303170346504</v>
      </c>
      <c r="B4636" t="str">
        <f>"1551603826489822"</f>
        <v>1551603826489822</v>
      </c>
      <c r="C4636" t="s">
        <v>40</v>
      </c>
      <c r="D4636">
        <v>4.3773739999999997</v>
      </c>
      <c r="E4636">
        <v>0.55440019999999901</v>
      </c>
      <c r="F4636" t="s">
        <v>90</v>
      </c>
      <c r="G4636">
        <v>-196.2321</v>
      </c>
      <c r="H4636" s="1">
        <v>-1.40883399999999E-5</v>
      </c>
      <c r="I4636">
        <v>156.2465</v>
      </c>
      <c r="J4636">
        <v>-190.29310000000001</v>
      </c>
      <c r="K4636">
        <v>1.1211469999999999</v>
      </c>
      <c r="L4636">
        <v>178.84399999999999</v>
      </c>
      <c r="M4636">
        <v>1.0221930000000001E-2</v>
      </c>
      <c r="N4636">
        <v>-1.3472659999999999E-2</v>
      </c>
      <c r="O4636">
        <v>-0.99985740000000001</v>
      </c>
      <c r="P4636">
        <v>-0.12933610000000001</v>
      </c>
      <c r="Q4636">
        <v>0.1645025</v>
      </c>
      <c r="R4636">
        <v>-0.97786090000000003</v>
      </c>
      <c r="S4636">
        <v>-0.782196</v>
      </c>
      <c r="T4636">
        <v>-0.14766940000000001</v>
      </c>
      <c r="U4636">
        <v>-2.9902340000000001</v>
      </c>
      <c r="V4636">
        <v>0.13963020000000001</v>
      </c>
      <c r="W4636">
        <v>0.17740439999999999</v>
      </c>
      <c r="X4636">
        <v>0.9741822</v>
      </c>
      <c r="Y4636">
        <v>0.2626908</v>
      </c>
      <c r="Z4636">
        <v>3.4175320000000002E-2</v>
      </c>
      <c r="AA4636">
        <v>0.96427459999999998</v>
      </c>
      <c r="AB4636">
        <v>20</v>
      </c>
      <c r="AC4636">
        <v>-5.9389999999999903</v>
      </c>
      <c r="AD4636">
        <v>-1.1211610883399901</v>
      </c>
      <c r="AE4636">
        <v>-22.5975</v>
      </c>
      <c r="AF4636">
        <v>6.1555272185454104</v>
      </c>
      <c r="AG4636">
        <v>-1.1211610883399901</v>
      </c>
      <c r="AH4636">
        <v>22.4838356129411</v>
      </c>
      <c r="AI4636">
        <v>92.753537252530194</v>
      </c>
      <c r="AJ4636">
        <v>74.688985915279602</v>
      </c>
      <c r="AK4636">
        <v>23.338174337210301</v>
      </c>
      <c r="AL4636">
        <v>79.781389539836695</v>
      </c>
      <c r="AM4636">
        <v>81.843310201128006</v>
      </c>
      <c r="AN4636">
        <v>0.99999993634411799</v>
      </c>
    </row>
    <row r="4637" spans="1:40" x14ac:dyDescent="0.25">
      <c r="A4637" t="str">
        <f>"20190303170346520"</f>
        <v>20190303170346520</v>
      </c>
      <c r="B4637" t="str">
        <f>"1551603826510319"</f>
        <v>1551603826510319</v>
      </c>
      <c r="C4637" t="s">
        <v>40</v>
      </c>
      <c r="D4637">
        <v>4.3682819999999998</v>
      </c>
      <c r="E4637">
        <v>0.55437329999999996</v>
      </c>
      <c r="F4637" t="s">
        <v>90</v>
      </c>
      <c r="G4637">
        <v>-196.22280000000001</v>
      </c>
      <c r="H4637" s="1">
        <v>-1.412239E-5</v>
      </c>
      <c r="I4637">
        <v>156.3278</v>
      </c>
      <c r="J4637">
        <v>-190.2927</v>
      </c>
      <c r="K4637">
        <v>1.121146</v>
      </c>
      <c r="L4637">
        <v>178.70349999999999</v>
      </c>
      <c r="M4637">
        <v>9.2896290000000006E-3</v>
      </c>
      <c r="N4637">
        <v>-1.3460629999999999E-2</v>
      </c>
      <c r="O4637">
        <v>-0.99986609999999998</v>
      </c>
      <c r="P4637">
        <v>-0.132008399999999</v>
      </c>
      <c r="Q4637">
        <v>0.1651783</v>
      </c>
      <c r="R4637">
        <v>-0.97738930000000002</v>
      </c>
      <c r="S4637">
        <v>-0.78712459999999995</v>
      </c>
      <c r="T4637">
        <v>-0.14882609999999999</v>
      </c>
      <c r="U4637">
        <v>-2.988861</v>
      </c>
      <c r="V4637">
        <v>0.1413884</v>
      </c>
      <c r="W4637">
        <v>0.17806040000000001</v>
      </c>
      <c r="X4637">
        <v>0.97380889999999998</v>
      </c>
      <c r="Y4637">
        <v>0.26338289999999998</v>
      </c>
      <c r="Z4637">
        <v>3.4568960000000003E-2</v>
      </c>
      <c r="AA4637">
        <v>0.96407180000000003</v>
      </c>
      <c r="AB4637">
        <v>20</v>
      </c>
      <c r="AC4637">
        <v>-5.9301000000000004</v>
      </c>
      <c r="AD4637">
        <v>-1.1211601223899901</v>
      </c>
      <c r="AE4637">
        <v>-22.375699999999899</v>
      </c>
      <c r="AF4637">
        <v>6.1233603538453103</v>
      </c>
      <c r="AG4637">
        <v>-1.1211601223899901</v>
      </c>
      <c r="AH4637">
        <v>22.2674047225903</v>
      </c>
      <c r="AI4637">
        <v>92.779394927050305</v>
      </c>
      <c r="AJ4637">
        <v>74.624169642155806</v>
      </c>
      <c r="AK4637">
        <v>23.1211992578828</v>
      </c>
      <c r="AL4637">
        <v>79.743195860618499</v>
      </c>
      <c r="AM4637">
        <v>81.738888463368696</v>
      </c>
      <c r="AN4637">
        <v>0.99999997971096399</v>
      </c>
    </row>
    <row r="4638" spans="1:40" x14ac:dyDescent="0.25">
      <c r="A4638" t="str">
        <f>"20190303170346532"</f>
        <v>20190303170346532</v>
      </c>
      <c r="B4638" t="str">
        <f>"1551603826520080"</f>
        <v>1551603826520080</v>
      </c>
      <c r="C4638" t="s">
        <v>40</v>
      </c>
      <c r="D4638">
        <v>4.3469749999999996</v>
      </c>
      <c r="E4638">
        <v>0.55438699999999996</v>
      </c>
      <c r="F4638" t="s">
        <v>90</v>
      </c>
      <c r="G4638">
        <v>-196.34960000000001</v>
      </c>
      <c r="H4638" s="1">
        <v>-1.396671E-5</v>
      </c>
      <c r="I4638">
        <v>155.93870000000001</v>
      </c>
      <c r="J4638">
        <v>-190.29259999999999</v>
      </c>
      <c r="K4638">
        <v>1.1211500000000001</v>
      </c>
      <c r="L4638">
        <v>178.5881</v>
      </c>
      <c r="M4638">
        <v>8.5240239999999998E-3</v>
      </c>
      <c r="N4638">
        <v>-1.345069E-2</v>
      </c>
      <c r="O4638">
        <v>-0.99987329999999996</v>
      </c>
      <c r="P4638">
        <v>-0.13360349999999999</v>
      </c>
      <c r="Q4638">
        <v>0.16571089999999999</v>
      </c>
      <c r="R4638">
        <v>-0.97708249999999996</v>
      </c>
      <c r="S4638">
        <v>-0.79470830000000003</v>
      </c>
      <c r="T4638">
        <v>-0.1471047</v>
      </c>
      <c r="U4638">
        <v>-2.986923</v>
      </c>
      <c r="V4638">
        <v>0.1422341</v>
      </c>
      <c r="W4638">
        <v>0.1785793</v>
      </c>
      <c r="X4638">
        <v>0.97359070000000003</v>
      </c>
      <c r="Y4638">
        <v>0.2650903</v>
      </c>
      <c r="Z4638">
        <v>3.402927E-2</v>
      </c>
      <c r="AA4638">
        <v>0.96362289999999995</v>
      </c>
      <c r="AB4638">
        <v>20</v>
      </c>
      <c r="AC4638">
        <v>-6.0570000000000102</v>
      </c>
      <c r="AD4638">
        <v>-1.12116396671</v>
      </c>
      <c r="AE4638">
        <v>-22.649399999999901</v>
      </c>
      <c r="AF4638">
        <v>6.2356018733518201</v>
      </c>
      <c r="AG4638">
        <v>-1.12116396671</v>
      </c>
      <c r="AH4638">
        <v>22.545385751467599</v>
      </c>
      <c r="AI4638">
        <v>92.744072336288994</v>
      </c>
      <c r="AJ4638">
        <v>74.539622422570403</v>
      </c>
      <c r="AK4638">
        <v>23.418671141755201</v>
      </c>
      <c r="AL4638">
        <v>79.712980796155406</v>
      </c>
      <c r="AM4638">
        <v>81.688327124298695</v>
      </c>
      <c r="AN4638">
        <v>0.99999997835889398</v>
      </c>
    </row>
    <row r="4639" spans="1:40" x14ac:dyDescent="0.25">
      <c r="A4639" t="str">
        <f>"20190303170346545"</f>
        <v>20190303170346545</v>
      </c>
      <c r="B4639" t="str">
        <f>"1551603826540574"</f>
        <v>1551603826540574</v>
      </c>
      <c r="C4639" t="s">
        <v>40</v>
      </c>
      <c r="D4639">
        <v>4.3664839999999998</v>
      </c>
      <c r="E4639">
        <v>0.55431649999999999</v>
      </c>
      <c r="F4639" t="s">
        <v>90</v>
      </c>
      <c r="G4639">
        <v>-196.43389999999999</v>
      </c>
      <c r="H4639" s="1">
        <v>-1.384354E-5</v>
      </c>
      <c r="I4639">
        <v>155.63409999999999</v>
      </c>
      <c r="J4639">
        <v>-190.29249999999999</v>
      </c>
      <c r="K4639">
        <v>1.121151</v>
      </c>
      <c r="L4639">
        <v>178.48070000000001</v>
      </c>
      <c r="M4639">
        <v>7.8116380000000001E-3</v>
      </c>
      <c r="N4639">
        <v>-1.344274E-2</v>
      </c>
      <c r="O4639">
        <v>-0.99987950000000003</v>
      </c>
      <c r="P4639">
        <v>-0.13519210000000001</v>
      </c>
      <c r="Q4639">
        <v>0.1660219</v>
      </c>
      <c r="R4639">
        <v>-0.97681150000000005</v>
      </c>
      <c r="S4639">
        <v>-0.79887390000000003</v>
      </c>
      <c r="T4639">
        <v>-0.145842</v>
      </c>
      <c r="U4639">
        <v>-2.9858699999999998</v>
      </c>
      <c r="V4639">
        <v>0.14312529999999901</v>
      </c>
      <c r="W4639">
        <v>0.1788787</v>
      </c>
      <c r="X4639">
        <v>0.97340510000000002</v>
      </c>
      <c r="Y4639">
        <v>0.2657467</v>
      </c>
      <c r="Z4639">
        <v>3.36353E-2</v>
      </c>
      <c r="AA4639">
        <v>0.96345599999999998</v>
      </c>
      <c r="AB4639">
        <v>20</v>
      </c>
      <c r="AC4639">
        <v>-6.1414</v>
      </c>
      <c r="AD4639">
        <v>-1.1211648435399999</v>
      </c>
      <c r="AE4639">
        <v>-22.846599999999999</v>
      </c>
      <c r="AF4639">
        <v>6.3055362245727897</v>
      </c>
      <c r="AG4639">
        <v>-1.1211648435399999</v>
      </c>
      <c r="AH4639">
        <v>22.746836294477799</v>
      </c>
      <c r="AI4639">
        <v>92.719372571537704</v>
      </c>
      <c r="AJ4639">
        <v>74.506361649612401</v>
      </c>
      <c r="AK4639">
        <v>23.631236935326999</v>
      </c>
      <c r="AL4639">
        <v>79.695545563758799</v>
      </c>
      <c r="AM4639">
        <v>81.6354107302882</v>
      </c>
      <c r="AN4639">
        <v>0.99999996475989394</v>
      </c>
    </row>
    <row r="4640" spans="1:40" x14ac:dyDescent="0.25">
      <c r="A4640" t="str">
        <f>"20190303170346558"</f>
        <v>20190303170346558</v>
      </c>
      <c r="B4640" t="str">
        <f>"1551603826550333"</f>
        <v>1551603826550333</v>
      </c>
      <c r="C4640" t="s">
        <v>40</v>
      </c>
      <c r="D4640">
        <v>4.3867989999999999</v>
      </c>
      <c r="E4640">
        <v>0.55427599999999999</v>
      </c>
      <c r="F4640" t="s">
        <v>90</v>
      </c>
      <c r="G4640">
        <v>-196.48240000000001</v>
      </c>
      <c r="H4640" s="1">
        <v>-1.377377E-5</v>
      </c>
      <c r="I4640">
        <v>155.4615</v>
      </c>
      <c r="J4640">
        <v>-190.29249999999999</v>
      </c>
      <c r="K4640">
        <v>1.121149</v>
      </c>
      <c r="L4640">
        <v>178.36660000000001</v>
      </c>
      <c r="M4640">
        <v>7.0549219999999999E-3</v>
      </c>
      <c r="N4640">
        <v>-1.343479E-2</v>
      </c>
      <c r="O4640">
        <v>-0.99988500000000002</v>
      </c>
      <c r="P4640">
        <v>-0.13666600000000001</v>
      </c>
      <c r="Q4640">
        <v>0.16594900000000001</v>
      </c>
      <c r="R4640">
        <v>-0.97661849999999994</v>
      </c>
      <c r="S4640">
        <v>-0.8026276</v>
      </c>
      <c r="T4640">
        <v>-0.14537919999999999</v>
      </c>
      <c r="U4640">
        <v>-2.9848479999999999</v>
      </c>
      <c r="V4640">
        <v>0.14385880000000001</v>
      </c>
      <c r="W4640">
        <v>0.1787956</v>
      </c>
      <c r="X4640">
        <v>0.97331230000000002</v>
      </c>
      <c r="Y4640">
        <v>0.266231099999999</v>
      </c>
      <c r="Z4640">
        <v>3.3500599999999998E-2</v>
      </c>
      <c r="AA4640">
        <v>0.96332689999999999</v>
      </c>
      <c r="AB4640">
        <v>19</v>
      </c>
      <c r="AC4640">
        <v>-6.1899000000000202</v>
      </c>
      <c r="AD4640">
        <v>-1.1211627737699901</v>
      </c>
      <c r="AE4640">
        <v>-22.905100000000001</v>
      </c>
      <c r="AF4640">
        <v>6.3372041124431702</v>
      </c>
      <c r="AG4640">
        <v>-1.1211627737699901</v>
      </c>
      <c r="AH4640">
        <v>22.809925367558002</v>
      </c>
      <c r="AI4640">
        <v>92.711423720543095</v>
      </c>
      <c r="AJ4640">
        <v>74.473291872572403</v>
      </c>
      <c r="AK4640">
        <v>23.700418924601699</v>
      </c>
      <c r="AL4640">
        <v>79.700385508333099</v>
      </c>
      <c r="AM4640">
        <v>81.592364211863199</v>
      </c>
      <c r="AN4640">
        <v>1.0000000271240399</v>
      </c>
    </row>
    <row r="4641" spans="1:40" x14ac:dyDescent="0.25">
      <c r="A4641" t="str">
        <f>"20190303170346569"</f>
        <v>20190303170346569</v>
      </c>
      <c r="B4641" t="str">
        <f>"1551603826560094"</f>
        <v>1551603826560094</v>
      </c>
      <c r="C4641" t="s">
        <v>40</v>
      </c>
      <c r="D4641">
        <v>4.3600339999999997</v>
      </c>
      <c r="E4641">
        <v>0.55424960000000001</v>
      </c>
      <c r="F4641" t="s">
        <v>90</v>
      </c>
      <c r="G4641">
        <v>-196.5009</v>
      </c>
      <c r="H4641" s="1">
        <v>-1.375026E-5</v>
      </c>
      <c r="I4641">
        <v>155.40289999999999</v>
      </c>
      <c r="J4641">
        <v>-190.29259999999999</v>
      </c>
      <c r="K4641">
        <v>1.121149</v>
      </c>
      <c r="L4641">
        <v>178.2612</v>
      </c>
      <c r="M4641">
        <v>6.3557309999999999E-3</v>
      </c>
      <c r="N4641">
        <v>-1.342806E-2</v>
      </c>
      <c r="O4641">
        <v>-0.99988969999999999</v>
      </c>
      <c r="P4641">
        <v>-0.138183</v>
      </c>
      <c r="Q4641">
        <v>0.16528499999999999</v>
      </c>
      <c r="R4641">
        <v>-0.97651759999999999</v>
      </c>
      <c r="S4641">
        <v>-0.80665589999999998</v>
      </c>
      <c r="T4641">
        <v>-0.14567330000000001</v>
      </c>
      <c r="U4641">
        <v>-2.9836879999999999</v>
      </c>
      <c r="V4641">
        <v>0.14469109999999999</v>
      </c>
      <c r="W4641">
        <v>0.17812420000000001</v>
      </c>
      <c r="X4641">
        <v>0.97331199999999995</v>
      </c>
      <c r="Y4641">
        <v>0.26686209999999999</v>
      </c>
      <c r="Z4641">
        <v>3.3608970000000002E-2</v>
      </c>
      <c r="AA4641">
        <v>0.96314849999999996</v>
      </c>
      <c r="AB4641">
        <v>19</v>
      </c>
      <c r="AC4641">
        <v>-6.2083000000000004</v>
      </c>
      <c r="AD4641">
        <v>-1.1211627502599999</v>
      </c>
      <c r="AE4641">
        <v>-22.8583</v>
      </c>
      <c r="AF4641">
        <v>6.3392659254561403</v>
      </c>
      <c r="AG4641">
        <v>-1.1211627502599999</v>
      </c>
      <c r="AH4641">
        <v>22.767366715895999</v>
      </c>
      <c r="AI4641">
        <v>92.716057456703595</v>
      </c>
      <c r="AJ4641">
        <v>74.440856483898102</v>
      </c>
      <c r="AK4641">
        <v>23.6600144877874</v>
      </c>
      <c r="AL4641">
        <v>79.739481184639402</v>
      </c>
      <c r="AM4641">
        <v>81.544420197673603</v>
      </c>
      <c r="AN4641">
        <v>0.99999999719442501</v>
      </c>
    </row>
    <row r="4642" spans="1:40" x14ac:dyDescent="0.25">
      <c r="A4642" t="str">
        <f>"20190303170346582"</f>
        <v>20190303170346582</v>
      </c>
      <c r="B4642" t="str">
        <f>"1551603826569855"</f>
        <v>1551603826569855</v>
      </c>
      <c r="C4642" t="s">
        <v>40</v>
      </c>
      <c r="D4642">
        <v>4.3888170000000004</v>
      </c>
      <c r="E4642">
        <v>0.55421769999999904</v>
      </c>
      <c r="F4642" t="s">
        <v>90</v>
      </c>
      <c r="G4642">
        <v>-196.43899999999999</v>
      </c>
      <c r="H4642" s="1">
        <v>-1.38525E-5</v>
      </c>
      <c r="I4642">
        <v>155.654</v>
      </c>
      <c r="J4642">
        <v>-190.2927</v>
      </c>
      <c r="K4642">
        <v>1.1211439999999999</v>
      </c>
      <c r="L4642">
        <v>178.15969999999999</v>
      </c>
      <c r="M4642">
        <v>5.6810219999999896E-3</v>
      </c>
      <c r="N4642">
        <v>-1.3421519999999999E-2</v>
      </c>
      <c r="O4642">
        <v>-0.9998937</v>
      </c>
      <c r="P4642">
        <v>-0.13942499999999999</v>
      </c>
      <c r="Q4642">
        <v>0.1646707</v>
      </c>
      <c r="R4642">
        <v>-0.97644450000000005</v>
      </c>
      <c r="S4642">
        <v>-0.81086729999999996</v>
      </c>
      <c r="T4642">
        <v>-0.14790819999999999</v>
      </c>
      <c r="U4642">
        <v>-2.982437</v>
      </c>
      <c r="V4642">
        <v>0.1452725</v>
      </c>
      <c r="W4642">
        <v>0.17750389999999999</v>
      </c>
      <c r="X4642">
        <v>0.9733387</v>
      </c>
      <c r="Y4642">
        <v>0.26757239999999999</v>
      </c>
      <c r="Z4642">
        <v>3.4343190000000003E-2</v>
      </c>
      <c r="AA4642">
        <v>0.96292560000000005</v>
      </c>
      <c r="AB4642">
        <v>19</v>
      </c>
      <c r="AC4642">
        <v>-6.1463000000000196</v>
      </c>
      <c r="AD4642">
        <v>-1.1211578525000001</v>
      </c>
      <c r="AE4642">
        <v>-22.505699999999901</v>
      </c>
      <c r="AF4642">
        <v>6.2596114521011801</v>
      </c>
      <c r="AG4642">
        <v>-1.1211578525000001</v>
      </c>
      <c r="AH4642">
        <v>22.418641639148799</v>
      </c>
      <c r="AI4642">
        <v>92.7576750210021</v>
      </c>
      <c r="AJ4642">
        <v>74.399492066929596</v>
      </c>
      <c r="AK4642">
        <v>23.303116173724</v>
      </c>
      <c r="AL4642">
        <v>79.775597115560601</v>
      </c>
      <c r="AM4642">
        <v>81.511167416962294</v>
      </c>
      <c r="AN4642">
        <v>0.99999997934457396</v>
      </c>
    </row>
    <row r="4643" spans="1:40" x14ac:dyDescent="0.25">
      <c r="A4643" t="str">
        <f>"20190303170346599"</f>
        <v>20190303170346599</v>
      </c>
      <c r="B4643" t="str">
        <f>"1551603826590350"</f>
        <v>1551603826590350</v>
      </c>
      <c r="C4643" t="s">
        <v>40</v>
      </c>
      <c r="D4643">
        <v>4.3907970000000001</v>
      </c>
      <c r="E4643">
        <v>0.55417369999999899</v>
      </c>
      <c r="F4643" t="s">
        <v>90</v>
      </c>
      <c r="G4643">
        <v>-196.3767</v>
      </c>
      <c r="H4643" s="1">
        <v>-1.3941389999999999E-5</v>
      </c>
      <c r="I4643">
        <v>155.8741</v>
      </c>
      <c r="J4643">
        <v>-190.29300000000001</v>
      </c>
      <c r="K4643">
        <v>1.121138</v>
      </c>
      <c r="L4643">
        <v>178.01599999999999</v>
      </c>
      <c r="M4643">
        <v>4.7257230000000002E-3</v>
      </c>
      <c r="N4643">
        <v>-1.3412179999999999E-2</v>
      </c>
      <c r="O4643">
        <v>-0.99989899999999998</v>
      </c>
      <c r="P4643">
        <v>-0.14109079999999999</v>
      </c>
      <c r="Q4643">
        <v>0.16273560000000001</v>
      </c>
      <c r="R4643">
        <v>-0.9765298</v>
      </c>
      <c r="S4643">
        <v>-0.8139343</v>
      </c>
      <c r="T4643">
        <v>-0.1499916</v>
      </c>
      <c r="U4643">
        <v>-2.98143</v>
      </c>
      <c r="V4643">
        <v>0.1460022</v>
      </c>
      <c r="W4643">
        <v>0.1755622</v>
      </c>
      <c r="X4643">
        <v>0.97358169999999999</v>
      </c>
      <c r="Y4643">
        <v>0.26764880000000002</v>
      </c>
      <c r="Z4643">
        <v>3.5034940000000001E-2</v>
      </c>
      <c r="AA4643">
        <v>0.96287940000000005</v>
      </c>
      <c r="AB4643">
        <v>19</v>
      </c>
      <c r="AC4643">
        <v>-6.0836999999999897</v>
      </c>
      <c r="AD4643">
        <v>-1.12115194139</v>
      </c>
      <c r="AE4643">
        <v>-22.1419</v>
      </c>
      <c r="AF4643">
        <v>6.1735606683222199</v>
      </c>
      <c r="AG4643">
        <v>-1.12115194139</v>
      </c>
      <c r="AH4643">
        <v>22.0603102372724</v>
      </c>
      <c r="AI4643">
        <v>92.801922719411294</v>
      </c>
      <c r="AJ4643">
        <v>74.365764718366506</v>
      </c>
      <c r="AK4643">
        <v>22.935281135531</v>
      </c>
      <c r="AL4643">
        <v>79.888623956305594</v>
      </c>
      <c r="AM4643">
        <v>81.471252009144393</v>
      </c>
      <c r="AN4643">
        <v>1.00000002752428</v>
      </c>
    </row>
    <row r="4644" spans="1:40" x14ac:dyDescent="0.25">
      <c r="A4644" t="str">
        <f>"20190303170346611"</f>
        <v>20190303170346611</v>
      </c>
      <c r="B4644" t="str">
        <f>"1551603826600024"</f>
        <v>1551603826600024</v>
      </c>
      <c r="C4644" t="s">
        <v>40</v>
      </c>
      <c r="D4644">
        <v>4.3950069999999997</v>
      </c>
      <c r="E4644">
        <v>0.55413919999999905</v>
      </c>
      <c r="F4644" t="s">
        <v>90</v>
      </c>
      <c r="G4644">
        <v>-196.1507</v>
      </c>
      <c r="H4644" s="1">
        <v>-1.423473E-5</v>
      </c>
      <c r="I4644">
        <v>156.6643</v>
      </c>
      <c r="J4644">
        <v>-190.29339999999999</v>
      </c>
      <c r="K4644">
        <v>1.121135</v>
      </c>
      <c r="L4644">
        <v>177.9025</v>
      </c>
      <c r="M4644">
        <v>3.9711340000000003E-3</v>
      </c>
      <c r="N4644">
        <v>-1.340468E-2</v>
      </c>
      <c r="O4644">
        <v>-0.99990250000000003</v>
      </c>
      <c r="P4644">
        <v>-0.1421412</v>
      </c>
      <c r="Q4644">
        <v>0.1620566</v>
      </c>
      <c r="R4644">
        <v>-0.97649070000000004</v>
      </c>
      <c r="S4644">
        <v>-0.81756589999999996</v>
      </c>
      <c r="T4644">
        <v>-0.1564796</v>
      </c>
      <c r="U4644">
        <v>-2.980057</v>
      </c>
      <c r="V4644">
        <v>0.146314</v>
      </c>
      <c r="W4644">
        <v>0.17487730000000001</v>
      </c>
      <c r="X4644">
        <v>0.97365809999999997</v>
      </c>
      <c r="Y4644">
        <v>0.26810209999999901</v>
      </c>
      <c r="Z4644">
        <v>3.7146520000000002E-2</v>
      </c>
      <c r="AA4644">
        <v>0.96267409999999998</v>
      </c>
      <c r="AB4644">
        <v>19</v>
      </c>
      <c r="AC4644">
        <v>-5.8573000000000004</v>
      </c>
      <c r="AD4644">
        <v>-1.1211492347299901</v>
      </c>
      <c r="AE4644">
        <v>-21.238199999999999</v>
      </c>
      <c r="AF4644">
        <v>5.9262536985485097</v>
      </c>
      <c r="AG4644">
        <v>-1.1211492347299901</v>
      </c>
      <c r="AH4644">
        <v>21.159971656245499</v>
      </c>
      <c r="AI4644">
        <v>92.920766401884293</v>
      </c>
      <c r="AJ4644">
        <v>74.354083604544897</v>
      </c>
      <c r="AK4644">
        <v>22.002769348407199</v>
      </c>
      <c r="AL4644">
        <v>79.928481950064096</v>
      </c>
      <c r="AM4644">
        <v>81.453967584988504</v>
      </c>
      <c r="AN4644">
        <v>0.99999997617344905</v>
      </c>
    </row>
    <row r="4645" spans="1:40" x14ac:dyDescent="0.25">
      <c r="A4645" t="str">
        <f>"20190303170346627"</f>
        <v>20190303170346627</v>
      </c>
      <c r="B4645" t="str">
        <f>"1551603826620520"</f>
        <v>1551603826620520</v>
      </c>
      <c r="C4645" t="s">
        <v>40</v>
      </c>
      <c r="D4645">
        <v>4.3676469999999998</v>
      </c>
      <c r="E4645">
        <v>0.55401330000000004</v>
      </c>
      <c r="F4645" t="s">
        <v>90</v>
      </c>
      <c r="G4645">
        <v>-196.08779999999999</v>
      </c>
      <c r="H4645" s="1">
        <v>-1.4283610000000001E-5</v>
      </c>
      <c r="I4645">
        <v>156.8586</v>
      </c>
      <c r="J4645">
        <v>-190.29390000000001</v>
      </c>
      <c r="K4645">
        <v>1.121135</v>
      </c>
      <c r="L4645">
        <v>177.77449999999999</v>
      </c>
      <c r="M4645">
        <v>3.1198390000000001E-3</v>
      </c>
      <c r="N4645">
        <v>-1.339653E-2</v>
      </c>
      <c r="O4645">
        <v>-0.99990559999999995</v>
      </c>
      <c r="P4645">
        <v>-0.14310049999999999</v>
      </c>
      <c r="Q4645">
        <v>0.16200349999999999</v>
      </c>
      <c r="R4645">
        <v>-0.97635950000000005</v>
      </c>
      <c r="S4645">
        <v>-0.82029719999999995</v>
      </c>
      <c r="T4645">
        <v>-0.15871849999999901</v>
      </c>
      <c r="U4645">
        <v>-2.9791409999999998</v>
      </c>
      <c r="V4645">
        <v>0.14644109999999999</v>
      </c>
      <c r="W4645">
        <v>0.1748162</v>
      </c>
      <c r="X4645">
        <v>0.97365000000000002</v>
      </c>
      <c r="Y4645">
        <v>0.2681693</v>
      </c>
      <c r="Z4645">
        <v>3.7886660000000003E-2</v>
      </c>
      <c r="AA4645">
        <v>0.96262650000000005</v>
      </c>
      <c r="AB4645">
        <v>19</v>
      </c>
      <c r="AC4645">
        <v>-5.7938999999999696</v>
      </c>
      <c r="AD4645">
        <v>-1.1211492836100001</v>
      </c>
      <c r="AE4645">
        <v>-20.915899999999901</v>
      </c>
      <c r="AF4645">
        <v>5.8435384682292897</v>
      </c>
      <c r="AG4645">
        <v>-1.1211492836100001</v>
      </c>
      <c r="AH4645">
        <v>20.8421036305967</v>
      </c>
      <c r="AI4645">
        <v>92.965000139247707</v>
      </c>
      <c r="AJ4645">
        <v>74.338000671498605</v>
      </c>
      <c r="AK4645">
        <v>21.6748056806594</v>
      </c>
      <c r="AL4645">
        <v>79.932037847620904</v>
      </c>
      <c r="AM4645">
        <v>81.446583474534094</v>
      </c>
      <c r="AN4645">
        <v>1.00000001102582</v>
      </c>
    </row>
    <row r="4646" spans="1:40" x14ac:dyDescent="0.25">
      <c r="A4646" t="str">
        <f>"20190303170346644"</f>
        <v>20190303170346644</v>
      </c>
      <c r="B4646" t="str">
        <f>"1551603826630279"</f>
        <v>1551603826630279</v>
      </c>
      <c r="C4646" t="s">
        <v>40</v>
      </c>
      <c r="D4646">
        <v>4.3604010000000004</v>
      </c>
      <c r="E4646">
        <v>0.55396679999999998</v>
      </c>
      <c r="F4646" t="s">
        <v>90</v>
      </c>
      <c r="G4646">
        <v>-196.10509999999999</v>
      </c>
      <c r="H4646" s="1">
        <v>-1.425115E-5</v>
      </c>
      <c r="I4646">
        <v>156.7296</v>
      </c>
      <c r="J4646">
        <v>-190.2946</v>
      </c>
      <c r="K4646">
        <v>1.1211450000000001</v>
      </c>
      <c r="L4646">
        <v>177.6191</v>
      </c>
      <c r="M4646">
        <v>2.0872909999999998E-3</v>
      </c>
      <c r="N4646">
        <v>-1.3387319999999999E-2</v>
      </c>
      <c r="O4646">
        <v>-0.99990840000000003</v>
      </c>
      <c r="P4646">
        <v>-0.14429220000000001</v>
      </c>
      <c r="Q4646">
        <v>0.16287270000000001</v>
      </c>
      <c r="R4646">
        <v>-0.9760394</v>
      </c>
      <c r="S4646">
        <v>-0.82244869999999903</v>
      </c>
      <c r="T4646">
        <v>-0.15867220000000001</v>
      </c>
      <c r="U4646">
        <v>-2.9784090000000001</v>
      </c>
      <c r="V4646">
        <v>0.14662510000000001</v>
      </c>
      <c r="W4646">
        <v>0.17567439999999901</v>
      </c>
      <c r="X4646">
        <v>0.97346779999999999</v>
      </c>
      <c r="Y4646">
        <v>0.2678816</v>
      </c>
      <c r="Z4646">
        <v>3.7892420000000003E-2</v>
      </c>
      <c r="AA4646">
        <v>0.96270639999999996</v>
      </c>
      <c r="AB4646">
        <v>19</v>
      </c>
      <c r="AC4646">
        <v>-5.8104999999999896</v>
      </c>
      <c r="AD4646">
        <v>-1.1211592511499999</v>
      </c>
      <c r="AE4646">
        <v>-20.889500000000002</v>
      </c>
      <c r="AF4646">
        <v>5.8384833130076501</v>
      </c>
      <c r="AG4646">
        <v>-1.1211592511499999</v>
      </c>
      <c r="AH4646">
        <v>20.821654201319902</v>
      </c>
      <c r="AI4646">
        <v>92.967908181834403</v>
      </c>
      <c r="AJ4646">
        <v>74.336270240245099</v>
      </c>
      <c r="AK4646">
        <v>21.653779557898201</v>
      </c>
      <c r="AL4646">
        <v>79.882093459285201</v>
      </c>
      <c r="AM4646">
        <v>81.434416439411606</v>
      </c>
      <c r="AN4646">
        <v>0.99999998620110397</v>
      </c>
    </row>
    <row r="4647" spans="1:40" x14ac:dyDescent="0.25">
      <c r="A4647" t="str">
        <f>"20190303170346660"</f>
        <v>20190303170346660</v>
      </c>
      <c r="B4647" t="str">
        <f>"1551603826649799"</f>
        <v>1551603826649799</v>
      </c>
      <c r="C4647" t="s">
        <v>40</v>
      </c>
      <c r="D4647">
        <v>4.3453410000000003</v>
      </c>
      <c r="E4647">
        <v>0.53573819999999905</v>
      </c>
      <c r="F4647" t="s">
        <v>90</v>
      </c>
      <c r="G4647">
        <v>-196.2482</v>
      </c>
      <c r="H4647" s="1">
        <v>-1.405601E-5</v>
      </c>
      <c r="I4647">
        <v>156.1678</v>
      </c>
      <c r="J4647">
        <v>-190.2954</v>
      </c>
      <c r="K4647">
        <v>1.121146</v>
      </c>
      <c r="L4647">
        <v>177.48060000000001</v>
      </c>
      <c r="M4647">
        <v>1.167633E-3</v>
      </c>
      <c r="N4647">
        <v>-1.337986E-2</v>
      </c>
      <c r="O4647">
        <v>-0.99991010000000002</v>
      </c>
      <c r="P4647">
        <v>-0.1453739</v>
      </c>
      <c r="Q4647">
        <v>0.1634912</v>
      </c>
      <c r="R4647">
        <v>-0.97577530000000001</v>
      </c>
      <c r="S4647">
        <v>-0.82635499999999995</v>
      </c>
      <c r="T4647">
        <v>-0.1556157</v>
      </c>
      <c r="U4647">
        <v>-2.977417</v>
      </c>
      <c r="V4647">
        <v>0.14680960000000001</v>
      </c>
      <c r="W4647">
        <v>0.1762841</v>
      </c>
      <c r="X4647">
        <v>0.97332980000000002</v>
      </c>
      <c r="Y4647">
        <v>0.26826230000000001</v>
      </c>
      <c r="Z4647">
        <v>3.6920809999999998E-2</v>
      </c>
      <c r="AA4647">
        <v>0.96263810000000005</v>
      </c>
      <c r="AB4647">
        <v>19</v>
      </c>
      <c r="AC4647">
        <v>-5.9527999999999901</v>
      </c>
      <c r="AD4647">
        <v>-1.1211600560099999</v>
      </c>
      <c r="AE4647">
        <v>-21.312799999999999</v>
      </c>
      <c r="AF4647">
        <v>5.9623780987941997</v>
      </c>
      <c r="AG4647">
        <v>-1.1211600560099999</v>
      </c>
      <c r="AH4647">
        <v>21.251281527936001</v>
      </c>
      <c r="AI4647">
        <v>92.907891816374899</v>
      </c>
      <c r="AJ4647">
        <v>74.327708561075795</v>
      </c>
      <c r="AK4647">
        <v>22.100314908248901</v>
      </c>
      <c r="AL4647">
        <v>79.846606763816993</v>
      </c>
      <c r="AM4647">
        <v>81.422600581058703</v>
      </c>
      <c r="AN4647">
        <v>1.0000000210665001</v>
      </c>
    </row>
    <row r="4648" spans="1:40" x14ac:dyDescent="0.25">
      <c r="A4648" t="str">
        <f>"20190303170346677"</f>
        <v>20190303170346677</v>
      </c>
      <c r="B4648" t="str">
        <f>"1551603826670296"</f>
        <v>1551603826670296</v>
      </c>
      <c r="C4648" t="s">
        <v>40</v>
      </c>
      <c r="D4648">
        <v>4.4287460000000003</v>
      </c>
      <c r="E4648">
        <v>0.5254141</v>
      </c>
      <c r="F4648" t="s">
        <v>42</v>
      </c>
      <c r="G4648">
        <v>-193.0204</v>
      </c>
      <c r="H4648" s="1">
        <v>-3.5271789999999999E-6</v>
      </c>
      <c r="I4648">
        <v>165.35319999999999</v>
      </c>
      <c r="J4648">
        <v>-190.29640000000001</v>
      </c>
      <c r="K4648">
        <v>1.121148</v>
      </c>
      <c r="L4648">
        <v>177.3355</v>
      </c>
      <c r="M4648">
        <v>2.0470690000000001E-4</v>
      </c>
      <c r="N4648">
        <v>-1.3372709999999999E-2</v>
      </c>
      <c r="O4648">
        <v>-0.99991059999999998</v>
      </c>
      <c r="P4648">
        <v>-0.1464974</v>
      </c>
      <c r="Q4648">
        <v>0.16393379999999999</v>
      </c>
      <c r="R4648">
        <v>-0.97553290000000004</v>
      </c>
      <c r="S4648">
        <v>-0.67863459999999998</v>
      </c>
      <c r="T4648">
        <v>-0.279207599999999</v>
      </c>
      <c r="U4648">
        <v>-3.0201720000000001</v>
      </c>
      <c r="V4648">
        <v>0.1469937</v>
      </c>
      <c r="W4648">
        <v>0.17671829999999999</v>
      </c>
      <c r="X4648">
        <v>0.97322330000000001</v>
      </c>
      <c r="Y4648">
        <v>0.21864159999999999</v>
      </c>
      <c r="Z4648">
        <v>7.6505710000000005E-2</v>
      </c>
      <c r="AA4648">
        <v>0.97280149999999999</v>
      </c>
      <c r="AB4648">
        <v>19</v>
      </c>
      <c r="AC4648">
        <v>-2.7239999999999802</v>
      </c>
      <c r="AD4648">
        <v>-1.121151527179</v>
      </c>
      <c r="AE4648">
        <v>-11.9823</v>
      </c>
      <c r="AF4648">
        <v>2.70394373525362</v>
      </c>
      <c r="AG4648">
        <v>-1.121151527179</v>
      </c>
      <c r="AH4648">
        <v>11.8828221760718</v>
      </c>
      <c r="AI4648">
        <v>95.256349703812603</v>
      </c>
      <c r="AJ4648">
        <v>77.180593958193697</v>
      </c>
      <c r="AK4648">
        <v>12.2380454051477</v>
      </c>
      <c r="AL4648">
        <v>79.8213324182571</v>
      </c>
      <c r="AM4648">
        <v>81.411078988894104</v>
      </c>
      <c r="AN4648">
        <v>1.0000000485287299</v>
      </c>
    </row>
    <row r="4649" spans="1:40" x14ac:dyDescent="0.25">
      <c r="A4649" t="str">
        <f>"20190303170346690"</f>
        <v>20190303170346690</v>
      </c>
      <c r="B4649" t="str">
        <f>"1551603826680056"</f>
        <v>1551603826680056</v>
      </c>
      <c r="C4649" t="s">
        <v>40</v>
      </c>
      <c r="D4649">
        <v>4.4180250000000001</v>
      </c>
      <c r="E4649">
        <v>0.52236510000000003</v>
      </c>
      <c r="F4649" t="s">
        <v>43</v>
      </c>
      <c r="G4649">
        <v>-190.46539999999999</v>
      </c>
      <c r="H4649">
        <v>1.005946</v>
      </c>
      <c r="I4649">
        <v>176.46680000000001</v>
      </c>
      <c r="J4649">
        <v>-190.29730000000001</v>
      </c>
      <c r="K4649">
        <v>1.121148</v>
      </c>
      <c r="L4649">
        <v>177.2123</v>
      </c>
      <c r="M4649">
        <v>-6.1228300000000003E-4</v>
      </c>
      <c r="N4649">
        <v>-1.336708E-2</v>
      </c>
      <c r="O4649">
        <v>-0.99991050000000004</v>
      </c>
      <c r="P4649">
        <v>-0.14755460000000001</v>
      </c>
      <c r="Q4649">
        <v>0.16418289999999999</v>
      </c>
      <c r="R4649">
        <v>-0.97533179999999997</v>
      </c>
      <c r="S4649">
        <v>-0.593429599999999</v>
      </c>
      <c r="T4649">
        <v>-0.40503410000000001</v>
      </c>
      <c r="U4649">
        <v>-3.0541689999999999</v>
      </c>
      <c r="V4649">
        <v>0.1472541</v>
      </c>
      <c r="W4649">
        <v>0.17696049999999999</v>
      </c>
      <c r="X4649">
        <v>0.97313989999999995</v>
      </c>
      <c r="Y4649">
        <v>0.18866949999999999</v>
      </c>
      <c r="Z4649">
        <v>0.1158357</v>
      </c>
      <c r="AA4649">
        <v>0.97518510000000003</v>
      </c>
      <c r="AB4649">
        <v>19</v>
      </c>
      <c r="AC4649">
        <v>-0.16809999999998099</v>
      </c>
      <c r="AD4649">
        <v>-0.115202</v>
      </c>
      <c r="AE4649">
        <v>-0.74549999999999195</v>
      </c>
      <c r="AF4649">
        <v>0.16391857062412701</v>
      </c>
      <c r="AG4649">
        <v>-0.115202</v>
      </c>
      <c r="AH4649">
        <v>0.729036113014769</v>
      </c>
      <c r="AI4649">
        <v>98.764324117844396</v>
      </c>
      <c r="AJ4649">
        <v>77.328185974548504</v>
      </c>
      <c r="AK4649">
        <v>0.75606511140188204</v>
      </c>
      <c r="AL4649">
        <v>79.807232948703003</v>
      </c>
      <c r="AM4649">
        <v>81.395364852329493</v>
      </c>
      <c r="AN4649">
        <v>1.0000000267495299</v>
      </c>
    </row>
    <row r="4650" spans="1:40" x14ac:dyDescent="0.25">
      <c r="A4650" t="str">
        <f>"20190303170346709"</f>
        <v>20190303170346709</v>
      </c>
      <c r="B4650" t="str">
        <f>"1551603826700553"</f>
        <v>1551603826700553</v>
      </c>
      <c r="C4650" t="s">
        <v>40</v>
      </c>
      <c r="D4650">
        <v>4.424601</v>
      </c>
      <c r="E4650">
        <v>0.51899609999999996</v>
      </c>
      <c r="F4650" t="s">
        <v>43</v>
      </c>
      <c r="G4650">
        <v>-190.43620000000001</v>
      </c>
      <c r="H4650">
        <v>1.0103</v>
      </c>
      <c r="I4650">
        <v>176.46549999999999</v>
      </c>
      <c r="J4650">
        <v>-190.29859999999999</v>
      </c>
      <c r="K4650">
        <v>1.121148</v>
      </c>
      <c r="L4650">
        <v>177.05670000000001</v>
      </c>
      <c r="M4650">
        <v>-1.6453289999999901E-3</v>
      </c>
      <c r="N4650">
        <v>-1.336038E-2</v>
      </c>
      <c r="O4650">
        <v>-0.9999093</v>
      </c>
      <c r="P4650">
        <v>-0.14859140000000001</v>
      </c>
      <c r="Q4650">
        <v>0.1638878</v>
      </c>
      <c r="R4650">
        <v>-0.97522370000000003</v>
      </c>
      <c r="S4650">
        <v>-0.56930539999999996</v>
      </c>
      <c r="T4650">
        <v>-0.45512330000000001</v>
      </c>
      <c r="U4650">
        <v>-3.0663450000000001</v>
      </c>
      <c r="V4650">
        <v>0.14728229999999901</v>
      </c>
      <c r="W4650">
        <v>0.17666009999999999</v>
      </c>
      <c r="X4650">
        <v>0.97319020000000001</v>
      </c>
      <c r="Y4650">
        <v>0.17915739999999999</v>
      </c>
      <c r="Z4650">
        <v>0.13119339999999999</v>
      </c>
      <c r="AA4650">
        <v>0.97503379999999995</v>
      </c>
      <c r="AB4650">
        <v>19</v>
      </c>
      <c r="AC4650">
        <v>-0.13760000000002001</v>
      </c>
      <c r="AD4650">
        <v>-0.110848</v>
      </c>
      <c r="AE4650">
        <v>-0.59120000000001405</v>
      </c>
      <c r="AF4650">
        <v>0.13221775029836799</v>
      </c>
      <c r="AG4650">
        <v>-0.110848</v>
      </c>
      <c r="AH4650">
        <v>0.57233899462201199</v>
      </c>
      <c r="AI4650">
        <v>100.686367638798</v>
      </c>
      <c r="AJ4650">
        <v>76.992122959663405</v>
      </c>
      <c r="AK4650">
        <v>0.59777984021117403</v>
      </c>
      <c r="AL4650">
        <v>79.824720002117701</v>
      </c>
      <c r="AM4650">
        <v>81.394179847898798</v>
      </c>
      <c r="AN4650">
        <v>1.0000000161006699</v>
      </c>
    </row>
    <row r="4651" spans="1:40" x14ac:dyDescent="0.25">
      <c r="A4651" t="str">
        <f>"20190303170346723"</f>
        <v>20190303170346723</v>
      </c>
      <c r="B4651" t="str">
        <f>"1551603826710312"</f>
        <v>1551603826710312</v>
      </c>
      <c r="C4651" t="s">
        <v>40</v>
      </c>
      <c r="D4651">
        <v>4.4227179999999997</v>
      </c>
      <c r="E4651">
        <v>0.5179492</v>
      </c>
      <c r="F4651" t="s">
        <v>43</v>
      </c>
      <c r="G4651">
        <v>-190.43170000000001</v>
      </c>
      <c r="H4651">
        <v>0.99337390000000003</v>
      </c>
      <c r="I4651">
        <v>176.30109999999999</v>
      </c>
      <c r="J4651">
        <v>-190.2997</v>
      </c>
      <c r="K4651">
        <v>1.121154</v>
      </c>
      <c r="L4651">
        <v>176.94149999999999</v>
      </c>
      <c r="M4651">
        <v>-2.409872E-3</v>
      </c>
      <c r="N4651">
        <v>-1.3358099999999999E-2</v>
      </c>
      <c r="O4651">
        <v>-0.99990809999999997</v>
      </c>
      <c r="P4651">
        <v>-0.14948539999999999</v>
      </c>
      <c r="Q4651">
        <v>0.16336539999999999</v>
      </c>
      <c r="R4651">
        <v>-0.97517509999999996</v>
      </c>
      <c r="S4651">
        <v>-0.54165649999999999</v>
      </c>
      <c r="T4651">
        <v>-0.52105509999999999</v>
      </c>
      <c r="U4651">
        <v>-3.0812529999999998</v>
      </c>
      <c r="V4651">
        <v>0.14742920000000001</v>
      </c>
      <c r="W4651">
        <v>0.1761363</v>
      </c>
      <c r="X4651">
        <v>0.97326290000000004</v>
      </c>
      <c r="Y4651">
        <v>0.1685712</v>
      </c>
      <c r="Z4651">
        <v>0.1511345</v>
      </c>
      <c r="AA4651">
        <v>0.97403399999999996</v>
      </c>
      <c r="AB4651">
        <v>19</v>
      </c>
      <c r="AC4651">
        <v>-0.132000000000005</v>
      </c>
      <c r="AD4651">
        <v>-0.12778010000000001</v>
      </c>
      <c r="AE4651">
        <v>-0.64039999999999897</v>
      </c>
      <c r="AF4651">
        <v>0.12565730140919101</v>
      </c>
      <c r="AG4651">
        <v>-0.12778010000000001</v>
      </c>
      <c r="AH4651">
        <v>0.61714720608072404</v>
      </c>
      <c r="AI4651">
        <v>101.468883464201</v>
      </c>
      <c r="AJ4651">
        <v>78.491327506800204</v>
      </c>
      <c r="AK4651">
        <v>0.64264156831525798</v>
      </c>
      <c r="AL4651">
        <v>79.855209670979704</v>
      </c>
      <c r="AM4651">
        <v>81.386358879310905</v>
      </c>
      <c r="AN4651">
        <v>1.00000001885336</v>
      </c>
    </row>
    <row r="4652" spans="1:40" x14ac:dyDescent="0.25">
      <c r="A4652" t="str">
        <f>"20190303170346734"</f>
        <v>20190303170346734</v>
      </c>
      <c r="B4652" t="str">
        <f>"1551603826720072"</f>
        <v>1551603826720072</v>
      </c>
      <c r="C4652" t="s">
        <v>40</v>
      </c>
      <c r="D4652">
        <v>4.3988519999999998</v>
      </c>
      <c r="E4652">
        <v>0.51695049999999998</v>
      </c>
      <c r="F4652" t="s">
        <v>43</v>
      </c>
      <c r="G4652">
        <v>-190.43979999999999</v>
      </c>
      <c r="H4652">
        <v>0.97912279999999996</v>
      </c>
      <c r="I4652">
        <v>176.1354</v>
      </c>
      <c r="J4652">
        <v>-190.30070000000001</v>
      </c>
      <c r="K4652">
        <v>1.121156</v>
      </c>
      <c r="L4652">
        <v>176.83709999999999</v>
      </c>
      <c r="M4652">
        <v>-3.10254E-3</v>
      </c>
      <c r="N4652">
        <v>-1.3357859999999999E-2</v>
      </c>
      <c r="O4652">
        <v>-0.99990599999999996</v>
      </c>
      <c r="P4652">
        <v>-0.1498505</v>
      </c>
      <c r="Q4652">
        <v>0.16402829999999999</v>
      </c>
      <c r="R4652">
        <v>-0.97500759999999997</v>
      </c>
      <c r="S4652">
        <v>-0.53561400000000003</v>
      </c>
      <c r="T4652">
        <v>-0.54362999999999995</v>
      </c>
      <c r="U4652">
        <v>-3.0853269999999999</v>
      </c>
      <c r="V4652">
        <v>0.14711959999999999</v>
      </c>
      <c r="W4652">
        <v>0.17679900000000001</v>
      </c>
      <c r="X4652">
        <v>0.97318959999999999</v>
      </c>
      <c r="Y4652">
        <v>0.1656318</v>
      </c>
      <c r="Z4652">
        <v>0.15791629999999901</v>
      </c>
      <c r="AA4652">
        <v>0.97346220000000006</v>
      </c>
      <c r="AB4652">
        <v>19</v>
      </c>
      <c r="AC4652">
        <v>-0.13909999999998399</v>
      </c>
      <c r="AD4652">
        <v>-0.142033199999999</v>
      </c>
      <c r="AE4652">
        <v>-0.701699999999988</v>
      </c>
      <c r="AF4652">
        <v>0.13172907503040801</v>
      </c>
      <c r="AG4652">
        <v>-0.142033199999999</v>
      </c>
      <c r="AH4652">
        <v>0.675498786318949</v>
      </c>
      <c r="AI4652">
        <v>101.660801115944</v>
      </c>
      <c r="AJ4652">
        <v>78.965234394673402</v>
      </c>
      <c r="AK4652">
        <v>0.70272653957921705</v>
      </c>
      <c r="AL4652">
        <v>79.816634492209204</v>
      </c>
      <c r="AM4652">
        <v>81.403539210193003</v>
      </c>
      <c r="AN4652">
        <v>1.0000000303266501</v>
      </c>
    </row>
    <row r="4653" spans="1:40" x14ac:dyDescent="0.25">
      <c r="A4653" t="str">
        <f>"20190303170346746"</f>
        <v>20190303170346746</v>
      </c>
      <c r="B4653" t="str">
        <f>"1551603826740568"</f>
        <v>1551603826740568</v>
      </c>
      <c r="C4653" t="s">
        <v>40</v>
      </c>
      <c r="D4653">
        <v>4.4164519999999996</v>
      </c>
      <c r="E4653">
        <v>0.51570020000000005</v>
      </c>
      <c r="F4653" t="s">
        <v>43</v>
      </c>
      <c r="G4653">
        <v>-190.4221</v>
      </c>
      <c r="H4653">
        <v>0.99320410000000003</v>
      </c>
      <c r="I4653">
        <v>176.12899999999999</v>
      </c>
      <c r="J4653">
        <v>-190.30179999999999</v>
      </c>
      <c r="K4653">
        <v>1.121162</v>
      </c>
      <c r="L4653">
        <v>176.7346</v>
      </c>
      <c r="M4653">
        <v>-3.7833440000000001E-3</v>
      </c>
      <c r="N4653">
        <v>-1.3361690000000001E-2</v>
      </c>
      <c r="O4653">
        <v>-0.99990389999999996</v>
      </c>
      <c r="P4653">
        <v>-0.15045039999999901</v>
      </c>
      <c r="Q4653">
        <v>0.16505810000000001</v>
      </c>
      <c r="R4653">
        <v>-0.97474159999999999</v>
      </c>
      <c r="S4653">
        <v>-0.52848819999999996</v>
      </c>
      <c r="T4653">
        <v>-0.55824280000000004</v>
      </c>
      <c r="U4653">
        <v>-3.0895839999999999</v>
      </c>
      <c r="V4653">
        <v>0.147057299999999</v>
      </c>
      <c r="W4653">
        <v>0.17783089999999999</v>
      </c>
      <c r="X4653">
        <v>0.97301099999999996</v>
      </c>
      <c r="Y4653">
        <v>0.16243440000000001</v>
      </c>
      <c r="Z4653">
        <v>0.16222839999999999</v>
      </c>
      <c r="AA4653">
        <v>0.97329189999999999</v>
      </c>
      <c r="AB4653">
        <v>19</v>
      </c>
      <c r="AC4653">
        <v>-0.12030000000001401</v>
      </c>
      <c r="AD4653">
        <v>-0.12795790000000001</v>
      </c>
      <c r="AE4653">
        <v>-0.60559999999998104</v>
      </c>
      <c r="AF4653">
        <v>0.113148125811405</v>
      </c>
      <c r="AG4653">
        <v>-0.12795790000000001</v>
      </c>
      <c r="AH4653">
        <v>0.58109337374487702</v>
      </c>
      <c r="AI4653">
        <v>102.196440905736</v>
      </c>
      <c r="AJ4653">
        <v>78.981472654314402</v>
      </c>
      <c r="AK4653">
        <v>0.60567749797829495</v>
      </c>
      <c r="AL4653">
        <v>79.756559153948402</v>
      </c>
      <c r="AM4653">
        <v>81.405571453442604</v>
      </c>
      <c r="AN4653">
        <v>1.0000000422995401</v>
      </c>
    </row>
    <row r="4654" spans="1:40" x14ac:dyDescent="0.25">
      <c r="A4654" t="str">
        <f>"20190303170346760"</f>
        <v>20190303170346760</v>
      </c>
      <c r="B4654" t="str">
        <f>"1551603826750329"</f>
        <v>1551603826750329</v>
      </c>
      <c r="C4654" t="s">
        <v>40</v>
      </c>
      <c r="D4654">
        <v>4.3631039999999999</v>
      </c>
      <c r="E4654">
        <v>0.51521679999999903</v>
      </c>
      <c r="F4654" t="s">
        <v>43</v>
      </c>
      <c r="G4654">
        <v>-190.43119999999999</v>
      </c>
      <c r="H4654">
        <v>0.97738809999999998</v>
      </c>
      <c r="I4654">
        <v>175.96430000000001</v>
      </c>
      <c r="J4654">
        <v>-190.3032</v>
      </c>
      <c r="K4654">
        <v>1.1211709999999999</v>
      </c>
      <c r="L4654">
        <v>176.62099999999899</v>
      </c>
      <c r="M4654">
        <v>-4.5381270000000003E-3</v>
      </c>
      <c r="N4654">
        <v>-1.336647E-2</v>
      </c>
      <c r="O4654">
        <v>-0.99990020000000002</v>
      </c>
      <c r="P4654">
        <v>-0.15110009999999999</v>
      </c>
      <c r="Q4654">
        <v>0.16569120000000001</v>
      </c>
      <c r="R4654">
        <v>-0.97453310000000004</v>
      </c>
      <c r="S4654">
        <v>-0.51948549999999905</v>
      </c>
      <c r="T4654">
        <v>-0.57773830000000004</v>
      </c>
      <c r="U4654">
        <v>-3.095367</v>
      </c>
      <c r="V4654">
        <v>0.14697199999999999</v>
      </c>
      <c r="W4654">
        <v>0.17846770000000001</v>
      </c>
      <c r="X4654">
        <v>0.97290719999999997</v>
      </c>
      <c r="Y4654">
        <v>0.158475</v>
      </c>
      <c r="Z4654">
        <v>0.16793949999999999</v>
      </c>
      <c r="AA4654">
        <v>0.9729759</v>
      </c>
      <c r="AB4654">
        <v>19</v>
      </c>
      <c r="AC4654">
        <v>-0.12799999999998499</v>
      </c>
      <c r="AD4654">
        <v>-0.14378289999999899</v>
      </c>
      <c r="AE4654">
        <v>-0.65669999999997197</v>
      </c>
      <c r="AF4654">
        <v>0.11949933178428</v>
      </c>
      <c r="AG4654">
        <v>-0.14378289999999899</v>
      </c>
      <c r="AH4654">
        <v>0.62825898179408002</v>
      </c>
      <c r="AI4654">
        <v>102.67102558242701</v>
      </c>
      <c r="AJ4654">
        <v>79.230579699422293</v>
      </c>
      <c r="AK4654">
        <v>0.65548681209787396</v>
      </c>
      <c r="AL4654">
        <v>79.719479150829301</v>
      </c>
      <c r="AM4654">
        <v>81.409579489301905</v>
      </c>
      <c r="AN4654">
        <v>0.99999995426956401</v>
      </c>
    </row>
    <row r="4655" spans="1:40" x14ac:dyDescent="0.25">
      <c r="A4655" t="str">
        <f>"20190303170346770"</f>
        <v>20190303170346770</v>
      </c>
      <c r="B4655" t="str">
        <f>"1551603826760089"</f>
        <v>1551603826760089</v>
      </c>
      <c r="C4655" t="s">
        <v>40</v>
      </c>
      <c r="D4655">
        <v>4.4142039999999998</v>
      </c>
      <c r="E4655">
        <v>0.51473930000000001</v>
      </c>
      <c r="F4655" t="s">
        <v>43</v>
      </c>
      <c r="G4655">
        <v>-190.4408</v>
      </c>
      <c r="H4655">
        <v>0.96589409999999998</v>
      </c>
      <c r="I4655">
        <v>175.79769999999999</v>
      </c>
      <c r="J4655">
        <v>-190.30439999999999</v>
      </c>
      <c r="K4655">
        <v>1.121178</v>
      </c>
      <c r="L4655">
        <v>176.52099999999999</v>
      </c>
      <c r="M4655">
        <v>-5.2031999999999998E-3</v>
      </c>
      <c r="N4655">
        <v>-1.3371289999999999E-2</v>
      </c>
      <c r="O4655">
        <v>-0.99989709999999998</v>
      </c>
      <c r="P4655">
        <v>-0.1520745</v>
      </c>
      <c r="Q4655">
        <v>0.16630210000000001</v>
      </c>
      <c r="R4655">
        <v>-0.97427770000000002</v>
      </c>
      <c r="S4655">
        <v>-0.51730350000000003</v>
      </c>
      <c r="T4655">
        <v>-0.58414820000000001</v>
      </c>
      <c r="U4655">
        <v>-3.0975039999999998</v>
      </c>
      <c r="V4655">
        <v>0.14729929999999999</v>
      </c>
      <c r="W4655">
        <v>0.1790813</v>
      </c>
      <c r="X4655">
        <v>0.97274499999999997</v>
      </c>
      <c r="Y4655">
        <v>0.15698960000000001</v>
      </c>
      <c r="Z4655">
        <v>0.1697922</v>
      </c>
      <c r="AA4655">
        <v>0.97289510000000001</v>
      </c>
      <c r="AB4655">
        <v>19</v>
      </c>
      <c r="AC4655">
        <v>-0.13640000000000799</v>
      </c>
      <c r="AD4655">
        <v>-0.1552839</v>
      </c>
      <c r="AE4655">
        <v>-0.72329999999999395</v>
      </c>
      <c r="AF4655">
        <v>0.126982581434742</v>
      </c>
      <c r="AG4655">
        <v>-0.1552839</v>
      </c>
      <c r="AH4655">
        <v>0.693149192574115</v>
      </c>
      <c r="AI4655">
        <v>102.42706046725399</v>
      </c>
      <c r="AJ4655">
        <v>79.618721371373397</v>
      </c>
      <c r="AK4655">
        <v>0.72159092895711197</v>
      </c>
      <c r="AL4655">
        <v>79.6837474505421</v>
      </c>
      <c r="AM4655">
        <v>81.389321322922598</v>
      </c>
      <c r="AN4655">
        <v>1.0000000154075801</v>
      </c>
    </row>
    <row r="4656" spans="1:40" x14ac:dyDescent="0.25">
      <c r="A4656" t="str">
        <f>"20190303170346789"</f>
        <v>20190303170346789</v>
      </c>
      <c r="B4656" t="str">
        <f>"1551603826780585"</f>
        <v>1551603826780585</v>
      </c>
      <c r="C4656" t="s">
        <v>40</v>
      </c>
      <c r="D4656">
        <v>4.4078819999999999</v>
      </c>
      <c r="E4656">
        <v>0.51409929999999904</v>
      </c>
      <c r="F4656" t="s">
        <v>43</v>
      </c>
      <c r="G4656">
        <v>-190.42619999999999</v>
      </c>
      <c r="H4656">
        <v>0.98234560000000004</v>
      </c>
      <c r="I4656">
        <v>175.7901</v>
      </c>
      <c r="J4656">
        <v>-190.3064</v>
      </c>
      <c r="K4656">
        <v>1.1211869999999999</v>
      </c>
      <c r="L4656">
        <v>176.37209999999999</v>
      </c>
      <c r="M4656">
        <v>-6.1934140000000004E-3</v>
      </c>
      <c r="N4656">
        <v>-1.337694E-2</v>
      </c>
      <c r="O4656">
        <v>-0.99989159999999999</v>
      </c>
      <c r="P4656">
        <v>-0.15343780000000001</v>
      </c>
      <c r="Q4656">
        <v>0.16656389999999999</v>
      </c>
      <c r="R4656">
        <v>-0.97401939999999998</v>
      </c>
      <c r="S4656">
        <v>-0.51583859999999904</v>
      </c>
      <c r="T4656">
        <v>-0.58863529999999997</v>
      </c>
      <c r="U4656">
        <v>-3.0991360000000001</v>
      </c>
      <c r="V4656">
        <v>0.14769789999999999</v>
      </c>
      <c r="W4656">
        <v>0.179347799999999</v>
      </c>
      <c r="X4656">
        <v>0.97263540000000004</v>
      </c>
      <c r="Y4656">
        <v>0.155445</v>
      </c>
      <c r="Z4656">
        <v>0.1710835</v>
      </c>
      <c r="AA4656">
        <v>0.97291689999999997</v>
      </c>
      <c r="AB4656">
        <v>19</v>
      </c>
      <c r="AC4656">
        <v>-0.11979999999999701</v>
      </c>
      <c r="AD4656">
        <v>-0.1388414</v>
      </c>
      <c r="AE4656">
        <v>-0.58199999999999297</v>
      </c>
      <c r="AF4656">
        <v>0.110177442459801</v>
      </c>
      <c r="AG4656">
        <v>-0.1388414</v>
      </c>
      <c r="AH4656">
        <v>0.55256254986530495</v>
      </c>
      <c r="AI4656">
        <v>103.842890077598</v>
      </c>
      <c r="AJ4656">
        <v>78.723478625398997</v>
      </c>
      <c r="AK4656">
        <v>0.58029421390755798</v>
      </c>
      <c r="AL4656">
        <v>79.668226291191203</v>
      </c>
      <c r="AM4656">
        <v>81.365412802250802</v>
      </c>
      <c r="AN4656">
        <v>0.99999996218120402</v>
      </c>
    </row>
    <row r="4657" spans="1:40" x14ac:dyDescent="0.25">
      <c r="A4657" t="str">
        <f>"20190303170346804"</f>
        <v>20190303170346804</v>
      </c>
      <c r="B4657" t="str">
        <f>"1551603826790344"</f>
        <v>1551603826790344</v>
      </c>
      <c r="C4657" t="s">
        <v>40</v>
      </c>
      <c r="D4657">
        <v>4.3987699999999998</v>
      </c>
      <c r="E4657">
        <v>0.51390550000000002</v>
      </c>
      <c r="F4657" t="s">
        <v>43</v>
      </c>
      <c r="G4657">
        <v>-190.4308</v>
      </c>
      <c r="H4657">
        <v>0.97603600000000001</v>
      </c>
      <c r="I4657">
        <v>175.62129999999999</v>
      </c>
      <c r="J4657">
        <v>-190.3081</v>
      </c>
      <c r="K4657">
        <v>1.1211899999999999</v>
      </c>
      <c r="L4657">
        <v>176.24639999999999</v>
      </c>
      <c r="M4657">
        <v>-7.0299960000000002E-3</v>
      </c>
      <c r="N4657">
        <v>-1.3380670000000001E-2</v>
      </c>
      <c r="O4657">
        <v>-0.99988589999999999</v>
      </c>
      <c r="P4657">
        <v>-0.15460199999999999</v>
      </c>
      <c r="Q4657">
        <v>0.16662869999999999</v>
      </c>
      <c r="R4657">
        <v>-0.97382409999999997</v>
      </c>
      <c r="S4657">
        <v>-0.51332089999999997</v>
      </c>
      <c r="T4657">
        <v>-0.59963489999999997</v>
      </c>
      <c r="U4657">
        <v>-3.1016849999999998</v>
      </c>
      <c r="V4657">
        <v>0.14804729999999999</v>
      </c>
      <c r="W4657">
        <v>0.17941480000000001</v>
      </c>
      <c r="X4657">
        <v>0.97256989999999999</v>
      </c>
      <c r="Y4657">
        <v>0.1536275</v>
      </c>
      <c r="Z4657">
        <v>0.1743006</v>
      </c>
      <c r="AA4657">
        <v>0.97263460000000002</v>
      </c>
      <c r="AB4657">
        <v>19</v>
      </c>
      <c r="AC4657">
        <v>-0.122700000000008</v>
      </c>
      <c r="AD4657">
        <v>-0.14515399999999901</v>
      </c>
      <c r="AE4657">
        <v>-0.62510000000000299</v>
      </c>
      <c r="AF4657">
        <v>0.112462971118967</v>
      </c>
      <c r="AG4657">
        <v>-0.14515399999999901</v>
      </c>
      <c r="AH4657">
        <v>0.595051723081374</v>
      </c>
      <c r="AI4657">
        <v>103.47903420204599</v>
      </c>
      <c r="AJ4657">
        <v>79.297510267455706</v>
      </c>
      <c r="AK4657">
        <v>0.62273923654369001</v>
      </c>
      <c r="AL4657">
        <v>79.664323968611598</v>
      </c>
      <c r="AM4657">
        <v>81.344721377362305</v>
      </c>
      <c r="AN4657">
        <v>0.99999994194116804</v>
      </c>
    </row>
    <row r="4658" spans="1:40" x14ac:dyDescent="0.25">
      <c r="A4658" t="str">
        <f>"20190303170346818"</f>
        <v>20190303170346818</v>
      </c>
      <c r="B4658" t="str">
        <f>"1551603826810840"</f>
        <v>1551603826810840</v>
      </c>
      <c r="C4658" t="s">
        <v>40</v>
      </c>
      <c r="D4658">
        <v>4.3922759999999998</v>
      </c>
      <c r="E4658">
        <v>0.51341139999999996</v>
      </c>
      <c r="F4658" t="s">
        <v>43</v>
      </c>
      <c r="G4658">
        <v>-190.43979999999999</v>
      </c>
      <c r="H4658">
        <v>0.96690750000000003</v>
      </c>
      <c r="I4658">
        <v>175.45410000000001</v>
      </c>
      <c r="J4658">
        <v>-190.31</v>
      </c>
      <c r="K4658">
        <v>1.121192</v>
      </c>
      <c r="L4658">
        <v>176.12049999999999</v>
      </c>
      <c r="M4658">
        <v>-7.8669940000000004E-3</v>
      </c>
      <c r="N4658">
        <v>-1.3383900000000001E-2</v>
      </c>
      <c r="O4658">
        <v>-0.99987969999999904</v>
      </c>
      <c r="P4658">
        <v>-0.1556756</v>
      </c>
      <c r="Q4658">
        <v>0.16616639999999999</v>
      </c>
      <c r="R4658">
        <v>-0.97373240000000005</v>
      </c>
      <c r="S4658">
        <v>-0.51480099999999995</v>
      </c>
      <c r="T4658">
        <v>-0.60405900000000001</v>
      </c>
      <c r="U4658">
        <v>-3.1022639999999999</v>
      </c>
      <c r="V4658">
        <v>0.1483043</v>
      </c>
      <c r="W4658">
        <v>0.178956</v>
      </c>
      <c r="X4658">
        <v>0.97261529999999996</v>
      </c>
      <c r="Y4658">
        <v>0.1531844</v>
      </c>
      <c r="Z4658">
        <v>0.17559910000000001</v>
      </c>
      <c r="AA4658">
        <v>0.97247079999999997</v>
      </c>
      <c r="AB4658">
        <v>19</v>
      </c>
      <c r="AC4658">
        <v>-0.12979999999998801</v>
      </c>
      <c r="AD4658">
        <v>-0.15428449999999899</v>
      </c>
      <c r="AE4658">
        <v>-0.66639999999998101</v>
      </c>
      <c r="AF4658">
        <v>0.11843664452637</v>
      </c>
      <c r="AG4658">
        <v>-0.15428449999999899</v>
      </c>
      <c r="AH4658">
        <v>0.63462718650823702</v>
      </c>
      <c r="AI4658">
        <v>103.440696622871</v>
      </c>
      <c r="AJ4658">
        <v>79.428840610029695</v>
      </c>
      <c r="AK4658">
        <v>0.66376397278119603</v>
      </c>
      <c r="AL4658">
        <v>79.691044002133395</v>
      </c>
      <c r="AM4658">
        <v>81.330323081307299</v>
      </c>
      <c r="AN4658">
        <v>0.99999996856428897</v>
      </c>
    </row>
    <row r="4659" spans="1:40" x14ac:dyDescent="0.25">
      <c r="A4659" t="str">
        <f>"20190303170346833"</f>
        <v>20190303170346833</v>
      </c>
      <c r="B4659" t="str">
        <f>"1551603826820600"</f>
        <v>1551603826820600</v>
      </c>
      <c r="C4659" t="s">
        <v>40</v>
      </c>
      <c r="D4659">
        <v>4.4106370000000004</v>
      </c>
      <c r="E4659">
        <v>0.51320670000000002</v>
      </c>
      <c r="F4659" t="s">
        <v>43</v>
      </c>
      <c r="G4659">
        <v>-190.44800000000001</v>
      </c>
      <c r="H4659">
        <v>0.95667389999999997</v>
      </c>
      <c r="I4659">
        <v>175.2876</v>
      </c>
      <c r="J4659">
        <v>-190.31200000000001</v>
      </c>
      <c r="K4659">
        <v>1.121186</v>
      </c>
      <c r="L4659">
        <v>175.99</v>
      </c>
      <c r="M4659">
        <v>-8.7338609999999903E-3</v>
      </c>
      <c r="N4659">
        <v>-1.338745E-2</v>
      </c>
      <c r="O4659">
        <v>-0.99987230000000005</v>
      </c>
      <c r="P4659">
        <v>-0.15717</v>
      </c>
      <c r="Q4659">
        <v>0.16544200000000001</v>
      </c>
      <c r="R4659">
        <v>-0.97361520000000001</v>
      </c>
      <c r="S4659">
        <v>-0.51368709999999995</v>
      </c>
      <c r="T4659">
        <v>-0.61292170000000001</v>
      </c>
      <c r="U4659">
        <v>-3.1033940000000002</v>
      </c>
      <c r="V4659">
        <v>0.1489531</v>
      </c>
      <c r="W4659">
        <v>0.17823449999999999</v>
      </c>
      <c r="X4659">
        <v>0.97264870000000003</v>
      </c>
      <c r="Y4659">
        <v>0.15185290000000001</v>
      </c>
      <c r="Z4659">
        <v>0.17822750000000001</v>
      </c>
      <c r="AA4659">
        <v>0.97220150000000005</v>
      </c>
      <c r="AB4659">
        <v>19</v>
      </c>
      <c r="AC4659">
        <v>-0.13599999999996701</v>
      </c>
      <c r="AD4659">
        <v>-0.16451209999999999</v>
      </c>
      <c r="AE4659">
        <v>-0.70240000000001102</v>
      </c>
      <c r="AF4659">
        <v>0.123338201803845</v>
      </c>
      <c r="AG4659">
        <v>-0.16451209999999999</v>
      </c>
      <c r="AH4659">
        <v>0.66822910260783897</v>
      </c>
      <c r="AI4659">
        <v>103.60954229693699</v>
      </c>
      <c r="AJ4659">
        <v>79.542343851371299</v>
      </c>
      <c r="AK4659">
        <v>0.699147106582509</v>
      </c>
      <c r="AL4659">
        <v>79.7330590103482</v>
      </c>
      <c r="AM4659">
        <v>81.293269492809799</v>
      </c>
      <c r="AN4659">
        <v>1.0000000283007699</v>
      </c>
    </row>
    <row r="4660" spans="1:40" x14ac:dyDescent="0.25">
      <c r="A4660" t="str">
        <f>"20190303170346857"</f>
        <v>20190303170346857</v>
      </c>
      <c r="B4660" t="str">
        <f>"1551603826849880"</f>
        <v>1551603826849880</v>
      </c>
      <c r="C4660" t="s">
        <v>40</v>
      </c>
      <c r="D4660">
        <v>4.4046079999999996</v>
      </c>
      <c r="E4660">
        <v>0.51280829999999999</v>
      </c>
      <c r="F4660" t="s">
        <v>43</v>
      </c>
      <c r="G4660">
        <v>-190.4308</v>
      </c>
      <c r="H4660">
        <v>0.97899519999999995</v>
      </c>
      <c r="I4660">
        <v>175.27709999999999</v>
      </c>
      <c r="J4660">
        <v>-190.31540000000001</v>
      </c>
      <c r="K4660">
        <v>1.121189</v>
      </c>
      <c r="L4660">
        <v>175.78809999999999</v>
      </c>
      <c r="M4660">
        <v>-1.007371E-2</v>
      </c>
      <c r="N4660">
        <v>-1.339394E-2</v>
      </c>
      <c r="O4660">
        <v>-0.99985959999999996</v>
      </c>
      <c r="P4660">
        <v>-0.15921179999999999</v>
      </c>
      <c r="Q4660">
        <v>0.16556799999999999</v>
      </c>
      <c r="R4660">
        <v>-0.97326199999999996</v>
      </c>
      <c r="S4660">
        <v>-0.5161133</v>
      </c>
      <c r="T4660">
        <v>-0.61890889999999998</v>
      </c>
      <c r="U4660">
        <v>-3.1031650000000002</v>
      </c>
      <c r="V4660">
        <v>0.14969180000000001</v>
      </c>
      <c r="W4660">
        <v>0.17836399999999999</v>
      </c>
      <c r="X4660">
        <v>0.97251149999999997</v>
      </c>
      <c r="Y4660">
        <v>0.1512252</v>
      </c>
      <c r="Z4660">
        <v>0.180034</v>
      </c>
      <c r="AA4660">
        <v>0.97196640000000001</v>
      </c>
      <c r="AB4660">
        <v>19</v>
      </c>
      <c r="AC4660">
        <v>-0.11539999999999299</v>
      </c>
      <c r="AD4660">
        <v>-0.14219380000000001</v>
      </c>
      <c r="AE4660">
        <v>-0.51099999999999501</v>
      </c>
      <c r="AF4660">
        <v>0.102681047745228</v>
      </c>
      <c r="AG4660">
        <v>-0.14219380000000001</v>
      </c>
      <c r="AH4660">
        <v>0.47699438457430399</v>
      </c>
      <c r="AI4660">
        <v>106.247592468844</v>
      </c>
      <c r="AJ4660">
        <v>77.851510323744705</v>
      </c>
      <c r="AK4660">
        <v>0.50821857230911704</v>
      </c>
      <c r="AL4660">
        <v>79.7255179240411</v>
      </c>
      <c r="AM4660">
        <v>81.249541671756603</v>
      </c>
      <c r="AN4660">
        <v>0.99999998455774397</v>
      </c>
    </row>
    <row r="4661" spans="1:40" x14ac:dyDescent="0.25">
      <c r="A4661" t="str">
        <f>"20190303170346871"</f>
        <v>20190303170346871</v>
      </c>
      <c r="B4661" t="str">
        <f>"1551603826860616"</f>
        <v>1551603826860616</v>
      </c>
      <c r="C4661" t="s">
        <v>40</v>
      </c>
      <c r="D4661">
        <v>4.3553750000000004</v>
      </c>
      <c r="E4661">
        <v>0.51303699999999997</v>
      </c>
      <c r="F4661" t="s">
        <v>43</v>
      </c>
      <c r="G4661">
        <v>-190.45590000000001</v>
      </c>
      <c r="H4661">
        <v>0.95129010000000003</v>
      </c>
      <c r="I4661">
        <v>174.94820000000001</v>
      </c>
      <c r="J4661">
        <v>-190.3177</v>
      </c>
      <c r="K4661">
        <v>1.121192</v>
      </c>
      <c r="L4661">
        <v>175.6617</v>
      </c>
      <c r="M4661">
        <v>-1.091293E-2</v>
      </c>
      <c r="N4661">
        <v>-1.339807E-2</v>
      </c>
      <c r="O4661">
        <v>-0.99985080000000004</v>
      </c>
      <c r="P4661">
        <v>-0.16039339999999999</v>
      </c>
      <c r="Q4661">
        <v>0.16590079999999999</v>
      </c>
      <c r="R4661">
        <v>-0.97301159999999998</v>
      </c>
      <c r="S4661">
        <v>-0.5189819</v>
      </c>
      <c r="T4661">
        <v>-0.62792769999999898</v>
      </c>
      <c r="U4661">
        <v>-3.1043400000000001</v>
      </c>
      <c r="V4661">
        <v>0.15005789999999999</v>
      </c>
      <c r="W4661">
        <v>0.17869939999999901</v>
      </c>
      <c r="X4661">
        <v>0.97239350000000002</v>
      </c>
      <c r="Y4661">
        <v>0.1511276</v>
      </c>
      <c r="Z4661">
        <v>0.18265880000000001</v>
      </c>
      <c r="AA4661">
        <v>0.97149180000000002</v>
      </c>
      <c r="AB4661">
        <v>19</v>
      </c>
      <c r="AC4661">
        <v>-0.13820000000001101</v>
      </c>
      <c r="AD4661">
        <v>-0.169901899999999</v>
      </c>
      <c r="AE4661">
        <v>-0.71349999999998204</v>
      </c>
      <c r="AF4661">
        <v>0.123647025573249</v>
      </c>
      <c r="AG4661">
        <v>-0.169901899999999</v>
      </c>
      <c r="AH4661">
        <v>0.67791573905664204</v>
      </c>
      <c r="AI4661">
        <v>103.850393502098</v>
      </c>
      <c r="AJ4661">
        <v>79.663280905791694</v>
      </c>
      <c r="AK4661">
        <v>0.70973586059704996</v>
      </c>
      <c r="AL4661">
        <v>79.705987133674299</v>
      </c>
      <c r="AM4661">
        <v>81.227425304214506</v>
      </c>
      <c r="AN4661">
        <v>0.99999998387750899</v>
      </c>
    </row>
    <row r="4662" spans="1:40" x14ac:dyDescent="0.25">
      <c r="A4662" t="str">
        <f>"20190303170346888"</f>
        <v>20190303170346888</v>
      </c>
      <c r="B4662" t="str">
        <f>"1551603826880136"</f>
        <v>1551603826880136</v>
      </c>
      <c r="C4662" t="s">
        <v>40</v>
      </c>
      <c r="D4662">
        <v>4.3604419999999999</v>
      </c>
      <c r="E4662">
        <v>0.51330169999999997</v>
      </c>
      <c r="F4662" t="s">
        <v>43</v>
      </c>
      <c r="G4662">
        <v>-190.4402</v>
      </c>
      <c r="H4662">
        <v>0.97433760000000003</v>
      </c>
      <c r="I4662">
        <v>174.9374</v>
      </c>
      <c r="J4662">
        <v>-190.32040000000001</v>
      </c>
      <c r="K4662">
        <v>1.1211949999999999</v>
      </c>
      <c r="L4662">
        <v>175.51730000000001</v>
      </c>
      <c r="M4662">
        <v>-1.1872300000000001E-2</v>
      </c>
      <c r="N4662">
        <v>-1.340216E-2</v>
      </c>
      <c r="O4662">
        <v>-0.99983999999999995</v>
      </c>
      <c r="P4662">
        <v>-0.1629041</v>
      </c>
      <c r="Q4662">
        <v>0.16642179999999901</v>
      </c>
      <c r="R4662">
        <v>-0.97250550000000002</v>
      </c>
      <c r="S4662">
        <v>-0.52458190000000005</v>
      </c>
      <c r="T4662">
        <v>-0.62933850000000002</v>
      </c>
      <c r="U4662">
        <v>-3.1040190000000001</v>
      </c>
      <c r="V4662">
        <v>0.15163929999999901</v>
      </c>
      <c r="W4662">
        <v>0.17921779999999901</v>
      </c>
      <c r="X4662">
        <v>0.97205269999999999</v>
      </c>
      <c r="Y4662">
        <v>0.15188650000000001</v>
      </c>
      <c r="Z4662">
        <v>0.18305650000000001</v>
      </c>
      <c r="AA4662">
        <v>0.97129849999999995</v>
      </c>
      <c r="AB4662">
        <v>19</v>
      </c>
      <c r="AC4662">
        <v>-0.11979999999999701</v>
      </c>
      <c r="AD4662">
        <v>-0.1468574</v>
      </c>
      <c r="AE4662">
        <v>-0.57990000000000896</v>
      </c>
      <c r="AF4662">
        <v>0.106363908106328</v>
      </c>
      <c r="AG4662">
        <v>-0.1468574</v>
      </c>
      <c r="AH4662">
        <v>0.54759952806481005</v>
      </c>
      <c r="AI4662">
        <v>104.749233750193</v>
      </c>
      <c r="AJ4662">
        <v>79.007930566732</v>
      </c>
      <c r="AK4662">
        <v>0.57684106998307105</v>
      </c>
      <c r="AL4662">
        <v>79.675797540436506</v>
      </c>
      <c r="AM4662">
        <v>81.133376964216794</v>
      </c>
      <c r="AN4662">
        <v>0.99999997435930899</v>
      </c>
    </row>
    <row r="4663" spans="1:40" x14ac:dyDescent="0.25">
      <c r="A4663" t="str">
        <f>"20190303170346901"</f>
        <v>20190303170346901</v>
      </c>
      <c r="B4663" t="str">
        <f>"1551603826889896"</f>
        <v>1551603826889896</v>
      </c>
      <c r="C4663" t="s">
        <v>40</v>
      </c>
      <c r="D4663">
        <v>4.377084</v>
      </c>
      <c r="E4663">
        <v>0.51342619999999894</v>
      </c>
      <c r="F4663" t="s">
        <v>43</v>
      </c>
      <c r="G4663">
        <v>-190.44929999999999</v>
      </c>
      <c r="H4663">
        <v>0.9687848</v>
      </c>
      <c r="I4663">
        <v>174.76939999999999</v>
      </c>
      <c r="J4663">
        <v>-190.32249999999999</v>
      </c>
      <c r="K4663">
        <v>1.121192</v>
      </c>
      <c r="L4663">
        <v>175.41069999999999</v>
      </c>
      <c r="M4663">
        <v>-1.258132E-2</v>
      </c>
      <c r="N4663">
        <v>-1.340474E-2</v>
      </c>
      <c r="O4663">
        <v>-0.99983100000000003</v>
      </c>
      <c r="P4663">
        <v>-0.164268</v>
      </c>
      <c r="Q4663">
        <v>0.16620360000000001</v>
      </c>
      <c r="R4663">
        <v>-0.97231299999999998</v>
      </c>
      <c r="S4663">
        <v>-0.53440859999999901</v>
      </c>
      <c r="T4663">
        <v>-0.63241599999999998</v>
      </c>
      <c r="U4663">
        <v>-3.1035309999999998</v>
      </c>
      <c r="V4663">
        <v>0.1523138</v>
      </c>
      <c r="W4663">
        <v>0.1790002</v>
      </c>
      <c r="X4663">
        <v>0.97198739999999995</v>
      </c>
      <c r="Y4663">
        <v>0.15416740000000001</v>
      </c>
      <c r="Z4663">
        <v>0.18392120000000001</v>
      </c>
      <c r="AA4663">
        <v>0.97077570000000002</v>
      </c>
      <c r="AB4663">
        <v>19</v>
      </c>
      <c r="AC4663">
        <v>-0.12680000000000199</v>
      </c>
      <c r="AD4663">
        <v>-0.15240719999999899</v>
      </c>
      <c r="AE4663">
        <v>-0.64130000000000098</v>
      </c>
      <c r="AF4663">
        <v>0.112600520989002</v>
      </c>
      <c r="AG4663">
        <v>-0.15240719999999899</v>
      </c>
      <c r="AH4663">
        <v>0.60970465477795399</v>
      </c>
      <c r="AI4663">
        <v>103.81018773581999</v>
      </c>
      <c r="AJ4663">
        <v>79.536486668970795</v>
      </c>
      <c r="AK4663">
        <v>0.63847208082792395</v>
      </c>
      <c r="AL4663">
        <v>79.6884706636923</v>
      </c>
      <c r="AM4663">
        <v>81.093979801493504</v>
      </c>
      <c r="AN4663">
        <v>1.0000000355146099</v>
      </c>
    </row>
    <row r="4664" spans="1:40" x14ac:dyDescent="0.25">
      <c r="A4664" t="str">
        <f>"20190303170346913"</f>
        <v>20190303170346913</v>
      </c>
      <c r="B4664" t="str">
        <f>"1551603826900633"</f>
        <v>1551603826900633</v>
      </c>
      <c r="C4664" t="s">
        <v>40</v>
      </c>
      <c r="D4664">
        <v>4.3595959999999998</v>
      </c>
      <c r="E4664">
        <v>0.51351089999999999</v>
      </c>
      <c r="F4664" t="s">
        <v>43</v>
      </c>
      <c r="G4664">
        <v>-190.46270000000001</v>
      </c>
      <c r="H4664">
        <v>0.95623119999999995</v>
      </c>
      <c r="I4664">
        <v>174.60489999999999</v>
      </c>
      <c r="J4664">
        <v>-190.32470000000001</v>
      </c>
      <c r="K4664">
        <v>1.1211930000000001</v>
      </c>
      <c r="L4664">
        <v>175.30189999999999</v>
      </c>
      <c r="M4664">
        <v>-1.330573E-2</v>
      </c>
      <c r="N4664">
        <v>-1.3407000000000001E-2</v>
      </c>
      <c r="O4664">
        <v>-0.99982170000000004</v>
      </c>
      <c r="P4664">
        <v>-0.1655751</v>
      </c>
      <c r="Q4664">
        <v>0.16606309999999999</v>
      </c>
      <c r="R4664">
        <v>-0.97211550000000002</v>
      </c>
      <c r="S4664">
        <v>-0.53926090000000004</v>
      </c>
      <c r="T4664">
        <v>-0.6351945</v>
      </c>
      <c r="U4664">
        <v>-3.102875</v>
      </c>
      <c r="V4664">
        <v>0.15291649999999901</v>
      </c>
      <c r="W4664">
        <v>0.17886079999999999</v>
      </c>
      <c r="X4664">
        <v>0.97191839999999996</v>
      </c>
      <c r="Y4664">
        <v>0.1549314</v>
      </c>
      <c r="Z4664">
        <v>0.18475359999999999</v>
      </c>
      <c r="AA4664">
        <v>0.97049589999999997</v>
      </c>
      <c r="AB4664">
        <v>19</v>
      </c>
      <c r="AC4664">
        <v>-0.13800000000000501</v>
      </c>
      <c r="AD4664">
        <v>-0.16496179999999999</v>
      </c>
      <c r="AE4664">
        <v>-0.69700000000000195</v>
      </c>
      <c r="AF4664">
        <v>0.122129857555348</v>
      </c>
      <c r="AG4664">
        <v>-0.16496179999999999</v>
      </c>
      <c r="AH4664">
        <v>0.66303593052701304</v>
      </c>
      <c r="AI4664">
        <v>103.749079640186</v>
      </c>
      <c r="AJ4664">
        <v>79.563221707021398</v>
      </c>
      <c r="AK4664">
        <v>0.69407834048870298</v>
      </c>
      <c r="AL4664">
        <v>79.696588430213197</v>
      </c>
      <c r="AM4664">
        <v>81.058682736243298</v>
      </c>
      <c r="AN4664">
        <v>1.00000000900372</v>
      </c>
    </row>
    <row r="4665" spans="1:40" x14ac:dyDescent="0.25">
      <c r="A4665" t="str">
        <f>"20190303170346925"</f>
        <v>20190303170346925</v>
      </c>
      <c r="B4665" t="str">
        <f>"1551603826920660"</f>
        <v>1551603826920660</v>
      </c>
      <c r="C4665" t="s">
        <v>40</v>
      </c>
      <c r="D4665">
        <v>4.3646029999999998</v>
      </c>
      <c r="E4665">
        <v>0.51362029999999903</v>
      </c>
      <c r="F4665" t="s">
        <v>43</v>
      </c>
      <c r="G4665">
        <v>-190.4485</v>
      </c>
      <c r="H4665">
        <v>0.97613850000000002</v>
      </c>
      <c r="I4665">
        <v>174.59559999999999</v>
      </c>
      <c r="J4665">
        <v>-190.32669999999999</v>
      </c>
      <c r="K4665">
        <v>1.1211930000000001</v>
      </c>
      <c r="L4665">
        <v>175.2073</v>
      </c>
      <c r="M4665">
        <v>-1.393515E-2</v>
      </c>
      <c r="N4665">
        <v>-1.3408700000000001E-2</v>
      </c>
      <c r="O4665">
        <v>-0.99981310000000001</v>
      </c>
      <c r="P4665">
        <v>-0.1669234</v>
      </c>
      <c r="Q4665">
        <v>0.1657035</v>
      </c>
      <c r="R4665">
        <v>-0.97194610000000004</v>
      </c>
      <c r="S4665">
        <v>-0.54327389999999998</v>
      </c>
      <c r="T4665">
        <v>-0.63707440000000004</v>
      </c>
      <c r="U4665">
        <v>-3.1023559999999999</v>
      </c>
      <c r="V4665">
        <v>0.1536525</v>
      </c>
      <c r="W4665">
        <v>0.17850139999999901</v>
      </c>
      <c r="X4665">
        <v>0.97186839999999997</v>
      </c>
      <c r="Y4665">
        <v>0.1555357</v>
      </c>
      <c r="Z4665">
        <v>0.18531510000000001</v>
      </c>
      <c r="AA4665">
        <v>0.97029219999999905</v>
      </c>
      <c r="AB4665">
        <v>19</v>
      </c>
      <c r="AC4665">
        <v>-0.121800000000007</v>
      </c>
      <c r="AD4665">
        <v>-0.1450545</v>
      </c>
      <c r="AE4665">
        <v>-0.61170000000001301</v>
      </c>
      <c r="AF4665">
        <v>0.107451461957358</v>
      </c>
      <c r="AG4665">
        <v>-0.1450545</v>
      </c>
      <c r="AH4665">
        <v>0.58186618901651299</v>
      </c>
      <c r="AI4665">
        <v>103.77424096355401</v>
      </c>
      <c r="AJ4665">
        <v>79.537233116171905</v>
      </c>
      <c r="AK4665">
        <v>0.60922482431990999</v>
      </c>
      <c r="AL4665">
        <v>79.7175173906368</v>
      </c>
      <c r="AM4665">
        <v>81.015893012385504</v>
      </c>
      <c r="AN4665">
        <v>1.00000001373838</v>
      </c>
    </row>
    <row r="4666" spans="1:40" x14ac:dyDescent="0.25">
      <c r="A4666" t="str">
        <f>"20190303170346938"</f>
        <v>20190303170346938</v>
      </c>
      <c r="B4666" t="str">
        <f>"1551603826930419"</f>
        <v>1551603826930419</v>
      </c>
      <c r="C4666" t="s">
        <v>40</v>
      </c>
      <c r="D4666">
        <v>4.3847160000000001</v>
      </c>
      <c r="E4666">
        <v>0.5136619</v>
      </c>
      <c r="F4666" t="s">
        <v>43</v>
      </c>
      <c r="G4666">
        <v>-190.46379999999999</v>
      </c>
      <c r="H4666">
        <v>0.96082690000000004</v>
      </c>
      <c r="I4666">
        <v>174.43270000000001</v>
      </c>
      <c r="J4666">
        <v>-190.32919999999999</v>
      </c>
      <c r="K4666">
        <v>1.1211880000000001</v>
      </c>
      <c r="L4666">
        <v>175.09299999999999</v>
      </c>
      <c r="M4666">
        <v>-1.469605E-2</v>
      </c>
      <c r="N4666">
        <v>-1.341065E-2</v>
      </c>
      <c r="O4666">
        <v>-0.99980210000000003</v>
      </c>
      <c r="P4666">
        <v>-0.16864019999999999</v>
      </c>
      <c r="Q4666">
        <v>0.16535620000000001</v>
      </c>
      <c r="R4666">
        <v>-0.97170880000000004</v>
      </c>
      <c r="S4666">
        <v>-0.54833980000000004</v>
      </c>
      <c r="T4666">
        <v>-0.64211450000000003</v>
      </c>
      <c r="U4666">
        <v>-3.1019130000000001</v>
      </c>
      <c r="V4666">
        <v>0.15462999999999999</v>
      </c>
      <c r="W4666">
        <v>0.178153799999999</v>
      </c>
      <c r="X4666">
        <v>0.97177709999999995</v>
      </c>
      <c r="Y4666">
        <v>0.15629279999999901</v>
      </c>
      <c r="Z4666">
        <v>0.1868099</v>
      </c>
      <c r="AA4666">
        <v>0.96988379999999996</v>
      </c>
      <c r="AB4666">
        <v>19</v>
      </c>
      <c r="AC4666">
        <v>-0.13460000000000599</v>
      </c>
      <c r="AD4666">
        <v>-0.16036109999999901</v>
      </c>
      <c r="AE4666">
        <v>-0.66029999999997802</v>
      </c>
      <c r="AF4666">
        <v>0.11818799651885201</v>
      </c>
      <c r="AG4666">
        <v>-0.16036109999999901</v>
      </c>
      <c r="AH4666">
        <v>0.626716998479669</v>
      </c>
      <c r="AI4666">
        <v>104.114020418725</v>
      </c>
      <c r="AJ4666">
        <v>79.320428044347196</v>
      </c>
      <c r="AK4666">
        <v>0.65761560283931397</v>
      </c>
      <c r="AL4666">
        <v>79.737757408508401</v>
      </c>
      <c r="AM4666">
        <v>80.958843958083506</v>
      </c>
      <c r="AN4666">
        <v>0.99999997271942398</v>
      </c>
    </row>
    <row r="4667" spans="1:40" x14ac:dyDescent="0.25">
      <c r="A4667" t="str">
        <f>"20190303170346948"</f>
        <v>20190303170346948</v>
      </c>
      <c r="B4667" t="str">
        <f>"1551603826940179"</f>
        <v>1551603826940179</v>
      </c>
      <c r="C4667" t="s">
        <v>40</v>
      </c>
      <c r="D4667">
        <v>4.3748579999999997</v>
      </c>
      <c r="E4667">
        <v>0.51366449999999997</v>
      </c>
      <c r="F4667" t="s">
        <v>43</v>
      </c>
      <c r="G4667">
        <v>-190.4768</v>
      </c>
      <c r="H4667">
        <v>0.94951739999999996</v>
      </c>
      <c r="I4667">
        <v>174.268</v>
      </c>
      <c r="J4667">
        <v>-190.3314</v>
      </c>
      <c r="K4667">
        <v>1.121191</v>
      </c>
      <c r="L4667">
        <v>174.99719999999999</v>
      </c>
      <c r="M4667">
        <v>-1.533318E-2</v>
      </c>
      <c r="N4667">
        <v>-1.3412149999999999E-2</v>
      </c>
      <c r="O4667">
        <v>-0.99979249999999997</v>
      </c>
      <c r="P4667">
        <v>-0.17019670000000001</v>
      </c>
      <c r="Q4667">
        <v>0.1651717</v>
      </c>
      <c r="R4667">
        <v>-0.97146880000000002</v>
      </c>
      <c r="S4667">
        <v>-0.55433650000000001</v>
      </c>
      <c r="T4667">
        <v>-0.64524269999999995</v>
      </c>
      <c r="U4667">
        <v>-3.1009519999999999</v>
      </c>
      <c r="V4667">
        <v>0.1555685</v>
      </c>
      <c r="W4667">
        <v>0.1779675</v>
      </c>
      <c r="X4667">
        <v>0.97166140000000001</v>
      </c>
      <c r="Y4667">
        <v>0.1574989</v>
      </c>
      <c r="Z4667">
        <v>0.18775069999999999</v>
      </c>
      <c r="AA4667">
        <v>0.96950700000000001</v>
      </c>
      <c r="AB4667">
        <v>19</v>
      </c>
      <c r="AC4667">
        <v>-0.14539999999999501</v>
      </c>
      <c r="AD4667">
        <v>-0.17167359999999901</v>
      </c>
      <c r="AE4667">
        <v>-0.72919999999999097</v>
      </c>
      <c r="AF4667">
        <v>0.127409191855819</v>
      </c>
      <c r="AG4667">
        <v>-0.17167359999999901</v>
      </c>
      <c r="AH4667">
        <v>0.69433145256461304</v>
      </c>
      <c r="AI4667">
        <v>103.66841490431101</v>
      </c>
      <c r="AJ4667">
        <v>79.601953955430503</v>
      </c>
      <c r="AK4667">
        <v>0.72649920380327904</v>
      </c>
      <c r="AL4667">
        <v>79.748604547537298</v>
      </c>
      <c r="AM4667">
        <v>80.903819825447499</v>
      </c>
      <c r="AN4667">
        <v>0.99999993274922705</v>
      </c>
    </row>
    <row r="4668" spans="1:40" x14ac:dyDescent="0.25">
      <c r="A4668" t="str">
        <f>"20190303170346962"</f>
        <v>20190303170346962</v>
      </c>
      <c r="B4668" t="str">
        <f>"1551603826949939"</f>
        <v>1551603826949939</v>
      </c>
      <c r="C4668" t="s">
        <v>40</v>
      </c>
      <c r="D4668">
        <v>4.4202560000000002</v>
      </c>
      <c r="E4668">
        <v>0.51375870000000001</v>
      </c>
      <c r="F4668" t="s">
        <v>43</v>
      </c>
      <c r="G4668">
        <v>-190.46440000000001</v>
      </c>
      <c r="H4668">
        <v>0.96714290000000003</v>
      </c>
      <c r="I4668">
        <v>174.25980000000001</v>
      </c>
      <c r="J4668">
        <v>-190.3339</v>
      </c>
      <c r="K4668">
        <v>1.121194</v>
      </c>
      <c r="L4668">
        <v>174.8869</v>
      </c>
      <c r="M4668">
        <v>-1.606732E-2</v>
      </c>
      <c r="N4668">
        <v>-1.341374E-2</v>
      </c>
      <c r="O4668">
        <v>-0.99978109999999998</v>
      </c>
      <c r="P4668">
        <v>-0.1714783</v>
      </c>
      <c r="Q4668">
        <v>0.1653019</v>
      </c>
      <c r="R4668">
        <v>-0.97122140000000001</v>
      </c>
      <c r="S4668">
        <v>-0.55892940000000002</v>
      </c>
      <c r="T4668">
        <v>-0.64759909999999998</v>
      </c>
      <c r="U4668">
        <v>-3.100311</v>
      </c>
      <c r="V4668">
        <v>0.15613829999999901</v>
      </c>
      <c r="W4668">
        <v>0.17809749999999999</v>
      </c>
      <c r="X4668">
        <v>0.97154620000000003</v>
      </c>
      <c r="Y4668">
        <v>0.1581745</v>
      </c>
      <c r="Z4668">
        <v>0.1884556</v>
      </c>
      <c r="AA4668">
        <v>0.96926020000000002</v>
      </c>
      <c r="AB4668">
        <v>19</v>
      </c>
      <c r="AC4668">
        <v>-0.130500000000012</v>
      </c>
      <c r="AD4668">
        <v>-0.1540511</v>
      </c>
      <c r="AE4668">
        <v>-0.627099999999984</v>
      </c>
      <c r="AF4668">
        <v>0.11382268258646799</v>
      </c>
      <c r="AG4668">
        <v>-0.1540511</v>
      </c>
      <c r="AH4668">
        <v>0.59471634402020301</v>
      </c>
      <c r="AI4668">
        <v>104.274085714454</v>
      </c>
      <c r="AJ4668">
        <v>79.1651935794293</v>
      </c>
      <c r="AK4668">
        <v>0.62479986741927696</v>
      </c>
      <c r="AL4668">
        <v>79.741035386952007</v>
      </c>
      <c r="AM4668">
        <v>80.8699990643386</v>
      </c>
      <c r="AN4668">
        <v>0.99999995348378801</v>
      </c>
    </row>
    <row r="4669" spans="1:40" x14ac:dyDescent="0.25">
      <c r="A4669" t="str">
        <f>"20190303170346978"</f>
        <v>20190303170346978</v>
      </c>
      <c r="B4669" t="str">
        <f>"1551603826970435"</f>
        <v>1551603826970435</v>
      </c>
      <c r="C4669" t="s">
        <v>40</v>
      </c>
      <c r="D4669">
        <v>4.2730829999999997</v>
      </c>
      <c r="E4669">
        <v>0.52880109999999902</v>
      </c>
      <c r="F4669" t="s">
        <v>43</v>
      </c>
      <c r="G4669">
        <v>-190.47810000000001</v>
      </c>
      <c r="H4669">
        <v>0.95569660000000001</v>
      </c>
      <c r="I4669">
        <v>174.09549999999999</v>
      </c>
      <c r="J4669">
        <v>-190.33709999999999</v>
      </c>
      <c r="K4669">
        <v>1.1212009999999999</v>
      </c>
      <c r="L4669">
        <v>174.75280000000001</v>
      </c>
      <c r="M4669">
        <v>-1.695963E-2</v>
      </c>
      <c r="N4669">
        <v>-1.3415470000000001E-2</v>
      </c>
      <c r="O4669">
        <v>-0.9997663</v>
      </c>
      <c r="P4669">
        <v>-0.1736982</v>
      </c>
      <c r="Q4669">
        <v>0.16543339999999901</v>
      </c>
      <c r="R4669">
        <v>-0.97080440000000001</v>
      </c>
      <c r="S4669">
        <v>-0.56375120000000001</v>
      </c>
      <c r="T4669">
        <v>-0.64812840000000005</v>
      </c>
      <c r="U4669">
        <v>-3.0996700000000001</v>
      </c>
      <c r="V4669">
        <v>0.15749540000000001</v>
      </c>
      <c r="W4669">
        <v>0.17822550000000001</v>
      </c>
      <c r="X4669">
        <v>0.97130369999999999</v>
      </c>
      <c r="Y4669">
        <v>0.15878210000000001</v>
      </c>
      <c r="Z4669">
        <v>0.1886121</v>
      </c>
      <c r="AA4669">
        <v>0.96913039999999995</v>
      </c>
      <c r="AB4669">
        <v>19</v>
      </c>
      <c r="AC4669">
        <v>-0.141000000000019</v>
      </c>
      <c r="AD4669">
        <v>-0.1655044</v>
      </c>
      <c r="AE4669">
        <v>-0.65730000000001998</v>
      </c>
      <c r="AF4669">
        <v>0.12241162596126499</v>
      </c>
      <c r="AG4669">
        <v>-0.1655044</v>
      </c>
      <c r="AH4669">
        <v>0.62190265800782596</v>
      </c>
      <c r="AI4669">
        <v>104.63407567639899</v>
      </c>
      <c r="AJ4669">
        <v>78.864591435860902</v>
      </c>
      <c r="AK4669">
        <v>0.65508719162187801</v>
      </c>
      <c r="AL4669">
        <v>79.733582808277603</v>
      </c>
      <c r="AM4669">
        <v>80.7897383720628</v>
      </c>
      <c r="AN4669">
        <v>1.0000000037525401</v>
      </c>
    </row>
    <row r="4670" spans="1:40" x14ac:dyDescent="0.25">
      <c r="A4670" t="str">
        <f>"20190303170346991"</f>
        <v>20190303170346991</v>
      </c>
      <c r="B4670" t="str">
        <f>"1551603826980195"</f>
        <v>1551603826980195</v>
      </c>
      <c r="C4670" t="s">
        <v>40</v>
      </c>
      <c r="D4670">
        <v>4.3061920000000002</v>
      </c>
      <c r="E4670">
        <v>0.53405059999999904</v>
      </c>
      <c r="F4670" t="s">
        <v>43</v>
      </c>
      <c r="G4670">
        <v>-190.5317</v>
      </c>
      <c r="H4670">
        <v>0.99541210000000002</v>
      </c>
      <c r="I4670">
        <v>173.90629999999999</v>
      </c>
      <c r="J4670">
        <v>-190.3399</v>
      </c>
      <c r="K4670">
        <v>1.1212029999999999</v>
      </c>
      <c r="L4670">
        <v>174.64099999999999</v>
      </c>
      <c r="M4670">
        <v>-1.7703199999999999E-2</v>
      </c>
      <c r="N4670">
        <v>-1.3416630000000001E-2</v>
      </c>
      <c r="O4670">
        <v>-0.99975340000000001</v>
      </c>
      <c r="P4670">
        <v>-0.1750005</v>
      </c>
      <c r="Q4670">
        <v>0.16564429999999999</v>
      </c>
      <c r="R4670">
        <v>-0.97053440000000002</v>
      </c>
      <c r="S4670">
        <v>-0.6991425</v>
      </c>
      <c r="T4670">
        <v>-0.45210220000000001</v>
      </c>
      <c r="U4670">
        <v>-3.04216</v>
      </c>
      <c r="V4670">
        <v>0.15807789999999999</v>
      </c>
      <c r="W4670">
        <v>0.17843580000000001</v>
      </c>
      <c r="X4670">
        <v>0.97117039999999999</v>
      </c>
      <c r="Y4670">
        <v>0.204565</v>
      </c>
      <c r="Z4670">
        <v>0.1303195</v>
      </c>
      <c r="AA4670">
        <v>0.97013910000000003</v>
      </c>
      <c r="AB4670">
        <v>19</v>
      </c>
      <c r="AC4670">
        <v>-0.1918</v>
      </c>
      <c r="AD4670">
        <v>-0.12579090000000001</v>
      </c>
      <c r="AE4670">
        <v>-0.73470000000000302</v>
      </c>
      <c r="AF4670">
        <v>0.173987340276133</v>
      </c>
      <c r="AG4670">
        <v>-0.12579090000000001</v>
      </c>
      <c r="AH4670">
        <v>0.71826854946588103</v>
      </c>
      <c r="AI4670">
        <v>99.659646048006294</v>
      </c>
      <c r="AJ4670">
        <v>76.383430506351303</v>
      </c>
      <c r="AK4670">
        <v>0.74966969676717898</v>
      </c>
      <c r="AL4670">
        <v>79.721336673827494</v>
      </c>
      <c r="AM4670">
        <v>80.755014140278504</v>
      </c>
      <c r="AN4670">
        <v>0.99999995151310295</v>
      </c>
    </row>
    <row r="4671" spans="1:40" x14ac:dyDescent="0.25">
      <c r="A4671" t="str">
        <f>"20190303170347004"</f>
        <v>20190303170347004</v>
      </c>
      <c r="B4671" t="str">
        <f>"1551603826989955"</f>
        <v>1551603826989955</v>
      </c>
      <c r="C4671" t="s">
        <v>40</v>
      </c>
      <c r="D4671">
        <v>4.2998500000000002</v>
      </c>
      <c r="E4671">
        <v>0.53935959999999905</v>
      </c>
      <c r="F4671" t="s">
        <v>42</v>
      </c>
      <c r="G4671">
        <v>-192.46299999999999</v>
      </c>
      <c r="H4671" s="1">
        <v>-3.7102800000000002E-6</v>
      </c>
      <c r="I4671">
        <v>166.05430000000001</v>
      </c>
      <c r="J4671">
        <v>-190.3426</v>
      </c>
      <c r="K4671">
        <v>1.1212040000000001</v>
      </c>
      <c r="L4671">
        <v>174.53389999999999</v>
      </c>
      <c r="M4671">
        <v>-1.8415560000000001E-2</v>
      </c>
      <c r="N4671">
        <v>-1.34176E-2</v>
      </c>
      <c r="O4671">
        <v>-0.99974050000000003</v>
      </c>
      <c r="P4671">
        <v>-0.17661660000000001</v>
      </c>
      <c r="Q4671">
        <v>0.16558399999999901</v>
      </c>
      <c r="R4671">
        <v>-0.97025189999999994</v>
      </c>
      <c r="S4671">
        <v>-0.74760439999999995</v>
      </c>
      <c r="T4671">
        <v>-0.39481500000000003</v>
      </c>
      <c r="U4671">
        <v>-3.023666</v>
      </c>
      <c r="V4671">
        <v>0.1590047</v>
      </c>
      <c r="W4671">
        <v>0.17837339999999999</v>
      </c>
      <c r="X4671">
        <v>0.97103059999999997</v>
      </c>
      <c r="Y4671">
        <v>0.22037100000000001</v>
      </c>
      <c r="Z4671">
        <v>0.1126986</v>
      </c>
      <c r="AA4671">
        <v>0.96888370000000001</v>
      </c>
      <c r="AB4671">
        <v>19</v>
      </c>
      <c r="AC4671">
        <v>-2.1203999999999801</v>
      </c>
      <c r="AD4671">
        <v>-1.12120771028</v>
      </c>
      <c r="AE4671">
        <v>-8.4795999999999694</v>
      </c>
      <c r="AF4671">
        <v>1.9320786569871899</v>
      </c>
      <c r="AG4671">
        <v>-1.12120771028</v>
      </c>
      <c r="AH4671">
        <v>8.3793371778154704</v>
      </c>
      <c r="AI4671">
        <v>97.428611057989499</v>
      </c>
      <c r="AJ4671">
        <v>77.0158652584132</v>
      </c>
      <c r="AK4671">
        <v>8.6719851363973905</v>
      </c>
      <c r="AL4671">
        <v>79.724970677624498</v>
      </c>
      <c r="AM4671">
        <v>80.700440113278901</v>
      </c>
      <c r="AN4671">
        <v>0.99999999529300498</v>
      </c>
    </row>
    <row r="4672" spans="1:40" x14ac:dyDescent="0.25">
      <c r="A4672" t="str">
        <f>"20190303170347016"</f>
        <v>20190303170347016</v>
      </c>
      <c r="B4672" t="str">
        <f>"1551603827010451"</f>
        <v>1551603827010451</v>
      </c>
      <c r="C4672" t="s">
        <v>40</v>
      </c>
      <c r="D4672">
        <v>4.2976210000000004</v>
      </c>
      <c r="E4672">
        <v>0.54760019999999998</v>
      </c>
      <c r="F4672" t="s">
        <v>42</v>
      </c>
      <c r="G4672">
        <v>-192.9863</v>
      </c>
      <c r="H4672" s="1">
        <v>-3.147256E-6</v>
      </c>
      <c r="I4672">
        <v>164.5686</v>
      </c>
      <c r="J4672">
        <v>-190.34540000000001</v>
      </c>
      <c r="K4672">
        <v>1.1212040000000001</v>
      </c>
      <c r="L4672">
        <v>174.42850000000001</v>
      </c>
      <c r="M4672">
        <v>-1.9116879999999999E-2</v>
      </c>
      <c r="N4672">
        <v>-1.341846E-2</v>
      </c>
      <c r="O4672">
        <v>-0.99972709999999998</v>
      </c>
      <c r="P4672">
        <v>-0.17788090000000001</v>
      </c>
      <c r="Q4672">
        <v>0.16541989999999901</v>
      </c>
      <c r="R4672">
        <v>-0.97004889999999999</v>
      </c>
      <c r="S4672">
        <v>-0.79707340000000004</v>
      </c>
      <c r="T4672">
        <v>-0.33804879999999998</v>
      </c>
      <c r="U4672">
        <v>-3.004562</v>
      </c>
      <c r="V4672">
        <v>0.15958910000000001</v>
      </c>
      <c r="W4672">
        <v>0.1782087</v>
      </c>
      <c r="X4672">
        <v>0.97096499999999997</v>
      </c>
      <c r="Y4672">
        <v>0.23654159999999999</v>
      </c>
      <c r="Z4672">
        <v>9.5026620000000006E-2</v>
      </c>
      <c r="AA4672">
        <v>0.96696329999999997</v>
      </c>
      <c r="AB4672">
        <v>19</v>
      </c>
      <c r="AC4672">
        <v>-2.6408999999999798</v>
      </c>
      <c r="AD4672">
        <v>-1.1212071472559999</v>
      </c>
      <c r="AE4672">
        <v>-9.8599000000000103</v>
      </c>
      <c r="AF4672">
        <v>2.4226794793401099</v>
      </c>
      <c r="AG4672">
        <v>-1.1212071472559999</v>
      </c>
      <c r="AH4672">
        <v>9.7904634673685003</v>
      </c>
      <c r="AI4672">
        <v>96.343374442618298</v>
      </c>
      <c r="AJ4672">
        <v>76.101187149187197</v>
      </c>
      <c r="AK4672">
        <v>10.1478892501126</v>
      </c>
      <c r="AL4672">
        <v>79.7345612727635</v>
      </c>
      <c r="AM4672">
        <v>80.666241736354195</v>
      </c>
      <c r="AN4672">
        <v>1.00000002640974</v>
      </c>
    </row>
    <row r="4673" spans="1:40" x14ac:dyDescent="0.25">
      <c r="A4673" t="str">
        <f>"20190303170347028"</f>
        <v>20190303170347028</v>
      </c>
      <c r="B4673" t="str">
        <f>"1551603827020211"</f>
        <v>1551603827020211</v>
      </c>
      <c r="C4673" t="s">
        <v>40</v>
      </c>
      <c r="D4673">
        <v>4.2835789999999996</v>
      </c>
      <c r="E4673">
        <v>0.55010899999999996</v>
      </c>
      <c r="F4673" t="s">
        <v>42</v>
      </c>
      <c r="G4673">
        <v>-194.13720000000001</v>
      </c>
      <c r="H4673" s="1">
        <v>-1.9801459999999999E-6</v>
      </c>
      <c r="I4673">
        <v>161.45189999999999</v>
      </c>
      <c r="J4673">
        <v>-190.34829999999999</v>
      </c>
      <c r="K4673">
        <v>1.1212040000000001</v>
      </c>
      <c r="L4673">
        <v>174.32130000000001</v>
      </c>
      <c r="M4673">
        <v>-1.9829739999999998E-2</v>
      </c>
      <c r="N4673">
        <v>-1.341909E-2</v>
      </c>
      <c r="O4673">
        <v>-0.99971330000000003</v>
      </c>
      <c r="P4673">
        <v>-0.17877899999999999</v>
      </c>
      <c r="Q4673">
        <v>0.16491649999999999</v>
      </c>
      <c r="R4673">
        <v>-0.96996939999999998</v>
      </c>
      <c r="S4673">
        <v>-0.86988829999999995</v>
      </c>
      <c r="T4673">
        <v>-0.25721690000000003</v>
      </c>
      <c r="U4673">
        <v>-2.9769739999999998</v>
      </c>
      <c r="V4673">
        <v>0.1597933</v>
      </c>
      <c r="W4673">
        <v>0.17770659999999999</v>
      </c>
      <c r="X4673">
        <v>0.97102339999999998</v>
      </c>
      <c r="Y4673">
        <v>0.26054329999999998</v>
      </c>
      <c r="Z4673">
        <v>6.9509950000000001E-2</v>
      </c>
      <c r="AA4673">
        <v>0.9629567</v>
      </c>
      <c r="AB4673">
        <v>19</v>
      </c>
      <c r="AC4673">
        <v>-3.7889000000000101</v>
      </c>
      <c r="AD4673">
        <v>-1.1212059801459999</v>
      </c>
      <c r="AE4673">
        <v>-12.869400000000001</v>
      </c>
      <c r="AF4673">
        <v>3.5084293822390098</v>
      </c>
      <c r="AG4673">
        <v>-1.1212059801459999</v>
      </c>
      <c r="AH4673">
        <v>12.8522385495672</v>
      </c>
      <c r="AI4673">
        <v>94.810608185439406</v>
      </c>
      <c r="AJ4673">
        <v>74.731299452708001</v>
      </c>
      <c r="AK4673">
        <v>13.3696004171798</v>
      </c>
      <c r="AL4673">
        <v>79.763795737315505</v>
      </c>
      <c r="AM4673">
        <v>80.655061574316093</v>
      </c>
      <c r="AN4673">
        <v>0.99999998887800401</v>
      </c>
    </row>
    <row r="4674" spans="1:40" x14ac:dyDescent="0.25">
      <c r="A4674" t="str">
        <f>"20190303170347046"</f>
        <v>20190303170347046</v>
      </c>
      <c r="B4674" t="str">
        <f>"1551603827040708"</f>
        <v>1551603827040708</v>
      </c>
      <c r="C4674" t="s">
        <v>40</v>
      </c>
      <c r="D4674">
        <v>4.27834</v>
      </c>
      <c r="E4674">
        <v>0.55342389999999997</v>
      </c>
      <c r="F4674" t="s">
        <v>42</v>
      </c>
      <c r="G4674">
        <v>-194.6421</v>
      </c>
      <c r="H4674" s="1">
        <v>-1.4537649999999901E-6</v>
      </c>
      <c r="I4674">
        <v>160.05410000000001</v>
      </c>
      <c r="J4674">
        <v>-190.35220000000001</v>
      </c>
      <c r="K4674">
        <v>1.1212059999999999</v>
      </c>
      <c r="L4674">
        <v>174.17850000000001</v>
      </c>
      <c r="M4674">
        <v>-2.0780070000000001E-2</v>
      </c>
      <c r="N4674">
        <v>-1.3419739999999999E-2</v>
      </c>
      <c r="O4674">
        <v>-0.99969399999999997</v>
      </c>
      <c r="P4674">
        <v>-0.18021909999999999</v>
      </c>
      <c r="Q4674">
        <v>0.16437289999999999</v>
      </c>
      <c r="R4674">
        <v>-0.96979510000000002</v>
      </c>
      <c r="S4674">
        <v>-0.89321899999999999</v>
      </c>
      <c r="T4674">
        <v>-0.2332351</v>
      </c>
      <c r="U4674">
        <v>-2.9678960000000001</v>
      </c>
      <c r="V4674">
        <v>0.16030990000000001</v>
      </c>
      <c r="W4674">
        <v>0.1771636</v>
      </c>
      <c r="X4674">
        <v>0.97103740000000005</v>
      </c>
      <c r="Y4674">
        <v>0.26752150000000002</v>
      </c>
      <c r="Z4674">
        <v>6.1889350000000003E-2</v>
      </c>
      <c r="AA4674">
        <v>0.96156229999999998</v>
      </c>
      <c r="AB4674">
        <v>19</v>
      </c>
      <c r="AC4674">
        <v>-4.2898999999999798</v>
      </c>
      <c r="AD4674">
        <v>-1.1212074537650001</v>
      </c>
      <c r="AE4674">
        <v>-14.1244</v>
      </c>
      <c r="AF4674">
        <v>3.9725230335033999</v>
      </c>
      <c r="AG4674">
        <v>-1.1212074537650001</v>
      </c>
      <c r="AH4674">
        <v>14.1289899463002</v>
      </c>
      <c r="AI4674">
        <v>94.368513521757905</v>
      </c>
      <c r="AJ4674">
        <v>74.296079949338804</v>
      </c>
      <c r="AK4674">
        <v>14.719592464084901</v>
      </c>
      <c r="AL4674">
        <v>79.795408245415899</v>
      </c>
      <c r="AM4674">
        <v>80.625518306372499</v>
      </c>
      <c r="AN4674">
        <v>0.99999991870086102</v>
      </c>
    </row>
    <row r="4675" spans="1:40" x14ac:dyDescent="0.25">
      <c r="A4675" t="str">
        <f>"20190303170347062"</f>
        <v>20190303170347062</v>
      </c>
      <c r="B4675" t="str">
        <f>"1551603827050466"</f>
        <v>1551603827050466</v>
      </c>
      <c r="C4675" t="s">
        <v>40</v>
      </c>
      <c r="D4675">
        <v>4.2909819999999996</v>
      </c>
      <c r="E4675">
        <v>0.55444169999999904</v>
      </c>
      <c r="F4675" t="s">
        <v>90</v>
      </c>
      <c r="G4675">
        <v>-195.4958</v>
      </c>
      <c r="H4675" s="1">
        <v>-1.4507909999999999E-5</v>
      </c>
      <c r="I4675">
        <v>157.75</v>
      </c>
      <c r="J4675">
        <v>-190.35599999999999</v>
      </c>
      <c r="K4675">
        <v>1.1212089999999999</v>
      </c>
      <c r="L4675">
        <v>174.0463</v>
      </c>
      <c r="M4675">
        <v>-2.1659339999999999E-2</v>
      </c>
      <c r="N4675">
        <v>-1.34202E-2</v>
      </c>
      <c r="O4675">
        <v>-0.99967539999999999</v>
      </c>
      <c r="P4675">
        <v>-0.18141160000000001</v>
      </c>
      <c r="Q4675">
        <v>0.1642422</v>
      </c>
      <c r="R4675">
        <v>-0.96959510000000004</v>
      </c>
      <c r="S4675">
        <v>-0.92538450000000005</v>
      </c>
      <c r="T4675">
        <v>-0.2017214</v>
      </c>
      <c r="U4675">
        <v>-2.9556879999999999</v>
      </c>
      <c r="V4675">
        <v>0.1606496</v>
      </c>
      <c r="W4675">
        <v>0.17703269999999999</v>
      </c>
      <c r="X4675">
        <v>0.97100520000000001</v>
      </c>
      <c r="Y4675">
        <v>0.27749869999999999</v>
      </c>
      <c r="Z4675">
        <v>5.182486E-2</v>
      </c>
      <c r="AA4675">
        <v>0.95932720000000005</v>
      </c>
      <c r="AB4675">
        <v>19</v>
      </c>
      <c r="AC4675">
        <v>-5.1398000000000001</v>
      </c>
      <c r="AD4675">
        <v>-1.1212235079099999</v>
      </c>
      <c r="AE4675">
        <v>-16.296299999999999</v>
      </c>
      <c r="AF4675">
        <v>4.7650792394098298</v>
      </c>
      <c r="AG4675">
        <v>-1.1212235079099999</v>
      </c>
      <c r="AH4675">
        <v>16.333487635074999</v>
      </c>
      <c r="AI4675">
        <v>93.770261431047999</v>
      </c>
      <c r="AJ4675">
        <v>73.736092624913297</v>
      </c>
      <c r="AK4675">
        <v>17.051273871406</v>
      </c>
      <c r="AL4675">
        <v>79.803029398479296</v>
      </c>
      <c r="AM4675">
        <v>80.605701343711203</v>
      </c>
      <c r="AN4675">
        <v>0.99999998463824402</v>
      </c>
    </row>
    <row r="4676" spans="1:40" x14ac:dyDescent="0.25">
      <c r="A4676" t="str">
        <f>"20190303170347080"</f>
        <v>20190303170347080</v>
      </c>
      <c r="B4676" t="str">
        <f>"1551603827069987"</f>
        <v>1551603827069987</v>
      </c>
      <c r="C4676" t="s">
        <v>40</v>
      </c>
      <c r="D4676">
        <v>4.2756990000000004</v>
      </c>
      <c r="E4676">
        <v>0.55604569999999998</v>
      </c>
      <c r="F4676" t="s">
        <v>90</v>
      </c>
      <c r="G4676">
        <v>-195.84889999999999</v>
      </c>
      <c r="H4676" s="1">
        <v>-1.42587299999999E-5</v>
      </c>
      <c r="I4676">
        <v>156.75970000000001</v>
      </c>
      <c r="J4676">
        <v>-190.36060000000001</v>
      </c>
      <c r="K4676">
        <v>1.1212169999999999</v>
      </c>
      <c r="L4676">
        <v>173.89080000000001</v>
      </c>
      <c r="M4676">
        <v>-2.2694519999999999E-2</v>
      </c>
      <c r="N4676">
        <v>-1.342058E-2</v>
      </c>
      <c r="O4676">
        <v>-0.99965269999999995</v>
      </c>
      <c r="P4676">
        <v>-0.18280660000000001</v>
      </c>
      <c r="Q4676">
        <v>0.16438069999999999</v>
      </c>
      <c r="R4676">
        <v>-0.96930970000000005</v>
      </c>
      <c r="S4676">
        <v>-0.93771360000000004</v>
      </c>
      <c r="T4676">
        <v>-0.19140699999999999</v>
      </c>
      <c r="U4676">
        <v>-2.95105</v>
      </c>
      <c r="V4676">
        <v>0.1610422</v>
      </c>
      <c r="W4676">
        <v>0.17717069999999999</v>
      </c>
      <c r="X4676">
        <v>0.97091499999999997</v>
      </c>
      <c r="Y4676">
        <v>0.28063179999999999</v>
      </c>
      <c r="Z4676">
        <v>4.8529240000000001E-2</v>
      </c>
      <c r="AA4676">
        <v>0.95858790000000005</v>
      </c>
      <c r="AB4676">
        <v>19</v>
      </c>
      <c r="AC4676">
        <v>-5.4882999999999802</v>
      </c>
      <c r="AD4676">
        <v>-1.12123125873</v>
      </c>
      <c r="AE4676">
        <v>-17.1311</v>
      </c>
      <c r="AF4676">
        <v>5.0783400581865497</v>
      </c>
      <c r="AG4676">
        <v>-1.12123125873</v>
      </c>
      <c r="AH4676">
        <v>17.1844913750191</v>
      </c>
      <c r="AI4676">
        <v>93.580423226112401</v>
      </c>
      <c r="AJ4676">
        <v>73.536599952066595</v>
      </c>
      <c r="AK4676">
        <v>17.954203995171799</v>
      </c>
      <c r="AL4676">
        <v>79.794995664454405</v>
      </c>
      <c r="AM4676">
        <v>80.582294842717701</v>
      </c>
      <c r="AN4676">
        <v>0.99999999217216495</v>
      </c>
    </row>
    <row r="4677" spans="1:40" x14ac:dyDescent="0.25">
      <c r="A4677" t="str">
        <f>"20190303170347097"</f>
        <v>20190303170347097</v>
      </c>
      <c r="B4677" t="str">
        <f>"1551603827090483"</f>
        <v>1551603827090483</v>
      </c>
      <c r="C4677" t="s">
        <v>40</v>
      </c>
      <c r="D4677">
        <v>4.3189510000000002</v>
      </c>
      <c r="E4677">
        <v>0.5571005</v>
      </c>
      <c r="F4677" t="s">
        <v>90</v>
      </c>
      <c r="G4677">
        <v>-196.4973</v>
      </c>
      <c r="H4677" s="1">
        <v>-1.3567000000000001E-5</v>
      </c>
      <c r="I4677">
        <v>154.97640000000001</v>
      </c>
      <c r="J4677">
        <v>-190.3647</v>
      </c>
      <c r="K4677">
        <v>1.1212230000000001</v>
      </c>
      <c r="L4677">
        <v>173.75749999999999</v>
      </c>
      <c r="M4677">
        <v>-2.358153E-2</v>
      </c>
      <c r="N4677">
        <v>-1.3420700000000001E-2</v>
      </c>
      <c r="O4677">
        <v>-0.99963190000000002</v>
      </c>
      <c r="P4677">
        <v>-0.1841709</v>
      </c>
      <c r="Q4677">
        <v>0.1645896</v>
      </c>
      <c r="R4677">
        <v>-0.96901579999999998</v>
      </c>
      <c r="S4677">
        <v>-0.95530700000000002</v>
      </c>
      <c r="T4677">
        <v>-0.17454339999999999</v>
      </c>
      <c r="U4677">
        <v>-2.9444270000000001</v>
      </c>
      <c r="V4677">
        <v>0.16154930000000001</v>
      </c>
      <c r="W4677">
        <v>0.1773776</v>
      </c>
      <c r="X4677">
        <v>0.97079300000000002</v>
      </c>
      <c r="Y4677">
        <v>0.28567389999999998</v>
      </c>
      <c r="Z4677">
        <v>4.3120539999999999E-2</v>
      </c>
      <c r="AA4677">
        <v>0.95735630000000005</v>
      </c>
      <c r="AB4677">
        <v>19</v>
      </c>
      <c r="AC4677">
        <v>-6.1325999999999903</v>
      </c>
      <c r="AD4677">
        <v>-1.121236567</v>
      </c>
      <c r="AE4677">
        <v>-18.781099999999899</v>
      </c>
      <c r="AF4677">
        <v>5.6697068441345602</v>
      </c>
      <c r="AG4677">
        <v>-1.121236567</v>
      </c>
      <c r="AH4677">
        <v>18.8597634246916</v>
      </c>
      <c r="AI4677">
        <v>93.258570243364701</v>
      </c>
      <c r="AJ4677">
        <v>73.267934902836998</v>
      </c>
      <c r="AK4677">
        <v>19.725451162722202</v>
      </c>
      <c r="AL4677">
        <v>79.782950666435895</v>
      </c>
      <c r="AM4677">
        <v>80.552007701048396</v>
      </c>
      <c r="AN4677">
        <v>1.00000001908062</v>
      </c>
    </row>
    <row r="4678" spans="1:40" x14ac:dyDescent="0.25">
      <c r="A4678" t="str">
        <f>"20190303170347112"</f>
        <v>20190303170347112</v>
      </c>
      <c r="B4678" t="str">
        <f>"1551603827100244"</f>
        <v>1551603827100244</v>
      </c>
      <c r="C4678" t="s">
        <v>40</v>
      </c>
      <c r="D4678">
        <v>4.3186179999999998</v>
      </c>
      <c r="E4678">
        <v>0.55758379999999996</v>
      </c>
      <c r="F4678" t="s">
        <v>90</v>
      </c>
      <c r="G4678">
        <v>-197.0857</v>
      </c>
      <c r="H4678" s="1">
        <v>-1.314918E-5</v>
      </c>
      <c r="I4678">
        <v>153.3623</v>
      </c>
      <c r="J4678">
        <v>-190.369</v>
      </c>
      <c r="K4678">
        <v>1.121227</v>
      </c>
      <c r="L4678">
        <v>173.61920000000001</v>
      </c>
      <c r="M4678">
        <v>-2.450221E-2</v>
      </c>
      <c r="N4678">
        <v>-1.3420619999999999E-2</v>
      </c>
      <c r="O4678">
        <v>-0.99960979999999999</v>
      </c>
      <c r="P4678">
        <v>-0.18539929999999999</v>
      </c>
      <c r="Q4678">
        <v>0.16477059999999999</v>
      </c>
      <c r="R4678">
        <v>-0.96875069999999996</v>
      </c>
      <c r="S4678">
        <v>-0.96861269999999999</v>
      </c>
      <c r="T4678">
        <v>-0.1615877</v>
      </c>
      <c r="U4678">
        <v>-2.93927</v>
      </c>
      <c r="V4678">
        <v>0.16188720000000001</v>
      </c>
      <c r="W4678">
        <v>0.177557399999999</v>
      </c>
      <c r="X4678">
        <v>0.97070380000000001</v>
      </c>
      <c r="Y4678">
        <v>0.28925650000000003</v>
      </c>
      <c r="Z4678">
        <v>3.8961799999999998E-2</v>
      </c>
      <c r="AA4678">
        <v>0.95645840000000004</v>
      </c>
      <c r="AB4678">
        <v>19</v>
      </c>
      <c r="AC4678">
        <v>-6.7166999999999701</v>
      </c>
      <c r="AD4678">
        <v>-1.1212401491799999</v>
      </c>
      <c r="AE4678">
        <v>-20.256900000000002</v>
      </c>
      <c r="AF4678">
        <v>6.2011827458025603</v>
      </c>
      <c r="AG4678">
        <v>-1.1212401491799999</v>
      </c>
      <c r="AH4678">
        <v>20.359209276701201</v>
      </c>
      <c r="AI4678">
        <v>93.015739558184805</v>
      </c>
      <c r="AJ4678">
        <v>73.059862739154298</v>
      </c>
      <c r="AK4678">
        <v>21.312185464928</v>
      </c>
      <c r="AL4678">
        <v>79.772482336579898</v>
      </c>
      <c r="AM4678">
        <v>80.531749233076496</v>
      </c>
      <c r="AN4678">
        <v>0.99999998157651904</v>
      </c>
    </row>
    <row r="4679" spans="1:40" x14ac:dyDescent="0.25">
      <c r="A4679" t="str">
        <f>"20190303170347128"</f>
        <v>20190303170347128</v>
      </c>
      <c r="B4679" t="str">
        <f>"1551603827120740"</f>
        <v>1551603827120740</v>
      </c>
      <c r="C4679" t="s">
        <v>40</v>
      </c>
      <c r="D4679">
        <v>4.3270249999999999</v>
      </c>
      <c r="E4679">
        <v>0.5582165</v>
      </c>
      <c r="F4679" t="s">
        <v>90</v>
      </c>
      <c r="G4679">
        <v>-197.42240000000001</v>
      </c>
      <c r="H4679" s="1">
        <v>-1.293768E-5</v>
      </c>
      <c r="I4679">
        <v>152.40299999999999</v>
      </c>
      <c r="J4679">
        <v>-190.3733</v>
      </c>
      <c r="K4679">
        <v>1.1212279999999999</v>
      </c>
      <c r="L4679">
        <v>173.48820000000001</v>
      </c>
      <c r="M4679">
        <v>-2.5374239999999999E-2</v>
      </c>
      <c r="N4679">
        <v>-1.342044E-2</v>
      </c>
      <c r="O4679">
        <v>-0.99958809999999998</v>
      </c>
      <c r="P4679">
        <v>-0.18614230000000001</v>
      </c>
      <c r="Q4679">
        <v>0.16458390000000001</v>
      </c>
      <c r="R4679">
        <v>-0.9686401</v>
      </c>
      <c r="S4679">
        <v>-0.97619630000000002</v>
      </c>
      <c r="T4679">
        <v>-0.15518109999999999</v>
      </c>
      <c r="U4679">
        <v>-2.93634</v>
      </c>
      <c r="V4679">
        <v>0.16178299999999901</v>
      </c>
      <c r="W4679">
        <v>0.17737149999999999</v>
      </c>
      <c r="X4679">
        <v>0.97075520000000004</v>
      </c>
      <c r="Y4679">
        <v>0.29095860000000001</v>
      </c>
      <c r="Z4679">
        <v>3.690711E-2</v>
      </c>
      <c r="AA4679">
        <v>0.95602350000000003</v>
      </c>
      <c r="AB4679">
        <v>19</v>
      </c>
      <c r="AC4679">
        <v>-7.0491000000000099</v>
      </c>
      <c r="AD4679">
        <v>-1.1212409376799899</v>
      </c>
      <c r="AE4679">
        <v>-21.0852</v>
      </c>
      <c r="AF4679">
        <v>6.4952403800732004</v>
      </c>
      <c r="AG4679">
        <v>-1.1212409376799899</v>
      </c>
      <c r="AH4679">
        <v>21.2033610590961</v>
      </c>
      <c r="AI4679">
        <v>92.894480277827697</v>
      </c>
      <c r="AJ4679">
        <v>72.968565602271397</v>
      </c>
      <c r="AK4679">
        <v>22.204230431106001</v>
      </c>
      <c r="AL4679">
        <v>79.783305844602793</v>
      </c>
      <c r="AM4679">
        <v>80.538225260496503</v>
      </c>
      <c r="AN4679">
        <v>1.0000000232141399</v>
      </c>
    </row>
    <row r="4680" spans="1:40" x14ac:dyDescent="0.25">
      <c r="A4680" t="str">
        <f>"20190303170347141"</f>
        <v>20190303170347141</v>
      </c>
      <c r="B4680" t="str">
        <f>"1551603827130500"</f>
        <v>1551603827130500</v>
      </c>
      <c r="C4680" t="s">
        <v>40</v>
      </c>
      <c r="D4680">
        <v>4.3498219999999996</v>
      </c>
      <c r="E4680">
        <v>0.55852999999999997</v>
      </c>
      <c r="F4680" t="s">
        <v>90</v>
      </c>
      <c r="G4680">
        <v>-197.79169999999999</v>
      </c>
      <c r="H4680" s="1">
        <v>-1.271142E-5</v>
      </c>
      <c r="I4680">
        <v>151.37360000000001</v>
      </c>
      <c r="J4680">
        <v>-190.3767</v>
      </c>
      <c r="K4680">
        <v>1.121227</v>
      </c>
      <c r="L4680">
        <v>173.3854</v>
      </c>
      <c r="M4680">
        <v>-2.6058310000000001E-2</v>
      </c>
      <c r="N4680">
        <v>-1.342023E-2</v>
      </c>
      <c r="O4680">
        <v>-0.99957070000000003</v>
      </c>
      <c r="P4680">
        <v>-0.1864364</v>
      </c>
      <c r="Q4680">
        <v>0.1646397</v>
      </c>
      <c r="R4680">
        <v>-0.96857420000000005</v>
      </c>
      <c r="S4680">
        <v>-0.98397829999999997</v>
      </c>
      <c r="T4680">
        <v>-0.14872149999999901</v>
      </c>
      <c r="U4680">
        <v>-2.9332729999999998</v>
      </c>
      <c r="V4680">
        <v>0.16141240000000001</v>
      </c>
      <c r="W4680">
        <v>0.177428799999999</v>
      </c>
      <c r="X4680">
        <v>0.97080639999999996</v>
      </c>
      <c r="Y4680">
        <v>0.29291099999999998</v>
      </c>
      <c r="Z4680">
        <v>3.4833129999999997E-2</v>
      </c>
      <c r="AA4680">
        <v>0.95550500000000005</v>
      </c>
      <c r="AB4680">
        <v>19</v>
      </c>
      <c r="AC4680">
        <v>-7.4149999999999903</v>
      </c>
      <c r="AD4680">
        <v>-1.1212397114199999</v>
      </c>
      <c r="AE4680">
        <v>-22.011799999999901</v>
      </c>
      <c r="AF4680">
        <v>6.8229406158871999</v>
      </c>
      <c r="AG4680">
        <v>-1.1212397114199999</v>
      </c>
      <c r="AH4680">
        <v>22.145957871342599</v>
      </c>
      <c r="AI4680">
        <v>92.770110034062895</v>
      </c>
      <c r="AJ4680">
        <v>72.876475783971401</v>
      </c>
      <c r="AK4680">
        <v>23.2002833426161</v>
      </c>
      <c r="AL4680">
        <v>79.779969686874296</v>
      </c>
      <c r="AM4680">
        <v>80.5599978977517</v>
      </c>
      <c r="AN4680">
        <v>1.00000000411208</v>
      </c>
    </row>
    <row r="4681" spans="1:40" x14ac:dyDescent="0.25">
      <c r="A4681" t="str">
        <f>"20190303170347157"</f>
        <v>20190303170347157</v>
      </c>
      <c r="B4681" t="str">
        <f>"1551603827150020"</f>
        <v>1551603827150020</v>
      </c>
      <c r="C4681" t="s">
        <v>40</v>
      </c>
      <c r="D4681">
        <v>4.3217939999999997</v>
      </c>
      <c r="E4681">
        <v>0.55903319999999901</v>
      </c>
      <c r="F4681" t="s">
        <v>90</v>
      </c>
      <c r="G4681">
        <v>-198.00530000000001</v>
      </c>
      <c r="H4681" s="1">
        <v>-1.2571639999999999E-5</v>
      </c>
      <c r="I4681">
        <v>150.74279999999999</v>
      </c>
      <c r="J4681">
        <v>-190.3817</v>
      </c>
      <c r="K4681">
        <v>1.121229</v>
      </c>
      <c r="L4681">
        <v>173.2364</v>
      </c>
      <c r="M4681">
        <v>-2.7050379999999999E-2</v>
      </c>
      <c r="N4681">
        <v>-1.3419759999999999E-2</v>
      </c>
      <c r="O4681">
        <v>-0.99954390000000004</v>
      </c>
      <c r="P4681">
        <v>-0.18740299999999999</v>
      </c>
      <c r="Q4681">
        <v>0.16379669999999999</v>
      </c>
      <c r="R4681">
        <v>-0.96853009999999995</v>
      </c>
      <c r="S4681">
        <v>-0.98780820000000003</v>
      </c>
      <c r="T4681">
        <v>-0.1451855</v>
      </c>
      <c r="U4681">
        <v>-2.931915</v>
      </c>
      <c r="V4681">
        <v>0.161412</v>
      </c>
      <c r="W4681">
        <v>0.176588299999999</v>
      </c>
      <c r="X4681">
        <v>0.97095969999999998</v>
      </c>
      <c r="Y4681">
        <v>0.29323129999999997</v>
      </c>
      <c r="Z4681">
        <v>3.3699220000000002E-2</v>
      </c>
      <c r="AA4681">
        <v>0.95544739999999995</v>
      </c>
      <c r="AB4681">
        <v>19</v>
      </c>
      <c r="AC4681">
        <v>-7.6235999999999997</v>
      </c>
      <c r="AD4681">
        <v>-1.1212415716399999</v>
      </c>
      <c r="AE4681">
        <v>-22.493600000000001</v>
      </c>
      <c r="AF4681">
        <v>6.9967007978024798</v>
      </c>
      <c r="AG4681">
        <v>-1.1212415716399999</v>
      </c>
      <c r="AH4681">
        <v>22.641146423701301</v>
      </c>
      <c r="AI4681">
        <v>92.708906686223898</v>
      </c>
      <c r="AJ4681">
        <v>72.827496033669703</v>
      </c>
      <c r="AK4681">
        <v>23.724091470389901</v>
      </c>
      <c r="AL4681">
        <v>79.828899385222201</v>
      </c>
      <c r="AM4681">
        <v>80.561484481567405</v>
      </c>
      <c r="AN4681">
        <v>1.00000000023249</v>
      </c>
    </row>
    <row r="4682" spans="1:40" x14ac:dyDescent="0.25">
      <c r="A4682" t="str">
        <f>"20190303170347169"</f>
        <v>20190303170347169</v>
      </c>
      <c r="B4682" t="str">
        <f>"1551603827159778"</f>
        <v>1551603827159778</v>
      </c>
      <c r="C4682" t="s">
        <v>40</v>
      </c>
      <c r="D4682">
        <v>4.3263749999999996</v>
      </c>
      <c r="E4682">
        <v>0.55920419999999904</v>
      </c>
      <c r="F4682" t="s">
        <v>90</v>
      </c>
      <c r="G4682">
        <v>-198.208</v>
      </c>
      <c r="H4682" s="1">
        <v>-1.240472E-5</v>
      </c>
      <c r="I4682">
        <v>150.20779999999999</v>
      </c>
      <c r="J4682">
        <v>-190.38509999999999</v>
      </c>
      <c r="K4682">
        <v>1.121219</v>
      </c>
      <c r="L4682">
        <v>173.13900000000001</v>
      </c>
      <c r="M4682">
        <v>-2.7699100000000001E-2</v>
      </c>
      <c r="N4682">
        <v>-1.341934E-2</v>
      </c>
      <c r="O4682">
        <v>-0.99952649999999998</v>
      </c>
      <c r="P4682">
        <v>-0.18779570000000001</v>
      </c>
      <c r="Q4682">
        <v>0.16395680000000001</v>
      </c>
      <c r="R4682">
        <v>-0.96842740000000005</v>
      </c>
      <c r="S4682">
        <v>-0.99542240000000004</v>
      </c>
      <c r="T4682">
        <v>-0.14261019999999999</v>
      </c>
      <c r="U4682">
        <v>-2.929001</v>
      </c>
      <c r="V4682">
        <v>0.1611756</v>
      </c>
      <c r="W4682">
        <v>0.1767483</v>
      </c>
      <c r="X4682">
        <v>0.97096990000000005</v>
      </c>
      <c r="Y4682">
        <v>0.295135799999999</v>
      </c>
      <c r="Z4682">
        <v>3.28781E-2</v>
      </c>
      <c r="AA4682">
        <v>0.95488949999999995</v>
      </c>
      <c r="AB4682">
        <v>19</v>
      </c>
      <c r="AC4682">
        <v>-7.8228999999999997</v>
      </c>
      <c r="AD4682">
        <v>-1.12123140472</v>
      </c>
      <c r="AE4682">
        <v>-22.9312</v>
      </c>
      <c r="AF4682">
        <v>7.1693139225325</v>
      </c>
      <c r="AG4682">
        <v>-1.12123140472</v>
      </c>
      <c r="AH4682">
        <v>23.089659368362501</v>
      </c>
      <c r="AI4682">
        <v>92.655234567015299</v>
      </c>
      <c r="AJ4682">
        <v>72.750488591085698</v>
      </c>
      <c r="AK4682">
        <v>24.2030698823467</v>
      </c>
      <c r="AL4682">
        <v>79.819585979117093</v>
      </c>
      <c r="AM4682">
        <v>80.575156932895993</v>
      </c>
      <c r="AN4682">
        <v>1.0000000411471199</v>
      </c>
    </row>
    <row r="4683" spans="1:40" x14ac:dyDescent="0.25">
      <c r="A4683" t="str">
        <f>"20190303170347182"</f>
        <v>20190303170347182</v>
      </c>
      <c r="B4683" t="str">
        <f>"1551603827170516"</f>
        <v>1551603827170516</v>
      </c>
      <c r="C4683" t="s">
        <v>40</v>
      </c>
      <c r="D4683">
        <v>4.3412179999999996</v>
      </c>
      <c r="E4683">
        <v>0.55942930000000002</v>
      </c>
      <c r="F4683" t="s">
        <v>90</v>
      </c>
      <c r="G4683">
        <v>-198.33279999999999</v>
      </c>
      <c r="H4683" s="1">
        <v>-1.225902E-5</v>
      </c>
      <c r="I4683">
        <v>149.81649999999999</v>
      </c>
      <c r="J4683">
        <v>-190.3886</v>
      </c>
      <c r="K4683">
        <v>1.1212219999999999</v>
      </c>
      <c r="L4683">
        <v>173.04050000000001</v>
      </c>
      <c r="M4683">
        <v>-2.83547E-2</v>
      </c>
      <c r="N4683">
        <v>-1.3418889999999999E-2</v>
      </c>
      <c r="O4683">
        <v>-0.99950810000000001</v>
      </c>
      <c r="P4683">
        <v>-0.1885367</v>
      </c>
      <c r="Q4683">
        <v>0.16348489999999999</v>
      </c>
      <c r="R4683">
        <v>-0.96836299999999997</v>
      </c>
      <c r="S4683">
        <v>-0.99784850000000003</v>
      </c>
      <c r="T4683">
        <v>-0.14077190000000001</v>
      </c>
      <c r="U4683">
        <v>-2.9281619999999999</v>
      </c>
      <c r="V4683">
        <v>0.16127849999999999</v>
      </c>
      <c r="W4683">
        <v>0.1762775</v>
      </c>
      <c r="X4683">
        <v>0.97103830000000002</v>
      </c>
      <c r="Y4683">
        <v>0.29530889999999999</v>
      </c>
      <c r="Z4683">
        <v>3.2289169999999999E-2</v>
      </c>
      <c r="AA4683">
        <v>0.95485600000000004</v>
      </c>
      <c r="AB4683">
        <v>19</v>
      </c>
      <c r="AC4683">
        <v>-7.9441999999999897</v>
      </c>
      <c r="AD4683">
        <v>-1.12123425902</v>
      </c>
      <c r="AE4683">
        <v>-23.224</v>
      </c>
      <c r="AF4683">
        <v>7.2672719146959599</v>
      </c>
      <c r="AG4683">
        <v>-1.12123425902</v>
      </c>
      <c r="AH4683">
        <v>23.391125757437599</v>
      </c>
      <c r="AI4683">
        <v>92.620930450729105</v>
      </c>
      <c r="AJ4683">
        <v>72.740764134369698</v>
      </c>
      <c r="AK4683">
        <v>24.519689466752801</v>
      </c>
      <c r="AL4683">
        <v>79.846990159958196</v>
      </c>
      <c r="AM4683">
        <v>80.569900220461705</v>
      </c>
      <c r="AN4683">
        <v>0.99999994581769303</v>
      </c>
    </row>
    <row r="4684" spans="1:40" x14ac:dyDescent="0.25">
      <c r="A4684" t="str">
        <f>"20190303170347193"</f>
        <v>20190303170347193</v>
      </c>
      <c r="B4684" t="str">
        <f>"1551603827180275"</f>
        <v>1551603827180275</v>
      </c>
      <c r="C4684" t="s">
        <v>40</v>
      </c>
      <c r="D4684">
        <v>4.3098749999999999</v>
      </c>
      <c r="E4684">
        <v>0.55956729999999999</v>
      </c>
      <c r="F4684" t="s">
        <v>90</v>
      </c>
      <c r="G4684">
        <v>-198.3837</v>
      </c>
      <c r="H4684" s="1">
        <v>-1.2211E-5</v>
      </c>
      <c r="I4684">
        <v>149.68360000000001</v>
      </c>
      <c r="J4684">
        <v>-190.39240000000001</v>
      </c>
      <c r="K4684">
        <v>1.1212219999999999</v>
      </c>
      <c r="L4684">
        <v>172.93559999999999</v>
      </c>
      <c r="M4684">
        <v>-2.9053329999999999E-2</v>
      </c>
      <c r="N4684">
        <v>-1.34184E-2</v>
      </c>
      <c r="O4684">
        <v>-0.99948789999999998</v>
      </c>
      <c r="P4684">
        <v>-0.189304</v>
      </c>
      <c r="Q4684">
        <v>0.16359360000000001</v>
      </c>
      <c r="R4684">
        <v>-0.96819489999999997</v>
      </c>
      <c r="S4684">
        <v>-1.0018009999999999</v>
      </c>
      <c r="T4684">
        <v>-0.14049339999999999</v>
      </c>
      <c r="U4684">
        <v>-2.926682</v>
      </c>
      <c r="V4684">
        <v>0.1613697</v>
      </c>
      <c r="W4684">
        <v>0.1763855</v>
      </c>
      <c r="X4684">
        <v>0.97100359999999997</v>
      </c>
      <c r="Y4684">
        <v>0.29594399999999998</v>
      </c>
      <c r="Z4684">
        <v>3.2207489999999998E-2</v>
      </c>
      <c r="AA4684">
        <v>0.95466209999999996</v>
      </c>
      <c r="AB4684">
        <v>19</v>
      </c>
      <c r="AC4684">
        <v>-7.9912999999999901</v>
      </c>
      <c r="AD4684">
        <v>-1.121234211</v>
      </c>
      <c r="AE4684">
        <v>-23.251999999999899</v>
      </c>
      <c r="AF4684">
        <v>7.2971418817496101</v>
      </c>
      <c r="AG4684">
        <v>-1.121234211</v>
      </c>
      <c r="AH4684">
        <v>23.425660915733701</v>
      </c>
      <c r="AI4684">
        <v>92.616466212588094</v>
      </c>
      <c r="AJ4684">
        <v>72.698080358324802</v>
      </c>
      <c r="AK4684">
        <v>24.5614949695094</v>
      </c>
      <c r="AL4684">
        <v>79.840704349988599</v>
      </c>
      <c r="AM4684">
        <v>80.5643324141205</v>
      </c>
      <c r="AN4684">
        <v>1.0000000079506499</v>
      </c>
    </row>
    <row r="4685" spans="1:40" x14ac:dyDescent="0.25">
      <c r="A4685" t="str">
        <f>"20190303170347206"</f>
        <v>20190303170347206</v>
      </c>
      <c r="B4685" t="str">
        <f>"1551603827199796"</f>
        <v>1551603827199796</v>
      </c>
      <c r="C4685" t="s">
        <v>40</v>
      </c>
      <c r="D4685">
        <v>4.3313519999999999</v>
      </c>
      <c r="E4685">
        <v>0.55983059999999996</v>
      </c>
      <c r="F4685" t="s">
        <v>90</v>
      </c>
      <c r="G4685">
        <v>-198.55369999999999</v>
      </c>
      <c r="H4685" s="1">
        <v>-1.2098109999999999E-5</v>
      </c>
      <c r="I4685">
        <v>149.1833</v>
      </c>
      <c r="J4685">
        <v>-190.39619999999999</v>
      </c>
      <c r="K4685">
        <v>1.1212279999999999</v>
      </c>
      <c r="L4685">
        <v>172.83150000000001</v>
      </c>
      <c r="M4685">
        <v>-2.9746689999999999E-2</v>
      </c>
      <c r="N4685">
        <v>-1.341789E-2</v>
      </c>
      <c r="O4685">
        <v>-0.99946740000000001</v>
      </c>
      <c r="P4685">
        <v>-0.1900251</v>
      </c>
      <c r="Q4685">
        <v>0.1634719</v>
      </c>
      <c r="R4685">
        <v>-0.96807410000000005</v>
      </c>
      <c r="S4685">
        <v>-1.0051570000000001</v>
      </c>
      <c r="T4685">
        <v>-0.13809279999999999</v>
      </c>
      <c r="U4685">
        <v>-2.9253689999999999</v>
      </c>
      <c r="V4685">
        <v>0.16141820000000001</v>
      </c>
      <c r="W4685">
        <v>0.1762639</v>
      </c>
      <c r="X4685">
        <v>0.97101760000000004</v>
      </c>
      <c r="Y4685">
        <v>0.2964019</v>
      </c>
      <c r="Z4685">
        <v>3.1438880000000002E-2</v>
      </c>
      <c r="AA4685">
        <v>0.95454570000000005</v>
      </c>
      <c r="AB4685">
        <v>19</v>
      </c>
      <c r="AC4685">
        <v>-8.15749999999999</v>
      </c>
      <c r="AD4685">
        <v>-1.1212400981099999</v>
      </c>
      <c r="AE4685">
        <v>-23.648199999999999</v>
      </c>
      <c r="AF4685">
        <v>7.4354328114247199</v>
      </c>
      <c r="AG4685">
        <v>-1.1212400981099999</v>
      </c>
      <c r="AH4685">
        <v>23.832534618752899</v>
      </c>
      <c r="AI4685">
        <v>92.571517759639903</v>
      </c>
      <c r="AJ4685">
        <v>72.672774888101699</v>
      </c>
      <c r="AK4685">
        <v>24.9906491873436</v>
      </c>
      <c r="AL4685">
        <v>79.847782217137606</v>
      </c>
      <c r="AM4685">
        <v>80.561681157927197</v>
      </c>
      <c r="AN4685">
        <v>0.99999998862210504</v>
      </c>
    </row>
    <row r="4686" spans="1:40" x14ac:dyDescent="0.25">
      <c r="A4686" t="str">
        <f>"20190303170347218"</f>
        <v>20190303170347218</v>
      </c>
      <c r="B4686" t="str">
        <f>"1551603827210531"</f>
        <v>1551603827210531</v>
      </c>
      <c r="C4686" t="s">
        <v>40</v>
      </c>
      <c r="D4686">
        <v>4.3217309999999998</v>
      </c>
      <c r="E4686">
        <v>0.5599092</v>
      </c>
      <c r="F4686" t="s">
        <v>90</v>
      </c>
      <c r="G4686">
        <v>-198.73060000000001</v>
      </c>
      <c r="H4686" s="1">
        <v>-1.200205E-5</v>
      </c>
      <c r="I4686">
        <v>148.69999999999999</v>
      </c>
      <c r="J4686">
        <v>-190.3999</v>
      </c>
      <c r="K4686">
        <v>1.1212260000000001</v>
      </c>
      <c r="L4686">
        <v>172.73429999999999</v>
      </c>
      <c r="M4686">
        <v>-3.0394290000000001E-2</v>
      </c>
      <c r="N4686">
        <v>-1.341737E-2</v>
      </c>
      <c r="O4686">
        <v>-0.99944809999999995</v>
      </c>
      <c r="P4686">
        <v>-0.19054579999999999</v>
      </c>
      <c r="Q4686">
        <v>0.16375689999999901</v>
      </c>
      <c r="R4686">
        <v>-0.96792370000000005</v>
      </c>
      <c r="S4686">
        <v>-1.0097659999999999</v>
      </c>
      <c r="T4686">
        <v>-0.13584479999999999</v>
      </c>
      <c r="U4686">
        <v>-2.9236759999999999</v>
      </c>
      <c r="V4686">
        <v>0.1613126</v>
      </c>
      <c r="W4686">
        <v>0.17654839999999999</v>
      </c>
      <c r="X4686">
        <v>0.9709835</v>
      </c>
      <c r="Y4686">
        <v>0.29730620000000002</v>
      </c>
      <c r="Z4686">
        <v>3.0718780000000001E-2</v>
      </c>
      <c r="AA4686">
        <v>0.95428789999999997</v>
      </c>
      <c r="AB4686">
        <v>19</v>
      </c>
      <c r="AC4686">
        <v>-8.3307000000000002</v>
      </c>
      <c r="AD4686">
        <v>-1.1212380020499999</v>
      </c>
      <c r="AE4686">
        <v>-24.034300000000002</v>
      </c>
      <c r="AF4686">
        <v>7.5815488104709399</v>
      </c>
      <c r="AG4686">
        <v>-1.1212380020499999</v>
      </c>
      <c r="AH4686">
        <v>24.229346177749299</v>
      </c>
      <c r="AI4686">
        <v>92.528791418102998</v>
      </c>
      <c r="AJ4686">
        <v>72.624696967513302</v>
      </c>
      <c r="AK4686">
        <v>25.412561327501201</v>
      </c>
      <c r="AL4686">
        <v>79.831222231688898</v>
      </c>
      <c r="AM4686">
        <v>80.567419429579303</v>
      </c>
      <c r="AN4686">
        <v>1.00000002486678</v>
      </c>
    </row>
    <row r="4687" spans="1:40" x14ac:dyDescent="0.25">
      <c r="A4687" t="str">
        <f>"20190303170347230"</f>
        <v>20190303170347230</v>
      </c>
      <c r="B4687" t="str">
        <f>"1551603827220292"</f>
        <v>1551603827220292</v>
      </c>
      <c r="C4687" t="s">
        <v>40</v>
      </c>
      <c r="D4687">
        <v>4.3202239999999996</v>
      </c>
      <c r="E4687">
        <v>0.56001190000000001</v>
      </c>
      <c r="F4687" t="s">
        <v>90</v>
      </c>
      <c r="G4687">
        <v>-198.87039999999999</v>
      </c>
      <c r="H4687" s="1">
        <v>-1.1904839999999999E-5</v>
      </c>
      <c r="I4687">
        <v>148.2705</v>
      </c>
      <c r="J4687">
        <v>-190.40389999999999</v>
      </c>
      <c r="K4687">
        <v>1.1212260000000001</v>
      </c>
      <c r="L4687">
        <v>172.6293</v>
      </c>
      <c r="M4687">
        <v>-3.109307E-2</v>
      </c>
      <c r="N4687">
        <v>-1.341672E-2</v>
      </c>
      <c r="O4687">
        <v>-0.9994265</v>
      </c>
      <c r="P4687">
        <v>-0.19094539999999999</v>
      </c>
      <c r="Q4687">
        <v>0.163771</v>
      </c>
      <c r="R4687">
        <v>-0.96784250000000005</v>
      </c>
      <c r="S4687">
        <v>-1.012024</v>
      </c>
      <c r="T4687">
        <v>-0.1339602</v>
      </c>
      <c r="U4687">
        <v>-2.9228209999999999</v>
      </c>
      <c r="V4687">
        <v>0.1610336</v>
      </c>
      <c r="W4687">
        <v>0.17656340000000001</v>
      </c>
      <c r="X4687">
        <v>0.97102710000000003</v>
      </c>
      <c r="Y4687">
        <v>0.2973904</v>
      </c>
      <c r="Z4687">
        <v>3.011548E-2</v>
      </c>
      <c r="AA4687">
        <v>0.95428089999999999</v>
      </c>
      <c r="AB4687">
        <v>19</v>
      </c>
      <c r="AC4687">
        <v>-8.4664999999999893</v>
      </c>
      <c r="AD4687">
        <v>-1.1212379048400001</v>
      </c>
      <c r="AE4687">
        <v>-24.358799999999999</v>
      </c>
      <c r="AF4687">
        <v>7.6904097392777304</v>
      </c>
      <c r="AG4687">
        <v>-1.1212379048400001</v>
      </c>
      <c r="AH4687">
        <v>24.563858015248002</v>
      </c>
      <c r="AI4687">
        <v>92.494276668050205</v>
      </c>
      <c r="AJ4687">
        <v>72.615796548893201</v>
      </c>
      <c r="AK4687">
        <v>25.763980612290698</v>
      </c>
      <c r="AL4687">
        <v>79.830349251750206</v>
      </c>
      <c r="AM4687">
        <v>80.583856456400696</v>
      </c>
      <c r="AN4687">
        <v>1.0000000417414601</v>
      </c>
    </row>
    <row r="4688" spans="1:40" x14ac:dyDescent="0.25">
      <c r="A4688" t="str">
        <f>"20190303170347247"</f>
        <v>20190303170347247</v>
      </c>
      <c r="B4688" t="str">
        <f>"1551603827239811"</f>
        <v>1551603827239811</v>
      </c>
      <c r="C4688" t="s">
        <v>40</v>
      </c>
      <c r="D4688">
        <v>4.3102119999999999</v>
      </c>
      <c r="E4688">
        <v>0.56027280000000002</v>
      </c>
      <c r="F4688" t="s">
        <v>90</v>
      </c>
      <c r="G4688">
        <v>-198.9717</v>
      </c>
      <c r="H4688" s="1">
        <v>-1.182133E-5</v>
      </c>
      <c r="I4688">
        <v>147.9409</v>
      </c>
      <c r="J4688">
        <v>-190.4092</v>
      </c>
      <c r="K4688">
        <v>1.121224</v>
      </c>
      <c r="L4688">
        <v>172.49250000000001</v>
      </c>
      <c r="M4688">
        <v>-3.2004850000000001E-2</v>
      </c>
      <c r="N4688">
        <v>-1.341583E-2</v>
      </c>
      <c r="O4688">
        <v>-0.99939770000000006</v>
      </c>
      <c r="P4688">
        <v>-0.1919148</v>
      </c>
      <c r="Q4688">
        <v>0.16320079999999901</v>
      </c>
      <c r="R4688">
        <v>-0.96774720000000003</v>
      </c>
      <c r="S4688">
        <v>-1.0140690000000001</v>
      </c>
      <c r="T4688">
        <v>-0.1327072</v>
      </c>
      <c r="U4688">
        <v>-2.9220730000000001</v>
      </c>
      <c r="V4688">
        <v>0.16111600000000001</v>
      </c>
      <c r="W4688">
        <v>0.17599409999999999</v>
      </c>
      <c r="X4688">
        <v>0.97111670000000005</v>
      </c>
      <c r="Y4688">
        <v>0.29719580000000001</v>
      </c>
      <c r="Z4688">
        <v>2.9717750000000001E-2</v>
      </c>
      <c r="AA4688">
        <v>0.95435400000000004</v>
      </c>
      <c r="AB4688">
        <v>19</v>
      </c>
      <c r="AC4688">
        <v>-8.5625</v>
      </c>
      <c r="AD4688">
        <v>-1.12123582132999</v>
      </c>
      <c r="AE4688">
        <v>-24.551600000000001</v>
      </c>
      <c r="AF4688">
        <v>7.7578464511289997</v>
      </c>
      <c r="AG4688">
        <v>-1.12123582132999</v>
      </c>
      <c r="AH4688">
        <v>24.7670333973373</v>
      </c>
      <c r="AI4688">
        <v>92.473727027077103</v>
      </c>
      <c r="AJ4688">
        <v>72.607734057939993</v>
      </c>
      <c r="AK4688">
        <v>25.977823131108401</v>
      </c>
      <c r="AL4688">
        <v>79.863485893291596</v>
      </c>
      <c r="AM4688">
        <v>80.579978256453302</v>
      </c>
      <c r="AN4688">
        <v>0.99999996685484904</v>
      </c>
    </row>
    <row r="4689" spans="1:40" x14ac:dyDescent="0.25">
      <c r="A4689" t="str">
        <f>"20190303170347269"</f>
        <v>20190303170347269</v>
      </c>
      <c r="B4689" t="str">
        <f>"1551603827260307"</f>
        <v>1551603827260307</v>
      </c>
      <c r="C4689" t="s">
        <v>40</v>
      </c>
      <c r="D4689">
        <v>4.3362040000000004</v>
      </c>
      <c r="E4689">
        <v>0.56049499999999997</v>
      </c>
      <c r="F4689" t="s">
        <v>90</v>
      </c>
      <c r="G4689">
        <v>-199.04570000000001</v>
      </c>
      <c r="H4689" s="1">
        <v>-1.177566E-5</v>
      </c>
      <c r="I4689">
        <v>147.7516</v>
      </c>
      <c r="J4689">
        <v>-190.41650000000001</v>
      </c>
      <c r="K4689">
        <v>1.1212279999999999</v>
      </c>
      <c r="L4689">
        <v>172.30969999999999</v>
      </c>
      <c r="M4689">
        <v>-3.3222269999999998E-2</v>
      </c>
      <c r="N4689">
        <v>-1.3414580000000001E-2</v>
      </c>
      <c r="O4689">
        <v>-0.99935810000000003</v>
      </c>
      <c r="P4689">
        <v>-0.19303799999999999</v>
      </c>
      <c r="Q4689">
        <v>0.16245809999999999</v>
      </c>
      <c r="R4689">
        <v>-0.96764879999999998</v>
      </c>
      <c r="S4689">
        <v>-1.019363</v>
      </c>
      <c r="T4689">
        <v>-0.13233879999999901</v>
      </c>
      <c r="U4689">
        <v>-2.9201510000000002</v>
      </c>
      <c r="V4689">
        <v>0.16105410000000001</v>
      </c>
      <c r="W4689">
        <v>0.1752523</v>
      </c>
      <c r="X4689">
        <v>0.97126109999999999</v>
      </c>
      <c r="Y4689">
        <v>0.29777169999999997</v>
      </c>
      <c r="Z4689">
        <v>2.961047E-2</v>
      </c>
      <c r="AA4689">
        <v>0.95417779999999996</v>
      </c>
      <c r="AB4689">
        <v>19</v>
      </c>
      <c r="AC4689">
        <v>-8.6291999999999902</v>
      </c>
      <c r="AD4689">
        <v>-1.1212397756600001</v>
      </c>
      <c r="AE4689">
        <v>-24.5581</v>
      </c>
      <c r="AF4689">
        <v>7.7940252381565998</v>
      </c>
      <c r="AG4689">
        <v>-1.1212397756600001</v>
      </c>
      <c r="AH4689">
        <v>24.785260986258901</v>
      </c>
      <c r="AI4689">
        <v>92.471051786955002</v>
      </c>
      <c r="AJ4689">
        <v>72.543614346041295</v>
      </c>
      <c r="AK4689">
        <v>26.006021806583799</v>
      </c>
      <c r="AL4689">
        <v>79.906658834097499</v>
      </c>
      <c r="AM4689">
        <v>80.584907457313406</v>
      </c>
      <c r="AN4689">
        <v>0.99999995807765396</v>
      </c>
    </row>
    <row r="4690" spans="1:40" x14ac:dyDescent="0.25">
      <c r="A4690" t="str">
        <f>"20190303170347282"</f>
        <v>20190303170347282</v>
      </c>
      <c r="B4690" t="str">
        <f>"1551603827270067"</f>
        <v>1551603827270067</v>
      </c>
      <c r="C4690" t="s">
        <v>40</v>
      </c>
      <c r="D4690">
        <v>4.2802230000000003</v>
      </c>
      <c r="E4690">
        <v>0.56059840000000005</v>
      </c>
      <c r="F4690" t="s">
        <v>90</v>
      </c>
      <c r="G4690">
        <v>-199.10679999999999</v>
      </c>
      <c r="H4690" s="1">
        <v>-1.1730869999999999E-5</v>
      </c>
      <c r="I4690">
        <v>147.57149999999999</v>
      </c>
      <c r="J4690">
        <v>-190.42089999999999</v>
      </c>
      <c r="K4690">
        <v>1.1212299999999999</v>
      </c>
      <c r="L4690">
        <v>172.20310000000001</v>
      </c>
      <c r="M4690">
        <v>-3.393231E-2</v>
      </c>
      <c r="N4690">
        <v>-1.34138E-2</v>
      </c>
      <c r="O4690">
        <v>-0.99933430000000001</v>
      </c>
      <c r="P4690">
        <v>-0.1937113</v>
      </c>
      <c r="Q4690">
        <v>0.16262409999999999</v>
      </c>
      <c r="R4690">
        <v>-0.96748650000000003</v>
      </c>
      <c r="S4690">
        <v>-1.0250699999999999</v>
      </c>
      <c r="T4690">
        <v>-0.13225619999999999</v>
      </c>
      <c r="U4690">
        <v>-2.917999</v>
      </c>
      <c r="V4690">
        <v>0.1610405</v>
      </c>
      <c r="W4690">
        <v>0.17541760000000001</v>
      </c>
      <c r="X4690">
        <v>0.97123349999999997</v>
      </c>
      <c r="Y4690">
        <v>0.29897400000000002</v>
      </c>
      <c r="Z4690">
        <v>2.9593089999999999E-2</v>
      </c>
      <c r="AA4690">
        <v>0.95380229999999999</v>
      </c>
      <c r="AB4690">
        <v>19</v>
      </c>
      <c r="AC4690">
        <v>-8.6859000000000002</v>
      </c>
      <c r="AD4690">
        <v>-1.12124173087</v>
      </c>
      <c r="AE4690">
        <v>-24.631599999999999</v>
      </c>
      <c r="AF4690">
        <v>7.8305837285554398</v>
      </c>
      <c r="AG4690">
        <v>-1.12124173087</v>
      </c>
      <c r="AH4690">
        <v>24.866344795952099</v>
      </c>
      <c r="AI4690">
        <v>92.462695160328707</v>
      </c>
      <c r="AJ4690">
        <v>72.520425165769296</v>
      </c>
      <c r="AK4690">
        <v>26.094258526735999</v>
      </c>
      <c r="AL4690">
        <v>79.897038675180696</v>
      </c>
      <c r="AM4690">
        <v>80.585425527585997</v>
      </c>
      <c r="AN4690">
        <v>0.99999994427612804</v>
      </c>
    </row>
    <row r="4691" spans="1:40" x14ac:dyDescent="0.25">
      <c r="A4691" t="str">
        <f>"20190303170347295"</f>
        <v>20190303170347295</v>
      </c>
      <c r="B4691" t="str">
        <f>"1551603827279828"</f>
        <v>1551603827279828</v>
      </c>
      <c r="C4691" t="s">
        <v>40</v>
      </c>
      <c r="D4691">
        <v>4.3188300000000002</v>
      </c>
      <c r="E4691">
        <v>0.56070679999999995</v>
      </c>
      <c r="F4691" t="s">
        <v>90</v>
      </c>
      <c r="G4691">
        <v>-199.22919999999999</v>
      </c>
      <c r="H4691" s="1">
        <v>-1.1642960000000001E-5</v>
      </c>
      <c r="I4691">
        <v>147.21700000000001</v>
      </c>
      <c r="J4691">
        <v>-190.4255</v>
      </c>
      <c r="K4691">
        <v>1.1212310000000001</v>
      </c>
      <c r="L4691">
        <v>172.09119999999999</v>
      </c>
      <c r="M4691">
        <v>-3.4678199999999999E-2</v>
      </c>
      <c r="N4691">
        <v>-1.341295E-2</v>
      </c>
      <c r="O4691">
        <v>-0.99930859999999999</v>
      </c>
      <c r="P4691">
        <v>-0.194302</v>
      </c>
      <c r="Q4691">
        <v>0.1625192</v>
      </c>
      <c r="R4691">
        <v>-0.96738539999999995</v>
      </c>
      <c r="S4691">
        <v>-1.0282899999999999</v>
      </c>
      <c r="T4691">
        <v>-0.1308954</v>
      </c>
      <c r="U4691">
        <v>-2.9169160000000001</v>
      </c>
      <c r="V4691">
        <v>0.1609071</v>
      </c>
      <c r="W4691">
        <v>0.17531340000000001</v>
      </c>
      <c r="X4691">
        <v>0.97127450000000004</v>
      </c>
      <c r="Y4691">
        <v>0.29931429999999998</v>
      </c>
      <c r="Z4691">
        <v>2.915823E-2</v>
      </c>
      <c r="AA4691">
        <v>0.95370889999999997</v>
      </c>
      <c r="AB4691">
        <v>19</v>
      </c>
      <c r="AC4691">
        <v>-8.8036999999999903</v>
      </c>
      <c r="AD4691">
        <v>-1.12124264295999</v>
      </c>
      <c r="AE4691">
        <v>-24.874199999999899</v>
      </c>
      <c r="AF4691">
        <v>7.9214301375941201</v>
      </c>
      <c r="AG4691">
        <v>-1.12124264295999</v>
      </c>
      <c r="AH4691">
        <v>25.119202370268901</v>
      </c>
      <c r="AI4691">
        <v>92.4376252005504</v>
      </c>
      <c r="AJ4691">
        <v>72.497145145256297</v>
      </c>
      <c r="AK4691">
        <v>26.362484105404398</v>
      </c>
      <c r="AL4691">
        <v>79.903103629493998</v>
      </c>
      <c r="AM4691">
        <v>80.593474758208998</v>
      </c>
      <c r="AN4691">
        <v>1.0000000187001099</v>
      </c>
    </row>
    <row r="4692" spans="1:40" x14ac:dyDescent="0.25">
      <c r="A4692" t="str">
        <f>"20190303170347308"</f>
        <v>20190303170347308</v>
      </c>
      <c r="B4692" t="str">
        <f>"1551603827300323"</f>
        <v>1551603827300323</v>
      </c>
      <c r="C4692" t="s">
        <v>40</v>
      </c>
      <c r="D4692">
        <v>4.3169240000000002</v>
      </c>
      <c r="E4692">
        <v>0.56090850000000003</v>
      </c>
      <c r="F4692" t="s">
        <v>90</v>
      </c>
      <c r="G4692">
        <v>-199.3304</v>
      </c>
      <c r="H4692" s="1">
        <v>-1.156715E-5</v>
      </c>
      <c r="I4692">
        <v>146.91329999999999</v>
      </c>
      <c r="J4692">
        <v>-190.43020000000001</v>
      </c>
      <c r="K4692">
        <v>1.1212329999999999</v>
      </c>
      <c r="L4692">
        <v>171.9812</v>
      </c>
      <c r="M4692">
        <v>-3.541072E-2</v>
      </c>
      <c r="N4692">
        <v>-1.341203E-2</v>
      </c>
      <c r="O4692">
        <v>-0.99928280000000003</v>
      </c>
      <c r="P4692">
        <v>-0.1949476</v>
      </c>
      <c r="Q4692">
        <v>0.16241449999999999</v>
      </c>
      <c r="R4692">
        <v>-0.96727269999999999</v>
      </c>
      <c r="S4692">
        <v>-1.0312809999999999</v>
      </c>
      <c r="T4692">
        <v>-0.12985169999999999</v>
      </c>
      <c r="U4692">
        <v>-2.9158629999999999</v>
      </c>
      <c r="V4692">
        <v>0.16084219999999999</v>
      </c>
      <c r="W4692">
        <v>0.1752087</v>
      </c>
      <c r="X4692">
        <v>0.9713041</v>
      </c>
      <c r="Y4692">
        <v>0.29959629999999998</v>
      </c>
      <c r="Z4692">
        <v>2.8826569999999999E-2</v>
      </c>
      <c r="AA4692">
        <v>0.95363039999999999</v>
      </c>
      <c r="AB4692">
        <v>19</v>
      </c>
      <c r="AC4692">
        <v>-8.9001999999999803</v>
      </c>
      <c r="AD4692">
        <v>-1.12124456715</v>
      </c>
      <c r="AE4692">
        <v>-25.067900000000002</v>
      </c>
      <c r="AF4692">
        <v>7.9926646419811798</v>
      </c>
      <c r="AG4692">
        <v>-1.12124456715</v>
      </c>
      <c r="AH4692">
        <v>25.322377229939899</v>
      </c>
      <c r="AI4692">
        <v>92.417898281121694</v>
      </c>
      <c r="AJ4692">
        <v>72.482405800150502</v>
      </c>
      <c r="AK4692">
        <v>26.577484193089401</v>
      </c>
      <c r="AL4692">
        <v>79.909196395444496</v>
      </c>
      <c r="AM4692">
        <v>80.597482431312599</v>
      </c>
      <c r="AN4692">
        <v>0.99999997826666898</v>
      </c>
    </row>
    <row r="4693" spans="1:40" x14ac:dyDescent="0.25">
      <c r="A4693" t="str">
        <f>"20190303170347324"</f>
        <v>20190303170347324</v>
      </c>
      <c r="B4693" t="str">
        <f>"1551603827310083"</f>
        <v>1551603827310083</v>
      </c>
      <c r="C4693" t="s">
        <v>40</v>
      </c>
      <c r="D4693">
        <v>4.3402459999999996</v>
      </c>
      <c r="E4693">
        <v>0.56095989999999996</v>
      </c>
      <c r="F4693" t="s">
        <v>90</v>
      </c>
      <c r="G4693">
        <v>-199.43809999999999</v>
      </c>
      <c r="H4693" s="1">
        <v>-1.149455E-5</v>
      </c>
      <c r="I4693">
        <v>146.6173</v>
      </c>
      <c r="J4693">
        <v>-190.4358</v>
      </c>
      <c r="K4693">
        <v>1.1212340000000001</v>
      </c>
      <c r="L4693">
        <v>171.85329999999999</v>
      </c>
      <c r="M4693">
        <v>-3.6262969999999999E-2</v>
      </c>
      <c r="N4693">
        <v>-1.3411019999999999E-2</v>
      </c>
      <c r="O4693">
        <v>-0.99925260000000005</v>
      </c>
      <c r="P4693">
        <v>-0.19563240000000001</v>
      </c>
      <c r="Q4693">
        <v>0.1622547</v>
      </c>
      <c r="R4693">
        <v>-0.96716190000000002</v>
      </c>
      <c r="S4693">
        <v>-1.03508</v>
      </c>
      <c r="T4693">
        <v>-0.12884039999999999</v>
      </c>
      <c r="U4693">
        <v>-2.914536</v>
      </c>
      <c r="V4693">
        <v>0.16069929999999999</v>
      </c>
      <c r="W4693">
        <v>0.17504910000000001</v>
      </c>
      <c r="X4693">
        <v>0.97135660000000001</v>
      </c>
      <c r="Y4693">
        <v>0.30002719999999999</v>
      </c>
      <c r="Z4693">
        <v>2.8506299999999998E-2</v>
      </c>
      <c r="AA4693">
        <v>0.95350460000000004</v>
      </c>
      <c r="AB4693">
        <v>19</v>
      </c>
      <c r="AC4693">
        <v>-9.0022999999999893</v>
      </c>
      <c r="AD4693">
        <v>-1.1212454945499899</v>
      </c>
      <c r="AE4693">
        <v>-25.235999999999901</v>
      </c>
      <c r="AF4693">
        <v>8.0670365225851093</v>
      </c>
      <c r="AG4693">
        <v>-1.1212454945499899</v>
      </c>
      <c r="AH4693">
        <v>25.501220158274201</v>
      </c>
      <c r="AI4693">
        <v>92.400479002974095</v>
      </c>
      <c r="AJ4693">
        <v>72.445793385037902</v>
      </c>
      <c r="AK4693">
        <v>26.7702540009717</v>
      </c>
      <c r="AL4693">
        <v>79.918485056934799</v>
      </c>
      <c r="AM4693">
        <v>80.606185799830996</v>
      </c>
      <c r="AN4693">
        <v>1.0000000483974201</v>
      </c>
    </row>
    <row r="4694" spans="1:40" x14ac:dyDescent="0.25">
      <c r="A4694" t="str">
        <f>"20190303170347335"</f>
        <v>20190303170347335</v>
      </c>
      <c r="B4694" t="str">
        <f>"1551603827330580"</f>
        <v>1551603827330580</v>
      </c>
      <c r="C4694" t="s">
        <v>40</v>
      </c>
      <c r="D4694">
        <v>4.3198189999999999</v>
      </c>
      <c r="E4694">
        <v>0.56105579999999999</v>
      </c>
      <c r="F4694" t="s">
        <v>90</v>
      </c>
      <c r="G4694">
        <v>-199.4803</v>
      </c>
      <c r="H4694" s="1">
        <v>-1.145363E-5</v>
      </c>
      <c r="I4694">
        <v>146.45930000000001</v>
      </c>
      <c r="J4694">
        <v>-190.43979999999999</v>
      </c>
      <c r="K4694">
        <v>1.1212359999999999</v>
      </c>
      <c r="L4694">
        <v>171.7612</v>
      </c>
      <c r="M4694">
        <v>-3.6877390000000003E-2</v>
      </c>
      <c r="N4694">
        <v>-1.3410299999999899E-2</v>
      </c>
      <c r="O4694">
        <v>-0.9992299</v>
      </c>
      <c r="P4694">
        <v>-0.1964767</v>
      </c>
      <c r="Q4694">
        <v>0.16215869999999999</v>
      </c>
      <c r="R4694">
        <v>-0.96700649999999999</v>
      </c>
      <c r="S4694">
        <v>-1.03772</v>
      </c>
      <c r="T4694">
        <v>-0.12864510000000001</v>
      </c>
      <c r="U4694">
        <v>-2.9135589999999998</v>
      </c>
      <c r="V4694">
        <v>0.16094939999999999</v>
      </c>
      <c r="W4694">
        <v>0.17495189999999999</v>
      </c>
      <c r="X4694">
        <v>0.97133270000000005</v>
      </c>
      <c r="Y4694">
        <v>0.30030889999999999</v>
      </c>
      <c r="Z4694">
        <v>2.8448999999999999E-2</v>
      </c>
      <c r="AA4694">
        <v>0.95341770000000003</v>
      </c>
      <c r="AB4694">
        <v>19</v>
      </c>
      <c r="AC4694">
        <v>-9.0404999999999998</v>
      </c>
      <c r="AD4694">
        <v>-1.1212474536299999</v>
      </c>
      <c r="AE4694">
        <v>-25.3018999999999</v>
      </c>
      <c r="AF4694">
        <v>8.0871142002637395</v>
      </c>
      <c r="AG4694">
        <v>-1.1212474536299999</v>
      </c>
      <c r="AH4694">
        <v>25.5735709073492</v>
      </c>
      <c r="AI4694">
        <v>92.393775371978506</v>
      </c>
      <c r="AJ4694">
        <v>72.4515158728979</v>
      </c>
      <c r="AK4694">
        <v>26.845225662929298</v>
      </c>
      <c r="AL4694">
        <v>79.9241414639217</v>
      </c>
      <c r="AM4694">
        <v>80.591599822377802</v>
      </c>
      <c r="AN4694">
        <v>1.00000004538162</v>
      </c>
    </row>
    <row r="4695" spans="1:40" x14ac:dyDescent="0.25">
      <c r="A4695" t="str">
        <f>"20190303170347347"</f>
        <v>20190303170347347</v>
      </c>
      <c r="B4695" t="str">
        <f>"1551603827340339"</f>
        <v>1551603827340339</v>
      </c>
      <c r="C4695" t="s">
        <v>40</v>
      </c>
      <c r="D4695">
        <v>4.3149249999999997</v>
      </c>
      <c r="E4695">
        <v>0.56113760000000001</v>
      </c>
      <c r="F4695" t="s">
        <v>90</v>
      </c>
      <c r="G4695">
        <v>-199.5779</v>
      </c>
      <c r="H4695" s="1">
        <v>-1.139095E-5</v>
      </c>
      <c r="I4695">
        <v>146.20150000000001</v>
      </c>
      <c r="J4695">
        <v>-190.4443</v>
      </c>
      <c r="K4695">
        <v>1.121235</v>
      </c>
      <c r="L4695">
        <v>171.66</v>
      </c>
      <c r="M4695">
        <v>-3.7551399999999999E-2</v>
      </c>
      <c r="N4695">
        <v>-1.340944E-2</v>
      </c>
      <c r="O4695">
        <v>-0.99920489999999995</v>
      </c>
      <c r="P4695">
        <v>-0.19712009999999999</v>
      </c>
      <c r="Q4695">
        <v>0.1621785</v>
      </c>
      <c r="R4695">
        <v>-0.96687239999999997</v>
      </c>
      <c r="S4695">
        <v>-1.041183</v>
      </c>
      <c r="T4695">
        <v>-0.12775359999999999</v>
      </c>
      <c r="U4695">
        <v>-2.9122309999999998</v>
      </c>
      <c r="V4695">
        <v>0.16094029999999901</v>
      </c>
      <c r="W4695">
        <v>0.1749716</v>
      </c>
      <c r="X4695">
        <v>0.97133060000000004</v>
      </c>
      <c r="Y4695">
        <v>0.30081170000000002</v>
      </c>
      <c r="Z4695">
        <v>2.8167480000000002E-2</v>
      </c>
      <c r="AA4695">
        <v>0.95326750000000005</v>
      </c>
      <c r="AB4695">
        <v>18</v>
      </c>
      <c r="AC4695">
        <v>-9.1335999999999995</v>
      </c>
      <c r="AD4695">
        <v>-1.1212463909499999</v>
      </c>
      <c r="AE4695">
        <v>-25.458499999999901</v>
      </c>
      <c r="AF4695">
        <v>8.1570507639765495</v>
      </c>
      <c r="AG4695">
        <v>-1.1212463909499999</v>
      </c>
      <c r="AH4695">
        <v>25.739317663933399</v>
      </c>
      <c r="AI4695">
        <v>92.377911011386502</v>
      </c>
      <c r="AJ4695">
        <v>72.416063499628194</v>
      </c>
      <c r="AK4695">
        <v>27.024195537336201</v>
      </c>
      <c r="AL4695">
        <v>79.922994467025106</v>
      </c>
      <c r="AM4695">
        <v>80.592102282568106</v>
      </c>
      <c r="AN4695">
        <v>0.99999998773350496</v>
      </c>
    </row>
    <row r="4696" spans="1:40" x14ac:dyDescent="0.25">
      <c r="A4696" t="str">
        <f>"20190303170347359"</f>
        <v>20190303170347359</v>
      </c>
      <c r="B4696" t="str">
        <f>"1551603827350099"</f>
        <v>1551603827350099</v>
      </c>
      <c r="C4696" t="s">
        <v>40</v>
      </c>
      <c r="D4696">
        <v>4.3171049999999997</v>
      </c>
      <c r="E4696">
        <v>0.56122139999999998</v>
      </c>
      <c r="F4696" t="s">
        <v>90</v>
      </c>
      <c r="G4696">
        <v>-199.67769999999999</v>
      </c>
      <c r="H4696" s="1">
        <v>-1.13198E-5</v>
      </c>
      <c r="I4696">
        <v>145.91419999999999</v>
      </c>
      <c r="J4696">
        <v>-190.4487</v>
      </c>
      <c r="K4696">
        <v>1.121237</v>
      </c>
      <c r="L4696">
        <v>171.56379999999999</v>
      </c>
      <c r="M4696">
        <v>-3.8192820000000002E-2</v>
      </c>
      <c r="N4696">
        <v>-1.340858E-2</v>
      </c>
      <c r="O4696">
        <v>-0.99918079999999998</v>
      </c>
      <c r="P4696">
        <v>-0.1975904</v>
      </c>
      <c r="Q4696">
        <v>0.16249079999999999</v>
      </c>
      <c r="R4696">
        <v>-0.96672409999999998</v>
      </c>
      <c r="S4696">
        <v>-1.044052</v>
      </c>
      <c r="T4696">
        <v>-0.1267836</v>
      </c>
      <c r="U4696">
        <v>-2.9111790000000002</v>
      </c>
      <c r="V4696">
        <v>0.16079089999999999</v>
      </c>
      <c r="W4696">
        <v>0.17528289999999999</v>
      </c>
      <c r="X4696">
        <v>0.97129920000000003</v>
      </c>
      <c r="Y4696">
        <v>0.30114479999999999</v>
      </c>
      <c r="Z4696">
        <v>2.7859140000000001E-2</v>
      </c>
      <c r="AA4696">
        <v>0.9531714</v>
      </c>
      <c r="AB4696">
        <v>18</v>
      </c>
      <c r="AC4696">
        <v>-9.2289999999999797</v>
      </c>
      <c r="AD4696">
        <v>-1.1212483198000001</v>
      </c>
      <c r="AE4696">
        <v>-25.6495999999999</v>
      </c>
      <c r="AF4696">
        <v>8.2286250779222101</v>
      </c>
      <c r="AG4696">
        <v>-1.1212483198000001</v>
      </c>
      <c r="AH4696">
        <v>25.939508893291599</v>
      </c>
      <c r="AI4696">
        <v>92.359371220541206</v>
      </c>
      <c r="AJ4696">
        <v>72.399742795104899</v>
      </c>
      <c r="AK4696">
        <v>27.236475361045098</v>
      </c>
      <c r="AL4696">
        <v>79.904878162058296</v>
      </c>
      <c r="AM4696">
        <v>80.600381228744197</v>
      </c>
      <c r="AN4696">
        <v>0.99999997223792902</v>
      </c>
    </row>
    <row r="4697" spans="1:40" x14ac:dyDescent="0.25">
      <c r="A4697" t="str">
        <f>"20190303170347370"</f>
        <v>20190303170347370</v>
      </c>
      <c r="B4697" t="str">
        <f>"1551603827359859"</f>
        <v>1551603827359859</v>
      </c>
      <c r="C4697" t="s">
        <v>40</v>
      </c>
      <c r="D4697">
        <v>4.3347470000000001</v>
      </c>
      <c r="E4697">
        <v>0.56129069999999903</v>
      </c>
      <c r="F4697" t="s">
        <v>90</v>
      </c>
      <c r="G4697">
        <v>-199.8297</v>
      </c>
      <c r="H4697" s="1">
        <v>-1.1209779999999999E-5</v>
      </c>
      <c r="I4697">
        <v>145.471</v>
      </c>
      <c r="J4697">
        <v>-190.45320000000001</v>
      </c>
      <c r="K4697">
        <v>1.12124</v>
      </c>
      <c r="L4697">
        <v>171.4649</v>
      </c>
      <c r="M4697">
        <v>-3.8852049999999999E-2</v>
      </c>
      <c r="N4697">
        <v>-1.340766E-2</v>
      </c>
      <c r="O4697">
        <v>-0.99915500000000002</v>
      </c>
      <c r="P4697">
        <v>-0.19814090000000001</v>
      </c>
      <c r="Q4697">
        <v>0.16272349999999999</v>
      </c>
      <c r="R4697">
        <v>-0.96657199999999999</v>
      </c>
      <c r="S4697">
        <v>-1.0463709999999999</v>
      </c>
      <c r="T4697">
        <v>-0.12506589999999901</v>
      </c>
      <c r="U4697">
        <v>-2.910431</v>
      </c>
      <c r="V4697">
        <v>0.1607045</v>
      </c>
      <c r="W4697">
        <v>0.17551520000000001</v>
      </c>
      <c r="X4697">
        <v>0.97127160000000001</v>
      </c>
      <c r="Y4697">
        <v>0.3012725</v>
      </c>
      <c r="Z4697">
        <v>2.7306790000000001E-2</v>
      </c>
      <c r="AA4697">
        <v>0.95314699999999997</v>
      </c>
      <c r="AB4697">
        <v>18</v>
      </c>
      <c r="AC4697">
        <v>-9.3764999999999894</v>
      </c>
      <c r="AD4697">
        <v>-1.12125120977999</v>
      </c>
      <c r="AE4697">
        <v>-25.9939</v>
      </c>
      <c r="AF4697">
        <v>8.34567168751461</v>
      </c>
      <c r="AG4697">
        <v>-1.12125120977999</v>
      </c>
      <c r="AH4697">
        <v>26.295306444794399</v>
      </c>
      <c r="AI4697">
        <v>92.327381770810206</v>
      </c>
      <c r="AJ4697">
        <v>72.391469508604601</v>
      </c>
      <c r="AK4697">
        <v>27.610696862210101</v>
      </c>
      <c r="AL4697">
        <v>79.891359268338306</v>
      </c>
      <c r="AM4697">
        <v>80.605079786490194</v>
      </c>
      <c r="AN4697">
        <v>1.00000002135892</v>
      </c>
    </row>
    <row r="4698" spans="1:40" x14ac:dyDescent="0.25">
      <c r="A4698" t="str">
        <f>"20190303170347383"</f>
        <v>20190303170347383</v>
      </c>
      <c r="B4698" t="str">
        <f>"1551603827370596"</f>
        <v>1551603827370596</v>
      </c>
      <c r="C4698" t="s">
        <v>40</v>
      </c>
      <c r="D4698">
        <v>4.3020149999999999</v>
      </c>
      <c r="E4698">
        <v>0.56135800000000002</v>
      </c>
      <c r="F4698" t="s">
        <v>90</v>
      </c>
      <c r="G4698">
        <v>-199.95849999999999</v>
      </c>
      <c r="H4698" s="1">
        <v>-1.1114580000000001E-5</v>
      </c>
      <c r="I4698">
        <v>145.09020000000001</v>
      </c>
      <c r="J4698">
        <v>-190.45769999999999</v>
      </c>
      <c r="K4698">
        <v>1.121243</v>
      </c>
      <c r="L4698">
        <v>171.37049999999999</v>
      </c>
      <c r="M4698">
        <v>-3.9481420000000003E-2</v>
      </c>
      <c r="N4698">
        <v>-1.340682E-2</v>
      </c>
      <c r="O4698">
        <v>-0.99913050000000003</v>
      </c>
      <c r="P4698">
        <v>-0.1985082</v>
      </c>
      <c r="Q4698">
        <v>0.1630711</v>
      </c>
      <c r="R4698">
        <v>-0.96643789999999996</v>
      </c>
      <c r="S4698">
        <v>-1.0485990000000001</v>
      </c>
      <c r="T4698">
        <v>-0.1236944</v>
      </c>
      <c r="U4698">
        <v>-2.9096069999999998</v>
      </c>
      <c r="V4698">
        <v>0.16046359999999901</v>
      </c>
      <c r="W4698">
        <v>0.17586260000000001</v>
      </c>
      <c r="X4698">
        <v>0.97124860000000002</v>
      </c>
      <c r="Y4698">
        <v>0.30140869999999997</v>
      </c>
      <c r="Z4698">
        <v>2.686767E-2</v>
      </c>
      <c r="AA4698">
        <v>0.95311639999999997</v>
      </c>
      <c r="AB4698">
        <v>18</v>
      </c>
      <c r="AC4698">
        <v>-9.5007999999999893</v>
      </c>
      <c r="AD4698">
        <v>-1.1212541145799999</v>
      </c>
      <c r="AE4698">
        <v>-26.280299999999901</v>
      </c>
      <c r="AF4698">
        <v>8.4421231956067295</v>
      </c>
      <c r="AG4698">
        <v>-1.1212541145799999</v>
      </c>
      <c r="AH4698">
        <v>26.592133462484401</v>
      </c>
      <c r="AI4698">
        <v>92.301381153119095</v>
      </c>
      <c r="AJ4698">
        <v>72.387077537561694</v>
      </c>
      <c r="AK4698">
        <v>27.922539585894501</v>
      </c>
      <c r="AL4698">
        <v>79.871140331466293</v>
      </c>
      <c r="AM4698">
        <v>80.618694270156595</v>
      </c>
      <c r="AN4698">
        <v>1.0000000320028299</v>
      </c>
    </row>
    <row r="4699" spans="1:40" x14ac:dyDescent="0.25">
      <c r="A4699" t="str">
        <f>"20190303170347394"</f>
        <v>20190303170347394</v>
      </c>
      <c r="B4699" t="str">
        <f>"1551603827380356"</f>
        <v>1551603827380356</v>
      </c>
      <c r="C4699" t="s">
        <v>40</v>
      </c>
      <c r="D4699">
        <v>4.2960409999999998</v>
      </c>
      <c r="E4699">
        <v>0.56145049999999996</v>
      </c>
      <c r="F4699" t="s">
        <v>90</v>
      </c>
      <c r="G4699">
        <v>-200.0849</v>
      </c>
      <c r="H4699" s="1">
        <v>-1.094356E-5</v>
      </c>
      <c r="I4699">
        <v>144.7039</v>
      </c>
      <c r="J4699">
        <v>-190.4624</v>
      </c>
      <c r="K4699">
        <v>1.1212439999999999</v>
      </c>
      <c r="L4699">
        <v>171.2705</v>
      </c>
      <c r="M4699">
        <v>-4.014798E-2</v>
      </c>
      <c r="N4699">
        <v>-1.340596E-2</v>
      </c>
      <c r="O4699">
        <v>-0.99910399999999999</v>
      </c>
      <c r="P4699">
        <v>-0.19936139999999999</v>
      </c>
      <c r="Q4699">
        <v>0.16293550000000001</v>
      </c>
      <c r="R4699">
        <v>-0.96628550000000002</v>
      </c>
      <c r="S4699">
        <v>-1.050262</v>
      </c>
      <c r="T4699">
        <v>-0.1223202</v>
      </c>
      <c r="U4699">
        <v>-2.909119</v>
      </c>
      <c r="V4699">
        <v>0.16067210000000001</v>
      </c>
      <c r="W4699">
        <v>0.17572599999999999</v>
      </c>
      <c r="X4699">
        <v>0.97123879999999996</v>
      </c>
      <c r="Y4699">
        <v>0.30131069999999999</v>
      </c>
      <c r="Z4699">
        <v>2.6425980000000002E-2</v>
      </c>
      <c r="AA4699">
        <v>0.95315970000000005</v>
      </c>
      <c r="AB4699">
        <v>18</v>
      </c>
      <c r="AC4699">
        <v>-9.6225000000000005</v>
      </c>
      <c r="AD4699">
        <v>-1.1212549435600001</v>
      </c>
      <c r="AE4699">
        <v>-26.566599999999902</v>
      </c>
      <c r="AF4699">
        <v>8.5346098949838591</v>
      </c>
      <c r="AG4699">
        <v>-1.1212549435600001</v>
      </c>
      <c r="AH4699">
        <v>26.889192573369002</v>
      </c>
      <c r="AI4699">
        <v>92.2760295194051</v>
      </c>
      <c r="AJ4699">
        <v>72.390600124925797</v>
      </c>
      <c r="AK4699">
        <v>28.233410278528801</v>
      </c>
      <c r="AL4699">
        <v>79.879090202088605</v>
      </c>
      <c r="AM4699">
        <v>80.606628595927603</v>
      </c>
      <c r="AN4699">
        <v>0.99999997870992396</v>
      </c>
    </row>
    <row r="4700" spans="1:40" x14ac:dyDescent="0.25">
      <c r="A4700" t="str">
        <f>"20190303170347406"</f>
        <v>20190303170347406</v>
      </c>
      <c r="B4700" t="str">
        <f>"1551603827399876"</f>
        <v>1551603827399876</v>
      </c>
      <c r="C4700" t="s">
        <v>40</v>
      </c>
      <c r="D4700">
        <v>4.3107559999999996</v>
      </c>
      <c r="E4700">
        <v>0.561644699999999</v>
      </c>
      <c r="F4700" t="s">
        <v>90</v>
      </c>
      <c r="G4700">
        <v>-200.1446</v>
      </c>
      <c r="H4700" s="1">
        <v>-1.087267E-5</v>
      </c>
      <c r="I4700">
        <v>144.55449999999999</v>
      </c>
      <c r="J4700">
        <v>-190.46719999999999</v>
      </c>
      <c r="K4700">
        <v>1.121248</v>
      </c>
      <c r="L4700">
        <v>171.1696</v>
      </c>
      <c r="M4700">
        <v>-4.0820849999999999E-2</v>
      </c>
      <c r="N4700">
        <v>-1.340502E-2</v>
      </c>
      <c r="O4700">
        <v>-0.99907679999999999</v>
      </c>
      <c r="P4700">
        <v>-0.2000866</v>
      </c>
      <c r="Q4700">
        <v>0.1626174</v>
      </c>
      <c r="R4700">
        <v>-0.96618910000000002</v>
      </c>
      <c r="S4700">
        <v>-1.0538479999999999</v>
      </c>
      <c r="T4700">
        <v>-0.122041</v>
      </c>
      <c r="U4700">
        <v>-2.9078520000000001</v>
      </c>
      <c r="V4700">
        <v>0.160744</v>
      </c>
      <c r="W4700">
        <v>0.1754077</v>
      </c>
      <c r="X4700">
        <v>0.97128440000000005</v>
      </c>
      <c r="Y4700">
        <v>0.30184129999999998</v>
      </c>
      <c r="Z4700">
        <v>2.6341349999999999E-2</v>
      </c>
      <c r="AA4700">
        <v>0.95299420000000001</v>
      </c>
      <c r="AB4700">
        <v>18</v>
      </c>
      <c r="AC4700">
        <v>-9.6774000000000004</v>
      </c>
      <c r="AD4700">
        <v>-1.1212588726699999</v>
      </c>
      <c r="AE4700">
        <v>-26.615100000000002</v>
      </c>
      <c r="AF4700">
        <v>8.5693507771745399</v>
      </c>
      <c r="AG4700">
        <v>-1.1212588726699999</v>
      </c>
      <c r="AH4700">
        <v>26.945747403824701</v>
      </c>
      <c r="AI4700">
        <v>92.270857498639501</v>
      </c>
      <c r="AJ4700">
        <v>72.358171371736503</v>
      </c>
      <c r="AK4700">
        <v>28.297779018017099</v>
      </c>
      <c r="AL4700">
        <v>79.897614795403996</v>
      </c>
      <c r="AM4700">
        <v>80.602933398938006</v>
      </c>
      <c r="AN4700">
        <v>0.99999994021932304</v>
      </c>
    </row>
    <row r="4701" spans="1:40" x14ac:dyDescent="0.25">
      <c r="A4701" t="str">
        <f>"20190303170347418"</f>
        <v>20190303170347418</v>
      </c>
      <c r="B4701" t="str">
        <f>"1551603827410611"</f>
        <v>1551603827410611</v>
      </c>
      <c r="C4701" t="s">
        <v>40</v>
      </c>
      <c r="D4701">
        <v>4.270473</v>
      </c>
      <c r="E4701">
        <v>0.56174230000000003</v>
      </c>
      <c r="F4701" t="s">
        <v>90</v>
      </c>
      <c r="G4701">
        <v>-200.17769999999999</v>
      </c>
      <c r="H4701" s="1">
        <v>-1.083601E-5</v>
      </c>
      <c r="I4701">
        <v>144.48070000000001</v>
      </c>
      <c r="J4701">
        <v>-190.47190000000001</v>
      </c>
      <c r="K4701">
        <v>1.121248</v>
      </c>
      <c r="L4701">
        <v>171.07259999999999</v>
      </c>
      <c r="M4701">
        <v>-4.146735E-2</v>
      </c>
      <c r="N4701">
        <v>-1.340411E-2</v>
      </c>
      <c r="O4701">
        <v>-0.99905010000000005</v>
      </c>
      <c r="P4701">
        <v>-0.20103209999999999</v>
      </c>
      <c r="Q4701">
        <v>0.16236400000000001</v>
      </c>
      <c r="R4701">
        <v>-0.96603530000000004</v>
      </c>
      <c r="S4701">
        <v>-1.05751</v>
      </c>
      <c r="T4701">
        <v>-0.1221093</v>
      </c>
      <c r="U4701">
        <v>-2.9065249999999998</v>
      </c>
      <c r="V4701">
        <v>0.16106429999999999</v>
      </c>
      <c r="W4701">
        <v>0.175152799999999</v>
      </c>
      <c r="X4701">
        <v>0.97127739999999996</v>
      </c>
      <c r="Y4701">
        <v>0.30242400000000003</v>
      </c>
      <c r="Z4701">
        <v>2.636966E-2</v>
      </c>
      <c r="AA4701">
        <v>0.95280869999999995</v>
      </c>
      <c r="AB4701">
        <v>18</v>
      </c>
      <c r="AC4701">
        <v>-9.7057999999999804</v>
      </c>
      <c r="AD4701">
        <v>-1.12125883601</v>
      </c>
      <c r="AE4701">
        <v>-26.5918999999999</v>
      </c>
      <c r="AF4701">
        <v>8.5811924625167695</v>
      </c>
      <c r="AG4701">
        <v>-1.12125883601</v>
      </c>
      <c r="AH4701">
        <v>26.9292832708731</v>
      </c>
      <c r="AI4701">
        <v>92.271828298329694</v>
      </c>
      <c r="AJ4701">
        <v>72.325179688684202</v>
      </c>
      <c r="AK4701">
        <v>28.285692194800699</v>
      </c>
      <c r="AL4701">
        <v>79.912449755882903</v>
      </c>
      <c r="AM4701">
        <v>80.584477035482905</v>
      </c>
      <c r="AN4701">
        <v>0.99999999991654398</v>
      </c>
    </row>
    <row r="4702" spans="1:40" x14ac:dyDescent="0.25">
      <c r="A4702" t="str">
        <f>"20190303170347431"</f>
        <v>20190303170347431</v>
      </c>
      <c r="B4702" t="str">
        <f>"1551603827420371"</f>
        <v>1551603827420371</v>
      </c>
      <c r="C4702" t="s">
        <v>40</v>
      </c>
      <c r="D4702">
        <v>4.3119129999999997</v>
      </c>
      <c r="E4702">
        <v>0.56182460000000001</v>
      </c>
      <c r="F4702" t="s">
        <v>90</v>
      </c>
      <c r="G4702">
        <v>-200.21369999999999</v>
      </c>
      <c r="H4702" s="1">
        <v>-1.079526E-5</v>
      </c>
      <c r="I4702">
        <v>144.3973</v>
      </c>
      <c r="J4702">
        <v>-190.4769</v>
      </c>
      <c r="K4702">
        <v>1.1212489999999999</v>
      </c>
      <c r="L4702">
        <v>170.9716</v>
      </c>
      <c r="M4702">
        <v>-4.2141150000000002E-2</v>
      </c>
      <c r="N4702">
        <v>-1.3403139999999999E-2</v>
      </c>
      <c r="O4702">
        <v>-0.99902190000000002</v>
      </c>
      <c r="P4702">
        <v>-0.2020333</v>
      </c>
      <c r="Q4702">
        <v>0.16186970000000001</v>
      </c>
      <c r="R4702">
        <v>-0.96590949999999998</v>
      </c>
      <c r="S4702">
        <v>-1.0609740000000001</v>
      </c>
      <c r="T4702">
        <v>-0.1221163</v>
      </c>
      <c r="U4702">
        <v>-2.9052120000000001</v>
      </c>
      <c r="V4702">
        <v>0.161412</v>
      </c>
      <c r="W4702">
        <v>0.17465839999999999</v>
      </c>
      <c r="X4702">
        <v>0.97130870000000002</v>
      </c>
      <c r="Y4702">
        <v>0.30292190000000002</v>
      </c>
      <c r="Z4702">
        <v>2.637888E-2</v>
      </c>
      <c r="AA4702">
        <v>0.9526502</v>
      </c>
      <c r="AB4702">
        <v>18</v>
      </c>
      <c r="AC4702">
        <v>-9.7367999999999792</v>
      </c>
      <c r="AD4702">
        <v>-1.1212597952600001</v>
      </c>
      <c r="AE4702">
        <v>-26.574299999999901</v>
      </c>
      <c r="AF4702">
        <v>8.5946869557753907</v>
      </c>
      <c r="AG4702">
        <v>-1.1212597952600001</v>
      </c>
      <c r="AH4702">
        <v>26.918794760197802</v>
      </c>
      <c r="AI4702">
        <v>92.272303421769493</v>
      </c>
      <c r="AJ4702">
        <v>72.292652615704796</v>
      </c>
      <c r="AK4702">
        <v>28.2798051396733</v>
      </c>
      <c r="AL4702">
        <v>79.941220186235398</v>
      </c>
      <c r="AM4702">
        <v>80.564814835885599</v>
      </c>
      <c r="AN4702">
        <v>0.99999999056512501</v>
      </c>
    </row>
    <row r="4703" spans="1:40" x14ac:dyDescent="0.25">
      <c r="A4703" t="str">
        <f>"20190303170347448"</f>
        <v>20190303170347448</v>
      </c>
      <c r="B4703" t="str">
        <f>"1551603827439891"</f>
        <v>1551603827439891</v>
      </c>
      <c r="C4703" t="s">
        <v>40</v>
      </c>
      <c r="D4703">
        <v>4.2810030000000001</v>
      </c>
      <c r="E4703">
        <v>0.56198000000000004</v>
      </c>
      <c r="F4703" t="s">
        <v>90</v>
      </c>
      <c r="G4703">
        <v>-200.14789999999999</v>
      </c>
      <c r="H4703" s="1">
        <v>-1.0882760000000001E-5</v>
      </c>
      <c r="I4703">
        <v>144.5933</v>
      </c>
      <c r="J4703">
        <v>-190.48390000000001</v>
      </c>
      <c r="K4703">
        <v>1.1212489999999999</v>
      </c>
      <c r="L4703">
        <v>170.83179999999999</v>
      </c>
      <c r="M4703">
        <v>-4.3073130000000001E-2</v>
      </c>
      <c r="N4703">
        <v>-1.3401679999999999E-2</v>
      </c>
      <c r="O4703">
        <v>-0.99898209999999998</v>
      </c>
      <c r="P4703">
        <v>-0.20379249999999999</v>
      </c>
      <c r="Q4703">
        <v>0.1616223</v>
      </c>
      <c r="R4703">
        <v>-0.96558109999999997</v>
      </c>
      <c r="S4703">
        <v>-1.0646359999999999</v>
      </c>
      <c r="T4703">
        <v>-0.1234353</v>
      </c>
      <c r="U4703">
        <v>-2.9038849999999998</v>
      </c>
      <c r="V4703">
        <v>0.16227449999999999</v>
      </c>
      <c r="W4703">
        <v>0.17440729999999999</v>
      </c>
      <c r="X4703">
        <v>0.97121009999999997</v>
      </c>
      <c r="Y4703">
        <v>0.30322779999999999</v>
      </c>
      <c r="Z4703">
        <v>2.6815240000000001E-2</v>
      </c>
      <c r="AA4703">
        <v>0.95254079999999997</v>
      </c>
      <c r="AB4703">
        <v>18</v>
      </c>
      <c r="AC4703">
        <v>-9.6639999999999802</v>
      </c>
      <c r="AD4703">
        <v>-1.12125988276</v>
      </c>
      <c r="AE4703">
        <v>-26.238499999999899</v>
      </c>
      <c r="AF4703">
        <v>8.5110678301329994</v>
      </c>
      <c r="AG4703">
        <v>-1.12125988276</v>
      </c>
      <c r="AH4703">
        <v>26.5876871331625</v>
      </c>
      <c r="AI4703">
        <v>92.300017397775306</v>
      </c>
      <c r="AJ4703">
        <v>72.249448624957395</v>
      </c>
      <c r="AK4703">
        <v>27.939230598295701</v>
      </c>
      <c r="AL4703">
        <v>79.955831403376095</v>
      </c>
      <c r="AM4703">
        <v>80.514366453938905</v>
      </c>
      <c r="AN4703">
        <v>0.99999998899277398</v>
      </c>
    </row>
    <row r="4704" spans="1:40" x14ac:dyDescent="0.25">
      <c r="A4704" t="str">
        <f>"20190303170347461"</f>
        <v>20190303170347461</v>
      </c>
      <c r="B4704" t="str">
        <f>"1551603827450627"</f>
        <v>1551603827450627</v>
      </c>
      <c r="C4704" t="s">
        <v>40</v>
      </c>
      <c r="D4704">
        <v>4.2707350000000002</v>
      </c>
      <c r="E4704">
        <v>0.56206140000000004</v>
      </c>
      <c r="F4704" t="s">
        <v>90</v>
      </c>
      <c r="G4704">
        <v>-200.17859999999999</v>
      </c>
      <c r="H4704" s="1">
        <v>-1.0861159999999999E-5</v>
      </c>
      <c r="I4704">
        <v>144.56649999999999</v>
      </c>
      <c r="J4704">
        <v>-190.48949999999999</v>
      </c>
      <c r="K4704">
        <v>1.121251</v>
      </c>
      <c r="L4704">
        <v>170.72329999999999</v>
      </c>
      <c r="M4704">
        <v>-4.3796540000000002E-2</v>
      </c>
      <c r="N4704">
        <v>-1.3400570000000001E-2</v>
      </c>
      <c r="O4704">
        <v>-0.99895069999999997</v>
      </c>
      <c r="P4704">
        <v>-0.20496130000000001</v>
      </c>
      <c r="Q4704">
        <v>0.16186889999999901</v>
      </c>
      <c r="R4704">
        <v>-0.96529229999999999</v>
      </c>
      <c r="S4704">
        <v>-1.070999</v>
      </c>
      <c r="T4704">
        <v>-0.123868699999999</v>
      </c>
      <c r="U4704">
        <v>-2.9015960000000001</v>
      </c>
      <c r="V4704">
        <v>0.162749799999999</v>
      </c>
      <c r="W4704">
        <v>0.1746509</v>
      </c>
      <c r="X4704">
        <v>0.97108680000000003</v>
      </c>
      <c r="Y4704">
        <v>0.30461779999999999</v>
      </c>
      <c r="Z4704">
        <v>2.6963310000000001E-2</v>
      </c>
      <c r="AA4704">
        <v>0.95209290000000002</v>
      </c>
      <c r="AB4704">
        <v>18</v>
      </c>
      <c r="AC4704">
        <v>-9.6890999999999892</v>
      </c>
      <c r="AD4704">
        <v>-1.12126186116</v>
      </c>
      <c r="AE4704">
        <v>-26.1568</v>
      </c>
      <c r="AF4704">
        <v>8.5203536047617305</v>
      </c>
      <c r="AG4704">
        <v>-1.12126186116</v>
      </c>
      <c r="AH4704">
        <v>26.513242815127398</v>
      </c>
      <c r="AI4704">
        <v>92.305635757228501</v>
      </c>
      <c r="AJ4704">
        <v>72.184558707170694</v>
      </c>
      <c r="AK4704">
        <v>27.871234244026098</v>
      </c>
      <c r="AL4704">
        <v>79.941656746080895</v>
      </c>
      <c r="AM4704">
        <v>80.485904430068203</v>
      </c>
      <c r="AN4704">
        <v>1.0000000037025401</v>
      </c>
    </row>
    <row r="4705" spans="1:40" x14ac:dyDescent="0.25">
      <c r="A4705" t="str">
        <f>"20190303170347480"</f>
        <v>20190303170347480</v>
      </c>
      <c r="B4705" t="str">
        <f>"1551603827470147"</f>
        <v>1551603827470147</v>
      </c>
      <c r="C4705" t="s">
        <v>40</v>
      </c>
      <c r="D4705">
        <v>4.2834250000000003</v>
      </c>
      <c r="E4705">
        <v>0.56218579999999996</v>
      </c>
      <c r="F4705" t="s">
        <v>90</v>
      </c>
      <c r="G4705">
        <v>-200.31309999999999</v>
      </c>
      <c r="H4705" s="1">
        <v>-1.069895E-5</v>
      </c>
      <c r="I4705">
        <v>144.2217</v>
      </c>
      <c r="J4705">
        <v>-190.49770000000001</v>
      </c>
      <c r="K4705">
        <v>1.121254</v>
      </c>
      <c r="L4705">
        <v>170.56469999999999</v>
      </c>
      <c r="M4705">
        <v>-4.4854239999999997E-2</v>
      </c>
      <c r="N4705">
        <v>-1.3399019999999999E-2</v>
      </c>
      <c r="O4705">
        <v>-0.99890389999999996</v>
      </c>
      <c r="P4705">
        <v>-0.20657629999999999</v>
      </c>
      <c r="Q4705">
        <v>0.16238659999999999</v>
      </c>
      <c r="R4705">
        <v>-0.96486139999999998</v>
      </c>
      <c r="S4705">
        <v>-1.075043</v>
      </c>
      <c r="T4705">
        <v>-0.12270490000000001</v>
      </c>
      <c r="U4705">
        <v>-2.9001920000000001</v>
      </c>
      <c r="V4705">
        <v>0.16335189999999999</v>
      </c>
      <c r="W4705">
        <v>0.17516409999999999</v>
      </c>
      <c r="X4705">
        <v>0.97089329999999996</v>
      </c>
      <c r="Y4705">
        <v>0.3049308</v>
      </c>
      <c r="Z4705">
        <v>2.6593889999999999E-2</v>
      </c>
      <c r="AA4705">
        <v>0.95200309999999999</v>
      </c>
      <c r="AB4705">
        <v>18</v>
      </c>
      <c r="AC4705">
        <v>-9.8153999999999808</v>
      </c>
      <c r="AD4705">
        <v>-1.1212646989499999</v>
      </c>
      <c r="AE4705">
        <v>-26.3429999999999</v>
      </c>
      <c r="AF4705">
        <v>8.6101210446886203</v>
      </c>
      <c r="AG4705">
        <v>-1.1212646989499999</v>
      </c>
      <c r="AH4705">
        <v>26.714285694790899</v>
      </c>
      <c r="AI4705">
        <v>92.287680856447096</v>
      </c>
      <c r="AJ4705">
        <v>72.135661412814301</v>
      </c>
      <c r="AK4705">
        <v>28.089935548381199</v>
      </c>
      <c r="AL4705">
        <v>79.911792683885906</v>
      </c>
      <c r="AM4705">
        <v>80.449485567257298</v>
      </c>
      <c r="AN4705">
        <v>1.0000000525736501</v>
      </c>
    </row>
    <row r="4706" spans="1:40" x14ac:dyDescent="0.25">
      <c r="A4706" t="str">
        <f>"20190303170347493"</f>
        <v>20190303170347493</v>
      </c>
      <c r="B4706" t="str">
        <f>"1551603827479907"</f>
        <v>1551603827479907</v>
      </c>
      <c r="C4706" t="s">
        <v>40</v>
      </c>
      <c r="D4706">
        <v>4.2696069999999997</v>
      </c>
      <c r="E4706">
        <v>0.56226519999999902</v>
      </c>
      <c r="F4706" t="s">
        <v>90</v>
      </c>
      <c r="G4706">
        <v>-200.55170000000001</v>
      </c>
      <c r="H4706" s="1">
        <v>-1.041321E-5</v>
      </c>
      <c r="I4706">
        <v>143.61680000000001</v>
      </c>
      <c r="J4706">
        <v>-190.50309999999999</v>
      </c>
      <c r="K4706">
        <v>1.121254</v>
      </c>
      <c r="L4706">
        <v>170.46099999999899</v>
      </c>
      <c r="M4706">
        <v>-4.5546049999999998E-2</v>
      </c>
      <c r="N4706">
        <v>-1.339802E-2</v>
      </c>
      <c r="O4706">
        <v>-0.9988726</v>
      </c>
      <c r="P4706">
        <v>-0.2074743</v>
      </c>
      <c r="Q4706">
        <v>0.16237079999999901</v>
      </c>
      <c r="R4706">
        <v>-0.96467130000000001</v>
      </c>
      <c r="S4706">
        <v>-1.0812379999999999</v>
      </c>
      <c r="T4706">
        <v>-0.1205847</v>
      </c>
      <c r="U4706">
        <v>-2.8980709999999998</v>
      </c>
      <c r="V4706">
        <v>0.16358320000000001</v>
      </c>
      <c r="W4706">
        <v>0.1751472</v>
      </c>
      <c r="X4706">
        <v>0.97085739999999998</v>
      </c>
      <c r="Y4706">
        <v>0.30629269999999997</v>
      </c>
      <c r="Z4706">
        <v>2.591102E-2</v>
      </c>
      <c r="AA4706">
        <v>0.95158469999999995</v>
      </c>
      <c r="AB4706">
        <v>18</v>
      </c>
      <c r="AC4706">
        <v>-10.0486</v>
      </c>
      <c r="AD4706">
        <v>-1.12126441321</v>
      </c>
      <c r="AE4706">
        <v>-26.844199999999901</v>
      </c>
      <c r="AF4706">
        <v>8.8019441234789308</v>
      </c>
      <c r="AG4706">
        <v>-1.12126441321</v>
      </c>
      <c r="AH4706">
        <v>27.232379759837698</v>
      </c>
      <c r="AI4706">
        <v>92.243604591427399</v>
      </c>
      <c r="AJ4706">
        <v>72.088331175903406</v>
      </c>
      <c r="AK4706">
        <v>28.641472755799299</v>
      </c>
      <c r="AL4706">
        <v>79.912776140736597</v>
      </c>
      <c r="AM4706">
        <v>80.435864915286402</v>
      </c>
      <c r="AN4706">
        <v>1.0000000480624101</v>
      </c>
    </row>
    <row r="4707" spans="1:40" x14ac:dyDescent="0.25">
      <c r="A4707" t="str">
        <f>"20190303170347505"</f>
        <v>20190303170347505</v>
      </c>
      <c r="B4707" t="str">
        <f>"1551603827490644"</f>
        <v>1551603827490644</v>
      </c>
      <c r="C4707" t="s">
        <v>40</v>
      </c>
      <c r="D4707">
        <v>4.2629869999999999</v>
      </c>
      <c r="E4707">
        <v>0.56232130000000002</v>
      </c>
      <c r="F4707" t="s">
        <v>90</v>
      </c>
      <c r="G4707">
        <v>-200.63659999999999</v>
      </c>
      <c r="H4707" s="1">
        <v>-1.0311350000000001E-5</v>
      </c>
      <c r="I4707">
        <v>143.40110000000001</v>
      </c>
      <c r="J4707">
        <v>-190.50810000000001</v>
      </c>
      <c r="K4707">
        <v>1.1212580000000001</v>
      </c>
      <c r="L4707">
        <v>170.36930000000001</v>
      </c>
      <c r="M4707">
        <v>-4.6157759999999999E-2</v>
      </c>
      <c r="N4707">
        <v>-1.33972E-2</v>
      </c>
      <c r="O4707">
        <v>-0.99884450000000002</v>
      </c>
      <c r="P4707">
        <v>-0.20869940000000001</v>
      </c>
      <c r="Q4707">
        <v>0.161920799999999</v>
      </c>
      <c r="R4707">
        <v>-0.96448250000000002</v>
      </c>
      <c r="S4707">
        <v>-1.084778</v>
      </c>
      <c r="T4707">
        <v>-0.1200305</v>
      </c>
      <c r="U4707">
        <v>-2.896744</v>
      </c>
      <c r="V4707">
        <v>0.1642187</v>
      </c>
      <c r="W4707">
        <v>0.17469509999999999</v>
      </c>
      <c r="X4707">
        <v>0.97083149999999996</v>
      </c>
      <c r="Y4707">
        <v>0.30687449999999999</v>
      </c>
      <c r="Z4707">
        <v>2.5737019999999999E-2</v>
      </c>
      <c r="AA4707">
        <v>0.95140190000000002</v>
      </c>
      <c r="AB4707">
        <v>18</v>
      </c>
      <c r="AC4707">
        <v>-10.128499999999899</v>
      </c>
      <c r="AD4707">
        <v>-1.1212683113499999</v>
      </c>
      <c r="AE4707">
        <v>-26.9682</v>
      </c>
      <c r="AF4707">
        <v>8.8593776845250805</v>
      </c>
      <c r="AG4707">
        <v>-1.1212683113499999</v>
      </c>
      <c r="AH4707">
        <v>27.365543442043901</v>
      </c>
      <c r="AI4707">
        <v>92.232362298188406</v>
      </c>
      <c r="AJ4707">
        <v>72.061051012541597</v>
      </c>
      <c r="AK4707">
        <v>28.785739237710899</v>
      </c>
      <c r="AL4707">
        <v>79.939084494815901</v>
      </c>
      <c r="AM4707">
        <v>80.399148387209493</v>
      </c>
      <c r="AN4707">
        <v>0.999999980392974</v>
      </c>
    </row>
    <row r="4708" spans="1:40" x14ac:dyDescent="0.25">
      <c r="A4708" t="str">
        <f>"20190303170347516"</f>
        <v>20190303170347516</v>
      </c>
      <c r="B4708" t="str">
        <f>"1551603827510163"</f>
        <v>1551603827510163</v>
      </c>
      <c r="C4708" t="s">
        <v>40</v>
      </c>
      <c r="D4708">
        <v>4.2716570000000003</v>
      </c>
      <c r="E4708">
        <v>0.56248679999999995</v>
      </c>
      <c r="F4708" t="s">
        <v>90</v>
      </c>
      <c r="G4708">
        <v>-200.5813</v>
      </c>
      <c r="H4708" s="1">
        <v>-1.039113E-5</v>
      </c>
      <c r="I4708">
        <v>143.58680000000001</v>
      </c>
      <c r="J4708">
        <v>-190.51349999999999</v>
      </c>
      <c r="K4708">
        <v>1.1212580000000001</v>
      </c>
      <c r="L4708">
        <v>170.2689</v>
      </c>
      <c r="M4708">
        <v>-4.6827430000000003E-2</v>
      </c>
      <c r="N4708">
        <v>-1.33963E-2</v>
      </c>
      <c r="O4708">
        <v>-0.99881330000000002</v>
      </c>
      <c r="P4708">
        <v>-0.20977000000000001</v>
      </c>
      <c r="Q4708">
        <v>0.16176479999999999</v>
      </c>
      <c r="R4708">
        <v>-0.96427649999999998</v>
      </c>
      <c r="S4708">
        <v>-1.0889279999999999</v>
      </c>
      <c r="T4708">
        <v>-0.1212109</v>
      </c>
      <c r="U4708">
        <v>-2.8952330000000002</v>
      </c>
      <c r="V4708">
        <v>0.1646445</v>
      </c>
      <c r="W4708">
        <v>0.17453729999999901</v>
      </c>
      <c r="X4708">
        <v>0.97078779999999998</v>
      </c>
      <c r="Y4708">
        <v>0.30759029999999998</v>
      </c>
      <c r="Z4708">
        <v>2.612631E-2</v>
      </c>
      <c r="AA4708">
        <v>0.95116009999999995</v>
      </c>
      <c r="AB4708">
        <v>18</v>
      </c>
      <c r="AC4708">
        <v>-10.0678</v>
      </c>
      <c r="AD4708">
        <v>-1.1212683911299901</v>
      </c>
      <c r="AE4708">
        <v>-26.682099999999899</v>
      </c>
      <c r="AF4708">
        <v>8.7935937666368602</v>
      </c>
      <c r="AG4708">
        <v>-1.1212683911299901</v>
      </c>
      <c r="AH4708">
        <v>27.0824500163606</v>
      </c>
      <c r="AI4708">
        <v>92.255042122015297</v>
      </c>
      <c r="AJ4708">
        <v>72.011535194181903</v>
      </c>
      <c r="AK4708">
        <v>28.4963792967852</v>
      </c>
      <c r="AL4708">
        <v>79.948267208535995</v>
      </c>
      <c r="AM4708">
        <v>80.374294462398893</v>
      </c>
      <c r="AN4708">
        <v>1.0000000165501799</v>
      </c>
    </row>
    <row r="4709" spans="1:40" x14ac:dyDescent="0.25">
      <c r="A4709" t="str">
        <f>"20190303170347529"</f>
        <v>20190303170347529</v>
      </c>
      <c r="B4709" t="str">
        <f>"1551603827519924"</f>
        <v>1551603827519924</v>
      </c>
      <c r="C4709" t="s">
        <v>40</v>
      </c>
      <c r="D4709">
        <v>4.2514960000000004</v>
      </c>
      <c r="E4709">
        <v>0.56257270000000004</v>
      </c>
      <c r="F4709" t="s">
        <v>90</v>
      </c>
      <c r="G4709">
        <v>-200.6002</v>
      </c>
      <c r="H4709" s="1">
        <v>-1.0378160000000001E-5</v>
      </c>
      <c r="I4709">
        <v>143.57140000000001</v>
      </c>
      <c r="J4709">
        <v>-190.51929999999999</v>
      </c>
      <c r="K4709">
        <v>1.1212580000000001</v>
      </c>
      <c r="L4709">
        <v>170.16239999999999</v>
      </c>
      <c r="M4709">
        <v>-4.7537929999999999E-2</v>
      </c>
      <c r="N4709">
        <v>-1.339532E-2</v>
      </c>
      <c r="O4709">
        <v>-0.9987798</v>
      </c>
      <c r="P4709">
        <v>-0.21100820000000001</v>
      </c>
      <c r="Q4709">
        <v>0.16127339999999901</v>
      </c>
      <c r="R4709">
        <v>-0.96408859999999996</v>
      </c>
      <c r="S4709">
        <v>-1.0932919999999999</v>
      </c>
      <c r="T4709">
        <v>-0.121533</v>
      </c>
      <c r="U4709">
        <v>-2.893707</v>
      </c>
      <c r="V4709">
        <v>0.16519679999999901</v>
      </c>
      <c r="W4709">
        <v>0.1740448</v>
      </c>
      <c r="X4709">
        <v>0.97078240000000005</v>
      </c>
      <c r="Y4709">
        <v>0.30833300000000002</v>
      </c>
      <c r="Z4709">
        <v>2.623648E-2</v>
      </c>
      <c r="AA4709">
        <v>0.9509166</v>
      </c>
      <c r="AB4709">
        <v>18</v>
      </c>
      <c r="AC4709">
        <v>-10.0809</v>
      </c>
      <c r="AD4709">
        <v>-1.1212683781599999</v>
      </c>
      <c r="AE4709">
        <v>-26.590999999999902</v>
      </c>
      <c r="AF4709">
        <v>8.7916387537884599</v>
      </c>
      <c r="AG4709">
        <v>-1.1212683781599999</v>
      </c>
      <c r="AH4709">
        <v>26.998227345753001</v>
      </c>
      <c r="AI4709">
        <v>92.261444646030697</v>
      </c>
      <c r="AJ4709">
        <v>71.962801307018793</v>
      </c>
      <c r="AK4709">
        <v>28.415742724165099</v>
      </c>
      <c r="AL4709">
        <v>79.976924046959994</v>
      </c>
      <c r="AM4709">
        <v>80.342559438106306</v>
      </c>
      <c r="AN4709">
        <v>1.0000000216435101</v>
      </c>
    </row>
    <row r="4710" spans="1:40" x14ac:dyDescent="0.25">
      <c r="A4710" t="str">
        <f>"20190303170347542"</f>
        <v>20190303170347542</v>
      </c>
      <c r="B4710" t="str">
        <f>"1551603827530660"</f>
        <v>1551603827530660</v>
      </c>
      <c r="C4710" t="s">
        <v>40</v>
      </c>
      <c r="D4710">
        <v>4.2813689999999998</v>
      </c>
      <c r="E4710">
        <v>0.56264530000000001</v>
      </c>
      <c r="F4710" t="s">
        <v>90</v>
      </c>
      <c r="G4710">
        <v>-200.53819999999999</v>
      </c>
      <c r="H4710" s="1">
        <v>-1.046323E-5</v>
      </c>
      <c r="I4710">
        <v>143.76499999999999</v>
      </c>
      <c r="J4710">
        <v>-190.52449999999999</v>
      </c>
      <c r="K4710">
        <v>1.1212569999999999</v>
      </c>
      <c r="L4710">
        <v>170.06790000000001</v>
      </c>
      <c r="M4710">
        <v>-4.816848E-2</v>
      </c>
      <c r="N4710">
        <v>-1.3394430000000001E-2</v>
      </c>
      <c r="O4710">
        <v>-0.99874949999999996</v>
      </c>
      <c r="P4710">
        <v>-0.21190629999999999</v>
      </c>
      <c r="Q4710">
        <v>0.1611795</v>
      </c>
      <c r="R4710">
        <v>-0.96390690000000001</v>
      </c>
      <c r="S4710">
        <v>-1.097656</v>
      </c>
      <c r="T4710">
        <v>-0.1228443</v>
      </c>
      <c r="U4710">
        <v>-2.8920590000000002</v>
      </c>
      <c r="V4710">
        <v>0.16548769999999999</v>
      </c>
      <c r="W4710">
        <v>0.1739494</v>
      </c>
      <c r="X4710">
        <v>0.97074990000000005</v>
      </c>
      <c r="Y4710">
        <v>0.30916120000000002</v>
      </c>
      <c r="Z4710">
        <v>2.666876E-2</v>
      </c>
      <c r="AA4710">
        <v>0.95063569999999997</v>
      </c>
      <c r="AB4710">
        <v>18</v>
      </c>
      <c r="AC4710">
        <v>-10.0137</v>
      </c>
      <c r="AD4710">
        <v>-1.1212674632299999</v>
      </c>
      <c r="AE4710">
        <v>-26.302900000000001</v>
      </c>
      <c r="AF4710">
        <v>8.7211478640263493</v>
      </c>
      <c r="AG4710">
        <v>-1.1212674632299999</v>
      </c>
      <c r="AH4710">
        <v>26.712353104624299</v>
      </c>
      <c r="AI4710">
        <v>92.285049851286303</v>
      </c>
      <c r="AJ4710">
        <v>71.918983575296295</v>
      </c>
      <c r="AK4710">
        <v>28.122330436442098</v>
      </c>
      <c r="AL4710">
        <v>79.982474215652104</v>
      </c>
      <c r="AM4710">
        <v>80.325556702420101</v>
      </c>
      <c r="AN4710">
        <v>0.999999970480829</v>
      </c>
    </row>
    <row r="4711" spans="1:40" x14ac:dyDescent="0.25">
      <c r="A4711" t="str">
        <f>"20190303170347554"</f>
        <v>20190303170347554</v>
      </c>
      <c r="B4711" t="str">
        <f>"1551603827540419"</f>
        <v>1551603827540419</v>
      </c>
      <c r="C4711" t="s">
        <v>40</v>
      </c>
      <c r="D4711">
        <v>4.2423789999999997</v>
      </c>
      <c r="E4711">
        <v>0.56269380000000002</v>
      </c>
      <c r="F4711" t="s">
        <v>90</v>
      </c>
      <c r="G4711">
        <v>-200.5626</v>
      </c>
      <c r="H4711" s="1">
        <v>-1.0435339999999999E-5</v>
      </c>
      <c r="I4711">
        <v>143.70750000000001</v>
      </c>
      <c r="J4711">
        <v>-190.53030000000001</v>
      </c>
      <c r="K4711">
        <v>1.1212580000000001</v>
      </c>
      <c r="L4711">
        <v>169.96469999999999</v>
      </c>
      <c r="M4711">
        <v>-4.8857629999999999E-2</v>
      </c>
      <c r="N4711">
        <v>-1.339342E-2</v>
      </c>
      <c r="O4711">
        <v>-0.9987161</v>
      </c>
      <c r="P4711">
        <v>-0.21297269999999999</v>
      </c>
      <c r="Q4711">
        <v>0.16093729999999901</v>
      </c>
      <c r="R4711">
        <v>-0.96371240000000002</v>
      </c>
      <c r="S4711">
        <v>-1.1008450000000001</v>
      </c>
      <c r="T4711">
        <v>-0.1229666</v>
      </c>
      <c r="U4711">
        <v>-2.8908839999999998</v>
      </c>
      <c r="V4711">
        <v>0.16589010000000001</v>
      </c>
      <c r="W4711">
        <v>0.17370569999999999</v>
      </c>
      <c r="X4711">
        <v>0.9707249</v>
      </c>
      <c r="Y4711">
        <v>0.30954880000000001</v>
      </c>
      <c r="Z4711">
        <v>2.671449E-2</v>
      </c>
      <c r="AA4711">
        <v>0.95050820000000003</v>
      </c>
      <c r="AB4711">
        <v>18</v>
      </c>
      <c r="AC4711">
        <v>-10.0322999999999</v>
      </c>
      <c r="AD4711">
        <v>-1.12126843534</v>
      </c>
      <c r="AE4711">
        <v>-26.257199999999902</v>
      </c>
      <c r="AF4711">
        <v>8.7234559833075807</v>
      </c>
      <c r="AG4711">
        <v>-1.12126843534</v>
      </c>
      <c r="AH4711">
        <v>26.673590200048199</v>
      </c>
      <c r="AI4711">
        <v>92.287990432408606</v>
      </c>
      <c r="AJ4711">
        <v>71.889942194502098</v>
      </c>
      <c r="AK4711">
        <v>28.0862304583029</v>
      </c>
      <c r="AL4711">
        <v>79.9966534893111</v>
      </c>
      <c r="AM4711">
        <v>80.302233486093499</v>
      </c>
      <c r="AN4711">
        <v>1.00000001348525</v>
      </c>
    </row>
    <row r="4712" spans="1:40" x14ac:dyDescent="0.25">
      <c r="A4712" t="str">
        <f>"20190303170347568"</f>
        <v>20190303170347568</v>
      </c>
      <c r="B4712" t="str">
        <f>"1551603827559939"</f>
        <v>1551603827559939</v>
      </c>
      <c r="C4712" t="s">
        <v>40</v>
      </c>
      <c r="D4712">
        <v>4.222404</v>
      </c>
      <c r="E4712">
        <v>0.56282259999999995</v>
      </c>
      <c r="F4712" t="s">
        <v>90</v>
      </c>
      <c r="G4712">
        <v>-200.55260000000001</v>
      </c>
      <c r="H4712" s="1">
        <v>-1.044891E-5</v>
      </c>
      <c r="I4712">
        <v>143.73830000000001</v>
      </c>
      <c r="J4712">
        <v>-190.53720000000001</v>
      </c>
      <c r="K4712">
        <v>1.1212580000000001</v>
      </c>
      <c r="L4712">
        <v>169.84350000000001</v>
      </c>
      <c r="M4712">
        <v>-4.9666439999999999E-2</v>
      </c>
      <c r="N4712">
        <v>-1.339225E-2</v>
      </c>
      <c r="O4712">
        <v>-0.99867600000000001</v>
      </c>
      <c r="P4712">
        <v>-0.2143369</v>
      </c>
      <c r="Q4712">
        <v>0.1616059</v>
      </c>
      <c r="R4712">
        <v>-0.96329810000000005</v>
      </c>
      <c r="S4712">
        <v>-1.104233</v>
      </c>
      <c r="T4712">
        <v>-0.1235386</v>
      </c>
      <c r="U4712">
        <v>-2.8895569999999999</v>
      </c>
      <c r="V4712">
        <v>0.16648560000000001</v>
      </c>
      <c r="W4712">
        <v>0.1743702</v>
      </c>
      <c r="X4712">
        <v>0.97050380000000003</v>
      </c>
      <c r="Y4712">
        <v>0.30989420000000001</v>
      </c>
      <c r="Z4712">
        <v>2.6908109999999999E-2</v>
      </c>
      <c r="AA4712">
        <v>0.95039019999999996</v>
      </c>
      <c r="AB4712">
        <v>18</v>
      </c>
      <c r="AC4712">
        <v>-10.0154</v>
      </c>
      <c r="AD4712">
        <v>-1.12126844891</v>
      </c>
      <c r="AE4712">
        <v>-26.1052</v>
      </c>
      <c r="AF4712">
        <v>8.6923899029126304</v>
      </c>
      <c r="AG4712">
        <v>-1.12126844891</v>
      </c>
      <c r="AH4712">
        <v>26.527789743406501</v>
      </c>
      <c r="AI4712">
        <v>92.300126511150495</v>
      </c>
      <c r="AJ4712">
        <v>71.857525602090703</v>
      </c>
      <c r="AK4712">
        <v>27.938119368152901</v>
      </c>
      <c r="AL4712">
        <v>79.957990508131402</v>
      </c>
      <c r="AM4712">
        <v>80.265911008983394</v>
      </c>
      <c r="AN4712">
        <v>1.00000002373491</v>
      </c>
    </row>
    <row r="4713" spans="1:40" x14ac:dyDescent="0.25">
      <c r="A4713" t="str">
        <f>"20190303170347582"</f>
        <v>20190303170347582</v>
      </c>
      <c r="B4713" t="str">
        <f>"1551603827570675"</f>
        <v>1551603827570675</v>
      </c>
      <c r="C4713" t="s">
        <v>40</v>
      </c>
      <c r="D4713">
        <v>4.2353860000000001</v>
      </c>
      <c r="E4713">
        <v>0.562888099999999</v>
      </c>
      <c r="F4713" t="s">
        <v>90</v>
      </c>
      <c r="G4713">
        <v>-200.81319999999999</v>
      </c>
      <c r="H4713" s="1">
        <v>-1.014243E-5</v>
      </c>
      <c r="I4713">
        <v>143.09649999999999</v>
      </c>
      <c r="J4713">
        <v>-190.54320000000001</v>
      </c>
      <c r="K4713">
        <v>1.1212610000000001</v>
      </c>
      <c r="L4713">
        <v>169.7396</v>
      </c>
      <c r="M4713">
        <v>-5.0359309999999997E-2</v>
      </c>
      <c r="N4713">
        <v>-1.339127E-2</v>
      </c>
      <c r="O4713">
        <v>-0.99864169999999997</v>
      </c>
      <c r="P4713">
        <v>-0.21525259999999999</v>
      </c>
      <c r="Q4713">
        <v>0.16193440000000001</v>
      </c>
      <c r="R4713">
        <v>-0.96303899999999998</v>
      </c>
      <c r="S4713">
        <v>-1.109451</v>
      </c>
      <c r="T4713">
        <v>-0.1210585</v>
      </c>
      <c r="U4713">
        <v>-2.887756</v>
      </c>
      <c r="V4713">
        <v>0.16673829999999901</v>
      </c>
      <c r="W4713">
        <v>0.17469599999999999</v>
      </c>
      <c r="X4713">
        <v>0.97040179999999998</v>
      </c>
      <c r="Y4713">
        <v>0.3109384</v>
      </c>
      <c r="Z4713">
        <v>2.610751E-2</v>
      </c>
      <c r="AA4713">
        <v>0.95007149999999996</v>
      </c>
      <c r="AB4713">
        <v>18</v>
      </c>
      <c r="AC4713">
        <v>-10.2699999999999</v>
      </c>
      <c r="AD4713">
        <v>-1.1212711424299999</v>
      </c>
      <c r="AE4713">
        <v>-26.6431</v>
      </c>
      <c r="AF4713">
        <v>8.9013926085980994</v>
      </c>
      <c r="AG4713">
        <v>-1.1212711424299999</v>
      </c>
      <c r="AH4713">
        <v>27.0847594312742</v>
      </c>
      <c r="AI4713">
        <v>92.252229224755197</v>
      </c>
      <c r="AJ4713">
        <v>71.806917162999</v>
      </c>
      <c r="AK4713">
        <v>28.532021183176798</v>
      </c>
      <c r="AL4713">
        <v>79.939032355861102</v>
      </c>
      <c r="AM4713">
        <v>80.250414405719496</v>
      </c>
      <c r="AN4713">
        <v>1.00000000327306</v>
      </c>
    </row>
    <row r="4714" spans="1:40" x14ac:dyDescent="0.25">
      <c r="A4714" t="str">
        <f>"20190303170347596"</f>
        <v>20190303170347596</v>
      </c>
      <c r="B4714" t="str">
        <f>"1551603827580435"</f>
        <v>1551603827580435</v>
      </c>
      <c r="C4714" t="s">
        <v>40</v>
      </c>
      <c r="D4714">
        <v>4.2379360000000004</v>
      </c>
      <c r="E4714">
        <v>0.56296579999999996</v>
      </c>
      <c r="F4714" t="s">
        <v>90</v>
      </c>
      <c r="G4714">
        <v>-200.93270000000001</v>
      </c>
      <c r="H4714" s="1">
        <v>-9.9949970000000001E-6</v>
      </c>
      <c r="I4714">
        <v>142.779</v>
      </c>
      <c r="J4714">
        <v>-190.5496</v>
      </c>
      <c r="K4714">
        <v>1.121264</v>
      </c>
      <c r="L4714">
        <v>169.62960000000001</v>
      </c>
      <c r="M4714">
        <v>-5.1093159999999999E-2</v>
      </c>
      <c r="N4714">
        <v>-1.3390269999999999E-2</v>
      </c>
      <c r="O4714">
        <v>-0.99860420000000005</v>
      </c>
      <c r="P4714">
        <v>-0.216557</v>
      </c>
      <c r="Q4714">
        <v>0.16228919999999999</v>
      </c>
      <c r="R4714">
        <v>-0.96268659999999995</v>
      </c>
      <c r="S4714">
        <v>-1.112411</v>
      </c>
      <c r="T4714">
        <v>-0.1200558</v>
      </c>
      <c r="U4714">
        <v>-2.8867029999999998</v>
      </c>
      <c r="V4714">
        <v>0.1673444</v>
      </c>
      <c r="W4714">
        <v>0.17504719999999999</v>
      </c>
      <c r="X4714">
        <v>0.97023419999999905</v>
      </c>
      <c r="Y4714">
        <v>0.31120809999999999</v>
      </c>
      <c r="Z4714">
        <v>2.5787330000000001E-2</v>
      </c>
      <c r="AA4714">
        <v>0.9499919</v>
      </c>
      <c r="AB4714">
        <v>18</v>
      </c>
      <c r="AC4714">
        <v>-10.383100000000001</v>
      </c>
      <c r="AD4714">
        <v>-1.1212739949969901</v>
      </c>
      <c r="AE4714">
        <v>-26.8506</v>
      </c>
      <c r="AF4714">
        <v>8.9839024060697206</v>
      </c>
      <c r="AG4714">
        <v>-1.1212739949969901</v>
      </c>
      <c r="AH4714">
        <v>27.304654971236999</v>
      </c>
      <c r="AI4714">
        <v>92.233866838175004</v>
      </c>
      <c r="AJ4714">
        <v>71.787524108550798</v>
      </c>
      <c r="AK4714">
        <v>28.766507276900001</v>
      </c>
      <c r="AL4714">
        <v>79.918595506387504</v>
      </c>
      <c r="AM4714">
        <v>80.214000600568696</v>
      </c>
      <c r="AN4714">
        <v>1.00000003664441</v>
      </c>
    </row>
    <row r="4715" spans="1:40" x14ac:dyDescent="0.25">
      <c r="A4715" t="str">
        <f>"20190303170347607"</f>
        <v>20190303170347607</v>
      </c>
      <c r="B4715" t="str">
        <f>"1551603827599955"</f>
        <v>1551603827599955</v>
      </c>
      <c r="C4715" t="s">
        <v>40</v>
      </c>
      <c r="D4715">
        <v>4.2240549999999999</v>
      </c>
      <c r="E4715">
        <v>0.56308819999999904</v>
      </c>
      <c r="F4715" t="s">
        <v>90</v>
      </c>
      <c r="G4715">
        <v>-201.08670000000001</v>
      </c>
      <c r="H4715" s="1">
        <v>-9.8169489999999998E-6</v>
      </c>
      <c r="I4715">
        <v>142.4102</v>
      </c>
      <c r="J4715">
        <v>-190.55600000000001</v>
      </c>
      <c r="K4715">
        <v>1.1212679999999999</v>
      </c>
      <c r="L4715">
        <v>169.5222</v>
      </c>
      <c r="M4715">
        <v>-5.181036E-2</v>
      </c>
      <c r="N4715">
        <v>-1.338919E-2</v>
      </c>
      <c r="O4715">
        <v>-0.99856699999999998</v>
      </c>
      <c r="P4715">
        <v>-0.2176968</v>
      </c>
      <c r="Q4715">
        <v>0.1628811</v>
      </c>
      <c r="R4715">
        <v>-0.96232930000000005</v>
      </c>
      <c r="S4715">
        <v>-1.1168670000000001</v>
      </c>
      <c r="T4715">
        <v>-0.1188478</v>
      </c>
      <c r="U4715">
        <v>-2.8850859999999998</v>
      </c>
      <c r="V4715">
        <v>0.16780320000000001</v>
      </c>
      <c r="W4715">
        <v>0.1756354</v>
      </c>
      <c r="X4715">
        <v>0.97004860000000004</v>
      </c>
      <c r="Y4715">
        <v>0.31198490000000001</v>
      </c>
      <c r="Z4715">
        <v>2.5400880000000001E-2</v>
      </c>
      <c r="AA4715">
        <v>0.94974740000000002</v>
      </c>
      <c r="AB4715">
        <v>18</v>
      </c>
      <c r="AC4715">
        <v>-10.5307</v>
      </c>
      <c r="AD4715">
        <v>-1.1212778169490001</v>
      </c>
      <c r="AE4715">
        <v>-27.111999999999899</v>
      </c>
      <c r="AF4715">
        <v>9.0982236274589692</v>
      </c>
      <c r="AG4715">
        <v>-1.1212778169490001</v>
      </c>
      <c r="AH4715">
        <v>27.580238940150601</v>
      </c>
      <c r="AI4715">
        <v>92.211012753654202</v>
      </c>
      <c r="AJ4715">
        <v>71.743208630358794</v>
      </c>
      <c r="AK4715">
        <v>29.063800802954798</v>
      </c>
      <c r="AL4715">
        <v>79.884363396950306</v>
      </c>
      <c r="AM4715">
        <v>80.185850745037499</v>
      </c>
      <c r="AN4715">
        <v>0.99999999701268005</v>
      </c>
    </row>
    <row r="4716" spans="1:40" x14ac:dyDescent="0.25">
      <c r="A4716" t="str">
        <f>"20190303170347619"</f>
        <v>20190303170347619</v>
      </c>
      <c r="B4716" t="str">
        <f>"1551603827610692"</f>
        <v>1551603827610692</v>
      </c>
      <c r="C4716" t="s">
        <v>40</v>
      </c>
      <c r="D4716">
        <v>4.2320729999999998</v>
      </c>
      <c r="E4716">
        <v>0.56314149999999996</v>
      </c>
      <c r="F4716" t="s">
        <v>90</v>
      </c>
      <c r="G4716">
        <v>-201.35900000000001</v>
      </c>
      <c r="H4716" s="1">
        <v>-9.5188060000000008E-6</v>
      </c>
      <c r="I4716">
        <v>141.7371</v>
      </c>
      <c r="J4716">
        <v>-190.56129999999999</v>
      </c>
      <c r="K4716">
        <v>1.1212709999999999</v>
      </c>
      <c r="L4716">
        <v>169.4332</v>
      </c>
      <c r="M4716">
        <v>-5.2404220000000001E-2</v>
      </c>
      <c r="N4716">
        <v>-1.338832E-2</v>
      </c>
      <c r="O4716">
        <v>-0.99853630000000004</v>
      </c>
      <c r="P4716">
        <v>-0.21897130000000001</v>
      </c>
      <c r="Q4716">
        <v>0.1631435</v>
      </c>
      <c r="R4716">
        <v>-0.96199590000000001</v>
      </c>
      <c r="S4716">
        <v>-1.121124</v>
      </c>
      <c r="T4716">
        <v>-0.1163646</v>
      </c>
      <c r="U4716">
        <v>-2.883499</v>
      </c>
      <c r="V4716">
        <v>0.1685151</v>
      </c>
      <c r="W4716">
        <v>0.1758941</v>
      </c>
      <c r="X4716">
        <v>0.96987829999999997</v>
      </c>
      <c r="Y4716">
        <v>0.31282290000000001</v>
      </c>
      <c r="Z4716">
        <v>2.4599469999999998E-2</v>
      </c>
      <c r="AA4716">
        <v>0.94949289999999997</v>
      </c>
      <c r="AB4716">
        <v>18</v>
      </c>
      <c r="AC4716">
        <v>-10.797700000000001</v>
      </c>
      <c r="AD4716">
        <v>-1.121280518806</v>
      </c>
      <c r="AE4716">
        <v>-27.696100000000001</v>
      </c>
      <c r="AF4716">
        <v>9.3180806535167608</v>
      </c>
      <c r="AG4716">
        <v>-1.121280518806</v>
      </c>
      <c r="AH4716">
        <v>28.183833482468</v>
      </c>
      <c r="AI4716">
        <v>92.163237990083303</v>
      </c>
      <c r="AJ4716">
        <v>71.705188150444897</v>
      </c>
      <c r="AK4716">
        <v>29.705426555341401</v>
      </c>
      <c r="AL4716">
        <v>79.869306557291097</v>
      </c>
      <c r="AM4716">
        <v>80.143332703064402</v>
      </c>
      <c r="AN4716">
        <v>0.999999995076854</v>
      </c>
    </row>
    <row r="4717" spans="1:40" x14ac:dyDescent="0.25">
      <c r="A4717" t="str">
        <f>"20190303170347632"</f>
        <v>20190303170347632</v>
      </c>
      <c r="B4717" t="str">
        <f>"1551603827620452"</f>
        <v>1551603827620452</v>
      </c>
      <c r="C4717" t="s">
        <v>40</v>
      </c>
      <c r="D4717">
        <v>4.2052370000000003</v>
      </c>
      <c r="E4717">
        <v>0.56319370000000002</v>
      </c>
      <c r="F4717" t="s">
        <v>90</v>
      </c>
      <c r="G4717">
        <v>-201.48589999999999</v>
      </c>
      <c r="H4717" s="1">
        <v>-9.3950319999999999E-6</v>
      </c>
      <c r="I4717">
        <v>141.44909999999999</v>
      </c>
      <c r="J4717">
        <v>-190.5676</v>
      </c>
      <c r="K4717">
        <v>1.121273</v>
      </c>
      <c r="L4717">
        <v>169.3278</v>
      </c>
      <c r="M4717">
        <v>-5.3107960000000003E-2</v>
      </c>
      <c r="N4717">
        <v>-1.338729E-2</v>
      </c>
      <c r="O4717">
        <v>-0.99849909999999997</v>
      </c>
      <c r="P4717">
        <v>-0.22041759999999999</v>
      </c>
      <c r="Q4717">
        <v>0.162804799999999</v>
      </c>
      <c r="R4717">
        <v>-0.96172290000000005</v>
      </c>
      <c r="S4717">
        <v>-1.125092</v>
      </c>
      <c r="T4717">
        <v>-0.1154771</v>
      </c>
      <c r="U4717">
        <v>-2.8819889999999999</v>
      </c>
      <c r="V4717">
        <v>0.16928770000000001</v>
      </c>
      <c r="W4717">
        <v>0.17555229999999999</v>
      </c>
      <c r="X4717">
        <v>0.96980569999999999</v>
      </c>
      <c r="Y4717">
        <v>0.31345919999999999</v>
      </c>
      <c r="Z4717">
        <v>2.4317439999999999E-2</v>
      </c>
      <c r="AA4717">
        <v>0.94929030000000003</v>
      </c>
      <c r="AB4717">
        <v>18</v>
      </c>
      <c r="AC4717">
        <v>-10.918299999999901</v>
      </c>
      <c r="AD4717">
        <v>-1.1212823950319999</v>
      </c>
      <c r="AE4717">
        <v>-27.878699999999998</v>
      </c>
      <c r="AF4717">
        <v>9.4089791918377106</v>
      </c>
      <c r="AG4717">
        <v>-1.1212823950319999</v>
      </c>
      <c r="AH4717">
        <v>28.3794473335644</v>
      </c>
      <c r="AI4717">
        <v>92.147753121941193</v>
      </c>
      <c r="AJ4717">
        <v>71.657472176234506</v>
      </c>
      <c r="AK4717">
        <v>29.919545360857299</v>
      </c>
      <c r="AL4717">
        <v>79.889200010937401</v>
      </c>
      <c r="AM4717">
        <v>80.098308100808396</v>
      </c>
      <c r="AN4717">
        <v>1.0000000155795301</v>
      </c>
    </row>
    <row r="4718" spans="1:40" x14ac:dyDescent="0.25">
      <c r="A4718" t="str">
        <f>"20190303170347648"</f>
        <v>20190303170347648</v>
      </c>
      <c r="B4718" t="str">
        <f>"1551603827639971"</f>
        <v>1551603827639971</v>
      </c>
      <c r="C4718" t="s">
        <v>40</v>
      </c>
      <c r="D4718">
        <v>4.1989390000000002</v>
      </c>
      <c r="E4718">
        <v>0.563281699999999</v>
      </c>
      <c r="F4718" t="s">
        <v>90</v>
      </c>
      <c r="G4718">
        <v>-201.46119999999999</v>
      </c>
      <c r="H4718" s="1">
        <v>-9.4320539999999999E-6</v>
      </c>
      <c r="I4718">
        <v>141.55420000000001</v>
      </c>
      <c r="J4718">
        <v>-190.5753</v>
      </c>
      <c r="K4718">
        <v>1.121275</v>
      </c>
      <c r="L4718">
        <v>169.20269999999999</v>
      </c>
      <c r="M4718">
        <v>-5.3943989999999997E-2</v>
      </c>
      <c r="N4718">
        <v>-1.338606E-2</v>
      </c>
      <c r="O4718">
        <v>-0.99845439999999996</v>
      </c>
      <c r="P4718">
        <v>-0.22226380000000001</v>
      </c>
      <c r="Q4718">
        <v>0.16205899999999901</v>
      </c>
      <c r="R4718">
        <v>-0.9614241</v>
      </c>
      <c r="S4718">
        <v>-1.1296839999999999</v>
      </c>
      <c r="T4718">
        <v>-0.1162791</v>
      </c>
      <c r="U4718">
        <v>-2.8801730000000001</v>
      </c>
      <c r="V4718">
        <v>0.17033190000000001</v>
      </c>
      <c r="W4718">
        <v>0.1748035</v>
      </c>
      <c r="X4718">
        <v>0.96975809999999996</v>
      </c>
      <c r="Y4718">
        <v>0.31417630000000002</v>
      </c>
      <c r="Z4718">
        <v>2.4586360000000002E-2</v>
      </c>
      <c r="AA4718">
        <v>0.94904630000000001</v>
      </c>
      <c r="AB4718">
        <v>18</v>
      </c>
      <c r="AC4718">
        <v>-10.8858999999999</v>
      </c>
      <c r="AD4718">
        <v>-1.1212844320540001</v>
      </c>
      <c r="AE4718">
        <v>-27.648499999999899</v>
      </c>
      <c r="AF4718">
        <v>9.3651075007566593</v>
      </c>
      <c r="AG4718">
        <v>-1.1212844320540001</v>
      </c>
      <c r="AH4718">
        <v>28.155424624513699</v>
      </c>
      <c r="AI4718">
        <v>92.164131398444695</v>
      </c>
      <c r="AJ4718">
        <v>71.601751025497094</v>
      </c>
      <c r="AK4718">
        <v>29.693272858763201</v>
      </c>
      <c r="AL4718">
        <v>79.932776732137995</v>
      </c>
      <c r="AM4718">
        <v>80.037973087712999</v>
      </c>
      <c r="AN4718">
        <v>0.99999999614273405</v>
      </c>
    </row>
    <row r="4719" spans="1:40" x14ac:dyDescent="0.25">
      <c r="A4719" t="str">
        <f>"20190303170347662"</f>
        <v>20190303170347662</v>
      </c>
      <c r="B4719" t="str">
        <f>"1551603827650707"</f>
        <v>1551603827650707</v>
      </c>
      <c r="C4719" t="s">
        <v>40</v>
      </c>
      <c r="D4719">
        <v>4.1784889999999999</v>
      </c>
      <c r="E4719">
        <v>0.56335349999999995</v>
      </c>
      <c r="F4719" t="s">
        <v>90</v>
      </c>
      <c r="G4719">
        <v>-201.3877</v>
      </c>
      <c r="H4719" s="1">
        <v>-9.5291850000000008E-6</v>
      </c>
      <c r="I4719">
        <v>141.81739999999999</v>
      </c>
      <c r="J4719">
        <v>-190.5823</v>
      </c>
      <c r="K4719">
        <v>1.1212740000000001</v>
      </c>
      <c r="L4719">
        <v>169.0891</v>
      </c>
      <c r="M4719">
        <v>-5.4705179999999999E-2</v>
      </c>
      <c r="N4719">
        <v>-1.338495E-2</v>
      </c>
      <c r="O4719">
        <v>-0.99841310000000005</v>
      </c>
      <c r="P4719">
        <v>-0.22320690000000001</v>
      </c>
      <c r="Q4719">
        <v>0.16230269999999999</v>
      </c>
      <c r="R4719">
        <v>-0.96116449999999998</v>
      </c>
      <c r="S4719">
        <v>-1.1361540000000001</v>
      </c>
      <c r="T4719">
        <v>-0.11782239999999999</v>
      </c>
      <c r="U4719">
        <v>-2.8775940000000002</v>
      </c>
      <c r="V4719">
        <v>0.17054720000000001</v>
      </c>
      <c r="W4719">
        <v>0.17504439999999999</v>
      </c>
      <c r="X4719">
        <v>0.96967680000000001</v>
      </c>
      <c r="Y4719">
        <v>0.31558249999999999</v>
      </c>
      <c r="Z4719">
        <v>2.5096839999999999E-2</v>
      </c>
      <c r="AA4719">
        <v>0.94856620000000003</v>
      </c>
      <c r="AB4719">
        <v>18</v>
      </c>
      <c r="AC4719">
        <v>-10.805399999999899</v>
      </c>
      <c r="AD4719">
        <v>-1.1212835291849901</v>
      </c>
      <c r="AE4719">
        <v>-27.271699999999999</v>
      </c>
      <c r="AF4719">
        <v>9.2836157878308097</v>
      </c>
      <c r="AG4719">
        <v>-1.1212835291849901</v>
      </c>
      <c r="AH4719">
        <v>27.781427514422798</v>
      </c>
      <c r="AI4719">
        <v>92.192220040359501</v>
      </c>
      <c r="AJ4719">
        <v>71.522110943162403</v>
      </c>
      <c r="AK4719">
        <v>29.3129751746221</v>
      </c>
      <c r="AL4719">
        <v>79.918758005058194</v>
      </c>
      <c r="AM4719">
        <v>80.024814294519302</v>
      </c>
      <c r="AN4719">
        <v>0.99999999292871899</v>
      </c>
    </row>
    <row r="4720" spans="1:40" x14ac:dyDescent="0.25">
      <c r="A4720" t="str">
        <f>"20190303170347677"</f>
        <v>20190303170347677</v>
      </c>
      <c r="B4720" t="str">
        <f>"1551603827670229"</f>
        <v>1551603827670229</v>
      </c>
      <c r="C4720" t="s">
        <v>40</v>
      </c>
      <c r="D4720">
        <v>4.19834</v>
      </c>
      <c r="E4720">
        <v>0.5634574</v>
      </c>
      <c r="F4720" t="s">
        <v>90</v>
      </c>
      <c r="G4720">
        <v>-201.55969999999999</v>
      </c>
      <c r="H4720" s="1">
        <v>-9.3535859999999997E-6</v>
      </c>
      <c r="I4720">
        <v>141.3974</v>
      </c>
      <c r="J4720">
        <v>-190.5898</v>
      </c>
      <c r="K4720">
        <v>1.1212740000000001</v>
      </c>
      <c r="L4720">
        <v>168.96940000000001</v>
      </c>
      <c r="M4720">
        <v>-5.5511520000000002E-2</v>
      </c>
      <c r="N4720">
        <v>-1.338379E-2</v>
      </c>
      <c r="O4720">
        <v>-0.99836829999999999</v>
      </c>
      <c r="P4720">
        <v>-0.2243734</v>
      </c>
      <c r="Q4720">
        <v>0.16222609999999901</v>
      </c>
      <c r="R4720">
        <v>-0.96090529999999996</v>
      </c>
      <c r="S4720">
        <v>-1.140137</v>
      </c>
      <c r="T4720">
        <v>-0.11645899999999999</v>
      </c>
      <c r="U4720">
        <v>-2.8761290000000002</v>
      </c>
      <c r="V4720">
        <v>0.17094179999999901</v>
      </c>
      <c r="W4720">
        <v>0.17496510000000001</v>
      </c>
      <c r="X4720">
        <v>0.96962170000000003</v>
      </c>
      <c r="Y4720">
        <v>0.3161215</v>
      </c>
      <c r="Z4720">
        <v>2.465997E-2</v>
      </c>
      <c r="AA4720">
        <v>0.94839819999999997</v>
      </c>
      <c r="AB4720">
        <v>18</v>
      </c>
      <c r="AC4720">
        <v>-10.9698999999999</v>
      </c>
      <c r="AD4720">
        <v>-1.1212833535859901</v>
      </c>
      <c r="AE4720">
        <v>-27.571999999999999</v>
      </c>
      <c r="AF4720">
        <v>9.4088469184239401</v>
      </c>
      <c r="AG4720">
        <v>-1.1212833535859901</v>
      </c>
      <c r="AH4720">
        <v>28.098368497705302</v>
      </c>
      <c r="AI4720">
        <v>92.167067955256798</v>
      </c>
      <c r="AJ4720">
        <v>71.486679618139306</v>
      </c>
      <c r="AK4720">
        <v>29.653026640230198</v>
      </c>
      <c r="AL4720">
        <v>79.923373492534793</v>
      </c>
      <c r="AM4720">
        <v>80.001642874886102</v>
      </c>
      <c r="AN4720">
        <v>1.0000000631580599</v>
      </c>
    </row>
    <row r="4721" spans="1:40" x14ac:dyDescent="0.25">
      <c r="A4721" t="str">
        <f>"20190303170347691"</f>
        <v>20190303170347691</v>
      </c>
      <c r="B4721" t="str">
        <f>"1551603827679987"</f>
        <v>1551603827679987</v>
      </c>
      <c r="C4721" t="s">
        <v>40</v>
      </c>
      <c r="D4721">
        <v>4.162674</v>
      </c>
      <c r="E4721">
        <v>0.56350699999999998</v>
      </c>
      <c r="F4721" t="s">
        <v>90</v>
      </c>
      <c r="G4721">
        <v>-201.6848</v>
      </c>
      <c r="H4721" s="1">
        <v>-9.2306200000000007E-6</v>
      </c>
      <c r="I4721">
        <v>141.11000000000001</v>
      </c>
      <c r="J4721">
        <v>-190.59719999999999</v>
      </c>
      <c r="K4721">
        <v>1.1212719999999901</v>
      </c>
      <c r="L4721">
        <v>168.8526</v>
      </c>
      <c r="M4721">
        <v>-5.6304050000000001E-2</v>
      </c>
      <c r="N4721">
        <v>-1.3382720000000001E-2</v>
      </c>
      <c r="O4721">
        <v>-0.99832419999999999</v>
      </c>
      <c r="P4721">
        <v>-0.22517980000000001</v>
      </c>
      <c r="Q4721">
        <v>0.16266329999999901</v>
      </c>
      <c r="R4721">
        <v>-0.96064300000000002</v>
      </c>
      <c r="S4721">
        <v>-1.1446989999999999</v>
      </c>
      <c r="T4721">
        <v>-0.1156852</v>
      </c>
      <c r="U4721">
        <v>-2.8743129999999999</v>
      </c>
      <c r="V4721">
        <v>0.17099220000000001</v>
      </c>
      <c r="W4721">
        <v>0.17539830000000001</v>
      </c>
      <c r="X4721">
        <v>0.96953449999999997</v>
      </c>
      <c r="Y4721">
        <v>0.3168762</v>
      </c>
      <c r="Z4721">
        <v>2.4416150000000001E-2</v>
      </c>
      <c r="AA4721">
        <v>0.94815260000000001</v>
      </c>
      <c r="AB4721">
        <v>18</v>
      </c>
      <c r="AC4721">
        <v>-11.0876</v>
      </c>
      <c r="AD4721">
        <v>-1.12128123061999</v>
      </c>
      <c r="AE4721">
        <v>-27.7425999999999</v>
      </c>
      <c r="AF4721">
        <v>9.4944743288961693</v>
      </c>
      <c r="AG4721">
        <v>-1.12128123061999</v>
      </c>
      <c r="AH4721">
        <v>28.283077015227398</v>
      </c>
      <c r="AI4721">
        <v>92.152379837135697</v>
      </c>
      <c r="AJ4721">
        <v>71.443379452329097</v>
      </c>
      <c r="AK4721">
        <v>29.855230024729199</v>
      </c>
      <c r="AL4721">
        <v>79.898162685662896</v>
      </c>
      <c r="AM4721">
        <v>79.997873145492804</v>
      </c>
      <c r="AN4721">
        <v>1.00000002139698</v>
      </c>
    </row>
    <row r="4722" spans="1:40" x14ac:dyDescent="0.25">
      <c r="A4722" t="str">
        <f>"20190303170347705"</f>
        <v>20190303170347705</v>
      </c>
      <c r="B4722" t="str">
        <f>"1551603827690723"</f>
        <v>1551603827690723</v>
      </c>
      <c r="C4722" t="s">
        <v>40</v>
      </c>
      <c r="D4722">
        <v>4.1626719999999997</v>
      </c>
      <c r="E4722">
        <v>0.56356850000000003</v>
      </c>
      <c r="F4722" t="s">
        <v>90</v>
      </c>
      <c r="G4722">
        <v>-201.89160000000001</v>
      </c>
      <c r="H4722" s="1">
        <v>-9.0132000000000004E-6</v>
      </c>
      <c r="I4722">
        <v>140.5812</v>
      </c>
      <c r="J4722">
        <v>-190.60400000000001</v>
      </c>
      <c r="K4722">
        <v>1.1212759999999999</v>
      </c>
      <c r="L4722">
        <v>168.7474</v>
      </c>
      <c r="M4722">
        <v>-5.7024470000000001E-2</v>
      </c>
      <c r="N4722">
        <v>-1.3381769999999999E-2</v>
      </c>
      <c r="O4722">
        <v>-0.99828320000000004</v>
      </c>
      <c r="P4722">
        <v>-0.2263377</v>
      </c>
      <c r="Q4722">
        <v>0.1636485</v>
      </c>
      <c r="R4722">
        <v>-0.96020369999999999</v>
      </c>
      <c r="S4722">
        <v>-1.1478120000000001</v>
      </c>
      <c r="T4722">
        <v>-0.1139529</v>
      </c>
      <c r="U4722">
        <v>-2.873154</v>
      </c>
      <c r="V4722">
        <v>0.1714754</v>
      </c>
      <c r="W4722">
        <v>0.17637659999999999</v>
      </c>
      <c r="X4722">
        <v>0.96927169999999896</v>
      </c>
      <c r="Y4722">
        <v>0.31721539999999998</v>
      </c>
      <c r="Z4722">
        <v>2.385837E-2</v>
      </c>
      <c r="AA4722">
        <v>0.94805340000000005</v>
      </c>
      <c r="AB4722">
        <v>18</v>
      </c>
      <c r="AC4722">
        <v>-11.2875999999999</v>
      </c>
      <c r="AD4722">
        <v>-1.1212850131999901</v>
      </c>
      <c r="AE4722">
        <v>-28.1662</v>
      </c>
      <c r="AF4722">
        <v>9.6497462654736701</v>
      </c>
      <c r="AG4722">
        <v>-1.1212850131999901</v>
      </c>
      <c r="AH4722">
        <v>28.7248622999264</v>
      </c>
      <c r="AI4722">
        <v>92.119159054271293</v>
      </c>
      <c r="AJ4722">
        <v>71.430891070232903</v>
      </c>
      <c r="AK4722">
        <v>30.323136335454901</v>
      </c>
      <c r="AL4722">
        <v>79.841223073636897</v>
      </c>
      <c r="AM4722">
        <v>79.9675174848973</v>
      </c>
      <c r="AN4722">
        <v>1.0000000731267999</v>
      </c>
    </row>
    <row r="4723" spans="1:40" x14ac:dyDescent="0.25">
      <c r="A4723" t="str">
        <f>"20190303170347726"</f>
        <v>20190303170347726</v>
      </c>
      <c r="B4723" t="str">
        <f>"1551603827720003"</f>
        <v>1551603827720003</v>
      </c>
      <c r="C4723" t="s">
        <v>40</v>
      </c>
      <c r="D4723">
        <v>4.1341029999999996</v>
      </c>
      <c r="E4723">
        <v>0.56367270000000003</v>
      </c>
      <c r="F4723" t="s">
        <v>90</v>
      </c>
      <c r="G4723">
        <v>-202.2723</v>
      </c>
      <c r="H4723" s="1">
        <v>-8.6253280000000002E-6</v>
      </c>
      <c r="I4723">
        <v>139.6549</v>
      </c>
      <c r="J4723">
        <v>-190.61590000000001</v>
      </c>
      <c r="K4723">
        <v>1.1212690000000001</v>
      </c>
      <c r="L4723">
        <v>168.56599999999901</v>
      </c>
      <c r="M4723">
        <v>-5.8279949999999997E-2</v>
      </c>
      <c r="N4723">
        <v>-1.33802E-2</v>
      </c>
      <c r="O4723">
        <v>-0.99821070000000001</v>
      </c>
      <c r="P4723">
        <v>-0.22785250000000001</v>
      </c>
      <c r="Q4723">
        <v>0.16397900000000001</v>
      </c>
      <c r="R4723">
        <v>-0.959789</v>
      </c>
      <c r="S4723">
        <v>-1.1517790000000001</v>
      </c>
      <c r="T4723">
        <v>-0.110682</v>
      </c>
      <c r="U4723">
        <v>-2.8717190000000001</v>
      </c>
      <c r="V4723">
        <v>0.171795</v>
      </c>
      <c r="W4723">
        <v>0.17669899999999999</v>
      </c>
      <c r="X4723">
        <v>0.96915629999999997</v>
      </c>
      <c r="Y4723">
        <v>0.31732589999999999</v>
      </c>
      <c r="Z4723">
        <v>2.2803250000000001E-2</v>
      </c>
      <c r="AA4723">
        <v>0.9480423</v>
      </c>
      <c r="AB4723">
        <v>18</v>
      </c>
      <c r="AC4723">
        <v>-11.6563999999999</v>
      </c>
      <c r="AD4723">
        <v>-1.1212776253279999</v>
      </c>
      <c r="AE4723">
        <v>-28.911099999999902</v>
      </c>
      <c r="AF4723">
        <v>9.9386365754530992</v>
      </c>
      <c r="AG4723">
        <v>-1.1212776253279999</v>
      </c>
      <c r="AH4723">
        <v>29.5031729122123</v>
      </c>
      <c r="AI4723">
        <v>92.062710745131696</v>
      </c>
      <c r="AJ4723">
        <v>71.3830422890547</v>
      </c>
      <c r="AK4723">
        <v>31.1523830931101</v>
      </c>
      <c r="AL4723">
        <v>79.8224553688936</v>
      </c>
      <c r="AM4723">
        <v>79.948027233453104</v>
      </c>
      <c r="AN4723">
        <v>0.99999999622784497</v>
      </c>
    </row>
    <row r="4724" spans="1:40" x14ac:dyDescent="0.25">
      <c r="A4724" t="str">
        <f>"20190303170347740"</f>
        <v>20190303170347740</v>
      </c>
      <c r="B4724" t="str">
        <f>"1551603827730740"</f>
        <v>1551603827730740</v>
      </c>
      <c r="C4724" t="s">
        <v>40</v>
      </c>
      <c r="D4724">
        <v>4.1813039999999999</v>
      </c>
      <c r="E4724">
        <v>0.56372230000000001</v>
      </c>
      <c r="F4724" t="s">
        <v>90</v>
      </c>
      <c r="G4724">
        <v>-202.49469999999999</v>
      </c>
      <c r="H4724" s="1">
        <v>-8.3764479999999996E-6</v>
      </c>
      <c r="I4724">
        <v>139.11189999999999</v>
      </c>
      <c r="J4724">
        <v>-190.62289999999999</v>
      </c>
      <c r="K4724">
        <v>1.1212599999999999</v>
      </c>
      <c r="L4724">
        <v>168.46099999999899</v>
      </c>
      <c r="M4724">
        <v>-5.9018269999999998E-2</v>
      </c>
      <c r="N4724">
        <v>-1.337933E-2</v>
      </c>
      <c r="O4724">
        <v>-0.99816720000000003</v>
      </c>
      <c r="P4724">
        <v>-0.22881489999999999</v>
      </c>
      <c r="Q4724">
        <v>0.16410999999999901</v>
      </c>
      <c r="R4724">
        <v>-0.95953730000000004</v>
      </c>
      <c r="S4724">
        <v>-1.1573180000000001</v>
      </c>
      <c r="T4724">
        <v>-0.1092428</v>
      </c>
      <c r="U4724">
        <v>-2.8696290000000002</v>
      </c>
      <c r="V4724">
        <v>0.17205589999999901</v>
      </c>
      <c r="W4724">
        <v>0.17682439999999999</v>
      </c>
      <c r="X4724">
        <v>0.96908720000000004</v>
      </c>
      <c r="Y4724">
        <v>0.31844230000000001</v>
      </c>
      <c r="Z4724">
        <v>2.234121E-2</v>
      </c>
      <c r="AA4724">
        <v>0.94767889999999999</v>
      </c>
      <c r="AB4724">
        <v>18</v>
      </c>
      <c r="AC4724">
        <v>-11.8718</v>
      </c>
      <c r="AD4724">
        <v>-1.121268376448</v>
      </c>
      <c r="AE4724">
        <v>-29.3491</v>
      </c>
      <c r="AF4724">
        <v>10.106137765116101</v>
      </c>
      <c r="AG4724">
        <v>-1.121268376448</v>
      </c>
      <c r="AH4724">
        <v>29.961066788935302</v>
      </c>
      <c r="AI4724">
        <v>92.030924586230796</v>
      </c>
      <c r="AJ4724">
        <v>71.360285750530593</v>
      </c>
      <c r="AK4724">
        <v>31.6394814500898</v>
      </c>
      <c r="AL4724">
        <v>79.815156098201001</v>
      </c>
      <c r="AM4724">
        <v>79.932370480451894</v>
      </c>
      <c r="AN4724">
        <v>1.000000051182</v>
      </c>
    </row>
    <row r="4725" spans="1:40" x14ac:dyDescent="0.25">
      <c r="A4725" t="str">
        <f>"20190303170347753"</f>
        <v>20190303170347753</v>
      </c>
      <c r="B4725" t="str">
        <f>"1551603827740500"</f>
        <v>1551603827740500</v>
      </c>
      <c r="C4725" t="s">
        <v>40</v>
      </c>
      <c r="D4725">
        <v>4.1322510000000001</v>
      </c>
      <c r="E4725">
        <v>0.56377509999999997</v>
      </c>
      <c r="F4725" t="s">
        <v>90</v>
      </c>
      <c r="G4725">
        <v>-202.62200000000001</v>
      </c>
      <c r="H4725" s="1">
        <v>-8.2359890000000003E-6</v>
      </c>
      <c r="I4725">
        <v>138.8108</v>
      </c>
      <c r="J4725">
        <v>-190.63</v>
      </c>
      <c r="K4725">
        <v>1.1212519999999999</v>
      </c>
      <c r="L4725">
        <v>168.3554</v>
      </c>
      <c r="M4725">
        <v>-5.9769379999999997E-2</v>
      </c>
      <c r="N4725">
        <v>-1.337848E-2</v>
      </c>
      <c r="O4725">
        <v>-0.99812290000000004</v>
      </c>
      <c r="P4725">
        <v>-0.2297768</v>
      </c>
      <c r="Q4725">
        <v>0.163722799999999</v>
      </c>
      <c r="R4725">
        <v>-0.95937399999999995</v>
      </c>
      <c r="S4725">
        <v>-1.1607510000000001</v>
      </c>
      <c r="T4725">
        <v>-0.1084671</v>
      </c>
      <c r="U4725">
        <v>-2.8682400000000001</v>
      </c>
      <c r="V4725">
        <v>0.17229829999999999</v>
      </c>
      <c r="W4725">
        <v>0.17643239999999999</v>
      </c>
      <c r="X4725">
        <v>0.96911550000000002</v>
      </c>
      <c r="Y4725">
        <v>0.31886569999999997</v>
      </c>
      <c r="Z4725">
        <v>2.2095400000000001E-2</v>
      </c>
      <c r="AA4725">
        <v>0.94754229999999995</v>
      </c>
      <c r="AB4725">
        <v>18</v>
      </c>
      <c r="AC4725">
        <v>-11.992000000000001</v>
      </c>
      <c r="AD4725">
        <v>-1.121260235989</v>
      </c>
      <c r="AE4725">
        <v>-29.544599999999999</v>
      </c>
      <c r="AF4725">
        <v>10.1919339719982</v>
      </c>
      <c r="AG4725">
        <v>-1.121260235989</v>
      </c>
      <c r="AH4725">
        <v>30.171280091345899</v>
      </c>
      <c r="AI4725">
        <v>92.016470236626901</v>
      </c>
      <c r="AJ4725">
        <v>71.334902818748901</v>
      </c>
      <c r="AK4725">
        <v>31.865951813131598</v>
      </c>
      <c r="AL4725">
        <v>79.837974016302795</v>
      </c>
      <c r="AM4725">
        <v>79.918765867920897</v>
      </c>
      <c r="AN4725">
        <v>0.99999997414644903</v>
      </c>
    </row>
    <row r="4726" spans="1:40" x14ac:dyDescent="0.25">
      <c r="A4726" t="str">
        <f>"20190303170347765"</f>
        <v>20190303170347765</v>
      </c>
      <c r="B4726" t="str">
        <f>"1551603827750259"</f>
        <v>1551603827750259</v>
      </c>
      <c r="C4726" t="s">
        <v>40</v>
      </c>
      <c r="D4726">
        <v>4.1653849999999997</v>
      </c>
      <c r="E4726">
        <v>0.56383039999999995</v>
      </c>
      <c r="F4726" t="s">
        <v>90</v>
      </c>
      <c r="G4726">
        <v>-202.55600000000001</v>
      </c>
      <c r="H4726" s="1">
        <v>-8.3155810000000002E-6</v>
      </c>
      <c r="I4726">
        <v>138.9889</v>
      </c>
      <c r="J4726">
        <v>-190.63650000000001</v>
      </c>
      <c r="K4726">
        <v>1.1212420000000001</v>
      </c>
      <c r="L4726">
        <v>168.26070000000001</v>
      </c>
      <c r="M4726">
        <v>-6.0455839999999997E-2</v>
      </c>
      <c r="N4726">
        <v>-1.3377709999999999E-2</v>
      </c>
      <c r="O4726">
        <v>-0.99808140000000001</v>
      </c>
      <c r="P4726">
        <v>-0.23096040000000001</v>
      </c>
      <c r="Q4726">
        <v>0.16373199999999999</v>
      </c>
      <c r="R4726">
        <v>-0.95908800000000005</v>
      </c>
      <c r="S4726">
        <v>-1.164261</v>
      </c>
      <c r="T4726">
        <v>-0.1094618</v>
      </c>
      <c r="U4726">
        <v>-2.8668670000000001</v>
      </c>
      <c r="V4726">
        <v>0.17283309999999999</v>
      </c>
      <c r="W4726">
        <v>0.17643429999999999</v>
      </c>
      <c r="X4726">
        <v>0.96901990000000005</v>
      </c>
      <c r="Y4726">
        <v>0.31936429999999999</v>
      </c>
      <c r="Z4726">
        <v>2.2424570000000001E-2</v>
      </c>
      <c r="AA4726">
        <v>0.94736670000000001</v>
      </c>
      <c r="AB4726">
        <v>18</v>
      </c>
      <c r="AC4726">
        <v>-11.9194999999999</v>
      </c>
      <c r="AD4726">
        <v>-1.1212503155810001</v>
      </c>
      <c r="AE4726">
        <v>-29.271799999999999</v>
      </c>
      <c r="AF4726">
        <v>10.1151538673292</v>
      </c>
      <c r="AG4726">
        <v>-1.1212503155810001</v>
      </c>
      <c r="AH4726">
        <v>29.901283451891501</v>
      </c>
      <c r="AI4726">
        <v>92.034347417818907</v>
      </c>
      <c r="AJ4726">
        <v>71.310096065305103</v>
      </c>
      <c r="AK4726">
        <v>31.585760907413601</v>
      </c>
      <c r="AL4726">
        <v>79.837863218945401</v>
      </c>
      <c r="AM4726">
        <v>79.8871422752987</v>
      </c>
      <c r="AN4726">
        <v>0.999999954634054</v>
      </c>
    </row>
    <row r="4727" spans="1:40" x14ac:dyDescent="0.25">
      <c r="A4727" t="str">
        <f>"20190303170347781"</f>
        <v>20190303170347781</v>
      </c>
      <c r="B4727" t="str">
        <f>"1551603827770756"</f>
        <v>1551603827770756</v>
      </c>
      <c r="C4727" t="s">
        <v>40</v>
      </c>
      <c r="D4727">
        <v>4.1457730000000002</v>
      </c>
      <c r="E4727">
        <v>0.56392249999999999</v>
      </c>
      <c r="F4727" t="s">
        <v>90</v>
      </c>
      <c r="G4727">
        <v>-202.6421</v>
      </c>
      <c r="H4727" s="1">
        <v>-8.2303699999999996E-6</v>
      </c>
      <c r="I4727">
        <v>138.81710000000001</v>
      </c>
      <c r="J4727">
        <v>-190.6456</v>
      </c>
      <c r="K4727">
        <v>1.121219</v>
      </c>
      <c r="L4727">
        <v>168.1293</v>
      </c>
      <c r="M4727">
        <v>-6.1422169999999998E-2</v>
      </c>
      <c r="N4727">
        <v>-1.337667E-2</v>
      </c>
      <c r="O4727">
        <v>-0.99802259999999998</v>
      </c>
      <c r="P4727">
        <v>-0.23263159999999999</v>
      </c>
      <c r="Q4727">
        <v>0.16401470000000001</v>
      </c>
      <c r="R4727">
        <v>-0.95863600000000004</v>
      </c>
      <c r="S4727">
        <v>-1.168304</v>
      </c>
      <c r="T4727">
        <v>-0.1091125</v>
      </c>
      <c r="U4727">
        <v>-2.8652500000000001</v>
      </c>
      <c r="V4727">
        <v>0.1735951</v>
      </c>
      <c r="W4727">
        <v>0.17670649999999999</v>
      </c>
      <c r="X4727">
        <v>0.96883410000000003</v>
      </c>
      <c r="Y4727">
        <v>0.31978109999999998</v>
      </c>
      <c r="Z4727">
        <v>2.231876E-2</v>
      </c>
      <c r="AA4727">
        <v>0.94722859999999998</v>
      </c>
      <c r="AB4727">
        <v>18</v>
      </c>
      <c r="AC4727">
        <v>-11.9964999999999</v>
      </c>
      <c r="AD4727">
        <v>-1.1212272303699999</v>
      </c>
      <c r="AE4727">
        <v>-29.312199999999901</v>
      </c>
      <c r="AF4727">
        <v>10.1605321274529</v>
      </c>
      <c r="AG4727">
        <v>-1.1212272303699999</v>
      </c>
      <c r="AH4727">
        <v>29.956219481393301</v>
      </c>
      <c r="AI4727">
        <v>92.030026668593706</v>
      </c>
      <c r="AJ4727">
        <v>71.2641229968646</v>
      </c>
      <c r="AK4727">
        <v>31.6523087504298</v>
      </c>
      <c r="AL4727">
        <v>79.822018609511105</v>
      </c>
      <c r="AM4727">
        <v>79.841574891257494</v>
      </c>
      <c r="AN4727">
        <v>0.99999997960453402</v>
      </c>
    </row>
    <row r="4728" spans="1:40" x14ac:dyDescent="0.25">
      <c r="A4728" t="str">
        <f>"20190303170347804"</f>
        <v>20190303170347804</v>
      </c>
      <c r="B4728" t="str">
        <f>"1551603827790279"</f>
        <v>1551603827790279</v>
      </c>
      <c r="C4728" t="s">
        <v>40</v>
      </c>
      <c r="D4728">
        <v>4.1315980000000003</v>
      </c>
      <c r="E4728">
        <v>0.56402169999999996</v>
      </c>
      <c r="F4728" t="s">
        <v>90</v>
      </c>
      <c r="G4728">
        <v>-202.83320000000001</v>
      </c>
      <c r="H4728" s="1">
        <v>-8.0312629999999993E-6</v>
      </c>
      <c r="I4728">
        <v>138.4033</v>
      </c>
      <c r="J4728">
        <v>-190.65870000000001</v>
      </c>
      <c r="K4728">
        <v>1.1212059999999999</v>
      </c>
      <c r="L4728">
        <v>167.94319999999999</v>
      </c>
      <c r="M4728">
        <v>-6.2829990000000002E-2</v>
      </c>
      <c r="N4728">
        <v>-1.337533E-2</v>
      </c>
      <c r="O4728">
        <v>-0.99793469999999995</v>
      </c>
      <c r="P4728">
        <v>-0.23493749999999999</v>
      </c>
      <c r="Q4728">
        <v>0.16425960000000001</v>
      </c>
      <c r="R4728">
        <v>-0.95803119999999997</v>
      </c>
      <c r="S4728">
        <v>-1.173859</v>
      </c>
      <c r="T4728">
        <v>-0.1079918</v>
      </c>
      <c r="U4728">
        <v>-2.863083</v>
      </c>
      <c r="V4728">
        <v>0.174574799999999</v>
      </c>
      <c r="W4728">
        <v>0.1769356</v>
      </c>
      <c r="X4728">
        <v>0.96861620000000004</v>
      </c>
      <c r="Y4728">
        <v>0.32027290000000003</v>
      </c>
      <c r="Z4728">
        <v>2.1964439999999998E-2</v>
      </c>
      <c r="AA4728">
        <v>0.94707070000000004</v>
      </c>
      <c r="AB4728">
        <v>18</v>
      </c>
      <c r="AC4728">
        <v>-12.174499999999901</v>
      </c>
      <c r="AD4728">
        <v>-1.1212140312629999</v>
      </c>
      <c r="AE4728">
        <v>-29.5398999999999</v>
      </c>
      <c r="AF4728">
        <v>10.2816227809291</v>
      </c>
      <c r="AG4728">
        <v>-1.1212140312629999</v>
      </c>
      <c r="AH4728">
        <v>30.209315950102901</v>
      </c>
      <c r="AI4728">
        <v>92.012294621031501</v>
      </c>
      <c r="AJ4728">
        <v>71.204193549301905</v>
      </c>
      <c r="AK4728">
        <v>31.930732188384901</v>
      </c>
      <c r="AL4728">
        <v>79.808681749236897</v>
      </c>
      <c r="AM4728">
        <v>79.783199178956195</v>
      </c>
      <c r="AN4728">
        <v>0.99999995512241902</v>
      </c>
    </row>
    <row r="4729" spans="1:40" x14ac:dyDescent="0.25">
      <c r="A4729" t="str">
        <f>"20190303170347817"</f>
        <v>20190303170347817</v>
      </c>
      <c r="B4729" t="str">
        <f>"1551603827810775"</f>
        <v>1551603827810775</v>
      </c>
      <c r="C4729" t="s">
        <v>40</v>
      </c>
      <c r="D4729">
        <v>4.1290360000000002</v>
      </c>
      <c r="E4729">
        <v>0.56412669999999998</v>
      </c>
      <c r="F4729" t="s">
        <v>90</v>
      </c>
      <c r="G4729">
        <v>-203.03540000000001</v>
      </c>
      <c r="H4729" s="1">
        <v>-7.8265659999999992E-6</v>
      </c>
      <c r="I4729">
        <v>137.98480000000001</v>
      </c>
      <c r="J4729">
        <v>-190.66579999999999</v>
      </c>
      <c r="K4729">
        <v>1.1211930000000001</v>
      </c>
      <c r="L4729">
        <v>167.84450000000001</v>
      </c>
      <c r="M4729">
        <v>-6.359215E-2</v>
      </c>
      <c r="N4729">
        <v>-1.337465E-2</v>
      </c>
      <c r="O4729">
        <v>-0.99788639999999995</v>
      </c>
      <c r="P4729">
        <v>-0.23618739999999999</v>
      </c>
      <c r="Q4729">
        <v>0.1643029</v>
      </c>
      <c r="R4729">
        <v>-0.95771620000000002</v>
      </c>
      <c r="S4729">
        <v>-1.1815639999999901</v>
      </c>
      <c r="T4729">
        <v>-0.1070392</v>
      </c>
      <c r="U4729">
        <v>-2.8600460000000001</v>
      </c>
      <c r="V4729">
        <v>0.17510609999999999</v>
      </c>
      <c r="W4729">
        <v>0.17697079999999901</v>
      </c>
      <c r="X4729">
        <v>0.96851390000000004</v>
      </c>
      <c r="Y4729">
        <v>0.32208599999999998</v>
      </c>
      <c r="Z4729">
        <v>2.1661719999999999E-2</v>
      </c>
      <c r="AA4729">
        <v>0.94646260000000004</v>
      </c>
      <c r="AB4729">
        <v>18</v>
      </c>
      <c r="AC4729">
        <v>-12.3696</v>
      </c>
      <c r="AD4729">
        <v>-1.1212008265660001</v>
      </c>
      <c r="AE4729">
        <v>-29.8597</v>
      </c>
      <c r="AF4729">
        <v>10.432991661013499</v>
      </c>
      <c r="AG4729">
        <v>-1.1212008265660001</v>
      </c>
      <c r="AH4729">
        <v>30.549168921221501</v>
      </c>
      <c r="AI4729">
        <v>91.989193378139205</v>
      </c>
      <c r="AJ4729">
        <v>71.144207324732093</v>
      </c>
      <c r="AK4729">
        <v>32.3010236381078</v>
      </c>
      <c r="AL4729">
        <v>79.806632984697202</v>
      </c>
      <c r="AM4729">
        <v>79.7517038492214</v>
      </c>
      <c r="AN4729">
        <v>0.99999999240153004</v>
      </c>
    </row>
    <row r="4730" spans="1:40" x14ac:dyDescent="0.25">
      <c r="A4730" t="str">
        <f>"20190303170347838"</f>
        <v>20190303170347838</v>
      </c>
      <c r="B4730" t="str">
        <f>"1551603827830295"</f>
        <v>1551603827830295</v>
      </c>
      <c r="C4730" t="s">
        <v>40</v>
      </c>
      <c r="D4730">
        <v>4.1364219999999996</v>
      </c>
      <c r="E4730">
        <v>0.5642104</v>
      </c>
      <c r="F4730" t="s">
        <v>90</v>
      </c>
      <c r="G4730">
        <v>-203.14519999999999</v>
      </c>
      <c r="H4730" s="1">
        <v>-7.7203660000000001E-6</v>
      </c>
      <c r="I4730">
        <v>137.77369999999999</v>
      </c>
      <c r="J4730">
        <v>-190.67840000000001</v>
      </c>
      <c r="K4730">
        <v>1.121175</v>
      </c>
      <c r="L4730">
        <v>167.67320000000001</v>
      </c>
      <c r="M4730">
        <v>-6.4951259999999997E-2</v>
      </c>
      <c r="N4730">
        <v>-1.3372530000000001E-2</v>
      </c>
      <c r="O4730">
        <v>-0.99779870000000004</v>
      </c>
      <c r="P4730">
        <v>-0.23882229999999999</v>
      </c>
      <c r="Q4730">
        <v>0.1642845</v>
      </c>
      <c r="R4730">
        <v>-0.95706550000000001</v>
      </c>
      <c r="S4730">
        <v>-1.1861569999999999</v>
      </c>
      <c r="T4730">
        <v>-0.10656980000000001</v>
      </c>
      <c r="U4730">
        <v>-2.858215</v>
      </c>
      <c r="V4730">
        <v>0.17646479999999901</v>
      </c>
      <c r="W4730">
        <v>0.17693510000000001</v>
      </c>
      <c r="X4730">
        <v>0.96827379999999996</v>
      </c>
      <c r="Y4730">
        <v>0.32231019999999999</v>
      </c>
      <c r="Z4730">
        <v>2.151958E-2</v>
      </c>
      <c r="AA4730">
        <v>0.94638949999999999</v>
      </c>
      <c r="AB4730">
        <v>18</v>
      </c>
      <c r="AC4730">
        <v>-12.4667999999999</v>
      </c>
      <c r="AD4730">
        <v>-1.1211827203659901</v>
      </c>
      <c r="AE4730">
        <v>-29.8995</v>
      </c>
      <c r="AF4730">
        <v>10.4857261545152</v>
      </c>
      <c r="AG4730">
        <v>-1.1211827203659901</v>
      </c>
      <c r="AH4730">
        <v>30.609494577327499</v>
      </c>
      <c r="AI4730">
        <v>91.984606607393005</v>
      </c>
      <c r="AJ4730">
        <v>71.090360536927903</v>
      </c>
      <c r="AK4730">
        <v>32.375124122686699</v>
      </c>
      <c r="AL4730">
        <v>79.808711354752603</v>
      </c>
      <c r="AM4730">
        <v>79.671383259463298</v>
      </c>
      <c r="AN4730">
        <v>1.00000000350874</v>
      </c>
    </row>
    <row r="4731" spans="1:40" x14ac:dyDescent="0.25">
      <c r="A4731" t="str">
        <f>"20190303170347850"</f>
        <v>20190303170347850</v>
      </c>
      <c r="B4731" t="str">
        <f>"1551603827840055"</f>
        <v>1551603827840055</v>
      </c>
      <c r="C4731" t="s">
        <v>40</v>
      </c>
      <c r="D4731">
        <v>4.1303769999999904</v>
      </c>
      <c r="E4731">
        <v>0.56424249999999998</v>
      </c>
      <c r="F4731" t="s">
        <v>90</v>
      </c>
      <c r="G4731">
        <v>-203.19540000000001</v>
      </c>
      <c r="H4731" s="1">
        <v>-7.6944450000000002E-6</v>
      </c>
      <c r="I4731">
        <v>137.751</v>
      </c>
      <c r="J4731">
        <v>-190.68549999999999</v>
      </c>
      <c r="K4731">
        <v>1.1211610000000001</v>
      </c>
      <c r="L4731">
        <v>167.57769999999999</v>
      </c>
      <c r="M4731">
        <v>-6.5727869999999994E-2</v>
      </c>
      <c r="N4731">
        <v>-1.336822E-2</v>
      </c>
      <c r="O4731">
        <v>-0.99774830000000003</v>
      </c>
      <c r="P4731">
        <v>-0.2406991</v>
      </c>
      <c r="Q4731">
        <v>0.1639842</v>
      </c>
      <c r="R4731">
        <v>-0.95664720000000003</v>
      </c>
      <c r="S4731">
        <v>-1.194275</v>
      </c>
      <c r="T4731">
        <v>-0.1069741</v>
      </c>
      <c r="U4731">
        <v>-2.8549349999999998</v>
      </c>
      <c r="V4731">
        <v>0.17761450000000001</v>
      </c>
      <c r="W4731">
        <v>0.1766211</v>
      </c>
      <c r="X4731">
        <v>0.96812089999999995</v>
      </c>
      <c r="Y4731">
        <v>0.32424819999999999</v>
      </c>
      <c r="Z4731">
        <v>2.1662799999999999E-2</v>
      </c>
      <c r="AA4731">
        <v>0.94572400000000001</v>
      </c>
      <c r="AB4731">
        <v>18</v>
      </c>
      <c r="AC4731">
        <v>-12.5099</v>
      </c>
      <c r="AD4731">
        <v>-1.1211686944449999</v>
      </c>
      <c r="AE4731">
        <v>-29.826699999999899</v>
      </c>
      <c r="AF4731">
        <v>10.509595220734999</v>
      </c>
      <c r="AG4731">
        <v>-1.1211686944449999</v>
      </c>
      <c r="AH4731">
        <v>30.547807200046599</v>
      </c>
      <c r="AI4731">
        <v>91.987687465012002</v>
      </c>
      <c r="AJ4731">
        <v>71.014855012700494</v>
      </c>
      <c r="AK4731">
        <v>32.324559326869696</v>
      </c>
      <c r="AL4731">
        <v>79.826990073469204</v>
      </c>
      <c r="AM4731">
        <v>79.603946837888898</v>
      </c>
      <c r="AN4731">
        <v>1.00000000029613</v>
      </c>
    </row>
    <row r="4732" spans="1:40" x14ac:dyDescent="0.25">
      <c r="A4732" t="str">
        <f>"20190303170347865"</f>
        <v>20190303170347865</v>
      </c>
      <c r="B4732" t="str">
        <f>"1551603827850790"</f>
        <v>1551603827850790</v>
      </c>
      <c r="C4732" t="s">
        <v>40</v>
      </c>
      <c r="D4732">
        <v>4.1133379999999997</v>
      </c>
      <c r="E4732">
        <v>0.56428900000000004</v>
      </c>
      <c r="F4732" t="s">
        <v>90</v>
      </c>
      <c r="G4732">
        <v>-203.15199999999999</v>
      </c>
      <c r="H4732" s="1">
        <v>-7.7677259999999996E-6</v>
      </c>
      <c r="I4732">
        <v>137.93620000000001</v>
      </c>
      <c r="J4732">
        <v>-190.69380000000001</v>
      </c>
      <c r="K4732">
        <v>1.121143</v>
      </c>
      <c r="L4732">
        <v>167.46709999999999</v>
      </c>
      <c r="M4732">
        <v>-6.6642679999999996E-2</v>
      </c>
      <c r="N4732">
        <v>-1.336029E-2</v>
      </c>
      <c r="O4732">
        <v>-0.99768760000000001</v>
      </c>
      <c r="P4732">
        <v>-0.24299290000000001</v>
      </c>
      <c r="Q4732">
        <v>0.16367089999999901</v>
      </c>
      <c r="R4732">
        <v>-0.95612059999999999</v>
      </c>
      <c r="S4732">
        <v>-1.199738</v>
      </c>
      <c r="T4732">
        <v>-0.1078979</v>
      </c>
      <c r="U4732">
        <v>-2.8525999999999998</v>
      </c>
      <c r="V4732">
        <v>0.1790542</v>
      </c>
      <c r="W4732">
        <v>0.17628829999999901</v>
      </c>
      <c r="X4732">
        <v>0.96791629999999995</v>
      </c>
      <c r="Y4732">
        <v>0.3251926</v>
      </c>
      <c r="Z4732">
        <v>2.1979479999999999E-2</v>
      </c>
      <c r="AA4732">
        <v>0.94539240000000002</v>
      </c>
      <c r="AB4732">
        <v>18</v>
      </c>
      <c r="AC4732">
        <v>-12.4582</v>
      </c>
      <c r="AD4732">
        <v>-1.121150767726</v>
      </c>
      <c r="AE4732">
        <v>-29.5308999999999</v>
      </c>
      <c r="AF4732">
        <v>10.4495195894898</v>
      </c>
      <c r="AG4732">
        <v>-1.121150767726</v>
      </c>
      <c r="AH4732">
        <v>30.258535835478298</v>
      </c>
      <c r="AI4732">
        <v>92.005837141479901</v>
      </c>
      <c r="AJ4732">
        <v>70.948096655766307</v>
      </c>
      <c r="AK4732">
        <v>32.031678532384603</v>
      </c>
      <c r="AL4732">
        <v>79.846361743525506</v>
      </c>
      <c r="AM4732">
        <v>79.519372275662505</v>
      </c>
      <c r="AN4732">
        <v>0.999999967530109</v>
      </c>
    </row>
    <row r="4733" spans="1:40" x14ac:dyDescent="0.25">
      <c r="A4733" t="str">
        <f>"20190303170347879"</f>
        <v>20190303170347879</v>
      </c>
      <c r="B4733" t="str">
        <f>"1551603827870312"</f>
        <v>1551603827870312</v>
      </c>
      <c r="C4733" t="s">
        <v>40</v>
      </c>
      <c r="D4733">
        <v>4.1289439999999997</v>
      </c>
      <c r="E4733">
        <v>0.56436629999999999</v>
      </c>
      <c r="F4733" t="s">
        <v>90</v>
      </c>
      <c r="G4733">
        <v>-203.1361</v>
      </c>
      <c r="H4733" s="1">
        <v>-7.8211200000000001E-6</v>
      </c>
      <c r="I4733">
        <v>138.09049999999999</v>
      </c>
      <c r="J4733">
        <v>-190.70269999999999</v>
      </c>
      <c r="K4733">
        <v>1.12112099999999</v>
      </c>
      <c r="L4733">
        <v>167.3519</v>
      </c>
      <c r="M4733">
        <v>-6.7614259999999995E-2</v>
      </c>
      <c r="N4733">
        <v>-1.334609E-2</v>
      </c>
      <c r="O4733">
        <v>-0.99762249999999997</v>
      </c>
      <c r="P4733">
        <v>-0.2449935</v>
      </c>
      <c r="Q4733">
        <v>0.163461299999999</v>
      </c>
      <c r="R4733">
        <v>-0.955646</v>
      </c>
      <c r="S4733">
        <v>-1.2069240000000001</v>
      </c>
      <c r="T4733">
        <v>-0.1087539</v>
      </c>
      <c r="U4733">
        <v>-2.8495940000000002</v>
      </c>
      <c r="V4733">
        <v>0.1801441</v>
      </c>
      <c r="W4733">
        <v>0.17605319999999999</v>
      </c>
      <c r="X4733">
        <v>0.96775690000000003</v>
      </c>
      <c r="Y4733">
        <v>0.32664769999999999</v>
      </c>
      <c r="Z4733">
        <v>2.2280939999999999E-2</v>
      </c>
      <c r="AA4733">
        <v>0.94488349999999999</v>
      </c>
      <c r="AB4733">
        <v>18</v>
      </c>
      <c r="AC4733">
        <v>-12.433400000000001</v>
      </c>
      <c r="AD4733">
        <v>-1.1211288211199999</v>
      </c>
      <c r="AE4733">
        <v>-29.261399999999998</v>
      </c>
      <c r="AF4733">
        <v>10.4133291556956</v>
      </c>
      <c r="AG4733">
        <v>-1.1211288211199999</v>
      </c>
      <c r="AH4733">
        <v>29.997872639155101</v>
      </c>
      <c r="AI4733">
        <v>92.022091464990197</v>
      </c>
      <c r="AJ4733">
        <v>70.856292378207101</v>
      </c>
      <c r="AK4733">
        <v>31.773679623445801</v>
      </c>
      <c r="AL4733">
        <v>79.860046564410197</v>
      </c>
      <c r="AM4733">
        <v>79.455305431566401</v>
      </c>
      <c r="AN4733">
        <v>1.0000000217463201</v>
      </c>
    </row>
    <row r="4734" spans="1:40" x14ac:dyDescent="0.25">
      <c r="A4734" t="str">
        <f>"20190303170347894"</f>
        <v>20190303170347894</v>
      </c>
      <c r="B4734" t="str">
        <f>"1551603827880070"</f>
        <v>1551603827880070</v>
      </c>
      <c r="C4734" t="s">
        <v>40</v>
      </c>
      <c r="D4734">
        <v>4.1202120000000004</v>
      </c>
      <c r="E4734">
        <v>0.5644091</v>
      </c>
      <c r="F4734" t="s">
        <v>90</v>
      </c>
      <c r="G4734">
        <v>-203.166</v>
      </c>
      <c r="H4734" s="1">
        <v>-7.8166049999999993E-6</v>
      </c>
      <c r="I4734">
        <v>138.11240000000001</v>
      </c>
      <c r="J4734">
        <v>-190.71260000000001</v>
      </c>
      <c r="K4734">
        <v>1.121095</v>
      </c>
      <c r="L4734">
        <v>167.22409999999999</v>
      </c>
      <c r="M4734">
        <v>-6.8717319999999998E-2</v>
      </c>
      <c r="N4734">
        <v>-1.3316100000000001E-2</v>
      </c>
      <c r="O4734">
        <v>-0.99754730000000003</v>
      </c>
      <c r="P4734">
        <v>-0.2483495</v>
      </c>
      <c r="Q4734">
        <v>0.16364870000000001</v>
      </c>
      <c r="R4734">
        <v>-0.95474680000000001</v>
      </c>
      <c r="S4734">
        <v>-1.213455</v>
      </c>
      <c r="T4734">
        <v>-0.10915569999999999</v>
      </c>
      <c r="U4734">
        <v>-2.8468170000000002</v>
      </c>
      <c r="V4734">
        <v>0.1824906</v>
      </c>
      <c r="W4734">
        <v>0.17619170000000001</v>
      </c>
      <c r="X4734">
        <v>0.96729200000000004</v>
      </c>
      <c r="Y4734">
        <v>0.32776739999999999</v>
      </c>
      <c r="Z4734">
        <v>2.2450709999999999E-2</v>
      </c>
      <c r="AA4734">
        <v>0.94449159999999999</v>
      </c>
      <c r="AB4734">
        <v>18</v>
      </c>
      <c r="AC4734">
        <v>-12.453399999999901</v>
      </c>
      <c r="AD4734">
        <v>-1.1211028166050001</v>
      </c>
      <c r="AE4734">
        <v>-29.1116999999999</v>
      </c>
      <c r="AF4734">
        <v>10.4102509817317</v>
      </c>
      <c r="AG4734">
        <v>-1.1211028166050001</v>
      </c>
      <c r="AH4734">
        <v>29.861277584832099</v>
      </c>
      <c r="AI4734">
        <v>92.030351382354098</v>
      </c>
      <c r="AJ4734">
        <v>70.780402225328501</v>
      </c>
      <c r="AK4734">
        <v>31.643737074284399</v>
      </c>
      <c r="AL4734">
        <v>79.851985617531099</v>
      </c>
      <c r="AM4734">
        <v>79.316078513828501</v>
      </c>
      <c r="AN4734">
        <v>1.0000000737506201</v>
      </c>
    </row>
    <row r="4735" spans="1:40" x14ac:dyDescent="0.25">
      <c r="A4735" t="str">
        <f>"20190303170347910"</f>
        <v>20190303170347910</v>
      </c>
      <c r="B4735" t="str">
        <f>"1551603827900567"</f>
        <v>1551603827900567</v>
      </c>
      <c r="C4735" t="s">
        <v>40</v>
      </c>
      <c r="D4735">
        <v>4.128088</v>
      </c>
      <c r="E4735">
        <v>0.56447939999999996</v>
      </c>
      <c r="F4735" t="s">
        <v>90</v>
      </c>
      <c r="G4735">
        <v>-203.33600000000001</v>
      </c>
      <c r="H4735" s="1">
        <v>-7.6858670000000001E-6</v>
      </c>
      <c r="I4735">
        <v>137.89519999999999</v>
      </c>
      <c r="J4735">
        <v>-190.72200000000001</v>
      </c>
      <c r="K4735">
        <v>1.1210560000000001</v>
      </c>
      <c r="L4735">
        <v>167.10570000000001</v>
      </c>
      <c r="M4735">
        <v>-6.9774439999999993E-2</v>
      </c>
      <c r="N4735">
        <v>-1.326681E-2</v>
      </c>
      <c r="O4735">
        <v>-0.99747459999999999</v>
      </c>
      <c r="P4735">
        <v>-0.25036019999999998</v>
      </c>
      <c r="Q4735">
        <v>0.16370309999999999</v>
      </c>
      <c r="R4735">
        <v>-0.95421239999999996</v>
      </c>
      <c r="S4735">
        <v>-1.223465</v>
      </c>
      <c r="T4735">
        <v>-0.1086578</v>
      </c>
      <c r="U4735">
        <v>-2.8425750000000001</v>
      </c>
      <c r="V4735">
        <v>0.18351580000000001</v>
      </c>
      <c r="W4735">
        <v>0.1761837</v>
      </c>
      <c r="X4735">
        <v>0.96709940000000005</v>
      </c>
      <c r="Y4735">
        <v>0.3300844</v>
      </c>
      <c r="Z4735">
        <v>2.2347990000000002E-2</v>
      </c>
      <c r="AA4735">
        <v>0.94368680000000005</v>
      </c>
      <c r="AB4735">
        <v>18</v>
      </c>
      <c r="AC4735">
        <v>-12.6139999999999</v>
      </c>
      <c r="AD4735">
        <v>-1.121063685867</v>
      </c>
      <c r="AE4735">
        <v>-29.2105</v>
      </c>
      <c r="AF4735">
        <v>10.531851478830999</v>
      </c>
      <c r="AG4735">
        <v>-1.121063685867</v>
      </c>
      <c r="AH4735">
        <v>29.982286704002899</v>
      </c>
      <c r="AI4735">
        <v>92.020425418432396</v>
      </c>
      <c r="AJ4735">
        <v>70.645199705258605</v>
      </c>
      <c r="AK4735">
        <v>31.798021878113101</v>
      </c>
      <c r="AL4735">
        <v>79.852450483457105</v>
      </c>
      <c r="AM4735">
        <v>79.255361532676901</v>
      </c>
      <c r="AN4735">
        <v>0.99999999723784505</v>
      </c>
    </row>
    <row r="4736" spans="1:40" x14ac:dyDescent="0.25">
      <c r="A4736" t="str">
        <f>"20190303170347922"</f>
        <v>20190303170347922</v>
      </c>
      <c r="B4736" t="str">
        <f>"1551603827910327"</f>
        <v>1551603827910327</v>
      </c>
      <c r="C4736" t="s">
        <v>40</v>
      </c>
      <c r="D4736">
        <v>4.1138760000000003</v>
      </c>
      <c r="E4736">
        <v>0.56450619999999996</v>
      </c>
      <c r="F4736" t="s">
        <v>90</v>
      </c>
      <c r="G4736">
        <v>-203.4649</v>
      </c>
      <c r="H4736" s="1">
        <v>-7.57405099999999E-6</v>
      </c>
      <c r="I4736">
        <v>137.6893</v>
      </c>
      <c r="J4736">
        <v>-190.72980000000001</v>
      </c>
      <c r="K4736">
        <v>1.121024</v>
      </c>
      <c r="L4736">
        <v>167.0086</v>
      </c>
      <c r="M4736">
        <v>-7.0658150000000003E-2</v>
      </c>
      <c r="N4736">
        <v>-1.321783E-2</v>
      </c>
      <c r="O4736">
        <v>-0.99741310000000005</v>
      </c>
      <c r="P4736">
        <v>-0.25225799999999998</v>
      </c>
      <c r="Q4736">
        <v>0.16385359999999999</v>
      </c>
      <c r="R4736">
        <v>-0.9536869</v>
      </c>
      <c r="S4736">
        <v>-1.230148</v>
      </c>
      <c r="T4736">
        <v>-0.1082234</v>
      </c>
      <c r="U4736">
        <v>-2.8397519999999998</v>
      </c>
      <c r="V4736">
        <v>0.18459600000000001</v>
      </c>
      <c r="W4736">
        <v>0.1762724</v>
      </c>
      <c r="X4736">
        <v>0.9668776</v>
      </c>
      <c r="Y4736">
        <v>0.33146100000000001</v>
      </c>
      <c r="Z4736">
        <v>2.2262549999999999E-2</v>
      </c>
      <c r="AA4736">
        <v>0.94320619999999999</v>
      </c>
      <c r="AB4736">
        <v>18</v>
      </c>
      <c r="AC4736">
        <v>-12.7350999999999</v>
      </c>
      <c r="AD4736">
        <v>-1.121031574051</v>
      </c>
      <c r="AE4736">
        <v>-29.319299999999998</v>
      </c>
      <c r="AF4736">
        <v>10.618376397278601</v>
      </c>
      <c r="AG4736">
        <v>-1.121031574051</v>
      </c>
      <c r="AH4736">
        <v>30.108892588140701</v>
      </c>
      <c r="AI4736">
        <v>92.011000003769993</v>
      </c>
      <c r="AJ4736">
        <v>70.573997085172394</v>
      </c>
      <c r="AK4736">
        <v>31.946080228855902</v>
      </c>
      <c r="AL4736">
        <v>79.847287242486203</v>
      </c>
      <c r="AM4736">
        <v>79.191181512225199</v>
      </c>
      <c r="AN4736">
        <v>0.99999996779975897</v>
      </c>
    </row>
    <row r="4737" spans="1:40" x14ac:dyDescent="0.25">
      <c r="A4737" t="str">
        <f>"20190303170347938"</f>
        <v>20190303170347938</v>
      </c>
      <c r="B4737" t="str">
        <f>"1551603827929846"</f>
        <v>1551603827929846</v>
      </c>
      <c r="C4737" t="s">
        <v>40</v>
      </c>
      <c r="D4737">
        <v>4.1371919999999998</v>
      </c>
      <c r="E4737">
        <v>0.56457559999999996</v>
      </c>
      <c r="F4737" t="s">
        <v>90</v>
      </c>
      <c r="G4737">
        <v>-203.58940000000001</v>
      </c>
      <c r="H4737" s="1">
        <v>-7.4653070000000003E-6</v>
      </c>
      <c r="I4737">
        <v>137.488</v>
      </c>
      <c r="J4737">
        <v>-190.7407</v>
      </c>
      <c r="K4737">
        <v>1.120981</v>
      </c>
      <c r="L4737">
        <v>166.87530000000001</v>
      </c>
      <c r="M4737">
        <v>-7.1902270000000004E-2</v>
      </c>
      <c r="N4737">
        <v>-1.313891E-2</v>
      </c>
      <c r="O4737">
        <v>-0.99732540000000003</v>
      </c>
      <c r="P4737">
        <v>-0.25539040000000002</v>
      </c>
      <c r="Q4737">
        <v>0.163635</v>
      </c>
      <c r="R4737">
        <v>-0.95289020000000002</v>
      </c>
      <c r="S4737">
        <v>-1.235962</v>
      </c>
      <c r="T4737">
        <v>-0.1077442</v>
      </c>
      <c r="U4737">
        <v>-2.8372799999999998</v>
      </c>
      <c r="V4737">
        <v>0.18658040000000001</v>
      </c>
      <c r="W4737">
        <v>0.17595649999999999</v>
      </c>
      <c r="X4737">
        <v>0.96655420000000003</v>
      </c>
      <c r="Y4737">
        <v>0.33221109999999998</v>
      </c>
      <c r="Z4737">
        <v>2.2193310000000001E-2</v>
      </c>
      <c r="AA4737">
        <v>0.94294389999999995</v>
      </c>
      <c r="AB4737">
        <v>18</v>
      </c>
      <c r="AC4737">
        <v>-12.848699999999999</v>
      </c>
      <c r="AD4737">
        <v>-1.1209884653069999</v>
      </c>
      <c r="AE4737">
        <v>-29.3873</v>
      </c>
      <c r="AF4737">
        <v>10.6891848980361</v>
      </c>
      <c r="AG4737">
        <v>-1.1209884653069999</v>
      </c>
      <c r="AH4737">
        <v>30.198264627222802</v>
      </c>
      <c r="AI4737">
        <v>92.004157710932205</v>
      </c>
      <c r="AJ4737">
        <v>70.507724294443094</v>
      </c>
      <c r="AK4737">
        <v>32.053868337839198</v>
      </c>
      <c r="AL4737">
        <v>79.865674486460605</v>
      </c>
      <c r="AM4737">
        <v>79.074200850889895</v>
      </c>
      <c r="AN4737">
        <v>0.99999997854702405</v>
      </c>
    </row>
    <row r="4738" spans="1:40" x14ac:dyDescent="0.25">
      <c r="A4738" t="str">
        <f>"20190303170347949"</f>
        <v>20190303170347949</v>
      </c>
      <c r="B4738" t="str">
        <f>"1551603827940582"</f>
        <v>1551603827940582</v>
      </c>
      <c r="C4738" t="s">
        <v>40</v>
      </c>
      <c r="D4738">
        <v>4.1176529999999998</v>
      </c>
      <c r="E4738">
        <v>0.56459269999999995</v>
      </c>
      <c r="F4738" t="s">
        <v>90</v>
      </c>
      <c r="G4738">
        <v>-203.62989999999999</v>
      </c>
      <c r="H4738" s="1">
        <v>-7.4734999999999997E-6</v>
      </c>
      <c r="I4738">
        <v>137.5641</v>
      </c>
      <c r="J4738">
        <v>-190.7484</v>
      </c>
      <c r="K4738">
        <v>1.120949</v>
      </c>
      <c r="L4738">
        <v>166.78380000000001</v>
      </c>
      <c r="M4738">
        <v>-7.2779979999999994E-2</v>
      </c>
      <c r="N4738">
        <v>-1.307846E-2</v>
      </c>
      <c r="O4738">
        <v>-0.99726250000000005</v>
      </c>
      <c r="P4738">
        <v>-0.2576657</v>
      </c>
      <c r="Q4738">
        <v>0.1634042</v>
      </c>
      <c r="R4738">
        <v>-0.95231730000000003</v>
      </c>
      <c r="S4738">
        <v>-1.245773</v>
      </c>
      <c r="T4738">
        <v>-0.1083469</v>
      </c>
      <c r="U4738">
        <v>-2.833008</v>
      </c>
      <c r="V4738">
        <v>0.18804650000000001</v>
      </c>
      <c r="W4738">
        <v>0.1756519</v>
      </c>
      <c r="X4738">
        <v>0.96632549999999995</v>
      </c>
      <c r="Y4738">
        <v>0.33463739999999997</v>
      </c>
      <c r="Z4738">
        <v>2.2459440000000001E-2</v>
      </c>
      <c r="AA4738">
        <v>0.94207929999999995</v>
      </c>
      <c r="AB4738">
        <v>18</v>
      </c>
      <c r="AC4738">
        <v>-12.8814999999999</v>
      </c>
      <c r="AD4738">
        <v>-1.1209564734999999</v>
      </c>
      <c r="AE4738">
        <v>-29.2197</v>
      </c>
      <c r="AF4738">
        <v>10.7073480991439</v>
      </c>
      <c r="AG4738">
        <v>-1.1209564734999999</v>
      </c>
      <c r="AH4738">
        <v>30.042772136697899</v>
      </c>
      <c r="AI4738">
        <v>92.012918430897798</v>
      </c>
      <c r="AJ4738">
        <v>70.383756454402103</v>
      </c>
      <c r="AK4738">
        <v>31.913508180538201</v>
      </c>
      <c r="AL4738">
        <v>79.883403363766305</v>
      </c>
      <c r="AM4738">
        <v>78.987896689697493</v>
      </c>
      <c r="AN4738">
        <v>1.00000002404305</v>
      </c>
    </row>
    <row r="4739" spans="1:40" x14ac:dyDescent="0.25">
      <c r="A4739" t="str">
        <f>"20190303170347962"</f>
        <v>20190303170347962</v>
      </c>
      <c r="B4739" t="str">
        <f>"1551603827950342"</f>
        <v>1551603827950342</v>
      </c>
      <c r="C4739" t="s">
        <v>40</v>
      </c>
      <c r="D4739">
        <v>4.1273239999999998</v>
      </c>
      <c r="E4739">
        <v>0.56460929999999998</v>
      </c>
      <c r="F4739" t="s">
        <v>90</v>
      </c>
      <c r="G4739">
        <v>-203.64279999999999</v>
      </c>
      <c r="H4739" s="1">
        <v>-7.4971069999999997E-6</v>
      </c>
      <c r="I4739">
        <v>137.65690000000001</v>
      </c>
      <c r="J4739">
        <v>-190.756</v>
      </c>
      <c r="K4739">
        <v>1.120916</v>
      </c>
      <c r="L4739">
        <v>166.6935</v>
      </c>
      <c r="M4739">
        <v>-7.3661760000000007E-2</v>
      </c>
      <c r="N4739">
        <v>-1.301741E-2</v>
      </c>
      <c r="O4739">
        <v>-0.99719860000000005</v>
      </c>
      <c r="P4739">
        <v>-0.25956839999999998</v>
      </c>
      <c r="Q4739">
        <v>0.1635964</v>
      </c>
      <c r="R4739">
        <v>-0.95176749999999999</v>
      </c>
      <c r="S4739">
        <v>-1.2528079999999999</v>
      </c>
      <c r="T4739">
        <v>-0.1089104</v>
      </c>
      <c r="U4739">
        <v>-2.8299259999999999</v>
      </c>
      <c r="V4739">
        <v>0.189136</v>
      </c>
      <c r="W4739">
        <v>0.17577110000000001</v>
      </c>
      <c r="X4739">
        <v>0.96609120000000004</v>
      </c>
      <c r="Y4739">
        <v>0.33613920000000003</v>
      </c>
      <c r="Z4739">
        <v>2.2711740000000001E-2</v>
      </c>
      <c r="AA4739">
        <v>0.94153849999999994</v>
      </c>
      <c r="AB4739">
        <v>18</v>
      </c>
      <c r="AC4739">
        <v>-12.886799999999999</v>
      </c>
      <c r="AD4739">
        <v>-1.1209234971069999</v>
      </c>
      <c r="AE4739">
        <v>-29.0366</v>
      </c>
      <c r="AF4739">
        <v>10.699395576443299</v>
      </c>
      <c r="AG4739">
        <v>-1.1209234971069999</v>
      </c>
      <c r="AH4739">
        <v>29.869858291395499</v>
      </c>
      <c r="AI4739">
        <v>92.0233504573132</v>
      </c>
      <c r="AJ4739">
        <v>70.292454932054</v>
      </c>
      <c r="AK4739">
        <v>31.7481018257097</v>
      </c>
      <c r="AL4739">
        <v>79.876466100937293</v>
      </c>
      <c r="AM4739">
        <v>78.923048447369396</v>
      </c>
      <c r="AN4739">
        <v>1.0000000564043201</v>
      </c>
    </row>
    <row r="4740" spans="1:40" x14ac:dyDescent="0.25">
      <c r="A4740" t="str">
        <f>"20190303170347973"</f>
        <v>20190303170347973</v>
      </c>
      <c r="B4740" t="str">
        <f>"1551603827960102"</f>
        <v>1551603827960102</v>
      </c>
      <c r="C4740" t="s">
        <v>40</v>
      </c>
      <c r="D4740">
        <v>4.1112909999999996</v>
      </c>
      <c r="E4740">
        <v>0.56461159999999999</v>
      </c>
      <c r="F4740" t="s">
        <v>90</v>
      </c>
      <c r="G4740">
        <v>-203.786</v>
      </c>
      <c r="H4740" s="1">
        <v>-7.3698269999999998E-6</v>
      </c>
      <c r="I4740">
        <v>137.41800000000001</v>
      </c>
      <c r="J4740">
        <v>-190.7647</v>
      </c>
      <c r="K4740">
        <v>1.1208849999999999</v>
      </c>
      <c r="L4740">
        <v>166.5907</v>
      </c>
      <c r="M4740">
        <v>-7.4681929999999994E-2</v>
      </c>
      <c r="N4740">
        <v>-1.294649E-2</v>
      </c>
      <c r="O4740">
        <v>-0.99712350000000005</v>
      </c>
      <c r="P4740">
        <v>-0.262123299999999</v>
      </c>
      <c r="Q4740">
        <v>0.163635</v>
      </c>
      <c r="R4740">
        <v>-0.95106020000000002</v>
      </c>
      <c r="S4740">
        <v>-1.258453</v>
      </c>
      <c r="T4740">
        <v>-0.1082598</v>
      </c>
      <c r="U4740">
        <v>-2.8274539999999999</v>
      </c>
      <c r="V4740">
        <v>0.19075400000000001</v>
      </c>
      <c r="W4740">
        <v>0.17572460000000001</v>
      </c>
      <c r="X4740">
        <v>0.96578149999999996</v>
      </c>
      <c r="Y4740">
        <v>0.33705269999999998</v>
      </c>
      <c r="Z4740">
        <v>2.2577739999999999E-2</v>
      </c>
      <c r="AA4740">
        <v>0.94121500000000002</v>
      </c>
      <c r="AB4740">
        <v>18</v>
      </c>
      <c r="AC4740">
        <v>-13.021299999999901</v>
      </c>
      <c r="AD4740">
        <v>-1.1208923698269999</v>
      </c>
      <c r="AE4740">
        <v>-29.172699999999899</v>
      </c>
      <c r="AF4740">
        <v>10.7927884982774</v>
      </c>
      <c r="AG4740">
        <v>-1.1208923698269999</v>
      </c>
      <c r="AH4740">
        <v>30.0267918437921</v>
      </c>
      <c r="AI4740">
        <v>92.011936959870795</v>
      </c>
      <c r="AJ4740">
        <v>70.229603369655706</v>
      </c>
      <c r="AK4740">
        <v>31.9272440355209</v>
      </c>
      <c r="AL4740">
        <v>79.879172563066604</v>
      </c>
      <c r="AM4740">
        <v>78.827169787174697</v>
      </c>
      <c r="AN4740">
        <v>1.0000000646517</v>
      </c>
    </row>
    <row r="4741" spans="1:40" x14ac:dyDescent="0.25">
      <c r="A4741" t="str">
        <f>"20190303170347995"</f>
        <v>20190303170347995</v>
      </c>
      <c r="B4741" t="str">
        <f>"1551603827980600"</f>
        <v>1551603827980600</v>
      </c>
      <c r="C4741" t="s">
        <v>40</v>
      </c>
      <c r="D4741">
        <v>4.085699</v>
      </c>
      <c r="E4741">
        <v>0.56461790000000001</v>
      </c>
      <c r="F4741" t="s">
        <v>90</v>
      </c>
      <c r="G4741">
        <v>-203.8827</v>
      </c>
      <c r="H4741" s="1">
        <v>-7.3039429999999998E-6</v>
      </c>
      <c r="I4741">
        <v>137.3278</v>
      </c>
      <c r="J4741">
        <v>-190.77860000000001</v>
      </c>
      <c r="K4741">
        <v>1.120841</v>
      </c>
      <c r="L4741">
        <v>166.4306</v>
      </c>
      <c r="M4741">
        <v>-7.632034E-2</v>
      </c>
      <c r="N4741">
        <v>-1.2835030000000001E-2</v>
      </c>
      <c r="O4741">
        <v>-0.99700080000000002</v>
      </c>
      <c r="P4741">
        <v>-0.26589800000000002</v>
      </c>
      <c r="Q4741">
        <v>0.1633425</v>
      </c>
      <c r="R4741">
        <v>-0.95006199999999996</v>
      </c>
      <c r="S4741">
        <v>-1.265976</v>
      </c>
      <c r="T4741">
        <v>-0.1081737</v>
      </c>
      <c r="U4741">
        <v>-2.8240660000000002</v>
      </c>
      <c r="V4741">
        <v>0.19301409999999999</v>
      </c>
      <c r="W4741">
        <v>0.17530119999999999</v>
      </c>
      <c r="X4741">
        <v>0.96540930000000003</v>
      </c>
      <c r="Y4741">
        <v>0.3380147</v>
      </c>
      <c r="Z4741">
        <v>2.267243E-2</v>
      </c>
      <c r="AA4741">
        <v>0.94086769999999997</v>
      </c>
      <c r="AB4741">
        <v>18</v>
      </c>
      <c r="AC4741">
        <v>-13.104099999999899</v>
      </c>
      <c r="AD4741">
        <v>-1.1208483039429999</v>
      </c>
      <c r="AE4741">
        <v>-29.102799999999998</v>
      </c>
      <c r="AF4741">
        <v>10.831197608039099</v>
      </c>
      <c r="AG4741">
        <v>-1.1208483039429999</v>
      </c>
      <c r="AH4741">
        <v>29.981120752175801</v>
      </c>
      <c r="AI4741">
        <v>92.013746282075502</v>
      </c>
      <c r="AJ4741">
        <v>70.1368709834763</v>
      </c>
      <c r="AK4741">
        <v>31.897315625321699</v>
      </c>
      <c r="AL4741">
        <v>79.903813799806898</v>
      </c>
      <c r="AM4741">
        <v>78.693934373736397</v>
      </c>
      <c r="AN4741">
        <v>1.00000003502336</v>
      </c>
    </row>
    <row r="4742" spans="1:40" x14ac:dyDescent="0.25">
      <c r="A4742" t="str">
        <f>"20190303170348006"</f>
        <v>20190303170348006</v>
      </c>
      <c r="B4742" t="str">
        <f>"1551603828000119"</f>
        <v>1551603828000119</v>
      </c>
      <c r="C4742" t="s">
        <v>40</v>
      </c>
      <c r="D4742">
        <v>4.1451000000000002</v>
      </c>
      <c r="E4742">
        <v>0.56462270000000003</v>
      </c>
      <c r="F4742" t="s">
        <v>90</v>
      </c>
      <c r="G4742">
        <v>-203.96879999999999</v>
      </c>
      <c r="H4742" s="1">
        <v>-7.2700559999999997E-6</v>
      </c>
      <c r="I4742">
        <v>137.32990000000001</v>
      </c>
      <c r="J4742">
        <v>-190.7876</v>
      </c>
      <c r="K4742">
        <v>1.120811</v>
      </c>
      <c r="L4742">
        <v>166.32939999999999</v>
      </c>
      <c r="M4742">
        <v>-7.7388579999999998E-2</v>
      </c>
      <c r="N4742">
        <v>-1.2763149999999999E-2</v>
      </c>
      <c r="O4742">
        <v>-0.99691949999999996</v>
      </c>
      <c r="P4742">
        <v>-0.2677079</v>
      </c>
      <c r="Q4742">
        <v>0.16315439999999901</v>
      </c>
      <c r="R4742">
        <v>-0.94958600000000004</v>
      </c>
      <c r="S4742">
        <v>-1.2776339999999999</v>
      </c>
      <c r="T4742">
        <v>-0.1085685</v>
      </c>
      <c r="U4742">
        <v>-2.8187709999999999</v>
      </c>
      <c r="V4742">
        <v>0.19382550000000001</v>
      </c>
      <c r="W4742">
        <v>0.17503170000000001</v>
      </c>
      <c r="X4742">
        <v>0.96529560000000003</v>
      </c>
      <c r="Y4742">
        <v>0.3408948</v>
      </c>
      <c r="Z4742">
        <v>2.2885160000000002E-2</v>
      </c>
      <c r="AA4742">
        <v>0.93982290000000002</v>
      </c>
      <c r="AB4742">
        <v>18</v>
      </c>
      <c r="AC4742">
        <v>-13.181199999999899</v>
      </c>
      <c r="AD4742">
        <v>-1.1208182700560001</v>
      </c>
      <c r="AE4742">
        <v>-28.999499999999902</v>
      </c>
      <c r="AF4742">
        <v>10.8837764335402</v>
      </c>
      <c r="AG4742">
        <v>-1.1208182700560001</v>
      </c>
      <c r="AH4742">
        <v>29.8956624791692</v>
      </c>
      <c r="AI4742">
        <v>92.017639394776396</v>
      </c>
      <c r="AJ4742">
        <v>69.995523637368805</v>
      </c>
      <c r="AK4742">
        <v>31.8349408373596</v>
      </c>
      <c r="AL4742">
        <v>79.919497224084395</v>
      </c>
      <c r="AM4742">
        <v>78.646334780563194</v>
      </c>
      <c r="AN4742">
        <v>1.00000000791725</v>
      </c>
    </row>
    <row r="4743" spans="1:40" x14ac:dyDescent="0.25">
      <c r="A4743" t="str">
        <f>"20190303170348018"</f>
        <v>20190303170348018</v>
      </c>
      <c r="B4743" t="str">
        <f>"1551603828009879"</f>
        <v>1551603828009879</v>
      </c>
      <c r="C4743" t="s">
        <v>40</v>
      </c>
      <c r="D4743">
        <v>4.135758</v>
      </c>
      <c r="E4743">
        <v>0.56461879999999998</v>
      </c>
      <c r="F4743" t="s">
        <v>90</v>
      </c>
      <c r="G4743">
        <v>-203.99770000000001</v>
      </c>
      <c r="H4743" s="1">
        <v>-7.2607459999999998E-6</v>
      </c>
      <c r="I4743">
        <v>137.33709999999999</v>
      </c>
      <c r="J4743">
        <v>-190.7961</v>
      </c>
      <c r="K4743">
        <v>1.120789</v>
      </c>
      <c r="L4743">
        <v>166.23490000000001</v>
      </c>
      <c r="M4743">
        <v>-7.8397969999999997E-2</v>
      </c>
      <c r="N4743">
        <v>-1.269525E-2</v>
      </c>
      <c r="O4743">
        <v>-0.99684150000000005</v>
      </c>
      <c r="P4743">
        <v>-0.269428</v>
      </c>
      <c r="Q4743">
        <v>0.162775799999999</v>
      </c>
      <c r="R4743">
        <v>-0.94916460000000002</v>
      </c>
      <c r="S4743">
        <v>-1.2831729999999999</v>
      </c>
      <c r="T4743">
        <v>-0.1088721</v>
      </c>
      <c r="U4743">
        <v>-2.816208</v>
      </c>
      <c r="V4743">
        <v>0.19459979999999999</v>
      </c>
      <c r="W4743">
        <v>0.174576799999999</v>
      </c>
      <c r="X4743">
        <v>0.96522220000000003</v>
      </c>
      <c r="Y4743">
        <v>0.34179490000000001</v>
      </c>
      <c r="Z4743">
        <v>2.3059940000000001E-2</v>
      </c>
      <c r="AA4743">
        <v>0.93949159999999998</v>
      </c>
      <c r="AB4743">
        <v>18</v>
      </c>
      <c r="AC4743">
        <v>-13.201599999999999</v>
      </c>
      <c r="AD4743">
        <v>-1.120796260746</v>
      </c>
      <c r="AE4743">
        <v>-28.8978</v>
      </c>
      <c r="AF4743">
        <v>10.881707203495701</v>
      </c>
      <c r="AG4743">
        <v>-1.120796260746</v>
      </c>
      <c r="AH4743">
        <v>29.806808777935501</v>
      </c>
      <c r="AI4743">
        <v>92.022948409099399</v>
      </c>
      <c r="AJ4743">
        <v>69.944148867744104</v>
      </c>
      <c r="AK4743">
        <v>31.7508044850068</v>
      </c>
      <c r="AL4743">
        <v>79.945968754925701</v>
      </c>
      <c r="AM4743">
        <v>78.601319641562597</v>
      </c>
      <c r="AN4743">
        <v>1.00000001831556</v>
      </c>
    </row>
    <row r="4744" spans="1:40" x14ac:dyDescent="0.25">
      <c r="A4744" t="str">
        <f>"20190303170348032"</f>
        <v>20190303170348032</v>
      </c>
      <c r="B4744" t="str">
        <f>"1551603828020615"</f>
        <v>1551603828020615</v>
      </c>
      <c r="C4744" t="s">
        <v>40</v>
      </c>
      <c r="D4744">
        <v>4.112571</v>
      </c>
      <c r="E4744">
        <v>0.56462489999999999</v>
      </c>
      <c r="F4744" t="s">
        <v>90</v>
      </c>
      <c r="G4744">
        <v>-203.9716</v>
      </c>
      <c r="H4744" s="1">
        <v>-7.3127850000000003E-6</v>
      </c>
      <c r="I4744">
        <v>137.46700000000001</v>
      </c>
      <c r="J4744">
        <v>-190.80549999999999</v>
      </c>
      <c r="K4744">
        <v>1.1207609999999999</v>
      </c>
      <c r="L4744">
        <v>166.1318</v>
      </c>
      <c r="M4744">
        <v>-7.9522590000000004E-2</v>
      </c>
      <c r="N4744">
        <v>-1.261961E-2</v>
      </c>
      <c r="O4744">
        <v>-0.99675329999999995</v>
      </c>
      <c r="P4744">
        <v>-0.27146350000000002</v>
      </c>
      <c r="Q4744">
        <v>0.16255890000000001</v>
      </c>
      <c r="R4744">
        <v>-0.94862139999999995</v>
      </c>
      <c r="S4744">
        <v>-1.288635</v>
      </c>
      <c r="T4744">
        <v>-0.1096205</v>
      </c>
      <c r="U4744">
        <v>-2.8136749999999999</v>
      </c>
      <c r="V4744">
        <v>0.19558790000000001</v>
      </c>
      <c r="W4744">
        <v>0.1742735</v>
      </c>
      <c r="X4744">
        <v>0.96507730000000003</v>
      </c>
      <c r="Y4744">
        <v>0.34255940000000001</v>
      </c>
      <c r="Z4744">
        <v>2.3387829999999998E-2</v>
      </c>
      <c r="AA4744">
        <v>0.93920510000000001</v>
      </c>
      <c r="AB4744">
        <v>18</v>
      </c>
      <c r="AC4744">
        <v>-13.1661</v>
      </c>
      <c r="AD4744">
        <v>-1.1207683127850001</v>
      </c>
      <c r="AE4744">
        <v>-28.6647999999999</v>
      </c>
      <c r="AF4744">
        <v>10.831043522362901</v>
      </c>
      <c r="AG4744">
        <v>-1.1207683127850001</v>
      </c>
      <c r="AH4744">
        <v>29.583744700088101</v>
      </c>
      <c r="AI4744">
        <v>92.037455048031404</v>
      </c>
      <c r="AJ4744">
        <v>69.891579443896802</v>
      </c>
      <c r="AK4744">
        <v>31.5240475807636</v>
      </c>
      <c r="AL4744">
        <v>79.963617297646607</v>
      </c>
      <c r="AM4744">
        <v>78.543293592371</v>
      </c>
      <c r="AN4744">
        <v>1.0000000372019699</v>
      </c>
    </row>
    <row r="4745" spans="1:40" x14ac:dyDescent="0.25">
      <c r="A4745" t="str">
        <f>"20190303170348045"</f>
        <v>20190303170348045</v>
      </c>
      <c r="B4745" t="str">
        <f>"1551603828040136"</f>
        <v>1551603828040136</v>
      </c>
      <c r="C4745" t="s">
        <v>40</v>
      </c>
      <c r="D4745">
        <v>4.0916779999999999</v>
      </c>
      <c r="E4745">
        <v>0.56459550000000003</v>
      </c>
      <c r="F4745" t="s">
        <v>90</v>
      </c>
      <c r="G4745">
        <v>-204.00559999999999</v>
      </c>
      <c r="H4745" s="1">
        <v>-7.3022339999999998E-6</v>
      </c>
      <c r="I4745">
        <v>137.47669999999999</v>
      </c>
      <c r="J4745">
        <v>-190.8158</v>
      </c>
      <c r="K4745">
        <v>1.1207339999999999</v>
      </c>
      <c r="L4745">
        <v>166.02109999999999</v>
      </c>
      <c r="M4745">
        <v>-8.0754790000000007E-2</v>
      </c>
      <c r="N4745">
        <v>-1.2539730000000001E-2</v>
      </c>
      <c r="O4745">
        <v>-0.99665530000000002</v>
      </c>
      <c r="P4745">
        <v>-0.27357930000000003</v>
      </c>
      <c r="Q4745">
        <v>0.162692</v>
      </c>
      <c r="R4745">
        <v>-0.94799069999999996</v>
      </c>
      <c r="S4745">
        <v>-1.2948</v>
      </c>
      <c r="T4745">
        <v>-0.1099367</v>
      </c>
      <c r="U4745">
        <v>-2.810791</v>
      </c>
      <c r="V4745">
        <v>0.1965606</v>
      </c>
      <c r="W4745">
        <v>0.17431479999999999</v>
      </c>
      <c r="X4745">
        <v>0.96487219999999996</v>
      </c>
      <c r="Y4745">
        <v>0.34346169999999998</v>
      </c>
      <c r="Z4745">
        <v>2.3580130000000001E-2</v>
      </c>
      <c r="AA4745">
        <v>0.9388706</v>
      </c>
      <c r="AB4745">
        <v>18</v>
      </c>
      <c r="AC4745">
        <v>-13.1897999999999</v>
      </c>
      <c r="AD4745">
        <v>-1.120741302234</v>
      </c>
      <c r="AE4745">
        <v>-28.5444</v>
      </c>
      <c r="AF4745">
        <v>10.8276825431047</v>
      </c>
      <c r="AG4745">
        <v>-1.120741302234</v>
      </c>
      <c r="AH4745">
        <v>29.478933882030901</v>
      </c>
      <c r="AI4745">
        <v>92.043859599051999</v>
      </c>
      <c r="AJ4745">
        <v>69.831596151635296</v>
      </c>
      <c r="AK4745">
        <v>31.424549529658101</v>
      </c>
      <c r="AL4745">
        <v>79.961214234330797</v>
      </c>
      <c r="AM4745">
        <v>78.485452740554507</v>
      </c>
      <c r="AN4745">
        <v>1.0000000406521099</v>
      </c>
    </row>
    <row r="4746" spans="1:40" x14ac:dyDescent="0.25">
      <c r="A4746" t="str">
        <f>"20190303170348063"</f>
        <v>20190303170348063</v>
      </c>
      <c r="B4746" t="str">
        <f>"1551603828049896"</f>
        <v>1551603828049896</v>
      </c>
      <c r="C4746" t="s">
        <v>40</v>
      </c>
      <c r="D4746">
        <v>4.098725</v>
      </c>
      <c r="E4746">
        <v>0.56457829999999998</v>
      </c>
      <c r="F4746" t="s">
        <v>90</v>
      </c>
      <c r="G4746">
        <v>-204.14580000000001</v>
      </c>
      <c r="H4746" s="1">
        <v>-7.1720210000000001E-6</v>
      </c>
      <c r="I4746">
        <v>137.2457</v>
      </c>
      <c r="J4746">
        <v>-190.82849999999999</v>
      </c>
      <c r="K4746">
        <v>1.120698</v>
      </c>
      <c r="L4746">
        <v>165.88659999999999</v>
      </c>
      <c r="M4746">
        <v>-8.2277749999999997E-2</v>
      </c>
      <c r="N4746">
        <v>-1.2445049999999999E-2</v>
      </c>
      <c r="O4746">
        <v>-0.99653199999999997</v>
      </c>
      <c r="P4746">
        <v>-0.27796729999999997</v>
      </c>
      <c r="Q4746">
        <v>0.16256180000000001</v>
      </c>
      <c r="R4746">
        <v>-0.94673580000000002</v>
      </c>
      <c r="S4746">
        <v>-1.3007660000000001</v>
      </c>
      <c r="T4746">
        <v>-0.1093639</v>
      </c>
      <c r="U4746">
        <v>-2.8079529999999999</v>
      </c>
      <c r="V4746">
        <v>0.19956889999999999</v>
      </c>
      <c r="W4746">
        <v>0.17406679999999999</v>
      </c>
      <c r="X4746">
        <v>0.96429920000000002</v>
      </c>
      <c r="Y4746">
        <v>0.34403299999999998</v>
      </c>
      <c r="Z4746">
        <v>2.3498399999999999E-2</v>
      </c>
      <c r="AA4746">
        <v>0.93866349999999998</v>
      </c>
      <c r="AB4746">
        <v>18</v>
      </c>
      <c r="AC4746">
        <v>-13.317299999999999</v>
      </c>
      <c r="AD4746">
        <v>-1.120705172021</v>
      </c>
      <c r="AE4746">
        <v>-28.640899999999899</v>
      </c>
      <c r="AF4746">
        <v>10.9017246183637</v>
      </c>
      <c r="AG4746">
        <v>-1.120705172021</v>
      </c>
      <c r="AH4746">
        <v>29.6023108545225</v>
      </c>
      <c r="AI4746">
        <v>92.034643597678993</v>
      </c>
      <c r="AJ4746">
        <v>69.7826222047714</v>
      </c>
      <c r="AK4746">
        <v>31.565810423067099</v>
      </c>
      <c r="AL4746">
        <v>79.975643497303807</v>
      </c>
      <c r="AM4746">
        <v>78.307285077320003</v>
      </c>
      <c r="AN4746">
        <v>0.99999997191504397</v>
      </c>
    </row>
    <row r="4747" spans="1:40" x14ac:dyDescent="0.25">
      <c r="A4747" t="str">
        <f>"20190303170348079"</f>
        <v>20190303170348079</v>
      </c>
      <c r="B4747" t="str">
        <f>"1551603828070391"</f>
        <v>1551603828070391</v>
      </c>
      <c r="C4747" t="s">
        <v>40</v>
      </c>
      <c r="D4747">
        <v>4.1052410000000004</v>
      </c>
      <c r="E4747">
        <v>0.56454040000000005</v>
      </c>
      <c r="F4747" t="s">
        <v>90</v>
      </c>
      <c r="G4747">
        <v>-204.13659999999999</v>
      </c>
      <c r="H4747" s="1">
        <v>-7.2483899999999899E-6</v>
      </c>
      <c r="I4747">
        <v>137.47290000000001</v>
      </c>
      <c r="J4747">
        <v>-190.84030000000001</v>
      </c>
      <c r="K4747">
        <v>1.120662</v>
      </c>
      <c r="L4747">
        <v>165.7628</v>
      </c>
      <c r="M4747">
        <v>-8.3706520000000006E-2</v>
      </c>
      <c r="N4747">
        <v>-1.236108E-2</v>
      </c>
      <c r="O4747">
        <v>-0.99641400000000002</v>
      </c>
      <c r="P4747">
        <v>-0.28093240000000003</v>
      </c>
      <c r="Q4747">
        <v>0.16200609999999999</v>
      </c>
      <c r="R4747">
        <v>-0.9459554</v>
      </c>
      <c r="S4747">
        <v>-1.3125610000000001</v>
      </c>
      <c r="T4747">
        <v>-0.1105334</v>
      </c>
      <c r="U4747">
        <v>-2.8023989999999999</v>
      </c>
      <c r="V4747">
        <v>0.2012109</v>
      </c>
      <c r="W4747">
        <v>0.1734118</v>
      </c>
      <c r="X4747">
        <v>0.96407600000000004</v>
      </c>
      <c r="Y4747">
        <v>0.34663450000000001</v>
      </c>
      <c r="Z4747">
        <v>2.3978200000000002E-2</v>
      </c>
      <c r="AA4747">
        <v>0.93769380000000002</v>
      </c>
      <c r="AB4747">
        <v>18</v>
      </c>
      <c r="AC4747">
        <v>-13.296299999999899</v>
      </c>
      <c r="AD4747">
        <v>-1.12066924839</v>
      </c>
      <c r="AE4747">
        <v>-28.2898999999999</v>
      </c>
      <c r="AF4747">
        <v>10.867431227617599</v>
      </c>
      <c r="AG4747">
        <v>-1.12066924839</v>
      </c>
      <c r="AH4747">
        <v>29.266055584907399</v>
      </c>
      <c r="AI4747">
        <v>92.055889439961902</v>
      </c>
      <c r="AJ4747">
        <v>69.628413033793393</v>
      </c>
      <c r="AK4747">
        <v>31.238741500742002</v>
      </c>
      <c r="AL4747">
        <v>80.013752143966599</v>
      </c>
      <c r="AM4747">
        <v>78.211108784962406</v>
      </c>
      <c r="AN4747">
        <v>1.00000000621702</v>
      </c>
    </row>
    <row r="4748" spans="1:40" x14ac:dyDescent="0.25">
      <c r="A4748" t="str">
        <f>"20190303170348096"</f>
        <v>20190303170348096</v>
      </c>
      <c r="B4748" t="str">
        <f>"1551603828089911"</f>
        <v>1551603828089911</v>
      </c>
      <c r="C4748" t="s">
        <v>40</v>
      </c>
      <c r="D4748">
        <v>4.0788339999999996</v>
      </c>
      <c r="E4748">
        <v>0.56453909999999996</v>
      </c>
      <c r="F4748" t="s">
        <v>90</v>
      </c>
      <c r="G4748">
        <v>-203.99209999999999</v>
      </c>
      <c r="H4748" s="1">
        <v>-7.4371420000000002E-6</v>
      </c>
      <c r="I4748">
        <v>137.8895</v>
      </c>
      <c r="J4748">
        <v>-190.8545</v>
      </c>
      <c r="K4748">
        <v>1.120625</v>
      </c>
      <c r="L4748">
        <v>165.61859999999999</v>
      </c>
      <c r="M4748">
        <v>-8.5407789999999997E-2</v>
      </c>
      <c r="N4748">
        <v>-1.2268360000000001E-2</v>
      </c>
      <c r="O4748">
        <v>-0.99627069999999995</v>
      </c>
      <c r="P4748">
        <v>-0.285634</v>
      </c>
      <c r="Q4748">
        <v>0.16136239999999999</v>
      </c>
      <c r="R4748">
        <v>-0.9446563</v>
      </c>
      <c r="S4748">
        <v>-1.3204499999999999</v>
      </c>
      <c r="T4748">
        <v>-0.1125169</v>
      </c>
      <c r="U4748">
        <v>-2.7985229999999999</v>
      </c>
      <c r="V4748">
        <v>0.20436489999999999</v>
      </c>
      <c r="W4748">
        <v>0.17265139999999901</v>
      </c>
      <c r="X4748">
        <v>0.96354890000000004</v>
      </c>
      <c r="Y4748">
        <v>0.34768729999999998</v>
      </c>
      <c r="Z4748">
        <v>2.473202E-2</v>
      </c>
      <c r="AA4748">
        <v>0.93728429999999996</v>
      </c>
      <c r="AB4748">
        <v>18</v>
      </c>
      <c r="AC4748">
        <v>-13.1375999999999</v>
      </c>
      <c r="AD4748">
        <v>-1.120632437142</v>
      </c>
      <c r="AE4748">
        <v>-27.729099999999899</v>
      </c>
      <c r="AF4748">
        <v>10.7068486884869</v>
      </c>
      <c r="AG4748">
        <v>-1.120632437142</v>
      </c>
      <c r="AH4748">
        <v>28.711605561125801</v>
      </c>
      <c r="AI4748">
        <v>92.094407426176502</v>
      </c>
      <c r="AJ4748">
        <v>69.549004794587901</v>
      </c>
      <c r="AK4748">
        <v>30.663475337851001</v>
      </c>
      <c r="AL4748">
        <v>80.057987025756802</v>
      </c>
      <c r="AM4748">
        <v>78.025248061978104</v>
      </c>
      <c r="AN4748">
        <v>1.00000000048259</v>
      </c>
    </row>
    <row r="4749" spans="1:40" x14ac:dyDescent="0.25">
      <c r="A4749" t="str">
        <f>"20190303170348119"</f>
        <v>20190303170348119</v>
      </c>
      <c r="B4749" t="str">
        <f>"1551603828110407"</f>
        <v>1551603828110407</v>
      </c>
      <c r="C4749" t="s">
        <v>40</v>
      </c>
      <c r="D4749">
        <v>4.0495429999999999</v>
      </c>
      <c r="E4749">
        <v>0.59220890000000004</v>
      </c>
      <c r="F4749" t="s">
        <v>90</v>
      </c>
      <c r="G4749">
        <v>-203.97319999999999</v>
      </c>
      <c r="H4749" s="1">
        <v>-7.5333819999999997E-6</v>
      </c>
      <c r="I4749">
        <v>138.17959999999999</v>
      </c>
      <c r="J4749">
        <v>-190.8724</v>
      </c>
      <c r="K4749">
        <v>1.120593</v>
      </c>
      <c r="L4749">
        <v>165.43940000000001</v>
      </c>
      <c r="M4749">
        <v>-8.7574009999999994E-2</v>
      </c>
      <c r="N4749">
        <v>-1.215755E-2</v>
      </c>
      <c r="O4749">
        <v>-0.99608379999999996</v>
      </c>
      <c r="P4749">
        <v>-0.29065540000000001</v>
      </c>
      <c r="Q4749">
        <v>0.1613619</v>
      </c>
      <c r="R4749">
        <v>-0.94312359999999995</v>
      </c>
      <c r="S4749">
        <v>-1.3347020000000001</v>
      </c>
      <c r="T4749">
        <v>-0.1140137</v>
      </c>
      <c r="U4749">
        <v>-2.7916560000000001</v>
      </c>
      <c r="V4749">
        <v>0.20741319999999999</v>
      </c>
      <c r="W4749">
        <v>0.17251329999999901</v>
      </c>
      <c r="X4749">
        <v>0.9629221</v>
      </c>
      <c r="Y4749">
        <v>0.35043159999999901</v>
      </c>
      <c r="Z4749">
        <v>2.5351220000000001E-2</v>
      </c>
      <c r="AA4749">
        <v>0.93624510000000005</v>
      </c>
      <c r="AB4749">
        <v>18</v>
      </c>
      <c r="AC4749">
        <v>-13.1007999999999</v>
      </c>
      <c r="AD4749">
        <v>-1.1206005333819999</v>
      </c>
      <c r="AE4749">
        <v>-27.259799999999998</v>
      </c>
      <c r="AF4749">
        <v>10.6484147456482</v>
      </c>
      <c r="AG4749">
        <v>-1.1206005333819999</v>
      </c>
      <c r="AH4749">
        <v>28.2636266465719</v>
      </c>
      <c r="AI4749">
        <v>92.124829977033201</v>
      </c>
      <c r="AJ4749">
        <v>69.3559337260197</v>
      </c>
      <c r="AK4749">
        <v>30.223783240480699</v>
      </c>
      <c r="AL4749">
        <v>80.066020328908905</v>
      </c>
      <c r="AM4749">
        <v>77.844228440382295</v>
      </c>
      <c r="AN4749">
        <v>1.0000000224397601</v>
      </c>
    </row>
    <row r="4750" spans="1:40" x14ac:dyDescent="0.25">
      <c r="A4750" t="str">
        <f>"20190303170348132"</f>
        <v>20190303170348132</v>
      </c>
      <c r="B4750" t="str">
        <f>"1551603828120168"</f>
        <v>1551603828120168</v>
      </c>
      <c r="C4750" t="s">
        <v>40</v>
      </c>
      <c r="D4750">
        <v>4.0574029999999999</v>
      </c>
      <c r="E4750">
        <v>0.59724650000000001</v>
      </c>
      <c r="F4750" t="s">
        <v>90</v>
      </c>
      <c r="G4750">
        <v>-207.9776</v>
      </c>
      <c r="H4750" s="1">
        <v>-5.0126059999999998E-6</v>
      </c>
      <c r="I4750">
        <v>135.70089999999999</v>
      </c>
      <c r="J4750">
        <v>-190.88399999999999</v>
      </c>
      <c r="K4750">
        <v>1.1205689999999999</v>
      </c>
      <c r="L4750">
        <v>165.32650000000001</v>
      </c>
      <c r="M4750">
        <v>-8.8964299999999996E-2</v>
      </c>
      <c r="N4750">
        <v>-1.2087830000000001E-2</v>
      </c>
      <c r="O4750">
        <v>-0.9959614</v>
      </c>
      <c r="P4750">
        <v>-0.29318179999999999</v>
      </c>
      <c r="Q4750">
        <v>0.16181289999999901</v>
      </c>
      <c r="R4750">
        <v>-0.94226379999999998</v>
      </c>
      <c r="S4750">
        <v>-1.5626679999999999</v>
      </c>
      <c r="T4750">
        <v>-0.10237400000000001</v>
      </c>
      <c r="U4750">
        <v>-2.716812</v>
      </c>
      <c r="V4750">
        <v>0.2086672</v>
      </c>
      <c r="W4750">
        <v>0.1728806</v>
      </c>
      <c r="X4750">
        <v>0.96258520000000003</v>
      </c>
      <c r="Y4750">
        <v>0.41927249999999999</v>
      </c>
      <c r="Z4750">
        <v>2.1356469999999999E-2</v>
      </c>
      <c r="AA4750">
        <v>0.9076092</v>
      </c>
      <c r="AB4750">
        <v>18</v>
      </c>
      <c r="AC4750">
        <v>-17.093599999999899</v>
      </c>
      <c r="AD4750">
        <v>-1.120574012606</v>
      </c>
      <c r="AE4750">
        <v>-29.625599999999999</v>
      </c>
      <c r="AF4750">
        <v>14.3745682243337</v>
      </c>
      <c r="AG4750">
        <v>-1.120574012606</v>
      </c>
      <c r="AH4750">
        <v>30.995673731517599</v>
      </c>
      <c r="AI4750">
        <v>91.8784737428672</v>
      </c>
      <c r="AJ4750">
        <v>65.119993667618004</v>
      </c>
      <c r="AK4750">
        <v>34.1850213956996</v>
      </c>
      <c r="AL4750">
        <v>80.044654189863095</v>
      </c>
      <c r="AM4750">
        <v>77.768789934080104</v>
      </c>
      <c r="AN4750">
        <v>0.99999998473561902</v>
      </c>
    </row>
    <row r="4751" spans="1:40" x14ac:dyDescent="0.25">
      <c r="A4751" t="str">
        <f>"20190303170348146"</f>
        <v>20190303170348146</v>
      </c>
      <c r="B4751" t="str">
        <f>"1551603828140664"</f>
        <v>1551603828140664</v>
      </c>
      <c r="C4751" t="s">
        <v>40</v>
      </c>
      <c r="D4751">
        <v>4.0850839999999904</v>
      </c>
      <c r="E4751">
        <v>0.60320750000000001</v>
      </c>
      <c r="F4751" t="s">
        <v>90</v>
      </c>
      <c r="G4751">
        <v>-209.08860000000001</v>
      </c>
      <c r="H4751" s="1">
        <v>-4.0239550000000002E-6</v>
      </c>
      <c r="I4751">
        <v>134.7663</v>
      </c>
      <c r="J4751">
        <v>-190.89570000000001</v>
      </c>
      <c r="K4751">
        <v>1.1205459999999901</v>
      </c>
      <c r="L4751">
        <v>165.21369999999999</v>
      </c>
      <c r="M4751">
        <v>-9.0379950000000001E-2</v>
      </c>
      <c r="N4751">
        <v>-1.2017389999999999E-2</v>
      </c>
      <c r="O4751">
        <v>-0.99583509999999997</v>
      </c>
      <c r="P4751">
        <v>-0.29590250000000001</v>
      </c>
      <c r="Q4751">
        <v>0.1619352</v>
      </c>
      <c r="R4751">
        <v>-0.94139229999999996</v>
      </c>
      <c r="S4751">
        <v>-1.6085510000000001</v>
      </c>
      <c r="T4751">
        <v>-9.9013210000000004E-2</v>
      </c>
      <c r="U4751">
        <v>-2.7002869999999999</v>
      </c>
      <c r="V4751">
        <v>0.21009130000000001</v>
      </c>
      <c r="W4751">
        <v>0.17291909999999999</v>
      </c>
      <c r="X4751">
        <v>0.96226849999999997</v>
      </c>
      <c r="Y4751">
        <v>0.43181809999999998</v>
      </c>
      <c r="Z4751">
        <v>2.028632E-2</v>
      </c>
      <c r="AA4751">
        <v>0.9017326</v>
      </c>
      <c r="AB4751">
        <v>18</v>
      </c>
      <c r="AC4751">
        <v>-18.192900000000002</v>
      </c>
      <c r="AD4751">
        <v>-1.1205500239549999</v>
      </c>
      <c r="AE4751">
        <v>-30.447399999999899</v>
      </c>
      <c r="AF4751">
        <v>15.351077821525701</v>
      </c>
      <c r="AG4751">
        <v>-1.1205500239549999</v>
      </c>
      <c r="AH4751">
        <v>31.935288896585099</v>
      </c>
      <c r="AI4751">
        <v>91.811330284731696</v>
      </c>
      <c r="AJ4751">
        <v>64.326720462011806</v>
      </c>
      <c r="AK4751">
        <v>35.451007031494598</v>
      </c>
      <c r="AL4751">
        <v>80.042414904816198</v>
      </c>
      <c r="AM4751">
        <v>77.683924457204299</v>
      </c>
      <c r="AN4751">
        <v>1.0000000177863699</v>
      </c>
    </row>
    <row r="4752" spans="1:40" x14ac:dyDescent="0.25">
      <c r="A4752" t="str">
        <f>"20190303170348161"</f>
        <v>20190303170348161</v>
      </c>
      <c r="B4752" t="str">
        <f>"1551603828150423"</f>
        <v>1551603828150423</v>
      </c>
      <c r="C4752" t="s">
        <v>40</v>
      </c>
      <c r="D4752">
        <v>4.0730890000000004</v>
      </c>
      <c r="E4752">
        <v>0.60484799999999905</v>
      </c>
      <c r="F4752" t="s">
        <v>42</v>
      </c>
      <c r="G4752">
        <v>-211.0367</v>
      </c>
      <c r="H4752" s="1">
        <v>-5.4373819999999997E-6</v>
      </c>
      <c r="I4752">
        <v>132.73920000000001</v>
      </c>
      <c r="J4752">
        <v>-190.90780000000001</v>
      </c>
      <c r="K4752">
        <v>1.1205240000000001</v>
      </c>
      <c r="L4752">
        <v>165.09960000000001</v>
      </c>
      <c r="M4752">
        <v>-9.183086E-2</v>
      </c>
      <c r="N4752">
        <v>-1.194606E-2</v>
      </c>
      <c r="O4752">
        <v>-0.99570320000000001</v>
      </c>
      <c r="P4752">
        <v>-0.30030679999999998</v>
      </c>
      <c r="Q4752">
        <v>0.16236139999999999</v>
      </c>
      <c r="R4752">
        <v>-0.93992319999999996</v>
      </c>
      <c r="S4752">
        <v>-1.6622619999999999</v>
      </c>
      <c r="T4752">
        <v>-9.2480779999999999E-2</v>
      </c>
      <c r="U4752">
        <v>-2.680161</v>
      </c>
      <c r="V4752">
        <v>0.21321509999999999</v>
      </c>
      <c r="W4752">
        <v>0.17324979999999901</v>
      </c>
      <c r="X4752">
        <v>0.96152159999999998</v>
      </c>
      <c r="Y4752">
        <v>0.446608</v>
      </c>
      <c r="Z4752">
        <v>1.8188449999999998E-2</v>
      </c>
      <c r="AA4752">
        <v>0.89454480000000003</v>
      </c>
      <c r="AB4752">
        <v>18</v>
      </c>
      <c r="AC4752">
        <v>-20.128899999999899</v>
      </c>
      <c r="AD4752">
        <v>-1.1205294373819901</v>
      </c>
      <c r="AE4752">
        <v>-32.360399999999998</v>
      </c>
      <c r="AF4752">
        <v>17.0571947911757</v>
      </c>
      <c r="AG4752">
        <v>-1.1205294373819901</v>
      </c>
      <c r="AH4752">
        <v>34.042800845926699</v>
      </c>
      <c r="AI4752">
        <v>91.685611637754107</v>
      </c>
      <c r="AJ4752">
        <v>63.386774089877598</v>
      </c>
      <c r="AK4752">
        <v>38.0935134872012</v>
      </c>
      <c r="AL4752">
        <v>80.023176446075297</v>
      </c>
      <c r="AM4752">
        <v>77.497109439512201</v>
      </c>
      <c r="AN4752">
        <v>0.99999997966730403</v>
      </c>
    </row>
    <row r="4753" spans="1:40" x14ac:dyDescent="0.25">
      <c r="A4753" t="str">
        <f>"20190303170348173"</f>
        <v>20190303170348173</v>
      </c>
      <c r="B4753" t="str">
        <f>"1551603828160182"</f>
        <v>1551603828160182</v>
      </c>
      <c r="C4753" t="s">
        <v>40</v>
      </c>
      <c r="D4753">
        <v>4.0500590000000001</v>
      </c>
      <c r="E4753">
        <v>0.60601969999999905</v>
      </c>
      <c r="F4753" t="s">
        <v>42</v>
      </c>
      <c r="G4753">
        <v>-211.97319999999999</v>
      </c>
      <c r="H4753" s="1">
        <v>-5.1648479999999997E-6</v>
      </c>
      <c r="I4753">
        <v>131.7799</v>
      </c>
      <c r="J4753">
        <v>-190.91849999999999</v>
      </c>
      <c r="K4753">
        <v>1.1205000000000001</v>
      </c>
      <c r="L4753">
        <v>164.99850000000001</v>
      </c>
      <c r="M4753">
        <v>-9.3135860000000001E-2</v>
      </c>
      <c r="N4753">
        <v>-1.1882759999999999E-2</v>
      </c>
      <c r="O4753">
        <v>-0.99558259999999998</v>
      </c>
      <c r="P4753">
        <v>-0.30302610000000002</v>
      </c>
      <c r="Q4753">
        <v>0.16240460000000001</v>
      </c>
      <c r="R4753">
        <v>-0.93904189999999998</v>
      </c>
      <c r="S4753">
        <v>-1.68692</v>
      </c>
      <c r="T4753">
        <v>-8.9732049999999994E-2</v>
      </c>
      <c r="U4753">
        <v>-2.6682429999999999</v>
      </c>
      <c r="V4753">
        <v>0.21474869999999999</v>
      </c>
      <c r="W4753">
        <v>0.17321500000000001</v>
      </c>
      <c r="X4753">
        <v>0.96118650000000005</v>
      </c>
      <c r="Y4753">
        <v>0.45315070000000002</v>
      </c>
      <c r="Z4753">
        <v>1.7361769999999999E-2</v>
      </c>
      <c r="AA4753">
        <v>0.89126489999999903</v>
      </c>
      <c r="AB4753">
        <v>18</v>
      </c>
      <c r="AC4753">
        <v>-21.0547</v>
      </c>
      <c r="AD4753">
        <v>-1.120505164848</v>
      </c>
      <c r="AE4753">
        <v>-33.218600000000002</v>
      </c>
      <c r="AF4753">
        <v>17.8546171359624</v>
      </c>
      <c r="AG4753">
        <v>-1.120505164848</v>
      </c>
      <c r="AH4753">
        <v>35.006862404436703</v>
      </c>
      <c r="AI4753">
        <v>91.633268308736007</v>
      </c>
      <c r="AJ4753">
        <v>62.976967191706201</v>
      </c>
      <c r="AK4753">
        <v>39.313144116178499</v>
      </c>
      <c r="AL4753">
        <v>80.025200790659099</v>
      </c>
      <c r="AM4753">
        <v>77.405787425131706</v>
      </c>
      <c r="AN4753">
        <v>0.99999996407946901</v>
      </c>
    </row>
    <row r="4754" spans="1:40" x14ac:dyDescent="0.25">
      <c r="A4754" t="str">
        <f>"20190303170348185"</f>
        <v>20190303170348185</v>
      </c>
      <c r="B4754" t="str">
        <f>"1551603828169943"</f>
        <v>1551603828169943</v>
      </c>
      <c r="C4754" t="s">
        <v>40</v>
      </c>
      <c r="D4754">
        <v>4.0476260000000002</v>
      </c>
      <c r="E4754">
        <v>0.60686809999999902</v>
      </c>
      <c r="F4754" t="s">
        <v>42</v>
      </c>
      <c r="G4754">
        <v>-212.26490000000001</v>
      </c>
      <c r="H4754" s="1">
        <v>-5.0718549999999999E-6</v>
      </c>
      <c r="I4754">
        <v>131.65899999999999</v>
      </c>
      <c r="J4754">
        <v>-190.92830000000001</v>
      </c>
      <c r="K4754">
        <v>1.120476</v>
      </c>
      <c r="L4754">
        <v>164.9093</v>
      </c>
      <c r="M4754">
        <v>-9.4312300000000002E-2</v>
      </c>
      <c r="N4754">
        <v>-1.182749E-2</v>
      </c>
      <c r="O4754">
        <v>-0.99547240000000004</v>
      </c>
      <c r="P4754">
        <v>-0.30577259999999901</v>
      </c>
      <c r="Q4754">
        <v>0.1623098</v>
      </c>
      <c r="R4754">
        <v>-0.9381678</v>
      </c>
      <c r="S4754">
        <v>-1.70343</v>
      </c>
      <c r="T4754">
        <v>-8.9415789999999995E-2</v>
      </c>
      <c r="U4754">
        <v>-2.6604770000000002</v>
      </c>
      <c r="V4754">
        <v>0.2164334</v>
      </c>
      <c r="W4754">
        <v>0.17304919999999999</v>
      </c>
      <c r="X4754">
        <v>0.96083839999999998</v>
      </c>
      <c r="Y4754">
        <v>0.45720119999999997</v>
      </c>
      <c r="Z4754">
        <v>1.7311199999999999E-2</v>
      </c>
      <c r="AA4754">
        <v>0.88919479999999995</v>
      </c>
      <c r="AB4754">
        <v>18</v>
      </c>
      <c r="AC4754">
        <v>-21.336600000000001</v>
      </c>
      <c r="AD4754">
        <v>-1.120481071855</v>
      </c>
      <c r="AE4754">
        <v>-33.250300000000003</v>
      </c>
      <c r="AF4754">
        <v>18.0907989849904</v>
      </c>
      <c r="AG4754">
        <v>-1.120481071855</v>
      </c>
      <c r="AH4754">
        <v>35.086293796972697</v>
      </c>
      <c r="AI4754">
        <v>91.625854003249003</v>
      </c>
      <c r="AJ4754">
        <v>62.723973550750799</v>
      </c>
      <c r="AK4754">
        <v>39.491524383786398</v>
      </c>
      <c r="AL4754">
        <v>80.034845811874305</v>
      </c>
      <c r="AM4754">
        <v>77.305725259230499</v>
      </c>
      <c r="AN4754">
        <v>0.999999936585377</v>
      </c>
    </row>
    <row r="4755" spans="1:40" x14ac:dyDescent="0.25">
      <c r="A4755" t="str">
        <f>"20190303170348197"</f>
        <v>20190303170348197</v>
      </c>
      <c r="B4755" t="str">
        <f>"1551603828190439"</f>
        <v>1551603828190439</v>
      </c>
      <c r="C4755" t="s">
        <v>40</v>
      </c>
      <c r="D4755">
        <v>4.0211350000000001</v>
      </c>
      <c r="E4755">
        <v>0.60801719999999904</v>
      </c>
      <c r="F4755" t="s">
        <v>42</v>
      </c>
      <c r="G4755">
        <v>-212.35130000000001</v>
      </c>
      <c r="H4755" s="1">
        <v>-4.9987850000000001E-6</v>
      </c>
      <c r="I4755">
        <v>131.80889999999999</v>
      </c>
      <c r="J4755">
        <v>-190.93889999999999</v>
      </c>
      <c r="K4755">
        <v>1.1204529999999999</v>
      </c>
      <c r="L4755">
        <v>164.81209999999999</v>
      </c>
      <c r="M4755">
        <v>-9.5603190000000005E-2</v>
      </c>
      <c r="N4755">
        <v>-1.1767410000000001E-2</v>
      </c>
      <c r="O4755">
        <v>-0.99535010000000002</v>
      </c>
      <c r="P4755">
        <v>-0.30823679999999998</v>
      </c>
      <c r="Q4755">
        <v>0.16210450000000001</v>
      </c>
      <c r="R4755">
        <v>-0.93739640000000002</v>
      </c>
      <c r="S4755">
        <v>-1.71739199999999</v>
      </c>
      <c r="T4755">
        <v>-8.9824199999999896E-2</v>
      </c>
      <c r="U4755">
        <v>-2.6535190000000002</v>
      </c>
      <c r="V4755">
        <v>0.2177183</v>
      </c>
      <c r="W4755">
        <v>0.172769799999999</v>
      </c>
      <c r="X4755">
        <v>0.96059839999999996</v>
      </c>
      <c r="Y4755">
        <v>0.46040599999999998</v>
      </c>
      <c r="Z4755">
        <v>1.7503399999999999E-2</v>
      </c>
      <c r="AA4755">
        <v>0.88753590000000004</v>
      </c>
      <c r="AB4755">
        <v>18</v>
      </c>
      <c r="AC4755">
        <v>-21.412400000000002</v>
      </c>
      <c r="AD4755">
        <v>-1.1204579987850001</v>
      </c>
      <c r="AE4755">
        <v>-33.0031999999999</v>
      </c>
      <c r="AF4755">
        <v>18.1441604553413</v>
      </c>
      <c r="AG4755">
        <v>-1.1204579987850001</v>
      </c>
      <c r="AH4755">
        <v>34.870958186592802</v>
      </c>
      <c r="AI4755">
        <v>91.632710145596803</v>
      </c>
      <c r="AJ4755">
        <v>62.511004261436298</v>
      </c>
      <c r="AK4755">
        <v>39.324924788323699</v>
      </c>
      <c r="AL4755">
        <v>80.051099441054106</v>
      </c>
      <c r="AM4755">
        <v>77.229741006673095</v>
      </c>
      <c r="AN4755">
        <v>0.99999997401474405</v>
      </c>
    </row>
    <row r="4756" spans="1:40" x14ac:dyDescent="0.25">
      <c r="A4756" t="str">
        <f>"20190303170348208"</f>
        <v>20190303170348208</v>
      </c>
      <c r="B4756" t="str">
        <f>"1551603828200198"</f>
        <v>1551603828200198</v>
      </c>
      <c r="C4756" t="s">
        <v>40</v>
      </c>
      <c r="D4756">
        <v>4.0477749999999997</v>
      </c>
      <c r="E4756">
        <v>0.60849339999999996</v>
      </c>
      <c r="F4756" t="s">
        <v>42</v>
      </c>
      <c r="G4756">
        <v>-212.4676</v>
      </c>
      <c r="H4756" s="1">
        <v>-4.9172369999999997E-6</v>
      </c>
      <c r="I4756">
        <v>131.94759999999999</v>
      </c>
      <c r="J4756">
        <v>-190.94990000000001</v>
      </c>
      <c r="K4756">
        <v>1.120428</v>
      </c>
      <c r="L4756">
        <v>164.714</v>
      </c>
      <c r="M4756">
        <v>-9.693425E-2</v>
      </c>
      <c r="N4756">
        <v>-1.1707169999999999E-2</v>
      </c>
      <c r="O4756">
        <v>-0.99522200000000005</v>
      </c>
      <c r="P4756">
        <v>-0.31090230000000002</v>
      </c>
      <c r="Q4756">
        <v>0.16162989999999999</v>
      </c>
      <c r="R4756">
        <v>-0.93659800000000004</v>
      </c>
      <c r="S4756">
        <v>-1.7333069999999999</v>
      </c>
      <c r="T4756">
        <v>-9.0209960000000006E-2</v>
      </c>
      <c r="U4756">
        <v>-2.6459809999999999</v>
      </c>
      <c r="V4756">
        <v>0.21916830000000001</v>
      </c>
      <c r="W4756">
        <v>0.17221929999999999</v>
      </c>
      <c r="X4756">
        <v>0.96036750000000004</v>
      </c>
      <c r="Y4756">
        <v>0.46411079999999999</v>
      </c>
      <c r="Z4756">
        <v>1.7683959999999999E-2</v>
      </c>
      <c r="AA4756">
        <v>0.88560059999999996</v>
      </c>
      <c r="AB4756">
        <v>18</v>
      </c>
      <c r="AC4756">
        <v>-21.517699999999898</v>
      </c>
      <c r="AD4756">
        <v>-1.120432917237</v>
      </c>
      <c r="AE4756">
        <v>-32.766399999999997</v>
      </c>
      <c r="AF4756">
        <v>18.225061763422602</v>
      </c>
      <c r="AG4756">
        <v>-1.120432917237</v>
      </c>
      <c r="AH4756">
        <v>34.669696270851297</v>
      </c>
      <c r="AI4756">
        <v>91.638541616856799</v>
      </c>
      <c r="AJ4756">
        <v>62.2701278466403</v>
      </c>
      <c r="AK4756">
        <v>39.184130534129203</v>
      </c>
      <c r="AL4756">
        <v>80.083120843696506</v>
      </c>
      <c r="AM4756">
        <v>77.1445194885858</v>
      </c>
      <c r="AN4756">
        <v>0.99999998303681403</v>
      </c>
    </row>
    <row r="4757" spans="1:40" x14ac:dyDescent="0.25">
      <c r="A4757" t="str">
        <f>"20190303170348221"</f>
        <v>20190303170348221</v>
      </c>
      <c r="B4757" t="str">
        <f>"1551603828209959"</f>
        <v>1551603828209959</v>
      </c>
      <c r="C4757" t="s">
        <v>40</v>
      </c>
      <c r="D4757">
        <v>4.0279850000000001</v>
      </c>
      <c r="E4757">
        <v>0.60886200000000001</v>
      </c>
      <c r="F4757" t="s">
        <v>42</v>
      </c>
      <c r="G4757">
        <v>-212.23089999999999</v>
      </c>
      <c r="H4757" s="1">
        <v>-4.9123559999999901E-6</v>
      </c>
      <c r="I4757">
        <v>132.51650000000001</v>
      </c>
      <c r="J4757">
        <v>-190.9607</v>
      </c>
      <c r="K4757">
        <v>1.1204019999999999</v>
      </c>
      <c r="L4757">
        <v>164.6191</v>
      </c>
      <c r="M4757">
        <v>-9.8236359999999995E-2</v>
      </c>
      <c r="N4757">
        <v>-1.1648850000000001E-2</v>
      </c>
      <c r="O4757">
        <v>-0.99509519999999996</v>
      </c>
      <c r="P4757">
        <v>-0.31344519999999998</v>
      </c>
      <c r="Q4757">
        <v>0.1616282</v>
      </c>
      <c r="R4757">
        <v>-0.93575090000000005</v>
      </c>
      <c r="S4757">
        <v>-1.7447509999999999</v>
      </c>
      <c r="T4757">
        <v>-9.1860059999999993E-2</v>
      </c>
      <c r="U4757">
        <v>-2.6397550000000001</v>
      </c>
      <c r="V4757">
        <v>0.220531</v>
      </c>
      <c r="W4757">
        <v>0.17214279999999901</v>
      </c>
      <c r="X4757">
        <v>0.96006919999999996</v>
      </c>
      <c r="Y4757">
        <v>0.46657729999999997</v>
      </c>
      <c r="Z4757">
        <v>1.8278309999999999E-2</v>
      </c>
      <c r="AA4757">
        <v>0.88429150000000001</v>
      </c>
      <c r="AB4757">
        <v>18</v>
      </c>
      <c r="AC4757">
        <v>-21.2701999999999</v>
      </c>
      <c r="AD4757">
        <v>-1.1204069123559901</v>
      </c>
      <c r="AE4757">
        <v>-32.102599999999903</v>
      </c>
      <c r="AF4757">
        <v>17.998213822735199</v>
      </c>
      <c r="AG4757">
        <v>-1.1204069123559901</v>
      </c>
      <c r="AH4757">
        <v>34.008163649991801</v>
      </c>
      <c r="AI4757">
        <v>91.667910873992597</v>
      </c>
      <c r="AJ4757">
        <v>62.110767462179297</v>
      </c>
      <c r="AK4757">
        <v>38.493456681659197</v>
      </c>
      <c r="AL4757">
        <v>80.087570265102002</v>
      </c>
      <c r="AM4757">
        <v>77.063385688351403</v>
      </c>
      <c r="AN4757">
        <v>0.99999996717073902</v>
      </c>
    </row>
    <row r="4758" spans="1:40" x14ac:dyDescent="0.25">
      <c r="A4758" t="str">
        <f>"20190303170348240"</f>
        <v>20190303170348240</v>
      </c>
      <c r="B4758" t="str">
        <f>"1551603828230455"</f>
        <v>1551603828230455</v>
      </c>
      <c r="C4758" t="s">
        <v>40</v>
      </c>
      <c r="D4758">
        <v>4.0128259999999996</v>
      </c>
      <c r="E4758">
        <v>0.60924849999999997</v>
      </c>
      <c r="F4758" t="s">
        <v>42</v>
      </c>
      <c r="G4758">
        <v>-212.47569999999999</v>
      </c>
      <c r="H4758" s="1">
        <v>-4.8289959999999997E-6</v>
      </c>
      <c r="I4758">
        <v>132.33420000000001</v>
      </c>
      <c r="J4758">
        <v>-190.9777</v>
      </c>
      <c r="K4758">
        <v>1.1203650000000001</v>
      </c>
      <c r="L4758">
        <v>164.47120000000001</v>
      </c>
      <c r="M4758">
        <v>-0.1002991</v>
      </c>
      <c r="N4758">
        <v>-1.1556540000000001E-2</v>
      </c>
      <c r="O4758">
        <v>-0.99489030000000001</v>
      </c>
      <c r="P4758">
        <v>-0.31762940000000001</v>
      </c>
      <c r="Q4758">
        <v>0.162748799999999</v>
      </c>
      <c r="R4758">
        <v>-0.93414399999999997</v>
      </c>
      <c r="S4758">
        <v>-1.7552029999999901</v>
      </c>
      <c r="T4758">
        <v>-9.1403250000000005E-2</v>
      </c>
      <c r="U4758">
        <v>-2.6338200000000001</v>
      </c>
      <c r="V4758">
        <v>0.22287660000000001</v>
      </c>
      <c r="W4758">
        <v>0.17314270000000001</v>
      </c>
      <c r="X4758">
        <v>0.95934750000000002</v>
      </c>
      <c r="Y4758">
        <v>0.46809529999999999</v>
      </c>
      <c r="Z4758">
        <v>1.8233900000000001E-2</v>
      </c>
      <c r="AA4758">
        <v>0.88348979999999999</v>
      </c>
      <c r="AB4758">
        <v>18</v>
      </c>
      <c r="AC4758">
        <v>-21.497999999999902</v>
      </c>
      <c r="AD4758">
        <v>-1.120369828996</v>
      </c>
      <c r="AE4758">
        <v>-32.137</v>
      </c>
      <c r="AF4758">
        <v>18.150810795755302</v>
      </c>
      <c r="AG4758">
        <v>-1.120369828996</v>
      </c>
      <c r="AH4758">
        <v>34.102661797194997</v>
      </c>
      <c r="AI4758">
        <v>91.661167327825694</v>
      </c>
      <c r="AJ4758">
        <v>61.976292807258197</v>
      </c>
      <c r="AK4758">
        <v>38.648398450012103</v>
      </c>
      <c r="AL4758">
        <v>80.029407184745807</v>
      </c>
      <c r="AM4758">
        <v>76.920995903852003</v>
      </c>
      <c r="AN4758">
        <v>0.99999999957355001</v>
      </c>
    </row>
    <row r="4759" spans="1:40" x14ac:dyDescent="0.25">
      <c r="A4759" t="str">
        <f>"20190303170348250"</f>
        <v>20190303170348250</v>
      </c>
      <c r="B4759" t="str">
        <f>"1551603828240215"</f>
        <v>1551603828240215</v>
      </c>
      <c r="C4759" t="s">
        <v>40</v>
      </c>
      <c r="D4759">
        <v>4.0093759999999996</v>
      </c>
      <c r="E4759">
        <v>0.60947340000000005</v>
      </c>
      <c r="F4759" t="s">
        <v>42</v>
      </c>
      <c r="G4759">
        <v>-214.0797</v>
      </c>
      <c r="H4759" s="1">
        <v>-4.7549970000000003E-6</v>
      </c>
      <c r="I4759">
        <v>130.23060000000001</v>
      </c>
      <c r="J4759">
        <v>-190.98859999999999</v>
      </c>
      <c r="K4759">
        <v>1.1203459999999901</v>
      </c>
      <c r="L4759">
        <v>164.3784</v>
      </c>
      <c r="M4759">
        <v>-0.1016142</v>
      </c>
      <c r="N4759">
        <v>-1.149639E-2</v>
      </c>
      <c r="O4759">
        <v>-0.99475769999999997</v>
      </c>
      <c r="P4759">
        <v>-0.32030389999999997</v>
      </c>
      <c r="Q4759">
        <v>0.1632477</v>
      </c>
      <c r="R4759">
        <v>-0.9331429</v>
      </c>
      <c r="S4759">
        <v>-1.7706759999999999</v>
      </c>
      <c r="T4759">
        <v>-8.5871699999999995E-2</v>
      </c>
      <c r="U4759">
        <v>-2.6244049999999999</v>
      </c>
      <c r="V4759">
        <v>0.22437750000000001</v>
      </c>
      <c r="W4759">
        <v>0.17356389999999999</v>
      </c>
      <c r="X4759">
        <v>0.95892140000000003</v>
      </c>
      <c r="Y4759">
        <v>0.47199350000000001</v>
      </c>
      <c r="Z4759">
        <v>1.6524170000000001E-2</v>
      </c>
      <c r="AA4759">
        <v>0.88144719999999999</v>
      </c>
      <c r="AB4759">
        <v>18</v>
      </c>
      <c r="AC4759">
        <v>-23.091100000000001</v>
      </c>
      <c r="AD4759">
        <v>-1.12035075499699</v>
      </c>
      <c r="AE4759">
        <v>-34.147799999999897</v>
      </c>
      <c r="AF4759">
        <v>19.487037772142202</v>
      </c>
      <c r="AG4759">
        <v>-1.12035075499699</v>
      </c>
      <c r="AH4759">
        <v>36.2907551591762</v>
      </c>
      <c r="AI4759">
        <v>91.557969403717806</v>
      </c>
      <c r="AJ4759">
        <v>61.765546755277903</v>
      </c>
      <c r="AK4759">
        <v>41.207022908363498</v>
      </c>
      <c r="AL4759">
        <v>80.004902912424996</v>
      </c>
      <c r="AM4759">
        <v>76.830330682714603</v>
      </c>
      <c r="AN4759">
        <v>0.99999997063370905</v>
      </c>
    </row>
    <row r="4760" spans="1:40" x14ac:dyDescent="0.25">
      <c r="A4760" t="str">
        <f>"20190303170348263"</f>
        <v>20190303170348263</v>
      </c>
      <c r="B4760" t="str">
        <f>"1551603828249974"</f>
        <v>1551603828249974</v>
      </c>
      <c r="C4760" t="s">
        <v>40</v>
      </c>
      <c r="D4760">
        <v>4.0141220000000004</v>
      </c>
      <c r="E4760">
        <v>0.60963049999999996</v>
      </c>
      <c r="F4760" t="s">
        <v>42</v>
      </c>
      <c r="G4760">
        <v>-214.61250000000001</v>
      </c>
      <c r="H4760">
        <v>4.5896770000000003E-3</v>
      </c>
      <c r="I4760">
        <v>129.6163</v>
      </c>
      <c r="J4760">
        <v>-190.99950000000001</v>
      </c>
      <c r="K4760">
        <v>1.1203259999999999</v>
      </c>
      <c r="L4760">
        <v>164.2869</v>
      </c>
      <c r="M4760">
        <v>-0.10292709999999999</v>
      </c>
      <c r="N4760">
        <v>-1.1436760000000001E-2</v>
      </c>
      <c r="O4760">
        <v>-0.99462309999999998</v>
      </c>
      <c r="P4760">
        <v>-0.3229359</v>
      </c>
      <c r="Q4760">
        <v>0.16390869999999999</v>
      </c>
      <c r="R4760">
        <v>-0.93211929999999998</v>
      </c>
      <c r="S4760">
        <v>-1.7796940000000001</v>
      </c>
      <c r="T4760">
        <v>-8.4054710000000005E-2</v>
      </c>
      <c r="U4760">
        <v>-2.6187740000000002</v>
      </c>
      <c r="V4760">
        <v>0.22584119999999999</v>
      </c>
      <c r="W4760">
        <v>0.17414859999999999</v>
      </c>
      <c r="X4760">
        <v>0.95847170000000004</v>
      </c>
      <c r="Y4760">
        <v>0.47379310000000002</v>
      </c>
      <c r="Z4760">
        <v>1.6008209999999998E-2</v>
      </c>
      <c r="AA4760">
        <v>0.88049069999999996</v>
      </c>
      <c r="AB4760">
        <v>18</v>
      </c>
      <c r="AC4760">
        <v>-23.613</v>
      </c>
      <c r="AD4760">
        <v>-1.1157363229999999</v>
      </c>
      <c r="AE4760">
        <v>-34.6706</v>
      </c>
      <c r="AF4760">
        <v>19.904712854475299</v>
      </c>
      <c r="AG4760">
        <v>-1.1157363229999999</v>
      </c>
      <c r="AH4760">
        <v>36.890914654639097</v>
      </c>
      <c r="AI4760">
        <v>91.524680483731998</v>
      </c>
      <c r="AJ4760">
        <v>61.650655137370101</v>
      </c>
      <c r="AK4760">
        <v>41.933066253464503</v>
      </c>
      <c r="AL4760">
        <v>79.970884203308998</v>
      </c>
      <c r="AM4760">
        <v>76.741443828418298</v>
      </c>
      <c r="AN4760">
        <v>0.99999999110014404</v>
      </c>
    </row>
    <row r="4761" spans="1:40" x14ac:dyDescent="0.25">
      <c r="A4761" t="str">
        <f>"20190303170348276"</f>
        <v>20190303170348276</v>
      </c>
      <c r="B4761" t="str">
        <f>"1551603828270471"</f>
        <v>1551603828270471</v>
      </c>
      <c r="C4761" t="s">
        <v>40</v>
      </c>
      <c r="D4761">
        <v>4.0375589999999999</v>
      </c>
      <c r="E4761">
        <v>0.60999639999999999</v>
      </c>
      <c r="F4761" t="s">
        <v>42</v>
      </c>
      <c r="G4761">
        <v>-214.72110000000001</v>
      </c>
      <c r="H4761">
        <v>3.0390420000000001E-2</v>
      </c>
      <c r="I4761">
        <v>129.6163</v>
      </c>
      <c r="J4761">
        <v>-191.01230000000001</v>
      </c>
      <c r="K4761">
        <v>1.120303</v>
      </c>
      <c r="L4761">
        <v>164.17949999999999</v>
      </c>
      <c r="M4761">
        <v>-0.10447869999999999</v>
      </c>
      <c r="N4761">
        <v>-1.136652E-2</v>
      </c>
      <c r="O4761">
        <v>-0.99446210000000002</v>
      </c>
      <c r="P4761">
        <v>-0.32584380000000002</v>
      </c>
      <c r="Q4761">
        <v>0.16372400000000001</v>
      </c>
      <c r="R4761">
        <v>-0.9311393</v>
      </c>
      <c r="S4761">
        <v>-1.7880860000000001</v>
      </c>
      <c r="T4761">
        <v>-8.2156899999999894E-2</v>
      </c>
      <c r="U4761">
        <v>-2.613388</v>
      </c>
      <c r="V4761">
        <v>0.2273435</v>
      </c>
      <c r="W4761">
        <v>0.17387859999999999</v>
      </c>
      <c r="X4761">
        <v>0.9581655</v>
      </c>
      <c r="Y4761">
        <v>0.47519719999999999</v>
      </c>
      <c r="Z4761">
        <v>1.5478189999999999E-2</v>
      </c>
      <c r="AA4761">
        <v>0.87974319999999895</v>
      </c>
      <c r="AB4761">
        <v>18</v>
      </c>
      <c r="AC4761">
        <v>-23.7088</v>
      </c>
      <c r="AD4761">
        <v>-1.08991258</v>
      </c>
      <c r="AE4761">
        <v>-34.563199999999902</v>
      </c>
      <c r="AF4761">
        <v>19.954182935455201</v>
      </c>
      <c r="AG4761">
        <v>-1.08991258</v>
      </c>
      <c r="AH4761">
        <v>36.826337909774999</v>
      </c>
      <c r="AI4761">
        <v>91.490590530957505</v>
      </c>
      <c r="AJ4761">
        <v>61.5491529816235</v>
      </c>
      <c r="AK4761">
        <v>41.899122781969901</v>
      </c>
      <c r="AL4761">
        <v>79.986593627766396</v>
      </c>
      <c r="AM4761">
        <v>76.652280835239097</v>
      </c>
      <c r="AN4761">
        <v>0.99999997996022905</v>
      </c>
    </row>
    <row r="4762" spans="1:40" x14ac:dyDescent="0.25">
      <c r="A4762" t="str">
        <f>"20190303170348293"</f>
        <v>20190303170348293</v>
      </c>
      <c r="B4762" t="str">
        <f>"1551603828280737"</f>
        <v>1551603828280737</v>
      </c>
      <c r="C4762" t="s">
        <v>40</v>
      </c>
      <c r="D4762">
        <v>4.0302509999999998</v>
      </c>
      <c r="E4762">
        <v>0.61010450000000005</v>
      </c>
      <c r="F4762" t="s">
        <v>42</v>
      </c>
      <c r="G4762">
        <v>-214.86</v>
      </c>
      <c r="H4762">
        <v>3.4273829999999998E-2</v>
      </c>
      <c r="I4762">
        <v>129.6163</v>
      </c>
      <c r="J4762">
        <v>-191.029</v>
      </c>
      <c r="K4762">
        <v>1.120274</v>
      </c>
      <c r="L4762">
        <v>164.0429</v>
      </c>
      <c r="M4762">
        <v>-0.1064826</v>
      </c>
      <c r="N4762">
        <v>-1.1276390000000001E-2</v>
      </c>
      <c r="O4762">
        <v>-0.99425059999999998</v>
      </c>
      <c r="P4762">
        <v>-0.329080599999999</v>
      </c>
      <c r="Q4762">
        <v>0.163774</v>
      </c>
      <c r="R4762">
        <v>-0.92999120000000002</v>
      </c>
      <c r="S4762">
        <v>-1.7986599999999999</v>
      </c>
      <c r="T4762">
        <v>-8.1911209999999998E-2</v>
      </c>
      <c r="U4762">
        <v>-2.6068419999999999</v>
      </c>
      <c r="V4762">
        <v>0.2287564</v>
      </c>
      <c r="W4762">
        <v>0.17382410000000001</v>
      </c>
      <c r="X4762">
        <v>0.95783910000000005</v>
      </c>
      <c r="Y4762">
        <v>0.47687489999999999</v>
      </c>
      <c r="Z4762">
        <v>1.5501060000000001E-2</v>
      </c>
      <c r="AA4762">
        <v>0.87883449999999996</v>
      </c>
      <c r="AB4762">
        <v>18</v>
      </c>
      <c r="AC4762">
        <v>-23.8309999999999</v>
      </c>
      <c r="AD4762">
        <v>-1.0860001699999999</v>
      </c>
      <c r="AE4762">
        <v>-34.426600000000001</v>
      </c>
      <c r="AF4762">
        <v>20.0159604243979</v>
      </c>
      <c r="AG4762">
        <v>-1.0860001699999999</v>
      </c>
      <c r="AH4762">
        <v>36.743873806126203</v>
      </c>
      <c r="AI4762">
        <v>91.486766783166004</v>
      </c>
      <c r="AJ4762">
        <v>61.420979249039497</v>
      </c>
      <c r="AK4762">
        <v>41.856066828607197</v>
      </c>
      <c r="AL4762">
        <v>79.989764989024096</v>
      </c>
      <c r="AM4762">
        <v>76.5679126384222</v>
      </c>
      <c r="AN4762">
        <v>1.0000000248852801</v>
      </c>
    </row>
    <row r="4763" spans="1:40" x14ac:dyDescent="0.25">
      <c r="A4763" t="str">
        <f>"20190303170348309"</f>
        <v>20190303170348309</v>
      </c>
      <c r="B4763" t="str">
        <f>"1551603828300257"</f>
        <v>1551603828300257</v>
      </c>
      <c r="C4763" t="s">
        <v>40</v>
      </c>
      <c r="D4763">
        <v>4.0028959999999998</v>
      </c>
      <c r="E4763">
        <v>0.61021119999999995</v>
      </c>
      <c r="F4763" t="s">
        <v>42</v>
      </c>
      <c r="G4763">
        <v>-214.97219999999999</v>
      </c>
      <c r="H4763">
        <v>4.4812310000000001E-2</v>
      </c>
      <c r="I4763">
        <v>129.6163</v>
      </c>
      <c r="J4763">
        <v>-191.04480000000001</v>
      </c>
      <c r="K4763">
        <v>1.120242</v>
      </c>
      <c r="L4763">
        <v>163.91669999999999</v>
      </c>
      <c r="M4763">
        <v>-0.1083586</v>
      </c>
      <c r="N4763">
        <v>-1.119479E-2</v>
      </c>
      <c r="O4763">
        <v>-0.99404899999999996</v>
      </c>
      <c r="P4763">
        <v>-0.3334762</v>
      </c>
      <c r="Q4763">
        <v>0.162905299999999</v>
      </c>
      <c r="R4763">
        <v>-0.92857710000000004</v>
      </c>
      <c r="S4763">
        <v>-1.8084260000000001</v>
      </c>
      <c r="T4763">
        <v>-8.1229449999999995E-2</v>
      </c>
      <c r="U4763">
        <v>-2.6002350000000001</v>
      </c>
      <c r="V4763">
        <v>0.23147029999999999</v>
      </c>
      <c r="W4763">
        <v>0.17285519999999999</v>
      </c>
      <c r="X4763">
        <v>0.9573623</v>
      </c>
      <c r="Y4763">
        <v>0.47848940000000001</v>
      </c>
      <c r="Z4763">
        <v>1.5377740000000001E-2</v>
      </c>
      <c r="AA4763">
        <v>0.87795869999999998</v>
      </c>
      <c r="AB4763">
        <v>18</v>
      </c>
      <c r="AC4763">
        <v>-23.927399999999899</v>
      </c>
      <c r="AD4763">
        <v>-1.07542969</v>
      </c>
      <c r="AE4763">
        <v>-34.300400000000003</v>
      </c>
      <c r="AF4763">
        <v>20.0562569238222</v>
      </c>
      <c r="AG4763">
        <v>-1.07542969</v>
      </c>
      <c r="AH4763">
        <v>36.667065104365498</v>
      </c>
      <c r="AI4763">
        <v>91.473995983315504</v>
      </c>
      <c r="AJ4763">
        <v>61.3220956004633</v>
      </c>
      <c r="AK4763">
        <v>41.807698503747801</v>
      </c>
      <c r="AL4763">
        <v>80.0461318676426</v>
      </c>
      <c r="AM4763">
        <v>76.407916538907898</v>
      </c>
      <c r="AN4763">
        <v>0.999999996705209</v>
      </c>
    </row>
    <row r="4764" spans="1:40" x14ac:dyDescent="0.25">
      <c r="A4764" t="str">
        <f>"20190303170348322"</f>
        <v>20190303170348322</v>
      </c>
      <c r="B4764" t="str">
        <f>"1551603828310018"</f>
        <v>1551603828310018</v>
      </c>
      <c r="C4764" t="s">
        <v>40</v>
      </c>
      <c r="D4764">
        <v>4.0049419999999998</v>
      </c>
      <c r="E4764">
        <v>0.61021579999999997</v>
      </c>
      <c r="F4764" t="s">
        <v>42</v>
      </c>
      <c r="G4764">
        <v>-215.15950000000001</v>
      </c>
      <c r="H4764">
        <v>2.1118350000000001E-2</v>
      </c>
      <c r="I4764">
        <v>129.6163</v>
      </c>
      <c r="J4764">
        <v>-191.05850000000001</v>
      </c>
      <c r="K4764">
        <v>1.120223</v>
      </c>
      <c r="L4764">
        <v>163.80779999999999</v>
      </c>
      <c r="M4764">
        <v>-0.1099902</v>
      </c>
      <c r="N4764">
        <v>-1.1125670000000001E-2</v>
      </c>
      <c r="O4764">
        <v>-0.99387049999999999</v>
      </c>
      <c r="P4764">
        <v>-0.3366421</v>
      </c>
      <c r="Q4764">
        <v>0.16321749999999999</v>
      </c>
      <c r="R4764">
        <v>-0.92737950000000002</v>
      </c>
      <c r="S4764">
        <v>-1.821671</v>
      </c>
      <c r="T4764">
        <v>-8.3029629999999993E-2</v>
      </c>
      <c r="U4764">
        <v>-2.59111</v>
      </c>
      <c r="V4764">
        <v>0.23317860000000001</v>
      </c>
      <c r="W4764">
        <v>0.17308490000000001</v>
      </c>
      <c r="X4764">
        <v>0.95690609999999998</v>
      </c>
      <c r="Y4764">
        <v>0.48149619999999999</v>
      </c>
      <c r="Z4764">
        <v>1.604419E-2</v>
      </c>
      <c r="AA4764">
        <v>0.87630129999999995</v>
      </c>
      <c r="AB4764">
        <v>18</v>
      </c>
      <c r="AC4764">
        <v>-24.100999999999999</v>
      </c>
      <c r="AD4764">
        <v>-1.0991046499999999</v>
      </c>
      <c r="AE4764">
        <v>-34.191499999999898</v>
      </c>
      <c r="AF4764">
        <v>20.1798599733036</v>
      </c>
      <c r="AG4764">
        <v>-1.0991046499999999</v>
      </c>
      <c r="AH4764">
        <v>36.609787792153497</v>
      </c>
      <c r="AI4764">
        <v>91.506095911537301</v>
      </c>
      <c r="AJ4764">
        <v>61.135791991423702</v>
      </c>
      <c r="AK4764">
        <v>41.817596078209803</v>
      </c>
      <c r="AL4764">
        <v>80.032769281215195</v>
      </c>
      <c r="AM4764">
        <v>76.305084567964698</v>
      </c>
      <c r="AN4764">
        <v>0.99999996316158901</v>
      </c>
    </row>
    <row r="4765" spans="1:40" x14ac:dyDescent="0.25">
      <c r="A4765" t="str">
        <f>"20190303170348335"</f>
        <v>20190303170348335</v>
      </c>
      <c r="B4765" t="str">
        <f>"1551603828320754"</f>
        <v>1551603828320754</v>
      </c>
      <c r="C4765" t="s">
        <v>40</v>
      </c>
      <c r="D4765">
        <v>4.0241790000000002</v>
      </c>
      <c r="E4765">
        <v>0.61021009999999998</v>
      </c>
      <c r="F4765" t="s">
        <v>42</v>
      </c>
      <c r="G4765">
        <v>-215.274</v>
      </c>
      <c r="H4765">
        <v>3.3010480000000002E-2</v>
      </c>
      <c r="I4765">
        <v>129.6163</v>
      </c>
      <c r="J4765">
        <v>-191.07149999999999</v>
      </c>
      <c r="K4765">
        <v>1.120209</v>
      </c>
      <c r="L4765">
        <v>163.7063</v>
      </c>
      <c r="M4765">
        <v>-0.11151899999999999</v>
      </c>
      <c r="N4765">
        <v>-1.10621E-2</v>
      </c>
      <c r="O4765">
        <v>-0.99370080000000005</v>
      </c>
      <c r="P4765">
        <v>-0.33941690000000002</v>
      </c>
      <c r="Q4765">
        <v>0.16337589999999999</v>
      </c>
      <c r="R4765">
        <v>-0.92633940000000004</v>
      </c>
      <c r="S4765">
        <v>-1.830673</v>
      </c>
      <c r="T4765">
        <v>-8.2192539999999994E-2</v>
      </c>
      <c r="U4765">
        <v>-2.584854</v>
      </c>
      <c r="V4765">
        <v>0.2345806</v>
      </c>
      <c r="W4765">
        <v>0.1731694</v>
      </c>
      <c r="X4765">
        <v>0.95654810000000001</v>
      </c>
      <c r="Y4765">
        <v>0.48318290000000003</v>
      </c>
      <c r="Z4765">
        <v>1.5851210000000001E-2</v>
      </c>
      <c r="AA4765">
        <v>0.87537589999999998</v>
      </c>
      <c r="AB4765">
        <v>18</v>
      </c>
      <c r="AC4765">
        <v>-24.202500000000001</v>
      </c>
      <c r="AD4765">
        <v>-1.0871985200000001</v>
      </c>
      <c r="AE4765">
        <v>-34.090000000000003</v>
      </c>
      <c r="AF4765">
        <v>20.235914093318801</v>
      </c>
      <c r="AG4765">
        <v>-1.0871985200000001</v>
      </c>
      <c r="AH4765">
        <v>36.551816392874798</v>
      </c>
      <c r="AI4765">
        <v>91.490630959559198</v>
      </c>
      <c r="AJ4765">
        <v>61.030092249195903</v>
      </c>
      <c r="AK4765">
        <v>41.793653841612198</v>
      </c>
      <c r="AL4765">
        <v>80.027853760597694</v>
      </c>
      <c r="AM4765">
        <v>76.2209116788502</v>
      </c>
      <c r="AN4765">
        <v>0.99999998330316398</v>
      </c>
    </row>
    <row r="4766" spans="1:40" x14ac:dyDescent="0.25">
      <c r="A4766" t="str">
        <f>"20190303170348346"</f>
        <v>20190303170348346</v>
      </c>
      <c r="B4766" t="str">
        <f>"1551603828340274"</f>
        <v>1551603828340274</v>
      </c>
      <c r="C4766" t="s">
        <v>40</v>
      </c>
      <c r="D4766">
        <v>4.0144010000000003</v>
      </c>
      <c r="E4766">
        <v>0.61031369999999996</v>
      </c>
      <c r="F4766" t="s">
        <v>42</v>
      </c>
      <c r="G4766">
        <v>-215.37219999999999</v>
      </c>
      <c r="H4766">
        <v>3.8420629999999997E-2</v>
      </c>
      <c r="I4766">
        <v>129.6163</v>
      </c>
      <c r="J4766">
        <v>-191.08369999999999</v>
      </c>
      <c r="K4766">
        <v>1.1202019999999999</v>
      </c>
      <c r="L4766">
        <v>163.61269999999999</v>
      </c>
      <c r="M4766">
        <v>-0.1129407</v>
      </c>
      <c r="N4766">
        <v>-1.100398E-2</v>
      </c>
      <c r="O4766">
        <v>-0.99354089999999995</v>
      </c>
      <c r="P4766">
        <v>-0.34251120000000002</v>
      </c>
      <c r="Q4766">
        <v>0.1640761</v>
      </c>
      <c r="R4766">
        <v>-0.9250758</v>
      </c>
      <c r="S4766">
        <v>-1.838638</v>
      </c>
      <c r="T4766">
        <v>-8.185017E-2</v>
      </c>
      <c r="U4766">
        <v>-2.5793149999999998</v>
      </c>
      <c r="V4766">
        <v>0.2364309</v>
      </c>
      <c r="W4766">
        <v>0.173797799999999</v>
      </c>
      <c r="X4766">
        <v>0.95597849999999995</v>
      </c>
      <c r="Y4766">
        <v>0.48461169999999998</v>
      </c>
      <c r="Z4766">
        <v>1.581076E-2</v>
      </c>
      <c r="AA4766">
        <v>0.87458649999999905</v>
      </c>
      <c r="AB4766">
        <v>18</v>
      </c>
      <c r="AC4766">
        <v>-24.288499999999999</v>
      </c>
      <c r="AD4766">
        <v>-1.0817813700000001</v>
      </c>
      <c r="AE4766">
        <v>-33.996399999999902</v>
      </c>
      <c r="AF4766">
        <v>20.279672653830499</v>
      </c>
      <c r="AG4766">
        <v>-1.0817813700000001</v>
      </c>
      <c r="AH4766">
        <v>36.497714610509398</v>
      </c>
      <c r="AI4766">
        <v>91.484133274713102</v>
      </c>
      <c r="AJ4766">
        <v>60.941599865202903</v>
      </c>
      <c r="AK4766">
        <v>41.7674340326191</v>
      </c>
      <c r="AL4766">
        <v>79.991295605839795</v>
      </c>
      <c r="AM4766">
        <v>76.108463756335297</v>
      </c>
      <c r="AN4766">
        <v>1.0000000691109401</v>
      </c>
    </row>
    <row r="4767" spans="1:40" x14ac:dyDescent="0.25">
      <c r="A4767" t="str">
        <f>"20190303170348363"</f>
        <v>20190303170348363</v>
      </c>
      <c r="B4767" t="str">
        <f>"1551603828350034"</f>
        <v>1551603828350034</v>
      </c>
      <c r="C4767" t="s">
        <v>40</v>
      </c>
      <c r="D4767">
        <v>4.0273269999999997</v>
      </c>
      <c r="E4767">
        <v>0.61036559999999995</v>
      </c>
      <c r="F4767" t="s">
        <v>42</v>
      </c>
      <c r="G4767">
        <v>-215.51140000000001</v>
      </c>
      <c r="H4767">
        <v>6.4583660000000001E-2</v>
      </c>
      <c r="I4767">
        <v>129.60169999999999</v>
      </c>
      <c r="J4767">
        <v>-191.10120000000001</v>
      </c>
      <c r="K4767">
        <v>1.1201890000000001</v>
      </c>
      <c r="L4767">
        <v>163.47899999999899</v>
      </c>
      <c r="M4767">
        <v>-0.1149751</v>
      </c>
      <c r="N4767">
        <v>-1.092051E-2</v>
      </c>
      <c r="O4767">
        <v>-0.99330850000000004</v>
      </c>
      <c r="P4767">
        <v>-0.346993099999999</v>
      </c>
      <c r="Q4767">
        <v>0.16480529999999999</v>
      </c>
      <c r="R4767">
        <v>-0.92327440000000005</v>
      </c>
      <c r="S4767">
        <v>-1.847961</v>
      </c>
      <c r="T4767">
        <v>-7.9857830000000005E-2</v>
      </c>
      <c r="U4767">
        <v>-2.572937</v>
      </c>
      <c r="V4767">
        <v>0.2391335</v>
      </c>
      <c r="W4767">
        <v>0.1744251</v>
      </c>
      <c r="X4767">
        <v>0.95519160000000003</v>
      </c>
      <c r="Y4767">
        <v>0.48594520000000002</v>
      </c>
      <c r="Z4767">
        <v>1.5265509999999999E-2</v>
      </c>
      <c r="AA4767">
        <v>0.87385599999999997</v>
      </c>
      <c r="AB4767">
        <v>18</v>
      </c>
      <c r="AC4767">
        <v>-24.4102</v>
      </c>
      <c r="AD4767">
        <v>-1.0556053399999901</v>
      </c>
      <c r="AE4767">
        <v>-33.877299999999899</v>
      </c>
      <c r="AF4767">
        <v>20.340024263969401</v>
      </c>
      <c r="AG4767">
        <v>-1.0556053399999901</v>
      </c>
      <c r="AH4767">
        <v>36.436057164048101</v>
      </c>
      <c r="AI4767">
        <v>91.449086941375597</v>
      </c>
      <c r="AJ4767">
        <v>60.828046133270298</v>
      </c>
      <c r="AK4767">
        <v>41.742270558206101</v>
      </c>
      <c r="AL4767">
        <v>79.954795465054701</v>
      </c>
      <c r="AM4767">
        <v>75.944811766559596</v>
      </c>
      <c r="AN4767">
        <v>0.99999996952140902</v>
      </c>
    </row>
    <row r="4768" spans="1:40" x14ac:dyDescent="0.25">
      <c r="A4768" t="str">
        <f>"20190303170348374"</f>
        <v>20190303170348374</v>
      </c>
      <c r="B4768" t="str">
        <f>"1551603828360769"</f>
        <v>1551603828360769</v>
      </c>
      <c r="C4768" t="s">
        <v>40</v>
      </c>
      <c r="D4768">
        <v>4.0182379999999904</v>
      </c>
      <c r="E4768">
        <v>0.61047589999999996</v>
      </c>
      <c r="F4768" t="s">
        <v>42</v>
      </c>
      <c r="G4768">
        <v>-216.0557</v>
      </c>
      <c r="H4768">
        <v>7.9986370000000001E-2</v>
      </c>
      <c r="I4768">
        <v>129.10480000000001</v>
      </c>
      <c r="J4768">
        <v>-191.114</v>
      </c>
      <c r="K4768">
        <v>1.12018</v>
      </c>
      <c r="L4768">
        <v>163.38319999999999</v>
      </c>
      <c r="M4768">
        <v>-0.1164366</v>
      </c>
      <c r="N4768">
        <v>-1.08603E-2</v>
      </c>
      <c r="O4768">
        <v>-0.99313870000000004</v>
      </c>
      <c r="P4768">
        <v>-0.34953919999999999</v>
      </c>
      <c r="Q4768">
        <v>0.16515289999999999</v>
      </c>
      <c r="R4768">
        <v>-0.92225089999999998</v>
      </c>
      <c r="S4768">
        <v>-1.861145</v>
      </c>
      <c r="T4768">
        <v>-7.7580209999999997E-2</v>
      </c>
      <c r="U4768">
        <v>-2.5636899999999998</v>
      </c>
      <c r="V4768">
        <v>0.24037600000000001</v>
      </c>
      <c r="W4768">
        <v>0.174704</v>
      </c>
      <c r="X4768">
        <v>0.95482869999999997</v>
      </c>
      <c r="Y4768">
        <v>0.48910520000000002</v>
      </c>
      <c r="Z4768">
        <v>1.460565E-2</v>
      </c>
      <c r="AA4768">
        <v>0.8721025</v>
      </c>
      <c r="AB4768">
        <v>18</v>
      </c>
      <c r="AC4768">
        <v>-24.941700000000001</v>
      </c>
      <c r="AD4768">
        <v>-1.0401936300000001</v>
      </c>
      <c r="AE4768">
        <v>-34.278399999999898</v>
      </c>
      <c r="AF4768">
        <v>20.768029584267602</v>
      </c>
      <c r="AG4768">
        <v>-1.0401936300000001</v>
      </c>
      <c r="AH4768">
        <v>36.9272798871243</v>
      </c>
      <c r="AI4768">
        <v>91.406452955931698</v>
      </c>
      <c r="AJ4768">
        <v>60.646448938010501</v>
      </c>
      <c r="AK4768">
        <v>42.379441424621497</v>
      </c>
      <c r="AL4768">
        <v>79.938566570337898</v>
      </c>
      <c r="AM4768">
        <v>75.869545866498896</v>
      </c>
      <c r="AN4768">
        <v>0.99999997766784399</v>
      </c>
    </row>
    <row r="4769" spans="1:40" x14ac:dyDescent="0.25">
      <c r="A4769" t="str">
        <f>"20190303170348385"</f>
        <v>20190303170348385</v>
      </c>
      <c r="B4769" t="str">
        <f>"1551603828370529"</f>
        <v>1551603828370529</v>
      </c>
      <c r="C4769" t="s">
        <v>40</v>
      </c>
      <c r="D4769">
        <v>4.0159640000000003</v>
      </c>
      <c r="E4769">
        <v>0.61043939999999997</v>
      </c>
      <c r="F4769" t="s">
        <v>42</v>
      </c>
      <c r="G4769">
        <v>-216.39869999999999</v>
      </c>
      <c r="H4769">
        <v>7.9986290000000002E-2</v>
      </c>
      <c r="I4769">
        <v>128.76929999999999</v>
      </c>
      <c r="J4769">
        <v>-191.1258</v>
      </c>
      <c r="K4769">
        <v>1.120174</v>
      </c>
      <c r="L4769">
        <v>163.29599999999999</v>
      </c>
      <c r="M4769">
        <v>-0.1177705</v>
      </c>
      <c r="N4769">
        <v>-1.0807199999999999E-2</v>
      </c>
      <c r="O4769">
        <v>-0.99298209999999998</v>
      </c>
      <c r="P4769">
        <v>-0.35192459999999998</v>
      </c>
      <c r="Q4769">
        <v>0.1651841</v>
      </c>
      <c r="R4769">
        <v>-0.92133790000000004</v>
      </c>
      <c r="S4769">
        <v>-1.8688199999999999</v>
      </c>
      <c r="T4769">
        <v>-7.6881770000000002E-2</v>
      </c>
      <c r="U4769">
        <v>-2.5583499999999999</v>
      </c>
      <c r="V4769">
        <v>0.24156839999999999</v>
      </c>
      <c r="W4769">
        <v>0.17467530000000001</v>
      </c>
      <c r="X4769">
        <v>0.95453299999999996</v>
      </c>
      <c r="Y4769">
        <v>0.49050859999999902</v>
      </c>
      <c r="Z4769">
        <v>1.4443330000000001E-2</v>
      </c>
      <c r="AA4769">
        <v>0.87131669999999894</v>
      </c>
      <c r="AB4769">
        <v>18</v>
      </c>
      <c r="AC4769">
        <v>-25.2729</v>
      </c>
      <c r="AD4769">
        <v>-1.0401877100000001</v>
      </c>
      <c r="AE4769">
        <v>-34.526699999999998</v>
      </c>
      <c r="AF4769">
        <v>21.0181158428224</v>
      </c>
      <c r="AG4769">
        <v>-1.0401877100000001</v>
      </c>
      <c r="AH4769">
        <v>37.240961716868803</v>
      </c>
      <c r="AI4769">
        <v>91.393424273037795</v>
      </c>
      <c r="AJ4769">
        <v>60.560414147076003</v>
      </c>
      <c r="AK4769">
        <v>42.775371578182998</v>
      </c>
      <c r="AL4769">
        <v>79.940236867997001</v>
      </c>
      <c r="AM4769">
        <v>75.798058355527701</v>
      </c>
      <c r="AN4769">
        <v>1.0000000001988201</v>
      </c>
    </row>
    <row r="4770" spans="1:40" x14ac:dyDescent="0.25">
      <c r="A4770" t="str">
        <f>"20190303170348397"</f>
        <v>20190303170348397</v>
      </c>
      <c r="B4770" t="str">
        <f>"1551603828390505"</f>
        <v>1551603828390505</v>
      </c>
      <c r="C4770" t="s">
        <v>40</v>
      </c>
      <c r="D4770">
        <v>4.0025269999999997</v>
      </c>
      <c r="E4770">
        <v>0.61039940000000004</v>
      </c>
      <c r="F4770" t="s">
        <v>42</v>
      </c>
      <c r="G4770">
        <v>-216.1926</v>
      </c>
      <c r="H4770">
        <v>7.9986329999999994E-2</v>
      </c>
      <c r="I4770">
        <v>129.1542</v>
      </c>
      <c r="J4770">
        <v>-191.13900000000001</v>
      </c>
      <c r="K4770">
        <v>1.1201589999999999</v>
      </c>
      <c r="L4770">
        <v>163.19890000000001</v>
      </c>
      <c r="M4770">
        <v>-0.11925529999999999</v>
      </c>
      <c r="N4770">
        <v>-1.07487E-2</v>
      </c>
      <c r="O4770">
        <v>-0.99280539999999995</v>
      </c>
      <c r="P4770">
        <v>-0.354433099999999</v>
      </c>
      <c r="Q4770">
        <v>0.165589299999999</v>
      </c>
      <c r="R4770">
        <v>-0.92030299999999998</v>
      </c>
      <c r="S4770">
        <v>-1.8750309999999999</v>
      </c>
      <c r="T4770">
        <v>-7.7807310000000005E-2</v>
      </c>
      <c r="U4770">
        <v>-2.5538479999999999</v>
      </c>
      <c r="V4770">
        <v>0.24275450000000001</v>
      </c>
      <c r="W4770">
        <v>0.17501429999999901</v>
      </c>
      <c r="X4770">
        <v>0.95416990000000002</v>
      </c>
      <c r="Y4770">
        <v>0.49131130000000001</v>
      </c>
      <c r="Z4770">
        <v>1.4811589999999999E-2</v>
      </c>
      <c r="AA4770">
        <v>0.87085809999999997</v>
      </c>
      <c r="AB4770">
        <v>18</v>
      </c>
      <c r="AC4770">
        <v>-25.0535999999999</v>
      </c>
      <c r="AD4770">
        <v>-1.04017267</v>
      </c>
      <c r="AE4770">
        <v>-34.044699999999999</v>
      </c>
      <c r="AF4770">
        <v>20.8019449758715</v>
      </c>
      <c r="AG4770">
        <v>-1.04017267</v>
      </c>
      <c r="AH4770">
        <v>36.767398628053499</v>
      </c>
      <c r="AI4770">
        <v>91.410504388182602</v>
      </c>
      <c r="AJ4770">
        <v>60.500057007848</v>
      </c>
      <c r="AK4770">
        <v>42.256886726742998</v>
      </c>
      <c r="AL4770">
        <v>79.920509467917697</v>
      </c>
      <c r="AM4770">
        <v>75.725959968225197</v>
      </c>
      <c r="AN4770">
        <v>0.99999997527037399</v>
      </c>
    </row>
    <row r="4771" spans="1:40" x14ac:dyDescent="0.25">
      <c r="A4771" t="str">
        <f>"20190303170348409"</f>
        <v>20190303170348409</v>
      </c>
      <c r="B4771" t="str">
        <f>"1551603828400266"</f>
        <v>1551603828400266</v>
      </c>
      <c r="C4771" t="s">
        <v>40</v>
      </c>
      <c r="D4771">
        <v>4.0488</v>
      </c>
      <c r="E4771">
        <v>0.61034460000000001</v>
      </c>
      <c r="F4771" t="s">
        <v>42</v>
      </c>
      <c r="G4771">
        <v>-216.3459</v>
      </c>
      <c r="H4771">
        <v>7.9986290000000002E-2</v>
      </c>
      <c r="I4771">
        <v>129.05420000000001</v>
      </c>
      <c r="J4771">
        <v>-191.15289999999999</v>
      </c>
      <c r="K4771">
        <v>1.1201479999999999</v>
      </c>
      <c r="L4771">
        <v>163.09809999999999</v>
      </c>
      <c r="M4771">
        <v>-0.1208002</v>
      </c>
      <c r="N4771">
        <v>-1.0690130000000001E-2</v>
      </c>
      <c r="O4771">
        <v>-0.99261960000000005</v>
      </c>
      <c r="P4771">
        <v>-0.35716710000000002</v>
      </c>
      <c r="Q4771">
        <v>0.1656569</v>
      </c>
      <c r="R4771">
        <v>-0.91923359999999998</v>
      </c>
      <c r="S4771">
        <v>-1.881775</v>
      </c>
      <c r="T4771">
        <v>-7.7652219999999994E-2</v>
      </c>
      <c r="U4771">
        <v>-2.5490110000000001</v>
      </c>
      <c r="V4771">
        <v>0.24411070000000001</v>
      </c>
      <c r="W4771">
        <v>0.1750167</v>
      </c>
      <c r="X4771">
        <v>0.95382339999999999</v>
      </c>
      <c r="Y4771">
        <v>0.49223729999999899</v>
      </c>
      <c r="Z4771">
        <v>1.483111E-2</v>
      </c>
      <c r="AA4771">
        <v>0.87033470000000002</v>
      </c>
      <c r="AB4771">
        <v>18</v>
      </c>
      <c r="AC4771">
        <v>-25.193000000000001</v>
      </c>
      <c r="AD4771">
        <v>-1.04016171</v>
      </c>
      <c r="AE4771">
        <v>-34.043899999999901</v>
      </c>
      <c r="AF4771">
        <v>20.883146377500601</v>
      </c>
      <c r="AG4771">
        <v>-1.04016171</v>
      </c>
      <c r="AH4771">
        <v>36.815847906901901</v>
      </c>
      <c r="AI4771">
        <v>91.407752069911993</v>
      </c>
      <c r="AJ4771">
        <v>60.4366827568006</v>
      </c>
      <c r="AK4771">
        <v>42.339041039107201</v>
      </c>
      <c r="AL4771">
        <v>79.920369837947206</v>
      </c>
      <c r="AM4771">
        <v>75.644502117687907</v>
      </c>
      <c r="AN4771">
        <v>0.99999997876046898</v>
      </c>
    </row>
    <row r="4772" spans="1:40" x14ac:dyDescent="0.25">
      <c r="A4772" t="str">
        <f>"20190303170348421"</f>
        <v>20190303170348421</v>
      </c>
      <c r="B4772" t="str">
        <f>"1551603828410026"</f>
        <v>1551603828410026</v>
      </c>
      <c r="C4772" t="s">
        <v>40</v>
      </c>
      <c r="D4772">
        <v>4.0165179999999996</v>
      </c>
      <c r="E4772">
        <v>0.61030859999999998</v>
      </c>
      <c r="F4772" t="s">
        <v>42</v>
      </c>
      <c r="G4772">
        <v>-216.17259999999999</v>
      </c>
      <c r="H4772">
        <v>7.9986310000000005E-2</v>
      </c>
      <c r="I4772">
        <v>129.4023</v>
      </c>
      <c r="J4772">
        <v>-191.16630000000001</v>
      </c>
      <c r="K4772">
        <v>1.1201380000000001</v>
      </c>
      <c r="L4772">
        <v>163.0025</v>
      </c>
      <c r="M4772">
        <v>-0.1222685</v>
      </c>
      <c r="N4772">
        <v>-1.0634960000000001E-2</v>
      </c>
      <c r="O4772">
        <v>-0.99244019999999999</v>
      </c>
      <c r="P4772">
        <v>-0.35980139999999999</v>
      </c>
      <c r="Q4772">
        <v>0.16579189999999999</v>
      </c>
      <c r="R4772">
        <v>-0.91818109999999997</v>
      </c>
      <c r="S4772">
        <v>-1.8888400000000001</v>
      </c>
      <c r="T4772">
        <v>-7.8526260000000001E-2</v>
      </c>
      <c r="U4772">
        <v>-2.5438390000000002</v>
      </c>
      <c r="V4772">
        <v>0.2454412</v>
      </c>
      <c r="W4772">
        <v>0.17508899999999999</v>
      </c>
      <c r="X4772">
        <v>0.95346869999999995</v>
      </c>
      <c r="Y4772">
        <v>0.49335109999999899</v>
      </c>
      <c r="Z4772">
        <v>1.5180280000000001E-2</v>
      </c>
      <c r="AA4772">
        <v>0.86969779999999997</v>
      </c>
      <c r="AB4772">
        <v>18</v>
      </c>
      <c r="AC4772">
        <v>-25.0062999999999</v>
      </c>
      <c r="AD4772">
        <v>-1.0401516900000001</v>
      </c>
      <c r="AE4772">
        <v>-33.600200000000001</v>
      </c>
      <c r="AF4772">
        <v>20.697415425662701</v>
      </c>
      <c r="AG4772">
        <v>-1.0401516900000001</v>
      </c>
      <c r="AH4772">
        <v>36.383287969108601</v>
      </c>
      <c r="AI4772">
        <v>91.423466324850494</v>
      </c>
      <c r="AJ4772">
        <v>60.365686114557498</v>
      </c>
      <c r="AK4772">
        <v>41.871333442867098</v>
      </c>
      <c r="AL4772">
        <v>79.916163124291302</v>
      </c>
      <c r="AM4772">
        <v>75.564373766944101</v>
      </c>
      <c r="AN4772">
        <v>1.0000000512290601</v>
      </c>
    </row>
    <row r="4773" spans="1:40" x14ac:dyDescent="0.25">
      <c r="A4773" t="str">
        <f>"20190303170348434"</f>
        <v>20190303170348434</v>
      </c>
      <c r="B4773" t="str">
        <f>"1551603828420763"</f>
        <v>1551603828420763</v>
      </c>
      <c r="C4773" t="s">
        <v>40</v>
      </c>
      <c r="D4773">
        <v>3.993738</v>
      </c>
      <c r="E4773">
        <v>0.61028649999999995</v>
      </c>
      <c r="F4773" t="s">
        <v>42</v>
      </c>
      <c r="G4773">
        <v>-216.11699999999999</v>
      </c>
      <c r="H4773">
        <v>7.9416769999999998E-2</v>
      </c>
      <c r="I4773">
        <v>129.58690000000001</v>
      </c>
      <c r="J4773">
        <v>-191.18010000000001</v>
      </c>
      <c r="K4773">
        <v>1.120128</v>
      </c>
      <c r="L4773">
        <v>162.90360000000001</v>
      </c>
      <c r="M4773">
        <v>-0.1237863</v>
      </c>
      <c r="N4773">
        <v>-1.057831E-2</v>
      </c>
      <c r="O4773">
        <v>-0.99225260000000004</v>
      </c>
      <c r="P4773">
        <v>-0.36265180000000002</v>
      </c>
      <c r="Q4773">
        <v>0.16583989999999901</v>
      </c>
      <c r="R4773">
        <v>-0.91705040000000004</v>
      </c>
      <c r="S4773">
        <v>-1.8956599999999999</v>
      </c>
      <c r="T4773">
        <v>-7.9070089999999996E-2</v>
      </c>
      <c r="U4773">
        <v>-2.5387879999999998</v>
      </c>
      <c r="V4773">
        <v>0.246949</v>
      </c>
      <c r="W4773">
        <v>0.17507259999999999</v>
      </c>
      <c r="X4773">
        <v>0.95308230000000005</v>
      </c>
      <c r="Y4773">
        <v>0.49434790000000001</v>
      </c>
      <c r="Z4773">
        <v>1.5424480000000001E-2</v>
      </c>
      <c r="AA4773">
        <v>0.86912730000000005</v>
      </c>
      <c r="AB4773">
        <v>18</v>
      </c>
      <c r="AC4773">
        <v>-24.936900000000001</v>
      </c>
      <c r="AD4773">
        <v>-1.0407112300000001</v>
      </c>
      <c r="AE4773">
        <v>-33.316699999999997</v>
      </c>
      <c r="AF4773">
        <v>20.607816954632799</v>
      </c>
      <c r="AG4773">
        <v>-1.0407112300000001</v>
      </c>
      <c r="AH4773">
        <v>36.124856144759597</v>
      </c>
      <c r="AI4773">
        <v>91.433436456461493</v>
      </c>
      <c r="AJ4773">
        <v>60.2969331755586</v>
      </c>
      <c r="AK4773">
        <v>41.602529141621602</v>
      </c>
      <c r="AL4773">
        <v>79.9171174756829</v>
      </c>
      <c r="AM4773">
        <v>75.4737925728368</v>
      </c>
      <c r="AN4773">
        <v>1.0000000472225199</v>
      </c>
    </row>
    <row r="4774" spans="1:40" x14ac:dyDescent="0.25">
      <c r="A4774" t="str">
        <f>"20190303170348446"</f>
        <v>20190303170348446</v>
      </c>
      <c r="B4774" t="str">
        <f>"1551603828430521"</f>
        <v>1551603828430521</v>
      </c>
      <c r="C4774" t="s">
        <v>40</v>
      </c>
      <c r="D4774">
        <v>4.0315260000000004</v>
      </c>
      <c r="E4774">
        <v>0.6102379</v>
      </c>
      <c r="F4774" t="s">
        <v>42</v>
      </c>
      <c r="G4774">
        <v>-216.2062</v>
      </c>
      <c r="H4774">
        <v>7.3739540000000006E-2</v>
      </c>
      <c r="I4774">
        <v>129.5926</v>
      </c>
      <c r="J4774">
        <v>-191.19450000000001</v>
      </c>
      <c r="K4774">
        <v>1.1201209999999999</v>
      </c>
      <c r="L4774">
        <v>162.80340000000001</v>
      </c>
      <c r="M4774">
        <v>-0.12532889999999999</v>
      </c>
      <c r="N4774">
        <v>-1.052002E-2</v>
      </c>
      <c r="O4774">
        <v>-0.99205960000000004</v>
      </c>
      <c r="P4774">
        <v>-0.36522159999999998</v>
      </c>
      <c r="Q4774">
        <v>0.1659805</v>
      </c>
      <c r="R4774">
        <v>-0.91600440000000005</v>
      </c>
      <c r="S4774">
        <v>-1.903122</v>
      </c>
      <c r="T4774">
        <v>-7.9573149999999995E-2</v>
      </c>
      <c r="U4774">
        <v>-2.5331570000000001</v>
      </c>
      <c r="V4774">
        <v>0.24814610000000001</v>
      </c>
      <c r="W4774">
        <v>0.17514859999999999</v>
      </c>
      <c r="X4774">
        <v>0.95275730000000003</v>
      </c>
      <c r="Y4774">
        <v>0.495558</v>
      </c>
      <c r="Z4774">
        <v>1.5658350000000001E-2</v>
      </c>
      <c r="AA4774">
        <v>0.86843369999999998</v>
      </c>
      <c r="AB4774">
        <v>18</v>
      </c>
      <c r="AC4774">
        <v>-25.011699999999902</v>
      </c>
      <c r="AD4774">
        <v>-1.0463814600000001</v>
      </c>
      <c r="AE4774">
        <v>-33.210799999999999</v>
      </c>
      <c r="AF4774">
        <v>20.638890924094198</v>
      </c>
      <c r="AG4774">
        <v>-1.0463814600000001</v>
      </c>
      <c r="AH4774">
        <v>36.060931845128302</v>
      </c>
      <c r="AI4774">
        <v>91.442633034182904</v>
      </c>
      <c r="AJ4774">
        <v>60.216034212204001</v>
      </c>
      <c r="AK4774">
        <v>41.562597828762797</v>
      </c>
      <c r="AL4774">
        <v>79.912694135205498</v>
      </c>
      <c r="AM4774">
        <v>75.401609950460198</v>
      </c>
      <c r="AN4774">
        <v>0.99999999586523003</v>
      </c>
    </row>
    <row r="4775" spans="1:40" x14ac:dyDescent="0.25">
      <c r="A4775" t="str">
        <f>"20190303170348459"</f>
        <v>20190303170348459</v>
      </c>
      <c r="B4775" t="str">
        <f>"1551603828450042"</f>
        <v>1551603828450042</v>
      </c>
      <c r="C4775" t="s">
        <v>40</v>
      </c>
      <c r="D4775">
        <v>4.0111999999999997</v>
      </c>
      <c r="E4775">
        <v>0.61016479999999995</v>
      </c>
      <c r="F4775" t="s">
        <v>42</v>
      </c>
      <c r="G4775">
        <v>-216.2867</v>
      </c>
      <c r="H4775">
        <v>7.4528079999999997E-2</v>
      </c>
      <c r="I4775">
        <v>129.59180000000001</v>
      </c>
      <c r="J4775">
        <v>-191.2099</v>
      </c>
      <c r="K4775">
        <v>1.1201139999999901</v>
      </c>
      <c r="L4775">
        <v>162.6962</v>
      </c>
      <c r="M4775">
        <v>-0.12698110000000001</v>
      </c>
      <c r="N4775">
        <v>-1.045719E-2</v>
      </c>
      <c r="O4775">
        <v>-0.99185029999999996</v>
      </c>
      <c r="P4775">
        <v>-0.36801679999999998</v>
      </c>
      <c r="Q4775">
        <v>0.1662148</v>
      </c>
      <c r="R4775">
        <v>-0.91484259999999995</v>
      </c>
      <c r="S4775">
        <v>-1.9099429999999999</v>
      </c>
      <c r="T4775">
        <v>-7.9587459999999999E-2</v>
      </c>
      <c r="U4775">
        <v>-2.5279690000000001</v>
      </c>
      <c r="V4775">
        <v>0.2494778</v>
      </c>
      <c r="W4775">
        <v>0.17531240000000001</v>
      </c>
      <c r="X4775">
        <v>0.95237930000000004</v>
      </c>
      <c r="Y4775">
        <v>0.49645980000000001</v>
      </c>
      <c r="Z4775">
        <v>1.5738559999999999E-2</v>
      </c>
      <c r="AA4775">
        <v>0.8679171</v>
      </c>
      <c r="AB4775">
        <v>18</v>
      </c>
      <c r="AC4775">
        <v>-25.076799999999899</v>
      </c>
      <c r="AD4775">
        <v>-1.04558591999999</v>
      </c>
      <c r="AE4775">
        <v>-33.104399999999998</v>
      </c>
      <c r="AF4775">
        <v>20.656829213469202</v>
      </c>
      <c r="AG4775">
        <v>-1.04558591999999</v>
      </c>
      <c r="AH4775">
        <v>35.998030248377297</v>
      </c>
      <c r="AI4775">
        <v>91.443121769257203</v>
      </c>
      <c r="AJ4775">
        <v>60.151407802425297</v>
      </c>
      <c r="AK4775">
        <v>41.516936602230501</v>
      </c>
      <c r="AL4775">
        <v>79.903161336625899</v>
      </c>
      <c r="AM4775">
        <v>75.321066337159607</v>
      </c>
      <c r="AN4775">
        <v>0.99999997067754398</v>
      </c>
    </row>
    <row r="4776" spans="1:40" x14ac:dyDescent="0.25">
      <c r="A4776" t="str">
        <f>"20190303170348476"</f>
        <v>20190303170348476</v>
      </c>
      <c r="B4776" t="str">
        <f>"1551603828470539"</f>
        <v>1551603828470539</v>
      </c>
      <c r="C4776" t="s">
        <v>40</v>
      </c>
      <c r="D4776">
        <v>4.0336210000000001</v>
      </c>
      <c r="E4776">
        <v>0.61012169999999999</v>
      </c>
      <c r="F4776" t="s">
        <v>42</v>
      </c>
      <c r="G4776">
        <v>-216.3708</v>
      </c>
      <c r="H4776">
        <v>7.5441419999999995E-2</v>
      </c>
      <c r="I4776">
        <v>129.5909</v>
      </c>
      <c r="J4776">
        <v>-191.23050000000001</v>
      </c>
      <c r="K4776">
        <v>1.120109</v>
      </c>
      <c r="L4776">
        <v>162.55520000000001</v>
      </c>
      <c r="M4776">
        <v>-0.12915940000000001</v>
      </c>
      <c r="N4776">
        <v>-1.03738999999999E-2</v>
      </c>
      <c r="O4776">
        <v>-0.99156979999999995</v>
      </c>
      <c r="P4776">
        <v>-0.37158639999999998</v>
      </c>
      <c r="Q4776">
        <v>0.16725660000000001</v>
      </c>
      <c r="R4776">
        <v>-0.91320840000000003</v>
      </c>
      <c r="S4776">
        <v>-1.9171450000000001</v>
      </c>
      <c r="T4776">
        <v>-7.9599379999999997E-2</v>
      </c>
      <c r="U4776">
        <v>-2.5224760000000002</v>
      </c>
      <c r="V4776">
        <v>0.25113790000000003</v>
      </c>
      <c r="W4776">
        <v>0.1762592</v>
      </c>
      <c r="X4776">
        <v>0.95176799999999995</v>
      </c>
      <c r="Y4776">
        <v>0.49703429999999998</v>
      </c>
      <c r="Z4776">
        <v>1.5840469999999999E-2</v>
      </c>
      <c r="AA4776">
        <v>0.86758630000000003</v>
      </c>
      <c r="AB4776">
        <v>18</v>
      </c>
      <c r="AC4776">
        <v>-25.1403</v>
      </c>
      <c r="AD4776">
        <v>-1.04466758</v>
      </c>
      <c r="AE4776">
        <v>-32.964300000000001</v>
      </c>
      <c r="AF4776">
        <v>20.658702977425001</v>
      </c>
      <c r="AG4776">
        <v>-1.04466758</v>
      </c>
      <c r="AH4776">
        <v>35.912632406036799</v>
      </c>
      <c r="AI4776">
        <v>91.4443981900274</v>
      </c>
      <c r="AJ4776">
        <v>60.090381027808803</v>
      </c>
      <c r="AK4776">
        <v>41.443823489071299</v>
      </c>
      <c r="AL4776">
        <v>79.848055272337902</v>
      </c>
      <c r="AM4776">
        <v>75.218574035823906</v>
      </c>
      <c r="AN4776">
        <v>0.99999993811252297</v>
      </c>
    </row>
    <row r="4777" spans="1:40" x14ac:dyDescent="0.25">
      <c r="A4777" t="str">
        <f>"20190303170348489"</f>
        <v>20190303170348489</v>
      </c>
      <c r="B4777" t="str">
        <f>"1551603828480803"</f>
        <v>1551603828480803</v>
      </c>
      <c r="C4777" t="s">
        <v>40</v>
      </c>
      <c r="D4777">
        <v>4.0499679999999998</v>
      </c>
      <c r="E4777">
        <v>0.61006319999999903</v>
      </c>
      <c r="F4777" t="s">
        <v>42</v>
      </c>
      <c r="G4777">
        <v>-217.21700000000001</v>
      </c>
      <c r="H4777">
        <v>7.9986100000000004E-2</v>
      </c>
      <c r="I4777">
        <v>128.64279999999999</v>
      </c>
      <c r="J4777">
        <v>-191.24690000000001</v>
      </c>
      <c r="K4777">
        <v>1.1200950000000001</v>
      </c>
      <c r="L4777">
        <v>162.44499999999999</v>
      </c>
      <c r="M4777">
        <v>-0.13086869999999901</v>
      </c>
      <c r="N4777">
        <v>-1.0311310000000001E-2</v>
      </c>
      <c r="O4777">
        <v>-0.99134619999999996</v>
      </c>
      <c r="P4777">
        <v>-0.37375429999999998</v>
      </c>
      <c r="Q4777">
        <v>0.16797100000000001</v>
      </c>
      <c r="R4777">
        <v>-0.91219170000000005</v>
      </c>
      <c r="S4777">
        <v>-1.927246</v>
      </c>
      <c r="T4777">
        <v>-7.7139020000000003E-2</v>
      </c>
      <c r="U4777">
        <v>-2.5150600000000001</v>
      </c>
      <c r="V4777">
        <v>0.25178099999999998</v>
      </c>
      <c r="W4777">
        <v>0.17690500000000001</v>
      </c>
      <c r="X4777">
        <v>0.9514783</v>
      </c>
      <c r="Y4777">
        <v>0.4989767</v>
      </c>
      <c r="Z4777">
        <v>1.5120410000000001E-2</v>
      </c>
      <c r="AA4777">
        <v>0.86648349999999996</v>
      </c>
      <c r="AB4777">
        <v>18</v>
      </c>
      <c r="AC4777">
        <v>-25.970099999999999</v>
      </c>
      <c r="AD4777">
        <v>-1.0401088999999999</v>
      </c>
      <c r="AE4777">
        <v>-33.802199999999999</v>
      </c>
      <c r="AF4777">
        <v>21.3101534889324</v>
      </c>
      <c r="AG4777">
        <v>-1.0401088999999999</v>
      </c>
      <c r="AH4777">
        <v>36.888351207960604</v>
      </c>
      <c r="AI4777">
        <v>91.398595231223894</v>
      </c>
      <c r="AJ4777">
        <v>59.985261353860501</v>
      </c>
      <c r="AK4777">
        <v>42.614022610961797</v>
      </c>
      <c r="AL4777">
        <v>79.8104635955643</v>
      </c>
      <c r="AM4777">
        <v>75.178072900414406</v>
      </c>
      <c r="AN4777">
        <v>1.00000000317844</v>
      </c>
    </row>
    <row r="4778" spans="1:40" x14ac:dyDescent="0.25">
      <c r="A4778" t="str">
        <f>"20190303170348510"</f>
        <v>20190303170348510</v>
      </c>
      <c r="B4778" t="str">
        <f>"1551603828500324"</f>
        <v>1551603828500324</v>
      </c>
      <c r="C4778" t="s">
        <v>40</v>
      </c>
      <c r="D4778">
        <v>4.0371600000000001</v>
      </c>
      <c r="E4778">
        <v>0.60998180000000002</v>
      </c>
      <c r="F4778" t="s">
        <v>42</v>
      </c>
      <c r="G4778">
        <v>-217.82419999999999</v>
      </c>
      <c r="H4778">
        <v>7.9985979999999998E-2</v>
      </c>
      <c r="I4778">
        <v>127.9198</v>
      </c>
      <c r="J4778">
        <v>-191.2713</v>
      </c>
      <c r="K4778">
        <v>1.1200810000000001</v>
      </c>
      <c r="L4778">
        <v>162.28299999999999</v>
      </c>
      <c r="M4778">
        <v>-0.13339239999999999</v>
      </c>
      <c r="N4778">
        <v>-1.0225969999999999E-2</v>
      </c>
      <c r="O4778">
        <v>-0.99101059999999996</v>
      </c>
      <c r="P4778">
        <v>-0.37803199999999998</v>
      </c>
      <c r="Q4778">
        <v>0.1688451</v>
      </c>
      <c r="R4778">
        <v>-0.91026560000000001</v>
      </c>
      <c r="S4778">
        <v>-1.932785</v>
      </c>
      <c r="T4778">
        <v>-7.5640199999999894E-2</v>
      </c>
      <c r="U4778">
        <v>-2.5107879999999998</v>
      </c>
      <c r="V4778">
        <v>0.25385740000000001</v>
      </c>
      <c r="W4778">
        <v>0.1776761</v>
      </c>
      <c r="X4778">
        <v>0.95078269999999998</v>
      </c>
      <c r="Y4778">
        <v>0.49868879999999999</v>
      </c>
      <c r="Z4778">
        <v>1.4734550000000001E-2</v>
      </c>
      <c r="AA4778">
        <v>0.86665579999999998</v>
      </c>
      <c r="AB4778">
        <v>18</v>
      </c>
      <c r="AC4778">
        <v>-26.552899999999902</v>
      </c>
      <c r="AD4778">
        <v>-1.0400950200000001</v>
      </c>
      <c r="AE4778">
        <v>-34.3631999999999</v>
      </c>
      <c r="AF4778">
        <v>21.719092004678199</v>
      </c>
      <c r="AG4778">
        <v>-1.0400950200000001</v>
      </c>
      <c r="AH4778">
        <v>37.576659245701599</v>
      </c>
      <c r="AI4778">
        <v>91.372789238566398</v>
      </c>
      <c r="AJ4778">
        <v>59.972335792490902</v>
      </c>
      <c r="AK4778">
        <v>43.414353331886403</v>
      </c>
      <c r="AL4778">
        <v>79.765572246736895</v>
      </c>
      <c r="AM4778">
        <v>75.050842593415794</v>
      </c>
      <c r="AN4778">
        <v>1.0000000593326199</v>
      </c>
    </row>
    <row r="4779" spans="1:40" x14ac:dyDescent="0.25">
      <c r="A4779" t="str">
        <f>"20190303170348524"</f>
        <v>20190303170348524</v>
      </c>
      <c r="B4779" t="str">
        <f>"1551603828510084"</f>
        <v>1551603828510084</v>
      </c>
      <c r="C4779" t="s">
        <v>40</v>
      </c>
      <c r="D4779">
        <v>4.0587559999999998</v>
      </c>
      <c r="E4779">
        <v>0.60992969999999902</v>
      </c>
      <c r="F4779" t="s">
        <v>42</v>
      </c>
      <c r="G4779">
        <v>-218.22409999999999</v>
      </c>
      <c r="H4779">
        <v>7.9985890000000004E-2</v>
      </c>
      <c r="I4779">
        <v>127.58159999999999</v>
      </c>
      <c r="J4779">
        <v>-191.2893</v>
      </c>
      <c r="K4779">
        <v>1.120069</v>
      </c>
      <c r="L4779">
        <v>162.16550000000001</v>
      </c>
      <c r="M4779">
        <v>-0.13523260000000001</v>
      </c>
      <c r="N4779">
        <v>-1.016825E-2</v>
      </c>
      <c r="O4779">
        <v>-0.99076160000000002</v>
      </c>
      <c r="P4779">
        <v>-0.38077420000000001</v>
      </c>
      <c r="Q4779">
        <v>0.1690294</v>
      </c>
      <c r="R4779">
        <v>-0.90908739999999999</v>
      </c>
      <c r="S4779">
        <v>-1.9436800000000001</v>
      </c>
      <c r="T4779">
        <v>-7.5005530000000001E-2</v>
      </c>
      <c r="U4779">
        <v>-2.5024570000000002</v>
      </c>
      <c r="V4779">
        <v>0.25496970000000002</v>
      </c>
      <c r="W4779">
        <v>0.17779149999999999</v>
      </c>
      <c r="X4779">
        <v>0.95046339999999996</v>
      </c>
      <c r="Y4779">
        <v>0.50083089999999997</v>
      </c>
      <c r="Z4779">
        <v>1.460293E-2</v>
      </c>
      <c r="AA4779">
        <v>0.86542199999999903</v>
      </c>
      <c r="AB4779">
        <v>18</v>
      </c>
      <c r="AC4779">
        <v>-26.934799999999999</v>
      </c>
      <c r="AD4779">
        <v>-1.0400831100000001</v>
      </c>
      <c r="AE4779">
        <v>-34.5839</v>
      </c>
      <c r="AF4779">
        <v>21.9978507055148</v>
      </c>
      <c r="AG4779">
        <v>-1.0400831100000001</v>
      </c>
      <c r="AH4779">
        <v>37.887497073557597</v>
      </c>
      <c r="AI4779">
        <v>91.359972088568199</v>
      </c>
      <c r="AJ4779">
        <v>59.860131250121697</v>
      </c>
      <c r="AK4779">
        <v>43.822935125760999</v>
      </c>
      <c r="AL4779">
        <v>79.758852933311204</v>
      </c>
      <c r="AM4779">
        <v>74.983476869910405</v>
      </c>
      <c r="AN4779">
        <v>1.0000000200649399</v>
      </c>
    </row>
    <row r="4780" spans="1:40" x14ac:dyDescent="0.25">
      <c r="A4780" t="str">
        <f>"20190303170348542"</f>
        <v>20190303170348542</v>
      </c>
      <c r="B4780" t="str">
        <f>"1551603828530581"</f>
        <v>1551603828530581</v>
      </c>
      <c r="C4780" t="s">
        <v>40</v>
      </c>
      <c r="D4780">
        <v>4.0559710000000004</v>
      </c>
      <c r="E4780">
        <v>0.60977440000000005</v>
      </c>
      <c r="F4780" t="s">
        <v>42</v>
      </c>
      <c r="G4780">
        <v>-218.13310000000001</v>
      </c>
      <c r="H4780">
        <v>7.9985899999999999E-2</v>
      </c>
      <c r="I4780">
        <v>127.79810000000001</v>
      </c>
      <c r="J4780">
        <v>-191.31209999999999</v>
      </c>
      <c r="K4780">
        <v>1.1200559999999999</v>
      </c>
      <c r="L4780">
        <v>162.01830000000001</v>
      </c>
      <c r="M4780">
        <v>-0.13755539999999999</v>
      </c>
      <c r="N4780">
        <v>-1.009709E-2</v>
      </c>
      <c r="O4780">
        <v>-0.99044270000000001</v>
      </c>
      <c r="P4780">
        <v>-0.38501010000000002</v>
      </c>
      <c r="Q4780">
        <v>0.1695345</v>
      </c>
      <c r="R4780">
        <v>-0.90720749999999994</v>
      </c>
      <c r="S4780">
        <v>-1.950455</v>
      </c>
      <c r="T4780">
        <v>-7.5571780000000005E-2</v>
      </c>
      <c r="U4780">
        <v>-2.4971160000000001</v>
      </c>
      <c r="V4780">
        <v>0.25719930000000002</v>
      </c>
      <c r="W4780">
        <v>0.17820349999999999</v>
      </c>
      <c r="X4780">
        <v>0.94978530000000005</v>
      </c>
      <c r="Y4780">
        <v>0.50115540000000003</v>
      </c>
      <c r="Z4780">
        <v>1.4872379999999999E-2</v>
      </c>
      <c r="AA4780">
        <v>0.86522949999999998</v>
      </c>
      <c r="AB4780">
        <v>18</v>
      </c>
      <c r="AC4780">
        <v>-26.821000000000002</v>
      </c>
      <c r="AD4780">
        <v>-1.0400701000000001</v>
      </c>
      <c r="AE4780">
        <v>-34.220199999999998</v>
      </c>
      <c r="AF4780">
        <v>21.8461015614795</v>
      </c>
      <c r="AG4780">
        <v>-1.0400701000000001</v>
      </c>
      <c r="AH4780">
        <v>37.562938378160901</v>
      </c>
      <c r="AI4780">
        <v>91.371119434754405</v>
      </c>
      <c r="AJ4780">
        <v>59.8182910912018</v>
      </c>
      <c r="AK4780">
        <v>43.466173501343597</v>
      </c>
      <c r="AL4780">
        <v>79.734864216234598</v>
      </c>
      <c r="AM4780">
        <v>74.847855146080903</v>
      </c>
      <c r="AN4780">
        <v>1.0000000417144099</v>
      </c>
    </row>
    <row r="4781" spans="1:40" x14ac:dyDescent="0.25">
      <c r="A4781" t="str">
        <f>"20190303170348554"</f>
        <v>20190303170348554</v>
      </c>
      <c r="B4781" t="str">
        <f>"1551603828540340"</f>
        <v>1551603828540340</v>
      </c>
      <c r="C4781" t="s">
        <v>40</v>
      </c>
      <c r="D4781">
        <v>4.0739539999999996</v>
      </c>
      <c r="E4781">
        <v>0.60977440000000005</v>
      </c>
      <c r="F4781" t="s">
        <v>42</v>
      </c>
      <c r="G4781">
        <v>-218.8356</v>
      </c>
      <c r="H4781">
        <v>7.9985749999999994E-2</v>
      </c>
      <c r="I4781">
        <v>127.1056</v>
      </c>
      <c r="J4781">
        <v>-191.32749999999999</v>
      </c>
      <c r="K4781">
        <v>1.120039</v>
      </c>
      <c r="L4781">
        <v>161.91999999999999</v>
      </c>
      <c r="M4781">
        <v>-0.13911589999999999</v>
      </c>
      <c r="N4781">
        <v>-1.0049010000000001E-2</v>
      </c>
      <c r="O4781">
        <v>-0.99022549999999998</v>
      </c>
      <c r="P4781">
        <v>-0.38748009999999999</v>
      </c>
      <c r="Q4781">
        <v>0.17009150000000001</v>
      </c>
      <c r="R4781">
        <v>-0.90605150000000001</v>
      </c>
      <c r="S4781">
        <v>-1.9616089999999999</v>
      </c>
      <c r="T4781">
        <v>-7.4126120000000004E-2</v>
      </c>
      <c r="U4781">
        <v>-2.488235</v>
      </c>
      <c r="V4781">
        <v>0.25831369999999998</v>
      </c>
      <c r="W4781">
        <v>0.178699</v>
      </c>
      <c r="X4781">
        <v>0.94938959999999994</v>
      </c>
      <c r="Y4781">
        <v>0.50368789999999997</v>
      </c>
      <c r="Z4781">
        <v>1.446893E-2</v>
      </c>
      <c r="AA4781">
        <v>0.86376450000000005</v>
      </c>
      <c r="AB4781">
        <v>18</v>
      </c>
      <c r="AC4781">
        <v>-27.508099999999999</v>
      </c>
      <c r="AD4781">
        <v>-1.0400532499999999</v>
      </c>
      <c r="AE4781">
        <v>-34.8143999999999</v>
      </c>
      <c r="AF4781">
        <v>22.3848087037195</v>
      </c>
      <c r="AG4781">
        <v>-1.0400532499999999</v>
      </c>
      <c r="AH4781">
        <v>38.281806546380203</v>
      </c>
      <c r="AI4781">
        <v>91.343517076109507</v>
      </c>
      <c r="AJ4781">
        <v>59.6835715974319</v>
      </c>
      <c r="AK4781">
        <v>44.3582921663969</v>
      </c>
      <c r="AL4781">
        <v>79.706010140967507</v>
      </c>
      <c r="AM4781">
        <v>74.779193202078901</v>
      </c>
      <c r="AN4781">
        <v>0.99999995639842398</v>
      </c>
    </row>
    <row r="4782" spans="1:40" x14ac:dyDescent="0.25">
      <c r="A4782" t="str">
        <f>"20190303170348565"</f>
        <v>20190303170348565</v>
      </c>
      <c r="B4782" t="str">
        <f>"1551603828550102"</f>
        <v>1551603828550102</v>
      </c>
      <c r="C4782" t="s">
        <v>40</v>
      </c>
      <c r="D4782">
        <v>4.002936</v>
      </c>
      <c r="E4782">
        <v>0.60545159999999998</v>
      </c>
      <c r="F4782" t="s">
        <v>42</v>
      </c>
      <c r="G4782">
        <v>-219.94540000000001</v>
      </c>
      <c r="H4782">
        <v>7.9985520000000004E-2</v>
      </c>
      <c r="I4782">
        <v>125.8404</v>
      </c>
      <c r="J4782">
        <v>-191.34219999999999</v>
      </c>
      <c r="K4782">
        <v>1.120023</v>
      </c>
      <c r="L4782">
        <v>161.8278</v>
      </c>
      <c r="M4782">
        <v>-0.14059150000000001</v>
      </c>
      <c r="N4782">
        <v>-1.000406E-2</v>
      </c>
      <c r="O4782">
        <v>-0.99001719999999904</v>
      </c>
      <c r="P4782">
        <v>-0.38958359999999997</v>
      </c>
      <c r="Q4782">
        <v>0.17098179999999999</v>
      </c>
      <c r="R4782">
        <v>-0.90498089999999998</v>
      </c>
      <c r="S4782">
        <v>-1.969025</v>
      </c>
      <c r="T4782">
        <v>-7.1559910000000004E-2</v>
      </c>
      <c r="U4782">
        <v>-2.4824220000000001</v>
      </c>
      <c r="V4782">
        <v>0.25913789999999998</v>
      </c>
      <c r="W4782">
        <v>0.17953160000000001</v>
      </c>
      <c r="X4782">
        <v>0.94900790000000002</v>
      </c>
      <c r="Y4782">
        <v>0.50497749999999997</v>
      </c>
      <c r="Z4782">
        <v>1.3693489999999999E-2</v>
      </c>
      <c r="AA4782">
        <v>0.86302389999999995</v>
      </c>
      <c r="AB4782">
        <v>18</v>
      </c>
      <c r="AC4782">
        <v>-28.603200000000001</v>
      </c>
      <c r="AD4782">
        <v>-1.0400374800000001</v>
      </c>
      <c r="AE4782">
        <v>-35.987399999999901</v>
      </c>
      <c r="AF4782">
        <v>23.247400736403499</v>
      </c>
      <c r="AG4782">
        <v>-1.0400374800000001</v>
      </c>
      <c r="AH4782">
        <v>39.631208307935502</v>
      </c>
      <c r="AI4782">
        <v>91.296718489951303</v>
      </c>
      <c r="AJ4782">
        <v>59.604400219004503</v>
      </c>
      <c r="AK4782">
        <v>45.958198299168799</v>
      </c>
      <c r="AL4782">
        <v>79.657522187167004</v>
      </c>
      <c r="AM4782">
        <v>74.7270374419234</v>
      </c>
      <c r="AN4782">
        <v>1.0000000204386801</v>
      </c>
    </row>
    <row r="4783" spans="1:40" x14ac:dyDescent="0.25">
      <c r="A4783" t="str">
        <f>"20190303170348577"</f>
        <v>20190303170348577</v>
      </c>
      <c r="B4783" t="str">
        <f>"1551603828570597"</f>
        <v>1551603828570597</v>
      </c>
      <c r="C4783" t="s">
        <v>40</v>
      </c>
      <c r="D4783">
        <v>4.081696</v>
      </c>
      <c r="E4783">
        <v>0.60737159999999901</v>
      </c>
      <c r="F4783" t="s">
        <v>91</v>
      </c>
      <c r="G4783">
        <v>-226.39660000000001</v>
      </c>
      <c r="H4783">
        <v>1.479914</v>
      </c>
      <c r="I4783">
        <v>117.18940000000001</v>
      </c>
      <c r="J4783">
        <v>-191.35919999999999</v>
      </c>
      <c r="K4783">
        <v>1.120004</v>
      </c>
      <c r="L4783">
        <v>161.72200000000001</v>
      </c>
      <c r="M4783">
        <v>-0.14229020000000001</v>
      </c>
      <c r="N4783">
        <v>-9.9528619999999998E-3</v>
      </c>
      <c r="O4783">
        <v>-0.98977490000000001</v>
      </c>
      <c r="P4783">
        <v>-0.3920999</v>
      </c>
      <c r="Q4783">
        <v>0.17180399999999901</v>
      </c>
      <c r="R4783">
        <v>-0.90373740000000002</v>
      </c>
      <c r="S4783">
        <v>-1.9433290000000001</v>
      </c>
      <c r="T4783">
        <v>1.9951819999999999E-2</v>
      </c>
      <c r="U4783">
        <v>-2.47464</v>
      </c>
      <c r="V4783">
        <v>0.2601832</v>
      </c>
      <c r="W4783">
        <v>0.1802868</v>
      </c>
      <c r="X4783">
        <v>0.94857860000000005</v>
      </c>
      <c r="Y4783">
        <v>0.49933230000000001</v>
      </c>
      <c r="Z4783">
        <v>-1.5989860000000002E-2</v>
      </c>
      <c r="AA4783">
        <v>0.86626299999999901</v>
      </c>
      <c r="AB4783">
        <v>18</v>
      </c>
      <c r="AC4783">
        <v>-35.037399999999998</v>
      </c>
      <c r="AD4783">
        <v>0.35990999999999901</v>
      </c>
      <c r="AE4783">
        <v>-44.532600000000002</v>
      </c>
      <c r="AF4783">
        <v>28.342848194366798</v>
      </c>
      <c r="AG4783">
        <v>0.35990999999999901</v>
      </c>
      <c r="AH4783">
        <v>49.063181338065696</v>
      </c>
      <c r="AI4783">
        <v>89.636065270034806</v>
      </c>
      <c r="AJ4783">
        <v>59.985806968402102</v>
      </c>
      <c r="AK4783">
        <v>56.662530317564702</v>
      </c>
      <c r="AL4783">
        <v>79.6135344031659</v>
      </c>
      <c r="AM4783">
        <v>74.661711667532003</v>
      </c>
      <c r="AN4783">
        <v>0.99999999409721996</v>
      </c>
    </row>
    <row r="4784" spans="1:40" x14ac:dyDescent="0.25">
      <c r="A4784" t="str">
        <f>"20190303170348601"</f>
        <v>20190303170348601</v>
      </c>
      <c r="B4784" t="str">
        <f>"1551603828590521"</f>
        <v>1551603828590521</v>
      </c>
      <c r="C4784" t="s">
        <v>40</v>
      </c>
      <c r="D4784">
        <v>4.0590539999999997</v>
      </c>
      <c r="E4784">
        <v>0.60887069999999999</v>
      </c>
      <c r="F4784" t="s">
        <v>91</v>
      </c>
      <c r="G4784">
        <v>-226.39689999999999</v>
      </c>
      <c r="H4784">
        <v>2.378466</v>
      </c>
      <c r="I4784">
        <v>117.94710000000001</v>
      </c>
      <c r="J4784">
        <v>-191.39019999999999</v>
      </c>
      <c r="K4784">
        <v>1.1199669999999999</v>
      </c>
      <c r="L4784">
        <v>161.53200000000001</v>
      </c>
      <c r="M4784">
        <v>-0.14537720000000001</v>
      </c>
      <c r="N4784">
        <v>-9.8645790000000001E-3</v>
      </c>
      <c r="O4784">
        <v>-0.98932739999999997</v>
      </c>
      <c r="P4784">
        <v>-0.39611770000000002</v>
      </c>
      <c r="Q4784">
        <v>0.17262859999999999</v>
      </c>
      <c r="R4784">
        <v>-0.90182620000000002</v>
      </c>
      <c r="S4784">
        <v>-1.9641569999999999</v>
      </c>
      <c r="T4784">
        <v>7.0547579999999999E-2</v>
      </c>
      <c r="U4784">
        <v>-2.4539490000000002</v>
      </c>
      <c r="V4784">
        <v>0.26148579999999999</v>
      </c>
      <c r="W4784">
        <v>0.1810002</v>
      </c>
      <c r="X4784">
        <v>0.9480845</v>
      </c>
      <c r="Y4784">
        <v>0.50444290000000003</v>
      </c>
      <c r="Z4784">
        <v>-3.2451760000000003E-2</v>
      </c>
      <c r="AA4784">
        <v>0.86283500000000002</v>
      </c>
      <c r="AB4784">
        <v>19</v>
      </c>
      <c r="AC4784">
        <v>-35.006699999999903</v>
      </c>
      <c r="AD4784">
        <v>1.258499</v>
      </c>
      <c r="AE4784">
        <v>-43.584899999999998</v>
      </c>
      <c r="AF4784">
        <v>28.283871564062299</v>
      </c>
      <c r="AG4784">
        <v>1.258499</v>
      </c>
      <c r="AH4784">
        <v>48.186823190725597</v>
      </c>
      <c r="AI4784">
        <v>88.709704162222394</v>
      </c>
      <c r="AJ4784">
        <v>59.588652161471302</v>
      </c>
      <c r="AK4784">
        <v>55.888560006495297</v>
      </c>
      <c r="AL4784">
        <v>79.571976568194302</v>
      </c>
      <c r="AM4784">
        <v>74.580913554603399</v>
      </c>
      <c r="AN4784">
        <v>1.00000005757096</v>
      </c>
    </row>
    <row r="4785" spans="1:40" x14ac:dyDescent="0.25">
      <c r="A4785" t="str">
        <f>"20190303170348612"</f>
        <v>20190303170348612</v>
      </c>
      <c r="B4785" t="str">
        <f>"1551603828600281"</f>
        <v>1551603828600281</v>
      </c>
      <c r="C4785" t="s">
        <v>40</v>
      </c>
      <c r="D4785">
        <v>4.0726829999999996</v>
      </c>
      <c r="E4785">
        <v>0.60922959999999904</v>
      </c>
      <c r="F4785" t="s">
        <v>91</v>
      </c>
      <c r="G4785">
        <v>-226.39699999999999</v>
      </c>
      <c r="H4785">
        <v>2.7112940000000001</v>
      </c>
      <c r="I4785">
        <v>118.5698</v>
      </c>
      <c r="J4785">
        <v>-191.4068</v>
      </c>
      <c r="K4785">
        <v>1.119947</v>
      </c>
      <c r="L4785">
        <v>161.43199999999999</v>
      </c>
      <c r="M4785">
        <v>-0.14701600000000001</v>
      </c>
      <c r="N4785">
        <v>-9.8203119999999994E-3</v>
      </c>
      <c r="O4785">
        <v>-0.98908560000000001</v>
      </c>
      <c r="P4785">
        <v>-0.39997969999999999</v>
      </c>
      <c r="Q4785">
        <v>0.17343169999999999</v>
      </c>
      <c r="R4785">
        <v>-0.89996569999999998</v>
      </c>
      <c r="S4785">
        <v>-1.9857940000000001</v>
      </c>
      <c r="T4785">
        <v>9.0269799999999997E-2</v>
      </c>
      <c r="U4785">
        <v>-2.4370729999999998</v>
      </c>
      <c r="V4785">
        <v>0.26401520000000001</v>
      </c>
      <c r="W4785">
        <v>0.18173310000000001</v>
      </c>
      <c r="X4785">
        <v>0.9472429</v>
      </c>
      <c r="Y4785">
        <v>0.51040090000000005</v>
      </c>
      <c r="Z4785">
        <v>-3.8861619999999999E-2</v>
      </c>
      <c r="AA4785">
        <v>0.85905799999999999</v>
      </c>
      <c r="AB4785">
        <v>19</v>
      </c>
      <c r="AC4785">
        <v>-34.990200000000002</v>
      </c>
      <c r="AD4785">
        <v>1.5913469999999901</v>
      </c>
      <c r="AE4785">
        <v>-42.862200000000001</v>
      </c>
      <c r="AF4785">
        <v>28.284835649124599</v>
      </c>
      <c r="AG4785">
        <v>1.5913469999999901</v>
      </c>
      <c r="AH4785">
        <v>47.501493280695598</v>
      </c>
      <c r="AI4785">
        <v>88.351227120471407</v>
      </c>
      <c r="AJ4785">
        <v>59.228252747819603</v>
      </c>
      <c r="AK4785">
        <v>55.307831062774198</v>
      </c>
      <c r="AL4785">
        <v>79.529276025301201</v>
      </c>
      <c r="AM4785">
        <v>74.425802124124502</v>
      </c>
      <c r="AN4785">
        <v>1.00000002853352</v>
      </c>
    </row>
    <row r="4786" spans="1:40" x14ac:dyDescent="0.25">
      <c r="A4786" t="str">
        <f>"20190303170348626"</f>
        <v>20190303170348626</v>
      </c>
      <c r="B4786" t="str">
        <f>"1551603828610041"</f>
        <v>1551603828610041</v>
      </c>
      <c r="C4786" t="s">
        <v>40</v>
      </c>
      <c r="D4786">
        <v>4.0803940000000001</v>
      </c>
      <c r="E4786">
        <v>0.60936279999999998</v>
      </c>
      <c r="F4786" t="s">
        <v>91</v>
      </c>
      <c r="G4786">
        <v>-226.185</v>
      </c>
      <c r="H4786">
        <v>2.863372</v>
      </c>
      <c r="I4786">
        <v>119.2133</v>
      </c>
      <c r="J4786">
        <v>-191.42410000000001</v>
      </c>
      <c r="K4786">
        <v>1.119929</v>
      </c>
      <c r="L4786">
        <v>161.3289</v>
      </c>
      <c r="M4786">
        <v>-0.14872079999999999</v>
      </c>
      <c r="N4786">
        <v>-9.7761159999999996E-3</v>
      </c>
      <c r="O4786">
        <v>-0.98883080000000001</v>
      </c>
      <c r="P4786">
        <v>-0.40250219999999998</v>
      </c>
      <c r="Q4786">
        <v>0.17356009999999999</v>
      </c>
      <c r="R4786">
        <v>-0.89881520000000004</v>
      </c>
      <c r="S4786">
        <v>-1.998413</v>
      </c>
      <c r="T4786">
        <v>0.1001803</v>
      </c>
      <c r="U4786">
        <v>-2.4259490000000001</v>
      </c>
      <c r="V4786">
        <v>0.26505129999999999</v>
      </c>
      <c r="W4786">
        <v>0.1818034</v>
      </c>
      <c r="X4786">
        <v>0.94693989999999995</v>
      </c>
      <c r="Y4786">
        <v>0.51343439999999996</v>
      </c>
      <c r="Z4786">
        <v>-4.2072129999999999E-2</v>
      </c>
      <c r="AA4786">
        <v>0.85709690000000005</v>
      </c>
      <c r="AB4786">
        <v>19</v>
      </c>
      <c r="AC4786">
        <v>-34.7608999999999</v>
      </c>
      <c r="AD4786">
        <v>1.7434430000000001</v>
      </c>
      <c r="AE4786">
        <v>-42.115600000000001</v>
      </c>
      <c r="AF4786">
        <v>28.081905123658402</v>
      </c>
      <c r="AG4786">
        <v>1.7434430000000001</v>
      </c>
      <c r="AH4786">
        <v>46.769441219158203</v>
      </c>
      <c r="AI4786">
        <v>88.169507207957196</v>
      </c>
      <c r="AJ4786">
        <v>59.018014690590199</v>
      </c>
      <c r="AK4786">
        <v>54.580340973840599</v>
      </c>
      <c r="AL4786">
        <v>79.525178757724206</v>
      </c>
      <c r="AM4786">
        <v>74.3629083739728</v>
      </c>
      <c r="AN4786">
        <v>0.99999992104762603</v>
      </c>
    </row>
    <row r="4787" spans="1:40" x14ac:dyDescent="0.25">
      <c r="A4787" t="str">
        <f>"20190303170348638"</f>
        <v>20190303170348638</v>
      </c>
      <c r="B4787" t="str">
        <f>"1551603828630537"</f>
        <v>1551603828630537</v>
      </c>
      <c r="C4787" t="s">
        <v>40</v>
      </c>
      <c r="D4787">
        <v>4.0638779999999999</v>
      </c>
      <c r="E4787">
        <v>0.60945649999999996</v>
      </c>
      <c r="F4787" t="s">
        <v>91</v>
      </c>
      <c r="G4787">
        <v>-226.18510000000001</v>
      </c>
      <c r="H4787">
        <v>2.961805</v>
      </c>
      <c r="I4787">
        <v>119.41370000000001</v>
      </c>
      <c r="J4787">
        <v>-191.44220000000001</v>
      </c>
      <c r="K4787">
        <v>1.1199030000000001</v>
      </c>
      <c r="L4787">
        <v>161.2217</v>
      </c>
      <c r="M4787">
        <v>-0.15050079999999999</v>
      </c>
      <c r="N4787">
        <v>-9.7293199999999996E-3</v>
      </c>
      <c r="O4787">
        <v>-0.9885621</v>
      </c>
      <c r="P4787">
        <v>-0.40513169999999998</v>
      </c>
      <c r="Q4787">
        <v>0.17343649999999999</v>
      </c>
      <c r="R4787">
        <v>-0.89765729999999999</v>
      </c>
      <c r="S4787">
        <v>-2.0060120000000001</v>
      </c>
      <c r="T4787">
        <v>0.1062927</v>
      </c>
      <c r="U4787">
        <v>-2.4188689999999999</v>
      </c>
      <c r="V4787">
        <v>0.26612329999999901</v>
      </c>
      <c r="W4787">
        <v>0.18161820000000001</v>
      </c>
      <c r="X4787">
        <v>0.94667480000000004</v>
      </c>
      <c r="Y4787">
        <v>0.51466729999999905</v>
      </c>
      <c r="Z4787">
        <v>-4.4036810000000003E-2</v>
      </c>
      <c r="AA4787">
        <v>0.85625830000000003</v>
      </c>
      <c r="AB4787">
        <v>19</v>
      </c>
      <c r="AC4787">
        <v>-34.742899999999899</v>
      </c>
      <c r="AD4787">
        <v>1.8419019999999999</v>
      </c>
      <c r="AE4787">
        <v>-41.8079999999999</v>
      </c>
      <c r="AF4787">
        <v>28.022529526577401</v>
      </c>
      <c r="AG4787">
        <v>1.8419019999999999</v>
      </c>
      <c r="AH4787">
        <v>46.507443110136002</v>
      </c>
      <c r="AI4787">
        <v>88.057129509584797</v>
      </c>
      <c r="AJ4787">
        <v>58.929414046307699</v>
      </c>
      <c r="AK4787">
        <v>54.328602307514203</v>
      </c>
      <c r="AL4787">
        <v>79.535970197453906</v>
      </c>
      <c r="AM4787">
        <v>74.298596904527798</v>
      </c>
      <c r="AN4787">
        <v>0.99999997916458405</v>
      </c>
    </row>
    <row r="4788" spans="1:40" x14ac:dyDescent="0.25">
      <c r="A4788" t="str">
        <f>"20190303170348653"</f>
        <v>20190303170348653</v>
      </c>
      <c r="B4788" t="str">
        <f>"1551603828640297"</f>
        <v>1551603828640297</v>
      </c>
      <c r="C4788" t="s">
        <v>40</v>
      </c>
      <c r="D4788">
        <v>4.0495979999999996</v>
      </c>
      <c r="E4788">
        <v>0.60935399999999995</v>
      </c>
      <c r="F4788" t="s">
        <v>91</v>
      </c>
      <c r="G4788">
        <v>-226.20580000000001</v>
      </c>
      <c r="H4788">
        <v>3.0409639999999998</v>
      </c>
      <c r="I4788">
        <v>119.5971</v>
      </c>
      <c r="J4788">
        <v>-191.46340000000001</v>
      </c>
      <c r="K4788">
        <v>1.119875</v>
      </c>
      <c r="L4788">
        <v>161.09790000000001</v>
      </c>
      <c r="M4788">
        <v>-0.15257479999999901</v>
      </c>
      <c r="N4788">
        <v>-9.6719470000000002E-3</v>
      </c>
      <c r="O4788">
        <v>-0.98824480000000003</v>
      </c>
      <c r="P4788">
        <v>-0.40767370000000003</v>
      </c>
      <c r="Q4788">
        <v>0.1734802</v>
      </c>
      <c r="R4788">
        <v>-0.89649709999999905</v>
      </c>
      <c r="S4788">
        <v>-2.0140530000000001</v>
      </c>
      <c r="T4788">
        <v>0.1112983</v>
      </c>
      <c r="U4788">
        <v>-2.4115449999999998</v>
      </c>
      <c r="V4788">
        <v>0.26683050000000003</v>
      </c>
      <c r="W4788">
        <v>0.1815901</v>
      </c>
      <c r="X4788">
        <v>0.94648109999999996</v>
      </c>
      <c r="Y4788">
        <v>0.5157872</v>
      </c>
      <c r="Z4788">
        <v>-4.5629169999999997E-2</v>
      </c>
      <c r="AA4788">
        <v>0.85550079999999995</v>
      </c>
      <c r="AB4788">
        <v>19</v>
      </c>
      <c r="AC4788">
        <v>-34.742400000000004</v>
      </c>
      <c r="AD4788">
        <v>1.921089</v>
      </c>
      <c r="AE4788">
        <v>-41.500799999999998</v>
      </c>
      <c r="AF4788">
        <v>27.968088122880399</v>
      </c>
      <c r="AG4788">
        <v>1.921089</v>
      </c>
      <c r="AH4788">
        <v>46.2576433117774</v>
      </c>
      <c r="AI4788">
        <v>87.964605986082006</v>
      </c>
      <c r="AJ4788">
        <v>58.842191812722398</v>
      </c>
      <c r="AK4788">
        <v>54.0895008384691</v>
      </c>
      <c r="AL4788">
        <v>79.537607404094004</v>
      </c>
      <c r="AM4788">
        <v>74.255875598829306</v>
      </c>
      <c r="AN4788">
        <v>0.99999997640273397</v>
      </c>
    </row>
    <row r="4789" spans="1:40" x14ac:dyDescent="0.25">
      <c r="A4789" t="str">
        <f>"20190303170348664"</f>
        <v>20190303170348664</v>
      </c>
      <c r="B4789" t="str">
        <f>"1551603828650057"</f>
        <v>1551603828650057</v>
      </c>
      <c r="C4789" t="s">
        <v>40</v>
      </c>
      <c r="D4789">
        <v>4.0931739999999897</v>
      </c>
      <c r="E4789">
        <v>0.60901899999999998</v>
      </c>
      <c r="F4789" t="s">
        <v>91</v>
      </c>
      <c r="G4789">
        <v>-226.346</v>
      </c>
      <c r="H4789">
        <v>3.1385079999999999</v>
      </c>
      <c r="I4789">
        <v>119.5971</v>
      </c>
      <c r="J4789">
        <v>-191.4795</v>
      </c>
      <c r="K4789">
        <v>1.119856</v>
      </c>
      <c r="L4789">
        <v>161.00559999999999</v>
      </c>
      <c r="M4789">
        <v>-0.154138</v>
      </c>
      <c r="N4789">
        <v>-9.6252809999999994E-3</v>
      </c>
      <c r="O4789">
        <v>-0.98800250000000001</v>
      </c>
      <c r="P4789">
        <v>-0.40898079999999998</v>
      </c>
      <c r="Q4789">
        <v>0.17373229999999901</v>
      </c>
      <c r="R4789">
        <v>-0.89585239999999999</v>
      </c>
      <c r="S4789">
        <v>-2.0211489999999999</v>
      </c>
      <c r="T4789">
        <v>0.11696289999999999</v>
      </c>
      <c r="U4789">
        <v>-2.404617</v>
      </c>
      <c r="V4789">
        <v>0.26672859999999998</v>
      </c>
      <c r="W4789">
        <v>0.1817889</v>
      </c>
      <c r="X4789">
        <v>0.94647170000000003</v>
      </c>
      <c r="Y4789">
        <v>0.51707380000000003</v>
      </c>
      <c r="Z4789">
        <v>-4.7452300000000003E-2</v>
      </c>
      <c r="AA4789">
        <v>0.85462450000000001</v>
      </c>
      <c r="AB4789">
        <v>19</v>
      </c>
      <c r="AC4789">
        <v>-34.866499999999903</v>
      </c>
      <c r="AD4789">
        <v>2.0186519999999999</v>
      </c>
      <c r="AE4789">
        <v>-41.408499999999897</v>
      </c>
      <c r="AF4789">
        <v>28.027888568487899</v>
      </c>
      <c r="AG4789">
        <v>2.0186519999999999</v>
      </c>
      <c r="AH4789">
        <v>46.223816519811898</v>
      </c>
      <c r="AI4789">
        <v>87.861412165427794</v>
      </c>
      <c r="AJ4789">
        <v>58.769401849939399</v>
      </c>
      <c r="AK4789">
        <v>54.095089492133397</v>
      </c>
      <c r="AL4789">
        <v>79.526024615780798</v>
      </c>
      <c r="AM4789">
        <v>74.261441602085895</v>
      </c>
      <c r="AN4789">
        <v>1.0000000145610299</v>
      </c>
    </row>
    <row r="4790" spans="1:40" x14ac:dyDescent="0.25">
      <c r="A4790" t="str">
        <f>"20190303170348677"</f>
        <v>20190303170348677</v>
      </c>
      <c r="B4790" t="str">
        <f>"1551603828670553"</f>
        <v>1551603828670553</v>
      </c>
      <c r="C4790" t="s">
        <v>40</v>
      </c>
      <c r="D4790">
        <v>4.1150520000000004</v>
      </c>
      <c r="E4790">
        <v>0.60868250000000002</v>
      </c>
      <c r="F4790" t="s">
        <v>91</v>
      </c>
      <c r="G4790">
        <v>-226.3416</v>
      </c>
      <c r="H4790">
        <v>3.1842220000000001</v>
      </c>
      <c r="I4790">
        <v>119.5971</v>
      </c>
      <c r="J4790">
        <v>-191.49870000000001</v>
      </c>
      <c r="K4790">
        <v>1.119829</v>
      </c>
      <c r="L4790">
        <v>160.89580000000001</v>
      </c>
      <c r="M4790">
        <v>-0.15600549999999999</v>
      </c>
      <c r="N4790">
        <v>-9.5679019999999997E-3</v>
      </c>
      <c r="O4790">
        <v>-0.98771019999999998</v>
      </c>
      <c r="P4790">
        <v>-0.41092139999999999</v>
      </c>
      <c r="Q4790">
        <v>0.17449500000000001</v>
      </c>
      <c r="R4790">
        <v>-0.8948161</v>
      </c>
      <c r="S4790">
        <v>-2.0224609999999998</v>
      </c>
      <c r="T4790">
        <v>0.11976059999999999</v>
      </c>
      <c r="U4790">
        <v>-2.402237</v>
      </c>
      <c r="V4790">
        <v>0.26702540000000002</v>
      </c>
      <c r="W4790">
        <v>0.18248139999999999</v>
      </c>
      <c r="X4790">
        <v>0.9462547</v>
      </c>
      <c r="Y4790">
        <v>0.51612119999999995</v>
      </c>
      <c r="Z4790">
        <v>-4.8324600000000002E-2</v>
      </c>
      <c r="AA4790">
        <v>0.855151199999999</v>
      </c>
      <c r="AB4790">
        <v>19</v>
      </c>
      <c r="AC4790">
        <v>-34.842899999999901</v>
      </c>
      <c r="AD4790">
        <v>2.0643929999999999</v>
      </c>
      <c r="AE4790">
        <v>-41.298699999999997</v>
      </c>
      <c r="AF4790">
        <v>27.9323615032948</v>
      </c>
      <c r="AG4790">
        <v>2.0643929999999999</v>
      </c>
      <c r="AH4790">
        <v>46.161549715185501</v>
      </c>
      <c r="AI4790">
        <v>87.808839228923404</v>
      </c>
      <c r="AJ4790">
        <v>58.821860583034798</v>
      </c>
      <c r="AK4790">
        <v>53.994140512806901</v>
      </c>
      <c r="AL4790">
        <v>79.485672090028203</v>
      </c>
      <c r="AM4790">
        <v>74.241364162368797</v>
      </c>
      <c r="AN4790">
        <v>0.99999999143160401</v>
      </c>
    </row>
    <row r="4791" spans="1:40" x14ac:dyDescent="0.25">
      <c r="A4791" t="str">
        <f>"20190303170348691"</f>
        <v>20190303170348691</v>
      </c>
      <c r="B4791" t="str">
        <f>"1551603828680820"</f>
        <v>1551603828680820</v>
      </c>
      <c r="C4791" t="s">
        <v>40</v>
      </c>
      <c r="D4791">
        <v>4.0694699999999999</v>
      </c>
      <c r="E4791">
        <v>0.60839350000000003</v>
      </c>
      <c r="F4791" t="s">
        <v>91</v>
      </c>
      <c r="G4791">
        <v>-226.37299999999999</v>
      </c>
      <c r="H4791">
        <v>3.2470479999999999</v>
      </c>
      <c r="I4791">
        <v>119.5971</v>
      </c>
      <c r="J4791">
        <v>-191.51900000000001</v>
      </c>
      <c r="K4791">
        <v>1.119801</v>
      </c>
      <c r="L4791">
        <v>160.7816</v>
      </c>
      <c r="M4791">
        <v>-0.15796740000000001</v>
      </c>
      <c r="N4791">
        <v>-9.5039210000000002E-3</v>
      </c>
      <c r="O4791">
        <v>-0.98739849999999996</v>
      </c>
      <c r="P4791">
        <v>-0.41276289999999999</v>
      </c>
      <c r="Q4791">
        <v>0.17472170000000001</v>
      </c>
      <c r="R4791">
        <v>-0.89392340000000003</v>
      </c>
      <c r="S4791">
        <v>-2.02536</v>
      </c>
      <c r="T4791">
        <v>0.123541</v>
      </c>
      <c r="U4791">
        <v>-2.3984679999999998</v>
      </c>
      <c r="V4791">
        <v>0.26711119999999999</v>
      </c>
      <c r="W4791">
        <v>0.18263280000000001</v>
      </c>
      <c r="X4791">
        <v>0.94620130000000002</v>
      </c>
      <c r="Y4791">
        <v>0.51565030000000001</v>
      </c>
      <c r="Z4791">
        <v>-4.9515139999999999E-2</v>
      </c>
      <c r="AA4791">
        <v>0.85536719999999899</v>
      </c>
      <c r="AB4791">
        <v>19</v>
      </c>
      <c r="AC4791">
        <v>-34.8539999999999</v>
      </c>
      <c r="AD4791">
        <v>2.1272470000000001</v>
      </c>
      <c r="AE4791">
        <v>-41.1845</v>
      </c>
      <c r="AF4791">
        <v>27.866921988178301</v>
      </c>
      <c r="AG4791">
        <v>2.1272470000000001</v>
      </c>
      <c r="AH4791">
        <v>46.101732239426603</v>
      </c>
      <c r="AI4791">
        <v>87.738632643184502</v>
      </c>
      <c r="AJ4791">
        <v>58.8484718928852</v>
      </c>
      <c r="AK4791">
        <v>53.911596492498802</v>
      </c>
      <c r="AL4791">
        <v>79.476849509609096</v>
      </c>
      <c r="AM4791">
        <v>74.235706864409806</v>
      </c>
      <c r="AN4791">
        <v>1.00000001646148</v>
      </c>
    </row>
    <row r="4792" spans="1:40" x14ac:dyDescent="0.25">
      <c r="A4792" t="str">
        <f>"20190303170348707"</f>
        <v>20190303170348707</v>
      </c>
      <c r="B4792" t="str">
        <f>"1551603828700339"</f>
        <v>1551603828700339</v>
      </c>
      <c r="C4792" t="s">
        <v>40</v>
      </c>
      <c r="D4792">
        <v>4.0992709999999999</v>
      </c>
      <c r="E4792">
        <v>0.60807599999999995</v>
      </c>
      <c r="F4792" t="s">
        <v>91</v>
      </c>
      <c r="G4792">
        <v>-226.38069999999999</v>
      </c>
      <c r="H4792">
        <v>3.2206950000000001</v>
      </c>
      <c r="I4792">
        <v>119.5971</v>
      </c>
      <c r="J4792">
        <v>-191.54329999999999</v>
      </c>
      <c r="K4792">
        <v>1.1197619999999999</v>
      </c>
      <c r="L4792">
        <v>160.64699999999999</v>
      </c>
      <c r="M4792">
        <v>-0.16029889999999999</v>
      </c>
      <c r="N4792">
        <v>-9.4256870000000003E-3</v>
      </c>
      <c r="O4792">
        <v>-0.98702369999999995</v>
      </c>
      <c r="P4792">
        <v>-0.41503269999999998</v>
      </c>
      <c r="Q4792">
        <v>0.17539250000000001</v>
      </c>
      <c r="R4792">
        <v>-0.892740599999999</v>
      </c>
      <c r="S4792">
        <v>-2.027908</v>
      </c>
      <c r="T4792">
        <v>0.1222095</v>
      </c>
      <c r="U4792">
        <v>-2.3957060000000001</v>
      </c>
      <c r="V4792">
        <v>0.26731539999999998</v>
      </c>
      <c r="W4792">
        <v>0.18321129999999999</v>
      </c>
      <c r="X4792">
        <v>0.94603170000000003</v>
      </c>
      <c r="Y4792">
        <v>0.51465850000000002</v>
      </c>
      <c r="Z4792">
        <v>-4.9009049999999998E-2</v>
      </c>
      <c r="AA4792">
        <v>0.85599340000000002</v>
      </c>
      <c r="AB4792">
        <v>19</v>
      </c>
      <c r="AC4792">
        <v>-34.837400000000002</v>
      </c>
      <c r="AD4792">
        <v>2.1009329999999999</v>
      </c>
      <c r="AE4792">
        <v>-41.049900000000001</v>
      </c>
      <c r="AF4792">
        <v>27.764039387582098</v>
      </c>
      <c r="AG4792">
        <v>2.1009329999999999</v>
      </c>
      <c r="AH4792">
        <v>46.033565244568301</v>
      </c>
      <c r="AI4792">
        <v>87.761948180717098</v>
      </c>
      <c r="AJ4792">
        <v>58.904729663067798</v>
      </c>
      <c r="AK4792">
        <v>53.799116458466401</v>
      </c>
      <c r="AL4792">
        <v>79.443134239806795</v>
      </c>
      <c r="AM4792">
        <v>74.221567780868099</v>
      </c>
      <c r="AN4792">
        <v>0.99999994046486795</v>
      </c>
    </row>
    <row r="4793" spans="1:40" x14ac:dyDescent="0.25">
      <c r="A4793" t="str">
        <f>"20190303170348722"</f>
        <v>20190303170348722</v>
      </c>
      <c r="B4793" t="str">
        <f>"1551603828710099"</f>
        <v>1551603828710099</v>
      </c>
      <c r="C4793" t="s">
        <v>40</v>
      </c>
      <c r="D4793">
        <v>4.1194410000000001</v>
      </c>
      <c r="E4793">
        <v>0.60792889999999999</v>
      </c>
      <c r="F4793" t="s">
        <v>91</v>
      </c>
      <c r="G4793">
        <v>-226.4162</v>
      </c>
      <c r="H4793">
        <v>3.2527840000000001</v>
      </c>
      <c r="I4793">
        <v>119.5971</v>
      </c>
      <c r="J4793">
        <v>-191.56469999999999</v>
      </c>
      <c r="K4793">
        <v>1.1197349999999999</v>
      </c>
      <c r="L4793">
        <v>160.52940000000001</v>
      </c>
      <c r="M4793">
        <v>-0.16235359999999999</v>
      </c>
      <c r="N4793">
        <v>-9.3549889999999993E-3</v>
      </c>
      <c r="O4793">
        <v>-0.98668809999999996</v>
      </c>
      <c r="P4793">
        <v>-0.41667530000000003</v>
      </c>
      <c r="Q4793">
        <v>0.17578849999999999</v>
      </c>
      <c r="R4793">
        <v>-0.89189689999999999</v>
      </c>
      <c r="S4793">
        <v>-2.031647</v>
      </c>
      <c r="T4793">
        <v>0.12426719999999999</v>
      </c>
      <c r="U4793">
        <v>-2.3915099999999998</v>
      </c>
      <c r="V4793">
        <v>0.26711089999999998</v>
      </c>
      <c r="W4793">
        <v>0.1835263</v>
      </c>
      <c r="X4793">
        <v>0.94602850000000005</v>
      </c>
      <c r="Y4793">
        <v>0.51437319999999997</v>
      </c>
      <c r="Z4793">
        <v>-4.9627020000000001E-2</v>
      </c>
      <c r="AA4793">
        <v>0.85612929999999998</v>
      </c>
      <c r="AB4793">
        <v>19</v>
      </c>
      <c r="AC4793">
        <v>-34.851500000000001</v>
      </c>
      <c r="AD4793">
        <v>2.1330490000000002</v>
      </c>
      <c r="AE4793">
        <v>-40.932299999999998</v>
      </c>
      <c r="AF4793">
        <v>27.6996654137976</v>
      </c>
      <c r="AG4793">
        <v>2.1330490000000002</v>
      </c>
      <c r="AH4793">
        <v>45.975324026449002</v>
      </c>
      <c r="AI4793">
        <v>87.724256944955997</v>
      </c>
      <c r="AJ4793">
        <v>58.931463775782397</v>
      </c>
      <c r="AK4793">
        <v>53.717332225360202</v>
      </c>
      <c r="AL4793">
        <v>79.424775718135194</v>
      </c>
      <c r="AM4793">
        <v>74.232987385411306</v>
      </c>
      <c r="AN4793">
        <v>1.00000002925137</v>
      </c>
    </row>
    <row r="4794" spans="1:40" x14ac:dyDescent="0.25">
      <c r="A4794" t="str">
        <f>"20190303170348736"</f>
        <v>20190303170348736</v>
      </c>
      <c r="B4794" t="str">
        <f>"1551603828730596"</f>
        <v>1551603828730596</v>
      </c>
      <c r="C4794" t="s">
        <v>40</v>
      </c>
      <c r="D4794">
        <v>4.045458</v>
      </c>
      <c r="E4794">
        <v>0.60758069999999997</v>
      </c>
      <c r="F4794" t="s">
        <v>91</v>
      </c>
      <c r="G4794">
        <v>-226.4479</v>
      </c>
      <c r="H4794">
        <v>3.2695880000000002</v>
      </c>
      <c r="I4794">
        <v>119.5971</v>
      </c>
      <c r="J4794">
        <v>-191.58770000000001</v>
      </c>
      <c r="K4794">
        <v>1.1196950000000001</v>
      </c>
      <c r="L4794">
        <v>160.405</v>
      </c>
      <c r="M4794">
        <v>-0.1645422</v>
      </c>
      <c r="N4794">
        <v>-9.2777599999999995E-3</v>
      </c>
      <c r="O4794">
        <v>-0.98632649999999999</v>
      </c>
      <c r="P4794">
        <v>-0.41812009999999999</v>
      </c>
      <c r="Q4794">
        <v>0.17582</v>
      </c>
      <c r="R4794">
        <v>-0.89121439999999996</v>
      </c>
      <c r="S4794">
        <v>-2.0351720000000002</v>
      </c>
      <c r="T4794">
        <v>0.12542819999999999</v>
      </c>
      <c r="U4794">
        <v>-2.3880919999999999</v>
      </c>
      <c r="V4794">
        <v>0.26655610000000002</v>
      </c>
      <c r="W4794">
        <v>0.18347240000000001</v>
      </c>
      <c r="X4794">
        <v>0.94619540000000002</v>
      </c>
      <c r="Y4794">
        <v>0.51379859999999999</v>
      </c>
      <c r="Z4794">
        <v>-4.9938200000000002E-2</v>
      </c>
      <c r="AA4794">
        <v>0.8564562</v>
      </c>
      <c r="AB4794">
        <v>19</v>
      </c>
      <c r="AC4794">
        <v>-34.860199999999899</v>
      </c>
      <c r="AD4794">
        <v>2.1498930000000001</v>
      </c>
      <c r="AE4794">
        <v>-40.807899999999997</v>
      </c>
      <c r="AF4794">
        <v>27.6257779231277</v>
      </c>
      <c r="AG4794">
        <v>2.1498930000000001</v>
      </c>
      <c r="AH4794">
        <v>45.9141891210962</v>
      </c>
      <c r="AI4794">
        <v>87.702436115511006</v>
      </c>
      <c r="AJ4794">
        <v>58.965400948465799</v>
      </c>
      <c r="AK4794">
        <v>53.627589992626099</v>
      </c>
      <c r="AL4794">
        <v>79.427917051193901</v>
      </c>
      <c r="AM4794">
        <v>74.266750623202796</v>
      </c>
      <c r="AN4794">
        <v>1.00000000549506</v>
      </c>
    </row>
    <row r="4795" spans="1:40" x14ac:dyDescent="0.25">
      <c r="A4795" t="str">
        <f>"20190303170348754"</f>
        <v>20190303170348754</v>
      </c>
      <c r="B4795" t="str">
        <f>"1551603828740356"</f>
        <v>1551603828740356</v>
      </c>
      <c r="C4795" t="s">
        <v>40</v>
      </c>
      <c r="D4795">
        <v>4.0485439999999997</v>
      </c>
      <c r="E4795">
        <v>0.60751149999999998</v>
      </c>
      <c r="F4795" t="s">
        <v>91</v>
      </c>
      <c r="G4795">
        <v>-226.4204</v>
      </c>
      <c r="H4795">
        <v>3.2691530000000002</v>
      </c>
      <c r="I4795">
        <v>119.5971</v>
      </c>
      <c r="J4795">
        <v>-191.61539999999999</v>
      </c>
      <c r="K4795">
        <v>1.1196459999999999</v>
      </c>
      <c r="L4795">
        <v>160.25720000000001</v>
      </c>
      <c r="M4795">
        <v>-0.16717219999999999</v>
      </c>
      <c r="N4795">
        <v>-9.1792350000000009E-3</v>
      </c>
      <c r="O4795">
        <v>-0.98588500000000001</v>
      </c>
      <c r="P4795">
        <v>-0.41909619999999997</v>
      </c>
      <c r="Q4795">
        <v>0.17535709999999999</v>
      </c>
      <c r="R4795">
        <v>-0.89084680000000005</v>
      </c>
      <c r="S4795">
        <v>-2.036575</v>
      </c>
      <c r="T4795">
        <v>0.12567339999999999</v>
      </c>
      <c r="U4795">
        <v>-2.3859249999999999</v>
      </c>
      <c r="V4795">
        <v>0.26506190000000002</v>
      </c>
      <c r="W4795">
        <v>0.1829085</v>
      </c>
      <c r="X4795">
        <v>0.94672420000000002</v>
      </c>
      <c r="Y4795">
        <v>0.51218589999999997</v>
      </c>
      <c r="Z4795">
        <v>-4.993123E-2</v>
      </c>
      <c r="AA4795">
        <v>0.85742199999999902</v>
      </c>
      <c r="AB4795">
        <v>19</v>
      </c>
      <c r="AC4795">
        <v>-34.805</v>
      </c>
      <c r="AD4795">
        <v>2.1495069999999998</v>
      </c>
      <c r="AE4795">
        <v>-40.6601</v>
      </c>
      <c r="AF4795">
        <v>27.473335985312598</v>
      </c>
      <c r="AG4795">
        <v>2.1495069999999998</v>
      </c>
      <c r="AH4795">
        <v>45.832620641749102</v>
      </c>
      <c r="AI4795">
        <v>87.696475026159803</v>
      </c>
      <c r="AJ4795">
        <v>59.060366002682997</v>
      </c>
      <c r="AK4795">
        <v>53.479282768146902</v>
      </c>
      <c r="AL4795">
        <v>79.4607824660267</v>
      </c>
      <c r="AM4795">
        <v>74.358925114968002</v>
      </c>
      <c r="AN4795">
        <v>1.0000000205347399</v>
      </c>
    </row>
    <row r="4796" spans="1:40" x14ac:dyDescent="0.25">
      <c r="A4796" t="str">
        <f>"20190303170348766"</f>
        <v>20190303170348766</v>
      </c>
      <c r="B4796" t="str">
        <f>"1551603828759875"</f>
        <v>1551603828759875</v>
      </c>
      <c r="C4796" t="s">
        <v>40</v>
      </c>
      <c r="D4796">
        <v>4.0473030000000003</v>
      </c>
      <c r="E4796">
        <v>0.60727629999999999</v>
      </c>
      <c r="F4796" t="s">
        <v>91</v>
      </c>
      <c r="G4796">
        <v>-226.40539999999999</v>
      </c>
      <c r="H4796">
        <v>3.2697780000000001</v>
      </c>
      <c r="I4796">
        <v>119.5971</v>
      </c>
      <c r="J4796">
        <v>-191.6352</v>
      </c>
      <c r="K4796">
        <v>1.1196170000000001</v>
      </c>
      <c r="L4796">
        <v>160.1532</v>
      </c>
      <c r="M4796">
        <v>-0.1690429</v>
      </c>
      <c r="N4796">
        <v>-9.1064230000000006E-3</v>
      </c>
      <c r="O4796">
        <v>-0.98556670000000002</v>
      </c>
      <c r="P4796">
        <v>-0.42040329999999898</v>
      </c>
      <c r="Q4796">
        <v>0.17544599999999999</v>
      </c>
      <c r="R4796">
        <v>-0.89021349999999999</v>
      </c>
      <c r="S4796">
        <v>-2.039307</v>
      </c>
      <c r="T4796">
        <v>0.1260358</v>
      </c>
      <c r="U4796">
        <v>-2.3833920000000002</v>
      </c>
      <c r="V4796">
        <v>0.26466669999999998</v>
      </c>
      <c r="W4796">
        <v>0.18291740000000001</v>
      </c>
      <c r="X4796">
        <v>0.94683300000000004</v>
      </c>
      <c r="Y4796">
        <v>0.51157219999999903</v>
      </c>
      <c r="Z4796">
        <v>-4.9982070000000003E-2</v>
      </c>
      <c r="AA4796">
        <v>0.85778529999999997</v>
      </c>
      <c r="AB4796">
        <v>19</v>
      </c>
      <c r="AC4796">
        <v>-34.770199999999903</v>
      </c>
      <c r="AD4796">
        <v>2.1501610000000002</v>
      </c>
      <c r="AE4796">
        <v>-40.556100000000001</v>
      </c>
      <c r="AF4796">
        <v>27.369425788229499</v>
      </c>
      <c r="AG4796">
        <v>2.1501610000000002</v>
      </c>
      <c r="AH4796">
        <v>45.776135959238502</v>
      </c>
      <c r="AI4796">
        <v>87.6913799434178</v>
      </c>
      <c r="AJ4796">
        <v>59.124912950185603</v>
      </c>
      <c r="AK4796">
        <v>53.377554118393398</v>
      </c>
      <c r="AL4796">
        <v>79.4602633892261</v>
      </c>
      <c r="AM4796">
        <v>74.382813648058701</v>
      </c>
      <c r="AN4796">
        <v>0.99999998360032405</v>
      </c>
    </row>
    <row r="4797" spans="1:40" x14ac:dyDescent="0.25">
      <c r="A4797" t="str">
        <f>"20190303170348778"</f>
        <v>20190303170348778</v>
      </c>
      <c r="B4797" t="str">
        <f>"1551603828770612"</f>
        <v>1551603828770612</v>
      </c>
      <c r="C4797" t="s">
        <v>40</v>
      </c>
      <c r="D4797">
        <v>4.059183</v>
      </c>
      <c r="E4797">
        <v>0.60720109999999905</v>
      </c>
      <c r="F4797" t="s">
        <v>91</v>
      </c>
      <c r="G4797">
        <v>-226.4014</v>
      </c>
      <c r="H4797">
        <v>3.2738459999999998</v>
      </c>
      <c r="I4797">
        <v>119.5971</v>
      </c>
      <c r="J4797">
        <v>-191.65440000000001</v>
      </c>
      <c r="K4797">
        <v>1.1195870000000001</v>
      </c>
      <c r="L4797">
        <v>160.05289999999999</v>
      </c>
      <c r="M4797">
        <v>-0.1708567</v>
      </c>
      <c r="N4797">
        <v>-9.0343650000000008E-3</v>
      </c>
      <c r="O4797">
        <v>-0.98525459999999998</v>
      </c>
      <c r="P4797">
        <v>-0.4215411</v>
      </c>
      <c r="Q4797">
        <v>0.175573799999999</v>
      </c>
      <c r="R4797">
        <v>-0.88964989999999999</v>
      </c>
      <c r="S4797">
        <v>-2.0411679999999999</v>
      </c>
      <c r="T4797">
        <v>0.12647809999999901</v>
      </c>
      <c r="U4797">
        <v>-2.3811040000000001</v>
      </c>
      <c r="V4797">
        <v>0.26414739999999998</v>
      </c>
      <c r="W4797">
        <v>0.18296670000000001</v>
      </c>
      <c r="X4797">
        <v>0.94696849999999999</v>
      </c>
      <c r="Y4797">
        <v>0.51078219999999996</v>
      </c>
      <c r="Z4797">
        <v>-5.0064150000000002E-2</v>
      </c>
      <c r="AA4797">
        <v>0.85825119999999899</v>
      </c>
      <c r="AB4797">
        <v>19</v>
      </c>
      <c r="AC4797">
        <v>-34.7469999999999</v>
      </c>
      <c r="AD4797">
        <v>2.1542590000000001</v>
      </c>
      <c r="AE4797">
        <v>-40.455800000000004</v>
      </c>
      <c r="AF4797">
        <v>27.279095112774801</v>
      </c>
      <c r="AG4797">
        <v>2.1542590000000001</v>
      </c>
      <c r="AH4797">
        <v>45.723273482419799</v>
      </c>
      <c r="AI4797">
        <v>87.683005229237395</v>
      </c>
      <c r="AJ4797">
        <v>59.179152405566199</v>
      </c>
      <c r="AK4797">
        <v>53.286091993681197</v>
      </c>
      <c r="AL4797">
        <v>79.457390405508093</v>
      </c>
      <c r="AM4797">
        <v>74.414086838777706</v>
      </c>
      <c r="AN4797">
        <v>1.00000000111395</v>
      </c>
    </row>
    <row r="4798" spans="1:40" x14ac:dyDescent="0.25">
      <c r="A4798" t="str">
        <f>"20190303170348789"</f>
        <v>20190303170348789</v>
      </c>
      <c r="B4798" t="str">
        <f>"1551603828780372"</f>
        <v>1551603828780372</v>
      </c>
      <c r="C4798" t="s">
        <v>40</v>
      </c>
      <c r="D4798">
        <v>4.0653670000000002</v>
      </c>
      <c r="E4798">
        <v>0.60708890000000004</v>
      </c>
      <c r="F4798" t="s">
        <v>91</v>
      </c>
      <c r="G4798">
        <v>-226.4144</v>
      </c>
      <c r="H4798">
        <v>3.2722180000000001</v>
      </c>
      <c r="I4798">
        <v>119.5971</v>
      </c>
      <c r="J4798">
        <v>-191.67400000000001</v>
      </c>
      <c r="K4798">
        <v>1.11955</v>
      </c>
      <c r="L4798">
        <v>159.9522</v>
      </c>
      <c r="M4798">
        <v>-0.17269709999999999</v>
      </c>
      <c r="N4798">
        <v>-8.9579640000000006E-3</v>
      </c>
      <c r="O4798">
        <v>-0.98493439999999999</v>
      </c>
      <c r="P4798">
        <v>-0.42280669999999998</v>
      </c>
      <c r="Q4798">
        <v>0.17654039999999999</v>
      </c>
      <c r="R4798">
        <v>-0.88885800000000004</v>
      </c>
      <c r="S4798">
        <v>-2.043793</v>
      </c>
      <c r="T4798">
        <v>0.1265694</v>
      </c>
      <c r="U4798">
        <v>-2.3786930000000002</v>
      </c>
      <c r="V4798">
        <v>0.26377230000000002</v>
      </c>
      <c r="W4798">
        <v>0.18384790000000001</v>
      </c>
      <c r="X4798">
        <v>0.94690240000000003</v>
      </c>
      <c r="Y4798">
        <v>0.5101523</v>
      </c>
      <c r="Z4798">
        <v>-5.0022049999999998E-2</v>
      </c>
      <c r="AA4798">
        <v>0.85862819999999995</v>
      </c>
      <c r="AB4798">
        <v>19</v>
      </c>
      <c r="AC4798">
        <v>-34.740399999999902</v>
      </c>
      <c r="AD4798">
        <v>2.1526679999999998</v>
      </c>
      <c r="AE4798">
        <v>-40.3551</v>
      </c>
      <c r="AF4798">
        <v>27.204434876858901</v>
      </c>
      <c r="AG4798">
        <v>2.1526679999999998</v>
      </c>
      <c r="AH4798">
        <v>45.673875715514697</v>
      </c>
      <c r="AI4798">
        <v>87.681205514898707</v>
      </c>
      <c r="AJ4798">
        <v>59.220977099093901</v>
      </c>
      <c r="AK4798">
        <v>53.2054337390813</v>
      </c>
      <c r="AL4798">
        <v>79.406030297044893</v>
      </c>
      <c r="AM4798">
        <v>74.434111973337593</v>
      </c>
      <c r="AN4798">
        <v>1.0000000158537199</v>
      </c>
    </row>
    <row r="4799" spans="1:40" x14ac:dyDescent="0.25">
      <c r="A4799" t="str">
        <f>"20190303170348801"</f>
        <v>20190303170348801</v>
      </c>
      <c r="B4799" t="str">
        <f>"1551603828790131"</f>
        <v>1551603828790131</v>
      </c>
      <c r="C4799" t="s">
        <v>40</v>
      </c>
      <c r="D4799">
        <v>4.0515970000000001</v>
      </c>
      <c r="E4799">
        <v>0.60696099999999997</v>
      </c>
      <c r="F4799" t="s">
        <v>91</v>
      </c>
      <c r="G4799">
        <v>-226.43199999999999</v>
      </c>
      <c r="H4799">
        <v>3.3144740000000001</v>
      </c>
      <c r="I4799">
        <v>119.5971</v>
      </c>
      <c r="J4799">
        <v>-191.69380000000001</v>
      </c>
      <c r="K4799">
        <v>1.119518</v>
      </c>
      <c r="L4799">
        <v>159.85149999999999</v>
      </c>
      <c r="M4799">
        <v>-0.17455309999999999</v>
      </c>
      <c r="N4799">
        <v>-8.8778969999999992E-3</v>
      </c>
      <c r="O4799">
        <v>-0.98460780000000003</v>
      </c>
      <c r="P4799">
        <v>-0.42410639999999999</v>
      </c>
      <c r="Q4799">
        <v>0.1770832</v>
      </c>
      <c r="R4799">
        <v>-0.88813030000000004</v>
      </c>
      <c r="S4799">
        <v>-2.0464630000000001</v>
      </c>
      <c r="T4799">
        <v>0.12923200000000001</v>
      </c>
      <c r="U4799">
        <v>-2.376007</v>
      </c>
      <c r="V4799">
        <v>0.26340370000000002</v>
      </c>
      <c r="W4799">
        <v>0.1843011</v>
      </c>
      <c r="X4799">
        <v>0.94691689999999995</v>
      </c>
      <c r="Y4799">
        <v>0.50954079999999902</v>
      </c>
      <c r="Z4799">
        <v>-5.082308E-2</v>
      </c>
      <c r="AA4799">
        <v>0.85894419999999905</v>
      </c>
      <c r="AB4799">
        <v>19</v>
      </c>
      <c r="AC4799">
        <v>-34.738199999999999</v>
      </c>
      <c r="AD4799">
        <v>2.1949559999999901</v>
      </c>
      <c r="AE4799">
        <v>-40.254399999999897</v>
      </c>
      <c r="AF4799">
        <v>27.131805804957999</v>
      </c>
      <c r="AG4799">
        <v>2.1949559999999901</v>
      </c>
      <c r="AH4799">
        <v>45.622508517076596</v>
      </c>
      <c r="AI4799">
        <v>87.632088750328194</v>
      </c>
      <c r="AJ4799">
        <v>59.259957903719602</v>
      </c>
      <c r="AK4799">
        <v>53.125944711323598</v>
      </c>
      <c r="AL4799">
        <v>79.379612367056495</v>
      </c>
      <c r="AM4799">
        <v>74.455038003160496</v>
      </c>
      <c r="AN4799">
        <v>1.00000001007025</v>
      </c>
    </row>
    <row r="4800" spans="1:40" x14ac:dyDescent="0.25">
      <c r="A4800" t="str">
        <f>"20190303170348816"</f>
        <v>20190303170348816</v>
      </c>
      <c r="B4800" t="str">
        <f>"1551603828799892"</f>
        <v>1551603828799892</v>
      </c>
      <c r="C4800" t="s">
        <v>40</v>
      </c>
      <c r="D4800">
        <v>4.0683790000000002</v>
      </c>
      <c r="E4800">
        <v>0.60688909999999996</v>
      </c>
      <c r="F4800" t="s">
        <v>91</v>
      </c>
      <c r="G4800">
        <v>-226.44900000000001</v>
      </c>
      <c r="H4800">
        <v>3.3346789999999999</v>
      </c>
      <c r="I4800">
        <v>119.5971</v>
      </c>
      <c r="J4800">
        <v>-191.7175</v>
      </c>
      <c r="K4800">
        <v>1.1194759999999999</v>
      </c>
      <c r="L4800">
        <v>159.73150000000001</v>
      </c>
      <c r="M4800">
        <v>-0.1767803</v>
      </c>
      <c r="N4800">
        <v>-8.7786069999999904E-3</v>
      </c>
      <c r="O4800">
        <v>-0.98421139999999996</v>
      </c>
      <c r="P4800">
        <v>-0.42564560000000001</v>
      </c>
      <c r="Q4800">
        <v>0.17735029999999999</v>
      </c>
      <c r="R4800">
        <v>-0.88734059999999904</v>
      </c>
      <c r="S4800">
        <v>-2.0491030000000001</v>
      </c>
      <c r="T4800">
        <v>0.13060189999999999</v>
      </c>
      <c r="U4800">
        <v>-2.3733219999999999</v>
      </c>
      <c r="V4800">
        <v>0.26292539999999998</v>
      </c>
      <c r="W4800">
        <v>0.1844586</v>
      </c>
      <c r="X4800">
        <v>0.94701919999999995</v>
      </c>
      <c r="Y4800">
        <v>0.50861109999999998</v>
      </c>
      <c r="Z4800">
        <v>-5.1180820000000002E-2</v>
      </c>
      <c r="AA4800">
        <v>0.85947390000000001</v>
      </c>
      <c r="AB4800">
        <v>19</v>
      </c>
      <c r="AC4800">
        <v>-34.731499999999997</v>
      </c>
      <c r="AD4800">
        <v>2.2152029999999998</v>
      </c>
      <c r="AE4800">
        <v>-40.134399999999999</v>
      </c>
      <c r="AF4800">
        <v>27.042099433536201</v>
      </c>
      <c r="AG4800">
        <v>2.2152029999999998</v>
      </c>
      <c r="AH4800">
        <v>45.562960280010998</v>
      </c>
      <c r="AI4800">
        <v>87.605901018404694</v>
      </c>
      <c r="AJ4800">
        <v>59.310420320581699</v>
      </c>
      <c r="AK4800">
        <v>53.029855888756998</v>
      </c>
      <c r="AL4800">
        <v>79.370431328549003</v>
      </c>
      <c r="AM4800">
        <v>74.483499327017697</v>
      </c>
      <c r="AN4800">
        <v>1.00000005312387</v>
      </c>
    </row>
    <row r="4801" spans="1:40" x14ac:dyDescent="0.25">
      <c r="A4801" t="str">
        <f>"20190303170348833"</f>
        <v>20190303170348833</v>
      </c>
      <c r="B4801" t="str">
        <f>"1551603828820387"</f>
        <v>1551603828820387</v>
      </c>
      <c r="C4801" t="s">
        <v>40</v>
      </c>
      <c r="D4801">
        <v>4.0088169999999996</v>
      </c>
      <c r="E4801">
        <v>0.60678009999999905</v>
      </c>
      <c r="F4801" t="s">
        <v>91</v>
      </c>
      <c r="G4801">
        <v>-226.48509999999999</v>
      </c>
      <c r="H4801">
        <v>3.3376960000000002</v>
      </c>
      <c r="I4801">
        <v>119.5971</v>
      </c>
      <c r="J4801">
        <v>-191.74690000000001</v>
      </c>
      <c r="K4801">
        <v>1.1194109999999999</v>
      </c>
      <c r="L4801">
        <v>159.58600000000001</v>
      </c>
      <c r="M4801">
        <v>-0.1795196</v>
      </c>
      <c r="N4801">
        <v>-8.6478930000000002E-3</v>
      </c>
      <c r="O4801">
        <v>-0.98371640000000005</v>
      </c>
      <c r="P4801">
        <v>-0.42721199999999998</v>
      </c>
      <c r="Q4801">
        <v>0.176625799999999</v>
      </c>
      <c r="R4801">
        <v>-0.88673159999999895</v>
      </c>
      <c r="S4801">
        <v>-2.0530089999999999</v>
      </c>
      <c r="T4801">
        <v>0.13098509999999999</v>
      </c>
      <c r="U4801">
        <v>-2.3699189999999999</v>
      </c>
      <c r="V4801">
        <v>0.26194659999999997</v>
      </c>
      <c r="W4801">
        <v>0.1835957</v>
      </c>
      <c r="X4801">
        <v>0.94745800000000002</v>
      </c>
      <c r="Y4801">
        <v>0.50763440000000004</v>
      </c>
      <c r="Z4801">
        <v>-5.1180959999999998E-2</v>
      </c>
      <c r="AA4801">
        <v>0.86005109999999996</v>
      </c>
      <c r="AB4801">
        <v>19</v>
      </c>
      <c r="AC4801">
        <v>-34.7381999999999</v>
      </c>
      <c r="AD4801">
        <v>2.2182849999999998</v>
      </c>
      <c r="AE4801">
        <v>-39.988900000000001</v>
      </c>
      <c r="AF4801">
        <v>26.947495395149701</v>
      </c>
      <c r="AG4801">
        <v>2.2182849999999998</v>
      </c>
      <c r="AH4801">
        <v>45.495839446000801</v>
      </c>
      <c r="AI4801">
        <v>87.597774407036098</v>
      </c>
      <c r="AJ4801">
        <v>59.361452211381597</v>
      </c>
      <c r="AK4801">
        <v>52.924093788265601</v>
      </c>
      <c r="AL4801">
        <v>79.4207306886168</v>
      </c>
      <c r="AM4801">
        <v>74.545312920798196</v>
      </c>
      <c r="AN4801">
        <v>1.0000000320370199</v>
      </c>
    </row>
    <row r="4802" spans="1:40" x14ac:dyDescent="0.25">
      <c r="A4802" t="str">
        <f>"20190303170348845"</f>
        <v>20190303170348845</v>
      </c>
      <c r="B4802" t="str">
        <f>"1551603828830147"</f>
        <v>1551603828830147</v>
      </c>
      <c r="C4802" t="s">
        <v>40</v>
      </c>
      <c r="D4802">
        <v>4.0340540000000003</v>
      </c>
      <c r="E4802">
        <v>0.60669030000000002</v>
      </c>
      <c r="F4802" t="s">
        <v>91</v>
      </c>
      <c r="G4802">
        <v>-226.5042</v>
      </c>
      <c r="H4802">
        <v>3.3147899999999999</v>
      </c>
      <c r="I4802">
        <v>119.5971</v>
      </c>
      <c r="J4802">
        <v>-191.7681</v>
      </c>
      <c r="K4802">
        <v>1.1193660000000001</v>
      </c>
      <c r="L4802">
        <v>159.48240000000001</v>
      </c>
      <c r="M4802">
        <v>-0.18149209999999999</v>
      </c>
      <c r="N4802">
        <v>-8.5515499999999998E-3</v>
      </c>
      <c r="O4802">
        <v>-0.98335530000000004</v>
      </c>
      <c r="P4802">
        <v>-0.42881930000000001</v>
      </c>
      <c r="Q4802">
        <v>0.1762041</v>
      </c>
      <c r="R4802">
        <v>-0.88603999999999905</v>
      </c>
      <c r="S4802">
        <v>-2.0567929999999999</v>
      </c>
      <c r="T4802">
        <v>0.1299138</v>
      </c>
      <c r="U4802">
        <v>-2.3663789999999998</v>
      </c>
      <c r="V4802">
        <v>0.26175880000000001</v>
      </c>
      <c r="W4802">
        <v>0.18306700000000001</v>
      </c>
      <c r="X4802">
        <v>0.94761220000000002</v>
      </c>
      <c r="Y4802">
        <v>0.50734140000000005</v>
      </c>
      <c r="Z4802">
        <v>-5.0740319999999998E-2</v>
      </c>
      <c r="AA4802">
        <v>0.86024999999999996</v>
      </c>
      <c r="AB4802">
        <v>19</v>
      </c>
      <c r="AC4802">
        <v>-34.736099999999901</v>
      </c>
      <c r="AD4802">
        <v>2.195424</v>
      </c>
      <c r="AE4802">
        <v>-39.885300000000001</v>
      </c>
      <c r="AF4802">
        <v>26.873740824799601</v>
      </c>
      <c r="AG4802">
        <v>2.195424</v>
      </c>
      <c r="AH4802">
        <v>45.449102705222998</v>
      </c>
      <c r="AI4802">
        <v>87.619004008300294</v>
      </c>
      <c r="AJ4802">
        <v>59.404468040490201</v>
      </c>
      <c r="AK4802">
        <v>52.845423351206001</v>
      </c>
      <c r="AL4802">
        <v>79.451545308362</v>
      </c>
      <c r="AM4802">
        <v>74.558257067029501</v>
      </c>
      <c r="AN4802">
        <v>1.00000003872763</v>
      </c>
    </row>
    <row r="4803" spans="1:40" x14ac:dyDescent="0.25">
      <c r="A4803" t="str">
        <f>"20190303170348858"</f>
        <v>20190303170348858</v>
      </c>
      <c r="B4803" t="str">
        <f>"1551603828850643"</f>
        <v>1551603828850643</v>
      </c>
      <c r="C4803" t="s">
        <v>40</v>
      </c>
      <c r="D4803">
        <v>4.0301019999999896</v>
      </c>
      <c r="E4803">
        <v>0.60659319999999906</v>
      </c>
      <c r="F4803" t="s">
        <v>91</v>
      </c>
      <c r="G4803">
        <v>-226.55260000000001</v>
      </c>
      <c r="H4803">
        <v>3.3039700000000001</v>
      </c>
      <c r="I4803">
        <v>119.5971</v>
      </c>
      <c r="J4803">
        <v>-191.7919</v>
      </c>
      <c r="K4803">
        <v>1.1193109999999999</v>
      </c>
      <c r="L4803">
        <v>159.36660000000001</v>
      </c>
      <c r="M4803">
        <v>-0.18371029999999999</v>
      </c>
      <c r="N4803">
        <v>-8.4427119999999998E-3</v>
      </c>
      <c r="O4803">
        <v>-0.98294420000000005</v>
      </c>
      <c r="P4803">
        <v>-0.43063360000000001</v>
      </c>
      <c r="Q4803">
        <v>0.17600829999999901</v>
      </c>
      <c r="R4803">
        <v>-0.88519820000000005</v>
      </c>
      <c r="S4803">
        <v>-2.060638</v>
      </c>
      <c r="T4803">
        <v>0.12941649999999999</v>
      </c>
      <c r="U4803">
        <v>-2.3628079999999998</v>
      </c>
      <c r="V4803">
        <v>0.26156689999999999</v>
      </c>
      <c r="W4803">
        <v>0.18275050000000001</v>
      </c>
      <c r="X4803">
        <v>0.94772619999999996</v>
      </c>
      <c r="Y4803">
        <v>0.50684510000000005</v>
      </c>
      <c r="Z4803">
        <v>-5.0475230000000003E-2</v>
      </c>
      <c r="AA4803">
        <v>0.86055820000000005</v>
      </c>
      <c r="AB4803">
        <v>19</v>
      </c>
      <c r="AC4803">
        <v>-34.7607</v>
      </c>
      <c r="AD4803">
        <v>2.1846589999999901</v>
      </c>
      <c r="AE4803">
        <v>-39.769500000000001</v>
      </c>
      <c r="AF4803">
        <v>26.816842584231299</v>
      </c>
      <c r="AG4803">
        <v>2.1846589999999901</v>
      </c>
      <c r="AH4803">
        <v>45.401049736366801</v>
      </c>
      <c r="AI4803">
        <v>87.627509593594695</v>
      </c>
      <c r="AJ4803">
        <v>59.431110611611203</v>
      </c>
      <c r="AK4803">
        <v>52.774720257882699</v>
      </c>
      <c r="AL4803">
        <v>79.469989856428498</v>
      </c>
      <c r="AM4803">
        <v>74.570805676736001</v>
      </c>
      <c r="AN4803">
        <v>0.99999996929614898</v>
      </c>
    </row>
    <row r="4804" spans="1:40" x14ac:dyDescent="0.25">
      <c r="A4804" t="str">
        <f>"20190303170348870"</f>
        <v>20190303170348870</v>
      </c>
      <c r="B4804" t="str">
        <f>"1551603828860403"</f>
        <v>1551603828860403</v>
      </c>
      <c r="C4804" t="s">
        <v>40</v>
      </c>
      <c r="D4804">
        <v>4.0139319999999996</v>
      </c>
      <c r="E4804">
        <v>0.60656919999999903</v>
      </c>
      <c r="F4804" t="s">
        <v>91</v>
      </c>
      <c r="G4804">
        <v>-226.60939999999999</v>
      </c>
      <c r="H4804">
        <v>3.2880219999999998</v>
      </c>
      <c r="I4804">
        <v>119.5971</v>
      </c>
      <c r="J4804">
        <v>-191.81319999999999</v>
      </c>
      <c r="K4804">
        <v>1.1192660000000001</v>
      </c>
      <c r="L4804">
        <v>159.2645</v>
      </c>
      <c r="M4804">
        <v>-0.18568889999999999</v>
      </c>
      <c r="N4804">
        <v>-8.3459109999999993E-3</v>
      </c>
      <c r="O4804">
        <v>-0.98257320000000004</v>
      </c>
      <c r="P4804">
        <v>-0.4323534</v>
      </c>
      <c r="Q4804">
        <v>0.17590819999999999</v>
      </c>
      <c r="R4804">
        <v>-0.88437940000000004</v>
      </c>
      <c r="S4804">
        <v>-2.0651250000000001</v>
      </c>
      <c r="T4804">
        <v>0.12863269999999999</v>
      </c>
      <c r="U4804">
        <v>-2.358841</v>
      </c>
      <c r="V4804">
        <v>0.26150869999999998</v>
      </c>
      <c r="W4804">
        <v>0.18254190000000001</v>
      </c>
      <c r="X4804">
        <v>0.94778249999999997</v>
      </c>
      <c r="Y4804">
        <v>0.50676469999999996</v>
      </c>
      <c r="Z4804">
        <v>-5.012693E-2</v>
      </c>
      <c r="AA4804">
        <v>0.8606258</v>
      </c>
      <c r="AB4804">
        <v>19</v>
      </c>
      <c r="AC4804">
        <v>-34.796199999999999</v>
      </c>
      <c r="AD4804">
        <v>2.1687560000000001</v>
      </c>
      <c r="AE4804">
        <v>-39.667400000000001</v>
      </c>
      <c r="AF4804">
        <v>26.7797112441311</v>
      </c>
      <c r="AG4804">
        <v>2.1687560000000001</v>
      </c>
      <c r="AH4804">
        <v>45.362341221745297</v>
      </c>
      <c r="AI4804">
        <v>87.642428598496807</v>
      </c>
      <c r="AJ4804">
        <v>59.444472292690001</v>
      </c>
      <c r="AK4804">
        <v>52.721897139847201</v>
      </c>
      <c r="AL4804">
        <v>79.482146636963606</v>
      </c>
      <c r="AM4804">
        <v>74.574947911790403</v>
      </c>
      <c r="AN4804">
        <v>1.00000000636877</v>
      </c>
    </row>
    <row r="4805" spans="1:40" x14ac:dyDescent="0.25">
      <c r="A4805" t="str">
        <f>"20190303170348882"</f>
        <v>20190303170348882</v>
      </c>
      <c r="B4805" t="str">
        <f>"1551603828870163"</f>
        <v>1551603828870163</v>
      </c>
      <c r="C4805" t="s">
        <v>40</v>
      </c>
      <c r="D4805">
        <v>4.024362</v>
      </c>
      <c r="E4805">
        <v>0.60650360000000003</v>
      </c>
      <c r="F4805" t="s">
        <v>91</v>
      </c>
      <c r="G4805">
        <v>-226.66820000000001</v>
      </c>
      <c r="H4805">
        <v>3.2726169999999999</v>
      </c>
      <c r="I4805">
        <v>119.5971</v>
      </c>
      <c r="J4805">
        <v>-191.83510000000001</v>
      </c>
      <c r="K4805">
        <v>1.1192230000000001</v>
      </c>
      <c r="L4805">
        <v>159.16079999999999</v>
      </c>
      <c r="M4805">
        <v>-0.18771379999999999</v>
      </c>
      <c r="N4805">
        <v>-8.2496630000000008E-3</v>
      </c>
      <c r="O4805">
        <v>-0.98218939999999999</v>
      </c>
      <c r="P4805">
        <v>-0.43424940000000001</v>
      </c>
      <c r="Q4805">
        <v>0.17585139999999999</v>
      </c>
      <c r="R4805">
        <v>-0.88346150000000001</v>
      </c>
      <c r="S4805">
        <v>-2.0693969999999999</v>
      </c>
      <c r="T4805">
        <v>0.1278485</v>
      </c>
      <c r="U4805">
        <v>-2.355118</v>
      </c>
      <c r="V4805">
        <v>0.2615982</v>
      </c>
      <c r="W4805">
        <v>0.18237500000000001</v>
      </c>
      <c r="X4805">
        <v>0.94778989999999996</v>
      </c>
      <c r="Y4805">
        <v>0.50655509999999904</v>
      </c>
      <c r="Z4805">
        <v>-4.9777670000000003E-2</v>
      </c>
      <c r="AA4805">
        <v>0.86076949999999997</v>
      </c>
      <c r="AB4805">
        <v>19</v>
      </c>
      <c r="AC4805">
        <v>-34.833100000000002</v>
      </c>
      <c r="AD4805">
        <v>2.153394</v>
      </c>
      <c r="AE4805">
        <v>-39.563699999999997</v>
      </c>
      <c r="AF4805">
        <v>26.742324549899301</v>
      </c>
      <c r="AG4805">
        <v>2.153394</v>
      </c>
      <c r="AH4805">
        <v>45.323594780372197</v>
      </c>
      <c r="AI4805">
        <v>87.656782399106802</v>
      </c>
      <c r="AJ4805">
        <v>59.458078947639997</v>
      </c>
      <c r="AK4805">
        <v>52.668940295650202</v>
      </c>
      <c r="AL4805">
        <v>79.491872250942706</v>
      </c>
      <c r="AM4805">
        <v>74.570035030901906</v>
      </c>
      <c r="AN4805">
        <v>0.99999997670512397</v>
      </c>
    </row>
    <row r="4806" spans="1:40" x14ac:dyDescent="0.25">
      <c r="A4806" t="str">
        <f>"20190303170348897"</f>
        <v>20190303170348897</v>
      </c>
      <c r="B4806" t="str">
        <f>"1551603828890660"</f>
        <v>1551603828890660</v>
      </c>
      <c r="C4806" t="s">
        <v>40</v>
      </c>
      <c r="D4806">
        <v>3.9658069999999999</v>
      </c>
      <c r="E4806">
        <v>0.60640609999999995</v>
      </c>
      <c r="F4806" t="s">
        <v>91</v>
      </c>
      <c r="G4806">
        <v>-226.73240000000001</v>
      </c>
      <c r="H4806">
        <v>3.2517809999999998</v>
      </c>
      <c r="I4806">
        <v>119.5971</v>
      </c>
      <c r="J4806">
        <v>-191.86320000000001</v>
      </c>
      <c r="K4806">
        <v>1.11917</v>
      </c>
      <c r="L4806">
        <v>159.02950000000001</v>
      </c>
      <c r="M4806">
        <v>-0.19030140000000001</v>
      </c>
      <c r="N4806">
        <v>-8.1301020000000002E-3</v>
      </c>
      <c r="O4806">
        <v>-0.98169200000000001</v>
      </c>
      <c r="P4806">
        <v>-0.43651220000000002</v>
      </c>
      <c r="Q4806">
        <v>0.17609810000000001</v>
      </c>
      <c r="R4806">
        <v>-0.88229609999999903</v>
      </c>
      <c r="S4806">
        <v>-2.0738219999999998</v>
      </c>
      <c r="T4806">
        <v>0.1267308</v>
      </c>
      <c r="U4806">
        <v>-2.3511350000000002</v>
      </c>
      <c r="V4806">
        <v>0.26155620000000002</v>
      </c>
      <c r="W4806">
        <v>0.18248510000000001</v>
      </c>
      <c r="X4806">
        <v>0.94778030000000002</v>
      </c>
      <c r="Y4806">
        <v>0.50593290000000002</v>
      </c>
      <c r="Z4806">
        <v>-4.9296159999999999E-2</v>
      </c>
      <c r="AA4806">
        <v>0.86116309999999996</v>
      </c>
      <c r="AB4806">
        <v>20</v>
      </c>
      <c r="AC4806">
        <v>-34.869199999999999</v>
      </c>
      <c r="AD4806">
        <v>2.1326109999999998</v>
      </c>
      <c r="AE4806">
        <v>-39.432400000000001</v>
      </c>
      <c r="AF4806">
        <v>26.683858737077099</v>
      </c>
      <c r="AG4806">
        <v>2.1326109999999998</v>
      </c>
      <c r="AH4806">
        <v>45.273317183834202</v>
      </c>
      <c r="AI4806">
        <v>87.6761522439391</v>
      </c>
      <c r="AJ4806">
        <v>59.485122701054898</v>
      </c>
      <c r="AK4806">
        <v>52.595148023421999</v>
      </c>
      <c r="AL4806">
        <v>79.485456324694397</v>
      </c>
      <c r="AM4806">
        <v>74.572245490535295</v>
      </c>
      <c r="AN4806">
        <v>0.99999997727426904</v>
      </c>
    </row>
    <row r="4807" spans="1:40" x14ac:dyDescent="0.25">
      <c r="A4807" t="str">
        <f>"20190303170348911"</f>
        <v>20190303170348911</v>
      </c>
      <c r="B4807" t="str">
        <f>"1551603828900419"</f>
        <v>1551603828900419</v>
      </c>
      <c r="C4807" t="s">
        <v>40</v>
      </c>
      <c r="D4807">
        <v>3.9780720000000001</v>
      </c>
      <c r="E4807">
        <v>0.60637339999999995</v>
      </c>
      <c r="F4807" t="s">
        <v>91</v>
      </c>
      <c r="G4807">
        <v>-227</v>
      </c>
      <c r="H4807">
        <v>3.2632859999999999</v>
      </c>
      <c r="I4807">
        <v>119.3841</v>
      </c>
      <c r="J4807">
        <v>-191.8886</v>
      </c>
      <c r="K4807">
        <v>1.11913</v>
      </c>
      <c r="L4807">
        <v>158.91200000000001</v>
      </c>
      <c r="M4807">
        <v>-0.19264680000000001</v>
      </c>
      <c r="N4807">
        <v>-8.0273719999999996E-3</v>
      </c>
      <c r="O4807">
        <v>-0.98123530000000003</v>
      </c>
      <c r="P4807">
        <v>-0.43867800000000001</v>
      </c>
      <c r="Q4807">
        <v>0.1758912</v>
      </c>
      <c r="R4807">
        <v>-0.88126280000000001</v>
      </c>
      <c r="S4807">
        <v>-2.079361</v>
      </c>
      <c r="T4807">
        <v>0.12688679999999999</v>
      </c>
      <c r="U4807">
        <v>-2.3461759999999998</v>
      </c>
      <c r="V4807">
        <v>0.2616251</v>
      </c>
      <c r="W4807">
        <v>0.1821593</v>
      </c>
      <c r="X4807">
        <v>0.947824</v>
      </c>
      <c r="Y4807">
        <v>0.50591589999999997</v>
      </c>
      <c r="Z4807">
        <v>-4.9251089999999997E-2</v>
      </c>
      <c r="AA4807">
        <v>0.86117569999999999</v>
      </c>
      <c r="AB4807">
        <v>20</v>
      </c>
      <c r="AC4807">
        <v>-35.111400000000003</v>
      </c>
      <c r="AD4807">
        <v>2.1441560000000002</v>
      </c>
      <c r="AE4807">
        <v>-39.527900000000002</v>
      </c>
      <c r="AF4807">
        <v>26.794418087241301</v>
      </c>
      <c r="AG4807">
        <v>2.1441560000000002</v>
      </c>
      <c r="AH4807">
        <v>45.4769422059411</v>
      </c>
      <c r="AI4807">
        <v>87.673824436646001</v>
      </c>
      <c r="AJ4807">
        <v>59.493965599920401</v>
      </c>
      <c r="AK4807">
        <v>52.826986644978497</v>
      </c>
      <c r="AL4807">
        <v>79.504441949395201</v>
      </c>
      <c r="AM4807">
        <v>74.569052716725494</v>
      </c>
      <c r="AN4807">
        <v>1.0000000192512399</v>
      </c>
    </row>
    <row r="4808" spans="1:40" x14ac:dyDescent="0.25">
      <c r="A4808" t="str">
        <f>"20190303170348926"</f>
        <v>20190303170348926</v>
      </c>
      <c r="B4808" t="str">
        <f>"1551603828919940"</f>
        <v>1551603828919940</v>
      </c>
      <c r="C4808" t="s">
        <v>40</v>
      </c>
      <c r="D4808">
        <v>3.9590269999999999</v>
      </c>
      <c r="E4808">
        <v>0.6288108</v>
      </c>
      <c r="F4808" t="s">
        <v>91</v>
      </c>
      <c r="G4808">
        <v>-227.09229999999999</v>
      </c>
      <c r="H4808">
        <v>3.2611289999999999</v>
      </c>
      <c r="I4808">
        <v>119.3841</v>
      </c>
      <c r="J4808">
        <v>-191.91800000000001</v>
      </c>
      <c r="K4808">
        <v>1.1190739999999999</v>
      </c>
      <c r="L4808">
        <v>158.7783</v>
      </c>
      <c r="M4808">
        <v>-0.19534580000000001</v>
      </c>
      <c r="N4808">
        <v>-7.9158700000000002E-3</v>
      </c>
      <c r="O4808">
        <v>-0.98070259999999998</v>
      </c>
      <c r="P4808">
        <v>-0.44101380000000001</v>
      </c>
      <c r="Q4808">
        <v>0.1754656</v>
      </c>
      <c r="R4808">
        <v>-0.88018109999999905</v>
      </c>
      <c r="S4808">
        <v>-2.0849299999999999</v>
      </c>
      <c r="T4808">
        <v>0.12685979999999999</v>
      </c>
      <c r="U4808">
        <v>-2.3410340000000001</v>
      </c>
      <c r="V4808">
        <v>0.26152920000000002</v>
      </c>
      <c r="W4808">
        <v>0.18160419999999999</v>
      </c>
      <c r="X4808">
        <v>0.94795700000000005</v>
      </c>
      <c r="Y4808">
        <v>0.50562870000000004</v>
      </c>
      <c r="Z4808">
        <v>-4.9137599999999997E-2</v>
      </c>
      <c r="AA4808">
        <v>0.86135069999999903</v>
      </c>
      <c r="AB4808">
        <v>20</v>
      </c>
      <c r="AC4808">
        <v>-35.174299999999903</v>
      </c>
      <c r="AD4808">
        <v>2.142055</v>
      </c>
      <c r="AE4808">
        <v>-39.394199999999998</v>
      </c>
      <c r="AF4808">
        <v>26.756854883924198</v>
      </c>
      <c r="AG4808">
        <v>2.142055</v>
      </c>
      <c r="AH4808">
        <v>45.431826808280697</v>
      </c>
      <c r="AI4808">
        <v>87.673550470853201</v>
      </c>
      <c r="AJ4808">
        <v>59.504247392975898</v>
      </c>
      <c r="AK4808">
        <v>52.769011455967402</v>
      </c>
      <c r="AL4808">
        <v>79.536786556246497</v>
      </c>
      <c r="AM4808">
        <v>74.576500752639802</v>
      </c>
      <c r="AN4808">
        <v>1.0000000408796299</v>
      </c>
    </row>
    <row r="4809" spans="1:40" x14ac:dyDescent="0.25">
      <c r="A4809" t="str">
        <f>"20190303170348941"</f>
        <v>20190303170348941</v>
      </c>
      <c r="B4809" t="str">
        <f>"1551603828930675"</f>
        <v>1551603828930675</v>
      </c>
      <c r="C4809" t="s">
        <v>40</v>
      </c>
      <c r="D4809">
        <v>4.1334339999999896</v>
      </c>
      <c r="E4809">
        <v>0.63132809999999995</v>
      </c>
      <c r="F4809" t="s">
        <v>91</v>
      </c>
      <c r="G4809">
        <v>-230.93029999999999</v>
      </c>
      <c r="H4809">
        <v>1.9433860000000001</v>
      </c>
      <c r="I4809">
        <v>119.4838</v>
      </c>
      <c r="J4809">
        <v>-191.94560000000001</v>
      </c>
      <c r="K4809">
        <v>1.119022</v>
      </c>
      <c r="L4809">
        <v>158.65440000000001</v>
      </c>
      <c r="M4809">
        <v>-0.19787099999999999</v>
      </c>
      <c r="N4809">
        <v>-7.8175290000000001E-3</v>
      </c>
      <c r="O4809">
        <v>-0.98019699999999998</v>
      </c>
      <c r="P4809">
        <v>-0.44338440000000001</v>
      </c>
      <c r="Q4809">
        <v>0.17498239999999901</v>
      </c>
      <c r="R4809">
        <v>-0.87908569999999997</v>
      </c>
      <c r="S4809">
        <v>-2.2534939999999999</v>
      </c>
      <c r="T4809">
        <v>4.7615650000000002E-2</v>
      </c>
      <c r="U4809">
        <v>-2.2697910000000001</v>
      </c>
      <c r="V4809">
        <v>0.26163730000000002</v>
      </c>
      <c r="W4809">
        <v>0.18100440000000001</v>
      </c>
      <c r="X4809">
        <v>0.94804189999999999</v>
      </c>
      <c r="Y4809">
        <v>0.55002949999999995</v>
      </c>
      <c r="Z4809">
        <v>-2.2672020000000001E-2</v>
      </c>
      <c r="AA4809">
        <v>0.83483750000000001</v>
      </c>
      <c r="AB4809">
        <v>20</v>
      </c>
      <c r="AC4809">
        <v>-38.984699999999897</v>
      </c>
      <c r="AD4809">
        <v>0.82436399999999999</v>
      </c>
      <c r="AE4809">
        <v>-39.1706</v>
      </c>
      <c r="AF4809">
        <v>30.4561111562261</v>
      </c>
      <c r="AG4809">
        <v>0.82436399999999999</v>
      </c>
      <c r="AH4809">
        <v>46.099992767706098</v>
      </c>
      <c r="AI4809">
        <v>89.145206155215703</v>
      </c>
      <c r="AJ4809">
        <v>56.549124031990601</v>
      </c>
      <c r="AK4809">
        <v>55.25815429371</v>
      </c>
      <c r="AL4809">
        <v>79.571731876948505</v>
      </c>
      <c r="AM4809">
        <v>74.571745283732795</v>
      </c>
      <c r="AN4809">
        <v>1.00000005686312</v>
      </c>
    </row>
    <row r="4810" spans="1:40" x14ac:dyDescent="0.25">
      <c r="A4810" t="str">
        <f>"20190303170348956"</f>
        <v>20190303170348956</v>
      </c>
      <c r="B4810" t="str">
        <f>"1551603828940436"</f>
        <v>1551603828940436</v>
      </c>
      <c r="C4810" t="s">
        <v>40</v>
      </c>
      <c r="D4810">
        <v>4.1232689999999996</v>
      </c>
      <c r="E4810">
        <v>0.63306030000000002</v>
      </c>
      <c r="F4810" t="s">
        <v>91</v>
      </c>
      <c r="G4810">
        <v>-231.3142</v>
      </c>
      <c r="H4810">
        <v>1.3487880000000001</v>
      </c>
      <c r="I4810">
        <v>119.5971</v>
      </c>
      <c r="J4810">
        <v>-191.97450000000001</v>
      </c>
      <c r="K4810">
        <v>1.1189659999999999</v>
      </c>
      <c r="L4810">
        <v>158.5257</v>
      </c>
      <c r="M4810">
        <v>-0.20051939999999999</v>
      </c>
      <c r="N4810">
        <v>-7.7206890000000002E-3</v>
      </c>
      <c r="O4810">
        <v>-0.97965919999999895</v>
      </c>
      <c r="P4810">
        <v>-0.44636429999999999</v>
      </c>
      <c r="Q4810">
        <v>0.174283299999999</v>
      </c>
      <c r="R4810">
        <v>-0.87771509999999997</v>
      </c>
      <c r="S4810">
        <v>-2.2787169999999999</v>
      </c>
      <c r="T4810">
        <v>1.329958E-2</v>
      </c>
      <c r="U4810">
        <v>-2.2606959999999998</v>
      </c>
      <c r="V4810">
        <v>0.26227800000000001</v>
      </c>
      <c r="W4810">
        <v>0.1801836</v>
      </c>
      <c r="X4810">
        <v>0.94802120000000001</v>
      </c>
      <c r="Y4810">
        <v>0.55420619999999998</v>
      </c>
      <c r="Z4810">
        <v>-1.140583E-2</v>
      </c>
      <c r="AA4810">
        <v>0.83230130000000002</v>
      </c>
      <c r="AB4810">
        <v>20</v>
      </c>
      <c r="AC4810">
        <v>-39.339699999999901</v>
      </c>
      <c r="AD4810">
        <v>0.229822</v>
      </c>
      <c r="AE4810">
        <v>-38.928600000000003</v>
      </c>
      <c r="AF4810">
        <v>30.7339488636424</v>
      </c>
      <c r="AG4810">
        <v>0.229822</v>
      </c>
      <c r="AH4810">
        <v>46.025717242927499</v>
      </c>
      <c r="AI4810">
        <v>89.762073765810896</v>
      </c>
      <c r="AJ4810">
        <v>56.266744345827398</v>
      </c>
      <c r="AK4810">
        <v>55.344331946736702</v>
      </c>
      <c r="AL4810">
        <v>79.619546226247706</v>
      </c>
      <c r="AM4810">
        <v>74.535449146343694</v>
      </c>
      <c r="AN4810">
        <v>1.0000000373211899</v>
      </c>
    </row>
    <row r="4811" spans="1:40" x14ac:dyDescent="0.25">
      <c r="A4811" t="str">
        <f>"20190303170348967"</f>
        <v>20190303170348967</v>
      </c>
      <c r="B4811" t="str">
        <f>"1551603828959955"</f>
        <v>1551603828959955</v>
      </c>
      <c r="C4811" t="s">
        <v>40</v>
      </c>
      <c r="D4811">
        <v>4.0871769999999996</v>
      </c>
      <c r="E4811">
        <v>0.63479759999999996</v>
      </c>
      <c r="F4811" t="s">
        <v>91</v>
      </c>
      <c r="G4811">
        <v>-231.9802</v>
      </c>
      <c r="H4811">
        <v>0.9960194</v>
      </c>
      <c r="I4811">
        <v>119.3841</v>
      </c>
      <c r="J4811">
        <v>-191.99979999999999</v>
      </c>
      <c r="K4811">
        <v>1.1189209999999901</v>
      </c>
      <c r="L4811">
        <v>158.4153</v>
      </c>
      <c r="M4811">
        <v>-0.20282449999999999</v>
      </c>
      <c r="N4811">
        <v>-7.6453240000000002E-3</v>
      </c>
      <c r="O4811">
        <v>-0.97918539999999998</v>
      </c>
      <c r="P4811">
        <v>-0.44834439999999998</v>
      </c>
      <c r="Q4811">
        <v>0.17477010000000001</v>
      </c>
      <c r="R4811">
        <v>-0.87660859999999996</v>
      </c>
      <c r="S4811">
        <v>-2.2995760000000001</v>
      </c>
      <c r="T4811">
        <v>-7.0667269999999897E-3</v>
      </c>
      <c r="U4811">
        <v>-2.249908</v>
      </c>
      <c r="V4811">
        <v>0.26222380000000001</v>
      </c>
      <c r="W4811">
        <v>0.18057719999999999</v>
      </c>
      <c r="X4811">
        <v>0.94796130000000001</v>
      </c>
      <c r="Y4811">
        <v>0.55805119999999997</v>
      </c>
      <c r="Z4811">
        <v>-4.7266649999999997E-3</v>
      </c>
      <c r="AA4811">
        <v>0.829793</v>
      </c>
      <c r="AB4811">
        <v>20</v>
      </c>
      <c r="AC4811">
        <v>-39.980400000000003</v>
      </c>
      <c r="AD4811">
        <v>-0.122901599999999</v>
      </c>
      <c r="AE4811">
        <v>-39.031199999999998</v>
      </c>
      <c r="AF4811">
        <v>31.232497713875699</v>
      </c>
      <c r="AG4811">
        <v>-0.122901599999999</v>
      </c>
      <c r="AH4811">
        <v>46.328909276664703</v>
      </c>
      <c r="AI4811">
        <v>90.126030127178893</v>
      </c>
      <c r="AJ4811">
        <v>56.014236631124199</v>
      </c>
      <c r="AK4811">
        <v>55.873534459670203</v>
      </c>
      <c r="AL4811">
        <v>79.5966185133247</v>
      </c>
      <c r="AM4811">
        <v>74.537561756514805</v>
      </c>
      <c r="AN4811">
        <v>1.0000000363719801</v>
      </c>
    </row>
    <row r="4812" spans="1:40" x14ac:dyDescent="0.25">
      <c r="A4812" t="str">
        <f>"20190303170348979"</f>
        <v>20190303170348979</v>
      </c>
      <c r="B4812" t="str">
        <f>"1551603828970691"</f>
        <v>1551603828970691</v>
      </c>
      <c r="C4812" t="s">
        <v>40</v>
      </c>
      <c r="D4812">
        <v>4.0746510000000002</v>
      </c>
      <c r="E4812">
        <v>0.63551340000000001</v>
      </c>
      <c r="F4812" t="s">
        <v>91</v>
      </c>
      <c r="G4812">
        <v>-232.3493</v>
      </c>
      <c r="H4812">
        <v>0.69631619999999905</v>
      </c>
      <c r="I4812">
        <v>119.3841</v>
      </c>
      <c r="J4812">
        <v>-192.02350000000001</v>
      </c>
      <c r="K4812">
        <v>1.118884</v>
      </c>
      <c r="L4812">
        <v>158.3124</v>
      </c>
      <c r="M4812">
        <v>-0.20498540000000001</v>
      </c>
      <c r="N4812">
        <v>-7.5779590000000004E-3</v>
      </c>
      <c r="O4812">
        <v>-0.97873589999999999</v>
      </c>
      <c r="P4812">
        <v>-0.45063750000000002</v>
      </c>
      <c r="Q4812">
        <v>0.17477010000000001</v>
      </c>
      <c r="R4812">
        <v>-0.87543210000000005</v>
      </c>
      <c r="S4812">
        <v>-2.3175050000000001</v>
      </c>
      <c r="T4812">
        <v>-2.427232E-2</v>
      </c>
      <c r="U4812">
        <v>-2.2417910000000001</v>
      </c>
      <c r="V4812">
        <v>0.2626269</v>
      </c>
      <c r="W4812">
        <v>0.18048990000000001</v>
      </c>
      <c r="X4812">
        <v>0.94786630000000005</v>
      </c>
      <c r="Y4812">
        <v>0.56093530000000003</v>
      </c>
      <c r="Z4812">
        <v>9.0107049999999997E-4</v>
      </c>
      <c r="AA4812">
        <v>0.82785909999999996</v>
      </c>
      <c r="AB4812">
        <v>20</v>
      </c>
      <c r="AC4812">
        <v>-40.325800000000001</v>
      </c>
      <c r="AD4812">
        <v>-0.42256779999999999</v>
      </c>
      <c r="AE4812">
        <v>-38.928299999999901</v>
      </c>
      <c r="AF4812">
        <v>31.4876831278252</v>
      </c>
      <c r="AG4812">
        <v>-0.42256779999999999</v>
      </c>
      <c r="AH4812">
        <v>46.3654116893847</v>
      </c>
      <c r="AI4812">
        <v>90.431977613115293</v>
      </c>
      <c r="AJ4812">
        <v>55.818785734051602</v>
      </c>
      <c r="AK4812">
        <v>56.0482306003505</v>
      </c>
      <c r="AL4812">
        <v>79.601703693040804</v>
      </c>
      <c r="AM4812">
        <v>74.513454693980094</v>
      </c>
      <c r="AN4812">
        <v>1.0000000076406499</v>
      </c>
    </row>
    <row r="4813" spans="1:40" x14ac:dyDescent="0.25">
      <c r="A4813" t="str">
        <f>"20190303170348991"</f>
        <v>20190303170348991</v>
      </c>
      <c r="B4813" t="str">
        <f>"1551603828980451"</f>
        <v>1551603828980451</v>
      </c>
      <c r="C4813" t="s">
        <v>40</v>
      </c>
      <c r="D4813">
        <v>4.0438080000000003</v>
      </c>
      <c r="E4813">
        <v>0.63587190000000005</v>
      </c>
      <c r="F4813" t="s">
        <v>91</v>
      </c>
      <c r="G4813">
        <v>-232.58619999999999</v>
      </c>
      <c r="H4813">
        <v>0.58264969999999905</v>
      </c>
      <c r="I4813">
        <v>119.3841</v>
      </c>
      <c r="J4813">
        <v>-192.048</v>
      </c>
      <c r="K4813">
        <v>1.118846</v>
      </c>
      <c r="L4813">
        <v>158.20740000000001</v>
      </c>
      <c r="M4813">
        <v>-0.20720810000000001</v>
      </c>
      <c r="N4813">
        <v>-7.513619E-3</v>
      </c>
      <c r="O4813">
        <v>-0.97826809999999997</v>
      </c>
      <c r="P4813">
        <v>-0.4525248</v>
      </c>
      <c r="Q4813">
        <v>0.17513879999999901</v>
      </c>
      <c r="R4813">
        <v>-0.8743843</v>
      </c>
      <c r="S4813">
        <v>-2.3283079999999998</v>
      </c>
      <c r="T4813">
        <v>-3.0779600000000001E-2</v>
      </c>
      <c r="U4813">
        <v>-2.2344970000000002</v>
      </c>
      <c r="V4813">
        <v>0.26254939999999999</v>
      </c>
      <c r="W4813">
        <v>0.1807774</v>
      </c>
      <c r="X4813">
        <v>0.94783300000000004</v>
      </c>
      <c r="Y4813">
        <v>0.56231969999999898</v>
      </c>
      <c r="Z4813">
        <v>3.0676649999999998E-3</v>
      </c>
      <c r="AA4813">
        <v>0.82691429999999999</v>
      </c>
      <c r="AB4813">
        <v>20</v>
      </c>
      <c r="AC4813">
        <v>-40.538199999999897</v>
      </c>
      <c r="AD4813">
        <v>-0.53619629999999996</v>
      </c>
      <c r="AE4813">
        <v>-38.823300000000003</v>
      </c>
      <c r="AF4813">
        <v>31.610731411043801</v>
      </c>
      <c r="AG4813">
        <v>-0.53619629999999996</v>
      </c>
      <c r="AH4813">
        <v>46.376513533726701</v>
      </c>
      <c r="AI4813">
        <v>90.547364493630994</v>
      </c>
      <c r="AJ4813">
        <v>55.721236053528898</v>
      </c>
      <c r="AK4813">
        <v>56.127594410924303</v>
      </c>
      <c r="AL4813">
        <v>79.584955850506404</v>
      </c>
      <c r="AM4813">
        <v>74.517287604504403</v>
      </c>
      <c r="AN4813">
        <v>1.0000000258400501</v>
      </c>
    </row>
    <row r="4814" spans="1:40" x14ac:dyDescent="0.25">
      <c r="A4814" t="str">
        <f>"20190303170349009"</f>
        <v>20190303170349009</v>
      </c>
      <c r="B4814" t="str">
        <f>"1551603828999972"</f>
        <v>1551603828999972</v>
      </c>
      <c r="C4814" t="s">
        <v>40</v>
      </c>
      <c r="D4814">
        <v>4.0488039999999996</v>
      </c>
      <c r="E4814">
        <v>0.63645810000000003</v>
      </c>
      <c r="F4814" t="s">
        <v>91</v>
      </c>
      <c r="G4814">
        <v>-232.7328</v>
      </c>
      <c r="H4814">
        <v>0.50715299999999996</v>
      </c>
      <c r="I4814">
        <v>119.3841</v>
      </c>
      <c r="J4814">
        <v>-192.08600000000001</v>
      </c>
      <c r="K4814">
        <v>1.118787</v>
      </c>
      <c r="L4814">
        <v>158.047</v>
      </c>
      <c r="M4814">
        <v>-0.21064630000000001</v>
      </c>
      <c r="N4814">
        <v>-7.420917E-3</v>
      </c>
      <c r="O4814">
        <v>-0.97753420000000002</v>
      </c>
      <c r="P4814">
        <v>-0.455154</v>
      </c>
      <c r="Q4814">
        <v>0.17502379999999901</v>
      </c>
      <c r="R4814">
        <v>-0.87304190000000004</v>
      </c>
      <c r="S4814">
        <v>-2.3359380000000001</v>
      </c>
      <c r="T4814">
        <v>-3.5120369999999998E-2</v>
      </c>
      <c r="U4814">
        <v>-2.2290649999999999</v>
      </c>
      <c r="V4814">
        <v>0.26208419999999999</v>
      </c>
      <c r="W4814">
        <v>0.1805467</v>
      </c>
      <c r="X4814">
        <v>0.94800569999999895</v>
      </c>
      <c r="Y4814">
        <v>0.56176329999999997</v>
      </c>
      <c r="Z4814">
        <v>4.5632479999999998E-3</v>
      </c>
      <c r="AA4814">
        <v>0.82728550000000001</v>
      </c>
      <c r="AB4814">
        <v>20</v>
      </c>
      <c r="AC4814">
        <v>-40.646799999999999</v>
      </c>
      <c r="AD4814">
        <v>-0.61163400000000001</v>
      </c>
      <c r="AE4814">
        <v>-38.662899999999901</v>
      </c>
      <c r="AF4814">
        <v>31.586554576789101</v>
      </c>
      <c r="AG4814">
        <v>-0.61163400000000001</v>
      </c>
      <c r="AH4814">
        <v>46.352170366747799</v>
      </c>
      <c r="AI4814">
        <v>90.624743175693595</v>
      </c>
      <c r="AJ4814">
        <v>55.727637562313497</v>
      </c>
      <c r="AK4814">
        <v>56.094636320154997</v>
      </c>
      <c r="AL4814">
        <v>79.598395096835802</v>
      </c>
      <c r="AM4814">
        <v>74.5460891095031</v>
      </c>
      <c r="AN4814">
        <v>1.0000000230015</v>
      </c>
    </row>
    <row r="4815" spans="1:40" x14ac:dyDescent="0.25">
      <c r="A4815" t="str">
        <f>"20190303170349033"</f>
        <v>20190303170349033</v>
      </c>
      <c r="B4815" t="str">
        <f>"1551603829020468"</f>
        <v>1551603829020468</v>
      </c>
      <c r="C4815" t="s">
        <v>40</v>
      </c>
      <c r="D4815">
        <v>4.0353139999999996</v>
      </c>
      <c r="E4815">
        <v>0.63655240000000002</v>
      </c>
      <c r="F4815" t="s">
        <v>91</v>
      </c>
      <c r="G4815">
        <v>-232.95939999999999</v>
      </c>
      <c r="H4815">
        <v>0.41750670000000001</v>
      </c>
      <c r="I4815">
        <v>119.3841</v>
      </c>
      <c r="J4815">
        <v>-192.1353</v>
      </c>
      <c r="K4815">
        <v>1.118708</v>
      </c>
      <c r="L4815">
        <v>157.84280000000001</v>
      </c>
      <c r="M4815">
        <v>-0.215085</v>
      </c>
      <c r="N4815">
        <v>-7.3105319999999998E-3</v>
      </c>
      <c r="O4815">
        <v>-0.97656799999999999</v>
      </c>
      <c r="P4815">
        <v>-0.45875470000000002</v>
      </c>
      <c r="Q4815">
        <v>0.17532879999999901</v>
      </c>
      <c r="R4815">
        <v>-0.87109349999999997</v>
      </c>
      <c r="S4815">
        <v>-2.3474879999999998</v>
      </c>
      <c r="T4815">
        <v>-4.0276529999999998E-2</v>
      </c>
      <c r="U4815">
        <v>-2.2205349999999999</v>
      </c>
      <c r="V4815">
        <v>0.26173419999999997</v>
      </c>
      <c r="W4815">
        <v>0.18070800000000001</v>
      </c>
      <c r="X4815">
        <v>0.94807169999999996</v>
      </c>
      <c r="Y4815">
        <v>0.56161759999999905</v>
      </c>
      <c r="Z4815">
        <v>6.3398169999999898E-3</v>
      </c>
      <c r="AA4815">
        <v>0.82737260000000001</v>
      </c>
      <c r="AB4815">
        <v>20</v>
      </c>
      <c r="AC4815">
        <v>-40.824099999999902</v>
      </c>
      <c r="AD4815">
        <v>-0.70120130000000003</v>
      </c>
      <c r="AE4815">
        <v>-38.4587</v>
      </c>
      <c r="AF4815">
        <v>31.591525692945499</v>
      </c>
      <c r="AG4815">
        <v>-0.70120130000000003</v>
      </c>
      <c r="AH4815">
        <v>46.332182280509599</v>
      </c>
      <c r="AI4815">
        <v>90.716396416606301</v>
      </c>
      <c r="AJ4815">
        <v>55.711939985751002</v>
      </c>
      <c r="AK4815">
        <v>56.081969417501099</v>
      </c>
      <c r="AL4815">
        <v>79.588999127741303</v>
      </c>
      <c r="AM4815">
        <v>74.566765636652903</v>
      </c>
      <c r="AN4815">
        <v>1.0000000605272601</v>
      </c>
    </row>
    <row r="4816" spans="1:40" x14ac:dyDescent="0.25">
      <c r="A4816" t="str">
        <f>"20190303170349047"</f>
        <v>20190303170349047</v>
      </c>
      <c r="B4816" t="str">
        <f>"1551603829030228"</f>
        <v>1551603829030228</v>
      </c>
      <c r="C4816" t="s">
        <v>40</v>
      </c>
      <c r="D4816">
        <v>4.029833</v>
      </c>
      <c r="E4816">
        <v>0.63666559999999905</v>
      </c>
      <c r="F4816" t="s">
        <v>91</v>
      </c>
      <c r="G4816">
        <v>-233.16</v>
      </c>
      <c r="H4816">
        <v>0.38281300000000001</v>
      </c>
      <c r="I4816">
        <v>119.3841</v>
      </c>
      <c r="J4816">
        <v>-192.16579999999999</v>
      </c>
      <c r="K4816">
        <v>1.11866</v>
      </c>
      <c r="L4816">
        <v>157.71850000000001</v>
      </c>
      <c r="M4816">
        <v>-0.2178351</v>
      </c>
      <c r="N4816">
        <v>-7.2475090000000001E-3</v>
      </c>
      <c r="O4816">
        <v>-0.97595860000000001</v>
      </c>
      <c r="P4816">
        <v>-0.461395</v>
      </c>
      <c r="Q4816">
        <v>0.1751636</v>
      </c>
      <c r="R4816">
        <v>-0.86973129999999998</v>
      </c>
      <c r="S4816">
        <v>-2.3580779999999999</v>
      </c>
      <c r="T4816">
        <v>-4.229844E-2</v>
      </c>
      <c r="U4816">
        <v>-2.2105869999999999</v>
      </c>
      <c r="V4816">
        <v>0.2619495</v>
      </c>
      <c r="W4816">
        <v>0.1804557</v>
      </c>
      <c r="X4816">
        <v>0.94806020000000002</v>
      </c>
      <c r="Y4816">
        <v>0.56299480000000002</v>
      </c>
      <c r="Z4816">
        <v>7.0634399999999998E-3</v>
      </c>
      <c r="AA4816">
        <v>0.82643029999999995</v>
      </c>
      <c r="AB4816">
        <v>20</v>
      </c>
      <c r="AC4816">
        <v>-40.994199999999999</v>
      </c>
      <c r="AD4816">
        <v>-0.73584699999999903</v>
      </c>
      <c r="AE4816">
        <v>-38.334400000000002</v>
      </c>
      <c r="AF4816">
        <v>31.6534570945356</v>
      </c>
      <c r="AG4816">
        <v>-0.73584699999999903</v>
      </c>
      <c r="AH4816">
        <v>46.336018910889102</v>
      </c>
      <c r="AI4816">
        <v>90.751278814136796</v>
      </c>
      <c r="AJ4816">
        <v>55.6619020384286</v>
      </c>
      <c r="AK4816">
        <v>56.120490601502098</v>
      </c>
      <c r="AL4816">
        <v>79.603695541403894</v>
      </c>
      <c r="AM4816">
        <v>74.554497926906706</v>
      </c>
      <c r="AN4816">
        <v>0.99999997151838904</v>
      </c>
    </row>
    <row r="4817" spans="1:40" x14ac:dyDescent="0.25">
      <c r="A4817" t="str">
        <f>"20190303170349061"</f>
        <v>20190303170349061</v>
      </c>
      <c r="B4817" t="str">
        <f>"1551603829050725"</f>
        <v>1551603829050725</v>
      </c>
      <c r="C4817" t="s">
        <v>40</v>
      </c>
      <c r="D4817">
        <v>4.0368409999999999</v>
      </c>
      <c r="E4817">
        <v>0.6370574</v>
      </c>
      <c r="F4817" t="s">
        <v>91</v>
      </c>
      <c r="G4817">
        <v>-233.3305</v>
      </c>
      <c r="H4817">
        <v>0.35130980000000001</v>
      </c>
      <c r="I4817">
        <v>119.3841</v>
      </c>
      <c r="J4817">
        <v>-192.19749999999999</v>
      </c>
      <c r="K4817">
        <v>1.1186069999999999</v>
      </c>
      <c r="L4817">
        <v>157.59110000000001</v>
      </c>
      <c r="M4817">
        <v>-0.2206803</v>
      </c>
      <c r="N4817">
        <v>-7.1841530000000004E-3</v>
      </c>
      <c r="O4817">
        <v>-0.97531990000000002</v>
      </c>
      <c r="P4817">
        <v>-0.46422049999999998</v>
      </c>
      <c r="Q4817">
        <v>0.17547349999999901</v>
      </c>
      <c r="R4817">
        <v>-0.86816419999999905</v>
      </c>
      <c r="S4817">
        <v>-2.3658139999999999</v>
      </c>
      <c r="T4817">
        <v>-4.4100760000000003E-2</v>
      </c>
      <c r="U4817">
        <v>-2.2031559999999999</v>
      </c>
      <c r="V4817">
        <v>0.26230219999999999</v>
      </c>
      <c r="W4817">
        <v>0.18067469999999999</v>
      </c>
      <c r="X4817">
        <v>0.94792100000000001</v>
      </c>
      <c r="Y4817">
        <v>0.56331940000000003</v>
      </c>
      <c r="Z4817">
        <v>7.715151E-3</v>
      </c>
      <c r="AA4817">
        <v>0.82620319999999903</v>
      </c>
      <c r="AB4817">
        <v>20</v>
      </c>
      <c r="AC4817">
        <v>-41.133000000000003</v>
      </c>
      <c r="AD4817">
        <v>-0.76729719999999901</v>
      </c>
      <c r="AE4817">
        <v>-38.207000000000001</v>
      </c>
      <c r="AF4817">
        <v>31.681195850677799</v>
      </c>
      <c r="AG4817">
        <v>-0.76729719999999901</v>
      </c>
      <c r="AH4817">
        <v>46.333823577809703</v>
      </c>
      <c r="AI4817">
        <v>90.783191526358195</v>
      </c>
      <c r="AJ4817">
        <v>55.6372575173557</v>
      </c>
      <c r="AK4817">
        <v>56.134749690915399</v>
      </c>
      <c r="AL4817">
        <v>79.590938442237601</v>
      </c>
      <c r="AM4817">
        <v>74.532534011010199</v>
      </c>
      <c r="AN4817">
        <v>1.00000000679296</v>
      </c>
    </row>
    <row r="4818" spans="1:40" x14ac:dyDescent="0.25">
      <c r="A4818" t="str">
        <f>"20190303170349080"</f>
        <v>20190303170349080</v>
      </c>
      <c r="B4818" t="str">
        <f>"1551603829070244"</f>
        <v>1551603829070244</v>
      </c>
      <c r="C4818" t="s">
        <v>40</v>
      </c>
      <c r="D4818">
        <v>4.0347619999999997</v>
      </c>
      <c r="E4818">
        <v>0.63713960000000003</v>
      </c>
      <c r="F4818" t="s">
        <v>91</v>
      </c>
      <c r="G4818">
        <v>-233.5625</v>
      </c>
      <c r="H4818">
        <v>0.32055660000000002</v>
      </c>
      <c r="I4818">
        <v>119.3841</v>
      </c>
      <c r="J4818">
        <v>-192.2388</v>
      </c>
      <c r="K4818">
        <v>1.1185449999999999</v>
      </c>
      <c r="L4818">
        <v>157.42789999999999</v>
      </c>
      <c r="M4818">
        <v>-0.22437080000000001</v>
      </c>
      <c r="N4818">
        <v>-7.1042889999999997E-3</v>
      </c>
      <c r="O4818">
        <v>-0.97447810000000001</v>
      </c>
      <c r="P4818">
        <v>-0.4682578</v>
      </c>
      <c r="Q4818">
        <v>0.17533799999999999</v>
      </c>
      <c r="R4818">
        <v>-0.86602060000000003</v>
      </c>
      <c r="S4818">
        <v>-2.375839</v>
      </c>
      <c r="T4818">
        <v>-4.5836450000000001E-2</v>
      </c>
      <c r="U4818">
        <v>-2.194458</v>
      </c>
      <c r="V4818">
        <v>0.26314650000000001</v>
      </c>
      <c r="W4818">
        <v>0.18042</v>
      </c>
      <c r="X4818">
        <v>0.94773549999999995</v>
      </c>
      <c r="Y4818">
        <v>0.56355889999999997</v>
      </c>
      <c r="Z4818">
        <v>8.3601639999999998E-3</v>
      </c>
      <c r="AA4818">
        <v>0.82603359999999904</v>
      </c>
      <c r="AB4818">
        <v>20</v>
      </c>
      <c r="AC4818">
        <v>-41.323700000000002</v>
      </c>
      <c r="AD4818">
        <v>-0.79798840000000004</v>
      </c>
      <c r="AE4818">
        <v>-38.043799999999898</v>
      </c>
      <c r="AF4818">
        <v>31.727515255761901</v>
      </c>
      <c r="AG4818">
        <v>-0.79798840000000004</v>
      </c>
      <c r="AH4818">
        <v>46.336491994167702</v>
      </c>
      <c r="AI4818">
        <v>90.814103084599196</v>
      </c>
      <c r="AJ4818">
        <v>55.599783629613199</v>
      </c>
      <c r="AK4818">
        <v>56.1635335437213</v>
      </c>
      <c r="AL4818">
        <v>79.605775616749796</v>
      </c>
      <c r="AM4818">
        <v>74.482251572984396</v>
      </c>
      <c r="AN4818">
        <v>1.00000001741124</v>
      </c>
    </row>
    <row r="4819" spans="1:40" x14ac:dyDescent="0.25">
      <c r="A4819" t="str">
        <f>"20190303170349092"</f>
        <v>20190303170349092</v>
      </c>
      <c r="B4819" t="str">
        <f>"1551603829080004"</f>
        <v>1551603829080004</v>
      </c>
      <c r="C4819" t="s">
        <v>40</v>
      </c>
      <c r="D4819">
        <v>4.0036420000000001</v>
      </c>
      <c r="E4819">
        <v>0.63714959999999998</v>
      </c>
      <c r="F4819" t="s">
        <v>91</v>
      </c>
      <c r="G4819">
        <v>-233.8126</v>
      </c>
      <c r="H4819">
        <v>0.26972099999999999</v>
      </c>
      <c r="I4819">
        <v>119.3841</v>
      </c>
      <c r="J4819">
        <v>-192.27010000000001</v>
      </c>
      <c r="K4819">
        <v>1.1184909999999999</v>
      </c>
      <c r="L4819">
        <v>157.30549999999999</v>
      </c>
      <c r="M4819">
        <v>-0.2271706</v>
      </c>
      <c r="N4819">
        <v>-7.0444359999999899E-3</v>
      </c>
      <c r="O4819">
        <v>-0.97382939999999996</v>
      </c>
      <c r="P4819">
        <v>-0.47126289999999998</v>
      </c>
      <c r="Q4819">
        <v>0.1756057</v>
      </c>
      <c r="R4819">
        <v>-0.86433439999999995</v>
      </c>
      <c r="S4819">
        <v>-2.3863370000000002</v>
      </c>
      <c r="T4819">
        <v>-4.8722149999999999E-2</v>
      </c>
      <c r="U4819">
        <v>-2.183716</v>
      </c>
      <c r="V4819">
        <v>0.26374789999999998</v>
      </c>
      <c r="W4819">
        <v>0.18059829999999999</v>
      </c>
      <c r="X4819">
        <v>0.94753430000000005</v>
      </c>
      <c r="Y4819">
        <v>0.56501040000000002</v>
      </c>
      <c r="Z4819">
        <v>9.3619170000000008E-3</v>
      </c>
      <c r="AA4819">
        <v>0.82503059999999995</v>
      </c>
      <c r="AB4819">
        <v>20</v>
      </c>
      <c r="AC4819">
        <v>-41.542499999999897</v>
      </c>
      <c r="AD4819">
        <v>-0.84876999999999903</v>
      </c>
      <c r="AE4819">
        <v>-37.921399999999899</v>
      </c>
      <c r="AF4819">
        <v>31.8342250516882</v>
      </c>
      <c r="AG4819">
        <v>-0.84876999999999903</v>
      </c>
      <c r="AH4819">
        <v>46.3568082433736</v>
      </c>
      <c r="AI4819">
        <v>90.864715473883095</v>
      </c>
      <c r="AJ4819">
        <v>55.521769814724898</v>
      </c>
      <c r="AK4819">
        <v>56.2413723665004</v>
      </c>
      <c r="AL4819">
        <v>79.595388720231199</v>
      </c>
      <c r="AM4819">
        <v>74.445359187239603</v>
      </c>
      <c r="AN4819">
        <v>0.99999997519689399</v>
      </c>
    </row>
    <row r="4820" spans="1:40" x14ac:dyDescent="0.25">
      <c r="A4820" t="str">
        <f>"20190303170349107"</f>
        <v>20190303170349107</v>
      </c>
      <c r="B4820" t="str">
        <f>"1551603829090740"</f>
        <v>1551603829090740</v>
      </c>
      <c r="C4820" t="s">
        <v>40</v>
      </c>
      <c r="D4820">
        <v>4.0083780000000004</v>
      </c>
      <c r="E4820">
        <v>0.63714749999999998</v>
      </c>
      <c r="F4820" t="s">
        <v>91</v>
      </c>
      <c r="G4820">
        <v>-234.0146</v>
      </c>
      <c r="H4820">
        <v>0.28850890000000001</v>
      </c>
      <c r="I4820">
        <v>119.3841</v>
      </c>
      <c r="J4820">
        <v>-192.3015</v>
      </c>
      <c r="K4820">
        <v>1.1184459999999901</v>
      </c>
      <c r="L4820">
        <v>157.1848</v>
      </c>
      <c r="M4820">
        <v>-0.22996150000000001</v>
      </c>
      <c r="N4820">
        <v>-6.9874749999999999E-3</v>
      </c>
      <c r="O4820">
        <v>-0.97317469999999995</v>
      </c>
      <c r="P4820">
        <v>-0.47382679999999999</v>
      </c>
      <c r="Q4820">
        <v>0.17531669999999999</v>
      </c>
      <c r="R4820">
        <v>-0.86299009999999998</v>
      </c>
      <c r="S4820">
        <v>-2.3943479999999999</v>
      </c>
      <c r="T4820">
        <v>-4.7605160000000001E-2</v>
      </c>
      <c r="U4820">
        <v>-2.1750639999999999</v>
      </c>
      <c r="V4820">
        <v>0.26384679999999999</v>
      </c>
      <c r="W4820">
        <v>0.18022869999999999</v>
      </c>
      <c r="X4820">
        <v>0.94757720000000001</v>
      </c>
      <c r="Y4820">
        <v>0.56565509999999997</v>
      </c>
      <c r="Z4820">
        <v>9.0682869999999995E-3</v>
      </c>
      <c r="AA4820">
        <v>0.82459210000000005</v>
      </c>
      <c r="AB4820">
        <v>20</v>
      </c>
      <c r="AC4820">
        <v>-41.713099999999997</v>
      </c>
      <c r="AD4820">
        <v>-0.82993709999999898</v>
      </c>
      <c r="AE4820">
        <v>-37.8006999999999</v>
      </c>
      <c r="AF4820">
        <v>31.895272077121401</v>
      </c>
      <c r="AG4820">
        <v>-0.82993709999999898</v>
      </c>
      <c r="AH4820">
        <v>46.370142431007203</v>
      </c>
      <c r="AI4820">
        <v>90.844847115992096</v>
      </c>
      <c r="AJ4820">
        <v>55.478222992456502</v>
      </c>
      <c r="AK4820">
        <v>56.286652818722999</v>
      </c>
      <c r="AL4820">
        <v>79.6169191447797</v>
      </c>
      <c r="AM4820">
        <v>74.440479390936105</v>
      </c>
      <c r="AN4820">
        <v>1.00000003406688</v>
      </c>
    </row>
    <row r="4821" spans="1:40" x14ac:dyDescent="0.25">
      <c r="A4821" t="str">
        <f>"20190303170349123"</f>
        <v>20190303170349123</v>
      </c>
      <c r="B4821" t="str">
        <f>"1551603829110259"</f>
        <v>1551603829110259</v>
      </c>
      <c r="C4821" t="s">
        <v>40</v>
      </c>
      <c r="D4821">
        <v>4.0256569999999998</v>
      </c>
      <c r="E4821">
        <v>0.63718809999999904</v>
      </c>
      <c r="F4821" t="s">
        <v>91</v>
      </c>
      <c r="G4821">
        <v>-234.16650000000001</v>
      </c>
      <c r="H4821">
        <v>0.27585599999999999</v>
      </c>
      <c r="I4821">
        <v>119.3841</v>
      </c>
      <c r="J4821">
        <v>-192.34200000000001</v>
      </c>
      <c r="K4821">
        <v>1.118382</v>
      </c>
      <c r="L4821">
        <v>157.03139999999999</v>
      </c>
      <c r="M4821">
        <v>-0.23354340000000001</v>
      </c>
      <c r="N4821">
        <v>-6.9169380000000001E-3</v>
      </c>
      <c r="O4821">
        <v>-0.97232200000000002</v>
      </c>
      <c r="P4821">
        <v>-0.47719400000000001</v>
      </c>
      <c r="Q4821">
        <v>0.17602989999999999</v>
      </c>
      <c r="R4821">
        <v>-0.86098779999999997</v>
      </c>
      <c r="S4821">
        <v>-2.400909</v>
      </c>
      <c r="T4821">
        <v>-4.8321250000000003E-2</v>
      </c>
      <c r="U4821">
        <v>-2.1678310000000001</v>
      </c>
      <c r="V4821">
        <v>0.26412039999999998</v>
      </c>
      <c r="W4821">
        <v>0.1808379</v>
      </c>
      <c r="X4821">
        <v>0.94738480000000003</v>
      </c>
      <c r="Y4821">
        <v>0.565106</v>
      </c>
      <c r="Z4821">
        <v>9.3785919999999998E-3</v>
      </c>
      <c r="AA4821">
        <v>0.82496499999999995</v>
      </c>
      <c r="AB4821">
        <v>21</v>
      </c>
      <c r="AC4821">
        <v>-41.8245</v>
      </c>
      <c r="AD4821">
        <v>-0.842526</v>
      </c>
      <c r="AE4821">
        <v>-37.647299999999902</v>
      </c>
      <c r="AF4821">
        <v>31.868214826079701</v>
      </c>
      <c r="AG4821">
        <v>-0.842526</v>
      </c>
      <c r="AH4821">
        <v>46.363839988189198</v>
      </c>
      <c r="AI4821">
        <v>90.857973102579606</v>
      </c>
      <c r="AJ4821">
        <v>55.497288700555302</v>
      </c>
      <c r="AK4821">
        <v>56.266318741430503</v>
      </c>
      <c r="AL4821">
        <v>79.581430520933694</v>
      </c>
      <c r="AM4821">
        <v>74.422118041362694</v>
      </c>
      <c r="AN4821">
        <v>0.99999994552180305</v>
      </c>
    </row>
    <row r="4822" spans="1:40" x14ac:dyDescent="0.25">
      <c r="A4822" t="str">
        <f>"20190303170349139"</f>
        <v>20190303170349139</v>
      </c>
      <c r="B4822" t="str">
        <f>"1551603829130756"</f>
        <v>1551603829130756</v>
      </c>
      <c r="C4822" t="s">
        <v>40</v>
      </c>
      <c r="D4822">
        <v>4.014729</v>
      </c>
      <c r="E4822">
        <v>0.63720069999999995</v>
      </c>
      <c r="F4822" t="s">
        <v>91</v>
      </c>
      <c r="G4822">
        <v>-234.4118</v>
      </c>
      <c r="H4822">
        <v>0.33761140000000001</v>
      </c>
      <c r="I4822">
        <v>119.3841</v>
      </c>
      <c r="J4822">
        <v>-192.37899999999999</v>
      </c>
      <c r="K4822">
        <v>1.1183270000000001</v>
      </c>
      <c r="L4822">
        <v>156.8929</v>
      </c>
      <c r="M4822">
        <v>-0.236813</v>
      </c>
      <c r="N4822">
        <v>-6.8555650000000001E-3</v>
      </c>
      <c r="O4822">
        <v>-0.97153120000000004</v>
      </c>
      <c r="P4822">
        <v>-0.48034870000000002</v>
      </c>
      <c r="Q4822">
        <v>0.17644589999999999</v>
      </c>
      <c r="R4822">
        <v>-0.85914639999999998</v>
      </c>
      <c r="S4822">
        <v>-2.410812</v>
      </c>
      <c r="T4822">
        <v>-4.4741749999999997E-2</v>
      </c>
      <c r="U4822">
        <v>-2.1573790000000002</v>
      </c>
      <c r="V4822">
        <v>0.26445249999999998</v>
      </c>
      <c r="W4822">
        <v>0.18116199999999999</v>
      </c>
      <c r="X4822">
        <v>0.94723029999999997</v>
      </c>
      <c r="Y4822">
        <v>0.56601029999999997</v>
      </c>
      <c r="Z4822">
        <v>8.2947760000000002E-3</v>
      </c>
      <c r="AA4822">
        <v>0.82435639999999999</v>
      </c>
      <c r="AB4822">
        <v>21</v>
      </c>
      <c r="AC4822">
        <v>-42.032799999999902</v>
      </c>
      <c r="AD4822">
        <v>-0.78071559999999995</v>
      </c>
      <c r="AE4822">
        <v>-37.508800000000001</v>
      </c>
      <c r="AF4822">
        <v>31.948216000342502</v>
      </c>
      <c r="AG4822">
        <v>-0.78071559999999995</v>
      </c>
      <c r="AH4822">
        <v>46.387058163573002</v>
      </c>
      <c r="AI4822">
        <v>90.794127883181304</v>
      </c>
      <c r="AJ4822">
        <v>55.443601478441501</v>
      </c>
      <c r="AK4822">
        <v>56.329896036858898</v>
      </c>
      <c r="AL4822">
        <v>79.562549861356302</v>
      </c>
      <c r="AM4822">
        <v>74.401063454428495</v>
      </c>
      <c r="AN4822">
        <v>1.00000001811916</v>
      </c>
    </row>
    <row r="4823" spans="1:40" x14ac:dyDescent="0.25">
      <c r="A4823" t="str">
        <f>"20190303170349154"</f>
        <v>20190303170349154</v>
      </c>
      <c r="B4823" t="str">
        <f>"1551603829140517"</f>
        <v>1551603829140517</v>
      </c>
      <c r="C4823" t="s">
        <v>40</v>
      </c>
      <c r="D4823">
        <v>4.0376750000000001</v>
      </c>
      <c r="E4823">
        <v>0.63714119999999996</v>
      </c>
      <c r="F4823" t="s">
        <v>91</v>
      </c>
      <c r="G4823">
        <v>-234.6112</v>
      </c>
      <c r="H4823">
        <v>0.34587669999999998</v>
      </c>
      <c r="I4823">
        <v>119.3841</v>
      </c>
      <c r="J4823">
        <v>-192.41669999999999</v>
      </c>
      <c r="K4823">
        <v>1.118269</v>
      </c>
      <c r="L4823">
        <v>156.7534</v>
      </c>
      <c r="M4823">
        <v>-0.24013979999999999</v>
      </c>
      <c r="N4823">
        <v>-6.7966519999999898E-3</v>
      </c>
      <c r="O4823">
        <v>-0.97071459999999998</v>
      </c>
      <c r="P4823">
        <v>-0.48386380000000001</v>
      </c>
      <c r="Q4823">
        <v>0.17697889999999999</v>
      </c>
      <c r="R4823">
        <v>-0.85706179999999998</v>
      </c>
      <c r="S4823">
        <v>-2.419022</v>
      </c>
      <c r="T4823">
        <v>-4.4244770000000003E-2</v>
      </c>
      <c r="U4823">
        <v>-2.1484679999999998</v>
      </c>
      <c r="V4823">
        <v>0.26513920000000002</v>
      </c>
      <c r="W4823">
        <v>0.18160129999999999</v>
      </c>
      <c r="X4823">
        <v>0.94695410000000002</v>
      </c>
      <c r="Y4823">
        <v>0.56627430000000001</v>
      </c>
      <c r="Z4823">
        <v>8.2026789999999992E-3</v>
      </c>
      <c r="AA4823">
        <v>0.82417609999999997</v>
      </c>
      <c r="AB4823">
        <v>21</v>
      </c>
      <c r="AC4823">
        <v>-42.194499999999998</v>
      </c>
      <c r="AD4823">
        <v>-0.77239229999999903</v>
      </c>
      <c r="AE4823">
        <v>-37.369300000000003</v>
      </c>
      <c r="AF4823">
        <v>31.9796917325375</v>
      </c>
      <c r="AG4823">
        <v>-0.77239229999999903</v>
      </c>
      <c r="AH4823">
        <v>46.399858682161501</v>
      </c>
      <c r="AI4823">
        <v>90.785266778868305</v>
      </c>
      <c r="AJ4823">
        <v>55.424627490588001</v>
      </c>
      <c r="AK4823">
        <v>56.358177391553298</v>
      </c>
      <c r="AL4823">
        <v>79.536954535789107</v>
      </c>
      <c r="AM4823">
        <v>74.358199478889205</v>
      </c>
      <c r="AN4823">
        <v>0.99999994752256804</v>
      </c>
    </row>
    <row r="4824" spans="1:40" x14ac:dyDescent="0.25">
      <c r="A4824" t="str">
        <f>"20190303170349168"</f>
        <v>20190303170349168</v>
      </c>
      <c r="B4824" t="str">
        <f>"1551603829160036"</f>
        <v>1551603829160036</v>
      </c>
      <c r="C4824" t="s">
        <v>40</v>
      </c>
      <c r="D4824">
        <v>4.0292510000000004</v>
      </c>
      <c r="E4824">
        <v>0.63701459999999999</v>
      </c>
      <c r="F4824" t="s">
        <v>91</v>
      </c>
      <c r="G4824">
        <v>-234.81440000000001</v>
      </c>
      <c r="H4824">
        <v>0.35190650000000001</v>
      </c>
      <c r="I4824">
        <v>119.3841</v>
      </c>
      <c r="J4824">
        <v>-192.4522</v>
      </c>
      <c r="K4824">
        <v>1.1182129999999999</v>
      </c>
      <c r="L4824">
        <v>156.625</v>
      </c>
      <c r="M4824">
        <v>-0.24324680000000001</v>
      </c>
      <c r="N4824">
        <v>-6.7443640000000001E-3</v>
      </c>
      <c r="O4824">
        <v>-0.9699411</v>
      </c>
      <c r="P4824">
        <v>-0.48791990000000002</v>
      </c>
      <c r="Q4824">
        <v>0.1766759</v>
      </c>
      <c r="R4824">
        <v>-0.85482159999999996</v>
      </c>
      <c r="S4824">
        <v>-2.4270320000000001</v>
      </c>
      <c r="T4824">
        <v>-4.3869610000000003E-2</v>
      </c>
      <c r="U4824">
        <v>-2.1391909999999998</v>
      </c>
      <c r="V4824">
        <v>0.26659870000000002</v>
      </c>
      <c r="W4824">
        <v>0.18120739999999999</v>
      </c>
      <c r="X4824">
        <v>0.94661969999999995</v>
      </c>
      <c r="Y4824">
        <v>0.56675850000000005</v>
      </c>
      <c r="Z4824">
        <v>8.1449019999999903E-3</v>
      </c>
      <c r="AA4824">
        <v>0.82384369999999996</v>
      </c>
      <c r="AB4824">
        <v>21</v>
      </c>
      <c r="AC4824">
        <v>-42.362200000000001</v>
      </c>
      <c r="AD4824">
        <v>-0.766306499999999</v>
      </c>
      <c r="AE4824">
        <v>-37.240900000000003</v>
      </c>
      <c r="AF4824">
        <v>32.024922813987502</v>
      </c>
      <c r="AG4824">
        <v>-0.766306499999999</v>
      </c>
      <c r="AH4824">
        <v>46.4184318368468</v>
      </c>
      <c r="AI4824">
        <v>90.778514411823593</v>
      </c>
      <c r="AJ4824">
        <v>55.397498122438698</v>
      </c>
      <c r="AK4824">
        <v>56.399057803174301</v>
      </c>
      <c r="AL4824">
        <v>79.559903846730194</v>
      </c>
      <c r="AM4824">
        <v>74.271064728712304</v>
      </c>
      <c r="AN4824">
        <v>0.999999922542266</v>
      </c>
    </row>
    <row r="4825" spans="1:40" x14ac:dyDescent="0.25">
      <c r="A4825" t="str">
        <f>"20190303170349180"</f>
        <v>20190303170349180</v>
      </c>
      <c r="B4825" t="str">
        <f>"1551603829170772"</f>
        <v>1551603829170772</v>
      </c>
      <c r="C4825" t="s">
        <v>40</v>
      </c>
      <c r="D4825">
        <v>4.0302089999999904</v>
      </c>
      <c r="E4825">
        <v>0.63699839999999996</v>
      </c>
      <c r="F4825" t="s">
        <v>91</v>
      </c>
      <c r="G4825">
        <v>-235.03639999999999</v>
      </c>
      <c r="H4825">
        <v>0.27329059999999999</v>
      </c>
      <c r="I4825">
        <v>119.3841</v>
      </c>
      <c r="J4825">
        <v>-192.48240000000001</v>
      </c>
      <c r="K4825">
        <v>1.1181639999999999</v>
      </c>
      <c r="L4825">
        <v>156.51650000000001</v>
      </c>
      <c r="M4825">
        <v>-0.245893</v>
      </c>
      <c r="N4825">
        <v>-6.700134E-3</v>
      </c>
      <c r="O4825">
        <v>-0.96927379999999996</v>
      </c>
      <c r="P4825">
        <v>-0.49114360000000001</v>
      </c>
      <c r="Q4825">
        <v>0.17566219999999999</v>
      </c>
      <c r="R4825">
        <v>-0.85318280000000002</v>
      </c>
      <c r="S4825">
        <v>-2.4350890000000001</v>
      </c>
      <c r="T4825">
        <v>-4.831481E-2</v>
      </c>
      <c r="U4825">
        <v>-2.1295470000000001</v>
      </c>
      <c r="V4825">
        <v>0.26754860000000003</v>
      </c>
      <c r="W4825">
        <v>0.1801189</v>
      </c>
      <c r="X4825">
        <v>0.9465595</v>
      </c>
      <c r="Y4825">
        <v>0.56769689999999995</v>
      </c>
      <c r="Z4825">
        <v>9.637853E-3</v>
      </c>
      <c r="AA4825">
        <v>0.8231813</v>
      </c>
      <c r="AB4825">
        <v>21</v>
      </c>
      <c r="AC4825">
        <v>-42.553999999999903</v>
      </c>
      <c r="AD4825">
        <v>-0.8448734</v>
      </c>
      <c r="AE4825">
        <v>-37.132399999999997</v>
      </c>
      <c r="AF4825">
        <v>32.109415869809801</v>
      </c>
      <c r="AG4825">
        <v>-0.8448734</v>
      </c>
      <c r="AH4825">
        <v>46.445842819591903</v>
      </c>
      <c r="AI4825">
        <v>90.857248981408603</v>
      </c>
      <c r="AJ4825">
        <v>55.342722248218998</v>
      </c>
      <c r="AK4825">
        <v>56.4707421040724</v>
      </c>
      <c r="AL4825">
        <v>79.623314313928901</v>
      </c>
      <c r="AM4825">
        <v>74.216855785282405</v>
      </c>
      <c r="AN4825">
        <v>0.99999997926970896</v>
      </c>
    </row>
    <row r="4826" spans="1:40" x14ac:dyDescent="0.25">
      <c r="A4826" t="str">
        <f>"20190303170349194"</f>
        <v>20190303170349194</v>
      </c>
      <c r="B4826" t="str">
        <f>"1551603829180532"</f>
        <v>1551603829180532</v>
      </c>
      <c r="C4826" t="s">
        <v>40</v>
      </c>
      <c r="D4826">
        <v>4.0480960000000001</v>
      </c>
      <c r="E4826">
        <v>0.63702460000000005</v>
      </c>
      <c r="F4826" t="s">
        <v>91</v>
      </c>
      <c r="G4826">
        <v>-235.2533</v>
      </c>
      <c r="H4826">
        <v>0.21192910000000001</v>
      </c>
      <c r="I4826">
        <v>119.3841</v>
      </c>
      <c r="J4826">
        <v>-192.51679999999999</v>
      </c>
      <c r="K4826">
        <v>1.118104</v>
      </c>
      <c r="L4826">
        <v>156.39420000000001</v>
      </c>
      <c r="M4826">
        <v>-0.24890100000000001</v>
      </c>
      <c r="N4826">
        <v>-6.6501579999999998E-3</v>
      </c>
      <c r="O4826">
        <v>-0.96850619999999998</v>
      </c>
      <c r="P4826">
        <v>-0.49449710000000002</v>
      </c>
      <c r="Q4826">
        <v>0.17474039999999999</v>
      </c>
      <c r="R4826">
        <v>-0.85143329999999995</v>
      </c>
      <c r="S4826">
        <v>-2.4427340000000002</v>
      </c>
      <c r="T4826">
        <v>-5.1756620000000003E-2</v>
      </c>
      <c r="U4826">
        <v>-2.1207120000000002</v>
      </c>
      <c r="V4826">
        <v>0.26830179999999998</v>
      </c>
      <c r="W4826">
        <v>0.1791141</v>
      </c>
      <c r="X4826">
        <v>0.94653699999999996</v>
      </c>
      <c r="Y4826">
        <v>0.56810380000000005</v>
      </c>
      <c r="Z4826">
        <v>1.0810709999999999E-2</v>
      </c>
      <c r="AA4826">
        <v>0.82288589999999995</v>
      </c>
      <c r="AB4826">
        <v>21</v>
      </c>
      <c r="AC4826">
        <v>-42.736499999999999</v>
      </c>
      <c r="AD4826">
        <v>-0.90617490000000001</v>
      </c>
      <c r="AE4826">
        <v>-37.010100000000001</v>
      </c>
      <c r="AF4826">
        <v>32.171157419202103</v>
      </c>
      <c r="AG4826">
        <v>-0.90617490000000001</v>
      </c>
      <c r="AH4826">
        <v>46.470753075053501</v>
      </c>
      <c r="AI4826">
        <v>90.918533579047704</v>
      </c>
      <c r="AJ4826">
        <v>55.305598599973003</v>
      </c>
      <c r="AK4826">
        <v>56.527297954201501</v>
      </c>
      <c r="AL4826">
        <v>79.6818371503457</v>
      </c>
      <c r="AM4826">
        <v>74.174288604967003</v>
      </c>
      <c r="AN4826">
        <v>1.00000000453552</v>
      </c>
    </row>
    <row r="4827" spans="1:40" x14ac:dyDescent="0.25">
      <c r="A4827" t="str">
        <f>"20190303170349206"</f>
        <v>20190303170349206</v>
      </c>
      <c r="B4827" t="str">
        <f>"1551603829190292"</f>
        <v>1551603829190292</v>
      </c>
      <c r="C4827" t="s">
        <v>40</v>
      </c>
      <c r="D4827">
        <v>3.8739170000000001</v>
      </c>
      <c r="E4827">
        <v>0.63711180000000001</v>
      </c>
      <c r="F4827" t="s">
        <v>91</v>
      </c>
      <c r="G4827">
        <v>-235.494</v>
      </c>
      <c r="H4827">
        <v>0.1641369</v>
      </c>
      <c r="I4827">
        <v>119.3841</v>
      </c>
      <c r="J4827">
        <v>-192.54949999999999</v>
      </c>
      <c r="K4827">
        <v>1.118045</v>
      </c>
      <c r="L4827">
        <v>156.28030000000001</v>
      </c>
      <c r="M4827">
        <v>-0.25174039999999998</v>
      </c>
      <c r="N4827">
        <v>-6.6049430000000003E-3</v>
      </c>
      <c r="O4827">
        <v>-0.96777239999999998</v>
      </c>
      <c r="P4827">
        <v>-0.49768299999999999</v>
      </c>
      <c r="Q4827">
        <v>0.1739049</v>
      </c>
      <c r="R4827">
        <v>-0.84974649999999996</v>
      </c>
      <c r="S4827">
        <v>-2.4513240000000001</v>
      </c>
      <c r="T4827">
        <v>-5.4411889999999997E-2</v>
      </c>
      <c r="U4827">
        <v>-2.1109770000000001</v>
      </c>
      <c r="V4827">
        <v>0.269042</v>
      </c>
      <c r="W4827">
        <v>0.17820159999999999</v>
      </c>
      <c r="X4827">
        <v>0.94649910000000004</v>
      </c>
      <c r="Y4827">
        <v>0.56898380000000004</v>
      </c>
      <c r="Z4827">
        <v>1.1725380000000001E-2</v>
      </c>
      <c r="AA4827">
        <v>0.82226509999999997</v>
      </c>
      <c r="AB4827">
        <v>21</v>
      </c>
      <c r="AC4827">
        <v>-42.944499999999998</v>
      </c>
      <c r="AD4827">
        <v>-0.95390810000000004</v>
      </c>
      <c r="AE4827">
        <v>-36.8962</v>
      </c>
      <c r="AF4827">
        <v>32.263778752182198</v>
      </c>
      <c r="AG4827">
        <v>-0.95390810000000004</v>
      </c>
      <c r="AH4827">
        <v>46.5057967203742</v>
      </c>
      <c r="AI4827">
        <v>90.965515807189107</v>
      </c>
      <c r="AJ4827">
        <v>55.248702838239801</v>
      </c>
      <c r="AK4827">
        <v>56.609632472131302</v>
      </c>
      <c r="AL4827">
        <v>79.734974179118097</v>
      </c>
      <c r="AM4827">
        <v>74.132220254959705</v>
      </c>
      <c r="AN4827">
        <v>0.99999997715368405</v>
      </c>
    </row>
    <row r="4828" spans="1:40" x14ac:dyDescent="0.25">
      <c r="A4828" t="str">
        <f>"20190303170349218"</f>
        <v>20190303170349218</v>
      </c>
      <c r="B4828" t="str">
        <f>"1551603829210788"</f>
        <v>1551603829210788</v>
      </c>
      <c r="C4828" t="s">
        <v>40</v>
      </c>
      <c r="D4828">
        <v>4.0391500000000002</v>
      </c>
      <c r="E4828">
        <v>0.63718640000000004</v>
      </c>
      <c r="F4828" t="s">
        <v>44</v>
      </c>
      <c r="G4828">
        <v>-244.35319999999999</v>
      </c>
      <c r="H4828">
        <v>-0.05</v>
      </c>
      <c r="I4828">
        <v>112.02379999999999</v>
      </c>
      <c r="J4828">
        <v>-192.58349999999999</v>
      </c>
      <c r="K4828">
        <v>1.117985</v>
      </c>
      <c r="L4828">
        <v>156.16239999999999</v>
      </c>
      <c r="M4828">
        <v>-0.25469770000000003</v>
      </c>
      <c r="N4828">
        <v>-6.5586819999999997E-3</v>
      </c>
      <c r="O4828">
        <v>-0.96699869999999999</v>
      </c>
      <c r="P4828">
        <v>-0.50083759999999999</v>
      </c>
      <c r="Q4828">
        <v>0.1722225</v>
      </c>
      <c r="R4828">
        <v>-0.848234499999999</v>
      </c>
      <c r="S4828">
        <v>-2.4595950000000002</v>
      </c>
      <c r="T4828">
        <v>-5.545771E-2</v>
      </c>
      <c r="U4828">
        <v>-2.1012569999999999</v>
      </c>
      <c r="V4828">
        <v>0.26958710000000002</v>
      </c>
      <c r="W4828">
        <v>0.1764414</v>
      </c>
      <c r="X4828">
        <v>0.94667380000000001</v>
      </c>
      <c r="Y4828">
        <v>0.56971000000000005</v>
      </c>
      <c r="Z4828">
        <v>1.212159E-2</v>
      </c>
      <c r="AA4828">
        <v>0.82175640000000005</v>
      </c>
      <c r="AB4828">
        <v>21</v>
      </c>
      <c r="AC4828">
        <v>-51.7697</v>
      </c>
      <c r="AD4828">
        <v>-1.1679850000000001</v>
      </c>
      <c r="AE4828">
        <v>-44.138599999999997</v>
      </c>
      <c r="AF4828">
        <v>38.8086207167946</v>
      </c>
      <c r="AG4828">
        <v>-1.1679850000000001</v>
      </c>
      <c r="AH4828">
        <v>55.852319862230303</v>
      </c>
      <c r="AI4828">
        <v>90.983860691468294</v>
      </c>
      <c r="AJ4828">
        <v>55.206746700844697</v>
      </c>
      <c r="AK4828">
        <v>68.021723477820899</v>
      </c>
      <c r="AL4828">
        <v>79.837450687307197</v>
      </c>
      <c r="AM4828">
        <v>74.104479999048607</v>
      </c>
      <c r="AN4828">
        <v>1.0000000278634</v>
      </c>
    </row>
    <row r="4829" spans="1:40" x14ac:dyDescent="0.25">
      <c r="A4829" t="str">
        <f>"20190303170349235"</f>
        <v>20190303170349235</v>
      </c>
      <c r="B4829" t="str">
        <f>"1551603829220548"</f>
        <v>1551603829220548</v>
      </c>
      <c r="C4829" t="s">
        <v>40</v>
      </c>
      <c r="D4829">
        <v>3.8670499999999999</v>
      </c>
      <c r="E4829">
        <v>0.63727529999999999</v>
      </c>
      <c r="F4829" t="s">
        <v>44</v>
      </c>
      <c r="G4829">
        <v>-241.4058</v>
      </c>
      <c r="H4829">
        <v>-0.05</v>
      </c>
      <c r="I4829">
        <v>114.77679999999999</v>
      </c>
      <c r="J4829">
        <v>-192.62700000000001</v>
      </c>
      <c r="K4829">
        <v>1.117901</v>
      </c>
      <c r="L4829">
        <v>156.0137</v>
      </c>
      <c r="M4829">
        <v>-0.25846770000000002</v>
      </c>
      <c r="N4829">
        <v>-6.5017540000000002E-3</v>
      </c>
      <c r="O4829">
        <v>-0.96599809999999997</v>
      </c>
      <c r="P4829">
        <v>-0.50628430000000002</v>
      </c>
      <c r="Q4829">
        <v>0.17139560000000001</v>
      </c>
      <c r="R4829">
        <v>-0.845162999999999</v>
      </c>
      <c r="S4829">
        <v>-2.4676209999999998</v>
      </c>
      <c r="T4829">
        <v>-5.9033389999999998E-2</v>
      </c>
      <c r="U4829">
        <v>-2.0917509999999999</v>
      </c>
      <c r="V4829">
        <v>0.27196320000000002</v>
      </c>
      <c r="W4829">
        <v>0.17549879999999901</v>
      </c>
      <c r="X4829">
        <v>0.94616920000000004</v>
      </c>
      <c r="Y4829">
        <v>0.56965159999999904</v>
      </c>
      <c r="Z4829">
        <v>1.334609E-2</v>
      </c>
      <c r="AA4829">
        <v>0.82177789999999995</v>
      </c>
      <c r="AB4829">
        <v>21</v>
      </c>
      <c r="AC4829">
        <v>-48.778799999999897</v>
      </c>
      <c r="AD4829">
        <v>-1.1679010000000001</v>
      </c>
      <c r="AE4829">
        <v>-41.236899999999999</v>
      </c>
      <c r="AF4829">
        <v>36.450403067906997</v>
      </c>
      <c r="AG4829">
        <v>-1.1679010000000001</v>
      </c>
      <c r="AH4829">
        <v>52.426088440607103</v>
      </c>
      <c r="AI4829">
        <v>91.047859701743505</v>
      </c>
      <c r="AJ4829">
        <v>55.190183649002002</v>
      </c>
      <c r="AK4829">
        <v>63.863061512434903</v>
      </c>
      <c r="AL4829">
        <v>79.892313342272203</v>
      </c>
      <c r="AM4829">
        <v>73.963437583534301</v>
      </c>
      <c r="AN4829">
        <v>0.99999998299215898</v>
      </c>
    </row>
    <row r="4830" spans="1:40" x14ac:dyDescent="0.25">
      <c r="A4830" t="str">
        <f>"20190303170349246"</f>
        <v>20190303170349246</v>
      </c>
      <c r="B4830" t="str">
        <f>"1551603829230308"</f>
        <v>1551603829230308</v>
      </c>
      <c r="C4830" t="s">
        <v>40</v>
      </c>
      <c r="D4830">
        <v>3.9096000000000002</v>
      </c>
      <c r="E4830">
        <v>0.63734959999999996</v>
      </c>
      <c r="F4830" t="s">
        <v>44</v>
      </c>
      <c r="G4830">
        <v>-240.00829999999999</v>
      </c>
      <c r="H4830">
        <v>-0.05</v>
      </c>
      <c r="I4830">
        <v>116.3704</v>
      </c>
      <c r="J4830">
        <v>-192.66059999999999</v>
      </c>
      <c r="K4830">
        <v>1.1178459999999999</v>
      </c>
      <c r="L4830">
        <v>155.90100000000001</v>
      </c>
      <c r="M4830">
        <v>-0.26137139999999998</v>
      </c>
      <c r="N4830">
        <v>-6.461166E-3</v>
      </c>
      <c r="O4830">
        <v>-0.96521659999999998</v>
      </c>
      <c r="P4830">
        <v>-0.50974770000000003</v>
      </c>
      <c r="Q4830">
        <v>0.17131299999999999</v>
      </c>
      <c r="R4830">
        <v>-0.84309509999999899</v>
      </c>
      <c r="S4830">
        <v>-2.4810029999999998</v>
      </c>
      <c r="T4830">
        <v>-6.1154130000000001E-2</v>
      </c>
      <c r="U4830">
        <v>-2.0758209999999999</v>
      </c>
      <c r="V4830">
        <v>0.27301639999999999</v>
      </c>
      <c r="W4830">
        <v>0.17533679999999999</v>
      </c>
      <c r="X4830">
        <v>0.94589590000000001</v>
      </c>
      <c r="Y4830">
        <v>0.57245349999999995</v>
      </c>
      <c r="Z4830">
        <v>1.4093929999999999E-2</v>
      </c>
      <c r="AA4830">
        <v>0.81981610000000005</v>
      </c>
      <c r="AB4830">
        <v>21</v>
      </c>
      <c r="AC4830">
        <v>-47.347700000000003</v>
      </c>
      <c r="AD4830">
        <v>-1.1678459999999999</v>
      </c>
      <c r="AE4830">
        <v>-39.5306</v>
      </c>
      <c r="AF4830">
        <v>35.356683849140303</v>
      </c>
      <c r="AG4830">
        <v>-1.1678459999999999</v>
      </c>
      <c r="AH4830">
        <v>50.513876077524202</v>
      </c>
      <c r="AI4830">
        <v>91.085087327227797</v>
      </c>
      <c r="AJ4830">
        <v>55.010285992380901</v>
      </c>
      <c r="AK4830">
        <v>61.669365437494598</v>
      </c>
      <c r="AL4830">
        <v>79.901741632634</v>
      </c>
      <c r="AM4830">
        <v>73.900135466274705</v>
      </c>
      <c r="AN4830">
        <v>1.0000000008700001</v>
      </c>
    </row>
    <row r="4831" spans="1:40" x14ac:dyDescent="0.25">
      <c r="A4831" t="str">
        <f>"20190303170349259"</f>
        <v>20190303170349259</v>
      </c>
      <c r="B4831" t="str">
        <f>"1551603829250805"</f>
        <v>1551603829250805</v>
      </c>
      <c r="C4831" t="s">
        <v>40</v>
      </c>
      <c r="D4831">
        <v>3.9027660000000002</v>
      </c>
      <c r="E4831">
        <v>0.63743159999999999</v>
      </c>
      <c r="F4831" t="s">
        <v>44</v>
      </c>
      <c r="G4831">
        <v>-240.3682</v>
      </c>
      <c r="H4831">
        <v>-0.05</v>
      </c>
      <c r="I4831">
        <v>116.3246</v>
      </c>
      <c r="J4831">
        <v>-192.6944</v>
      </c>
      <c r="K4831">
        <v>1.117793</v>
      </c>
      <c r="L4831">
        <v>155.7885</v>
      </c>
      <c r="M4831">
        <v>-0.26428410000000002</v>
      </c>
      <c r="N4831">
        <v>-6.420963E-3</v>
      </c>
      <c r="O4831">
        <v>-0.96442349999999999</v>
      </c>
      <c r="P4831">
        <v>-0.51316569999999995</v>
      </c>
      <c r="Q4831">
        <v>0.1717842</v>
      </c>
      <c r="R4831">
        <v>-0.84092269999999902</v>
      </c>
      <c r="S4831">
        <v>-2.4897309999999999</v>
      </c>
      <c r="T4831">
        <v>-6.0946699999999999E-2</v>
      </c>
      <c r="U4831">
        <v>-2.0653839999999999</v>
      </c>
      <c r="V4831">
        <v>0.27405030000000002</v>
      </c>
      <c r="W4831">
        <v>0.17572839999999901</v>
      </c>
      <c r="X4831">
        <v>0.94552420000000004</v>
      </c>
      <c r="Y4831">
        <v>0.5734264</v>
      </c>
      <c r="Z4831">
        <v>1.407978E-2</v>
      </c>
      <c r="AA4831">
        <v>0.81913610000000003</v>
      </c>
      <c r="AB4831">
        <v>21</v>
      </c>
      <c r="AC4831">
        <v>-47.6738</v>
      </c>
      <c r="AD4831">
        <v>-1.1677930000000001</v>
      </c>
      <c r="AE4831">
        <v>-39.463900000000002</v>
      </c>
      <c r="AF4831">
        <v>35.536131904935999</v>
      </c>
      <c r="AG4831">
        <v>-1.1677930000000001</v>
      </c>
      <c r="AH4831">
        <v>50.642352965602498</v>
      </c>
      <c r="AI4831">
        <v>91.081387480497298</v>
      </c>
      <c r="AJ4831">
        <v>54.942363169613401</v>
      </c>
      <c r="AK4831">
        <v>61.877526818292601</v>
      </c>
      <c r="AL4831">
        <v>79.878950993468393</v>
      </c>
      <c r="AM4831">
        <v>73.836321775729502</v>
      </c>
      <c r="AN4831">
        <v>1.0000000251411401</v>
      </c>
    </row>
    <row r="4832" spans="1:40" x14ac:dyDescent="0.25">
      <c r="A4832" t="str">
        <f>"20190303170349272"</f>
        <v>20190303170349272</v>
      </c>
      <c r="B4832" t="str">
        <f>"1551603829260564"</f>
        <v>1551603829260564</v>
      </c>
      <c r="C4832" t="s">
        <v>40</v>
      </c>
      <c r="D4832">
        <v>3.885284</v>
      </c>
      <c r="E4832">
        <v>0.63745879999999999</v>
      </c>
      <c r="F4832" t="s">
        <v>44</v>
      </c>
      <c r="G4832">
        <v>-243.82149999999999</v>
      </c>
      <c r="H4832">
        <v>-0.05</v>
      </c>
      <c r="I4832">
        <v>113.7437</v>
      </c>
      <c r="J4832">
        <v>-192.7313</v>
      </c>
      <c r="K4832">
        <v>1.1177360000000001</v>
      </c>
      <c r="L4832">
        <v>155.6669</v>
      </c>
      <c r="M4832">
        <v>-0.26745940000000001</v>
      </c>
      <c r="N4832">
        <v>-6.3783329999999999E-3</v>
      </c>
      <c r="O4832">
        <v>-0.96354799999999996</v>
      </c>
      <c r="P4832">
        <v>-0.51641400000000004</v>
      </c>
      <c r="Q4832">
        <v>0.17228550000000001</v>
      </c>
      <c r="R4832">
        <v>-0.83882909999999899</v>
      </c>
      <c r="S4832">
        <v>-2.498367</v>
      </c>
      <c r="T4832">
        <v>-5.7065129999999999E-2</v>
      </c>
      <c r="U4832">
        <v>-2.0545499999999999</v>
      </c>
      <c r="V4832">
        <v>0.274646</v>
      </c>
      <c r="W4832">
        <v>0.17614939999999901</v>
      </c>
      <c r="X4832">
        <v>0.94527300000000003</v>
      </c>
      <c r="Y4832">
        <v>0.57425039999999905</v>
      </c>
      <c r="Z4832">
        <v>1.2879710000000001E-2</v>
      </c>
      <c r="AA4832">
        <v>0.81857840000000004</v>
      </c>
      <c r="AB4832">
        <v>21</v>
      </c>
      <c r="AC4832">
        <v>-51.090199999999903</v>
      </c>
      <c r="AD4832">
        <v>-1.1677360000000001</v>
      </c>
      <c r="AE4832">
        <v>-41.923200000000001</v>
      </c>
      <c r="AF4832">
        <v>38.004015361395297</v>
      </c>
      <c r="AG4832">
        <v>-1.1677360000000001</v>
      </c>
      <c r="AH4832">
        <v>54.043798095386201</v>
      </c>
      <c r="AI4832">
        <v>91.012577108125498</v>
      </c>
      <c r="AJ4832">
        <v>54.884817875655997</v>
      </c>
      <c r="AK4832">
        <v>66.078747744866803</v>
      </c>
      <c r="AL4832">
        <v>79.8544473961188</v>
      </c>
      <c r="AM4832">
        <v>73.7989488117625</v>
      </c>
      <c r="AN4832">
        <v>1.0000000404826701</v>
      </c>
    </row>
    <row r="4833" spans="1:40" x14ac:dyDescent="0.25">
      <c r="A4833" t="str">
        <f>"20190303170349286"</f>
        <v>20190303170349286</v>
      </c>
      <c r="B4833" t="str">
        <f>"1551603829270323"</f>
        <v>1551603829270323</v>
      </c>
      <c r="C4833" t="s">
        <v>40</v>
      </c>
      <c r="D4833">
        <v>3.8822220000000001</v>
      </c>
      <c r="E4833">
        <v>0.63750090000000004</v>
      </c>
      <c r="F4833" t="s">
        <v>91</v>
      </c>
      <c r="G4833">
        <v>-237.22139999999999</v>
      </c>
      <c r="H4833">
        <v>0.16069530000000001</v>
      </c>
      <c r="I4833">
        <v>119.3841</v>
      </c>
      <c r="J4833">
        <v>-192.7715</v>
      </c>
      <c r="K4833">
        <v>1.1176759999999999</v>
      </c>
      <c r="L4833">
        <v>155.5368</v>
      </c>
      <c r="M4833">
        <v>-0.2709047</v>
      </c>
      <c r="N4833">
        <v>-6.3345919999999896E-3</v>
      </c>
      <c r="O4833">
        <v>-0.96258549999999998</v>
      </c>
      <c r="P4833">
        <v>-0.51952920000000002</v>
      </c>
      <c r="Q4833">
        <v>0.17240359999999999</v>
      </c>
      <c r="R4833">
        <v>-0.83687959999999995</v>
      </c>
      <c r="S4833">
        <v>-2.5066830000000002</v>
      </c>
      <c r="T4833">
        <v>-5.3921700000000003E-2</v>
      </c>
      <c r="U4833">
        <v>-2.0442659999999999</v>
      </c>
      <c r="V4833">
        <v>0.27481030000000001</v>
      </c>
      <c r="W4833">
        <v>0.1761865</v>
      </c>
      <c r="X4833">
        <v>0.94521829999999996</v>
      </c>
      <c r="Y4833">
        <v>0.57467990000000002</v>
      </c>
      <c r="Z4833">
        <v>1.191734E-2</v>
      </c>
      <c r="AA4833">
        <v>0.81829149999999995</v>
      </c>
      <c r="AB4833">
        <v>21</v>
      </c>
      <c r="AC4833">
        <v>-44.4498999999999</v>
      </c>
      <c r="AD4833">
        <v>-0.95698070000000002</v>
      </c>
      <c r="AE4833">
        <v>-36.152700000000003</v>
      </c>
      <c r="AF4833">
        <v>32.984347719986999</v>
      </c>
      <c r="AG4833">
        <v>-0.95698070000000002</v>
      </c>
      <c r="AH4833">
        <v>46.829619631586702</v>
      </c>
      <c r="AI4833">
        <v>90.957157895281398</v>
      </c>
      <c r="AJ4833">
        <v>54.841126087471103</v>
      </c>
      <c r="AK4833">
        <v>57.287837115850998</v>
      </c>
      <c r="AL4833">
        <v>79.852287628616807</v>
      </c>
      <c r="AM4833">
        <v>73.788876955161996</v>
      </c>
      <c r="AN4833">
        <v>1.0000000092116099</v>
      </c>
    </row>
    <row r="4834" spans="1:40" x14ac:dyDescent="0.25">
      <c r="A4834" t="str">
        <f>"20190303170349302"</f>
        <v>20190303170349302</v>
      </c>
      <c r="B4834" t="str">
        <f>"1551603829290820"</f>
        <v>1551603829290820</v>
      </c>
      <c r="C4834" t="s">
        <v>40</v>
      </c>
      <c r="D4834">
        <v>3.934844</v>
      </c>
      <c r="E4834">
        <v>0.63754419999999901</v>
      </c>
      <c r="F4834" t="s">
        <v>91</v>
      </c>
      <c r="G4834">
        <v>-237.45910000000001</v>
      </c>
      <c r="H4834">
        <v>0.18560170000000001</v>
      </c>
      <c r="I4834">
        <v>119.3841</v>
      </c>
      <c r="J4834">
        <v>-192.81639999999999</v>
      </c>
      <c r="K4834">
        <v>1.1175949999999999</v>
      </c>
      <c r="L4834">
        <v>155.393</v>
      </c>
      <c r="M4834">
        <v>-0.27475529999999998</v>
      </c>
      <c r="N4834">
        <v>-6.2874869999999996E-3</v>
      </c>
      <c r="O4834">
        <v>-0.96149370000000001</v>
      </c>
      <c r="P4834">
        <v>-0.52322170000000001</v>
      </c>
      <c r="Q4834">
        <v>0.17184449999999901</v>
      </c>
      <c r="R4834">
        <v>-0.83469090000000001</v>
      </c>
      <c r="S4834">
        <v>-2.5147089999999999</v>
      </c>
      <c r="T4834">
        <v>-5.2450419999999998E-2</v>
      </c>
      <c r="U4834">
        <v>-2.034424</v>
      </c>
      <c r="V4834">
        <v>0.27519559999999998</v>
      </c>
      <c r="W4834">
        <v>0.17553589999999999</v>
      </c>
      <c r="X4834">
        <v>0.94522720000000005</v>
      </c>
      <c r="Y4834">
        <v>0.57462199999999997</v>
      </c>
      <c r="Z4834">
        <v>1.149816E-2</v>
      </c>
      <c r="AA4834">
        <v>0.81833809999999996</v>
      </c>
      <c r="AB4834">
        <v>21</v>
      </c>
      <c r="AC4834">
        <v>-44.642699999999998</v>
      </c>
      <c r="AD4834">
        <v>-0.93199330000000002</v>
      </c>
      <c r="AE4834">
        <v>-36.008899999999997</v>
      </c>
      <c r="AF4834">
        <v>33.021969877774701</v>
      </c>
      <c r="AG4834">
        <v>-0.93199330000000002</v>
      </c>
      <c r="AH4834">
        <v>46.8766947713791</v>
      </c>
      <c r="AI4834">
        <v>90.931192635674407</v>
      </c>
      <c r="AJ4834">
        <v>54.837478603178901</v>
      </c>
      <c r="AK4834">
        <v>57.347568551848397</v>
      </c>
      <c r="AL4834">
        <v>79.890153966785206</v>
      </c>
      <c r="AM4834">
        <v>73.767488915508693</v>
      </c>
      <c r="AN4834">
        <v>0.99999996503400401</v>
      </c>
    </row>
    <row r="4835" spans="1:40" x14ac:dyDescent="0.25">
      <c r="A4835" t="str">
        <f>"20190303170349317"</f>
        <v>20190303170349317</v>
      </c>
      <c r="B4835" t="str">
        <f>"1551603829300579"</f>
        <v>1551603829300579</v>
      </c>
      <c r="C4835" t="s">
        <v>40</v>
      </c>
      <c r="D4835">
        <v>3.912363</v>
      </c>
      <c r="E4835">
        <v>0.63753380000000004</v>
      </c>
      <c r="F4835" t="s">
        <v>91</v>
      </c>
      <c r="G4835">
        <v>-237.75620000000001</v>
      </c>
      <c r="H4835">
        <v>0.20712610000000001</v>
      </c>
      <c r="I4835">
        <v>119.3841</v>
      </c>
      <c r="J4835">
        <v>-192.85849999999999</v>
      </c>
      <c r="K4835">
        <v>1.117516</v>
      </c>
      <c r="L4835">
        <v>155.26</v>
      </c>
      <c r="M4835">
        <v>-0.27836</v>
      </c>
      <c r="N4835">
        <v>-6.2447809999999996E-3</v>
      </c>
      <c r="O4835">
        <v>-0.96045670000000005</v>
      </c>
      <c r="P4835">
        <v>-0.52674750000000004</v>
      </c>
      <c r="Q4835">
        <v>0.17157890000000001</v>
      </c>
      <c r="R4835">
        <v>-0.83252510000000002</v>
      </c>
      <c r="S4835">
        <v>-2.5240629999999999</v>
      </c>
      <c r="T4835">
        <v>-5.1136609999999999E-2</v>
      </c>
      <c r="U4835">
        <v>-2.0224609999999998</v>
      </c>
      <c r="V4835">
        <v>0.27565859999999998</v>
      </c>
      <c r="W4835">
        <v>0.17518239999999999</v>
      </c>
      <c r="X4835">
        <v>0.9451579</v>
      </c>
      <c r="Y4835">
        <v>0.57539779999999996</v>
      </c>
      <c r="Z4835">
        <v>1.112934E-2</v>
      </c>
      <c r="AA4835">
        <v>0.81779799999999903</v>
      </c>
      <c r="AB4835">
        <v>22</v>
      </c>
      <c r="AC4835">
        <v>-44.8977</v>
      </c>
      <c r="AD4835">
        <v>-0.91038989999999997</v>
      </c>
      <c r="AE4835">
        <v>-35.875899999999902</v>
      </c>
      <c r="AF4835">
        <v>33.128208389768702</v>
      </c>
      <c r="AG4835">
        <v>-0.91038989999999997</v>
      </c>
      <c r="AH4835">
        <v>46.944099513868103</v>
      </c>
      <c r="AI4835">
        <v>90.907770467958699</v>
      </c>
      <c r="AJ4835">
        <v>54.789578733292103</v>
      </c>
      <c r="AK4835">
        <v>57.463514337829402</v>
      </c>
      <c r="AL4835">
        <v>79.9107271321719</v>
      </c>
      <c r="AM4835">
        <v>73.740491079699197</v>
      </c>
      <c r="AN4835">
        <v>0.99999999647806403</v>
      </c>
    </row>
    <row r="4836" spans="1:40" x14ac:dyDescent="0.25">
      <c r="A4836" t="str">
        <f>"20190303170349329"</f>
        <v>20190303170349329</v>
      </c>
      <c r="B4836" t="str">
        <f>"1551603829320100"</f>
        <v>1551603829320100</v>
      </c>
      <c r="C4836" t="s">
        <v>40</v>
      </c>
      <c r="D4836">
        <v>3.9183680000000001</v>
      </c>
      <c r="E4836">
        <v>0.63746169999999902</v>
      </c>
      <c r="F4836" t="s">
        <v>91</v>
      </c>
      <c r="G4836">
        <v>-238.01779999999999</v>
      </c>
      <c r="H4836">
        <v>0.2039723</v>
      </c>
      <c r="I4836">
        <v>119.3841</v>
      </c>
      <c r="J4836">
        <v>-192.90020000000001</v>
      </c>
      <c r="K4836">
        <v>1.117437</v>
      </c>
      <c r="L4836">
        <v>155.13079999999999</v>
      </c>
      <c r="M4836">
        <v>-0.28192430000000002</v>
      </c>
      <c r="N4836">
        <v>-6.2033169999999999E-3</v>
      </c>
      <c r="O4836">
        <v>-0.95941670000000001</v>
      </c>
      <c r="P4836">
        <v>-0.53020419999999902</v>
      </c>
      <c r="Q4836">
        <v>0.170967799999999</v>
      </c>
      <c r="R4836">
        <v>-0.83045409999999997</v>
      </c>
      <c r="S4836">
        <v>-2.532349</v>
      </c>
      <c r="T4836">
        <v>-5.1227450000000001E-2</v>
      </c>
      <c r="U4836">
        <v>-2.0117799999999999</v>
      </c>
      <c r="V4836">
        <v>0.2760666</v>
      </c>
      <c r="W4836">
        <v>0.17448379999999999</v>
      </c>
      <c r="X4836">
        <v>0.94516809999999996</v>
      </c>
      <c r="Y4836">
        <v>0.57577840000000002</v>
      </c>
      <c r="Z4836">
        <v>1.1212339999999999E-2</v>
      </c>
      <c r="AA4836">
        <v>0.81752899999999995</v>
      </c>
      <c r="AB4836">
        <v>22</v>
      </c>
      <c r="AC4836">
        <v>-45.117599999999896</v>
      </c>
      <c r="AD4836">
        <v>-0.91346469999999902</v>
      </c>
      <c r="AE4836">
        <v>-35.746699999999898</v>
      </c>
      <c r="AF4836">
        <v>33.200990256111901</v>
      </c>
      <c r="AG4836">
        <v>-0.91346469999999902</v>
      </c>
      <c r="AH4836">
        <v>47.0047915783965</v>
      </c>
      <c r="AI4836">
        <v>90.909387024096006</v>
      </c>
      <c r="AJ4836">
        <v>54.765214116156898</v>
      </c>
      <c r="AK4836">
        <v>57.555109269925602</v>
      </c>
      <c r="AL4836">
        <v>79.951380648658301</v>
      </c>
      <c r="AM4836">
        <v>73.717865951354398</v>
      </c>
      <c r="AN4836">
        <v>1.0000000506778</v>
      </c>
    </row>
    <row r="4837" spans="1:40" x14ac:dyDescent="0.25">
      <c r="A4837" t="str">
        <f>"20190303170349347"</f>
        <v>20190303170349347</v>
      </c>
      <c r="B4837" t="str">
        <f>"1551603829340595"</f>
        <v>1551603829340595</v>
      </c>
      <c r="C4837" t="s">
        <v>40</v>
      </c>
      <c r="D4837">
        <v>3.9770539999999999</v>
      </c>
      <c r="E4837">
        <v>0.63735659999999905</v>
      </c>
      <c r="F4837" t="s">
        <v>91</v>
      </c>
      <c r="G4837">
        <v>-238.25149999999999</v>
      </c>
      <c r="H4837">
        <v>0.18449740000000001</v>
      </c>
      <c r="I4837">
        <v>119.3841</v>
      </c>
      <c r="J4837">
        <v>-192.95240000000001</v>
      </c>
      <c r="K4837">
        <v>1.11734</v>
      </c>
      <c r="L4837">
        <v>154.9708</v>
      </c>
      <c r="M4837">
        <v>-0.28639290000000001</v>
      </c>
      <c r="N4837">
        <v>-6.1506850000000004E-3</v>
      </c>
      <c r="O4837">
        <v>-0.95809250000000001</v>
      </c>
      <c r="P4837">
        <v>-0.53465319999999905</v>
      </c>
      <c r="Q4837">
        <v>0.17082939999999999</v>
      </c>
      <c r="R4837">
        <v>-0.82762519999999995</v>
      </c>
      <c r="S4837">
        <v>-2.5396580000000002</v>
      </c>
      <c r="T4837">
        <v>-5.2243829999999998E-2</v>
      </c>
      <c r="U4837">
        <v>-2.0018009999999999</v>
      </c>
      <c r="V4837">
        <v>0.27676050000000002</v>
      </c>
      <c r="W4837">
        <v>0.1742321</v>
      </c>
      <c r="X4837">
        <v>0.94501159999999995</v>
      </c>
      <c r="Y4837">
        <v>0.57508879999999996</v>
      </c>
      <c r="Z4837">
        <v>1.160539E-2</v>
      </c>
      <c r="AA4837">
        <v>0.81800869999999903</v>
      </c>
      <c r="AB4837">
        <v>22</v>
      </c>
      <c r="AC4837">
        <v>-45.299099999999903</v>
      </c>
      <c r="AD4837">
        <v>-0.93284259999999997</v>
      </c>
      <c r="AE4837">
        <v>-35.586699999999901</v>
      </c>
      <c r="AF4837">
        <v>33.2008722322201</v>
      </c>
      <c r="AG4837">
        <v>-0.93284259999999997</v>
      </c>
      <c r="AH4837">
        <v>47.057242316418403</v>
      </c>
      <c r="AI4837">
        <v>90.927985329648905</v>
      </c>
      <c r="AJ4837">
        <v>54.795415409897799</v>
      </c>
      <c r="AK4837">
        <v>57.598195863435699</v>
      </c>
      <c r="AL4837">
        <v>79.966026443860301</v>
      </c>
      <c r="AM4837">
        <v>73.676557144439798</v>
      </c>
      <c r="AN4837">
        <v>1.0000000615825999</v>
      </c>
    </row>
    <row r="4838" spans="1:40" x14ac:dyDescent="0.25">
      <c r="A4838" t="str">
        <f>"20190303170349361"</f>
        <v>20190303170349361</v>
      </c>
      <c r="B4838" t="str">
        <f>"1551603829350356"</f>
        <v>1551603829350356</v>
      </c>
      <c r="C4838" t="s">
        <v>40</v>
      </c>
      <c r="D4838">
        <v>3.9921039999999999</v>
      </c>
      <c r="E4838">
        <v>0.63727880000000003</v>
      </c>
      <c r="F4838" t="s">
        <v>91</v>
      </c>
      <c r="G4838">
        <v>-238.56790000000001</v>
      </c>
      <c r="H4838">
        <v>0.1722041</v>
      </c>
      <c r="I4838">
        <v>119.3841</v>
      </c>
      <c r="J4838">
        <v>-192.995</v>
      </c>
      <c r="K4838">
        <v>1.1172610000000001</v>
      </c>
      <c r="L4838">
        <v>154.84229999999999</v>
      </c>
      <c r="M4838">
        <v>-0.29003109999999999</v>
      </c>
      <c r="N4838">
        <v>-6.1073339999999999E-3</v>
      </c>
      <c r="O4838">
        <v>-0.95699789999999996</v>
      </c>
      <c r="P4838">
        <v>-0.53781820000000002</v>
      </c>
      <c r="Q4838">
        <v>0.17122200000000001</v>
      </c>
      <c r="R4838">
        <v>-0.82549059999999896</v>
      </c>
      <c r="S4838">
        <v>-2.5493009999999998</v>
      </c>
      <c r="T4838">
        <v>-5.2820209999999999E-2</v>
      </c>
      <c r="U4838">
        <v>-1.988831</v>
      </c>
      <c r="V4838">
        <v>0.27684520000000001</v>
      </c>
      <c r="W4838">
        <v>0.174535</v>
      </c>
      <c r="X4838">
        <v>0.94493090000000002</v>
      </c>
      <c r="Y4838">
        <v>0.57606539999999995</v>
      </c>
      <c r="Z4838">
        <v>1.1850970000000001E-2</v>
      </c>
      <c r="AA4838">
        <v>0.81731769999999904</v>
      </c>
      <c r="AB4838">
        <v>22</v>
      </c>
      <c r="AC4838">
        <v>-45.572899999999997</v>
      </c>
      <c r="AD4838">
        <v>-0.94505689999999998</v>
      </c>
      <c r="AE4838">
        <v>-35.458199999999898</v>
      </c>
      <c r="AF4838">
        <v>33.320879388114797</v>
      </c>
      <c r="AG4838">
        <v>-0.94505689999999998</v>
      </c>
      <c r="AH4838">
        <v>47.139225819314198</v>
      </c>
      <c r="AI4838">
        <v>90.937916204226397</v>
      </c>
      <c r="AJ4838">
        <v>54.745000295392103</v>
      </c>
      <c r="AK4838">
        <v>57.734571502573999</v>
      </c>
      <c r="AL4838">
        <v>79.948401569482499</v>
      </c>
      <c r="AM4838">
        <v>73.670507401505802</v>
      </c>
      <c r="AN4838">
        <v>1.0000000683814201</v>
      </c>
    </row>
    <row r="4839" spans="1:40" x14ac:dyDescent="0.25">
      <c r="A4839" t="str">
        <f>"20190303170349373"</f>
        <v>20190303170349373</v>
      </c>
      <c r="B4839" t="str">
        <f>"1551603829360116"</f>
        <v>1551603829360116</v>
      </c>
      <c r="C4839" t="s">
        <v>40</v>
      </c>
      <c r="D4839">
        <v>3.9872100000000001</v>
      </c>
      <c r="E4839">
        <v>0.63719479999999995</v>
      </c>
      <c r="F4839" t="s">
        <v>91</v>
      </c>
      <c r="G4839">
        <v>-238.80600000000001</v>
      </c>
      <c r="H4839">
        <v>0.20646610000000001</v>
      </c>
      <c r="I4839">
        <v>119.3841</v>
      </c>
      <c r="J4839">
        <v>-193.036</v>
      </c>
      <c r="K4839">
        <v>1.1171869999999999</v>
      </c>
      <c r="L4839">
        <v>154.72030000000001</v>
      </c>
      <c r="M4839">
        <v>-0.2935237</v>
      </c>
      <c r="N4839">
        <v>-6.0652609999999997E-3</v>
      </c>
      <c r="O4839">
        <v>-0.95593260000000002</v>
      </c>
      <c r="P4839">
        <v>-0.54040619999999995</v>
      </c>
      <c r="Q4839">
        <v>0.17153060000000001</v>
      </c>
      <c r="R4839">
        <v>-0.82373449999999904</v>
      </c>
      <c r="S4839">
        <v>-2.5567929999999999</v>
      </c>
      <c r="T4839">
        <v>-5.0832750000000003E-2</v>
      </c>
      <c r="U4839">
        <v>-1.9789890000000001</v>
      </c>
      <c r="V4839">
        <v>0.27641059999999901</v>
      </c>
      <c r="W4839">
        <v>0.17476129999999901</v>
      </c>
      <c r="X4839">
        <v>0.94501630000000003</v>
      </c>
      <c r="Y4839">
        <v>0.576214</v>
      </c>
      <c r="Z4839">
        <v>1.125788E-2</v>
      </c>
      <c r="AA4839">
        <v>0.81722130000000004</v>
      </c>
      <c r="AB4839">
        <v>22</v>
      </c>
      <c r="AC4839">
        <v>-45.77</v>
      </c>
      <c r="AD4839">
        <v>-0.91072090000000006</v>
      </c>
      <c r="AE4839">
        <v>-35.336199999999998</v>
      </c>
      <c r="AF4839">
        <v>33.373356787612103</v>
      </c>
      <c r="AG4839">
        <v>-0.91072090000000006</v>
      </c>
      <c r="AH4839">
        <v>47.202762409523601</v>
      </c>
      <c r="AI4839">
        <v>90.902560812224806</v>
      </c>
      <c r="AJ4839">
        <v>54.738876928796202</v>
      </c>
      <c r="AK4839">
        <v>57.816184022476698</v>
      </c>
      <c r="AL4839">
        <v>79.935233160341397</v>
      </c>
      <c r="AM4839">
        <v>73.696174397421501</v>
      </c>
      <c r="AN4839">
        <v>1.0000000695178599</v>
      </c>
    </row>
    <row r="4840" spans="1:40" x14ac:dyDescent="0.25">
      <c r="A4840" t="str">
        <f>"20190303170349385"</f>
        <v>20190303170349385</v>
      </c>
      <c r="B4840" t="str">
        <f>"1551603829369876"</f>
        <v>1551603829369876</v>
      </c>
      <c r="C4840" t="s">
        <v>40</v>
      </c>
      <c r="D4840">
        <v>3.9914459999999998</v>
      </c>
      <c r="E4840">
        <v>0.63710080000000002</v>
      </c>
      <c r="F4840" t="s">
        <v>91</v>
      </c>
      <c r="G4840">
        <v>-238.97790000000001</v>
      </c>
      <c r="H4840">
        <v>0.2313558</v>
      </c>
      <c r="I4840">
        <v>119.3841</v>
      </c>
      <c r="J4840">
        <v>-193.07300000000001</v>
      </c>
      <c r="K4840">
        <v>1.11712099999999</v>
      </c>
      <c r="L4840">
        <v>154.61189999999999</v>
      </c>
      <c r="M4840">
        <v>-0.29668539999999999</v>
      </c>
      <c r="N4840">
        <v>-6.0293819999999998E-3</v>
      </c>
      <c r="O4840">
        <v>-0.95495649999999999</v>
      </c>
      <c r="P4840">
        <v>-0.5431646</v>
      </c>
      <c r="Q4840">
        <v>0.1716473</v>
      </c>
      <c r="R4840">
        <v>-0.82189400000000001</v>
      </c>
      <c r="S4840">
        <v>-2.5626220000000002</v>
      </c>
      <c r="T4840">
        <v>-4.941094E-2</v>
      </c>
      <c r="U4840">
        <v>-1.971039</v>
      </c>
      <c r="V4840">
        <v>0.27648709999999999</v>
      </c>
      <c r="W4840">
        <v>0.17479979999999901</v>
      </c>
      <c r="X4840">
        <v>0.94498669999999996</v>
      </c>
      <c r="Y4840">
        <v>0.57600509999999905</v>
      </c>
      <c r="Z4840">
        <v>1.0840280000000001E-2</v>
      </c>
      <c r="AA4840">
        <v>0.81737419999999905</v>
      </c>
      <c r="AB4840">
        <v>22</v>
      </c>
      <c r="AC4840">
        <v>-45.904899999999998</v>
      </c>
      <c r="AD4840">
        <v>-0.88576519999999903</v>
      </c>
      <c r="AE4840">
        <v>-35.227799999999903</v>
      </c>
      <c r="AF4840">
        <v>33.378385879703004</v>
      </c>
      <c r="AG4840">
        <v>-0.88576519999999903</v>
      </c>
      <c r="AH4840">
        <v>47.2501056538932</v>
      </c>
      <c r="AI4840">
        <v>90.877202024271497</v>
      </c>
      <c r="AJ4840">
        <v>54.761879226569199</v>
      </c>
      <c r="AK4840">
        <v>57.857356561011002</v>
      </c>
      <c r="AL4840">
        <v>79.932991825028594</v>
      </c>
      <c r="AM4840">
        <v>73.691418197542006</v>
      </c>
      <c r="AN4840">
        <v>0.99999997486166903</v>
      </c>
    </row>
    <row r="4841" spans="1:40" x14ac:dyDescent="0.25">
      <c r="A4841" t="str">
        <f>"20190303170349402"</f>
        <v>20190303170349402</v>
      </c>
      <c r="B4841" t="str">
        <f>"1551603829390373"</f>
        <v>1551603829390373</v>
      </c>
      <c r="C4841" t="s">
        <v>40</v>
      </c>
      <c r="D4841">
        <v>3.9631379999999998</v>
      </c>
      <c r="E4841">
        <v>0.63695170000000001</v>
      </c>
      <c r="F4841" t="s">
        <v>91</v>
      </c>
      <c r="G4841">
        <v>-239.18270000000001</v>
      </c>
      <c r="H4841">
        <v>0.24485680000000001</v>
      </c>
      <c r="I4841">
        <v>119.3841</v>
      </c>
      <c r="J4841">
        <v>-193.12540000000001</v>
      </c>
      <c r="K4841">
        <v>1.1170180000000001</v>
      </c>
      <c r="L4841">
        <v>154.4599</v>
      </c>
      <c r="M4841">
        <v>-0.30116659999999901</v>
      </c>
      <c r="N4841">
        <v>-5.9800180000000001E-3</v>
      </c>
      <c r="O4841">
        <v>-0.95355290000000004</v>
      </c>
      <c r="P4841">
        <v>-0.54705519999999996</v>
      </c>
      <c r="Q4841">
        <v>0.1722677</v>
      </c>
      <c r="R4841">
        <v>-0.81917930000000005</v>
      </c>
      <c r="S4841">
        <v>-2.568848</v>
      </c>
      <c r="T4841">
        <v>-4.8594949999999998E-2</v>
      </c>
      <c r="U4841">
        <v>-1.962601</v>
      </c>
      <c r="V4841">
        <v>0.27661479999999999</v>
      </c>
      <c r="W4841">
        <v>0.17530870000000001</v>
      </c>
      <c r="X4841">
        <v>0.94485509999999995</v>
      </c>
      <c r="Y4841">
        <v>0.57481930000000003</v>
      </c>
      <c r="Z4841">
        <v>1.0631109999999999E-2</v>
      </c>
      <c r="AA4841">
        <v>0.81821129999999997</v>
      </c>
      <c r="AB4841">
        <v>22</v>
      </c>
      <c r="AC4841">
        <v>-46.057299999999998</v>
      </c>
      <c r="AD4841">
        <v>-0.87216119999999997</v>
      </c>
      <c r="AE4841">
        <v>-35.075800000000001</v>
      </c>
      <c r="AF4841">
        <v>33.347436950353597</v>
      </c>
      <c r="AG4841">
        <v>-0.87216119999999997</v>
      </c>
      <c r="AH4841">
        <v>47.307655460952397</v>
      </c>
      <c r="AI4841">
        <v>90.863296256924301</v>
      </c>
      <c r="AJ4841">
        <v>54.819771913272398</v>
      </c>
      <c r="AK4841">
        <v>57.886323786614497</v>
      </c>
      <c r="AL4841">
        <v>79.903377209139606</v>
      </c>
      <c r="AM4841">
        <v>73.682134812897601</v>
      </c>
      <c r="AN4841">
        <v>1.0000000239353599</v>
      </c>
    </row>
    <row r="4842" spans="1:40" x14ac:dyDescent="0.25">
      <c r="A4842" t="str">
        <f>"20190303170349415"</f>
        <v>20190303170349415</v>
      </c>
      <c r="B4842" t="str">
        <f>"1551603829400132"</f>
        <v>1551603829400132</v>
      </c>
      <c r="C4842" t="s">
        <v>40</v>
      </c>
      <c r="D4842">
        <v>4.0135160000000001</v>
      </c>
      <c r="E4842">
        <v>0.63681619999999906</v>
      </c>
      <c r="F4842" t="s">
        <v>91</v>
      </c>
      <c r="G4842">
        <v>-239.47300000000001</v>
      </c>
      <c r="H4842">
        <v>0.29220889999999999</v>
      </c>
      <c r="I4842">
        <v>119.3841</v>
      </c>
      <c r="J4842">
        <v>-193.1721</v>
      </c>
      <c r="K4842">
        <v>1.1169230000000001</v>
      </c>
      <c r="L4842">
        <v>154.32650000000001</v>
      </c>
      <c r="M4842">
        <v>-0.3051545</v>
      </c>
      <c r="N4842">
        <v>-5.9379259999999996E-3</v>
      </c>
      <c r="O4842">
        <v>-0.95228460000000004</v>
      </c>
      <c r="P4842">
        <v>-0.55086619999999997</v>
      </c>
      <c r="Q4842">
        <v>0.1723317</v>
      </c>
      <c r="R4842">
        <v>-0.81660809999999995</v>
      </c>
      <c r="S4842">
        <v>-2.5774379999999999</v>
      </c>
      <c r="T4842">
        <v>-4.5868159999999998E-2</v>
      </c>
      <c r="U4842">
        <v>-1.950607</v>
      </c>
      <c r="V4842">
        <v>0.27710479999999998</v>
      </c>
      <c r="W4842">
        <v>0.17526920000000001</v>
      </c>
      <c r="X4842">
        <v>0.94471879999999997</v>
      </c>
      <c r="Y4842">
        <v>0.57513590000000003</v>
      </c>
      <c r="Z4842">
        <v>9.8009540000000006E-3</v>
      </c>
      <c r="AA4842">
        <v>0.81799919999999904</v>
      </c>
      <c r="AB4842">
        <v>22</v>
      </c>
      <c r="AC4842">
        <v>-46.300899999999899</v>
      </c>
      <c r="AD4842">
        <v>-0.82471409999999901</v>
      </c>
      <c r="AE4842">
        <v>-34.942399999999999</v>
      </c>
      <c r="AF4842">
        <v>33.422628550712197</v>
      </c>
      <c r="AG4842">
        <v>-0.82471409999999901</v>
      </c>
      <c r="AH4842">
        <v>47.395281041338102</v>
      </c>
      <c r="AI4842">
        <v>90.814720236357203</v>
      </c>
      <c r="AJ4842">
        <v>54.8089322578492</v>
      </c>
      <c r="AK4842">
        <v>58.000559631550601</v>
      </c>
      <c r="AL4842">
        <v>79.905675606093098</v>
      </c>
      <c r="AM4842">
        <v>73.652538486466199</v>
      </c>
      <c r="AN4842">
        <v>0.99999998686255998</v>
      </c>
    </row>
    <row r="4843" spans="1:40" x14ac:dyDescent="0.25">
      <c r="A4843" t="str">
        <f>"20190303170349428"</f>
        <v>20190303170349428</v>
      </c>
      <c r="B4843" t="str">
        <f>"1551603829420629"</f>
        <v>1551603829420629</v>
      </c>
      <c r="C4843" t="s">
        <v>40</v>
      </c>
      <c r="D4843">
        <v>4.0661719999999999</v>
      </c>
      <c r="E4843">
        <v>0.63659569999999999</v>
      </c>
      <c r="F4843" t="s">
        <v>91</v>
      </c>
      <c r="G4843">
        <v>-239.751</v>
      </c>
      <c r="H4843">
        <v>0.27268829999999999</v>
      </c>
      <c r="I4843">
        <v>119.3841</v>
      </c>
      <c r="J4843">
        <v>-193.2175</v>
      </c>
      <c r="K4843">
        <v>1.11683</v>
      </c>
      <c r="L4843">
        <v>154.19919999999999</v>
      </c>
      <c r="M4843">
        <v>-0.30904169999999997</v>
      </c>
      <c r="N4843">
        <v>-5.9006469999999898E-3</v>
      </c>
      <c r="O4843">
        <v>-0.9510303</v>
      </c>
      <c r="P4843">
        <v>-0.55470559999999902</v>
      </c>
      <c r="Q4843">
        <v>0.17263310000000001</v>
      </c>
      <c r="R4843">
        <v>-0.81394080000000002</v>
      </c>
      <c r="S4843">
        <v>-2.5854490000000001</v>
      </c>
      <c r="T4843">
        <v>-4.686034E-2</v>
      </c>
      <c r="U4843">
        <v>-1.9395450000000001</v>
      </c>
      <c r="V4843">
        <v>0.2777539</v>
      </c>
      <c r="W4843">
        <v>0.1754706</v>
      </c>
      <c r="X4843">
        <v>0.94449079999999996</v>
      </c>
      <c r="Y4843">
        <v>0.57524750000000002</v>
      </c>
      <c r="Z4843">
        <v>1.0170719999999999E-2</v>
      </c>
      <c r="AA4843">
        <v>0.81791619999999998</v>
      </c>
      <c r="AB4843">
        <v>22</v>
      </c>
      <c r="AC4843">
        <v>-46.533499999999897</v>
      </c>
      <c r="AD4843">
        <v>-0.84414169999999999</v>
      </c>
      <c r="AE4843">
        <v>-34.815099999999902</v>
      </c>
      <c r="AF4843">
        <v>33.488964703664202</v>
      </c>
      <c r="AG4843">
        <v>-0.84414169999999999</v>
      </c>
      <c r="AH4843">
        <v>47.481810767991398</v>
      </c>
      <c r="AI4843">
        <v>90.832346362303696</v>
      </c>
      <c r="AJ4843">
        <v>54.804647963249202</v>
      </c>
      <c r="AK4843">
        <v>58.109772723185699</v>
      </c>
      <c r="AL4843">
        <v>79.893954886927204</v>
      </c>
      <c r="AM4843">
        <v>73.612554093119101</v>
      </c>
      <c r="AN4843">
        <v>1.0000000158571001</v>
      </c>
    </row>
    <row r="4844" spans="1:40" x14ac:dyDescent="0.25">
      <c r="A4844" t="str">
        <f>"20190303170349440"</f>
        <v>20190303170349440</v>
      </c>
      <c r="B4844" t="str">
        <f>"1551603829430388"</f>
        <v>1551603829430388</v>
      </c>
      <c r="C4844" t="s">
        <v>40</v>
      </c>
      <c r="D4844">
        <v>4.0865530000000003</v>
      </c>
      <c r="E4844">
        <v>0.63648159999999998</v>
      </c>
      <c r="F4844" t="s">
        <v>91</v>
      </c>
      <c r="G4844">
        <v>-240.02010000000001</v>
      </c>
      <c r="H4844">
        <v>0.26207269999999999</v>
      </c>
      <c r="I4844">
        <v>119.3841</v>
      </c>
      <c r="J4844">
        <v>-193.2543</v>
      </c>
      <c r="K4844">
        <v>1.1167590000000001</v>
      </c>
      <c r="L4844">
        <v>154.09690000000001</v>
      </c>
      <c r="M4844">
        <v>-0.31219000000000002</v>
      </c>
      <c r="N4844">
        <v>-5.8708759999999997E-3</v>
      </c>
      <c r="O4844">
        <v>-0.9500016</v>
      </c>
      <c r="P4844">
        <v>-0.55826960000000003</v>
      </c>
      <c r="Q4844">
        <v>0.17270529999999901</v>
      </c>
      <c r="R4844">
        <v>-0.81148500000000001</v>
      </c>
      <c r="S4844">
        <v>-2.5928650000000002</v>
      </c>
      <c r="T4844">
        <v>-4.7353149999999997E-2</v>
      </c>
      <c r="U4844">
        <v>-1.9287570000000001</v>
      </c>
      <c r="V4844">
        <v>0.27880260000000001</v>
      </c>
      <c r="W4844">
        <v>0.175457</v>
      </c>
      <c r="X4844">
        <v>0.94418429999999998</v>
      </c>
      <c r="Y4844">
        <v>0.57584690000000005</v>
      </c>
      <c r="Z4844">
        <v>1.037245E-2</v>
      </c>
      <c r="AA4844">
        <v>0.81749179999999999</v>
      </c>
      <c r="AB4844">
        <v>22</v>
      </c>
      <c r="AC4844">
        <v>-46.765799999999999</v>
      </c>
      <c r="AD4844">
        <v>-0.85468630000000001</v>
      </c>
      <c r="AE4844">
        <v>-34.712800000000001</v>
      </c>
      <c r="AF4844">
        <v>33.583940485396703</v>
      </c>
      <c r="AG4844">
        <v>-0.85468630000000001</v>
      </c>
      <c r="AH4844">
        <v>47.567604200953099</v>
      </c>
      <c r="AI4844">
        <v>90.840935328245905</v>
      </c>
      <c r="AJ4844">
        <v>54.7769341197681</v>
      </c>
      <c r="AK4844">
        <v>58.234770683987499</v>
      </c>
      <c r="AL4844">
        <v>79.894746436290305</v>
      </c>
      <c r="AM4844">
        <v>73.548967989537104</v>
      </c>
      <c r="AN4844">
        <v>1.0000000204911199</v>
      </c>
    </row>
    <row r="4845" spans="1:40" x14ac:dyDescent="0.25">
      <c r="A4845" t="str">
        <f>"20190303170349451"</f>
        <v>20190303170349451</v>
      </c>
      <c r="B4845" t="str">
        <f>"1551603829440149"</f>
        <v>1551603829440149</v>
      </c>
      <c r="C4845" t="s">
        <v>40</v>
      </c>
      <c r="D4845">
        <v>4.0545010000000001</v>
      </c>
      <c r="E4845">
        <v>0.63635640000000004</v>
      </c>
      <c r="F4845" t="s">
        <v>91</v>
      </c>
      <c r="G4845">
        <v>-240.32060000000001</v>
      </c>
      <c r="H4845">
        <v>0.25891439999999999</v>
      </c>
      <c r="I4845">
        <v>119.3841</v>
      </c>
      <c r="J4845">
        <v>-193.29669999999999</v>
      </c>
      <c r="K4845">
        <v>1.1166780000000001</v>
      </c>
      <c r="L4845">
        <v>153.98070000000001</v>
      </c>
      <c r="M4845">
        <v>-0.31580609999999998</v>
      </c>
      <c r="N4845">
        <v>-5.8375789999999999E-3</v>
      </c>
      <c r="O4845">
        <v>-0.94880580000000003</v>
      </c>
      <c r="P4845">
        <v>-0.56196889999999999</v>
      </c>
      <c r="Q4845">
        <v>0.17303080000000001</v>
      </c>
      <c r="R4845">
        <v>-0.80885819999999997</v>
      </c>
      <c r="S4845">
        <v>-2.6005250000000002</v>
      </c>
      <c r="T4845">
        <v>-4.739761E-2</v>
      </c>
      <c r="U4845">
        <v>-1.917969</v>
      </c>
      <c r="V4845">
        <v>0.27957579999999999</v>
      </c>
      <c r="W4845">
        <v>0.17568989999999901</v>
      </c>
      <c r="X4845">
        <v>0.94391230000000004</v>
      </c>
      <c r="Y4845">
        <v>0.57607919999999901</v>
      </c>
      <c r="Z4845">
        <v>1.0430429999999999E-2</v>
      </c>
      <c r="AA4845">
        <v>0.81732729999999998</v>
      </c>
      <c r="AB4845">
        <v>22</v>
      </c>
      <c r="AC4845">
        <v>-47.023899999999998</v>
      </c>
      <c r="AD4845">
        <v>-0.85776359999999996</v>
      </c>
      <c r="AE4845">
        <v>-34.596600000000002</v>
      </c>
      <c r="AF4845">
        <v>33.684033794141598</v>
      </c>
      <c r="AG4845">
        <v>-0.85776359999999996</v>
      </c>
      <c r="AH4845">
        <v>47.666410917007902</v>
      </c>
      <c r="AI4845">
        <v>90.841961013637899</v>
      </c>
      <c r="AJ4845">
        <v>54.752609263951399</v>
      </c>
      <c r="AK4845">
        <v>58.3732526140818</v>
      </c>
      <c r="AL4845">
        <v>79.881191480019993</v>
      </c>
      <c r="AM4845">
        <v>73.501325984564502</v>
      </c>
      <c r="AN4845">
        <v>0.99999999949946905</v>
      </c>
    </row>
    <row r="4846" spans="1:40" x14ac:dyDescent="0.25">
      <c r="A4846" t="str">
        <f>"20190303170349462"</f>
        <v>20190303170349462</v>
      </c>
      <c r="B4846" t="str">
        <f>"1551603829449908"</f>
        <v>1551603829449908</v>
      </c>
      <c r="C4846" t="s">
        <v>40</v>
      </c>
      <c r="D4846">
        <v>4.078786</v>
      </c>
      <c r="E4846">
        <v>0.63622599999999996</v>
      </c>
      <c r="F4846" t="s">
        <v>91</v>
      </c>
      <c r="G4846">
        <v>-240.64080000000001</v>
      </c>
      <c r="H4846">
        <v>0.27700619999999998</v>
      </c>
      <c r="I4846">
        <v>119.3841</v>
      </c>
      <c r="J4846">
        <v>-193.3355</v>
      </c>
      <c r="K4846">
        <v>1.1166039999999999</v>
      </c>
      <c r="L4846">
        <v>153.87569999999999</v>
      </c>
      <c r="M4846">
        <v>-0.31912400000000002</v>
      </c>
      <c r="N4846">
        <v>-5.8087379999999999E-3</v>
      </c>
      <c r="O4846">
        <v>-0.94769519999999996</v>
      </c>
      <c r="P4846">
        <v>-0.56514489999999995</v>
      </c>
      <c r="Q4846">
        <v>0.17321320000000001</v>
      </c>
      <c r="R4846">
        <v>-0.80660310000000002</v>
      </c>
      <c r="S4846">
        <v>-2.6087950000000002</v>
      </c>
      <c r="T4846">
        <v>-4.6267990000000002E-2</v>
      </c>
      <c r="U4846">
        <v>-1.906372</v>
      </c>
      <c r="V4846">
        <v>0.28002929999999998</v>
      </c>
      <c r="W4846">
        <v>0.1757917</v>
      </c>
      <c r="X4846">
        <v>0.94375889999999996</v>
      </c>
      <c r="Y4846">
        <v>0.57682500000000003</v>
      </c>
      <c r="Z4846">
        <v>1.0104149999999999E-2</v>
      </c>
      <c r="AA4846">
        <v>0.81680520000000001</v>
      </c>
      <c r="AB4846">
        <v>22</v>
      </c>
      <c r="AC4846">
        <v>-47.305300000000003</v>
      </c>
      <c r="AD4846">
        <v>-0.83959779999999995</v>
      </c>
      <c r="AE4846">
        <v>-34.491599999999899</v>
      </c>
      <c r="AF4846">
        <v>33.817522770040597</v>
      </c>
      <c r="AG4846">
        <v>-0.83959779999999995</v>
      </c>
      <c r="AH4846">
        <v>47.774759216990802</v>
      </c>
      <c r="AI4846">
        <v>90.821801891322295</v>
      </c>
      <c r="AJ4846">
        <v>54.707103993189399</v>
      </c>
      <c r="AK4846">
        <v>58.538512015675899</v>
      </c>
      <c r="AL4846">
        <v>79.8752665210408</v>
      </c>
      <c r="AM4846">
        <v>73.473482529371196</v>
      </c>
      <c r="AN4846">
        <v>0.99999999598829403</v>
      </c>
    </row>
    <row r="4847" spans="1:40" x14ac:dyDescent="0.25">
      <c r="A4847" t="str">
        <f>"20190303170349475"</f>
        <v>20190303170349475</v>
      </c>
      <c r="B4847" t="str">
        <f>"1551603829460644"</f>
        <v>1551603829460644</v>
      </c>
      <c r="C4847" t="s">
        <v>40</v>
      </c>
      <c r="D4847">
        <v>4.063555</v>
      </c>
      <c r="E4847">
        <v>0.63610809999999995</v>
      </c>
      <c r="F4847" t="s">
        <v>91</v>
      </c>
      <c r="G4847">
        <v>-240.9161</v>
      </c>
      <c r="H4847">
        <v>0.29524060000000002</v>
      </c>
      <c r="I4847">
        <v>119.3841</v>
      </c>
      <c r="J4847">
        <v>-193.3801</v>
      </c>
      <c r="K4847">
        <v>1.1165179999999999</v>
      </c>
      <c r="L4847">
        <v>153.756</v>
      </c>
      <c r="M4847">
        <v>-0.32292989999999999</v>
      </c>
      <c r="N4847">
        <v>-5.7761100000000001E-3</v>
      </c>
      <c r="O4847">
        <v>-0.94640550000000001</v>
      </c>
      <c r="P4847">
        <v>-0.56833800000000001</v>
      </c>
      <c r="Q4847">
        <v>0.1732503</v>
      </c>
      <c r="R4847">
        <v>-0.80434879999999997</v>
      </c>
      <c r="S4847">
        <v>-2.6158290000000002</v>
      </c>
      <c r="T4847">
        <v>-4.5155639999999997E-2</v>
      </c>
      <c r="U4847">
        <v>-1.8962399999999999</v>
      </c>
      <c r="V4847">
        <v>0.28001510000000002</v>
      </c>
      <c r="W4847">
        <v>0.17574339999999999</v>
      </c>
      <c r="X4847">
        <v>0.9437721</v>
      </c>
      <c r="Y4847">
        <v>0.57666319999999904</v>
      </c>
      <c r="Z4847">
        <v>9.7845420000000002E-3</v>
      </c>
      <c r="AA4847">
        <v>0.81692339999999997</v>
      </c>
      <c r="AB4847">
        <v>22</v>
      </c>
      <c r="AC4847">
        <v>-47.536000000000001</v>
      </c>
      <c r="AD4847">
        <v>-0.82127739999999905</v>
      </c>
      <c r="AE4847">
        <v>-34.371899999999997</v>
      </c>
      <c r="AF4847">
        <v>33.882533874215099</v>
      </c>
      <c r="AG4847">
        <v>-0.82127739999999905</v>
      </c>
      <c r="AH4847">
        <v>47.8719553315063</v>
      </c>
      <c r="AI4847">
        <v>90.802270211857405</v>
      </c>
      <c r="AJ4847">
        <v>54.710125624246899</v>
      </c>
      <c r="AK4847">
        <v>58.6551336676239</v>
      </c>
      <c r="AL4847">
        <v>79.878077588347097</v>
      </c>
      <c r="AM4847">
        <v>73.474493388780004</v>
      </c>
      <c r="AN4847">
        <v>0.999999987804989</v>
      </c>
    </row>
    <row r="4848" spans="1:40" x14ac:dyDescent="0.25">
      <c r="A4848" t="str">
        <f>"20190303170349490"</f>
        <v>20190303170349490</v>
      </c>
      <c r="B4848" t="str">
        <f>"1551603829480165"</f>
        <v>1551603829480165</v>
      </c>
      <c r="C4848" t="s">
        <v>40</v>
      </c>
      <c r="D4848">
        <v>4.0851689999999996</v>
      </c>
      <c r="E4848">
        <v>0.63600489999999998</v>
      </c>
      <c r="F4848" t="s">
        <v>91</v>
      </c>
      <c r="G4848">
        <v>-241.1994</v>
      </c>
      <c r="H4848">
        <v>0.3260478</v>
      </c>
      <c r="I4848">
        <v>119.3841</v>
      </c>
      <c r="J4848">
        <v>-193.43889999999999</v>
      </c>
      <c r="K4848">
        <v>1.1164000000000001</v>
      </c>
      <c r="L4848">
        <v>153.60130000000001</v>
      </c>
      <c r="M4848">
        <v>-0.32795770000000002</v>
      </c>
      <c r="N4848">
        <v>-5.7393009999999996E-3</v>
      </c>
      <c r="O4848">
        <v>-0.94467500000000004</v>
      </c>
      <c r="P4848">
        <v>-0.57211800000000002</v>
      </c>
      <c r="Q4848">
        <v>0.17355039999999999</v>
      </c>
      <c r="R4848">
        <v>-0.80159930000000001</v>
      </c>
      <c r="S4848">
        <v>-2.62323</v>
      </c>
      <c r="T4848">
        <v>-4.3362619999999998E-2</v>
      </c>
      <c r="U4848">
        <v>-1.8855440000000001</v>
      </c>
      <c r="V4848">
        <v>0.27950979999999997</v>
      </c>
      <c r="W4848">
        <v>0.17594099999999999</v>
      </c>
      <c r="X4848">
        <v>0.94388510000000003</v>
      </c>
      <c r="Y4848">
        <v>0.57561219999999902</v>
      </c>
      <c r="Z4848">
        <v>9.2475669999999999E-3</v>
      </c>
      <c r="AA4848">
        <v>0.81767049999999997</v>
      </c>
      <c r="AB4848">
        <v>23</v>
      </c>
      <c r="AC4848">
        <v>-47.7605</v>
      </c>
      <c r="AD4848">
        <v>-0.79035219999999995</v>
      </c>
      <c r="AE4848">
        <v>-34.217199999999998</v>
      </c>
      <c r="AF4848">
        <v>33.890780672845302</v>
      </c>
      <c r="AG4848">
        <v>-0.79035219999999995</v>
      </c>
      <c r="AH4848">
        <v>47.979663893246901</v>
      </c>
      <c r="AI4848">
        <v>90.770846134314496</v>
      </c>
      <c r="AJ4848">
        <v>54.764252624094198</v>
      </c>
      <c r="AK4848">
        <v>58.747406908934302</v>
      </c>
      <c r="AL4848">
        <v>79.866577099433201</v>
      </c>
      <c r="AM4848">
        <v>73.504559662029394</v>
      </c>
      <c r="AN4848">
        <v>1.0000000228895201</v>
      </c>
    </row>
    <row r="4849" spans="1:40" x14ac:dyDescent="0.25">
      <c r="A4849" t="str">
        <f>"20190303170349502"</f>
        <v>20190303170349502</v>
      </c>
      <c r="B4849" t="str">
        <f>"1551603829490902"</f>
        <v>1551603829490902</v>
      </c>
      <c r="C4849" t="s">
        <v>40</v>
      </c>
      <c r="D4849">
        <v>4.0771629999999996</v>
      </c>
      <c r="E4849">
        <v>0.63595069999999998</v>
      </c>
      <c r="F4849" t="s">
        <v>91</v>
      </c>
      <c r="G4849">
        <v>-241.2158</v>
      </c>
      <c r="H4849">
        <v>0.3513638</v>
      </c>
      <c r="I4849">
        <v>119.589</v>
      </c>
      <c r="J4849">
        <v>-193.47909999999999</v>
      </c>
      <c r="K4849">
        <v>1.1163190000000001</v>
      </c>
      <c r="L4849">
        <v>153.49719999999999</v>
      </c>
      <c r="M4849">
        <v>-0.33138790000000001</v>
      </c>
      <c r="N4849">
        <v>-5.7172129999999996E-3</v>
      </c>
      <c r="O4849">
        <v>-0.94347749999999997</v>
      </c>
      <c r="P4849">
        <v>-0.57477460000000002</v>
      </c>
      <c r="Q4849">
        <v>0.17389859999999999</v>
      </c>
      <c r="R4849">
        <v>-0.79962100000000003</v>
      </c>
      <c r="S4849">
        <v>-2.6315770000000001</v>
      </c>
      <c r="T4849">
        <v>-4.2138219999999997E-2</v>
      </c>
      <c r="U4849">
        <v>-1.873413</v>
      </c>
      <c r="V4849">
        <v>0.27927220000000003</v>
      </c>
      <c r="W4849">
        <v>0.17622119999999999</v>
      </c>
      <c r="X4849">
        <v>0.94390309999999999</v>
      </c>
      <c r="Y4849">
        <v>0.57637069999999901</v>
      </c>
      <c r="Z4849">
        <v>8.8847249999999996E-3</v>
      </c>
      <c r="AA4849">
        <v>0.81713999999999998</v>
      </c>
      <c r="AB4849">
        <v>23</v>
      </c>
      <c r="AC4849">
        <v>-47.736699999999999</v>
      </c>
      <c r="AD4849">
        <v>-0.76495519999999995</v>
      </c>
      <c r="AE4849">
        <v>-33.908199999999901</v>
      </c>
      <c r="AF4849">
        <v>33.796512438503498</v>
      </c>
      <c r="AG4849">
        <v>-0.76495519999999995</v>
      </c>
      <c r="AH4849">
        <v>47.803601200621699</v>
      </c>
      <c r="AI4849">
        <v>90.7486041832301</v>
      </c>
      <c r="AJ4849">
        <v>54.740195600187597</v>
      </c>
      <c r="AK4849">
        <v>58.548900051256403</v>
      </c>
      <c r="AL4849">
        <v>79.850267436467902</v>
      </c>
      <c r="AM4849">
        <v>73.518117851657095</v>
      </c>
      <c r="AN4849">
        <v>0.99999996760594401</v>
      </c>
    </row>
    <row r="4850" spans="1:40" x14ac:dyDescent="0.25">
      <c r="A4850" t="str">
        <f>"20190303170349517"</f>
        <v>20190303170349517</v>
      </c>
      <c r="B4850" t="str">
        <f>"1551603829510420"</f>
        <v>1551603829510420</v>
      </c>
      <c r="C4850" t="s">
        <v>40</v>
      </c>
      <c r="D4850">
        <v>4.0895210000000004</v>
      </c>
      <c r="E4850">
        <v>0.63582240000000001</v>
      </c>
      <c r="F4850" t="s">
        <v>91</v>
      </c>
      <c r="G4850">
        <v>-241.40639999999999</v>
      </c>
      <c r="H4850">
        <v>0.35459580000000002</v>
      </c>
      <c r="I4850">
        <v>119.5971</v>
      </c>
      <c r="J4850">
        <v>-193.53149999999999</v>
      </c>
      <c r="K4850">
        <v>1.11622</v>
      </c>
      <c r="L4850">
        <v>153.36259999999999</v>
      </c>
      <c r="M4850">
        <v>-0.33585890000000002</v>
      </c>
      <c r="N4850">
        <v>-5.6902979999999999E-3</v>
      </c>
      <c r="O4850">
        <v>-0.94189520000000004</v>
      </c>
      <c r="P4850">
        <v>-0.57841219999999904</v>
      </c>
      <c r="Q4850">
        <v>0.17426059999999999</v>
      </c>
      <c r="R4850">
        <v>-0.79691440000000002</v>
      </c>
      <c r="S4850">
        <v>-2.637146</v>
      </c>
      <c r="T4850">
        <v>-4.1912560000000001E-2</v>
      </c>
      <c r="U4850">
        <v>-1.8653109999999999</v>
      </c>
      <c r="V4850">
        <v>0.27916780000000002</v>
      </c>
      <c r="W4850">
        <v>0.17649339999999999</v>
      </c>
      <c r="X4850">
        <v>0.94388309999999997</v>
      </c>
      <c r="Y4850">
        <v>0.57498179999999999</v>
      </c>
      <c r="Z4850">
        <v>8.8437529999999993E-3</v>
      </c>
      <c r="AA4850">
        <v>0.81811849999999997</v>
      </c>
      <c r="AB4850">
        <v>23</v>
      </c>
      <c r="AC4850">
        <v>-47.874899999999997</v>
      </c>
      <c r="AD4850">
        <v>-0.76162419999999997</v>
      </c>
      <c r="AE4850">
        <v>-33.765499999999903</v>
      </c>
      <c r="AF4850">
        <v>33.747535019931803</v>
      </c>
      <c r="AG4850">
        <v>-0.76162419999999997</v>
      </c>
      <c r="AH4850">
        <v>47.875453747684297</v>
      </c>
      <c r="AI4850">
        <v>90.744957283586004</v>
      </c>
      <c r="AJ4850">
        <v>54.819888793144202</v>
      </c>
      <c r="AK4850">
        <v>58.579307463388602</v>
      </c>
      <c r="AL4850">
        <v>79.834422939076603</v>
      </c>
      <c r="AM4850">
        <v>73.523614925015593</v>
      </c>
      <c r="AN4850">
        <v>0.99999994363300304</v>
      </c>
    </row>
    <row r="4851" spans="1:40" x14ac:dyDescent="0.25">
      <c r="A4851" t="str">
        <f>"20190303170349537"</f>
        <v>20190303170349537</v>
      </c>
      <c r="B4851" t="str">
        <f>"1551603829529940"</f>
        <v>1551603829529940</v>
      </c>
      <c r="C4851" t="s">
        <v>40</v>
      </c>
      <c r="D4851">
        <v>4.1084440000000004</v>
      </c>
      <c r="E4851">
        <v>0.63564359999999998</v>
      </c>
      <c r="F4851" t="s">
        <v>91</v>
      </c>
      <c r="G4851">
        <v>-241.68770000000001</v>
      </c>
      <c r="H4851">
        <v>0.34948469999999998</v>
      </c>
      <c r="I4851">
        <v>119.5971</v>
      </c>
      <c r="J4851">
        <v>-193.613</v>
      </c>
      <c r="K4851">
        <v>1.116058</v>
      </c>
      <c r="L4851">
        <v>153.15780000000001</v>
      </c>
      <c r="M4851">
        <v>-0.34281739999999999</v>
      </c>
      <c r="N4851">
        <v>-5.6538489999999999E-3</v>
      </c>
      <c r="O4851">
        <v>-0.93938509999999997</v>
      </c>
      <c r="P4851">
        <v>-0.58393050000000002</v>
      </c>
      <c r="Q4851">
        <v>0.17516619999999999</v>
      </c>
      <c r="R4851">
        <v>-0.79268050000000001</v>
      </c>
      <c r="S4851">
        <v>-2.6445470000000002</v>
      </c>
      <c r="T4851">
        <v>-4.2105669999999998E-2</v>
      </c>
      <c r="U4851">
        <v>-1.854263</v>
      </c>
      <c r="V4851">
        <v>0.2788814</v>
      </c>
      <c r="W4851">
        <v>0.17726549999999999</v>
      </c>
      <c r="X4851">
        <v>0.94382319999999997</v>
      </c>
      <c r="Y4851">
        <v>0.57229300000000005</v>
      </c>
      <c r="Z4851">
        <v>8.9492129999999993E-3</v>
      </c>
      <c r="AA4851">
        <v>0.82000039999999996</v>
      </c>
      <c r="AB4851">
        <v>23</v>
      </c>
      <c r="AC4851">
        <v>-48.0747</v>
      </c>
      <c r="AD4851">
        <v>-0.76657329999999901</v>
      </c>
      <c r="AE4851">
        <v>-33.560699999999997</v>
      </c>
      <c r="AF4851">
        <v>33.6502487093993</v>
      </c>
      <c r="AG4851">
        <v>-0.76657329999999901</v>
      </c>
      <c r="AH4851">
        <v>47.999824566595201</v>
      </c>
      <c r="AI4851">
        <v>90.7492118118018</v>
      </c>
      <c r="AJ4851">
        <v>54.967646146667697</v>
      </c>
      <c r="AK4851">
        <v>58.625165511515704</v>
      </c>
      <c r="AL4851">
        <v>79.789477396594094</v>
      </c>
      <c r="AM4851">
        <v>73.538614769353202</v>
      </c>
      <c r="AN4851">
        <v>1.0000000628072201</v>
      </c>
    </row>
    <row r="4852" spans="1:40" x14ac:dyDescent="0.25">
      <c r="A4852" t="str">
        <f>"20190303170349551"</f>
        <v>20190303170349551</v>
      </c>
      <c r="B4852" t="str">
        <f>"1551603829540676"</f>
        <v>1551603829540676</v>
      </c>
      <c r="C4852" t="s">
        <v>40</v>
      </c>
      <c r="D4852">
        <v>4.1042100000000001</v>
      </c>
      <c r="E4852">
        <v>0.63557369999999902</v>
      </c>
      <c r="F4852" t="s">
        <v>92</v>
      </c>
      <c r="G4852">
        <v>-245.4195</v>
      </c>
      <c r="H4852">
        <v>0.34857890000000002</v>
      </c>
      <c r="I4852">
        <v>117.3467</v>
      </c>
      <c r="J4852">
        <v>-193.66749999999999</v>
      </c>
      <c r="K4852">
        <v>1.115955</v>
      </c>
      <c r="L4852">
        <v>153.02359999999999</v>
      </c>
      <c r="M4852">
        <v>-0.34745779999999998</v>
      </c>
      <c r="N4852">
        <v>-5.6314669999999898E-3</v>
      </c>
      <c r="O4852">
        <v>-0.93767889999999998</v>
      </c>
      <c r="P4852">
        <v>-0.58739799999999998</v>
      </c>
      <c r="Q4852">
        <v>0.175308299999999</v>
      </c>
      <c r="R4852">
        <v>-0.79008290000000003</v>
      </c>
      <c r="S4852">
        <v>-2.656555</v>
      </c>
      <c r="T4852">
        <v>-3.9353609999999997E-2</v>
      </c>
      <c r="U4852">
        <v>-1.8363339999999999</v>
      </c>
      <c r="V4852">
        <v>0.27840490000000001</v>
      </c>
      <c r="W4852">
        <v>0.1773255</v>
      </c>
      <c r="X4852">
        <v>0.94395249999999997</v>
      </c>
      <c r="Y4852">
        <v>0.57372290000000004</v>
      </c>
      <c r="Z4852">
        <v>8.0979669999999993E-3</v>
      </c>
      <c r="AA4852">
        <v>0.8190094</v>
      </c>
      <c r="AB4852">
        <v>23</v>
      </c>
      <c r="AC4852">
        <v>-51.752000000000002</v>
      </c>
      <c r="AD4852">
        <v>-0.76737610000000001</v>
      </c>
      <c r="AE4852">
        <v>-35.676899999999897</v>
      </c>
      <c r="AF4852">
        <v>36.125723637244597</v>
      </c>
      <c r="AG4852">
        <v>-0.76737610000000001</v>
      </c>
      <c r="AH4852">
        <v>51.428254105849902</v>
      </c>
      <c r="AI4852">
        <v>90.699543046007193</v>
      </c>
      <c r="AJ4852">
        <v>54.913916898326598</v>
      </c>
      <c r="AK4852">
        <v>62.853178875608997</v>
      </c>
      <c r="AL4852">
        <v>79.7859833716347</v>
      </c>
      <c r="AM4852">
        <v>73.567351863476901</v>
      </c>
      <c r="AN4852">
        <v>0.99999997177525402</v>
      </c>
    </row>
    <row r="4853" spans="1:40" x14ac:dyDescent="0.25">
      <c r="A4853" t="str">
        <f>"20190303170349564"</f>
        <v>20190303170349564</v>
      </c>
      <c r="B4853" t="str">
        <f>"1551603829550436"</f>
        <v>1551603829550436</v>
      </c>
      <c r="C4853" t="s">
        <v>40</v>
      </c>
      <c r="D4853">
        <v>4.1064550000000004</v>
      </c>
      <c r="E4853">
        <v>0.63551179999999996</v>
      </c>
      <c r="F4853" t="s">
        <v>92</v>
      </c>
      <c r="G4853">
        <v>-245.4195</v>
      </c>
      <c r="H4853">
        <v>0.37490570000000001</v>
      </c>
      <c r="I4853">
        <v>117.5805</v>
      </c>
      <c r="J4853">
        <v>-193.7159</v>
      </c>
      <c r="K4853">
        <v>1.1158669999999999</v>
      </c>
      <c r="L4853">
        <v>152.90620000000001</v>
      </c>
      <c r="M4853">
        <v>-0.35156789999999999</v>
      </c>
      <c r="N4853">
        <v>-5.6134690000000003E-3</v>
      </c>
      <c r="O4853">
        <v>-0.93614560000000002</v>
      </c>
      <c r="P4853">
        <v>-0.59063239999999995</v>
      </c>
      <c r="Q4853">
        <v>0.17546539999999999</v>
      </c>
      <c r="R4853">
        <v>-0.78763289999999997</v>
      </c>
      <c r="S4853">
        <v>-2.6643219999999999</v>
      </c>
      <c r="T4853">
        <v>-3.814948E-2</v>
      </c>
      <c r="U4853">
        <v>-1.824692</v>
      </c>
      <c r="V4853">
        <v>0.2781844</v>
      </c>
      <c r="W4853">
        <v>0.17741189999999901</v>
      </c>
      <c r="X4853">
        <v>0.94400130000000004</v>
      </c>
      <c r="Y4853">
        <v>0.57368200000000003</v>
      </c>
      <c r="Z4853">
        <v>7.7361249999999999E-3</v>
      </c>
      <c r="AA4853">
        <v>0.81904160000000004</v>
      </c>
      <c r="AB4853">
        <v>23</v>
      </c>
      <c r="AC4853">
        <v>-51.703600000000002</v>
      </c>
      <c r="AD4853">
        <v>-0.74096129999999905</v>
      </c>
      <c r="AE4853">
        <v>-35.325699999999998</v>
      </c>
      <c r="AF4853">
        <v>35.978243405447003</v>
      </c>
      <c r="AG4853">
        <v>-0.74096129999999905</v>
      </c>
      <c r="AH4853">
        <v>51.240955476887699</v>
      </c>
      <c r="AI4853">
        <v>90.6780332628488</v>
      </c>
      <c r="AJ4853">
        <v>54.925832643222101</v>
      </c>
      <c r="AK4853">
        <v>62.614842812020903</v>
      </c>
      <c r="AL4853">
        <v>79.780953537465393</v>
      </c>
      <c r="AM4853">
        <v>73.580468571701502</v>
      </c>
      <c r="AN4853">
        <v>0.99999999853332999</v>
      </c>
    </row>
    <row r="4854" spans="1:40" x14ac:dyDescent="0.25">
      <c r="A4854" t="str">
        <f>"20190303170349580"</f>
        <v>20190303170349580</v>
      </c>
      <c r="B4854" t="str">
        <f>"1551603829569957"</f>
        <v>1551603829569957</v>
      </c>
      <c r="C4854" t="s">
        <v>40</v>
      </c>
      <c r="D4854">
        <v>4.1256250000000003</v>
      </c>
      <c r="E4854">
        <v>0.63537880000000002</v>
      </c>
      <c r="F4854" t="s">
        <v>92</v>
      </c>
      <c r="G4854">
        <v>-245.4195</v>
      </c>
      <c r="H4854">
        <v>0.41473399999999999</v>
      </c>
      <c r="I4854">
        <v>117.8207</v>
      </c>
      <c r="J4854">
        <v>-193.78399999999999</v>
      </c>
      <c r="K4854">
        <v>1.115748</v>
      </c>
      <c r="L4854">
        <v>152.7432</v>
      </c>
      <c r="M4854">
        <v>-0.35734080000000001</v>
      </c>
      <c r="N4854">
        <v>-5.5898759999999997E-3</v>
      </c>
      <c r="O4854">
        <v>-0.93395740000000005</v>
      </c>
      <c r="P4854">
        <v>-0.59543760000000001</v>
      </c>
      <c r="Q4854">
        <v>0.1759848</v>
      </c>
      <c r="R4854">
        <v>-0.78389039999999999</v>
      </c>
      <c r="S4854">
        <v>-2.6720429999999999</v>
      </c>
      <c r="T4854">
        <v>-3.623295E-2</v>
      </c>
      <c r="U4854">
        <v>-1.8132170000000001</v>
      </c>
      <c r="V4854">
        <v>0.27822730000000001</v>
      </c>
      <c r="W4854">
        <v>0.1778286</v>
      </c>
      <c r="X4854">
        <v>0.94391020000000003</v>
      </c>
      <c r="Y4854">
        <v>0.5721368</v>
      </c>
      <c r="Z4854">
        <v>7.146637E-3</v>
      </c>
      <c r="AA4854">
        <v>0.8201271</v>
      </c>
      <c r="AB4854">
        <v>23</v>
      </c>
      <c r="AC4854">
        <v>-51.635499999999901</v>
      </c>
      <c r="AD4854">
        <v>-0.70101400000000003</v>
      </c>
      <c r="AE4854">
        <v>-34.922499999999999</v>
      </c>
      <c r="AF4854">
        <v>35.742159446595302</v>
      </c>
      <c r="AG4854">
        <v>-0.70101400000000003</v>
      </c>
      <c r="AH4854">
        <v>51.061935428944302</v>
      </c>
      <c r="AI4854">
        <v>90.644384940742796</v>
      </c>
      <c r="AJ4854">
        <v>55.008880004089001</v>
      </c>
      <c r="AK4854">
        <v>62.3322920506195</v>
      </c>
      <c r="AL4854">
        <v>79.756692149804095</v>
      </c>
      <c r="AM4854">
        <v>73.576573311230305</v>
      </c>
      <c r="AN4854">
        <v>0.99999995355364302</v>
      </c>
    </row>
    <row r="4855" spans="1:40" x14ac:dyDescent="0.25">
      <c r="A4855" t="str">
        <f>"20190303170349592"</f>
        <v>20190303170349592</v>
      </c>
      <c r="B4855" t="str">
        <f>"1551603829580692"</f>
        <v>1551603829580692</v>
      </c>
      <c r="C4855" t="s">
        <v>40</v>
      </c>
      <c r="D4855">
        <v>4.1039079999999997</v>
      </c>
      <c r="E4855">
        <v>0.63530310000000001</v>
      </c>
      <c r="F4855" t="s">
        <v>92</v>
      </c>
      <c r="G4855">
        <v>-245.22489999999999</v>
      </c>
      <c r="H4855">
        <v>0.48066170000000003</v>
      </c>
      <c r="I4855">
        <v>118.3058</v>
      </c>
      <c r="J4855">
        <v>-193.83320000000001</v>
      </c>
      <c r="K4855">
        <v>1.115659</v>
      </c>
      <c r="L4855">
        <v>152.62729999999999</v>
      </c>
      <c r="M4855">
        <v>-0.36150100000000002</v>
      </c>
      <c r="N4855">
        <v>-5.5741319999999999E-3</v>
      </c>
      <c r="O4855">
        <v>-0.93235520000000005</v>
      </c>
      <c r="P4855">
        <v>-0.59909019999999902</v>
      </c>
      <c r="Q4855">
        <v>0.17637249999999999</v>
      </c>
      <c r="R4855">
        <v>-0.78101469999999995</v>
      </c>
      <c r="S4855">
        <v>-2.683243</v>
      </c>
      <c r="T4855">
        <v>-3.3125639999999998E-2</v>
      </c>
      <c r="U4855">
        <v>-1.7963100000000001</v>
      </c>
      <c r="V4855">
        <v>0.2784992</v>
      </c>
      <c r="W4855">
        <v>0.17813970000000001</v>
      </c>
      <c r="X4855">
        <v>0.94377140000000004</v>
      </c>
      <c r="Y4855">
        <v>0.573636699999999</v>
      </c>
      <c r="Z4855">
        <v>6.1723669999999998E-3</v>
      </c>
      <c r="AA4855">
        <v>0.8190866</v>
      </c>
      <c r="AB4855">
        <v>23</v>
      </c>
      <c r="AC4855">
        <v>-51.391699999999901</v>
      </c>
      <c r="AD4855">
        <v>-0.63499729999999999</v>
      </c>
      <c r="AE4855">
        <v>-34.321499999999901</v>
      </c>
      <c r="AF4855">
        <v>35.504860500036401</v>
      </c>
      <c r="AG4855">
        <v>-0.63499729999999999</v>
      </c>
      <c r="AH4855">
        <v>50.573419466856301</v>
      </c>
      <c r="AI4855">
        <v>90.588770634567496</v>
      </c>
      <c r="AJ4855">
        <v>54.9293842661301</v>
      </c>
      <c r="AK4855">
        <v>61.795380873238898</v>
      </c>
      <c r="AL4855">
        <v>79.738578760034002</v>
      </c>
      <c r="AM4855">
        <v>73.5591022962263</v>
      </c>
      <c r="AN4855">
        <v>1.00000000628734</v>
      </c>
    </row>
    <row r="4856" spans="1:40" x14ac:dyDescent="0.25">
      <c r="A4856" t="str">
        <f>"20190303170349614"</f>
        <v>20190303170349614</v>
      </c>
      <c r="B4856" t="str">
        <f>"1551603829600212"</f>
        <v>1551603829600212</v>
      </c>
      <c r="C4856" t="s">
        <v>40</v>
      </c>
      <c r="D4856">
        <v>4.1179839999999999</v>
      </c>
      <c r="E4856">
        <v>0.63516470000000003</v>
      </c>
      <c r="F4856" t="s">
        <v>92</v>
      </c>
      <c r="G4856">
        <v>-245.22489999999999</v>
      </c>
      <c r="H4856">
        <v>0.48732750000000002</v>
      </c>
      <c r="I4856">
        <v>118.55110000000001</v>
      </c>
      <c r="J4856">
        <v>-193.92580000000001</v>
      </c>
      <c r="K4856">
        <v>1.1154949999999999</v>
      </c>
      <c r="L4856">
        <v>152.4135</v>
      </c>
      <c r="M4856">
        <v>-0.36931370000000002</v>
      </c>
      <c r="N4856">
        <v>-5.5481569999999997E-3</v>
      </c>
      <c r="O4856">
        <v>-0.92928840000000001</v>
      </c>
      <c r="P4856">
        <v>-0.60591530000000005</v>
      </c>
      <c r="Q4856">
        <v>0.1775031</v>
      </c>
      <c r="R4856">
        <v>-0.77547409999999894</v>
      </c>
      <c r="S4856">
        <v>-2.691071</v>
      </c>
      <c r="T4856">
        <v>-3.2900329999999998E-2</v>
      </c>
      <c r="U4856">
        <v>-1.7843629999999999</v>
      </c>
      <c r="V4856">
        <v>0.27903270000000002</v>
      </c>
      <c r="W4856">
        <v>0.17912919999999999</v>
      </c>
      <c r="X4856">
        <v>0.94342649999999995</v>
      </c>
      <c r="Y4856">
        <v>0.57038109999999997</v>
      </c>
      <c r="Z4856">
        <v>6.1328490000000001E-3</v>
      </c>
      <c r="AA4856">
        <v>0.82135729999999996</v>
      </c>
      <c r="AB4856">
        <v>23</v>
      </c>
      <c r="AC4856">
        <v>-51.299099999999903</v>
      </c>
      <c r="AD4856">
        <v>-0.62816749999999999</v>
      </c>
      <c r="AE4856">
        <v>-33.862399999999901</v>
      </c>
      <c r="AF4856">
        <v>35.162673599882098</v>
      </c>
      <c r="AG4856">
        <v>-0.62816749999999999</v>
      </c>
      <c r="AH4856">
        <v>50.4088991615263</v>
      </c>
      <c r="AI4856">
        <v>90.585574855998203</v>
      </c>
      <c r="AJ4856">
        <v>55.102340755658602</v>
      </c>
      <c r="AK4856">
        <v>61.464341888422098</v>
      </c>
      <c r="AL4856">
        <v>79.680958125711001</v>
      </c>
      <c r="AM4856">
        <v>73.523617918211698</v>
      </c>
      <c r="AN4856">
        <v>1.00000003943208</v>
      </c>
    </row>
    <row r="4857" spans="1:40" x14ac:dyDescent="0.25">
      <c r="A4857" t="str">
        <f>"20190303170349626"</f>
        <v>20190303170349626</v>
      </c>
      <c r="B4857" t="str">
        <f>"1551603829620709"</f>
        <v>1551603829620709</v>
      </c>
      <c r="C4857" t="s">
        <v>40</v>
      </c>
      <c r="D4857">
        <v>4.3318059999999896</v>
      </c>
      <c r="E4857">
        <v>0.64406240000000003</v>
      </c>
      <c r="F4857" t="s">
        <v>92</v>
      </c>
      <c r="G4857">
        <v>-245.22489999999999</v>
      </c>
      <c r="H4857">
        <v>0.53521079999999999</v>
      </c>
      <c r="I4857">
        <v>119.02119999999999</v>
      </c>
      <c r="J4857">
        <v>-193.9786</v>
      </c>
      <c r="K4857">
        <v>1.115399</v>
      </c>
      <c r="L4857">
        <v>152.29429999999999</v>
      </c>
      <c r="M4857">
        <v>-0.37375940000000002</v>
      </c>
      <c r="N4857">
        <v>-5.5372030000000001E-3</v>
      </c>
      <c r="O4857">
        <v>-0.92750920000000003</v>
      </c>
      <c r="P4857">
        <v>-0.60977349999999997</v>
      </c>
      <c r="Q4857">
        <v>0.17837120000000001</v>
      </c>
      <c r="R4857">
        <v>-0.77224380000000004</v>
      </c>
      <c r="S4857">
        <v>-2.705902</v>
      </c>
      <c r="T4857">
        <v>-3.0606990000000001E-2</v>
      </c>
      <c r="U4857">
        <v>-1.7613529999999999</v>
      </c>
      <c r="V4857">
        <v>0.2793446</v>
      </c>
      <c r="W4857">
        <v>0.1799191</v>
      </c>
      <c r="X4857">
        <v>0.94318380000000002</v>
      </c>
      <c r="Y4857">
        <v>0.57341219999999904</v>
      </c>
      <c r="Z4857">
        <v>5.4256620000000004E-3</v>
      </c>
      <c r="AA4857">
        <v>0.819249</v>
      </c>
      <c r="AB4857">
        <v>23</v>
      </c>
      <c r="AC4857">
        <v>-51.246299999999898</v>
      </c>
      <c r="AD4857">
        <v>-0.58018819999999904</v>
      </c>
      <c r="AE4857">
        <v>-33.273099999999999</v>
      </c>
      <c r="AF4857">
        <v>35.092653508864402</v>
      </c>
      <c r="AG4857">
        <v>-0.58018819999999904</v>
      </c>
      <c r="AH4857">
        <v>50.011148470680503</v>
      </c>
      <c r="AI4857">
        <v>90.544091827122003</v>
      </c>
      <c r="AJ4857">
        <v>54.942790996620801</v>
      </c>
      <c r="AK4857">
        <v>61.097838914294599</v>
      </c>
      <c r="AL4857">
        <v>79.634952189615504</v>
      </c>
      <c r="AM4857">
        <v>73.502187541891502</v>
      </c>
      <c r="AN4857">
        <v>0.99999998433820403</v>
      </c>
    </row>
    <row r="4858" spans="1:40" x14ac:dyDescent="0.25">
      <c r="A4858" t="str">
        <f>"20190303170349638"</f>
        <v>20190303170349638</v>
      </c>
      <c r="B4858" t="str">
        <f>"1551603829630468"</f>
        <v>1551603829630468</v>
      </c>
      <c r="C4858" t="s">
        <v>40</v>
      </c>
      <c r="D4858">
        <v>4.2576929999999997</v>
      </c>
      <c r="E4858">
        <v>0.64559659999999996</v>
      </c>
      <c r="F4858" t="s">
        <v>92</v>
      </c>
      <c r="G4858">
        <v>-247.93719999999999</v>
      </c>
      <c r="H4858">
        <v>0.37761230000000001</v>
      </c>
      <c r="I4858">
        <v>119.0955</v>
      </c>
      <c r="J4858">
        <v>-194.0307</v>
      </c>
      <c r="K4858">
        <v>1.11531</v>
      </c>
      <c r="L4858">
        <v>152.17760000000001</v>
      </c>
      <c r="M4858">
        <v>-0.3781409</v>
      </c>
      <c r="N4858">
        <v>-5.5266169999999898E-3</v>
      </c>
      <c r="O4858">
        <v>-0.92573170000000005</v>
      </c>
      <c r="P4858">
        <v>-0.61316359999999903</v>
      </c>
      <c r="Q4858">
        <v>0.17833060000000001</v>
      </c>
      <c r="R4858">
        <v>-0.76956420000000003</v>
      </c>
      <c r="S4858">
        <v>-2.771423</v>
      </c>
      <c r="T4858">
        <v>-3.7892700000000001E-2</v>
      </c>
      <c r="U4858">
        <v>-1.7051540000000001</v>
      </c>
      <c r="V4858">
        <v>0.27906809999999999</v>
      </c>
      <c r="W4858">
        <v>0.1798112</v>
      </c>
      <c r="X4858">
        <v>0.94328619999999996</v>
      </c>
      <c r="Y4858">
        <v>0.59025680000000003</v>
      </c>
      <c r="Z4858">
        <v>7.7844469999999999E-3</v>
      </c>
      <c r="AA4858">
        <v>0.80717799999999995</v>
      </c>
      <c r="AB4858">
        <v>23</v>
      </c>
      <c r="AC4858">
        <v>-53.906500000000001</v>
      </c>
      <c r="AD4858">
        <v>-0.73769770000000001</v>
      </c>
      <c r="AE4858">
        <v>-33.082099999999997</v>
      </c>
      <c r="AF4858">
        <v>37.388740661910099</v>
      </c>
      <c r="AG4858">
        <v>-0.73769770000000001</v>
      </c>
      <c r="AH4858">
        <v>51.003235001692097</v>
      </c>
      <c r="AI4858">
        <v>90.668331915498698</v>
      </c>
      <c r="AJ4858">
        <v>53.756121723432003</v>
      </c>
      <c r="AK4858">
        <v>63.243909642098998</v>
      </c>
      <c r="AL4858">
        <v>79.641236682702299</v>
      </c>
      <c r="AM4858">
        <v>73.519323025210795</v>
      </c>
      <c r="AN4858">
        <v>0.99999996359674403</v>
      </c>
    </row>
    <row r="4859" spans="1:40" x14ac:dyDescent="0.25">
      <c r="A4859" t="str">
        <f>"20190303170349651"</f>
        <v>20190303170349651</v>
      </c>
      <c r="B4859" t="str">
        <f>"1551603829640228"</f>
        <v>1551603829640228</v>
      </c>
      <c r="C4859" t="s">
        <v>40</v>
      </c>
      <c r="D4859">
        <v>4.2972910000000004</v>
      </c>
      <c r="E4859">
        <v>0.6464126</v>
      </c>
      <c r="F4859" t="s">
        <v>92</v>
      </c>
      <c r="G4859">
        <v>-248.79259999999999</v>
      </c>
      <c r="H4859">
        <v>0.41083449999999999</v>
      </c>
      <c r="I4859">
        <v>119.0955</v>
      </c>
      <c r="J4859">
        <v>-194.09139999999999</v>
      </c>
      <c r="K4859">
        <v>1.1152010000000001</v>
      </c>
      <c r="L4859">
        <v>152.0438</v>
      </c>
      <c r="M4859">
        <v>-0.3832276</v>
      </c>
      <c r="N4859">
        <v>-5.5157139999999997E-3</v>
      </c>
      <c r="O4859">
        <v>-0.92363759999999995</v>
      </c>
      <c r="P4859">
        <v>-0.61726610000000004</v>
      </c>
      <c r="Q4859">
        <v>0.17840739999999999</v>
      </c>
      <c r="R4859">
        <v>-0.76625959999999904</v>
      </c>
      <c r="S4859">
        <v>-2.788681</v>
      </c>
      <c r="T4859">
        <v>-3.5873059999999998E-2</v>
      </c>
      <c r="U4859">
        <v>-1.6846620000000001</v>
      </c>
      <c r="V4859">
        <v>0.27897260000000002</v>
      </c>
      <c r="W4859">
        <v>0.17980750000000001</v>
      </c>
      <c r="X4859">
        <v>0.94331520000000002</v>
      </c>
      <c r="Y4859">
        <v>0.59238400000000002</v>
      </c>
      <c r="Z4859">
        <v>7.1527930000000002E-3</v>
      </c>
      <c r="AA4859">
        <v>0.80562400000000001</v>
      </c>
      <c r="AB4859">
        <v>23</v>
      </c>
      <c r="AC4859">
        <v>-54.7012</v>
      </c>
      <c r="AD4859">
        <v>-0.70436650000000001</v>
      </c>
      <c r="AE4859">
        <v>-32.948300000000003</v>
      </c>
      <c r="AF4859">
        <v>37.893348892246699</v>
      </c>
      <c r="AG4859">
        <v>-0.70436650000000001</v>
      </c>
      <c r="AH4859">
        <v>51.3898217625445</v>
      </c>
      <c r="AI4859">
        <v>90.632037661686496</v>
      </c>
      <c r="AJ4859">
        <v>53.5960241369554</v>
      </c>
      <c r="AK4859">
        <v>63.853862868443301</v>
      </c>
      <c r="AL4859">
        <v>79.641452650159394</v>
      </c>
      <c r="AM4859">
        <v>73.525136086498506</v>
      </c>
      <c r="AN4859">
        <v>1.0000000075790201</v>
      </c>
    </row>
    <row r="4860" spans="1:40" x14ac:dyDescent="0.25">
      <c r="A4860" t="str">
        <f>"20190303170349665"</f>
        <v>20190303170349665</v>
      </c>
      <c r="B4860" t="str">
        <f>"1551603829649988"</f>
        <v>1551603829649988</v>
      </c>
      <c r="C4860" t="s">
        <v>40</v>
      </c>
      <c r="D4860">
        <v>4.2773700000000003</v>
      </c>
      <c r="E4860">
        <v>0.64682329999999999</v>
      </c>
      <c r="F4860" t="s">
        <v>92</v>
      </c>
      <c r="G4860">
        <v>-249.5615</v>
      </c>
      <c r="H4860">
        <v>0.43427379999999999</v>
      </c>
      <c r="I4860">
        <v>119.0955</v>
      </c>
      <c r="J4860">
        <v>-194.1472</v>
      </c>
      <c r="K4860">
        <v>1.1151009999999999</v>
      </c>
      <c r="L4860">
        <v>151.92339999999999</v>
      </c>
      <c r="M4860">
        <v>-0.38787509999999997</v>
      </c>
      <c r="N4860">
        <v>-5.5065619999999996E-3</v>
      </c>
      <c r="O4860">
        <v>-0.9216955</v>
      </c>
      <c r="P4860">
        <v>-0.62112730000000005</v>
      </c>
      <c r="Q4860">
        <v>0.17827029999999999</v>
      </c>
      <c r="R4860">
        <v>-0.76316499999999998</v>
      </c>
      <c r="S4860">
        <v>-2.8031459999999999</v>
      </c>
      <c r="T4860">
        <v>-3.4408809999999998E-2</v>
      </c>
      <c r="U4860">
        <v>-1.6650240000000001</v>
      </c>
      <c r="V4860">
        <v>0.27901120000000001</v>
      </c>
      <c r="W4860">
        <v>0.17959729999999999</v>
      </c>
      <c r="X4860">
        <v>0.94334379999999995</v>
      </c>
      <c r="Y4860">
        <v>0.59432940000000001</v>
      </c>
      <c r="Z4860">
        <v>6.7036800000000001E-3</v>
      </c>
      <c r="AA4860">
        <v>0.80419390000000002</v>
      </c>
      <c r="AB4860">
        <v>23</v>
      </c>
      <c r="AC4860">
        <v>-55.414299999999997</v>
      </c>
      <c r="AD4860">
        <v>-0.68082719999999997</v>
      </c>
      <c r="AE4860">
        <v>-32.8278999999999</v>
      </c>
      <c r="AF4860">
        <v>38.338283325489598</v>
      </c>
      <c r="AG4860">
        <v>-0.68082719999999997</v>
      </c>
      <c r="AH4860">
        <v>51.746157331300999</v>
      </c>
      <c r="AI4860">
        <v>90.605690473604398</v>
      </c>
      <c r="AJ4860">
        <v>53.465570957557098</v>
      </c>
      <c r="AK4860">
        <v>64.404598380686593</v>
      </c>
      <c r="AL4860">
        <v>79.6536952615334</v>
      </c>
      <c r="AM4860">
        <v>73.523452611097397</v>
      </c>
      <c r="AN4860">
        <v>0.99999998244558397</v>
      </c>
    </row>
    <row r="4861" spans="1:40" x14ac:dyDescent="0.25">
      <c r="A4861" t="str">
        <f>"20190303170349681"</f>
        <v>20190303170349681</v>
      </c>
      <c r="B4861" t="str">
        <f>"1551603829670485"</f>
        <v>1551603829670485</v>
      </c>
      <c r="C4861" t="s">
        <v>40</v>
      </c>
      <c r="D4861">
        <v>4.3081189999999996</v>
      </c>
      <c r="E4861">
        <v>0.6471789</v>
      </c>
      <c r="F4861" t="s">
        <v>92</v>
      </c>
      <c r="G4861">
        <v>-250.2037</v>
      </c>
      <c r="H4861">
        <v>0.4765742</v>
      </c>
      <c r="I4861">
        <v>119.0955</v>
      </c>
      <c r="J4861">
        <v>-194.22229999999999</v>
      </c>
      <c r="K4861">
        <v>1.1149639999999901</v>
      </c>
      <c r="L4861">
        <v>151.76300000000001</v>
      </c>
      <c r="M4861">
        <v>-0.39411849999999998</v>
      </c>
      <c r="N4861">
        <v>-5.4939630000000001E-3</v>
      </c>
      <c r="O4861">
        <v>-0.91904319999999895</v>
      </c>
      <c r="P4861">
        <v>-0.62636329999999996</v>
      </c>
      <c r="Q4861">
        <v>0.17773630000000001</v>
      </c>
      <c r="R4861">
        <v>-0.75899890000000003</v>
      </c>
      <c r="S4861">
        <v>-2.814209</v>
      </c>
      <c r="T4861">
        <v>-3.2054539999999999E-2</v>
      </c>
      <c r="U4861">
        <v>-1.648056</v>
      </c>
      <c r="V4861">
        <v>0.2790995</v>
      </c>
      <c r="W4861">
        <v>0.17896779999999901</v>
      </c>
      <c r="X4861">
        <v>0.94343730000000003</v>
      </c>
      <c r="Y4861">
        <v>0.59386939999999999</v>
      </c>
      <c r="Z4861">
        <v>5.9711679999999998E-3</v>
      </c>
      <c r="AA4861">
        <v>0.80453929999999996</v>
      </c>
      <c r="AB4861">
        <v>24</v>
      </c>
      <c r="AC4861">
        <v>-55.981400000000001</v>
      </c>
      <c r="AD4861">
        <v>-0.63838979999999901</v>
      </c>
      <c r="AE4861">
        <v>-32.667499999999997</v>
      </c>
      <c r="AF4861">
        <v>38.571299720561598</v>
      </c>
      <c r="AG4861">
        <v>-0.63838979999999901</v>
      </c>
      <c r="AH4861">
        <v>52.081883372176399</v>
      </c>
      <c r="AI4861">
        <v>90.564359758485907</v>
      </c>
      <c r="AJ4861">
        <v>53.4767376912191</v>
      </c>
      <c r="AK4861">
        <v>64.812616667305804</v>
      </c>
      <c r="AL4861">
        <v>79.690356850532893</v>
      </c>
      <c r="AM4861">
        <v>73.5200658784848</v>
      </c>
      <c r="AN4861">
        <v>0.99999997168418897</v>
      </c>
    </row>
    <row r="4862" spans="1:40" x14ac:dyDescent="0.25">
      <c r="A4862" t="str">
        <f>"20190303170349694"</f>
        <v>20190303170349694</v>
      </c>
      <c r="B4862" t="str">
        <f>"1551603829680244"</f>
        <v>1551603829680244</v>
      </c>
      <c r="C4862" t="s">
        <v>40</v>
      </c>
      <c r="D4862">
        <v>4.3021379999999896</v>
      </c>
      <c r="E4862">
        <v>0.64735089999999995</v>
      </c>
      <c r="F4862" t="s">
        <v>92</v>
      </c>
      <c r="G4862">
        <v>-250.57499999999999</v>
      </c>
      <c r="H4862">
        <v>0.4370137</v>
      </c>
      <c r="I4862">
        <v>119.3436</v>
      </c>
      <c r="J4862">
        <v>-194.28659999999999</v>
      </c>
      <c r="K4862">
        <v>1.114851</v>
      </c>
      <c r="L4862">
        <v>151.6276</v>
      </c>
      <c r="M4862">
        <v>-0.39944370000000001</v>
      </c>
      <c r="N4862">
        <v>-5.4826689999999999E-3</v>
      </c>
      <c r="O4862">
        <v>-0.91674129999999998</v>
      </c>
      <c r="P4862">
        <v>-0.63130469999999905</v>
      </c>
      <c r="Q4862">
        <v>0.1779954</v>
      </c>
      <c r="R4862">
        <v>-0.75483259999999996</v>
      </c>
      <c r="S4862">
        <v>-2.8278810000000001</v>
      </c>
      <c r="T4862">
        <v>-3.4019349999999997E-2</v>
      </c>
      <c r="U4862">
        <v>-1.626862</v>
      </c>
      <c r="V4862">
        <v>0.27985900000000002</v>
      </c>
      <c r="W4862">
        <v>0.179133399999999</v>
      </c>
      <c r="X4862">
        <v>0.94318089999999999</v>
      </c>
      <c r="Y4862">
        <v>0.59541029999999995</v>
      </c>
      <c r="Z4862">
        <v>6.6311479999999999E-3</v>
      </c>
      <c r="AA4862">
        <v>0.80339439999999995</v>
      </c>
      <c r="AB4862">
        <v>24</v>
      </c>
      <c r="AC4862">
        <v>-56.288400000000003</v>
      </c>
      <c r="AD4862">
        <v>-0.67783729999999998</v>
      </c>
      <c r="AE4862">
        <v>-32.283999999999999</v>
      </c>
      <c r="AF4862">
        <v>38.702620283753198</v>
      </c>
      <c r="AG4862">
        <v>-0.67783729999999998</v>
      </c>
      <c r="AH4862">
        <v>52.075224793644097</v>
      </c>
      <c r="AI4862">
        <v>90.598557112175897</v>
      </c>
      <c r="AJ4862">
        <v>53.380046547495297</v>
      </c>
      <c r="AK4862">
        <v>64.885910007814701</v>
      </c>
      <c r="AL4862">
        <v>79.680713350473596</v>
      </c>
      <c r="AM4862">
        <v>73.473415395995701</v>
      </c>
      <c r="AN4862">
        <v>1.00000002250068</v>
      </c>
    </row>
    <row r="4863" spans="1:40" x14ac:dyDescent="0.25">
      <c r="A4863" t="str">
        <f>"20190303170349707"</f>
        <v>20190303170349707</v>
      </c>
      <c r="B4863" t="str">
        <f>"1551603829700741"</f>
        <v>1551603829700741</v>
      </c>
      <c r="C4863" t="s">
        <v>40</v>
      </c>
      <c r="D4863">
        <v>4.2882350000000002</v>
      </c>
      <c r="E4863">
        <v>0.64719869999999902</v>
      </c>
      <c r="F4863" t="s">
        <v>45</v>
      </c>
      <c r="G4863">
        <v>-239.7216</v>
      </c>
      <c r="H4863">
        <v>0.55934319999999904</v>
      </c>
      <c r="I4863">
        <v>125.899</v>
      </c>
      <c r="J4863">
        <v>-194.33930000000001</v>
      </c>
      <c r="K4863">
        <v>1.1147689999999999</v>
      </c>
      <c r="L4863">
        <v>151.51920000000001</v>
      </c>
      <c r="M4863">
        <v>-0.403777</v>
      </c>
      <c r="N4863">
        <v>-5.4742369999999999E-3</v>
      </c>
      <c r="O4863">
        <v>-0.91484120000000002</v>
      </c>
      <c r="P4863">
        <v>-0.63527419999999901</v>
      </c>
      <c r="Q4863">
        <v>0.17786179999999999</v>
      </c>
      <c r="R4863">
        <v>-0.75152649999999999</v>
      </c>
      <c r="S4863">
        <v>-2.8393860000000002</v>
      </c>
      <c r="T4863">
        <v>-3.4713630000000002E-2</v>
      </c>
      <c r="U4863">
        <v>-1.607864</v>
      </c>
      <c r="V4863">
        <v>0.28038740000000001</v>
      </c>
      <c r="W4863">
        <v>0.17892930000000001</v>
      </c>
      <c r="X4863">
        <v>0.94306270000000003</v>
      </c>
      <c r="Y4863">
        <v>0.59707279999999996</v>
      </c>
      <c r="Z4863">
        <v>6.8796489999999998E-3</v>
      </c>
      <c r="AA4863">
        <v>0.80215760000000003</v>
      </c>
      <c r="AB4863">
        <v>24</v>
      </c>
      <c r="AC4863">
        <v>-45.382300000000001</v>
      </c>
      <c r="AD4863">
        <v>-0.55542579999999997</v>
      </c>
      <c r="AE4863">
        <v>-25.620200000000001</v>
      </c>
      <c r="AF4863">
        <v>31.169672938125899</v>
      </c>
      <c r="AG4863">
        <v>-0.55542579999999997</v>
      </c>
      <c r="AH4863">
        <v>41.758620663645601</v>
      </c>
      <c r="AI4863">
        <v>90.610690063183696</v>
      </c>
      <c r="AJ4863">
        <v>53.261425047699802</v>
      </c>
      <c r="AK4863">
        <v>52.111797211565197</v>
      </c>
      <c r="AL4863">
        <v>79.692599456228507</v>
      </c>
      <c r="AM4863">
        <v>73.441956887609194</v>
      </c>
      <c r="AN4863">
        <v>1.00000002230426</v>
      </c>
    </row>
    <row r="4864" spans="1:40" x14ac:dyDescent="0.25">
      <c r="A4864" t="str">
        <f>"20190303170349721"</f>
        <v>20190303170349721</v>
      </c>
      <c r="B4864" t="str">
        <f>"1551603829710500"</f>
        <v>1551603829710500</v>
      </c>
      <c r="C4864" t="s">
        <v>40</v>
      </c>
      <c r="D4864">
        <v>4.3224879999999999</v>
      </c>
      <c r="E4864">
        <v>0.64710239999999997</v>
      </c>
      <c r="F4864" t="s">
        <v>45</v>
      </c>
      <c r="G4864">
        <v>-239.7148</v>
      </c>
      <c r="H4864">
        <v>0.5290916</v>
      </c>
      <c r="I4864">
        <v>126.1183</v>
      </c>
      <c r="J4864">
        <v>-194.40969999999999</v>
      </c>
      <c r="K4864">
        <v>1.1146609999999999</v>
      </c>
      <c r="L4864">
        <v>151.3758</v>
      </c>
      <c r="M4864">
        <v>-0.40954000000000002</v>
      </c>
      <c r="N4864">
        <v>-5.4634059999999996E-3</v>
      </c>
      <c r="O4864">
        <v>-0.91227599999999998</v>
      </c>
      <c r="P4864">
        <v>-0.63994669999999998</v>
      </c>
      <c r="Q4864">
        <v>0.17841000000000001</v>
      </c>
      <c r="R4864">
        <v>-0.74742109999999995</v>
      </c>
      <c r="S4864">
        <v>-2.8471980000000001</v>
      </c>
      <c r="T4864">
        <v>-3.6747809999999999E-2</v>
      </c>
      <c r="U4864">
        <v>-1.593842</v>
      </c>
      <c r="V4864">
        <v>0.28042460000000002</v>
      </c>
      <c r="W4864">
        <v>0.1793951</v>
      </c>
      <c r="X4864">
        <v>0.94296310000000005</v>
      </c>
      <c r="Y4864">
        <v>0.59595310000000001</v>
      </c>
      <c r="Z4864">
        <v>7.5537750000000004E-3</v>
      </c>
      <c r="AA4864">
        <v>0.80298369999999997</v>
      </c>
      <c r="AB4864">
        <v>24</v>
      </c>
      <c r="AC4864">
        <v>-45.305100000000003</v>
      </c>
      <c r="AD4864">
        <v>-0.58556940000000002</v>
      </c>
      <c r="AE4864">
        <v>-25.2575</v>
      </c>
      <c r="AF4864">
        <v>30.983307054638399</v>
      </c>
      <c r="AG4864">
        <v>-0.58556940000000002</v>
      </c>
      <c r="AH4864">
        <v>41.5913743972391</v>
      </c>
      <c r="AI4864">
        <v>90.646877332900004</v>
      </c>
      <c r="AJ4864">
        <v>53.315897569619899</v>
      </c>
      <c r="AK4864">
        <v>51.8666620462079</v>
      </c>
      <c r="AL4864">
        <v>79.665471740578894</v>
      </c>
      <c r="AM4864">
        <v>73.438227040575796</v>
      </c>
      <c r="AN4864">
        <v>0.99999998307538895</v>
      </c>
    </row>
    <row r="4865" spans="1:40" x14ac:dyDescent="0.25">
      <c r="A4865" t="str">
        <f>"20190303170349740"</f>
        <v>20190303170349740</v>
      </c>
      <c r="B4865" t="str">
        <f>"1551603829730020"</f>
        <v>1551603829730020</v>
      </c>
      <c r="C4865" t="s">
        <v>40</v>
      </c>
      <c r="D4865">
        <v>4.3218940000000003</v>
      </c>
      <c r="E4865">
        <v>0.64657180000000003</v>
      </c>
      <c r="F4865" t="s">
        <v>45</v>
      </c>
      <c r="G4865">
        <v>-240.0393</v>
      </c>
      <c r="H4865">
        <v>0.54640569999999999</v>
      </c>
      <c r="I4865">
        <v>126.1974</v>
      </c>
      <c r="J4865">
        <v>-194.50489999999999</v>
      </c>
      <c r="K4865">
        <v>1.114522</v>
      </c>
      <c r="L4865">
        <v>151.18539999999999</v>
      </c>
      <c r="M4865">
        <v>-0.41728880000000002</v>
      </c>
      <c r="N4865">
        <v>-5.452045E-3</v>
      </c>
      <c r="O4865">
        <v>-0.90875779999999995</v>
      </c>
      <c r="P4865">
        <v>-0.64586840000000001</v>
      </c>
      <c r="Q4865">
        <v>0.17931029999999901</v>
      </c>
      <c r="R4865">
        <v>-0.74209340000000001</v>
      </c>
      <c r="S4865">
        <v>-2.856735</v>
      </c>
      <c r="T4865">
        <v>-3.5574910000000001E-2</v>
      </c>
      <c r="U4865">
        <v>-1.5763400000000001</v>
      </c>
      <c r="V4865">
        <v>0.28006009999999998</v>
      </c>
      <c r="W4865">
        <v>0.18019679999999999</v>
      </c>
      <c r="X4865">
        <v>0.94291860000000005</v>
      </c>
      <c r="Y4865">
        <v>0.59402540000000004</v>
      </c>
      <c r="Z4865">
        <v>7.2002759999999898E-3</v>
      </c>
      <c r="AA4865">
        <v>0.80441399999999996</v>
      </c>
      <c r="AB4865">
        <v>24</v>
      </c>
      <c r="AC4865">
        <v>-45.534399999999998</v>
      </c>
      <c r="AD4865">
        <v>-0.56811630000000002</v>
      </c>
      <c r="AE4865">
        <v>-24.9879999999999</v>
      </c>
      <c r="AF4865">
        <v>30.949279684646001</v>
      </c>
      <c r="AG4865">
        <v>-0.56811630000000002</v>
      </c>
      <c r="AH4865">
        <v>41.704657029206402</v>
      </c>
      <c r="AI4865">
        <v>90.626745335198706</v>
      </c>
      <c r="AJ4865">
        <v>53.420665228359297</v>
      </c>
      <c r="AK4865">
        <v>51.937068525789002</v>
      </c>
      <c r="AL4865">
        <v>79.618777115825793</v>
      </c>
      <c r="AM4865">
        <v>73.457839185193095</v>
      </c>
      <c r="AN4865">
        <v>1.0000000162841001</v>
      </c>
    </row>
    <row r="4866" spans="1:40" x14ac:dyDescent="0.25">
      <c r="A4866" t="str">
        <f>"20190303170349753"</f>
        <v>20190303170349753</v>
      </c>
      <c r="B4866" t="str">
        <f>"1551603829740757"</f>
        <v>1551603829740757</v>
      </c>
      <c r="C4866" t="s">
        <v>40</v>
      </c>
      <c r="D4866">
        <v>4.3337399999999997</v>
      </c>
      <c r="E4866">
        <v>0.64632460000000003</v>
      </c>
      <c r="F4866" t="s">
        <v>92</v>
      </c>
      <c r="G4866">
        <v>-253.67269999999999</v>
      </c>
      <c r="H4866">
        <v>0.43129689999999998</v>
      </c>
      <c r="I4866">
        <v>119.0955</v>
      </c>
      <c r="J4866">
        <v>-194.57339999999999</v>
      </c>
      <c r="K4866">
        <v>1.1144210000000001</v>
      </c>
      <c r="L4866">
        <v>151.05090000000001</v>
      </c>
      <c r="M4866">
        <v>-0.422819</v>
      </c>
      <c r="N4866">
        <v>-5.4460209999999997E-3</v>
      </c>
      <c r="O4866">
        <v>-0.90619780000000005</v>
      </c>
      <c r="P4866">
        <v>-0.6502386</v>
      </c>
      <c r="Q4866">
        <v>0.1797134</v>
      </c>
      <c r="R4866">
        <v>-0.73816890000000002</v>
      </c>
      <c r="S4866">
        <v>-2.8673099999999998</v>
      </c>
      <c r="T4866">
        <v>-3.3108119999999998E-2</v>
      </c>
      <c r="U4866">
        <v>-1.555099</v>
      </c>
      <c r="V4866">
        <v>0.27997080000000002</v>
      </c>
      <c r="W4866">
        <v>0.18053069999999999</v>
      </c>
      <c r="X4866">
        <v>0.94288119999999997</v>
      </c>
      <c r="Y4866">
        <v>0.59497469999999997</v>
      </c>
      <c r="Z4866">
        <v>6.43773E-3</v>
      </c>
      <c r="AA4866">
        <v>0.80371870000000001</v>
      </c>
      <c r="AB4866">
        <v>24</v>
      </c>
      <c r="AC4866">
        <v>-59.099299999999999</v>
      </c>
      <c r="AD4866">
        <v>-0.68312409999999901</v>
      </c>
      <c r="AE4866">
        <v>-31.955400000000001</v>
      </c>
      <c r="AF4866">
        <v>40.040759309781201</v>
      </c>
      <c r="AG4866">
        <v>-0.68312409999999901</v>
      </c>
      <c r="AH4866">
        <v>53.941442983925498</v>
      </c>
      <c r="AI4866">
        <v>90.582609296684197</v>
      </c>
      <c r="AJ4866">
        <v>53.413483163824303</v>
      </c>
      <c r="AK4866">
        <v>67.181904824349203</v>
      </c>
      <c r="AL4866">
        <v>79.599326586415103</v>
      </c>
      <c r="AM4866">
        <v>73.462205553256197</v>
      </c>
      <c r="AN4866">
        <v>0.99999996990428397</v>
      </c>
    </row>
    <row r="4867" spans="1:40" x14ac:dyDescent="0.25">
      <c r="A4867" t="str">
        <f>"20190303170349768"</f>
        <v>20190303170349768</v>
      </c>
      <c r="B4867" t="str">
        <f>"1551603829760276"</f>
        <v>1551603829760276</v>
      </c>
      <c r="C4867" t="s">
        <v>40</v>
      </c>
      <c r="D4867">
        <v>4.3553709999999999</v>
      </c>
      <c r="E4867">
        <v>0.64598959999999905</v>
      </c>
      <c r="F4867" t="s">
        <v>92</v>
      </c>
      <c r="G4867">
        <v>-254.28290000000001</v>
      </c>
      <c r="H4867">
        <v>0.4505556</v>
      </c>
      <c r="I4867">
        <v>119.0955</v>
      </c>
      <c r="J4867">
        <v>-194.64689999999999</v>
      </c>
      <c r="K4867">
        <v>1.1143149999999999</v>
      </c>
      <c r="L4867">
        <v>150.90950000000001</v>
      </c>
      <c r="M4867">
        <v>-0.42870540000000001</v>
      </c>
      <c r="N4867">
        <v>-5.4425119999999896E-3</v>
      </c>
      <c r="O4867">
        <v>-0.90342809999999996</v>
      </c>
      <c r="P4867">
        <v>-0.65503500000000003</v>
      </c>
      <c r="Q4867">
        <v>0.1801208</v>
      </c>
      <c r="R4867">
        <v>-0.73381609999999997</v>
      </c>
      <c r="S4867">
        <v>-2.8755190000000002</v>
      </c>
      <c r="T4867">
        <v>-3.1969310000000001E-2</v>
      </c>
      <c r="U4867">
        <v>-1.5389250000000001</v>
      </c>
      <c r="V4867">
        <v>0.28007330000000003</v>
      </c>
      <c r="W4867">
        <v>0.18086650000000001</v>
      </c>
      <c r="X4867">
        <v>0.94278649999999997</v>
      </c>
      <c r="Y4867">
        <v>0.59421619999999997</v>
      </c>
      <c r="Z4867">
        <v>6.0908809999999898E-3</v>
      </c>
      <c r="AA4867">
        <v>0.80428230000000001</v>
      </c>
      <c r="AB4867">
        <v>24</v>
      </c>
      <c r="AC4867">
        <v>-59.636000000000003</v>
      </c>
      <c r="AD4867">
        <v>-0.6637594</v>
      </c>
      <c r="AE4867">
        <v>-31.814</v>
      </c>
      <c r="AF4867">
        <v>40.234714963514797</v>
      </c>
      <c r="AG4867">
        <v>-0.6637594</v>
      </c>
      <c r="AH4867">
        <v>54.303496923942703</v>
      </c>
      <c r="AI4867">
        <v>90.562691649100501</v>
      </c>
      <c r="AJ4867">
        <v>53.464398852553302</v>
      </c>
      <c r="AK4867">
        <v>67.588036240928304</v>
      </c>
      <c r="AL4867">
        <v>79.579765639942494</v>
      </c>
      <c r="AM4867">
        <v>73.454910902889907</v>
      </c>
      <c r="AN4867">
        <v>1.0000000643886899</v>
      </c>
    </row>
    <row r="4868" spans="1:40" x14ac:dyDescent="0.25">
      <c r="A4868" t="str">
        <f>"20190303170349783"</f>
        <v>20190303170349783</v>
      </c>
      <c r="B4868" t="str">
        <f>"1551603829770037"</f>
        <v>1551603829770037</v>
      </c>
      <c r="C4868" t="s">
        <v>40</v>
      </c>
      <c r="D4868">
        <v>4.3645849999999999</v>
      </c>
      <c r="E4868">
        <v>0.64578880000000005</v>
      </c>
      <c r="F4868" t="s">
        <v>92</v>
      </c>
      <c r="G4868">
        <v>-254.91839999999999</v>
      </c>
      <c r="H4868">
        <v>0.41792220000000002</v>
      </c>
      <c r="I4868">
        <v>119.0955</v>
      </c>
      <c r="J4868">
        <v>-194.72210000000001</v>
      </c>
      <c r="K4868">
        <v>1.1142069999999999</v>
      </c>
      <c r="L4868">
        <v>150.76689999999999</v>
      </c>
      <c r="M4868">
        <v>-0.43468420000000002</v>
      </c>
      <c r="N4868">
        <v>-5.4406879999999999E-3</v>
      </c>
      <c r="O4868">
        <v>-0.90056650000000005</v>
      </c>
      <c r="P4868">
        <v>-0.66033999999999904</v>
      </c>
      <c r="Q4868">
        <v>0.17949279999999901</v>
      </c>
      <c r="R4868">
        <v>-0.72920050000000003</v>
      </c>
      <c r="S4868">
        <v>-2.8838349999999999</v>
      </c>
      <c r="T4868">
        <v>-3.3319229999999998E-2</v>
      </c>
      <c r="U4868">
        <v>-1.5222169999999999</v>
      </c>
      <c r="V4868">
        <v>0.28062910000000002</v>
      </c>
      <c r="W4868">
        <v>0.18016019999999999</v>
      </c>
      <c r="X4868">
        <v>0.94275640000000005</v>
      </c>
      <c r="Y4868">
        <v>0.59348299999999998</v>
      </c>
      <c r="Z4868">
        <v>6.5399689999999996E-3</v>
      </c>
      <c r="AA4868">
        <v>0.80481990000000003</v>
      </c>
      <c r="AB4868">
        <v>24</v>
      </c>
      <c r="AC4868">
        <v>-60.196299999999901</v>
      </c>
      <c r="AD4868">
        <v>-0.69628479999999904</v>
      </c>
      <c r="AE4868">
        <v>-31.671399999999899</v>
      </c>
      <c r="AF4868">
        <v>40.440075553182403</v>
      </c>
      <c r="AG4868">
        <v>-0.69628479999999904</v>
      </c>
      <c r="AH4868">
        <v>54.683662352127797</v>
      </c>
      <c r="AI4868">
        <v>90.586550648961406</v>
      </c>
      <c r="AJ4868">
        <v>53.516053557472901</v>
      </c>
      <c r="AK4868">
        <v>68.016082300521603</v>
      </c>
      <c r="AL4868">
        <v>79.620908962125299</v>
      </c>
      <c r="AM4868">
        <v>73.423377329898898</v>
      </c>
      <c r="AN4868">
        <v>1.0000000095859001</v>
      </c>
    </row>
    <row r="4869" spans="1:40" x14ac:dyDescent="0.25">
      <c r="A4869" t="str">
        <f>"20190303170349796"</f>
        <v>20190303170349796</v>
      </c>
      <c r="B4869" t="str">
        <f>"1551603829780772"</f>
        <v>1551603829780772</v>
      </c>
      <c r="C4869" t="s">
        <v>40</v>
      </c>
      <c r="D4869">
        <v>4.3594269999999904</v>
      </c>
      <c r="E4869">
        <v>0.64555589999999996</v>
      </c>
      <c r="F4869" t="s">
        <v>92</v>
      </c>
      <c r="G4869">
        <v>-255.6611</v>
      </c>
      <c r="H4869">
        <v>0.31387189999999998</v>
      </c>
      <c r="I4869">
        <v>119.0955</v>
      </c>
      <c r="J4869">
        <v>-194.79490000000001</v>
      </c>
      <c r="K4869">
        <v>1.1141019999999999</v>
      </c>
      <c r="L4869">
        <v>150.63079999999999</v>
      </c>
      <c r="M4869">
        <v>-0.4404343</v>
      </c>
      <c r="N4869">
        <v>-5.4404689999999999E-3</v>
      </c>
      <c r="O4869">
        <v>-0.89776840000000002</v>
      </c>
      <c r="P4869">
        <v>-0.66519519999999999</v>
      </c>
      <c r="Q4869">
        <v>0.1794057</v>
      </c>
      <c r="R4869">
        <v>-0.72479589999999905</v>
      </c>
      <c r="S4869">
        <v>-2.8930820000000002</v>
      </c>
      <c r="T4869">
        <v>-3.799462E-2</v>
      </c>
      <c r="U4869">
        <v>-1.503601</v>
      </c>
      <c r="V4869">
        <v>0.28092830000000002</v>
      </c>
      <c r="W4869">
        <v>0.1800021</v>
      </c>
      <c r="X4869">
        <v>0.94269749999999997</v>
      </c>
      <c r="Y4869">
        <v>0.59345360000000003</v>
      </c>
      <c r="Z4869">
        <v>8.0525779999999995E-3</v>
      </c>
      <c r="AA4869">
        <v>0.80482790000000004</v>
      </c>
      <c r="AB4869">
        <v>24</v>
      </c>
      <c r="AC4869">
        <v>-60.8661999999999</v>
      </c>
      <c r="AD4869">
        <v>-0.80023010000000006</v>
      </c>
      <c r="AE4869">
        <v>-31.5352999999999</v>
      </c>
      <c r="AF4869">
        <v>40.749571855429899</v>
      </c>
      <c r="AG4869">
        <v>-0.80023010000000006</v>
      </c>
      <c r="AH4869">
        <v>55.1122614982337</v>
      </c>
      <c r="AI4869">
        <v>90.668908029637095</v>
      </c>
      <c r="AJ4869">
        <v>53.521070572006003</v>
      </c>
      <c r="AK4869">
        <v>68.545819289461306</v>
      </c>
      <c r="AL4869">
        <v>79.630118096973007</v>
      </c>
      <c r="AM4869">
        <v>73.4056952943086</v>
      </c>
      <c r="AN4869">
        <v>1.00000002112577</v>
      </c>
    </row>
    <row r="4870" spans="1:40" x14ac:dyDescent="0.25">
      <c r="A4870" t="str">
        <f>"20190303170349809"</f>
        <v>20190303170349809</v>
      </c>
      <c r="B4870" t="str">
        <f>"1551603829790533"</f>
        <v>1551603829790533</v>
      </c>
      <c r="C4870" t="s">
        <v>40</v>
      </c>
      <c r="D4870">
        <v>4.3545049999999996</v>
      </c>
      <c r="E4870">
        <v>0.64533099999999999</v>
      </c>
      <c r="F4870" t="s">
        <v>92</v>
      </c>
      <c r="G4870">
        <v>-256.03969999999998</v>
      </c>
      <c r="H4870">
        <v>0.2993133</v>
      </c>
      <c r="I4870">
        <v>119.2859</v>
      </c>
      <c r="J4870">
        <v>-194.86170000000001</v>
      </c>
      <c r="K4870">
        <v>1.1140099999999999</v>
      </c>
      <c r="L4870">
        <v>150.50819999999999</v>
      </c>
      <c r="M4870">
        <v>-0.44567459999999998</v>
      </c>
      <c r="N4870">
        <v>-5.4432319999999897E-3</v>
      </c>
      <c r="O4870">
        <v>-0.89517860000000005</v>
      </c>
      <c r="P4870">
        <v>-0.66958289999999998</v>
      </c>
      <c r="Q4870">
        <v>0.17885509999999999</v>
      </c>
      <c r="R4870">
        <v>-0.72088149999999995</v>
      </c>
      <c r="S4870">
        <v>-2.9020540000000001</v>
      </c>
      <c r="T4870">
        <v>-3.8607000000000002E-2</v>
      </c>
      <c r="U4870">
        <v>-1.48526</v>
      </c>
      <c r="V4870">
        <v>0.28110970000000002</v>
      </c>
      <c r="W4870">
        <v>0.17939140000000001</v>
      </c>
      <c r="X4870">
        <v>0.94275980000000004</v>
      </c>
      <c r="Y4870">
        <v>0.59378619999999904</v>
      </c>
      <c r="Z4870">
        <v>8.2629090000000006E-3</v>
      </c>
      <c r="AA4870">
        <v>0.80458039999999997</v>
      </c>
      <c r="AB4870">
        <v>24</v>
      </c>
      <c r="AC4870">
        <v>-61.177999999999898</v>
      </c>
      <c r="AD4870">
        <v>-0.81469669999999905</v>
      </c>
      <c r="AE4870">
        <v>-31.222299999999901</v>
      </c>
      <c r="AF4870">
        <v>40.845104727461397</v>
      </c>
      <c r="AG4870">
        <v>-0.81469669999999905</v>
      </c>
      <c r="AH4870">
        <v>55.208060460054902</v>
      </c>
      <c r="AI4870">
        <v>90.679672490791503</v>
      </c>
      <c r="AJ4870">
        <v>53.504500831034498</v>
      </c>
      <c r="AK4870">
        <v>68.679809628968599</v>
      </c>
      <c r="AL4870">
        <v>79.665687294360694</v>
      </c>
      <c r="AM4870">
        <v>73.396606712461207</v>
      </c>
      <c r="AN4870">
        <v>0.99999998916204402</v>
      </c>
    </row>
    <row r="4871" spans="1:40" x14ac:dyDescent="0.25">
      <c r="A4871" t="str">
        <f>"20190303170349827"</f>
        <v>20190303170349827</v>
      </c>
      <c r="B4871" t="str">
        <f>"1551603829810052"</f>
        <v>1551603829810052</v>
      </c>
      <c r="C4871" t="s">
        <v>40</v>
      </c>
      <c r="D4871">
        <v>4.1896810000000002</v>
      </c>
      <c r="E4871">
        <v>0.64499839999999997</v>
      </c>
      <c r="F4871" t="s">
        <v>92</v>
      </c>
      <c r="G4871">
        <v>-256.71210000000002</v>
      </c>
      <c r="H4871">
        <v>0.24934799999999999</v>
      </c>
      <c r="I4871">
        <v>119.2859</v>
      </c>
      <c r="J4871">
        <v>-194.95939999999999</v>
      </c>
      <c r="K4871">
        <v>1.1138809999999999</v>
      </c>
      <c r="L4871">
        <v>150.33189999999999</v>
      </c>
      <c r="M4871">
        <v>-0.45327030000000001</v>
      </c>
      <c r="N4871">
        <v>-5.4491660000000001E-3</v>
      </c>
      <c r="O4871">
        <v>-0.89135679999999995</v>
      </c>
      <c r="P4871">
        <v>-0.67559179999999996</v>
      </c>
      <c r="Q4871">
        <v>0.17831129999999901</v>
      </c>
      <c r="R4871">
        <v>-0.71538900000000005</v>
      </c>
      <c r="S4871">
        <v>-2.9098510000000002</v>
      </c>
      <c r="T4871">
        <v>-4.0678020000000002E-2</v>
      </c>
      <c r="U4871">
        <v>-1.4689030000000001</v>
      </c>
      <c r="V4871">
        <v>0.28096690000000002</v>
      </c>
      <c r="W4871">
        <v>0.17877079999999901</v>
      </c>
      <c r="X4871">
        <v>0.94292030000000004</v>
      </c>
      <c r="Y4871">
        <v>0.59140700000000002</v>
      </c>
      <c r="Z4871">
        <v>8.9267159999999995E-3</v>
      </c>
      <c r="AA4871">
        <v>0.80632380000000003</v>
      </c>
      <c r="AB4871">
        <v>24</v>
      </c>
      <c r="AC4871">
        <v>-61.752699999999997</v>
      </c>
      <c r="AD4871">
        <v>-0.864532999999999</v>
      </c>
      <c r="AE4871">
        <v>-31.0459999999999</v>
      </c>
      <c r="AF4871">
        <v>40.9656460600754</v>
      </c>
      <c r="AG4871">
        <v>-0.864532999999999</v>
      </c>
      <c r="AH4871">
        <v>55.655830173391102</v>
      </c>
      <c r="AI4871">
        <v>90.7167381261184</v>
      </c>
      <c r="AJ4871">
        <v>53.644958524756198</v>
      </c>
      <c r="AK4871">
        <v>69.112249324680604</v>
      </c>
      <c r="AL4871">
        <v>79.701829897916497</v>
      </c>
      <c r="AM4871">
        <v>73.4072465166104</v>
      </c>
      <c r="AN4871">
        <v>1.00000004499016</v>
      </c>
    </row>
    <row r="4872" spans="1:40" x14ac:dyDescent="0.25">
      <c r="A4872" t="str">
        <f>"20190303170349840"</f>
        <v>20190303170349840</v>
      </c>
      <c r="B4872" t="str">
        <f>"1551603829830549"</f>
        <v>1551603829830549</v>
      </c>
      <c r="C4872" t="s">
        <v>40</v>
      </c>
      <c r="D4872">
        <v>4.2107169999999998</v>
      </c>
      <c r="E4872">
        <v>0.64478389999999997</v>
      </c>
      <c r="F4872" t="s">
        <v>93</v>
      </c>
      <c r="G4872">
        <v>-259.25740000000002</v>
      </c>
      <c r="H4872">
        <v>0.2144008</v>
      </c>
      <c r="I4872">
        <v>118.4944</v>
      </c>
      <c r="J4872">
        <v>-195.0291</v>
      </c>
      <c r="K4872">
        <v>1.11378</v>
      </c>
      <c r="L4872">
        <v>150.2081</v>
      </c>
      <c r="M4872">
        <v>-0.45864450000000001</v>
      </c>
      <c r="N4872">
        <v>-5.4548219999999998E-3</v>
      </c>
      <c r="O4872">
        <v>-0.88860319999999904</v>
      </c>
      <c r="P4872">
        <v>-0.67975869999999905</v>
      </c>
      <c r="Q4872">
        <v>0.17854619999999999</v>
      </c>
      <c r="R4872">
        <v>-0.71137159999999999</v>
      </c>
      <c r="S4872">
        <v>-2.9201969999999999</v>
      </c>
      <c r="T4872">
        <v>-4.0851350000000002E-2</v>
      </c>
      <c r="U4872">
        <v>-1.445953</v>
      </c>
      <c r="V4872">
        <v>0.28085019999999999</v>
      </c>
      <c r="W4872">
        <v>0.17895229999999901</v>
      </c>
      <c r="X4872">
        <v>0.9429206</v>
      </c>
      <c r="Y4872">
        <v>0.59275909999999998</v>
      </c>
      <c r="Z4872">
        <v>9.0016590000000004E-3</v>
      </c>
      <c r="AA4872">
        <v>0.80532939999999997</v>
      </c>
      <c r="AB4872">
        <v>25</v>
      </c>
      <c r="AC4872">
        <v>-64.228300000000004</v>
      </c>
      <c r="AD4872">
        <v>-0.89937919999999905</v>
      </c>
      <c r="AE4872">
        <v>-31.713699999999999</v>
      </c>
      <c r="AF4872">
        <v>42.522084338167303</v>
      </c>
      <c r="AG4872">
        <v>-0.89937919999999905</v>
      </c>
      <c r="AH4872">
        <v>57.630619020588597</v>
      </c>
      <c r="AI4872">
        <v>90.719463369996802</v>
      </c>
      <c r="AJ4872">
        <v>53.578668735166303</v>
      </c>
      <c r="AK4872">
        <v>71.625587523620595</v>
      </c>
      <c r="AL4872">
        <v>79.6912598983957</v>
      </c>
      <c r="AM4872">
        <v>73.413764628434194</v>
      </c>
      <c r="AN4872">
        <v>1.00000000920984</v>
      </c>
    </row>
    <row r="4873" spans="1:40" x14ac:dyDescent="0.25">
      <c r="A4873" t="str">
        <f>"20190303170349852"</f>
        <v>20190303170349852</v>
      </c>
      <c r="B4873" t="str">
        <f>"1551603829840309"</f>
        <v>1551603829840309</v>
      </c>
      <c r="C4873" t="s">
        <v>40</v>
      </c>
      <c r="D4873">
        <v>4.2081429999999997</v>
      </c>
      <c r="E4873">
        <v>0.64469299999999996</v>
      </c>
      <c r="F4873" t="s">
        <v>93</v>
      </c>
      <c r="G4873">
        <v>-259.25740000000002</v>
      </c>
      <c r="H4873">
        <v>0.317523</v>
      </c>
      <c r="I4873">
        <v>118.85429999999999</v>
      </c>
      <c r="J4873">
        <v>-195.1045</v>
      </c>
      <c r="K4873">
        <v>1.113677</v>
      </c>
      <c r="L4873">
        <v>150.0762</v>
      </c>
      <c r="M4873">
        <v>-0.46441579999999899</v>
      </c>
      <c r="N4873">
        <v>-5.4622749999999999E-3</v>
      </c>
      <c r="O4873">
        <v>-0.88560059999999996</v>
      </c>
      <c r="P4873">
        <v>-0.68454380000000004</v>
      </c>
      <c r="Q4873">
        <v>0.1785532</v>
      </c>
      <c r="R4873">
        <v>-0.70676660000000002</v>
      </c>
      <c r="S4873">
        <v>-2.927368</v>
      </c>
      <c r="T4873">
        <v>-3.6290999999999997E-2</v>
      </c>
      <c r="U4873">
        <v>-1.4290309999999999</v>
      </c>
      <c r="V4873">
        <v>0.28112189999999998</v>
      </c>
      <c r="W4873">
        <v>0.1788969</v>
      </c>
      <c r="X4873">
        <v>0.94285010000000002</v>
      </c>
      <c r="Y4873">
        <v>0.5920685</v>
      </c>
      <c r="Z4873">
        <v>7.5563969999999899E-3</v>
      </c>
      <c r="AA4873">
        <v>0.80585220000000002</v>
      </c>
      <c r="AB4873">
        <v>25</v>
      </c>
      <c r="AC4873">
        <v>-64.152900000000002</v>
      </c>
      <c r="AD4873">
        <v>-0.79615400000000003</v>
      </c>
      <c r="AE4873">
        <v>-31.221900000000002</v>
      </c>
      <c r="AF4873">
        <v>42.309259712576399</v>
      </c>
      <c r="AG4873">
        <v>-0.79615400000000003</v>
      </c>
      <c r="AH4873">
        <v>57.437450108425203</v>
      </c>
      <c r="AI4873">
        <v>90.6394104581465</v>
      </c>
      <c r="AJ4873">
        <v>53.624100329232199</v>
      </c>
      <c r="AK4873">
        <v>71.342609943678099</v>
      </c>
      <c r="AL4873">
        <v>79.694485710375403</v>
      </c>
      <c r="AM4873">
        <v>73.397428496500595</v>
      </c>
      <c r="AN4873">
        <v>0.99999996727961404</v>
      </c>
    </row>
    <row r="4874" spans="1:40" x14ac:dyDescent="0.25">
      <c r="A4874" t="str">
        <f>"20190303170349871"</f>
        <v>20190303170349871</v>
      </c>
      <c r="B4874" t="str">
        <f>"1551603829860805"</f>
        <v>1551603829860805</v>
      </c>
      <c r="C4874" t="s">
        <v>40</v>
      </c>
      <c r="D4874">
        <v>4.2010820000000004</v>
      </c>
      <c r="E4874">
        <v>0.64454690000000003</v>
      </c>
      <c r="F4874" t="s">
        <v>93</v>
      </c>
      <c r="G4874">
        <v>-259.8664</v>
      </c>
      <c r="H4874">
        <v>0.33925559999999899</v>
      </c>
      <c r="I4874">
        <v>118.98990000000001</v>
      </c>
      <c r="J4874">
        <v>-195.20660000000001</v>
      </c>
      <c r="K4874">
        <v>1.113542</v>
      </c>
      <c r="L4874">
        <v>149.90110000000001</v>
      </c>
      <c r="M4874">
        <v>-0.4721611</v>
      </c>
      <c r="N4874">
        <v>-5.475143E-3</v>
      </c>
      <c r="O4874">
        <v>-0.88149529999999998</v>
      </c>
      <c r="P4874">
        <v>-0.69129719999999995</v>
      </c>
      <c r="Q4874">
        <v>0.17860770000000001</v>
      </c>
      <c r="R4874">
        <v>-0.70014849999999995</v>
      </c>
      <c r="S4874">
        <v>-2.9363709999999998</v>
      </c>
      <c r="T4874">
        <v>-3.5113099999999897E-2</v>
      </c>
      <c r="U4874">
        <v>-1.4094850000000001</v>
      </c>
      <c r="V4874">
        <v>0.281972</v>
      </c>
      <c r="W4874">
        <v>0.17886079999999999</v>
      </c>
      <c r="X4874">
        <v>0.94260310000000003</v>
      </c>
      <c r="Y4874">
        <v>0.59032859999999998</v>
      </c>
      <c r="Z4874">
        <v>7.1834689999999996E-3</v>
      </c>
      <c r="AA4874">
        <v>0.80713109999999999</v>
      </c>
      <c r="AB4874">
        <v>25</v>
      </c>
      <c r="AC4874">
        <v>-64.659799999999905</v>
      </c>
      <c r="AD4874">
        <v>-0.77428640000000004</v>
      </c>
      <c r="AE4874">
        <v>-30.911200000000001</v>
      </c>
      <c r="AF4874">
        <v>42.397929520716602</v>
      </c>
      <c r="AG4874">
        <v>-0.77428640000000004</v>
      </c>
      <c r="AH4874">
        <v>57.7720413770611</v>
      </c>
      <c r="AI4874">
        <v>90.619054621363702</v>
      </c>
      <c r="AJ4874">
        <v>53.7256809464985</v>
      </c>
      <c r="AK4874">
        <v>71.664445242712503</v>
      </c>
      <c r="AL4874">
        <v>79.696588329609895</v>
      </c>
      <c r="AM4874">
        <v>73.345876973641197</v>
      </c>
      <c r="AN4874">
        <v>0.99999999934512496</v>
      </c>
    </row>
    <row r="4875" spans="1:40" x14ac:dyDescent="0.25">
      <c r="A4875" t="str">
        <f>"20190303170349884"</f>
        <v>20190303170349884</v>
      </c>
      <c r="B4875" t="str">
        <f>"1551603829870565"</f>
        <v>1551603829870565</v>
      </c>
      <c r="C4875" t="s">
        <v>40</v>
      </c>
      <c r="D4875">
        <v>4.2164609999999998</v>
      </c>
      <c r="E4875">
        <v>0.63928160000000001</v>
      </c>
      <c r="F4875" t="s">
        <v>93</v>
      </c>
      <c r="G4875">
        <v>-261.15789999999998</v>
      </c>
      <c r="H4875">
        <v>0.34961510000000001</v>
      </c>
      <c r="I4875">
        <v>118.98990000000001</v>
      </c>
      <c r="J4875">
        <v>-195.28</v>
      </c>
      <c r="K4875">
        <v>1.113451</v>
      </c>
      <c r="L4875">
        <v>149.77760000000001</v>
      </c>
      <c r="M4875">
        <v>-0.47767700000000002</v>
      </c>
      <c r="N4875">
        <v>-5.4861419999999899E-3</v>
      </c>
      <c r="O4875">
        <v>-0.87851849999999998</v>
      </c>
      <c r="P4875">
        <v>-0.69574849999999999</v>
      </c>
      <c r="Q4875">
        <v>0.1785225</v>
      </c>
      <c r="R4875">
        <v>-0.69574709999999995</v>
      </c>
      <c r="S4875">
        <v>-2.9487000000000001</v>
      </c>
      <c r="T4875">
        <v>-3.4155850000000001E-2</v>
      </c>
      <c r="U4875">
        <v>-1.38205</v>
      </c>
      <c r="V4875">
        <v>0.28210370000000001</v>
      </c>
      <c r="W4875">
        <v>0.17872150000000001</v>
      </c>
      <c r="X4875">
        <v>0.94259009999999999</v>
      </c>
      <c r="Y4875">
        <v>0.59272179999999997</v>
      </c>
      <c r="Z4875">
        <v>6.8995990000000002E-3</v>
      </c>
      <c r="AA4875">
        <v>0.80537769999999897</v>
      </c>
      <c r="AB4875">
        <v>25</v>
      </c>
      <c r="AC4875">
        <v>-65.877899999999897</v>
      </c>
      <c r="AD4875">
        <v>-0.76383590000000001</v>
      </c>
      <c r="AE4875">
        <v>-30.787700000000001</v>
      </c>
      <c r="AF4875">
        <v>43.164261046108599</v>
      </c>
      <c r="AG4875">
        <v>-0.76383590000000001</v>
      </c>
      <c r="AH4875">
        <v>58.510341398593802</v>
      </c>
      <c r="AI4875">
        <v>90.601891129862594</v>
      </c>
      <c r="AJ4875">
        <v>53.583054285137401</v>
      </c>
      <c r="AK4875">
        <v>72.713113862072603</v>
      </c>
      <c r="AL4875">
        <v>79.704700184253198</v>
      </c>
      <c r="AM4875">
        <v>73.338312390926703</v>
      </c>
      <c r="AN4875">
        <v>0.99999998436697402</v>
      </c>
    </row>
    <row r="4876" spans="1:40" x14ac:dyDescent="0.25">
      <c r="A4876" t="str">
        <f>"20190303170349899"</f>
        <v>20190303170349899</v>
      </c>
      <c r="B4876" t="str">
        <f>"1551603829890085"</f>
        <v>1551603829890085</v>
      </c>
      <c r="C4876" t="s">
        <v>40</v>
      </c>
      <c r="D4876">
        <v>4.2407539999999999</v>
      </c>
      <c r="E4876">
        <v>0.63866709999999904</v>
      </c>
      <c r="F4876" t="s">
        <v>93</v>
      </c>
      <c r="G4876">
        <v>-260.12759999999997</v>
      </c>
      <c r="H4876">
        <v>0.78787059999999998</v>
      </c>
      <c r="I4876">
        <v>118.99</v>
      </c>
      <c r="J4876">
        <v>-195.37389999999999</v>
      </c>
      <c r="K4876">
        <v>1.1133329999999999</v>
      </c>
      <c r="L4876">
        <v>149.62180000000001</v>
      </c>
      <c r="M4876">
        <v>-0.48468040000000001</v>
      </c>
      <c r="N4876">
        <v>-5.5013579999999996E-3</v>
      </c>
      <c r="O4876">
        <v>-0.87467399999999995</v>
      </c>
      <c r="P4876">
        <v>-0.70142850000000001</v>
      </c>
      <c r="Q4876">
        <v>0.1785004</v>
      </c>
      <c r="R4876">
        <v>-0.69002600000000003</v>
      </c>
      <c r="S4876">
        <v>-2.9263309999999998</v>
      </c>
      <c r="T4876">
        <v>-1.4692429999999999E-2</v>
      </c>
      <c r="U4876">
        <v>-1.3893279999999999</v>
      </c>
      <c r="V4876">
        <v>0.28234759999999998</v>
      </c>
      <c r="W4876">
        <v>0.17862999999999901</v>
      </c>
      <c r="X4876">
        <v>0.94253439999999999</v>
      </c>
      <c r="Y4876">
        <v>0.58226829999999996</v>
      </c>
      <c r="Z4876">
        <v>7.1759660000000002E-4</v>
      </c>
      <c r="AA4876">
        <v>0.81299639999999995</v>
      </c>
      <c r="AB4876">
        <v>25</v>
      </c>
      <c r="AC4876">
        <v>-64.753699999999895</v>
      </c>
      <c r="AD4876">
        <v>-0.32546239999999899</v>
      </c>
      <c r="AE4876">
        <v>-30.631799999999998</v>
      </c>
      <c r="AF4876">
        <v>41.7915152543356</v>
      </c>
      <c r="AG4876">
        <v>-0.32546239999999899</v>
      </c>
      <c r="AH4876">
        <v>58.177368818885697</v>
      </c>
      <c r="AI4876">
        <v>90.260323672161505</v>
      </c>
      <c r="AJ4876">
        <v>54.3085514774247</v>
      </c>
      <c r="AK4876">
        <v>71.632694460810498</v>
      </c>
      <c r="AL4876">
        <v>79.710028338176997</v>
      </c>
      <c r="AM4876">
        <v>73.323775842361201</v>
      </c>
      <c r="AN4876">
        <v>0.99999996965455895</v>
      </c>
    </row>
    <row r="4877" spans="1:40" x14ac:dyDescent="0.25">
      <c r="A4877" t="str">
        <f>"20190303170349919"</f>
        <v>20190303170349919</v>
      </c>
      <c r="B4877" t="str">
        <f>"1551603829910580"</f>
        <v>1551603829910580</v>
      </c>
      <c r="C4877" t="s">
        <v>40</v>
      </c>
      <c r="D4877">
        <v>4.2410019999999999</v>
      </c>
      <c r="E4877">
        <v>0.63816549999999905</v>
      </c>
      <c r="F4877" t="s">
        <v>93</v>
      </c>
      <c r="G4877">
        <v>-261.0677</v>
      </c>
      <c r="H4877">
        <v>0.77735259999999995</v>
      </c>
      <c r="I4877">
        <v>118.99</v>
      </c>
      <c r="J4877">
        <v>-195.48929999999999</v>
      </c>
      <c r="K4877">
        <v>1.113191</v>
      </c>
      <c r="L4877">
        <v>149.43450000000001</v>
      </c>
      <c r="M4877">
        <v>-0.49318840000000003</v>
      </c>
      <c r="N4877">
        <v>-5.5222989999999996E-3</v>
      </c>
      <c r="O4877">
        <v>-0.86990519999999905</v>
      </c>
      <c r="P4877">
        <v>-0.70792330000000003</v>
      </c>
      <c r="Q4877">
        <v>0.17872469999999999</v>
      </c>
      <c r="R4877">
        <v>-0.68330249999999904</v>
      </c>
      <c r="S4877">
        <v>-2.9346619999999999</v>
      </c>
      <c r="T4877">
        <v>-1.5009639999999999E-2</v>
      </c>
      <c r="U4877">
        <v>-1.3683780000000001</v>
      </c>
      <c r="V4877">
        <v>0.2821631</v>
      </c>
      <c r="W4877">
        <v>0.17878339999999901</v>
      </c>
      <c r="X4877">
        <v>0.94256059999999997</v>
      </c>
      <c r="Y4877">
        <v>0.57998539999999998</v>
      </c>
      <c r="Z4877">
        <v>8.2970859999999995E-4</v>
      </c>
      <c r="AA4877">
        <v>0.81462650000000003</v>
      </c>
      <c r="AB4877">
        <v>25</v>
      </c>
      <c r="AC4877">
        <v>-65.578400000000002</v>
      </c>
      <c r="AD4877">
        <v>-0.33583839999999998</v>
      </c>
      <c r="AE4877">
        <v>-30.444500000000001</v>
      </c>
      <c r="AF4877">
        <v>42.031843581267601</v>
      </c>
      <c r="AG4877">
        <v>-0.33583839999999998</v>
      </c>
      <c r="AH4877">
        <v>58.825952473448197</v>
      </c>
      <c r="AI4877">
        <v>90.266143956333096</v>
      </c>
      <c r="AJ4877">
        <v>54.453741515257398</v>
      </c>
      <c r="AK4877">
        <v>72.299940156817897</v>
      </c>
      <c r="AL4877">
        <v>79.701095701481506</v>
      </c>
      <c r="AM4877">
        <v>73.334505965206702</v>
      </c>
      <c r="AN4877">
        <v>1.0000000018947599</v>
      </c>
    </row>
    <row r="4878" spans="1:40" x14ac:dyDescent="0.25">
      <c r="A4878" t="str">
        <f>"20190303170349942"</f>
        <v>20190303170349942</v>
      </c>
      <c r="B4878" t="str">
        <f>"1551603829930101"</f>
        <v>1551603829930101</v>
      </c>
      <c r="C4878" t="s">
        <v>40</v>
      </c>
      <c r="D4878">
        <v>4.224043</v>
      </c>
      <c r="E4878">
        <v>0.63796919999999901</v>
      </c>
      <c r="F4878" t="s">
        <v>93</v>
      </c>
      <c r="G4878">
        <v>-265.47230000000002</v>
      </c>
      <c r="H4878">
        <v>0.76159790000000005</v>
      </c>
      <c r="I4878">
        <v>117.529</v>
      </c>
      <c r="J4878">
        <v>-195.6302</v>
      </c>
      <c r="K4878">
        <v>1.113019</v>
      </c>
      <c r="L4878">
        <v>149.21129999999999</v>
      </c>
      <c r="M4878">
        <v>-0.50343959999999999</v>
      </c>
      <c r="N4878">
        <v>-5.549595E-3</v>
      </c>
      <c r="O4878">
        <v>-0.86401260000000002</v>
      </c>
      <c r="P4878">
        <v>-0.71623429999999999</v>
      </c>
      <c r="Q4878">
        <v>0.17922379999999999</v>
      </c>
      <c r="R4878">
        <v>-0.67445350000000004</v>
      </c>
      <c r="S4878">
        <v>-2.9453740000000002</v>
      </c>
      <c r="T4878">
        <v>-1.479745E-2</v>
      </c>
      <c r="U4878">
        <v>-1.3428040000000001</v>
      </c>
      <c r="V4878">
        <v>0.28270329999999999</v>
      </c>
      <c r="W4878">
        <v>0.1791864</v>
      </c>
      <c r="X4878">
        <v>0.9423222</v>
      </c>
      <c r="Y4878">
        <v>0.57732209999999995</v>
      </c>
      <c r="Z4878">
        <v>7.7411470000000003E-4</v>
      </c>
      <c r="AA4878">
        <v>0.81651619999999903</v>
      </c>
      <c r="AB4878">
        <v>25</v>
      </c>
      <c r="AC4878">
        <v>-69.842100000000002</v>
      </c>
      <c r="AD4878">
        <v>-0.35142109999999899</v>
      </c>
      <c r="AE4878">
        <v>-31.682300000000001</v>
      </c>
      <c r="AF4878">
        <v>44.394081440321003</v>
      </c>
      <c r="AG4878">
        <v>-0.35142109999999899</v>
      </c>
      <c r="AH4878">
        <v>62.534835195832997</v>
      </c>
      <c r="AI4878">
        <v>90.2625461100981</v>
      </c>
      <c r="AJ4878">
        <v>54.628690941222402</v>
      </c>
      <c r="AK4878">
        <v>76.691352685223805</v>
      </c>
      <c r="AL4878">
        <v>79.677626760765506</v>
      </c>
      <c r="AM4878">
        <v>73.300385372001301</v>
      </c>
      <c r="AN4878">
        <v>1.0000000251943399</v>
      </c>
    </row>
    <row r="4879" spans="1:40" x14ac:dyDescent="0.25">
      <c r="A4879" t="str">
        <f>"20190303170349962"</f>
        <v>20190303170349962</v>
      </c>
      <c r="B4879" t="str">
        <f>"1551603829950598"</f>
        <v>1551603829950598</v>
      </c>
      <c r="C4879" t="s">
        <v>40</v>
      </c>
      <c r="D4879">
        <v>4.2654489999999896</v>
      </c>
      <c r="E4879">
        <v>0.63215100000000002</v>
      </c>
      <c r="F4879" t="s">
        <v>93</v>
      </c>
      <c r="G4879">
        <v>-267.3614</v>
      </c>
      <c r="H4879">
        <v>0.77364089999999996</v>
      </c>
      <c r="I4879">
        <v>117.529</v>
      </c>
      <c r="J4879">
        <v>-195.75470000000001</v>
      </c>
      <c r="K4879">
        <v>1.112878</v>
      </c>
      <c r="L4879">
        <v>149.01910000000001</v>
      </c>
      <c r="M4879">
        <v>-0.51235959999999903</v>
      </c>
      <c r="N4879">
        <v>-5.5740850000000003E-3</v>
      </c>
      <c r="O4879">
        <v>-0.85875279999999998</v>
      </c>
      <c r="P4879">
        <v>-0.7238909</v>
      </c>
      <c r="Q4879">
        <v>0.17929210000000001</v>
      </c>
      <c r="R4879">
        <v>-0.66621039999999998</v>
      </c>
      <c r="S4879">
        <v>-2.9606780000000001</v>
      </c>
      <c r="T4879">
        <v>-1.400769E-2</v>
      </c>
      <c r="U4879">
        <v>-1.3076779999999999</v>
      </c>
      <c r="V4879">
        <v>0.28377940000000001</v>
      </c>
      <c r="W4879">
        <v>0.1791625</v>
      </c>
      <c r="X4879">
        <v>0.94200320000000004</v>
      </c>
      <c r="Y4879">
        <v>0.57853129999999997</v>
      </c>
      <c r="Z4879">
        <v>5.4637649999999996E-4</v>
      </c>
      <c r="AA4879">
        <v>0.8156601</v>
      </c>
      <c r="AB4879">
        <v>25</v>
      </c>
      <c r="AC4879">
        <v>-71.606699999999904</v>
      </c>
      <c r="AD4879">
        <v>-0.33923710000000001</v>
      </c>
      <c r="AE4879">
        <v>-31.490100000000002</v>
      </c>
      <c r="AF4879">
        <v>45.358055206425803</v>
      </c>
      <c r="AG4879">
        <v>-0.33923710000000001</v>
      </c>
      <c r="AH4879">
        <v>63.7303895615239</v>
      </c>
      <c r="AI4879">
        <v>90.248476897506904</v>
      </c>
      <c r="AJ4879">
        <v>54.559863410181698</v>
      </c>
      <c r="AK4879">
        <v>78.224234145070298</v>
      </c>
      <c r="AL4879">
        <v>79.679018277198907</v>
      </c>
      <c r="AM4879">
        <v>73.235020029226206</v>
      </c>
      <c r="AN4879">
        <v>0.99999998904042398</v>
      </c>
    </row>
    <row r="4880" spans="1:40" x14ac:dyDescent="0.25">
      <c r="A4880" t="str">
        <f>"20190303170349974"</f>
        <v>20190303170349974</v>
      </c>
      <c r="B4880" t="str">
        <f>"1551603829960357"</f>
        <v>1551603829960357</v>
      </c>
      <c r="C4880" t="s">
        <v>40</v>
      </c>
      <c r="D4880">
        <v>4.2599989999999996</v>
      </c>
      <c r="E4880">
        <v>0.6321833</v>
      </c>
      <c r="F4880" t="s">
        <v>44</v>
      </c>
      <c r="G4880">
        <v>-268.65350000000001</v>
      </c>
      <c r="H4880">
        <v>-0.05</v>
      </c>
      <c r="I4880">
        <v>116.5224</v>
      </c>
      <c r="J4880">
        <v>-195.83670000000001</v>
      </c>
      <c r="K4880">
        <v>1.112787</v>
      </c>
      <c r="L4880">
        <v>148.89429999999999</v>
      </c>
      <c r="M4880">
        <v>-0.51818109999999995</v>
      </c>
      <c r="N4880">
        <v>-5.5900280000000004E-3</v>
      </c>
      <c r="O4880">
        <v>-0.85525289999999998</v>
      </c>
      <c r="P4880">
        <v>-0.72868310000000003</v>
      </c>
      <c r="Q4880">
        <v>0.1790302</v>
      </c>
      <c r="R4880">
        <v>-0.66103690000000004</v>
      </c>
      <c r="S4880">
        <v>-2.94693</v>
      </c>
      <c r="T4880">
        <v>-4.7009229999999999E-2</v>
      </c>
      <c r="U4880">
        <v>-1.3136749999999999</v>
      </c>
      <c r="V4880">
        <v>0.28417969999999998</v>
      </c>
      <c r="W4880">
        <v>0.17884810000000001</v>
      </c>
      <c r="X4880">
        <v>0.94194230000000001</v>
      </c>
      <c r="Y4880">
        <v>0.57009880000000002</v>
      </c>
      <c r="Z4880">
        <v>1.094871E-2</v>
      </c>
      <c r="AA4880">
        <v>0.82150319999999899</v>
      </c>
      <c r="AB4880">
        <v>25</v>
      </c>
      <c r="AC4880">
        <v>-72.816800000000001</v>
      </c>
      <c r="AD4880">
        <v>-1.162787</v>
      </c>
      <c r="AE4880">
        <v>-32.371899999999897</v>
      </c>
      <c r="AF4880">
        <v>45.493287617440998</v>
      </c>
      <c r="AG4880">
        <v>-1.162787</v>
      </c>
      <c r="AH4880">
        <v>65.4055331740892</v>
      </c>
      <c r="AI4880">
        <v>90.836160842601899</v>
      </c>
      <c r="AJ4880">
        <v>55.179179146476699</v>
      </c>
      <c r="AK4880">
        <v>79.679828448845598</v>
      </c>
      <c r="AL4880">
        <v>79.697328133231494</v>
      </c>
      <c r="AM4880">
        <v>73.211676524646194</v>
      </c>
      <c r="AN4880">
        <v>1.0000000206474899</v>
      </c>
    </row>
    <row r="4881" spans="1:40" x14ac:dyDescent="0.25">
      <c r="A4881" t="str">
        <f>"20190303170349987"</f>
        <v>20190303170349987</v>
      </c>
      <c r="B4881" t="str">
        <f>"1551603829970117"</f>
        <v>1551603829970117</v>
      </c>
      <c r="C4881" t="s">
        <v>40</v>
      </c>
      <c r="D4881">
        <v>4.2553749999999999</v>
      </c>
      <c r="E4881">
        <v>0.63187749999999998</v>
      </c>
      <c r="F4881" t="s">
        <v>44</v>
      </c>
      <c r="G4881">
        <v>-274.60250000000002</v>
      </c>
      <c r="H4881">
        <v>-0.05</v>
      </c>
      <c r="I4881">
        <v>114.4829</v>
      </c>
      <c r="J4881">
        <v>-195.917</v>
      </c>
      <c r="K4881">
        <v>1.1127020000000001</v>
      </c>
      <c r="L4881">
        <v>148.7749</v>
      </c>
      <c r="M4881">
        <v>-0.52380930000000003</v>
      </c>
      <c r="N4881">
        <v>-5.6068339999999998E-3</v>
      </c>
      <c r="O4881">
        <v>-0.8518173</v>
      </c>
      <c r="P4881">
        <v>-0.73331930000000001</v>
      </c>
      <c r="Q4881">
        <v>0.17902309999999999</v>
      </c>
      <c r="R4881">
        <v>-0.65589209999999998</v>
      </c>
      <c r="S4881">
        <v>-2.9561459999999999</v>
      </c>
      <c r="T4881">
        <v>-4.3640379999999999E-2</v>
      </c>
      <c r="U4881">
        <v>-1.2914890000000001</v>
      </c>
      <c r="V4881">
        <v>0.28463579999999999</v>
      </c>
      <c r="W4881">
        <v>0.17879139999999999</v>
      </c>
      <c r="X4881">
        <v>0.94181530000000002</v>
      </c>
      <c r="Y4881">
        <v>0.57080949999999997</v>
      </c>
      <c r="Z4881">
        <v>9.888417E-3</v>
      </c>
      <c r="AA4881">
        <v>0.82102299999999995</v>
      </c>
      <c r="AB4881">
        <v>25</v>
      </c>
      <c r="AC4881">
        <v>-78.685500000000005</v>
      </c>
      <c r="AD4881">
        <v>-1.1627019999999999</v>
      </c>
      <c r="AE4881">
        <v>-34.292000000000002</v>
      </c>
      <c r="AF4881">
        <v>49.054963339821597</v>
      </c>
      <c r="AG4881">
        <v>-1.1627019999999999</v>
      </c>
      <c r="AH4881">
        <v>70.414890031191902</v>
      </c>
      <c r="AI4881">
        <v>90.776226629209106</v>
      </c>
      <c r="AJ4881">
        <v>55.136766341003003</v>
      </c>
      <c r="AK4881">
        <v>85.825392759467704</v>
      </c>
      <c r="AL4881">
        <v>79.700629614918</v>
      </c>
      <c r="AM4881">
        <v>73.184111843677897</v>
      </c>
      <c r="AN4881">
        <v>0.99999998133484402</v>
      </c>
    </row>
    <row r="4882" spans="1:40" x14ac:dyDescent="0.25">
      <c r="A4882" t="str">
        <f>"20190303170350000"</f>
        <v>20190303170350000</v>
      </c>
      <c r="B4882" t="str">
        <f>"1551603829990613"</f>
        <v>1551603829990613</v>
      </c>
      <c r="C4882" t="s">
        <v>40</v>
      </c>
      <c r="D4882">
        <v>4.2366000000000001</v>
      </c>
      <c r="E4882">
        <v>0.63277280000000002</v>
      </c>
      <c r="F4882" t="s">
        <v>44</v>
      </c>
      <c r="G4882">
        <v>-282.1207</v>
      </c>
      <c r="H4882">
        <v>-0.05</v>
      </c>
      <c r="I4882">
        <v>111.7817</v>
      </c>
      <c r="J4882">
        <v>-196.00380000000001</v>
      </c>
      <c r="K4882">
        <v>1.112609</v>
      </c>
      <c r="L4882">
        <v>148.64699999999999</v>
      </c>
      <c r="M4882">
        <v>-0.52985340000000003</v>
      </c>
      <c r="N4882">
        <v>-5.6250429999999997E-3</v>
      </c>
      <c r="O4882">
        <v>-0.84807060000000001</v>
      </c>
      <c r="P4882">
        <v>-0.738158599999999</v>
      </c>
      <c r="Q4882">
        <v>0.17889630000000001</v>
      </c>
      <c r="R4882">
        <v>-0.65047529999999998</v>
      </c>
      <c r="S4882">
        <v>-2.9633180000000001</v>
      </c>
      <c r="T4882">
        <v>-3.9968730000000001E-2</v>
      </c>
      <c r="U4882">
        <v>-1.2716670000000001</v>
      </c>
      <c r="V4882">
        <v>0.28493449999999998</v>
      </c>
      <c r="W4882">
        <v>0.17861550000000001</v>
      </c>
      <c r="X4882">
        <v>0.9417584</v>
      </c>
      <c r="Y4882">
        <v>0.57033829999999996</v>
      </c>
      <c r="Z4882">
        <v>8.7305009999999999E-3</v>
      </c>
      <c r="AA4882">
        <v>0.82136339999999997</v>
      </c>
      <c r="AB4882">
        <v>25</v>
      </c>
      <c r="AC4882">
        <v>-86.116899999999902</v>
      </c>
      <c r="AD4882">
        <v>-1.162609</v>
      </c>
      <c r="AE4882">
        <v>-36.865299999999998</v>
      </c>
      <c r="AF4882">
        <v>53.492613090379599</v>
      </c>
      <c r="AG4882">
        <v>-1.162609</v>
      </c>
      <c r="AH4882">
        <v>76.883083051856403</v>
      </c>
      <c r="AI4882">
        <v>90.711169479132494</v>
      </c>
      <c r="AJ4882">
        <v>55.171127246364399</v>
      </c>
      <c r="AK4882">
        <v>93.668670186368004</v>
      </c>
      <c r="AL4882">
        <v>79.710873282627603</v>
      </c>
      <c r="AM4882">
        <v>73.166503097889006</v>
      </c>
      <c r="AN4882">
        <v>1.0000000250505201</v>
      </c>
    </row>
    <row r="4883" spans="1:40" x14ac:dyDescent="0.25">
      <c r="A4883" t="str">
        <f>"20190303170350017"</f>
        <v>20190303170350017</v>
      </c>
      <c r="B4883" t="str">
        <f>"1551603830000373"</f>
        <v>1551603830000373</v>
      </c>
      <c r="C4883" t="s">
        <v>40</v>
      </c>
      <c r="D4883">
        <v>4.2543550000000003</v>
      </c>
      <c r="E4883">
        <v>0.63287230000000005</v>
      </c>
      <c r="F4883" t="s">
        <v>93</v>
      </c>
      <c r="G4883">
        <v>-270.50779999999997</v>
      </c>
      <c r="H4883">
        <v>0.17137839999999999</v>
      </c>
      <c r="I4883">
        <v>117.5288</v>
      </c>
      <c r="J4883">
        <v>-196.12569999999999</v>
      </c>
      <c r="K4883">
        <v>1.1124799999999999</v>
      </c>
      <c r="L4883">
        <v>148.47110000000001</v>
      </c>
      <c r="M4883">
        <v>-0.53823390000000004</v>
      </c>
      <c r="N4883">
        <v>-5.6518580000000001E-3</v>
      </c>
      <c r="O4883">
        <v>-0.84277669999999905</v>
      </c>
      <c r="P4883">
        <v>-0.74524789999999996</v>
      </c>
      <c r="Q4883">
        <v>0.17895369999999999</v>
      </c>
      <c r="R4883">
        <v>-0.64232489999999998</v>
      </c>
      <c r="S4883">
        <v>-2.9774319999999999</v>
      </c>
      <c r="T4883">
        <v>-3.761482E-2</v>
      </c>
      <c r="U4883">
        <v>-1.2435909999999999</v>
      </c>
      <c r="V4883">
        <v>0.28599180000000002</v>
      </c>
      <c r="W4883">
        <v>0.178591</v>
      </c>
      <c r="X4883">
        <v>0.94144249999999996</v>
      </c>
      <c r="Y4883">
        <v>0.57018789999999997</v>
      </c>
      <c r="Z4883">
        <v>7.97729199999999E-3</v>
      </c>
      <c r="AA4883">
        <v>0.82147559999999997</v>
      </c>
      <c r="AB4883">
        <v>26</v>
      </c>
      <c r="AC4883">
        <v>-74.382099999999895</v>
      </c>
      <c r="AD4883">
        <v>-0.94110159999999998</v>
      </c>
      <c r="AE4883">
        <v>-30.942299999999999</v>
      </c>
      <c r="AF4883">
        <v>46.027754522774003</v>
      </c>
      <c r="AG4883">
        <v>-0.94110159999999998</v>
      </c>
      <c r="AH4883">
        <v>66.104444339023402</v>
      </c>
      <c r="AI4883">
        <v>90.6693791669896</v>
      </c>
      <c r="AJ4883">
        <v>55.150954881875897</v>
      </c>
      <c r="AK4883">
        <v>80.555803142922699</v>
      </c>
      <c r="AL4883">
        <v>79.712299894023502</v>
      </c>
      <c r="AM4883">
        <v>73.102245466369794</v>
      </c>
      <c r="AN4883">
        <v>1.0000000178772399</v>
      </c>
    </row>
    <row r="4884" spans="1:40" x14ac:dyDescent="0.25">
      <c r="A4884" t="str">
        <f>"20190303170350041"</f>
        <v>20190303170350041</v>
      </c>
      <c r="B4884" t="str">
        <f>"1551603830030629"</f>
        <v>1551603830030629</v>
      </c>
      <c r="C4884" t="s">
        <v>40</v>
      </c>
      <c r="D4884">
        <v>4.2672819999999998</v>
      </c>
      <c r="E4884">
        <v>0.62772240000000001</v>
      </c>
      <c r="F4884" t="s">
        <v>93</v>
      </c>
      <c r="G4884">
        <v>-272.59320000000002</v>
      </c>
      <c r="H4884">
        <v>0.1486266</v>
      </c>
      <c r="I4884">
        <v>117.5288</v>
      </c>
      <c r="J4884">
        <v>-196.27760000000001</v>
      </c>
      <c r="K4884">
        <v>1.112331</v>
      </c>
      <c r="L4884">
        <v>148.25700000000001</v>
      </c>
      <c r="M4884">
        <v>-0.54852690000000004</v>
      </c>
      <c r="N4884">
        <v>-5.6867360000000004E-3</v>
      </c>
      <c r="O4884">
        <v>-0.83611349999999995</v>
      </c>
      <c r="P4884">
        <v>-0.75346139999999995</v>
      </c>
      <c r="Q4884">
        <v>0.18023420000000001</v>
      </c>
      <c r="R4884">
        <v>-0.63230659999999905</v>
      </c>
      <c r="S4884">
        <v>-2.9913020000000001</v>
      </c>
      <c r="T4884">
        <v>-3.7704590000000003E-2</v>
      </c>
      <c r="U4884">
        <v>-1.2104189999999999</v>
      </c>
      <c r="V4884">
        <v>0.2868695</v>
      </c>
      <c r="W4884">
        <v>0.179780299999999</v>
      </c>
      <c r="X4884">
        <v>0.94094900000000004</v>
      </c>
      <c r="Y4884">
        <v>0.56926759999999998</v>
      </c>
      <c r="Z4884">
        <v>7.9912790000000004E-3</v>
      </c>
      <c r="AA4884">
        <v>0.82211350000000005</v>
      </c>
      <c r="AB4884">
        <v>26</v>
      </c>
      <c r="AC4884">
        <v>-76.315600000000003</v>
      </c>
      <c r="AD4884">
        <v>-0.96370440000000002</v>
      </c>
      <c r="AE4884">
        <v>-30.728200000000001</v>
      </c>
      <c r="AF4884">
        <v>46.9475790718203</v>
      </c>
      <c r="AG4884">
        <v>-0.96370440000000002</v>
      </c>
      <c r="AH4884">
        <v>67.5452502237994</v>
      </c>
      <c r="AI4884">
        <v>90.671222670425294</v>
      </c>
      <c r="AJ4884">
        <v>55.198623167042498</v>
      </c>
      <c r="AK4884">
        <v>82.263994157049495</v>
      </c>
      <c r="AL4884">
        <v>79.643037287613694</v>
      </c>
      <c r="AM4884">
        <v>73.044976383889903</v>
      </c>
      <c r="AN4884">
        <v>1.0000000434496601</v>
      </c>
    </row>
    <row r="4885" spans="1:40" x14ac:dyDescent="0.25">
      <c r="A4885" t="str">
        <f>"20190303170350064"</f>
        <v>20190303170350064</v>
      </c>
      <c r="B4885" t="str">
        <f>"1551603830050149"</f>
        <v>1551603830050149</v>
      </c>
      <c r="C4885" t="s">
        <v>40</v>
      </c>
      <c r="D4885">
        <v>4.2558689999999997</v>
      </c>
      <c r="E4885">
        <v>0.62651759999999901</v>
      </c>
      <c r="F4885" t="s">
        <v>44</v>
      </c>
      <c r="G4885">
        <v>-272.16329999999999</v>
      </c>
      <c r="H4885">
        <v>-0.05</v>
      </c>
      <c r="I4885">
        <v>117.59480000000001</v>
      </c>
      <c r="J4885">
        <v>-196.44450000000001</v>
      </c>
      <c r="K4885">
        <v>1.1121730000000001</v>
      </c>
      <c r="L4885">
        <v>148.0282</v>
      </c>
      <c r="M4885">
        <v>-0.55961959999999999</v>
      </c>
      <c r="N4885">
        <v>-5.7247590000000003E-3</v>
      </c>
      <c r="O4885">
        <v>-0.82872990000000002</v>
      </c>
      <c r="P4885">
        <v>-0.76214720000000002</v>
      </c>
      <c r="Q4885">
        <v>0.18133150000000001</v>
      </c>
      <c r="R4885">
        <v>-0.62149089999999996</v>
      </c>
      <c r="S4885">
        <v>-2.9815369999999999</v>
      </c>
      <c r="T4885">
        <v>-4.5667770000000003E-2</v>
      </c>
      <c r="U4885">
        <v>-1.204712</v>
      </c>
      <c r="V4885">
        <v>0.28763539999999999</v>
      </c>
      <c r="W4885">
        <v>0.18078630000000001</v>
      </c>
      <c r="X4885">
        <v>0.94052230000000003</v>
      </c>
      <c r="Y4885">
        <v>0.55865540000000002</v>
      </c>
      <c r="Z4885">
        <v>1.042949E-2</v>
      </c>
      <c r="AA4885">
        <v>0.82933429999999997</v>
      </c>
      <c r="AB4885">
        <v>26</v>
      </c>
      <c r="AC4885">
        <v>-75.718799999999902</v>
      </c>
      <c r="AD4885">
        <v>-1.1621729999999999</v>
      </c>
      <c r="AE4885">
        <v>-30.433399999999899</v>
      </c>
      <c r="AF4885">
        <v>45.710782154064802</v>
      </c>
      <c r="AG4885">
        <v>-1.1621729999999999</v>
      </c>
      <c r="AH4885">
        <v>67.582190207684704</v>
      </c>
      <c r="AI4885">
        <v>90.816075566478204</v>
      </c>
      <c r="AJ4885">
        <v>55.926633084245701</v>
      </c>
      <c r="AK4885">
        <v>81.597663474427904</v>
      </c>
      <c r="AL4885">
        <v>79.584437136828598</v>
      </c>
      <c r="AM4885">
        <v>72.995048684192</v>
      </c>
      <c r="AN4885">
        <v>1.0000000031990699</v>
      </c>
    </row>
    <row r="4886" spans="1:40" x14ac:dyDescent="0.25">
      <c r="A4886" t="str">
        <f>"20190303170350085"</f>
        <v>20190303170350085</v>
      </c>
      <c r="B4886" t="str">
        <f>"1551603830070645"</f>
        <v>1551603830070645</v>
      </c>
      <c r="C4886" t="s">
        <v>40</v>
      </c>
      <c r="D4886">
        <v>4.2665280000000001</v>
      </c>
      <c r="E4886">
        <v>0.62491339999999995</v>
      </c>
      <c r="F4886" t="s">
        <v>44</v>
      </c>
      <c r="G4886">
        <v>-269.41539999999998</v>
      </c>
      <c r="H4886">
        <v>-0.05</v>
      </c>
      <c r="I4886">
        <v>119.48180000000001</v>
      </c>
      <c r="J4886">
        <v>-196.5934</v>
      </c>
      <c r="K4886">
        <v>1.112036</v>
      </c>
      <c r="L4886">
        <v>147.82929999999999</v>
      </c>
      <c r="M4886">
        <v>-0.56933979999999995</v>
      </c>
      <c r="N4886">
        <v>-5.7580499999999998E-3</v>
      </c>
      <c r="O4886">
        <v>-0.82208230000000004</v>
      </c>
      <c r="P4886">
        <v>-0.76957010000000003</v>
      </c>
      <c r="Q4886">
        <v>0.1817358</v>
      </c>
      <c r="R4886">
        <v>-0.61215540000000002</v>
      </c>
      <c r="S4886">
        <v>-2.992874</v>
      </c>
      <c r="T4886">
        <v>-4.7666069999999998E-2</v>
      </c>
      <c r="U4886">
        <v>-1.170822</v>
      </c>
      <c r="V4886">
        <v>0.28801379999999999</v>
      </c>
      <c r="W4886">
        <v>0.1811198</v>
      </c>
      <c r="X4886">
        <v>0.94034240000000002</v>
      </c>
      <c r="Y4886">
        <v>0.55808539999999995</v>
      </c>
      <c r="Z4886">
        <v>1.1034240000000001E-2</v>
      </c>
      <c r="AA4886">
        <v>0.82971010000000001</v>
      </c>
      <c r="AB4886">
        <v>26</v>
      </c>
      <c r="AC4886">
        <v>-72.821999999999903</v>
      </c>
      <c r="AD4886">
        <v>-1.1620360000000001</v>
      </c>
      <c r="AE4886">
        <v>-28.347499999999901</v>
      </c>
      <c r="AF4886">
        <v>43.7173692338202</v>
      </c>
      <c r="AG4886">
        <v>-1.1620360000000001</v>
      </c>
      <c r="AH4886">
        <v>64.751187693377702</v>
      </c>
      <c r="AI4886">
        <v>90.852129518590303</v>
      </c>
      <c r="AJ4886">
        <v>55.974378538112298</v>
      </c>
      <c r="AK4886">
        <v>78.136259240473606</v>
      </c>
      <c r="AL4886">
        <v>79.565009068587102</v>
      </c>
      <c r="AM4886">
        <v>72.970902017793804</v>
      </c>
      <c r="AN4886">
        <v>1.0000000800901101</v>
      </c>
    </row>
    <row r="4887" spans="1:40" x14ac:dyDescent="0.25">
      <c r="A4887" t="str">
        <f>"20190303170350110"</f>
        <v>20190303170350110</v>
      </c>
      <c r="B4887" t="str">
        <f>"1551603830100902"</f>
        <v>1551603830100902</v>
      </c>
      <c r="C4887" t="s">
        <v>40</v>
      </c>
      <c r="D4887">
        <v>4.2745680000000004</v>
      </c>
      <c r="E4887">
        <v>0.61853419999999903</v>
      </c>
      <c r="F4887" t="s">
        <v>44</v>
      </c>
      <c r="G4887">
        <v>-268.4271</v>
      </c>
      <c r="H4887">
        <v>-0.05</v>
      </c>
      <c r="I4887">
        <v>120.4263</v>
      </c>
      <c r="J4887">
        <v>-196.77269999999999</v>
      </c>
      <c r="K4887">
        <v>1.111872</v>
      </c>
      <c r="L4887">
        <v>147.59620000000001</v>
      </c>
      <c r="M4887">
        <v>-0.58082239999999996</v>
      </c>
      <c r="N4887">
        <v>-5.798012E-3</v>
      </c>
      <c r="O4887">
        <v>-0.81400980000000001</v>
      </c>
      <c r="P4887">
        <v>-0.77862089999999995</v>
      </c>
      <c r="Q4887">
        <v>0.18173990000000001</v>
      </c>
      <c r="R4887">
        <v>-0.60060009999999997</v>
      </c>
      <c r="S4887">
        <v>-2.9995270000000001</v>
      </c>
      <c r="T4887">
        <v>-4.8522589999999997E-2</v>
      </c>
      <c r="U4887">
        <v>-1.1442570000000001</v>
      </c>
      <c r="V4887">
        <v>0.28892139999999999</v>
      </c>
      <c r="W4887">
        <v>0.1810321</v>
      </c>
      <c r="X4887">
        <v>0.94008080000000005</v>
      </c>
      <c r="Y4887">
        <v>0.55344720000000003</v>
      </c>
      <c r="Z4887">
        <v>1.125047E-2</v>
      </c>
      <c r="AA4887">
        <v>0.83280829999999995</v>
      </c>
      <c r="AB4887">
        <v>26</v>
      </c>
      <c r="AC4887">
        <v>-71.654399999999995</v>
      </c>
      <c r="AD4887">
        <v>-1.161872</v>
      </c>
      <c r="AE4887">
        <v>-27.169899999999998</v>
      </c>
      <c r="AF4887">
        <v>42.537429277917603</v>
      </c>
      <c r="AG4887">
        <v>-1.161872</v>
      </c>
      <c r="AH4887">
        <v>63.721461481779599</v>
      </c>
      <c r="AI4887">
        <v>90.868828078500201</v>
      </c>
      <c r="AJ4887">
        <v>56.274803898736799</v>
      </c>
      <c r="AK4887">
        <v>76.623804979211002</v>
      </c>
      <c r="AL4887">
        <v>79.570118089584398</v>
      </c>
      <c r="AM4887">
        <v>72.915881710954196</v>
      </c>
      <c r="AN4887">
        <v>1.0000000535685001</v>
      </c>
    </row>
    <row r="4888" spans="1:40" x14ac:dyDescent="0.25">
      <c r="A4888" t="str">
        <f>"20190303170350131"</f>
        <v>20190303170350131</v>
      </c>
      <c r="B4888" t="str">
        <f>"1551603830120420"</f>
        <v>1551603830120420</v>
      </c>
      <c r="C4888" t="s">
        <v>40</v>
      </c>
      <c r="D4888">
        <v>4.2807360000000001</v>
      </c>
      <c r="E4888">
        <v>0.61752379999999996</v>
      </c>
      <c r="F4888" t="s">
        <v>42</v>
      </c>
      <c r="G4888">
        <v>-242.726</v>
      </c>
      <c r="H4888" s="1">
        <v>-5.0183020000000004E-6</v>
      </c>
      <c r="I4888">
        <v>130.00659999999999</v>
      </c>
      <c r="J4888">
        <v>-196.9263</v>
      </c>
      <c r="K4888">
        <v>1.111737</v>
      </c>
      <c r="L4888">
        <v>147.40180000000001</v>
      </c>
      <c r="M4888">
        <v>-0.59047919999999998</v>
      </c>
      <c r="N4888">
        <v>-5.8330999999999999E-3</v>
      </c>
      <c r="O4888">
        <v>-0.80703190000000002</v>
      </c>
      <c r="P4888">
        <v>-0.78580139999999998</v>
      </c>
      <c r="Q4888">
        <v>0.1819355</v>
      </c>
      <c r="R4888">
        <v>-0.59111420000000003</v>
      </c>
      <c r="S4888">
        <v>-2.9877009999999999</v>
      </c>
      <c r="T4888">
        <v>-7.2289820000000005E-2</v>
      </c>
      <c r="U4888">
        <v>-1.1435999999999999</v>
      </c>
      <c r="V4888">
        <v>0.28914810000000002</v>
      </c>
      <c r="W4888">
        <v>0.18116289999999999</v>
      </c>
      <c r="X4888">
        <v>0.93998590000000004</v>
      </c>
      <c r="Y4888">
        <v>0.54241450000000002</v>
      </c>
      <c r="Z4888">
        <v>1.8474520000000001E-2</v>
      </c>
      <c r="AA4888">
        <v>0.83990779999999998</v>
      </c>
      <c r="AB4888">
        <v>26</v>
      </c>
      <c r="AC4888">
        <v>-45.799700000000001</v>
      </c>
      <c r="AD4888">
        <v>-1.1117420183019999</v>
      </c>
      <c r="AE4888">
        <v>-17.395199999999999</v>
      </c>
      <c r="AF4888">
        <v>26.677029401427699</v>
      </c>
      <c r="AG4888">
        <v>-1.1117420183019999</v>
      </c>
      <c r="AH4888">
        <v>41.061801870710802</v>
      </c>
      <c r="AI4888">
        <v>91.300622949007604</v>
      </c>
      <c r="AJ4888">
        <v>56.989025361546403</v>
      </c>
      <c r="AK4888">
        <v>48.979296043016099</v>
      </c>
      <c r="AL4888">
        <v>79.562497828775406</v>
      </c>
      <c r="AM4888">
        <v>72.901632761493502</v>
      </c>
      <c r="AN4888">
        <v>1.00000005613441</v>
      </c>
    </row>
    <row r="4889" spans="1:40" x14ac:dyDescent="0.25">
      <c r="A4889" t="str">
        <f>"20190303170350153"</f>
        <v>20190303170350153</v>
      </c>
      <c r="B4889" t="str">
        <f>"1551603830140917"</f>
        <v>1551603830140917</v>
      </c>
      <c r="C4889" t="s">
        <v>40</v>
      </c>
      <c r="D4889">
        <v>4.2538140000000002</v>
      </c>
      <c r="E4889">
        <v>0.61709459999999905</v>
      </c>
      <c r="F4889" t="s">
        <v>42</v>
      </c>
      <c r="G4889">
        <v>-237.8682</v>
      </c>
      <c r="H4889" s="1">
        <v>-2.6948419999999999E-6</v>
      </c>
      <c r="I4889">
        <v>132.16220000000001</v>
      </c>
      <c r="J4889">
        <v>-197.0932</v>
      </c>
      <c r="K4889">
        <v>1.111585</v>
      </c>
      <c r="L4889">
        <v>147.19579999999999</v>
      </c>
      <c r="M4889">
        <v>-0.60078260000000006</v>
      </c>
      <c r="N4889">
        <v>-5.8720819999999998E-3</v>
      </c>
      <c r="O4889">
        <v>-0.79939099999999996</v>
      </c>
      <c r="P4889">
        <v>-0.79288990000000004</v>
      </c>
      <c r="Q4889">
        <v>0.18239910000000001</v>
      </c>
      <c r="R4889">
        <v>-0.58142609999999995</v>
      </c>
      <c r="S4889">
        <v>-2.9973450000000001</v>
      </c>
      <c r="T4889">
        <v>-8.1390260000000006E-2</v>
      </c>
      <c r="U4889">
        <v>-1.115677</v>
      </c>
      <c r="V4889">
        <v>0.28861490000000001</v>
      </c>
      <c r="W4889">
        <v>0.1815756</v>
      </c>
      <c r="X4889">
        <v>0.94007010000000002</v>
      </c>
      <c r="Y4889">
        <v>0.53932659999999999</v>
      </c>
      <c r="Z4889">
        <v>2.1153990000000001E-2</v>
      </c>
      <c r="AA4889">
        <v>0.841831</v>
      </c>
      <c r="AB4889">
        <v>26</v>
      </c>
      <c r="AC4889">
        <v>-40.774999999999999</v>
      </c>
      <c r="AD4889">
        <v>-1.111587694842</v>
      </c>
      <c r="AE4889">
        <v>-15.0335999999999</v>
      </c>
      <c r="AF4889">
        <v>23.5482403207589</v>
      </c>
      <c r="AG4889">
        <v>-1.111587694842</v>
      </c>
      <c r="AH4889">
        <v>36.491386661387899</v>
      </c>
      <c r="AI4889">
        <v>91.466170524261599</v>
      </c>
      <c r="AJ4889">
        <v>57.165460534658102</v>
      </c>
      <c r="AK4889">
        <v>43.443947217978</v>
      </c>
      <c r="AL4889">
        <v>79.538452762072595</v>
      </c>
      <c r="AM4889">
        <v>72.932768579306597</v>
      </c>
      <c r="AN4889">
        <v>1.0000000259656801</v>
      </c>
    </row>
    <row r="4890" spans="1:40" x14ac:dyDescent="0.25">
      <c r="A4890" t="str">
        <f>"20190303170350175"</f>
        <v>20190303170350175</v>
      </c>
      <c r="B4890" t="str">
        <f>"1551603830160436"</f>
        <v>1551603830160436</v>
      </c>
      <c r="C4890" t="s">
        <v>40</v>
      </c>
      <c r="D4890">
        <v>4.2399610000000001</v>
      </c>
      <c r="E4890">
        <v>0.61619569999999901</v>
      </c>
      <c r="F4890" t="s">
        <v>42</v>
      </c>
      <c r="G4890">
        <v>-241.9975</v>
      </c>
      <c r="H4890" s="1">
        <v>-4.9847449999999997E-6</v>
      </c>
      <c r="I4890">
        <v>131.06450000000001</v>
      </c>
      <c r="J4890">
        <v>-197.2603</v>
      </c>
      <c r="K4890">
        <v>1.111442</v>
      </c>
      <c r="L4890">
        <v>146.995</v>
      </c>
      <c r="M4890">
        <v>-0.61090610000000001</v>
      </c>
      <c r="N4890">
        <v>-5.9119079999999996E-3</v>
      </c>
      <c r="O4890">
        <v>-0.79168130000000003</v>
      </c>
      <c r="P4890">
        <v>-0.79962939999999905</v>
      </c>
      <c r="Q4890">
        <v>0.18247360000000001</v>
      </c>
      <c r="R4890">
        <v>-0.57209829999999995</v>
      </c>
      <c r="S4890">
        <v>-3.008286</v>
      </c>
      <c r="T4890">
        <v>-7.4469090000000002E-2</v>
      </c>
      <c r="U4890">
        <v>-1.0806880000000001</v>
      </c>
      <c r="V4890">
        <v>0.28771600000000003</v>
      </c>
      <c r="W4890">
        <v>0.1816103</v>
      </c>
      <c r="X4890">
        <v>0.94033889999999998</v>
      </c>
      <c r="Y4890">
        <v>0.53830279999999997</v>
      </c>
      <c r="Z4890">
        <v>1.8972869999999999E-2</v>
      </c>
      <c r="AA4890">
        <v>0.84253789999999995</v>
      </c>
      <c r="AB4890">
        <v>26</v>
      </c>
      <c r="AC4890">
        <v>-44.737200000000001</v>
      </c>
      <c r="AD4890">
        <v>-1.1114469847449999</v>
      </c>
      <c r="AE4890">
        <v>-15.930499999999901</v>
      </c>
      <c r="AF4890">
        <v>25.6719454066038</v>
      </c>
      <c r="AG4890">
        <v>-1.1114469847449999</v>
      </c>
      <c r="AH4890">
        <v>39.920928256094598</v>
      </c>
      <c r="AI4890">
        <v>91.341459348119102</v>
      </c>
      <c r="AJ4890">
        <v>57.256151051014498</v>
      </c>
      <c r="AK4890">
        <v>47.475937149126302</v>
      </c>
      <c r="AL4890">
        <v>79.536430945141205</v>
      </c>
      <c r="AM4890">
        <v>72.987432775758293</v>
      </c>
      <c r="AN4890">
        <v>1.00000002228764</v>
      </c>
    </row>
    <row r="4891" spans="1:40" x14ac:dyDescent="0.25">
      <c r="A4891" t="str">
        <f>"20190303170350188"</f>
        <v>20190303170350188</v>
      </c>
      <c r="B4891" t="str">
        <f>"1551603830180933"</f>
        <v>1551603830180933</v>
      </c>
      <c r="C4891" t="s">
        <v>40</v>
      </c>
      <c r="D4891">
        <v>4.2701880000000001</v>
      </c>
      <c r="E4891">
        <v>0.61523859999999997</v>
      </c>
      <c r="F4891" t="s">
        <v>42</v>
      </c>
      <c r="G4891">
        <v>-244.31720000000001</v>
      </c>
      <c r="H4891" s="1">
        <v>-4.3160010000000001E-6</v>
      </c>
      <c r="I4891">
        <v>130.61089999999999</v>
      </c>
      <c r="J4891">
        <v>-197.37119999999999</v>
      </c>
      <c r="K4891">
        <v>1.1113459999999999</v>
      </c>
      <c r="L4891">
        <v>146.86490000000001</v>
      </c>
      <c r="M4891">
        <v>-0.61752410000000002</v>
      </c>
      <c r="N4891">
        <v>-5.9389839999999996E-3</v>
      </c>
      <c r="O4891">
        <v>-0.78652939999999905</v>
      </c>
      <c r="P4891">
        <v>-0.80447630000000003</v>
      </c>
      <c r="Q4891">
        <v>0.18211630000000001</v>
      </c>
      <c r="R4891">
        <v>-0.56537749999999998</v>
      </c>
      <c r="S4891">
        <v>-3.0165709999999999</v>
      </c>
      <c r="T4891">
        <v>-7.1248889999999995E-2</v>
      </c>
      <c r="U4891">
        <v>-1.0502929999999999</v>
      </c>
      <c r="V4891">
        <v>0.28780709999999998</v>
      </c>
      <c r="W4891">
        <v>0.1812117</v>
      </c>
      <c r="X4891">
        <v>0.94038790000000005</v>
      </c>
      <c r="Y4891">
        <v>0.53954029999999997</v>
      </c>
      <c r="Z4891">
        <v>1.797934E-2</v>
      </c>
      <c r="AA4891">
        <v>0.84176779999999995</v>
      </c>
      <c r="AB4891">
        <v>26</v>
      </c>
      <c r="AC4891">
        <v>-46.945999999999998</v>
      </c>
      <c r="AD4891">
        <v>-1.1113503160010001</v>
      </c>
      <c r="AE4891">
        <v>-16.254000000000001</v>
      </c>
      <c r="AF4891">
        <v>26.8742011785966</v>
      </c>
      <c r="AG4891">
        <v>-1.1113503160010001</v>
      </c>
      <c r="AH4891">
        <v>41.754381769300203</v>
      </c>
      <c r="AI4891">
        <v>91.282139557994796</v>
      </c>
      <c r="AJ4891">
        <v>57.233618476734897</v>
      </c>
      <c r="AK4891">
        <v>49.667758007071598</v>
      </c>
      <c r="AL4891">
        <v>79.559654195258602</v>
      </c>
      <c r="AM4891">
        <v>72.983192762037604</v>
      </c>
      <c r="AN4891">
        <v>1.00000000474685</v>
      </c>
    </row>
    <row r="4892" spans="1:40" x14ac:dyDescent="0.25">
      <c r="A4892" t="str">
        <f>"20190303170350201"</f>
        <v>20190303170350201</v>
      </c>
      <c r="B4892" t="str">
        <f>"1551603830190416"</f>
        <v>1551603830190416</v>
      </c>
      <c r="C4892" t="s">
        <v>40</v>
      </c>
      <c r="D4892">
        <v>4.2688709999999999</v>
      </c>
      <c r="E4892">
        <v>0.61472209999999905</v>
      </c>
      <c r="F4892" t="s">
        <v>42</v>
      </c>
      <c r="G4892">
        <v>-242.90960000000001</v>
      </c>
      <c r="H4892" s="1">
        <v>-4.6060840000000002E-6</v>
      </c>
      <c r="I4892">
        <v>131.321</v>
      </c>
      <c r="J4892">
        <v>-197.47030000000001</v>
      </c>
      <c r="K4892">
        <v>1.111253</v>
      </c>
      <c r="L4892">
        <v>146.75030000000001</v>
      </c>
      <c r="M4892">
        <v>-0.62336930000000002</v>
      </c>
      <c r="N4892">
        <v>-5.9627930000000001E-3</v>
      </c>
      <c r="O4892">
        <v>-0.78190499999999996</v>
      </c>
      <c r="P4892">
        <v>-0.80873269999999997</v>
      </c>
      <c r="Q4892">
        <v>0.18211240000000001</v>
      </c>
      <c r="R4892">
        <v>-0.55927369999999899</v>
      </c>
      <c r="S4892">
        <v>-3.0210880000000002</v>
      </c>
      <c r="T4892">
        <v>-7.3728799999999997E-2</v>
      </c>
      <c r="U4892">
        <v>-1.031204</v>
      </c>
      <c r="V4892">
        <v>0.28795279999999901</v>
      </c>
      <c r="W4892">
        <v>0.1811681</v>
      </c>
      <c r="X4892">
        <v>0.94035170000000001</v>
      </c>
      <c r="Y4892">
        <v>0.53839399999999904</v>
      </c>
      <c r="Z4892">
        <v>1.8686500000000002E-2</v>
      </c>
      <c r="AA4892">
        <v>0.84248599999999996</v>
      </c>
      <c r="AB4892">
        <v>27</v>
      </c>
      <c r="AC4892">
        <v>-45.439300000000003</v>
      </c>
      <c r="AD4892">
        <v>-1.111257606084</v>
      </c>
      <c r="AE4892">
        <v>-15.4293</v>
      </c>
      <c r="AF4892">
        <v>25.8976332601179</v>
      </c>
      <c r="AG4892">
        <v>-1.111257606084</v>
      </c>
      <c r="AH4892">
        <v>40.368775963839703</v>
      </c>
      <c r="AI4892">
        <v>91.327287600350999</v>
      </c>
      <c r="AJ4892">
        <v>57.318758860006803</v>
      </c>
      <c r="AK4892">
        <v>47.9745805063612</v>
      </c>
      <c r="AL4892">
        <v>79.562194365306894</v>
      </c>
      <c r="AM4892">
        <v>72.974458729397895</v>
      </c>
      <c r="AN4892">
        <v>1.00000000758917</v>
      </c>
    </row>
    <row r="4893" spans="1:40" x14ac:dyDescent="0.25">
      <c r="A4893" t="str">
        <f>"20190303170350219"</f>
        <v>20190303170350219</v>
      </c>
      <c r="B4893" t="str">
        <f>"1551603830210911"</f>
        <v>1551603830210911</v>
      </c>
      <c r="C4893" t="s">
        <v>40</v>
      </c>
      <c r="D4893">
        <v>4.2829739999999896</v>
      </c>
      <c r="E4893">
        <v>0.60786709999999899</v>
      </c>
      <c r="F4893" t="s">
        <v>42</v>
      </c>
      <c r="G4893">
        <v>-242.16470000000001</v>
      </c>
      <c r="H4893" s="1">
        <v>-4.7312130000000003E-6</v>
      </c>
      <c r="I4893">
        <v>131.80350000000001</v>
      </c>
      <c r="J4893">
        <v>-197.62370000000001</v>
      </c>
      <c r="K4893">
        <v>1.1111230000000001</v>
      </c>
      <c r="L4893">
        <v>146.5762</v>
      </c>
      <c r="M4893">
        <v>-0.63229569999999902</v>
      </c>
      <c r="N4893">
        <v>-5.999562E-3</v>
      </c>
      <c r="O4893">
        <v>-0.77470380000000005</v>
      </c>
      <c r="P4893">
        <v>-0.8149807</v>
      </c>
      <c r="Q4893">
        <v>0.1829509</v>
      </c>
      <c r="R4893">
        <v>-0.54985019999999996</v>
      </c>
      <c r="S4893">
        <v>-3.0265200000000001</v>
      </c>
      <c r="T4893">
        <v>-7.5249910000000003E-2</v>
      </c>
      <c r="U4893">
        <v>-1.0121309999999999</v>
      </c>
      <c r="V4893">
        <v>0.2880123</v>
      </c>
      <c r="W4893">
        <v>0.18195069999999999</v>
      </c>
      <c r="X4893">
        <v>0.94018239999999997</v>
      </c>
      <c r="Y4893">
        <v>0.53394219999999903</v>
      </c>
      <c r="Z4893">
        <v>1.9027539999999999E-2</v>
      </c>
      <c r="AA4893">
        <v>0.84530680000000002</v>
      </c>
      <c r="AB4893">
        <v>27</v>
      </c>
      <c r="AC4893">
        <v>-44.540999999999997</v>
      </c>
      <c r="AD4893">
        <v>-1.1111277312129999</v>
      </c>
      <c r="AE4893">
        <v>-14.772699999999899</v>
      </c>
      <c r="AF4893">
        <v>25.151721326630302</v>
      </c>
      <c r="AG4893">
        <v>-1.1111277312129999</v>
      </c>
      <c r="AH4893">
        <v>39.586072372542098</v>
      </c>
      <c r="AI4893">
        <v>91.357147324834997</v>
      </c>
      <c r="AJ4893">
        <v>57.569431557181296</v>
      </c>
      <c r="AK4893">
        <v>46.913759350660499</v>
      </c>
      <c r="AL4893">
        <v>79.516597238888096</v>
      </c>
      <c r="AM4893">
        <v>72.968255295212799</v>
      </c>
      <c r="AN4893">
        <v>1.0000000437257599</v>
      </c>
    </row>
    <row r="4894" spans="1:40" x14ac:dyDescent="0.25">
      <c r="A4894" t="str">
        <f>"20190303170350241"</f>
        <v>20190303170350241</v>
      </c>
      <c r="B4894" t="str">
        <f>"1551603830230430"</f>
        <v>1551603830230430</v>
      </c>
      <c r="C4894" t="s">
        <v>40</v>
      </c>
      <c r="D4894">
        <v>4.2765680000000001</v>
      </c>
      <c r="E4894">
        <v>0.60713989999999995</v>
      </c>
      <c r="F4894" t="s">
        <v>42</v>
      </c>
      <c r="G4894">
        <v>-241.39490000000001</v>
      </c>
      <c r="H4894" s="1">
        <v>-5.0824330000000001E-6</v>
      </c>
      <c r="I4894">
        <v>131.67529999999999</v>
      </c>
      <c r="J4894">
        <v>-197.79820000000001</v>
      </c>
      <c r="K4894">
        <v>1.1109880000000001</v>
      </c>
      <c r="L4894">
        <v>146.38319999999999</v>
      </c>
      <c r="M4894">
        <v>-0.64226260000000002</v>
      </c>
      <c r="N4894">
        <v>-6.040602E-3</v>
      </c>
      <c r="O4894">
        <v>-0.76646110000000001</v>
      </c>
      <c r="P4894">
        <v>-0.82161109999999904</v>
      </c>
      <c r="Q4894">
        <v>0.18361340000000001</v>
      </c>
      <c r="R4894">
        <v>-0.53966819999999904</v>
      </c>
      <c r="S4894">
        <v>-3.0074619999999999</v>
      </c>
      <c r="T4894">
        <v>-7.6344129999999996E-2</v>
      </c>
      <c r="U4894">
        <v>-1.023819</v>
      </c>
      <c r="V4894">
        <v>0.28751459999999901</v>
      </c>
      <c r="W4894">
        <v>0.18256720000000001</v>
      </c>
      <c r="X4894">
        <v>0.94021520000000003</v>
      </c>
      <c r="Y4894">
        <v>0.51835569999999997</v>
      </c>
      <c r="Z4894">
        <v>1.918183E-2</v>
      </c>
      <c r="AA4894">
        <v>0.85494999999999999</v>
      </c>
      <c r="AB4894">
        <v>27</v>
      </c>
      <c r="AC4894">
        <v>-43.596699999999998</v>
      </c>
      <c r="AD4894">
        <v>-1.1109930824330001</v>
      </c>
      <c r="AE4894">
        <v>-14.707899999999899</v>
      </c>
      <c r="AF4894">
        <v>23.955306560210101</v>
      </c>
      <c r="AG4894">
        <v>-1.1109930824330001</v>
      </c>
      <c r="AH4894">
        <v>39.251387325066197</v>
      </c>
      <c r="AI4894">
        <v>91.384021297492396</v>
      </c>
      <c r="AJ4894">
        <v>58.604086667988099</v>
      </c>
      <c r="AK4894">
        <v>45.997417590178102</v>
      </c>
      <c r="AL4894">
        <v>79.480672476656807</v>
      </c>
      <c r="AM4894">
        <v>72.996546696409098</v>
      </c>
      <c r="AN4894">
        <v>1.0000000250200101</v>
      </c>
    </row>
    <row r="4895" spans="1:40" x14ac:dyDescent="0.25">
      <c r="A4895" t="str">
        <f>"20190303170350264"</f>
        <v>20190303170350264</v>
      </c>
      <c r="B4895" t="str">
        <f>"1551603830260687"</f>
        <v>1551603830260687</v>
      </c>
      <c r="C4895" t="s">
        <v>40</v>
      </c>
      <c r="D4895">
        <v>4.260859</v>
      </c>
      <c r="E4895">
        <v>0.60587679999999999</v>
      </c>
      <c r="F4895" t="s">
        <v>42</v>
      </c>
      <c r="G4895">
        <v>-241.20179999999999</v>
      </c>
      <c r="H4895" s="1">
        <v>-5.0865899999999999E-6</v>
      </c>
      <c r="I4895">
        <v>132.119</v>
      </c>
      <c r="J4895">
        <v>-198.0001</v>
      </c>
      <c r="K4895">
        <v>1.1108309999999999</v>
      </c>
      <c r="L4895">
        <v>146.166</v>
      </c>
      <c r="M4895">
        <v>-0.65355369999999902</v>
      </c>
      <c r="N4895">
        <v>-6.0863559999999898E-3</v>
      </c>
      <c r="O4895">
        <v>-0.75685570000000002</v>
      </c>
      <c r="P4895">
        <v>-0.82910910000000004</v>
      </c>
      <c r="Q4895">
        <v>0.18374779999999999</v>
      </c>
      <c r="R4895">
        <v>-0.52802959999999999</v>
      </c>
      <c r="S4895">
        <v>-3.0173190000000001</v>
      </c>
      <c r="T4895">
        <v>-7.7233670000000004E-2</v>
      </c>
      <c r="U4895">
        <v>-0.99160769999999998</v>
      </c>
      <c r="V4895">
        <v>0.28688399999999997</v>
      </c>
      <c r="W4895">
        <v>0.18265439999999999</v>
      </c>
      <c r="X4895">
        <v>0.94039090000000003</v>
      </c>
      <c r="Y4895">
        <v>0.51473389999999997</v>
      </c>
      <c r="Z4895">
        <v>1.930161E-2</v>
      </c>
      <c r="AA4895">
        <v>0.85713269999999997</v>
      </c>
      <c r="AB4895">
        <v>27</v>
      </c>
      <c r="AC4895">
        <v>-43.201699999999903</v>
      </c>
      <c r="AD4895">
        <v>-1.11083608659</v>
      </c>
      <c r="AE4895">
        <v>-14.046999999999899</v>
      </c>
      <c r="AF4895">
        <v>23.503365840035801</v>
      </c>
      <c r="AG4895">
        <v>-1.11083608659</v>
      </c>
      <c r="AH4895">
        <v>38.843676244184401</v>
      </c>
      <c r="AI4895">
        <v>91.401592467774293</v>
      </c>
      <c r="AJ4895">
        <v>58.822885443766403</v>
      </c>
      <c r="AK4895">
        <v>45.4144618682733</v>
      </c>
      <c r="AL4895">
        <v>79.475591126198196</v>
      </c>
      <c r="AM4895">
        <v>73.034683453879595</v>
      </c>
      <c r="AN4895">
        <v>1.0000000520490799</v>
      </c>
    </row>
    <row r="4896" spans="1:40" x14ac:dyDescent="0.25">
      <c r="A4896" t="str">
        <f>"20190303170350286"</f>
        <v>20190303170350286</v>
      </c>
      <c r="B4896" t="str">
        <f>"1551603830270447"</f>
        <v>1551603830270447</v>
      </c>
      <c r="C4896" t="s">
        <v>40</v>
      </c>
      <c r="D4896">
        <v>4.3519220000000001</v>
      </c>
      <c r="E4896">
        <v>0.60587679999999999</v>
      </c>
      <c r="F4896" t="s">
        <v>42</v>
      </c>
      <c r="G4896">
        <v>-239.3271</v>
      </c>
      <c r="H4896" s="1">
        <v>-1.947484E-6</v>
      </c>
      <c r="I4896">
        <v>133.1052</v>
      </c>
      <c r="J4896">
        <v>-198.1867</v>
      </c>
      <c r="K4896">
        <v>1.1106849999999999</v>
      </c>
      <c r="L4896">
        <v>145.97069999999999</v>
      </c>
      <c r="M4896">
        <v>-0.66376669999999904</v>
      </c>
      <c r="N4896">
        <v>-6.1274619999999898E-3</v>
      </c>
      <c r="O4896">
        <v>-0.74791459999999998</v>
      </c>
      <c r="P4896">
        <v>-0.83655079999999904</v>
      </c>
      <c r="Q4896">
        <v>0.1837347</v>
      </c>
      <c r="R4896">
        <v>-0.51616320000000004</v>
      </c>
      <c r="S4896">
        <v>-3.0270999999999999</v>
      </c>
      <c r="T4896">
        <v>-8.1365699999999999E-2</v>
      </c>
      <c r="U4896">
        <v>-0.95666499999999999</v>
      </c>
      <c r="V4896">
        <v>0.28758159999999999</v>
      </c>
      <c r="W4896">
        <v>0.1825677</v>
      </c>
      <c r="X4896">
        <v>0.94019459999999999</v>
      </c>
      <c r="Y4896">
        <v>0.51285449999999999</v>
      </c>
      <c r="Z4896">
        <v>2.0399029999999999E-2</v>
      </c>
      <c r="AA4896">
        <v>0.85823320000000003</v>
      </c>
      <c r="AB4896">
        <v>27</v>
      </c>
      <c r="AC4896">
        <v>-41.1404</v>
      </c>
      <c r="AD4896">
        <v>-1.110686947484</v>
      </c>
      <c r="AE4896">
        <v>-12.8654999999999</v>
      </c>
      <c r="AF4896">
        <v>22.215482743097699</v>
      </c>
      <c r="AG4896">
        <v>-1.110686947484</v>
      </c>
      <c r="AH4896">
        <v>36.906112405344501</v>
      </c>
      <c r="AI4896">
        <v>91.476988841541896</v>
      </c>
      <c r="AJ4896">
        <v>58.954334881209597</v>
      </c>
      <c r="AK4896">
        <v>43.090862510283003</v>
      </c>
      <c r="AL4896">
        <v>79.480643219748799</v>
      </c>
      <c r="AM4896">
        <v>72.992461880279805</v>
      </c>
      <c r="AN4896">
        <v>1.0000000138055001</v>
      </c>
    </row>
    <row r="4897" spans="1:40" x14ac:dyDescent="0.25">
      <c r="A4897" t="str">
        <f>"20190303170350309"</f>
        <v>20190303170350309</v>
      </c>
      <c r="B4897" t="str">
        <f>"1551603830300234"</f>
        <v>1551603830300234</v>
      </c>
      <c r="C4897" t="s">
        <v>40</v>
      </c>
      <c r="D4897">
        <v>4.4607739999999998</v>
      </c>
      <c r="E4897">
        <v>0.63793529999999998</v>
      </c>
      <c r="F4897" t="s">
        <v>42</v>
      </c>
      <c r="G4897">
        <v>-239.6026</v>
      </c>
      <c r="H4897" s="1">
        <v>-1.7416369999999999E-6</v>
      </c>
      <c r="I4897">
        <v>133.5265</v>
      </c>
      <c r="J4897">
        <v>-198.38380000000001</v>
      </c>
      <c r="K4897">
        <v>1.1105320000000001</v>
      </c>
      <c r="L4897">
        <v>145.77010000000001</v>
      </c>
      <c r="M4897">
        <v>-0.6743285</v>
      </c>
      <c r="N4897">
        <v>-6.1707730000000001E-3</v>
      </c>
      <c r="O4897">
        <v>-0.73840569999999905</v>
      </c>
      <c r="P4897">
        <v>-0.84415620000000002</v>
      </c>
      <c r="Q4897">
        <v>0.18342900000000001</v>
      </c>
      <c r="R4897">
        <v>-0.50374019999999997</v>
      </c>
      <c r="S4897">
        <v>-3.0403899999999999</v>
      </c>
      <c r="T4897">
        <v>-8.1536890000000001E-2</v>
      </c>
      <c r="U4897">
        <v>-0.91354369999999996</v>
      </c>
      <c r="V4897">
        <v>0.2882248</v>
      </c>
      <c r="W4897">
        <v>0.18218790000000001</v>
      </c>
      <c r="X4897">
        <v>0.94007130000000005</v>
      </c>
      <c r="Y4897">
        <v>0.51285349999999996</v>
      </c>
      <c r="Z4897">
        <v>2.033213E-2</v>
      </c>
      <c r="AA4897">
        <v>0.85823539999999998</v>
      </c>
      <c r="AB4897">
        <v>27</v>
      </c>
      <c r="AC4897">
        <v>-41.218799999999902</v>
      </c>
      <c r="AD4897">
        <v>-1.110533741637</v>
      </c>
      <c r="AE4897">
        <v>-12.243600000000001</v>
      </c>
      <c r="AF4897">
        <v>22.165625607869199</v>
      </c>
      <c r="AG4897">
        <v>-1.110533741637</v>
      </c>
      <c r="AH4897">
        <v>36.811902303248701</v>
      </c>
      <c r="AI4897">
        <v>91.480441230335202</v>
      </c>
      <c r="AJ4897">
        <v>58.946506956786102</v>
      </c>
      <c r="AK4897">
        <v>42.984466903330002</v>
      </c>
      <c r="AL4897">
        <v>79.502775279752001</v>
      </c>
      <c r="AM4897">
        <v>72.954519553693601</v>
      </c>
      <c r="AN4897">
        <v>1.0000000076625699</v>
      </c>
    </row>
    <row r="4898" spans="1:40" x14ac:dyDescent="0.25">
      <c r="A4898" t="str">
        <f>"20190303170350332"</f>
        <v>20190303170350332</v>
      </c>
      <c r="B4898" t="str">
        <f>"1551603830320730"</f>
        <v>1551603830320730</v>
      </c>
      <c r="C4898" t="s">
        <v>40</v>
      </c>
      <c r="D4898">
        <v>4.4755050000000001</v>
      </c>
      <c r="E4898">
        <v>0.64652829999999994</v>
      </c>
      <c r="F4898" t="s">
        <v>56</v>
      </c>
      <c r="G4898">
        <v>-333.05369999999999</v>
      </c>
      <c r="H4898">
        <v>0.71929869999999996</v>
      </c>
      <c r="I4898">
        <v>118.6225</v>
      </c>
      <c r="J4898">
        <v>-198.58799999999999</v>
      </c>
      <c r="K4898">
        <v>1.1103860000000001</v>
      </c>
      <c r="L4898">
        <v>145.56809999999999</v>
      </c>
      <c r="M4898">
        <v>-0.68503080000000005</v>
      </c>
      <c r="N4898">
        <v>-6.2160599999999998E-3</v>
      </c>
      <c r="O4898">
        <v>-0.72848780000000002</v>
      </c>
      <c r="P4898">
        <v>-0.8509002</v>
      </c>
      <c r="Q4898">
        <v>0.1841199</v>
      </c>
      <c r="R4898">
        <v>-0.49200490000000002</v>
      </c>
      <c r="S4898">
        <v>-3.1740569999999999</v>
      </c>
      <c r="T4898">
        <v>-9.2207190000000005E-3</v>
      </c>
      <c r="U4898">
        <v>-0.63984680000000005</v>
      </c>
      <c r="V4898">
        <v>0.287497</v>
      </c>
      <c r="W4898">
        <v>0.18283959999999999</v>
      </c>
      <c r="X4898">
        <v>0.94016770000000005</v>
      </c>
      <c r="Y4898">
        <v>0.57875219999999905</v>
      </c>
      <c r="Z4898">
        <v>-4.7444030000000001E-4</v>
      </c>
      <c r="AA4898">
        <v>0.81550339999999999</v>
      </c>
      <c r="AB4898">
        <v>27</v>
      </c>
      <c r="AC4898">
        <v>-134.4657</v>
      </c>
      <c r="AD4898">
        <v>-0.39108730000000003</v>
      </c>
      <c r="AE4898">
        <v>-26.945599999999899</v>
      </c>
      <c r="AF4898">
        <v>79.498933072861405</v>
      </c>
      <c r="AG4898">
        <v>-0.39108730000000003</v>
      </c>
      <c r="AH4898">
        <v>111.743919661455</v>
      </c>
      <c r="AI4898">
        <v>90.163394675637093</v>
      </c>
      <c r="AJ4898">
        <v>54.570486274417703</v>
      </c>
      <c r="AK4898">
        <v>137.13838591111201</v>
      </c>
      <c r="AL4898">
        <v>79.464798431496703</v>
      </c>
      <c r="AM4898">
        <v>72.996718049411498</v>
      </c>
      <c r="AN4898">
        <v>1.00000007423022</v>
      </c>
    </row>
    <row r="4899" spans="1:40" x14ac:dyDescent="0.25">
      <c r="A4899" t="str">
        <f>"20190303170350353"</f>
        <v>20190303170350353</v>
      </c>
      <c r="B4899" t="str">
        <f>"1551603830340250"</f>
        <v>1551603830340250</v>
      </c>
      <c r="C4899" t="s">
        <v>40</v>
      </c>
      <c r="D4899">
        <v>4.4247829999999997</v>
      </c>
      <c r="E4899">
        <v>0.65032209999999901</v>
      </c>
      <c r="F4899" t="s">
        <v>56</v>
      </c>
      <c r="G4899">
        <v>-358.83150000000001</v>
      </c>
      <c r="H4899">
        <v>2.0225759999999999</v>
      </c>
      <c r="I4899">
        <v>119.0004</v>
      </c>
      <c r="J4899">
        <v>-198.78710000000001</v>
      </c>
      <c r="K4899">
        <v>1.1102430000000001</v>
      </c>
      <c r="L4899">
        <v>145.3767</v>
      </c>
      <c r="M4899">
        <v>-0.69524090000000005</v>
      </c>
      <c r="N4899">
        <v>-6.2611389999999998E-3</v>
      </c>
      <c r="O4899">
        <v>-0.71874959999999999</v>
      </c>
      <c r="P4899">
        <v>-0.8564351</v>
      </c>
      <c r="Q4899">
        <v>0.18491079999999999</v>
      </c>
      <c r="R4899">
        <v>-0.48200330000000002</v>
      </c>
      <c r="S4899">
        <v>-3.213638</v>
      </c>
      <c r="T4899">
        <v>1.8294100000000001E-2</v>
      </c>
      <c r="U4899">
        <v>-0.53280640000000001</v>
      </c>
      <c r="V4899">
        <v>0.28520519999999999</v>
      </c>
      <c r="W4899">
        <v>0.1836351</v>
      </c>
      <c r="X4899">
        <v>0.94071050000000001</v>
      </c>
      <c r="Y4899">
        <v>0.59531709999999904</v>
      </c>
      <c r="Z4899">
        <v>-8.3885269999999998E-3</v>
      </c>
      <c r="AA4899">
        <v>0.80344709999999997</v>
      </c>
      <c r="AB4899">
        <v>27</v>
      </c>
      <c r="AC4899">
        <v>-160.0444</v>
      </c>
      <c r="AD4899">
        <v>0.91233299999999895</v>
      </c>
      <c r="AE4899">
        <v>-26.376300000000001</v>
      </c>
      <c r="AF4899">
        <v>96.692797508270203</v>
      </c>
      <c r="AG4899">
        <v>0.91233299999999895</v>
      </c>
      <c r="AH4899">
        <v>130.225794138731</v>
      </c>
      <c r="AI4899">
        <v>89.677725889260003</v>
      </c>
      <c r="AJ4899">
        <v>53.406072382701701</v>
      </c>
      <c r="AK4899">
        <v>162.20076109729399</v>
      </c>
      <c r="AL4899">
        <v>79.418434387203803</v>
      </c>
      <c r="AM4899">
        <v>73.133712972911098</v>
      </c>
      <c r="AN4899">
        <v>1.00000005043464</v>
      </c>
    </row>
    <row r="4900" spans="1:40" x14ac:dyDescent="0.25">
      <c r="A4900" t="str">
        <f>"20190303170350377"</f>
        <v>20190303170350377</v>
      </c>
      <c r="B4900" t="str">
        <f>"1551603830360745"</f>
        <v>1551603830360745</v>
      </c>
      <c r="C4900" t="s">
        <v>40</v>
      </c>
      <c r="D4900">
        <v>4.4232620000000002</v>
      </c>
      <c r="E4900">
        <v>0.6520956</v>
      </c>
      <c r="F4900" t="s">
        <v>94</v>
      </c>
      <c r="G4900">
        <v>-373.59100000000001</v>
      </c>
      <c r="H4900">
        <v>3.0867640000000001</v>
      </c>
      <c r="I4900">
        <v>120.1902</v>
      </c>
      <c r="J4900">
        <v>-198.99930000000001</v>
      </c>
      <c r="K4900">
        <v>1.1100779999999999</v>
      </c>
      <c r="L4900">
        <v>145.1788</v>
      </c>
      <c r="M4900">
        <v>-0.70587939999999905</v>
      </c>
      <c r="N4900">
        <v>-6.3138389999999999E-3</v>
      </c>
      <c r="O4900">
        <v>-0.70830400000000004</v>
      </c>
      <c r="P4900">
        <v>-0.86262759999999905</v>
      </c>
      <c r="Q4900">
        <v>0.18592429999999999</v>
      </c>
      <c r="R4900">
        <v>-0.47043160000000001</v>
      </c>
      <c r="S4900">
        <v>-3.2328640000000002</v>
      </c>
      <c r="T4900">
        <v>3.6554339999999998E-2</v>
      </c>
      <c r="U4900">
        <v>-0.46580510000000003</v>
      </c>
      <c r="V4900">
        <v>0.28378399999999998</v>
      </c>
      <c r="W4900">
        <v>0.1846296</v>
      </c>
      <c r="X4900">
        <v>0.94094560000000005</v>
      </c>
      <c r="Y4900">
        <v>0.60029069999999995</v>
      </c>
      <c r="Z4900">
        <v>-1.354697E-2</v>
      </c>
      <c r="AA4900">
        <v>0.79966719999999902</v>
      </c>
      <c r="AB4900">
        <v>27</v>
      </c>
      <c r="AC4900">
        <v>-174.5917</v>
      </c>
      <c r="AD4900">
        <v>1.9766859999999999</v>
      </c>
      <c r="AE4900">
        <v>-24.988599999999899</v>
      </c>
      <c r="AF4900">
        <v>106.01385070512499</v>
      </c>
      <c r="AG4900">
        <v>1.9766859999999999</v>
      </c>
      <c r="AH4900">
        <v>140.92530714731001</v>
      </c>
      <c r="AI4900">
        <v>89.357800791542701</v>
      </c>
      <c r="AJ4900">
        <v>53.046961518633502</v>
      </c>
      <c r="AK4900">
        <v>176.35981975335201</v>
      </c>
      <c r="AL4900">
        <v>79.360462333995201</v>
      </c>
      <c r="AM4900">
        <v>73.216978793805595</v>
      </c>
      <c r="AN4900">
        <v>1.0000000350057501</v>
      </c>
    </row>
    <row r="4901" spans="1:40" x14ac:dyDescent="0.25">
      <c r="A4901" t="str">
        <f>"20190303170350399"</f>
        <v>20190303170350399</v>
      </c>
      <c r="B4901" t="str">
        <f>"1551603830390026"</f>
        <v>1551603830390026</v>
      </c>
      <c r="C4901" t="s">
        <v>40</v>
      </c>
      <c r="D4901">
        <v>4.3557499999999996</v>
      </c>
      <c r="E4901">
        <v>0.65282709999999999</v>
      </c>
      <c r="F4901" t="s">
        <v>94</v>
      </c>
      <c r="G4901">
        <v>-397.4212</v>
      </c>
      <c r="H4901">
        <v>3.9412739999999999</v>
      </c>
      <c r="I4901">
        <v>120.1767</v>
      </c>
      <c r="J4901">
        <v>-199.21960000000001</v>
      </c>
      <c r="K4901">
        <v>1.10991</v>
      </c>
      <c r="L4901">
        <v>144.97970000000001</v>
      </c>
      <c r="M4901">
        <v>-0.71667729999999996</v>
      </c>
      <c r="N4901">
        <v>-6.3735320000000003E-3</v>
      </c>
      <c r="O4901">
        <v>-0.697376</v>
      </c>
      <c r="P4901">
        <v>-0.86986260000000004</v>
      </c>
      <c r="Q4901">
        <v>0.18624950000000001</v>
      </c>
      <c r="R4901">
        <v>-0.45678259999999998</v>
      </c>
      <c r="S4901">
        <v>-3.2447970000000002</v>
      </c>
      <c r="T4901">
        <v>4.6298619999999999E-2</v>
      </c>
      <c r="U4901">
        <v>-0.40885929999999998</v>
      </c>
      <c r="V4901">
        <v>0.28418860000000001</v>
      </c>
      <c r="W4901">
        <v>0.18488740000000001</v>
      </c>
      <c r="X4901">
        <v>0.94077279999999996</v>
      </c>
      <c r="Y4901">
        <v>0.60215059999999998</v>
      </c>
      <c r="Z4901">
        <v>-1.6183909999999999E-2</v>
      </c>
      <c r="AA4901">
        <v>0.79821850000000005</v>
      </c>
      <c r="AB4901">
        <v>28</v>
      </c>
      <c r="AC4901">
        <v>-198.20160000000001</v>
      </c>
      <c r="AD4901">
        <v>2.8313640000000002</v>
      </c>
      <c r="AE4901">
        <v>-24.803000000000001</v>
      </c>
      <c r="AF4901">
        <v>120.42352692315799</v>
      </c>
      <c r="AG4901">
        <v>2.8313640000000002</v>
      </c>
      <c r="AH4901">
        <v>159.31481036492701</v>
      </c>
      <c r="AI4901">
        <v>89.187739854256506</v>
      </c>
      <c r="AJ4901">
        <v>52.914946402913699</v>
      </c>
      <c r="AK4901">
        <v>199.727442431745</v>
      </c>
      <c r="AL4901">
        <v>79.345432205391106</v>
      </c>
      <c r="AM4901">
        <v>73.191486035741093</v>
      </c>
      <c r="AN4901">
        <v>0.99999998613427898</v>
      </c>
    </row>
    <row r="4902" spans="1:40" x14ac:dyDescent="0.25">
      <c r="A4902" t="str">
        <f>"20190303170350420"</f>
        <v>20190303170350420</v>
      </c>
      <c r="B4902" t="str">
        <f>"1551603830410523"</f>
        <v>1551603830410523</v>
      </c>
      <c r="C4902" t="s">
        <v>40</v>
      </c>
      <c r="D4902">
        <v>4.374949</v>
      </c>
      <c r="E4902">
        <v>0.65298120000000004</v>
      </c>
      <c r="F4902" t="s">
        <v>77</v>
      </c>
      <c r="G4902">
        <v>-440.20710000000003</v>
      </c>
      <c r="H4902">
        <v>4.75101</v>
      </c>
      <c r="I4902">
        <v>118.7891</v>
      </c>
      <c r="J4902">
        <v>-199.41540000000001</v>
      </c>
      <c r="K4902">
        <v>1.109769</v>
      </c>
      <c r="L4902">
        <v>144.80770000000001</v>
      </c>
      <c r="M4902">
        <v>-0.72605989999999998</v>
      </c>
      <c r="N4902">
        <v>-6.4269560000000002E-3</v>
      </c>
      <c r="O4902">
        <v>-0.68760159999999904</v>
      </c>
      <c r="P4902">
        <v>-0.87617489999999998</v>
      </c>
      <c r="Q4902">
        <v>0.1855309</v>
      </c>
      <c r="R4902">
        <v>-0.4448549</v>
      </c>
      <c r="S4902">
        <v>-3.2526700000000002</v>
      </c>
      <c r="T4902">
        <v>4.9145220000000003E-2</v>
      </c>
      <c r="U4902">
        <v>-0.35350039999999999</v>
      </c>
      <c r="V4902">
        <v>0.2844468</v>
      </c>
      <c r="W4902">
        <v>0.1841169</v>
      </c>
      <c r="X4902">
        <v>0.94084590000000001</v>
      </c>
      <c r="Y4902">
        <v>0.60495569999999999</v>
      </c>
      <c r="Z4902">
        <v>-1.684774E-2</v>
      </c>
      <c r="AA4902">
        <v>0.79608080000000003</v>
      </c>
      <c r="AB4902">
        <v>28</v>
      </c>
      <c r="AC4902">
        <v>-240.79169999999999</v>
      </c>
      <c r="AD4902">
        <v>3.6412409999999999</v>
      </c>
      <c r="AE4902">
        <v>-26.018599999999999</v>
      </c>
      <c r="AF4902">
        <v>146.64756016405701</v>
      </c>
      <c r="AG4902">
        <v>3.6412409999999999</v>
      </c>
      <c r="AH4902">
        <v>192.68003308270499</v>
      </c>
      <c r="AI4902">
        <v>89.138460300345201</v>
      </c>
      <c r="AJ4902">
        <v>52.7254654335498</v>
      </c>
      <c r="AK4902">
        <v>242.165977558457</v>
      </c>
      <c r="AL4902">
        <v>79.3903500140094</v>
      </c>
      <c r="AM4902">
        <v>73.178310211225806</v>
      </c>
      <c r="AN4902">
        <v>1.0000000112213201</v>
      </c>
    </row>
    <row r="4903" spans="1:40" x14ac:dyDescent="0.25">
      <c r="A4903" t="str">
        <f>"20190303170350441"</f>
        <v>20190303170350441</v>
      </c>
      <c r="B4903" t="str">
        <f>"1551603830430042"</f>
        <v>1551603830430042</v>
      </c>
      <c r="C4903" t="s">
        <v>40</v>
      </c>
      <c r="D4903">
        <v>4.3815200000000001</v>
      </c>
      <c r="E4903">
        <v>0.65249519999999905</v>
      </c>
      <c r="F4903" t="s">
        <v>77</v>
      </c>
      <c r="G4903">
        <v>-468.42669999999998</v>
      </c>
      <c r="H4903">
        <v>5.0363949999999997</v>
      </c>
      <c r="I4903">
        <v>119.395</v>
      </c>
      <c r="J4903">
        <v>-199.62430000000001</v>
      </c>
      <c r="K4903">
        <v>1.109623</v>
      </c>
      <c r="L4903">
        <v>144.6293</v>
      </c>
      <c r="M4903">
        <v>-0.73584719999999904</v>
      </c>
      <c r="N4903">
        <v>-6.4857819999999998E-3</v>
      </c>
      <c r="O4903">
        <v>-0.67711679999999996</v>
      </c>
      <c r="P4903">
        <v>-0.88232900000000003</v>
      </c>
      <c r="Q4903">
        <v>0.18496299999999999</v>
      </c>
      <c r="R4903">
        <v>-0.43276399999999998</v>
      </c>
      <c r="S4903">
        <v>-3.2576450000000001</v>
      </c>
      <c r="T4903">
        <v>4.7550559999999999E-2</v>
      </c>
      <c r="U4903">
        <v>-0.30773929999999999</v>
      </c>
      <c r="V4903">
        <v>0.28402230000000001</v>
      </c>
      <c r="W4903">
        <v>0.1835184</v>
      </c>
      <c r="X4903">
        <v>0.94109109999999996</v>
      </c>
      <c r="Y4903">
        <v>0.60474689999999998</v>
      </c>
      <c r="Z4903">
        <v>-1.6223560000000001E-2</v>
      </c>
      <c r="AA4903">
        <v>0.79625249999999903</v>
      </c>
      <c r="AB4903">
        <v>28</v>
      </c>
      <c r="AC4903">
        <v>-268.80239999999998</v>
      </c>
      <c r="AD4903">
        <v>3.9267720000000002</v>
      </c>
      <c r="AE4903">
        <v>-25.234300000000001</v>
      </c>
      <c r="AF4903">
        <v>163.41087475740301</v>
      </c>
      <c r="AG4903">
        <v>3.9267720000000002</v>
      </c>
      <c r="AH4903">
        <v>214.843098235486</v>
      </c>
      <c r="AI4903">
        <v>89.166547024584304</v>
      </c>
      <c r="AJ4903">
        <v>52.743176182211897</v>
      </c>
      <c r="AK4903">
        <v>269.955719307339</v>
      </c>
      <c r="AL4903">
        <v>79.425236549948906</v>
      </c>
      <c r="AM4903">
        <v>73.206129683740798</v>
      </c>
      <c r="AN4903">
        <v>1.00000006426752</v>
      </c>
    </row>
    <row r="4904" spans="1:40" x14ac:dyDescent="0.25">
      <c r="A4904" t="str">
        <f>"20190303170350464"</f>
        <v>20190303170350464</v>
      </c>
      <c r="B4904" t="str">
        <f>"1551603830450538"</f>
        <v>1551603830450538</v>
      </c>
      <c r="C4904" t="s">
        <v>40</v>
      </c>
      <c r="D4904">
        <v>4.3594470000000003</v>
      </c>
      <c r="E4904">
        <v>0.65173289999999995</v>
      </c>
      <c r="F4904" t="s">
        <v>48</v>
      </c>
      <c r="G4904">
        <v>0</v>
      </c>
      <c r="H4904">
        <v>0</v>
      </c>
      <c r="I4904">
        <v>0</v>
      </c>
      <c r="J4904">
        <v>-199.84790000000001</v>
      </c>
      <c r="K4904">
        <v>1.1094660000000001</v>
      </c>
      <c r="L4904">
        <v>144.44409999999999</v>
      </c>
      <c r="M4904">
        <v>-0.74608240000000003</v>
      </c>
      <c r="N4904">
        <v>-6.5506619999999996E-3</v>
      </c>
      <c r="O4904">
        <v>-0.66582159999999901</v>
      </c>
      <c r="P4904">
        <v>-0.88861970000000001</v>
      </c>
      <c r="Q4904">
        <v>0.184979</v>
      </c>
      <c r="R4904">
        <v>-0.41968840000000002</v>
      </c>
      <c r="S4904">
        <v>-3.26004</v>
      </c>
      <c r="T4904">
        <v>4.7716380000000003E-2</v>
      </c>
      <c r="U4904">
        <v>-0.2651367</v>
      </c>
      <c r="V4904">
        <v>0.28364080000000003</v>
      </c>
      <c r="W4904">
        <v>0.18350340000000001</v>
      </c>
      <c r="X4904">
        <v>0.94120899999999996</v>
      </c>
      <c r="Y4904">
        <v>0.60298839999999998</v>
      </c>
      <c r="Z4904">
        <v>-1.60854E-2</v>
      </c>
      <c r="AA4904">
        <v>0.79758779999999996</v>
      </c>
      <c r="AB4904">
        <v>28</v>
      </c>
      <c r="AC4904">
        <v>-3.26004</v>
      </c>
      <c r="AD4904">
        <v>4.7716380000000003E-2</v>
      </c>
      <c r="AE4904">
        <v>-0.2651367</v>
      </c>
      <c r="AF4904">
        <v>1.9724135117993999</v>
      </c>
      <c r="AG4904">
        <v>4.7716380000000003E-2</v>
      </c>
      <c r="AH4904">
        <v>2.60829272843938</v>
      </c>
      <c r="AI4904">
        <v>89.164017452143298</v>
      </c>
      <c r="AJ4904">
        <v>52.903113321208799</v>
      </c>
      <c r="AK4904">
        <v>3.2704560647834602</v>
      </c>
      <c r="AL4904">
        <v>79.426110055225095</v>
      </c>
      <c r="AM4904">
        <v>73.229402741100401</v>
      </c>
      <c r="AN4904">
        <v>0.99999999145859997</v>
      </c>
    </row>
    <row r="4905" spans="1:40" x14ac:dyDescent="0.25">
      <c r="A4905" t="str">
        <f>"20190303170350487"</f>
        <v>20190303170350487</v>
      </c>
      <c r="B4905" t="str">
        <f>"1551603830480794"</f>
        <v>1551603830480794</v>
      </c>
      <c r="C4905" t="s">
        <v>40</v>
      </c>
      <c r="D4905">
        <v>4.3301999999999996</v>
      </c>
      <c r="E4905">
        <v>0.65054639999999997</v>
      </c>
      <c r="F4905" t="s">
        <v>48</v>
      </c>
      <c r="G4905">
        <v>0</v>
      </c>
      <c r="H4905">
        <v>0</v>
      </c>
      <c r="I4905">
        <v>0</v>
      </c>
      <c r="J4905">
        <v>-200.08770000000001</v>
      </c>
      <c r="K4905">
        <v>1.109297</v>
      </c>
      <c r="L4905">
        <v>144.25149999999999</v>
      </c>
      <c r="M4905">
        <v>-0.75679419999999897</v>
      </c>
      <c r="N4905">
        <v>-6.6226059999999996E-3</v>
      </c>
      <c r="O4905">
        <v>-0.65361979999999997</v>
      </c>
      <c r="P4905">
        <v>-0.89572949999999996</v>
      </c>
      <c r="Q4905">
        <v>0.18511130000000001</v>
      </c>
      <c r="R4905">
        <v>-0.4042308</v>
      </c>
      <c r="S4905">
        <v>-3.2616269999999998</v>
      </c>
      <c r="T4905">
        <v>4.5926689999999999E-2</v>
      </c>
      <c r="U4905">
        <v>-0.2219238</v>
      </c>
      <c r="V4905">
        <v>0.28472439999999999</v>
      </c>
      <c r="W4905">
        <v>0.18356339999999999</v>
      </c>
      <c r="X4905">
        <v>0.94087010000000004</v>
      </c>
      <c r="Y4905">
        <v>0.60058639999999996</v>
      </c>
      <c r="Z4905">
        <v>-1.5385660000000001E-2</v>
      </c>
      <c r="AA4905">
        <v>0.79941180000000001</v>
      </c>
      <c r="AB4905">
        <v>28</v>
      </c>
      <c r="AC4905">
        <v>-3.2616269999999998</v>
      </c>
      <c r="AD4905">
        <v>4.5926689999999999E-2</v>
      </c>
      <c r="AE4905">
        <v>-0.2219238</v>
      </c>
      <c r="AF4905">
        <v>1.96356872470725</v>
      </c>
      <c r="AG4905">
        <v>4.5926689999999999E-2</v>
      </c>
      <c r="AH4905">
        <v>2.6129755931296299</v>
      </c>
      <c r="AI4905">
        <v>89.194978213467806</v>
      </c>
      <c r="AJ4905">
        <v>53.076293183708401</v>
      </c>
      <c r="AK4905">
        <v>3.26884579749396</v>
      </c>
      <c r="AL4905">
        <v>79.422613267382403</v>
      </c>
      <c r="AM4905">
        <v>73.163230516667994</v>
      </c>
      <c r="AN4905">
        <v>1.0000000254244601</v>
      </c>
    </row>
    <row r="4906" spans="1:40" x14ac:dyDescent="0.25">
      <c r="A4906" t="str">
        <f>"20190303170350511"</f>
        <v>20190303170350511</v>
      </c>
      <c r="B4906" t="str">
        <f>"1551603830500314"</f>
        <v>1551603830500314</v>
      </c>
      <c r="C4906" t="s">
        <v>40</v>
      </c>
      <c r="D4906">
        <v>4.3950659999999999</v>
      </c>
      <c r="E4906">
        <v>0.63553000000000004</v>
      </c>
      <c r="F4906" t="s">
        <v>48</v>
      </c>
      <c r="G4906">
        <v>0</v>
      </c>
      <c r="H4906">
        <v>0</v>
      </c>
      <c r="I4906">
        <v>0</v>
      </c>
      <c r="J4906">
        <v>-200.32380000000001</v>
      </c>
      <c r="K4906">
        <v>1.1091420000000001</v>
      </c>
      <c r="L4906">
        <v>144.06809999999999</v>
      </c>
      <c r="M4906">
        <v>-0.76706680000000005</v>
      </c>
      <c r="N4906">
        <v>-6.6987779999999999E-3</v>
      </c>
      <c r="O4906">
        <v>-0.641532199999999</v>
      </c>
      <c r="P4906">
        <v>-0.90201019999999998</v>
      </c>
      <c r="Q4906">
        <v>0.18452969999999999</v>
      </c>
      <c r="R4906">
        <v>-0.39029029999999998</v>
      </c>
      <c r="S4906">
        <v>-3.261978</v>
      </c>
      <c r="T4906">
        <v>3.8173079999999998E-2</v>
      </c>
      <c r="U4906">
        <v>-0.17590329999999901</v>
      </c>
      <c r="V4906">
        <v>0.28452250000000001</v>
      </c>
      <c r="W4906">
        <v>0.18295449999999999</v>
      </c>
      <c r="X4906">
        <v>0.94104980000000005</v>
      </c>
      <c r="Y4906">
        <v>0.59918800000000005</v>
      </c>
      <c r="Z4906">
        <v>-1.306642E-2</v>
      </c>
      <c r="AA4906">
        <v>0.80050169999999998</v>
      </c>
      <c r="AB4906">
        <v>28</v>
      </c>
      <c r="AC4906">
        <v>-3.261978</v>
      </c>
      <c r="AD4906">
        <v>3.8173079999999998E-2</v>
      </c>
      <c r="AE4906">
        <v>-0.17590329999999901</v>
      </c>
      <c r="AF4906">
        <v>1.95751105541687</v>
      </c>
      <c r="AG4906">
        <v>3.8173079999999998E-2</v>
      </c>
      <c r="AH4906">
        <v>2.61470440778846</v>
      </c>
      <c r="AI4906">
        <v>89.330411789078994</v>
      </c>
      <c r="AJ4906">
        <v>53.179461052639702</v>
      </c>
      <c r="AK4906">
        <v>3.2664944292351601</v>
      </c>
      <c r="AL4906">
        <v>79.458102087050406</v>
      </c>
      <c r="AM4906">
        <v>73.177526158797505</v>
      </c>
      <c r="AN4906">
        <v>1.00000006407826</v>
      </c>
    </row>
    <row r="4907" spans="1:40" x14ac:dyDescent="0.25">
      <c r="A4907" t="str">
        <f>"20190303170350532"</f>
        <v>20190303170350532</v>
      </c>
      <c r="B4907" t="str">
        <f>"1551603830520810"</f>
        <v>1551603830520810</v>
      </c>
      <c r="C4907" t="s">
        <v>40</v>
      </c>
      <c r="D4907">
        <v>4.3667089999999904</v>
      </c>
      <c r="E4907">
        <v>0.63495880000000005</v>
      </c>
      <c r="F4907" t="s">
        <v>48</v>
      </c>
      <c r="G4907">
        <v>0</v>
      </c>
      <c r="H4907">
        <v>0</v>
      </c>
      <c r="I4907">
        <v>0</v>
      </c>
      <c r="J4907">
        <v>-200.542</v>
      </c>
      <c r="K4907">
        <v>1.109</v>
      </c>
      <c r="L4907">
        <v>143.90379999999999</v>
      </c>
      <c r="M4907">
        <v>-0.77632690000000004</v>
      </c>
      <c r="N4907">
        <v>-6.7728349999999996E-3</v>
      </c>
      <c r="O4907">
        <v>-0.63029409999999997</v>
      </c>
      <c r="P4907">
        <v>-0.90720279999999998</v>
      </c>
      <c r="Q4907">
        <v>0.18439459999999999</v>
      </c>
      <c r="R4907">
        <v>-0.3781294</v>
      </c>
      <c r="S4907">
        <v>-3.2211910000000001</v>
      </c>
      <c r="T4907">
        <v>6.7173240000000002E-3</v>
      </c>
      <c r="U4907">
        <v>-0.23887630000000001</v>
      </c>
      <c r="V4907">
        <v>0.28354590000000002</v>
      </c>
      <c r="W4907">
        <v>0.1828246</v>
      </c>
      <c r="X4907">
        <v>0.94136969999999998</v>
      </c>
      <c r="Y4907">
        <v>0.57114549999999997</v>
      </c>
      <c r="Z4907">
        <v>-4.4368039999999999E-3</v>
      </c>
      <c r="AA4907">
        <v>0.82083680000000003</v>
      </c>
      <c r="AB4907">
        <v>28</v>
      </c>
      <c r="AC4907">
        <v>-3.2211910000000001</v>
      </c>
      <c r="AD4907">
        <v>6.7173240000000002E-3</v>
      </c>
      <c r="AE4907">
        <v>-0.23887630000000001</v>
      </c>
      <c r="AF4907">
        <v>1.8448859391064201</v>
      </c>
      <c r="AG4907">
        <v>6.7173240000000002E-3</v>
      </c>
      <c r="AH4907">
        <v>2.6513089168507098</v>
      </c>
      <c r="AI4907">
        <v>89.880844854342996</v>
      </c>
      <c r="AJ4907">
        <v>55.168271855533597</v>
      </c>
      <c r="AK4907">
        <v>3.2300291366064098</v>
      </c>
      <c r="AL4907">
        <v>79.465671939185597</v>
      </c>
      <c r="AM4907">
        <v>73.237400358972195</v>
      </c>
      <c r="AN4907">
        <v>1.0000000119250201</v>
      </c>
    </row>
    <row r="4908" spans="1:40" x14ac:dyDescent="0.25">
      <c r="A4908" t="str">
        <f>"20190303170350555"</f>
        <v>20190303170350555</v>
      </c>
      <c r="B4908" t="str">
        <f>"1551603830550090"</f>
        <v>1551603830550090</v>
      </c>
      <c r="C4908" t="s">
        <v>40</v>
      </c>
      <c r="D4908">
        <v>4.1409129999999896</v>
      </c>
      <c r="E4908">
        <v>0.63523050000000003</v>
      </c>
      <c r="F4908" t="s">
        <v>48</v>
      </c>
      <c r="G4908">
        <v>0</v>
      </c>
      <c r="H4908">
        <v>0</v>
      </c>
      <c r="I4908">
        <v>0</v>
      </c>
      <c r="J4908">
        <v>-200.79060000000001</v>
      </c>
      <c r="K4908">
        <v>1.1088499999999999</v>
      </c>
      <c r="L4908">
        <v>143.7225</v>
      </c>
      <c r="M4908">
        <v>-0.78660220000000003</v>
      </c>
      <c r="N4908">
        <v>-6.8561500000000001E-3</v>
      </c>
      <c r="O4908">
        <v>-0.61742219999999903</v>
      </c>
      <c r="P4908">
        <v>-0.91278769999999998</v>
      </c>
      <c r="Q4908">
        <v>0.18516350000000001</v>
      </c>
      <c r="R4908">
        <v>-0.36405130000000002</v>
      </c>
      <c r="S4908">
        <v>-3.2224119999999998</v>
      </c>
      <c r="T4908">
        <v>7.8818800000000008E-3</v>
      </c>
      <c r="U4908">
        <v>-0.19879150000000001</v>
      </c>
      <c r="V4908">
        <v>0.28259709999999899</v>
      </c>
      <c r="W4908">
        <v>0.18359800000000001</v>
      </c>
      <c r="X4908">
        <v>0.94150440000000002</v>
      </c>
      <c r="Y4908">
        <v>0.56780600000000003</v>
      </c>
      <c r="Z4908">
        <v>-4.6588920000000004E-3</v>
      </c>
      <c r="AA4908">
        <v>0.82314909999999997</v>
      </c>
      <c r="AB4908">
        <v>28</v>
      </c>
      <c r="AC4908">
        <v>-3.2224119999999998</v>
      </c>
      <c r="AD4908">
        <v>7.8818800000000008E-3</v>
      </c>
      <c r="AE4908">
        <v>-0.19879150000000001</v>
      </c>
      <c r="AF4908">
        <v>1.8332508531278999</v>
      </c>
      <c r="AG4908">
        <v>7.8818800000000008E-3</v>
      </c>
      <c r="AH4908">
        <v>2.6575410101761601</v>
      </c>
      <c r="AI4908">
        <v>89.860122364078805</v>
      </c>
      <c r="AJ4908">
        <v>55.400933302547699</v>
      </c>
      <c r="AK4908">
        <v>3.2285283079593201</v>
      </c>
      <c r="AL4908">
        <v>79.420595653999499</v>
      </c>
      <c r="AM4908">
        <v>73.292617100192203</v>
      </c>
      <c r="AN4908">
        <v>0.99999994087588295</v>
      </c>
    </row>
    <row r="4909" spans="1:40" x14ac:dyDescent="0.25">
      <c r="A4909" t="str">
        <f>"20190303170350578"</f>
        <v>20190303170350578</v>
      </c>
      <c r="B4909" t="str">
        <f>"1551603830570586"</f>
        <v>1551603830570586</v>
      </c>
      <c r="C4909" t="s">
        <v>40</v>
      </c>
      <c r="D4909">
        <v>4.1472199999999999</v>
      </c>
      <c r="E4909">
        <v>0.63364299999999996</v>
      </c>
      <c r="F4909" t="s">
        <v>48</v>
      </c>
      <c r="G4909">
        <v>0</v>
      </c>
      <c r="H4909">
        <v>0</v>
      </c>
      <c r="I4909">
        <v>0</v>
      </c>
      <c r="J4909">
        <v>-201.04509999999999</v>
      </c>
      <c r="K4909">
        <v>1.1087049999999901</v>
      </c>
      <c r="L4909">
        <v>143.5438</v>
      </c>
      <c r="M4909">
        <v>-0.79681059999999904</v>
      </c>
      <c r="N4909">
        <v>-6.9408250000000003E-3</v>
      </c>
      <c r="O4909">
        <v>-0.60418950000000005</v>
      </c>
      <c r="P4909">
        <v>-0.91865390000000002</v>
      </c>
      <c r="Q4909">
        <v>0.18581790000000001</v>
      </c>
      <c r="R4909">
        <v>-0.34863630000000001</v>
      </c>
      <c r="S4909">
        <v>-3.2234189999999998</v>
      </c>
      <c r="T4909">
        <v>2.7108549999999999E-2</v>
      </c>
      <c r="U4909">
        <v>-0.14466860000000001</v>
      </c>
      <c r="V4909">
        <v>0.28271489999999999</v>
      </c>
      <c r="W4909">
        <v>0.18423129999999999</v>
      </c>
      <c r="X4909">
        <v>0.9413454</v>
      </c>
      <c r="Y4909">
        <v>0.56779630000000003</v>
      </c>
      <c r="Z4909">
        <v>-9.6318470000000007E-3</v>
      </c>
      <c r="AA4909">
        <v>0.82311270000000003</v>
      </c>
      <c r="AB4909">
        <v>29</v>
      </c>
      <c r="AC4909">
        <v>-3.2234189999999998</v>
      </c>
      <c r="AD4909">
        <v>2.7108549999999999E-2</v>
      </c>
      <c r="AE4909">
        <v>-0.14466860000000001</v>
      </c>
      <c r="AF4909">
        <v>1.8321970157037899</v>
      </c>
      <c r="AG4909">
        <v>2.7108549999999999E-2</v>
      </c>
      <c r="AH4909">
        <v>2.6557378555992202</v>
      </c>
      <c r="AI4909">
        <v>89.518611575909503</v>
      </c>
      <c r="AJ4909">
        <v>55.398155486059103</v>
      </c>
      <c r="AK4909">
        <v>3.2265499121352099</v>
      </c>
      <c r="AL4909">
        <v>79.383681440353996</v>
      </c>
      <c r="AM4909">
        <v>73.283375404309098</v>
      </c>
      <c r="AN4909">
        <v>1.00000002434142</v>
      </c>
    </row>
    <row r="4910" spans="1:40" x14ac:dyDescent="0.25">
      <c r="A4910" t="str">
        <f>"20190303170350598"</f>
        <v>20190303170350598</v>
      </c>
      <c r="B4910" t="str">
        <f>"1551603830590106"</f>
        <v>1551603830590106</v>
      </c>
      <c r="C4910" t="s">
        <v>40</v>
      </c>
      <c r="D4910">
        <v>4.1357660000000003</v>
      </c>
      <c r="E4910">
        <v>0.63230350000000002</v>
      </c>
      <c r="F4910" t="s">
        <v>48</v>
      </c>
      <c r="G4910">
        <v>0</v>
      </c>
      <c r="H4910">
        <v>0</v>
      </c>
      <c r="I4910">
        <v>0</v>
      </c>
      <c r="J4910">
        <v>-201.26779999999999</v>
      </c>
      <c r="K4910">
        <v>1.1085929999999999</v>
      </c>
      <c r="L4910">
        <v>143.39230000000001</v>
      </c>
      <c r="M4910">
        <v>-0.80548969999999998</v>
      </c>
      <c r="N4910">
        <v>-7.0121769999999996E-3</v>
      </c>
      <c r="O4910">
        <v>-0.59256880000000001</v>
      </c>
      <c r="P4910">
        <v>-0.92351799999999995</v>
      </c>
      <c r="Q4910">
        <v>0.1854449</v>
      </c>
      <c r="R4910">
        <v>-0.33574609999999999</v>
      </c>
      <c r="S4910">
        <v>-3.2199710000000001</v>
      </c>
      <c r="T4910">
        <v>3.4768100000000003E-2</v>
      </c>
      <c r="U4910">
        <v>-0.1018372</v>
      </c>
      <c r="V4910">
        <v>0.2823213</v>
      </c>
      <c r="W4910">
        <v>0.183861</v>
      </c>
      <c r="X4910">
        <v>0.94153589999999998</v>
      </c>
      <c r="Y4910">
        <v>0.56672019999999901</v>
      </c>
      <c r="Z4910">
        <v>-1.1495999999999999E-2</v>
      </c>
      <c r="AA4910">
        <v>0.82383009999999901</v>
      </c>
      <c r="AB4910">
        <v>29</v>
      </c>
      <c r="AC4910">
        <v>-3.2199710000000001</v>
      </c>
      <c r="AD4910">
        <v>3.4768100000000003E-2</v>
      </c>
      <c r="AE4910">
        <v>-0.1018372</v>
      </c>
      <c r="AF4910">
        <v>1.8258572114075</v>
      </c>
      <c r="AG4910">
        <v>3.4768100000000003E-2</v>
      </c>
      <c r="AH4910">
        <v>2.65375437455292</v>
      </c>
      <c r="AI4910">
        <v>89.381601748092194</v>
      </c>
      <c r="AJ4910">
        <v>55.470941002211902</v>
      </c>
      <c r="AK4910">
        <v>3.2213934341655901</v>
      </c>
      <c r="AL4910">
        <v>79.405266722039499</v>
      </c>
      <c r="AM4910">
        <v>73.308542543325004</v>
      </c>
      <c r="AN4910">
        <v>1.00000001737174</v>
      </c>
    </row>
    <row r="4911" spans="1:40" x14ac:dyDescent="0.25">
      <c r="A4911" t="str">
        <f>"20190303170350620"</f>
        <v>20190303170350620</v>
      </c>
      <c r="B4911" t="str">
        <f>"1551603830610603"</f>
        <v>1551603830610603</v>
      </c>
      <c r="C4911" t="s">
        <v>40</v>
      </c>
      <c r="D4911">
        <v>4.1417250000000001</v>
      </c>
      <c r="E4911">
        <v>0.63102389999999997</v>
      </c>
      <c r="F4911" t="s">
        <v>48</v>
      </c>
      <c r="G4911">
        <v>0</v>
      </c>
      <c r="H4911">
        <v>0</v>
      </c>
      <c r="I4911">
        <v>0</v>
      </c>
      <c r="J4911">
        <v>-201.50540000000001</v>
      </c>
      <c r="K4911">
        <v>1.108482</v>
      </c>
      <c r="L4911">
        <v>143.23580000000001</v>
      </c>
      <c r="M4911">
        <v>-0.8144922</v>
      </c>
      <c r="N4911">
        <v>-7.08459E-3</v>
      </c>
      <c r="O4911">
        <v>-0.58013139999999996</v>
      </c>
      <c r="P4911">
        <v>-0.92796809999999996</v>
      </c>
      <c r="Q4911">
        <v>0.1859893</v>
      </c>
      <c r="R4911">
        <v>-0.32292949999999998</v>
      </c>
      <c r="S4911">
        <v>-3.217133</v>
      </c>
      <c r="T4911">
        <v>3.5709499999999998E-2</v>
      </c>
      <c r="U4911">
        <v>-6.6390989999999997E-2</v>
      </c>
      <c r="V4911">
        <v>0.28090169999999998</v>
      </c>
      <c r="W4911">
        <v>0.1844441</v>
      </c>
      <c r="X4911">
        <v>0.94184639999999997</v>
      </c>
      <c r="Y4911">
        <v>0.56311020000000001</v>
      </c>
      <c r="Z4911">
        <v>-1.155524E-2</v>
      </c>
      <c r="AA4911">
        <v>0.82630099999999995</v>
      </c>
      <c r="AB4911">
        <v>29</v>
      </c>
      <c r="AC4911">
        <v>-3.217133</v>
      </c>
      <c r="AD4911">
        <v>3.5709499999999998E-2</v>
      </c>
      <c r="AE4911">
        <v>-6.6390989999999997E-2</v>
      </c>
      <c r="AF4911">
        <v>1.8121070838548901</v>
      </c>
      <c r="AG4911">
        <v>3.5709499999999998E-2</v>
      </c>
      <c r="AH4911">
        <v>2.65858431390641</v>
      </c>
      <c r="AI4911">
        <v>89.364112074670501</v>
      </c>
      <c r="AJ4911">
        <v>55.721421980319697</v>
      </c>
      <c r="AK4911">
        <v>3.2176198976722801</v>
      </c>
      <c r="AL4911">
        <v>79.371276223476499</v>
      </c>
      <c r="AM4911">
        <v>73.393011482770902</v>
      </c>
      <c r="AN4911">
        <v>1.00000001614032</v>
      </c>
    </row>
    <row r="4912" spans="1:40" x14ac:dyDescent="0.25">
      <c r="A4912" t="str">
        <f>"20190303170350643"</f>
        <v>20190303170350643</v>
      </c>
      <c r="B4912" t="str">
        <f>"1551603830630122"</f>
        <v>1551603830630122</v>
      </c>
      <c r="C4912" t="s">
        <v>40</v>
      </c>
      <c r="D4912">
        <v>4.1692109999999998</v>
      </c>
      <c r="E4912">
        <v>0.61681779999999997</v>
      </c>
      <c r="F4912" t="s">
        <v>48</v>
      </c>
      <c r="G4912">
        <v>0</v>
      </c>
      <c r="H4912">
        <v>0</v>
      </c>
      <c r="I4912">
        <v>0</v>
      </c>
      <c r="J4912">
        <v>-201.7568</v>
      </c>
      <c r="K4912">
        <v>1.108376</v>
      </c>
      <c r="L4912">
        <v>143.07579999999999</v>
      </c>
      <c r="M4912">
        <v>-0.82372000000000001</v>
      </c>
      <c r="N4912">
        <v>-7.1589979999999998E-3</v>
      </c>
      <c r="O4912">
        <v>-0.56695189999999995</v>
      </c>
      <c r="P4912">
        <v>-0.9326972</v>
      </c>
      <c r="Q4912">
        <v>0.18671080000000001</v>
      </c>
      <c r="R4912">
        <v>-0.30856980000000001</v>
      </c>
      <c r="S4912">
        <v>-3.2139890000000002</v>
      </c>
      <c r="T4912">
        <v>3.8085340000000002E-2</v>
      </c>
      <c r="U4912">
        <v>-3.233337E-2</v>
      </c>
      <c r="V4912">
        <v>0.28027259999999998</v>
      </c>
      <c r="W4912">
        <v>0.1851845</v>
      </c>
      <c r="X4912">
        <v>0.94188850000000002</v>
      </c>
      <c r="Y4912">
        <v>0.55853469999999905</v>
      </c>
      <c r="Z4912">
        <v>-1.1955759999999999E-2</v>
      </c>
      <c r="AA4912">
        <v>0.82939490000000005</v>
      </c>
      <c r="AB4912">
        <v>29</v>
      </c>
      <c r="AC4912">
        <v>-3.2139890000000002</v>
      </c>
      <c r="AD4912">
        <v>3.8085340000000002E-2</v>
      </c>
      <c r="AE4912">
        <v>-3.233337E-2</v>
      </c>
      <c r="AF4912">
        <v>1.79533715459592</v>
      </c>
      <c r="AG4912">
        <v>3.8085340000000002E-2</v>
      </c>
      <c r="AH4912">
        <v>2.6654520938995998</v>
      </c>
      <c r="AI4912">
        <v>89.321023488985801</v>
      </c>
      <c r="AJ4912">
        <v>56.037438973264898</v>
      </c>
      <c r="AK4912">
        <v>3.2139260813947201</v>
      </c>
      <c r="AL4912">
        <v>79.328110532695504</v>
      </c>
      <c r="AM4912">
        <v>73.428862239416802</v>
      </c>
      <c r="AN4912">
        <v>0.99999998789163003</v>
      </c>
    </row>
    <row r="4913" spans="1:40" x14ac:dyDescent="0.25">
      <c r="A4913" t="str">
        <f>"20190303170350666"</f>
        <v>20190303170350666</v>
      </c>
      <c r="B4913" t="str">
        <f>"1551603830660378"</f>
        <v>1551603830660378</v>
      </c>
      <c r="C4913" t="s">
        <v>40</v>
      </c>
      <c r="D4913">
        <v>4.1272479999999998</v>
      </c>
      <c r="E4913">
        <v>0.61570509999999901</v>
      </c>
      <c r="F4913" t="s">
        <v>48</v>
      </c>
      <c r="G4913">
        <v>0</v>
      </c>
      <c r="H4913">
        <v>0</v>
      </c>
      <c r="I4913">
        <v>0</v>
      </c>
      <c r="J4913">
        <v>-202.01689999999999</v>
      </c>
      <c r="K4913">
        <v>1.1082749999999999</v>
      </c>
      <c r="L4913">
        <v>142.916</v>
      </c>
      <c r="M4913">
        <v>-0.83296019999999904</v>
      </c>
      <c r="N4913">
        <v>-7.2330060000000002E-3</v>
      </c>
      <c r="O4913">
        <v>-0.55328580000000005</v>
      </c>
      <c r="P4913">
        <v>-0.93754610000000005</v>
      </c>
      <c r="Q4913">
        <v>0.18726000000000001</v>
      </c>
      <c r="R4913">
        <v>-0.29315740000000001</v>
      </c>
      <c r="S4913">
        <v>-3.1814879999999999</v>
      </c>
      <c r="T4913">
        <v>1.9678589999999999E-2</v>
      </c>
      <c r="U4913">
        <v>-9.3841549999999996E-2</v>
      </c>
      <c r="V4913">
        <v>0.28025949999999999</v>
      </c>
      <c r="W4913">
        <v>0.1857365</v>
      </c>
      <c r="X4913">
        <v>0.9417837</v>
      </c>
      <c r="Y4913">
        <v>0.52845240000000004</v>
      </c>
      <c r="Z4913">
        <v>-7.1725309999999898E-3</v>
      </c>
      <c r="AA4913">
        <v>0.84893269999999998</v>
      </c>
      <c r="AB4913">
        <v>29</v>
      </c>
      <c r="AC4913">
        <v>-3.1814879999999999</v>
      </c>
      <c r="AD4913">
        <v>1.9678589999999999E-2</v>
      </c>
      <c r="AE4913">
        <v>-9.3841549999999996E-2</v>
      </c>
      <c r="AF4913">
        <v>1.6820854037125701</v>
      </c>
      <c r="AG4913">
        <v>1.9678589999999999E-2</v>
      </c>
      <c r="AH4913">
        <v>2.7019412236139</v>
      </c>
      <c r="AI4913">
        <v>89.645751070587593</v>
      </c>
      <c r="AJ4913">
        <v>58.095795401568203</v>
      </c>
      <c r="AK4913">
        <v>3.1828108533419801</v>
      </c>
      <c r="AL4913">
        <v>79.295924877566605</v>
      </c>
      <c r="AM4913">
        <v>73.427851508082298</v>
      </c>
      <c r="AN4913">
        <v>0.99999998617909402</v>
      </c>
    </row>
    <row r="4914" spans="1:40" x14ac:dyDescent="0.25">
      <c r="A4914" t="str">
        <f>"20190303170350689"</f>
        <v>20190303170350689</v>
      </c>
      <c r="B4914" t="str">
        <f>"1551603830680874"</f>
        <v>1551603830680874</v>
      </c>
      <c r="C4914" t="s">
        <v>40</v>
      </c>
      <c r="D4914">
        <v>4.0812900000000001</v>
      </c>
      <c r="E4914">
        <v>0.60782290000000005</v>
      </c>
      <c r="F4914" t="s">
        <v>48</v>
      </c>
      <c r="G4914">
        <v>0</v>
      </c>
      <c r="H4914">
        <v>0</v>
      </c>
      <c r="I4914">
        <v>0</v>
      </c>
      <c r="J4914">
        <v>-202.28749999999999</v>
      </c>
      <c r="K4914">
        <v>1.108161</v>
      </c>
      <c r="L4914">
        <v>142.75579999999999</v>
      </c>
      <c r="M4914">
        <v>-0.8422385</v>
      </c>
      <c r="N4914">
        <v>-7.3052339999999999E-3</v>
      </c>
      <c r="O4914">
        <v>-0.53905579999999997</v>
      </c>
      <c r="P4914">
        <v>-0.94238180000000005</v>
      </c>
      <c r="Q4914">
        <v>0.1870655</v>
      </c>
      <c r="R4914">
        <v>-0.2773504</v>
      </c>
      <c r="S4914">
        <v>-3.1789399999999999</v>
      </c>
      <c r="T4914">
        <v>2.6811359999999999E-2</v>
      </c>
      <c r="U4914">
        <v>-4.9758910000000003E-2</v>
      </c>
      <c r="V4914">
        <v>0.28015810000000002</v>
      </c>
      <c r="W4914">
        <v>0.18554899999999999</v>
      </c>
      <c r="X4914">
        <v>0.94185079999999999</v>
      </c>
      <c r="Y4914">
        <v>0.52575300000000003</v>
      </c>
      <c r="Z4914">
        <v>-8.7534359999999999E-3</v>
      </c>
      <c r="AA4914">
        <v>0.85059229999999997</v>
      </c>
      <c r="AB4914">
        <v>29</v>
      </c>
      <c r="AC4914">
        <v>-3.1789399999999999</v>
      </c>
      <c r="AD4914">
        <v>2.6811359999999999E-2</v>
      </c>
      <c r="AE4914">
        <v>-4.9758910000000003E-2</v>
      </c>
      <c r="AF4914">
        <v>1.6716427254436701</v>
      </c>
      <c r="AG4914">
        <v>2.6811359999999999E-2</v>
      </c>
      <c r="AH4914">
        <v>2.70412805290277</v>
      </c>
      <c r="AI4914">
        <v>89.516800431901601</v>
      </c>
      <c r="AJ4914">
        <v>58.276398129151097</v>
      </c>
      <c r="AK4914">
        <v>3.1792163778279598</v>
      </c>
      <c r="AL4914">
        <v>79.306857608276104</v>
      </c>
      <c r="AM4914">
        <v>73.434634303784307</v>
      </c>
      <c r="AN4914">
        <v>0.99999996092862398</v>
      </c>
    </row>
    <row r="4915" spans="1:40" x14ac:dyDescent="0.25">
      <c r="A4915" t="str">
        <f>"20190303170350710"</f>
        <v>20190303170350710</v>
      </c>
      <c r="B4915" t="str">
        <f>"1551603830700395"</f>
        <v>1551603830700395</v>
      </c>
      <c r="C4915" t="s">
        <v>40</v>
      </c>
      <c r="D4915">
        <v>4.1369669999999896</v>
      </c>
      <c r="E4915">
        <v>0.60628519999999997</v>
      </c>
      <c r="F4915" t="s">
        <v>48</v>
      </c>
      <c r="G4915">
        <v>0</v>
      </c>
      <c r="H4915">
        <v>0</v>
      </c>
      <c r="I4915">
        <v>0</v>
      </c>
      <c r="J4915">
        <v>-202.53319999999999</v>
      </c>
      <c r="K4915">
        <v>1.108074</v>
      </c>
      <c r="L4915">
        <v>142.6155</v>
      </c>
      <c r="M4915">
        <v>-0.85037980000000002</v>
      </c>
      <c r="N4915">
        <v>-7.3662140000000003E-3</v>
      </c>
      <c r="O4915">
        <v>-0.52611799999999997</v>
      </c>
      <c r="P4915">
        <v>-0.94668949999999996</v>
      </c>
      <c r="Q4915">
        <v>0.18684909999999999</v>
      </c>
      <c r="R4915">
        <v>-0.26242409999999999</v>
      </c>
      <c r="S4915">
        <v>-3.1631930000000001</v>
      </c>
      <c r="T4915">
        <v>1.6243219999999999E-2</v>
      </c>
      <c r="U4915">
        <v>-5.7754519999999997E-2</v>
      </c>
      <c r="V4915">
        <v>0.28069899999999998</v>
      </c>
      <c r="W4915">
        <v>0.1853185</v>
      </c>
      <c r="X4915">
        <v>0.94173510000000005</v>
      </c>
      <c r="Y4915">
        <v>0.51048170000000004</v>
      </c>
      <c r="Z4915">
        <v>-6.0556739999999996E-3</v>
      </c>
      <c r="AA4915">
        <v>0.8598673</v>
      </c>
      <c r="AB4915">
        <v>29</v>
      </c>
      <c r="AC4915">
        <v>-3.1631930000000001</v>
      </c>
      <c r="AD4915">
        <v>1.6243219999999999E-2</v>
      </c>
      <c r="AE4915">
        <v>-5.7754519999999997E-2</v>
      </c>
      <c r="AF4915">
        <v>1.61510056975454</v>
      </c>
      <c r="AG4915">
        <v>1.6243219999999999E-2</v>
      </c>
      <c r="AH4915">
        <v>2.7203029290650802</v>
      </c>
      <c r="AI4915">
        <v>89.705825975206494</v>
      </c>
      <c r="AJ4915">
        <v>59.301512268743998</v>
      </c>
      <c r="AK4915">
        <v>3.16367851061031</v>
      </c>
      <c r="AL4915">
        <v>79.320297114379201</v>
      </c>
      <c r="AM4915">
        <v>73.402482361426607</v>
      </c>
      <c r="AN4915">
        <v>0.999999936807628</v>
      </c>
    </row>
    <row r="4916" spans="1:40" x14ac:dyDescent="0.25">
      <c r="A4916" t="str">
        <f>"20190303170350732"</f>
        <v>20190303170350732</v>
      </c>
      <c r="B4916" t="str">
        <f>"1551603830720890"</f>
        <v>1551603830720890</v>
      </c>
      <c r="C4916" t="s">
        <v>40</v>
      </c>
      <c r="D4916">
        <v>4.1547099999999997</v>
      </c>
      <c r="E4916">
        <v>0.59826999999999997</v>
      </c>
      <c r="F4916" t="s">
        <v>48</v>
      </c>
      <c r="G4916">
        <v>0</v>
      </c>
      <c r="H4916">
        <v>0</v>
      </c>
      <c r="I4916">
        <v>0</v>
      </c>
      <c r="J4916">
        <v>-202.79470000000001</v>
      </c>
      <c r="K4916">
        <v>1.1079950000000001</v>
      </c>
      <c r="L4916">
        <v>142.47139999999999</v>
      </c>
      <c r="M4916">
        <v>-0.8587437</v>
      </c>
      <c r="N4916">
        <v>-7.4263209999999996E-3</v>
      </c>
      <c r="O4916">
        <v>-0.51235189999999997</v>
      </c>
      <c r="P4916">
        <v>-0.95058679999999995</v>
      </c>
      <c r="Q4916">
        <v>0.18702730000000001</v>
      </c>
      <c r="R4916">
        <v>-0.24780269999999999</v>
      </c>
      <c r="S4916">
        <v>-3.160507</v>
      </c>
      <c r="T4916">
        <v>1.280856E-2</v>
      </c>
      <c r="U4916">
        <v>-2.1209720000000001E-2</v>
      </c>
      <c r="V4916">
        <v>0.28006989999999998</v>
      </c>
      <c r="W4916">
        <v>0.18551809999999999</v>
      </c>
      <c r="X4916">
        <v>0.94188309999999997</v>
      </c>
      <c r="Y4916">
        <v>0.50656089999999998</v>
      </c>
      <c r="Z4916">
        <v>-5.0931040000000002E-3</v>
      </c>
      <c r="AA4916">
        <v>0.86218919999999999</v>
      </c>
      <c r="AB4916">
        <v>29</v>
      </c>
      <c r="AC4916">
        <v>-3.160507</v>
      </c>
      <c r="AD4916">
        <v>1.280856E-2</v>
      </c>
      <c r="AE4916">
        <v>-2.1209720000000001E-2</v>
      </c>
      <c r="AF4916">
        <v>1.601095619236</v>
      </c>
      <c r="AG4916">
        <v>1.280856E-2</v>
      </c>
      <c r="AH4916">
        <v>2.7249622120314498</v>
      </c>
      <c r="AI4916">
        <v>89.767800564970202</v>
      </c>
      <c r="AJ4916">
        <v>59.562945734087201</v>
      </c>
      <c r="AK4916">
        <v>3.1605522141147002</v>
      </c>
      <c r="AL4916">
        <v>79.308659148476295</v>
      </c>
      <c r="AM4916">
        <v>73.4401005752256</v>
      </c>
      <c r="AN4916">
        <v>0.99999994418961302</v>
      </c>
    </row>
    <row r="4917" spans="1:40" x14ac:dyDescent="0.25">
      <c r="A4917" t="str">
        <f>"20190303170350757"</f>
        <v>20190303170350757</v>
      </c>
      <c r="B4917" t="str">
        <f>"1551603830750170"</f>
        <v>1551603830750170</v>
      </c>
      <c r="C4917" t="s">
        <v>40</v>
      </c>
      <c r="D4917">
        <v>4.1491259999999999</v>
      </c>
      <c r="E4917">
        <v>0.59357669999999996</v>
      </c>
      <c r="F4917" t="s">
        <v>75</v>
      </c>
      <c r="G4917">
        <v>-499.95780000000002</v>
      </c>
      <c r="H4917">
        <v>3.05514E-3</v>
      </c>
      <c r="I4917">
        <v>138.88239999999999</v>
      </c>
      <c r="J4917">
        <v>-203.0866</v>
      </c>
      <c r="K4917">
        <v>1.107907</v>
      </c>
      <c r="L4917">
        <v>142.31700000000001</v>
      </c>
      <c r="M4917">
        <v>-0.86772280000000002</v>
      </c>
      <c r="N4917">
        <v>-7.4902689999999999E-3</v>
      </c>
      <c r="O4917">
        <v>-0.49699179999999998</v>
      </c>
      <c r="P4917">
        <v>-0.95457259999999999</v>
      </c>
      <c r="Q4917">
        <v>0.1868406</v>
      </c>
      <c r="R4917">
        <v>-0.2321249</v>
      </c>
      <c r="S4917">
        <v>-3.1483460000000001</v>
      </c>
      <c r="T4917">
        <v>-1.170647E-2</v>
      </c>
      <c r="U4917">
        <v>-3.80249E-2</v>
      </c>
      <c r="V4917">
        <v>0.27886329999999998</v>
      </c>
      <c r="W4917">
        <v>0.1853766</v>
      </c>
      <c r="X4917">
        <v>0.94226900000000002</v>
      </c>
      <c r="Y4917">
        <v>0.48647689999999999</v>
      </c>
      <c r="Z4917">
        <v>6.5040859999999999E-4</v>
      </c>
      <c r="AA4917">
        <v>0.87369319999999895</v>
      </c>
      <c r="AB4917">
        <v>29</v>
      </c>
      <c r="AC4917">
        <v>-296.87119999999999</v>
      </c>
      <c r="AD4917">
        <v>-1.1048518599999999</v>
      </c>
      <c r="AE4917">
        <v>-3.4346000000000099</v>
      </c>
      <c r="AF4917">
        <v>144.56433837733201</v>
      </c>
      <c r="AG4917">
        <v>-1.1048518599999999</v>
      </c>
      <c r="AH4917">
        <v>259.31258471499899</v>
      </c>
      <c r="AI4917">
        <v>90.213222760708405</v>
      </c>
      <c r="AJ4917">
        <v>60.860742504068497</v>
      </c>
      <c r="AK4917">
        <v>296.889011618285</v>
      </c>
      <c r="AL4917">
        <v>79.316910714560095</v>
      </c>
      <c r="AM4917">
        <v>73.513948018714601</v>
      </c>
      <c r="AN4917">
        <v>1.0000000461377201</v>
      </c>
    </row>
    <row r="4918" spans="1:40" x14ac:dyDescent="0.25">
      <c r="A4918" t="str">
        <f>"20190303170350778"</f>
        <v>20190303170350778</v>
      </c>
      <c r="B4918" t="str">
        <f>"1551603830770666"</f>
        <v>1551603830770666</v>
      </c>
      <c r="C4918" t="s">
        <v>40</v>
      </c>
      <c r="D4918">
        <v>4.1768470000000004</v>
      </c>
      <c r="E4918">
        <v>0.59119109999999997</v>
      </c>
      <c r="F4918" t="s">
        <v>42</v>
      </c>
      <c r="G4918">
        <v>-396.67110000000002</v>
      </c>
      <c r="H4918" s="1">
        <v>-1.748865E-6</v>
      </c>
      <c r="I4918">
        <v>140.88820000000001</v>
      </c>
      <c r="J4918">
        <v>-203.35429999999999</v>
      </c>
      <c r="K4918">
        <v>1.107828</v>
      </c>
      <c r="L4918">
        <v>142.18119999999999</v>
      </c>
      <c r="M4918">
        <v>-0.87562589999999996</v>
      </c>
      <c r="N4918">
        <v>-7.545688E-3</v>
      </c>
      <c r="O4918">
        <v>-0.4829309</v>
      </c>
      <c r="P4918">
        <v>-0.95789489999999999</v>
      </c>
      <c r="Q4918">
        <v>0.18637699999999999</v>
      </c>
      <c r="R4918">
        <v>-0.2184045</v>
      </c>
      <c r="S4918">
        <v>-3.1406559999999999</v>
      </c>
      <c r="T4918">
        <v>-1.7974380000000002E-2</v>
      </c>
      <c r="U4918">
        <v>-2.31781E-2</v>
      </c>
      <c r="V4918">
        <v>0.27724399999999999</v>
      </c>
      <c r="W4918">
        <v>0.1849731</v>
      </c>
      <c r="X4918">
        <v>0.94282589999999999</v>
      </c>
      <c r="Y4918">
        <v>0.47645169999999998</v>
      </c>
      <c r="Z4918">
        <v>2.0655389999999999E-3</v>
      </c>
      <c r="AA4918">
        <v>0.87919829999999999</v>
      </c>
      <c r="AB4918">
        <v>30</v>
      </c>
      <c r="AC4918">
        <v>-193.3168</v>
      </c>
      <c r="AD4918">
        <v>-1.107829748865</v>
      </c>
      <c r="AE4918">
        <v>-1.29299999999997</v>
      </c>
      <c r="AF4918">
        <v>92.2260732334897</v>
      </c>
      <c r="AG4918">
        <v>-1.107829748865</v>
      </c>
      <c r="AH4918">
        <v>169.89689218631599</v>
      </c>
      <c r="AI4918">
        <v>90.328341555463297</v>
      </c>
      <c r="AJ4918">
        <v>61.505316883905103</v>
      </c>
      <c r="AK4918">
        <v>193.31795013756499</v>
      </c>
      <c r="AL4918">
        <v>79.340435715938</v>
      </c>
      <c r="AM4918">
        <v>73.613688962332802</v>
      </c>
      <c r="AN4918">
        <v>0.99999998048520899</v>
      </c>
    </row>
    <row r="4919" spans="1:40" x14ac:dyDescent="0.25">
      <c r="A4919" t="str">
        <f>"20190303170350799"</f>
        <v>20190303170350799</v>
      </c>
      <c r="B4919" t="str">
        <f>"1551603830790186"</f>
        <v>1551603830790186</v>
      </c>
      <c r="C4919" t="s">
        <v>40</v>
      </c>
      <c r="D4919">
        <v>4.1915639999999996</v>
      </c>
      <c r="E4919">
        <v>0.59033829999999998</v>
      </c>
      <c r="F4919" t="s">
        <v>42</v>
      </c>
      <c r="G4919">
        <v>-361.63959999999997</v>
      </c>
      <c r="H4919" s="1">
        <v>-4.2048550000000004E-6</v>
      </c>
      <c r="I4919">
        <v>142.3605</v>
      </c>
      <c r="J4919">
        <v>-203.61369999999999</v>
      </c>
      <c r="K4919">
        <v>1.1077490000000001</v>
      </c>
      <c r="L4919">
        <v>142.05449999999999</v>
      </c>
      <c r="M4919">
        <v>-0.88299349999999999</v>
      </c>
      <c r="N4919">
        <v>-7.59625199999999E-3</v>
      </c>
      <c r="O4919">
        <v>-0.46932390000000002</v>
      </c>
      <c r="P4919">
        <v>-0.96089740000000001</v>
      </c>
      <c r="Q4919">
        <v>0.18624089999999999</v>
      </c>
      <c r="R4919">
        <v>-0.20491570000000001</v>
      </c>
      <c r="S4919">
        <v>-3.1369630000000002</v>
      </c>
      <c r="T4919">
        <v>-2.1955490000000001E-2</v>
      </c>
      <c r="U4919">
        <v>3.5552980000000001E-3</v>
      </c>
      <c r="V4919">
        <v>0.27594580000000002</v>
      </c>
      <c r="W4919">
        <v>0.1848892</v>
      </c>
      <c r="X4919">
        <v>0.94322309999999998</v>
      </c>
      <c r="Y4919">
        <v>0.47031539999999999</v>
      </c>
      <c r="Z4919">
        <v>2.9394970000000001E-3</v>
      </c>
      <c r="AA4919">
        <v>0.88249349999999904</v>
      </c>
      <c r="AB4919">
        <v>30</v>
      </c>
      <c r="AC4919">
        <v>-158.02589999999901</v>
      </c>
      <c r="AD4919">
        <v>-1.1077532048549901</v>
      </c>
      <c r="AE4919">
        <v>0.30600000000001099</v>
      </c>
      <c r="AF4919">
        <v>74.434012266463895</v>
      </c>
      <c r="AG4919">
        <v>-1.1077532048549901</v>
      </c>
      <c r="AH4919">
        <v>139.38939153065701</v>
      </c>
      <c r="AI4919">
        <v>90.401652789128804</v>
      </c>
      <c r="AJ4919">
        <v>61.897758314328399</v>
      </c>
      <c r="AK4919">
        <v>158.02231415383599</v>
      </c>
      <c r="AL4919">
        <v>79.345326966881302</v>
      </c>
      <c r="AM4919">
        <v>73.692833890100303</v>
      </c>
      <c r="AN4919">
        <v>0.99999995859394397</v>
      </c>
    </row>
    <row r="4920" spans="1:40" x14ac:dyDescent="0.25">
      <c r="A4920" t="str">
        <f>"20190303170350824"</f>
        <v>20190303170350824</v>
      </c>
      <c r="B4920" t="str">
        <f>"1551603830810682"</f>
        <v>1551603830810682</v>
      </c>
      <c r="C4920" t="s">
        <v>40</v>
      </c>
      <c r="D4920">
        <v>4.1934699999999996</v>
      </c>
      <c r="E4920">
        <v>0.58005150000000005</v>
      </c>
      <c r="F4920" t="s">
        <v>42</v>
      </c>
      <c r="G4920">
        <v>-347.6746</v>
      </c>
      <c r="H4920" s="1">
        <v>-2.1255989999999998E-6</v>
      </c>
      <c r="I4920">
        <v>143.9221</v>
      </c>
      <c r="J4920">
        <v>-203.9083</v>
      </c>
      <c r="K4920">
        <v>1.1076820000000001</v>
      </c>
      <c r="L4920">
        <v>141.91659999999999</v>
      </c>
      <c r="M4920">
        <v>-0.89101540000000001</v>
      </c>
      <c r="N4920">
        <v>-7.6518640000000004E-3</v>
      </c>
      <c r="O4920">
        <v>-0.45390910000000001</v>
      </c>
      <c r="P4920">
        <v>-0.96414069999999996</v>
      </c>
      <c r="Q4920">
        <v>0.18607589999999999</v>
      </c>
      <c r="R4920">
        <v>-0.18923319999999999</v>
      </c>
      <c r="S4920">
        <v>-3.1353909999999998</v>
      </c>
      <c r="T4920">
        <v>-2.4109479999999999E-2</v>
      </c>
      <c r="U4920">
        <v>4.0649409999999997E-2</v>
      </c>
      <c r="V4920">
        <v>0.27495940000000002</v>
      </c>
      <c r="W4920">
        <v>0.18477070000000001</v>
      </c>
      <c r="X4920">
        <v>0.9435344</v>
      </c>
      <c r="Y4920">
        <v>0.46540939999999997</v>
      </c>
      <c r="Z4920">
        <v>3.391519E-3</v>
      </c>
      <c r="AA4920">
        <v>0.88508899999999902</v>
      </c>
      <c r="AB4920">
        <v>30</v>
      </c>
      <c r="AC4920">
        <v>-143.7663</v>
      </c>
      <c r="AD4920">
        <v>-1.107684125599</v>
      </c>
      <c r="AE4920">
        <v>2.0055000000000098</v>
      </c>
      <c r="AF4920">
        <v>67.041731420739495</v>
      </c>
      <c r="AG4920">
        <v>-1.107684125599</v>
      </c>
      <c r="AH4920">
        <v>127.18381809119801</v>
      </c>
      <c r="AI4920">
        <v>90.441424465013995</v>
      </c>
      <c r="AJ4920">
        <v>62.205178142980699</v>
      </c>
      <c r="AK4920">
        <v>143.77602129794701</v>
      </c>
      <c r="AL4920">
        <v>79.352236248638206</v>
      </c>
      <c r="AM4920">
        <v>73.753123046888504</v>
      </c>
      <c r="AN4920">
        <v>1.0000000236051001</v>
      </c>
    </row>
    <row r="4921" spans="1:40" x14ac:dyDescent="0.25">
      <c r="A4921" t="str">
        <f>"20190303170350844"</f>
        <v>20190303170350844</v>
      </c>
      <c r="B4921" t="str">
        <f>"1551603830830202"</f>
        <v>1551603830830202</v>
      </c>
      <c r="C4921" t="s">
        <v>40</v>
      </c>
      <c r="D4921">
        <v>4.2265389999999998</v>
      </c>
      <c r="E4921">
        <v>0.57927869999999904</v>
      </c>
      <c r="F4921" t="s">
        <v>90</v>
      </c>
      <c r="G4921">
        <v>-305.55549999999999</v>
      </c>
      <c r="H4921" s="1">
        <v>-9.6281830000000006E-6</v>
      </c>
      <c r="I4921">
        <v>142.21780000000001</v>
      </c>
      <c r="J4921">
        <v>-204.1712</v>
      </c>
      <c r="K4921">
        <v>1.1076349999999999</v>
      </c>
      <c r="L4921">
        <v>141.79839999999999</v>
      </c>
      <c r="M4921">
        <v>-0.89786929999999998</v>
      </c>
      <c r="N4921">
        <v>-7.6996180000000001E-3</v>
      </c>
      <c r="O4921">
        <v>-0.4401949</v>
      </c>
      <c r="P4921">
        <v>-0.96650740000000002</v>
      </c>
      <c r="Q4921">
        <v>0.18652179999999999</v>
      </c>
      <c r="R4921">
        <v>-0.17627619999999999</v>
      </c>
      <c r="S4921">
        <v>-3.1199650000000001</v>
      </c>
      <c r="T4921">
        <v>-3.3999559999999998E-2</v>
      </c>
      <c r="U4921">
        <v>9.2468259999999997E-3</v>
      </c>
      <c r="V4921">
        <v>0.27315129999999999</v>
      </c>
      <c r="W4921">
        <v>0.1852936</v>
      </c>
      <c r="X4921">
        <v>0.94395689999999999</v>
      </c>
      <c r="Y4921">
        <v>0.4428224</v>
      </c>
      <c r="Z4921">
        <v>5.3062509999999997E-3</v>
      </c>
      <c r="AA4921">
        <v>0.89659359999999999</v>
      </c>
      <c r="AB4921">
        <v>30</v>
      </c>
      <c r="AC4921">
        <v>-101.3843</v>
      </c>
      <c r="AD4921">
        <v>-1.1076446281829999</v>
      </c>
      <c r="AE4921">
        <v>0.41940000000002398</v>
      </c>
      <c r="AF4921">
        <v>45.001378450970002</v>
      </c>
      <c r="AG4921">
        <v>-1.1076446281829999</v>
      </c>
      <c r="AH4921">
        <v>90.837078367597798</v>
      </c>
      <c r="AI4921">
        <v>90.626012790318001</v>
      </c>
      <c r="AJ4921">
        <v>63.645835643292003</v>
      </c>
      <c r="AK4921">
        <v>101.37911888288799</v>
      </c>
      <c r="AL4921">
        <v>79.321749497872702</v>
      </c>
      <c r="AM4921">
        <v>73.861227196903698</v>
      </c>
      <c r="AN4921">
        <v>0.99999998997512995</v>
      </c>
    </row>
    <row r="4922" spans="1:40" x14ac:dyDescent="0.25">
      <c r="A4922" t="str">
        <f>"20190303170350868"</f>
        <v>20190303170350868</v>
      </c>
      <c r="B4922" t="str">
        <f>"1551603830860460"</f>
        <v>1551603830860460</v>
      </c>
      <c r="C4922" t="s">
        <v>40</v>
      </c>
      <c r="D4922">
        <v>4.2417899999999999</v>
      </c>
      <c r="E4922">
        <v>0.57187829999999995</v>
      </c>
      <c r="F4922" t="s">
        <v>90</v>
      </c>
      <c r="G4922">
        <v>-302.18340000000001</v>
      </c>
      <c r="H4922" s="1">
        <v>-9.385963E-6</v>
      </c>
      <c r="I4922">
        <v>143.18379999999999</v>
      </c>
      <c r="J4922">
        <v>-204.46889999999999</v>
      </c>
      <c r="K4922">
        <v>1.107602</v>
      </c>
      <c r="L4922">
        <v>141.6703</v>
      </c>
      <c r="M4922">
        <v>-0.90528569999999997</v>
      </c>
      <c r="N4922">
        <v>-7.7508530000000003E-3</v>
      </c>
      <c r="O4922">
        <v>-0.42473270000000002</v>
      </c>
      <c r="P4922">
        <v>-0.96899460000000004</v>
      </c>
      <c r="Q4922">
        <v>0.18663479999999999</v>
      </c>
      <c r="R4922">
        <v>-0.16191759999999999</v>
      </c>
      <c r="S4922">
        <v>-3.118805</v>
      </c>
      <c r="T4922">
        <v>-3.5245899999999997E-2</v>
      </c>
      <c r="U4922">
        <v>4.4082639999999999E-2</v>
      </c>
      <c r="V4922">
        <v>0.27097660000000001</v>
      </c>
      <c r="W4922">
        <v>0.18550549999999999</v>
      </c>
      <c r="X4922">
        <v>0.94454190000000005</v>
      </c>
      <c r="Y4922">
        <v>0.43745040000000002</v>
      </c>
      <c r="Z4922">
        <v>5.4797969999999998E-3</v>
      </c>
      <c r="AA4922">
        <v>0.89922579999999996</v>
      </c>
      <c r="AB4922">
        <v>30</v>
      </c>
      <c r="AC4922">
        <v>-97.714500000000001</v>
      </c>
      <c r="AD4922">
        <v>-1.1076113859629999</v>
      </c>
      <c r="AE4922">
        <v>1.5134999999999901</v>
      </c>
      <c r="AF4922">
        <v>42.868471474886597</v>
      </c>
      <c r="AG4922">
        <v>-1.1076113859629999</v>
      </c>
      <c r="AH4922">
        <v>87.808058927583104</v>
      </c>
      <c r="AI4922">
        <v>90.649435649690801</v>
      </c>
      <c r="AJ4922">
        <v>63.978065618990499</v>
      </c>
      <c r="AK4922">
        <v>97.719946081674607</v>
      </c>
      <c r="AL4922">
        <v>79.309394480942203</v>
      </c>
      <c r="AM4922">
        <v>73.992513608839602</v>
      </c>
      <c r="AN4922">
        <v>1.0000000045667099</v>
      </c>
    </row>
    <row r="4923" spans="1:40" x14ac:dyDescent="0.25">
      <c r="A4923" t="str">
        <f>"20190303170350890"</f>
        <v>20190303170350890</v>
      </c>
      <c r="B4923" t="str">
        <f>"1551603830880954"</f>
        <v>1551603830880954</v>
      </c>
      <c r="C4923" t="s">
        <v>40</v>
      </c>
      <c r="D4923">
        <v>4.2822110000000002</v>
      </c>
      <c r="E4923">
        <v>0.56429180000000001</v>
      </c>
      <c r="F4923" t="s">
        <v>90</v>
      </c>
      <c r="G4923">
        <v>-283.82940000000002</v>
      </c>
      <c r="H4923" s="1">
        <v>-6.2370429999999999E-6</v>
      </c>
      <c r="I4923">
        <v>142.46350000000001</v>
      </c>
      <c r="J4923">
        <v>-204.75489999999999</v>
      </c>
      <c r="K4923">
        <v>1.10758</v>
      </c>
      <c r="L4923">
        <v>141.55250000000001</v>
      </c>
      <c r="M4923">
        <v>-0.91206969999999998</v>
      </c>
      <c r="N4923">
        <v>-7.7966469999999899E-3</v>
      </c>
      <c r="O4923">
        <v>-0.40996129999999997</v>
      </c>
      <c r="P4923">
        <v>-0.97108179999999999</v>
      </c>
      <c r="Q4923">
        <v>0.18661810000000001</v>
      </c>
      <c r="R4923">
        <v>-0.1489106</v>
      </c>
      <c r="S4923">
        <v>-3.1095429999999999</v>
      </c>
      <c r="T4923">
        <v>-4.3398859999999997E-2</v>
      </c>
      <c r="U4923">
        <v>3.1082149999999999E-2</v>
      </c>
      <c r="V4923">
        <v>0.26829419999999998</v>
      </c>
      <c r="W4923">
        <v>0.18561179999999999</v>
      </c>
      <c r="X4923">
        <v>0.94528650000000003</v>
      </c>
      <c r="Y4923">
        <v>0.41900140000000002</v>
      </c>
      <c r="Z4923">
        <v>6.8819379999999998E-3</v>
      </c>
      <c r="AA4923">
        <v>0.90795950000000003</v>
      </c>
      <c r="AB4923">
        <v>30</v>
      </c>
      <c r="AC4923">
        <v>-79.0745</v>
      </c>
      <c r="AD4923">
        <v>-1.1075862370430001</v>
      </c>
      <c r="AE4923">
        <v>0.91100000000000103</v>
      </c>
      <c r="AF4923">
        <v>33.242866567126498</v>
      </c>
      <c r="AG4923">
        <v>-1.1075862370430001</v>
      </c>
      <c r="AH4923">
        <v>71.736082419213105</v>
      </c>
      <c r="AI4923">
        <v>90.802586199325006</v>
      </c>
      <c r="AJ4923">
        <v>65.136753044259606</v>
      </c>
      <c r="AK4923">
        <v>79.071995331649504</v>
      </c>
      <c r="AL4923">
        <v>79.303196708202606</v>
      </c>
      <c r="AM4923">
        <v>74.154830047772506</v>
      </c>
      <c r="AN4923">
        <v>1.0000000425675599</v>
      </c>
    </row>
    <row r="4924" spans="1:40" x14ac:dyDescent="0.25">
      <c r="A4924" t="str">
        <f>"20190303170350912"</f>
        <v>20190303170350912</v>
      </c>
      <c r="B4924" t="str">
        <f>"1551603830900475"</f>
        <v>1551603830900475</v>
      </c>
      <c r="C4924" t="s">
        <v>40</v>
      </c>
      <c r="D4924">
        <v>4.3003369999999999</v>
      </c>
      <c r="E4924">
        <v>0.56279469999999898</v>
      </c>
      <c r="F4924" t="s">
        <v>42</v>
      </c>
      <c r="G4924">
        <v>-276.97230000000002</v>
      </c>
      <c r="H4924" s="1">
        <v>-1.877422E-6</v>
      </c>
      <c r="I4924">
        <v>141.857</v>
      </c>
      <c r="J4924">
        <v>-205.02879999999999</v>
      </c>
      <c r="K4924">
        <v>1.107569</v>
      </c>
      <c r="L4924">
        <v>141.44470000000001</v>
      </c>
      <c r="M4924">
        <v>-0.91824919999999999</v>
      </c>
      <c r="N4924">
        <v>-7.8415940000000003E-3</v>
      </c>
      <c r="O4924">
        <v>-0.39592529999999998</v>
      </c>
      <c r="P4924">
        <v>-0.9730145</v>
      </c>
      <c r="Q4924">
        <v>0.18633949999999999</v>
      </c>
      <c r="R4924">
        <v>-0.1360904</v>
      </c>
      <c r="S4924">
        <v>-3.1004640000000001</v>
      </c>
      <c r="T4924">
        <v>-4.7551160000000002E-2</v>
      </c>
      <c r="U4924">
        <v>1.307678E-2</v>
      </c>
      <c r="V4924">
        <v>0.26627450000000003</v>
      </c>
      <c r="W4924">
        <v>0.185445</v>
      </c>
      <c r="X4924">
        <v>0.94589009999999996</v>
      </c>
      <c r="Y4924">
        <v>0.39972770000000002</v>
      </c>
      <c r="Z4924">
        <v>7.4061469999999897E-3</v>
      </c>
      <c r="AA4924">
        <v>0.91660399999999997</v>
      </c>
      <c r="AB4924">
        <v>30</v>
      </c>
      <c r="AC4924">
        <v>-71.9435</v>
      </c>
      <c r="AD4924">
        <v>-1.1075708774220001</v>
      </c>
      <c r="AE4924">
        <v>0.41229999999998701</v>
      </c>
      <c r="AF4924">
        <v>28.856895413877801</v>
      </c>
      <c r="AG4924">
        <v>-1.1075708774220001</v>
      </c>
      <c r="AH4924">
        <v>65.885235189894402</v>
      </c>
      <c r="AI4924">
        <v>90.882193918604898</v>
      </c>
      <c r="AJ4924">
        <v>66.347192400878498</v>
      </c>
      <c r="AK4924">
        <v>71.936161575411404</v>
      </c>
      <c r="AL4924">
        <v>79.312922242835398</v>
      </c>
      <c r="AM4924">
        <v>74.277727808620895</v>
      </c>
      <c r="AN4924">
        <v>1.0000000193266201</v>
      </c>
    </row>
    <row r="4925" spans="1:40" x14ac:dyDescent="0.25">
      <c r="A4925" t="str">
        <f>"20190303170350933"</f>
        <v>20190303170350933</v>
      </c>
      <c r="B4925" t="str">
        <f>"1551603830919995"</f>
        <v>1551603830919995</v>
      </c>
      <c r="C4925" t="s">
        <v>40</v>
      </c>
      <c r="D4925">
        <v>4.3280640000000004</v>
      </c>
      <c r="E4925">
        <v>0.56132009999999999</v>
      </c>
      <c r="F4925" t="s">
        <v>42</v>
      </c>
      <c r="G4925">
        <v>-269.68680000000001</v>
      </c>
      <c r="H4925" s="1">
        <v>-8.3306880000000002E-7</v>
      </c>
      <c r="I4925">
        <v>142.30860000000001</v>
      </c>
      <c r="J4925">
        <v>-205.31290000000001</v>
      </c>
      <c r="K4925">
        <v>1.107577</v>
      </c>
      <c r="L4925">
        <v>141.33760000000001</v>
      </c>
      <c r="M4925">
        <v>-0.92433989999999999</v>
      </c>
      <c r="N4925">
        <v>-7.8914439999999992E-3</v>
      </c>
      <c r="O4925">
        <v>-0.38148870000000001</v>
      </c>
      <c r="P4925">
        <v>-0.97500229999999999</v>
      </c>
      <c r="Q4925">
        <v>0.18529660000000001</v>
      </c>
      <c r="R4925">
        <v>-0.1226212</v>
      </c>
      <c r="S4925">
        <v>-3.099167</v>
      </c>
      <c r="T4925">
        <v>-5.3087710000000003E-2</v>
      </c>
      <c r="U4925">
        <v>4.1412350000000001E-2</v>
      </c>
      <c r="V4925">
        <v>0.26456780000000002</v>
      </c>
      <c r="W4925">
        <v>0.18451999999999999</v>
      </c>
      <c r="X4925">
        <v>0.94654970000000005</v>
      </c>
      <c r="Y4925">
        <v>0.39371980000000001</v>
      </c>
      <c r="Z4925">
        <v>8.267745E-3</v>
      </c>
      <c r="AA4925">
        <v>0.91919329999999999</v>
      </c>
      <c r="AB4925">
        <v>30</v>
      </c>
      <c r="AC4925">
        <v>-64.373899999999907</v>
      </c>
      <c r="AD4925">
        <v>-1.1075778330688</v>
      </c>
      <c r="AE4925">
        <v>0.97100000000000297</v>
      </c>
      <c r="AF4925">
        <v>25.448708415579599</v>
      </c>
      <c r="AG4925">
        <v>-1.1075778330688</v>
      </c>
      <c r="AH4925">
        <v>59.117279315162897</v>
      </c>
      <c r="AI4925">
        <v>90.985878320846396</v>
      </c>
      <c r="AJ4925">
        <v>66.709168975962996</v>
      </c>
      <c r="AK4925">
        <v>64.371703428637701</v>
      </c>
      <c r="AL4925">
        <v>79.3668518155648</v>
      </c>
      <c r="AM4925">
        <v>74.383920236051395</v>
      </c>
      <c r="AN4925">
        <v>1.0000000428834599</v>
      </c>
    </row>
    <row r="4926" spans="1:40" x14ac:dyDescent="0.25">
      <c r="A4926" t="str">
        <f>"20190303170350960"</f>
        <v>20190303170350960</v>
      </c>
      <c r="B4926" t="str">
        <f>"1551603830950251"</f>
        <v>1551603830950251</v>
      </c>
      <c r="C4926" t="s">
        <v>40</v>
      </c>
      <c r="D4926">
        <v>4.3289809999999997</v>
      </c>
      <c r="E4926">
        <v>0.5513036</v>
      </c>
      <c r="F4926" t="s">
        <v>42</v>
      </c>
      <c r="G4926">
        <v>-263.15159999999997</v>
      </c>
      <c r="H4926" s="1">
        <v>-3.729452E-6</v>
      </c>
      <c r="I4926">
        <v>142.6575</v>
      </c>
      <c r="J4926">
        <v>-205.64240000000001</v>
      </c>
      <c r="K4926">
        <v>1.1076280000000001</v>
      </c>
      <c r="L4926">
        <v>141.21979999999999</v>
      </c>
      <c r="M4926">
        <v>-0.93099200000000004</v>
      </c>
      <c r="N4926">
        <v>-7.9517930000000004E-3</v>
      </c>
      <c r="O4926">
        <v>-0.36495339999999998</v>
      </c>
      <c r="P4926">
        <v>-0.97706850000000001</v>
      </c>
      <c r="Q4926">
        <v>0.1838291</v>
      </c>
      <c r="R4926">
        <v>-0.1074447</v>
      </c>
      <c r="S4926">
        <v>-3.0970610000000001</v>
      </c>
      <c r="T4926">
        <v>-5.9307100000000001E-2</v>
      </c>
      <c r="U4926">
        <v>7.0678710000000006E-2</v>
      </c>
      <c r="V4926">
        <v>0.26244729999999999</v>
      </c>
      <c r="W4926">
        <v>0.18321460000000001</v>
      </c>
      <c r="X4926">
        <v>0.94739320000000005</v>
      </c>
      <c r="Y4926">
        <v>0.38599169999999999</v>
      </c>
      <c r="Z4926">
        <v>9.1492680000000003E-3</v>
      </c>
      <c r="AA4926">
        <v>0.92245690000000002</v>
      </c>
      <c r="AB4926">
        <v>30</v>
      </c>
      <c r="AC4926">
        <v>-57.5091999999999</v>
      </c>
      <c r="AD4926">
        <v>-1.1076317294519999</v>
      </c>
      <c r="AE4926">
        <v>1.4377</v>
      </c>
      <c r="AF4926">
        <v>22.319093496876299</v>
      </c>
      <c r="AG4926">
        <v>-1.1076317294519999</v>
      </c>
      <c r="AH4926">
        <v>52.9979320264937</v>
      </c>
      <c r="AI4926">
        <v>91.103449083930798</v>
      </c>
      <c r="AJ4926">
        <v>67.162512281178294</v>
      </c>
      <c r="AK4926">
        <v>57.516515729442801</v>
      </c>
      <c r="AL4926">
        <v>79.442942812651694</v>
      </c>
      <c r="AM4926">
        <v>74.516179735443501</v>
      </c>
      <c r="AN4926">
        <v>1.0000000251683401</v>
      </c>
    </row>
    <row r="4927" spans="1:40" x14ac:dyDescent="0.25">
      <c r="A4927" t="str">
        <f>"20190303170350980"</f>
        <v>20190303170350980</v>
      </c>
      <c r="B4927" t="str">
        <f>"1551603830970747"</f>
        <v>1551603830970747</v>
      </c>
      <c r="C4927" t="s">
        <v>40</v>
      </c>
      <c r="D4927">
        <v>4.30762</v>
      </c>
      <c r="E4927">
        <v>0.55059029999999998</v>
      </c>
      <c r="F4927" t="s">
        <v>42</v>
      </c>
      <c r="G4927">
        <v>-258.29079999999999</v>
      </c>
      <c r="H4927" s="1">
        <v>-1.317144E-6</v>
      </c>
      <c r="I4927">
        <v>141.87719999999999</v>
      </c>
      <c r="J4927">
        <v>-205.93379999999999</v>
      </c>
      <c r="K4927">
        <v>1.107704</v>
      </c>
      <c r="L4927">
        <v>141.12090000000001</v>
      </c>
      <c r="M4927">
        <v>-0.93651910000000005</v>
      </c>
      <c r="N4927">
        <v>-8.0092150000000001E-3</v>
      </c>
      <c r="O4927">
        <v>-0.35052480000000003</v>
      </c>
      <c r="P4927">
        <v>-0.97844019999999998</v>
      </c>
      <c r="Q4927">
        <v>0.18324989999999999</v>
      </c>
      <c r="R4927">
        <v>-9.525989E-2</v>
      </c>
      <c r="S4927">
        <v>-3.0868679999999999</v>
      </c>
      <c r="T4927">
        <v>-6.4942360000000005E-2</v>
      </c>
      <c r="U4927">
        <v>3.8543699999999903E-2</v>
      </c>
      <c r="V4927">
        <v>0.25960349999999999</v>
      </c>
      <c r="W4927">
        <v>0.1828274</v>
      </c>
      <c r="X4927">
        <v>0.94825110000000001</v>
      </c>
      <c r="Y4927">
        <v>0.36206500000000003</v>
      </c>
      <c r="Z4927">
        <v>9.6632019999999992E-3</v>
      </c>
      <c r="AA4927">
        <v>0.93210280000000001</v>
      </c>
      <c r="AB4927">
        <v>31</v>
      </c>
      <c r="AC4927">
        <v>-52.356999999999999</v>
      </c>
      <c r="AD4927">
        <v>-1.1077053171439999</v>
      </c>
      <c r="AE4927">
        <v>0.75629999999998099</v>
      </c>
      <c r="AF4927">
        <v>19.052803130778099</v>
      </c>
      <c r="AG4927">
        <v>-1.1077053171439999</v>
      </c>
      <c r="AH4927">
        <v>48.747982068477903</v>
      </c>
      <c r="AI4927">
        <v>91.212428939082201</v>
      </c>
      <c r="AJ4927">
        <v>68.652309120247594</v>
      </c>
      <c r="AK4927">
        <v>52.350760013188598</v>
      </c>
      <c r="AL4927">
        <v>79.465508548669106</v>
      </c>
      <c r="AM4927">
        <v>74.689243509010694</v>
      </c>
      <c r="AN4927">
        <v>0.99999999202710999</v>
      </c>
    </row>
    <row r="4928" spans="1:40" x14ac:dyDescent="0.25">
      <c r="A4928" t="str">
        <f>"20190303170351001"</f>
        <v>20190303170351001</v>
      </c>
      <c r="B4928" t="str">
        <f>"1551603830990267"</f>
        <v>1551603830990267</v>
      </c>
      <c r="C4928" t="s">
        <v>40</v>
      </c>
      <c r="D4928">
        <v>4.2911219999999997</v>
      </c>
      <c r="E4928">
        <v>0.54262659999999996</v>
      </c>
      <c r="F4928" t="s">
        <v>42</v>
      </c>
      <c r="G4928">
        <v>-256.99939999999998</v>
      </c>
      <c r="H4928" s="1">
        <v>-1.9858900000000001E-6</v>
      </c>
      <c r="I4928">
        <v>142.30840000000001</v>
      </c>
      <c r="J4928">
        <v>-206.20939999999999</v>
      </c>
      <c r="K4928">
        <v>1.10778</v>
      </c>
      <c r="L4928">
        <v>141.0316</v>
      </c>
      <c r="M4928">
        <v>-0.94145800000000002</v>
      </c>
      <c r="N4928">
        <v>-8.0677979999999993E-3</v>
      </c>
      <c r="O4928">
        <v>-0.3370341</v>
      </c>
      <c r="P4928">
        <v>-0.97943069999999999</v>
      </c>
      <c r="Q4928">
        <v>0.18338489999999999</v>
      </c>
      <c r="R4928">
        <v>-8.4177260000000004E-2</v>
      </c>
      <c r="S4928">
        <v>-3.0856319999999999</v>
      </c>
      <c r="T4928">
        <v>-6.6933039999999999E-2</v>
      </c>
      <c r="U4928">
        <v>7.1762080000000006E-2</v>
      </c>
      <c r="V4928">
        <v>0.2566774</v>
      </c>
      <c r="W4928">
        <v>0.1831574</v>
      </c>
      <c r="X4928">
        <v>0.94898369999999999</v>
      </c>
      <c r="Y4928">
        <v>0.35870020000000002</v>
      </c>
      <c r="Z4928">
        <v>9.7860150000000003E-3</v>
      </c>
      <c r="AA4928">
        <v>0.9334015</v>
      </c>
      <c r="AB4928">
        <v>31</v>
      </c>
      <c r="AC4928">
        <v>-50.7899999999999</v>
      </c>
      <c r="AD4928">
        <v>-1.10778198589</v>
      </c>
      <c r="AE4928">
        <v>1.2767999999999999</v>
      </c>
      <c r="AF4928">
        <v>18.311903713443002</v>
      </c>
      <c r="AG4928">
        <v>-1.10778198589</v>
      </c>
      <c r="AH4928">
        <v>47.365344799174899</v>
      </c>
      <c r="AI4928">
        <v>91.249680753483403</v>
      </c>
      <c r="AJ4928">
        <v>68.8630125964645</v>
      </c>
      <c r="AK4928">
        <v>50.793984747048498</v>
      </c>
      <c r="AL4928">
        <v>79.446276188038894</v>
      </c>
      <c r="AM4928">
        <v>74.8650034601215</v>
      </c>
      <c r="AN4928">
        <v>0.99999999185560495</v>
      </c>
    </row>
    <row r="4929" spans="1:40" x14ac:dyDescent="0.25">
      <c r="A4929" t="str">
        <f>"20190303170351023"</f>
        <v>20190303170351023</v>
      </c>
      <c r="B4929" t="str">
        <f>"1551603831010763"</f>
        <v>1551603831010763</v>
      </c>
      <c r="C4929" t="s">
        <v>40</v>
      </c>
      <c r="D4929">
        <v>4.2550330000000001</v>
      </c>
      <c r="E4929">
        <v>0.54038160000000002</v>
      </c>
      <c r="F4929" t="s">
        <v>42</v>
      </c>
      <c r="G4929">
        <v>-264.86669999999998</v>
      </c>
      <c r="H4929" s="1">
        <v>-2.7878070000000002E-6</v>
      </c>
      <c r="I4929">
        <v>141.8836</v>
      </c>
      <c r="J4929">
        <v>-206.50319999999999</v>
      </c>
      <c r="K4929">
        <v>1.1078650000000001</v>
      </c>
      <c r="L4929">
        <v>140.941</v>
      </c>
      <c r="M4929">
        <v>-0.94641679999999995</v>
      </c>
      <c r="N4929">
        <v>-8.1372939999999998E-3</v>
      </c>
      <c r="O4929">
        <v>-0.32284550000000001</v>
      </c>
      <c r="P4929">
        <v>-0.98043349999999996</v>
      </c>
      <c r="Q4929">
        <v>0.1835435</v>
      </c>
      <c r="R4929">
        <v>-7.114761E-2</v>
      </c>
      <c r="S4929">
        <v>-3.077728</v>
      </c>
      <c r="T4929">
        <v>-5.8125019999999999E-2</v>
      </c>
      <c r="U4929">
        <v>4.4708249999999998E-2</v>
      </c>
      <c r="V4929">
        <v>0.25498759999999998</v>
      </c>
      <c r="W4929">
        <v>0.18349070000000001</v>
      </c>
      <c r="X4929">
        <v>0.94937479999999996</v>
      </c>
      <c r="Y4929">
        <v>0.33646679999999901</v>
      </c>
      <c r="Z4929">
        <v>7.9005289999999999E-3</v>
      </c>
      <c r="AA4929">
        <v>0.9416622</v>
      </c>
      <c r="AB4929">
        <v>31</v>
      </c>
      <c r="AC4929">
        <v>-58.363499999999902</v>
      </c>
      <c r="AD4929">
        <v>-1.10786778780699</v>
      </c>
      <c r="AE4929">
        <v>0.942599999999998</v>
      </c>
      <c r="AF4929">
        <v>19.728030690503601</v>
      </c>
      <c r="AG4929">
        <v>-1.10786778780699</v>
      </c>
      <c r="AH4929">
        <v>54.913914591704703</v>
      </c>
      <c r="AI4929">
        <v>91.087719328545802</v>
      </c>
      <c r="AJ4929">
        <v>70.238983199897902</v>
      </c>
      <c r="AK4929">
        <v>58.360608133789597</v>
      </c>
      <c r="AL4929">
        <v>79.426850500231495</v>
      </c>
      <c r="AM4929">
        <v>74.966029585592594</v>
      </c>
      <c r="AN4929">
        <v>1.00000001200764</v>
      </c>
    </row>
    <row r="4930" spans="1:40" x14ac:dyDescent="0.25">
      <c r="A4930" t="str">
        <f>"20190303170351047"</f>
        <v>20190303170351047</v>
      </c>
      <c r="B4930" t="str">
        <f>"1551603831040043"</f>
        <v>1551603831040043</v>
      </c>
      <c r="C4930" t="s">
        <v>40</v>
      </c>
      <c r="D4930">
        <v>4.2498509999999996</v>
      </c>
      <c r="E4930">
        <v>0.53855249999999999</v>
      </c>
      <c r="F4930" t="s">
        <v>42</v>
      </c>
      <c r="G4930">
        <v>-266.11959999999999</v>
      </c>
      <c r="H4930" s="1">
        <v>-2.3391499999999999E-6</v>
      </c>
      <c r="I4930">
        <v>142.2176</v>
      </c>
      <c r="J4930">
        <v>-206.8323</v>
      </c>
      <c r="K4930">
        <v>1.107996</v>
      </c>
      <c r="L4930">
        <v>140.84479999999999</v>
      </c>
      <c r="M4930">
        <v>-0.95160060000000002</v>
      </c>
      <c r="N4930">
        <v>-8.2236440000000004E-3</v>
      </c>
      <c r="O4930">
        <v>-0.3072281</v>
      </c>
      <c r="P4930">
        <v>-0.98158990000000002</v>
      </c>
      <c r="Q4930">
        <v>0.1821623</v>
      </c>
      <c r="R4930">
        <v>-5.7435409999999999E-2</v>
      </c>
      <c r="S4930">
        <v>-3.075348</v>
      </c>
      <c r="T4930">
        <v>-5.7150010000000001E-2</v>
      </c>
      <c r="U4930">
        <v>6.5856929999999994E-2</v>
      </c>
      <c r="V4930">
        <v>0.25261800000000001</v>
      </c>
      <c r="W4930">
        <v>0.18234449999999999</v>
      </c>
      <c r="X4930">
        <v>0.95022879999999998</v>
      </c>
      <c r="Y4930">
        <v>0.32744590000000001</v>
      </c>
      <c r="Z4930">
        <v>7.4753579999999997E-3</v>
      </c>
      <c r="AA4930">
        <v>0.94484040000000002</v>
      </c>
      <c r="AB4930">
        <v>31</v>
      </c>
      <c r="AC4930">
        <v>-59.287299999999902</v>
      </c>
      <c r="AD4930">
        <v>-1.1079983391499999</v>
      </c>
      <c r="AE4930">
        <v>1.37280000000001</v>
      </c>
      <c r="AF4930">
        <v>19.514925481474801</v>
      </c>
      <c r="AG4930">
        <v>-1.1079983391499999</v>
      </c>
      <c r="AH4930">
        <v>55.978408060534299</v>
      </c>
      <c r="AI4930">
        <v>91.070741634072405</v>
      </c>
      <c r="AJ4930">
        <v>70.780667216362701</v>
      </c>
      <c r="AK4930">
        <v>59.292850714557296</v>
      </c>
      <c r="AL4930">
        <v>79.493650581661697</v>
      </c>
      <c r="AM4930">
        <v>75.112295143568105</v>
      </c>
      <c r="AN4930">
        <v>1.00000007147684</v>
      </c>
    </row>
    <row r="4931" spans="1:40" x14ac:dyDescent="0.25">
      <c r="A4931" t="str">
        <f>"20190303170351070"</f>
        <v>20190303170351070</v>
      </c>
      <c r="B4931" t="str">
        <f>"1551603831060538"</f>
        <v>1551603831060538</v>
      </c>
      <c r="C4931" t="s">
        <v>40</v>
      </c>
      <c r="D4931">
        <v>4.2594219999999998</v>
      </c>
      <c r="E4931">
        <v>0.53791109999999998</v>
      </c>
      <c r="F4931" t="s">
        <v>42</v>
      </c>
      <c r="G4931">
        <v>-259.79590000000002</v>
      </c>
      <c r="H4931" s="1">
        <v>-8.1716549999999999E-7</v>
      </c>
      <c r="I4931">
        <v>142.4247</v>
      </c>
      <c r="J4931">
        <v>-207.13659999999999</v>
      </c>
      <c r="K4931">
        <v>1.1081479999999999</v>
      </c>
      <c r="L4931">
        <v>140.76079999999999</v>
      </c>
      <c r="M4931">
        <v>-0.95605249999999997</v>
      </c>
      <c r="N4931">
        <v>-8.3106329999999996E-3</v>
      </c>
      <c r="O4931">
        <v>-0.29307810000000001</v>
      </c>
      <c r="P4931">
        <v>-0.98259560000000001</v>
      </c>
      <c r="Q4931">
        <v>0.179818899999999</v>
      </c>
      <c r="R4931">
        <v>-4.6600500000000003E-2</v>
      </c>
      <c r="S4931">
        <v>-3.073563</v>
      </c>
      <c r="T4931">
        <v>-6.4298869999999994E-2</v>
      </c>
      <c r="U4931">
        <v>9.1690060000000004E-2</v>
      </c>
      <c r="V4931">
        <v>0.24899689999999999</v>
      </c>
      <c r="W4931">
        <v>0.18028920000000001</v>
      </c>
      <c r="X4931">
        <v>0.95157570000000002</v>
      </c>
      <c r="Y4931">
        <v>0.32134740000000001</v>
      </c>
      <c r="Z4931">
        <v>8.3033729999999993E-3</v>
      </c>
      <c r="AA4931">
        <v>0.94692500000000002</v>
      </c>
      <c r="AB4931">
        <v>31</v>
      </c>
      <c r="AC4931">
        <v>-52.659300000000002</v>
      </c>
      <c r="AD4931">
        <v>-1.1081488171654901</v>
      </c>
      <c r="AE4931">
        <v>1.6639000000000099</v>
      </c>
      <c r="AF4931">
        <v>17.017121052094801</v>
      </c>
      <c r="AG4931">
        <v>-1.1081488171654901</v>
      </c>
      <c r="AH4931">
        <v>49.837071262460697</v>
      </c>
      <c r="AI4931">
        <v>91.205471498774401</v>
      </c>
      <c r="AJ4931">
        <v>71.147269016278898</v>
      </c>
      <c r="AK4931">
        <v>52.673941135273203</v>
      </c>
      <c r="AL4931">
        <v>79.613394479011603</v>
      </c>
      <c r="AM4931">
        <v>75.336302855486394</v>
      </c>
      <c r="AN4931">
        <v>0.99999998233836895</v>
      </c>
    </row>
    <row r="4932" spans="1:40" x14ac:dyDescent="0.25">
      <c r="A4932" t="str">
        <f>"20190303170351092"</f>
        <v>20190303170351092</v>
      </c>
      <c r="B4932" t="str">
        <f>"1551603831080058"</f>
        <v>1551603831080058</v>
      </c>
      <c r="C4932" t="s">
        <v>40</v>
      </c>
      <c r="D4932">
        <v>4.2225859999999997</v>
      </c>
      <c r="E4932">
        <v>0.52645180000000003</v>
      </c>
      <c r="F4932" t="s">
        <v>42</v>
      </c>
      <c r="G4932">
        <v>-254.22720000000001</v>
      </c>
      <c r="H4932" s="1">
        <v>-3.252931E-6</v>
      </c>
      <c r="I4932">
        <v>142.60079999999999</v>
      </c>
      <c r="J4932">
        <v>-207.44589999999999</v>
      </c>
      <c r="K4932">
        <v>1.1083400000000001</v>
      </c>
      <c r="L4932">
        <v>140.6798</v>
      </c>
      <c r="M4932">
        <v>-0.96025090000000002</v>
      </c>
      <c r="N4932">
        <v>-8.4091210000000003E-3</v>
      </c>
      <c r="O4932">
        <v>-0.27901199999999998</v>
      </c>
      <c r="P4932">
        <v>-0.98349399999999998</v>
      </c>
      <c r="Q4932">
        <v>0.17708589999999999</v>
      </c>
      <c r="R4932">
        <v>-3.7152499999999998E-2</v>
      </c>
      <c r="S4932">
        <v>-3.0720519999999998</v>
      </c>
      <c r="T4932">
        <v>-7.2292449999999994E-2</v>
      </c>
      <c r="U4932">
        <v>0.12004090000000001</v>
      </c>
      <c r="V4932">
        <v>0.24414859999999999</v>
      </c>
      <c r="W4932">
        <v>0.17791309999999999</v>
      </c>
      <c r="X4932">
        <v>0.95327770000000001</v>
      </c>
      <c r="Y4932">
        <v>0.31615500000000002</v>
      </c>
      <c r="Z4932">
        <v>9.1871709999999992E-3</v>
      </c>
      <c r="AA4932">
        <v>0.94866309999999998</v>
      </c>
      <c r="AB4932">
        <v>31</v>
      </c>
      <c r="AC4932">
        <v>-46.781300000000002</v>
      </c>
      <c r="AD4932">
        <v>-1.10834325293099</v>
      </c>
      <c r="AE4932">
        <v>1.92099999999999</v>
      </c>
      <c r="AF4932">
        <v>14.889367798705701</v>
      </c>
      <c r="AG4932">
        <v>-1.10834325293099</v>
      </c>
      <c r="AH4932">
        <v>44.362509073261997</v>
      </c>
      <c r="AI4932">
        <v>91.356815778041195</v>
      </c>
      <c r="AJ4932">
        <v>71.446727028911297</v>
      </c>
      <c r="AK4932">
        <v>46.807626616681901</v>
      </c>
      <c r="AL4932">
        <v>79.751772596828303</v>
      </c>
      <c r="AM4932">
        <v>75.634486533950096</v>
      </c>
      <c r="AN4932">
        <v>0.99999999167542997</v>
      </c>
    </row>
    <row r="4933" spans="1:40" x14ac:dyDescent="0.25">
      <c r="A4933" t="str">
        <f>"20190303170351113"</f>
        <v>20190303170351113</v>
      </c>
      <c r="B4933" t="str">
        <f>"1551603831100555"</f>
        <v>1551603831100555</v>
      </c>
      <c r="C4933" t="s">
        <v>40</v>
      </c>
      <c r="D4933">
        <v>4.3897539999999999</v>
      </c>
      <c r="E4933">
        <v>0.52597859999999996</v>
      </c>
      <c r="F4933" t="s">
        <v>42</v>
      </c>
      <c r="G4933">
        <v>-249.85839999999999</v>
      </c>
      <c r="H4933" s="1">
        <v>-5.4641879999999998E-7</v>
      </c>
      <c r="I4933">
        <v>141.50799999999899</v>
      </c>
      <c r="J4933">
        <v>-207.73339999999999</v>
      </c>
      <c r="K4933">
        <v>1.1085510000000001</v>
      </c>
      <c r="L4933">
        <v>140.6087</v>
      </c>
      <c r="M4933">
        <v>-0.96385989999999999</v>
      </c>
      <c r="N4933">
        <v>-8.5137870000000001E-3</v>
      </c>
      <c r="O4933">
        <v>-0.26627400000000001</v>
      </c>
      <c r="P4933">
        <v>-0.98409159999999996</v>
      </c>
      <c r="Q4933">
        <v>0.17553759999999999</v>
      </c>
      <c r="R4933">
        <v>-2.739757E-2</v>
      </c>
      <c r="S4933">
        <v>-3.0670470000000001</v>
      </c>
      <c r="T4933">
        <v>-8.0149289999999998E-2</v>
      </c>
      <c r="U4933">
        <v>5.989075E-2</v>
      </c>
      <c r="V4933">
        <v>0.24092069999999999</v>
      </c>
      <c r="W4933">
        <v>0.17668449999999999</v>
      </c>
      <c r="X4933">
        <v>0.95432689999999998</v>
      </c>
      <c r="Y4933">
        <v>0.28488330000000001</v>
      </c>
      <c r="Z4933">
        <v>9.5456480000000003E-3</v>
      </c>
      <c r="AA4933">
        <v>0.95851470000000005</v>
      </c>
      <c r="AB4933">
        <v>31</v>
      </c>
      <c r="AC4933">
        <v>-42.125</v>
      </c>
      <c r="AD4933">
        <v>-1.1085515464188</v>
      </c>
      <c r="AE4933">
        <v>0.899299999999982</v>
      </c>
      <c r="AF4933">
        <v>12.075669176193401</v>
      </c>
      <c r="AG4933">
        <v>-1.1085515464188</v>
      </c>
      <c r="AH4933">
        <v>40.3366750729665</v>
      </c>
      <c r="AI4933">
        <v>91.508133783630498</v>
      </c>
      <c r="AJ4933">
        <v>73.333774743218896</v>
      </c>
      <c r="AK4933">
        <v>42.120043073648603</v>
      </c>
      <c r="AL4933">
        <v>79.823299622375799</v>
      </c>
      <c r="AM4933">
        <v>75.831666222158603</v>
      </c>
      <c r="AN4933">
        <v>1.00000001414617</v>
      </c>
    </row>
    <row r="4934" spans="1:40" x14ac:dyDescent="0.25">
      <c r="A4934" t="str">
        <f>"20190303170351137"</f>
        <v>20190303170351137</v>
      </c>
      <c r="B4934" t="str">
        <f>"1551603831130811"</f>
        <v>1551603831130811</v>
      </c>
      <c r="C4934" t="s">
        <v>40</v>
      </c>
      <c r="D4934">
        <v>4.2716900000000004</v>
      </c>
      <c r="E4934">
        <v>0.52424099999999996</v>
      </c>
      <c r="F4934" t="s">
        <v>42</v>
      </c>
      <c r="G4934">
        <v>-247.08789999999999</v>
      </c>
      <c r="H4934" s="1">
        <v>-1.7928720000000001E-6</v>
      </c>
      <c r="I4934">
        <v>141.72579999999999</v>
      </c>
      <c r="J4934">
        <v>-208.05119999999999</v>
      </c>
      <c r="K4934">
        <v>1.1088209999999901</v>
      </c>
      <c r="L4934">
        <v>140.53450000000001</v>
      </c>
      <c r="M4934">
        <v>-0.96753610000000001</v>
      </c>
      <c r="N4934">
        <v>-8.642383E-3</v>
      </c>
      <c r="O4934">
        <v>-0.25258510000000001</v>
      </c>
      <c r="P4934">
        <v>-0.98453630000000003</v>
      </c>
      <c r="Q4934">
        <v>0.17441860000000001</v>
      </c>
      <c r="R4934">
        <v>-1.6319989999999999E-2</v>
      </c>
      <c r="S4934">
        <v>-3.0663299999999998</v>
      </c>
      <c r="T4934">
        <v>-8.6373450000000004E-2</v>
      </c>
      <c r="U4934">
        <v>8.7036130000000003E-2</v>
      </c>
      <c r="V4934">
        <v>0.23804139999999999</v>
      </c>
      <c r="W4934">
        <v>0.175926</v>
      </c>
      <c r="X4934">
        <v>0.95518919999999996</v>
      </c>
      <c r="Y4934">
        <v>0.27975460000000002</v>
      </c>
      <c r="Z4934">
        <v>1.0009550000000001E-2</v>
      </c>
      <c r="AA4934">
        <v>0.96001939999999997</v>
      </c>
      <c r="AB4934">
        <v>31</v>
      </c>
      <c r="AC4934">
        <v>-39.036700000000003</v>
      </c>
      <c r="AD4934">
        <v>-1.10882279287199</v>
      </c>
      <c r="AE4934">
        <v>1.19129999999998</v>
      </c>
      <c r="AF4934">
        <v>11.004255448416499</v>
      </c>
      <c r="AG4934">
        <v>-1.10882279287199</v>
      </c>
      <c r="AH4934">
        <v>37.439731550976397</v>
      </c>
      <c r="AI4934">
        <v>91.627581089548002</v>
      </c>
      <c r="AJ4934">
        <v>73.620925838425507</v>
      </c>
      <c r="AK4934">
        <v>39.039167826289201</v>
      </c>
      <c r="AL4934">
        <v>79.867450295307194</v>
      </c>
      <c r="AM4934">
        <v>76.006438990858797</v>
      </c>
      <c r="AN4934">
        <v>1.00000003669329</v>
      </c>
    </row>
    <row r="4935" spans="1:40" x14ac:dyDescent="0.25">
      <c r="A4935" t="str">
        <f>"20190303170351161"</f>
        <v>20190303170351161</v>
      </c>
      <c r="B4935" t="str">
        <f>"1551603831150331"</f>
        <v>1551603831150331</v>
      </c>
      <c r="C4935" t="s">
        <v>40</v>
      </c>
      <c r="D4935">
        <v>4.2550540000000003</v>
      </c>
      <c r="E4935">
        <v>0.522787</v>
      </c>
      <c r="F4935" t="s">
        <v>42</v>
      </c>
      <c r="G4935">
        <v>-247.71430000000001</v>
      </c>
      <c r="H4935" s="1">
        <v>-1.5759189999999999E-6</v>
      </c>
      <c r="I4935">
        <v>141.92019999999999</v>
      </c>
      <c r="J4935">
        <v>-208.3826</v>
      </c>
      <c r="K4935">
        <v>1.1091409999999999</v>
      </c>
      <c r="L4935">
        <v>140.46190000000001</v>
      </c>
      <c r="M4935">
        <v>-0.97102869999999997</v>
      </c>
      <c r="N4935">
        <v>-8.7849529999999999E-3</v>
      </c>
      <c r="O4935">
        <v>-0.23880180000000001</v>
      </c>
      <c r="P4935">
        <v>-0.98488580000000003</v>
      </c>
      <c r="Q4935">
        <v>0.17309150000000001</v>
      </c>
      <c r="R4935">
        <v>-6.2904149999999997E-3</v>
      </c>
      <c r="S4935">
        <v>-3.0640719999999999</v>
      </c>
      <c r="T4935">
        <v>-8.56595E-2</v>
      </c>
      <c r="U4935">
        <v>0.1070557</v>
      </c>
      <c r="V4935">
        <v>0.2340778</v>
      </c>
      <c r="W4935">
        <v>0.17502470000000001</v>
      </c>
      <c r="X4935">
        <v>0.95633360000000001</v>
      </c>
      <c r="Y4935">
        <v>0.27239069999999999</v>
      </c>
      <c r="Z4935">
        <v>9.5231759999999995E-3</v>
      </c>
      <c r="AA4935">
        <v>0.96213959999999998</v>
      </c>
      <c r="AB4935">
        <v>31</v>
      </c>
      <c r="AC4935">
        <v>-39.331699999999998</v>
      </c>
      <c r="AD4935">
        <v>-1.1091425759189999</v>
      </c>
      <c r="AE4935">
        <v>1.4582999999999799</v>
      </c>
      <c r="AF4935">
        <v>10.8003709484159</v>
      </c>
      <c r="AG4935">
        <v>-1.1091425759189999</v>
      </c>
      <c r="AH4935">
        <v>37.815390839789501</v>
      </c>
      <c r="AI4935">
        <v>91.615468999312696</v>
      </c>
      <c r="AJ4935">
        <v>74.060244462516494</v>
      </c>
      <c r="AK4935">
        <v>39.343131474796699</v>
      </c>
      <c r="AL4935">
        <v>79.919904586415797</v>
      </c>
      <c r="AM4935">
        <v>76.246356488995502</v>
      </c>
      <c r="AN4935">
        <v>1.0000000082759399</v>
      </c>
    </row>
    <row r="4936" spans="1:40" x14ac:dyDescent="0.25">
      <c r="A4936" t="str">
        <f>"20190303170351181"</f>
        <v>20190303170351181</v>
      </c>
      <c r="B4936" t="str">
        <f>"1551603831170827"</f>
        <v>1551603831170827</v>
      </c>
      <c r="C4936" t="s">
        <v>40</v>
      </c>
      <c r="D4936">
        <v>4.2019960000000003</v>
      </c>
      <c r="E4936">
        <v>0.51300329999999905</v>
      </c>
      <c r="F4936" t="s">
        <v>42</v>
      </c>
      <c r="G4936">
        <v>-246.95009999999999</v>
      </c>
      <c r="H4936" s="1">
        <v>-1.9403899999999998E-6</v>
      </c>
      <c r="I4936">
        <v>142.05799999999999</v>
      </c>
      <c r="J4936">
        <v>-208.6833</v>
      </c>
      <c r="K4936">
        <v>1.109426</v>
      </c>
      <c r="L4936">
        <v>140.3997</v>
      </c>
      <c r="M4936">
        <v>-0.97393700000000005</v>
      </c>
      <c r="N4936">
        <v>-8.9182610000000002E-3</v>
      </c>
      <c r="O4936">
        <v>-0.2266435</v>
      </c>
      <c r="P4936">
        <v>-0.98518340000000004</v>
      </c>
      <c r="Q4936">
        <v>0.17150070000000001</v>
      </c>
      <c r="R4936">
        <v>1.1198989999999999E-3</v>
      </c>
      <c r="S4936">
        <v>-3.0623170000000002</v>
      </c>
      <c r="T4936">
        <v>-8.8067649999999997E-2</v>
      </c>
      <c r="U4936">
        <v>0.1267395</v>
      </c>
      <c r="V4936">
        <v>0.22922039999999999</v>
      </c>
      <c r="W4936">
        <v>0.17385129999999999</v>
      </c>
      <c r="X4936">
        <v>0.9577232</v>
      </c>
      <c r="Y4936">
        <v>0.26654650000000002</v>
      </c>
      <c r="Z4936">
        <v>9.4671170000000006E-3</v>
      </c>
      <c r="AA4936">
        <v>0.96377559999999995</v>
      </c>
      <c r="AB4936">
        <v>31</v>
      </c>
      <c r="AC4936">
        <v>-38.266799999999897</v>
      </c>
      <c r="AD4936">
        <v>-1.10942794038999</v>
      </c>
      <c r="AE4936">
        <v>1.6582999999999899</v>
      </c>
      <c r="AF4936">
        <v>10.2797856109623</v>
      </c>
      <c r="AG4936">
        <v>-1.10942794038999</v>
      </c>
      <c r="AH4936">
        <v>36.864147658504798</v>
      </c>
      <c r="AI4936">
        <v>91.660484278381404</v>
      </c>
      <c r="AJ4936">
        <v>74.418557250856793</v>
      </c>
      <c r="AK4936">
        <v>38.286684436632903</v>
      </c>
      <c r="AL4936">
        <v>79.988182167078804</v>
      </c>
      <c r="AM4936">
        <v>76.540088340986202</v>
      </c>
      <c r="AN4936">
        <v>0.99999999705304499</v>
      </c>
    </row>
    <row r="4937" spans="1:40" x14ac:dyDescent="0.25">
      <c r="A4937" t="str">
        <f>"20190303170351202"</f>
        <v>20190303170351202</v>
      </c>
      <c r="B4937" t="str">
        <f>"1551603831190347"</f>
        <v>1551603831190347</v>
      </c>
      <c r="C4937" t="s">
        <v>40</v>
      </c>
      <c r="D4937">
        <v>4.2395829999999997</v>
      </c>
      <c r="E4937">
        <v>0.5134611</v>
      </c>
      <c r="F4937" t="s">
        <v>42</v>
      </c>
      <c r="G4937">
        <v>-253.4058</v>
      </c>
      <c r="H4937" s="1">
        <v>-3.30469E-6</v>
      </c>
      <c r="I4937">
        <v>141.4709</v>
      </c>
      <c r="J4937">
        <v>-208.96629999999999</v>
      </c>
      <c r="K4937">
        <v>1.109696</v>
      </c>
      <c r="L4937">
        <v>140.34450000000001</v>
      </c>
      <c r="M4937">
        <v>-0.97645119999999996</v>
      </c>
      <c r="N4937">
        <v>-9.055479E-3</v>
      </c>
      <c r="O4937">
        <v>-0.2155485</v>
      </c>
      <c r="P4937">
        <v>-0.98525490000000004</v>
      </c>
      <c r="Q4937">
        <v>0.1708807</v>
      </c>
      <c r="R4937">
        <v>8.5533620000000001E-3</v>
      </c>
      <c r="S4937">
        <v>-3.058243</v>
      </c>
      <c r="T4937">
        <v>-7.5865749999999996E-2</v>
      </c>
      <c r="U4937">
        <v>7.3257450000000002E-2</v>
      </c>
      <c r="V4937">
        <v>0.2254495</v>
      </c>
      <c r="W4937">
        <v>0.17360900000000001</v>
      </c>
      <c r="X4937">
        <v>0.95866180000000001</v>
      </c>
      <c r="Y4937">
        <v>0.23875379999999999</v>
      </c>
      <c r="Z4937">
        <v>7.3972809999999899E-3</v>
      </c>
      <c r="AA4937">
        <v>0.97105200000000003</v>
      </c>
      <c r="AB4937">
        <v>31</v>
      </c>
      <c r="AC4937">
        <v>-44.439500000000002</v>
      </c>
      <c r="AD4937">
        <v>-1.1096993046899899</v>
      </c>
      <c r="AE4937">
        <v>1.1263999999999801</v>
      </c>
      <c r="AF4937">
        <v>10.6725289107686</v>
      </c>
      <c r="AG4937">
        <v>-1.1096993046899899</v>
      </c>
      <c r="AH4937">
        <v>43.1251028863649</v>
      </c>
      <c r="AI4937">
        <v>91.430867985728</v>
      </c>
      <c r="AJ4937">
        <v>76.099818585075397</v>
      </c>
      <c r="AK4937">
        <v>44.439946049219998</v>
      </c>
      <c r="AL4937">
        <v>80.002279379309002</v>
      </c>
      <c r="AM4937">
        <v>76.766161741869595</v>
      </c>
      <c r="AN4937">
        <v>1.0000000043552399</v>
      </c>
    </row>
    <row r="4938" spans="1:40" x14ac:dyDescent="0.25">
      <c r="A4938" t="str">
        <f>"20190303170351225"</f>
        <v>20190303170351225</v>
      </c>
      <c r="B4938" t="str">
        <f>"1551603831210369"</f>
        <v>1551603831210369</v>
      </c>
      <c r="C4938" t="s">
        <v>40</v>
      </c>
      <c r="D4938">
        <v>4.220364</v>
      </c>
      <c r="E4938">
        <v>0.51253899999999997</v>
      </c>
      <c r="F4938" t="s">
        <v>42</v>
      </c>
      <c r="G4938">
        <v>-251.6183</v>
      </c>
      <c r="H4938" s="1">
        <v>-4.1039949999999997E-6</v>
      </c>
      <c r="I4938">
        <v>141.75110000000001</v>
      </c>
      <c r="J4938">
        <v>-209.28739999999999</v>
      </c>
      <c r="K4938">
        <v>1.1100490000000001</v>
      </c>
      <c r="L4938">
        <v>140.28550000000001</v>
      </c>
      <c r="M4938">
        <v>-0.97904239999999998</v>
      </c>
      <c r="N4938">
        <v>-9.2350230000000002E-3</v>
      </c>
      <c r="O4938">
        <v>-0.20344760000000001</v>
      </c>
      <c r="P4938">
        <v>-0.98521720000000002</v>
      </c>
      <c r="Q4938">
        <v>0.17034830000000001</v>
      </c>
      <c r="R4938">
        <v>1.8135490000000001E-2</v>
      </c>
      <c r="S4938">
        <v>-3.0577999999999999</v>
      </c>
      <c r="T4938">
        <v>-7.9556580000000002E-2</v>
      </c>
      <c r="U4938">
        <v>0.1008453</v>
      </c>
      <c r="V4938">
        <v>0.2227809</v>
      </c>
      <c r="W4938">
        <v>0.17349400000000001</v>
      </c>
      <c r="X4938">
        <v>0.95930629999999995</v>
      </c>
      <c r="Y4938">
        <v>0.23548240000000001</v>
      </c>
      <c r="Z4938">
        <v>7.5307450000000001E-3</v>
      </c>
      <c r="AA4938">
        <v>0.97184939999999997</v>
      </c>
      <c r="AB4938">
        <v>31</v>
      </c>
      <c r="AC4938">
        <v>-42.3309</v>
      </c>
      <c r="AD4938">
        <v>-1.1100531039949999</v>
      </c>
      <c r="AE4938">
        <v>1.46559999999999</v>
      </c>
      <c r="AF4938">
        <v>10.0405356555436</v>
      </c>
      <c r="AG4938">
        <v>-1.1100531039949999</v>
      </c>
      <c r="AH4938">
        <v>41.119081006258</v>
      </c>
      <c r="AI4938">
        <v>91.502267921673806</v>
      </c>
      <c r="AJ4938">
        <v>76.2779266429649</v>
      </c>
      <c r="AK4938">
        <v>42.341745322354598</v>
      </c>
      <c r="AL4938">
        <v>80.008970257154203</v>
      </c>
      <c r="AM4938">
        <v>76.925876699949796</v>
      </c>
      <c r="AN4938">
        <v>1.00000003733024</v>
      </c>
    </row>
    <row r="4939" spans="1:40" x14ac:dyDescent="0.25">
      <c r="A4939" t="str">
        <f>"20190303170351248"</f>
        <v>20190303170351248</v>
      </c>
      <c r="B4939" t="str">
        <f>"1551603831240625"</f>
        <v>1551603831240625</v>
      </c>
      <c r="C4939" t="s">
        <v>40</v>
      </c>
      <c r="D4939">
        <v>4.4219019999999896</v>
      </c>
      <c r="E4939">
        <v>0.51148099999999996</v>
      </c>
      <c r="F4939" t="s">
        <v>42</v>
      </c>
      <c r="G4939">
        <v>-252.5215</v>
      </c>
      <c r="H4939" s="1">
        <v>-3.8295170000000002E-6</v>
      </c>
      <c r="I4939">
        <v>142.01759999999999</v>
      </c>
      <c r="J4939">
        <v>-209.60980000000001</v>
      </c>
      <c r="K4939">
        <v>1.1104609999999999</v>
      </c>
      <c r="L4939">
        <v>140.22989999999999</v>
      </c>
      <c r="M4939">
        <v>-0.98137920000000001</v>
      </c>
      <c r="N4939">
        <v>-9.4447560000000003E-3</v>
      </c>
      <c r="O4939">
        <v>-0.1918483</v>
      </c>
      <c r="P4939">
        <v>-0.98516159999999997</v>
      </c>
      <c r="Q4939">
        <v>0.1695101</v>
      </c>
      <c r="R4939">
        <v>2.6891140000000001E-2</v>
      </c>
      <c r="S4939">
        <v>-3.0563349999999998</v>
      </c>
      <c r="T4939">
        <v>-7.8472730000000004E-2</v>
      </c>
      <c r="U4939">
        <v>0.1224518</v>
      </c>
      <c r="V4939">
        <v>0.21980620000000001</v>
      </c>
      <c r="W4939">
        <v>0.1731356</v>
      </c>
      <c r="X4939">
        <v>0.96005689999999999</v>
      </c>
      <c r="Y4939">
        <v>0.2308636</v>
      </c>
      <c r="Z4939">
        <v>7.1398360000000001E-3</v>
      </c>
      <c r="AA4939">
        <v>0.97295989999999999</v>
      </c>
      <c r="AB4939">
        <v>31</v>
      </c>
      <c r="AC4939">
        <v>-42.911700000000003</v>
      </c>
      <c r="AD4939">
        <v>-1.1104648295170001</v>
      </c>
      <c r="AE4939">
        <v>1.7877000000000001</v>
      </c>
      <c r="AF4939">
        <v>9.9807210487152496</v>
      </c>
      <c r="AG4939">
        <v>-1.1104648295170001</v>
      </c>
      <c r="AH4939">
        <v>41.743637624403</v>
      </c>
      <c r="AI4939">
        <v>91.482069366103204</v>
      </c>
      <c r="AJ4939">
        <v>76.553271638596101</v>
      </c>
      <c r="AK4939">
        <v>42.934592194491998</v>
      </c>
      <c r="AL4939">
        <v>80.029819989250797</v>
      </c>
      <c r="AM4939">
        <v>77.104320043158907</v>
      </c>
      <c r="AN4939">
        <v>0.99999997639170402</v>
      </c>
    </row>
    <row r="4940" spans="1:40" x14ac:dyDescent="0.25">
      <c r="A4940" t="str">
        <f>"20190303170351270"</f>
        <v>20190303170351270</v>
      </c>
      <c r="B4940" t="str">
        <f>"1551603831260144"</f>
        <v>1551603831260144</v>
      </c>
      <c r="C4940" t="s">
        <v>40</v>
      </c>
      <c r="D4940">
        <v>4.2181119999999996</v>
      </c>
      <c r="E4940">
        <v>0.51070109999999902</v>
      </c>
      <c r="F4940" t="s">
        <v>42</v>
      </c>
      <c r="G4940">
        <v>-252.87790000000001</v>
      </c>
      <c r="H4940" s="1">
        <v>-3.7295130000000002E-6</v>
      </c>
      <c r="I4940">
        <v>142.21639999999999</v>
      </c>
      <c r="J4940">
        <v>-209.92429999999999</v>
      </c>
      <c r="K4940">
        <v>1.110932</v>
      </c>
      <c r="L4940">
        <v>140.1789</v>
      </c>
      <c r="M4940">
        <v>-0.98341420000000002</v>
      </c>
      <c r="N4940">
        <v>-9.6873489999999996E-3</v>
      </c>
      <c r="O4940">
        <v>-0.18111550000000001</v>
      </c>
      <c r="P4940">
        <v>-0.98552499999999998</v>
      </c>
      <c r="Q4940">
        <v>0.16672390000000001</v>
      </c>
      <c r="R4940">
        <v>3.071871E-2</v>
      </c>
      <c r="S4940">
        <v>-3.05484</v>
      </c>
      <c r="T4940">
        <v>-7.8401799999999994E-2</v>
      </c>
      <c r="U4940">
        <v>0.14025879999999999</v>
      </c>
      <c r="V4940">
        <v>0.2128804</v>
      </c>
      <c r="W4940">
        <v>0.17098849999999999</v>
      </c>
      <c r="X4940">
        <v>0.96200039999999998</v>
      </c>
      <c r="Y4940">
        <v>0.22591530000000001</v>
      </c>
      <c r="Z4940">
        <v>6.8637259999999997E-3</v>
      </c>
      <c r="AA4940">
        <v>0.97412279999999996</v>
      </c>
      <c r="AB4940">
        <v>31</v>
      </c>
      <c r="AC4940">
        <v>-42.953600000000002</v>
      </c>
      <c r="AD4940">
        <v>-1.110935729513</v>
      </c>
      <c r="AE4940">
        <v>2.0374999999999899</v>
      </c>
      <c r="AF4940">
        <v>9.7772019360687494</v>
      </c>
      <c r="AG4940">
        <v>-1.110935729513</v>
      </c>
      <c r="AH4940">
        <v>41.846189720080197</v>
      </c>
      <c r="AI4940">
        <v>91.480870195737893</v>
      </c>
      <c r="AJ4940">
        <v>76.848980164156004</v>
      </c>
      <c r="AK4940">
        <v>42.987573204156597</v>
      </c>
      <c r="AL4940">
        <v>80.154702011858404</v>
      </c>
      <c r="AM4940">
        <v>77.522139159121807</v>
      </c>
      <c r="AN4940">
        <v>0.99999995071828296</v>
      </c>
    </row>
    <row r="4941" spans="1:40" x14ac:dyDescent="0.25">
      <c r="A4941" t="str">
        <f>"20190303170351303"</f>
        <v>20190303170351303</v>
      </c>
      <c r="B4941" t="str">
        <f>"1551603831290401"</f>
        <v>1551603831290401</v>
      </c>
      <c r="C4941" t="s">
        <v>40</v>
      </c>
      <c r="D4941">
        <v>4.2304820000000003</v>
      </c>
      <c r="E4941">
        <v>0.50954739999999998</v>
      </c>
      <c r="F4941" t="s">
        <v>42</v>
      </c>
      <c r="G4941">
        <v>-249.3622</v>
      </c>
      <c r="H4941" s="1">
        <v>-9.0525350000000003E-7</v>
      </c>
      <c r="I4941">
        <v>142.0566</v>
      </c>
      <c r="J4941">
        <v>-210.37950000000001</v>
      </c>
      <c r="K4941">
        <v>1.1117349999999999</v>
      </c>
      <c r="L4941">
        <v>140.1104</v>
      </c>
      <c r="M4941">
        <v>-0.98594470000000001</v>
      </c>
      <c r="N4941">
        <v>-1.011976E-2</v>
      </c>
      <c r="O4941">
        <v>-0.16676550000000001</v>
      </c>
      <c r="P4941">
        <v>-0.98561840000000001</v>
      </c>
      <c r="Q4941">
        <v>0.16458589999999901</v>
      </c>
      <c r="R4941">
        <v>3.8319430000000002E-2</v>
      </c>
      <c r="S4941">
        <v>-3.0540919999999998</v>
      </c>
      <c r="T4941">
        <v>-8.6031200000000002E-2</v>
      </c>
      <c r="U4941">
        <v>0.145416299999999</v>
      </c>
      <c r="V4941">
        <v>0.20598530000000001</v>
      </c>
      <c r="W4941">
        <v>0.16980870000000001</v>
      </c>
      <c r="X4941">
        <v>0.96370900000000004</v>
      </c>
      <c r="Y4941">
        <v>0.21333750000000001</v>
      </c>
      <c r="Z4941">
        <v>7.0742519999999996E-3</v>
      </c>
      <c r="AA4941">
        <v>0.97695299999999996</v>
      </c>
      <c r="AB4941">
        <v>31</v>
      </c>
      <c r="AC4941">
        <v>-38.982700000000001</v>
      </c>
      <c r="AD4941">
        <v>-1.1117359052535001</v>
      </c>
      <c r="AE4941">
        <v>1.9461999999999999</v>
      </c>
      <c r="AF4941">
        <v>8.4134200503283498</v>
      </c>
      <c r="AG4941">
        <v>-1.1117359052535001</v>
      </c>
      <c r="AH4941">
        <v>38.081282124727501</v>
      </c>
      <c r="AI4941">
        <v>91.632850371439005</v>
      </c>
      <c r="AJ4941">
        <v>77.541590689889205</v>
      </c>
      <c r="AK4941">
        <v>39.015453885984599</v>
      </c>
      <c r="AL4941">
        <v>80.223303216404602</v>
      </c>
      <c r="AM4941">
        <v>77.935019108016704</v>
      </c>
      <c r="AN4941">
        <v>0.99999998754638997</v>
      </c>
    </row>
    <row r="4942" spans="1:40" x14ac:dyDescent="0.25">
      <c r="A4942" t="str">
        <f>"20190303170351326"</f>
        <v>20190303170351326</v>
      </c>
      <c r="B4942" t="str">
        <f>"1551603831320657"</f>
        <v>1551603831320657</v>
      </c>
      <c r="C4942" t="s">
        <v>40</v>
      </c>
      <c r="D4942">
        <v>4.2029249999999996</v>
      </c>
      <c r="E4942">
        <v>0.50128109999999904</v>
      </c>
      <c r="F4942" t="s">
        <v>42</v>
      </c>
      <c r="G4942">
        <v>-247.374</v>
      </c>
      <c r="H4942" s="1">
        <v>-1.7564339999999999E-6</v>
      </c>
      <c r="I4942">
        <v>142.05000000000001</v>
      </c>
      <c r="J4942">
        <v>-210.70599999999999</v>
      </c>
      <c r="K4942">
        <v>1.112368</v>
      </c>
      <c r="L4942">
        <v>140.06469999999999</v>
      </c>
      <c r="M4942">
        <v>-0.98749419999999999</v>
      </c>
      <c r="N4942">
        <v>-1.047124E-2</v>
      </c>
      <c r="O4942">
        <v>-0.15730720000000001</v>
      </c>
      <c r="P4942">
        <v>-0.98523530000000004</v>
      </c>
      <c r="Q4942">
        <v>0.16522319999999999</v>
      </c>
      <c r="R4942">
        <v>4.486159E-2</v>
      </c>
      <c r="S4942">
        <v>-3.0528559999999998</v>
      </c>
      <c r="T4942">
        <v>-9.1742519999999994E-2</v>
      </c>
      <c r="U4942">
        <v>0.1600647</v>
      </c>
      <c r="V4942">
        <v>0.20291120000000001</v>
      </c>
      <c r="W4942">
        <v>0.1711318</v>
      </c>
      <c r="X4942">
        <v>0.96412710000000001</v>
      </c>
      <c r="Y4942">
        <v>0.2086508</v>
      </c>
      <c r="Z4942">
        <v>7.2895219999999997E-3</v>
      </c>
      <c r="AA4942">
        <v>0.97796300000000003</v>
      </c>
      <c r="AB4942">
        <v>31</v>
      </c>
      <c r="AC4942">
        <v>-36.667999999999999</v>
      </c>
      <c r="AD4942">
        <v>-1.112369756434</v>
      </c>
      <c r="AE4942">
        <v>1.98530000000002</v>
      </c>
      <c r="AF4942">
        <v>7.7219507501952398</v>
      </c>
      <c r="AG4942">
        <v>-1.112369756434</v>
      </c>
      <c r="AH4942">
        <v>35.8661927977518</v>
      </c>
      <c r="AI4942">
        <v>91.736657844356102</v>
      </c>
      <c r="AJ4942">
        <v>77.849753475090694</v>
      </c>
      <c r="AK4942">
        <v>36.704899886377198</v>
      </c>
      <c r="AL4942">
        <v>80.146369750867706</v>
      </c>
      <c r="AM4942">
        <v>78.114922860534904</v>
      </c>
      <c r="AN4942">
        <v>1.00000005650554</v>
      </c>
    </row>
    <row r="4943" spans="1:40" x14ac:dyDescent="0.25">
      <c r="A4943" t="str">
        <f>"20190303170351348"</f>
        <v>20190303170351348</v>
      </c>
      <c r="B4943" t="str">
        <f>"1551603831340176"</f>
        <v>1551603831340176</v>
      </c>
      <c r="C4943" t="s">
        <v>40</v>
      </c>
      <c r="D4943">
        <v>4.2119589999999896</v>
      </c>
      <c r="E4943">
        <v>0.50073729999999905</v>
      </c>
      <c r="F4943" t="s">
        <v>42</v>
      </c>
      <c r="G4943">
        <v>-259.37880000000001</v>
      </c>
      <c r="H4943" s="1">
        <v>-8.5149789999999897E-7</v>
      </c>
      <c r="I4943">
        <v>141.88130000000001</v>
      </c>
      <c r="J4943">
        <v>-211.03219999999999</v>
      </c>
      <c r="K4943">
        <v>1.1129929999999999</v>
      </c>
      <c r="L4943">
        <v>140.02160000000001</v>
      </c>
      <c r="M4943">
        <v>-0.98884799999999995</v>
      </c>
      <c r="N4943">
        <v>-1.084012E-2</v>
      </c>
      <c r="O4943">
        <v>-0.14853339999999901</v>
      </c>
      <c r="P4943">
        <v>-0.98499020000000004</v>
      </c>
      <c r="Q4943">
        <v>0.1651957</v>
      </c>
      <c r="R4943">
        <v>5.0047689999999999E-2</v>
      </c>
      <c r="S4943">
        <v>-3.0514679999999998</v>
      </c>
      <c r="T4943">
        <v>-6.9738389999999997E-2</v>
      </c>
      <c r="U4943">
        <v>0.1138916</v>
      </c>
      <c r="V4943">
        <v>0.19919829999999999</v>
      </c>
      <c r="W4943">
        <v>0.17180689999999901</v>
      </c>
      <c r="X4943">
        <v>0.964781</v>
      </c>
      <c r="Y4943">
        <v>0.18524089999999999</v>
      </c>
      <c r="Z4943">
        <v>4.8933120000000004E-3</v>
      </c>
      <c r="AA4943">
        <v>0.98268100000000003</v>
      </c>
      <c r="AB4943">
        <v>31</v>
      </c>
      <c r="AC4943">
        <v>-48.346600000000002</v>
      </c>
      <c r="AD4943">
        <v>-1.1129938514978901</v>
      </c>
      <c r="AE4943">
        <v>1.8596999999999999</v>
      </c>
      <c r="AF4943">
        <v>9.0158042325185299</v>
      </c>
      <c r="AG4943">
        <v>-1.1129938514978901</v>
      </c>
      <c r="AH4943">
        <v>47.508861744811398</v>
      </c>
      <c r="AI4943">
        <v>91.318504120220297</v>
      </c>
      <c r="AJ4943">
        <v>79.254696986228595</v>
      </c>
      <c r="AK4943">
        <v>48.369571277407204</v>
      </c>
      <c r="AL4943">
        <v>80.107107075278705</v>
      </c>
      <c r="AM4943">
        <v>78.334071081558093</v>
      </c>
      <c r="AN4943">
        <v>0.99999997578574895</v>
      </c>
    </row>
    <row r="4944" spans="1:40" x14ac:dyDescent="0.25">
      <c r="A4944" t="str">
        <f>"20190303170351372"</f>
        <v>20190303170351372</v>
      </c>
      <c r="B4944" t="str">
        <f>"1551603831360674"</f>
        <v>1551603831360674</v>
      </c>
      <c r="C4944" t="s">
        <v>40</v>
      </c>
      <c r="D4944">
        <v>4.3014080000000003</v>
      </c>
      <c r="E4944">
        <v>0.5001061</v>
      </c>
      <c r="F4944" t="s">
        <v>42</v>
      </c>
      <c r="G4944">
        <v>-259.05799999999999</v>
      </c>
      <c r="H4944" s="1">
        <v>-1.0160549999999999E-6</v>
      </c>
      <c r="I4944">
        <v>141.98249999999999</v>
      </c>
      <c r="J4944">
        <v>-211.352</v>
      </c>
      <c r="K4944">
        <v>1.1136299999999999</v>
      </c>
      <c r="L4944">
        <v>139.98150000000001</v>
      </c>
      <c r="M4944">
        <v>-0.98999040000000005</v>
      </c>
      <c r="N4944">
        <v>-1.122051E-2</v>
      </c>
      <c r="O4944">
        <v>-0.1406888</v>
      </c>
      <c r="P4944">
        <v>-0.98532390000000003</v>
      </c>
      <c r="Q4944">
        <v>0.16272619999999999</v>
      </c>
      <c r="R4944">
        <v>5.1547370000000002E-2</v>
      </c>
      <c r="S4944">
        <v>-3.0512389999999998</v>
      </c>
      <c r="T4944">
        <v>-7.0712330000000004E-2</v>
      </c>
      <c r="U4944">
        <v>0.124588</v>
      </c>
      <c r="V4944">
        <v>0.19278960000000001</v>
      </c>
      <c r="W4944">
        <v>0.17010610000000001</v>
      </c>
      <c r="X4944">
        <v>0.96638299999999999</v>
      </c>
      <c r="Y4944">
        <v>0.18089079999999999</v>
      </c>
      <c r="Z4944">
        <v>4.782578E-3</v>
      </c>
      <c r="AA4944">
        <v>0.98349149999999996</v>
      </c>
      <c r="AB4944">
        <v>31</v>
      </c>
      <c r="AC4944">
        <v>-47.705999999999896</v>
      </c>
      <c r="AD4944">
        <v>-1.11363101605499</v>
      </c>
      <c r="AE4944">
        <v>2.0009999999999701</v>
      </c>
      <c r="AF4944">
        <v>8.6884906767342702</v>
      </c>
      <c r="AG4944">
        <v>-1.11363101605499</v>
      </c>
      <c r="AH4944">
        <v>46.924388552840902</v>
      </c>
      <c r="AI4944">
        <v>91.336800537209697</v>
      </c>
      <c r="AJ4944">
        <v>79.509952516878002</v>
      </c>
      <c r="AK4944">
        <v>47.734979683012398</v>
      </c>
      <c r="AL4944">
        <v>80.206012098099393</v>
      </c>
      <c r="AM4944">
        <v>78.717833379557106</v>
      </c>
      <c r="AN4944">
        <v>1.0000000089071801</v>
      </c>
    </row>
    <row r="4945" spans="1:40" x14ac:dyDescent="0.25">
      <c r="A4945" t="str">
        <f>"20190303170351392"</f>
        <v>20190303170351392</v>
      </c>
      <c r="B4945" t="str">
        <f>"1551603831380192"</f>
        <v>1551603831380192</v>
      </c>
      <c r="C4945" t="s">
        <v>40</v>
      </c>
      <c r="D4945">
        <v>4.1573539999999998</v>
      </c>
      <c r="E4945">
        <v>0.49956489999999998</v>
      </c>
      <c r="F4945" t="s">
        <v>42</v>
      </c>
      <c r="G4945">
        <v>-255.2758</v>
      </c>
      <c r="H4945" s="1">
        <v>-2.5764309999999998E-6</v>
      </c>
      <c r="I4945">
        <v>141.74889999999999</v>
      </c>
      <c r="J4945">
        <v>-211.64</v>
      </c>
      <c r="K4945">
        <v>1.1142289999999999</v>
      </c>
      <c r="L4945">
        <v>139.94710000000001</v>
      </c>
      <c r="M4945">
        <v>-0.99087139999999996</v>
      </c>
      <c r="N4945">
        <v>-1.156006E-2</v>
      </c>
      <c r="O4945">
        <v>-0.1343145</v>
      </c>
      <c r="P4945">
        <v>-0.98575880000000005</v>
      </c>
      <c r="Q4945">
        <v>0.16034979999999999</v>
      </c>
      <c r="R4945">
        <v>5.0672429999999997E-2</v>
      </c>
      <c r="S4945">
        <v>-3.051056</v>
      </c>
      <c r="T4945">
        <v>-7.7355740000000006E-2</v>
      </c>
      <c r="U4945">
        <v>0.1227722</v>
      </c>
      <c r="V4945">
        <v>0.18548880000000001</v>
      </c>
      <c r="W4945">
        <v>0.16845089999999999</v>
      </c>
      <c r="X4945">
        <v>0.96810030000000002</v>
      </c>
      <c r="Y4945">
        <v>0.17396339999999999</v>
      </c>
      <c r="Z4945">
        <v>5.0538069999999996E-3</v>
      </c>
      <c r="AA4945">
        <v>0.98473920000000004</v>
      </c>
      <c r="AB4945">
        <v>31</v>
      </c>
      <c r="AC4945">
        <v>-43.635800000000003</v>
      </c>
      <c r="AD4945">
        <v>-1.114231576431</v>
      </c>
      <c r="AE4945">
        <v>1.8017999999999801</v>
      </c>
      <c r="AF4945">
        <v>7.6418089467820902</v>
      </c>
      <c r="AG4945">
        <v>-1.114231576431</v>
      </c>
      <c r="AH4945">
        <v>42.970358145448799</v>
      </c>
      <c r="AI4945">
        <v>91.462424654374203</v>
      </c>
      <c r="AJ4945">
        <v>79.915997313686901</v>
      </c>
      <c r="AK4945">
        <v>43.658795621651898</v>
      </c>
      <c r="AL4945">
        <v>80.302236644538297</v>
      </c>
      <c r="AM4945">
        <v>79.153535112356906</v>
      </c>
      <c r="AN4945">
        <v>0.99999999574817</v>
      </c>
    </row>
    <row r="4946" spans="1:40" x14ac:dyDescent="0.25">
      <c r="A4946" t="str">
        <f>"20190303170351415"</f>
        <v>20190303170351415</v>
      </c>
      <c r="B4946" t="str">
        <f>"1551603831400689"</f>
        <v>1551603831400689</v>
      </c>
      <c r="C4946" t="s">
        <v>40</v>
      </c>
      <c r="D4946">
        <v>4.1866680000000001</v>
      </c>
      <c r="E4946">
        <v>0.49913220000000003</v>
      </c>
      <c r="F4946" t="s">
        <v>42</v>
      </c>
      <c r="G4946">
        <v>-251.79669999999999</v>
      </c>
      <c r="H4946" s="1">
        <v>-3.992375E-6</v>
      </c>
      <c r="I4946">
        <v>141.4641</v>
      </c>
      <c r="J4946">
        <v>-211.95310000000001</v>
      </c>
      <c r="K4946">
        <v>1.1149039999999999</v>
      </c>
      <c r="L4946">
        <v>139.91130000000001</v>
      </c>
      <c r="M4946">
        <v>-0.99169180000000001</v>
      </c>
      <c r="N4946">
        <v>-1.190693E-2</v>
      </c>
      <c r="O4946">
        <v>-0.12808369999999999</v>
      </c>
      <c r="P4946">
        <v>-0.9860006</v>
      </c>
      <c r="Q4946">
        <v>0.15850320000000001</v>
      </c>
      <c r="R4946">
        <v>5.1763990000000003E-2</v>
      </c>
      <c r="S4946">
        <v>-3.051193</v>
      </c>
      <c r="T4946">
        <v>-8.4661959999999994E-2</v>
      </c>
      <c r="U4946">
        <v>0.1152649</v>
      </c>
      <c r="V4946">
        <v>0.18022270000000001</v>
      </c>
      <c r="W4946">
        <v>0.16731379999999901</v>
      </c>
      <c r="X4946">
        <v>0.96929140000000003</v>
      </c>
      <c r="Y4946">
        <v>0.16533390000000001</v>
      </c>
      <c r="Z4946">
        <v>5.2976359999999997E-3</v>
      </c>
      <c r="AA4946">
        <v>0.98622339999999997</v>
      </c>
      <c r="AB4946">
        <v>31</v>
      </c>
      <c r="AC4946">
        <v>-39.843599999999903</v>
      </c>
      <c r="AD4946">
        <v>-1.114907992375</v>
      </c>
      <c r="AE4946">
        <v>1.55279999999999</v>
      </c>
      <c r="AF4946">
        <v>6.63849620470367</v>
      </c>
      <c r="AG4946">
        <v>-1.114907992375</v>
      </c>
      <c r="AH4946">
        <v>39.285759374879198</v>
      </c>
      <c r="AI4946">
        <v>91.602874843322596</v>
      </c>
      <c r="AJ4946">
        <v>80.408780594703302</v>
      </c>
      <c r="AK4946">
        <v>39.858293256889901</v>
      </c>
      <c r="AL4946">
        <v>80.368325464289398</v>
      </c>
      <c r="AM4946">
        <v>79.4671344270281</v>
      </c>
      <c r="AN4946">
        <v>0.99999997368984395</v>
      </c>
    </row>
    <row r="4947" spans="1:40" x14ac:dyDescent="0.25">
      <c r="A4947" t="str">
        <f>"20190303170351439"</f>
        <v>20190303170351439</v>
      </c>
      <c r="B4947" t="str">
        <f>"1551603831430945"</f>
        <v>1551603831430945</v>
      </c>
      <c r="C4947" t="s">
        <v>40</v>
      </c>
      <c r="D4947">
        <v>4.420191</v>
      </c>
      <c r="E4947">
        <v>0.49851689999999999</v>
      </c>
      <c r="F4947" t="s">
        <v>42</v>
      </c>
      <c r="G4947">
        <v>-249.18020000000001</v>
      </c>
      <c r="H4947" s="1">
        <v>-7.8207129999999997E-7</v>
      </c>
      <c r="I4947">
        <v>141.30009999999999</v>
      </c>
      <c r="J4947">
        <v>-212.29769999999999</v>
      </c>
      <c r="K4947">
        <v>1.1156809999999999</v>
      </c>
      <c r="L4947">
        <v>139.8734</v>
      </c>
      <c r="M4947">
        <v>-0.99243709999999996</v>
      </c>
      <c r="N4947">
        <v>-1.2247879999999999E-2</v>
      </c>
      <c r="O4947">
        <v>-0.122142899999999</v>
      </c>
      <c r="P4947">
        <v>-0.98571600000000004</v>
      </c>
      <c r="Q4947">
        <v>0.15923099999999901</v>
      </c>
      <c r="R4947">
        <v>5.4859570000000003E-2</v>
      </c>
      <c r="S4947">
        <v>-3.0513309999999998</v>
      </c>
      <c r="T4947">
        <v>-9.1383580000000006E-2</v>
      </c>
      <c r="U4947">
        <v>0.1138458</v>
      </c>
      <c r="V4947">
        <v>0.1771654</v>
      </c>
      <c r="W4947">
        <v>0.1687273</v>
      </c>
      <c r="X4947">
        <v>0.96960999999999997</v>
      </c>
      <c r="Y4947">
        <v>0.15895300000000001</v>
      </c>
      <c r="Z4947">
        <v>5.5068239999999996E-3</v>
      </c>
      <c r="AA4947">
        <v>0.9872708</v>
      </c>
      <c r="AB4947">
        <v>31</v>
      </c>
      <c r="AC4947">
        <v>-36.8825</v>
      </c>
      <c r="AD4947">
        <v>-1.1156817820713001</v>
      </c>
      <c r="AE4947">
        <v>1.4266999999999801</v>
      </c>
      <c r="AF4947">
        <v>5.9158836068474798</v>
      </c>
      <c r="AG4947">
        <v>-1.1156817820713001</v>
      </c>
      <c r="AH4947">
        <v>36.398770807975197</v>
      </c>
      <c r="AI4947">
        <v>91.732934343680199</v>
      </c>
      <c r="AJ4947">
        <v>80.768452320377506</v>
      </c>
      <c r="AK4947">
        <v>36.893264168681597</v>
      </c>
      <c r="AL4947">
        <v>80.286170324128506</v>
      </c>
      <c r="AM4947">
        <v>79.645244009415705</v>
      </c>
      <c r="AN4947">
        <v>1.0000000164112199</v>
      </c>
    </row>
    <row r="4948" spans="1:40" x14ac:dyDescent="0.25">
      <c r="A4948" t="str">
        <f>"20190303170351460"</f>
        <v>20190303170351460</v>
      </c>
      <c r="B4948" t="str">
        <f>"1551603831450465"</f>
        <v>1551603831450465</v>
      </c>
      <c r="C4948" t="s">
        <v>40</v>
      </c>
      <c r="D4948">
        <v>4.1701309999999996</v>
      </c>
      <c r="E4948">
        <v>0.49813869999999999</v>
      </c>
      <c r="F4948" t="s">
        <v>42</v>
      </c>
      <c r="G4948">
        <v>-251.6395</v>
      </c>
      <c r="H4948" s="1">
        <v>-4.0313580000000002E-6</v>
      </c>
      <c r="I4948">
        <v>141.38229999999999</v>
      </c>
      <c r="J4948">
        <v>-212.59010000000001</v>
      </c>
      <c r="K4948">
        <v>1.1163339999999999</v>
      </c>
      <c r="L4948">
        <v>139.84229999999999</v>
      </c>
      <c r="M4948">
        <v>-0.9929673</v>
      </c>
      <c r="N4948">
        <v>-1.250884E-2</v>
      </c>
      <c r="O4948">
        <v>-0.117727</v>
      </c>
      <c r="P4948">
        <v>-0.9851569</v>
      </c>
      <c r="Q4948">
        <v>0.16262019999999999</v>
      </c>
      <c r="R4948">
        <v>5.4960589999999997E-2</v>
      </c>
      <c r="S4948">
        <v>-3.0509339999999998</v>
      </c>
      <c r="T4948">
        <v>-8.652079E-2</v>
      </c>
      <c r="U4948">
        <v>0.1170197</v>
      </c>
      <c r="V4948">
        <v>0.1726772</v>
      </c>
      <c r="W4948">
        <v>0.1726791</v>
      </c>
      <c r="X4948">
        <v>0.96972389999999997</v>
      </c>
      <c r="Y4948">
        <v>0.15560560000000001</v>
      </c>
      <c r="Z4948">
        <v>5.0380820000000002E-3</v>
      </c>
      <c r="AA4948">
        <v>0.98780639999999997</v>
      </c>
      <c r="AB4948">
        <v>31</v>
      </c>
      <c r="AC4948">
        <v>-39.049399999999899</v>
      </c>
      <c r="AD4948">
        <v>-1.116338031358</v>
      </c>
      <c r="AE4948">
        <v>1.53999999999999</v>
      </c>
      <c r="AF4948">
        <v>6.1218217895232501</v>
      </c>
      <c r="AG4948">
        <v>-1.116338031358</v>
      </c>
      <c r="AH4948">
        <v>38.5650251462108</v>
      </c>
      <c r="AI4948">
        <v>91.637579833682096</v>
      </c>
      <c r="AJ4948">
        <v>80.980113509930206</v>
      </c>
      <c r="AK4948">
        <v>39.063846164334699</v>
      </c>
      <c r="AL4948">
        <v>80.056375371551198</v>
      </c>
      <c r="AM4948">
        <v>79.903260583182004</v>
      </c>
      <c r="AN4948">
        <v>0.99999996460392904</v>
      </c>
    </row>
    <row r="4949" spans="1:40" x14ac:dyDescent="0.25">
      <c r="A4949" t="str">
        <f>"20190303170351481"</f>
        <v>20190303170351481</v>
      </c>
      <c r="B4949" t="str">
        <f>"1551603831469984"</f>
        <v>1551603831469984</v>
      </c>
      <c r="C4949" t="s">
        <v>40</v>
      </c>
      <c r="D4949">
        <v>4.1667820000000004</v>
      </c>
      <c r="E4949">
        <v>0.49785770000000001</v>
      </c>
      <c r="F4949" t="s">
        <v>42</v>
      </c>
      <c r="G4949">
        <v>-257.76850000000002</v>
      </c>
      <c r="H4949" s="1">
        <v>-1.4489790000000001E-6</v>
      </c>
      <c r="I4949">
        <v>141.53059999999999</v>
      </c>
      <c r="J4949">
        <v>-212.8828</v>
      </c>
      <c r="K4949">
        <v>1.1169180000000001</v>
      </c>
      <c r="L4949">
        <v>139.81190000000001</v>
      </c>
      <c r="M4949">
        <v>-0.99342140000000001</v>
      </c>
      <c r="N4949">
        <v>-1.274344E-2</v>
      </c>
      <c r="O4949">
        <v>-0.1138043</v>
      </c>
      <c r="P4949">
        <v>-0.98488430000000005</v>
      </c>
      <c r="Q4949">
        <v>0.16493440000000001</v>
      </c>
      <c r="R4949">
        <v>5.2910680000000002E-2</v>
      </c>
      <c r="S4949">
        <v>-3.051285</v>
      </c>
      <c r="T4949">
        <v>-7.5395699999999996E-2</v>
      </c>
      <c r="U4949">
        <v>0.1140289</v>
      </c>
      <c r="V4949">
        <v>0.1665731</v>
      </c>
      <c r="W4949">
        <v>0.1755176</v>
      </c>
      <c r="X4949">
        <v>0.97028190000000003</v>
      </c>
      <c r="Y4949">
        <v>0.15075849999999999</v>
      </c>
      <c r="Z4949">
        <v>4.1790909999999898E-3</v>
      </c>
      <c r="AA4949">
        <v>0.98856180000000005</v>
      </c>
      <c r="AB4949">
        <v>31</v>
      </c>
      <c r="AC4949">
        <v>-44.8857</v>
      </c>
      <c r="AD4949">
        <v>-1.116919448979</v>
      </c>
      <c r="AE4949">
        <v>1.7186999999999799</v>
      </c>
      <c r="AF4949">
        <v>6.8119211383858698</v>
      </c>
      <c r="AG4949">
        <v>-1.116919448979</v>
      </c>
      <c r="AH4949">
        <v>44.370992985621903</v>
      </c>
      <c r="AI4949">
        <v>91.425270135342402</v>
      </c>
      <c r="AJ4949">
        <v>81.271984929401299</v>
      </c>
      <c r="AK4949">
        <v>44.904730231693897</v>
      </c>
      <c r="AL4949">
        <v>79.891219326135996</v>
      </c>
      <c r="AM4949">
        <v>80.258708375462604</v>
      </c>
      <c r="AN4949">
        <v>0.99999999551049001</v>
      </c>
    </row>
    <row r="4950" spans="1:40" x14ac:dyDescent="0.25">
      <c r="A4950" t="str">
        <f>"20190303170351503"</f>
        <v>20190303170351503</v>
      </c>
      <c r="B4950" t="str">
        <f>"1551603831490481"</f>
        <v>1551603831490481</v>
      </c>
      <c r="C4950" t="s">
        <v>40</v>
      </c>
      <c r="D4950">
        <v>4.1871780000000003</v>
      </c>
      <c r="E4950">
        <v>0.49762980000000001</v>
      </c>
      <c r="F4950" t="s">
        <v>42</v>
      </c>
      <c r="G4950">
        <v>-262.8997</v>
      </c>
      <c r="H4950" s="1">
        <v>-3.5453889999999999E-6</v>
      </c>
      <c r="I4950">
        <v>141.55940000000001</v>
      </c>
      <c r="J4950">
        <v>-213.18770000000001</v>
      </c>
      <c r="K4950">
        <v>1.117451</v>
      </c>
      <c r="L4950">
        <v>139.78110000000001</v>
      </c>
      <c r="M4950">
        <v>-0.99381850000000005</v>
      </c>
      <c r="N4950">
        <v>-1.295902E-2</v>
      </c>
      <c r="O4950">
        <v>-0.1102586</v>
      </c>
      <c r="P4950">
        <v>-0.98481920000000001</v>
      </c>
      <c r="Q4950">
        <v>0.1658424</v>
      </c>
      <c r="R4950">
        <v>5.1258400000000003E-2</v>
      </c>
      <c r="S4950">
        <v>-3.0517430000000001</v>
      </c>
      <c r="T4950">
        <v>-6.8148260000000002E-2</v>
      </c>
      <c r="U4950">
        <v>0.106628399999999</v>
      </c>
      <c r="V4950">
        <v>0.16124469999999999</v>
      </c>
      <c r="W4950">
        <v>0.17690040000000001</v>
      </c>
      <c r="X4950">
        <v>0.97093070000000004</v>
      </c>
      <c r="Y4950">
        <v>0.1448448</v>
      </c>
      <c r="Z4950">
        <v>3.5842510000000001E-3</v>
      </c>
      <c r="AA4950">
        <v>0.98944790000000005</v>
      </c>
      <c r="AB4950">
        <v>31</v>
      </c>
      <c r="AC4950">
        <v>-49.711999999999897</v>
      </c>
      <c r="AD4950">
        <v>-1.1174545453889999</v>
      </c>
      <c r="AE4950">
        <v>1.7783</v>
      </c>
      <c r="AF4950">
        <v>7.2454349574205903</v>
      </c>
      <c r="AG4950">
        <v>-1.1174545453889999</v>
      </c>
      <c r="AH4950">
        <v>49.187940056627902</v>
      </c>
      <c r="AI4950">
        <v>91.287536547699503</v>
      </c>
      <c r="AJ4950">
        <v>81.6205298803375</v>
      </c>
      <c r="AK4950">
        <v>49.731262596053703</v>
      </c>
      <c r="AL4950">
        <v>79.810731496139695</v>
      </c>
      <c r="AM4950">
        <v>80.570814969895807</v>
      </c>
      <c r="AN4950">
        <v>1.00000001450037</v>
      </c>
    </row>
    <row r="4951" spans="1:40" x14ac:dyDescent="0.25">
      <c r="A4951" t="str">
        <f>"20190303170351528"</f>
        <v>20190303170351528</v>
      </c>
      <c r="B4951" t="str">
        <f>"1551603831520737"</f>
        <v>1551603831520737</v>
      </c>
      <c r="C4951" t="s">
        <v>40</v>
      </c>
      <c r="D4951">
        <v>4.2261829999999998</v>
      </c>
      <c r="E4951">
        <v>0.49731700000000001</v>
      </c>
      <c r="F4951" t="s">
        <v>42</v>
      </c>
      <c r="G4951">
        <v>-265.68610000000001</v>
      </c>
      <c r="H4951" s="1">
        <v>-2.3299209999999999E-6</v>
      </c>
      <c r="I4951">
        <v>141.48390000000001</v>
      </c>
      <c r="J4951">
        <v>-213.5326</v>
      </c>
      <c r="K4951">
        <v>1.1180289999999999</v>
      </c>
      <c r="L4951">
        <v>139.74690000000001</v>
      </c>
      <c r="M4951">
        <v>-0.99418410000000002</v>
      </c>
      <c r="N4951">
        <v>-1.3169230000000001E-2</v>
      </c>
      <c r="O4951">
        <v>-0.1068875</v>
      </c>
      <c r="P4951">
        <v>-0.9848787</v>
      </c>
      <c r="Q4951">
        <v>0.16541229999999901</v>
      </c>
      <c r="R4951">
        <v>5.1508520000000002E-2</v>
      </c>
      <c r="S4951">
        <v>-3.0520320000000001</v>
      </c>
      <c r="T4951">
        <v>-6.4964060000000004E-2</v>
      </c>
      <c r="U4951">
        <v>9.8999019999999993E-2</v>
      </c>
      <c r="V4951">
        <v>0.1579566</v>
      </c>
      <c r="W4951">
        <v>0.17692620000000001</v>
      </c>
      <c r="X4951">
        <v>0.97146639999999995</v>
      </c>
      <c r="Y4951">
        <v>0.13902039999999999</v>
      </c>
      <c r="Z4951">
        <v>3.258197E-3</v>
      </c>
      <c r="AA4951">
        <v>0.9902841</v>
      </c>
      <c r="AB4951">
        <v>31</v>
      </c>
      <c r="AC4951">
        <v>-52.153500000000001</v>
      </c>
      <c r="AD4951">
        <v>-1.1180313299210001</v>
      </c>
      <c r="AE4951">
        <v>1.7369999999999901</v>
      </c>
      <c r="AF4951">
        <v>7.2987363267421896</v>
      </c>
      <c r="AG4951">
        <v>-1.1180313299210001</v>
      </c>
      <c r="AH4951">
        <v>51.645279663758799</v>
      </c>
      <c r="AI4951">
        <v>91.227962835645101</v>
      </c>
      <c r="AJ4951">
        <v>81.955981351140593</v>
      </c>
      <c r="AK4951">
        <v>52.170455792237902</v>
      </c>
      <c r="AL4951">
        <v>79.809230115426203</v>
      </c>
      <c r="AM4951">
        <v>80.764752122522296</v>
      </c>
      <c r="AN4951">
        <v>1.00000006702947</v>
      </c>
    </row>
    <row r="4952" spans="1:40" x14ac:dyDescent="0.25">
      <c r="A4952" t="str">
        <f>"20190303170351549"</f>
        <v>20190303170351549</v>
      </c>
      <c r="B4952" t="str">
        <f>"1551603831540256"</f>
        <v>1551603831540256</v>
      </c>
      <c r="C4952" t="s">
        <v>40</v>
      </c>
      <c r="D4952">
        <v>4.1704179999999997</v>
      </c>
      <c r="E4952">
        <v>0.49712289999999998</v>
      </c>
      <c r="F4952" t="s">
        <v>42</v>
      </c>
      <c r="G4952">
        <v>-264.23779999999999</v>
      </c>
      <c r="H4952" s="1">
        <v>-2.9056950000000001E-6</v>
      </c>
      <c r="I4952">
        <v>141.31270000000001</v>
      </c>
      <c r="J4952">
        <v>-213.8279</v>
      </c>
      <c r="K4952">
        <v>1.1185210000000001</v>
      </c>
      <c r="L4952">
        <v>139.71799999999999</v>
      </c>
      <c r="M4952">
        <v>-0.99443409999999999</v>
      </c>
      <c r="N4952">
        <v>-1.3323359999999999E-2</v>
      </c>
      <c r="O4952">
        <v>-0.1045156</v>
      </c>
      <c r="P4952">
        <v>-0.98514780000000002</v>
      </c>
      <c r="Q4952">
        <v>0.16392309999999999</v>
      </c>
      <c r="R4952">
        <v>5.1119499999999998E-2</v>
      </c>
      <c r="S4952">
        <v>-3.0524439999999999</v>
      </c>
      <c r="T4952">
        <v>-6.7305450000000003E-2</v>
      </c>
      <c r="U4952">
        <v>9.42688E-2</v>
      </c>
      <c r="V4952">
        <v>0.15505959999999999</v>
      </c>
      <c r="W4952">
        <v>0.17579829999999999</v>
      </c>
      <c r="X4952">
        <v>0.97213760000000005</v>
      </c>
      <c r="Y4952">
        <v>0.13511770000000001</v>
      </c>
      <c r="Z4952">
        <v>3.297618E-3</v>
      </c>
      <c r="AA4952">
        <v>0.99082400000000004</v>
      </c>
      <c r="AB4952">
        <v>31</v>
      </c>
      <c r="AC4952">
        <v>-50.409899999999901</v>
      </c>
      <c r="AD4952">
        <v>-1.1185239056949901</v>
      </c>
      <c r="AE4952">
        <v>1.59470000000001</v>
      </c>
      <c r="AF4952">
        <v>6.8516828292529599</v>
      </c>
      <c r="AG4952">
        <v>-1.1185239056949901</v>
      </c>
      <c r="AH4952">
        <v>49.942518777707299</v>
      </c>
      <c r="AI4952">
        <v>91.2710925120181</v>
      </c>
      <c r="AJ4952">
        <v>82.188279000004101</v>
      </c>
      <c r="AK4952">
        <v>50.4227313340118</v>
      </c>
      <c r="AL4952">
        <v>79.874882607660297</v>
      </c>
      <c r="AM4952">
        <v>80.937448118564504</v>
      </c>
      <c r="AN4952">
        <v>1.0000000175843999</v>
      </c>
    </row>
    <row r="4953" spans="1:40" x14ac:dyDescent="0.25">
      <c r="A4953" t="str">
        <f>"20190303170351573"</f>
        <v>20190303170351573</v>
      </c>
      <c r="B4953" t="str">
        <f>"1551603831560753"</f>
        <v>1551603831560753</v>
      </c>
      <c r="C4953" t="s">
        <v>40</v>
      </c>
      <c r="D4953">
        <v>4.1879589999999904</v>
      </c>
      <c r="E4953">
        <v>0.49695279999999997</v>
      </c>
      <c r="F4953" t="s">
        <v>42</v>
      </c>
      <c r="G4953">
        <v>-260.75560000000002</v>
      </c>
      <c r="H4953" s="1">
        <v>-4.282751E-6</v>
      </c>
      <c r="I4953">
        <v>141.10380000000001</v>
      </c>
      <c r="J4953">
        <v>-214.14660000000001</v>
      </c>
      <c r="K4953">
        <v>1.119067</v>
      </c>
      <c r="L4953">
        <v>139.68709999999999</v>
      </c>
      <c r="M4953">
        <v>-0.99464680000000005</v>
      </c>
      <c r="N4953">
        <v>-1.3467720000000001E-2</v>
      </c>
      <c r="O4953">
        <v>-0.10245120000000001</v>
      </c>
      <c r="P4953">
        <v>-0.98544940000000003</v>
      </c>
      <c r="Q4953">
        <v>0.1631184</v>
      </c>
      <c r="R4953">
        <v>4.7768850000000002E-2</v>
      </c>
      <c r="S4953">
        <v>-3.0526430000000002</v>
      </c>
      <c r="T4953">
        <v>-7.2759989999999997E-2</v>
      </c>
      <c r="U4953">
        <v>9.0148930000000002E-2</v>
      </c>
      <c r="V4953">
        <v>0.1495089</v>
      </c>
      <c r="W4953">
        <v>0.1753739</v>
      </c>
      <c r="X4953">
        <v>0.97308329999999998</v>
      </c>
      <c r="Y4953">
        <v>0.1317151</v>
      </c>
      <c r="Z4953">
        <v>3.5145350000000001E-3</v>
      </c>
      <c r="AA4953">
        <v>0.99128139999999998</v>
      </c>
      <c r="AB4953">
        <v>31</v>
      </c>
      <c r="AC4953">
        <v>-46.609000000000002</v>
      </c>
      <c r="AD4953">
        <v>-1.1190712827509901</v>
      </c>
      <c r="AE4953">
        <v>1.4167000000000201</v>
      </c>
      <c r="AF4953">
        <v>6.1812653662459898</v>
      </c>
      <c r="AG4953">
        <v>-1.1190712827509901</v>
      </c>
      <c r="AH4953">
        <v>46.191940849055001</v>
      </c>
      <c r="AI4953">
        <v>91.375550934489794</v>
      </c>
      <c r="AJ4953">
        <v>82.378132281514397</v>
      </c>
      <c r="AK4953">
        <v>46.617118759812101</v>
      </c>
      <c r="AL4953">
        <v>79.899582621229996</v>
      </c>
      <c r="AM4953">
        <v>81.265124683577596</v>
      </c>
      <c r="AN4953">
        <v>1.00000001235965</v>
      </c>
    </row>
    <row r="4954" spans="1:40" x14ac:dyDescent="0.25">
      <c r="A4954" t="str">
        <f>"20190303170351594"</f>
        <v>20190303170351594</v>
      </c>
      <c r="B4954" t="str">
        <f>"1551603831580272"</f>
        <v>1551603831580272</v>
      </c>
      <c r="C4954" t="s">
        <v>40</v>
      </c>
      <c r="D4954">
        <v>4.3031350000000002</v>
      </c>
      <c r="E4954">
        <v>0.49680459999999899</v>
      </c>
      <c r="F4954" t="s">
        <v>42</v>
      </c>
      <c r="G4954">
        <v>-258.8168</v>
      </c>
      <c r="H4954" s="1">
        <v>-8.1705489999999996E-7</v>
      </c>
      <c r="I4954">
        <v>140.84569999999999</v>
      </c>
      <c r="J4954">
        <v>-214.4504</v>
      </c>
      <c r="K4954">
        <v>1.1195710000000001</v>
      </c>
      <c r="L4954">
        <v>139.65780000000001</v>
      </c>
      <c r="M4954">
        <v>-0.99479870000000004</v>
      </c>
      <c r="N4954">
        <v>-1.3586320000000001E-2</v>
      </c>
      <c r="O4954">
        <v>-0.10095170000000001</v>
      </c>
      <c r="P4954">
        <v>-0.98543029999999998</v>
      </c>
      <c r="Q4954">
        <v>0.164655</v>
      </c>
      <c r="R4954">
        <v>4.261856E-2</v>
      </c>
      <c r="S4954">
        <v>-3.0531009999999998</v>
      </c>
      <c r="T4954">
        <v>-7.6485750000000005E-2</v>
      </c>
      <c r="U4954">
        <v>7.9193120000000006E-2</v>
      </c>
      <c r="V4954">
        <v>0.1427156</v>
      </c>
      <c r="W4954">
        <v>0.1772406</v>
      </c>
      <c r="X4954">
        <v>0.97376490000000004</v>
      </c>
      <c r="Y4954">
        <v>0.12665670000000001</v>
      </c>
      <c r="Z4954">
        <v>3.5999560000000001E-3</v>
      </c>
      <c r="AA4954">
        <v>0.99194009999999999</v>
      </c>
      <c r="AB4954">
        <v>31</v>
      </c>
      <c r="AC4954">
        <v>-44.366399999999999</v>
      </c>
      <c r="AD4954">
        <v>-1.1195718170548901</v>
      </c>
      <c r="AE4954">
        <v>1.18789999999998</v>
      </c>
      <c r="AF4954">
        <v>5.65750651880336</v>
      </c>
      <c r="AG4954">
        <v>-1.1195718170548901</v>
      </c>
      <c r="AH4954">
        <v>43.991779732593102</v>
      </c>
      <c r="AI4954">
        <v>91.445935240239393</v>
      </c>
      <c r="AJ4954">
        <v>82.671773277075104</v>
      </c>
      <c r="AK4954">
        <v>44.368203762433701</v>
      </c>
      <c r="AL4954">
        <v>79.790926642302395</v>
      </c>
      <c r="AM4954">
        <v>81.662055861924699</v>
      </c>
      <c r="AN4954">
        <v>1.00000002662186</v>
      </c>
    </row>
    <row r="4955" spans="1:40" x14ac:dyDescent="0.25">
      <c r="A4955" t="str">
        <f>"20190303170351616"</f>
        <v>20190303170351616</v>
      </c>
      <c r="B4955" t="str">
        <f>"1551603831610529"</f>
        <v>1551603831610529</v>
      </c>
      <c r="C4955" t="s">
        <v>40</v>
      </c>
      <c r="D4955">
        <v>4.2351289999999997</v>
      </c>
      <c r="E4955">
        <v>0.49657099999999998</v>
      </c>
      <c r="F4955" t="s">
        <v>42</v>
      </c>
      <c r="G4955">
        <v>-261.553</v>
      </c>
      <c r="H4955" s="1">
        <v>-3.8803519999999997E-6</v>
      </c>
      <c r="I4955">
        <v>140.6472</v>
      </c>
      <c r="J4955">
        <v>-214.74260000000001</v>
      </c>
      <c r="K4955">
        <v>1.120015</v>
      </c>
      <c r="L4955">
        <v>139.62950000000001</v>
      </c>
      <c r="M4955">
        <v>-0.99490080000000003</v>
      </c>
      <c r="N4955">
        <v>-1.3684299999999899E-2</v>
      </c>
      <c r="O4955">
        <v>-9.9925910000000007E-2</v>
      </c>
      <c r="P4955">
        <v>-0.98524529999999999</v>
      </c>
      <c r="Q4955">
        <v>0.16697600000000001</v>
      </c>
      <c r="R4955">
        <v>3.7557729999999998E-2</v>
      </c>
      <c r="S4955">
        <v>-3.0537260000000002</v>
      </c>
      <c r="T4955">
        <v>-7.2583560000000005E-2</v>
      </c>
      <c r="U4955">
        <v>6.4147949999999995E-2</v>
      </c>
      <c r="V4955">
        <v>0.13648089999999999</v>
      </c>
      <c r="W4955">
        <v>0.179832299999999</v>
      </c>
      <c r="X4955">
        <v>0.97418340000000003</v>
      </c>
      <c r="Y4955">
        <v>0.1207512</v>
      </c>
      <c r="Z4955">
        <v>3.264776E-3</v>
      </c>
      <c r="AA4955">
        <v>0.99267749999999999</v>
      </c>
      <c r="AB4955">
        <v>31</v>
      </c>
      <c r="AC4955">
        <v>-46.810399999999902</v>
      </c>
      <c r="AD4955">
        <v>-1.1200188803519999</v>
      </c>
      <c r="AE4955">
        <v>1.0176999999999901</v>
      </c>
      <c r="AF4955">
        <v>5.6873606540429504</v>
      </c>
      <c r="AG4955">
        <v>-1.1200188803519999</v>
      </c>
      <c r="AH4955">
        <v>46.447782050965102</v>
      </c>
      <c r="AI4955">
        <v>91.371098129519794</v>
      </c>
      <c r="AJ4955">
        <v>83.019091911602601</v>
      </c>
      <c r="AK4955">
        <v>46.808086597888803</v>
      </c>
      <c r="AL4955">
        <v>79.640008032276299</v>
      </c>
      <c r="AM4955">
        <v>82.024896819781404</v>
      </c>
      <c r="AN4955">
        <v>0.99999999451182897</v>
      </c>
    </row>
    <row r="4956" spans="1:40" x14ac:dyDescent="0.25">
      <c r="A4956" t="str">
        <f>"20190303170351638"</f>
        <v>20190303170351638</v>
      </c>
      <c r="B4956" t="str">
        <f>"1551603831631025"</f>
        <v>1551603831631025</v>
      </c>
      <c r="C4956" t="s">
        <v>40</v>
      </c>
      <c r="D4956">
        <v>4.4239569999999997</v>
      </c>
      <c r="E4956">
        <v>0.49648189999999998</v>
      </c>
      <c r="F4956" t="s">
        <v>42</v>
      </c>
      <c r="G4956">
        <v>-266.8723</v>
      </c>
      <c r="H4956" s="1">
        <v>-1.5309809999999999E-6</v>
      </c>
      <c r="I4956">
        <v>140.3938</v>
      </c>
      <c r="J4956">
        <v>-215.059</v>
      </c>
      <c r="K4956">
        <v>1.120449</v>
      </c>
      <c r="L4956">
        <v>139.59880000000001</v>
      </c>
      <c r="M4956">
        <v>-0.99497029999999997</v>
      </c>
      <c r="N4956">
        <v>-1.377481E-2</v>
      </c>
      <c r="O4956">
        <v>-9.9220660000000002E-2</v>
      </c>
      <c r="P4956">
        <v>-0.9847342</v>
      </c>
      <c r="Q4956">
        <v>0.17078270000000001</v>
      </c>
      <c r="R4956">
        <v>3.3645010000000003E-2</v>
      </c>
      <c r="S4956">
        <v>-3.0543369999999999</v>
      </c>
      <c r="T4956">
        <v>-6.5623039999999994E-2</v>
      </c>
      <c r="U4956">
        <v>4.4784549999999999E-2</v>
      </c>
      <c r="V4956">
        <v>0.1316821</v>
      </c>
      <c r="W4956">
        <v>0.1838699</v>
      </c>
      <c r="X4956">
        <v>0.97409020000000002</v>
      </c>
      <c r="Y4956">
        <v>0.1137621</v>
      </c>
      <c r="Z4956">
        <v>2.7666919999999998E-3</v>
      </c>
      <c r="AA4956">
        <v>0.99350419999999995</v>
      </c>
      <c r="AB4956">
        <v>31</v>
      </c>
      <c r="AC4956">
        <v>-51.813299999999899</v>
      </c>
      <c r="AD4956">
        <v>-1.120450530981</v>
      </c>
      <c r="AE4956">
        <v>0.79499999999998705</v>
      </c>
      <c r="AF4956">
        <v>5.9297406611775898</v>
      </c>
      <c r="AG4956">
        <v>-1.120450530981</v>
      </c>
      <c r="AH4956">
        <v>51.454632429823398</v>
      </c>
      <c r="AI4956">
        <v>91.239247963660404</v>
      </c>
      <c r="AJ4956">
        <v>83.426112880319806</v>
      </c>
      <c r="AK4956">
        <v>51.807300954493201</v>
      </c>
      <c r="AL4956">
        <v>79.404747937587999</v>
      </c>
      <c r="AM4956">
        <v>82.301158875466101</v>
      </c>
      <c r="AN4956">
        <v>1.00000001666123</v>
      </c>
    </row>
    <row r="4957" spans="1:40" x14ac:dyDescent="0.25">
      <c r="A4957" t="str">
        <f>"20190303170351660"</f>
        <v>20190303170351660</v>
      </c>
      <c r="B4957" t="str">
        <f>"1551603831650545"</f>
        <v>1551603831650545</v>
      </c>
      <c r="C4957" t="s">
        <v>40</v>
      </c>
      <c r="D4957">
        <v>4.2216519999999997</v>
      </c>
      <c r="E4957">
        <v>0.496307</v>
      </c>
      <c r="F4957" t="s">
        <v>42</v>
      </c>
      <c r="G4957">
        <v>-278.65949999999998</v>
      </c>
      <c r="H4957" s="1">
        <v>-7.2077130000000002E-7</v>
      </c>
      <c r="I4957">
        <v>140.2303</v>
      </c>
      <c r="J4957">
        <v>-215.3579</v>
      </c>
      <c r="K4957">
        <v>1.1207800000000001</v>
      </c>
      <c r="L4957">
        <v>139.56960000000001</v>
      </c>
      <c r="M4957">
        <v>-0.99500820000000001</v>
      </c>
      <c r="N4957">
        <v>-1.384765E-2</v>
      </c>
      <c r="O4957">
        <v>-9.8828260000000001E-2</v>
      </c>
      <c r="P4957">
        <v>-0.9844562</v>
      </c>
      <c r="Q4957">
        <v>0.17304050000000001</v>
      </c>
      <c r="R4957">
        <v>3.0047830000000001E-2</v>
      </c>
      <c r="S4957">
        <v>-3.0548250000000001</v>
      </c>
      <c r="T4957">
        <v>-5.3816799999999998E-2</v>
      </c>
      <c r="U4957">
        <v>3.0334469999999999E-2</v>
      </c>
      <c r="V4957">
        <v>0.1275616</v>
      </c>
      <c r="W4957">
        <v>0.18630289999999999</v>
      </c>
      <c r="X4957">
        <v>0.97417619999999905</v>
      </c>
      <c r="Y4957">
        <v>0.108683</v>
      </c>
      <c r="Z4957">
        <v>2.0787919999999999E-3</v>
      </c>
      <c r="AA4957">
        <v>0.99407429999999997</v>
      </c>
      <c r="AB4957">
        <v>31</v>
      </c>
      <c r="AC4957">
        <v>-63.301599999999901</v>
      </c>
      <c r="AD4957">
        <v>-1.1207807207713001</v>
      </c>
      <c r="AE4957">
        <v>0.66069999999999096</v>
      </c>
      <c r="AF4957">
        <v>6.9118849836235201</v>
      </c>
      <c r="AG4957">
        <v>-1.1207807207713001</v>
      </c>
      <c r="AH4957">
        <v>62.906627750116698</v>
      </c>
      <c r="AI4957">
        <v>91.014601853329197</v>
      </c>
      <c r="AJ4957">
        <v>83.729760622618201</v>
      </c>
      <c r="AK4957">
        <v>63.295135029026099</v>
      </c>
      <c r="AL4957">
        <v>79.262896218174603</v>
      </c>
      <c r="AM4957">
        <v>82.539959650890793</v>
      </c>
      <c r="AN4957">
        <v>1.0000000004947001</v>
      </c>
    </row>
    <row r="4958" spans="1:40" x14ac:dyDescent="0.25">
      <c r="A4958" t="str">
        <f>"20190303170351682"</f>
        <v>20190303170351682</v>
      </c>
      <c r="B4958" t="str">
        <f>"1551603831670065"</f>
        <v>1551603831670065</v>
      </c>
      <c r="C4958" t="s">
        <v>40</v>
      </c>
      <c r="D4958">
        <v>4.1906650000000001</v>
      </c>
      <c r="E4958">
        <v>0.49628739999999999</v>
      </c>
      <c r="F4958" t="s">
        <v>90</v>
      </c>
      <c r="G4958">
        <v>-288.29849999999999</v>
      </c>
      <c r="H4958" s="1">
        <v>-8.0139570000000006E-6</v>
      </c>
      <c r="I4958">
        <v>139.9813</v>
      </c>
      <c r="J4958">
        <v>-215.65129999999999</v>
      </c>
      <c r="K4958">
        <v>1.1210290000000001</v>
      </c>
      <c r="L4958">
        <v>139.54089999999999</v>
      </c>
      <c r="M4958">
        <v>-0.99502520000000005</v>
      </c>
      <c r="N4958">
        <v>-1.39084E-2</v>
      </c>
      <c r="O4958">
        <v>-9.8649749999999994E-2</v>
      </c>
      <c r="P4958">
        <v>-0.98440919999999998</v>
      </c>
      <c r="Q4958">
        <v>0.1739579</v>
      </c>
      <c r="R4958">
        <v>2.6031510000000001E-2</v>
      </c>
      <c r="S4958">
        <v>-3.0550989999999998</v>
      </c>
      <c r="T4958">
        <v>-4.6943899999999997E-2</v>
      </c>
      <c r="U4958">
        <v>1.724243E-2</v>
      </c>
      <c r="V4958">
        <v>0.123284</v>
      </c>
      <c r="W4958">
        <v>0.1873602</v>
      </c>
      <c r="X4958">
        <v>0.9745241</v>
      </c>
      <c r="Y4958">
        <v>0.10425039999999999</v>
      </c>
      <c r="Z4958">
        <v>1.666278E-3</v>
      </c>
      <c r="AA4958">
        <v>0.99454969999999998</v>
      </c>
      <c r="AB4958">
        <v>31</v>
      </c>
      <c r="AC4958">
        <v>-72.647199999999998</v>
      </c>
      <c r="AD4958">
        <v>-1.1210370139569901</v>
      </c>
      <c r="AE4958">
        <v>0.44040000000001001</v>
      </c>
      <c r="AF4958">
        <v>7.6037609195597602</v>
      </c>
      <c r="AG4958">
        <v>-1.1210370139569901</v>
      </c>
      <c r="AH4958">
        <v>72.232125050791893</v>
      </c>
      <c r="AI4958">
        <v>90.884269489424497</v>
      </c>
      <c r="AJ4958">
        <v>83.990696444812301</v>
      </c>
      <c r="AK4958">
        <v>72.639891199407202</v>
      </c>
      <c r="AL4958">
        <v>79.201231647357702</v>
      </c>
      <c r="AM4958">
        <v>82.789990082531503</v>
      </c>
      <c r="AN4958">
        <v>1.0000000053404201</v>
      </c>
    </row>
    <row r="4959" spans="1:40" x14ac:dyDescent="0.25">
      <c r="A4959" t="str">
        <f>"20190303170351704"</f>
        <v>20190303170351704</v>
      </c>
      <c r="B4959" t="str">
        <f>"1551603831690562"</f>
        <v>1551603831690562</v>
      </c>
      <c r="C4959" t="s">
        <v>40</v>
      </c>
      <c r="D4959">
        <v>4.2079409999999999</v>
      </c>
      <c r="E4959">
        <v>0.49629980000000001</v>
      </c>
      <c r="F4959" t="s">
        <v>90</v>
      </c>
      <c r="G4959">
        <v>-292.57839999999999</v>
      </c>
      <c r="H4959" s="1">
        <v>-8.7127429999999997E-6</v>
      </c>
      <c r="I4959">
        <v>139.66999999999999</v>
      </c>
      <c r="J4959">
        <v>-215.9597</v>
      </c>
      <c r="K4959">
        <v>1.121227</v>
      </c>
      <c r="L4959">
        <v>139.51050000000001</v>
      </c>
      <c r="M4959">
        <v>-0.99502809999999997</v>
      </c>
      <c r="N4959">
        <v>-1.396259E-2</v>
      </c>
      <c r="O4959">
        <v>-9.8611309999999994E-2</v>
      </c>
      <c r="P4959">
        <v>-0.98417489999999996</v>
      </c>
      <c r="Q4959">
        <v>0.17592089999999999</v>
      </c>
      <c r="R4959">
        <v>2.1254950000000002E-2</v>
      </c>
      <c r="S4959">
        <v>-3.0552519999999999</v>
      </c>
      <c r="T4959">
        <v>-4.4523359999999998E-2</v>
      </c>
      <c r="U4959">
        <v>5.1269530000000001E-3</v>
      </c>
      <c r="V4959">
        <v>0.11839040000000001</v>
      </c>
      <c r="W4959">
        <v>0.18943750000000001</v>
      </c>
      <c r="X4959">
        <v>0.97472919999999996</v>
      </c>
      <c r="Y4959">
        <v>0.1002699</v>
      </c>
      <c r="Z4959">
        <v>1.4873309999999999E-3</v>
      </c>
      <c r="AA4959">
        <v>0.99495919999999904</v>
      </c>
      <c r="AB4959">
        <v>31</v>
      </c>
      <c r="AC4959">
        <v>-76.618699999999905</v>
      </c>
      <c r="AD4959">
        <v>-1.1212357127429999</v>
      </c>
      <c r="AE4959">
        <v>0.15949999999997999</v>
      </c>
      <c r="AF4959">
        <v>7.71327736159148</v>
      </c>
      <c r="AG4959">
        <v>-1.1212357127429999</v>
      </c>
      <c r="AH4959">
        <v>76.213138307526293</v>
      </c>
      <c r="AI4959">
        <v>90.838582543432494</v>
      </c>
      <c r="AJ4959">
        <v>84.220962928930007</v>
      </c>
      <c r="AK4959">
        <v>76.610666802100795</v>
      </c>
      <c r="AL4959">
        <v>79.080040092496205</v>
      </c>
      <c r="AM4959">
        <v>83.0747886184094</v>
      </c>
      <c r="AN4959">
        <v>0.99999993327552195</v>
      </c>
    </row>
    <row r="4960" spans="1:40" x14ac:dyDescent="0.25">
      <c r="A4960" t="str">
        <f>"20190303170351728"</f>
        <v>20190303170351728</v>
      </c>
      <c r="B4960" t="str">
        <f>"1551603831720565"</f>
        <v>1551603831720565</v>
      </c>
      <c r="C4960" t="s">
        <v>40</v>
      </c>
      <c r="D4960">
        <v>4.2447179999999998</v>
      </c>
      <c r="E4960">
        <v>0.48651440000000001</v>
      </c>
      <c r="F4960" t="s">
        <v>90</v>
      </c>
      <c r="G4960">
        <v>-302.64879999999999</v>
      </c>
      <c r="H4960" s="1">
        <v>-8.3294539999999996E-6</v>
      </c>
      <c r="I4960">
        <v>139.2807</v>
      </c>
      <c r="J4960">
        <v>-216.28360000000001</v>
      </c>
      <c r="K4960">
        <v>1.121389</v>
      </c>
      <c r="L4960">
        <v>139.4786</v>
      </c>
      <c r="M4960">
        <v>-0.99502270000000004</v>
      </c>
      <c r="N4960">
        <v>-1.4010669999999999E-2</v>
      </c>
      <c r="O4960">
        <v>-9.8660650000000003E-2</v>
      </c>
      <c r="P4960">
        <v>-0.98363970000000001</v>
      </c>
      <c r="Q4960">
        <v>0.17941460000000001</v>
      </c>
      <c r="R4960">
        <v>1.6225030000000001E-2</v>
      </c>
      <c r="S4960">
        <v>-3.0554809999999999</v>
      </c>
      <c r="T4960">
        <v>-3.9519550000000001E-2</v>
      </c>
      <c r="U4960">
        <v>-8.1024169999999902E-3</v>
      </c>
      <c r="V4960">
        <v>0.1133185</v>
      </c>
      <c r="W4960">
        <v>0.19302030000000001</v>
      </c>
      <c r="X4960">
        <v>0.97462919999999997</v>
      </c>
      <c r="Y4960">
        <v>9.6014420000000003E-2</v>
      </c>
      <c r="Z4960">
        <v>1.1839140000000001E-3</v>
      </c>
      <c r="AA4960">
        <v>0.99537929999999997</v>
      </c>
      <c r="AB4960">
        <v>31</v>
      </c>
      <c r="AC4960">
        <v>-86.365199999999902</v>
      </c>
      <c r="AD4960">
        <v>-1.1213973294540001</v>
      </c>
      <c r="AE4960">
        <v>-0.19790000000000399</v>
      </c>
      <c r="AF4960">
        <v>8.3233439805127603</v>
      </c>
      <c r="AG4960">
        <v>-1.1213973294540001</v>
      </c>
      <c r="AH4960">
        <v>85.948789708644796</v>
      </c>
      <c r="AI4960">
        <v>90.7440309930262</v>
      </c>
      <c r="AJ4960">
        <v>84.468682693797305</v>
      </c>
      <c r="AK4960">
        <v>86.358149814417004</v>
      </c>
      <c r="AL4960">
        <v>78.870901800287001</v>
      </c>
      <c r="AM4960">
        <v>83.368093068318402</v>
      </c>
      <c r="AN4960">
        <v>0.99999999807348905</v>
      </c>
    </row>
    <row r="4961" spans="1:40" x14ac:dyDescent="0.25">
      <c r="A4961" t="str">
        <f>"20190303170351749"</f>
        <v>20190303170351749</v>
      </c>
      <c r="B4961" t="str">
        <f>"1551603831741062"</f>
        <v>1551603831741062</v>
      </c>
      <c r="C4961" t="s">
        <v>40</v>
      </c>
      <c r="D4961">
        <v>4.281434</v>
      </c>
      <c r="E4961">
        <v>0.4874561</v>
      </c>
      <c r="F4961" t="s">
        <v>42</v>
      </c>
      <c r="G4961">
        <v>-273.73770000000002</v>
      </c>
      <c r="H4961" s="1">
        <v>-3.0401060000000001E-6</v>
      </c>
      <c r="I4961">
        <v>137.523</v>
      </c>
      <c r="J4961">
        <v>-216.5796</v>
      </c>
      <c r="K4961">
        <v>1.1215010000000001</v>
      </c>
      <c r="L4961">
        <v>139.44929999999999</v>
      </c>
      <c r="M4961">
        <v>-0.99501450000000002</v>
      </c>
      <c r="N4961">
        <v>-1.404794E-2</v>
      </c>
      <c r="O4961">
        <v>-9.8736779999999996E-2</v>
      </c>
      <c r="P4961">
        <v>-0.98323919999999998</v>
      </c>
      <c r="Q4961">
        <v>0.1818765</v>
      </c>
      <c r="R4961">
        <v>1.2726380000000001E-2</v>
      </c>
      <c r="S4961">
        <v>-3.0625149999999999</v>
      </c>
      <c r="T4961">
        <v>-5.9774399999999998E-2</v>
      </c>
      <c r="U4961">
        <v>-0.1042328</v>
      </c>
      <c r="V4961">
        <v>0.10982980000000001</v>
      </c>
      <c r="W4961">
        <v>0.1955443</v>
      </c>
      <c r="X4961">
        <v>0.97452550000000004</v>
      </c>
      <c r="Y4961">
        <v>6.4817669999999994E-2</v>
      </c>
      <c r="Z4961">
        <v>1.6221040000000001E-3</v>
      </c>
      <c r="AA4961">
        <v>0.9978958</v>
      </c>
      <c r="AB4961">
        <v>31</v>
      </c>
      <c r="AC4961">
        <v>-57.158099999999997</v>
      </c>
      <c r="AD4961">
        <v>-1.1215040401059999</v>
      </c>
      <c r="AE4961">
        <v>-1.9262999999999899</v>
      </c>
      <c r="AF4961">
        <v>3.7258450535837402</v>
      </c>
      <c r="AG4961">
        <v>-1.1215040401059999</v>
      </c>
      <c r="AH4961">
        <v>57.047024581462999</v>
      </c>
      <c r="AI4961">
        <v>91.123855495456695</v>
      </c>
      <c r="AJ4961">
        <v>86.263215530068393</v>
      </c>
      <c r="AK4961">
        <v>57.17956546069</v>
      </c>
      <c r="AL4961">
        <v>78.723478788620795</v>
      </c>
      <c r="AM4961">
        <v>83.569852522514793</v>
      </c>
      <c r="AN4961">
        <v>1.00000005419038</v>
      </c>
    </row>
    <row r="4962" spans="1:40" x14ac:dyDescent="0.25">
      <c r="A4962" t="str">
        <f>"20190303170351773"</f>
        <v>20190303170351773</v>
      </c>
      <c r="B4962" t="str">
        <f>"1551603831760581"</f>
        <v>1551603831760581</v>
      </c>
      <c r="C4962" t="s">
        <v>40</v>
      </c>
      <c r="D4962">
        <v>4.2391569999999996</v>
      </c>
      <c r="E4962">
        <v>0.48745139999999998</v>
      </c>
      <c r="F4962" t="s">
        <v>42</v>
      </c>
      <c r="G4962">
        <v>-273.77010000000001</v>
      </c>
      <c r="H4962" s="1">
        <v>-3.0446649999999999E-6</v>
      </c>
      <c r="I4962">
        <v>137.4188</v>
      </c>
      <c r="J4962">
        <v>-216.88470000000001</v>
      </c>
      <c r="K4962">
        <v>1.1215889999999999</v>
      </c>
      <c r="L4962">
        <v>139.41899999999899</v>
      </c>
      <c r="M4962">
        <v>-0.99500580000000005</v>
      </c>
      <c r="N4962">
        <v>-1.4080820000000001E-2</v>
      </c>
      <c r="O4962">
        <v>-9.8819879999999999E-2</v>
      </c>
      <c r="P4962">
        <v>-0.98310330000000001</v>
      </c>
      <c r="Q4962">
        <v>0.18279380000000001</v>
      </c>
      <c r="R4962">
        <v>9.7198189999999993E-3</v>
      </c>
      <c r="S4962">
        <v>-3.06366</v>
      </c>
      <c r="T4962">
        <v>-6.0078260000000001E-2</v>
      </c>
      <c r="U4962">
        <v>-0.1087646</v>
      </c>
      <c r="V4962">
        <v>0.1068742</v>
      </c>
      <c r="W4962">
        <v>0.1965141</v>
      </c>
      <c r="X4962">
        <v>0.97465900000000005</v>
      </c>
      <c r="Y4962">
        <v>6.3439579999999995E-2</v>
      </c>
      <c r="Z4962">
        <v>1.6091040000000001E-3</v>
      </c>
      <c r="AA4962">
        <v>0.99798439999999999</v>
      </c>
      <c r="AB4962">
        <v>31</v>
      </c>
      <c r="AC4962">
        <v>-56.885399999999997</v>
      </c>
      <c r="AD4962">
        <v>-1.1215920446649901</v>
      </c>
      <c r="AE4962">
        <v>-2.0001999999999698</v>
      </c>
      <c r="AF4962">
        <v>3.6301480344126502</v>
      </c>
      <c r="AG4962">
        <v>-1.1215920446649901</v>
      </c>
      <c r="AH4962">
        <v>56.782542084233199</v>
      </c>
      <c r="AI4962">
        <v>91.129277767388004</v>
      </c>
      <c r="AJ4962">
        <v>86.342018469218999</v>
      </c>
      <c r="AK4962">
        <v>56.909516155157398</v>
      </c>
      <c r="AL4962">
        <v>78.666813612671206</v>
      </c>
      <c r="AM4962">
        <v>83.742351034495599</v>
      </c>
      <c r="AN4962">
        <v>1.00000002620272</v>
      </c>
    </row>
    <row r="4963" spans="1:40" x14ac:dyDescent="0.25">
      <c r="A4963" t="str">
        <f>"20190303170351795"</f>
        <v>20190303170351795</v>
      </c>
      <c r="B4963" t="str">
        <f>"1551603831790837"</f>
        <v>1551603831790837</v>
      </c>
      <c r="C4963" t="s">
        <v>40</v>
      </c>
      <c r="D4963">
        <v>4.3456140000000003</v>
      </c>
      <c r="E4963">
        <v>0.48886109999999999</v>
      </c>
      <c r="F4963" t="s">
        <v>42</v>
      </c>
      <c r="G4963">
        <v>-275.32859999999999</v>
      </c>
      <c r="H4963" s="1">
        <v>-2.4206339999999998E-6</v>
      </c>
      <c r="I4963">
        <v>137.1677</v>
      </c>
      <c r="J4963">
        <v>-217.1926</v>
      </c>
      <c r="K4963">
        <v>1.1216379999999999</v>
      </c>
      <c r="L4963">
        <v>139.38839999999999</v>
      </c>
      <c r="M4963">
        <v>-0.99499820000000005</v>
      </c>
      <c r="N4963">
        <v>-1.410899E-2</v>
      </c>
      <c r="O4963">
        <v>-9.8891439999999997E-2</v>
      </c>
      <c r="P4963">
        <v>-0.98337790000000003</v>
      </c>
      <c r="Q4963">
        <v>0.1813477</v>
      </c>
      <c r="R4963">
        <v>9.0181480000000001E-3</v>
      </c>
      <c r="S4963">
        <v>-3.0636749999999999</v>
      </c>
      <c r="T4963">
        <v>-5.8794739999999998E-2</v>
      </c>
      <c r="U4963">
        <v>-0.11801150000000001</v>
      </c>
      <c r="V4963">
        <v>0.10625370000000001</v>
      </c>
      <c r="W4963">
        <v>0.19511129999999999</v>
      </c>
      <c r="X4963">
        <v>0.9750086</v>
      </c>
      <c r="Y4963">
        <v>6.0505150000000001E-2</v>
      </c>
      <c r="Z4963">
        <v>1.50393799999999E-3</v>
      </c>
      <c r="AA4963">
        <v>0.99816669999999996</v>
      </c>
      <c r="AB4963">
        <v>31</v>
      </c>
      <c r="AC4963">
        <v>-58.136000000000003</v>
      </c>
      <c r="AD4963">
        <v>-1.1216404206339901</v>
      </c>
      <c r="AE4963">
        <v>-2.2206999999999901</v>
      </c>
      <c r="AF4963">
        <v>3.53859733709792</v>
      </c>
      <c r="AG4963">
        <v>-1.1216404206339901</v>
      </c>
      <c r="AH4963">
        <v>58.049027391233103</v>
      </c>
      <c r="AI4963">
        <v>91.104897725774094</v>
      </c>
      <c r="AJ4963">
        <v>86.511636340930096</v>
      </c>
      <c r="AK4963">
        <v>58.167596902531997</v>
      </c>
      <c r="AL4963">
        <v>78.748774717711299</v>
      </c>
      <c r="AM4963">
        <v>83.780609861223098</v>
      </c>
      <c r="AN4963">
        <v>1.0000000191126699</v>
      </c>
    </row>
    <row r="4964" spans="1:40" x14ac:dyDescent="0.25">
      <c r="A4964" t="str">
        <f>"20190303170351818"</f>
        <v>20190303170351818</v>
      </c>
      <c r="B4964" t="str">
        <f>"1551603831810794"</f>
        <v>1551603831810794</v>
      </c>
      <c r="C4964" t="s">
        <v>40</v>
      </c>
      <c r="D4964">
        <v>4.4081429999999999</v>
      </c>
      <c r="E4964">
        <v>0.48955019999999999</v>
      </c>
      <c r="F4964" t="s">
        <v>42</v>
      </c>
      <c r="G4964">
        <v>-267.30340000000001</v>
      </c>
      <c r="H4964" s="1">
        <v>-1.4914780000000001E-6</v>
      </c>
      <c r="I4964">
        <v>137.62989999999999</v>
      </c>
      <c r="J4964">
        <v>-217.50409999999999</v>
      </c>
      <c r="K4964">
        <v>1.1216759999999999</v>
      </c>
      <c r="L4964">
        <v>139.35740000000001</v>
      </c>
      <c r="M4964">
        <v>-0.99499280000000001</v>
      </c>
      <c r="N4964">
        <v>-1.413273E-2</v>
      </c>
      <c r="O4964">
        <v>-9.8943859999999995E-2</v>
      </c>
      <c r="P4964">
        <v>-0.98318300000000003</v>
      </c>
      <c r="Q4964">
        <v>0.18251390000000001</v>
      </c>
      <c r="R4964">
        <v>6.3394130000000003E-3</v>
      </c>
      <c r="S4964">
        <v>-3.064362</v>
      </c>
      <c r="T4964">
        <v>-6.8590280000000003E-2</v>
      </c>
      <c r="U4964">
        <v>-0.1075287</v>
      </c>
      <c r="V4964">
        <v>0.10361190000000001</v>
      </c>
      <c r="W4964">
        <v>0.19630649999999999</v>
      </c>
      <c r="X4964">
        <v>0.97505299999999995</v>
      </c>
      <c r="Y4964">
        <v>6.3967090000000004E-2</v>
      </c>
      <c r="Z4964">
        <v>1.977646E-3</v>
      </c>
      <c r="AA4964">
        <v>0.99795009999999995</v>
      </c>
      <c r="AB4964">
        <v>31</v>
      </c>
      <c r="AC4964">
        <v>-49.799300000000002</v>
      </c>
      <c r="AD4964">
        <v>-1.1216774914779899</v>
      </c>
      <c r="AE4964">
        <v>-1.72750000000002</v>
      </c>
      <c r="AF4964">
        <v>3.2071797649840801</v>
      </c>
      <c r="AG4964">
        <v>-1.1216774914779899</v>
      </c>
      <c r="AH4964">
        <v>49.700645118705303</v>
      </c>
      <c r="AI4964">
        <v>91.290187559297195</v>
      </c>
      <c r="AJ4964">
        <v>86.307825849218503</v>
      </c>
      <c r="AK4964">
        <v>49.816646692198098</v>
      </c>
      <c r="AL4964">
        <v>78.678944321596703</v>
      </c>
      <c r="AM4964">
        <v>83.934350144195307</v>
      </c>
      <c r="AN4964">
        <v>1.0000000102864299</v>
      </c>
    </row>
    <row r="4965" spans="1:40" x14ac:dyDescent="0.25">
      <c r="A4965" t="str">
        <f>"20190303170351841"</f>
        <v>20190303170351841</v>
      </c>
      <c r="B4965" t="str">
        <f>"1551603831830314"</f>
        <v>1551603831830314</v>
      </c>
      <c r="C4965" t="s">
        <v>40</v>
      </c>
      <c r="D4965">
        <v>4.300929</v>
      </c>
      <c r="E4965">
        <v>0.49022929999999998</v>
      </c>
      <c r="F4965" t="s">
        <v>42</v>
      </c>
      <c r="G4965">
        <v>-267.49560000000002</v>
      </c>
      <c r="H4965" s="1">
        <v>-1.4196389999999999E-6</v>
      </c>
      <c r="I4965">
        <v>137.57</v>
      </c>
      <c r="J4965">
        <v>-217.8141</v>
      </c>
      <c r="K4965">
        <v>1.121715</v>
      </c>
      <c r="L4965">
        <v>139.32650000000001</v>
      </c>
      <c r="M4965">
        <v>-0.99498920000000002</v>
      </c>
      <c r="N4965">
        <v>-1.4152730000000001E-2</v>
      </c>
      <c r="O4965">
        <v>-9.8977300000000004E-2</v>
      </c>
      <c r="P4965">
        <v>-0.98243579999999997</v>
      </c>
      <c r="Q4965">
        <v>0.18655959999999999</v>
      </c>
      <c r="R4965">
        <v>3.9748769999999999E-3</v>
      </c>
      <c r="S4965">
        <v>-3.0647739999999999</v>
      </c>
      <c r="T4965">
        <v>-6.8765519999999997E-2</v>
      </c>
      <c r="U4965">
        <v>-0.1095734</v>
      </c>
      <c r="V4965">
        <v>0.1012165</v>
      </c>
      <c r="W4965">
        <v>0.2003646</v>
      </c>
      <c r="X4965">
        <v>0.97447899999999998</v>
      </c>
      <c r="Y4965">
        <v>6.3340519999999997E-2</v>
      </c>
      <c r="Z4965">
        <v>1.9721510000000001E-3</v>
      </c>
      <c r="AA4965">
        <v>0.99799000000000004</v>
      </c>
      <c r="AB4965">
        <v>31</v>
      </c>
      <c r="AC4965">
        <v>-49.6815</v>
      </c>
      <c r="AD4965">
        <v>-1.1217164196389999</v>
      </c>
      <c r="AE4965">
        <v>-1.7565000000000099</v>
      </c>
      <c r="AF4965">
        <v>3.1683460690612399</v>
      </c>
      <c r="AG4965">
        <v>-1.1217164196389999</v>
      </c>
      <c r="AH4965">
        <v>49.586124498595197</v>
      </c>
      <c r="AI4965">
        <v>91.293263564511093</v>
      </c>
      <c r="AJ4965">
        <v>86.344009207522404</v>
      </c>
      <c r="AK4965">
        <v>49.699903494167899</v>
      </c>
      <c r="AL4965">
        <v>78.441719782851706</v>
      </c>
      <c r="AM4965">
        <v>84.070105950761402</v>
      </c>
      <c r="AN4965">
        <v>1.0000000371232001</v>
      </c>
    </row>
    <row r="4966" spans="1:40" x14ac:dyDescent="0.25">
      <c r="A4966" t="str">
        <f>"20190303170351861"</f>
        <v>20190303170351861</v>
      </c>
      <c r="B4966" t="str">
        <f>"1551603831850810"</f>
        <v>1551603831850810</v>
      </c>
      <c r="C4966" t="s">
        <v>40</v>
      </c>
      <c r="D4966">
        <v>4.3060150000000004</v>
      </c>
      <c r="E4966">
        <v>0.49060550000000003</v>
      </c>
      <c r="F4966" t="s">
        <v>42</v>
      </c>
      <c r="G4966">
        <v>-275.04969999999997</v>
      </c>
      <c r="H4966" s="1">
        <v>-2.5314250000000001E-6</v>
      </c>
      <c r="I4966">
        <v>137.21770000000001</v>
      </c>
      <c r="J4966">
        <v>-218.09479999999999</v>
      </c>
      <c r="K4966">
        <v>1.1217330000000001</v>
      </c>
      <c r="L4966">
        <v>139.29859999999999</v>
      </c>
      <c r="M4966">
        <v>-0.99498869999999895</v>
      </c>
      <c r="N4966">
        <v>-1.4168149999999999E-2</v>
      </c>
      <c r="O4966">
        <v>-9.8979189999999995E-2</v>
      </c>
      <c r="P4966">
        <v>-0.98195399999999999</v>
      </c>
      <c r="Q4966">
        <v>0.18911330000000001</v>
      </c>
      <c r="R4966">
        <v>1.5815180000000001E-3</v>
      </c>
      <c r="S4966">
        <v>-3.0655209999999999</v>
      </c>
      <c r="T4966">
        <v>-6.0078859999999998E-2</v>
      </c>
      <c r="U4966">
        <v>-0.11294559999999999</v>
      </c>
      <c r="V4966">
        <v>9.8792519999999995E-2</v>
      </c>
      <c r="W4966">
        <v>0.2029282</v>
      </c>
      <c r="X4966">
        <v>0.97419719999999999</v>
      </c>
      <c r="Y4966">
        <v>6.2262020000000001E-2</v>
      </c>
      <c r="Z4966">
        <v>1.5825920000000001E-3</v>
      </c>
      <c r="AA4966">
        <v>0.99805860000000002</v>
      </c>
      <c r="AB4966">
        <v>30</v>
      </c>
      <c r="AC4966">
        <v>-56.954899999999903</v>
      </c>
      <c r="AD4966">
        <v>-1.1217355314249999</v>
      </c>
      <c r="AE4966">
        <v>-2.0808999999999802</v>
      </c>
      <c r="AF4966">
        <v>3.56585435879999</v>
      </c>
      <c r="AG4966">
        <v>-1.1217355314249999</v>
      </c>
      <c r="AH4966">
        <v>56.859127164152902</v>
      </c>
      <c r="AI4966">
        <v>91.127987888038007</v>
      </c>
      <c r="AJ4966">
        <v>86.411461175960298</v>
      </c>
      <c r="AK4966">
        <v>56.981873870380397</v>
      </c>
      <c r="AL4966">
        <v>78.291755342431202</v>
      </c>
      <c r="AM4966">
        <v>84.209478524683902</v>
      </c>
      <c r="AN4966">
        <v>1.0000000004255101</v>
      </c>
    </row>
    <row r="4967" spans="1:40" x14ac:dyDescent="0.25">
      <c r="A4967" t="str">
        <f>"20190303170351883"</f>
        <v>20190303170351883</v>
      </c>
      <c r="B4967" t="str">
        <f>"1551603831870329"</f>
        <v>1551603831870329</v>
      </c>
      <c r="C4967" t="s">
        <v>40</v>
      </c>
      <c r="D4967">
        <v>4.4147679999999996</v>
      </c>
      <c r="E4967">
        <v>0.49112810000000001</v>
      </c>
      <c r="F4967" t="s">
        <v>90</v>
      </c>
      <c r="G4967">
        <v>-281.93720000000002</v>
      </c>
      <c r="H4967" s="1">
        <v>-3.423679E-6</v>
      </c>
      <c r="I4967">
        <v>136.8417</v>
      </c>
      <c r="J4967">
        <v>-218.38480000000001</v>
      </c>
      <c r="K4967">
        <v>1.121715</v>
      </c>
      <c r="L4967">
        <v>139.2697</v>
      </c>
      <c r="M4967">
        <v>-0.99499360000000003</v>
      </c>
      <c r="N4967">
        <v>-1.418166E-2</v>
      </c>
      <c r="O4967">
        <v>-9.8928699999999994E-2</v>
      </c>
      <c r="P4967">
        <v>-0.98187709999999995</v>
      </c>
      <c r="Q4967">
        <v>0.18951960000000001</v>
      </c>
      <c r="R4967" s="1">
        <v>7.0038480000000002E-5</v>
      </c>
      <c r="S4967">
        <v>-3.0657199999999998</v>
      </c>
      <c r="T4967">
        <v>-5.3865910000000003E-2</v>
      </c>
      <c r="U4967">
        <v>-0.117981</v>
      </c>
      <c r="V4967">
        <v>9.7242990000000001E-2</v>
      </c>
      <c r="W4967">
        <v>0.2033433</v>
      </c>
      <c r="X4967">
        <v>0.97426650000000004</v>
      </c>
      <c r="Y4967">
        <v>6.0581259999999998E-2</v>
      </c>
      <c r="Z4967">
        <v>1.291373E-3</v>
      </c>
      <c r="AA4967">
        <v>0.99816240000000001</v>
      </c>
      <c r="AB4967">
        <v>30</v>
      </c>
      <c r="AC4967">
        <v>-63.552399999999999</v>
      </c>
      <c r="AD4967">
        <v>-1.1217184236790001</v>
      </c>
      <c r="AE4967">
        <v>-2.4279999999999902</v>
      </c>
      <c r="AF4967">
        <v>3.8704966555032398</v>
      </c>
      <c r="AG4967">
        <v>-1.1217184236790001</v>
      </c>
      <c r="AH4967">
        <v>63.461064084330197</v>
      </c>
      <c r="AI4967">
        <v>91.0107595102494</v>
      </c>
      <c r="AJ4967">
        <v>86.509847930694093</v>
      </c>
      <c r="AK4967">
        <v>63.588879934291597</v>
      </c>
      <c r="AL4967">
        <v>78.267464891931795</v>
      </c>
      <c r="AM4967">
        <v>84.300101010000304</v>
      </c>
      <c r="AN4967">
        <v>0.99999995489063898</v>
      </c>
    </row>
    <row r="4968" spans="1:40" x14ac:dyDescent="0.25">
      <c r="A4968" t="str">
        <f>"20190303170351906"</f>
        <v>20190303170351906</v>
      </c>
      <c r="B4968" t="str">
        <f>"1551603831900586"</f>
        <v>1551603831900586</v>
      </c>
      <c r="C4968" t="s">
        <v>40</v>
      </c>
      <c r="D4968">
        <v>4.3611300000000002</v>
      </c>
      <c r="E4968">
        <v>0.4916334</v>
      </c>
      <c r="F4968" t="s">
        <v>42</v>
      </c>
      <c r="G4968">
        <v>-279.75740000000002</v>
      </c>
      <c r="H4968" s="1">
        <v>-7.8676950000000004E-7</v>
      </c>
      <c r="I4968">
        <v>136.917</v>
      </c>
      <c r="J4968">
        <v>-218.6919</v>
      </c>
      <c r="K4968">
        <v>1.1216699999999999</v>
      </c>
      <c r="L4968">
        <v>139.23929999999999</v>
      </c>
      <c r="M4968">
        <v>-0.99500719999999998</v>
      </c>
      <c r="N4968">
        <v>-1.4193610000000001E-2</v>
      </c>
      <c r="O4968">
        <v>-9.8790249999999996E-2</v>
      </c>
      <c r="P4968">
        <v>-0.9819118</v>
      </c>
      <c r="Q4968">
        <v>0.18933910000000001</v>
      </c>
      <c r="R4968">
        <v>-7.1574140000000002E-4</v>
      </c>
      <c r="S4968">
        <v>-3.0661930000000002</v>
      </c>
      <c r="T4968">
        <v>-5.6041239999999999E-2</v>
      </c>
      <c r="U4968">
        <v>-0.1175385</v>
      </c>
      <c r="V4968">
        <v>9.6353159999999993E-2</v>
      </c>
      <c r="W4968">
        <v>0.20316490000000001</v>
      </c>
      <c r="X4968">
        <v>0.97439219999999904</v>
      </c>
      <c r="Y4968">
        <v>6.0590829999999998E-2</v>
      </c>
      <c r="Z4968">
        <v>1.3813300000000001E-3</v>
      </c>
      <c r="AA4968">
        <v>0.99816170000000004</v>
      </c>
      <c r="AB4968">
        <v>30</v>
      </c>
      <c r="AC4968">
        <v>-61.0655</v>
      </c>
      <c r="AD4968">
        <v>-1.1216707867694999</v>
      </c>
      <c r="AE4968">
        <v>-2.3222999999999798</v>
      </c>
      <c r="AF4968">
        <v>3.72109153470165</v>
      </c>
      <c r="AG4968">
        <v>-1.1216707867694999</v>
      </c>
      <c r="AH4968">
        <v>60.975624848699503</v>
      </c>
      <c r="AI4968">
        <v>91.051903245806699</v>
      </c>
      <c r="AJ4968">
        <v>86.507805153260506</v>
      </c>
      <c r="AK4968">
        <v>61.099357551883102</v>
      </c>
      <c r="AL4968">
        <v>78.277905310216298</v>
      </c>
      <c r="AM4968">
        <v>84.352643538324401</v>
      </c>
      <c r="AN4968">
        <v>1.00000003372741</v>
      </c>
    </row>
    <row r="4969" spans="1:40" x14ac:dyDescent="0.25">
      <c r="A4969" t="str">
        <f>"20190303170351929"</f>
        <v>20190303170351929</v>
      </c>
      <c r="B4969" t="str">
        <f>"1551603831921081"</f>
        <v>1551603831921081</v>
      </c>
      <c r="C4969" t="s">
        <v>40</v>
      </c>
      <c r="D4969">
        <v>4.3293599999999897</v>
      </c>
      <c r="E4969">
        <v>0.49208239999999998</v>
      </c>
      <c r="F4969" t="s">
        <v>42</v>
      </c>
      <c r="G4969">
        <v>-275.67759999999998</v>
      </c>
      <c r="H4969" s="1">
        <v>-2.28386E-6</v>
      </c>
      <c r="I4969">
        <v>137.0949</v>
      </c>
      <c r="J4969">
        <v>-219.00899999999999</v>
      </c>
      <c r="K4969">
        <v>1.1216090000000001</v>
      </c>
      <c r="L4969">
        <v>139.208</v>
      </c>
      <c r="M4969">
        <v>-0.99503299999999995</v>
      </c>
      <c r="N4969">
        <v>-1.420393E-2</v>
      </c>
      <c r="O4969">
        <v>-9.8527669999999998E-2</v>
      </c>
      <c r="P4969">
        <v>-0.98151239999999995</v>
      </c>
      <c r="Q4969">
        <v>0.1913977</v>
      </c>
      <c r="R4969">
        <v>-4.5161350000000002E-4</v>
      </c>
      <c r="S4969">
        <v>-3.066818</v>
      </c>
      <c r="T4969">
        <v>-6.0365439999999999E-2</v>
      </c>
      <c r="U4969">
        <v>-0.1154022</v>
      </c>
      <c r="V4969">
        <v>9.6359470000000003E-2</v>
      </c>
      <c r="W4969">
        <v>0.205209</v>
      </c>
      <c r="X4969">
        <v>0.97396309999999997</v>
      </c>
      <c r="Y4969">
        <v>6.1026480000000001E-2</v>
      </c>
      <c r="Z4969">
        <v>1.5678420000000001E-3</v>
      </c>
      <c r="AA4969">
        <v>0.99813490000000005</v>
      </c>
      <c r="AB4969">
        <v>30</v>
      </c>
      <c r="AC4969">
        <v>-56.668599999999898</v>
      </c>
      <c r="AD4969">
        <v>-1.1216112838600001</v>
      </c>
      <c r="AE4969">
        <v>-2.1131000000000002</v>
      </c>
      <c r="AF4969">
        <v>3.4798105609460102</v>
      </c>
      <c r="AG4969">
        <v>-1.1216112838600001</v>
      </c>
      <c r="AH4969">
        <v>56.578898786652097</v>
      </c>
      <c r="AI4969">
        <v>91.133532539554906</v>
      </c>
      <c r="AJ4969">
        <v>86.480531868423498</v>
      </c>
      <c r="AK4969">
        <v>56.696903630819001</v>
      </c>
      <c r="AL4969">
        <v>78.158266027524903</v>
      </c>
      <c r="AM4969">
        <v>84.349803966592305</v>
      </c>
      <c r="AN4969">
        <v>1.00000000065064</v>
      </c>
    </row>
    <row r="4970" spans="1:40" x14ac:dyDescent="0.25">
      <c r="A4970" t="str">
        <f>"20190303170351951"</f>
        <v>20190303170351951</v>
      </c>
      <c r="B4970" t="str">
        <f>"1551603831940603"</f>
        <v>1551603831940603</v>
      </c>
      <c r="C4970" t="s">
        <v>40</v>
      </c>
      <c r="D4970">
        <v>4.5188269999999999</v>
      </c>
      <c r="E4970">
        <v>0.49247289999999999</v>
      </c>
      <c r="F4970" t="s">
        <v>42</v>
      </c>
      <c r="G4970">
        <v>-279.2629</v>
      </c>
      <c r="H4970" s="1">
        <v>-9.22375E-7</v>
      </c>
      <c r="I4970">
        <v>137.03980000000001</v>
      </c>
      <c r="J4970">
        <v>-219.29419999999999</v>
      </c>
      <c r="K4970">
        <v>1.121532</v>
      </c>
      <c r="L4970">
        <v>139.18010000000001</v>
      </c>
      <c r="M4970">
        <v>-0.99506939999999999</v>
      </c>
      <c r="N4970">
        <v>-1.4211970000000001E-2</v>
      </c>
      <c r="O4970">
        <v>-9.81567E-2</v>
      </c>
      <c r="P4970">
        <v>-0.98083790000000004</v>
      </c>
      <c r="Q4970">
        <v>0.19482540000000001</v>
      </c>
      <c r="R4970">
        <v>-1.386972E-4</v>
      </c>
      <c r="S4970">
        <v>-3.0675810000000001</v>
      </c>
      <c r="T4970">
        <v>-5.7102199999999902E-2</v>
      </c>
      <c r="U4970">
        <v>-0.1103821</v>
      </c>
      <c r="V4970">
        <v>9.6292030000000001E-2</v>
      </c>
      <c r="W4970">
        <v>0.20861179999999999</v>
      </c>
      <c r="X4970">
        <v>0.97324659999999996</v>
      </c>
      <c r="Y4970">
        <v>6.229676E-2</v>
      </c>
      <c r="Z4970">
        <v>1.448995E-3</v>
      </c>
      <c r="AA4970">
        <v>0.99805659999999896</v>
      </c>
      <c r="AB4970">
        <v>30</v>
      </c>
      <c r="AC4970">
        <v>-59.968699999999998</v>
      </c>
      <c r="AD4970">
        <v>-1.1215329223749999</v>
      </c>
      <c r="AE4970">
        <v>-2.1402999999999901</v>
      </c>
      <c r="AF4970">
        <v>3.7556504960755102</v>
      </c>
      <c r="AG4970">
        <v>-1.1215329223749999</v>
      </c>
      <c r="AH4970">
        <v>59.8682436562408</v>
      </c>
      <c r="AI4970">
        <v>91.0711115032083</v>
      </c>
      <c r="AJ4970">
        <v>86.410428888274197</v>
      </c>
      <c r="AK4970">
        <v>59.996411102895699</v>
      </c>
      <c r="AL4970">
        <v>77.958987313514399</v>
      </c>
      <c r="AM4970">
        <v>84.349602991908597</v>
      </c>
      <c r="AN4970">
        <v>0.99999999127616002</v>
      </c>
    </row>
    <row r="4971" spans="1:40" x14ac:dyDescent="0.25">
      <c r="A4971" t="str">
        <f>"20190303170351974"</f>
        <v>20190303170351974</v>
      </c>
      <c r="B4971" t="str">
        <f>"1551603831960121"</f>
        <v>1551603831960121</v>
      </c>
      <c r="C4971" t="s">
        <v>40</v>
      </c>
      <c r="D4971">
        <v>4.5220789999999997</v>
      </c>
      <c r="E4971">
        <v>0.49284460000000002</v>
      </c>
      <c r="F4971" t="s">
        <v>90</v>
      </c>
      <c r="G4971">
        <v>-289.71100000000001</v>
      </c>
      <c r="H4971" s="1">
        <v>-7.7709849999999996E-6</v>
      </c>
      <c r="I4971">
        <v>136.74459999999999</v>
      </c>
      <c r="J4971">
        <v>-219.6148</v>
      </c>
      <c r="K4971">
        <v>1.121416</v>
      </c>
      <c r="L4971">
        <v>139.149</v>
      </c>
      <c r="M4971">
        <v>-0.99512800000000001</v>
      </c>
      <c r="N4971">
        <v>-1.4220129999999999E-2</v>
      </c>
      <c r="O4971">
        <v>-9.7561170000000003E-2</v>
      </c>
      <c r="P4971">
        <v>-0.98043219999999998</v>
      </c>
      <c r="Q4971">
        <v>0.1968569</v>
      </c>
      <c r="R4971">
        <v>-2.8792260000000001E-4</v>
      </c>
      <c r="S4971">
        <v>-3.0682830000000001</v>
      </c>
      <c r="T4971">
        <v>-4.8869009999999997E-2</v>
      </c>
      <c r="U4971">
        <v>-0.10612489999999999</v>
      </c>
      <c r="V4971">
        <v>9.5590789999999995E-2</v>
      </c>
      <c r="W4971">
        <v>0.21061479999999999</v>
      </c>
      <c r="X4971">
        <v>0.97288430000000004</v>
      </c>
      <c r="Y4971">
        <v>6.3095380000000006E-2</v>
      </c>
      <c r="Z4971">
        <v>1.11268E-3</v>
      </c>
      <c r="AA4971">
        <v>0.99800690000000003</v>
      </c>
      <c r="AB4971">
        <v>30</v>
      </c>
      <c r="AC4971">
        <v>-70.096199999999996</v>
      </c>
      <c r="AD4971">
        <v>-1.1214237709849999</v>
      </c>
      <c r="AE4971">
        <v>-2.4043999999999999</v>
      </c>
      <c r="AF4971">
        <v>4.4452943912288303</v>
      </c>
      <c r="AG4971">
        <v>-1.1214237709849999</v>
      </c>
      <c r="AH4971">
        <v>69.978450491525393</v>
      </c>
      <c r="AI4971">
        <v>90.916255428371102</v>
      </c>
      <c r="AJ4971">
        <v>86.365240400527995</v>
      </c>
      <c r="AK4971">
        <v>70.128466165272002</v>
      </c>
      <c r="AL4971">
        <v>77.841616816128493</v>
      </c>
      <c r="AM4971">
        <v>84.388412578657807</v>
      </c>
      <c r="AN4971">
        <v>1.00000002714917</v>
      </c>
    </row>
    <row r="4972" spans="1:40" x14ac:dyDescent="0.25">
      <c r="A4972" t="str">
        <f>"20190303170351998"</f>
        <v>20190303170351998</v>
      </c>
      <c r="B4972" t="str">
        <f>"1551603831990378"</f>
        <v>1551603831990378</v>
      </c>
      <c r="C4972" t="s">
        <v>40</v>
      </c>
      <c r="D4972">
        <v>4.4349629999999998</v>
      </c>
      <c r="E4972">
        <v>0.49329669999999998</v>
      </c>
      <c r="F4972" t="s">
        <v>90</v>
      </c>
      <c r="G4972">
        <v>-296.25170000000003</v>
      </c>
      <c r="H4972" s="1">
        <v>-7.309772E-6</v>
      </c>
      <c r="I4972">
        <v>136.56739999999999</v>
      </c>
      <c r="J4972">
        <v>-219.91579999999999</v>
      </c>
      <c r="K4972">
        <v>1.1212770000000001</v>
      </c>
      <c r="L4972">
        <v>139.12029999999999</v>
      </c>
      <c r="M4972">
        <v>-0.99520310000000001</v>
      </c>
      <c r="N4972">
        <v>-1.422647E-2</v>
      </c>
      <c r="O4972">
        <v>-9.6790890000000004E-2</v>
      </c>
      <c r="P4972">
        <v>-0.98061149999999997</v>
      </c>
      <c r="Q4972">
        <v>0.1959621</v>
      </c>
      <c r="R4972">
        <v>2.0803090000000001E-4</v>
      </c>
      <c r="S4972">
        <v>-3.068832</v>
      </c>
      <c r="T4972">
        <v>-4.4906019999999998E-2</v>
      </c>
      <c r="U4972">
        <v>-0.10337830000000001</v>
      </c>
      <c r="V4972">
        <v>9.5420110000000002E-2</v>
      </c>
      <c r="W4972">
        <v>0.20969589999999999</v>
      </c>
      <c r="X4972">
        <v>0.97309950000000001</v>
      </c>
      <c r="Y4972">
        <v>6.3223189999999999E-2</v>
      </c>
      <c r="Z4972">
        <v>9.4709690000000001E-4</v>
      </c>
      <c r="AA4972">
        <v>0.99799899999999997</v>
      </c>
      <c r="AB4972">
        <v>30</v>
      </c>
      <c r="AC4972">
        <v>-76.335899999999995</v>
      </c>
      <c r="AD4972">
        <v>-1.121284309772</v>
      </c>
      <c r="AE4972">
        <v>-2.55289999999999</v>
      </c>
      <c r="AF4972">
        <v>4.8474114684806704</v>
      </c>
      <c r="AG4972">
        <v>-1.121284309772</v>
      </c>
      <c r="AH4972">
        <v>76.208108393677506</v>
      </c>
      <c r="AI4972">
        <v>90.841257980636698</v>
      </c>
      <c r="AJ4972">
        <v>86.360458684273695</v>
      </c>
      <c r="AK4972">
        <v>76.370350669553702</v>
      </c>
      <c r="AL4972">
        <v>77.895468220394093</v>
      </c>
      <c r="AM4972">
        <v>84.3995993602135</v>
      </c>
      <c r="AN4972">
        <v>1.00000000238473</v>
      </c>
    </row>
    <row r="4973" spans="1:40" x14ac:dyDescent="0.25">
      <c r="A4973" t="str">
        <f>"20190303170352018"</f>
        <v>20190303170352018</v>
      </c>
      <c r="B4973" t="str">
        <f>"1551603832010874"</f>
        <v>1551603832010874</v>
      </c>
      <c r="C4973" t="s">
        <v>40</v>
      </c>
      <c r="D4973">
        <v>4.3804660000000002</v>
      </c>
      <c r="E4973">
        <v>0.493585</v>
      </c>
      <c r="F4973" t="s">
        <v>90</v>
      </c>
      <c r="G4973">
        <v>-287.19029999999998</v>
      </c>
      <c r="H4973" s="1">
        <v>-6.2767289999999997E-6</v>
      </c>
      <c r="I4973">
        <v>136.9589</v>
      </c>
      <c r="J4973">
        <v>-220.21019999999999</v>
      </c>
      <c r="K4973">
        <v>1.1211260000000001</v>
      </c>
      <c r="L4973">
        <v>139.0926</v>
      </c>
      <c r="M4973">
        <v>-0.99529449999999997</v>
      </c>
      <c r="N4973">
        <v>-1.4224530000000001E-2</v>
      </c>
      <c r="O4973">
        <v>-9.5848020000000006E-2</v>
      </c>
      <c r="P4973">
        <v>-0.98080210000000001</v>
      </c>
      <c r="Q4973">
        <v>0.19499620000000001</v>
      </c>
      <c r="R4973">
        <v>2.0386900000000001E-3</v>
      </c>
      <c r="S4973">
        <v>-3.06955</v>
      </c>
      <c r="T4973">
        <v>-5.116105E-2</v>
      </c>
      <c r="U4973">
        <v>-9.8617549999999998E-2</v>
      </c>
      <c r="V4973">
        <v>9.640957E-2</v>
      </c>
      <c r="W4973">
        <v>0.20869389999999999</v>
      </c>
      <c r="X4973">
        <v>0.97321740000000001</v>
      </c>
      <c r="Y4973">
        <v>6.3828339999999997E-2</v>
      </c>
      <c r="Z4973">
        <v>1.2152630000000001E-3</v>
      </c>
      <c r="AA4973">
        <v>0.99796019999999996</v>
      </c>
      <c r="AB4973">
        <v>30</v>
      </c>
      <c r="AC4973">
        <v>-66.980099999999993</v>
      </c>
      <c r="AD4973">
        <v>-1.121132276729</v>
      </c>
      <c r="AE4973">
        <v>-2.1337000000000002</v>
      </c>
      <c r="AF4973">
        <v>4.2954818631961098</v>
      </c>
      <c r="AG4973">
        <v>-1.121132276729</v>
      </c>
      <c r="AH4973">
        <v>66.857478916753905</v>
      </c>
      <c r="AI4973">
        <v>90.958725879385099</v>
      </c>
      <c r="AJ4973">
        <v>86.323894007070095</v>
      </c>
      <c r="AK4973">
        <v>67.004705723726303</v>
      </c>
      <c r="AL4973">
        <v>77.954177917648295</v>
      </c>
      <c r="AM4973">
        <v>84.342581845264505</v>
      </c>
      <c r="AN4973">
        <v>1.00000002837377</v>
      </c>
    </row>
    <row r="4974" spans="1:40" x14ac:dyDescent="0.25">
      <c r="A4974" t="str">
        <f>"20190303170352041"</f>
        <v>20190303170352041</v>
      </c>
      <c r="B4974" t="str">
        <f>"1551603832030394"</f>
        <v>1551603832030394</v>
      </c>
      <c r="C4974" t="s">
        <v>40</v>
      </c>
      <c r="D4974">
        <v>4.513401</v>
      </c>
      <c r="E4974">
        <v>0.49382880000000001</v>
      </c>
      <c r="F4974" t="s">
        <v>90</v>
      </c>
      <c r="G4974">
        <v>-281.46870000000001</v>
      </c>
      <c r="H4974" s="1">
        <v>-3.3814989999999999E-6</v>
      </c>
      <c r="I4974">
        <v>137.27799999999999</v>
      </c>
      <c r="J4974">
        <v>-220.50630000000001</v>
      </c>
      <c r="K4974">
        <v>1.120995</v>
      </c>
      <c r="L4974">
        <v>139.06530000000001</v>
      </c>
      <c r="M4974">
        <v>-0.99540059999999997</v>
      </c>
      <c r="N4974">
        <v>-1.420341E-2</v>
      </c>
      <c r="O4974">
        <v>-9.4742590000000002E-2</v>
      </c>
      <c r="P4974">
        <v>-0.9804891</v>
      </c>
      <c r="Q4974">
        <v>0.19651650000000001</v>
      </c>
      <c r="R4974">
        <v>4.7650790000000002E-3</v>
      </c>
      <c r="S4974">
        <v>-3.070068</v>
      </c>
      <c r="T4974">
        <v>-5.6187149999999998E-2</v>
      </c>
      <c r="U4974">
        <v>-9.0942380000000003E-2</v>
      </c>
      <c r="V4974">
        <v>9.8080730000000005E-2</v>
      </c>
      <c r="W4974">
        <v>0.2101519</v>
      </c>
      <c r="X4974">
        <v>0.9727365</v>
      </c>
      <c r="Y4974">
        <v>6.5214400000000006E-2</v>
      </c>
      <c r="Z4974">
        <v>1.443359E-3</v>
      </c>
      <c r="AA4974">
        <v>0.99787020000000004</v>
      </c>
      <c r="AB4974">
        <v>30</v>
      </c>
      <c r="AC4974">
        <v>-60.962400000000002</v>
      </c>
      <c r="AD4974">
        <v>-1.1209983814990001</v>
      </c>
      <c r="AE4974">
        <v>-1.7873000000000101</v>
      </c>
      <c r="AF4974">
        <v>3.9957089590885002</v>
      </c>
      <c r="AG4974">
        <v>-1.1209983814990001</v>
      </c>
      <c r="AH4974">
        <v>60.836921053584703</v>
      </c>
      <c r="AI4974">
        <v>91.0533598424106</v>
      </c>
      <c r="AJ4974">
        <v>86.242266808059796</v>
      </c>
      <c r="AK4974">
        <v>60.978301802667097</v>
      </c>
      <c r="AL4974">
        <v>77.868745568183797</v>
      </c>
      <c r="AM4974">
        <v>84.2423430766937</v>
      </c>
      <c r="AN4974">
        <v>0.99999997455159595</v>
      </c>
    </row>
    <row r="4975" spans="1:40" x14ac:dyDescent="0.25">
      <c r="A4975" t="str">
        <f>"20190303170352063"</f>
        <v>20190303170352063</v>
      </c>
      <c r="B4975" t="str">
        <f>"1551603832050890"</f>
        <v>1551603832050890</v>
      </c>
      <c r="C4975" t="s">
        <v>40</v>
      </c>
      <c r="D4975">
        <v>4.4309399999999997</v>
      </c>
      <c r="E4975">
        <v>0.4940234</v>
      </c>
      <c r="F4975" t="s">
        <v>90</v>
      </c>
      <c r="G4975">
        <v>-284.6558</v>
      </c>
      <c r="H4975" s="1">
        <v>-4.8316310000000003E-6</v>
      </c>
      <c r="I4975">
        <v>137.3749</v>
      </c>
      <c r="J4975">
        <v>-220.80289999999999</v>
      </c>
      <c r="K4975">
        <v>1.120868</v>
      </c>
      <c r="L4975">
        <v>139.03829999999999</v>
      </c>
      <c r="M4975">
        <v>-0.99552110000000005</v>
      </c>
      <c r="N4975">
        <v>-1.411307E-2</v>
      </c>
      <c r="O4975">
        <v>-9.3479859999999998E-2</v>
      </c>
      <c r="P4975">
        <v>-0.98012639999999995</v>
      </c>
      <c r="Q4975">
        <v>0.19823440000000001</v>
      </c>
      <c r="R4975">
        <v>7.4481840000000001E-3</v>
      </c>
      <c r="S4975">
        <v>-3.0708470000000001</v>
      </c>
      <c r="T4975">
        <v>-5.3662420000000002E-2</v>
      </c>
      <c r="U4975">
        <v>-8.0917359999999994E-2</v>
      </c>
      <c r="V4975">
        <v>9.9544519999999997E-2</v>
      </c>
      <c r="W4975">
        <v>0.21174370000000001</v>
      </c>
      <c r="X4975">
        <v>0.97224250000000001</v>
      </c>
      <c r="Y4975">
        <v>6.7212049999999995E-2</v>
      </c>
      <c r="Z4975">
        <v>1.371447E-3</v>
      </c>
      <c r="AA4975">
        <v>0.99773780000000001</v>
      </c>
      <c r="AB4975">
        <v>30</v>
      </c>
      <c r="AC4975">
        <v>-63.852899999999998</v>
      </c>
      <c r="AD4975">
        <v>-1.1208728316309999</v>
      </c>
      <c r="AE4975">
        <v>-1.66339999999999</v>
      </c>
      <c r="AF4975">
        <v>4.3121122705871002</v>
      </c>
      <c r="AG4975">
        <v>-1.1208728316309999</v>
      </c>
      <c r="AH4975">
        <v>63.709134934261897</v>
      </c>
      <c r="AI4975">
        <v>91.005634467453007</v>
      </c>
      <c r="AJ4975">
        <v>86.127877359805893</v>
      </c>
      <c r="AK4975">
        <v>63.864736296416602</v>
      </c>
      <c r="AL4975">
        <v>77.775442786848501</v>
      </c>
      <c r="AM4975">
        <v>84.154055769460001</v>
      </c>
      <c r="AN4975">
        <v>0.99999999237898496</v>
      </c>
    </row>
    <row r="4976" spans="1:40" x14ac:dyDescent="0.25">
      <c r="A4976" t="str">
        <f>"20190303170352087"</f>
        <v>20190303170352087</v>
      </c>
      <c r="B4976" t="str">
        <f>"1551603832070410"</f>
        <v>1551603832070410</v>
      </c>
      <c r="C4976" t="s">
        <v>40</v>
      </c>
      <c r="D4976">
        <v>4.6507969999999998</v>
      </c>
      <c r="E4976">
        <v>0.49420940000000002</v>
      </c>
      <c r="F4976" t="s">
        <v>90</v>
      </c>
      <c r="G4976">
        <v>-288.90550000000002</v>
      </c>
      <c r="H4976" s="1">
        <v>-7.525991E-6</v>
      </c>
      <c r="I4976">
        <v>137.47799999999901</v>
      </c>
      <c r="J4976">
        <v>-221.11060000000001</v>
      </c>
      <c r="K4976">
        <v>1.1207210000000001</v>
      </c>
      <c r="L4976">
        <v>139.011</v>
      </c>
      <c r="M4976">
        <v>-0.99565950000000003</v>
      </c>
      <c r="N4976">
        <v>-1.3935060000000001E-2</v>
      </c>
      <c r="O4976">
        <v>-9.2022679999999996E-2</v>
      </c>
      <c r="P4976">
        <v>-0.98025469999999904</v>
      </c>
      <c r="Q4976">
        <v>0.19748099999999999</v>
      </c>
      <c r="R4976">
        <v>1.0117309999999999E-2</v>
      </c>
      <c r="S4976">
        <v>-3.0715789999999998</v>
      </c>
      <c r="T4976">
        <v>-5.0554040000000001E-2</v>
      </c>
      <c r="U4976">
        <v>-7.0373539999999998E-2</v>
      </c>
      <c r="V4976">
        <v>0.10084079999999999</v>
      </c>
      <c r="W4976">
        <v>0.21078769999999999</v>
      </c>
      <c r="X4976">
        <v>0.97231670000000003</v>
      </c>
      <c r="Y4976">
        <v>6.9181960000000001E-2</v>
      </c>
      <c r="Z4976">
        <v>1.2797170000000001E-3</v>
      </c>
      <c r="AA4976">
        <v>0.99760320000000002</v>
      </c>
      <c r="AB4976">
        <v>30</v>
      </c>
      <c r="AC4976">
        <v>-67.794899999999998</v>
      </c>
      <c r="AD4976">
        <v>-1.12072852599099</v>
      </c>
      <c r="AE4976">
        <v>-1.5330000000000099</v>
      </c>
      <c r="AF4976">
        <v>4.7114926090382703</v>
      </c>
      <c r="AG4976">
        <v>-1.12072852599099</v>
      </c>
      <c r="AH4976">
        <v>67.629796365131995</v>
      </c>
      <c r="AI4976">
        <v>90.947096170011605</v>
      </c>
      <c r="AJ4976">
        <v>86.014875012850894</v>
      </c>
      <c r="AK4976">
        <v>67.802975977631107</v>
      </c>
      <c r="AL4976">
        <v>77.831483073219403</v>
      </c>
      <c r="AM4976">
        <v>84.078915390370895</v>
      </c>
      <c r="AN4976">
        <v>1.0000000432574001</v>
      </c>
    </row>
    <row r="4977" spans="1:40" x14ac:dyDescent="0.25">
      <c r="A4977" t="str">
        <f>"20190303170352109"</f>
        <v>20190303170352109</v>
      </c>
      <c r="B4977" t="str">
        <f>"1551603832100665"</f>
        <v>1551603832100665</v>
      </c>
      <c r="C4977" t="s">
        <v>40</v>
      </c>
      <c r="D4977">
        <v>4.4204800000000004</v>
      </c>
      <c r="E4977">
        <v>0.49440400000000001</v>
      </c>
      <c r="F4977" t="s">
        <v>90</v>
      </c>
      <c r="G4977">
        <v>-283.5797</v>
      </c>
      <c r="H4977" s="1">
        <v>-4.5077159999999997E-6</v>
      </c>
      <c r="I4977">
        <v>137.77889999999999</v>
      </c>
      <c r="J4977">
        <v>-221.42089999999999</v>
      </c>
      <c r="K4977">
        <v>1.1205529999999999</v>
      </c>
      <c r="L4977">
        <v>138.98400000000001</v>
      </c>
      <c r="M4977">
        <v>-0.99580930000000001</v>
      </c>
      <c r="N4977">
        <v>-1.36936E-2</v>
      </c>
      <c r="O4977">
        <v>-9.0423799999999999E-2</v>
      </c>
      <c r="P4977">
        <v>-0.98068330000000004</v>
      </c>
      <c r="Q4977">
        <v>0.1951271</v>
      </c>
      <c r="R4977">
        <v>1.3628370000000001E-2</v>
      </c>
      <c r="S4977">
        <v>-3.0721440000000002</v>
      </c>
      <c r="T4977">
        <v>-5.5115699999999899E-2</v>
      </c>
      <c r="U4977">
        <v>-6.0592649999999998E-2</v>
      </c>
      <c r="V4977">
        <v>0.1028536</v>
      </c>
      <c r="W4977">
        <v>0.20817289999999999</v>
      </c>
      <c r="X4977">
        <v>0.97266909999999895</v>
      </c>
      <c r="Y4977">
        <v>7.0755239999999997E-2</v>
      </c>
      <c r="Z4977">
        <v>1.499406E-3</v>
      </c>
      <c r="AA4977">
        <v>0.99749259999999995</v>
      </c>
      <c r="AB4977">
        <v>30</v>
      </c>
      <c r="AC4977">
        <v>-62.158799999999999</v>
      </c>
      <c r="AD4977">
        <v>-1.1205575077159999</v>
      </c>
      <c r="AE4977">
        <v>-1.2051000000000101</v>
      </c>
      <c r="AF4977">
        <v>4.4195635711742902</v>
      </c>
      <c r="AG4977">
        <v>-1.1205575077159999</v>
      </c>
      <c r="AH4977">
        <v>61.992951746509</v>
      </c>
      <c r="AI4977">
        <v>91.032919714662199</v>
      </c>
      <c r="AJ4977">
        <v>85.922203433700702</v>
      </c>
      <c r="AK4977">
        <v>62.160391388188202</v>
      </c>
      <c r="AL4977">
        <v>77.984699012670802</v>
      </c>
      <c r="AM4977">
        <v>83.963765823284902</v>
      </c>
      <c r="AN4977">
        <v>0.99999999871108902</v>
      </c>
    </row>
    <row r="4978" spans="1:40" x14ac:dyDescent="0.25">
      <c r="A4978" t="str">
        <f>"20190303170352129"</f>
        <v>20190303170352129</v>
      </c>
      <c r="B4978" t="str">
        <f>"1551603832120185"</f>
        <v>1551603832120185</v>
      </c>
      <c r="C4978" t="s">
        <v>40</v>
      </c>
      <c r="D4978">
        <v>4.4283720000000004</v>
      </c>
      <c r="E4978">
        <v>0.49440459999999897</v>
      </c>
      <c r="F4978" t="s">
        <v>42</v>
      </c>
      <c r="G4978">
        <v>-274.56849999999997</v>
      </c>
      <c r="H4978" s="1">
        <v>-2.5744319999999999E-6</v>
      </c>
      <c r="I4978">
        <v>138.13910000000001</v>
      </c>
      <c r="J4978">
        <v>-221.7021</v>
      </c>
      <c r="K4978">
        <v>1.120414</v>
      </c>
      <c r="L4978">
        <v>138.96</v>
      </c>
      <c r="M4978">
        <v>-0.99595210000000001</v>
      </c>
      <c r="N4978">
        <v>-1.343975E-2</v>
      </c>
      <c r="O4978">
        <v>-8.8875750000000003E-2</v>
      </c>
      <c r="P4978">
        <v>-0.98094570000000003</v>
      </c>
      <c r="Q4978">
        <v>0.19360530000000001</v>
      </c>
      <c r="R4978">
        <v>1.62002999999999E-2</v>
      </c>
      <c r="S4978">
        <v>-3.0726619999999998</v>
      </c>
      <c r="T4978">
        <v>-6.4783569999999999E-2</v>
      </c>
      <c r="U4978">
        <v>-4.8843379999999999E-2</v>
      </c>
      <c r="V4978">
        <v>0.10395790000000001</v>
      </c>
      <c r="W4978">
        <v>0.20638310000000001</v>
      </c>
      <c r="X4978">
        <v>0.9729331</v>
      </c>
      <c r="Y4978">
        <v>7.3012250000000001E-2</v>
      </c>
      <c r="Z4978">
        <v>1.935867E-3</v>
      </c>
      <c r="AA4978">
        <v>0.99732920000000003</v>
      </c>
      <c r="AB4978">
        <v>30</v>
      </c>
      <c r="AC4978">
        <v>-52.866399999999899</v>
      </c>
      <c r="AD4978">
        <v>-1.120416574432</v>
      </c>
      <c r="AE4978">
        <v>-0.82089999999999397</v>
      </c>
      <c r="AF4978">
        <v>3.8795720830052098</v>
      </c>
      <c r="AG4978">
        <v>-1.120416574432</v>
      </c>
      <c r="AH4978">
        <v>52.706451879567801</v>
      </c>
      <c r="AI4978">
        <v>91.214506917117504</v>
      </c>
      <c r="AJ4978">
        <v>85.790212498601207</v>
      </c>
      <c r="AK4978">
        <v>52.860916399365301</v>
      </c>
      <c r="AL4978">
        <v>78.089523880396499</v>
      </c>
      <c r="AM4978">
        <v>83.901086091748397</v>
      </c>
      <c r="AN4978">
        <v>1.00000002300681</v>
      </c>
    </row>
    <row r="4979" spans="1:40" x14ac:dyDescent="0.25">
      <c r="A4979" t="str">
        <f>"20190303170352151"</f>
        <v>20190303170352151</v>
      </c>
      <c r="B4979" t="str">
        <f>"1551603832140683"</f>
        <v>1551603832140683</v>
      </c>
      <c r="C4979" t="s">
        <v>40</v>
      </c>
      <c r="D4979">
        <v>4.4649320000000001</v>
      </c>
      <c r="E4979">
        <v>0.49481779999999997</v>
      </c>
      <c r="F4979" t="s">
        <v>42</v>
      </c>
      <c r="G4979">
        <v>-270.209</v>
      </c>
      <c r="H4979" s="1">
        <v>-4.4170170000000001E-6</v>
      </c>
      <c r="I4979">
        <v>138.29470000000001</v>
      </c>
      <c r="J4979">
        <v>-221.99019999999999</v>
      </c>
      <c r="K4979">
        <v>1.120295</v>
      </c>
      <c r="L4979">
        <v>138.93600000000001</v>
      </c>
      <c r="M4979">
        <v>-0.99610330000000002</v>
      </c>
      <c r="N4979">
        <v>-1.3154239999999999E-2</v>
      </c>
      <c r="O4979">
        <v>-8.7207919999999994E-2</v>
      </c>
      <c r="P4979">
        <v>-0.98087939999999996</v>
      </c>
      <c r="Q4979">
        <v>0.1937373</v>
      </c>
      <c r="R4979">
        <v>1.8483490000000002E-2</v>
      </c>
      <c r="S4979">
        <v>-3.0729829999999998</v>
      </c>
      <c r="T4979">
        <v>-7.0980189999999999E-2</v>
      </c>
      <c r="U4979">
        <v>-4.214478E-2</v>
      </c>
      <c r="V4979">
        <v>0.1046296</v>
      </c>
      <c r="W4979">
        <v>0.20621510000000001</v>
      </c>
      <c r="X4979">
        <v>0.97289669999999895</v>
      </c>
      <c r="Y4979">
        <v>7.3511179999999995E-2</v>
      </c>
      <c r="Z4979">
        <v>2.195874E-3</v>
      </c>
      <c r="AA4979">
        <v>0.99729199999999996</v>
      </c>
      <c r="AB4979">
        <v>30</v>
      </c>
      <c r="AC4979">
        <v>-48.218800000000002</v>
      </c>
      <c r="AD4979">
        <v>-1.120299417017</v>
      </c>
      <c r="AE4979">
        <v>-0.64130000000000098</v>
      </c>
      <c r="AF4979">
        <v>3.5646448519311398</v>
      </c>
      <c r="AG4979">
        <v>-1.120299417017</v>
      </c>
      <c r="AH4979">
        <v>48.0650510797065</v>
      </c>
      <c r="AI4979">
        <v>91.331551811679006</v>
      </c>
      <c r="AJ4979">
        <v>85.758542144330605</v>
      </c>
      <c r="AK4979">
        <v>48.210070514353802</v>
      </c>
      <c r="AL4979">
        <v>78.099360961296199</v>
      </c>
      <c r="AM4979">
        <v>83.861751327842001</v>
      </c>
      <c r="AN4979">
        <v>1.0000000047675199</v>
      </c>
    </row>
    <row r="4980" spans="1:40" x14ac:dyDescent="0.25">
      <c r="A4980" t="str">
        <f>"20190303170352174"</f>
        <v>20190303170352174</v>
      </c>
      <c r="B4980" t="str">
        <f>"1551603832160201"</f>
        <v>1551603832160201</v>
      </c>
      <c r="C4980" t="s">
        <v>40</v>
      </c>
      <c r="D4980">
        <v>4.4720909999999998</v>
      </c>
      <c r="E4980">
        <v>0.49533959999999999</v>
      </c>
      <c r="F4980" t="s">
        <v>42</v>
      </c>
      <c r="G4980">
        <v>-269.94639999999998</v>
      </c>
      <c r="H4980" s="1">
        <v>-3.1920289999999998E-7</v>
      </c>
      <c r="I4980">
        <v>138.43260000000001</v>
      </c>
      <c r="J4980">
        <v>-222.31299999999999</v>
      </c>
      <c r="K4980">
        <v>1.120169</v>
      </c>
      <c r="L4980">
        <v>138.90969999999999</v>
      </c>
      <c r="M4980">
        <v>-0.99627659999999996</v>
      </c>
      <c r="N4980">
        <v>-1.2806639999999999E-2</v>
      </c>
      <c r="O4980">
        <v>-8.5260059999999999E-2</v>
      </c>
      <c r="P4980">
        <v>-0.98069260000000003</v>
      </c>
      <c r="Q4980">
        <v>0.1944669</v>
      </c>
      <c r="R4980">
        <v>2.060969E-2</v>
      </c>
      <c r="S4980">
        <v>-3.0732569999999999</v>
      </c>
      <c r="T4980">
        <v>-7.1793679999999999E-2</v>
      </c>
      <c r="U4980">
        <v>-3.225708E-2</v>
      </c>
      <c r="V4980">
        <v>0.10486230000000001</v>
      </c>
      <c r="W4980">
        <v>0.20658460000000001</v>
      </c>
      <c r="X4980">
        <v>0.97279320000000002</v>
      </c>
      <c r="Y4980">
        <v>7.4768829999999994E-2</v>
      </c>
      <c r="Z4980">
        <v>2.2485040000000001E-3</v>
      </c>
      <c r="AA4980">
        <v>0.99719829999999998</v>
      </c>
      <c r="AB4980">
        <v>30</v>
      </c>
      <c r="AC4980">
        <v>-47.633400000000002</v>
      </c>
      <c r="AD4980">
        <v>-1.1201693192029001</v>
      </c>
      <c r="AE4980">
        <v>-0.47709999999997799</v>
      </c>
      <c r="AF4980">
        <v>3.5842144851192002</v>
      </c>
      <c r="AG4980">
        <v>-1.1201693192029001</v>
      </c>
      <c r="AH4980">
        <v>47.474354634002097</v>
      </c>
      <c r="AI4980">
        <v>91.347823131612998</v>
      </c>
      <c r="AJ4980">
        <v>85.682479240547195</v>
      </c>
      <c r="AK4980">
        <v>47.622638741401303</v>
      </c>
      <c r="AL4980">
        <v>78.077723675184401</v>
      </c>
      <c r="AM4980">
        <v>83.847554705391204</v>
      </c>
      <c r="AN4980">
        <v>0.99999995444234402</v>
      </c>
    </row>
    <row r="4981" spans="1:40" x14ac:dyDescent="0.25">
      <c r="A4981" t="str">
        <f>"20190303170352199"</f>
        <v>20190303170352199</v>
      </c>
      <c r="B4981" t="str">
        <f>"1551603832190458"</f>
        <v>1551603832190458</v>
      </c>
      <c r="C4981" t="s">
        <v>40</v>
      </c>
      <c r="D4981">
        <v>4.5818289999999999</v>
      </c>
      <c r="E4981">
        <v>0.49611430000000001</v>
      </c>
      <c r="F4981" t="s">
        <v>42</v>
      </c>
      <c r="G4981">
        <v>-271.21640000000002</v>
      </c>
      <c r="H4981" s="1">
        <v>-3.9349759999999998E-6</v>
      </c>
      <c r="I4981">
        <v>138.57579999999999</v>
      </c>
      <c r="J4981">
        <v>-222.62809999999999</v>
      </c>
      <c r="K4981">
        <v>1.1200509999999999</v>
      </c>
      <c r="L4981">
        <v>138.88480000000001</v>
      </c>
      <c r="M4981">
        <v>-0.996448</v>
      </c>
      <c r="N4981">
        <v>-1.243969E-2</v>
      </c>
      <c r="O4981">
        <v>-8.3288089999999995E-2</v>
      </c>
      <c r="P4981">
        <v>-0.98067210000000005</v>
      </c>
      <c r="Q4981">
        <v>0.19428680000000001</v>
      </c>
      <c r="R4981">
        <v>2.3128940000000001E-2</v>
      </c>
      <c r="S4981">
        <v>-3.0734859999999999</v>
      </c>
      <c r="T4981">
        <v>-7.0400829999999998E-2</v>
      </c>
      <c r="U4981">
        <v>-2.0980829999999999E-2</v>
      </c>
      <c r="V4981">
        <v>0.1054679</v>
      </c>
      <c r="W4981">
        <v>0.20602989999999999</v>
      </c>
      <c r="X4981">
        <v>0.97284539999999997</v>
      </c>
      <c r="Y4981">
        <v>7.6454629999999996E-2</v>
      </c>
      <c r="Z4981">
        <v>2.2198579999999999E-3</v>
      </c>
      <c r="AA4981">
        <v>0.99707060000000003</v>
      </c>
      <c r="AB4981">
        <v>30</v>
      </c>
      <c r="AC4981">
        <v>-48.588299999999997</v>
      </c>
      <c r="AD4981">
        <v>-1.1200549349760001</v>
      </c>
      <c r="AE4981">
        <v>-0.30900000000002498</v>
      </c>
      <c r="AF4981">
        <v>3.7372272410038798</v>
      </c>
      <c r="AG4981">
        <v>-1.1200549349760001</v>
      </c>
      <c r="AH4981">
        <v>48.419463676905202</v>
      </c>
      <c r="AI4981">
        <v>91.321220161115207</v>
      </c>
      <c r="AJ4981">
        <v>85.586410321342996</v>
      </c>
      <c r="AK4981">
        <v>48.576391933401197</v>
      </c>
      <c r="AL4981">
        <v>78.110204763534796</v>
      </c>
      <c r="AM4981">
        <v>83.812627432509203</v>
      </c>
      <c r="AN4981">
        <v>0.99999998496278897</v>
      </c>
    </row>
    <row r="4982" spans="1:40" x14ac:dyDescent="0.25">
      <c r="A4982" t="str">
        <f>"20190303170352220"</f>
        <v>20190303170352220</v>
      </c>
      <c r="B4982" t="str">
        <f>"1551603832210954"</f>
        <v>1551603832210954</v>
      </c>
      <c r="C4982" t="s">
        <v>40</v>
      </c>
      <c r="D4982">
        <v>4.5265849999999999</v>
      </c>
      <c r="E4982">
        <v>0.49654569999999998</v>
      </c>
      <c r="F4982" t="s">
        <v>42</v>
      </c>
      <c r="G4982">
        <v>-270.84589999999997</v>
      </c>
      <c r="H4982" s="1">
        <v>-4.0588879999999999E-6</v>
      </c>
      <c r="I4982">
        <v>138.7732</v>
      </c>
      <c r="J4982">
        <v>-222.92500000000001</v>
      </c>
      <c r="K4982">
        <v>1.119955</v>
      </c>
      <c r="L4982">
        <v>138.86189999999999</v>
      </c>
      <c r="M4982">
        <v>-0.99660930000000003</v>
      </c>
      <c r="N4982">
        <v>-1.2081100000000001E-2</v>
      </c>
      <c r="O4982">
        <v>-8.1389110000000001E-2</v>
      </c>
      <c r="P4982">
        <v>-0.98075060000000003</v>
      </c>
      <c r="Q4982">
        <v>0.19351360000000001</v>
      </c>
      <c r="R4982">
        <v>2.6101530000000001E-2</v>
      </c>
      <c r="S4982">
        <v>-3.0734409999999999</v>
      </c>
      <c r="T4982">
        <v>-7.1393129999999999E-2</v>
      </c>
      <c r="U4982">
        <v>-7.1105959999999899E-3</v>
      </c>
      <c r="V4982">
        <v>0.1065965</v>
      </c>
      <c r="W4982">
        <v>0.20489309999999999</v>
      </c>
      <c r="X4982">
        <v>0.97296249999999995</v>
      </c>
      <c r="Y4982">
        <v>7.905152E-2</v>
      </c>
      <c r="Z4982">
        <v>2.3002909999999999E-3</v>
      </c>
      <c r="AA4982">
        <v>0.99686790000000003</v>
      </c>
      <c r="AB4982">
        <v>30</v>
      </c>
      <c r="AC4982">
        <v>-47.920899999999897</v>
      </c>
      <c r="AD4982">
        <v>-1.119959058888</v>
      </c>
      <c r="AE4982">
        <v>-8.8699999999988594E-2</v>
      </c>
      <c r="AF4982">
        <v>3.8100368619748401</v>
      </c>
      <c r="AG4982">
        <v>-1.119959058888</v>
      </c>
      <c r="AH4982">
        <v>47.743036988052602</v>
      </c>
      <c r="AI4982">
        <v>91.339544293414605</v>
      </c>
      <c r="AJ4982">
        <v>85.437295262165193</v>
      </c>
      <c r="AK4982">
        <v>47.907914482116098</v>
      </c>
      <c r="AL4982">
        <v>78.176758838201906</v>
      </c>
      <c r="AM4982">
        <v>83.747685435154196</v>
      </c>
      <c r="AN4982">
        <v>1.0000000113230501</v>
      </c>
    </row>
    <row r="4983" spans="1:40" x14ac:dyDescent="0.25">
      <c r="A4983" t="str">
        <f>"20190303170352241"</f>
        <v>20190303170352241</v>
      </c>
      <c r="B4983" t="str">
        <f>"1551603832230474"</f>
        <v>1551603832230474</v>
      </c>
      <c r="C4983" t="s">
        <v>40</v>
      </c>
      <c r="D4983">
        <v>4.5842799999999997</v>
      </c>
      <c r="E4983">
        <v>0.49692199999999997</v>
      </c>
      <c r="F4983" t="s">
        <v>42</v>
      </c>
      <c r="G4983">
        <v>-269.45389999999998</v>
      </c>
      <c r="H4983" s="1">
        <v>-3.5217600000000002E-7</v>
      </c>
      <c r="I4983">
        <v>138.93860000000001</v>
      </c>
      <c r="J4983">
        <v>-223.21459999999999</v>
      </c>
      <c r="K4983">
        <v>1.119869</v>
      </c>
      <c r="L4983">
        <v>138.84020000000001</v>
      </c>
      <c r="M4983">
        <v>-0.99676480000000001</v>
      </c>
      <c r="N4983">
        <v>-1.173621E-2</v>
      </c>
      <c r="O4983">
        <v>-7.9512769999999997E-2</v>
      </c>
      <c r="P4983">
        <v>-0.98075449999999997</v>
      </c>
      <c r="Q4983">
        <v>0.19316849999999999</v>
      </c>
      <c r="R4983">
        <v>2.8402500000000001E-2</v>
      </c>
      <c r="S4983">
        <v>-3.073334</v>
      </c>
      <c r="T4983">
        <v>-7.3975440000000003E-2</v>
      </c>
      <c r="U4983">
        <v>5.065918E-3</v>
      </c>
      <c r="V4983">
        <v>0.10706830000000001</v>
      </c>
      <c r="W4983">
        <v>0.20420179999999999</v>
      </c>
      <c r="X4983">
        <v>0.97305600000000003</v>
      </c>
      <c r="Y4983">
        <v>8.1120310000000001E-2</v>
      </c>
      <c r="Z4983">
        <v>2.430537E-3</v>
      </c>
      <c r="AA4983">
        <v>0.99670139999999996</v>
      </c>
      <c r="AB4983">
        <v>30</v>
      </c>
      <c r="AC4983">
        <v>-46.239299999999901</v>
      </c>
      <c r="AD4983">
        <v>-1.1198693521759999</v>
      </c>
      <c r="AE4983">
        <v>9.8399999999998003E-2</v>
      </c>
      <c r="AF4983">
        <v>3.7727433787598201</v>
      </c>
      <c r="AG4983">
        <v>-1.1198693521759999</v>
      </c>
      <c r="AH4983">
        <v>46.058038872796203</v>
      </c>
      <c r="AI4983">
        <v>91.388185265794704</v>
      </c>
      <c r="AJ4983">
        <v>85.317196450808495</v>
      </c>
      <c r="AK4983">
        <v>46.225865538418198</v>
      </c>
      <c r="AL4983">
        <v>78.217222674117906</v>
      </c>
      <c r="AM4983">
        <v>83.720831665064495</v>
      </c>
      <c r="AN4983">
        <v>0.99999998756206498</v>
      </c>
    </row>
    <row r="4984" spans="1:40" x14ac:dyDescent="0.25">
      <c r="A4984" t="str">
        <f>"20190303170352255"</f>
        <v>20190303170352255</v>
      </c>
      <c r="B4984" t="str">
        <f>"1551603832250971"</f>
        <v>1551603832250971</v>
      </c>
      <c r="C4984" t="s">
        <v>40</v>
      </c>
      <c r="D4984">
        <v>4.5849979999999997</v>
      </c>
      <c r="E4984">
        <v>0.49730799999999997</v>
      </c>
      <c r="F4984" t="s">
        <v>42</v>
      </c>
      <c r="G4984">
        <v>-268.9615</v>
      </c>
      <c r="H4984" s="1">
        <v>-5.2651959999999895E-7</v>
      </c>
      <c r="I4984">
        <v>139.0598</v>
      </c>
      <c r="J4984">
        <v>-223.41050000000001</v>
      </c>
      <c r="K4984">
        <v>1.1198220000000001</v>
      </c>
      <c r="L4984">
        <v>138.82570000000001</v>
      </c>
      <c r="M4984">
        <v>-0.99686870000000005</v>
      </c>
      <c r="N4984">
        <v>-1.1503960000000001E-2</v>
      </c>
      <c r="O4984">
        <v>-7.8235100000000002E-2</v>
      </c>
      <c r="P4984">
        <v>-0.98066059999999999</v>
      </c>
      <c r="Q4984">
        <v>0.19347449999999999</v>
      </c>
      <c r="R4984">
        <v>2.954439E-2</v>
      </c>
      <c r="S4984">
        <v>-3.0732569999999999</v>
      </c>
      <c r="T4984">
        <v>-7.5232389999999996E-2</v>
      </c>
      <c r="U4984">
        <v>1.4755249999999999E-2</v>
      </c>
      <c r="V4984">
        <v>0.1069587</v>
      </c>
      <c r="W4984">
        <v>0.20427690000000001</v>
      </c>
      <c r="X4984">
        <v>0.97305229999999998</v>
      </c>
      <c r="Y4984">
        <v>8.2982700000000006E-2</v>
      </c>
      <c r="Z4984">
        <v>2.5058540000000001E-3</v>
      </c>
      <c r="AA4984">
        <v>0.99654779999999998</v>
      </c>
      <c r="AB4984">
        <v>30</v>
      </c>
      <c r="AC4984">
        <v>-45.550999999999902</v>
      </c>
      <c r="AD4984">
        <v>-1.11982252651959</v>
      </c>
      <c r="AE4984">
        <v>0.23409999999998299</v>
      </c>
      <c r="AF4984">
        <v>3.7950112262332101</v>
      </c>
      <c r="AG4984">
        <v>-1.11982252651959</v>
      </c>
      <c r="AH4984">
        <v>45.365631929611098</v>
      </c>
      <c r="AI4984">
        <v>91.409103836111797</v>
      </c>
      <c r="AJ4984">
        <v>85.2181193632195</v>
      </c>
      <c r="AK4984">
        <v>45.5378597770151</v>
      </c>
      <c r="AL4984">
        <v>78.212827219106202</v>
      </c>
      <c r="AM4984">
        <v>83.727184382140294</v>
      </c>
      <c r="AN4984">
        <v>0.99999999695729402</v>
      </c>
    </row>
    <row r="4985" spans="1:40" x14ac:dyDescent="0.25">
      <c r="A4985" t="str">
        <f>"20190303170352274"</f>
        <v>20190303170352274</v>
      </c>
      <c r="B4985" t="str">
        <f>"1551603832260730"</f>
        <v>1551603832260730</v>
      </c>
      <c r="C4985" t="s">
        <v>40</v>
      </c>
      <c r="D4985">
        <v>4.5231059999999896</v>
      </c>
      <c r="E4985">
        <v>0.49747200000000003</v>
      </c>
      <c r="F4985" t="s">
        <v>42</v>
      </c>
      <c r="G4985">
        <v>-269.82600000000002</v>
      </c>
      <c r="H4985" s="1">
        <v>-1.6908559999999999E-7</v>
      </c>
      <c r="I4985">
        <v>139.15090000000001</v>
      </c>
      <c r="J4985">
        <v>-223.66739999999999</v>
      </c>
      <c r="K4985">
        <v>1.119761</v>
      </c>
      <c r="L4985">
        <v>138.8073</v>
      </c>
      <c r="M4985">
        <v>-0.99700299999999997</v>
      </c>
      <c r="N4985">
        <v>-1.1197820000000001E-2</v>
      </c>
      <c r="O4985">
        <v>-7.6550599999999996E-2</v>
      </c>
      <c r="P4985">
        <v>-0.98037470000000004</v>
      </c>
      <c r="Q4985">
        <v>0.1947528</v>
      </c>
      <c r="R4985">
        <v>3.0611719999999999E-2</v>
      </c>
      <c r="S4985">
        <v>-3.0731350000000002</v>
      </c>
      <c r="T4985">
        <v>-7.4142689999999997E-2</v>
      </c>
      <c r="U4985">
        <v>2.1530150000000001E-2</v>
      </c>
      <c r="V4985">
        <v>0.1063663</v>
      </c>
      <c r="W4985">
        <v>0.20525199999999999</v>
      </c>
      <c r="X4985">
        <v>0.972912</v>
      </c>
      <c r="Y4985">
        <v>8.3496780000000007E-2</v>
      </c>
      <c r="Z4985">
        <v>2.4622960000000001E-3</v>
      </c>
      <c r="AA4985">
        <v>0.99650499999999997</v>
      </c>
      <c r="AB4985">
        <v>30</v>
      </c>
      <c r="AC4985">
        <v>-46.1585999999999</v>
      </c>
      <c r="AD4985">
        <v>-1.1197611690856</v>
      </c>
      <c r="AE4985">
        <v>0.34360000000000901</v>
      </c>
      <c r="AF4985">
        <v>3.8740013582403199</v>
      </c>
      <c r="AG4985">
        <v>-1.1197611690856</v>
      </c>
      <c r="AH4985">
        <v>45.969783663627098</v>
      </c>
      <c r="AI4985">
        <v>91.390444312147196</v>
      </c>
      <c r="AJ4985">
        <v>85.182907499969005</v>
      </c>
      <c r="AK4985">
        <v>46.146319048003399</v>
      </c>
      <c r="AL4985">
        <v>78.155748314655995</v>
      </c>
      <c r="AM4985">
        <v>83.760759719173905</v>
      </c>
      <c r="AN4985">
        <v>0.99999996651184397</v>
      </c>
    </row>
    <row r="4986" spans="1:40" x14ac:dyDescent="0.25">
      <c r="A4986" t="str">
        <f>"20190303170352297"</f>
        <v>20190303170352297</v>
      </c>
      <c r="B4986" t="str">
        <f>"1551603832290986"</f>
        <v>1551603832290986</v>
      </c>
      <c r="C4986" t="s">
        <v>40</v>
      </c>
      <c r="D4986">
        <v>4.3361729999999996</v>
      </c>
      <c r="E4986">
        <v>0.49792940000000002</v>
      </c>
      <c r="F4986" t="s">
        <v>42</v>
      </c>
      <c r="G4986">
        <v>-272.83370000000002</v>
      </c>
      <c r="H4986" s="1">
        <v>-3.1262190000000001E-6</v>
      </c>
      <c r="I4986">
        <v>139.22389999999999</v>
      </c>
      <c r="J4986">
        <v>-223.98140000000001</v>
      </c>
      <c r="K4986">
        <v>1.1196980000000001</v>
      </c>
      <c r="L4986">
        <v>138.78530000000001</v>
      </c>
      <c r="M4986">
        <v>-0.99716349999999998</v>
      </c>
      <c r="N4986">
        <v>-1.083463E-2</v>
      </c>
      <c r="O4986">
        <v>-7.4483899999999895E-2</v>
      </c>
      <c r="P4986">
        <v>-0.9803731</v>
      </c>
      <c r="Q4986">
        <v>0.19456119999999999</v>
      </c>
      <c r="R4986">
        <v>3.1855210000000002E-2</v>
      </c>
      <c r="S4986">
        <v>-3.0731660000000001</v>
      </c>
      <c r="T4986">
        <v>-6.9991590000000006E-2</v>
      </c>
      <c r="U4986">
        <v>2.604675E-2</v>
      </c>
      <c r="V4986">
        <v>0.1055933</v>
      </c>
      <c r="W4986">
        <v>0.20470540000000001</v>
      </c>
      <c r="X4986">
        <v>0.97311139999999996</v>
      </c>
      <c r="Y4986">
        <v>8.2900290000000001E-2</v>
      </c>
      <c r="Z4986">
        <v>2.2807180000000002E-3</v>
      </c>
      <c r="AA4986">
        <v>0.99655519999999997</v>
      </c>
      <c r="AB4986">
        <v>30</v>
      </c>
      <c r="AC4986">
        <v>-48.8523</v>
      </c>
      <c r="AD4986">
        <v>-1.11970112621899</v>
      </c>
      <c r="AE4986">
        <v>0.43859999999997901</v>
      </c>
      <c r="AF4986">
        <v>4.0741643015443101</v>
      </c>
      <c r="AG4986">
        <v>-1.11970112621899</v>
      </c>
      <c r="AH4986">
        <v>48.658352660193799</v>
      </c>
      <c r="AI4986">
        <v>91.3136334357132</v>
      </c>
      <c r="AJ4986">
        <v>85.213787958988505</v>
      </c>
      <c r="AK4986">
        <v>48.841456048850802</v>
      </c>
      <c r="AL4986">
        <v>78.187746262407799</v>
      </c>
      <c r="AM4986">
        <v>83.807008041456399</v>
      </c>
      <c r="AN4986">
        <v>1.0000000213019999</v>
      </c>
    </row>
    <row r="4987" spans="1:40" x14ac:dyDescent="0.25">
      <c r="A4987" t="str">
        <f>"20190303170352312"</f>
        <v>20190303170352312</v>
      </c>
      <c r="B4987" t="str">
        <f>"1551603832300747"</f>
        <v>1551603832300747</v>
      </c>
      <c r="C4987" t="s">
        <v>40</v>
      </c>
      <c r="D4987">
        <v>4.3505010000000004</v>
      </c>
      <c r="E4987">
        <v>0.49809599999999998</v>
      </c>
      <c r="F4987" t="s">
        <v>42</v>
      </c>
      <c r="G4987">
        <v>-272.74419999999998</v>
      </c>
      <c r="H4987" s="1">
        <v>-3.1510929999999998E-6</v>
      </c>
      <c r="I4987">
        <v>139.30000000000001</v>
      </c>
      <c r="J4987">
        <v>-224.19110000000001</v>
      </c>
      <c r="K4987">
        <v>1.1196569999999999</v>
      </c>
      <c r="L4987">
        <v>138.77090000000001</v>
      </c>
      <c r="M4987">
        <v>-0.99726870000000001</v>
      </c>
      <c r="N4987">
        <v>-1.060616E-2</v>
      </c>
      <c r="O4987">
        <v>-7.3094800000000001E-2</v>
      </c>
      <c r="P4987">
        <v>-0.98052660000000003</v>
      </c>
      <c r="Q4987">
        <v>0.19365789999999999</v>
      </c>
      <c r="R4987">
        <v>3.2631159999999999E-2</v>
      </c>
      <c r="S4987">
        <v>-3.0729980000000001</v>
      </c>
      <c r="T4987">
        <v>-7.0562840000000002E-2</v>
      </c>
      <c r="U4987">
        <v>3.2440190000000001E-2</v>
      </c>
      <c r="V4987">
        <v>0.10502359999999999</v>
      </c>
      <c r="W4987">
        <v>0.20358090000000001</v>
      </c>
      <c r="X4987">
        <v>0.97340890000000002</v>
      </c>
      <c r="Y4987">
        <v>8.3584779999999997E-2</v>
      </c>
      <c r="Z4987">
        <v>2.304403E-3</v>
      </c>
      <c r="AA4987">
        <v>0.99649799999999999</v>
      </c>
      <c r="AB4987">
        <v>31</v>
      </c>
      <c r="AC4987">
        <v>-48.553099999999901</v>
      </c>
      <c r="AD4987">
        <v>-1.119660151093</v>
      </c>
      <c r="AE4987">
        <v>0.52909999999999902</v>
      </c>
      <c r="AF4987">
        <v>4.0746962881640298</v>
      </c>
      <c r="AG4987">
        <v>-1.119660151093</v>
      </c>
      <c r="AH4987">
        <v>48.358815506867302</v>
      </c>
      <c r="AI4987">
        <v>91.321660558834097</v>
      </c>
      <c r="AJ4987">
        <v>85.183655040152999</v>
      </c>
      <c r="AK4987">
        <v>48.543092463521099</v>
      </c>
      <c r="AL4987">
        <v>78.253561267289896</v>
      </c>
      <c r="AM4987">
        <v>83.842031239957905</v>
      </c>
      <c r="AN4987">
        <v>1.00000001300049</v>
      </c>
    </row>
    <row r="4988" spans="1:40" x14ac:dyDescent="0.25">
      <c r="A4988" t="str">
        <f>"20190303170352330"</f>
        <v>20190303170352330</v>
      </c>
      <c r="B4988" t="str">
        <f>"1551603832320265"</f>
        <v>1551603832320265</v>
      </c>
      <c r="C4988" t="s">
        <v>40</v>
      </c>
      <c r="D4988">
        <v>4.4061360000000001</v>
      </c>
      <c r="E4988">
        <v>0.49834119999999998</v>
      </c>
      <c r="F4988" t="s">
        <v>42</v>
      </c>
      <c r="G4988">
        <v>-271.07319999999999</v>
      </c>
      <c r="H4988" s="1">
        <v>-3.8646460000000002E-6</v>
      </c>
      <c r="I4988">
        <v>139.3186</v>
      </c>
      <c r="J4988">
        <v>-224.43190000000001</v>
      </c>
      <c r="K4988">
        <v>1.1196079999999999</v>
      </c>
      <c r="L4988">
        <v>138.75489999999999</v>
      </c>
      <c r="M4988">
        <v>-0.99738740000000004</v>
      </c>
      <c r="N4988">
        <v>-1.0363199999999999E-2</v>
      </c>
      <c r="O4988">
        <v>-7.1490970000000001E-2</v>
      </c>
      <c r="P4988">
        <v>-0.98097000000000001</v>
      </c>
      <c r="Q4988">
        <v>0.1913831</v>
      </c>
      <c r="R4988">
        <v>3.2719379999999999E-2</v>
      </c>
      <c r="S4988">
        <v>-3.0728759999999999</v>
      </c>
      <c r="T4988">
        <v>-7.3387980000000005E-2</v>
      </c>
      <c r="U4988">
        <v>3.5903930000000001E-2</v>
      </c>
      <c r="V4988">
        <v>0.10357429999999999</v>
      </c>
      <c r="W4988">
        <v>0.20107659999999999</v>
      </c>
      <c r="X4988">
        <v>0.97408450000000002</v>
      </c>
      <c r="Y4988">
        <v>8.3102899999999993E-2</v>
      </c>
      <c r="Z4988">
        <v>2.3878570000000002E-3</v>
      </c>
      <c r="AA4988">
        <v>0.99653809999999998</v>
      </c>
      <c r="AB4988">
        <v>31</v>
      </c>
      <c r="AC4988">
        <v>-46.641299999999902</v>
      </c>
      <c r="AD4988">
        <v>-1.119611864646</v>
      </c>
      <c r="AE4988">
        <v>0.56370000000001097</v>
      </c>
      <c r="AF4988">
        <v>3.89462449367013</v>
      </c>
      <c r="AG4988">
        <v>-1.119611864646</v>
      </c>
      <c r="AH4988">
        <v>46.454877321481497</v>
      </c>
      <c r="AI4988">
        <v>91.375797211938803</v>
      </c>
      <c r="AJ4988">
        <v>85.207716543245795</v>
      </c>
      <c r="AK4988">
        <v>46.631290542167598</v>
      </c>
      <c r="AL4988">
        <v>78.400077555643094</v>
      </c>
      <c r="AM4988">
        <v>83.930551198291099</v>
      </c>
      <c r="AN4988">
        <v>1.00000002391414</v>
      </c>
    </row>
    <row r="4989" spans="1:40" x14ac:dyDescent="0.25">
      <c r="A4989" t="str">
        <f>"20190303170352352"</f>
        <v>20190303170352352</v>
      </c>
      <c r="B4989" t="str">
        <f>"1551603832340763"</f>
        <v>1551603832340763</v>
      </c>
      <c r="C4989" t="s">
        <v>40</v>
      </c>
      <c r="D4989">
        <v>4.5219239999999896</v>
      </c>
      <c r="E4989">
        <v>0.49859710000000002</v>
      </c>
      <c r="F4989" t="s">
        <v>42</v>
      </c>
      <c r="G4989">
        <v>-267.27379999999999</v>
      </c>
      <c r="H4989" s="1">
        <v>-1.2135159999999999E-6</v>
      </c>
      <c r="I4989">
        <v>139.26859999999999</v>
      </c>
      <c r="J4989">
        <v>-224.7328</v>
      </c>
      <c r="K4989">
        <v>1.11955</v>
      </c>
      <c r="L4989">
        <v>138.7353</v>
      </c>
      <c r="M4989">
        <v>-0.99753420000000004</v>
      </c>
      <c r="N4989">
        <v>-1.0085169999999999E-2</v>
      </c>
      <c r="O4989">
        <v>-6.9455799999999998E-2</v>
      </c>
      <c r="P4989">
        <v>-0.98103059999999997</v>
      </c>
      <c r="Q4989">
        <v>0.1909131</v>
      </c>
      <c r="R4989">
        <v>3.3639990000000002E-2</v>
      </c>
      <c r="S4989">
        <v>-3.0726010000000001</v>
      </c>
      <c r="T4989">
        <v>-8.0298069999999999E-2</v>
      </c>
      <c r="U4989">
        <v>3.6849979999999997E-2</v>
      </c>
      <c r="V4989">
        <v>0.1025201</v>
      </c>
      <c r="W4989">
        <v>0.20033239999999999</v>
      </c>
      <c r="X4989">
        <v>0.97434929999999997</v>
      </c>
      <c r="Y4989">
        <v>8.1370170000000006E-2</v>
      </c>
      <c r="Z4989">
        <v>2.586568E-3</v>
      </c>
      <c r="AA4989">
        <v>0.99668060000000003</v>
      </c>
      <c r="AB4989">
        <v>31</v>
      </c>
      <c r="AC4989">
        <v>-42.540999999999997</v>
      </c>
      <c r="AD4989">
        <v>-1.119551213516</v>
      </c>
      <c r="AE4989">
        <v>0.533299999999997</v>
      </c>
      <c r="AF4989">
        <v>3.4844680782453699</v>
      </c>
      <c r="AG4989">
        <v>-1.119551213516</v>
      </c>
      <c r="AH4989">
        <v>42.371870193506801</v>
      </c>
      <c r="AI4989">
        <v>91.508429645759605</v>
      </c>
      <c r="AJ4989">
        <v>85.298836550783307</v>
      </c>
      <c r="AK4989">
        <v>42.529640210133302</v>
      </c>
      <c r="AL4989">
        <v>78.443602451328303</v>
      </c>
      <c r="AM4989">
        <v>83.993494003550197</v>
      </c>
      <c r="AN4989">
        <v>0.99999999990212896</v>
      </c>
    </row>
    <row r="4990" spans="1:40" x14ac:dyDescent="0.25">
      <c r="A4990" t="str">
        <f>"20190303170352375"</f>
        <v>20190303170352375</v>
      </c>
      <c r="B4990" t="str">
        <f>"1551603832360282"</f>
        <v>1551603832360282</v>
      </c>
      <c r="C4990" t="s">
        <v>40</v>
      </c>
      <c r="D4990">
        <v>4.4058229999999998</v>
      </c>
      <c r="E4990">
        <v>0.49883549999999899</v>
      </c>
      <c r="F4990" t="s">
        <v>42</v>
      </c>
      <c r="G4990">
        <v>-266.97359999999998</v>
      </c>
      <c r="H4990" s="1">
        <v>-1.3363969999999999E-6</v>
      </c>
      <c r="I4990">
        <v>139.30189999999999</v>
      </c>
      <c r="J4990">
        <v>-225.05009999999999</v>
      </c>
      <c r="K4990">
        <v>1.1194759999999999</v>
      </c>
      <c r="L4990">
        <v>138.71539999999999</v>
      </c>
      <c r="M4990">
        <v>-0.99768789999999996</v>
      </c>
      <c r="N4990">
        <v>-9.8236669999999995E-3</v>
      </c>
      <c r="O4990">
        <v>-6.7248230000000006E-2</v>
      </c>
      <c r="P4990">
        <v>-0.98084689999999997</v>
      </c>
      <c r="Q4990">
        <v>0.191415</v>
      </c>
      <c r="R4990">
        <v>3.6053300000000003E-2</v>
      </c>
      <c r="S4990">
        <v>-3.0724490000000002</v>
      </c>
      <c r="T4990">
        <v>-8.1432340000000006E-2</v>
      </c>
      <c r="U4990">
        <v>4.1213989999999999E-2</v>
      </c>
      <c r="V4990">
        <v>0.1027835</v>
      </c>
      <c r="W4990">
        <v>0.2005632</v>
      </c>
      <c r="X4990">
        <v>0.97427410000000003</v>
      </c>
      <c r="Y4990">
        <v>8.0579789999999998E-2</v>
      </c>
      <c r="Z4990">
        <v>2.5838390000000001E-3</v>
      </c>
      <c r="AA4990">
        <v>0.99674479999999999</v>
      </c>
      <c r="AB4990">
        <v>31</v>
      </c>
      <c r="AC4990">
        <v>-41.923499999999898</v>
      </c>
      <c r="AD4990">
        <v>-1.1194773363970001</v>
      </c>
      <c r="AE4990">
        <v>0.58650000000000002</v>
      </c>
      <c r="AF4990">
        <v>3.4021640362250598</v>
      </c>
      <c r="AG4990">
        <v>-1.1194773363970001</v>
      </c>
      <c r="AH4990">
        <v>41.759374194373201</v>
      </c>
      <c r="AI4990">
        <v>91.530537913136698</v>
      </c>
      <c r="AJ4990">
        <v>85.342361473147093</v>
      </c>
      <c r="AK4990">
        <v>41.9126864176203</v>
      </c>
      <c r="AL4990">
        <v>78.430105033039695</v>
      </c>
      <c r="AM4990">
        <v>83.977713641520893</v>
      </c>
      <c r="AN4990">
        <v>1.0000000334986401</v>
      </c>
    </row>
    <row r="4991" spans="1:40" x14ac:dyDescent="0.25">
      <c r="A4991" t="str">
        <f>"20190303170352398"</f>
        <v>20190303170352398</v>
      </c>
      <c r="B4991" t="str">
        <f>"1551603832390538"</f>
        <v>1551603832390538</v>
      </c>
      <c r="C4991" t="s">
        <v>40</v>
      </c>
      <c r="D4991">
        <v>4.2778409999999996</v>
      </c>
      <c r="E4991">
        <v>0.4991584</v>
      </c>
      <c r="F4991" t="s">
        <v>42</v>
      </c>
      <c r="G4991">
        <v>-268.23349999999999</v>
      </c>
      <c r="H4991" s="1">
        <v>-7.7326879999999998E-7</v>
      </c>
      <c r="I4991">
        <v>139.42949999999999</v>
      </c>
      <c r="J4991">
        <v>-225.36869999999999</v>
      </c>
      <c r="K4991">
        <v>1.119386</v>
      </c>
      <c r="L4991">
        <v>138.6962</v>
      </c>
      <c r="M4991">
        <v>-0.99784360000000005</v>
      </c>
      <c r="N4991">
        <v>-9.5964650000000002E-3</v>
      </c>
      <c r="O4991">
        <v>-6.4932909999999996E-2</v>
      </c>
      <c r="P4991">
        <v>-0.98066719999999996</v>
      </c>
      <c r="Q4991">
        <v>0.1918918</v>
      </c>
      <c r="R4991">
        <v>3.8336420000000003E-2</v>
      </c>
      <c r="S4991">
        <v>-3.0722499999999999</v>
      </c>
      <c r="T4991">
        <v>-7.9644439999999997E-2</v>
      </c>
      <c r="U4991">
        <v>5.0811769999999999E-2</v>
      </c>
      <c r="V4991">
        <v>0.1028246</v>
      </c>
      <c r="W4991">
        <v>0.2007977</v>
      </c>
      <c r="X4991">
        <v>0.97422140000000002</v>
      </c>
      <c r="Y4991">
        <v>8.1382700000000002E-2</v>
      </c>
      <c r="Z4991">
        <v>2.5042139999999998E-3</v>
      </c>
      <c r="AA4991">
        <v>0.9966798</v>
      </c>
      <c r="AB4991">
        <v>31</v>
      </c>
      <c r="AC4991">
        <v>-42.864800000000002</v>
      </c>
      <c r="AD4991">
        <v>-1.1193867732688001</v>
      </c>
      <c r="AE4991">
        <v>0.73329999999998496</v>
      </c>
      <c r="AF4991">
        <v>3.5128214806457798</v>
      </c>
      <c r="AG4991">
        <v>-1.1193867732688001</v>
      </c>
      <c r="AH4991">
        <v>42.6976041499112</v>
      </c>
      <c r="AI4991">
        <v>91.496703052468106</v>
      </c>
      <c r="AJ4991">
        <v>85.296748546191296</v>
      </c>
      <c r="AK4991">
        <v>42.856485409393699</v>
      </c>
      <c r="AL4991">
        <v>78.416389486642004</v>
      </c>
      <c r="AM4991">
        <v>83.974999715285406</v>
      </c>
      <c r="AN4991">
        <v>0.99999997545420405</v>
      </c>
    </row>
    <row r="4992" spans="1:40" x14ac:dyDescent="0.25">
      <c r="A4992" t="str">
        <f>"20190303170352420"</f>
        <v>20190303170352420</v>
      </c>
      <c r="B4992" t="str">
        <f>"1551603832411034"</f>
        <v>1551603832411034</v>
      </c>
      <c r="C4992" t="s">
        <v>40</v>
      </c>
      <c r="D4992">
        <v>4.2893339999999904</v>
      </c>
      <c r="E4992">
        <v>0.49934879999999998</v>
      </c>
      <c r="F4992" t="s">
        <v>42</v>
      </c>
      <c r="G4992">
        <v>-269.4556</v>
      </c>
      <c r="H4992" s="1">
        <v>-2.2399599999999999E-7</v>
      </c>
      <c r="I4992">
        <v>139.5703</v>
      </c>
      <c r="J4992">
        <v>-225.68190000000001</v>
      </c>
      <c r="K4992">
        <v>1.119294</v>
      </c>
      <c r="L4992">
        <v>138.6782</v>
      </c>
      <c r="M4992">
        <v>-0.99799629999999995</v>
      </c>
      <c r="N4992">
        <v>-9.4022830000000009E-3</v>
      </c>
      <c r="O4992">
        <v>-6.2571340000000003E-2</v>
      </c>
      <c r="P4992">
        <v>-0.98064580000000001</v>
      </c>
      <c r="Q4992">
        <v>0.19171489999999999</v>
      </c>
      <c r="R4992">
        <v>3.974374E-2</v>
      </c>
      <c r="S4992">
        <v>-3.0720519999999998</v>
      </c>
      <c r="T4992">
        <v>-7.8000780000000006E-2</v>
      </c>
      <c r="U4992">
        <v>6.0913090000000003E-2</v>
      </c>
      <c r="V4992">
        <v>0.1019568</v>
      </c>
      <c r="W4992">
        <v>0.20041600000000001</v>
      </c>
      <c r="X4992">
        <v>0.97439120000000001</v>
      </c>
      <c r="Y4992">
        <v>8.2302910000000007E-2</v>
      </c>
      <c r="Z4992">
        <v>2.4309959999999999E-3</v>
      </c>
      <c r="AA4992">
        <v>0.99660439999999995</v>
      </c>
      <c r="AB4992">
        <v>31</v>
      </c>
      <c r="AC4992">
        <v>-43.773699999999899</v>
      </c>
      <c r="AD4992">
        <v>-1.119294223996</v>
      </c>
      <c r="AE4992">
        <v>0.892099999999999</v>
      </c>
      <c r="AF4992">
        <v>3.62708115574639</v>
      </c>
      <c r="AG4992">
        <v>-1.119294223996</v>
      </c>
      <c r="AH4992">
        <v>43.603597919070197</v>
      </c>
      <c r="AI4992">
        <v>91.465387562357805</v>
      </c>
      <c r="AJ4992">
        <v>85.244908471583003</v>
      </c>
      <c r="AK4992">
        <v>43.7685079567282</v>
      </c>
      <c r="AL4992">
        <v>78.438713212374395</v>
      </c>
      <c r="AM4992">
        <v>84.026512661944196</v>
      </c>
      <c r="AN4992">
        <v>0.99999998637984</v>
      </c>
    </row>
    <row r="4993" spans="1:40" x14ac:dyDescent="0.25">
      <c r="A4993" t="str">
        <f>"20190303170352442"</f>
        <v>20190303170352442</v>
      </c>
      <c r="B4993" t="str">
        <f>"1551603832430555"</f>
        <v>1551603832430555</v>
      </c>
      <c r="C4993" t="s">
        <v>40</v>
      </c>
      <c r="D4993">
        <v>4.3039209999999999</v>
      </c>
      <c r="E4993">
        <v>0.49952190000000002</v>
      </c>
      <c r="F4993" t="s">
        <v>42</v>
      </c>
      <c r="G4993">
        <v>-269.61450000000002</v>
      </c>
      <c r="H4993" s="1">
        <v>-1.557592E-7</v>
      </c>
      <c r="I4993">
        <v>139.6465</v>
      </c>
      <c r="J4993">
        <v>-225.97720000000001</v>
      </c>
      <c r="K4993">
        <v>1.1191960000000001</v>
      </c>
      <c r="L4993">
        <v>138.66200000000001</v>
      </c>
      <c r="M4993">
        <v>-0.99814130000000001</v>
      </c>
      <c r="N4993">
        <v>-9.2484000000000004E-3</v>
      </c>
      <c r="O4993">
        <v>-6.0239699999999903E-2</v>
      </c>
      <c r="P4993">
        <v>-0.9806338</v>
      </c>
      <c r="Q4993">
        <v>0.1916535</v>
      </c>
      <c r="R4993">
        <v>4.0332409999999999E-2</v>
      </c>
      <c r="S4993">
        <v>-3.0717620000000001</v>
      </c>
      <c r="T4993">
        <v>-7.8260899999999994E-2</v>
      </c>
      <c r="U4993">
        <v>6.7703250000000006E-2</v>
      </c>
      <c r="V4993">
        <v>0.10030559999999999</v>
      </c>
      <c r="W4993">
        <v>0.20019229999999999</v>
      </c>
      <c r="X4993">
        <v>0.97460849999999999</v>
      </c>
      <c r="Y4993">
        <v>8.2178539999999994E-2</v>
      </c>
      <c r="Z4993">
        <v>2.4034159999999998E-3</v>
      </c>
      <c r="AA4993">
        <v>0.99661480000000002</v>
      </c>
      <c r="AB4993">
        <v>31</v>
      </c>
      <c r="AC4993">
        <v>-43.637300000000003</v>
      </c>
      <c r="AD4993">
        <v>-1.1191961557591901</v>
      </c>
      <c r="AE4993">
        <v>0.98449999999999704</v>
      </c>
      <c r="AF4993">
        <v>3.60914878150319</v>
      </c>
      <c r="AG4993">
        <v>-1.1191961557591901</v>
      </c>
      <c r="AH4993">
        <v>43.4701564871594</v>
      </c>
      <c r="AI4993">
        <v>91.469774257527106</v>
      </c>
      <c r="AJ4993">
        <v>85.253852016010399</v>
      </c>
      <c r="AK4993">
        <v>43.634081404106801</v>
      </c>
      <c r="AL4993">
        <v>78.451794971430203</v>
      </c>
      <c r="AM4993">
        <v>84.123872382007804</v>
      </c>
      <c r="AN4993">
        <v>0.99999994932144798</v>
      </c>
    </row>
    <row r="4994" spans="1:40" x14ac:dyDescent="0.25">
      <c r="A4994" t="str">
        <f>"20190303170352464"</f>
        <v>20190303170352464</v>
      </c>
      <c r="B4994" t="str">
        <f>"1551603832451050"</f>
        <v>1551603832451050</v>
      </c>
      <c r="C4994" t="s">
        <v>40</v>
      </c>
      <c r="D4994">
        <v>4.3171530000000002</v>
      </c>
      <c r="E4994">
        <v>0.499639</v>
      </c>
      <c r="F4994" t="s">
        <v>42</v>
      </c>
      <c r="G4994">
        <v>-269.87270000000001</v>
      </c>
      <c r="H4994" s="1">
        <v>-5.7054390000000001E-8</v>
      </c>
      <c r="I4994">
        <v>139.6919</v>
      </c>
      <c r="J4994">
        <v>-226.29329999999999</v>
      </c>
      <c r="K4994">
        <v>1.119075</v>
      </c>
      <c r="L4994">
        <v>138.6456</v>
      </c>
      <c r="M4994">
        <v>-0.99829840000000003</v>
      </c>
      <c r="N4994">
        <v>-9.1170799999999996E-3</v>
      </c>
      <c r="O4994">
        <v>-5.7594649999999997E-2</v>
      </c>
      <c r="P4994">
        <v>-0.98056430000000006</v>
      </c>
      <c r="Q4994">
        <v>0.19185150000000001</v>
      </c>
      <c r="R4994">
        <v>4.1068269999999997E-2</v>
      </c>
      <c r="S4994">
        <v>-3.0715940000000002</v>
      </c>
      <c r="T4994">
        <v>-7.8315850000000006E-2</v>
      </c>
      <c r="U4994">
        <v>7.2067259999999994E-2</v>
      </c>
      <c r="V4994">
        <v>9.8504560000000005E-2</v>
      </c>
      <c r="W4994">
        <v>0.20024549999999999</v>
      </c>
      <c r="X4994">
        <v>0.97478129999999996</v>
      </c>
      <c r="Y4994">
        <v>8.0954890000000002E-2</v>
      </c>
      <c r="Z4994">
        <v>2.3434810000000001E-3</v>
      </c>
      <c r="AA4994">
        <v>0.99671500000000002</v>
      </c>
      <c r="AB4994">
        <v>31</v>
      </c>
      <c r="AC4994">
        <v>-43.5794</v>
      </c>
      <c r="AD4994">
        <v>-1.1190750570543899</v>
      </c>
      <c r="AE4994">
        <v>1.0463</v>
      </c>
      <c r="AF4994">
        <v>3.5522666583971398</v>
      </c>
      <c r="AG4994">
        <v>-1.1190750570543899</v>
      </c>
      <c r="AH4994">
        <v>43.418176671378099</v>
      </c>
      <c r="AI4994">
        <v>91.471519707474499</v>
      </c>
      <c r="AJ4994">
        <v>85.322752046797007</v>
      </c>
      <c r="AK4994">
        <v>43.577620321246101</v>
      </c>
      <c r="AL4994">
        <v>78.448684382417397</v>
      </c>
      <c r="AM4994">
        <v>84.2296788623579</v>
      </c>
      <c r="AN4994">
        <v>0.99999999572036602</v>
      </c>
    </row>
    <row r="4995" spans="1:40" x14ac:dyDescent="0.25">
      <c r="A4995" t="str">
        <f>"20190303170352489"</f>
        <v>20190303170352489</v>
      </c>
      <c r="B4995" t="str">
        <f>"1551603832480330"</f>
        <v>1551603832480330</v>
      </c>
      <c r="C4995" t="s">
        <v>40</v>
      </c>
      <c r="D4995">
        <v>4.260084</v>
      </c>
      <c r="E4995">
        <v>0.4998726</v>
      </c>
      <c r="F4995" t="s">
        <v>42</v>
      </c>
      <c r="G4995">
        <v>-270.5317</v>
      </c>
      <c r="H4995" s="1">
        <v>-4.0794969999999998E-6</v>
      </c>
      <c r="I4995">
        <v>139.749</v>
      </c>
      <c r="J4995">
        <v>-226.6353</v>
      </c>
      <c r="K4995">
        <v>1.1189260000000001</v>
      </c>
      <c r="L4995">
        <v>138.62889999999999</v>
      </c>
      <c r="M4995">
        <v>-0.99847090000000005</v>
      </c>
      <c r="N4995">
        <v>-9.0141160000000008E-3</v>
      </c>
      <c r="O4995">
        <v>-5.4542739999999999E-2</v>
      </c>
      <c r="P4995">
        <v>-0.98030870000000003</v>
      </c>
      <c r="Q4995">
        <v>0.19271389999999999</v>
      </c>
      <c r="R4995">
        <v>4.3084400000000002E-2</v>
      </c>
      <c r="S4995">
        <v>-3.0714570000000001</v>
      </c>
      <c r="T4995">
        <v>-7.7697279999999994E-2</v>
      </c>
      <c r="U4995">
        <v>7.6614379999999996E-2</v>
      </c>
      <c r="V4995">
        <v>9.7593819999999998E-2</v>
      </c>
      <c r="W4995">
        <v>0.20097699999999999</v>
      </c>
      <c r="X4995">
        <v>0.97472239999999999</v>
      </c>
      <c r="Y4995">
        <v>7.9385440000000002E-2</v>
      </c>
      <c r="Z4995">
        <v>2.2491E-3</v>
      </c>
      <c r="AA4995">
        <v>0.99684139999999999</v>
      </c>
      <c r="AB4995">
        <v>31</v>
      </c>
      <c r="AC4995">
        <v>-43.8964</v>
      </c>
      <c r="AD4995">
        <v>-1.1189300794970001</v>
      </c>
      <c r="AE4995">
        <v>1.1201000000000001</v>
      </c>
      <c r="AF4995">
        <v>3.5104799118451799</v>
      </c>
      <c r="AG4995">
        <v>-1.1189300794970001</v>
      </c>
      <c r="AH4995">
        <v>43.741553647476302</v>
      </c>
      <c r="AI4995">
        <v>91.460639861570101</v>
      </c>
      <c r="AJ4995">
        <v>85.411559539682202</v>
      </c>
      <c r="AK4995">
        <v>43.896457593173899</v>
      </c>
      <c r="AL4995">
        <v>78.405903242776901</v>
      </c>
      <c r="AM4995">
        <v>84.282331037467102</v>
      </c>
      <c r="AN4995">
        <v>1.00000003264647</v>
      </c>
    </row>
    <row r="4996" spans="1:40" x14ac:dyDescent="0.25">
      <c r="A4996" t="str">
        <f>"20190303170352510"</f>
        <v>20190303170352510</v>
      </c>
      <c r="B4996" t="str">
        <f>"1551603832500826"</f>
        <v>1551603832500826</v>
      </c>
      <c r="C4996" t="s">
        <v>40</v>
      </c>
      <c r="D4996">
        <v>4.2476789999999998</v>
      </c>
      <c r="E4996">
        <v>0.49993290000000001</v>
      </c>
      <c r="F4996" t="s">
        <v>42</v>
      </c>
      <c r="G4996">
        <v>-272.35449999999997</v>
      </c>
      <c r="H4996" s="1">
        <v>-3.335291E-6</v>
      </c>
      <c r="I4996">
        <v>139.89080000000001</v>
      </c>
      <c r="J4996">
        <v>-226.93549999999999</v>
      </c>
      <c r="K4996">
        <v>1.118787</v>
      </c>
      <c r="L4996">
        <v>138.61519999999999</v>
      </c>
      <c r="M4996">
        <v>-0.99862320000000004</v>
      </c>
      <c r="N4996">
        <v>-8.9600329999999992E-3</v>
      </c>
      <c r="O4996">
        <v>-5.1684349999999997E-2</v>
      </c>
      <c r="P4996">
        <v>-0.98001159999999998</v>
      </c>
      <c r="Q4996">
        <v>0.1935973</v>
      </c>
      <c r="R4996">
        <v>4.5795719999999998E-2</v>
      </c>
      <c r="S4996">
        <v>-3.071304</v>
      </c>
      <c r="T4996">
        <v>-7.5166940000000002E-2</v>
      </c>
      <c r="U4996">
        <v>8.4777829999999998E-2</v>
      </c>
      <c r="V4996">
        <v>9.7566719999999996E-2</v>
      </c>
      <c r="W4996">
        <v>0.20177200000000001</v>
      </c>
      <c r="X4996">
        <v>0.9745608</v>
      </c>
      <c r="Y4996">
        <v>7.9183989999999996E-2</v>
      </c>
      <c r="Z4996">
        <v>2.124786E-3</v>
      </c>
      <c r="AA4996">
        <v>0.99685780000000002</v>
      </c>
      <c r="AB4996">
        <v>31</v>
      </c>
      <c r="AC4996">
        <v>-45.418999999999897</v>
      </c>
      <c r="AD4996">
        <v>-1.118790335291</v>
      </c>
      <c r="AE4996">
        <v>1.2756000000000201</v>
      </c>
      <c r="AF4996">
        <v>3.6192465798628102</v>
      </c>
      <c r="AG4996">
        <v>-1.118790335291</v>
      </c>
      <c r="AH4996">
        <v>45.264916455774198</v>
      </c>
      <c r="AI4996">
        <v>91.411360416506696</v>
      </c>
      <c r="AJ4996">
        <v>85.428527233621693</v>
      </c>
      <c r="AK4996">
        <v>45.423158183556602</v>
      </c>
      <c r="AL4996">
        <v>78.359399822408605</v>
      </c>
      <c r="AM4996">
        <v>84.282966658806899</v>
      </c>
      <c r="AN4996">
        <v>0.99999997886609804</v>
      </c>
    </row>
    <row r="4997" spans="1:40" x14ac:dyDescent="0.25">
      <c r="A4997" t="str">
        <f>"20190303170352532"</f>
        <v>20190303170352532</v>
      </c>
      <c r="B4997" t="str">
        <f>"1551603832520346"</f>
        <v>1551603832520346</v>
      </c>
      <c r="C4997" t="s">
        <v>40</v>
      </c>
      <c r="D4997">
        <v>4.2721439999999999</v>
      </c>
      <c r="E4997">
        <v>0.50003569999999997</v>
      </c>
      <c r="F4997" t="s">
        <v>42</v>
      </c>
      <c r="G4997">
        <v>-274.43049999999999</v>
      </c>
      <c r="H4997" s="1">
        <v>-2.486851E-6</v>
      </c>
      <c r="I4997">
        <v>140.04920000000001</v>
      </c>
      <c r="J4997">
        <v>-227.2338</v>
      </c>
      <c r="K4997">
        <v>1.118641</v>
      </c>
      <c r="L4997">
        <v>138.6027</v>
      </c>
      <c r="M4997">
        <v>-0.99877499999999997</v>
      </c>
      <c r="N4997">
        <v>-8.9390819999999992E-3</v>
      </c>
      <c r="O4997">
        <v>-4.8668219999999998E-2</v>
      </c>
      <c r="P4997">
        <v>-0.979904</v>
      </c>
      <c r="Q4997">
        <v>0.1934362</v>
      </c>
      <c r="R4997">
        <v>4.8689620000000003E-2</v>
      </c>
      <c r="S4997">
        <v>-3.0711360000000001</v>
      </c>
      <c r="T4997">
        <v>-7.2343589999999999E-2</v>
      </c>
      <c r="U4997">
        <v>9.2727660000000003E-2</v>
      </c>
      <c r="V4997">
        <v>9.7578819999999997E-2</v>
      </c>
      <c r="W4997">
        <v>0.20155390000000001</v>
      </c>
      <c r="X4997">
        <v>0.97460469999999999</v>
      </c>
      <c r="Y4997">
        <v>7.8756439999999997E-2</v>
      </c>
      <c r="Z4997">
        <v>1.9903189999999999E-3</v>
      </c>
      <c r="AA4997">
        <v>0.99689190000000005</v>
      </c>
      <c r="AB4997">
        <v>31</v>
      </c>
      <c r="AC4997">
        <v>-47.1966999999999</v>
      </c>
      <c r="AD4997">
        <v>-1.118643486851</v>
      </c>
      <c r="AE4997">
        <v>1.4465000000000101</v>
      </c>
      <c r="AF4997">
        <v>3.7397579935723799</v>
      </c>
      <c r="AG4997">
        <v>-1.118643486851</v>
      </c>
      <c r="AH4997">
        <v>47.043962866409899</v>
      </c>
      <c r="AI4997">
        <v>91.3578793355654</v>
      </c>
      <c r="AJ4997">
        <v>85.454832478404995</v>
      </c>
      <c r="AK4997">
        <v>47.205630970015797</v>
      </c>
      <c r="AL4997">
        <v>78.372157941628004</v>
      </c>
      <c r="AM4997">
        <v>84.282518185912394</v>
      </c>
      <c r="AN4997">
        <v>0.99999996098994504</v>
      </c>
    </row>
    <row r="4998" spans="1:40" x14ac:dyDescent="0.25">
      <c r="A4998" t="str">
        <f>"20190303170352553"</f>
        <v>20190303170352553</v>
      </c>
      <c r="B4998" t="str">
        <f>"1551603832540842"</f>
        <v>1551603832540842</v>
      </c>
      <c r="C4998" t="s">
        <v>40</v>
      </c>
      <c r="D4998">
        <v>4.263649</v>
      </c>
      <c r="E4998">
        <v>0.5001447</v>
      </c>
      <c r="F4998" t="s">
        <v>42</v>
      </c>
      <c r="G4998">
        <v>-274.38889999999998</v>
      </c>
      <c r="H4998" s="1">
        <v>-2.536055E-6</v>
      </c>
      <c r="I4998">
        <v>140.16720000000001</v>
      </c>
      <c r="J4998">
        <v>-227.5403</v>
      </c>
      <c r="K4998">
        <v>1.1184689999999999</v>
      </c>
      <c r="L4998">
        <v>138.59100000000001</v>
      </c>
      <c r="M4998">
        <v>-0.99892959999999997</v>
      </c>
      <c r="N4998">
        <v>-8.9448029999999994E-3</v>
      </c>
      <c r="O4998">
        <v>-4.538383E-2</v>
      </c>
      <c r="P4998">
        <v>-0.97988779999999998</v>
      </c>
      <c r="Q4998">
        <v>0.19280649999999999</v>
      </c>
      <c r="R4998">
        <v>5.1436469999999998E-2</v>
      </c>
      <c r="S4998">
        <v>-3.0708470000000001</v>
      </c>
      <c r="T4998">
        <v>-7.2848560000000007E-2</v>
      </c>
      <c r="U4998">
        <v>0.1018829</v>
      </c>
      <c r="V4998">
        <v>9.7188140000000006E-2</v>
      </c>
      <c r="W4998">
        <v>0.20089480000000001</v>
      </c>
      <c r="X4998">
        <v>0.97477979999999997</v>
      </c>
      <c r="Y4998">
        <v>7.8450430000000002E-2</v>
      </c>
      <c r="Z4998">
        <v>1.9514350000000001E-3</v>
      </c>
      <c r="AA4998">
        <v>0.99691609999999997</v>
      </c>
      <c r="AB4998">
        <v>31</v>
      </c>
      <c r="AC4998">
        <v>-46.848599999999898</v>
      </c>
      <c r="AD4998">
        <v>-1.1184715360549999</v>
      </c>
      <c r="AE4998">
        <v>1.5762</v>
      </c>
      <c r="AF4998">
        <v>3.6987238993773999</v>
      </c>
      <c r="AG4998">
        <v>-1.1184715360549999</v>
      </c>
      <c r="AH4998">
        <v>46.702198532900503</v>
      </c>
      <c r="AI4998">
        <v>91.367634298966905</v>
      </c>
      <c r="AJ4998">
        <v>85.471736762082699</v>
      </c>
      <c r="AK4998">
        <v>46.861784909105303</v>
      </c>
      <c r="AL4998">
        <v>78.410710122557106</v>
      </c>
      <c r="AM4998">
        <v>84.306274949482003</v>
      </c>
      <c r="AN4998">
        <v>0.99999995685586895</v>
      </c>
    </row>
    <row r="4999" spans="1:40" x14ac:dyDescent="0.25">
      <c r="A4999" t="str">
        <f>"20190303170352577"</f>
        <v>20190303170352577</v>
      </c>
      <c r="B4999" t="str">
        <f>"1551603832571099"</f>
        <v>1551603832571099</v>
      </c>
      <c r="C4999" t="s">
        <v>40</v>
      </c>
      <c r="D4999">
        <v>4.4659399999999998</v>
      </c>
      <c r="E4999">
        <v>0.50024919999999995</v>
      </c>
      <c r="F4999" t="s">
        <v>42</v>
      </c>
      <c r="G4999">
        <v>-273.42380000000003</v>
      </c>
      <c r="H4999" s="1">
        <v>-2.9740950000000001E-6</v>
      </c>
      <c r="I4999">
        <v>140.25729999999999</v>
      </c>
      <c r="J4999">
        <v>-227.8741</v>
      </c>
      <c r="K4999">
        <v>1.118293</v>
      </c>
      <c r="L4999">
        <v>138.5797</v>
      </c>
      <c r="M4999">
        <v>-0.99909429999999999</v>
      </c>
      <c r="N4999">
        <v>-8.9742190000000003E-3</v>
      </c>
      <c r="O4999">
        <v>-4.1593350000000001E-2</v>
      </c>
      <c r="P4999">
        <v>-0.97998879999999999</v>
      </c>
      <c r="Q4999">
        <v>0.1911716</v>
      </c>
      <c r="R4999">
        <v>5.5456560000000002E-2</v>
      </c>
      <c r="S4999">
        <v>-3.0704349999999998</v>
      </c>
      <c r="T4999">
        <v>-7.4846029999999994E-2</v>
      </c>
      <c r="U4999">
        <v>0.1115112</v>
      </c>
      <c r="V4999">
        <v>9.7578170000000006E-2</v>
      </c>
      <c r="W4999">
        <v>0.19924749999999999</v>
      </c>
      <c r="X4999">
        <v>0.97507889999999997</v>
      </c>
      <c r="Y4999">
        <v>7.7793520000000005E-2</v>
      </c>
      <c r="Z4999">
        <v>1.937224E-3</v>
      </c>
      <c r="AA4999">
        <v>0.99696759999999995</v>
      </c>
      <c r="AB4999">
        <v>31</v>
      </c>
      <c r="AC4999">
        <v>-45.549700000000001</v>
      </c>
      <c r="AD4999">
        <v>-1.118295974095</v>
      </c>
      <c r="AE4999">
        <v>1.67759999999998</v>
      </c>
      <c r="AF4999">
        <v>3.5686409589839201</v>
      </c>
      <c r="AG4999">
        <v>-1.118295974095</v>
      </c>
      <c r="AH4999">
        <v>45.413163271339599</v>
      </c>
      <c r="AI4999">
        <v>91.406285959136099</v>
      </c>
      <c r="AJ4999">
        <v>85.506836898695497</v>
      </c>
      <c r="AK4999">
        <v>45.566886908029701</v>
      </c>
      <c r="AL4999">
        <v>78.507041234272407</v>
      </c>
      <c r="AM4999">
        <v>84.285318116307295</v>
      </c>
      <c r="AN4999">
        <v>0.99999996337100305</v>
      </c>
    </row>
    <row r="5000" spans="1:40" x14ac:dyDescent="0.25">
      <c r="A5000" t="str">
        <f>"20190303170352599"</f>
        <v>20190303170352599</v>
      </c>
      <c r="B5000" t="str">
        <f>"1551603832590618"</f>
        <v>1551603832590618</v>
      </c>
      <c r="C5000" t="s">
        <v>40</v>
      </c>
      <c r="D5000">
        <v>4.333405</v>
      </c>
      <c r="E5000">
        <v>0.50028260000000002</v>
      </c>
      <c r="F5000" t="s">
        <v>42</v>
      </c>
      <c r="G5000">
        <v>-270.64179999999999</v>
      </c>
      <c r="H5000" s="1">
        <v>-4.1794869999999998E-6</v>
      </c>
      <c r="I5000">
        <v>140.3031</v>
      </c>
      <c r="J5000">
        <v>-228.19139999999999</v>
      </c>
      <c r="K5000">
        <v>1.1181410000000001</v>
      </c>
      <c r="L5000">
        <v>138.5703</v>
      </c>
      <c r="M5000">
        <v>-0.99924440000000003</v>
      </c>
      <c r="N5000">
        <v>-9.0134900000000007E-3</v>
      </c>
      <c r="O5000">
        <v>-3.780907E-2</v>
      </c>
      <c r="P5000">
        <v>-0.98000290000000001</v>
      </c>
      <c r="Q5000">
        <v>0.1895607</v>
      </c>
      <c r="R5000">
        <v>6.0510349999999997E-2</v>
      </c>
      <c r="S5000">
        <v>-3.069931</v>
      </c>
      <c r="T5000">
        <v>-8.0273269999999994E-2</v>
      </c>
      <c r="U5000">
        <v>0.1237183</v>
      </c>
      <c r="V5000">
        <v>9.8990889999999998E-2</v>
      </c>
      <c r="W5000">
        <v>0.19763</v>
      </c>
      <c r="X5000">
        <v>0.97526570000000001</v>
      </c>
      <c r="Y5000">
        <v>7.7977110000000002E-2</v>
      </c>
      <c r="Z5000">
        <v>2.0180110000000001E-3</v>
      </c>
      <c r="AA5000">
        <v>0.99695310000000004</v>
      </c>
      <c r="AB5000">
        <v>31</v>
      </c>
      <c r="AC5000">
        <v>-42.450400000000002</v>
      </c>
      <c r="AD5000">
        <v>-1.1181451794869901</v>
      </c>
      <c r="AE5000">
        <v>1.7327999999999899</v>
      </c>
      <c r="AF5000">
        <v>3.3343266504672902</v>
      </c>
      <c r="AG5000">
        <v>-1.1181451794869901</v>
      </c>
      <c r="AH5000">
        <v>42.3252102184492</v>
      </c>
      <c r="AI5000">
        <v>91.508613030343994</v>
      </c>
      <c r="AJ5000">
        <v>85.4956136291174</v>
      </c>
      <c r="AK5000">
        <v>42.4710654786332</v>
      </c>
      <c r="AL5000">
        <v>78.601598003872098</v>
      </c>
      <c r="AM5000">
        <v>84.2042441617956</v>
      </c>
      <c r="AN5000">
        <v>0.99999999939974105</v>
      </c>
    </row>
    <row r="5001" spans="1:40" x14ac:dyDescent="0.25">
      <c r="A5001" t="str">
        <f>"20190303170352622"</f>
        <v>20190303170352622</v>
      </c>
      <c r="B5001" t="str">
        <f>"1551603832610138"</f>
        <v>1551603832610138</v>
      </c>
      <c r="C5001" t="s">
        <v>40</v>
      </c>
      <c r="D5001">
        <v>4.2976000000000001</v>
      </c>
      <c r="E5001">
        <v>0.5002685</v>
      </c>
      <c r="F5001" t="s">
        <v>42</v>
      </c>
      <c r="G5001">
        <v>-268.35140000000001</v>
      </c>
      <c r="H5001" s="1">
        <v>-8.9254499999999905E-7</v>
      </c>
      <c r="I5001">
        <v>140.37909999999999</v>
      </c>
      <c r="J5001">
        <v>-228.51259999999999</v>
      </c>
      <c r="K5001">
        <v>1.1180110000000001</v>
      </c>
      <c r="L5001">
        <v>138.56209999999999</v>
      </c>
      <c r="M5001">
        <v>-0.9993862</v>
      </c>
      <c r="N5001">
        <v>-9.0563439999999992E-3</v>
      </c>
      <c r="O5001">
        <v>-3.3844020000000002E-2</v>
      </c>
      <c r="P5001">
        <v>-0.97997619999999996</v>
      </c>
      <c r="Q5001">
        <v>0.18820010000000001</v>
      </c>
      <c r="R5001">
        <v>6.5021220000000005E-2</v>
      </c>
      <c r="S5001">
        <v>-3.0692140000000001</v>
      </c>
      <c r="T5001">
        <v>-8.5453630000000003E-2</v>
      </c>
      <c r="U5001">
        <v>0.1382446</v>
      </c>
      <c r="V5001">
        <v>9.9673300000000006E-2</v>
      </c>
      <c r="W5001">
        <v>0.19627710000000001</v>
      </c>
      <c r="X5001">
        <v>0.97546940000000004</v>
      </c>
      <c r="Y5001">
        <v>7.8735760000000002E-2</v>
      </c>
      <c r="Z5001">
        <v>2.0875059999999998E-3</v>
      </c>
      <c r="AA5001">
        <v>0.99689329999999998</v>
      </c>
      <c r="AB5001">
        <v>31</v>
      </c>
      <c r="AC5001">
        <v>-39.838799999999999</v>
      </c>
      <c r="AD5001">
        <v>-1.118011892545</v>
      </c>
      <c r="AE5001">
        <v>1.8169999999999999</v>
      </c>
      <c r="AF5001">
        <v>3.1618343552319201</v>
      </c>
      <c r="AG5001">
        <v>-1.118011892545</v>
      </c>
      <c r="AH5001">
        <v>39.723259191077801</v>
      </c>
      <c r="AI5001">
        <v>91.607085000131093</v>
      </c>
      <c r="AJ5001">
        <v>85.449048500915794</v>
      </c>
      <c r="AK5001">
        <v>39.864576604340698</v>
      </c>
      <c r="AL5001">
        <v>78.680662218488095</v>
      </c>
      <c r="AM5001">
        <v>84.165775115343706</v>
      </c>
      <c r="AN5001">
        <v>1.0000000085268299</v>
      </c>
    </row>
    <row r="5002" spans="1:40" x14ac:dyDescent="0.25">
      <c r="A5002" t="str">
        <f>"20190303170352643"</f>
        <v>20190303170352643</v>
      </c>
      <c r="B5002" t="str">
        <f>"1551603832630635"</f>
        <v>1551603832630635</v>
      </c>
      <c r="C5002" t="s">
        <v>40</v>
      </c>
      <c r="D5002">
        <v>4.3003390000000001</v>
      </c>
      <c r="E5002">
        <v>0.50028149999999905</v>
      </c>
      <c r="F5002" t="s">
        <v>42</v>
      </c>
      <c r="G5002">
        <v>-266.75009999999997</v>
      </c>
      <c r="H5002" s="1">
        <v>-1.595621E-6</v>
      </c>
      <c r="I5002">
        <v>140.43969999999999</v>
      </c>
      <c r="J5002">
        <v>-228.8135</v>
      </c>
      <c r="K5002">
        <v>1.117891</v>
      </c>
      <c r="L5002">
        <v>138.5556</v>
      </c>
      <c r="M5002">
        <v>-0.9995079</v>
      </c>
      <c r="N5002">
        <v>-9.0966099999999998E-3</v>
      </c>
      <c r="O5002">
        <v>-3.0023999999999999E-2</v>
      </c>
      <c r="P5002">
        <v>-0.97993140000000001</v>
      </c>
      <c r="Q5002">
        <v>0.18692610000000001</v>
      </c>
      <c r="R5002">
        <v>6.9234210000000004E-2</v>
      </c>
      <c r="S5002">
        <v>-3.0685120000000001</v>
      </c>
      <c r="T5002">
        <v>-8.9719060000000003E-2</v>
      </c>
      <c r="U5002">
        <v>0.15068049999999999</v>
      </c>
      <c r="V5002">
        <v>0.1001861</v>
      </c>
      <c r="W5002">
        <v>0.19501589999999999</v>
      </c>
      <c r="X5002">
        <v>0.97566980000000003</v>
      </c>
      <c r="Y5002">
        <v>7.8963060000000002E-2</v>
      </c>
      <c r="Z5002">
        <v>2.1172249999999999E-3</v>
      </c>
      <c r="AA5002">
        <v>0.99687530000000002</v>
      </c>
      <c r="AB5002">
        <v>32</v>
      </c>
      <c r="AC5002">
        <v>-37.936599999999899</v>
      </c>
      <c r="AD5002">
        <v>-1.117892595621</v>
      </c>
      <c r="AE5002">
        <v>1.8840999999999799</v>
      </c>
      <c r="AF5002">
        <v>3.01969038421118</v>
      </c>
      <c r="AG5002">
        <v>-1.117892595621</v>
      </c>
      <c r="AH5002">
        <v>37.830157259645702</v>
      </c>
      <c r="AI5002">
        <v>91.687251469268602</v>
      </c>
      <c r="AJ5002">
        <v>85.436195261275699</v>
      </c>
      <c r="AK5002">
        <v>37.9669463107236</v>
      </c>
      <c r="AL5002">
        <v>78.754347655338194</v>
      </c>
      <c r="AM5002">
        <v>84.137163854117802</v>
      </c>
      <c r="AN5002">
        <v>1.00000000725903</v>
      </c>
    </row>
    <row r="5003" spans="1:40" x14ac:dyDescent="0.25">
      <c r="A5003" t="str">
        <f>"20190303170352665"</f>
        <v>20190303170352665</v>
      </c>
      <c r="B5003" t="str">
        <f>"1551603832660890"</f>
        <v>1551603832660890</v>
      </c>
      <c r="C5003" t="s">
        <v>40</v>
      </c>
      <c r="D5003">
        <v>4.3393990000000002</v>
      </c>
      <c r="E5003">
        <v>0.50020029999999904</v>
      </c>
      <c r="F5003" t="s">
        <v>42</v>
      </c>
      <c r="G5003">
        <v>-265.38839999999999</v>
      </c>
      <c r="H5003" s="1">
        <v>-2.195854E-6</v>
      </c>
      <c r="I5003">
        <v>140.5001</v>
      </c>
      <c r="J5003">
        <v>-229.12610000000001</v>
      </c>
      <c r="K5003">
        <v>1.117783</v>
      </c>
      <c r="L5003">
        <v>138.55029999999999</v>
      </c>
      <c r="M5003">
        <v>-0.99962110000000004</v>
      </c>
      <c r="N5003">
        <v>-9.1377490000000006E-3</v>
      </c>
      <c r="O5003">
        <v>-2.596474E-2</v>
      </c>
      <c r="P5003">
        <v>-0.97983960000000003</v>
      </c>
      <c r="Q5003">
        <v>0.1856497</v>
      </c>
      <c r="R5003">
        <v>7.3813619999999996E-2</v>
      </c>
      <c r="S5003">
        <v>-3.0678100000000001</v>
      </c>
      <c r="T5003">
        <v>-9.3766210000000003E-2</v>
      </c>
      <c r="U5003">
        <v>0.1631012</v>
      </c>
      <c r="V5003">
        <v>0.100825</v>
      </c>
      <c r="W5003">
        <v>0.19375390000000001</v>
      </c>
      <c r="X5003">
        <v>0.97585540000000004</v>
      </c>
      <c r="Y5003">
        <v>7.8947939999999994E-2</v>
      </c>
      <c r="Z5003">
        <v>2.122334E-3</v>
      </c>
      <c r="AA5003">
        <v>0.99687650000000005</v>
      </c>
      <c r="AB5003">
        <v>32</v>
      </c>
      <c r="AC5003">
        <v>-36.262299999999897</v>
      </c>
      <c r="AD5003">
        <v>-1.1177851958539999</v>
      </c>
      <c r="AE5003">
        <v>1.94980000000001</v>
      </c>
      <c r="AF5003">
        <v>2.8879868885127302</v>
      </c>
      <c r="AG5003">
        <v>-1.1177851958539999</v>
      </c>
      <c r="AH5003">
        <v>36.1651809399008</v>
      </c>
      <c r="AI5003">
        <v>91.764707191639403</v>
      </c>
      <c r="AJ5003">
        <v>85.434308129101595</v>
      </c>
      <c r="AK5003">
        <v>36.297523667986702</v>
      </c>
      <c r="AL5003">
        <v>78.828061000332795</v>
      </c>
      <c r="AM5003">
        <v>84.101152898439906</v>
      </c>
      <c r="AN5003">
        <v>1.00000000804968</v>
      </c>
    </row>
    <row r="5004" spans="1:40" x14ac:dyDescent="0.25">
      <c r="A5004" t="str">
        <f>"20190303170352690"</f>
        <v>20190303170352690</v>
      </c>
      <c r="B5004" t="str">
        <f>"1551603832680410"</f>
        <v>1551603832680410</v>
      </c>
      <c r="C5004" t="s">
        <v>40</v>
      </c>
      <c r="D5004">
        <v>4.3426640000000001</v>
      </c>
      <c r="E5004">
        <v>0.50011369999999999</v>
      </c>
      <c r="F5004" t="s">
        <v>42</v>
      </c>
      <c r="G5004">
        <v>-264.19670000000002</v>
      </c>
      <c r="H5004" s="1">
        <v>-2.7226469999999998E-6</v>
      </c>
      <c r="I5004">
        <v>140.55850000000001</v>
      </c>
      <c r="J5004">
        <v>-229.4742</v>
      </c>
      <c r="K5004">
        <v>1.1176740000000001</v>
      </c>
      <c r="L5004">
        <v>138.54580000000001</v>
      </c>
      <c r="M5004">
        <v>-0.99972989999999995</v>
      </c>
      <c r="N5004">
        <v>-9.1821639999999996E-3</v>
      </c>
      <c r="O5004">
        <v>-2.135654E-2</v>
      </c>
      <c r="P5004">
        <v>-0.97989479999999995</v>
      </c>
      <c r="Q5004">
        <v>0.18326799999999999</v>
      </c>
      <c r="R5004">
        <v>7.8862260000000003E-2</v>
      </c>
      <c r="S5004">
        <v>-3.0670169999999999</v>
      </c>
      <c r="T5004">
        <v>-9.7753640000000003E-2</v>
      </c>
      <c r="U5004">
        <v>0.1756287</v>
      </c>
      <c r="V5004">
        <v>0.10138990000000001</v>
      </c>
      <c r="W5004">
        <v>0.1913919</v>
      </c>
      <c r="X5004">
        <v>0.97626290000000004</v>
      </c>
      <c r="Y5004">
        <v>7.8422829999999999E-2</v>
      </c>
      <c r="Z5004">
        <v>2.0930290000000002E-3</v>
      </c>
      <c r="AA5004">
        <v>0.99691799999999997</v>
      </c>
      <c r="AB5004">
        <v>32</v>
      </c>
      <c r="AC5004">
        <v>-34.722499999999997</v>
      </c>
      <c r="AD5004">
        <v>-1.1176767226469999</v>
      </c>
      <c r="AE5004">
        <v>2.0126999999999899</v>
      </c>
      <c r="AF5004">
        <v>2.7509837209801802</v>
      </c>
      <c r="AG5004">
        <v>-1.1176767226469999</v>
      </c>
      <c r="AH5004">
        <v>34.635827090460502</v>
      </c>
      <c r="AI5004">
        <v>91.842459607531794</v>
      </c>
      <c r="AJ5004">
        <v>85.458761297260907</v>
      </c>
      <c r="AK5004">
        <v>34.7628771957921</v>
      </c>
      <c r="AL5004">
        <v>78.965975077716806</v>
      </c>
      <c r="AM5004">
        <v>84.070796249011906</v>
      </c>
      <c r="AN5004">
        <v>1.0000000105620099</v>
      </c>
    </row>
    <row r="5005" spans="1:40" x14ac:dyDescent="0.25">
      <c r="A5005" t="str">
        <f>"20190303170352711"</f>
        <v>20190303170352711</v>
      </c>
      <c r="B5005" t="str">
        <f>"1551603832700907"</f>
        <v>1551603832700907</v>
      </c>
      <c r="C5005" t="s">
        <v>40</v>
      </c>
      <c r="D5005">
        <v>4.3803020000000004</v>
      </c>
      <c r="E5005">
        <v>0.51988350000000005</v>
      </c>
      <c r="F5005" t="s">
        <v>42</v>
      </c>
      <c r="G5005">
        <v>-262.12459999999999</v>
      </c>
      <c r="H5005" s="1">
        <v>-3.6114310000000001E-6</v>
      </c>
      <c r="I5005">
        <v>140.55799999999999</v>
      </c>
      <c r="J5005">
        <v>-229.77529999999999</v>
      </c>
      <c r="K5005">
        <v>1.1175850000000001</v>
      </c>
      <c r="L5005">
        <v>138.54329999999999</v>
      </c>
      <c r="M5005">
        <v>-0.99980769999999997</v>
      </c>
      <c r="N5005">
        <v>-9.2185949999999996E-3</v>
      </c>
      <c r="O5005">
        <v>-1.7309479999999999E-2</v>
      </c>
      <c r="P5005">
        <v>-0.98011119999999996</v>
      </c>
      <c r="Q5005">
        <v>0.18058560000000001</v>
      </c>
      <c r="R5005">
        <v>8.2285709999999998E-2</v>
      </c>
      <c r="S5005">
        <v>-3.065979</v>
      </c>
      <c r="T5005">
        <v>-0.10495359999999999</v>
      </c>
      <c r="U5005">
        <v>0.18896479999999999</v>
      </c>
      <c r="V5005">
        <v>0.1008684</v>
      </c>
      <c r="W5005">
        <v>0.18873699999999999</v>
      </c>
      <c r="X5005">
        <v>0.97683359999999997</v>
      </c>
      <c r="Y5005">
        <v>7.8720520000000002E-2</v>
      </c>
      <c r="Z5005">
        <v>2.1415140000000002E-3</v>
      </c>
      <c r="AA5005">
        <v>0.99689439999999996</v>
      </c>
      <c r="AB5005">
        <v>32</v>
      </c>
      <c r="AC5005">
        <v>-32.349299999999999</v>
      </c>
      <c r="AD5005">
        <v>-1.1175886114309901</v>
      </c>
      <c r="AE5005">
        <v>2.0146999999999999</v>
      </c>
      <c r="AF5005">
        <v>2.5713143877731799</v>
      </c>
      <c r="AG5005">
        <v>-1.1175886114309901</v>
      </c>
      <c r="AH5005">
        <v>32.2712102056962</v>
      </c>
      <c r="AI5005">
        <v>91.977163953230601</v>
      </c>
      <c r="AJ5005">
        <v>85.444395421896104</v>
      </c>
      <c r="AK5005">
        <v>32.392771880859399</v>
      </c>
      <c r="AL5005">
        <v>79.120913704605499</v>
      </c>
      <c r="AM5005">
        <v>84.104499641374105</v>
      </c>
      <c r="AN5005">
        <v>0.99999998568825899</v>
      </c>
    </row>
    <row r="5006" spans="1:40" x14ac:dyDescent="0.25">
      <c r="A5006" t="str">
        <f>"20190303170352731"</f>
        <v>20190303170352731</v>
      </c>
      <c r="B5006" t="str">
        <f>"1551603832720933"</f>
        <v>1551603832720933</v>
      </c>
      <c r="C5006" t="s">
        <v>40</v>
      </c>
      <c r="D5006">
        <v>4.4346139999999998</v>
      </c>
      <c r="E5006">
        <v>0.53161729999999996</v>
      </c>
      <c r="F5006" t="s">
        <v>42</v>
      </c>
      <c r="G5006">
        <v>-268.23439999999999</v>
      </c>
      <c r="H5006" s="1">
        <v>-1.6585760000000001E-6</v>
      </c>
      <c r="I5006">
        <v>143.06950000000001</v>
      </c>
      <c r="J5006">
        <v>-230.07599999999999</v>
      </c>
      <c r="K5006">
        <v>1.1174980000000001</v>
      </c>
      <c r="L5006">
        <v>138.5421</v>
      </c>
      <c r="M5006">
        <v>-0.99986989999999998</v>
      </c>
      <c r="N5006">
        <v>-9.2490209999999996E-3</v>
      </c>
      <c r="O5006">
        <v>-1.321378E-2</v>
      </c>
      <c r="P5006">
        <v>-0.98039949999999998</v>
      </c>
      <c r="Q5006">
        <v>0.17779200000000001</v>
      </c>
      <c r="R5006">
        <v>8.4891800000000003E-2</v>
      </c>
      <c r="S5006">
        <v>-3.0470890000000002</v>
      </c>
      <c r="T5006">
        <v>-8.8545559999999995E-2</v>
      </c>
      <c r="U5006">
        <v>0.35861209999999999</v>
      </c>
      <c r="V5006">
        <v>9.9476809999999999E-2</v>
      </c>
      <c r="W5006">
        <v>0.18597449999999999</v>
      </c>
      <c r="X5006">
        <v>0.97750590000000004</v>
      </c>
      <c r="Y5006">
        <v>0.12992290000000001</v>
      </c>
      <c r="Z5006">
        <v>2.7447959999999999E-3</v>
      </c>
      <c r="AA5006">
        <v>0.99152030000000002</v>
      </c>
      <c r="AB5006">
        <v>32</v>
      </c>
      <c r="AC5006">
        <v>-38.1584</v>
      </c>
      <c r="AD5006">
        <v>-1.117499658576</v>
      </c>
      <c r="AE5006">
        <v>4.5274000000000001</v>
      </c>
      <c r="AF5006">
        <v>5.0269913851102004</v>
      </c>
      <c r="AG5006">
        <v>-1.117499658576</v>
      </c>
      <c r="AH5006">
        <v>38.063049706154104</v>
      </c>
      <c r="AI5006">
        <v>91.667204643767704</v>
      </c>
      <c r="AJ5006">
        <v>82.476481166659994</v>
      </c>
      <c r="AK5006">
        <v>38.409832085106103</v>
      </c>
      <c r="AL5006">
        <v>79.282046480204102</v>
      </c>
      <c r="AM5006">
        <v>84.189245172207507</v>
      </c>
      <c r="AN5006">
        <v>0.99999996745641695</v>
      </c>
    </row>
    <row r="5007" spans="1:40" x14ac:dyDescent="0.25">
      <c r="A5007" t="str">
        <f>"20190303170352755"</f>
        <v>20190303170352755</v>
      </c>
      <c r="B5007" t="str">
        <f>"1551603832740453"</f>
        <v>1551603832740453</v>
      </c>
      <c r="C5007" t="s">
        <v>40</v>
      </c>
      <c r="D5007">
        <v>4.4303499999999998</v>
      </c>
      <c r="E5007">
        <v>0.53628830000000005</v>
      </c>
      <c r="F5007" t="s">
        <v>42</v>
      </c>
      <c r="G5007">
        <v>-265.6755</v>
      </c>
      <c r="H5007" s="1">
        <v>-2.9872340000000001E-6</v>
      </c>
      <c r="I5007">
        <v>143.93709999999999</v>
      </c>
      <c r="J5007">
        <v>-230.3991</v>
      </c>
      <c r="K5007">
        <v>1.1174109999999999</v>
      </c>
      <c r="L5007">
        <v>138.5421</v>
      </c>
      <c r="M5007">
        <v>-0.99991859999999999</v>
      </c>
      <c r="N5007">
        <v>-9.2708270000000006E-3</v>
      </c>
      <c r="O5007">
        <v>-8.7598699999999995E-3</v>
      </c>
      <c r="P5007">
        <v>-0.9802997</v>
      </c>
      <c r="Q5007">
        <v>0.1764337</v>
      </c>
      <c r="R5007">
        <v>8.878991E-2</v>
      </c>
      <c r="S5007">
        <v>-3.0374150000000002</v>
      </c>
      <c r="T5007">
        <v>-9.5347520000000005E-2</v>
      </c>
      <c r="U5007">
        <v>0.46032709999999999</v>
      </c>
      <c r="V5007">
        <v>9.9031859999999999E-2</v>
      </c>
      <c r="W5007">
        <v>0.18462729999999999</v>
      </c>
      <c r="X5007">
        <v>0.97780639999999996</v>
      </c>
      <c r="Y5007">
        <v>0.15839549999999999</v>
      </c>
      <c r="Z5007">
        <v>3.4026999999999998E-3</v>
      </c>
      <c r="AA5007">
        <v>0.98736990000000002</v>
      </c>
      <c r="AB5007">
        <v>32</v>
      </c>
      <c r="AC5007">
        <v>-35.276399999999903</v>
      </c>
      <c r="AD5007">
        <v>-1.1174139872339901</v>
      </c>
      <c r="AE5007">
        <v>5.39499999999998</v>
      </c>
      <c r="AF5007">
        <v>5.6982362090936096</v>
      </c>
      <c r="AG5007">
        <v>-1.1174139872339901</v>
      </c>
      <c r="AH5007">
        <v>35.193280122601301</v>
      </c>
      <c r="AI5007">
        <v>91.795211048261095</v>
      </c>
      <c r="AJ5007">
        <v>80.802905345217496</v>
      </c>
      <c r="AK5007">
        <v>35.669110946326803</v>
      </c>
      <c r="AL5007">
        <v>79.360595531822298</v>
      </c>
      <c r="AM5007">
        <v>84.216825217135707</v>
      </c>
      <c r="AN5007">
        <v>0.99999995254065299</v>
      </c>
    </row>
    <row r="5008" spans="1:40" x14ac:dyDescent="0.25">
      <c r="A5008" t="str">
        <f>"20190303170352780"</f>
        <v>20190303170352780</v>
      </c>
      <c r="B5008" t="str">
        <f>"1551603832770709"</f>
        <v>1551603832770709</v>
      </c>
      <c r="C5008" t="s">
        <v>40</v>
      </c>
      <c r="D5008">
        <v>4.427149</v>
      </c>
      <c r="E5008">
        <v>0.5391804</v>
      </c>
      <c r="F5008" t="s">
        <v>42</v>
      </c>
      <c r="G5008">
        <v>-268.95749999999998</v>
      </c>
      <c r="H5008" s="1">
        <v>-1.87338E-6</v>
      </c>
      <c r="I5008">
        <v>145.04259999999999</v>
      </c>
      <c r="J5008">
        <v>-230.75800000000001</v>
      </c>
      <c r="K5008">
        <v>1.1173219999999999</v>
      </c>
      <c r="L5008">
        <v>138.54409999999999</v>
      </c>
      <c r="M5008">
        <v>-0.9999498</v>
      </c>
      <c r="N5008">
        <v>-9.2847529999999998E-3</v>
      </c>
      <c r="O5008">
        <v>-3.7457969999999999E-3</v>
      </c>
      <c r="P5008">
        <v>-0.97976010000000002</v>
      </c>
      <c r="Q5008">
        <v>0.1767358</v>
      </c>
      <c r="R5008">
        <v>9.3993160000000006E-2</v>
      </c>
      <c r="S5008">
        <v>-3.029846</v>
      </c>
      <c r="T5008">
        <v>-8.7804320000000005E-2</v>
      </c>
      <c r="U5008">
        <v>0.51080320000000001</v>
      </c>
      <c r="V5008">
        <v>9.9356990000000006E-2</v>
      </c>
      <c r="W5008">
        <v>0.18492159999999999</v>
      </c>
      <c r="X5008">
        <v>0.97771790000000003</v>
      </c>
      <c r="Y5008">
        <v>0.1698443</v>
      </c>
      <c r="Z5008">
        <v>3.310768E-3</v>
      </c>
      <c r="AA5008">
        <v>0.98546529999999999</v>
      </c>
      <c r="AB5008">
        <v>32</v>
      </c>
      <c r="AC5008">
        <v>-38.1995</v>
      </c>
      <c r="AD5008">
        <v>-1.1173238733799999</v>
      </c>
      <c r="AE5008">
        <v>6.4984999999999999</v>
      </c>
      <c r="AF5008">
        <v>6.6360304234565897</v>
      </c>
      <c r="AG5008">
        <v>-1.1173238733799999</v>
      </c>
      <c r="AH5008">
        <v>38.143173545062503</v>
      </c>
      <c r="AI5008">
        <v>91.653062464700994</v>
      </c>
      <c r="AJ5008">
        <v>80.130642768790295</v>
      </c>
      <c r="AK5008">
        <v>38.732247553012201</v>
      </c>
      <c r="AL5008">
        <v>79.343439005031598</v>
      </c>
      <c r="AM5008">
        <v>84.197446288686507</v>
      </c>
      <c r="AN5008">
        <v>1.00000005079441</v>
      </c>
    </row>
    <row r="5009" spans="1:40" x14ac:dyDescent="0.25">
      <c r="A5009" t="str">
        <f>"20190303170352800"</f>
        <v>20190303170352800</v>
      </c>
      <c r="B5009" t="str">
        <f>"1551603832790228"</f>
        <v>1551603832790228</v>
      </c>
      <c r="C5009" t="s">
        <v>40</v>
      </c>
      <c r="D5009">
        <v>4.3918970000000002</v>
      </c>
      <c r="E5009">
        <v>0.53968479999999996</v>
      </c>
      <c r="F5009" t="s">
        <v>42</v>
      </c>
      <c r="G5009">
        <v>-273.22800000000001</v>
      </c>
      <c r="H5009" s="1">
        <v>-4.360914E-6</v>
      </c>
      <c r="I5009">
        <v>146.28739999999999</v>
      </c>
      <c r="J5009">
        <v>-231.0607</v>
      </c>
      <c r="K5009">
        <v>1.1172660000000001</v>
      </c>
      <c r="L5009">
        <v>138.5471</v>
      </c>
      <c r="M5009">
        <v>-0.99995679999999998</v>
      </c>
      <c r="N5009">
        <v>-9.2890190000000008E-3</v>
      </c>
      <c r="O5009">
        <v>5.2815670000000002E-4</v>
      </c>
      <c r="P5009">
        <v>-0.97902699999999998</v>
      </c>
      <c r="Q5009">
        <v>0.1783052</v>
      </c>
      <c r="R5009">
        <v>9.8558960000000001E-2</v>
      </c>
      <c r="S5009">
        <v>-3.0234220000000001</v>
      </c>
      <c r="T5009">
        <v>-7.9542160000000001E-2</v>
      </c>
      <c r="U5009">
        <v>0.55125429999999997</v>
      </c>
      <c r="V5009">
        <v>9.9776610000000002E-2</v>
      </c>
      <c r="W5009">
        <v>0.18647440000000001</v>
      </c>
      <c r="X5009">
        <v>0.97738020000000003</v>
      </c>
      <c r="Y5009">
        <v>0.1787697</v>
      </c>
      <c r="Z5009">
        <v>3.1603550000000001E-3</v>
      </c>
      <c r="AA5009">
        <v>0.98388589999999998</v>
      </c>
      <c r="AB5009">
        <v>32</v>
      </c>
      <c r="AC5009">
        <v>-42.167299999999997</v>
      </c>
      <c r="AD5009">
        <v>-1.117270360914</v>
      </c>
      <c r="AE5009">
        <v>7.7402999999999897</v>
      </c>
      <c r="AF5009">
        <v>7.7127887955974002</v>
      </c>
      <c r="AG5009">
        <v>-1.117270360914</v>
      </c>
      <c r="AH5009">
        <v>42.142760675228999</v>
      </c>
      <c r="AI5009">
        <v>91.493844405797006</v>
      </c>
      <c r="AJ5009">
        <v>79.628747860066696</v>
      </c>
      <c r="AK5009">
        <v>42.857294377906101</v>
      </c>
      <c r="AL5009">
        <v>79.252895423417797</v>
      </c>
      <c r="AM5009">
        <v>84.171108885852803</v>
      </c>
      <c r="AN5009">
        <v>1.00000006455524</v>
      </c>
    </row>
    <row r="5010" spans="1:40" x14ac:dyDescent="0.25">
      <c r="A5010" t="str">
        <f>"20190303170352825"</f>
        <v>20190303170352825</v>
      </c>
      <c r="B5010" t="str">
        <f>"1551603832810725"</f>
        <v>1551603832810725</v>
      </c>
      <c r="C5010" t="s">
        <v>40</v>
      </c>
      <c r="D5010">
        <v>4.3594280000000003</v>
      </c>
      <c r="E5010">
        <v>0.5399853</v>
      </c>
      <c r="F5010" t="s">
        <v>42</v>
      </c>
      <c r="G5010">
        <v>-278.34640000000002</v>
      </c>
      <c r="H5010" s="1">
        <v>-2.780803E-6</v>
      </c>
      <c r="I5010">
        <v>147.46770000000001</v>
      </c>
      <c r="J5010">
        <v>-231.4075</v>
      </c>
      <c r="K5010">
        <v>1.1172040000000001</v>
      </c>
      <c r="L5010">
        <v>138.5522</v>
      </c>
      <c r="M5010">
        <v>-0.999942</v>
      </c>
      <c r="N5010">
        <v>-9.2865540000000007E-3</v>
      </c>
      <c r="O5010">
        <v>5.4647309999999996E-3</v>
      </c>
      <c r="P5010">
        <v>-0.97837010000000002</v>
      </c>
      <c r="Q5010">
        <v>0.17921419999999999</v>
      </c>
      <c r="R5010">
        <v>0.10331609999999999</v>
      </c>
      <c r="S5010">
        <v>-3.0198969999999998</v>
      </c>
      <c r="T5010">
        <v>-7.1354390000000004E-2</v>
      </c>
      <c r="U5010">
        <v>0.56971740000000004</v>
      </c>
      <c r="V5010">
        <v>9.9736630000000007E-2</v>
      </c>
      <c r="W5010">
        <v>0.1873667</v>
      </c>
      <c r="X5010">
        <v>0.97721360000000002</v>
      </c>
      <c r="Y5010">
        <v>0.17994379999999999</v>
      </c>
      <c r="Z5010">
        <v>2.8723529999999998E-3</v>
      </c>
      <c r="AA5010">
        <v>0.98367269999999896</v>
      </c>
      <c r="AB5010">
        <v>32</v>
      </c>
      <c r="AC5010">
        <v>-46.938899999999997</v>
      </c>
      <c r="AD5010">
        <v>-1.117206780803</v>
      </c>
      <c r="AE5010">
        <v>8.9154999999999998</v>
      </c>
      <c r="AF5010">
        <v>8.6541154921916092</v>
      </c>
      <c r="AG5010">
        <v>-1.117206780803</v>
      </c>
      <c r="AH5010">
        <v>46.961244685496801</v>
      </c>
      <c r="AI5010">
        <v>91.340249118571194</v>
      </c>
      <c r="AJ5010">
        <v>79.558559949803893</v>
      </c>
      <c r="AK5010">
        <v>47.765053840170303</v>
      </c>
      <c r="AL5010">
        <v>79.200852974879297</v>
      </c>
      <c r="AM5010">
        <v>84.172441916224898</v>
      </c>
      <c r="AN5010">
        <v>1.0000000478288</v>
      </c>
    </row>
    <row r="5011" spans="1:40" x14ac:dyDescent="0.25">
      <c r="A5011" t="str">
        <f>"20190303170352844"</f>
        <v>20190303170352844</v>
      </c>
      <c r="B5011" t="str">
        <f>"1551603832830245"</f>
        <v>1551603832830245</v>
      </c>
      <c r="C5011" t="s">
        <v>40</v>
      </c>
      <c r="D5011">
        <v>4.4445819999999996</v>
      </c>
      <c r="E5011">
        <v>0.53974909999999998</v>
      </c>
      <c r="F5011" t="s">
        <v>90</v>
      </c>
      <c r="G5011">
        <v>-283.71769999999998</v>
      </c>
      <c r="H5011" s="1">
        <v>-8.2151610000000005E-6</v>
      </c>
      <c r="I5011">
        <v>148.72980000000001</v>
      </c>
      <c r="J5011">
        <v>-231.6936</v>
      </c>
      <c r="K5011">
        <v>1.117156</v>
      </c>
      <c r="L5011">
        <v>138.55770000000001</v>
      </c>
      <c r="M5011">
        <v>-0.99991129999999995</v>
      </c>
      <c r="N5011">
        <v>-9.2768460000000001E-3</v>
      </c>
      <c r="O5011">
        <v>9.5665999999999998E-3</v>
      </c>
      <c r="P5011">
        <v>-0.97798200000000002</v>
      </c>
      <c r="Q5011">
        <v>0.1792427</v>
      </c>
      <c r="R5011">
        <v>0.1068812</v>
      </c>
      <c r="S5011">
        <v>-3.0161289999999998</v>
      </c>
      <c r="T5011">
        <v>-6.4416890000000004E-2</v>
      </c>
      <c r="U5011">
        <v>0.58682250000000002</v>
      </c>
      <c r="V5011">
        <v>9.9307660000000006E-2</v>
      </c>
      <c r="W5011">
        <v>0.1873803</v>
      </c>
      <c r="X5011">
        <v>0.97725459999999997</v>
      </c>
      <c r="Y5011">
        <v>0.18152370000000001</v>
      </c>
      <c r="Z5011">
        <v>2.655775E-3</v>
      </c>
      <c r="AA5011">
        <v>0.98338300000000001</v>
      </c>
      <c r="AB5011">
        <v>32</v>
      </c>
      <c r="AC5011">
        <v>-52.024099999999898</v>
      </c>
      <c r="AD5011">
        <v>-1.117164215161</v>
      </c>
      <c r="AE5011">
        <v>10.1721</v>
      </c>
      <c r="AF5011">
        <v>9.6696245722881304</v>
      </c>
      <c r="AG5011">
        <v>-1.117164215161</v>
      </c>
      <c r="AH5011">
        <v>52.095897248024201</v>
      </c>
      <c r="AI5011">
        <v>91.207860140309506</v>
      </c>
      <c r="AJ5011">
        <v>79.484879991339</v>
      </c>
      <c r="AK5011">
        <v>52.997473574967003</v>
      </c>
      <c r="AL5011">
        <v>79.200058859381699</v>
      </c>
      <c r="AM5011">
        <v>84.197576788994994</v>
      </c>
      <c r="AN5011">
        <v>0.999999970691962</v>
      </c>
    </row>
    <row r="5012" spans="1:40" x14ac:dyDescent="0.25">
      <c r="A5012" t="str">
        <f>"20190303170352867"</f>
        <v>20190303170352867</v>
      </c>
      <c r="B5012" t="str">
        <f>"1551603832860501"</f>
        <v>1551603832860501</v>
      </c>
      <c r="C5012" t="s">
        <v>40</v>
      </c>
      <c r="D5012">
        <v>4.4030559999999896</v>
      </c>
      <c r="E5012">
        <v>0.53949329999999995</v>
      </c>
      <c r="F5012" t="s">
        <v>90</v>
      </c>
      <c r="G5012">
        <v>-285.48500000000001</v>
      </c>
      <c r="H5012" s="1">
        <v>-9.2090889999999995E-6</v>
      </c>
      <c r="I5012">
        <v>149.1832</v>
      </c>
      <c r="J5012">
        <v>-232.0215</v>
      </c>
      <c r="K5012">
        <v>1.1170960000000001</v>
      </c>
      <c r="L5012">
        <v>138.56549999999999</v>
      </c>
      <c r="M5012">
        <v>-0.99985500000000005</v>
      </c>
      <c r="N5012">
        <v>-9.2534120000000008E-3</v>
      </c>
      <c r="O5012">
        <v>1.4293E-2</v>
      </c>
      <c r="P5012">
        <v>-0.97777250000000004</v>
      </c>
      <c r="Q5012">
        <v>0.17771439999999999</v>
      </c>
      <c r="R5012">
        <v>0.111258</v>
      </c>
      <c r="S5012">
        <v>-3.0139469999999999</v>
      </c>
      <c r="T5012">
        <v>-6.2595129999999999E-2</v>
      </c>
      <c r="U5012">
        <v>0.5953522</v>
      </c>
      <c r="V5012">
        <v>9.906189E-2</v>
      </c>
      <c r="W5012">
        <v>0.1858245</v>
      </c>
      <c r="X5012">
        <v>0.97757660000000002</v>
      </c>
      <c r="Y5012">
        <v>0.17969189999999999</v>
      </c>
      <c r="Z5012">
        <v>2.5245739999999999E-3</v>
      </c>
      <c r="AA5012">
        <v>0.98371969999999997</v>
      </c>
      <c r="AB5012">
        <v>32</v>
      </c>
      <c r="AC5012">
        <v>-53.463500000000003</v>
      </c>
      <c r="AD5012">
        <v>-1.1171052090889999</v>
      </c>
      <c r="AE5012">
        <v>10.617699999999999</v>
      </c>
      <c r="AF5012">
        <v>9.8482922457179498</v>
      </c>
      <c r="AG5012">
        <v>-1.1171052090889999</v>
      </c>
      <c r="AH5012">
        <v>53.587295592133998</v>
      </c>
      <c r="AI5012">
        <v>91.174575576486205</v>
      </c>
      <c r="AJ5012">
        <v>79.586364525597801</v>
      </c>
      <c r="AK5012">
        <v>54.496192831095897</v>
      </c>
      <c r="AL5012">
        <v>79.290793731701399</v>
      </c>
      <c r="AM5012">
        <v>84.213732803270801</v>
      </c>
      <c r="AN5012">
        <v>1.0000000058590901</v>
      </c>
    </row>
    <row r="5013" spans="1:40" x14ac:dyDescent="0.25">
      <c r="A5013" t="str">
        <f>"20190303170352889"</f>
        <v>20190303170352889</v>
      </c>
      <c r="B5013" t="str">
        <f>"1551603832880997"</f>
        <v>1551603832880997</v>
      </c>
      <c r="C5013" t="s">
        <v>40</v>
      </c>
      <c r="D5013">
        <v>4.3056559999999999</v>
      </c>
      <c r="E5013">
        <v>0.538991</v>
      </c>
      <c r="F5013" t="s">
        <v>90</v>
      </c>
      <c r="G5013">
        <v>-285.67410000000001</v>
      </c>
      <c r="H5013" s="1">
        <v>-9.3608239999999992E-6</v>
      </c>
      <c r="I5013">
        <v>149.37620000000001</v>
      </c>
      <c r="J5013">
        <v>-232.3492</v>
      </c>
      <c r="K5013">
        <v>1.1170359999999999</v>
      </c>
      <c r="L5013">
        <v>138.57480000000001</v>
      </c>
      <c r="M5013">
        <v>-0.99977640000000001</v>
      </c>
      <c r="N5013">
        <v>-9.2182189999999997E-3</v>
      </c>
      <c r="O5013">
        <v>1.903562E-2</v>
      </c>
      <c r="P5013">
        <v>-0.97760270000000005</v>
      </c>
      <c r="Q5013">
        <v>0.1759201</v>
      </c>
      <c r="R5013">
        <v>0.1155212</v>
      </c>
      <c r="S5013">
        <v>-3.0105590000000002</v>
      </c>
      <c r="T5013">
        <v>-6.268311E-2</v>
      </c>
      <c r="U5013">
        <v>0.60661319999999996</v>
      </c>
      <c r="V5013">
        <v>9.8679359999999994E-2</v>
      </c>
      <c r="W5013">
        <v>0.18399509999999999</v>
      </c>
      <c r="X5013">
        <v>0.97796119999999997</v>
      </c>
      <c r="Y5013">
        <v>0.17877509999999999</v>
      </c>
      <c r="Z5013">
        <v>2.4564309999999998E-3</v>
      </c>
      <c r="AA5013">
        <v>0.98388690000000001</v>
      </c>
      <c r="AB5013">
        <v>32</v>
      </c>
      <c r="AC5013">
        <v>-53.3249</v>
      </c>
      <c r="AD5013">
        <v>-1.1170453608239901</v>
      </c>
      <c r="AE5013">
        <v>10.801399999999999</v>
      </c>
      <c r="AF5013">
        <v>9.7802045614427708</v>
      </c>
      <c r="AG5013">
        <v>-1.1170453608239901</v>
      </c>
      <c r="AH5013">
        <v>53.4983064876822</v>
      </c>
      <c r="AI5013">
        <v>91.176667513106693</v>
      </c>
      <c r="AJ5013">
        <v>79.639968952450204</v>
      </c>
      <c r="AK5013">
        <v>54.396406026977502</v>
      </c>
      <c r="AL5013">
        <v>79.397449395992197</v>
      </c>
      <c r="AM5013">
        <v>84.238177445420803</v>
      </c>
      <c r="AN5013">
        <v>0.99999996080972897</v>
      </c>
    </row>
    <row r="5014" spans="1:40" x14ac:dyDescent="0.25">
      <c r="A5014" t="str">
        <f>"20190303170352903"</f>
        <v>20190303170352903</v>
      </c>
      <c r="B5014" t="str">
        <f>"1551603832890756"</f>
        <v>1551603832890756</v>
      </c>
      <c r="C5014" t="s">
        <v>40</v>
      </c>
      <c r="D5014">
        <v>4.4037169999999897</v>
      </c>
      <c r="E5014">
        <v>0.53887890000000005</v>
      </c>
      <c r="F5014" t="s">
        <v>90</v>
      </c>
      <c r="G5014">
        <v>-283.3193</v>
      </c>
      <c r="H5014" s="1">
        <v>-8.1291690000000002E-6</v>
      </c>
      <c r="I5014">
        <v>149.00989999999999</v>
      </c>
      <c r="J5014">
        <v>-232.547</v>
      </c>
      <c r="K5014">
        <v>1.117005</v>
      </c>
      <c r="L5014">
        <v>138.58109999999999</v>
      </c>
      <c r="M5014">
        <v>-0.99971779999999999</v>
      </c>
      <c r="N5014">
        <v>-9.1932130000000004E-3</v>
      </c>
      <c r="O5014">
        <v>2.1901819999999999E-2</v>
      </c>
      <c r="P5014">
        <v>-0.9774678</v>
      </c>
      <c r="Q5014">
        <v>0.1749801</v>
      </c>
      <c r="R5014">
        <v>0.11806270000000001</v>
      </c>
      <c r="S5014">
        <v>-3.0078279999999999</v>
      </c>
      <c r="T5014">
        <v>-6.5918679999999993E-2</v>
      </c>
      <c r="U5014">
        <v>0.61579899999999999</v>
      </c>
      <c r="V5014">
        <v>9.8412860000000005E-2</v>
      </c>
      <c r="W5014">
        <v>0.18303040000000001</v>
      </c>
      <c r="X5014">
        <v>0.97816910000000001</v>
      </c>
      <c r="Y5014">
        <v>0.17900859999999999</v>
      </c>
      <c r="Z5014">
        <v>2.4972990000000001E-3</v>
      </c>
      <c r="AA5014">
        <v>0.9838443</v>
      </c>
      <c r="AB5014">
        <v>32</v>
      </c>
      <c r="AC5014">
        <v>-50.772300000000001</v>
      </c>
      <c r="AD5014">
        <v>-1.117013129169</v>
      </c>
      <c r="AE5014">
        <v>10.428799999999899</v>
      </c>
      <c r="AF5014">
        <v>9.3099215986803703</v>
      </c>
      <c r="AG5014">
        <v>-1.117013129169</v>
      </c>
      <c r="AH5014">
        <v>50.964870030585899</v>
      </c>
      <c r="AI5014">
        <v>91.235136284280102</v>
      </c>
      <c r="AJ5014">
        <v>79.647733185758895</v>
      </c>
      <c r="AK5014">
        <v>51.820269545215801</v>
      </c>
      <c r="AL5014">
        <v>79.453677996149594</v>
      </c>
      <c r="AM5014">
        <v>84.254847088490195</v>
      </c>
      <c r="AN5014">
        <v>1.00000000326617</v>
      </c>
    </row>
    <row r="5015" spans="1:40" x14ac:dyDescent="0.25">
      <c r="A5015" t="str">
        <f>"20190303170352921"</f>
        <v>20190303170352921</v>
      </c>
      <c r="B5015" t="str">
        <f>"1551603832910276"</f>
        <v>1551603832910276</v>
      </c>
      <c r="C5015" t="s">
        <v>40</v>
      </c>
      <c r="D5015">
        <v>4.4005789999999996</v>
      </c>
      <c r="E5015">
        <v>0.53847869999999998</v>
      </c>
      <c r="F5015" t="s">
        <v>90</v>
      </c>
      <c r="G5015">
        <v>-281.59089999999998</v>
      </c>
      <c r="H5015" s="1">
        <v>-7.2759720000000004E-6</v>
      </c>
      <c r="I5015">
        <v>148.74180000000001</v>
      </c>
      <c r="J5015">
        <v>-232.8159</v>
      </c>
      <c r="K5015">
        <v>1.116967</v>
      </c>
      <c r="L5015">
        <v>138.5907</v>
      </c>
      <c r="M5015">
        <v>-0.99962519999999999</v>
      </c>
      <c r="N5015">
        <v>-9.1567179999999995E-3</v>
      </c>
      <c r="O5015">
        <v>2.5801919999999999E-2</v>
      </c>
      <c r="P5015">
        <v>-0.97715790000000002</v>
      </c>
      <c r="Q5015">
        <v>0.17442639999999901</v>
      </c>
      <c r="R5015">
        <v>0.12140049999999999</v>
      </c>
      <c r="S5015">
        <v>-3.0061650000000002</v>
      </c>
      <c r="T5015">
        <v>-6.8467620000000007E-2</v>
      </c>
      <c r="U5015">
        <v>0.62280269999999904</v>
      </c>
      <c r="V5015">
        <v>9.7938200000000003E-2</v>
      </c>
      <c r="W5015">
        <v>0.18244199999999999</v>
      </c>
      <c r="X5015">
        <v>0.97832660000000005</v>
      </c>
      <c r="Y5015">
        <v>0.17747309999999999</v>
      </c>
      <c r="Z5015">
        <v>2.4737539999999999E-3</v>
      </c>
      <c r="AA5015">
        <v>0.98412259999999996</v>
      </c>
      <c r="AB5015">
        <v>32</v>
      </c>
      <c r="AC5015">
        <v>-48.774999999999899</v>
      </c>
      <c r="AD5015">
        <v>-1.1169742759720001</v>
      </c>
      <c r="AE5015">
        <v>10.1511</v>
      </c>
      <c r="AF5015">
        <v>8.8847128172893992</v>
      </c>
      <c r="AG5015">
        <v>-1.1169742759720001</v>
      </c>
      <c r="AH5015">
        <v>48.996060570734201</v>
      </c>
      <c r="AI5015">
        <v>91.285009569664794</v>
      </c>
      <c r="AJ5015">
        <v>79.721940407742494</v>
      </c>
      <c r="AK5015">
        <v>49.807626974489999</v>
      </c>
      <c r="AL5015">
        <v>79.487967702879601</v>
      </c>
      <c r="AM5015">
        <v>84.2832871665357</v>
      </c>
      <c r="AN5015">
        <v>0.99999995532539898</v>
      </c>
    </row>
    <row r="5016" spans="1:40" x14ac:dyDescent="0.25">
      <c r="A5016" t="str">
        <f>"20190303170352938"</f>
        <v>20190303170352938</v>
      </c>
      <c r="B5016" t="str">
        <f>"1551603832930773"</f>
        <v>1551603832930773</v>
      </c>
      <c r="C5016" t="s">
        <v>40</v>
      </c>
      <c r="D5016">
        <v>4.4754569999999996</v>
      </c>
      <c r="E5016">
        <v>0.53840219999999905</v>
      </c>
      <c r="F5016" t="s">
        <v>90</v>
      </c>
      <c r="G5016">
        <v>-282.29180000000002</v>
      </c>
      <c r="H5016" s="1">
        <v>-7.6608899999999906E-6</v>
      </c>
      <c r="I5016">
        <v>148.9709</v>
      </c>
      <c r="J5016">
        <v>-233.0444</v>
      </c>
      <c r="K5016">
        <v>1.116946</v>
      </c>
      <c r="L5016">
        <v>138.59960000000001</v>
      </c>
      <c r="M5016">
        <v>-0.99953440000000005</v>
      </c>
      <c r="N5016">
        <v>-9.1244610000000004E-3</v>
      </c>
      <c r="O5016">
        <v>2.911772E-2</v>
      </c>
      <c r="P5016">
        <v>-0.97681609999999996</v>
      </c>
      <c r="Q5016">
        <v>0.17428550000000001</v>
      </c>
      <c r="R5016">
        <v>0.12431979999999999</v>
      </c>
      <c r="S5016">
        <v>-3.0039370000000001</v>
      </c>
      <c r="T5016">
        <v>-6.7817210000000003E-2</v>
      </c>
      <c r="U5016">
        <v>0.63023379999999996</v>
      </c>
      <c r="V5016">
        <v>9.7620730000000003E-2</v>
      </c>
      <c r="W5016">
        <v>0.18226899999999999</v>
      </c>
      <c r="X5016">
        <v>0.9783906</v>
      </c>
      <c r="Y5016">
        <v>0.17668800000000001</v>
      </c>
      <c r="Z5016">
        <v>2.4010659999999999E-3</v>
      </c>
      <c r="AA5016">
        <v>0.98426400000000003</v>
      </c>
      <c r="AB5016">
        <v>32</v>
      </c>
      <c r="AC5016">
        <v>-49.247399999999999</v>
      </c>
      <c r="AD5016">
        <v>-1.1169536608899999</v>
      </c>
      <c r="AE5016">
        <v>10.3712999999999</v>
      </c>
      <c r="AF5016">
        <v>8.9284726825493106</v>
      </c>
      <c r="AG5016">
        <v>-1.1169536608899999</v>
      </c>
      <c r="AH5016">
        <v>49.504134346137398</v>
      </c>
      <c r="AI5016">
        <v>91.272019641877193</v>
      </c>
      <c r="AJ5016">
        <v>79.776152610279595</v>
      </c>
      <c r="AK5016">
        <v>50.315251438147698</v>
      </c>
      <c r="AL5016">
        <v>79.498049177963907</v>
      </c>
      <c r="AM5016">
        <v>84.302066229498294</v>
      </c>
      <c r="AN5016">
        <v>0.99999998072754603</v>
      </c>
    </row>
    <row r="5017" spans="1:40" x14ac:dyDescent="0.25">
      <c r="A5017" t="str">
        <f>"20190303170352956"</f>
        <v>20190303170352956</v>
      </c>
      <c r="B5017" t="str">
        <f>"1551603832950293"</f>
        <v>1551603832950293</v>
      </c>
      <c r="C5017" t="s">
        <v>40</v>
      </c>
      <c r="D5017">
        <v>4.4251559999999897</v>
      </c>
      <c r="E5017">
        <v>0.538041199999999</v>
      </c>
      <c r="F5017" t="s">
        <v>90</v>
      </c>
      <c r="G5017">
        <v>-283.8827</v>
      </c>
      <c r="H5017" s="1">
        <v>-8.5121329999999996E-6</v>
      </c>
      <c r="I5017">
        <v>149.4213</v>
      </c>
      <c r="J5017">
        <v>-233.31729999999999</v>
      </c>
      <c r="K5017">
        <v>1.1169150000000001</v>
      </c>
      <c r="L5017">
        <v>138.6112</v>
      </c>
      <c r="M5017">
        <v>-0.99941150000000001</v>
      </c>
      <c r="N5017">
        <v>-9.0835810000000003E-3</v>
      </c>
      <c r="O5017">
        <v>3.3079030000000002E-2</v>
      </c>
      <c r="P5017">
        <v>-0.97632470000000005</v>
      </c>
      <c r="Q5017">
        <v>0.17454819999999999</v>
      </c>
      <c r="R5017">
        <v>0.12776080000000001</v>
      </c>
      <c r="S5017">
        <v>-3.0016479999999999</v>
      </c>
      <c r="T5017">
        <v>-6.5948370000000006E-2</v>
      </c>
      <c r="U5017">
        <v>0.63894649999999997</v>
      </c>
      <c r="V5017">
        <v>9.7201109999999993E-2</v>
      </c>
      <c r="W5017">
        <v>0.18249170000000001</v>
      </c>
      <c r="X5017">
        <v>0.97839089999999995</v>
      </c>
      <c r="Y5017">
        <v>0.17567579999999999</v>
      </c>
      <c r="Z5017">
        <v>2.2946580000000002E-3</v>
      </c>
      <c r="AA5017">
        <v>0.98444540000000003</v>
      </c>
      <c r="AB5017">
        <v>32</v>
      </c>
      <c r="AC5017">
        <v>-50.565399999999997</v>
      </c>
      <c r="AD5017">
        <v>-1.1169235121329999</v>
      </c>
      <c r="AE5017">
        <v>10.8101</v>
      </c>
      <c r="AF5017">
        <v>9.1272016197535208</v>
      </c>
      <c r="AG5017">
        <v>-1.1169235121329999</v>
      </c>
      <c r="AH5017">
        <v>50.871591666022297</v>
      </c>
      <c r="AI5017">
        <v>91.238007467909995</v>
      </c>
      <c r="AJ5017">
        <v>79.828413877040006</v>
      </c>
      <c r="AK5017">
        <v>51.695958895972701</v>
      </c>
      <c r="AL5017">
        <v>79.485072113004804</v>
      </c>
      <c r="AM5017">
        <v>84.326400232604897</v>
      </c>
      <c r="AN5017">
        <v>1.00000001477846</v>
      </c>
    </row>
    <row r="5018" spans="1:40" x14ac:dyDescent="0.25">
      <c r="A5018" t="str">
        <f>"20190303170352979"</f>
        <v>20190303170352979</v>
      </c>
      <c r="B5018" t="str">
        <f>"1551603832970789"</f>
        <v>1551603832970789</v>
      </c>
      <c r="C5018" t="s">
        <v>40</v>
      </c>
      <c r="D5018">
        <v>4.3334449999999904</v>
      </c>
      <c r="E5018">
        <v>0.53763289999999997</v>
      </c>
      <c r="F5018" t="s">
        <v>90</v>
      </c>
      <c r="G5018">
        <v>-284.31580000000002</v>
      </c>
      <c r="H5018">
        <v>3.7397920000000001E-2</v>
      </c>
      <c r="I5018">
        <v>149.6163</v>
      </c>
      <c r="J5018">
        <v>-233.65260000000001</v>
      </c>
      <c r="K5018">
        <v>1.1168750000000001</v>
      </c>
      <c r="L5018">
        <v>138.62710000000001</v>
      </c>
      <c r="M5018">
        <v>-0.99923910000000005</v>
      </c>
      <c r="N5018">
        <v>-9.0334930000000001E-3</v>
      </c>
      <c r="O5018">
        <v>3.7942990000000003E-2</v>
      </c>
      <c r="P5018">
        <v>-0.97578370000000003</v>
      </c>
      <c r="Q5018">
        <v>0.174729299999999</v>
      </c>
      <c r="R5018">
        <v>0.1315894</v>
      </c>
      <c r="S5018">
        <v>-2.99939</v>
      </c>
      <c r="T5018">
        <v>-6.3490030000000003E-2</v>
      </c>
      <c r="U5018">
        <v>0.64724729999999997</v>
      </c>
      <c r="V5018">
        <v>9.6286919999999998E-2</v>
      </c>
      <c r="W5018">
        <v>0.18262909999999999</v>
      </c>
      <c r="X5018">
        <v>0.97845570000000004</v>
      </c>
      <c r="Y5018">
        <v>0.17364399999999999</v>
      </c>
      <c r="Z5018">
        <v>2.1563390000000002E-3</v>
      </c>
      <c r="AA5018">
        <v>0.98480610000000002</v>
      </c>
      <c r="AB5018">
        <v>32</v>
      </c>
      <c r="AC5018">
        <v>-50.663200000000003</v>
      </c>
      <c r="AD5018">
        <v>-1.07947708</v>
      </c>
      <c r="AE5018">
        <v>10.989199999999901</v>
      </c>
      <c r="AF5018">
        <v>9.05496831004303</v>
      </c>
      <c r="AG5018">
        <v>-1.07947708</v>
      </c>
      <c r="AH5018">
        <v>51.0215726248164</v>
      </c>
      <c r="AI5018">
        <v>91.193398446198003</v>
      </c>
      <c r="AJ5018">
        <v>79.936312152068197</v>
      </c>
      <c r="AK5018">
        <v>51.830093526555999</v>
      </c>
      <c r="AL5018">
        <v>79.477065572448296</v>
      </c>
      <c r="AM5018">
        <v>84.3797877989753</v>
      </c>
      <c r="AN5018">
        <v>1.0000000579961901</v>
      </c>
    </row>
    <row r="5019" spans="1:40" x14ac:dyDescent="0.25">
      <c r="A5019" t="str">
        <f>"20190303170353002"</f>
        <v>20190303170353002</v>
      </c>
      <c r="B5019" t="str">
        <f>"1551603832990308"</f>
        <v>1551603832990308</v>
      </c>
      <c r="C5019" t="s">
        <v>40</v>
      </c>
      <c r="D5019">
        <v>4.362552</v>
      </c>
      <c r="E5019">
        <v>0.53718659999999996</v>
      </c>
      <c r="F5019" t="s">
        <v>90</v>
      </c>
      <c r="G5019">
        <v>-284.01530000000002</v>
      </c>
      <c r="H5019">
        <v>7.5264330000000004E-2</v>
      </c>
      <c r="I5019">
        <v>149.64160000000001</v>
      </c>
      <c r="J5019">
        <v>-233.98439999999999</v>
      </c>
      <c r="K5019">
        <v>1.116849</v>
      </c>
      <c r="L5019">
        <v>138.64439999999999</v>
      </c>
      <c r="M5019">
        <v>-0.99904519999999997</v>
      </c>
      <c r="N5019">
        <v>-8.9858130000000005E-3</v>
      </c>
      <c r="O5019">
        <v>4.2754859999999999E-2</v>
      </c>
      <c r="P5019">
        <v>-0.97521440000000004</v>
      </c>
      <c r="Q5019">
        <v>0.17475550000000001</v>
      </c>
      <c r="R5019">
        <v>0.13570989999999999</v>
      </c>
      <c r="S5019">
        <v>-2.997147</v>
      </c>
      <c r="T5019">
        <v>-6.1987519999999997E-2</v>
      </c>
      <c r="U5019">
        <v>0.65548709999999999</v>
      </c>
      <c r="V5019">
        <v>9.5715579999999995E-2</v>
      </c>
      <c r="W5019">
        <v>0.18260989999999999</v>
      </c>
      <c r="X5019">
        <v>0.97851529999999998</v>
      </c>
      <c r="Y5019">
        <v>0.17164099999999999</v>
      </c>
      <c r="Z5019">
        <v>2.0419309999999999E-3</v>
      </c>
      <c r="AA5019">
        <v>0.98515739999999996</v>
      </c>
      <c r="AB5019">
        <v>32</v>
      </c>
      <c r="AC5019">
        <v>-50.030900000000003</v>
      </c>
      <c r="AD5019">
        <v>-1.04158467</v>
      </c>
      <c r="AE5019">
        <v>10.997199999999999</v>
      </c>
      <c r="AF5019">
        <v>8.8443361480681801</v>
      </c>
      <c r="AG5019">
        <v>-1.04158467</v>
      </c>
      <c r="AH5019">
        <v>50.434498395494799</v>
      </c>
      <c r="AI5019">
        <v>91.165339576676502</v>
      </c>
      <c r="AJ5019">
        <v>80.053585085441995</v>
      </c>
      <c r="AK5019">
        <v>51.214703054200903</v>
      </c>
      <c r="AL5019">
        <v>79.478184063599201</v>
      </c>
      <c r="AM5019">
        <v>84.413263109179098</v>
      </c>
      <c r="AN5019">
        <v>1.00000002008341</v>
      </c>
    </row>
    <row r="5020" spans="1:40" x14ac:dyDescent="0.25">
      <c r="A5020" t="str">
        <f>"20190303170353023"</f>
        <v>20190303170353023</v>
      </c>
      <c r="B5020" t="str">
        <f>"1551603833010805"</f>
        <v>1551603833010805</v>
      </c>
      <c r="C5020" t="s">
        <v>40</v>
      </c>
      <c r="D5020">
        <v>4.2730790000000001</v>
      </c>
      <c r="E5020">
        <v>0.53652299999999997</v>
      </c>
      <c r="F5020" t="s">
        <v>90</v>
      </c>
      <c r="G5020">
        <v>-284.56689999999998</v>
      </c>
      <c r="H5020">
        <v>7.9985169999999994E-2</v>
      </c>
      <c r="I5020">
        <v>149.86779999999999</v>
      </c>
      <c r="J5020">
        <v>-234.2944</v>
      </c>
      <c r="K5020">
        <v>1.1168229999999999</v>
      </c>
      <c r="L5020">
        <v>138.6619</v>
      </c>
      <c r="M5020">
        <v>-0.99884320000000004</v>
      </c>
      <c r="N5020">
        <v>-8.9411400000000002E-3</v>
      </c>
      <c r="O5020">
        <v>4.7248199999999997E-2</v>
      </c>
      <c r="P5020">
        <v>-0.97479610000000005</v>
      </c>
      <c r="Q5020">
        <v>0.17438870000000001</v>
      </c>
      <c r="R5020">
        <v>0.1391453</v>
      </c>
      <c r="S5020">
        <v>-2.9947810000000001</v>
      </c>
      <c r="T5020">
        <v>-6.1388369999999998E-2</v>
      </c>
      <c r="U5020">
        <v>0.66448969999999996</v>
      </c>
      <c r="V5020">
        <v>9.476155E-2</v>
      </c>
      <c r="W5020">
        <v>0.18220620000000001</v>
      </c>
      <c r="X5020">
        <v>0.97868339999999998</v>
      </c>
      <c r="Y5020">
        <v>0.17019779999999901</v>
      </c>
      <c r="Z5020">
        <v>1.956167E-3</v>
      </c>
      <c r="AA5020">
        <v>0.98540799999999995</v>
      </c>
      <c r="AB5020">
        <v>33</v>
      </c>
      <c r="AC5020">
        <v>-50.272499999999901</v>
      </c>
      <c r="AD5020">
        <v>-1.0368378299999901</v>
      </c>
      <c r="AE5020">
        <v>11.2058999999999</v>
      </c>
      <c r="AF5020">
        <v>8.8144321612635697</v>
      </c>
      <c r="AG5020">
        <v>-1.0368378299999901</v>
      </c>
      <c r="AH5020">
        <v>50.7252745439893</v>
      </c>
      <c r="AI5020">
        <v>91.153693831681394</v>
      </c>
      <c r="AJ5020">
        <v>80.142256748841703</v>
      </c>
      <c r="AK5020">
        <v>51.4958515278107</v>
      </c>
      <c r="AL5020">
        <v>79.501709092334494</v>
      </c>
      <c r="AM5020">
        <v>84.469545148282293</v>
      </c>
      <c r="AN5020">
        <v>1.0000000240561999</v>
      </c>
    </row>
    <row r="5021" spans="1:40" x14ac:dyDescent="0.25">
      <c r="A5021" t="str">
        <f>"20190303170353045"</f>
        <v>20190303170353045</v>
      </c>
      <c r="B5021" t="str">
        <f>"1551603833040084"</f>
        <v>1551603833040084</v>
      </c>
      <c r="C5021" t="s">
        <v>40</v>
      </c>
      <c r="D5021">
        <v>4.2727959999999996</v>
      </c>
      <c r="E5021">
        <v>0.53599589999999997</v>
      </c>
      <c r="F5021" t="s">
        <v>90</v>
      </c>
      <c r="G5021">
        <v>-285.07170000000002</v>
      </c>
      <c r="H5021">
        <v>7.9985059999999997E-2</v>
      </c>
      <c r="I5021">
        <v>150.03460000000001</v>
      </c>
      <c r="J5021">
        <v>-234.6283</v>
      </c>
      <c r="K5021">
        <v>1.1168009999999999</v>
      </c>
      <c r="L5021">
        <v>138.6824</v>
      </c>
      <c r="M5021">
        <v>-0.99860320000000002</v>
      </c>
      <c r="N5021">
        <v>-8.8949470000000003E-3</v>
      </c>
      <c r="O5021">
        <v>5.2083499999999998E-2</v>
      </c>
      <c r="P5021">
        <v>-0.97429350000000003</v>
      </c>
      <c r="Q5021">
        <v>0.1745611</v>
      </c>
      <c r="R5021">
        <v>0.14241180000000001</v>
      </c>
      <c r="S5021">
        <v>-2.9927980000000001</v>
      </c>
      <c r="T5021">
        <v>-6.1110970000000001E-2</v>
      </c>
      <c r="U5021">
        <v>0.67030330000000005</v>
      </c>
      <c r="V5021">
        <v>9.3312850000000003E-2</v>
      </c>
      <c r="W5021">
        <v>0.18234449999999999</v>
      </c>
      <c r="X5021">
        <v>0.97879680000000002</v>
      </c>
      <c r="Y5021">
        <v>0.1673895</v>
      </c>
      <c r="Z5021">
        <v>1.8515039999999999E-3</v>
      </c>
      <c r="AA5021">
        <v>0.98588909999999996</v>
      </c>
      <c r="AB5021">
        <v>33</v>
      </c>
      <c r="AC5021">
        <v>-50.443399999999997</v>
      </c>
      <c r="AD5021">
        <v>-1.0368159400000001</v>
      </c>
      <c r="AE5021">
        <v>11.3522</v>
      </c>
      <c r="AF5021">
        <v>8.7059175885053399</v>
      </c>
      <c r="AG5021">
        <v>-1.0368159400000001</v>
      </c>
      <c r="AH5021">
        <v>50.945729642719101</v>
      </c>
      <c r="AI5021">
        <v>91.149232608285203</v>
      </c>
      <c r="AJ5021">
        <v>80.30261757545</v>
      </c>
      <c r="AK5021">
        <v>51.694635671221398</v>
      </c>
      <c r="AL5021">
        <v>79.493649717748397</v>
      </c>
      <c r="AM5021">
        <v>84.554208790227506</v>
      </c>
      <c r="AN5021">
        <v>0.99999999017280605</v>
      </c>
    </row>
    <row r="5022" spans="1:40" x14ac:dyDescent="0.25">
      <c r="A5022" t="str">
        <f>"20190303170353069"</f>
        <v>20190303170353069</v>
      </c>
      <c r="B5022" t="str">
        <f>"1551603833060582"</f>
        <v>1551603833060582</v>
      </c>
      <c r="C5022" t="s">
        <v>40</v>
      </c>
      <c r="D5022">
        <v>4.287973</v>
      </c>
      <c r="E5022">
        <v>0.5253158</v>
      </c>
      <c r="F5022" t="s">
        <v>90</v>
      </c>
      <c r="G5022">
        <v>-286.63119999999998</v>
      </c>
      <c r="H5022">
        <v>7.9984929999999996E-2</v>
      </c>
      <c r="I5022">
        <v>150.4545</v>
      </c>
      <c r="J5022">
        <v>-234.97139999999999</v>
      </c>
      <c r="K5022">
        <v>1.1167800000000001</v>
      </c>
      <c r="L5022">
        <v>138.70509999999999</v>
      </c>
      <c r="M5022">
        <v>-0.998332</v>
      </c>
      <c r="N5022">
        <v>-8.8491070000000002E-3</v>
      </c>
      <c r="O5022">
        <v>5.705147E-2</v>
      </c>
      <c r="P5022">
        <v>-0.9733155</v>
      </c>
      <c r="Q5022">
        <v>0.17643989999999901</v>
      </c>
      <c r="R5022">
        <v>0.14671679999999901</v>
      </c>
      <c r="S5022">
        <v>-2.990891</v>
      </c>
      <c r="T5022">
        <v>-5.963135E-2</v>
      </c>
      <c r="U5022">
        <v>0.67706299999999997</v>
      </c>
      <c r="V5022">
        <v>9.2814309999999997E-2</v>
      </c>
      <c r="W5022">
        <v>0.18417639999999999</v>
      </c>
      <c r="X5022">
        <v>0.97850110000000001</v>
      </c>
      <c r="Y5022">
        <v>0.164741</v>
      </c>
      <c r="Z5022">
        <v>1.738369E-3</v>
      </c>
      <c r="AA5022">
        <v>0.98633530000000003</v>
      </c>
      <c r="AB5022">
        <v>33</v>
      </c>
      <c r="AC5022">
        <v>-51.659799999999898</v>
      </c>
      <c r="AD5022">
        <v>-1.0367950699999999</v>
      </c>
      <c r="AE5022">
        <v>11.7494</v>
      </c>
      <c r="AF5022">
        <v>8.7795161503535795</v>
      </c>
      <c r="AG5022">
        <v>-1.0367950699999999</v>
      </c>
      <c r="AH5022">
        <v>52.225997156105997</v>
      </c>
      <c r="AI5022">
        <v>91.121558497851098</v>
      </c>
      <c r="AJ5022">
        <v>80.457444179829693</v>
      </c>
      <c r="AK5022">
        <v>52.968949647893602</v>
      </c>
      <c r="AL5022">
        <v>79.386880649397895</v>
      </c>
      <c r="AM5022">
        <v>84.581503126382003</v>
      </c>
      <c r="AN5022">
        <v>0.99999992257947001</v>
      </c>
    </row>
    <row r="5023" spans="1:40" x14ac:dyDescent="0.25">
      <c r="A5023" t="str">
        <f>"20190303170353091"</f>
        <v>20190303170353091</v>
      </c>
      <c r="B5023" t="str">
        <f>"1551603833080101"</f>
        <v>1551603833080101</v>
      </c>
      <c r="C5023" t="s">
        <v>40</v>
      </c>
      <c r="D5023">
        <v>4.4218029999999997</v>
      </c>
      <c r="E5023">
        <v>0.52675209999999995</v>
      </c>
      <c r="F5023" t="s">
        <v>44</v>
      </c>
      <c r="G5023">
        <v>-327.30239999999998</v>
      </c>
      <c r="H5023">
        <v>-0.05</v>
      </c>
      <c r="I5023">
        <v>157.38249999999999</v>
      </c>
      <c r="J5023">
        <v>-235.3031</v>
      </c>
      <c r="K5023">
        <v>1.11676</v>
      </c>
      <c r="L5023">
        <v>138.7286</v>
      </c>
      <c r="M5023">
        <v>-0.99804669999999895</v>
      </c>
      <c r="N5023">
        <v>-8.7985919999999992E-3</v>
      </c>
      <c r="O5023">
        <v>6.1851950000000003E-2</v>
      </c>
      <c r="P5023">
        <v>-0.97233380000000003</v>
      </c>
      <c r="Q5023">
        <v>0.1779625</v>
      </c>
      <c r="R5023">
        <v>0.15131559999999999</v>
      </c>
      <c r="S5023">
        <v>-2.9977109999999998</v>
      </c>
      <c r="T5023">
        <v>-3.7881850000000002E-2</v>
      </c>
      <c r="U5023">
        <v>0.60639949999999998</v>
      </c>
      <c r="V5023">
        <v>9.2773599999999998E-2</v>
      </c>
      <c r="W5023">
        <v>0.18564369999999999</v>
      </c>
      <c r="X5023">
        <v>0.97822770000000003</v>
      </c>
      <c r="Y5023">
        <v>0.13724790000000001</v>
      </c>
      <c r="Z5023">
        <v>1.23605E-3</v>
      </c>
      <c r="AA5023">
        <v>0.99053599999999997</v>
      </c>
      <c r="AB5023">
        <v>33</v>
      </c>
      <c r="AC5023">
        <v>-91.999299999999906</v>
      </c>
      <c r="AD5023">
        <v>-1.16676</v>
      </c>
      <c r="AE5023">
        <v>18.6539</v>
      </c>
      <c r="AF5023">
        <v>12.925628875574199</v>
      </c>
      <c r="AG5023">
        <v>-1.16676</v>
      </c>
      <c r="AH5023">
        <v>92.962601495844794</v>
      </c>
      <c r="AI5023">
        <v>90.712222355370002</v>
      </c>
      <c r="AJ5023">
        <v>82.084277533706299</v>
      </c>
      <c r="AK5023">
        <v>93.864149107110805</v>
      </c>
      <c r="AL5023">
        <v>79.301335953140494</v>
      </c>
      <c r="AM5023">
        <v>84.582360915846095</v>
      </c>
      <c r="AN5023">
        <v>0.99999997862696899</v>
      </c>
    </row>
    <row r="5024" spans="1:40" x14ac:dyDescent="0.25">
      <c r="A5024" t="str">
        <f>"20190303170353113"</f>
        <v>20190303170353113</v>
      </c>
      <c r="B5024" t="str">
        <f>"1551603833100597"</f>
        <v>1551603833100597</v>
      </c>
      <c r="C5024" t="s">
        <v>40</v>
      </c>
      <c r="D5024">
        <v>4.3420699999999997</v>
      </c>
      <c r="E5024">
        <v>0.52643530000000005</v>
      </c>
      <c r="F5024" t="s">
        <v>90</v>
      </c>
      <c r="G5024">
        <v>-313.14280000000002</v>
      </c>
      <c r="H5024">
        <v>7.9984369999999999E-2</v>
      </c>
      <c r="I5024">
        <v>155.13650000000001</v>
      </c>
      <c r="J5024">
        <v>-235.61600000000001</v>
      </c>
      <c r="K5024">
        <v>1.116733</v>
      </c>
      <c r="L5024">
        <v>138.75219999999999</v>
      </c>
      <c r="M5024">
        <v>-0.99775610000000003</v>
      </c>
      <c r="N5024">
        <v>-8.7388489999999999E-3</v>
      </c>
      <c r="O5024">
        <v>6.6381040000000002E-2</v>
      </c>
      <c r="P5024">
        <v>-0.97163849999999996</v>
      </c>
      <c r="Q5024">
        <v>0.17856449999999999</v>
      </c>
      <c r="R5024">
        <v>0.155028</v>
      </c>
      <c r="S5024">
        <v>-2.994415</v>
      </c>
      <c r="T5024">
        <v>-3.9883729999999999E-2</v>
      </c>
      <c r="U5024">
        <v>0.63119510000000001</v>
      </c>
      <c r="V5024">
        <v>9.2088900000000001E-2</v>
      </c>
      <c r="W5024">
        <v>0.18619089999999999</v>
      </c>
      <c r="X5024">
        <v>0.97818839999999996</v>
      </c>
      <c r="Y5024">
        <v>0.1408277</v>
      </c>
      <c r="Z5024">
        <v>1.2523250000000001E-3</v>
      </c>
      <c r="AA5024">
        <v>0.9900333</v>
      </c>
      <c r="AB5024">
        <v>33</v>
      </c>
      <c r="AC5024">
        <v>-77.526799999999994</v>
      </c>
      <c r="AD5024">
        <v>-1.0367486299999999</v>
      </c>
      <c r="AE5024">
        <v>16.3843</v>
      </c>
      <c r="AF5024">
        <v>11.1997359025157</v>
      </c>
      <c r="AG5024">
        <v>-1.0367486299999999</v>
      </c>
      <c r="AH5024">
        <v>78.430011965249506</v>
      </c>
      <c r="AI5024">
        <v>90.749731224667102</v>
      </c>
      <c r="AJ5024">
        <v>81.873156211788796</v>
      </c>
      <c r="AK5024">
        <v>79.232415770801097</v>
      </c>
      <c r="AL5024">
        <v>79.269427417501106</v>
      </c>
      <c r="AM5024">
        <v>84.621894805303</v>
      </c>
      <c r="AN5024">
        <v>0.999999981320289</v>
      </c>
    </row>
    <row r="5025" spans="1:40" x14ac:dyDescent="0.25">
      <c r="A5025" t="str">
        <f>"20190303170353134"</f>
        <v>20190303170353134</v>
      </c>
      <c r="B5025" t="str">
        <f>"1551603833121093"</f>
        <v>1551603833121093</v>
      </c>
      <c r="C5025" t="s">
        <v>40</v>
      </c>
      <c r="D5025">
        <v>4.4261160000000004</v>
      </c>
      <c r="E5025">
        <v>0.5257714</v>
      </c>
      <c r="F5025" t="s">
        <v>90</v>
      </c>
      <c r="G5025">
        <v>-314.07749999999999</v>
      </c>
      <c r="H5025">
        <v>7.9984139999999995E-2</v>
      </c>
      <c r="I5025">
        <v>155.54580000000001</v>
      </c>
      <c r="J5025">
        <v>-235.9359</v>
      </c>
      <c r="K5025">
        <v>1.1167049999999901</v>
      </c>
      <c r="L5025">
        <v>138.77780000000001</v>
      </c>
      <c r="M5025">
        <v>-0.99743800000000005</v>
      </c>
      <c r="N5025">
        <v>-8.6638040000000006E-3</v>
      </c>
      <c r="O5025">
        <v>7.101027E-2</v>
      </c>
      <c r="P5025">
        <v>-0.97112069999999995</v>
      </c>
      <c r="Q5025">
        <v>0.17838019999999999</v>
      </c>
      <c r="R5025">
        <v>0.15844710000000001</v>
      </c>
      <c r="S5025">
        <v>-2.992645</v>
      </c>
      <c r="T5025">
        <v>-3.9543269999999998E-2</v>
      </c>
      <c r="U5025">
        <v>0.64053340000000003</v>
      </c>
      <c r="V5025">
        <v>9.0993069999999995E-2</v>
      </c>
      <c r="W5025">
        <v>0.18594169999999999</v>
      </c>
      <c r="X5025">
        <v>0.97833840000000005</v>
      </c>
      <c r="Y5025">
        <v>0.13930809999999999</v>
      </c>
      <c r="Z5025">
        <v>1.2047749999999999E-3</v>
      </c>
      <c r="AA5025">
        <v>0.99024829999999997</v>
      </c>
      <c r="AB5025">
        <v>33</v>
      </c>
      <c r="AC5025">
        <v>-78.141599999999897</v>
      </c>
      <c r="AD5025">
        <v>-1.03672085999999</v>
      </c>
      <c r="AE5025">
        <v>16.768000000000001</v>
      </c>
      <c r="AF5025">
        <v>11.1747228992934</v>
      </c>
      <c r="AG5025">
        <v>-1.03672085999999</v>
      </c>
      <c r="AH5025">
        <v>79.121754308443201</v>
      </c>
      <c r="AI5025">
        <v>90.743319203260697</v>
      </c>
      <c r="AJ5025">
        <v>81.961028388872805</v>
      </c>
      <c r="AK5025">
        <v>79.913711131840202</v>
      </c>
      <c r="AL5025">
        <v>79.283959926993802</v>
      </c>
      <c r="AM5025">
        <v>84.686334158872995</v>
      </c>
      <c r="AN5025">
        <v>1.00000003975073</v>
      </c>
    </row>
    <row r="5026" spans="1:40" x14ac:dyDescent="0.25">
      <c r="A5026" t="str">
        <f>"20190303170353158"</f>
        <v>20190303170353158</v>
      </c>
      <c r="B5026" t="str">
        <f>"1551603833150373"</f>
        <v>1551603833150373</v>
      </c>
      <c r="C5026" t="s">
        <v>40</v>
      </c>
      <c r="D5026">
        <v>4.2912509999999999</v>
      </c>
      <c r="E5026">
        <v>0.49339699999999997</v>
      </c>
      <c r="F5026" t="s">
        <v>44</v>
      </c>
      <c r="G5026">
        <v>-325.00580000000002</v>
      </c>
      <c r="H5026">
        <v>-0.05</v>
      </c>
      <c r="I5026">
        <v>158.0301</v>
      </c>
      <c r="J5026">
        <v>-236.2775</v>
      </c>
      <c r="K5026">
        <v>1.116671</v>
      </c>
      <c r="L5026">
        <v>138.80690000000001</v>
      </c>
      <c r="M5026">
        <v>-0.99707489999999999</v>
      </c>
      <c r="N5026">
        <v>-8.5726989999999996E-3</v>
      </c>
      <c r="O5026">
        <v>7.5949429999999998E-2</v>
      </c>
      <c r="P5026">
        <v>-0.97030989999999995</v>
      </c>
      <c r="Q5026">
        <v>0.179133399999999</v>
      </c>
      <c r="R5026">
        <v>0.16251260000000001</v>
      </c>
      <c r="S5026">
        <v>-2.990936</v>
      </c>
      <c r="T5026">
        <v>-3.9177539999999997E-2</v>
      </c>
      <c r="U5026">
        <v>0.64648439999999996</v>
      </c>
      <c r="V5026">
        <v>9.0268009999999996E-2</v>
      </c>
      <c r="W5026">
        <v>0.18660930000000001</v>
      </c>
      <c r="X5026">
        <v>0.97827839999999999</v>
      </c>
      <c r="Y5026">
        <v>0.13640279999999999</v>
      </c>
      <c r="Z5026">
        <v>1.1392360000000001E-3</v>
      </c>
      <c r="AA5026">
        <v>0.9906528</v>
      </c>
      <c r="AB5026">
        <v>33</v>
      </c>
      <c r="AC5026">
        <v>-88.728300000000004</v>
      </c>
      <c r="AD5026">
        <v>-1.166671</v>
      </c>
      <c r="AE5026">
        <v>19.223199999999899</v>
      </c>
      <c r="AF5026">
        <v>12.4265099864267</v>
      </c>
      <c r="AG5026">
        <v>-1.166671</v>
      </c>
      <c r="AH5026">
        <v>89.917200359106104</v>
      </c>
      <c r="AI5026">
        <v>90.736370087008396</v>
      </c>
      <c r="AJ5026">
        <v>82.131593824159694</v>
      </c>
      <c r="AK5026">
        <v>90.779304866718604</v>
      </c>
      <c r="AL5026">
        <v>79.2450272759271</v>
      </c>
      <c r="AM5026">
        <v>84.728114050051104</v>
      </c>
      <c r="AN5026">
        <v>0.999999986191204</v>
      </c>
    </row>
    <row r="5027" spans="1:40" x14ac:dyDescent="0.25">
      <c r="A5027" t="str">
        <f>"20190303170353179"</f>
        <v>20190303170353179</v>
      </c>
      <c r="B5027" t="str">
        <f>"1551603833170869"</f>
        <v>1551603833170869</v>
      </c>
      <c r="C5027" t="s">
        <v>40</v>
      </c>
      <c r="D5027">
        <v>4.2814719999999999</v>
      </c>
      <c r="E5027">
        <v>0.49131799999999998</v>
      </c>
      <c r="F5027" t="s">
        <v>90</v>
      </c>
      <c r="G5027">
        <v>-282.37450000000001</v>
      </c>
      <c r="H5027" s="1">
        <v>-6.3804760000000003E-6</v>
      </c>
      <c r="I5027">
        <v>144.9007</v>
      </c>
      <c r="J5027">
        <v>-236.6054</v>
      </c>
      <c r="K5027">
        <v>1.116638</v>
      </c>
      <c r="L5027">
        <v>138.8364</v>
      </c>
      <c r="M5027">
        <v>-0.99670340000000002</v>
      </c>
      <c r="N5027">
        <v>-8.4808869999999995E-3</v>
      </c>
      <c r="O5027">
        <v>8.0688369999999995E-2</v>
      </c>
      <c r="P5027">
        <v>-0.96941129999999998</v>
      </c>
      <c r="Q5027">
        <v>0.18042849999999999</v>
      </c>
      <c r="R5027">
        <v>0.16639579999999901</v>
      </c>
      <c r="S5027">
        <v>-3.0381469999999999</v>
      </c>
      <c r="T5027">
        <v>-7.3597670000000004E-2</v>
      </c>
      <c r="U5027">
        <v>0.4016266</v>
      </c>
      <c r="V5027">
        <v>8.9571250000000005E-2</v>
      </c>
      <c r="W5027">
        <v>0.18781680000000001</v>
      </c>
      <c r="X5027">
        <v>0.97811139999999996</v>
      </c>
      <c r="Y5027">
        <v>5.0621770000000003E-2</v>
      </c>
      <c r="Z5027">
        <v>-4.3292580000000002E-4</v>
      </c>
      <c r="AA5027">
        <v>0.99871779999999999</v>
      </c>
      <c r="AB5027">
        <v>33</v>
      </c>
      <c r="AC5027">
        <v>-45.769100000000002</v>
      </c>
      <c r="AD5027">
        <v>-1.116644380476</v>
      </c>
      <c r="AE5027">
        <v>6.0643000000000002</v>
      </c>
      <c r="AF5027">
        <v>2.3499840249141899</v>
      </c>
      <c r="AG5027">
        <v>-1.116644380476</v>
      </c>
      <c r="AH5027">
        <v>46.082233251941503</v>
      </c>
      <c r="AI5027">
        <v>91.386293777153</v>
      </c>
      <c r="AJ5027">
        <v>87.080705009515597</v>
      </c>
      <c r="AK5027">
        <v>46.155623071042498</v>
      </c>
      <c r="AL5027">
        <v>79.174597903423106</v>
      </c>
      <c r="AM5027">
        <v>84.767691746050403</v>
      </c>
      <c r="AN5027">
        <v>1.0000000349993801</v>
      </c>
    </row>
    <row r="5028" spans="1:40" x14ac:dyDescent="0.25">
      <c r="A5028" t="str">
        <f>"20190303170353202"</f>
        <v>20190303170353202</v>
      </c>
      <c r="B5028" t="str">
        <f>"1551603833190388"</f>
        <v>1551603833190388</v>
      </c>
      <c r="C5028" t="s">
        <v>40</v>
      </c>
      <c r="D5028">
        <v>4.2669600000000001</v>
      </c>
      <c r="E5028">
        <v>0.49026819999999999</v>
      </c>
      <c r="F5028" t="s">
        <v>90</v>
      </c>
      <c r="G5028">
        <v>-281.63560000000001</v>
      </c>
      <c r="H5028" s="1">
        <v>-5.9907409999999997E-6</v>
      </c>
      <c r="I5028">
        <v>144.7089</v>
      </c>
      <c r="J5028">
        <v>-236.9374</v>
      </c>
      <c r="K5028">
        <v>1.116614</v>
      </c>
      <c r="L5028">
        <v>138.86779999999999</v>
      </c>
      <c r="M5028">
        <v>-0.99630439999999998</v>
      </c>
      <c r="N5028">
        <v>-8.3902219999999993E-3</v>
      </c>
      <c r="O5028">
        <v>8.5482379999999997E-2</v>
      </c>
      <c r="P5028">
        <v>-0.9686323</v>
      </c>
      <c r="Q5028">
        <v>0.1812909</v>
      </c>
      <c r="R5028">
        <v>0.16995650000000001</v>
      </c>
      <c r="S5028">
        <v>-3.040619</v>
      </c>
      <c r="T5028">
        <v>-7.5400229999999999E-2</v>
      </c>
      <c r="U5028">
        <v>0.3965302</v>
      </c>
      <c r="V5028">
        <v>8.8486830000000002E-2</v>
      </c>
      <c r="W5028">
        <v>0.18859799999999999</v>
      </c>
      <c r="X5028">
        <v>0.97805980000000003</v>
      </c>
      <c r="Y5028">
        <v>4.4068370000000003E-2</v>
      </c>
      <c r="Z5028">
        <v>-6.6015819999999995E-4</v>
      </c>
      <c r="AA5028">
        <v>0.99902829999999998</v>
      </c>
      <c r="AB5028">
        <v>33</v>
      </c>
      <c r="AC5028">
        <v>-44.6982</v>
      </c>
      <c r="AD5028">
        <v>-1.1166199907409999</v>
      </c>
      <c r="AE5028">
        <v>5.8411000000000097</v>
      </c>
      <c r="AF5028">
        <v>1.9974497616220701</v>
      </c>
      <c r="AG5028">
        <v>-1.1166199907409999</v>
      </c>
      <c r="AH5028">
        <v>45.006292224033103</v>
      </c>
      <c r="AI5028">
        <v>91.419837311674399</v>
      </c>
      <c r="AJ5028">
        <v>87.458791155586695</v>
      </c>
      <c r="AK5028">
        <v>45.064431489912202</v>
      </c>
      <c r="AL5028">
        <v>79.129024152484703</v>
      </c>
      <c r="AM5028">
        <v>84.830421661451197</v>
      </c>
      <c r="AN5028">
        <v>1.00000004853174</v>
      </c>
    </row>
    <row r="5029" spans="1:40" x14ac:dyDescent="0.25">
      <c r="A5029" t="str">
        <f>"20190303170353224"</f>
        <v>20190303170353224</v>
      </c>
      <c r="B5029" t="str">
        <f>"1551603833210885"</f>
        <v>1551603833210885</v>
      </c>
      <c r="C5029" t="s">
        <v>40</v>
      </c>
      <c r="D5029">
        <v>4.3682639999999999</v>
      </c>
      <c r="E5029">
        <v>0.48964849999999999</v>
      </c>
      <c r="F5029" t="s">
        <v>90</v>
      </c>
      <c r="G5029">
        <v>-281.83839999999998</v>
      </c>
      <c r="H5029" s="1">
        <v>-6.0964130000000003E-6</v>
      </c>
      <c r="I5029">
        <v>144.75749999999999</v>
      </c>
      <c r="J5029">
        <v>-237.2696</v>
      </c>
      <c r="K5029">
        <v>1.1165830000000001</v>
      </c>
      <c r="L5029">
        <v>138.90090000000001</v>
      </c>
      <c r="M5029">
        <v>-0.9958823</v>
      </c>
      <c r="N5029">
        <v>-8.3043019999999995E-3</v>
      </c>
      <c r="O5029">
        <v>9.0274599999999997E-2</v>
      </c>
      <c r="P5029">
        <v>-0.96806959999999997</v>
      </c>
      <c r="Q5029">
        <v>0.1811566</v>
      </c>
      <c r="R5029">
        <v>0.17327419999999999</v>
      </c>
      <c r="S5029">
        <v>-3.0413060000000001</v>
      </c>
      <c r="T5029">
        <v>-7.5632690000000002E-2</v>
      </c>
      <c r="U5029">
        <v>0.3989258</v>
      </c>
      <c r="V5029">
        <v>8.7133939999999993E-2</v>
      </c>
      <c r="W5029">
        <v>0.18839139999999999</v>
      </c>
      <c r="X5029">
        <v>0.97822100000000001</v>
      </c>
      <c r="Y5029">
        <v>4.0009000000000003E-2</v>
      </c>
      <c r="Z5029">
        <v>-8.1907039999999903E-4</v>
      </c>
      <c r="AA5029">
        <v>0.99919899999999995</v>
      </c>
      <c r="AB5029">
        <v>33</v>
      </c>
      <c r="AC5029">
        <v>-44.568799999999896</v>
      </c>
      <c r="AD5029">
        <v>-1.1165890964129901</v>
      </c>
      <c r="AE5029">
        <v>5.8565999999999798</v>
      </c>
      <c r="AF5029">
        <v>1.8080005000336601</v>
      </c>
      <c r="AG5029">
        <v>-1.1165890964129901</v>
      </c>
      <c r="AH5029">
        <v>44.887833481601803</v>
      </c>
      <c r="AI5029">
        <v>91.423790083220695</v>
      </c>
      <c r="AJ5029">
        <v>87.693476720059493</v>
      </c>
      <c r="AK5029">
        <v>44.938104451460397</v>
      </c>
      <c r="AL5029">
        <v>79.141076816628001</v>
      </c>
      <c r="AM5029">
        <v>84.909876190192193</v>
      </c>
      <c r="AN5029">
        <v>0.99999998396744105</v>
      </c>
    </row>
    <row r="5030" spans="1:40" x14ac:dyDescent="0.25">
      <c r="A5030" t="str">
        <f>"20190303170353246"</f>
        <v>20190303170353246</v>
      </c>
      <c r="B5030" t="str">
        <f>"1551603833240164"</f>
        <v>1551603833240164</v>
      </c>
      <c r="C5030" t="s">
        <v>40</v>
      </c>
      <c r="D5030">
        <v>4.2671099999999997</v>
      </c>
      <c r="E5030">
        <v>0.48874640000000003</v>
      </c>
      <c r="F5030" t="s">
        <v>90</v>
      </c>
      <c r="G5030">
        <v>-281.4076</v>
      </c>
      <c r="H5030" s="1">
        <v>-5.9104250000000003E-6</v>
      </c>
      <c r="I5030">
        <v>144.7731</v>
      </c>
      <c r="J5030">
        <v>-237.60069999999999</v>
      </c>
      <c r="K5030">
        <v>1.116549</v>
      </c>
      <c r="L5030">
        <v>138.93530000000001</v>
      </c>
      <c r="M5030">
        <v>-0.99543879999999996</v>
      </c>
      <c r="N5030">
        <v>-8.2222379999999998E-3</v>
      </c>
      <c r="O5030">
        <v>9.5047809999999996E-2</v>
      </c>
      <c r="P5030">
        <v>-0.96765630000000002</v>
      </c>
      <c r="Q5030">
        <v>0.180312</v>
      </c>
      <c r="R5030">
        <v>0.17643410000000001</v>
      </c>
      <c r="S5030">
        <v>-3.0409389999999998</v>
      </c>
      <c r="T5030">
        <v>-7.6928620000000003E-2</v>
      </c>
      <c r="U5030">
        <v>0.40457149999999997</v>
      </c>
      <c r="V5030">
        <v>8.5619860000000006E-2</v>
      </c>
      <c r="W5030">
        <v>0.18748049999999999</v>
      </c>
      <c r="X5030">
        <v>0.9785296</v>
      </c>
      <c r="Y5030">
        <v>3.7059719999999997E-2</v>
      </c>
      <c r="Z5030">
        <v>-9.8726960000000002E-4</v>
      </c>
      <c r="AA5030">
        <v>0.9993126</v>
      </c>
      <c r="AB5030">
        <v>33</v>
      </c>
      <c r="AC5030">
        <v>-43.806899999999999</v>
      </c>
      <c r="AD5030">
        <v>-1.1165549104250001</v>
      </c>
      <c r="AE5030">
        <v>5.8377999999999801</v>
      </c>
      <c r="AF5030">
        <v>1.6464274019860701</v>
      </c>
      <c r="AG5030">
        <v>-1.1165549104250001</v>
      </c>
      <c r="AH5030">
        <v>44.135276920164799</v>
      </c>
      <c r="AI5030">
        <v>91.448179495575502</v>
      </c>
      <c r="AJ5030">
        <v>87.863622333603502</v>
      </c>
      <c r="AK5030">
        <v>44.180086994907903</v>
      </c>
      <c r="AL5030">
        <v>79.194213887723606</v>
      </c>
      <c r="AM5030">
        <v>84.999441402358997</v>
      </c>
      <c r="AN5030">
        <v>0.99999993819141197</v>
      </c>
    </row>
    <row r="5031" spans="1:40" x14ac:dyDescent="0.25">
      <c r="A5031" t="str">
        <f>"20190303170353270"</f>
        <v>20190303170353270</v>
      </c>
      <c r="B5031" t="str">
        <f>"1551603833260661"</f>
        <v>1551603833260661</v>
      </c>
      <c r="C5031" t="s">
        <v>40</v>
      </c>
      <c r="D5031">
        <v>4.3683759999999996</v>
      </c>
      <c r="E5031">
        <v>0.48841440000000003</v>
      </c>
      <c r="F5031" t="s">
        <v>42</v>
      </c>
      <c r="G5031">
        <v>-279.04489999999998</v>
      </c>
      <c r="H5031" s="1">
        <v>-1.690555E-6</v>
      </c>
      <c r="I5031">
        <v>144.49629999999999</v>
      </c>
      <c r="J5031">
        <v>-237.95419999999999</v>
      </c>
      <c r="K5031">
        <v>1.116517</v>
      </c>
      <c r="L5031">
        <v>138.97389999999999</v>
      </c>
      <c r="M5031">
        <v>-0.9949403</v>
      </c>
      <c r="N5031">
        <v>-8.1408969999999994E-3</v>
      </c>
      <c r="O5031">
        <v>0.1001383</v>
      </c>
      <c r="P5031">
        <v>-0.96713389999999999</v>
      </c>
      <c r="Q5031">
        <v>0.1794647</v>
      </c>
      <c r="R5031">
        <v>0.18012349999999999</v>
      </c>
      <c r="S5031">
        <v>-3.041153</v>
      </c>
      <c r="T5031">
        <v>-8.1932069999999996E-2</v>
      </c>
      <c r="U5031">
        <v>0.40806579999999998</v>
      </c>
      <c r="V5031">
        <v>8.4329199999999896E-2</v>
      </c>
      <c r="W5031">
        <v>0.18656529999999999</v>
      </c>
      <c r="X5031">
        <v>0.97881660000000004</v>
      </c>
      <c r="Y5031">
        <v>3.3070639999999998E-2</v>
      </c>
      <c r="Z5031">
        <v>-1.2849160000000001E-3</v>
      </c>
      <c r="AA5031">
        <v>0.99945220000000001</v>
      </c>
      <c r="AB5031">
        <v>33</v>
      </c>
      <c r="AC5031">
        <v>-41.090699999999998</v>
      </c>
      <c r="AD5031">
        <v>-1.116518690555</v>
      </c>
      <c r="AE5031">
        <v>5.5224000000000002</v>
      </c>
      <c r="AF5031">
        <v>1.37875118452002</v>
      </c>
      <c r="AG5031">
        <v>-1.116518690555</v>
      </c>
      <c r="AH5031">
        <v>41.407137730611403</v>
      </c>
      <c r="AI5031">
        <v>91.543717016345397</v>
      </c>
      <c r="AJ5031">
        <v>88.092902514056405</v>
      </c>
      <c r="AK5031">
        <v>41.445127866336698</v>
      </c>
      <c r="AL5031">
        <v>79.247593295941996</v>
      </c>
      <c r="AM5031">
        <v>85.075884824032201</v>
      </c>
      <c r="AN5031">
        <v>0.99999998078614405</v>
      </c>
    </row>
    <row r="5032" spans="1:40" x14ac:dyDescent="0.25">
      <c r="A5032" t="str">
        <f>"20190303170353290"</f>
        <v>20190303170353290</v>
      </c>
      <c r="B5032" t="str">
        <f>"1551603833280181"</f>
        <v>1551603833280181</v>
      </c>
      <c r="C5032" t="s">
        <v>40</v>
      </c>
      <c r="D5032">
        <v>4.3634950000000003</v>
      </c>
      <c r="E5032">
        <v>0.48786279999999999</v>
      </c>
      <c r="F5032" t="s">
        <v>42</v>
      </c>
      <c r="G5032">
        <v>-277.80939999999998</v>
      </c>
      <c r="H5032" s="1">
        <v>-2.2065800000000001E-6</v>
      </c>
      <c r="I5032">
        <v>144.44380000000001</v>
      </c>
      <c r="J5032">
        <v>-238.26769999999999</v>
      </c>
      <c r="K5032">
        <v>1.116492</v>
      </c>
      <c r="L5032">
        <v>139.00960000000001</v>
      </c>
      <c r="M5032">
        <v>-0.99447649999999999</v>
      </c>
      <c r="N5032">
        <v>-8.0763469999999993E-3</v>
      </c>
      <c r="O5032">
        <v>0.10464859999999999</v>
      </c>
      <c r="P5032">
        <v>-0.96623530000000002</v>
      </c>
      <c r="Q5032">
        <v>0.18075079999999999</v>
      </c>
      <c r="R5032">
        <v>0.18362590000000001</v>
      </c>
      <c r="S5032">
        <v>-3.0400390000000002</v>
      </c>
      <c r="T5032">
        <v>-8.5164790000000004E-2</v>
      </c>
      <c r="U5032">
        <v>0.4172363</v>
      </c>
      <c r="V5032">
        <v>8.3482239999999999E-2</v>
      </c>
      <c r="W5032">
        <v>0.18779199999999999</v>
      </c>
      <c r="X5032">
        <v>0.97865460000000004</v>
      </c>
      <c r="Y5032">
        <v>3.1550160000000001E-2</v>
      </c>
      <c r="Z5032">
        <v>-1.496584E-3</v>
      </c>
      <c r="AA5032">
        <v>0.99950099999999997</v>
      </c>
      <c r="AB5032">
        <v>33</v>
      </c>
      <c r="AC5032">
        <v>-39.541699999999899</v>
      </c>
      <c r="AD5032">
        <v>-1.1164942065799901</v>
      </c>
      <c r="AE5032">
        <v>5.4341999999999997</v>
      </c>
      <c r="AF5032">
        <v>1.2652518642053301</v>
      </c>
      <c r="AG5032">
        <v>-1.1164942065799901</v>
      </c>
      <c r="AH5032">
        <v>39.862081114979603</v>
      </c>
      <c r="AI5032">
        <v>91.603566823117305</v>
      </c>
      <c r="AJ5032">
        <v>88.182000051882596</v>
      </c>
      <c r="AK5032">
        <v>39.897781046198801</v>
      </c>
      <c r="AL5032">
        <v>79.176043899732903</v>
      </c>
      <c r="AM5032">
        <v>85.124297557540103</v>
      </c>
      <c r="AN5032">
        <v>0.99999997288028797</v>
      </c>
    </row>
    <row r="5033" spans="1:40" x14ac:dyDescent="0.25">
      <c r="A5033" t="str">
        <f>"20190303170353306"</f>
        <v>20190303170353306</v>
      </c>
      <c r="B5033" t="str">
        <f>"1551603833300677"</f>
        <v>1551603833300677</v>
      </c>
      <c r="C5033" t="s">
        <v>40</v>
      </c>
      <c r="D5033">
        <v>4.2548539999999999</v>
      </c>
      <c r="E5033">
        <v>0.48734949999999999</v>
      </c>
      <c r="F5033" t="s">
        <v>90</v>
      </c>
      <c r="G5033">
        <v>-280.05540000000002</v>
      </c>
      <c r="H5033" s="1">
        <v>-5.3322560000000002E-6</v>
      </c>
      <c r="I5033">
        <v>144.83949999999999</v>
      </c>
      <c r="J5033">
        <v>-238.49619999999999</v>
      </c>
      <c r="K5033">
        <v>1.1164689999999999</v>
      </c>
      <c r="L5033">
        <v>139.03659999999999</v>
      </c>
      <c r="M5033">
        <v>-0.99412590000000001</v>
      </c>
      <c r="N5033">
        <v>-8.0341409999999999E-3</v>
      </c>
      <c r="O5033">
        <v>0.1079319</v>
      </c>
      <c r="P5033">
        <v>-0.96557590000000004</v>
      </c>
      <c r="Q5033">
        <v>0.1811384</v>
      </c>
      <c r="R5033">
        <v>0.1866872</v>
      </c>
      <c r="S5033">
        <v>-3.0394290000000002</v>
      </c>
      <c r="T5033">
        <v>-8.1208589999999997E-2</v>
      </c>
      <c r="U5033">
        <v>0.42404170000000002</v>
      </c>
      <c r="V5033">
        <v>8.3369730000000003E-2</v>
      </c>
      <c r="W5033">
        <v>0.1881362</v>
      </c>
      <c r="X5033">
        <v>0.97859810000000003</v>
      </c>
      <c r="Y5033">
        <v>3.0472470000000001E-2</v>
      </c>
      <c r="Z5033">
        <v>-1.4659499999999999E-3</v>
      </c>
      <c r="AA5033">
        <v>0.99953449999999999</v>
      </c>
      <c r="AB5033">
        <v>34</v>
      </c>
      <c r="AC5033">
        <v>-41.559199999999997</v>
      </c>
      <c r="AD5033">
        <v>-1.116474332256</v>
      </c>
      <c r="AE5033">
        <v>5.8028999999999904</v>
      </c>
      <c r="AF5033">
        <v>1.2823832786070199</v>
      </c>
      <c r="AG5033">
        <v>-1.116474332256</v>
      </c>
      <c r="AH5033">
        <v>41.913075060991901</v>
      </c>
      <c r="AI5033">
        <v>91.525162341025705</v>
      </c>
      <c r="AJ5033">
        <v>88.247510236631499</v>
      </c>
      <c r="AK5033">
        <v>41.947549187958302</v>
      </c>
      <c r="AL5033">
        <v>79.155965003967495</v>
      </c>
      <c r="AM5033">
        <v>85.130557213364597</v>
      </c>
      <c r="AN5033">
        <v>0.99999999147716101</v>
      </c>
    </row>
    <row r="5034" spans="1:40" x14ac:dyDescent="0.25">
      <c r="A5034" t="str">
        <f>"20190303170353324"</f>
        <v>20190303170353324</v>
      </c>
      <c r="B5034" t="str">
        <f>"1551603833310441"</f>
        <v>1551603833310441</v>
      </c>
      <c r="C5034" t="s">
        <v>40</v>
      </c>
      <c r="D5034">
        <v>4.3024259999999996</v>
      </c>
      <c r="E5034">
        <v>0.48696739999999999</v>
      </c>
      <c r="F5034" t="s">
        <v>90</v>
      </c>
      <c r="G5034">
        <v>-280.93520000000001</v>
      </c>
      <c r="H5034" s="1">
        <v>-5.7864990000000002E-6</v>
      </c>
      <c r="I5034">
        <v>145.03749999999999</v>
      </c>
      <c r="J5034">
        <v>-238.76050000000001</v>
      </c>
      <c r="K5034">
        <v>1.116447</v>
      </c>
      <c r="L5034">
        <v>139.06870000000001</v>
      </c>
      <c r="M5034">
        <v>-0.99370709999999995</v>
      </c>
      <c r="N5034">
        <v>-7.9895609999999992E-3</v>
      </c>
      <c r="O5034">
        <v>0.1117247</v>
      </c>
      <c r="P5034">
        <v>-0.96498660000000003</v>
      </c>
      <c r="Q5034">
        <v>0.1811374</v>
      </c>
      <c r="R5034">
        <v>0.1897103</v>
      </c>
      <c r="S5034">
        <v>-3.0388790000000001</v>
      </c>
      <c r="T5034">
        <v>-7.9946160000000002E-2</v>
      </c>
      <c r="U5034">
        <v>0.4297028</v>
      </c>
      <c r="V5034">
        <v>8.2705329999999994E-2</v>
      </c>
      <c r="W5034">
        <v>0.1880964</v>
      </c>
      <c r="X5034">
        <v>0.97866209999999998</v>
      </c>
      <c r="Y5034">
        <v>2.8510130000000002E-2</v>
      </c>
      <c r="Z5034">
        <v>-1.534999E-3</v>
      </c>
      <c r="AA5034">
        <v>0.99959229999999999</v>
      </c>
      <c r="AB5034">
        <v>34</v>
      </c>
      <c r="AC5034">
        <v>-42.174700000000001</v>
      </c>
      <c r="AD5034">
        <v>-1.1164527864989999</v>
      </c>
      <c r="AE5034">
        <v>5.9687999999999803</v>
      </c>
      <c r="AF5034">
        <v>1.2184850116078401</v>
      </c>
      <c r="AG5034">
        <v>-1.1164527864989999</v>
      </c>
      <c r="AH5034">
        <v>42.5482881067771</v>
      </c>
      <c r="AI5034">
        <v>91.502461415085904</v>
      </c>
      <c r="AJ5034">
        <v>88.3596291223419</v>
      </c>
      <c r="AK5034">
        <v>42.5803709867035</v>
      </c>
      <c r="AL5034">
        <v>79.158286555557197</v>
      </c>
      <c r="AM5034">
        <v>85.169493395456698</v>
      </c>
      <c r="AN5034">
        <v>0.99999996663988799</v>
      </c>
    </row>
    <row r="5035" spans="1:40" x14ac:dyDescent="0.25">
      <c r="A5035" t="str">
        <f>"20190303170353347"</f>
        <v>20190303170353347</v>
      </c>
      <c r="B5035" t="str">
        <f>"1551603833340698"</f>
        <v>1551603833340698</v>
      </c>
      <c r="C5035" t="s">
        <v>40</v>
      </c>
      <c r="D5035">
        <v>4.3653959999999996</v>
      </c>
      <c r="E5035">
        <v>0.47927649999999999</v>
      </c>
      <c r="F5035" t="s">
        <v>90</v>
      </c>
      <c r="G5035">
        <v>-281.24669999999998</v>
      </c>
      <c r="H5035" s="1">
        <v>-5.9698469999999901E-6</v>
      </c>
      <c r="I5035">
        <v>145.1772</v>
      </c>
      <c r="J5035">
        <v>-239.11750000000001</v>
      </c>
      <c r="K5035">
        <v>1.1164240000000001</v>
      </c>
      <c r="L5035">
        <v>139.11359999999999</v>
      </c>
      <c r="M5035">
        <v>-0.99311959999999999</v>
      </c>
      <c r="N5035">
        <v>-7.9367099999999996E-3</v>
      </c>
      <c r="O5035">
        <v>0.11683640000000001</v>
      </c>
      <c r="P5035">
        <v>-0.96463940000000004</v>
      </c>
      <c r="Q5035">
        <v>0.17983879999999999</v>
      </c>
      <c r="R5035">
        <v>0.1926889</v>
      </c>
      <c r="S5035">
        <v>-3.0380099999999999</v>
      </c>
      <c r="T5035">
        <v>-7.9832910000000007E-2</v>
      </c>
      <c r="U5035">
        <v>0.43679810000000002</v>
      </c>
      <c r="V5035">
        <v>8.0653269999999999E-2</v>
      </c>
      <c r="W5035">
        <v>0.18676760000000001</v>
      </c>
      <c r="X5035">
        <v>0.97908779999999995</v>
      </c>
      <c r="Y5035">
        <v>2.5696409999999999E-2</v>
      </c>
      <c r="Z5035">
        <v>-1.678047E-3</v>
      </c>
      <c r="AA5035">
        <v>0.99966840000000001</v>
      </c>
      <c r="AB5035">
        <v>34</v>
      </c>
      <c r="AC5035">
        <v>-42.129199999999898</v>
      </c>
      <c r="AD5035">
        <v>-1.1164299698469999</v>
      </c>
      <c r="AE5035">
        <v>6.0636000000000001</v>
      </c>
      <c r="AF5035">
        <v>1.09893435538273</v>
      </c>
      <c r="AG5035">
        <v>-1.1164299698469999</v>
      </c>
      <c r="AH5035">
        <v>42.519863821419598</v>
      </c>
      <c r="AI5035">
        <v>91.503548864954695</v>
      </c>
      <c r="AJ5035">
        <v>88.519508743166</v>
      </c>
      <c r="AK5035">
        <v>42.548711989754501</v>
      </c>
      <c r="AL5035">
        <v>79.235795229276405</v>
      </c>
      <c r="AM5035">
        <v>85.290839356559204</v>
      </c>
      <c r="AN5035">
        <v>1.0000000032401399</v>
      </c>
    </row>
    <row r="5036" spans="1:40" x14ac:dyDescent="0.25">
      <c r="A5036" t="str">
        <f>"20190303170353369"</f>
        <v>20190303170353369</v>
      </c>
      <c r="B5036" t="str">
        <f>"1551603833360217"</f>
        <v>1551603833360217</v>
      </c>
      <c r="C5036" t="s">
        <v>40</v>
      </c>
      <c r="D5036">
        <v>4.4903899999999997</v>
      </c>
      <c r="E5036">
        <v>0.47918129999999998</v>
      </c>
      <c r="F5036" t="s">
        <v>90</v>
      </c>
      <c r="G5036">
        <v>-283.31790000000001</v>
      </c>
      <c r="H5036" s="1">
        <v>-6.7452789999999997E-6</v>
      </c>
      <c r="I5036">
        <v>144.73509999999999</v>
      </c>
      <c r="J5036">
        <v>-239.45400000000001</v>
      </c>
      <c r="K5036">
        <v>1.1164019999999999</v>
      </c>
      <c r="L5036">
        <v>139.15770000000001</v>
      </c>
      <c r="M5036">
        <v>-0.99254310000000001</v>
      </c>
      <c r="N5036">
        <v>-7.8941040000000007E-3</v>
      </c>
      <c r="O5036">
        <v>0.1216381</v>
      </c>
      <c r="P5036">
        <v>-0.96420779999999995</v>
      </c>
      <c r="Q5036">
        <v>0.17927660000000001</v>
      </c>
      <c r="R5036">
        <v>0.195354</v>
      </c>
      <c r="S5036">
        <v>-3.0469059999999999</v>
      </c>
      <c r="T5036">
        <v>-7.6959970000000003E-2</v>
      </c>
      <c r="U5036">
        <v>0.38751219999999997</v>
      </c>
      <c r="V5036">
        <v>7.8606860000000001E-2</v>
      </c>
      <c r="W5036">
        <v>0.1861853</v>
      </c>
      <c r="X5036">
        <v>0.97936509999999999</v>
      </c>
      <c r="Y5036">
        <v>4.5750359999999898E-3</v>
      </c>
      <c r="Z5036">
        <v>-2.0124040000000002E-3</v>
      </c>
      <c r="AA5036">
        <v>0.99998750000000003</v>
      </c>
      <c r="AB5036">
        <v>34</v>
      </c>
      <c r="AC5036">
        <v>-43.863900000000001</v>
      </c>
      <c r="AD5036">
        <v>-1.1164087452789999</v>
      </c>
      <c r="AE5036">
        <v>5.5773999999999804</v>
      </c>
      <c r="AF5036">
        <v>0.20016707485367599</v>
      </c>
      <c r="AG5036">
        <v>-1.1164087452789999</v>
      </c>
      <c r="AH5036">
        <v>44.188445228585302</v>
      </c>
      <c r="AI5036">
        <v>91.447239170628194</v>
      </c>
      <c r="AJ5036">
        <v>89.740460428425394</v>
      </c>
      <c r="AK5036">
        <v>44.2029990731859</v>
      </c>
      <c r="AL5036">
        <v>79.2697542058485</v>
      </c>
      <c r="AM5036">
        <v>85.411101499498599</v>
      </c>
      <c r="AN5036">
        <v>1.00000000173657</v>
      </c>
    </row>
    <row r="5037" spans="1:40" x14ac:dyDescent="0.25">
      <c r="A5037" t="str">
        <f>"20190303170353391"</f>
        <v>20190303170353391</v>
      </c>
      <c r="B5037" t="str">
        <f>"1551603833380713"</f>
        <v>1551603833380713</v>
      </c>
      <c r="C5037" t="s">
        <v>40</v>
      </c>
      <c r="D5037">
        <v>4.3073620000000004</v>
      </c>
      <c r="E5037">
        <v>0.47955370000000003</v>
      </c>
      <c r="F5037" t="s">
        <v>90</v>
      </c>
      <c r="G5037">
        <v>-281.48869999999999</v>
      </c>
      <c r="H5037" s="1">
        <v>-5.8974719999999999E-6</v>
      </c>
      <c r="I5037">
        <v>144.62190000000001</v>
      </c>
      <c r="J5037">
        <v>-239.7783</v>
      </c>
      <c r="K5037">
        <v>1.116387</v>
      </c>
      <c r="L5037">
        <v>139.20160000000001</v>
      </c>
      <c r="M5037">
        <v>-0.99196870000000004</v>
      </c>
      <c r="N5037">
        <v>-7.8591110000000002E-3</v>
      </c>
      <c r="O5037">
        <v>0.12623969999999901</v>
      </c>
      <c r="P5037">
        <v>-0.9635939</v>
      </c>
      <c r="Q5037">
        <v>0.17955750000000001</v>
      </c>
      <c r="R5037">
        <v>0.19810649999999999</v>
      </c>
      <c r="S5037">
        <v>-3.0461580000000001</v>
      </c>
      <c r="T5037">
        <v>-8.0903530000000001E-2</v>
      </c>
      <c r="U5037">
        <v>0.39598080000000002</v>
      </c>
      <c r="V5037">
        <v>7.687078E-2</v>
      </c>
      <c r="W5037">
        <v>0.18645049999999999</v>
      </c>
      <c r="X5037">
        <v>0.9794524</v>
      </c>
      <c r="Y5037">
        <v>2.7074690000000001E-3</v>
      </c>
      <c r="Z5037">
        <v>-2.2863240000000002E-3</v>
      </c>
      <c r="AA5037">
        <v>0.99999369999999999</v>
      </c>
      <c r="AB5037">
        <v>34</v>
      </c>
      <c r="AC5037">
        <v>-41.7103999999999</v>
      </c>
      <c r="AD5037">
        <v>-1.1163928974719901</v>
      </c>
      <c r="AE5037">
        <v>5.4202999999999903</v>
      </c>
      <c r="AF5037">
        <v>0.11118466261943601</v>
      </c>
      <c r="AG5037">
        <v>-1.1163928974719901</v>
      </c>
      <c r="AH5037">
        <v>42.031354054086599</v>
      </c>
      <c r="AI5037">
        <v>91.521467567761604</v>
      </c>
      <c r="AJ5037">
        <v>89.848437025189398</v>
      </c>
      <c r="AK5037">
        <v>42.046324675894198</v>
      </c>
      <c r="AL5037">
        <v>79.254288043797104</v>
      </c>
      <c r="AM5037">
        <v>85.512429791144399</v>
      </c>
      <c r="AN5037">
        <v>0.99999995481690795</v>
      </c>
    </row>
    <row r="5038" spans="1:40" x14ac:dyDescent="0.25">
      <c r="A5038" t="str">
        <f>"20190303170353415"</f>
        <v>20190303170353415</v>
      </c>
      <c r="B5038" t="str">
        <f>"1551603833400232"</f>
        <v>1551603833400232</v>
      </c>
      <c r="C5038" t="s">
        <v>40</v>
      </c>
      <c r="D5038">
        <v>4.3581000000000003</v>
      </c>
      <c r="E5038">
        <v>0.47980869999999998</v>
      </c>
      <c r="F5038" t="s">
        <v>90</v>
      </c>
      <c r="G5038">
        <v>-280.51220000000001</v>
      </c>
      <c r="H5038" s="1">
        <v>-5.4610319999999999E-6</v>
      </c>
      <c r="I5038">
        <v>144.6113</v>
      </c>
      <c r="J5038">
        <v>-240.14259999999999</v>
      </c>
      <c r="K5038">
        <v>1.116398</v>
      </c>
      <c r="L5038">
        <v>139.2527</v>
      </c>
      <c r="M5038">
        <v>-0.9913035</v>
      </c>
      <c r="N5038">
        <v>-7.8254150000000005E-3</v>
      </c>
      <c r="O5038">
        <v>0.13136339999999999</v>
      </c>
      <c r="P5038">
        <v>-0.96268500000000001</v>
      </c>
      <c r="Q5038">
        <v>0.18036140000000001</v>
      </c>
      <c r="R5038">
        <v>0.2017613</v>
      </c>
      <c r="S5038">
        <v>-3.0457610000000002</v>
      </c>
      <c r="T5038">
        <v>-8.3474989999999999E-2</v>
      </c>
      <c r="U5038">
        <v>0.4044952</v>
      </c>
      <c r="V5038">
        <v>7.55493E-2</v>
      </c>
      <c r="W5038">
        <v>0.18723600000000001</v>
      </c>
      <c r="X5038">
        <v>0.97940539999999998</v>
      </c>
      <c r="Y5038">
        <v>3.0933860000000003E-4</v>
      </c>
      <c r="Z5038">
        <v>-2.5350490000000002E-3</v>
      </c>
      <c r="AA5038">
        <v>0.99999669999999896</v>
      </c>
      <c r="AB5038">
        <v>34</v>
      </c>
      <c r="AC5038">
        <v>-40.369599999999998</v>
      </c>
      <c r="AD5038">
        <v>-1.1164034610319999</v>
      </c>
      <c r="AE5038">
        <v>5.3585999999999903</v>
      </c>
      <c r="AF5038">
        <v>8.9046022814001004E-3</v>
      </c>
      <c r="AG5038">
        <v>-1.1164034610319999</v>
      </c>
      <c r="AH5038">
        <v>40.693110137635102</v>
      </c>
      <c r="AI5038">
        <v>91.571498564887506</v>
      </c>
      <c r="AJ5038">
        <v>89.987462346350497</v>
      </c>
      <c r="AK5038">
        <v>40.708422330685401</v>
      </c>
      <c r="AL5038">
        <v>79.208475675672602</v>
      </c>
      <c r="AM5038">
        <v>85.589057386158402</v>
      </c>
      <c r="AN5038">
        <v>0.99999997698782395</v>
      </c>
    </row>
    <row r="5039" spans="1:40" x14ac:dyDescent="0.25">
      <c r="A5039" t="str">
        <f>"20190303170353436"</f>
        <v>20190303170353436</v>
      </c>
      <c r="B5039" t="str">
        <f>"1551603833430995"</f>
        <v>1551603833430995</v>
      </c>
      <c r="C5039" t="s">
        <v>40</v>
      </c>
      <c r="D5039">
        <v>4.2663330000000004</v>
      </c>
      <c r="E5039">
        <v>0.50540090000000004</v>
      </c>
      <c r="F5039" t="s">
        <v>90</v>
      </c>
      <c r="G5039">
        <v>-282.74590000000001</v>
      </c>
      <c r="H5039" s="1">
        <v>-6.6041330000000003E-6</v>
      </c>
      <c r="I5039">
        <v>145.08279999999999</v>
      </c>
      <c r="J5039">
        <v>-240.4742</v>
      </c>
      <c r="K5039">
        <v>1.1164160000000001</v>
      </c>
      <c r="L5039">
        <v>139.30099999999999</v>
      </c>
      <c r="M5039">
        <v>-0.99068469999999997</v>
      </c>
      <c r="N5039">
        <v>-7.8037430000000001E-3</v>
      </c>
      <c r="O5039">
        <v>0.1359524</v>
      </c>
      <c r="P5039">
        <v>-0.96239960000000002</v>
      </c>
      <c r="Q5039">
        <v>0.1795937</v>
      </c>
      <c r="R5039">
        <v>0.2037976</v>
      </c>
      <c r="S5039">
        <v>-3.04393</v>
      </c>
      <c r="T5039">
        <v>-7.9765199999999994E-2</v>
      </c>
      <c r="U5039">
        <v>0.41654970000000002</v>
      </c>
      <c r="V5039">
        <v>7.3043520000000001E-2</v>
      </c>
      <c r="W5039">
        <v>0.18648039999999999</v>
      </c>
      <c r="X5039">
        <v>0.97973960000000004</v>
      </c>
      <c r="Y5039">
        <v>-3.5524310000000002E-4</v>
      </c>
      <c r="Z5039">
        <v>-2.4742029999999999E-3</v>
      </c>
      <c r="AA5039">
        <v>0.99999689999999997</v>
      </c>
      <c r="AB5039">
        <v>34</v>
      </c>
      <c r="AC5039">
        <v>-42.271700000000003</v>
      </c>
      <c r="AD5039">
        <v>-1.1164226041329901</v>
      </c>
      <c r="AE5039">
        <v>5.7817999999999703</v>
      </c>
      <c r="AF5039">
        <v>-1.89858460681291E-2</v>
      </c>
      <c r="AG5039">
        <v>-1.1164226041329901</v>
      </c>
      <c r="AH5039">
        <v>42.636078979488197</v>
      </c>
      <c r="AI5039">
        <v>91.4999428903254</v>
      </c>
      <c r="AJ5039">
        <v>90.025513809063199</v>
      </c>
      <c r="AK5039">
        <v>42.6506974226509</v>
      </c>
      <c r="AL5039">
        <v>79.252544695911396</v>
      </c>
      <c r="AM5039">
        <v>85.736257689526795</v>
      </c>
      <c r="AN5039">
        <v>0.99999998960315495</v>
      </c>
    </row>
    <row r="5040" spans="1:40" x14ac:dyDescent="0.25">
      <c r="A5040" t="str">
        <f>"20190303170353459"</f>
        <v>20190303170353459</v>
      </c>
      <c r="B5040" t="str">
        <f>"1551603833450515"</f>
        <v>1551603833450515</v>
      </c>
      <c r="C5040" t="s">
        <v>40</v>
      </c>
      <c r="D5040">
        <v>4.3002339999999997</v>
      </c>
      <c r="E5040">
        <v>0.50735169999999996</v>
      </c>
      <c r="F5040" t="s">
        <v>90</v>
      </c>
      <c r="G5040">
        <v>-296.81049999999999</v>
      </c>
      <c r="H5040" s="1">
        <v>-1.1308319999999999E-5</v>
      </c>
      <c r="I5040">
        <v>151.05099999999999</v>
      </c>
      <c r="J5040">
        <v>-240.8151</v>
      </c>
      <c r="K5040">
        <v>1.116449</v>
      </c>
      <c r="L5040">
        <v>139.35210000000001</v>
      </c>
      <c r="M5040">
        <v>-0.99003909999999995</v>
      </c>
      <c r="N5040">
        <v>-7.7930119999999898E-3</v>
      </c>
      <c r="O5040">
        <v>0.14057709999999901</v>
      </c>
      <c r="P5040">
        <v>-0.96271269999999998</v>
      </c>
      <c r="Q5040">
        <v>0.17642629999999901</v>
      </c>
      <c r="R5040">
        <v>0.20508109999999999</v>
      </c>
      <c r="S5040">
        <v>-2.9959560000000001</v>
      </c>
      <c r="T5040">
        <v>-5.9371470000000003E-2</v>
      </c>
      <c r="U5040">
        <v>0.62486269999999999</v>
      </c>
      <c r="V5040">
        <v>6.9634630000000003E-2</v>
      </c>
      <c r="W5040">
        <v>0.1833525</v>
      </c>
      <c r="X5040">
        <v>0.98057780000000005</v>
      </c>
      <c r="Y5040">
        <v>6.4519960000000001E-2</v>
      </c>
      <c r="Z5040">
        <v>-7.6201839999999997E-4</v>
      </c>
      <c r="AA5040">
        <v>0.99791609999999997</v>
      </c>
      <c r="AB5040">
        <v>34</v>
      </c>
      <c r="AC5040">
        <v>-55.995399999999897</v>
      </c>
      <c r="AD5040">
        <v>-1.11646030832</v>
      </c>
      <c r="AE5040">
        <v>11.6989</v>
      </c>
      <c r="AF5040">
        <v>3.7093970698388001</v>
      </c>
      <c r="AG5040">
        <v>-1.11646030832</v>
      </c>
      <c r="AH5040">
        <v>57.062228419457099</v>
      </c>
      <c r="AI5040">
        <v>91.118526630849402</v>
      </c>
      <c r="AJ5040">
        <v>86.280653850734694</v>
      </c>
      <c r="AK5040">
        <v>57.1935662678599</v>
      </c>
      <c r="AL5040">
        <v>79.434905000196295</v>
      </c>
      <c r="AM5040">
        <v>85.938023619873704</v>
      </c>
      <c r="AN5040">
        <v>0.99999997140216301</v>
      </c>
    </row>
    <row r="5041" spans="1:40" x14ac:dyDescent="0.25">
      <c r="A5041" t="str">
        <f>"20190303170353480"</f>
        <v>20190303170353480</v>
      </c>
      <c r="B5041" t="str">
        <f>"1551603833471011"</f>
        <v>1551603833471011</v>
      </c>
      <c r="C5041" t="s">
        <v>40</v>
      </c>
      <c r="D5041">
        <v>4.4252539999999998</v>
      </c>
      <c r="E5041">
        <v>0.50806179999999901</v>
      </c>
      <c r="F5041" t="s">
        <v>90</v>
      </c>
      <c r="G5041">
        <v>-288.76089999999999</v>
      </c>
      <c r="H5041" s="1">
        <v>-1.105476E-5</v>
      </c>
      <c r="I5041">
        <v>149.68860000000001</v>
      </c>
      <c r="J5041">
        <v>-241.14240000000001</v>
      </c>
      <c r="K5041">
        <v>1.116487</v>
      </c>
      <c r="L5041">
        <v>139.40270000000001</v>
      </c>
      <c r="M5041">
        <v>-0.98941000000000001</v>
      </c>
      <c r="N5041">
        <v>-7.7911259999999998E-3</v>
      </c>
      <c r="O5041">
        <v>0.14493809999999999</v>
      </c>
      <c r="P5041">
        <v>-0.9630784</v>
      </c>
      <c r="Q5041">
        <v>0.1738567</v>
      </c>
      <c r="R5041">
        <v>0.2055573</v>
      </c>
      <c r="S5041">
        <v>-2.9915769999999999</v>
      </c>
      <c r="T5041">
        <v>-6.9661379999999995E-2</v>
      </c>
      <c r="U5041">
        <v>0.64494319999999905</v>
      </c>
      <c r="V5041">
        <v>6.5677100000000002E-2</v>
      </c>
      <c r="W5041">
        <v>0.18083560000000001</v>
      </c>
      <c r="X5041">
        <v>0.98131800000000002</v>
      </c>
      <c r="Y5041">
        <v>6.6824910000000001E-2</v>
      </c>
      <c r="Z5041">
        <v>-1.1584410000000001E-3</v>
      </c>
      <c r="AA5041">
        <v>0.99776410000000004</v>
      </c>
      <c r="AB5041">
        <v>34</v>
      </c>
      <c r="AC5041">
        <v>-47.618499999999898</v>
      </c>
      <c r="AD5041">
        <v>-1.1164980547600001</v>
      </c>
      <c r="AE5041">
        <v>10.2858999999999</v>
      </c>
      <c r="AF5041">
        <v>3.2736175331132502</v>
      </c>
      <c r="AG5041">
        <v>-1.1164980547600001</v>
      </c>
      <c r="AH5041">
        <v>48.580999746494598</v>
      </c>
      <c r="AI5041">
        <v>91.313573223796496</v>
      </c>
      <c r="AJ5041">
        <v>86.144967191580207</v>
      </c>
      <c r="AK5041">
        <v>48.703969817955198</v>
      </c>
      <c r="AL5041">
        <v>79.581565151722401</v>
      </c>
      <c r="AM5041">
        <v>86.171050414663398</v>
      </c>
      <c r="AN5041">
        <v>1.00000000640788</v>
      </c>
    </row>
    <row r="5042" spans="1:40" x14ac:dyDescent="0.25">
      <c r="A5042" t="str">
        <f>"20190303170353502"</f>
        <v>20190303170353502</v>
      </c>
      <c r="B5042" t="str">
        <f>"1551603833490531"</f>
        <v>1551603833490531</v>
      </c>
      <c r="C5042" t="s">
        <v>40</v>
      </c>
      <c r="D5042">
        <v>4.3506720000000003</v>
      </c>
      <c r="E5042">
        <v>0.50846639999999999</v>
      </c>
      <c r="F5042" t="s">
        <v>90</v>
      </c>
      <c r="G5042">
        <v>-284.44959999999998</v>
      </c>
      <c r="H5042" s="1">
        <v>-8.5862049999999996E-6</v>
      </c>
      <c r="I5042">
        <v>148.8732</v>
      </c>
      <c r="J5042">
        <v>-241.47450000000001</v>
      </c>
      <c r="K5042">
        <v>1.1165400000000001</v>
      </c>
      <c r="L5042">
        <v>139.45529999999999</v>
      </c>
      <c r="M5042">
        <v>-0.98876739999999996</v>
      </c>
      <c r="N5042">
        <v>-7.7987849999999999E-3</v>
      </c>
      <c r="O5042">
        <v>0.14925949999999999</v>
      </c>
      <c r="P5042">
        <v>-0.96283249999999998</v>
      </c>
      <c r="Q5042">
        <v>0.17433999999999999</v>
      </c>
      <c r="R5042">
        <v>0.2062995</v>
      </c>
      <c r="S5042">
        <v>-2.989395</v>
      </c>
      <c r="T5042">
        <v>-7.7069040000000005E-2</v>
      </c>
      <c r="U5042">
        <v>0.65373230000000004</v>
      </c>
      <c r="V5042">
        <v>6.213312E-2</v>
      </c>
      <c r="W5042">
        <v>0.18137300000000001</v>
      </c>
      <c r="X5042">
        <v>0.98144960000000003</v>
      </c>
      <c r="Y5042">
        <v>6.5419199999999997E-2</v>
      </c>
      <c r="Z5042">
        <v>-1.5267709999999999E-3</v>
      </c>
      <c r="AA5042">
        <v>0.99785670000000004</v>
      </c>
      <c r="AB5042">
        <v>34</v>
      </c>
      <c r="AC5042">
        <v>-42.975099999999898</v>
      </c>
      <c r="AD5042">
        <v>-1.116548586205</v>
      </c>
      <c r="AE5042">
        <v>9.4178999999999995</v>
      </c>
      <c r="AF5042">
        <v>2.8958931769373901</v>
      </c>
      <c r="AG5042">
        <v>-1.116548586205</v>
      </c>
      <c r="AH5042">
        <v>43.871162607230403</v>
      </c>
      <c r="AI5042">
        <v>91.454734308726998</v>
      </c>
      <c r="AJ5042">
        <v>86.223439503621194</v>
      </c>
      <c r="AK5042">
        <v>43.9808115721804</v>
      </c>
      <c r="AL5042">
        <v>79.550256649046702</v>
      </c>
      <c r="AM5042">
        <v>86.377581666508803</v>
      </c>
      <c r="AN5042">
        <v>1.00000000353504</v>
      </c>
    </row>
    <row r="5043" spans="1:40" x14ac:dyDescent="0.25">
      <c r="A5043" t="str">
        <f>"20190303170353526"</f>
        <v>20190303170353526</v>
      </c>
      <c r="B5043" t="str">
        <f>"1551603833510528"</f>
        <v>1551603833510528</v>
      </c>
      <c r="C5043" t="s">
        <v>40</v>
      </c>
      <c r="D5043">
        <v>4.4851279999999996</v>
      </c>
      <c r="E5043">
        <v>0.5086212</v>
      </c>
      <c r="F5043" t="s">
        <v>90</v>
      </c>
      <c r="G5043">
        <v>-285.83929999999998</v>
      </c>
      <c r="H5043" s="1">
        <v>-9.4158140000000005E-6</v>
      </c>
      <c r="I5043">
        <v>149.26150000000001</v>
      </c>
      <c r="J5043">
        <v>-241.82929999999999</v>
      </c>
      <c r="K5043">
        <v>1.11663</v>
      </c>
      <c r="L5043">
        <v>139.51310000000001</v>
      </c>
      <c r="M5043">
        <v>-0.98808320000000005</v>
      </c>
      <c r="N5043">
        <v>-7.8162409999999998E-3</v>
      </c>
      <c r="O5043">
        <v>0.15372179999999999</v>
      </c>
      <c r="P5043">
        <v>-0.96201360000000002</v>
      </c>
      <c r="Q5043">
        <v>0.17694570000000001</v>
      </c>
      <c r="R5043">
        <v>0.2078942</v>
      </c>
      <c r="S5043">
        <v>-2.9878999999999998</v>
      </c>
      <c r="T5043">
        <v>-7.5197819999999999E-2</v>
      </c>
      <c r="U5043">
        <v>0.66043090000000004</v>
      </c>
      <c r="V5043">
        <v>5.9385309999999997E-2</v>
      </c>
      <c r="W5043">
        <v>0.18403349999999999</v>
      </c>
      <c r="X5043">
        <v>0.98112440000000001</v>
      </c>
      <c r="Y5043">
        <v>6.3153319999999999E-2</v>
      </c>
      <c r="Z5043">
        <v>-1.5640369999999999E-3</v>
      </c>
      <c r="AA5043">
        <v>0.99800259999999996</v>
      </c>
      <c r="AB5043">
        <v>34</v>
      </c>
      <c r="AC5043">
        <v>-44.009999999999899</v>
      </c>
      <c r="AD5043">
        <v>-1.1166394158140001</v>
      </c>
      <c r="AE5043">
        <v>9.7484000000000002</v>
      </c>
      <c r="AF5043">
        <v>2.8652633078793701</v>
      </c>
      <c r="AG5043">
        <v>-1.1166394158140001</v>
      </c>
      <c r="AH5043">
        <v>44.957871336868003</v>
      </c>
      <c r="AI5043">
        <v>91.419909632348094</v>
      </c>
      <c r="AJ5043">
        <v>86.353346841777096</v>
      </c>
      <c r="AK5043">
        <v>45.0629205949948</v>
      </c>
      <c r="AL5043">
        <v>79.395211608819807</v>
      </c>
      <c r="AM5043">
        <v>86.536237857729006</v>
      </c>
      <c r="AN5043">
        <v>1.0000000162206999</v>
      </c>
    </row>
    <row r="5044" spans="1:40" x14ac:dyDescent="0.25">
      <c r="A5044" t="str">
        <f>"20190303170353548"</f>
        <v>20190303170353548</v>
      </c>
      <c r="B5044" t="str">
        <f>"1551603833540784"</f>
        <v>1551603833540784</v>
      </c>
      <c r="C5044" t="s">
        <v>40</v>
      </c>
      <c r="D5044">
        <v>4.4267539999999999</v>
      </c>
      <c r="E5044">
        <v>0.5085769</v>
      </c>
      <c r="F5044" t="s">
        <v>90</v>
      </c>
      <c r="G5044">
        <v>-291.34129999999999</v>
      </c>
      <c r="H5044" s="1">
        <v>-1.17390899999999E-5</v>
      </c>
      <c r="I5044">
        <v>150.57040000000001</v>
      </c>
      <c r="J5044">
        <v>-242.1849</v>
      </c>
      <c r="K5044">
        <v>1.11677</v>
      </c>
      <c r="L5044">
        <v>139.57249999999999</v>
      </c>
      <c r="M5044">
        <v>-0.98741199999999996</v>
      </c>
      <c r="N5044">
        <v>-7.83937E-3</v>
      </c>
      <c r="O5044">
        <v>0.15797530000000001</v>
      </c>
      <c r="P5044">
        <v>-0.96121880000000004</v>
      </c>
      <c r="Q5044">
        <v>0.1786972</v>
      </c>
      <c r="R5044">
        <v>0.21006140000000001</v>
      </c>
      <c r="S5044">
        <v>-2.98671</v>
      </c>
      <c r="T5044">
        <v>-6.7359210000000003E-2</v>
      </c>
      <c r="U5044">
        <v>0.66700740000000003</v>
      </c>
      <c r="V5044">
        <v>5.7379640000000003E-2</v>
      </c>
      <c r="W5044">
        <v>0.18584329999999999</v>
      </c>
      <c r="X5044">
        <v>0.98090259999999996</v>
      </c>
      <c r="Y5044">
        <v>6.103281E-2</v>
      </c>
      <c r="Z5044">
        <v>-1.338105E-3</v>
      </c>
      <c r="AA5044">
        <v>0.99813490000000005</v>
      </c>
      <c r="AB5044">
        <v>34</v>
      </c>
      <c r="AC5044">
        <v>-49.156399999999898</v>
      </c>
      <c r="AD5044">
        <v>-1.1167817390899999</v>
      </c>
      <c r="AE5044">
        <v>10.9979</v>
      </c>
      <c r="AF5044">
        <v>3.0925361819395398</v>
      </c>
      <c r="AG5044">
        <v>-1.1167817390899999</v>
      </c>
      <c r="AH5044">
        <v>50.251856885020203</v>
      </c>
      <c r="AI5044">
        <v>91.2707109395202</v>
      </c>
      <c r="AJ5044">
        <v>86.478416884170798</v>
      </c>
      <c r="AK5044">
        <v>50.359309982186197</v>
      </c>
      <c r="AL5044">
        <v>79.289697769289006</v>
      </c>
      <c r="AM5044">
        <v>86.652196708298703</v>
      </c>
      <c r="AN5044">
        <v>1.0000000329640799</v>
      </c>
    </row>
    <row r="5045" spans="1:40" x14ac:dyDescent="0.25">
      <c r="A5045" t="str">
        <f>"20190303170353571"</f>
        <v>20190303170353571</v>
      </c>
      <c r="B5045" t="str">
        <f>"1551603833560303"</f>
        <v>1551603833560303</v>
      </c>
      <c r="C5045" t="s">
        <v>40</v>
      </c>
      <c r="D5045">
        <v>4.2716019999999997</v>
      </c>
      <c r="E5045">
        <v>0.50850240000000002</v>
      </c>
      <c r="F5045" t="s">
        <v>90</v>
      </c>
      <c r="G5045">
        <v>-296.84870000000001</v>
      </c>
      <c r="H5045" s="1">
        <v>-1.163682E-5</v>
      </c>
      <c r="I5045">
        <v>151.8844</v>
      </c>
      <c r="J5045">
        <v>-242.5197</v>
      </c>
      <c r="K5045">
        <v>1.116951</v>
      </c>
      <c r="L5045">
        <v>139.62960000000001</v>
      </c>
      <c r="M5045">
        <v>-0.98680650000000003</v>
      </c>
      <c r="N5045">
        <v>-7.8670809999999997E-3</v>
      </c>
      <c r="O5045">
        <v>0.1617132</v>
      </c>
      <c r="P5045">
        <v>-0.96092500000000003</v>
      </c>
      <c r="Q5045">
        <v>0.17857239999999999</v>
      </c>
      <c r="R5045">
        <v>0.21150620000000001</v>
      </c>
      <c r="S5045">
        <v>-2.9854280000000002</v>
      </c>
      <c r="T5045">
        <v>-6.0992240000000003E-2</v>
      </c>
      <c r="U5045">
        <v>0.67240909999999998</v>
      </c>
      <c r="V5045">
        <v>5.5053020000000001E-2</v>
      </c>
      <c r="W5045">
        <v>0.18579270000000001</v>
      </c>
      <c r="X5045">
        <v>0.98104550000000001</v>
      </c>
      <c r="Y5045">
        <v>5.9063150000000002E-2</v>
      </c>
      <c r="Z5045">
        <v>-1.139791E-3</v>
      </c>
      <c r="AA5045">
        <v>0.99825359999999996</v>
      </c>
      <c r="AB5045">
        <v>35</v>
      </c>
      <c r="AC5045">
        <v>-54.329000000000001</v>
      </c>
      <c r="AD5045">
        <v>-1.1169626368200001</v>
      </c>
      <c r="AE5045">
        <v>12.2547999999999</v>
      </c>
      <c r="AF5045">
        <v>3.3061722119553099</v>
      </c>
      <c r="AG5045">
        <v>-1.1169626368200001</v>
      </c>
      <c r="AH5045">
        <v>55.573337877970701</v>
      </c>
      <c r="AI5045">
        <v>91.149395093444696</v>
      </c>
      <c r="AJ5045">
        <v>86.595369082914203</v>
      </c>
      <c r="AK5045">
        <v>55.682800424603798</v>
      </c>
      <c r="AL5045">
        <v>79.292648156855805</v>
      </c>
      <c r="AM5045">
        <v>86.788119530109</v>
      </c>
      <c r="AN5045">
        <v>1.00000001772733</v>
      </c>
    </row>
    <row r="5046" spans="1:40" x14ac:dyDescent="0.25">
      <c r="A5046" t="str">
        <f>"20190303170353591"</f>
        <v>20190303170353591</v>
      </c>
      <c r="B5046" t="str">
        <f>"1551603833580800"</f>
        <v>1551603833580800</v>
      </c>
      <c r="C5046" t="s">
        <v>40</v>
      </c>
      <c r="D5046">
        <v>4.3081990000000001</v>
      </c>
      <c r="E5046">
        <v>0.50836369999999997</v>
      </c>
      <c r="F5046" t="s">
        <v>90</v>
      </c>
      <c r="G5046">
        <v>-297.17110000000002</v>
      </c>
      <c r="H5046" s="1">
        <v>-1.170114E-5</v>
      </c>
      <c r="I5046">
        <v>152.02860000000001</v>
      </c>
      <c r="J5046">
        <v>-242.84520000000001</v>
      </c>
      <c r="K5046">
        <v>1.117178</v>
      </c>
      <c r="L5046">
        <v>139.68600000000001</v>
      </c>
      <c r="M5046">
        <v>-0.9862573</v>
      </c>
      <c r="N5046">
        <v>-7.9009649999999994E-3</v>
      </c>
      <c r="O5046">
        <v>0.16502820000000001</v>
      </c>
      <c r="P5046">
        <v>-0.96107350000000002</v>
      </c>
      <c r="Q5046">
        <v>0.17596389999999901</v>
      </c>
      <c r="R5046">
        <v>0.21301300000000001</v>
      </c>
      <c r="S5046">
        <v>-2.984299</v>
      </c>
      <c r="T5046">
        <v>-6.0992959999999999E-2</v>
      </c>
      <c r="U5046">
        <v>0.67706299999999997</v>
      </c>
      <c r="V5046">
        <v>5.3086580000000001E-2</v>
      </c>
      <c r="W5046">
        <v>0.18326899999999999</v>
      </c>
      <c r="X5046">
        <v>0.98162839999999996</v>
      </c>
      <c r="Y5046">
        <v>5.7271320000000001E-2</v>
      </c>
      <c r="Z5046">
        <v>-1.198401E-3</v>
      </c>
      <c r="AA5046">
        <v>0.99835799999999997</v>
      </c>
      <c r="AB5046">
        <v>35</v>
      </c>
      <c r="AC5046">
        <v>-54.325899999999997</v>
      </c>
      <c r="AD5046">
        <v>-1.1171897011399901</v>
      </c>
      <c r="AE5046">
        <v>12.342599999999999</v>
      </c>
      <c r="AF5046">
        <v>3.2064842045070199</v>
      </c>
      <c r="AG5046">
        <v>-1.1171897011399901</v>
      </c>
      <c r="AH5046">
        <v>55.595565685740397</v>
      </c>
      <c r="AI5046">
        <v>91.149291047502302</v>
      </c>
      <c r="AJ5046">
        <v>86.699112470612903</v>
      </c>
      <c r="AK5046">
        <v>55.699161373395597</v>
      </c>
      <c r="AL5046">
        <v>79.439772113241105</v>
      </c>
      <c r="AM5046">
        <v>86.904452922487906</v>
      </c>
      <c r="AN5046">
        <v>1.0000000135118201</v>
      </c>
    </row>
    <row r="5047" spans="1:40" x14ac:dyDescent="0.25">
      <c r="A5047" t="str">
        <f>"20190303170353615"</f>
        <v>20190303170353615</v>
      </c>
      <c r="B5047" t="str">
        <f>"1551603833600319"</f>
        <v>1551603833600319</v>
      </c>
      <c r="C5047" t="s">
        <v>40</v>
      </c>
      <c r="D5047">
        <v>4.3194480000000004</v>
      </c>
      <c r="E5047">
        <v>0.50828499999999999</v>
      </c>
      <c r="F5047" t="s">
        <v>90</v>
      </c>
      <c r="G5047">
        <v>-288.0804</v>
      </c>
      <c r="H5047">
        <v>7.9984669999999994E-2</v>
      </c>
      <c r="I5047">
        <v>150.03440000000001</v>
      </c>
      <c r="J5047">
        <v>-243.2029</v>
      </c>
      <c r="K5047">
        <v>1.1174839999999999</v>
      </c>
      <c r="L5047">
        <v>139.74889999999999</v>
      </c>
      <c r="M5047">
        <v>-0.98571149999999996</v>
      </c>
      <c r="N5047">
        <v>-7.9506630000000002E-3</v>
      </c>
      <c r="O5047">
        <v>0.16825399999999999</v>
      </c>
      <c r="P5047">
        <v>-0.96106519999999995</v>
      </c>
      <c r="Q5047">
        <v>0.174112299999999</v>
      </c>
      <c r="R5047">
        <v>0.2145656</v>
      </c>
      <c r="S5047">
        <v>-2.982758</v>
      </c>
      <c r="T5047">
        <v>-6.8391320000000005E-2</v>
      </c>
      <c r="U5047">
        <v>0.68235780000000001</v>
      </c>
      <c r="V5047">
        <v>5.1244209999999998E-2</v>
      </c>
      <c r="W5047">
        <v>0.18152450000000001</v>
      </c>
      <c r="X5047">
        <v>0.98205039999999999</v>
      </c>
      <c r="Y5047">
        <v>5.580334E-2</v>
      </c>
      <c r="Z5047">
        <v>-1.588569E-3</v>
      </c>
      <c r="AA5047">
        <v>0.99844049999999995</v>
      </c>
      <c r="AB5047">
        <v>35</v>
      </c>
      <c r="AC5047">
        <v>-44.877499999999998</v>
      </c>
      <c r="AD5047">
        <v>-1.0374993299999999</v>
      </c>
      <c r="AE5047">
        <v>10.285500000000001</v>
      </c>
      <c r="AF5047">
        <v>2.5864854292563502</v>
      </c>
      <c r="AG5047">
        <v>-1.0374993299999999</v>
      </c>
      <c r="AH5047">
        <v>45.944971852854998</v>
      </c>
      <c r="AI5047">
        <v>91.291551751753502</v>
      </c>
      <c r="AJ5047">
        <v>86.777918474440199</v>
      </c>
      <c r="AK5047">
        <v>46.029411796102103</v>
      </c>
      <c r="AL5047">
        <v>79.541430314900794</v>
      </c>
      <c r="AM5047">
        <v>87.012967480686001</v>
      </c>
      <c r="AN5047">
        <v>1.00000005064946</v>
      </c>
    </row>
    <row r="5048" spans="1:40" x14ac:dyDescent="0.25">
      <c r="A5048" t="str">
        <f>"20190303170353638"</f>
        <v>20190303170353638</v>
      </c>
      <c r="B5048" t="str">
        <f>"1551603833631083"</f>
        <v>1551603833631083</v>
      </c>
      <c r="C5048" t="s">
        <v>40</v>
      </c>
      <c r="D5048">
        <v>4.1182019999999904</v>
      </c>
      <c r="E5048">
        <v>0.5080981</v>
      </c>
      <c r="F5048" t="s">
        <v>90</v>
      </c>
      <c r="G5048">
        <v>-286.05419999999998</v>
      </c>
      <c r="H5048">
        <v>4.905081E-2</v>
      </c>
      <c r="I5048">
        <v>149.61699999999999</v>
      </c>
      <c r="J5048">
        <v>-243.56479999999999</v>
      </c>
      <c r="K5048">
        <v>1.1178870000000001</v>
      </c>
      <c r="L5048">
        <v>139.8134</v>
      </c>
      <c r="M5048">
        <v>-0.98525289999999999</v>
      </c>
      <c r="N5048">
        <v>-8.0215159999999994E-3</v>
      </c>
      <c r="O5048">
        <v>0.17091679999999901</v>
      </c>
      <c r="P5048">
        <v>-0.96086629999999995</v>
      </c>
      <c r="Q5048">
        <v>0.17302490000000001</v>
      </c>
      <c r="R5048">
        <v>0.21632960000000001</v>
      </c>
      <c r="S5048">
        <v>-2.9817049999999998</v>
      </c>
      <c r="T5048">
        <v>-7.4344399999999894E-2</v>
      </c>
      <c r="U5048">
        <v>0.68664550000000002</v>
      </c>
      <c r="V5048">
        <v>5.0174070000000001E-2</v>
      </c>
      <c r="W5048">
        <v>0.18056449999999999</v>
      </c>
      <c r="X5048">
        <v>0.98228260000000001</v>
      </c>
      <c r="Y5048">
        <v>5.4548640000000002E-2</v>
      </c>
      <c r="Z5048">
        <v>-1.9122399999999999E-3</v>
      </c>
      <c r="AA5048">
        <v>0.99850930000000004</v>
      </c>
      <c r="AB5048">
        <v>35</v>
      </c>
      <c r="AC5048">
        <v>-42.489399999999897</v>
      </c>
      <c r="AD5048">
        <v>-1.0688361900000001</v>
      </c>
      <c r="AE5048">
        <v>9.8036000000000101</v>
      </c>
      <c r="AF5048">
        <v>2.3955107162638098</v>
      </c>
      <c r="AG5048">
        <v>-1.0688361900000001</v>
      </c>
      <c r="AH5048">
        <v>43.513658195835802</v>
      </c>
      <c r="AI5048">
        <v>91.404960172139397</v>
      </c>
      <c r="AJ5048">
        <v>86.848937707713702</v>
      </c>
      <c r="AK5048">
        <v>43.592652270500999</v>
      </c>
      <c r="AL5048">
        <v>79.597358380686799</v>
      </c>
      <c r="AM5048">
        <v>87.075926819601307</v>
      </c>
      <c r="AN5048">
        <v>1.0000000411116801</v>
      </c>
    </row>
    <row r="5049" spans="1:40" x14ac:dyDescent="0.25">
      <c r="A5049" t="str">
        <f>"20190303170353660"</f>
        <v>20190303170353660</v>
      </c>
      <c r="B5049" t="str">
        <f>"1551603833650603"</f>
        <v>1551603833650603</v>
      </c>
      <c r="C5049" t="s">
        <v>40</v>
      </c>
      <c r="D5049">
        <v>4.4251990000000001</v>
      </c>
      <c r="E5049">
        <v>0.50803609999999999</v>
      </c>
      <c r="F5049" t="s">
        <v>90</v>
      </c>
      <c r="G5049">
        <v>-286.01049999999998</v>
      </c>
      <c r="H5049">
        <v>8.8519940000000002E-3</v>
      </c>
      <c r="I5049">
        <v>149.61699999999999</v>
      </c>
      <c r="J5049">
        <v>-243.9008</v>
      </c>
      <c r="K5049">
        <v>1.1183110000000001</v>
      </c>
      <c r="L5049">
        <v>139.87360000000001</v>
      </c>
      <c r="M5049">
        <v>-0.9849118</v>
      </c>
      <c r="N5049">
        <v>-8.0997880000000001E-3</v>
      </c>
      <c r="O5049">
        <v>0.17286770000000001</v>
      </c>
      <c r="P5049">
        <v>-0.96081570000000005</v>
      </c>
      <c r="Q5049">
        <v>0.1714687</v>
      </c>
      <c r="R5049">
        <v>0.21778819999999999</v>
      </c>
      <c r="S5049">
        <v>-2.9811709999999998</v>
      </c>
      <c r="T5049">
        <v>-7.7892900000000001E-2</v>
      </c>
      <c r="U5049">
        <v>0.68855290000000002</v>
      </c>
      <c r="V5049">
        <v>4.9479469999999998E-2</v>
      </c>
      <c r="W5049">
        <v>0.17914089999999999</v>
      </c>
      <c r="X5049">
        <v>0.98257839999999996</v>
      </c>
      <c r="Y5049">
        <v>5.3218700000000001E-2</v>
      </c>
      <c r="Z5049">
        <v>-2.1200239999999999E-3</v>
      </c>
      <c r="AA5049">
        <v>0.99858060000000004</v>
      </c>
      <c r="AB5049">
        <v>35</v>
      </c>
      <c r="AC5049">
        <v>-42.109699999999897</v>
      </c>
      <c r="AD5049">
        <v>-1.109459006</v>
      </c>
      <c r="AE5049">
        <v>9.7433999999999994</v>
      </c>
      <c r="AF5049">
        <v>2.3155328703612001</v>
      </c>
      <c r="AG5049">
        <v>-1.109459006</v>
      </c>
      <c r="AH5049">
        <v>43.131654472375203</v>
      </c>
      <c r="AI5049">
        <v>91.471354603988601</v>
      </c>
      <c r="AJ5049">
        <v>86.927012750421198</v>
      </c>
      <c r="AK5049">
        <v>43.2080109387609</v>
      </c>
      <c r="AL5049">
        <v>79.680276291083501</v>
      </c>
      <c r="AM5049">
        <v>87.117204959903901</v>
      </c>
      <c r="AN5049">
        <v>0.999999996075425</v>
      </c>
    </row>
    <row r="5050" spans="1:40" x14ac:dyDescent="0.25">
      <c r="A5050" t="str">
        <f>"20190303170353680"</f>
        <v>20190303170353680</v>
      </c>
      <c r="B5050" t="str">
        <f>"1551603833670123"</f>
        <v>1551603833670123</v>
      </c>
      <c r="C5050" t="s">
        <v>40</v>
      </c>
      <c r="D5050">
        <v>4.4875129999999999</v>
      </c>
      <c r="E5050">
        <v>0.50796839999999999</v>
      </c>
      <c r="F5050" t="s">
        <v>90</v>
      </c>
      <c r="G5050">
        <v>-284.23320000000001</v>
      </c>
      <c r="H5050" s="1">
        <v>-8.6050429999999906E-6</v>
      </c>
      <c r="I5050">
        <v>149.22799999999901</v>
      </c>
      <c r="J5050">
        <v>-244.21879999999999</v>
      </c>
      <c r="K5050">
        <v>1.118695</v>
      </c>
      <c r="L5050">
        <v>139.9308</v>
      </c>
      <c r="M5050">
        <v>-0.98466010000000004</v>
      </c>
      <c r="N5050">
        <v>-8.1782000000000001E-3</v>
      </c>
      <c r="O5050">
        <v>0.1742919</v>
      </c>
      <c r="P5050">
        <v>-0.96167840000000004</v>
      </c>
      <c r="Q5050">
        <v>0.16683609999999999</v>
      </c>
      <c r="R5050">
        <v>0.21757879999999999</v>
      </c>
      <c r="S5050">
        <v>-2.9804080000000002</v>
      </c>
      <c r="T5050">
        <v>-8.2639459999999998E-2</v>
      </c>
      <c r="U5050">
        <v>0.69125369999999997</v>
      </c>
      <c r="V5050">
        <v>4.7507960000000002E-2</v>
      </c>
      <c r="W5050">
        <v>0.1746491</v>
      </c>
      <c r="X5050">
        <v>0.98348400000000002</v>
      </c>
      <c r="Y5050">
        <v>5.2691799999999997E-2</v>
      </c>
      <c r="Z5050">
        <v>-2.3681729999999999E-3</v>
      </c>
      <c r="AA5050">
        <v>0.99860800000000005</v>
      </c>
      <c r="AB5050">
        <v>35</v>
      </c>
      <c r="AC5050">
        <v>-40.014400000000002</v>
      </c>
      <c r="AD5050">
        <v>-1.1187036050429999</v>
      </c>
      <c r="AE5050">
        <v>9.2971999999999699</v>
      </c>
      <c r="AF5050">
        <v>2.1788531173753598</v>
      </c>
      <c r="AG5050">
        <v>-1.1187036050429999</v>
      </c>
      <c r="AH5050">
        <v>40.991981170959001</v>
      </c>
      <c r="AI5050">
        <v>91.561056596641606</v>
      </c>
      <c r="AJ5050">
        <v>86.957411776699303</v>
      </c>
      <c r="AK5050">
        <v>41.065087592543698</v>
      </c>
      <c r="AL5050">
        <v>79.941761921477493</v>
      </c>
      <c r="AM5050">
        <v>87.234432547048797</v>
      </c>
      <c r="AN5050">
        <v>1.00000004632508</v>
      </c>
    </row>
    <row r="5051" spans="1:40" x14ac:dyDescent="0.25">
      <c r="A5051" t="str">
        <f>"20190303170353704"</f>
        <v>20190303170353704</v>
      </c>
      <c r="B5051" t="str">
        <f>"1551603833690619"</f>
        <v>1551603833690619</v>
      </c>
      <c r="C5051" t="s">
        <v>40</v>
      </c>
      <c r="D5051">
        <v>4.3122759999999998</v>
      </c>
      <c r="E5051">
        <v>0.50779770000000002</v>
      </c>
      <c r="F5051" t="s">
        <v>42</v>
      </c>
      <c r="G5051">
        <v>-278.87380000000002</v>
      </c>
      <c r="H5051" s="1">
        <v>-2.6840090000000001E-6</v>
      </c>
      <c r="I5051">
        <v>147.95419999999999</v>
      </c>
      <c r="J5051">
        <v>-244.5692</v>
      </c>
      <c r="K5051">
        <v>1.1191180000000001</v>
      </c>
      <c r="L5051">
        <v>139.9939</v>
      </c>
      <c r="M5051">
        <v>-0.98447459999999998</v>
      </c>
      <c r="N5051">
        <v>-8.2681939999999995E-3</v>
      </c>
      <c r="O5051">
        <v>0.17533290000000001</v>
      </c>
      <c r="P5051">
        <v>-0.96277179999999996</v>
      </c>
      <c r="Q5051">
        <v>0.16213039999999901</v>
      </c>
      <c r="R5051">
        <v>0.21629689999999999</v>
      </c>
      <c r="S5051">
        <v>-2.980118</v>
      </c>
      <c r="T5051">
        <v>-9.6201300000000003E-2</v>
      </c>
      <c r="U5051">
        <v>0.68997189999999997</v>
      </c>
      <c r="V5051">
        <v>4.4811919999999998E-2</v>
      </c>
      <c r="W5051">
        <v>0.17009859999999999</v>
      </c>
      <c r="X5051">
        <v>0.98440760000000005</v>
      </c>
      <c r="Y5051">
        <v>5.1258629999999999E-2</v>
      </c>
      <c r="Z5051">
        <v>-3.06055E-3</v>
      </c>
      <c r="AA5051">
        <v>0.99868069999999998</v>
      </c>
      <c r="AB5051">
        <v>35</v>
      </c>
      <c r="AC5051">
        <v>-34.304600000000001</v>
      </c>
      <c r="AD5051">
        <v>-1.119120684009</v>
      </c>
      <c r="AE5051">
        <v>7.9602999999999797</v>
      </c>
      <c r="AF5051">
        <v>1.82021202693158</v>
      </c>
      <c r="AG5051">
        <v>-1.119120684009</v>
      </c>
      <c r="AH5051">
        <v>35.133427281547</v>
      </c>
      <c r="AI5051">
        <v>91.822009095744605</v>
      </c>
      <c r="AJ5051">
        <v>87.034240168988902</v>
      </c>
      <c r="AK5051">
        <v>35.198342510352802</v>
      </c>
      <c r="AL5051">
        <v>80.206447909611995</v>
      </c>
      <c r="AM5051">
        <v>87.393597341281094</v>
      </c>
      <c r="AN5051">
        <v>0.99999998241690302</v>
      </c>
    </row>
    <row r="5052" spans="1:40" x14ac:dyDescent="0.25">
      <c r="A5052" t="str">
        <f>"20190303170353728"</f>
        <v>20190303170353728</v>
      </c>
      <c r="B5052" t="str">
        <f>"1551603833720407"</f>
        <v>1551603833720407</v>
      </c>
      <c r="C5052" t="s">
        <v>40</v>
      </c>
      <c r="D5052">
        <v>4.3130119999999996</v>
      </c>
      <c r="E5052">
        <v>0.47497590000000001</v>
      </c>
      <c r="F5052" t="s">
        <v>42</v>
      </c>
      <c r="G5052">
        <v>-274.8981</v>
      </c>
      <c r="H5052" s="1">
        <v>-3.9142639999999998E-6</v>
      </c>
      <c r="I5052">
        <v>146.9735</v>
      </c>
      <c r="J5052">
        <v>-244.94929999999999</v>
      </c>
      <c r="K5052">
        <v>1.1196029999999999</v>
      </c>
      <c r="L5052">
        <v>140.06229999999999</v>
      </c>
      <c r="M5052">
        <v>-0.98438539999999997</v>
      </c>
      <c r="N5052">
        <v>-8.3715549999999993E-3</v>
      </c>
      <c r="O5052">
        <v>0.17582729999999999</v>
      </c>
      <c r="P5052">
        <v>-0.96305410000000002</v>
      </c>
      <c r="Q5052">
        <v>0.16214690000000001</v>
      </c>
      <c r="R5052">
        <v>0.2150244</v>
      </c>
      <c r="S5052">
        <v>-2.9804529999999998</v>
      </c>
      <c r="T5052">
        <v>-0.1099774</v>
      </c>
      <c r="U5052">
        <v>0.6858978</v>
      </c>
      <c r="V5052">
        <v>4.2814999999999999E-2</v>
      </c>
      <c r="W5052">
        <v>0.170274799999999</v>
      </c>
      <c r="X5052">
        <v>0.98446599999999995</v>
      </c>
      <c r="Y5052">
        <v>4.9448119999999998E-2</v>
      </c>
      <c r="Z5052">
        <v>-3.7695630000000001E-3</v>
      </c>
      <c r="AA5052">
        <v>0.99876960000000004</v>
      </c>
      <c r="AB5052">
        <v>35</v>
      </c>
      <c r="AC5052">
        <v>-29.948799999999999</v>
      </c>
      <c r="AD5052">
        <v>-1.1196069142639999</v>
      </c>
      <c r="AE5052">
        <v>6.9112</v>
      </c>
      <c r="AF5052">
        <v>1.53548422018959</v>
      </c>
      <c r="AG5052">
        <v>-1.1196069142639999</v>
      </c>
      <c r="AH5052">
        <v>30.656737218601901</v>
      </c>
      <c r="AI5052">
        <v>92.088938826772207</v>
      </c>
      <c r="AJ5052">
        <v>87.132659362833905</v>
      </c>
      <c r="AK5052">
        <v>30.715578593334801</v>
      </c>
      <c r="AL5052">
        <v>80.196202799437103</v>
      </c>
      <c r="AM5052">
        <v>87.5097424208749</v>
      </c>
      <c r="AN5052">
        <v>0.99999996844801897</v>
      </c>
    </row>
    <row r="5053" spans="1:40" x14ac:dyDescent="0.25">
      <c r="A5053" t="str">
        <f>"20190303170353749"</f>
        <v>20190303170353749</v>
      </c>
      <c r="B5053" t="str">
        <f>"1551603833740903"</f>
        <v>1551603833740903</v>
      </c>
      <c r="C5053" t="s">
        <v>40</v>
      </c>
      <c r="D5053">
        <v>4.255306</v>
      </c>
      <c r="E5053">
        <v>0.45908900000000002</v>
      </c>
      <c r="F5053" t="s">
        <v>90</v>
      </c>
      <c r="G5053">
        <v>-293.47750000000002</v>
      </c>
      <c r="H5053" s="1">
        <v>-1.0580979999999999E-5</v>
      </c>
      <c r="I5053">
        <v>146.90969999999999</v>
      </c>
      <c r="J5053">
        <v>-245.28100000000001</v>
      </c>
      <c r="K5053">
        <v>1.1200909999999999</v>
      </c>
      <c r="L5053">
        <v>140.1216</v>
      </c>
      <c r="M5053">
        <v>-0.98440890000000003</v>
      </c>
      <c r="N5053">
        <v>-8.4649770000000003E-3</v>
      </c>
      <c r="O5053">
        <v>0.1756914</v>
      </c>
      <c r="P5053">
        <v>-0.9623024</v>
      </c>
      <c r="Q5053">
        <v>0.1658955</v>
      </c>
      <c r="R5053">
        <v>0.2155291</v>
      </c>
      <c r="S5053">
        <v>-3.0314030000000001</v>
      </c>
      <c r="T5053">
        <v>-6.993866E-2</v>
      </c>
      <c r="U5053">
        <v>0.42773440000000001</v>
      </c>
      <c r="V5053">
        <v>4.3398659999999999E-2</v>
      </c>
      <c r="W5053">
        <v>0.17415610000000001</v>
      </c>
      <c r="X5053">
        <v>0.98376129999999995</v>
      </c>
      <c r="Y5053">
        <v>-3.6399800000000003E-2</v>
      </c>
      <c r="Z5053">
        <v>-3.0871610000000002E-3</v>
      </c>
      <c r="AA5053">
        <v>0.99933249999999996</v>
      </c>
      <c r="AB5053">
        <v>35</v>
      </c>
      <c r="AC5053">
        <v>-48.1965</v>
      </c>
      <c r="AD5053">
        <v>-1.1201015809799999</v>
      </c>
      <c r="AE5053">
        <v>6.7880999999999796</v>
      </c>
      <c r="AF5053">
        <v>-1.7845633563614001</v>
      </c>
      <c r="AG5053">
        <v>-1.1201015809799999</v>
      </c>
      <c r="AH5053">
        <v>48.613670755802097</v>
      </c>
      <c r="AI5053">
        <v>91.319023320613496</v>
      </c>
      <c r="AJ5053">
        <v>92.102331623876196</v>
      </c>
      <c r="AK5053">
        <v>48.659308238795496</v>
      </c>
      <c r="AL5053">
        <v>79.9704483435127</v>
      </c>
      <c r="AM5053">
        <v>87.474032700660104</v>
      </c>
      <c r="AN5053">
        <v>1.0000000431173399</v>
      </c>
    </row>
    <row r="5054" spans="1:40" x14ac:dyDescent="0.25">
      <c r="A5054" t="str">
        <f>"20190303170353771"</f>
        <v>20190303170353771</v>
      </c>
      <c r="B5054" t="str">
        <f>"1551603833760423"</f>
        <v>1551603833760423</v>
      </c>
      <c r="C5054" t="s">
        <v>40</v>
      </c>
      <c r="D5054">
        <v>4.2814399999999999</v>
      </c>
      <c r="E5054">
        <v>0.45032879999999997</v>
      </c>
      <c r="F5054" t="s">
        <v>42</v>
      </c>
      <c r="G5054">
        <v>-340.57</v>
      </c>
      <c r="H5054">
        <v>2.3274900000000002E-3</v>
      </c>
      <c r="I5054">
        <v>149.6163</v>
      </c>
      <c r="J5054">
        <v>-245.6071</v>
      </c>
      <c r="K5054">
        <v>1.1206050000000001</v>
      </c>
      <c r="L5054">
        <v>140.17939999999999</v>
      </c>
      <c r="M5054">
        <v>-0.98452600000000001</v>
      </c>
      <c r="N5054">
        <v>-8.55911E-3</v>
      </c>
      <c r="O5054">
        <v>0.17502909999999999</v>
      </c>
      <c r="P5054">
        <v>-0.96188969999999896</v>
      </c>
      <c r="Q5054">
        <v>0.16899999999999901</v>
      </c>
      <c r="R5054">
        <v>0.21495880000000001</v>
      </c>
      <c r="S5054">
        <v>-3.0555110000000001</v>
      </c>
      <c r="T5054">
        <v>-3.5841940000000003E-2</v>
      </c>
      <c r="U5054">
        <v>0.30445860000000002</v>
      </c>
      <c r="V5054">
        <v>4.3370310000000002E-2</v>
      </c>
      <c r="W5054">
        <v>0.17739829999999901</v>
      </c>
      <c r="X5054">
        <v>0.98318300000000003</v>
      </c>
      <c r="Y5054">
        <v>-7.6542440000000003E-2</v>
      </c>
      <c r="Z5054">
        <v>-1.308306E-3</v>
      </c>
      <c r="AA5054">
        <v>0.99706550000000005</v>
      </c>
      <c r="AB5054">
        <v>35</v>
      </c>
      <c r="AC5054">
        <v>-94.962900000000005</v>
      </c>
      <c r="AD5054">
        <v>-1.11827750999999</v>
      </c>
      <c r="AE5054">
        <v>9.4368999999999996</v>
      </c>
      <c r="AF5054">
        <v>-7.3296599544833398</v>
      </c>
      <c r="AG5054">
        <v>-1.11827750999999</v>
      </c>
      <c r="AH5054">
        <v>95.135603056167696</v>
      </c>
      <c r="AI5054">
        <v>90.671466153222298</v>
      </c>
      <c r="AJ5054">
        <v>94.405612407295493</v>
      </c>
      <c r="AK5054">
        <v>95.424092495021597</v>
      </c>
      <c r="AL5054">
        <v>79.781745087285103</v>
      </c>
      <c r="AM5054">
        <v>87.474197782324893</v>
      </c>
      <c r="AN5054">
        <v>0.99999997606069202</v>
      </c>
    </row>
    <row r="5055" spans="1:40" x14ac:dyDescent="0.25">
      <c r="A5055" t="str">
        <f>"20190303170353793"</f>
        <v>20190303170353793</v>
      </c>
      <c r="B5055" t="str">
        <f>"1551603833780919"</f>
        <v>1551603833780919</v>
      </c>
      <c r="C5055" t="s">
        <v>40</v>
      </c>
      <c r="D5055">
        <v>4.2986940000000002</v>
      </c>
      <c r="E5055">
        <v>0.44513170000000002</v>
      </c>
      <c r="F5055" t="s">
        <v>75</v>
      </c>
      <c r="G5055">
        <v>-499.95769999999999</v>
      </c>
      <c r="H5055">
        <v>1.6369970000000001E-2</v>
      </c>
      <c r="I5055">
        <v>159.60480000000001</v>
      </c>
      <c r="J5055">
        <v>-245.95</v>
      </c>
      <c r="K5055">
        <v>1.1211469999999999</v>
      </c>
      <c r="L5055">
        <v>140.23949999999999</v>
      </c>
      <c r="M5055">
        <v>-0.98474430000000002</v>
      </c>
      <c r="N5055">
        <v>-8.6588269999999991E-3</v>
      </c>
      <c r="O5055">
        <v>0.1737921</v>
      </c>
      <c r="P5055">
        <v>-0.96271640000000003</v>
      </c>
      <c r="Q5055">
        <v>0.1676126</v>
      </c>
      <c r="R5055">
        <v>0.21232799999999999</v>
      </c>
      <c r="S5055">
        <v>-3.068848</v>
      </c>
      <c r="T5055">
        <v>-1.3323069999999999E-2</v>
      </c>
      <c r="U5055">
        <v>0.234375</v>
      </c>
      <c r="V5055">
        <v>4.1645010000000003E-2</v>
      </c>
      <c r="W5055">
        <v>0.176166299999999</v>
      </c>
      <c r="X5055">
        <v>0.98347910000000005</v>
      </c>
      <c r="Y5055">
        <v>-9.8297960000000004E-2</v>
      </c>
      <c r="Z5055">
        <v>1.2241379999999901E-4</v>
      </c>
      <c r="AA5055">
        <v>0.99515699999999996</v>
      </c>
      <c r="AB5055">
        <v>35</v>
      </c>
      <c r="AC5055">
        <v>-254.0077</v>
      </c>
      <c r="AD5055">
        <v>-1.1047770299999999</v>
      </c>
      <c r="AE5055">
        <v>19.365300000000001</v>
      </c>
      <c r="AF5055">
        <v>-25.075131169264399</v>
      </c>
      <c r="AG5055">
        <v>-1.1047770299999999</v>
      </c>
      <c r="AH5055">
        <v>253.50290590941299</v>
      </c>
      <c r="AI5055">
        <v>90.248483377319801</v>
      </c>
      <c r="AJ5055">
        <v>95.649011786456896</v>
      </c>
      <c r="AK5055">
        <v>254.74243078050199</v>
      </c>
      <c r="AL5055">
        <v>79.8534633623064</v>
      </c>
      <c r="AM5055">
        <v>87.575282779127505</v>
      </c>
      <c r="AN5055">
        <v>1.0000000061251999</v>
      </c>
    </row>
    <row r="5056" spans="1:40" x14ac:dyDescent="0.25">
      <c r="A5056" t="str">
        <f>"20190303170353818"</f>
        <v>20190303170353818</v>
      </c>
      <c r="B5056" t="str">
        <f>"1551603833810199"</f>
        <v>1551603833810199</v>
      </c>
      <c r="C5056" t="s">
        <v>40</v>
      </c>
      <c r="D5056">
        <v>4.2682659999999997</v>
      </c>
      <c r="E5056">
        <v>0.44054670000000001</v>
      </c>
      <c r="F5056" t="s">
        <v>74</v>
      </c>
      <c r="G5056">
        <v>-511.92520000000002</v>
      </c>
      <c r="H5056">
        <v>6.6333950000000003E-2</v>
      </c>
      <c r="I5056">
        <v>156.33500000000001</v>
      </c>
      <c r="J5056">
        <v>-246.33330000000001</v>
      </c>
      <c r="K5056">
        <v>1.12174</v>
      </c>
      <c r="L5056">
        <v>140.30539999999999</v>
      </c>
      <c r="M5056">
        <v>-0.98509849999999999</v>
      </c>
      <c r="N5056">
        <v>-8.7665880000000005E-3</v>
      </c>
      <c r="O5056">
        <v>0.1717677</v>
      </c>
      <c r="P5056">
        <v>-0.96392330000000004</v>
      </c>
      <c r="Q5056">
        <v>0.167014</v>
      </c>
      <c r="R5056">
        <v>0.20726430000000001</v>
      </c>
      <c r="S5056">
        <v>-3.0772249999999999</v>
      </c>
      <c r="T5056">
        <v>-1.2203220000000001E-2</v>
      </c>
      <c r="U5056">
        <v>0.1862183</v>
      </c>
      <c r="V5056">
        <v>3.8222520000000003E-2</v>
      </c>
      <c r="W5056">
        <v>0.1757283</v>
      </c>
      <c r="X5056">
        <v>0.98369640000000003</v>
      </c>
      <c r="Y5056">
        <v>-0.1119492</v>
      </c>
      <c r="Z5056">
        <v>1.2201040000000001E-4</v>
      </c>
      <c r="AA5056">
        <v>0.99371390000000004</v>
      </c>
      <c r="AB5056">
        <v>35</v>
      </c>
      <c r="AC5056">
        <v>-265.59190000000001</v>
      </c>
      <c r="AD5056">
        <v>-1.05540605</v>
      </c>
      <c r="AE5056">
        <v>16.029599999999999</v>
      </c>
      <c r="AF5056">
        <v>-29.830051101234901</v>
      </c>
      <c r="AG5056">
        <v>-1.05540605</v>
      </c>
      <c r="AH5056">
        <v>264.39354334359598</v>
      </c>
      <c r="AI5056">
        <v>90.227270145579197</v>
      </c>
      <c r="AJ5056">
        <v>96.437142277212999</v>
      </c>
      <c r="AK5056">
        <v>266.07309445416399</v>
      </c>
      <c r="AL5056">
        <v>79.878956576061398</v>
      </c>
      <c r="AM5056">
        <v>87.774833846431093</v>
      </c>
      <c r="AN5056">
        <v>1.0000000019144999</v>
      </c>
    </row>
    <row r="5057" spans="1:40" x14ac:dyDescent="0.25">
      <c r="A5057" t="str">
        <f>"20190303170353840"</f>
        <v>20190303170353840</v>
      </c>
      <c r="B5057" t="str">
        <f>"1551603833830694"</f>
        <v>1551603833830694</v>
      </c>
      <c r="C5057" t="s">
        <v>40</v>
      </c>
      <c r="D5057">
        <v>4.2660830000000001</v>
      </c>
      <c r="E5057">
        <v>0.43866899999999998</v>
      </c>
      <c r="F5057" t="s">
        <v>74</v>
      </c>
      <c r="G5057">
        <v>-511.05880000000002</v>
      </c>
      <c r="H5057">
        <v>0.4712691</v>
      </c>
      <c r="I5057">
        <v>151.92150000000001</v>
      </c>
      <c r="J5057">
        <v>-246.68530000000001</v>
      </c>
      <c r="K5057">
        <v>1.122261</v>
      </c>
      <c r="L5057">
        <v>140.3647</v>
      </c>
      <c r="M5057">
        <v>-0.98551129999999998</v>
      </c>
      <c r="N5057">
        <v>-8.8621789999999995E-3</v>
      </c>
      <c r="O5057">
        <v>0.16937839999999901</v>
      </c>
      <c r="P5057">
        <v>-0.96438389999999996</v>
      </c>
      <c r="Q5057">
        <v>0.16896520000000001</v>
      </c>
      <c r="R5057">
        <v>0.20350670000000001</v>
      </c>
      <c r="S5057">
        <v>-3.084473</v>
      </c>
      <c r="T5057">
        <v>-7.5784919999999896E-3</v>
      </c>
      <c r="U5057">
        <v>0.13534549999999901</v>
      </c>
      <c r="V5057">
        <v>3.6607460000000001E-2</v>
      </c>
      <c r="W5057">
        <v>0.1778131</v>
      </c>
      <c r="X5057">
        <v>0.98338309999999995</v>
      </c>
      <c r="Y5057">
        <v>-0.12601299999999999</v>
      </c>
      <c r="Z5057">
        <v>3.7978280000000001E-4</v>
      </c>
      <c r="AA5057">
        <v>0.99202849999999998</v>
      </c>
      <c r="AB5057">
        <v>35</v>
      </c>
      <c r="AC5057">
        <v>-264.37349999999998</v>
      </c>
      <c r="AD5057">
        <v>-0.65099189999999996</v>
      </c>
      <c r="AE5057">
        <v>11.556800000000001</v>
      </c>
      <c r="AF5057">
        <v>-33.390910909427902</v>
      </c>
      <c r="AG5057">
        <v>-0.65099189999999996</v>
      </c>
      <c r="AH5057">
        <v>262.509250549223</v>
      </c>
      <c r="AI5057">
        <v>90.140950784299406</v>
      </c>
      <c r="AJ5057">
        <v>97.2490369498082</v>
      </c>
      <c r="AK5057">
        <v>264.62517519263002</v>
      </c>
      <c r="AL5057">
        <v>79.757594715088899</v>
      </c>
      <c r="AM5057">
        <v>87.868089360785504</v>
      </c>
      <c r="AN5057">
        <v>0.99999996301243499</v>
      </c>
    </row>
    <row r="5058" spans="1:40" x14ac:dyDescent="0.25">
      <c r="A5058" t="str">
        <f>"20190303170353859"</f>
        <v>20190303170353859</v>
      </c>
      <c r="B5058" t="str">
        <f>"1551603833850215"</f>
        <v>1551603833850215</v>
      </c>
      <c r="C5058" t="s">
        <v>40</v>
      </c>
      <c r="D5058">
        <v>4.2204050000000004</v>
      </c>
      <c r="E5058">
        <v>0.4373321</v>
      </c>
      <c r="F5058" t="s">
        <v>74</v>
      </c>
      <c r="G5058">
        <v>-540.0308</v>
      </c>
      <c r="H5058">
        <v>1.308942</v>
      </c>
      <c r="I5058">
        <v>150.69999999999999</v>
      </c>
      <c r="J5058">
        <v>-246.99930000000001</v>
      </c>
      <c r="K5058">
        <v>1.1226700000000001</v>
      </c>
      <c r="L5058">
        <v>140.41650000000001</v>
      </c>
      <c r="M5058">
        <v>-0.98593019999999998</v>
      </c>
      <c r="N5058">
        <v>-8.9418810000000005E-3</v>
      </c>
      <c r="O5058">
        <v>0.16691829999999999</v>
      </c>
      <c r="P5058">
        <v>-0.96462060000000005</v>
      </c>
      <c r="Q5058">
        <v>0.17105670000000001</v>
      </c>
      <c r="R5058">
        <v>0.20061590000000001</v>
      </c>
      <c r="S5058">
        <v>-3.0874790000000001</v>
      </c>
      <c r="T5058">
        <v>1.9652839999999999E-3</v>
      </c>
      <c r="U5058">
        <v>0.1087799</v>
      </c>
      <c r="V5058">
        <v>3.5994499999999999E-2</v>
      </c>
      <c r="W5058">
        <v>0.1800129</v>
      </c>
      <c r="X5058">
        <v>0.98300549999999998</v>
      </c>
      <c r="Y5058">
        <v>-0.1320974</v>
      </c>
      <c r="Z5058">
        <v>1.0554970000000001E-3</v>
      </c>
      <c r="AA5058">
        <v>0.99123620000000001</v>
      </c>
      <c r="AB5058">
        <v>35</v>
      </c>
      <c r="AC5058">
        <v>-293.03149999999999</v>
      </c>
      <c r="AD5058">
        <v>0.18627199999999999</v>
      </c>
      <c r="AE5058">
        <v>10.283499999999901</v>
      </c>
      <c r="AF5058">
        <v>-38.775040483963799</v>
      </c>
      <c r="AG5058">
        <v>0.18627199999999999</v>
      </c>
      <c r="AH5058">
        <v>290.63660678843098</v>
      </c>
      <c r="AI5058">
        <v>89.963601058464405</v>
      </c>
      <c r="AJ5058">
        <v>97.599193789906195</v>
      </c>
      <c r="AK5058">
        <v>293.21182729774699</v>
      </c>
      <c r="AL5058">
        <v>79.629489126337802</v>
      </c>
      <c r="AM5058">
        <v>87.902949720227994</v>
      </c>
      <c r="AN5058">
        <v>1.00000003061345</v>
      </c>
    </row>
    <row r="5059" spans="1:40" x14ac:dyDescent="0.25">
      <c r="A5059" t="str">
        <f>"20190303170353882"</f>
        <v>20190303170353882</v>
      </c>
      <c r="B5059" t="str">
        <f>"1551603833870711"</f>
        <v>1551603833870711</v>
      </c>
      <c r="C5059" t="s">
        <v>40</v>
      </c>
      <c r="D5059">
        <v>4.2775499999999997</v>
      </c>
      <c r="E5059">
        <v>0.43630049999999998</v>
      </c>
      <c r="F5059" t="s">
        <v>48</v>
      </c>
      <c r="G5059">
        <v>0</v>
      </c>
      <c r="H5059">
        <v>0</v>
      </c>
      <c r="I5059">
        <v>0</v>
      </c>
      <c r="J5059">
        <v>-247.33840000000001</v>
      </c>
      <c r="K5059">
        <v>1.1230469999999999</v>
      </c>
      <c r="L5059">
        <v>140.47130000000001</v>
      </c>
      <c r="M5059">
        <v>-0.98643139999999996</v>
      </c>
      <c r="N5059">
        <v>-9.0196159999999994E-3</v>
      </c>
      <c r="O5059">
        <v>0.1639264</v>
      </c>
      <c r="P5059">
        <v>-0.96557020000000005</v>
      </c>
      <c r="Q5059">
        <v>0.170640299999999</v>
      </c>
      <c r="R5059">
        <v>0.1963577</v>
      </c>
      <c r="S5059">
        <v>-3.0896300000000001</v>
      </c>
      <c r="T5059">
        <v>1.122069E-2</v>
      </c>
      <c r="U5059">
        <v>8.8500980000000007E-2</v>
      </c>
      <c r="V5059">
        <v>3.4462630000000001E-2</v>
      </c>
      <c r="W5059">
        <v>0.17969959999999999</v>
      </c>
      <c r="X5059">
        <v>0.98311769999999998</v>
      </c>
      <c r="Y5059">
        <v>-0.1356087</v>
      </c>
      <c r="Z5059">
        <v>1.711494E-3</v>
      </c>
      <c r="AA5059">
        <v>0.990761</v>
      </c>
      <c r="AB5059">
        <v>35</v>
      </c>
      <c r="AC5059">
        <v>-3.0896300000000001</v>
      </c>
      <c r="AD5059">
        <v>1.122069E-2</v>
      </c>
      <c r="AE5059">
        <v>8.8500980000000007E-2</v>
      </c>
      <c r="AF5059">
        <v>-0.41918327875123901</v>
      </c>
      <c r="AG5059">
        <v>1.122069E-2</v>
      </c>
      <c r="AH5059">
        <v>3.0622997136769201</v>
      </c>
      <c r="AI5059">
        <v>89.792000907367793</v>
      </c>
      <c r="AJ5059">
        <v>97.794497599535006</v>
      </c>
      <c r="AK5059">
        <v>3.0908769081693399</v>
      </c>
      <c r="AL5059">
        <v>79.647737313738503</v>
      </c>
      <c r="AM5059">
        <v>87.992351214883001</v>
      </c>
      <c r="AN5059">
        <v>1.00000001557998</v>
      </c>
    </row>
    <row r="5060" spans="1:40" x14ac:dyDescent="0.25">
      <c r="A5060" t="str">
        <f>"20190303170353904"</f>
        <v>20190303170353904</v>
      </c>
      <c r="B5060" t="str">
        <f>"1551603833900967"</f>
        <v>1551603833900967</v>
      </c>
      <c r="C5060" t="s">
        <v>40</v>
      </c>
      <c r="D5060">
        <v>4.226585</v>
      </c>
      <c r="E5060">
        <v>0.43505769999999999</v>
      </c>
      <c r="F5060" t="s">
        <v>48</v>
      </c>
      <c r="G5060">
        <v>0</v>
      </c>
      <c r="H5060">
        <v>0</v>
      </c>
      <c r="I5060">
        <v>0</v>
      </c>
      <c r="J5060">
        <v>-247.6962</v>
      </c>
      <c r="K5060">
        <v>1.1233959999999901</v>
      </c>
      <c r="L5060">
        <v>140.5275</v>
      </c>
      <c r="M5060">
        <v>-0.98700310000000002</v>
      </c>
      <c r="N5060">
        <v>-9.0937280000000006E-3</v>
      </c>
      <c r="O5060">
        <v>0.16044410000000001</v>
      </c>
      <c r="P5060">
        <v>-0.96686450000000002</v>
      </c>
      <c r="Q5060">
        <v>0.1693836</v>
      </c>
      <c r="R5060">
        <v>0.1910038</v>
      </c>
      <c r="S5060">
        <v>-3.0912929999999998</v>
      </c>
      <c r="T5060">
        <v>1.141787E-2</v>
      </c>
      <c r="U5060">
        <v>6.7153930000000001E-2</v>
      </c>
      <c r="V5060">
        <v>3.2300160000000001E-2</v>
      </c>
      <c r="W5060">
        <v>0.17853529999999901</v>
      </c>
      <c r="X5060">
        <v>0.98340320000000003</v>
      </c>
      <c r="Y5060">
        <v>-0.13896410000000001</v>
      </c>
      <c r="Z5060">
        <v>1.679285E-3</v>
      </c>
      <c r="AA5060">
        <v>0.99029599999999995</v>
      </c>
      <c r="AB5060">
        <v>35</v>
      </c>
      <c r="AC5060">
        <v>-3.0912929999999998</v>
      </c>
      <c r="AD5060">
        <v>1.141787E-2</v>
      </c>
      <c r="AE5060">
        <v>6.7153930000000001E-2</v>
      </c>
      <c r="AF5060">
        <v>-0.42971046812802199</v>
      </c>
      <c r="AG5060">
        <v>1.141787E-2</v>
      </c>
      <c r="AH5060">
        <v>3.0619748930333999</v>
      </c>
      <c r="AI5060">
        <v>89.788422708478606</v>
      </c>
      <c r="AJ5060">
        <v>97.988585511641602</v>
      </c>
      <c r="AK5060">
        <v>3.0920012451066401</v>
      </c>
      <c r="AL5060">
        <v>79.715543249873505</v>
      </c>
      <c r="AM5060">
        <v>88.118779998122704</v>
      </c>
      <c r="AN5060">
        <v>1.00000000372617</v>
      </c>
    </row>
    <row r="5061" spans="1:40" x14ac:dyDescent="0.25">
      <c r="A5061" t="str">
        <f>"20190303170353929"</f>
        <v>20190303170353929</v>
      </c>
      <c r="B5061" t="str">
        <f>"1551603833920487"</f>
        <v>1551603833920487</v>
      </c>
      <c r="C5061" t="s">
        <v>40</v>
      </c>
      <c r="D5061">
        <v>4.2135930000000004</v>
      </c>
      <c r="E5061">
        <v>0.43434089999999997</v>
      </c>
      <c r="F5061" t="s">
        <v>48</v>
      </c>
      <c r="G5061">
        <v>0</v>
      </c>
      <c r="H5061">
        <v>0</v>
      </c>
      <c r="I5061">
        <v>0</v>
      </c>
      <c r="J5061">
        <v>-248.06790000000001</v>
      </c>
      <c r="K5061">
        <v>1.123721</v>
      </c>
      <c r="L5061">
        <v>140.58449999999999</v>
      </c>
      <c r="M5061">
        <v>-0.98763000000000001</v>
      </c>
      <c r="N5061">
        <v>-9.1638919999999999E-3</v>
      </c>
      <c r="O5061">
        <v>0.1565349</v>
      </c>
      <c r="P5061">
        <v>-0.96808329999999998</v>
      </c>
      <c r="Q5061">
        <v>0.1688789</v>
      </c>
      <c r="R5061">
        <v>0.18518860000000001</v>
      </c>
      <c r="S5061">
        <v>-3.0932620000000002</v>
      </c>
      <c r="T5061">
        <v>7.3560479999999996E-3</v>
      </c>
      <c r="U5061">
        <v>4.196167E-2</v>
      </c>
      <c r="V5061">
        <v>3.012774E-2</v>
      </c>
      <c r="W5061">
        <v>0.17811250000000001</v>
      </c>
      <c r="X5061">
        <v>0.9835488</v>
      </c>
      <c r="Y5061">
        <v>-0.14312079999999999</v>
      </c>
      <c r="Z5061">
        <v>1.3245920000000001E-3</v>
      </c>
      <c r="AA5061">
        <v>0.98970440000000004</v>
      </c>
      <c r="AB5061">
        <v>35</v>
      </c>
      <c r="AC5061">
        <v>-3.0932620000000002</v>
      </c>
      <c r="AD5061">
        <v>7.3560479999999996E-3</v>
      </c>
      <c r="AE5061">
        <v>4.196167E-2</v>
      </c>
      <c r="AF5061">
        <v>-0.44277690478329401</v>
      </c>
      <c r="AG5061">
        <v>7.3560479999999996E-3</v>
      </c>
      <c r="AH5061">
        <v>3.0616778035935099</v>
      </c>
      <c r="AI5061">
        <v>89.863757638993306</v>
      </c>
      <c r="AJ5061">
        <v>98.229008144752598</v>
      </c>
      <c r="AK5061">
        <v>3.0935378568669298</v>
      </c>
      <c r="AL5061">
        <v>79.740162392309998</v>
      </c>
      <c r="AM5061">
        <v>88.245483338371699</v>
      </c>
      <c r="AN5061">
        <v>0.99999999267759798</v>
      </c>
    </row>
    <row r="5062" spans="1:40" x14ac:dyDescent="0.25">
      <c r="A5062" t="str">
        <f>"20190303170353949"</f>
        <v>20190303170353949</v>
      </c>
      <c r="B5062" t="str">
        <f>"1551603833940983"</f>
        <v>1551603833940983</v>
      </c>
      <c r="C5062" t="s">
        <v>40</v>
      </c>
      <c r="D5062">
        <v>4.2419979999999997</v>
      </c>
      <c r="E5062">
        <v>0.43370189999999997</v>
      </c>
      <c r="F5062" t="s">
        <v>48</v>
      </c>
      <c r="G5062">
        <v>0</v>
      </c>
      <c r="H5062">
        <v>0</v>
      </c>
      <c r="I5062">
        <v>0</v>
      </c>
      <c r="J5062">
        <v>-248.39619999999999</v>
      </c>
      <c r="K5062">
        <v>1.123972</v>
      </c>
      <c r="L5062">
        <v>140.63329999999999</v>
      </c>
      <c r="M5062">
        <v>-0.98820200000000002</v>
      </c>
      <c r="N5062">
        <v>-9.2204390000000004E-3</v>
      </c>
      <c r="O5062">
        <v>0.15287800000000001</v>
      </c>
      <c r="P5062">
        <v>-0.96920379999999995</v>
      </c>
      <c r="Q5062">
        <v>0.16818449999999999</v>
      </c>
      <c r="R5062">
        <v>0.17988270000000001</v>
      </c>
      <c r="S5062">
        <v>-3.09436</v>
      </c>
      <c r="T5062">
        <v>4.610538E-3</v>
      </c>
      <c r="U5062">
        <v>1.9561769999999999E-2</v>
      </c>
      <c r="V5062">
        <v>2.8252869999999999E-2</v>
      </c>
      <c r="W5062">
        <v>0.1774809</v>
      </c>
      <c r="X5062">
        <v>0.9837186</v>
      </c>
      <c r="Y5062">
        <v>-0.14662620000000001</v>
      </c>
      <c r="Z5062">
        <v>1.074268E-3</v>
      </c>
      <c r="AA5062">
        <v>0.98919140000000005</v>
      </c>
      <c r="AB5062">
        <v>36</v>
      </c>
      <c r="AC5062">
        <v>-3.09436</v>
      </c>
      <c r="AD5062">
        <v>4.610538E-3</v>
      </c>
      <c r="AE5062">
        <v>1.9561769999999999E-2</v>
      </c>
      <c r="AF5062">
        <v>-0.45374689344470098</v>
      </c>
      <c r="AG5062">
        <v>4.610538E-3</v>
      </c>
      <c r="AH5062">
        <v>3.0609667941934702</v>
      </c>
      <c r="AI5062">
        <v>89.914631949356902</v>
      </c>
      <c r="AJ5062">
        <v>98.431920399777695</v>
      </c>
      <c r="AK5062">
        <v>3.0944183969732402</v>
      </c>
      <c r="AL5062">
        <v>79.776936282377306</v>
      </c>
      <c r="AM5062">
        <v>88.354889964660401</v>
      </c>
      <c r="AN5062">
        <v>0.99999998925700295</v>
      </c>
    </row>
    <row r="5063" spans="1:40" x14ac:dyDescent="0.25">
      <c r="A5063" t="str">
        <f>"20190303170353971"</f>
        <v>20190303170353971</v>
      </c>
      <c r="B5063" t="str">
        <f>"1551603833960503"</f>
        <v>1551603833960503</v>
      </c>
      <c r="C5063" t="s">
        <v>40</v>
      </c>
      <c r="D5063">
        <v>4.1987220000000001</v>
      </c>
      <c r="E5063">
        <v>0.4331969</v>
      </c>
      <c r="F5063" t="s">
        <v>48</v>
      </c>
      <c r="G5063">
        <v>0</v>
      </c>
      <c r="H5063">
        <v>0</v>
      </c>
      <c r="I5063">
        <v>0</v>
      </c>
      <c r="J5063">
        <v>-248.7345</v>
      </c>
      <c r="K5063">
        <v>1.124201</v>
      </c>
      <c r="L5063">
        <v>140.68219999999999</v>
      </c>
      <c r="M5063">
        <v>-0.9888015</v>
      </c>
      <c r="N5063">
        <v>-9.2733350000000006E-3</v>
      </c>
      <c r="O5063">
        <v>0.14894859999999999</v>
      </c>
      <c r="P5063">
        <v>-0.97016100000000005</v>
      </c>
      <c r="Q5063">
        <v>0.16722629999999999</v>
      </c>
      <c r="R5063">
        <v>0.17556559999999999</v>
      </c>
      <c r="S5063">
        <v>-3.0953059999999999</v>
      </c>
      <c r="T5063">
        <v>1.6542670000000001E-3</v>
      </c>
      <c r="U5063">
        <v>-1.419067E-3</v>
      </c>
      <c r="V5063">
        <v>2.7662300000000001E-2</v>
      </c>
      <c r="W5063">
        <v>0.17658869999999999</v>
      </c>
      <c r="X5063">
        <v>0.98389599999999999</v>
      </c>
      <c r="Y5063">
        <v>-0.14940149999999999</v>
      </c>
      <c r="Z5063">
        <v>8.1170649999999999E-4</v>
      </c>
      <c r="AA5063">
        <v>0.98877630000000005</v>
      </c>
      <c r="AB5063">
        <v>36</v>
      </c>
      <c r="AC5063">
        <v>-3.0953059999999999</v>
      </c>
      <c r="AD5063">
        <v>1.6542670000000001E-3</v>
      </c>
      <c r="AE5063">
        <v>-1.419067E-3</v>
      </c>
      <c r="AF5063">
        <v>-0.46246440392041299</v>
      </c>
      <c r="AG5063">
        <v>1.6542670000000001E-3</v>
      </c>
      <c r="AH5063">
        <v>3.0605624400259202</v>
      </c>
      <c r="AI5063">
        <v>89.969378625126097</v>
      </c>
      <c r="AJ5063">
        <v>98.592639741942904</v>
      </c>
      <c r="AK5063">
        <v>3.0953058832351501</v>
      </c>
      <c r="AL5063">
        <v>79.828876667178804</v>
      </c>
      <c r="AM5063">
        <v>88.389549675476502</v>
      </c>
      <c r="AN5063">
        <v>1.0000000553124799</v>
      </c>
    </row>
    <row r="5064" spans="1:40" x14ac:dyDescent="0.25">
      <c r="A5064" t="str">
        <f>"20190303170353994"</f>
        <v>20190303170353994</v>
      </c>
      <c r="B5064" t="str">
        <f>"1551603833980999"</f>
        <v>1551603833980999</v>
      </c>
      <c r="C5064" t="s">
        <v>40</v>
      </c>
      <c r="D5064">
        <v>4.1853490000000004</v>
      </c>
      <c r="E5064">
        <v>0.43279109999999998</v>
      </c>
      <c r="F5064" t="s">
        <v>48</v>
      </c>
      <c r="G5064">
        <v>0</v>
      </c>
      <c r="H5064">
        <v>0</v>
      </c>
      <c r="I5064">
        <v>0</v>
      </c>
      <c r="J5064">
        <v>-249.09100000000001</v>
      </c>
      <c r="K5064">
        <v>1.124422</v>
      </c>
      <c r="L5064">
        <v>140.7321</v>
      </c>
      <c r="M5064">
        <v>-0.98943820000000005</v>
      </c>
      <c r="N5064">
        <v>-9.3235039999999998E-3</v>
      </c>
      <c r="O5064">
        <v>0.14465510000000001</v>
      </c>
      <c r="P5064">
        <v>-0.97122770000000003</v>
      </c>
      <c r="Q5064">
        <v>0.1661019</v>
      </c>
      <c r="R5064">
        <v>0.17066619999999999</v>
      </c>
      <c r="S5064">
        <v>-3.095825</v>
      </c>
      <c r="T5064" s="1">
        <v>-8.3327289999999895E-5</v>
      </c>
      <c r="U5064">
        <v>-1.954651E-2</v>
      </c>
      <c r="V5064">
        <v>2.685005E-2</v>
      </c>
      <c r="W5064">
        <v>0.1755246</v>
      </c>
      <c r="X5064">
        <v>0.98410880000000001</v>
      </c>
      <c r="Y5064">
        <v>-0.15089949999999999</v>
      </c>
      <c r="Z5064">
        <v>6.4272679999999999E-4</v>
      </c>
      <c r="AA5064">
        <v>0.98854889999999995</v>
      </c>
      <c r="AB5064">
        <v>36</v>
      </c>
      <c r="AC5064">
        <v>-3.095825</v>
      </c>
      <c r="AD5064" s="1">
        <v>-8.3327289999999895E-5</v>
      </c>
      <c r="AE5064">
        <v>-1.954651E-2</v>
      </c>
      <c r="AF5064">
        <v>-0.46718724979618198</v>
      </c>
      <c r="AG5064" s="1">
        <v>-8.3327289999999895E-5</v>
      </c>
      <c r="AH5064">
        <v>3.0604330668092001</v>
      </c>
      <c r="AI5064">
        <v>90.001542143654007</v>
      </c>
      <c r="AJ5064">
        <v>98.679422444852605</v>
      </c>
      <c r="AK5064">
        <v>3.0958867049255399</v>
      </c>
      <c r="AL5064">
        <v>79.890811673748402</v>
      </c>
      <c r="AM5064">
        <v>88.437151471200806</v>
      </c>
      <c r="AN5064">
        <v>0.99999997031379995</v>
      </c>
    </row>
    <row r="5065" spans="1:40" x14ac:dyDescent="0.25">
      <c r="A5065" t="str">
        <f>"20190303170354019"</f>
        <v>20190303170354019</v>
      </c>
      <c r="B5065" t="str">
        <f>"1551603834010280"</f>
        <v>1551603834010280</v>
      </c>
      <c r="C5065" t="s">
        <v>40</v>
      </c>
      <c r="D5065">
        <v>4.1919240000000002</v>
      </c>
      <c r="E5065">
        <v>0.43243359999999897</v>
      </c>
      <c r="F5065" t="s">
        <v>48</v>
      </c>
      <c r="G5065">
        <v>0</v>
      </c>
      <c r="H5065">
        <v>0</v>
      </c>
      <c r="I5065">
        <v>0</v>
      </c>
      <c r="J5065">
        <v>-249.46639999999999</v>
      </c>
      <c r="K5065">
        <v>1.1246339999999999</v>
      </c>
      <c r="L5065">
        <v>140.78270000000001</v>
      </c>
      <c r="M5065">
        <v>-0.99011059999999995</v>
      </c>
      <c r="N5065">
        <v>-9.3712980000000001E-3</v>
      </c>
      <c r="O5065">
        <v>0.1399755</v>
      </c>
      <c r="P5065">
        <v>-0.97198700000000005</v>
      </c>
      <c r="Q5065">
        <v>0.1664417</v>
      </c>
      <c r="R5065">
        <v>0.16594739999999999</v>
      </c>
      <c r="S5065">
        <v>-3.0960540000000001</v>
      </c>
      <c r="T5065">
        <v>-1.3697150000000001E-3</v>
      </c>
      <c r="U5065">
        <v>-3.939819E-2</v>
      </c>
      <c r="V5065">
        <v>2.6638419999999999E-2</v>
      </c>
      <c r="W5065">
        <v>0.1759232</v>
      </c>
      <c r="X5065">
        <v>0.98404340000000001</v>
      </c>
      <c r="Y5065">
        <v>-0.15256349999999999</v>
      </c>
      <c r="Z5065">
        <v>5.0424780000000004E-4</v>
      </c>
      <c r="AA5065">
        <v>0.98829350000000005</v>
      </c>
      <c r="AB5065">
        <v>36</v>
      </c>
      <c r="AC5065">
        <v>-3.0960540000000001</v>
      </c>
      <c r="AD5065">
        <v>-1.3697150000000001E-3</v>
      </c>
      <c r="AE5065">
        <v>-3.939819E-2</v>
      </c>
      <c r="AF5065">
        <v>-0.47240093260794502</v>
      </c>
      <c r="AG5065">
        <v>-1.3697150000000001E-3</v>
      </c>
      <c r="AH5065">
        <v>3.0600549333182099</v>
      </c>
      <c r="AI5065">
        <v>90.025345987338099</v>
      </c>
      <c r="AJ5065">
        <v>98.775850533943299</v>
      </c>
      <c r="AK5065">
        <v>3.0963043636201499</v>
      </c>
      <c r="AL5065">
        <v>79.867612842413607</v>
      </c>
      <c r="AM5065">
        <v>88.449360685165004</v>
      </c>
      <c r="AN5065">
        <v>0.99999999540094797</v>
      </c>
    </row>
    <row r="5066" spans="1:40" x14ac:dyDescent="0.25">
      <c r="A5066" t="str">
        <f>"20190303170354041"</f>
        <v>20190303170354041</v>
      </c>
      <c r="B5066" t="str">
        <f>"1551603834030775"</f>
        <v>1551603834030775</v>
      </c>
      <c r="C5066" t="s">
        <v>40</v>
      </c>
      <c r="D5066">
        <v>4.2213419999999999</v>
      </c>
      <c r="E5066">
        <v>0.43232350000000003</v>
      </c>
      <c r="F5066" t="s">
        <v>48</v>
      </c>
      <c r="G5066">
        <v>0</v>
      </c>
      <c r="H5066">
        <v>0</v>
      </c>
      <c r="I5066">
        <v>0</v>
      </c>
      <c r="J5066">
        <v>-249.82939999999999</v>
      </c>
      <c r="K5066">
        <v>1.1248089999999999</v>
      </c>
      <c r="L5066">
        <v>140.82980000000001</v>
      </c>
      <c r="M5066">
        <v>-0.99075610000000003</v>
      </c>
      <c r="N5066">
        <v>-9.4133020000000001E-3</v>
      </c>
      <c r="O5066">
        <v>0.13532859999999999</v>
      </c>
      <c r="P5066">
        <v>-0.97270000000000001</v>
      </c>
      <c r="Q5066">
        <v>0.1665808</v>
      </c>
      <c r="R5066">
        <v>0.16157179999999999</v>
      </c>
      <c r="S5066">
        <v>-3.0961150000000002</v>
      </c>
      <c r="T5066">
        <v>-2.9182429999999998E-4</v>
      </c>
      <c r="U5066">
        <v>-5.628967E-2</v>
      </c>
      <c r="V5066">
        <v>2.6753320000000001E-2</v>
      </c>
      <c r="W5066">
        <v>0.17611650000000001</v>
      </c>
      <c r="X5066">
        <v>0.98400569999999998</v>
      </c>
      <c r="Y5066">
        <v>-0.1533168</v>
      </c>
      <c r="Z5066">
        <v>5.3472589999999998E-4</v>
      </c>
      <c r="AA5066">
        <v>0.98817690000000002</v>
      </c>
      <c r="AB5066">
        <v>36</v>
      </c>
      <c r="AC5066">
        <v>-3.0961150000000002</v>
      </c>
      <c r="AD5066">
        <v>-2.9182429999999998E-4</v>
      </c>
      <c r="AE5066">
        <v>-5.628967E-2</v>
      </c>
      <c r="AF5066">
        <v>-0.47478325254339598</v>
      </c>
      <c r="AG5066">
        <v>-2.9182429999999998E-4</v>
      </c>
      <c r="AH5066">
        <v>3.0600126328097299</v>
      </c>
      <c r="AI5066">
        <v>90.005399521068796</v>
      </c>
      <c r="AJ5066">
        <v>98.819533121738402</v>
      </c>
      <c r="AK5066">
        <v>3.0966266379743401</v>
      </c>
      <c r="AL5066">
        <v>79.856361844169001</v>
      </c>
      <c r="AM5066">
        <v>88.442615933874293</v>
      </c>
      <c r="AN5066">
        <v>0.99999998966788095</v>
      </c>
    </row>
    <row r="5067" spans="1:40" x14ac:dyDescent="0.25">
      <c r="A5067" t="str">
        <f>"20190303170354062"</f>
        <v>20190303170354062</v>
      </c>
      <c r="B5067" t="str">
        <f>"1551603834050295"</f>
        <v>1551603834050295</v>
      </c>
      <c r="C5067" t="s">
        <v>40</v>
      </c>
      <c r="D5067">
        <v>4.1781480000000002</v>
      </c>
      <c r="E5067">
        <v>0.4323168</v>
      </c>
      <c r="F5067" t="s">
        <v>48</v>
      </c>
      <c r="G5067">
        <v>0</v>
      </c>
      <c r="H5067">
        <v>0</v>
      </c>
      <c r="I5067">
        <v>0</v>
      </c>
      <c r="J5067">
        <v>-250.1601</v>
      </c>
      <c r="K5067">
        <v>1.1249450000000001</v>
      </c>
      <c r="L5067">
        <v>140.87110000000001</v>
      </c>
      <c r="M5067">
        <v>-0.99133530000000003</v>
      </c>
      <c r="N5067">
        <v>-9.4479839999999995E-3</v>
      </c>
      <c r="O5067">
        <v>0.1310163</v>
      </c>
      <c r="P5067">
        <v>-0.97334560000000003</v>
      </c>
      <c r="Q5067">
        <v>0.16613410000000001</v>
      </c>
      <c r="R5067">
        <v>0.15810739999999901</v>
      </c>
      <c r="S5067">
        <v>-3.095901</v>
      </c>
      <c r="T5067" s="1">
        <v>-5.4240229999999998E-5</v>
      </c>
      <c r="U5067">
        <v>-7.0465089999999994E-2</v>
      </c>
      <c r="V5067">
        <v>2.7467749999999999E-2</v>
      </c>
      <c r="W5067">
        <v>0.1757213</v>
      </c>
      <c r="X5067">
        <v>0.98405670000000001</v>
      </c>
      <c r="Y5067">
        <v>-0.15354110000000001</v>
      </c>
      <c r="Z5067">
        <v>5.1085200000000001E-4</v>
      </c>
      <c r="AA5067">
        <v>0.98814210000000002</v>
      </c>
      <c r="AB5067">
        <v>36</v>
      </c>
      <c r="AC5067">
        <v>-3.095901</v>
      </c>
      <c r="AD5067" s="1">
        <v>-5.4240229999999998E-5</v>
      </c>
      <c r="AE5067">
        <v>-7.0465089999999994E-2</v>
      </c>
      <c r="AF5067">
        <v>-0.47548919730420097</v>
      </c>
      <c r="AG5067" s="1">
        <v>-5.4240229999999998E-5</v>
      </c>
      <c r="AH5067">
        <v>3.05998012216953</v>
      </c>
      <c r="AI5067">
        <v>90.001003562964897</v>
      </c>
      <c r="AJ5067">
        <v>98.832532434087398</v>
      </c>
      <c r="AK5067">
        <v>3.0967028155390799</v>
      </c>
      <c r="AL5067">
        <v>79.879364178104495</v>
      </c>
      <c r="AM5067">
        <v>88.401131139652506</v>
      </c>
      <c r="AN5067">
        <v>1.00000002068932</v>
      </c>
    </row>
    <row r="5068" spans="1:40" x14ac:dyDescent="0.25">
      <c r="A5068" t="str">
        <f>"20190303170354084"</f>
        <v>20190303170354084</v>
      </c>
      <c r="B5068" t="str">
        <f>"1551603834070791"</f>
        <v>1551603834070791</v>
      </c>
      <c r="C5068" t="s">
        <v>40</v>
      </c>
      <c r="D5068">
        <v>4.2190190000000003</v>
      </c>
      <c r="E5068">
        <v>0.43229609999999902</v>
      </c>
      <c r="F5068" t="s">
        <v>48</v>
      </c>
      <c r="G5068">
        <v>0</v>
      </c>
      <c r="H5068">
        <v>0</v>
      </c>
      <c r="I5068">
        <v>0</v>
      </c>
      <c r="J5068">
        <v>-250.51230000000001</v>
      </c>
      <c r="K5068">
        <v>1.1250639999999901</v>
      </c>
      <c r="L5068">
        <v>140.9135</v>
      </c>
      <c r="M5068">
        <v>-0.99193940000000003</v>
      </c>
      <c r="N5068">
        <v>-9.4812290000000007E-3</v>
      </c>
      <c r="O5068">
        <v>0.12635739999999901</v>
      </c>
      <c r="P5068">
        <v>-0.97378120000000001</v>
      </c>
      <c r="Q5068">
        <v>0.1666521</v>
      </c>
      <c r="R5068">
        <v>0.15484539999999999</v>
      </c>
      <c r="S5068">
        <v>-3.0955659999999998</v>
      </c>
      <c r="T5068">
        <v>-7.5113770000000005E-4</v>
      </c>
      <c r="U5068">
        <v>-8.1787109999999996E-2</v>
      </c>
      <c r="V5068">
        <v>2.874873E-2</v>
      </c>
      <c r="W5068">
        <v>0.17629300000000001</v>
      </c>
      <c r="X5068">
        <v>0.98391779999999995</v>
      </c>
      <c r="Y5068">
        <v>-0.15251329999999999</v>
      </c>
      <c r="Z5068">
        <v>4.2749679999999998E-4</v>
      </c>
      <c r="AA5068">
        <v>0.98830130000000005</v>
      </c>
      <c r="AB5068">
        <v>36</v>
      </c>
      <c r="AC5068">
        <v>-3.0955659999999998</v>
      </c>
      <c r="AD5068">
        <v>-7.5113770000000005E-4</v>
      </c>
      <c r="AE5068">
        <v>-8.1787109999999996E-2</v>
      </c>
      <c r="AF5068">
        <v>-0.47229676222939299</v>
      </c>
      <c r="AG5068">
        <v>-7.5113770000000005E-4</v>
      </c>
      <c r="AH5068">
        <v>3.0604170682588601</v>
      </c>
      <c r="AI5068">
        <v>90.013897945800096</v>
      </c>
      <c r="AJ5068">
        <v>98.772923406206701</v>
      </c>
      <c r="AK5068">
        <v>3.09664615794417</v>
      </c>
      <c r="AL5068">
        <v>79.846088237532797</v>
      </c>
      <c r="AM5068">
        <v>88.326371992667205</v>
      </c>
      <c r="AN5068">
        <v>0.999999974241226</v>
      </c>
    </row>
    <row r="5069" spans="1:40" x14ac:dyDescent="0.25">
      <c r="A5069" t="str">
        <f>"20190303170354107"</f>
        <v>20190303170354107</v>
      </c>
      <c r="B5069" t="str">
        <f>"1551603834101048"</f>
        <v>1551603834101048</v>
      </c>
      <c r="C5069" t="s">
        <v>40</v>
      </c>
      <c r="D5069">
        <v>4.1967439999999998</v>
      </c>
      <c r="E5069">
        <v>0.43240840000000003</v>
      </c>
      <c r="F5069" t="s">
        <v>48</v>
      </c>
      <c r="G5069">
        <v>0</v>
      </c>
      <c r="H5069">
        <v>0</v>
      </c>
      <c r="I5069">
        <v>0</v>
      </c>
      <c r="J5069">
        <v>-250.8793</v>
      </c>
      <c r="K5069">
        <v>1.125173</v>
      </c>
      <c r="L5069">
        <v>140.95580000000001</v>
      </c>
      <c r="M5069">
        <v>-0.9925522</v>
      </c>
      <c r="N5069">
        <v>-9.5124660000000007E-3</v>
      </c>
      <c r="O5069">
        <v>0.12144729999999999</v>
      </c>
      <c r="P5069">
        <v>-0.97435389999999999</v>
      </c>
      <c r="Q5069">
        <v>0.16736980000000001</v>
      </c>
      <c r="R5069">
        <v>0.15040419999999999</v>
      </c>
      <c r="S5069">
        <v>-3.0952449999999998</v>
      </c>
      <c r="T5069">
        <v>1.805425E-3</v>
      </c>
      <c r="U5069">
        <v>-9.2941280000000001E-2</v>
      </c>
      <c r="V5069">
        <v>2.9093480000000001E-2</v>
      </c>
      <c r="W5069">
        <v>0.1770515</v>
      </c>
      <c r="X5069">
        <v>0.98377150000000002</v>
      </c>
      <c r="Y5069">
        <v>-0.1511837</v>
      </c>
      <c r="Z5069">
        <v>5.5221019999999999E-4</v>
      </c>
      <c r="AA5069">
        <v>0.98850550000000004</v>
      </c>
      <c r="AB5069">
        <v>36</v>
      </c>
      <c r="AC5069">
        <v>-3.0952449999999998</v>
      </c>
      <c r="AD5069">
        <v>1.805425E-3</v>
      </c>
      <c r="AE5069">
        <v>-9.2941280000000001E-2</v>
      </c>
      <c r="AF5069">
        <v>-0.46817928945925003</v>
      </c>
      <c r="AG5069">
        <v>1.805425E-3</v>
      </c>
      <c r="AH5069">
        <v>3.06104252263161</v>
      </c>
      <c r="AI5069">
        <v>89.966595001678897</v>
      </c>
      <c r="AJ5069">
        <v>98.695865837160795</v>
      </c>
      <c r="AK5069">
        <v>3.0966395385961398</v>
      </c>
      <c r="AL5069">
        <v>79.801935254014793</v>
      </c>
      <c r="AM5069">
        <v>88.306062016564198</v>
      </c>
      <c r="AN5069">
        <v>1.0000000142215</v>
      </c>
    </row>
    <row r="5070" spans="1:40" x14ac:dyDescent="0.25">
      <c r="A5070" t="str">
        <f>"20190303170354129"</f>
        <v>20190303170354129</v>
      </c>
      <c r="B5070" t="str">
        <f>"1551603834120566"</f>
        <v>1551603834120566</v>
      </c>
      <c r="C5070" t="s">
        <v>40</v>
      </c>
      <c r="D5070">
        <v>4.2203939999999998</v>
      </c>
      <c r="E5070">
        <v>0.43256149999999999</v>
      </c>
      <c r="F5070" t="s">
        <v>48</v>
      </c>
      <c r="G5070">
        <v>0</v>
      </c>
      <c r="H5070">
        <v>0</v>
      </c>
      <c r="I5070">
        <v>0</v>
      </c>
      <c r="J5070">
        <v>-251.2277</v>
      </c>
      <c r="K5070">
        <v>1.1252660000000001</v>
      </c>
      <c r="L5070">
        <v>140.99420000000001</v>
      </c>
      <c r="M5070">
        <v>-0.99311590000000005</v>
      </c>
      <c r="N5070">
        <v>-9.5393530000000004E-3</v>
      </c>
      <c r="O5070">
        <v>0.116748</v>
      </c>
      <c r="P5070">
        <v>-0.97474680000000002</v>
      </c>
      <c r="Q5070">
        <v>0.16911229999999999</v>
      </c>
      <c r="R5070">
        <v>0.14584330000000001</v>
      </c>
      <c r="S5070">
        <v>-3.0946660000000001</v>
      </c>
      <c r="T5070">
        <v>3.8306709999999999E-3</v>
      </c>
      <c r="U5070">
        <v>-0.10597230000000001</v>
      </c>
      <c r="V5070">
        <v>2.9126829999999999E-2</v>
      </c>
      <c r="W5070">
        <v>0.17882419999999999</v>
      </c>
      <c r="X5070">
        <v>0.98344980000000004</v>
      </c>
      <c r="Y5070">
        <v>-0.15066840000000001</v>
      </c>
      <c r="Z5070">
        <v>6.334054E-4</v>
      </c>
      <c r="AA5070">
        <v>0.98858420000000002</v>
      </c>
      <c r="AB5070">
        <v>36</v>
      </c>
      <c r="AC5070">
        <v>-3.0946660000000001</v>
      </c>
      <c r="AD5070">
        <v>3.8306709999999999E-3</v>
      </c>
      <c r="AE5070">
        <v>-0.10597230000000001</v>
      </c>
      <c r="AF5070">
        <v>-0.466559290385202</v>
      </c>
      <c r="AG5070">
        <v>3.8306709999999999E-3</v>
      </c>
      <c r="AH5070">
        <v>3.0611241171284198</v>
      </c>
      <c r="AI5070">
        <v>89.929119028082297</v>
      </c>
      <c r="AJ5070">
        <v>98.666006416795994</v>
      </c>
      <c r="AK5070">
        <v>3.0964775319627802</v>
      </c>
      <c r="AL5070">
        <v>79.698719599072106</v>
      </c>
      <c r="AM5070">
        <v>88.303566959133505</v>
      </c>
      <c r="AN5070">
        <v>0.99999998792576394</v>
      </c>
    </row>
    <row r="5071" spans="1:40" x14ac:dyDescent="0.25">
      <c r="A5071" t="str">
        <f>"20190303170354150"</f>
        <v>20190303170354150</v>
      </c>
      <c r="B5071" t="str">
        <f>"1551603834141063"</f>
        <v>1551603834141063</v>
      </c>
      <c r="C5071" t="s">
        <v>40</v>
      </c>
      <c r="D5071">
        <v>4.2053500000000001</v>
      </c>
      <c r="E5071">
        <v>0.43277019999999999</v>
      </c>
      <c r="F5071" t="s">
        <v>48</v>
      </c>
      <c r="G5071">
        <v>0</v>
      </c>
      <c r="H5071">
        <v>0</v>
      </c>
      <c r="I5071">
        <v>0</v>
      </c>
      <c r="J5071">
        <v>-251.57169999999999</v>
      </c>
      <c r="K5071">
        <v>1.125348</v>
      </c>
      <c r="L5071">
        <v>141.03059999999999</v>
      </c>
      <c r="M5071">
        <v>-0.99365230000000004</v>
      </c>
      <c r="N5071">
        <v>-9.5633030000000004E-3</v>
      </c>
      <c r="O5071">
        <v>0.11208849999999999</v>
      </c>
      <c r="P5071">
        <v>-0.97537399999999996</v>
      </c>
      <c r="Q5071">
        <v>0.16958809999999999</v>
      </c>
      <c r="R5071">
        <v>0.1410168</v>
      </c>
      <c r="S5071">
        <v>-3.0939179999999999</v>
      </c>
      <c r="T5071">
        <v>8.958578E-3</v>
      </c>
      <c r="U5071">
        <v>-0.1185913</v>
      </c>
      <c r="V5071">
        <v>2.8846090000000001E-2</v>
      </c>
      <c r="W5071">
        <v>0.17932529999999999</v>
      </c>
      <c r="X5071">
        <v>0.98336679999999999</v>
      </c>
      <c r="Y5071">
        <v>-0.150065</v>
      </c>
      <c r="Z5071">
        <v>8.9611929999999904E-4</v>
      </c>
      <c r="AA5071">
        <v>0.98867570000000005</v>
      </c>
      <c r="AB5071">
        <v>36</v>
      </c>
      <c r="AC5071">
        <v>-3.0939179999999999</v>
      </c>
      <c r="AD5071">
        <v>8.958578E-3</v>
      </c>
      <c r="AE5071">
        <v>-0.1185913</v>
      </c>
      <c r="AF5071">
        <v>-0.46464846179317998</v>
      </c>
      <c r="AG5071">
        <v>8.958578E-3</v>
      </c>
      <c r="AH5071">
        <v>3.06110009373901</v>
      </c>
      <c r="AI5071">
        <v>89.834218321427699</v>
      </c>
      <c r="AJ5071">
        <v>98.631116432616693</v>
      </c>
      <c r="AK5071">
        <v>3.0961770351605402</v>
      </c>
      <c r="AL5071">
        <v>79.669536686105999</v>
      </c>
      <c r="AM5071">
        <v>88.3197669481943</v>
      </c>
      <c r="AN5071">
        <v>0.99999996173530803</v>
      </c>
    </row>
    <row r="5072" spans="1:40" x14ac:dyDescent="0.25">
      <c r="A5072" t="str">
        <f>"20190303170354173"</f>
        <v>20190303170354173</v>
      </c>
      <c r="B5072" t="str">
        <f>"1551603834160584"</f>
        <v>1551603834160584</v>
      </c>
      <c r="C5072" t="s">
        <v>40</v>
      </c>
      <c r="D5072">
        <v>4.1904539999999999</v>
      </c>
      <c r="E5072">
        <v>0.43300080000000002</v>
      </c>
      <c r="F5072" t="s">
        <v>48</v>
      </c>
      <c r="G5072">
        <v>0</v>
      </c>
      <c r="H5072">
        <v>0</v>
      </c>
      <c r="I5072">
        <v>0</v>
      </c>
      <c r="J5072">
        <v>-251.929</v>
      </c>
      <c r="K5072">
        <v>1.1254150000000001</v>
      </c>
      <c r="L5072">
        <v>141.06659999999999</v>
      </c>
      <c r="M5072">
        <v>-0.9941873</v>
      </c>
      <c r="N5072">
        <v>-9.5858880000000007E-3</v>
      </c>
      <c r="O5072">
        <v>0.1072379</v>
      </c>
      <c r="P5072">
        <v>-0.97608470000000003</v>
      </c>
      <c r="Q5072">
        <v>0.16959080000000001</v>
      </c>
      <c r="R5072">
        <v>0.136007399999999</v>
      </c>
      <c r="S5072">
        <v>-3.0931090000000001</v>
      </c>
      <c r="T5072">
        <v>9.8185540000000002E-3</v>
      </c>
      <c r="U5072">
        <v>-0.1317749</v>
      </c>
      <c r="V5072">
        <v>2.857109E-2</v>
      </c>
      <c r="W5072">
        <v>0.17935110000000001</v>
      </c>
      <c r="X5072">
        <v>0.98337019999999997</v>
      </c>
      <c r="Y5072">
        <v>-0.14945710000000001</v>
      </c>
      <c r="Z5072">
        <v>8.8880049999999998E-4</v>
      </c>
      <c r="AA5072">
        <v>0.98876779999999997</v>
      </c>
      <c r="AB5072">
        <v>36</v>
      </c>
      <c r="AC5072">
        <v>-3.0931090000000001</v>
      </c>
      <c r="AD5072">
        <v>9.8185540000000002E-3</v>
      </c>
      <c r="AE5072">
        <v>-0.1317749</v>
      </c>
      <c r="AF5072">
        <v>-0.46272399547736498</v>
      </c>
      <c r="AG5072">
        <v>9.8185540000000002E-3</v>
      </c>
      <c r="AH5072">
        <v>3.0611079054917401</v>
      </c>
      <c r="AI5072">
        <v>89.818287798780304</v>
      </c>
      <c r="AJ5072">
        <v>98.595881826197001</v>
      </c>
      <c r="AK5072">
        <v>3.09589914387682</v>
      </c>
      <c r="AL5072">
        <v>79.668034882936396</v>
      </c>
      <c r="AM5072">
        <v>88.335781904898695</v>
      </c>
      <c r="AN5072">
        <v>1.0000000372515101</v>
      </c>
    </row>
    <row r="5073" spans="1:40" x14ac:dyDescent="0.25">
      <c r="A5073" t="str">
        <f>"20190303170354196"</f>
        <v>20190303170354196</v>
      </c>
      <c r="B5073" t="str">
        <f>"1551603834190839"</f>
        <v>1551603834190839</v>
      </c>
      <c r="C5073" t="s">
        <v>40</v>
      </c>
      <c r="D5073">
        <v>4.1988570000000003</v>
      </c>
      <c r="E5073">
        <v>0.43340869999999998</v>
      </c>
      <c r="F5073" t="s">
        <v>48</v>
      </c>
      <c r="G5073">
        <v>0</v>
      </c>
      <c r="H5073">
        <v>0</v>
      </c>
      <c r="I5073">
        <v>0</v>
      </c>
      <c r="J5073">
        <v>-252.2978</v>
      </c>
      <c r="K5073">
        <v>1.1254660000000001</v>
      </c>
      <c r="L5073">
        <v>141.1019</v>
      </c>
      <c r="M5073">
        <v>-0.99471399999999999</v>
      </c>
      <c r="N5073">
        <v>-9.6065769999999998E-3</v>
      </c>
      <c r="O5073">
        <v>0.1022344</v>
      </c>
      <c r="P5073">
        <v>-0.97649240000000004</v>
      </c>
      <c r="Q5073">
        <v>0.17018639999999999</v>
      </c>
      <c r="R5073">
        <v>0.13228570000000001</v>
      </c>
      <c r="S5073">
        <v>-3.092209</v>
      </c>
      <c r="T5073">
        <v>8.9948179999999999E-3</v>
      </c>
      <c r="U5073">
        <v>-0.1453247</v>
      </c>
      <c r="V5073">
        <v>2.9756919999999999E-2</v>
      </c>
      <c r="W5073">
        <v>0.179982</v>
      </c>
      <c r="X5073">
        <v>0.98321970000000003</v>
      </c>
      <c r="Y5073">
        <v>-0.14881910000000001</v>
      </c>
      <c r="Z5073">
        <v>7.8040309999999997E-4</v>
      </c>
      <c r="AA5073">
        <v>0.98886410000000002</v>
      </c>
      <c r="AB5073">
        <v>36</v>
      </c>
      <c r="AC5073">
        <v>-3.092209</v>
      </c>
      <c r="AD5073">
        <v>8.9948179999999999E-3</v>
      </c>
      <c r="AE5073">
        <v>-0.1453247</v>
      </c>
      <c r="AF5073">
        <v>-0.46070399159185199</v>
      </c>
      <c r="AG5073">
        <v>8.9948179999999999E-3</v>
      </c>
      <c r="AH5073">
        <v>3.0611216553397398</v>
      </c>
      <c r="AI5073">
        <v>89.833517139943496</v>
      </c>
      <c r="AJ5073">
        <v>98.558875901879404</v>
      </c>
      <c r="AK5073">
        <v>3.0956089648741898</v>
      </c>
      <c r="AL5073">
        <v>79.631288500413902</v>
      </c>
      <c r="AM5073">
        <v>88.266485444558796</v>
      </c>
      <c r="AN5073">
        <v>0.99999998653998801</v>
      </c>
    </row>
    <row r="5074" spans="1:40" x14ac:dyDescent="0.25">
      <c r="A5074" t="str">
        <f>"20190303170354219"</f>
        <v>20190303170354219</v>
      </c>
      <c r="B5074" t="str">
        <f>"1551603834210360"</f>
        <v>1551603834210360</v>
      </c>
      <c r="C5074" t="s">
        <v>40</v>
      </c>
      <c r="D5074">
        <v>4.1892680000000002</v>
      </c>
      <c r="E5074">
        <v>0.44130520000000001</v>
      </c>
      <c r="F5074" t="s">
        <v>48</v>
      </c>
      <c r="G5074">
        <v>0</v>
      </c>
      <c r="H5074">
        <v>0</v>
      </c>
      <c r="I5074">
        <v>0</v>
      </c>
      <c r="J5074">
        <v>-252.66990000000001</v>
      </c>
      <c r="K5074">
        <v>1.1254999999999999</v>
      </c>
      <c r="L5074">
        <v>141.13560000000001</v>
      </c>
      <c r="M5074">
        <v>-0.9952183</v>
      </c>
      <c r="N5074">
        <v>-9.6156239999999997E-3</v>
      </c>
      <c r="O5074">
        <v>9.7201449999999995E-2</v>
      </c>
      <c r="P5074">
        <v>-0.97671810000000003</v>
      </c>
      <c r="Q5074">
        <v>0.171795899999999</v>
      </c>
      <c r="R5074">
        <v>0.12848470000000001</v>
      </c>
      <c r="S5074">
        <v>-3.091278</v>
      </c>
      <c r="T5074">
        <v>1.0957E-2</v>
      </c>
      <c r="U5074">
        <v>-0.1547241</v>
      </c>
      <c r="V5074">
        <v>3.0902829999999999E-2</v>
      </c>
      <c r="W5074">
        <v>0.1816131</v>
      </c>
      <c r="X5074">
        <v>0.98288439999999999</v>
      </c>
      <c r="Y5074">
        <v>-0.14683009999999999</v>
      </c>
      <c r="Z5074">
        <v>8.3240289999999997E-4</v>
      </c>
      <c r="AA5074">
        <v>0.98916139999999997</v>
      </c>
      <c r="AB5074">
        <v>36</v>
      </c>
      <c r="AC5074">
        <v>-3.091278</v>
      </c>
      <c r="AD5074">
        <v>1.0957E-2</v>
      </c>
      <c r="AE5074">
        <v>-0.1547241</v>
      </c>
      <c r="AF5074">
        <v>-0.45447626483628401</v>
      </c>
      <c r="AG5074">
        <v>1.0957E-2</v>
      </c>
      <c r="AH5074">
        <v>3.0615601313580001</v>
      </c>
      <c r="AI5074">
        <v>89.797167966125301</v>
      </c>
      <c r="AJ5074">
        <v>98.443665787588799</v>
      </c>
      <c r="AK5074">
        <v>3.0951282960596802</v>
      </c>
      <c r="AL5074">
        <v>79.536267815520205</v>
      </c>
      <c r="AM5074">
        <v>88.199158877218295</v>
      </c>
      <c r="AN5074">
        <v>1.00000002337848</v>
      </c>
    </row>
    <row r="5075" spans="1:40" x14ac:dyDescent="0.25">
      <c r="A5075" t="str">
        <f>"20190303170354240"</f>
        <v>20190303170354240</v>
      </c>
      <c r="B5075" t="str">
        <f>"1551603834230855"</f>
        <v>1551603834230855</v>
      </c>
      <c r="C5075" t="s">
        <v>40</v>
      </c>
      <c r="D5075">
        <v>4.1839320000000004</v>
      </c>
      <c r="E5075">
        <v>0.44158429999999999</v>
      </c>
      <c r="F5075" t="s">
        <v>48</v>
      </c>
      <c r="G5075">
        <v>0</v>
      </c>
      <c r="H5075">
        <v>0</v>
      </c>
      <c r="I5075">
        <v>0</v>
      </c>
      <c r="J5075">
        <v>-253.01349999999999</v>
      </c>
      <c r="K5075">
        <v>1.125516</v>
      </c>
      <c r="L5075">
        <v>141.16499999999999</v>
      </c>
      <c r="M5075">
        <v>-0.99565950000000003</v>
      </c>
      <c r="N5075">
        <v>-9.6150590000000005E-3</v>
      </c>
      <c r="O5075">
        <v>9.2573710000000003E-2</v>
      </c>
      <c r="P5075">
        <v>-0.97687780000000002</v>
      </c>
      <c r="Q5075">
        <v>0.17367869999999999</v>
      </c>
      <c r="R5075">
        <v>0.1246823</v>
      </c>
      <c r="S5075">
        <v>-3.0847929999999999</v>
      </c>
      <c r="T5075">
        <v>3.6197899999999999E-3</v>
      </c>
      <c r="U5075">
        <v>-0.10604860000000001</v>
      </c>
      <c r="V5075">
        <v>3.1650350000000001E-2</v>
      </c>
      <c r="W5075">
        <v>0.183501</v>
      </c>
      <c r="X5075">
        <v>0.98250990000000005</v>
      </c>
      <c r="Y5075">
        <v>-0.1267286</v>
      </c>
      <c r="Z5075">
        <v>4.6387099999999998E-4</v>
      </c>
      <c r="AA5075">
        <v>0.99193730000000002</v>
      </c>
      <c r="AB5075">
        <v>36</v>
      </c>
      <c r="AC5075">
        <v>-3.0847929999999999</v>
      </c>
      <c r="AD5075">
        <v>3.6197899999999999E-3</v>
      </c>
      <c r="AE5075">
        <v>-0.10604860000000001</v>
      </c>
      <c r="AF5075">
        <v>-0.39117653768692801</v>
      </c>
      <c r="AG5075">
        <v>3.6197899999999999E-3</v>
      </c>
      <c r="AH5075">
        <v>3.0617231862251999</v>
      </c>
      <c r="AI5075">
        <v>89.932807020599896</v>
      </c>
      <c r="AJ5075">
        <v>97.2808651323855</v>
      </c>
      <c r="AK5075">
        <v>3.0866132014856298</v>
      </c>
      <c r="AL5075">
        <v>79.426250380761303</v>
      </c>
      <c r="AM5075">
        <v>88.154924868385393</v>
      </c>
      <c r="AN5075">
        <v>1.0000000326270599</v>
      </c>
    </row>
    <row r="5076" spans="1:40" x14ac:dyDescent="0.25">
      <c r="A5076" t="str">
        <f>"20190303170354262"</f>
        <v>20190303170354262</v>
      </c>
      <c r="B5076" t="str">
        <f>"1551603834250375"</f>
        <v>1551603834250375</v>
      </c>
      <c r="C5076" t="s">
        <v>40</v>
      </c>
      <c r="D5076">
        <v>4.186204</v>
      </c>
      <c r="E5076">
        <v>0.44176130000000002</v>
      </c>
      <c r="F5076" t="s">
        <v>48</v>
      </c>
      <c r="G5076">
        <v>0</v>
      </c>
      <c r="H5076">
        <v>0</v>
      </c>
      <c r="I5076">
        <v>0</v>
      </c>
      <c r="J5076">
        <v>-253.35310000000001</v>
      </c>
      <c r="K5076">
        <v>1.1255139999999999</v>
      </c>
      <c r="L5076">
        <v>141.1926</v>
      </c>
      <c r="M5076">
        <v>-0.99607069999999998</v>
      </c>
      <c r="N5076">
        <v>-9.6048450000000007E-3</v>
      </c>
      <c r="O5076">
        <v>8.8039039999999999E-2</v>
      </c>
      <c r="P5076">
        <v>-0.97710050000000004</v>
      </c>
      <c r="Q5076">
        <v>0.17550579999999999</v>
      </c>
      <c r="R5076">
        <v>0.12030100000000001</v>
      </c>
      <c r="S5076">
        <v>-3.0830989999999998</v>
      </c>
      <c r="T5076">
        <v>1.489294E-2</v>
      </c>
      <c r="U5076">
        <v>-0.115509</v>
      </c>
      <c r="V5076">
        <v>3.1726360000000002E-2</v>
      </c>
      <c r="W5076">
        <v>0.18531619999999999</v>
      </c>
      <c r="X5076">
        <v>0.9821666</v>
      </c>
      <c r="Y5076">
        <v>-0.1252673</v>
      </c>
      <c r="Z5076">
        <v>9.7130389999999995E-4</v>
      </c>
      <c r="AA5076">
        <v>0.99212250000000002</v>
      </c>
      <c r="AB5076">
        <v>36</v>
      </c>
      <c r="AC5076">
        <v>-3.0830989999999998</v>
      </c>
      <c r="AD5076">
        <v>1.489294E-2</v>
      </c>
      <c r="AE5076">
        <v>-0.115509</v>
      </c>
      <c r="AF5076">
        <v>-0.38649703621148501</v>
      </c>
      <c r="AG5076">
        <v>1.489294E-2</v>
      </c>
      <c r="AH5076">
        <v>3.0608852036726399</v>
      </c>
      <c r="AI5076">
        <v>89.723421915519793</v>
      </c>
      <c r="AJ5076">
        <v>97.196633992087598</v>
      </c>
      <c r="AK5076">
        <v>3.0852260838914498</v>
      </c>
      <c r="AL5076">
        <v>79.320431284733502</v>
      </c>
      <c r="AM5076">
        <v>88.149850882180701</v>
      </c>
      <c r="AN5076">
        <v>0.99999994302842299</v>
      </c>
    </row>
    <row r="5077" spans="1:40" x14ac:dyDescent="0.25">
      <c r="A5077" t="str">
        <f>"20190303170354285"</f>
        <v>20190303170354285</v>
      </c>
      <c r="B5077" t="str">
        <f>"1551603834280631"</f>
        <v>1551603834280631</v>
      </c>
      <c r="C5077" t="s">
        <v>40</v>
      </c>
      <c r="D5077">
        <v>4.1472660000000001</v>
      </c>
      <c r="E5077">
        <v>0.44263930000000001</v>
      </c>
      <c r="F5077" t="s">
        <v>48</v>
      </c>
      <c r="G5077">
        <v>0</v>
      </c>
      <c r="H5077">
        <v>0</v>
      </c>
      <c r="I5077">
        <v>0</v>
      </c>
      <c r="J5077">
        <v>-253.72630000000001</v>
      </c>
      <c r="K5077">
        <v>1.1254850000000001</v>
      </c>
      <c r="L5077">
        <v>141.22120000000001</v>
      </c>
      <c r="M5077">
        <v>-0.99649259999999995</v>
      </c>
      <c r="N5077">
        <v>-9.5797150000000008E-3</v>
      </c>
      <c r="O5077">
        <v>8.3130200000000001E-2</v>
      </c>
      <c r="P5077">
        <v>-0.97764640000000003</v>
      </c>
      <c r="Q5077">
        <v>0.17517160000000001</v>
      </c>
      <c r="R5077">
        <v>0.116287</v>
      </c>
      <c r="S5077">
        <v>-3.0818479999999999</v>
      </c>
      <c r="T5077">
        <v>2.289677E-2</v>
      </c>
      <c r="U5077">
        <v>-0.12718199999999999</v>
      </c>
      <c r="V5077">
        <v>3.2542050000000003E-2</v>
      </c>
      <c r="W5077">
        <v>0.1849652</v>
      </c>
      <c r="X5077">
        <v>0.98220620000000003</v>
      </c>
      <c r="Y5077">
        <v>-0.12414260000000001</v>
      </c>
      <c r="Z5077">
        <v>1.279517E-3</v>
      </c>
      <c r="AA5077">
        <v>0.99226360000000002</v>
      </c>
      <c r="AB5077">
        <v>36</v>
      </c>
      <c r="AC5077">
        <v>-3.0818479999999999</v>
      </c>
      <c r="AD5077">
        <v>2.289677E-2</v>
      </c>
      <c r="AE5077">
        <v>-0.12718199999999999</v>
      </c>
      <c r="AF5077">
        <v>-0.38292705220473899</v>
      </c>
      <c r="AG5077">
        <v>2.289677E-2</v>
      </c>
      <c r="AH5077">
        <v>3.06043800646674</v>
      </c>
      <c r="AI5077">
        <v>89.5746640487571</v>
      </c>
      <c r="AJ5077">
        <v>97.131879030089607</v>
      </c>
      <c r="AK5077">
        <v>3.0843861919047599</v>
      </c>
      <c r="AL5077">
        <v>79.340897209249704</v>
      </c>
      <c r="AM5077">
        <v>88.1023940382712</v>
      </c>
      <c r="AN5077">
        <v>1.0000000647738301</v>
      </c>
    </row>
    <row r="5078" spans="1:40" x14ac:dyDescent="0.25">
      <c r="A5078" t="str">
        <f>"20190303170354307"</f>
        <v>20190303170354307</v>
      </c>
      <c r="B5078" t="str">
        <f>"1551603834301127"</f>
        <v>1551603834301127</v>
      </c>
      <c r="C5078" t="s">
        <v>40</v>
      </c>
      <c r="D5078">
        <v>4.2241849999999896</v>
      </c>
      <c r="E5078">
        <v>0.44289099999999998</v>
      </c>
      <c r="F5078" t="s">
        <v>48</v>
      </c>
      <c r="G5078">
        <v>0</v>
      </c>
      <c r="H5078">
        <v>0</v>
      </c>
      <c r="I5078">
        <v>0</v>
      </c>
      <c r="J5078">
        <v>-254.09630000000001</v>
      </c>
      <c r="K5078">
        <v>1.125416</v>
      </c>
      <c r="L5078">
        <v>141.24789999999999</v>
      </c>
      <c r="M5078">
        <v>-0.99687829999999999</v>
      </c>
      <c r="N5078">
        <v>-9.5442080000000002E-3</v>
      </c>
      <c r="O5078">
        <v>7.837413E-2</v>
      </c>
      <c r="P5078">
        <v>-0.97811329999999996</v>
      </c>
      <c r="Q5078">
        <v>0.17433299999999999</v>
      </c>
      <c r="R5078">
        <v>0.1135887</v>
      </c>
      <c r="S5078">
        <v>-3.0806580000000001</v>
      </c>
      <c r="T5078">
        <v>2.0717380000000001E-2</v>
      </c>
      <c r="U5078">
        <v>-0.13252259999999999</v>
      </c>
      <c r="V5078">
        <v>3.4543320000000002E-2</v>
      </c>
      <c r="W5078">
        <v>0.18411040000000001</v>
      </c>
      <c r="X5078">
        <v>0.98229840000000002</v>
      </c>
      <c r="Y5078">
        <v>-0.12114179999999999</v>
      </c>
      <c r="Z5078">
        <v>1.10333E-3</v>
      </c>
      <c r="AA5078">
        <v>0.99263460000000003</v>
      </c>
      <c r="AB5078">
        <v>36</v>
      </c>
      <c r="AC5078">
        <v>-3.0806580000000001</v>
      </c>
      <c r="AD5078">
        <v>2.0717380000000001E-2</v>
      </c>
      <c r="AE5078">
        <v>-0.13252259999999999</v>
      </c>
      <c r="AF5078">
        <v>-0.37355295785966902</v>
      </c>
      <c r="AG5078">
        <v>2.0717380000000001E-2</v>
      </c>
      <c r="AH5078">
        <v>3.0606561026360701</v>
      </c>
      <c r="AI5078">
        <v>89.615031156350796</v>
      </c>
      <c r="AJ5078">
        <v>96.958531965167893</v>
      </c>
      <c r="AK5078">
        <v>3.0834374974633798</v>
      </c>
      <c r="AL5078">
        <v>79.390728938266903</v>
      </c>
      <c r="AM5078">
        <v>87.985977369084395</v>
      </c>
      <c r="AN5078">
        <v>1.00000001349367</v>
      </c>
    </row>
    <row r="5079" spans="1:40" x14ac:dyDescent="0.25">
      <c r="A5079" t="str">
        <f>"20190303170354340"</f>
        <v>20190303170354340</v>
      </c>
      <c r="B5079" t="str">
        <f>"1551603834330407"</f>
        <v>1551603834330407</v>
      </c>
      <c r="C5079" t="s">
        <v>40</v>
      </c>
      <c r="D5079">
        <v>4.1547869999999998</v>
      </c>
      <c r="E5079">
        <v>0.44408340000000002</v>
      </c>
      <c r="F5079" t="s">
        <v>48</v>
      </c>
      <c r="G5079">
        <v>0</v>
      </c>
      <c r="H5079">
        <v>0</v>
      </c>
      <c r="I5079">
        <v>0</v>
      </c>
      <c r="J5079">
        <v>-254.61519999999999</v>
      </c>
      <c r="K5079">
        <v>1.125278</v>
      </c>
      <c r="L5079">
        <v>141.2825</v>
      </c>
      <c r="M5079">
        <v>-0.99736270000000005</v>
      </c>
      <c r="N5079">
        <v>-9.4836339999999995E-3</v>
      </c>
      <c r="O5079">
        <v>7.195783E-2</v>
      </c>
      <c r="P5079">
        <v>-0.97865639999999998</v>
      </c>
      <c r="Q5079">
        <v>0.17427339999999999</v>
      </c>
      <c r="R5079">
        <v>0.108907</v>
      </c>
      <c r="S5079">
        <v>-3.080597</v>
      </c>
      <c r="T5079">
        <v>1.552856E-2</v>
      </c>
      <c r="U5079">
        <v>-0.13961789999999999</v>
      </c>
      <c r="V5079">
        <v>3.622392E-2</v>
      </c>
      <c r="W5079">
        <v>0.18399689999999999</v>
      </c>
      <c r="X5079">
        <v>0.98225910000000005</v>
      </c>
      <c r="Y5079">
        <v>-0.1170389</v>
      </c>
      <c r="Z5079">
        <v>7.8424399999999905E-4</v>
      </c>
      <c r="AA5079">
        <v>0.99312699999999998</v>
      </c>
      <c r="AB5079">
        <v>36</v>
      </c>
      <c r="AC5079">
        <v>-3.080597</v>
      </c>
      <c r="AD5079">
        <v>1.552856E-2</v>
      </c>
      <c r="AE5079">
        <v>-0.13961789999999999</v>
      </c>
      <c r="AF5079">
        <v>-0.36092980001008201</v>
      </c>
      <c r="AG5079">
        <v>1.552856E-2</v>
      </c>
      <c r="AH5079">
        <v>3.06248566688331</v>
      </c>
      <c r="AI5079">
        <v>89.711476830220803</v>
      </c>
      <c r="AJ5079">
        <v>96.721598206335798</v>
      </c>
      <c r="AK5079">
        <v>3.08372014238918</v>
      </c>
      <c r="AL5079">
        <v>79.397344737690005</v>
      </c>
      <c r="AM5079">
        <v>87.887993486143301</v>
      </c>
      <c r="AN5079">
        <v>0.99999998556129299</v>
      </c>
    </row>
    <row r="5080" spans="1:40" x14ac:dyDescent="0.25">
      <c r="A5080" t="str">
        <f>"20190303170354362"</f>
        <v>20190303170354362</v>
      </c>
      <c r="B5080" t="str">
        <f>"1551603834350903"</f>
        <v>1551603834350903</v>
      </c>
      <c r="C5080" t="s">
        <v>40</v>
      </c>
      <c r="D5080">
        <v>4.1646169999999998</v>
      </c>
      <c r="E5080">
        <v>0.44469510000000001</v>
      </c>
      <c r="F5080" t="s">
        <v>48</v>
      </c>
      <c r="G5080">
        <v>0</v>
      </c>
      <c r="H5080">
        <v>0</v>
      </c>
      <c r="I5080">
        <v>0</v>
      </c>
      <c r="J5080">
        <v>-254.9804</v>
      </c>
      <c r="K5080">
        <v>1.125159</v>
      </c>
      <c r="L5080">
        <v>141.30510000000001</v>
      </c>
      <c r="M5080">
        <v>-0.997664</v>
      </c>
      <c r="N5080">
        <v>-9.4357050000000008E-3</v>
      </c>
      <c r="O5080">
        <v>6.7658360000000001E-2</v>
      </c>
      <c r="P5080">
        <v>-0.97895080000000001</v>
      </c>
      <c r="Q5080">
        <v>0.174818899999999</v>
      </c>
      <c r="R5080">
        <v>0.1053283</v>
      </c>
      <c r="S5080">
        <v>-3.079529</v>
      </c>
      <c r="T5080">
        <v>1.157188E-2</v>
      </c>
      <c r="U5080">
        <v>-0.14530940000000001</v>
      </c>
      <c r="V5080">
        <v>3.6922660000000003E-2</v>
      </c>
      <c r="W5080">
        <v>0.18449090000000001</v>
      </c>
      <c r="X5080">
        <v>0.98214040000000002</v>
      </c>
      <c r="Y5080">
        <v>-0.11460670000000001</v>
      </c>
      <c r="Z5080">
        <v>5.6641880000000001E-4</v>
      </c>
      <c r="AA5080">
        <v>0.99341080000000004</v>
      </c>
      <c r="AB5080">
        <v>36</v>
      </c>
      <c r="AC5080">
        <v>-3.079529</v>
      </c>
      <c r="AD5080">
        <v>1.157188E-2</v>
      </c>
      <c r="AE5080">
        <v>-0.14530940000000001</v>
      </c>
      <c r="AF5080">
        <v>-0.35333656538557801</v>
      </c>
      <c r="AG5080">
        <v>1.157188E-2</v>
      </c>
      <c r="AH5080">
        <v>3.0625967974869099</v>
      </c>
      <c r="AI5080">
        <v>89.784938139768499</v>
      </c>
      <c r="AJ5080">
        <v>96.581206375158899</v>
      </c>
      <c r="AK5080">
        <v>3.0829336322441798</v>
      </c>
      <c r="AL5080">
        <v>79.368547465716603</v>
      </c>
      <c r="AM5080">
        <v>87.847032051141397</v>
      </c>
      <c r="AN5080">
        <v>0.99999997015822195</v>
      </c>
    </row>
    <row r="5081" spans="1:40" x14ac:dyDescent="0.25">
      <c r="A5081" t="str">
        <f>"20190303170354385"</f>
        <v>20190303170354385</v>
      </c>
      <c r="B5081" t="str">
        <f>"1551603834381160"</f>
        <v>1551603834381160</v>
      </c>
      <c r="C5081" t="s">
        <v>40</v>
      </c>
      <c r="D5081">
        <v>4.1553529999999999</v>
      </c>
      <c r="E5081">
        <v>0.44552979999999998</v>
      </c>
      <c r="F5081" t="s">
        <v>48</v>
      </c>
      <c r="G5081">
        <v>0</v>
      </c>
      <c r="H5081">
        <v>0</v>
      </c>
      <c r="I5081">
        <v>0</v>
      </c>
      <c r="J5081">
        <v>-255.3391</v>
      </c>
      <c r="K5081">
        <v>1.125014</v>
      </c>
      <c r="L5081">
        <v>141.32589999999999</v>
      </c>
      <c r="M5081">
        <v>-0.99793089999999995</v>
      </c>
      <c r="N5081">
        <v>-9.3867789999999996E-3</v>
      </c>
      <c r="O5081">
        <v>6.3605700000000001E-2</v>
      </c>
      <c r="P5081">
        <v>-0.97932370000000002</v>
      </c>
      <c r="Q5081">
        <v>0.1740641</v>
      </c>
      <c r="R5081">
        <v>0.1030861</v>
      </c>
      <c r="S5081">
        <v>-3.0786440000000002</v>
      </c>
      <c r="T5081">
        <v>1.210523E-2</v>
      </c>
      <c r="U5081">
        <v>-0.15174869999999999</v>
      </c>
      <c r="V5081">
        <v>3.8721520000000002E-2</v>
      </c>
      <c r="W5081">
        <v>0.18369460000000001</v>
      </c>
      <c r="X5081">
        <v>0.98222039999999999</v>
      </c>
      <c r="Y5081">
        <v>-0.1126583</v>
      </c>
      <c r="Z5081">
        <v>5.3895309999999895E-4</v>
      </c>
      <c r="AA5081">
        <v>0.99363360000000001</v>
      </c>
      <c r="AB5081">
        <v>37</v>
      </c>
      <c r="AC5081">
        <v>-3.0786440000000002</v>
      </c>
      <c r="AD5081">
        <v>1.210523E-2</v>
      </c>
      <c r="AE5081">
        <v>-0.15174869999999999</v>
      </c>
      <c r="AF5081">
        <v>-0.34726398830536498</v>
      </c>
      <c r="AG5081">
        <v>1.210523E-2</v>
      </c>
      <c r="AH5081">
        <v>3.06270978101211</v>
      </c>
      <c r="AI5081">
        <v>89.7749838266718</v>
      </c>
      <c r="AJ5081">
        <v>96.468829699708294</v>
      </c>
      <c r="AK5081">
        <v>3.08235786645132</v>
      </c>
      <c r="AL5081">
        <v>79.414965625886495</v>
      </c>
      <c r="AM5081">
        <v>87.742429882704698</v>
      </c>
      <c r="AN5081">
        <v>0.999999988178215</v>
      </c>
    </row>
    <row r="5082" spans="1:40" x14ac:dyDescent="0.25">
      <c r="A5082" t="str">
        <f>"20190303170354407"</f>
        <v>20190303170354407</v>
      </c>
      <c r="B5082" t="str">
        <f>"1551603834400679"</f>
        <v>1551603834400679</v>
      </c>
      <c r="C5082" t="s">
        <v>40</v>
      </c>
      <c r="D5082">
        <v>4.1823990000000002</v>
      </c>
      <c r="E5082">
        <v>0.44601730000000001</v>
      </c>
      <c r="F5082" t="s">
        <v>48</v>
      </c>
      <c r="G5082">
        <v>0</v>
      </c>
      <c r="H5082">
        <v>0</v>
      </c>
      <c r="I5082">
        <v>0</v>
      </c>
      <c r="J5082">
        <v>-255.71950000000001</v>
      </c>
      <c r="K5082">
        <v>1.124849</v>
      </c>
      <c r="L5082">
        <v>141.3466</v>
      </c>
      <c r="M5082">
        <v>-0.99818289999999998</v>
      </c>
      <c r="N5082">
        <v>-9.3332569999999993E-3</v>
      </c>
      <c r="O5082">
        <v>5.9529369999999998E-2</v>
      </c>
      <c r="P5082">
        <v>-0.97993989999999997</v>
      </c>
      <c r="Q5082">
        <v>0.171209</v>
      </c>
      <c r="R5082">
        <v>0.1020073</v>
      </c>
      <c r="S5082">
        <v>-3.0779719999999999</v>
      </c>
      <c r="T5082">
        <v>8.0975289999999991E-3</v>
      </c>
      <c r="U5082">
        <v>-0.15272520000000001</v>
      </c>
      <c r="V5082">
        <v>4.1721260000000003E-2</v>
      </c>
      <c r="W5082">
        <v>0.1808051</v>
      </c>
      <c r="X5082">
        <v>0.98263370000000005</v>
      </c>
      <c r="Y5082">
        <v>-0.10892549999999999</v>
      </c>
      <c r="Z5082">
        <v>3.4636859999999999E-4</v>
      </c>
      <c r="AA5082">
        <v>0.99404979999999998</v>
      </c>
      <c r="AB5082">
        <v>37</v>
      </c>
      <c r="AC5082">
        <v>-3.0779719999999999</v>
      </c>
      <c r="AD5082">
        <v>8.0975289999999991E-3</v>
      </c>
      <c r="AE5082">
        <v>-0.15272520000000001</v>
      </c>
      <c r="AF5082">
        <v>-0.33568972791568302</v>
      </c>
      <c r="AG5082">
        <v>8.0975289999999991E-3</v>
      </c>
      <c r="AH5082">
        <v>3.06339972701526</v>
      </c>
      <c r="AI5082">
        <v>89.849450778469802</v>
      </c>
      <c r="AJ5082">
        <v>96.253564967691801</v>
      </c>
      <c r="AK5082">
        <v>3.0817480511685602</v>
      </c>
      <c r="AL5082">
        <v>79.583342610931396</v>
      </c>
      <c r="AM5082">
        <v>87.568761160599294</v>
      </c>
      <c r="AN5082">
        <v>1.0000000680488399</v>
      </c>
    </row>
    <row r="5083" spans="1:40" x14ac:dyDescent="0.25">
      <c r="A5083" t="str">
        <f>"20190303170354430"</f>
        <v>20190303170354430</v>
      </c>
      <c r="B5083" t="str">
        <f>"1551603834421175"</f>
        <v>1551603834421175</v>
      </c>
      <c r="C5083" t="s">
        <v>40</v>
      </c>
      <c r="D5083">
        <v>4.1931599999999998</v>
      </c>
      <c r="E5083">
        <v>0.44654389999999999</v>
      </c>
      <c r="F5083" t="s">
        <v>48</v>
      </c>
      <c r="G5083">
        <v>0</v>
      </c>
      <c r="H5083">
        <v>0</v>
      </c>
      <c r="I5083">
        <v>0</v>
      </c>
      <c r="J5083">
        <v>-256.09010000000001</v>
      </c>
      <c r="K5083">
        <v>1.124676</v>
      </c>
      <c r="L5083">
        <v>141.36539999999999</v>
      </c>
      <c r="M5083">
        <v>-0.99839920000000004</v>
      </c>
      <c r="N5083">
        <v>-9.2790830000000005E-3</v>
      </c>
      <c r="O5083">
        <v>5.5794679999999999E-2</v>
      </c>
      <c r="P5083">
        <v>-0.98029460000000002</v>
      </c>
      <c r="Q5083">
        <v>0.170153</v>
      </c>
      <c r="R5083">
        <v>0.1003513</v>
      </c>
      <c r="S5083">
        <v>-3.0774840000000001</v>
      </c>
      <c r="T5083">
        <v>-6.5994259999999896E-4</v>
      </c>
      <c r="U5083">
        <v>-0.15341189999999999</v>
      </c>
      <c r="V5083">
        <v>4.3811500000000003E-2</v>
      </c>
      <c r="W5083">
        <v>0.1796991</v>
      </c>
      <c r="X5083">
        <v>0.98274550000000005</v>
      </c>
      <c r="Y5083">
        <v>-0.1054359</v>
      </c>
      <c r="Z5083" s="1">
        <v>4.6922940000000002E-6</v>
      </c>
      <c r="AA5083">
        <v>0.99442609999999998</v>
      </c>
      <c r="AB5083">
        <v>37</v>
      </c>
      <c r="AC5083">
        <v>-3.0774840000000001</v>
      </c>
      <c r="AD5083">
        <v>-6.5994259999999896E-4</v>
      </c>
      <c r="AE5083">
        <v>-0.15341189999999999</v>
      </c>
      <c r="AF5083">
        <v>-0.32488750733428801</v>
      </c>
      <c r="AG5083">
        <v>-6.5994259999999896E-4</v>
      </c>
      <c r="AH5083">
        <v>3.0641296019991202</v>
      </c>
      <c r="AI5083">
        <v>90.012271398619106</v>
      </c>
      <c r="AJ5083">
        <v>96.052417960623401</v>
      </c>
      <c r="AK5083">
        <v>3.0813053314777799</v>
      </c>
      <c r="AL5083">
        <v>79.647765915944404</v>
      </c>
      <c r="AM5083">
        <v>87.447403160425395</v>
      </c>
      <c r="AN5083">
        <v>0.99999996592165397</v>
      </c>
    </row>
    <row r="5084" spans="1:40" x14ac:dyDescent="0.25">
      <c r="A5084" t="str">
        <f>"20190303170354451"</f>
        <v>20190303170354451</v>
      </c>
      <c r="B5084" t="str">
        <f>"1551603834440695"</f>
        <v>1551603834440695</v>
      </c>
      <c r="C5084" t="s">
        <v>40</v>
      </c>
      <c r="D5084">
        <v>4.146369</v>
      </c>
      <c r="E5084">
        <v>0.44701489999999999</v>
      </c>
      <c r="F5084" t="s">
        <v>48</v>
      </c>
      <c r="G5084">
        <v>0</v>
      </c>
      <c r="H5084">
        <v>0</v>
      </c>
      <c r="I5084">
        <v>0</v>
      </c>
      <c r="J5084">
        <v>-256.43259999999998</v>
      </c>
      <c r="K5084">
        <v>1.1245069999999999</v>
      </c>
      <c r="L5084">
        <v>141.3818</v>
      </c>
      <c r="M5084">
        <v>-0.99857479999999998</v>
      </c>
      <c r="N5084">
        <v>-9.2281110000000006E-3</v>
      </c>
      <c r="O5084">
        <v>5.2566839999999997E-2</v>
      </c>
      <c r="P5084">
        <v>-0.9803345</v>
      </c>
      <c r="Q5084">
        <v>0.1712196</v>
      </c>
      <c r="R5084">
        <v>9.812427E-2</v>
      </c>
      <c r="S5084">
        <v>-3.0769350000000002</v>
      </c>
      <c r="T5084">
        <v>-4.5939680000000004E-3</v>
      </c>
      <c r="U5084">
        <v>-0.1547394</v>
      </c>
      <c r="V5084">
        <v>4.483094E-2</v>
      </c>
      <c r="W5084">
        <v>0.1807047</v>
      </c>
      <c r="X5084">
        <v>0.98251520000000003</v>
      </c>
      <c r="Y5084">
        <v>-0.1026575</v>
      </c>
      <c r="Z5084">
        <v>-1.4419359999999999E-4</v>
      </c>
      <c r="AA5084">
        <v>0.99471679999999996</v>
      </c>
      <c r="AB5084">
        <v>37</v>
      </c>
      <c r="AC5084">
        <v>-3.0769350000000002</v>
      </c>
      <c r="AD5084">
        <v>-4.5939680000000004E-3</v>
      </c>
      <c r="AE5084">
        <v>-0.1547394</v>
      </c>
      <c r="AF5084">
        <v>-0.31627636925854502</v>
      </c>
      <c r="AG5084">
        <v>-4.5939680000000004E-3</v>
      </c>
      <c r="AH5084">
        <v>3.0645391701596498</v>
      </c>
      <c r="AI5084">
        <v>90.085436692507898</v>
      </c>
      <c r="AJ5084">
        <v>95.8923608538406</v>
      </c>
      <c r="AK5084">
        <v>3.0808200485805899</v>
      </c>
      <c r="AL5084">
        <v>79.589191363171196</v>
      </c>
      <c r="AM5084">
        <v>87.387477295985903</v>
      </c>
      <c r="AN5084">
        <v>1.0000000600072001</v>
      </c>
    </row>
    <row r="5085" spans="1:40" x14ac:dyDescent="0.25">
      <c r="A5085" t="str">
        <f>"20190303170354473"</f>
        <v>20190303170354473</v>
      </c>
      <c r="B5085" t="str">
        <f>"1551603834470951"</f>
        <v>1551603834470951</v>
      </c>
      <c r="C5085" t="s">
        <v>40</v>
      </c>
      <c r="D5085">
        <v>4.1698459999999997</v>
      </c>
      <c r="E5085">
        <v>0.45326119999999998</v>
      </c>
      <c r="F5085" t="s">
        <v>48</v>
      </c>
      <c r="G5085">
        <v>0</v>
      </c>
      <c r="H5085">
        <v>0</v>
      </c>
      <c r="I5085">
        <v>0</v>
      </c>
      <c r="J5085">
        <v>-256.7987</v>
      </c>
      <c r="K5085">
        <v>1.1243069999999999</v>
      </c>
      <c r="L5085">
        <v>141.39830000000001</v>
      </c>
      <c r="M5085">
        <v>-0.99873940000000005</v>
      </c>
      <c r="N5085">
        <v>-9.1723169999999993E-3</v>
      </c>
      <c r="O5085">
        <v>4.935258E-2</v>
      </c>
      <c r="P5085">
        <v>-0.98023769999999999</v>
      </c>
      <c r="Q5085">
        <v>0.17295669999999999</v>
      </c>
      <c r="R5085">
        <v>9.6021919999999997E-2</v>
      </c>
      <c r="S5085">
        <v>-3.0763240000000001</v>
      </c>
      <c r="T5085">
        <v>-1.871824E-3</v>
      </c>
      <c r="U5085">
        <v>-0.15774540000000001</v>
      </c>
      <c r="V5085">
        <v>4.5973890000000003E-2</v>
      </c>
      <c r="W5085">
        <v>0.18237120000000001</v>
      </c>
      <c r="X5085">
        <v>0.98215430000000004</v>
      </c>
      <c r="Y5085">
        <v>-0.10043530000000001</v>
      </c>
      <c r="Z5085" s="1">
        <v>-6.9085039999999996E-5</v>
      </c>
      <c r="AA5085">
        <v>0.99494360000000004</v>
      </c>
      <c r="AB5085">
        <v>37</v>
      </c>
      <c r="AC5085">
        <v>-3.0763240000000001</v>
      </c>
      <c r="AD5085">
        <v>-1.871824E-3</v>
      </c>
      <c r="AE5085">
        <v>-0.15774540000000001</v>
      </c>
      <c r="AF5085">
        <v>-0.30938394237552103</v>
      </c>
      <c r="AG5085">
        <v>-1.871824E-3</v>
      </c>
      <c r="AH5085">
        <v>3.06478833411885</v>
      </c>
      <c r="AI5085">
        <v>90.034816528739697</v>
      </c>
      <c r="AJ5085">
        <v>95.764360943377397</v>
      </c>
      <c r="AK5085">
        <v>3.0803651505099099</v>
      </c>
      <c r="AL5085">
        <v>79.492093522496702</v>
      </c>
      <c r="AM5085">
        <v>87.319984731288599</v>
      </c>
      <c r="AN5085">
        <v>0.99999996107983002</v>
      </c>
    </row>
    <row r="5086" spans="1:40" x14ac:dyDescent="0.25">
      <c r="A5086" t="str">
        <f>"20190303170354497"</f>
        <v>20190303170354497</v>
      </c>
      <c r="B5086" t="str">
        <f>"1551603834490471"</f>
        <v>1551603834490471</v>
      </c>
      <c r="C5086" t="s">
        <v>40</v>
      </c>
      <c r="D5086">
        <v>4.1818460000000002</v>
      </c>
      <c r="E5086">
        <v>0.45409179999999999</v>
      </c>
      <c r="F5086" t="s">
        <v>48</v>
      </c>
      <c r="G5086">
        <v>0</v>
      </c>
      <c r="H5086">
        <v>0</v>
      </c>
      <c r="I5086">
        <v>0</v>
      </c>
      <c r="J5086">
        <v>-257.1737</v>
      </c>
      <c r="K5086">
        <v>1.1240840000000001</v>
      </c>
      <c r="L5086">
        <v>141.41419999999999</v>
      </c>
      <c r="M5086">
        <v>-0.9988842</v>
      </c>
      <c r="N5086">
        <v>-9.1153669999999992E-3</v>
      </c>
      <c r="O5086">
        <v>4.6338659999999997E-2</v>
      </c>
      <c r="P5086">
        <v>-0.98040970000000005</v>
      </c>
      <c r="Q5086">
        <v>0.17246500000000001</v>
      </c>
      <c r="R5086">
        <v>9.514359E-2</v>
      </c>
      <c r="S5086">
        <v>-3.0722659999999999</v>
      </c>
      <c r="T5086">
        <v>-3.1323430000000001E-3</v>
      </c>
      <c r="U5086">
        <v>-0.1146851</v>
      </c>
      <c r="V5086">
        <v>4.8155919999999998E-2</v>
      </c>
      <c r="W5086">
        <v>0.18181610000000001</v>
      </c>
      <c r="X5086">
        <v>0.98215269999999999</v>
      </c>
      <c r="Y5086">
        <v>-8.3569470000000007E-2</v>
      </c>
      <c r="Z5086" s="1">
        <v>-4.85589E-5</v>
      </c>
      <c r="AA5086">
        <v>0.99650190000000005</v>
      </c>
      <c r="AB5086">
        <v>37</v>
      </c>
      <c r="AC5086">
        <v>-3.0722659999999999</v>
      </c>
      <c r="AD5086">
        <v>-3.1323430000000001E-3</v>
      </c>
      <c r="AE5086">
        <v>-0.1146851</v>
      </c>
      <c r="AF5086">
        <v>-0.25693223091926098</v>
      </c>
      <c r="AG5086">
        <v>-3.1323430000000001E-3</v>
      </c>
      <c r="AH5086">
        <v>3.0636477037215002</v>
      </c>
      <c r="AI5086">
        <v>90.058375559224899</v>
      </c>
      <c r="AJ5086">
        <v>94.793881687461095</v>
      </c>
      <c r="AK5086">
        <v>3.07440420819642</v>
      </c>
      <c r="AL5086">
        <v>79.524439673498705</v>
      </c>
      <c r="AM5086">
        <v>87.192979116482604</v>
      </c>
      <c r="AN5086">
        <v>1.00000000648377</v>
      </c>
    </row>
    <row r="5087" spans="1:40" x14ac:dyDescent="0.25">
      <c r="A5087" t="str">
        <f>"20190303170354519"</f>
        <v>20190303170354519</v>
      </c>
      <c r="B5087" t="str">
        <f>"1551603834510968"</f>
        <v>1551603834510968</v>
      </c>
      <c r="C5087" t="s">
        <v>40</v>
      </c>
      <c r="D5087">
        <v>4.1695489999999999</v>
      </c>
      <c r="E5087">
        <v>0.4540805</v>
      </c>
      <c r="F5087" t="s">
        <v>48</v>
      </c>
      <c r="G5087">
        <v>0</v>
      </c>
      <c r="H5087">
        <v>0</v>
      </c>
      <c r="I5087">
        <v>0</v>
      </c>
      <c r="J5087">
        <v>-257.55509999999998</v>
      </c>
      <c r="K5087">
        <v>1.1238459999999999</v>
      </c>
      <c r="L5087">
        <v>141.42939999999999</v>
      </c>
      <c r="M5087">
        <v>-0.99900949999999999</v>
      </c>
      <c r="N5087">
        <v>-9.0569259999999999E-3</v>
      </c>
      <c r="O5087">
        <v>4.3565380000000001E-2</v>
      </c>
      <c r="P5087">
        <v>-0.9808154</v>
      </c>
      <c r="Q5087">
        <v>0.17058039999999999</v>
      </c>
      <c r="R5087">
        <v>9.4358449999999996E-2</v>
      </c>
      <c r="S5087">
        <v>-3.0728759999999999</v>
      </c>
      <c r="T5087">
        <v>-1.158357E-2</v>
      </c>
      <c r="U5087">
        <v>-0.1121979</v>
      </c>
      <c r="V5087">
        <v>5.020028E-2</v>
      </c>
      <c r="W5087">
        <v>0.1798642</v>
      </c>
      <c r="X5087">
        <v>0.98240970000000005</v>
      </c>
      <c r="Y5087">
        <v>-7.9989000000000005E-2</v>
      </c>
      <c r="Z5087">
        <v>-2.8277370000000002E-4</v>
      </c>
      <c r="AA5087">
        <v>0.99679569999999995</v>
      </c>
      <c r="AB5087">
        <v>37</v>
      </c>
      <c r="AC5087">
        <v>-3.0728759999999999</v>
      </c>
      <c r="AD5087">
        <v>-1.158357E-2</v>
      </c>
      <c r="AE5087">
        <v>-0.1121979</v>
      </c>
      <c r="AF5087">
        <v>-0.245964382414186</v>
      </c>
      <c r="AG5087">
        <v>-1.158357E-2</v>
      </c>
      <c r="AH5087">
        <v>3.06502666387235</v>
      </c>
      <c r="AI5087">
        <v>90.215841442976497</v>
      </c>
      <c r="AJ5087">
        <v>94.588079399487896</v>
      </c>
      <c r="AK5087">
        <v>3.07490180440917</v>
      </c>
      <c r="AL5087">
        <v>79.638150148147702</v>
      </c>
      <c r="AM5087">
        <v>87.074779835195301</v>
      </c>
      <c r="AN5087">
        <v>1.0000000086039</v>
      </c>
    </row>
    <row r="5088" spans="1:40" x14ac:dyDescent="0.25">
      <c r="A5088" t="str">
        <f>"20190303170354540"</f>
        <v>20190303170354540</v>
      </c>
      <c r="B5088" t="str">
        <f>"1551603834530487"</f>
        <v>1551603834530487</v>
      </c>
      <c r="C5088" t="s">
        <v>40</v>
      </c>
      <c r="D5088">
        <v>4.1750319999999999</v>
      </c>
      <c r="E5088">
        <v>0.45412619999999998</v>
      </c>
      <c r="F5088" t="s">
        <v>42</v>
      </c>
      <c r="G5088">
        <v>-465.80680000000001</v>
      </c>
      <c r="H5088" s="1">
        <v>-2.3280820000000001E-6</v>
      </c>
      <c r="I5088">
        <v>133.61099999999999</v>
      </c>
      <c r="J5088">
        <v>-257.89909999999998</v>
      </c>
      <c r="K5088">
        <v>1.12365</v>
      </c>
      <c r="L5088">
        <v>141.44239999999999</v>
      </c>
      <c r="M5088">
        <v>-0.99910770000000004</v>
      </c>
      <c r="N5088">
        <v>-9.0063290000000004E-3</v>
      </c>
      <c r="O5088">
        <v>4.1264339999999997E-2</v>
      </c>
      <c r="P5088">
        <v>-0.98115750000000002</v>
      </c>
      <c r="Q5088">
        <v>0.16958870000000001</v>
      </c>
      <c r="R5088">
        <v>9.2571399999999998E-2</v>
      </c>
      <c r="S5088">
        <v>-3.0726619999999998</v>
      </c>
      <c r="T5088">
        <v>-1.6581889999999998E-2</v>
      </c>
      <c r="U5088">
        <v>-0.115356399999999</v>
      </c>
      <c r="V5088">
        <v>5.0759739999999998E-2</v>
      </c>
      <c r="W5088">
        <v>0.17880309999999999</v>
      </c>
      <c r="X5088">
        <v>0.98257459999999996</v>
      </c>
      <c r="Y5088">
        <v>-7.8718099999999999E-2</v>
      </c>
      <c r="Z5088">
        <v>-4.1802389999999999E-4</v>
      </c>
      <c r="AA5088">
        <v>0.99689680000000003</v>
      </c>
      <c r="AB5088">
        <v>37</v>
      </c>
      <c r="AC5088">
        <v>-207.90770000000001</v>
      </c>
      <c r="AD5088">
        <v>-1.1236523280820001</v>
      </c>
      <c r="AE5088">
        <v>-7.8314000000000004</v>
      </c>
      <c r="AF5088">
        <v>-16.403772459307302</v>
      </c>
      <c r="AG5088">
        <v>-1.1236523280820001</v>
      </c>
      <c r="AH5088">
        <v>207.40138310947199</v>
      </c>
      <c r="AI5088">
        <v>90.309445789018696</v>
      </c>
      <c r="AJ5088">
        <v>94.522218946022704</v>
      </c>
      <c r="AK5088">
        <v>208.05210900438701</v>
      </c>
      <c r="AL5088">
        <v>79.699948179704293</v>
      </c>
      <c r="AM5088">
        <v>87.0427326178378</v>
      </c>
      <c r="AN5088">
        <v>0.99999997216981795</v>
      </c>
    </row>
    <row r="5089" spans="1:40" x14ac:dyDescent="0.25">
      <c r="A5089" t="str">
        <f>"20190303170354563"</f>
        <v>20190303170354563</v>
      </c>
      <c r="B5089" t="str">
        <f>"1551603834550984"</f>
        <v>1551603834550984</v>
      </c>
      <c r="C5089" t="s">
        <v>40</v>
      </c>
      <c r="D5089">
        <v>4.1780460000000001</v>
      </c>
      <c r="E5089">
        <v>0.47067910000000002</v>
      </c>
      <c r="F5089" t="s">
        <v>90</v>
      </c>
      <c r="G5089">
        <v>-429.5215</v>
      </c>
      <c r="H5089" s="1">
        <v>-9.2585460000000004E-6</v>
      </c>
      <c r="I5089">
        <v>134.78200000000001</v>
      </c>
      <c r="J5089">
        <v>-258.2697</v>
      </c>
      <c r="K5089">
        <v>1.1234420000000001</v>
      </c>
      <c r="L5089">
        <v>141.45570000000001</v>
      </c>
      <c r="M5089">
        <v>-0.99919860000000005</v>
      </c>
      <c r="N5089">
        <v>-8.9561309999999904E-3</v>
      </c>
      <c r="O5089">
        <v>3.901632E-2</v>
      </c>
      <c r="P5089">
        <v>-0.98116919999999996</v>
      </c>
      <c r="Q5089">
        <v>0.17118520000000001</v>
      </c>
      <c r="R5089">
        <v>8.9459689999999994E-2</v>
      </c>
      <c r="S5089">
        <v>-3.072327</v>
      </c>
      <c r="T5089">
        <v>-2.0115379999999999E-2</v>
      </c>
      <c r="U5089">
        <v>-0.119232199999999</v>
      </c>
      <c r="V5089">
        <v>4.9944669999999997E-2</v>
      </c>
      <c r="W5089">
        <v>0.1803169</v>
      </c>
      <c r="X5089">
        <v>0.98233970000000004</v>
      </c>
      <c r="Y5089">
        <v>-7.7734189999999995E-2</v>
      </c>
      <c r="Z5089">
        <v>-5.0865959999999897E-4</v>
      </c>
      <c r="AA5089">
        <v>0.99697400000000003</v>
      </c>
      <c r="AB5089">
        <v>37</v>
      </c>
      <c r="AC5089">
        <v>-171.2518</v>
      </c>
      <c r="AD5089">
        <v>-1.1234512585459999</v>
      </c>
      <c r="AE5089">
        <v>-6.6736999999999904</v>
      </c>
      <c r="AF5089">
        <v>-13.3499263215332</v>
      </c>
      <c r="AG5089">
        <v>-1.1234512585459999</v>
      </c>
      <c r="AH5089">
        <v>170.853658489883</v>
      </c>
      <c r="AI5089">
        <v>90.375599182720705</v>
      </c>
      <c r="AJ5089">
        <v>94.467820443007696</v>
      </c>
      <c r="AK5089">
        <v>171.378106229758</v>
      </c>
      <c r="AL5089">
        <v>79.611780815792301</v>
      </c>
      <c r="AM5089">
        <v>87.089441780749993</v>
      </c>
      <c r="AN5089">
        <v>0.99999997034155397</v>
      </c>
    </row>
    <row r="5090" spans="1:40" x14ac:dyDescent="0.25">
      <c r="A5090" t="str">
        <f>"20190303170354587"</f>
        <v>20190303170354587</v>
      </c>
      <c r="B5090" t="str">
        <f>"1551603834580263"</f>
        <v>1551603834580263</v>
      </c>
      <c r="C5090" t="s">
        <v>40</v>
      </c>
      <c r="D5090">
        <v>4.1552509999999998</v>
      </c>
      <c r="E5090">
        <v>0.47210600000000003</v>
      </c>
      <c r="F5090" t="s">
        <v>48</v>
      </c>
      <c r="G5090">
        <v>0</v>
      </c>
      <c r="H5090">
        <v>0</v>
      </c>
      <c r="I5090">
        <v>0</v>
      </c>
      <c r="J5090">
        <v>-258.65929999999997</v>
      </c>
      <c r="K5090">
        <v>1.123216</v>
      </c>
      <c r="L5090">
        <v>141.46889999999999</v>
      </c>
      <c r="M5090">
        <v>-0.99927849999999996</v>
      </c>
      <c r="N5090">
        <v>-8.9088899999999992E-3</v>
      </c>
      <c r="O5090">
        <v>3.6919340000000002E-2</v>
      </c>
      <c r="P5090">
        <v>-0.98127750000000002</v>
      </c>
      <c r="Q5090">
        <v>0.17175989999999999</v>
      </c>
      <c r="R5090">
        <v>8.7138090000000001E-2</v>
      </c>
      <c r="S5090">
        <v>-3.0590820000000001</v>
      </c>
      <c r="T5090">
        <v>-1.138377E-2</v>
      </c>
      <c r="U5090">
        <v>4.9743649999999997E-3</v>
      </c>
      <c r="V5090">
        <v>4.9780579999999998E-2</v>
      </c>
      <c r="W5090">
        <v>0.18081539999999999</v>
      </c>
      <c r="X5090">
        <v>0.98225640000000003</v>
      </c>
      <c r="Y5090">
        <v>-3.5294449999999998E-2</v>
      </c>
      <c r="Z5090" s="1">
        <v>-3.1278870000000001E-5</v>
      </c>
      <c r="AA5090">
        <v>0.99937699999999996</v>
      </c>
      <c r="AB5090">
        <v>37</v>
      </c>
      <c r="AC5090">
        <v>-3.0590820000000001</v>
      </c>
      <c r="AD5090">
        <v>-1.138377E-2</v>
      </c>
      <c r="AE5090">
        <v>4.9743649999999997E-3</v>
      </c>
      <c r="AF5090">
        <v>-0.107971306117932</v>
      </c>
      <c r="AG5090">
        <v>-1.138377E-2</v>
      </c>
      <c r="AH5090">
        <v>3.0571376235019398</v>
      </c>
      <c r="AI5090">
        <v>90.213216623495995</v>
      </c>
      <c r="AJ5090">
        <v>92.022718857608098</v>
      </c>
      <c r="AK5090">
        <v>3.05906486400588</v>
      </c>
      <c r="AL5090">
        <v>79.582741596420405</v>
      </c>
      <c r="AM5090">
        <v>87.098742271772807</v>
      </c>
      <c r="AN5090">
        <v>0.99999997518162698</v>
      </c>
    </row>
    <row r="5091" spans="1:40" x14ac:dyDescent="0.25">
      <c r="A5091" t="str">
        <f>"20190303170354608"</f>
        <v>20190303170354608</v>
      </c>
      <c r="B5091" t="str">
        <f>"1551603834600760"</f>
        <v>1551603834600760</v>
      </c>
      <c r="C5091" t="s">
        <v>40</v>
      </c>
      <c r="D5091">
        <v>4.1863330000000003</v>
      </c>
      <c r="E5091">
        <v>0.47205229999999998</v>
      </c>
      <c r="F5091" t="s">
        <v>48</v>
      </c>
      <c r="G5091">
        <v>0</v>
      </c>
      <c r="H5091">
        <v>0</v>
      </c>
      <c r="I5091">
        <v>0</v>
      </c>
      <c r="J5091">
        <v>-259.03379999999999</v>
      </c>
      <c r="K5091">
        <v>1.1229929999999999</v>
      </c>
      <c r="L5091">
        <v>141.4812</v>
      </c>
      <c r="M5091">
        <v>-0.99934290000000003</v>
      </c>
      <c r="N5091">
        <v>-8.866156E-3</v>
      </c>
      <c r="O5091">
        <v>3.5150170000000001E-2</v>
      </c>
      <c r="P5091">
        <v>-0.98155890000000001</v>
      </c>
      <c r="Q5091">
        <v>0.17071639999999999</v>
      </c>
      <c r="R5091">
        <v>8.6013259999999994E-2</v>
      </c>
      <c r="S5091">
        <v>-3.05722</v>
      </c>
      <c r="T5091">
        <v>-4.9657820000000002E-3</v>
      </c>
      <c r="U5091">
        <v>9.8571779999999994E-3</v>
      </c>
      <c r="V5091">
        <v>5.0491130000000002E-2</v>
      </c>
      <c r="W5091">
        <v>0.17970799999999901</v>
      </c>
      <c r="X5091">
        <v>0.98242339999999995</v>
      </c>
      <c r="Y5091">
        <v>-3.1927949999999997E-2</v>
      </c>
      <c r="Z5091" s="1">
        <v>8.7149030000000004E-5</v>
      </c>
      <c r="AA5091">
        <v>0.99949010000000005</v>
      </c>
      <c r="AB5091">
        <v>37</v>
      </c>
      <c r="AC5091">
        <v>-3.05722</v>
      </c>
      <c r="AD5091">
        <v>-4.9657820000000002E-3</v>
      </c>
      <c r="AE5091">
        <v>9.8571779999999994E-3</v>
      </c>
      <c r="AF5091">
        <v>-9.7614662812545203E-2</v>
      </c>
      <c r="AG5091">
        <v>-4.9657820000000002E-3</v>
      </c>
      <c r="AH5091">
        <v>3.0556690514804599</v>
      </c>
      <c r="AI5091">
        <v>90.093064081791297</v>
      </c>
      <c r="AJ5091">
        <v>91.829716087408698</v>
      </c>
      <c r="AK5091">
        <v>3.0572318579987301</v>
      </c>
      <c r="AL5091">
        <v>79.647248196376594</v>
      </c>
      <c r="AM5091">
        <v>87.057902364795396</v>
      </c>
      <c r="AN5091">
        <v>1.00000002817011</v>
      </c>
    </row>
    <row r="5092" spans="1:40" x14ac:dyDescent="0.25">
      <c r="A5092" t="str">
        <f>"20190303170354631"</f>
        <v>20190303170354631</v>
      </c>
      <c r="B5092" t="str">
        <f>"1551603834620279"</f>
        <v>1551603834620279</v>
      </c>
      <c r="C5092" t="s">
        <v>40</v>
      </c>
      <c r="D5092">
        <v>4.1249799999999999</v>
      </c>
      <c r="E5092">
        <v>0.47279969999999999</v>
      </c>
      <c r="F5092" t="s">
        <v>48</v>
      </c>
      <c r="G5092">
        <v>0</v>
      </c>
      <c r="H5092">
        <v>0</v>
      </c>
      <c r="I5092">
        <v>0</v>
      </c>
      <c r="J5092">
        <v>-259.39859999999999</v>
      </c>
      <c r="K5092">
        <v>1.122773</v>
      </c>
      <c r="L5092">
        <v>141.49260000000001</v>
      </c>
      <c r="M5092">
        <v>-0.99939500000000003</v>
      </c>
      <c r="N5092">
        <v>-8.8256500000000009E-3</v>
      </c>
      <c r="O5092">
        <v>3.3641949999999997E-2</v>
      </c>
      <c r="P5092">
        <v>-0.98182329999999995</v>
      </c>
      <c r="Q5092">
        <v>0.16983219999999999</v>
      </c>
      <c r="R5092">
        <v>8.4736210000000006E-2</v>
      </c>
      <c r="S5092">
        <v>-3.0568849999999999</v>
      </c>
      <c r="T5092">
        <v>-5.0542349999999998E-3</v>
      </c>
      <c r="U5092">
        <v>3.9215090000000001E-3</v>
      </c>
      <c r="V5092">
        <v>5.0788779999999999E-2</v>
      </c>
      <c r="W5092">
        <v>0.17876</v>
      </c>
      <c r="X5092">
        <v>0.98258100000000004</v>
      </c>
      <c r="Y5092">
        <v>-3.2359970000000002E-2</v>
      </c>
      <c r="Z5092" s="1">
        <v>7.1792890000000001E-5</v>
      </c>
      <c r="AA5092">
        <v>0.99947629999999998</v>
      </c>
      <c r="AB5092">
        <v>37</v>
      </c>
      <c r="AC5092">
        <v>-3.0568849999999999</v>
      </c>
      <c r="AD5092">
        <v>-5.0542349999999998E-3</v>
      </c>
      <c r="AE5092">
        <v>3.9215090000000001E-3</v>
      </c>
      <c r="AF5092">
        <v>-9.8924016269295104E-2</v>
      </c>
      <c r="AG5092">
        <v>-5.0542349999999998E-3</v>
      </c>
      <c r="AH5092">
        <v>3.0552780937403399</v>
      </c>
      <c r="AI5092">
        <v>90.094732586814104</v>
      </c>
      <c r="AJ5092">
        <v>91.854479054860505</v>
      </c>
      <c r="AK5092">
        <v>3.0568833370568602</v>
      </c>
      <c r="AL5092">
        <v>79.702458663698806</v>
      </c>
      <c r="AM5092">
        <v>87.041062989155193</v>
      </c>
      <c r="AN5092">
        <v>1.0000000296674401</v>
      </c>
    </row>
    <row r="5093" spans="1:40" x14ac:dyDescent="0.25">
      <c r="A5093" t="str">
        <f>"20190303170354653"</f>
        <v>20190303170354653</v>
      </c>
      <c r="B5093" t="str">
        <f>"1551603834640775"</f>
        <v>1551603834640775</v>
      </c>
      <c r="C5093" t="s">
        <v>40</v>
      </c>
      <c r="D5093">
        <v>4.1605119999999998</v>
      </c>
      <c r="E5093">
        <v>0.47301359999999998</v>
      </c>
      <c r="F5093" t="s">
        <v>48</v>
      </c>
      <c r="G5093">
        <v>0</v>
      </c>
      <c r="H5093">
        <v>0</v>
      </c>
      <c r="I5093">
        <v>0</v>
      </c>
      <c r="J5093">
        <v>-259.77659999999997</v>
      </c>
      <c r="K5093">
        <v>1.12256</v>
      </c>
      <c r="L5093">
        <v>141.50409999999999</v>
      </c>
      <c r="M5093">
        <v>-0.99944069999999996</v>
      </c>
      <c r="N5093">
        <v>-8.7835599999999993E-3</v>
      </c>
      <c r="O5093">
        <v>3.2270299999999898E-2</v>
      </c>
      <c r="P5093">
        <v>-0.98190960000000005</v>
      </c>
      <c r="Q5093">
        <v>0.17054839999999999</v>
      </c>
      <c r="R5093">
        <v>8.2261319999999999E-2</v>
      </c>
      <c r="S5093">
        <v>-3.0562130000000001</v>
      </c>
      <c r="T5093">
        <v>-6.7099330000000004E-3</v>
      </c>
      <c r="U5093">
        <v>5.6457520000000004E-3</v>
      </c>
      <c r="V5093">
        <v>4.9750820000000001E-2</v>
      </c>
      <c r="W5093">
        <v>0.1794036</v>
      </c>
      <c r="X5093">
        <v>0.98251679999999997</v>
      </c>
      <c r="Y5093">
        <v>-3.0424090000000001E-2</v>
      </c>
      <c r="Z5093" s="1">
        <v>4.5636239999999998E-5</v>
      </c>
      <c r="AA5093">
        <v>0.99953709999999996</v>
      </c>
      <c r="AB5093">
        <v>37</v>
      </c>
      <c r="AC5093">
        <v>-3.0562130000000001</v>
      </c>
      <c r="AD5093">
        <v>-6.7099330000000004E-3</v>
      </c>
      <c r="AE5093">
        <v>5.6457520000000004E-3</v>
      </c>
      <c r="AF5093">
        <v>-9.2985443901941495E-2</v>
      </c>
      <c r="AG5093">
        <v>-6.7099330000000004E-3</v>
      </c>
      <c r="AH5093">
        <v>3.0547886076382298</v>
      </c>
      <c r="AI5093">
        <v>90.125793398941894</v>
      </c>
      <c r="AJ5093">
        <v>91.743501643724002</v>
      </c>
      <c r="AK5093">
        <v>3.0562108489655602</v>
      </c>
      <c r="AL5093">
        <v>79.664977175181306</v>
      </c>
      <c r="AM5093">
        <v>87.101240912301805</v>
      </c>
      <c r="AN5093">
        <v>1.0000000290329301</v>
      </c>
    </row>
    <row r="5094" spans="1:40" x14ac:dyDescent="0.25">
      <c r="A5094" t="str">
        <f>"20190303170354676"</f>
        <v>20190303170354676</v>
      </c>
      <c r="B5094" t="str">
        <f>"1551603834671031"</f>
        <v>1551603834671031</v>
      </c>
      <c r="C5094" t="s">
        <v>40</v>
      </c>
      <c r="D5094">
        <v>4.1865129999999997</v>
      </c>
      <c r="E5094">
        <v>0.47361340000000002</v>
      </c>
      <c r="F5094" t="s">
        <v>48</v>
      </c>
      <c r="G5094">
        <v>0</v>
      </c>
      <c r="H5094">
        <v>0</v>
      </c>
      <c r="I5094">
        <v>0</v>
      </c>
      <c r="J5094">
        <v>-260.15609999999998</v>
      </c>
      <c r="K5094">
        <v>1.1223639999999999</v>
      </c>
      <c r="L5094">
        <v>141.5153</v>
      </c>
      <c r="M5094">
        <v>-0.99947940000000002</v>
      </c>
      <c r="N5094">
        <v>-8.7386949999999994E-3</v>
      </c>
      <c r="O5094">
        <v>3.1057749999999999E-2</v>
      </c>
      <c r="P5094">
        <v>-0.98177579999999998</v>
      </c>
      <c r="Q5094">
        <v>0.171958</v>
      </c>
      <c r="R5094">
        <v>8.0912250000000005E-2</v>
      </c>
      <c r="S5094">
        <v>-3.0561219999999998</v>
      </c>
      <c r="T5094">
        <v>-5.5010320000000003E-3</v>
      </c>
      <c r="U5094">
        <v>7.0190429999999896E-4</v>
      </c>
      <c r="V5094">
        <v>4.9674830000000003E-2</v>
      </c>
      <c r="W5094">
        <v>0.18074460000000001</v>
      </c>
      <c r="X5094">
        <v>0.9822748</v>
      </c>
      <c r="Y5094">
        <v>-3.0828339999999999E-2</v>
      </c>
      <c r="Z5094" s="1">
        <v>5.3097519999999897E-5</v>
      </c>
      <c r="AA5094">
        <v>0.99952470000000004</v>
      </c>
      <c r="AB5094">
        <v>37</v>
      </c>
      <c r="AC5094">
        <v>-3.0561219999999998</v>
      </c>
      <c r="AD5094">
        <v>-5.5010320000000003E-3</v>
      </c>
      <c r="AE5094">
        <v>7.0190429999999896E-4</v>
      </c>
      <c r="AF5094">
        <v>-9.4218025513617507E-2</v>
      </c>
      <c r="AG5094">
        <v>-5.5010320000000003E-3</v>
      </c>
      <c r="AH5094">
        <v>3.0546594921218202</v>
      </c>
      <c r="AI5094">
        <v>90.103132855643693</v>
      </c>
      <c r="AJ5094">
        <v>91.766672949602395</v>
      </c>
      <c r="AK5094">
        <v>3.0561171297079999</v>
      </c>
      <c r="AL5094">
        <v>79.586866260691096</v>
      </c>
      <c r="AM5094">
        <v>87.104949121077595</v>
      </c>
      <c r="AN5094">
        <v>0.99999999093986403</v>
      </c>
    </row>
    <row r="5095" spans="1:40" x14ac:dyDescent="0.25">
      <c r="A5095" t="str">
        <f>"20190303170354698"</f>
        <v>20190303170354698</v>
      </c>
      <c r="B5095" t="str">
        <f>"1551603834690551"</f>
        <v>1551603834690551</v>
      </c>
      <c r="C5095" t="s">
        <v>40</v>
      </c>
      <c r="D5095">
        <v>4.2114669999999998</v>
      </c>
      <c r="E5095">
        <v>0.47396630000000001</v>
      </c>
      <c r="F5095" t="s">
        <v>48</v>
      </c>
      <c r="G5095">
        <v>0</v>
      </c>
      <c r="H5095">
        <v>0</v>
      </c>
      <c r="I5095">
        <v>0</v>
      </c>
      <c r="J5095">
        <v>-260.53129999999999</v>
      </c>
      <c r="K5095">
        <v>1.1222129999999999</v>
      </c>
      <c r="L5095">
        <v>141.52590000000001</v>
      </c>
      <c r="M5095">
        <v>-0.99951290000000004</v>
      </c>
      <c r="N5095">
        <v>-8.6937360000000005E-3</v>
      </c>
      <c r="O5095">
        <v>2.997847E-2</v>
      </c>
      <c r="P5095">
        <v>-0.98172519999999996</v>
      </c>
      <c r="Q5095">
        <v>0.17194799999999999</v>
      </c>
      <c r="R5095">
        <v>8.1544249999999999E-2</v>
      </c>
      <c r="S5095">
        <v>-3.0561219999999998</v>
      </c>
      <c r="T5095">
        <v>-3.085375E-3</v>
      </c>
      <c r="U5095">
        <v>1.1444090000000001E-3</v>
      </c>
      <c r="V5095">
        <v>5.1434569999999999E-2</v>
      </c>
      <c r="W5095">
        <v>0.18067800000000001</v>
      </c>
      <c r="X5095">
        <v>0.98219650000000003</v>
      </c>
      <c r="Y5095">
        <v>-2.9604269999999999E-2</v>
      </c>
      <c r="Z5095" s="1">
        <v>8.6765549999999998E-5</v>
      </c>
      <c r="AA5095">
        <v>0.9995617</v>
      </c>
      <c r="AB5095">
        <v>38</v>
      </c>
      <c r="AC5095">
        <v>-3.0561219999999998</v>
      </c>
      <c r="AD5095">
        <v>-3.085375E-3</v>
      </c>
      <c r="AE5095">
        <v>1.1444090000000001E-3</v>
      </c>
      <c r="AF5095">
        <v>-9.0477322378177696E-2</v>
      </c>
      <c r="AG5095">
        <v>-3.085375E-3</v>
      </c>
      <c r="AH5095">
        <v>3.05477950164043</v>
      </c>
      <c r="AI5095">
        <v>90.057844246217996</v>
      </c>
      <c r="AJ5095">
        <v>91.6965066193262</v>
      </c>
      <c r="AK5095">
        <v>3.0561206568206898</v>
      </c>
      <c r="AL5095">
        <v>79.5907462324042</v>
      </c>
      <c r="AM5095">
        <v>87.002336724678102</v>
      </c>
      <c r="AN5095">
        <v>1.0000000096436601</v>
      </c>
    </row>
    <row r="5096" spans="1:40" x14ac:dyDescent="0.25">
      <c r="A5096" t="str">
        <f>"20190303170354719"</f>
        <v>20190303170354719</v>
      </c>
      <c r="B5096" t="str">
        <f>"1551603834711048"</f>
        <v>1551603834711048</v>
      </c>
      <c r="C5096" t="s">
        <v>40</v>
      </c>
      <c r="D5096">
        <v>4.2177020000000001</v>
      </c>
      <c r="E5096">
        <v>0.4742653</v>
      </c>
      <c r="F5096" t="s">
        <v>48</v>
      </c>
      <c r="G5096">
        <v>0</v>
      </c>
      <c r="H5096">
        <v>0</v>
      </c>
      <c r="I5096">
        <v>0</v>
      </c>
      <c r="J5096">
        <v>-260.88889999999998</v>
      </c>
      <c r="K5096">
        <v>1.1220939999999999</v>
      </c>
      <c r="L5096">
        <v>141.53579999999999</v>
      </c>
      <c r="M5096">
        <v>-0.99954140000000002</v>
      </c>
      <c r="N5096">
        <v>-8.6531769999999997E-3</v>
      </c>
      <c r="O5096">
        <v>2.9020560000000001E-2</v>
      </c>
      <c r="P5096">
        <v>-0.98188529999999996</v>
      </c>
      <c r="Q5096">
        <v>0.170838299999999</v>
      </c>
      <c r="R5096">
        <v>8.1950209999999996E-2</v>
      </c>
      <c r="S5096">
        <v>-3.056152</v>
      </c>
      <c r="T5096">
        <v>-3.479242E-3</v>
      </c>
      <c r="U5096">
        <v>3.9672850000000001E-3</v>
      </c>
      <c r="V5096">
        <v>5.2829910000000001E-2</v>
      </c>
      <c r="W5096">
        <v>0.17951989999999901</v>
      </c>
      <c r="X5096">
        <v>0.98233479999999995</v>
      </c>
      <c r="Y5096">
        <v>-2.7723080000000001E-2</v>
      </c>
      <c r="Z5096" s="1">
        <v>8.2388949999999997E-5</v>
      </c>
      <c r="AA5096">
        <v>0.99961560000000005</v>
      </c>
      <c r="AB5096">
        <v>38</v>
      </c>
      <c r="AC5096">
        <v>-3.056152</v>
      </c>
      <c r="AD5096">
        <v>-3.479242E-3</v>
      </c>
      <c r="AE5096">
        <v>3.9672850000000001E-3</v>
      </c>
      <c r="AF5096">
        <v>-8.4728835855550896E-2</v>
      </c>
      <c r="AG5096">
        <v>-3.479242E-3</v>
      </c>
      <c r="AH5096">
        <v>3.05497587562096</v>
      </c>
      <c r="AI5096">
        <v>90.065227739582795</v>
      </c>
      <c r="AJ5096">
        <v>91.588673929622999</v>
      </c>
      <c r="AK5096">
        <v>3.0561525945830001</v>
      </c>
      <c r="AL5096">
        <v>79.658203683109207</v>
      </c>
      <c r="AM5096">
        <v>86.921601797435898</v>
      </c>
      <c r="AN5096">
        <v>1.00000002658882</v>
      </c>
    </row>
    <row r="5097" spans="1:40" x14ac:dyDescent="0.25">
      <c r="A5097" t="str">
        <f>"20190303170354741"</f>
        <v>20190303170354741</v>
      </c>
      <c r="B5097" t="str">
        <f>"1551603834730568"</f>
        <v>1551603834730568</v>
      </c>
      <c r="C5097" t="s">
        <v>40</v>
      </c>
      <c r="D5097">
        <v>4.2290239999999999</v>
      </c>
      <c r="E5097">
        <v>0.4743887</v>
      </c>
      <c r="F5097" t="s">
        <v>48</v>
      </c>
      <c r="G5097">
        <v>0</v>
      </c>
      <c r="H5097">
        <v>0</v>
      </c>
      <c r="I5097">
        <v>0</v>
      </c>
      <c r="J5097">
        <v>-261.25979999999998</v>
      </c>
      <c r="K5097">
        <v>1.1219980000000001</v>
      </c>
      <c r="L5097">
        <v>141.54560000000001</v>
      </c>
      <c r="M5097">
        <v>-0.99956880000000004</v>
      </c>
      <c r="N5097">
        <v>-8.6103959999999993E-3</v>
      </c>
      <c r="O5097">
        <v>2.8073939999999999E-2</v>
      </c>
      <c r="P5097">
        <v>-0.98258020000000001</v>
      </c>
      <c r="Q5097">
        <v>0.16746269999999999</v>
      </c>
      <c r="R5097">
        <v>8.0576320000000007E-2</v>
      </c>
      <c r="S5097">
        <v>-3.056244</v>
      </c>
      <c r="T5097">
        <v>-8.4310770000000004E-3</v>
      </c>
      <c r="U5097">
        <v>6.546021E-3</v>
      </c>
      <c r="V5097">
        <v>5.241705E-2</v>
      </c>
      <c r="W5097">
        <v>0.17609540000000001</v>
      </c>
      <c r="X5097">
        <v>0.98297659999999998</v>
      </c>
      <c r="Y5097">
        <v>-2.5933029999999999E-2</v>
      </c>
      <c r="Z5097" s="1">
        <v>1.6901369999999998E-5</v>
      </c>
      <c r="AA5097">
        <v>0.99966370000000004</v>
      </c>
      <c r="AB5097">
        <v>38</v>
      </c>
      <c r="AC5097">
        <v>-3.056244</v>
      </c>
      <c r="AD5097">
        <v>-8.4310770000000004E-3</v>
      </c>
      <c r="AE5097">
        <v>6.546021E-3</v>
      </c>
      <c r="AF5097">
        <v>-7.9259944540567007E-2</v>
      </c>
      <c r="AG5097">
        <v>-8.4310770000000004E-3</v>
      </c>
      <c r="AH5097">
        <v>3.05519981909897</v>
      </c>
      <c r="AI5097">
        <v>90.158058869500493</v>
      </c>
      <c r="AJ5097">
        <v>91.486070371682203</v>
      </c>
      <c r="AK5097">
        <v>3.0562393814114701</v>
      </c>
      <c r="AL5097">
        <v>79.857590767812596</v>
      </c>
      <c r="AM5097">
        <v>86.947603895041198</v>
      </c>
      <c r="AN5097">
        <v>1.0000000665897</v>
      </c>
    </row>
    <row r="5098" spans="1:40" x14ac:dyDescent="0.25">
      <c r="A5098" t="str">
        <f>"20190303170354763"</f>
        <v>20190303170354763</v>
      </c>
      <c r="B5098" t="str">
        <f>"1551603834751063"</f>
        <v>1551603834751063</v>
      </c>
      <c r="C5098" t="s">
        <v>40</v>
      </c>
      <c r="D5098">
        <v>4.2167279999999998</v>
      </c>
      <c r="E5098">
        <v>0.47455510000000001</v>
      </c>
      <c r="F5098" t="s">
        <v>42</v>
      </c>
      <c r="G5098">
        <v>-441.68799999999999</v>
      </c>
      <c r="H5098" s="1">
        <v>-3.068357E-6</v>
      </c>
      <c r="I5098">
        <v>141.75899999999999</v>
      </c>
      <c r="J5098">
        <v>-261.63220000000001</v>
      </c>
      <c r="K5098">
        <v>1.1219140000000001</v>
      </c>
      <c r="L5098">
        <v>141.55520000000001</v>
      </c>
      <c r="M5098">
        <v>-0.99959469999999995</v>
      </c>
      <c r="N5098">
        <v>-8.5650369999999993E-3</v>
      </c>
      <c r="O5098">
        <v>2.7150879999999999E-2</v>
      </c>
      <c r="P5098">
        <v>-0.98308320000000005</v>
      </c>
      <c r="Q5098">
        <v>0.165405</v>
      </c>
      <c r="R5098">
        <v>7.866774E-2</v>
      </c>
      <c r="S5098">
        <v>-3.056152</v>
      </c>
      <c r="T5098">
        <v>-1.9004819999999999E-2</v>
      </c>
      <c r="U5098">
        <v>3.6163329999999998E-3</v>
      </c>
      <c r="V5098">
        <v>5.1439749999999999E-2</v>
      </c>
      <c r="W5098">
        <v>0.1739851</v>
      </c>
      <c r="X5098">
        <v>0.9834039</v>
      </c>
      <c r="Y5098">
        <v>-2.5967730000000001E-2</v>
      </c>
      <c r="Z5098">
        <v>-1.2819719999999999E-4</v>
      </c>
      <c r="AA5098">
        <v>0.99966279999999996</v>
      </c>
      <c r="AB5098">
        <v>38</v>
      </c>
      <c r="AC5098">
        <v>-180.0558</v>
      </c>
      <c r="AD5098">
        <v>-1.1219170683569999</v>
      </c>
      <c r="AE5098">
        <v>0.203799999999972</v>
      </c>
      <c r="AF5098">
        <v>-4.68494576034053</v>
      </c>
      <c r="AG5098">
        <v>-1.1219170683569999</v>
      </c>
      <c r="AH5098">
        <v>179.98796260329101</v>
      </c>
      <c r="AI5098">
        <v>90.357015633581298</v>
      </c>
      <c r="AJ5098">
        <v>91.491027612950802</v>
      </c>
      <c r="AK5098">
        <v>180.05242041352599</v>
      </c>
      <c r="AL5098">
        <v>79.980397854731805</v>
      </c>
      <c r="AM5098">
        <v>87.005709506855695</v>
      </c>
      <c r="AN5098">
        <v>1.0000000467186401</v>
      </c>
    </row>
    <row r="5099" spans="1:40" x14ac:dyDescent="0.25">
      <c r="A5099" t="str">
        <f>"20190303170354788"</f>
        <v>20190303170354788</v>
      </c>
      <c r="B5099" t="str">
        <f>"1551603834780343"</f>
        <v>1551603834780343</v>
      </c>
      <c r="C5099" t="s">
        <v>40</v>
      </c>
      <c r="D5099">
        <v>4.0127430000000004</v>
      </c>
      <c r="E5099">
        <v>0.47493150000000001</v>
      </c>
      <c r="F5099" t="s">
        <v>42</v>
      </c>
      <c r="G5099">
        <v>-390.15320000000003</v>
      </c>
      <c r="H5099" s="1">
        <v>-4.5640739999999998E-6</v>
      </c>
      <c r="I5099">
        <v>141.53399999999999</v>
      </c>
      <c r="J5099">
        <v>-262.04259999999999</v>
      </c>
      <c r="K5099">
        <v>1.121847</v>
      </c>
      <c r="L5099">
        <v>141.56540000000001</v>
      </c>
      <c r="M5099">
        <v>-0.99962189999999995</v>
      </c>
      <c r="N5099">
        <v>-8.5141999999999995E-3</v>
      </c>
      <c r="O5099">
        <v>2.614642E-2</v>
      </c>
      <c r="P5099">
        <v>-0.98319690000000004</v>
      </c>
      <c r="Q5099">
        <v>0.16550799999999999</v>
      </c>
      <c r="R5099">
        <v>7.7014730000000003E-2</v>
      </c>
      <c r="S5099">
        <v>-3.056152</v>
      </c>
      <c r="T5099">
        <v>-2.667856E-2</v>
      </c>
      <c r="U5099">
        <v>-5.0354000000000002E-4</v>
      </c>
      <c r="V5099">
        <v>5.0798969999999999E-2</v>
      </c>
      <c r="W5099">
        <v>0.1740283</v>
      </c>
      <c r="X5099">
        <v>0.98342949999999996</v>
      </c>
      <c r="Y5099">
        <v>-2.6310090000000001E-2</v>
      </c>
      <c r="Z5099">
        <v>-2.324269E-4</v>
      </c>
      <c r="AA5099">
        <v>0.99965380000000004</v>
      </c>
      <c r="AB5099">
        <v>38</v>
      </c>
      <c r="AC5099">
        <v>-128.11060000000001</v>
      </c>
      <c r="AD5099">
        <v>-1.1218515640739899</v>
      </c>
      <c r="AE5099">
        <v>-3.14000000000191E-2</v>
      </c>
      <c r="AF5099">
        <v>-3.38088486081991</v>
      </c>
      <c r="AG5099">
        <v>-1.1218515640739899</v>
      </c>
      <c r="AH5099">
        <v>128.056158085091</v>
      </c>
      <c r="AI5099">
        <v>90.501758977221797</v>
      </c>
      <c r="AJ5099">
        <v>91.512347762584895</v>
      </c>
      <c r="AK5099">
        <v>128.10569291365599</v>
      </c>
      <c r="AL5099">
        <v>79.977883686984896</v>
      </c>
      <c r="AM5099">
        <v>87.043019318096597</v>
      </c>
      <c r="AN5099">
        <v>0.99999998301210002</v>
      </c>
    </row>
    <row r="5100" spans="1:40" x14ac:dyDescent="0.25">
      <c r="A5100" t="str">
        <f>"20190303170354809"</f>
        <v>20190303170354809</v>
      </c>
      <c r="B5100" t="str">
        <f>"1551603834800840"</f>
        <v>1551603834800840</v>
      </c>
      <c r="C5100" t="s">
        <v>40</v>
      </c>
      <c r="D5100">
        <v>4.120018</v>
      </c>
      <c r="E5100">
        <v>0.47524820000000001</v>
      </c>
      <c r="F5100" t="s">
        <v>42</v>
      </c>
      <c r="G5100">
        <v>-390.86700000000002</v>
      </c>
      <c r="H5100" s="1">
        <v>-4.3076780000000001E-6</v>
      </c>
      <c r="I5100">
        <v>141.4579</v>
      </c>
      <c r="J5100">
        <v>-262.40350000000001</v>
      </c>
      <c r="K5100">
        <v>1.1218109999999999</v>
      </c>
      <c r="L5100">
        <v>141.57409999999999</v>
      </c>
      <c r="M5100">
        <v>-0.99964509999999995</v>
      </c>
      <c r="N5100">
        <v>-8.4672169999999904E-3</v>
      </c>
      <c r="O5100">
        <v>2.5264539999999999E-2</v>
      </c>
      <c r="P5100">
        <v>-0.98295549999999998</v>
      </c>
      <c r="Q5100">
        <v>0.16763839999999999</v>
      </c>
      <c r="R5100">
        <v>7.5473429999999994E-2</v>
      </c>
      <c r="S5100">
        <v>-3.055939</v>
      </c>
      <c r="T5100">
        <v>-2.6612279999999999E-2</v>
      </c>
      <c r="U5100">
        <v>-2.5482180000000001E-3</v>
      </c>
      <c r="V5100">
        <v>5.0145839999999997E-2</v>
      </c>
      <c r="W5100">
        <v>0.17610300000000001</v>
      </c>
      <c r="X5100">
        <v>0.98309369999999996</v>
      </c>
      <c r="Y5100">
        <v>-2.609707E-2</v>
      </c>
      <c r="Z5100">
        <v>-2.301719E-4</v>
      </c>
      <c r="AA5100">
        <v>0.99965939999999998</v>
      </c>
      <c r="AB5100">
        <v>38</v>
      </c>
      <c r="AC5100">
        <v>-128.46349999999899</v>
      </c>
      <c r="AD5100">
        <v>-1.121815307678</v>
      </c>
      <c r="AE5100">
        <v>-0.116199999999992</v>
      </c>
      <c r="AF5100">
        <v>-3.3615936296364999</v>
      </c>
      <c r="AG5100">
        <v>-1.121815307678</v>
      </c>
      <c r="AH5100">
        <v>128.40976353714001</v>
      </c>
      <c r="AI5100">
        <v>90.500364100142804</v>
      </c>
      <c r="AJ5100">
        <v>91.499583375797002</v>
      </c>
      <c r="AK5100">
        <v>128.458655422589</v>
      </c>
      <c r="AL5100">
        <v>79.857148210489797</v>
      </c>
      <c r="AM5100">
        <v>87.079976143569596</v>
      </c>
      <c r="AN5100">
        <v>1.0000000474289901</v>
      </c>
    </row>
    <row r="5101" spans="1:40" x14ac:dyDescent="0.25">
      <c r="A5101" t="str">
        <f>"20190303170354832"</f>
        <v>20190303170354832</v>
      </c>
      <c r="B5101" t="str">
        <f>"1551603834820866"</f>
        <v>1551603834820866</v>
      </c>
      <c r="C5101" t="s">
        <v>40</v>
      </c>
      <c r="D5101">
        <v>4.1676599999999997</v>
      </c>
      <c r="E5101">
        <v>0.47541450000000002</v>
      </c>
      <c r="F5101" t="s">
        <v>90</v>
      </c>
      <c r="G5101">
        <v>-432.40309999999999</v>
      </c>
      <c r="H5101" s="1">
        <v>-1.090392E-5</v>
      </c>
      <c r="I5101">
        <v>141.29399999999899</v>
      </c>
      <c r="J5101">
        <v>-262.7919</v>
      </c>
      <c r="K5101">
        <v>1.121772</v>
      </c>
      <c r="L5101">
        <v>141.583</v>
      </c>
      <c r="M5101">
        <v>-0.99966900000000003</v>
      </c>
      <c r="N5101">
        <v>-8.4125039999999995E-3</v>
      </c>
      <c r="O5101">
        <v>2.431372E-2</v>
      </c>
      <c r="P5101">
        <v>-0.98289289999999996</v>
      </c>
      <c r="Q5101">
        <v>0.16869509999999999</v>
      </c>
      <c r="R5101">
        <v>7.3915560000000005E-2</v>
      </c>
      <c r="S5101">
        <v>-3.055847</v>
      </c>
      <c r="T5101">
        <v>-2.016544E-2</v>
      </c>
      <c r="U5101">
        <v>-5.0353999999999998E-3</v>
      </c>
      <c r="V5101">
        <v>4.9540010000000002E-2</v>
      </c>
      <c r="W5101">
        <v>0.17709839999999999</v>
      </c>
      <c r="X5101">
        <v>0.98294559999999997</v>
      </c>
      <c r="Y5101">
        <v>-2.5960529999999999E-2</v>
      </c>
      <c r="Z5101">
        <v>-1.5073180000000001E-4</v>
      </c>
      <c r="AA5101">
        <v>0.99966290000000002</v>
      </c>
      <c r="AB5101">
        <v>38</v>
      </c>
      <c r="AC5101">
        <v>-169.6112</v>
      </c>
      <c r="AD5101">
        <v>-1.12178290392</v>
      </c>
      <c r="AE5101">
        <v>-0.28900000000001502</v>
      </c>
      <c r="AF5101">
        <v>-4.4127466144442504</v>
      </c>
      <c r="AG5101">
        <v>-1.12178290392</v>
      </c>
      <c r="AH5101">
        <v>169.546612249014</v>
      </c>
      <c r="AI5101">
        <v>90.378956147108994</v>
      </c>
      <c r="AJ5101">
        <v>91.490886123950304</v>
      </c>
      <c r="AK5101">
        <v>169.60773701303901</v>
      </c>
      <c r="AL5101">
        <v>79.799205348129902</v>
      </c>
      <c r="AM5101">
        <v>87.114760133922204</v>
      </c>
      <c r="AN5101">
        <v>1.0000000542163501</v>
      </c>
    </row>
    <row r="5102" spans="1:40" x14ac:dyDescent="0.25">
      <c r="A5102" t="str">
        <f>"20190303170354855"</f>
        <v>20190303170354855</v>
      </c>
      <c r="B5102" t="str">
        <f>"1551603834840386"</f>
        <v>1551603834840386</v>
      </c>
      <c r="C5102" t="s">
        <v>40</v>
      </c>
      <c r="D5102">
        <v>4.165133</v>
      </c>
      <c r="E5102">
        <v>0.475495</v>
      </c>
      <c r="F5102" t="s">
        <v>75</v>
      </c>
      <c r="G5102">
        <v>-473.67680000000001</v>
      </c>
      <c r="H5102" s="1">
        <v>-4.676061E-6</v>
      </c>
      <c r="I5102">
        <v>141.0017</v>
      </c>
      <c r="J5102">
        <v>-263.16770000000002</v>
      </c>
      <c r="K5102">
        <v>1.121737</v>
      </c>
      <c r="L5102">
        <v>141.59129999999999</v>
      </c>
      <c r="M5102">
        <v>-0.99969149999999996</v>
      </c>
      <c r="N5102">
        <v>-8.3582659999999996E-3</v>
      </c>
      <c r="O5102">
        <v>2.339134E-2</v>
      </c>
      <c r="P5102">
        <v>-0.98285500000000003</v>
      </c>
      <c r="Q5102">
        <v>0.1694128</v>
      </c>
      <c r="R5102">
        <v>7.2770660000000001E-2</v>
      </c>
      <c r="S5102">
        <v>-3.055634</v>
      </c>
      <c r="T5102">
        <v>-1.6254069999999999E-2</v>
      </c>
      <c r="U5102">
        <v>-8.4228519999999998E-3</v>
      </c>
      <c r="V5102">
        <v>4.9315779999999997E-2</v>
      </c>
      <c r="W5102">
        <v>0.17775769999999999</v>
      </c>
      <c r="X5102">
        <v>0.98283779999999998</v>
      </c>
      <c r="Y5102">
        <v>-2.6146740000000002E-2</v>
      </c>
      <c r="Z5102">
        <v>-1.0770839999999999E-4</v>
      </c>
      <c r="AA5102">
        <v>0.99965809999999999</v>
      </c>
      <c r="AB5102">
        <v>38</v>
      </c>
      <c r="AC5102">
        <v>-210.50909999999999</v>
      </c>
      <c r="AD5102">
        <v>-1.1217416760609999</v>
      </c>
      <c r="AE5102">
        <v>-0.58959999999999002</v>
      </c>
      <c r="AF5102">
        <v>-5.5135437767581701</v>
      </c>
      <c r="AG5102">
        <v>-1.1217416760609999</v>
      </c>
      <c r="AH5102">
        <v>210.43173036498101</v>
      </c>
      <c r="AI5102">
        <v>90.305317101508805</v>
      </c>
      <c r="AJ5102">
        <v>91.500869326679407</v>
      </c>
      <c r="AK5102">
        <v>210.50693721055001</v>
      </c>
      <c r="AL5102">
        <v>79.760820603513807</v>
      </c>
      <c r="AM5102">
        <v>87.127483004168397</v>
      </c>
      <c r="AN5102">
        <v>0.99999999358756897</v>
      </c>
    </row>
    <row r="5103" spans="1:40" x14ac:dyDescent="0.25">
      <c r="A5103" t="str">
        <f>"20190303170354877"</f>
        <v>20190303170354877</v>
      </c>
      <c r="B5103" t="str">
        <f>"1551603834870643"</f>
        <v>1551603834870643</v>
      </c>
      <c r="C5103" t="s">
        <v>40</v>
      </c>
      <c r="D5103">
        <v>4.1777920000000002</v>
      </c>
      <c r="E5103">
        <v>0.47580640000000002</v>
      </c>
      <c r="F5103" t="s">
        <v>75</v>
      </c>
      <c r="G5103">
        <v>-499.9658</v>
      </c>
      <c r="H5103">
        <v>5.8028660000000003E-2</v>
      </c>
      <c r="I5103">
        <v>140.73990000000001</v>
      </c>
      <c r="J5103">
        <v>-263.55520000000001</v>
      </c>
      <c r="K5103">
        <v>1.1217060000000001</v>
      </c>
      <c r="L5103">
        <v>141.59950000000001</v>
      </c>
      <c r="M5103">
        <v>-0.99971379999999999</v>
      </c>
      <c r="N5103">
        <v>-8.3015850000000002E-3</v>
      </c>
      <c r="O5103">
        <v>2.2440140000000001E-2</v>
      </c>
      <c r="P5103">
        <v>-0.98268719999999998</v>
      </c>
      <c r="Q5103">
        <v>0.17053679999999999</v>
      </c>
      <c r="R5103">
        <v>7.2411429999999999E-2</v>
      </c>
      <c r="S5103">
        <v>-3.055542</v>
      </c>
      <c r="T5103">
        <v>-1.3725640000000001E-2</v>
      </c>
      <c r="U5103">
        <v>-1.0986330000000001E-2</v>
      </c>
      <c r="V5103">
        <v>4.99046E-2</v>
      </c>
      <c r="W5103">
        <v>0.17882239999999999</v>
      </c>
      <c r="X5103">
        <v>0.98261489999999996</v>
      </c>
      <c r="Y5103">
        <v>-2.6034470000000001E-2</v>
      </c>
      <c r="Z5103" s="1">
        <v>-8.1035020000000001E-5</v>
      </c>
      <c r="AA5103">
        <v>0.99966100000000002</v>
      </c>
      <c r="AB5103">
        <v>38</v>
      </c>
      <c r="AC5103">
        <v>-236.41059999999999</v>
      </c>
      <c r="AD5103">
        <v>-1.0636773399999999</v>
      </c>
      <c r="AE5103">
        <v>-0.85960000000000003</v>
      </c>
      <c r="AF5103">
        <v>-6.16452809277743</v>
      </c>
      <c r="AG5103">
        <v>-1.0636773399999999</v>
      </c>
      <c r="AH5103">
        <v>236.326990730332</v>
      </c>
      <c r="AI5103">
        <v>90.257791494671196</v>
      </c>
      <c r="AJ5103">
        <v>91.494206676552494</v>
      </c>
      <c r="AK5103">
        <v>236.40977002599601</v>
      </c>
      <c r="AL5103">
        <v>79.698824346589106</v>
      </c>
      <c r="AM5103">
        <v>87.092585982500793</v>
      </c>
      <c r="AN5103">
        <v>0.99999998077246399</v>
      </c>
    </row>
    <row r="5104" spans="1:40" x14ac:dyDescent="0.25">
      <c r="A5104" t="str">
        <f>"20190303170354898"</f>
        <v>20190303170354898</v>
      </c>
      <c r="B5104" t="str">
        <f>"1551603834891139"</f>
        <v>1551603834891139</v>
      </c>
      <c r="C5104" t="s">
        <v>40</v>
      </c>
      <c r="D5104">
        <v>4.1881389999999996</v>
      </c>
      <c r="E5104">
        <v>0.47593999999999997</v>
      </c>
      <c r="F5104" t="s">
        <v>48</v>
      </c>
      <c r="G5104">
        <v>0</v>
      </c>
      <c r="H5104">
        <v>0</v>
      </c>
      <c r="I5104">
        <v>0</v>
      </c>
      <c r="J5104">
        <v>-263.93110000000001</v>
      </c>
      <c r="K5104">
        <v>1.121685</v>
      </c>
      <c r="L5104">
        <v>141.60720000000001</v>
      </c>
      <c r="M5104">
        <v>-0.99973460000000003</v>
      </c>
      <c r="N5104">
        <v>-8.2446669999999903E-3</v>
      </c>
      <c r="O5104">
        <v>2.1518349999999999E-2</v>
      </c>
      <c r="P5104">
        <v>-0.98250090000000001</v>
      </c>
      <c r="Q5104">
        <v>0.1716434</v>
      </c>
      <c r="R5104">
        <v>7.2324349999999996E-2</v>
      </c>
      <c r="S5104">
        <v>-3.0553590000000002</v>
      </c>
      <c r="T5104">
        <v>-1.0316489999999999E-2</v>
      </c>
      <c r="U5104">
        <v>-1.0025020000000001E-2</v>
      </c>
      <c r="V5104">
        <v>5.0733359999999998E-2</v>
      </c>
      <c r="W5104">
        <v>0.1798708</v>
      </c>
      <c r="X5104">
        <v>0.98238110000000001</v>
      </c>
      <c r="Y5104">
        <v>-2.4798580000000001E-2</v>
      </c>
      <c r="Z5104" s="1">
        <v>-3.9326919999999999E-5</v>
      </c>
      <c r="AA5104">
        <v>0.99969240000000004</v>
      </c>
      <c r="AB5104">
        <v>38</v>
      </c>
      <c r="AC5104">
        <v>-3.0553590000000002</v>
      </c>
      <c r="AD5104">
        <v>-1.0316489999999999E-2</v>
      </c>
      <c r="AE5104">
        <v>-1.0025020000000001E-2</v>
      </c>
      <c r="AF5104">
        <v>-7.5770344382552202E-2</v>
      </c>
      <c r="AG5104">
        <v>-1.0316489999999999E-2</v>
      </c>
      <c r="AH5104">
        <v>3.0544009426608301</v>
      </c>
      <c r="AI5104">
        <v>90.193460947518403</v>
      </c>
      <c r="AJ5104">
        <v>91.421041581822905</v>
      </c>
      <c r="AK5104">
        <v>3.0553580303429499</v>
      </c>
      <c r="AL5104">
        <v>79.637765657994805</v>
      </c>
      <c r="AM5104">
        <v>87.043685633929798</v>
      </c>
      <c r="AN5104">
        <v>1.0000000020733599</v>
      </c>
    </row>
    <row r="5105" spans="1:40" x14ac:dyDescent="0.25">
      <c r="A5105" t="str">
        <f>"20190303170354911"</f>
        <v>20190303170354911</v>
      </c>
      <c r="B5105" t="str">
        <f>"1551603834900898"</f>
        <v>1551603834900898</v>
      </c>
      <c r="C5105" t="s">
        <v>40</v>
      </c>
      <c r="D5105">
        <v>4.1437809999999997</v>
      </c>
      <c r="E5105">
        <v>0.47673339999999997</v>
      </c>
      <c r="F5105" t="s">
        <v>48</v>
      </c>
      <c r="G5105">
        <v>0</v>
      </c>
      <c r="H5105">
        <v>0</v>
      </c>
      <c r="I5105">
        <v>0</v>
      </c>
      <c r="J5105">
        <v>-264.16649999999998</v>
      </c>
      <c r="K5105">
        <v>1.1216740000000001</v>
      </c>
      <c r="L5105">
        <v>141.61179999999999</v>
      </c>
      <c r="M5105">
        <v>-0.99974700000000005</v>
      </c>
      <c r="N5105">
        <v>-8.2092009999999993E-3</v>
      </c>
      <c r="O5105">
        <v>2.0942220000000001E-2</v>
      </c>
      <c r="P5105">
        <v>-0.98250309999999996</v>
      </c>
      <c r="Q5105">
        <v>0.17178270000000001</v>
      </c>
      <c r="R5105">
        <v>7.1962540000000005E-2</v>
      </c>
      <c r="S5105">
        <v>-3.0552670000000002</v>
      </c>
      <c r="T5105">
        <v>-6.4853430000000002E-3</v>
      </c>
      <c r="U5105">
        <v>-9.765625E-3</v>
      </c>
      <c r="V5105">
        <v>5.094166E-2</v>
      </c>
      <c r="W5105">
        <v>0.17997489999999999</v>
      </c>
      <c r="X5105">
        <v>0.98235119999999998</v>
      </c>
      <c r="Y5105">
        <v>-2.4137769999999999E-2</v>
      </c>
      <c r="Z5105" s="1">
        <v>2.7819410000000001E-6</v>
      </c>
      <c r="AA5105">
        <v>0.99970870000000001</v>
      </c>
      <c r="AB5105">
        <v>38</v>
      </c>
      <c r="AC5105">
        <v>-3.0552670000000002</v>
      </c>
      <c r="AD5105">
        <v>-6.4853430000000002E-3</v>
      </c>
      <c r="AE5105">
        <v>-9.765625E-3</v>
      </c>
      <c r="AF5105">
        <v>-7.3749379586843203E-2</v>
      </c>
      <c r="AG5105">
        <v>-6.4853430000000002E-3</v>
      </c>
      <c r="AH5105">
        <v>3.0543786142114202</v>
      </c>
      <c r="AI5105">
        <v>90.121620140113393</v>
      </c>
      <c r="AJ5105">
        <v>91.383164252754298</v>
      </c>
      <c r="AK5105">
        <v>3.05527572399208</v>
      </c>
      <c r="AL5105">
        <v>79.631701657370201</v>
      </c>
      <c r="AM5105">
        <v>87.0314791336084</v>
      </c>
      <c r="AN5105">
        <v>0.99999994874750098</v>
      </c>
    </row>
    <row r="5106" spans="1:40" x14ac:dyDescent="0.25">
      <c r="A5106" t="str">
        <f>"20190303170354932"</f>
        <v>20190303170354932</v>
      </c>
      <c r="B5106" t="str">
        <f>"1551603834920418"</f>
        <v>1551603834920418</v>
      </c>
      <c r="C5106" t="s">
        <v>40</v>
      </c>
      <c r="D5106">
        <v>4.1606969999999999</v>
      </c>
      <c r="E5106">
        <v>0.52174480000000001</v>
      </c>
      <c r="F5106" t="s">
        <v>48</v>
      </c>
      <c r="G5106">
        <v>0</v>
      </c>
      <c r="H5106">
        <v>0</v>
      </c>
      <c r="I5106">
        <v>0</v>
      </c>
      <c r="J5106">
        <v>-264.49489999999997</v>
      </c>
      <c r="K5106">
        <v>1.121659</v>
      </c>
      <c r="L5106">
        <v>141.61799999999999</v>
      </c>
      <c r="M5106">
        <v>-0.99976379999999998</v>
      </c>
      <c r="N5106">
        <v>-8.1596559999999995E-3</v>
      </c>
      <c r="O5106">
        <v>2.0139779999999999E-2</v>
      </c>
      <c r="P5106">
        <v>-0.98256129999999997</v>
      </c>
      <c r="Q5106">
        <v>0.17172999999999999</v>
      </c>
      <c r="R5106">
        <v>7.1288950000000004E-2</v>
      </c>
      <c r="S5106">
        <v>-3.054932</v>
      </c>
      <c r="T5106">
        <v>-6.7982669999999898E-3</v>
      </c>
      <c r="U5106">
        <v>-4.4708250000000003E-3</v>
      </c>
      <c r="V5106">
        <v>5.1060389999999997E-2</v>
      </c>
      <c r="W5106">
        <v>0.17987320000000001</v>
      </c>
      <c r="X5106">
        <v>0.98236369999999895</v>
      </c>
      <c r="Y5106">
        <v>-2.1603009999999999E-2</v>
      </c>
      <c r="Z5106" s="1">
        <v>7.3533299999999999E-6</v>
      </c>
      <c r="AA5106">
        <v>0.99976659999999995</v>
      </c>
      <c r="AB5106">
        <v>38</v>
      </c>
      <c r="AC5106">
        <v>-3.054932</v>
      </c>
      <c r="AD5106">
        <v>-6.7982669999999898E-3</v>
      </c>
      <c r="AE5106">
        <v>-4.4708250000000003E-3</v>
      </c>
      <c r="AF5106">
        <v>-6.5997302720784606E-2</v>
      </c>
      <c r="AG5106">
        <v>-6.7982669999999898E-3</v>
      </c>
      <c r="AH5106">
        <v>3.0542071699136502</v>
      </c>
      <c r="AI5106">
        <v>90.127502961085995</v>
      </c>
      <c r="AJ5106">
        <v>91.237891966786904</v>
      </c>
      <c r="AK5106">
        <v>3.05492770735292</v>
      </c>
      <c r="AL5106">
        <v>79.6376256923336</v>
      </c>
      <c r="AM5106">
        <v>87.024610596641807</v>
      </c>
      <c r="AN5106">
        <v>0.99999998529143996</v>
      </c>
    </row>
    <row r="5107" spans="1:40" x14ac:dyDescent="0.25">
      <c r="A5107" t="str">
        <f>"20190303170354955"</f>
        <v>20190303170354955</v>
      </c>
      <c r="B5107" t="str">
        <f>"1551603834940914"</f>
        <v>1551603834940914</v>
      </c>
      <c r="C5107" t="s">
        <v>40</v>
      </c>
      <c r="D5107">
        <v>4.2007709999999996</v>
      </c>
      <c r="E5107">
        <v>0.53781509999999999</v>
      </c>
      <c r="F5107" t="s">
        <v>42</v>
      </c>
      <c r="G5107">
        <v>-427.89830000000001</v>
      </c>
      <c r="H5107" s="1">
        <v>-2.518259E-6</v>
      </c>
      <c r="I5107">
        <v>160.56049999999999</v>
      </c>
      <c r="J5107">
        <v>-264.88639999999998</v>
      </c>
      <c r="K5107">
        <v>1.121651</v>
      </c>
      <c r="L5107">
        <v>141.6251</v>
      </c>
      <c r="M5107">
        <v>-0.99978330000000004</v>
      </c>
      <c r="N5107">
        <v>-8.0990300000000001E-3</v>
      </c>
      <c r="O5107">
        <v>1.918539E-2</v>
      </c>
      <c r="P5107">
        <v>-0.98242260000000003</v>
      </c>
      <c r="Q5107">
        <v>0.17274010000000001</v>
      </c>
      <c r="R5107">
        <v>7.0761909999999997E-2</v>
      </c>
      <c r="S5107">
        <v>-3.0313720000000002</v>
      </c>
      <c r="T5107">
        <v>-2.0808460000000001E-2</v>
      </c>
      <c r="U5107">
        <v>0.3514099</v>
      </c>
      <c r="V5107">
        <v>5.1475750000000001E-2</v>
      </c>
      <c r="W5107">
        <v>0.18082200000000001</v>
      </c>
      <c r="X5107">
        <v>0.98216780000000004</v>
      </c>
      <c r="Y5107">
        <v>9.6068749999999994E-2</v>
      </c>
      <c r="Z5107">
        <v>7.4267349999999996E-4</v>
      </c>
      <c r="AA5107">
        <v>0.99537439999999999</v>
      </c>
      <c r="AB5107">
        <v>38</v>
      </c>
      <c r="AC5107">
        <v>-163.0119</v>
      </c>
      <c r="AD5107">
        <v>-1.1216535182589999</v>
      </c>
      <c r="AE5107">
        <v>18.935399999999898</v>
      </c>
      <c r="AF5107">
        <v>15.803627367669799</v>
      </c>
      <c r="AG5107">
        <v>-1.1216535182589999</v>
      </c>
      <c r="AH5107">
        <v>163.33755918303299</v>
      </c>
      <c r="AI5107">
        <v>90.391620287120304</v>
      </c>
      <c r="AJ5107">
        <v>84.473583473380899</v>
      </c>
      <c r="AK5107">
        <v>164.10414676193199</v>
      </c>
      <c r="AL5107">
        <v>79.582357030216301</v>
      </c>
      <c r="AM5107">
        <v>86.9998535867539</v>
      </c>
      <c r="AN5107">
        <v>0.99999996793945001</v>
      </c>
    </row>
    <row r="5108" spans="1:40" x14ac:dyDescent="0.25">
      <c r="A5108" t="str">
        <f>"20190303170354977"</f>
        <v>20190303170354977</v>
      </c>
      <c r="B5108" t="str">
        <f>"1551603834971170"</f>
        <v>1551603834971170</v>
      </c>
      <c r="C5108" t="s">
        <v>40</v>
      </c>
      <c r="D5108">
        <v>4.1252279999999999</v>
      </c>
      <c r="E5108">
        <v>0.54861479999999996</v>
      </c>
      <c r="F5108" t="s">
        <v>87</v>
      </c>
      <c r="G5108">
        <v>-381.41649999999998</v>
      </c>
      <c r="H5108">
        <v>0.124929399999999</v>
      </c>
      <c r="I5108">
        <v>160.024</v>
      </c>
      <c r="J5108">
        <v>-265.26839999999999</v>
      </c>
      <c r="K5108">
        <v>1.1216440000000001</v>
      </c>
      <c r="L5108">
        <v>141.6317</v>
      </c>
      <c r="M5108">
        <v>-0.99980100000000005</v>
      </c>
      <c r="N5108">
        <v>-8.0370330000000007E-3</v>
      </c>
      <c r="O5108">
        <v>1.825558E-2</v>
      </c>
      <c r="P5108">
        <v>-0.98196269999999997</v>
      </c>
      <c r="Q5108">
        <v>0.17523559999999999</v>
      </c>
      <c r="R5108">
        <v>7.1005079999999998E-2</v>
      </c>
      <c r="S5108">
        <v>-3.0238339999999999</v>
      </c>
      <c r="T5108">
        <v>-2.586389E-2</v>
      </c>
      <c r="U5108">
        <v>0.47743229999999998</v>
      </c>
      <c r="V5108">
        <v>5.2637690000000001E-2</v>
      </c>
      <c r="W5108">
        <v>0.18325449999999999</v>
      </c>
      <c r="X5108">
        <v>0.98165530000000001</v>
      </c>
      <c r="Y5108">
        <v>0.13788929999999999</v>
      </c>
      <c r="Z5108">
        <v>1.134375E-3</v>
      </c>
      <c r="AA5108">
        <v>0.99044699999999997</v>
      </c>
      <c r="AB5108">
        <v>38</v>
      </c>
      <c r="AC5108">
        <v>-116.1481</v>
      </c>
      <c r="AD5108">
        <v>-0.99671460000000001</v>
      </c>
      <c r="AE5108">
        <v>18.392299999999999</v>
      </c>
      <c r="AF5108">
        <v>16.267646603345199</v>
      </c>
      <c r="AG5108">
        <v>-0.99671460000000001</v>
      </c>
      <c r="AH5108">
        <v>116.45614986330401</v>
      </c>
      <c r="AI5108">
        <v>90.485650940567893</v>
      </c>
      <c r="AJ5108">
        <v>82.047865118665698</v>
      </c>
      <c r="AK5108">
        <v>117.59109067862801</v>
      </c>
      <c r="AL5108">
        <v>79.440617423734196</v>
      </c>
      <c r="AM5108">
        <v>86.930661963447704</v>
      </c>
      <c r="AN5108">
        <v>1.00000003309843</v>
      </c>
    </row>
    <row r="5109" spans="1:40" x14ac:dyDescent="0.25">
      <c r="A5109" t="str">
        <f>"20190303170354999"</f>
        <v>20190303170354999</v>
      </c>
      <c r="B5109" t="str">
        <f>"1551603834990690"</f>
        <v>1551603834990690</v>
      </c>
      <c r="C5109" t="s">
        <v>40</v>
      </c>
      <c r="D5109">
        <v>4.1208609999999997</v>
      </c>
      <c r="E5109">
        <v>0.5521085</v>
      </c>
      <c r="F5109" t="s">
        <v>86</v>
      </c>
      <c r="G5109">
        <v>-364.51330000000002</v>
      </c>
      <c r="H5109">
        <v>0.28953030000000002</v>
      </c>
      <c r="I5109">
        <v>160.1497</v>
      </c>
      <c r="J5109">
        <v>-265.66269999999997</v>
      </c>
      <c r="K5109">
        <v>1.12164</v>
      </c>
      <c r="L5109">
        <v>141.63810000000001</v>
      </c>
      <c r="M5109">
        <v>-0.99981869999999995</v>
      </c>
      <c r="N5109">
        <v>-7.9744120000000002E-3</v>
      </c>
      <c r="O5109">
        <v>1.7297079999999999E-2</v>
      </c>
      <c r="P5109">
        <v>-0.98162419999999995</v>
      </c>
      <c r="Q5109">
        <v>0.1770079</v>
      </c>
      <c r="R5109">
        <v>7.1289959999999999E-2</v>
      </c>
      <c r="S5109">
        <v>-3.0188899999999999</v>
      </c>
      <c r="T5109">
        <v>-2.531135E-2</v>
      </c>
      <c r="U5109">
        <v>0.5632935</v>
      </c>
      <c r="V5109">
        <v>5.3867390000000001E-2</v>
      </c>
      <c r="W5109">
        <v>0.18496560000000001</v>
      </c>
      <c r="X5109">
        <v>0.98126760000000002</v>
      </c>
      <c r="Y5109">
        <v>0.1663811</v>
      </c>
      <c r="Z5109">
        <v>1.3537200000000001E-3</v>
      </c>
      <c r="AA5109">
        <v>0.98606059999999995</v>
      </c>
      <c r="AB5109">
        <v>39</v>
      </c>
      <c r="AC5109">
        <v>-98.8506</v>
      </c>
      <c r="AD5109">
        <v>-0.83210969999999995</v>
      </c>
      <c r="AE5109">
        <v>18.511599999999898</v>
      </c>
      <c r="AF5109">
        <v>16.797799495141401</v>
      </c>
      <c r="AG5109">
        <v>-0.83210969999999995</v>
      </c>
      <c r="AH5109">
        <v>99.149229528663398</v>
      </c>
      <c r="AI5109">
        <v>90.474088013663106</v>
      </c>
      <c r="AJ5109">
        <v>80.384291286224695</v>
      </c>
      <c r="AK5109">
        <v>100.56554176535499</v>
      </c>
      <c r="AL5109">
        <v>79.340873576623906</v>
      </c>
      <c r="AM5109">
        <v>86.857860801445497</v>
      </c>
      <c r="AN5109">
        <v>1.00000003584926</v>
      </c>
    </row>
    <row r="5110" spans="1:40" x14ac:dyDescent="0.25">
      <c r="A5110" t="str">
        <f>"20190303170355013"</f>
        <v>20190303170355013</v>
      </c>
      <c r="B5110" t="str">
        <f>"1551603835000450"</f>
        <v>1551603835000450</v>
      </c>
      <c r="C5110" t="s">
        <v>40</v>
      </c>
      <c r="D5110">
        <v>4.0892220000000004</v>
      </c>
      <c r="E5110">
        <v>0.55334559999999999</v>
      </c>
      <c r="F5110" t="s">
        <v>86</v>
      </c>
      <c r="G5110">
        <v>-363.76069999999999</v>
      </c>
      <c r="H5110">
        <v>0.44246859999999999</v>
      </c>
      <c r="I5110">
        <v>160.87270000000001</v>
      </c>
      <c r="J5110">
        <v>-265.89609999999999</v>
      </c>
      <c r="K5110">
        <v>1.1216379999999999</v>
      </c>
      <c r="L5110">
        <v>141.64169999999999</v>
      </c>
      <c r="M5110">
        <v>-0.99982850000000001</v>
      </c>
      <c r="N5110">
        <v>-7.9392919999999902E-3</v>
      </c>
      <c r="O5110">
        <v>1.6730490000000001E-2</v>
      </c>
      <c r="P5110">
        <v>-0.98154629999999998</v>
      </c>
      <c r="Q5110">
        <v>0.1775022</v>
      </c>
      <c r="R5110">
        <v>7.1133050000000003E-2</v>
      </c>
      <c r="S5110">
        <v>-3.0169679999999999</v>
      </c>
      <c r="T5110">
        <v>-2.0887260000000001E-2</v>
      </c>
      <c r="U5110">
        <v>0.59155269999999904</v>
      </c>
      <c r="V5110">
        <v>5.4267919999999997E-2</v>
      </c>
      <c r="W5110">
        <v>0.1854249</v>
      </c>
      <c r="X5110">
        <v>0.9811588</v>
      </c>
      <c r="Y5110">
        <v>0.17595720000000001</v>
      </c>
      <c r="Z5110">
        <v>1.325403E-3</v>
      </c>
      <c r="AA5110">
        <v>0.98439690000000002</v>
      </c>
      <c r="AB5110">
        <v>39</v>
      </c>
      <c r="AC5110">
        <v>-97.864599999999996</v>
      </c>
      <c r="AD5110">
        <v>-0.67916939999999903</v>
      </c>
      <c r="AE5110">
        <v>19.231000000000002</v>
      </c>
      <c r="AF5110">
        <v>17.590118155122902</v>
      </c>
      <c r="AG5110">
        <v>-0.67916939999999903</v>
      </c>
      <c r="AH5110">
        <v>98.168103574768395</v>
      </c>
      <c r="AI5110">
        <v>90.3901766838855</v>
      </c>
      <c r="AJ5110">
        <v>79.8413387703539</v>
      </c>
      <c r="AK5110">
        <v>99.733896380576297</v>
      </c>
      <c r="AL5110">
        <v>79.314093959105904</v>
      </c>
      <c r="AM5110">
        <v>86.834194518826195</v>
      </c>
      <c r="AN5110">
        <v>0.999999995749288</v>
      </c>
    </row>
    <row r="5111" spans="1:40" x14ac:dyDescent="0.25">
      <c r="A5111" t="str">
        <f>"20190303170355032"</f>
        <v>20190303170355032</v>
      </c>
      <c r="B5111" t="str">
        <f>"1551603835020946"</f>
        <v>1551603835020946</v>
      </c>
      <c r="C5111" t="s">
        <v>40</v>
      </c>
      <c r="D5111">
        <v>4.105677</v>
      </c>
      <c r="E5111">
        <v>0.55508649999999904</v>
      </c>
      <c r="F5111" t="s">
        <v>86</v>
      </c>
      <c r="G5111">
        <v>-362.66329999999999</v>
      </c>
      <c r="H5111">
        <v>0.51633409999999902</v>
      </c>
      <c r="I5111">
        <v>160.9247</v>
      </c>
      <c r="J5111">
        <v>-266.22410000000002</v>
      </c>
      <c r="K5111">
        <v>1.121637</v>
      </c>
      <c r="L5111">
        <v>141.64660000000001</v>
      </c>
      <c r="M5111">
        <v>-0.99984189999999995</v>
      </c>
      <c r="N5111">
        <v>-7.8914989999999997E-3</v>
      </c>
      <c r="O5111">
        <v>1.5934549999999999E-2</v>
      </c>
      <c r="P5111">
        <v>-0.98153429999999997</v>
      </c>
      <c r="Q5111">
        <v>0.17782339999999999</v>
      </c>
      <c r="R5111">
        <v>7.0494699999999993E-2</v>
      </c>
      <c r="S5111">
        <v>-3.0162659999999999</v>
      </c>
      <c r="T5111">
        <v>-1.8867140000000001E-2</v>
      </c>
      <c r="U5111">
        <v>0.60105900000000001</v>
      </c>
      <c r="V5111">
        <v>5.4411180000000003E-2</v>
      </c>
      <c r="W5111">
        <v>0.18569939999999999</v>
      </c>
      <c r="X5111">
        <v>0.9810989</v>
      </c>
      <c r="Y5111">
        <v>0.1797697</v>
      </c>
      <c r="Z5111">
        <v>1.2989410000000001E-3</v>
      </c>
      <c r="AA5111">
        <v>0.98370780000000002</v>
      </c>
      <c r="AB5111">
        <v>39</v>
      </c>
      <c r="AC5111">
        <v>-96.4391999999999</v>
      </c>
      <c r="AD5111">
        <v>-0.60530289999999998</v>
      </c>
      <c r="AE5111">
        <v>19.278099999999899</v>
      </c>
      <c r="AF5111">
        <v>17.738217201634601</v>
      </c>
      <c r="AG5111">
        <v>-0.60530289999999998</v>
      </c>
      <c r="AH5111">
        <v>96.730488188532803</v>
      </c>
      <c r="AI5111">
        <v>90.352650511742695</v>
      </c>
      <c r="AJ5111">
        <v>79.608681262651402</v>
      </c>
      <c r="AK5111">
        <v>98.345300275534299</v>
      </c>
      <c r="AL5111">
        <v>79.298087768419904</v>
      </c>
      <c r="AM5111">
        <v>86.8256608873549</v>
      </c>
      <c r="AN5111">
        <v>0.999999947625279</v>
      </c>
    </row>
    <row r="5112" spans="1:40" x14ac:dyDescent="0.25">
      <c r="A5112" t="str">
        <f>"20190303170355057"</f>
        <v>20190303170355057</v>
      </c>
      <c r="B5112" t="str">
        <f>"1551603835040466"</f>
        <v>1551603835040466</v>
      </c>
      <c r="C5112" t="s">
        <v>40</v>
      </c>
      <c r="D5112">
        <v>4.096959</v>
      </c>
      <c r="E5112">
        <v>0.5564173</v>
      </c>
      <c r="F5112" t="s">
        <v>86</v>
      </c>
      <c r="G5112">
        <v>-360.96800000000002</v>
      </c>
      <c r="H5112">
        <v>0.4816415</v>
      </c>
      <c r="I5112">
        <v>160.90029999999999</v>
      </c>
      <c r="J5112">
        <v>-266.63839999999999</v>
      </c>
      <c r="K5112">
        <v>1.1216280000000001</v>
      </c>
      <c r="L5112">
        <v>141.6523</v>
      </c>
      <c r="M5112">
        <v>-0.99985780000000002</v>
      </c>
      <c r="N5112">
        <v>-7.8306509999999992E-3</v>
      </c>
      <c r="O5112">
        <v>1.493064E-2</v>
      </c>
      <c r="P5112">
        <v>-0.98168460000000002</v>
      </c>
      <c r="Q5112">
        <v>0.1775602</v>
      </c>
      <c r="R5112">
        <v>6.9049330000000006E-2</v>
      </c>
      <c r="S5112">
        <v>-3.0161129999999998</v>
      </c>
      <c r="T5112">
        <v>-2.0373459999999999E-2</v>
      </c>
      <c r="U5112">
        <v>0.61293030000000004</v>
      </c>
      <c r="V5112">
        <v>5.3950379999999999E-2</v>
      </c>
      <c r="W5112">
        <v>0.1853757</v>
      </c>
      <c r="X5112">
        <v>0.98118559999999999</v>
      </c>
      <c r="Y5112">
        <v>0.18448490000000001</v>
      </c>
      <c r="Z5112">
        <v>1.3624209999999999E-3</v>
      </c>
      <c r="AA5112">
        <v>0.9828344</v>
      </c>
      <c r="AB5112">
        <v>39</v>
      </c>
      <c r="AC5112">
        <v>-94.329599999999999</v>
      </c>
      <c r="AD5112">
        <v>-0.63998650000000001</v>
      </c>
      <c r="AE5112">
        <v>19.247999999999902</v>
      </c>
      <c r="AF5112">
        <v>17.836621539616502</v>
      </c>
      <c r="AG5112">
        <v>-0.63998650000000001</v>
      </c>
      <c r="AH5112">
        <v>94.602297863571906</v>
      </c>
      <c r="AI5112">
        <v>90.380890491383795</v>
      </c>
      <c r="AJ5112">
        <v>79.322613731713304</v>
      </c>
      <c r="AK5112">
        <v>96.271228369309199</v>
      </c>
      <c r="AL5112">
        <v>79.316962558118206</v>
      </c>
      <c r="AM5112">
        <v>86.852767162480802</v>
      </c>
      <c r="AN5112">
        <v>0.99999998764999698</v>
      </c>
    </row>
    <row r="5113" spans="1:40" x14ac:dyDescent="0.25">
      <c r="A5113" t="str">
        <f>"20190303170355078"</f>
        <v>20190303170355078</v>
      </c>
      <c r="B5113" t="str">
        <f>"1551603835070721"</f>
        <v>1551603835070721</v>
      </c>
      <c r="C5113" t="s">
        <v>40</v>
      </c>
      <c r="D5113">
        <v>4.0736990000000004</v>
      </c>
      <c r="E5113">
        <v>0.55802079999999998</v>
      </c>
      <c r="F5113" t="s">
        <v>86</v>
      </c>
      <c r="G5113">
        <v>-360.32319999999999</v>
      </c>
      <c r="H5113">
        <v>0.45588610000000002</v>
      </c>
      <c r="I5113">
        <v>160.88210000000001</v>
      </c>
      <c r="J5113">
        <v>-267.0333</v>
      </c>
      <c r="K5113">
        <v>1.1216200000000001</v>
      </c>
      <c r="L5113">
        <v>141.6574</v>
      </c>
      <c r="M5113">
        <v>-0.99987230000000005</v>
      </c>
      <c r="N5113">
        <v>-7.7742339999999997E-3</v>
      </c>
      <c r="O5113">
        <v>1.3974149999999999E-2</v>
      </c>
      <c r="P5113">
        <v>-0.9816376</v>
      </c>
      <c r="Q5113">
        <v>0.17826330000000001</v>
      </c>
      <c r="R5113">
        <v>6.7897680000000002E-2</v>
      </c>
      <c r="S5113">
        <v>-3.0162960000000001</v>
      </c>
      <c r="T5113">
        <v>-2.143395E-2</v>
      </c>
      <c r="U5113">
        <v>0.61912539999999905</v>
      </c>
      <c r="V5113">
        <v>5.373704E-2</v>
      </c>
      <c r="W5113">
        <v>0.18602270000000001</v>
      </c>
      <c r="X5113">
        <v>0.98107489999999997</v>
      </c>
      <c r="Y5113">
        <v>0.18734960000000001</v>
      </c>
      <c r="Z5113">
        <v>1.40389799999999E-3</v>
      </c>
      <c r="AA5113">
        <v>0.98229230000000001</v>
      </c>
      <c r="AB5113">
        <v>39</v>
      </c>
      <c r="AC5113">
        <v>-93.289900000000003</v>
      </c>
      <c r="AD5113">
        <v>-0.66573389999999999</v>
      </c>
      <c r="AE5113">
        <v>19.224699999999999</v>
      </c>
      <c r="AF5113">
        <v>17.918261171324499</v>
      </c>
      <c r="AG5113">
        <v>-0.66573389999999999</v>
      </c>
      <c r="AH5113">
        <v>93.544877520860197</v>
      </c>
      <c r="AI5113">
        <v>90.400471575510394</v>
      </c>
      <c r="AJ5113">
        <v>79.156496837555196</v>
      </c>
      <c r="AK5113">
        <v>95.2478419462727</v>
      </c>
      <c r="AL5113">
        <v>79.279236530053396</v>
      </c>
      <c r="AM5113">
        <v>86.864834616164401</v>
      </c>
      <c r="AN5113">
        <v>1.00000003689663</v>
      </c>
    </row>
    <row r="5114" spans="1:40" x14ac:dyDescent="0.25">
      <c r="A5114" t="str">
        <f>"20190303170355100"</f>
        <v>20190303170355100</v>
      </c>
      <c r="B5114" t="str">
        <f>"1551603835090241"</f>
        <v>1551603835090241</v>
      </c>
      <c r="C5114" t="s">
        <v>40</v>
      </c>
      <c r="D5114">
        <v>4.0448690000000003</v>
      </c>
      <c r="E5114">
        <v>0.55895309999999998</v>
      </c>
      <c r="F5114" t="s">
        <v>86</v>
      </c>
      <c r="G5114">
        <v>-359.36439999999999</v>
      </c>
      <c r="H5114">
        <v>0.4437141</v>
      </c>
      <c r="I5114">
        <v>160.87350000000001</v>
      </c>
      <c r="J5114">
        <v>-267.4203</v>
      </c>
      <c r="K5114">
        <v>1.1216109999999999</v>
      </c>
      <c r="L5114">
        <v>141.66210000000001</v>
      </c>
      <c r="M5114">
        <v>-0.99988529999999998</v>
      </c>
      <c r="N5114">
        <v>-7.723761E-3</v>
      </c>
      <c r="O5114">
        <v>1.303734E-2</v>
      </c>
      <c r="P5114">
        <v>-0.98147680000000004</v>
      </c>
      <c r="Q5114">
        <v>0.17957119999999999</v>
      </c>
      <c r="R5114">
        <v>6.6764480000000001E-2</v>
      </c>
      <c r="S5114">
        <v>-3.0166930000000001</v>
      </c>
      <c r="T5114">
        <v>-2.214849E-2</v>
      </c>
      <c r="U5114">
        <v>0.62783809999999995</v>
      </c>
      <c r="V5114">
        <v>5.352237E-2</v>
      </c>
      <c r="W5114">
        <v>0.1872791</v>
      </c>
      <c r="X5114">
        <v>0.98084749999999998</v>
      </c>
      <c r="Y5114">
        <v>0.19096340000000001</v>
      </c>
      <c r="Z5114">
        <v>1.4439089999999999E-3</v>
      </c>
      <c r="AA5114">
        <v>0.98159609999999997</v>
      </c>
      <c r="AB5114">
        <v>39</v>
      </c>
      <c r="AC5114">
        <v>-91.944100000000006</v>
      </c>
      <c r="AD5114">
        <v>-0.67789690000000002</v>
      </c>
      <c r="AE5114">
        <v>19.211400000000001</v>
      </c>
      <c r="AF5114">
        <v>18.010086953121601</v>
      </c>
      <c r="AG5114">
        <v>-0.67789690000000002</v>
      </c>
      <c r="AH5114">
        <v>92.181956835919905</v>
      </c>
      <c r="AI5114">
        <v>90.413521652945605</v>
      </c>
      <c r="AJ5114">
        <v>78.945071378500003</v>
      </c>
      <c r="AK5114">
        <v>93.927290721948495</v>
      </c>
      <c r="AL5114">
        <v>79.205961592795006</v>
      </c>
      <c r="AM5114">
        <v>86.876611686483102</v>
      </c>
      <c r="AN5114">
        <v>0.999999961821737</v>
      </c>
    </row>
    <row r="5115" spans="1:40" x14ac:dyDescent="0.25">
      <c r="A5115" t="str">
        <f>"20190303170355122"</f>
        <v>20190303170355122</v>
      </c>
      <c r="B5115" t="str">
        <f>"1551603835110738"</f>
        <v>1551603835110738</v>
      </c>
      <c r="C5115" t="s">
        <v>40</v>
      </c>
      <c r="D5115">
        <v>4.0257809999999896</v>
      </c>
      <c r="E5115">
        <v>0.55973409999999901</v>
      </c>
      <c r="F5115" t="s">
        <v>86</v>
      </c>
      <c r="G5115">
        <v>-359.61610000000002</v>
      </c>
      <c r="H5115">
        <v>0.54334550000000004</v>
      </c>
      <c r="I5115">
        <v>160.94380000000001</v>
      </c>
      <c r="J5115">
        <v>-267.79309999999998</v>
      </c>
      <c r="K5115">
        <v>1.121613</v>
      </c>
      <c r="L5115">
        <v>141.6662</v>
      </c>
      <c r="M5115">
        <v>-0.99989689999999998</v>
      </c>
      <c r="N5115">
        <v>-7.6798519999999896E-3</v>
      </c>
      <c r="O5115">
        <v>1.213614E-2</v>
      </c>
      <c r="P5115">
        <v>-0.98131400000000002</v>
      </c>
      <c r="Q5115">
        <v>0.1811208</v>
      </c>
      <c r="R5115">
        <v>6.494772E-2</v>
      </c>
      <c r="S5115">
        <v>-3.0171199999999998</v>
      </c>
      <c r="T5115">
        <v>-1.89234E-2</v>
      </c>
      <c r="U5115">
        <v>0.63099669999999997</v>
      </c>
      <c r="V5115">
        <v>5.2588320000000001E-2</v>
      </c>
      <c r="W5115">
        <v>0.18878200000000001</v>
      </c>
      <c r="X5115">
        <v>0.98060999999999998</v>
      </c>
      <c r="Y5115">
        <v>0.1928069</v>
      </c>
      <c r="Z5115">
        <v>1.363443E-3</v>
      </c>
      <c r="AA5115">
        <v>0.98123579999999999</v>
      </c>
      <c r="AB5115">
        <v>39</v>
      </c>
      <c r="AC5115">
        <v>-91.822999999999993</v>
      </c>
      <c r="AD5115">
        <v>-0.57826749999999905</v>
      </c>
      <c r="AE5115">
        <v>19.2776</v>
      </c>
      <c r="AF5115">
        <v>18.161080734738299</v>
      </c>
      <c r="AG5115">
        <v>-0.57826749999999905</v>
      </c>
      <c r="AH5115">
        <v>92.046703302225694</v>
      </c>
      <c r="AI5115">
        <v>90.353138333667999</v>
      </c>
      <c r="AJ5115">
        <v>78.838733649357295</v>
      </c>
      <c r="AK5115">
        <v>93.822997370384698</v>
      </c>
      <c r="AL5115">
        <v>79.118289163972904</v>
      </c>
      <c r="AM5115">
        <v>86.930272755186294</v>
      </c>
      <c r="AN5115">
        <v>1.0000000735122001</v>
      </c>
    </row>
    <row r="5116" spans="1:40" x14ac:dyDescent="0.25">
      <c r="A5116" t="str">
        <f>"20190303170355144"</f>
        <v>20190303170355144</v>
      </c>
      <c r="B5116" t="str">
        <f>"1551603835130258"</f>
        <v>1551603835130258</v>
      </c>
      <c r="C5116" t="s">
        <v>40</v>
      </c>
      <c r="D5116">
        <v>4.0290109999999997</v>
      </c>
      <c r="E5116">
        <v>0.56060880000000002</v>
      </c>
      <c r="F5116" t="s">
        <v>86</v>
      </c>
      <c r="G5116">
        <v>-360.24740000000003</v>
      </c>
      <c r="H5116">
        <v>0.6473217</v>
      </c>
      <c r="I5116">
        <v>161.0171</v>
      </c>
      <c r="J5116">
        <v>-268.18439999999998</v>
      </c>
      <c r="K5116">
        <v>1.12161</v>
      </c>
      <c r="L5116">
        <v>141.67019999999999</v>
      </c>
      <c r="M5116">
        <v>-0.99990829999999997</v>
      </c>
      <c r="N5116">
        <v>-7.6363209999999997E-3</v>
      </c>
      <c r="O5116">
        <v>1.1191069999999999E-2</v>
      </c>
      <c r="P5116">
        <v>-0.98150839999999995</v>
      </c>
      <c r="Q5116">
        <v>0.18099419999999999</v>
      </c>
      <c r="R5116">
        <v>6.2310740000000003E-2</v>
      </c>
      <c r="S5116">
        <v>-3.0181879999999999</v>
      </c>
      <c r="T5116">
        <v>-1.5482900000000001E-2</v>
      </c>
      <c r="U5116">
        <v>0.63171390000000005</v>
      </c>
      <c r="V5116">
        <v>5.087643E-2</v>
      </c>
      <c r="W5116">
        <v>0.18861020000000001</v>
      </c>
      <c r="X5116">
        <v>0.98073330000000003</v>
      </c>
      <c r="Y5116">
        <v>0.19389010000000001</v>
      </c>
      <c r="Z5116">
        <v>1.2680370000000001E-3</v>
      </c>
      <c r="AA5116">
        <v>0.98102239999999996</v>
      </c>
      <c r="AB5116">
        <v>39</v>
      </c>
      <c r="AC5116">
        <v>-92.063000000000002</v>
      </c>
      <c r="AD5116">
        <v>-0.4742883</v>
      </c>
      <c r="AE5116">
        <v>19.346900000000002</v>
      </c>
      <c r="AF5116">
        <v>18.314909419366799</v>
      </c>
      <c r="AG5116">
        <v>-0.4742883</v>
      </c>
      <c r="AH5116">
        <v>92.271407922174205</v>
      </c>
      <c r="AI5116">
        <v>90.288870542975204</v>
      </c>
      <c r="AJ5116">
        <v>78.773305989664806</v>
      </c>
      <c r="AK5116">
        <v>94.072703673123996</v>
      </c>
      <c r="AL5116">
        <v>79.128311970006905</v>
      </c>
      <c r="AM5116">
        <v>87.0303913777323</v>
      </c>
      <c r="AN5116">
        <v>1.00000001220123</v>
      </c>
    </row>
    <row r="5117" spans="1:40" x14ac:dyDescent="0.25">
      <c r="A5117" t="str">
        <f>"20190303170355167"</f>
        <v>20190303170355167</v>
      </c>
      <c r="B5117" t="str">
        <f>"1551603835160514"</f>
        <v>1551603835160514</v>
      </c>
      <c r="C5117" t="s">
        <v>40</v>
      </c>
      <c r="D5117">
        <v>4.0454610000000004</v>
      </c>
      <c r="E5117">
        <v>0.56175600000000003</v>
      </c>
      <c r="F5117" t="s">
        <v>86</v>
      </c>
      <c r="G5117">
        <v>-360.64429999999999</v>
      </c>
      <c r="H5117">
        <v>0.62205049999999995</v>
      </c>
      <c r="I5117">
        <v>160.99930000000001</v>
      </c>
      <c r="J5117">
        <v>-268.58390000000003</v>
      </c>
      <c r="K5117">
        <v>1.1216060000000001</v>
      </c>
      <c r="L5117">
        <v>141.6739</v>
      </c>
      <c r="M5117">
        <v>-0.99991890000000005</v>
      </c>
      <c r="N5117">
        <v>-7.5953169999999999E-3</v>
      </c>
      <c r="O5117">
        <v>1.022672E-2</v>
      </c>
      <c r="P5117">
        <v>-0.98182700000000001</v>
      </c>
      <c r="Q5117">
        <v>0.18022859999999999</v>
      </c>
      <c r="R5117">
        <v>5.9445909999999998E-2</v>
      </c>
      <c r="S5117">
        <v>-3.0194399999999999</v>
      </c>
      <c r="T5117">
        <v>-1.631355E-2</v>
      </c>
      <c r="U5117">
        <v>0.63122559999999905</v>
      </c>
      <c r="V5117">
        <v>4.8956010000000001E-2</v>
      </c>
      <c r="W5117">
        <v>0.18780179999999999</v>
      </c>
      <c r="X5117">
        <v>0.98098609999999997</v>
      </c>
      <c r="Y5117">
        <v>0.1946022</v>
      </c>
      <c r="Z5117">
        <v>1.289257E-3</v>
      </c>
      <c r="AA5117">
        <v>0.98088140000000001</v>
      </c>
      <c r="AB5117">
        <v>39</v>
      </c>
      <c r="AC5117">
        <v>-92.060399999999902</v>
      </c>
      <c r="AD5117">
        <v>-0.49955549999999899</v>
      </c>
      <c r="AE5117">
        <v>19.325399999999998</v>
      </c>
      <c r="AF5117">
        <v>18.382367845207799</v>
      </c>
      <c r="AG5117">
        <v>-0.49955549999999899</v>
      </c>
      <c r="AH5117">
        <v>92.250624905428495</v>
      </c>
      <c r="AI5117">
        <v>90.304282900285401</v>
      </c>
      <c r="AJ5117">
        <v>78.730537813664895</v>
      </c>
      <c r="AK5117">
        <v>94.065609011668997</v>
      </c>
      <c r="AL5117">
        <v>79.175472173063099</v>
      </c>
      <c r="AM5117">
        <v>87.143030227893703</v>
      </c>
      <c r="AN5117">
        <v>0.99999996769578403</v>
      </c>
    </row>
    <row r="5118" spans="1:40" x14ac:dyDescent="0.25">
      <c r="A5118" t="str">
        <f>"20190303170355181"</f>
        <v>20190303170355181</v>
      </c>
      <c r="B5118" t="str">
        <f>"1551603835170274"</f>
        <v>1551603835170274</v>
      </c>
      <c r="C5118" t="s">
        <v>40</v>
      </c>
      <c r="D5118">
        <v>4.0135360000000002</v>
      </c>
      <c r="E5118">
        <v>0.56209770000000003</v>
      </c>
      <c r="F5118" t="s">
        <v>86</v>
      </c>
      <c r="G5118">
        <v>-360.72719999999998</v>
      </c>
      <c r="H5118">
        <v>0.57141399999999998</v>
      </c>
      <c r="I5118">
        <v>160.96360000000001</v>
      </c>
      <c r="J5118">
        <v>-268.83139999999997</v>
      </c>
      <c r="K5118">
        <v>1.1216029999999999</v>
      </c>
      <c r="L5118">
        <v>141.67599999999999</v>
      </c>
      <c r="M5118">
        <v>-0.99992499999999995</v>
      </c>
      <c r="N5118">
        <v>-7.5722669999999997E-3</v>
      </c>
      <c r="O5118">
        <v>9.6296390000000006E-3</v>
      </c>
      <c r="P5118">
        <v>-0.98190080000000002</v>
      </c>
      <c r="Q5118">
        <v>0.18020220000000001</v>
      </c>
      <c r="R5118">
        <v>5.8292690000000001E-2</v>
      </c>
      <c r="S5118">
        <v>-3.0205690000000001</v>
      </c>
      <c r="T5118">
        <v>-1.8035530000000001E-2</v>
      </c>
      <c r="U5118">
        <v>0.63233950000000005</v>
      </c>
      <c r="V5118">
        <v>4.8387720000000002E-2</v>
      </c>
      <c r="W5118">
        <v>0.18775220000000001</v>
      </c>
      <c r="X5118">
        <v>0.9810238</v>
      </c>
      <c r="Y5118">
        <v>0.19545979999999999</v>
      </c>
      <c r="Z5118">
        <v>1.3405629999999999E-3</v>
      </c>
      <c r="AA5118">
        <v>0.98071079999999999</v>
      </c>
      <c r="AB5118">
        <v>39</v>
      </c>
      <c r="AC5118">
        <v>-91.895799999999994</v>
      </c>
      <c r="AD5118">
        <v>-0.55018900000000004</v>
      </c>
      <c r="AE5118">
        <v>19.287600000000001</v>
      </c>
      <c r="AF5118">
        <v>18.4011251771412</v>
      </c>
      <c r="AG5118">
        <v>-0.55018900000000004</v>
      </c>
      <c r="AH5118">
        <v>92.074115683621002</v>
      </c>
      <c r="AI5118">
        <v>90.335728152020195</v>
      </c>
      <c r="AJ5118">
        <v>78.6982638673758</v>
      </c>
      <c r="AK5118">
        <v>93.896469021158396</v>
      </c>
      <c r="AL5118">
        <v>79.178365625478506</v>
      </c>
      <c r="AM5118">
        <v>87.176248786247498</v>
      </c>
      <c r="AN5118">
        <v>0.99999997810903896</v>
      </c>
    </row>
    <row r="5119" spans="1:40" x14ac:dyDescent="0.25">
      <c r="A5119" t="str">
        <f>"20190303170355194"</f>
        <v>20190303170355194</v>
      </c>
      <c r="B5119" t="str">
        <f>"1551603835181010"</f>
        <v>1551603835181010</v>
      </c>
      <c r="C5119" t="s">
        <v>40</v>
      </c>
      <c r="D5119">
        <v>4.02013</v>
      </c>
      <c r="E5119">
        <v>0.56246390000000002</v>
      </c>
      <c r="F5119" t="s">
        <v>86</v>
      </c>
      <c r="G5119">
        <v>-361.02859999999998</v>
      </c>
      <c r="H5119">
        <v>0.56626699999999996</v>
      </c>
      <c r="I5119">
        <v>160.96</v>
      </c>
      <c r="J5119">
        <v>-269.0795</v>
      </c>
      <c r="K5119">
        <v>1.121602</v>
      </c>
      <c r="L5119">
        <v>141.678</v>
      </c>
      <c r="M5119">
        <v>-0.99993080000000001</v>
      </c>
      <c r="N5119">
        <v>-7.550836E-3</v>
      </c>
      <c r="O5119">
        <v>9.0315329999999996E-3</v>
      </c>
      <c r="P5119">
        <v>-0.98194999999999999</v>
      </c>
      <c r="Q5119">
        <v>0.1803978</v>
      </c>
      <c r="R5119">
        <v>5.6840910000000001E-2</v>
      </c>
      <c r="S5119">
        <v>-3.021118</v>
      </c>
      <c r="T5119">
        <v>-1.8196819999999999E-2</v>
      </c>
      <c r="U5119">
        <v>0.63189700000000004</v>
      </c>
      <c r="V5119">
        <v>4.7521760000000003E-2</v>
      </c>
      <c r="W5119">
        <v>0.18792449999999999</v>
      </c>
      <c r="X5119">
        <v>0.98103309999999999</v>
      </c>
      <c r="Y5119">
        <v>0.19587299999999999</v>
      </c>
      <c r="Z5119">
        <v>1.3446969999999999E-3</v>
      </c>
      <c r="AA5119">
        <v>0.98062839999999996</v>
      </c>
      <c r="AB5119">
        <v>39</v>
      </c>
      <c r="AC5119">
        <v>-91.949100000000001</v>
      </c>
      <c r="AD5119">
        <v>-0.55533500000000002</v>
      </c>
      <c r="AE5119">
        <v>19.282</v>
      </c>
      <c r="AF5119">
        <v>18.450103959365599</v>
      </c>
      <c r="AG5119">
        <v>-0.55533500000000002</v>
      </c>
      <c r="AH5119">
        <v>92.116282041227393</v>
      </c>
      <c r="AI5119">
        <v>90.338684398495204</v>
      </c>
      <c r="AJ5119">
        <v>78.674011679091905</v>
      </c>
      <c r="AK5119">
        <v>93.947454197400006</v>
      </c>
      <c r="AL5119">
        <v>79.168314229644395</v>
      </c>
      <c r="AM5119">
        <v>87.226730056486602</v>
      </c>
      <c r="AN5119">
        <v>0.99999993933467601</v>
      </c>
    </row>
    <row r="5120" spans="1:40" x14ac:dyDescent="0.25">
      <c r="A5120" t="str">
        <f>"20190303170355210"</f>
        <v>20190303170355210</v>
      </c>
      <c r="B5120" t="str">
        <f>"1551603835200530"</f>
        <v>1551603835200530</v>
      </c>
      <c r="C5120" t="s">
        <v>40</v>
      </c>
      <c r="D5120">
        <v>3.992435</v>
      </c>
      <c r="E5120">
        <v>0.5729187</v>
      </c>
      <c r="F5120" t="s">
        <v>86</v>
      </c>
      <c r="G5120">
        <v>-361.56139999999999</v>
      </c>
      <c r="H5120">
        <v>0.58728459999999905</v>
      </c>
      <c r="I5120">
        <v>160.97479999999999</v>
      </c>
      <c r="J5120">
        <v>-269.3526</v>
      </c>
      <c r="K5120">
        <v>1.121604</v>
      </c>
      <c r="L5120">
        <v>141.6799</v>
      </c>
      <c r="M5120">
        <v>-0.99993659999999995</v>
      </c>
      <c r="N5120">
        <v>-7.530714E-3</v>
      </c>
      <c r="O5120">
        <v>8.3736350000000008E-3</v>
      </c>
      <c r="P5120">
        <v>-0.98193569999999997</v>
      </c>
      <c r="Q5120">
        <v>0.1811577</v>
      </c>
      <c r="R5120">
        <v>5.4628839999999998E-2</v>
      </c>
      <c r="S5120">
        <v>-3.0218509999999998</v>
      </c>
      <c r="T5120">
        <v>-1.7458439999999999E-2</v>
      </c>
      <c r="U5120">
        <v>0.63052369999999902</v>
      </c>
      <c r="V5120">
        <v>4.5953340000000002E-2</v>
      </c>
      <c r="W5120">
        <v>0.18866069999999999</v>
      </c>
      <c r="X5120">
        <v>0.98096660000000002</v>
      </c>
      <c r="Y5120">
        <v>0.196044</v>
      </c>
      <c r="Z5120">
        <v>1.3208899999999999E-3</v>
      </c>
      <c r="AA5120">
        <v>0.98059419999999997</v>
      </c>
      <c r="AB5120">
        <v>39</v>
      </c>
      <c r="AC5120">
        <v>-92.208799999999997</v>
      </c>
      <c r="AD5120">
        <v>-0.5343194</v>
      </c>
      <c r="AE5120">
        <v>19.294899999999899</v>
      </c>
      <c r="AF5120">
        <v>18.5214829465626</v>
      </c>
      <c r="AG5120">
        <v>-0.5343194</v>
      </c>
      <c r="AH5120">
        <v>92.364168734523602</v>
      </c>
      <c r="AI5120">
        <v>90.324978536763993</v>
      </c>
      <c r="AJ5120">
        <v>78.661052868886799</v>
      </c>
      <c r="AK5120">
        <v>94.204408037950003</v>
      </c>
      <c r="AL5120">
        <v>79.125365721293093</v>
      </c>
      <c r="AM5120">
        <v>87.317942300936096</v>
      </c>
      <c r="AN5120">
        <v>1.0000000197486001</v>
      </c>
    </row>
    <row r="5121" spans="1:40" x14ac:dyDescent="0.25">
      <c r="A5121" t="str">
        <f>"20190303170355224"</f>
        <v>20190303170355224</v>
      </c>
      <c r="B5121" t="str">
        <f>"1551603835211266"</f>
        <v>1551603835211266</v>
      </c>
      <c r="C5121" t="s">
        <v>40</v>
      </c>
      <c r="D5121">
        <v>4.0244720000000003</v>
      </c>
      <c r="E5121">
        <v>0.57338869999999997</v>
      </c>
      <c r="F5121" t="s">
        <v>86</v>
      </c>
      <c r="G5121">
        <v>-352.02679999999998</v>
      </c>
      <c r="H5121">
        <v>0.72352030000000001</v>
      </c>
      <c r="I5121">
        <v>161.07089999999999</v>
      </c>
      <c r="J5121">
        <v>-269.6053</v>
      </c>
      <c r="K5121">
        <v>1.1216109999999999</v>
      </c>
      <c r="L5121">
        <v>141.6816</v>
      </c>
      <c r="M5121">
        <v>-0.99994170000000004</v>
      </c>
      <c r="N5121">
        <v>-7.5128019999999998E-3</v>
      </c>
      <c r="O5121">
        <v>7.7650790000000003E-3</v>
      </c>
      <c r="P5121">
        <v>-0.98193430000000004</v>
      </c>
      <c r="Q5121">
        <v>0.18163099999999999</v>
      </c>
      <c r="R5121">
        <v>5.3059759999999997E-2</v>
      </c>
      <c r="S5121">
        <v>-3.018494</v>
      </c>
      <c r="T5121">
        <v>-1.4533880000000001E-2</v>
      </c>
      <c r="U5121">
        <v>0.70797730000000003</v>
      </c>
      <c r="V5121">
        <v>4.4979949999999998E-2</v>
      </c>
      <c r="W5121">
        <v>0.18911449999999999</v>
      </c>
      <c r="X5121">
        <v>0.98092429999999997</v>
      </c>
      <c r="Y5121">
        <v>0.22077620000000001</v>
      </c>
      <c r="Z5121">
        <v>1.3855370000000001E-3</v>
      </c>
      <c r="AA5121">
        <v>0.97532350000000001</v>
      </c>
      <c r="AB5121">
        <v>40</v>
      </c>
      <c r="AC5121">
        <v>-82.421499999999895</v>
      </c>
      <c r="AD5121">
        <v>-0.39809070000000002</v>
      </c>
      <c r="AE5121">
        <v>19.389299999999899</v>
      </c>
      <c r="AF5121">
        <v>18.748273498910802</v>
      </c>
      <c r="AG5121">
        <v>-0.39809070000000002</v>
      </c>
      <c r="AH5121">
        <v>82.567753485535803</v>
      </c>
      <c r="AI5121">
        <v>90.269385517354493</v>
      </c>
      <c r="AJ5121">
        <v>77.207034243345703</v>
      </c>
      <c r="AK5121">
        <v>84.670479808747999</v>
      </c>
      <c r="AL5121">
        <v>79.098887898120495</v>
      </c>
      <c r="AM5121">
        <v>87.374560622217999</v>
      </c>
      <c r="AN5121">
        <v>0.99999998617137098</v>
      </c>
    </row>
    <row r="5122" spans="1:40" x14ac:dyDescent="0.25">
      <c r="A5122" t="str">
        <f>"20190303170355240"</f>
        <v>20190303170355240</v>
      </c>
      <c r="B5122" t="str">
        <f>"1551603835230785"</f>
        <v>1551603835230785</v>
      </c>
      <c r="C5122" t="s">
        <v>40</v>
      </c>
      <c r="D5122">
        <v>4.0058850000000001</v>
      </c>
      <c r="E5122">
        <v>0.57408079999999995</v>
      </c>
      <c r="F5122" t="s">
        <v>86</v>
      </c>
      <c r="G5122">
        <v>-357.37779999999998</v>
      </c>
      <c r="H5122">
        <v>0.84677309999999995</v>
      </c>
      <c r="I5122">
        <v>162.25470000000001</v>
      </c>
      <c r="J5122">
        <v>-269.87700000000001</v>
      </c>
      <c r="K5122">
        <v>1.1216109999999999</v>
      </c>
      <c r="L5122">
        <v>141.6832</v>
      </c>
      <c r="M5122">
        <v>-0.99994669999999997</v>
      </c>
      <c r="N5122">
        <v>-7.49342699999999E-3</v>
      </c>
      <c r="O5122">
        <v>7.110931E-3</v>
      </c>
      <c r="P5122">
        <v>-0.981846</v>
      </c>
      <c r="Q5122">
        <v>0.182534</v>
      </c>
      <c r="R5122">
        <v>5.1573679999999997E-2</v>
      </c>
      <c r="S5122">
        <v>-3.0187379999999999</v>
      </c>
      <c r="T5122">
        <v>-9.4519849999999996E-3</v>
      </c>
      <c r="U5122">
        <v>0.70756529999999995</v>
      </c>
      <c r="V5122">
        <v>4.4133730000000003E-2</v>
      </c>
      <c r="W5122">
        <v>0.18999559999999999</v>
      </c>
      <c r="X5122">
        <v>0.98079249999999996</v>
      </c>
      <c r="Y5122">
        <v>0.22127330000000001</v>
      </c>
      <c r="Z5122">
        <v>1.2125560000000001E-3</v>
      </c>
      <c r="AA5122">
        <v>0.9752111</v>
      </c>
      <c r="AB5122">
        <v>40</v>
      </c>
      <c r="AC5122">
        <v>-87.500799999999899</v>
      </c>
      <c r="AD5122">
        <v>-0.27483790000000002</v>
      </c>
      <c r="AE5122">
        <v>20.5715</v>
      </c>
      <c r="AF5122">
        <v>19.9485637791214</v>
      </c>
      <c r="AG5122">
        <v>-0.27483790000000002</v>
      </c>
      <c r="AH5122">
        <v>87.644054826418696</v>
      </c>
      <c r="AI5122">
        <v>90.175189332932703</v>
      </c>
      <c r="AJ5122">
        <v>77.177421968982998</v>
      </c>
      <c r="AK5122">
        <v>89.886044963260204</v>
      </c>
      <c r="AL5122">
        <v>79.047472813839605</v>
      </c>
      <c r="AM5122">
        <v>87.423540834072</v>
      </c>
      <c r="AN5122">
        <v>1.00000002109966</v>
      </c>
    </row>
    <row r="5123" spans="1:40" x14ac:dyDescent="0.25">
      <c r="A5123" t="str">
        <f>"20190303170355257"</f>
        <v>20190303170355257</v>
      </c>
      <c r="B5123" t="str">
        <f>"1551603835250306"</f>
        <v>1551603835250306</v>
      </c>
      <c r="C5123" t="s">
        <v>40</v>
      </c>
      <c r="D5123">
        <v>3.9545319999999999</v>
      </c>
      <c r="E5123">
        <v>0.57479820000000004</v>
      </c>
      <c r="F5123" t="s">
        <v>86</v>
      </c>
      <c r="G5123">
        <v>-357.41840000000002</v>
      </c>
      <c r="H5123">
        <v>0.90437699999999999</v>
      </c>
      <c r="I5123">
        <v>162.2253</v>
      </c>
      <c r="J5123">
        <v>-270.17340000000002</v>
      </c>
      <c r="K5123">
        <v>1.1216159999999999</v>
      </c>
      <c r="L5123">
        <v>141.6848</v>
      </c>
      <c r="M5123">
        <v>-0.99995160000000005</v>
      </c>
      <c r="N5123">
        <v>-7.4711669999999999E-3</v>
      </c>
      <c r="O5123">
        <v>6.3974890000000001E-3</v>
      </c>
      <c r="P5123">
        <v>-0.98185840000000002</v>
      </c>
      <c r="Q5123">
        <v>0.1831364</v>
      </c>
      <c r="R5123">
        <v>4.9140650000000001E-2</v>
      </c>
      <c r="S5123">
        <v>-3.0196230000000002</v>
      </c>
      <c r="T5123">
        <v>-7.4927809999999996E-3</v>
      </c>
      <c r="U5123">
        <v>0.70857239999999999</v>
      </c>
      <c r="V5123">
        <v>4.239859E-2</v>
      </c>
      <c r="W5123">
        <v>0.1905723</v>
      </c>
      <c r="X5123">
        <v>0.98075710000000005</v>
      </c>
      <c r="Y5123">
        <v>0.22221469999999999</v>
      </c>
      <c r="Z5123">
        <v>1.144752E-3</v>
      </c>
      <c r="AA5123">
        <v>0.97499709999999995</v>
      </c>
      <c r="AB5123">
        <v>40</v>
      </c>
      <c r="AC5123">
        <v>-87.245000000000005</v>
      </c>
      <c r="AD5123">
        <v>-0.21723899999999899</v>
      </c>
      <c r="AE5123">
        <v>20.540500000000002</v>
      </c>
      <c r="AF5123">
        <v>19.981797730964999</v>
      </c>
      <c r="AG5123">
        <v>-0.21723899999999899</v>
      </c>
      <c r="AH5123">
        <v>87.374112527419896</v>
      </c>
      <c r="AI5123">
        <v>90.138869530637706</v>
      </c>
      <c r="AJ5123">
        <v>77.118410203718895</v>
      </c>
      <c r="AK5123">
        <v>89.630100821646806</v>
      </c>
      <c r="AL5123">
        <v>79.013814768843901</v>
      </c>
      <c r="AM5123">
        <v>87.524617836301402</v>
      </c>
      <c r="AN5123">
        <v>0.99999996558084303</v>
      </c>
    </row>
    <row r="5124" spans="1:40" x14ac:dyDescent="0.25">
      <c r="A5124" t="str">
        <f>"20190303170355279"</f>
        <v>20190303170355279</v>
      </c>
      <c r="B5124" t="str">
        <f>"1551603835270803"</f>
        <v>1551603835270803</v>
      </c>
      <c r="C5124" t="s">
        <v>40</v>
      </c>
      <c r="D5124">
        <v>3.9638059999999999</v>
      </c>
      <c r="E5124">
        <v>0.57564309999999996</v>
      </c>
      <c r="F5124" t="s">
        <v>86</v>
      </c>
      <c r="G5124">
        <v>-357.45440000000002</v>
      </c>
      <c r="H5124">
        <v>0.95541290000000001</v>
      </c>
      <c r="I5124">
        <v>162.1087</v>
      </c>
      <c r="J5124">
        <v>-270.56920000000002</v>
      </c>
      <c r="K5124">
        <v>1.1216159999999999</v>
      </c>
      <c r="L5124">
        <v>141.6866</v>
      </c>
      <c r="M5124">
        <v>-0.99995750000000005</v>
      </c>
      <c r="N5124">
        <v>-7.4412719999999996E-3</v>
      </c>
      <c r="O5124">
        <v>5.4455379999999998E-3</v>
      </c>
      <c r="P5124">
        <v>-0.98208790000000001</v>
      </c>
      <c r="Q5124">
        <v>0.18275230000000001</v>
      </c>
      <c r="R5124">
        <v>4.5882239999999998E-2</v>
      </c>
      <c r="S5124">
        <v>-3.0210880000000002</v>
      </c>
      <c r="T5124">
        <v>-5.7524439999999998E-3</v>
      </c>
      <c r="U5124">
        <v>0.70693969999999995</v>
      </c>
      <c r="V5124">
        <v>4.0073339999999999E-2</v>
      </c>
      <c r="W5124">
        <v>0.1901543</v>
      </c>
      <c r="X5124">
        <v>0.98093600000000003</v>
      </c>
      <c r="Y5124">
        <v>0.22253899999999999</v>
      </c>
      <c r="Z5124">
        <v>1.077841E-3</v>
      </c>
      <c r="AA5124">
        <v>0.97492319999999999</v>
      </c>
      <c r="AB5124">
        <v>40</v>
      </c>
      <c r="AC5124">
        <v>-86.885199999999998</v>
      </c>
      <c r="AD5124">
        <v>-0.16620309999999899</v>
      </c>
      <c r="AE5124">
        <v>20.4221</v>
      </c>
      <c r="AF5124">
        <v>19.948578257965799</v>
      </c>
      <c r="AG5124">
        <v>-0.16620309999999899</v>
      </c>
      <c r="AH5124">
        <v>86.994822410775001</v>
      </c>
      <c r="AI5124">
        <v>90.106693970039501</v>
      </c>
      <c r="AJ5124">
        <v>77.084916888651705</v>
      </c>
      <c r="AK5124">
        <v>89.252857233070699</v>
      </c>
      <c r="AL5124">
        <v>79.038210709316502</v>
      </c>
      <c r="AM5124">
        <v>87.6606452930003</v>
      </c>
      <c r="AN5124">
        <v>0.99999998324162198</v>
      </c>
    </row>
    <row r="5125" spans="1:40" x14ac:dyDescent="0.25">
      <c r="A5125" t="str">
        <f>"20190303170355310"</f>
        <v>20190303170355310</v>
      </c>
      <c r="B5125" t="str">
        <f>"1551603835301059"</f>
        <v>1551603835301059</v>
      </c>
      <c r="C5125" t="s">
        <v>40</v>
      </c>
      <c r="D5125">
        <v>4.1451250000000002</v>
      </c>
      <c r="E5125">
        <v>0.57632850000000002</v>
      </c>
      <c r="F5125" t="s">
        <v>86</v>
      </c>
      <c r="G5125">
        <v>-357.41269999999997</v>
      </c>
      <c r="H5125">
        <v>0.89619450000000001</v>
      </c>
      <c r="I5125">
        <v>161.9401</v>
      </c>
      <c r="J5125">
        <v>-271.13499999999999</v>
      </c>
      <c r="K5125">
        <v>1.121594</v>
      </c>
      <c r="L5125">
        <v>141.6885</v>
      </c>
      <c r="M5125">
        <v>-0.99996430000000003</v>
      </c>
      <c r="N5125">
        <v>-7.4010869999999998E-3</v>
      </c>
      <c r="O5125">
        <v>4.0859269999999996E-3</v>
      </c>
      <c r="P5125">
        <v>-0.98245280000000001</v>
      </c>
      <c r="Q5125">
        <v>0.18126390000000001</v>
      </c>
      <c r="R5125">
        <v>4.3932550000000001E-2</v>
      </c>
      <c r="S5125">
        <v>-3.0232540000000001</v>
      </c>
      <c r="T5125">
        <v>-7.8470710000000006E-3</v>
      </c>
      <c r="U5125">
        <v>0.70507810000000004</v>
      </c>
      <c r="V5125">
        <v>3.9458899999999998E-2</v>
      </c>
      <c r="W5125">
        <v>0.1886284</v>
      </c>
      <c r="X5125">
        <v>0.98125549999999995</v>
      </c>
      <c r="Y5125">
        <v>0.22313930000000001</v>
      </c>
      <c r="Z5125">
        <v>1.1418190000000001E-3</v>
      </c>
      <c r="AA5125">
        <v>0.97478589999999998</v>
      </c>
      <c r="AB5125">
        <v>40</v>
      </c>
      <c r="AC5125">
        <v>-86.277699999999896</v>
      </c>
      <c r="AD5125">
        <v>-0.2253995</v>
      </c>
      <c r="AE5125">
        <v>20.2516</v>
      </c>
      <c r="AF5125">
        <v>19.898768196211599</v>
      </c>
      <c r="AG5125">
        <v>-0.2253995</v>
      </c>
      <c r="AH5125">
        <v>86.359169954557501</v>
      </c>
      <c r="AI5125">
        <v>90.145724598422504</v>
      </c>
      <c r="AJ5125">
        <v>77.024452796861993</v>
      </c>
      <c r="AK5125">
        <v>88.622333618006806</v>
      </c>
      <c r="AL5125">
        <v>79.1272501818233</v>
      </c>
      <c r="AM5125">
        <v>87.697224642729495</v>
      </c>
      <c r="AN5125">
        <v>1.0000000171779999</v>
      </c>
    </row>
    <row r="5126" spans="1:40" x14ac:dyDescent="0.25">
      <c r="A5126" t="str">
        <f>"20190303170355333"</f>
        <v>20190303170355333</v>
      </c>
      <c r="B5126" t="str">
        <f>"1551603835320662"</f>
        <v>1551603835320662</v>
      </c>
      <c r="C5126" t="s">
        <v>40</v>
      </c>
      <c r="D5126">
        <v>3.9604349999999999</v>
      </c>
      <c r="E5126">
        <v>0.52908069999999996</v>
      </c>
      <c r="F5126" t="s">
        <v>86</v>
      </c>
      <c r="G5126">
        <v>-357.27229999999997</v>
      </c>
      <c r="H5126">
        <v>0.69724039999999998</v>
      </c>
      <c r="I5126">
        <v>161.7253</v>
      </c>
      <c r="J5126">
        <v>-271.54509999999999</v>
      </c>
      <c r="K5126">
        <v>1.12159599999999</v>
      </c>
      <c r="L5126">
        <v>141.68940000000001</v>
      </c>
      <c r="M5126">
        <v>-0.99996819999999997</v>
      </c>
      <c r="N5126">
        <v>-7.3724469999999999E-3</v>
      </c>
      <c r="O5126">
        <v>3.101244E-3</v>
      </c>
      <c r="P5126">
        <v>-0.98224940000000005</v>
      </c>
      <c r="Q5126">
        <v>0.1824923</v>
      </c>
      <c r="R5126">
        <v>4.3395040000000003E-2</v>
      </c>
      <c r="S5126">
        <v>-3.0248719999999998</v>
      </c>
      <c r="T5126">
        <v>-1.490152E-2</v>
      </c>
      <c r="U5126">
        <v>0.70362849999999999</v>
      </c>
      <c r="V5126">
        <v>3.9884990000000002E-2</v>
      </c>
      <c r="W5126">
        <v>0.189828</v>
      </c>
      <c r="X5126">
        <v>0.98100690000000002</v>
      </c>
      <c r="Y5126">
        <v>0.22353700000000001</v>
      </c>
      <c r="Z5126">
        <v>1.3857279999999999E-3</v>
      </c>
      <c r="AA5126">
        <v>0.97469439999999996</v>
      </c>
      <c r="AB5126">
        <v>40</v>
      </c>
      <c r="AC5126">
        <v>-85.727199999999897</v>
      </c>
      <c r="AD5126">
        <v>-0.424355599999999</v>
      </c>
      <c r="AE5126">
        <v>20.035900000000002</v>
      </c>
      <c r="AF5126">
        <v>19.769476178906501</v>
      </c>
      <c r="AG5126">
        <v>-0.424355599999999</v>
      </c>
      <c r="AH5126">
        <v>85.786932439984994</v>
      </c>
      <c r="AI5126">
        <v>90.276179800746505</v>
      </c>
      <c r="AJ5126">
        <v>77.022827821419199</v>
      </c>
      <c r="AK5126">
        <v>88.036413168223504</v>
      </c>
      <c r="AL5126">
        <v>79.057253461285399</v>
      </c>
      <c r="AM5126">
        <v>87.671796532323498</v>
      </c>
      <c r="AN5126">
        <v>1.0000000099294499</v>
      </c>
    </row>
    <row r="5127" spans="1:40" x14ac:dyDescent="0.25">
      <c r="A5127" t="str">
        <f>"20190303170355356"</f>
        <v>20190303170355356</v>
      </c>
      <c r="B5127" t="str">
        <f>"1551603835350918"</f>
        <v>1551603835350918</v>
      </c>
      <c r="C5127" t="s">
        <v>40</v>
      </c>
      <c r="D5127">
        <v>3.9526140000000001</v>
      </c>
      <c r="E5127">
        <v>0.50730229999999998</v>
      </c>
      <c r="F5127" t="s">
        <v>76</v>
      </c>
      <c r="G5127">
        <v>-459.58620000000002</v>
      </c>
      <c r="H5127">
        <v>1.032384</v>
      </c>
      <c r="I5127">
        <v>161.80680000000001</v>
      </c>
      <c r="J5127">
        <v>-271.95530000000002</v>
      </c>
      <c r="K5127">
        <v>1.1216029999999999</v>
      </c>
      <c r="L5127">
        <v>141.68989999999999</v>
      </c>
      <c r="M5127">
        <v>-0.99997069999999999</v>
      </c>
      <c r="N5127">
        <v>-7.3460030000000003E-3</v>
      </c>
      <c r="O5127">
        <v>2.1174430000000001E-3</v>
      </c>
      <c r="P5127">
        <v>-0.98192080000000004</v>
      </c>
      <c r="Q5127">
        <v>0.1845427</v>
      </c>
      <c r="R5127">
        <v>4.2140249999999997E-2</v>
      </c>
      <c r="S5127">
        <v>-3.0400999999999998</v>
      </c>
      <c r="T5127">
        <v>-1.442313E-3</v>
      </c>
      <c r="U5127">
        <v>0.32524109999999901</v>
      </c>
      <c r="V5127">
        <v>3.9590569999999999E-2</v>
      </c>
      <c r="W5127">
        <v>0.19184960000000001</v>
      </c>
      <c r="X5127">
        <v>0.98062550000000004</v>
      </c>
      <c r="Y5127">
        <v>0.1042708</v>
      </c>
      <c r="Z5127">
        <v>4.2325559999999997E-4</v>
      </c>
      <c r="AA5127">
        <v>0.99454889999999996</v>
      </c>
      <c r="AB5127">
        <v>40</v>
      </c>
      <c r="AC5127">
        <v>-187.6309</v>
      </c>
      <c r="AD5127">
        <v>-8.9219000000000104E-2</v>
      </c>
      <c r="AE5127">
        <v>20.116900000000001</v>
      </c>
      <c r="AF5127">
        <v>19.7195420055989</v>
      </c>
      <c r="AG5127">
        <v>-8.9219000000000104E-2</v>
      </c>
      <c r="AH5127">
        <v>187.673034939638</v>
      </c>
      <c r="AI5127">
        <v>90.027089051032107</v>
      </c>
      <c r="AJ5127">
        <v>84.001717799143805</v>
      </c>
      <c r="AK5127">
        <v>188.70621701575001</v>
      </c>
      <c r="AL5127">
        <v>78.939255844541904</v>
      </c>
      <c r="AM5127">
        <v>87.688066116289505</v>
      </c>
      <c r="AN5127">
        <v>1.00000002675166</v>
      </c>
    </row>
    <row r="5128" spans="1:40" x14ac:dyDescent="0.25">
      <c r="A5128" t="str">
        <f>"20190303170355379"</f>
        <v>20190303170355379</v>
      </c>
      <c r="B5128" t="str">
        <f>"1551603835370438"</f>
        <v>1551603835370438</v>
      </c>
      <c r="C5128" t="s">
        <v>40</v>
      </c>
      <c r="D5128">
        <v>3.8605019999999999</v>
      </c>
      <c r="E5128">
        <v>0.50106539999999999</v>
      </c>
      <c r="F5128" t="s">
        <v>74</v>
      </c>
      <c r="G5128">
        <v>-511.05939999999998</v>
      </c>
      <c r="H5128">
        <v>2.0740090000000002</v>
      </c>
      <c r="I5128">
        <v>153.36009999999999</v>
      </c>
      <c r="J5128">
        <v>-272.3646</v>
      </c>
      <c r="K5128">
        <v>1.121594</v>
      </c>
      <c r="L5128">
        <v>141.69</v>
      </c>
      <c r="M5128">
        <v>-0.99997259999999999</v>
      </c>
      <c r="N5128">
        <v>-7.32001099999999E-3</v>
      </c>
      <c r="O5128">
        <v>1.136141E-3</v>
      </c>
      <c r="P5128">
        <v>-0.98196459999999997</v>
      </c>
      <c r="Q5128">
        <v>0.18462780000000001</v>
      </c>
      <c r="R5128">
        <v>4.0724549999999998E-2</v>
      </c>
      <c r="S5128">
        <v>-3.04657</v>
      </c>
      <c r="T5128">
        <v>1.2135740000000001E-2</v>
      </c>
      <c r="U5128">
        <v>0.14869689999999999</v>
      </c>
      <c r="V5128">
        <v>3.9136270000000001E-2</v>
      </c>
      <c r="W5128">
        <v>0.19190850000000001</v>
      </c>
      <c r="X5128">
        <v>0.98063219999999995</v>
      </c>
      <c r="Y5128">
        <v>4.7615480000000002E-2</v>
      </c>
      <c r="Z5128" s="1">
        <v>9.2433739999999998E-5</v>
      </c>
      <c r="AA5128">
        <v>0.99886569999999997</v>
      </c>
      <c r="AB5128">
        <v>40</v>
      </c>
      <c r="AC5128">
        <v>-238.69479999999999</v>
      </c>
      <c r="AD5128">
        <v>0.95241500000000001</v>
      </c>
      <c r="AE5128">
        <v>11.6700999999999</v>
      </c>
      <c r="AF5128">
        <v>11.3987132184955</v>
      </c>
      <c r="AG5128">
        <v>0.95241500000000001</v>
      </c>
      <c r="AH5128">
        <v>238.70411385765601</v>
      </c>
      <c r="AI5128">
        <v>89.771654709472202</v>
      </c>
      <c r="AJ5128">
        <v>87.266061287803097</v>
      </c>
      <c r="AK5128">
        <v>238.978015160262</v>
      </c>
      <c r="AL5128">
        <v>78.935817106601405</v>
      </c>
      <c r="AM5128">
        <v>87.714582757082098</v>
      </c>
      <c r="AN5128">
        <v>1.0000000158393001</v>
      </c>
    </row>
    <row r="5129" spans="1:40" x14ac:dyDescent="0.25">
      <c r="A5129" t="str">
        <f>"20190303170355399"</f>
        <v>20190303170355399</v>
      </c>
      <c r="B5129" t="str">
        <f>"1551603835390934"</f>
        <v>1551603835390934</v>
      </c>
      <c r="C5129" t="s">
        <v>40</v>
      </c>
      <c r="D5129">
        <v>3.8788399999999998</v>
      </c>
      <c r="E5129">
        <v>0.49756309999999898</v>
      </c>
      <c r="F5129" t="s">
        <v>74</v>
      </c>
      <c r="G5129">
        <v>-550.16269999999997</v>
      </c>
      <c r="H5129">
        <v>2.2621069999999999</v>
      </c>
      <c r="I5129">
        <v>150.3768</v>
      </c>
      <c r="J5129">
        <v>-272.73869999999999</v>
      </c>
      <c r="K5129">
        <v>1.1215980000000001</v>
      </c>
      <c r="L5129">
        <v>141.68979999999999</v>
      </c>
      <c r="M5129">
        <v>-0.99997349999999996</v>
      </c>
      <c r="N5129">
        <v>-7.2971160000000002E-3</v>
      </c>
      <c r="O5129">
        <v>2.4000270000000001E-4</v>
      </c>
      <c r="P5129">
        <v>-0.98216680000000001</v>
      </c>
      <c r="Q5129">
        <v>0.18373970000000001</v>
      </c>
      <c r="R5129">
        <v>3.9852869999999999E-2</v>
      </c>
      <c r="S5129">
        <v>-3.0488279999999999</v>
      </c>
      <c r="T5129">
        <v>1.251757E-2</v>
      </c>
      <c r="U5129">
        <v>9.5336909999999997E-2</v>
      </c>
      <c r="V5129">
        <v>3.91448E-2</v>
      </c>
      <c r="W5129">
        <v>0.19099920000000001</v>
      </c>
      <c r="X5129">
        <v>0.9808093</v>
      </c>
      <c r="Y5129">
        <v>3.1015069999999999E-2</v>
      </c>
      <c r="Z5129" s="1">
        <v>5.2271629999999998E-5</v>
      </c>
      <c r="AA5129">
        <v>0.99951889999999999</v>
      </c>
      <c r="AB5129">
        <v>40</v>
      </c>
      <c r="AC5129">
        <v>-277.42399999999998</v>
      </c>
      <c r="AD5129">
        <v>1.140509</v>
      </c>
      <c r="AE5129">
        <v>8.68700000000001</v>
      </c>
      <c r="AF5129">
        <v>8.6202699307291297</v>
      </c>
      <c r="AG5129">
        <v>1.140509</v>
      </c>
      <c r="AH5129">
        <v>277.42139289472402</v>
      </c>
      <c r="AI5129">
        <v>89.764565882653599</v>
      </c>
      <c r="AJ5129">
        <v>88.220230193685197</v>
      </c>
      <c r="AK5129">
        <v>277.55763194354199</v>
      </c>
      <c r="AL5129">
        <v>78.988897297661893</v>
      </c>
      <c r="AM5129">
        <v>87.714497483021503</v>
      </c>
      <c r="AN5129">
        <v>0.999999946367083</v>
      </c>
    </row>
    <row r="5130" spans="1:40" x14ac:dyDescent="0.25">
      <c r="A5130" t="str">
        <f>"20190303170355423"</f>
        <v>20190303170355423</v>
      </c>
      <c r="B5130" t="str">
        <f>"1551603835410454"</f>
        <v>1551603835410454</v>
      </c>
      <c r="C5130" t="s">
        <v>40</v>
      </c>
      <c r="D5130">
        <v>3.8923420000000002</v>
      </c>
      <c r="E5130">
        <v>0.49509579999999997</v>
      </c>
      <c r="F5130" t="s">
        <v>48</v>
      </c>
      <c r="G5130">
        <v>0</v>
      </c>
      <c r="H5130">
        <v>0</v>
      </c>
      <c r="I5130">
        <v>0</v>
      </c>
      <c r="J5130">
        <v>-273.14190000000002</v>
      </c>
      <c r="K5130">
        <v>1.1215900000000001</v>
      </c>
      <c r="L5130">
        <v>141.6891</v>
      </c>
      <c r="M5130">
        <v>-0.99997340000000001</v>
      </c>
      <c r="N5130">
        <v>-7.275101E-3</v>
      </c>
      <c r="O5130">
        <v>-7.2522479999999996E-4</v>
      </c>
      <c r="P5130">
        <v>-0.98223139999999998</v>
      </c>
      <c r="Q5130">
        <v>0.18356210000000001</v>
      </c>
      <c r="R5130">
        <v>3.9076960000000001E-2</v>
      </c>
      <c r="S5130">
        <v>-3.0502319999999998</v>
      </c>
      <c r="T5130">
        <v>8.7400669999999903E-3</v>
      </c>
      <c r="U5130">
        <v>6.4315800000000006E-2</v>
      </c>
      <c r="V5130">
        <v>3.9315709999999997E-2</v>
      </c>
      <c r="W5130">
        <v>0.1908012</v>
      </c>
      <c r="X5130">
        <v>0.98084099999999996</v>
      </c>
      <c r="Y5130">
        <v>2.1806039999999999E-2</v>
      </c>
      <c r="Z5130" s="1">
        <v>4.0739070000000002E-5</v>
      </c>
      <c r="AA5130">
        <v>0.99976220000000005</v>
      </c>
      <c r="AB5130">
        <v>40</v>
      </c>
      <c r="AC5130">
        <v>-3.0502319999999998</v>
      </c>
      <c r="AD5130">
        <v>8.7400669999999903E-3</v>
      </c>
      <c r="AE5130">
        <v>6.4315800000000006E-2</v>
      </c>
      <c r="AF5130">
        <v>6.6527399266391299E-2</v>
      </c>
      <c r="AG5130">
        <v>8.7400669999999903E-3</v>
      </c>
      <c r="AH5130">
        <v>3.05015952131013</v>
      </c>
      <c r="AI5130">
        <v>89.835861532157693</v>
      </c>
      <c r="AJ5130">
        <v>88.750512916051704</v>
      </c>
      <c r="AK5130">
        <v>3.0508974727222702</v>
      </c>
      <c r="AL5130">
        <v>79.000454390392704</v>
      </c>
      <c r="AM5130">
        <v>87.7046035166222</v>
      </c>
      <c r="AN5130">
        <v>0.99999994512762003</v>
      </c>
    </row>
    <row r="5131" spans="1:40" x14ac:dyDescent="0.25">
      <c r="A5131" t="str">
        <f>"20190303170355446"</f>
        <v>20190303170355446</v>
      </c>
      <c r="B5131" t="str">
        <f>"1551603835440710"</f>
        <v>1551603835440710</v>
      </c>
      <c r="C5131" t="s">
        <v>40</v>
      </c>
      <c r="D5131">
        <v>3.8847119999999999</v>
      </c>
      <c r="E5131">
        <v>0.49257469999999998</v>
      </c>
      <c r="F5131" t="s">
        <v>48</v>
      </c>
      <c r="G5131">
        <v>0</v>
      </c>
      <c r="H5131">
        <v>0</v>
      </c>
      <c r="I5131">
        <v>0</v>
      </c>
      <c r="J5131">
        <v>-273.57499999999999</v>
      </c>
      <c r="K5131">
        <v>1.121599</v>
      </c>
      <c r="L5131">
        <v>141.68799999999999</v>
      </c>
      <c r="M5131">
        <v>-0.99997219999999998</v>
      </c>
      <c r="N5131">
        <v>-7.2553599999999998E-3</v>
      </c>
      <c r="O5131">
        <v>-1.7608610000000001E-3</v>
      </c>
      <c r="P5131">
        <v>-0.98197690000000004</v>
      </c>
      <c r="Q5131">
        <v>0.18513769999999999</v>
      </c>
      <c r="R5131">
        <v>3.8024389999999998E-2</v>
      </c>
      <c r="S5131">
        <v>-3.0512999999999999</v>
      </c>
      <c r="T5131">
        <v>6.9575310000000003E-3</v>
      </c>
      <c r="U5131">
        <v>4.1915889999999997E-2</v>
      </c>
      <c r="V5131">
        <v>3.9273950000000002E-2</v>
      </c>
      <c r="W5131">
        <v>0.19235550000000001</v>
      </c>
      <c r="X5131">
        <v>0.9805391</v>
      </c>
      <c r="Y5131">
        <v>1.54965E-2</v>
      </c>
      <c r="Z5131" s="1">
        <v>2.1762900000000001E-5</v>
      </c>
      <c r="AA5131">
        <v>0.99987990000000004</v>
      </c>
      <c r="AB5131">
        <v>40</v>
      </c>
      <c r="AC5131">
        <v>-3.0512999999999999</v>
      </c>
      <c r="AD5131">
        <v>6.9575310000000003E-3</v>
      </c>
      <c r="AE5131">
        <v>4.1915889999999997E-2</v>
      </c>
      <c r="AF5131">
        <v>4.7288635404852002E-2</v>
      </c>
      <c r="AG5131">
        <v>6.9575310000000003E-3</v>
      </c>
      <c r="AH5131">
        <v>3.0512055982964599</v>
      </c>
      <c r="AI5131">
        <v>89.869366848220906</v>
      </c>
      <c r="AJ5131">
        <v>89.112081360290404</v>
      </c>
      <c r="AK5131">
        <v>3.0515799555888701</v>
      </c>
      <c r="AL5131">
        <v>78.909719542393802</v>
      </c>
      <c r="AM5131">
        <v>87.706333785929004</v>
      </c>
      <c r="AN5131">
        <v>1.0000000040788299</v>
      </c>
    </row>
    <row r="5132" spans="1:40" x14ac:dyDescent="0.25">
      <c r="A5132" t="str">
        <f>"20190303170355469"</f>
        <v>20190303170355469</v>
      </c>
      <c r="B5132" t="str">
        <f>"1551603835461205"</f>
        <v>1551603835461205</v>
      </c>
      <c r="C5132" t="s">
        <v>40</v>
      </c>
      <c r="D5132">
        <v>3.894228</v>
      </c>
      <c r="E5132">
        <v>0.49139080000000002</v>
      </c>
      <c r="F5132" t="s">
        <v>48</v>
      </c>
      <c r="G5132">
        <v>0</v>
      </c>
      <c r="H5132">
        <v>0</v>
      </c>
      <c r="I5132">
        <v>0</v>
      </c>
      <c r="J5132">
        <v>-273.9975</v>
      </c>
      <c r="K5132">
        <v>1.1216029999999999</v>
      </c>
      <c r="L5132">
        <v>141.6865</v>
      </c>
      <c r="M5132">
        <v>-0.99997000000000003</v>
      </c>
      <c r="N5132">
        <v>-7.2402279999999996E-3</v>
      </c>
      <c r="O5132">
        <v>-2.7706520000000002E-3</v>
      </c>
      <c r="P5132">
        <v>-0.98180719999999999</v>
      </c>
      <c r="Q5132">
        <v>0.1862636</v>
      </c>
      <c r="R5132">
        <v>3.6888369999999997E-2</v>
      </c>
      <c r="S5132">
        <v>-3.0519099999999999</v>
      </c>
      <c r="T5132">
        <v>1.316237E-2</v>
      </c>
      <c r="U5132">
        <v>1.844788E-2</v>
      </c>
      <c r="V5132">
        <v>3.9124060000000002E-2</v>
      </c>
      <c r="W5132">
        <v>0.19346479999999999</v>
      </c>
      <c r="X5132">
        <v>0.98032680000000005</v>
      </c>
      <c r="Y5132">
        <v>8.8151089999999998E-3</v>
      </c>
      <c r="Z5132" s="1">
        <v>-1.9105630000000001E-5</v>
      </c>
      <c r="AA5132">
        <v>0.99996110000000005</v>
      </c>
      <c r="AB5132">
        <v>41</v>
      </c>
      <c r="AC5132">
        <v>-3.0519099999999999</v>
      </c>
      <c r="AD5132">
        <v>1.316237E-2</v>
      </c>
      <c r="AE5132">
        <v>1.844788E-2</v>
      </c>
      <c r="AF5132">
        <v>2.6903310559737999E-2</v>
      </c>
      <c r="AG5132">
        <v>1.316237E-2</v>
      </c>
      <c r="AH5132">
        <v>3.0517904085890701</v>
      </c>
      <c r="AI5132">
        <v>89.752894474917497</v>
      </c>
      <c r="AJ5132">
        <v>89.494917404346594</v>
      </c>
      <c r="AK5132">
        <v>3.0519373738757101</v>
      </c>
      <c r="AL5132">
        <v>78.844944329928296</v>
      </c>
      <c r="AM5132">
        <v>87.714584024678601</v>
      </c>
      <c r="AN5132">
        <v>0.99999997785408101</v>
      </c>
    </row>
    <row r="5133" spans="1:40" x14ac:dyDescent="0.25">
      <c r="A5133" t="str">
        <f>"20190303170355489"</f>
        <v>20190303170355489</v>
      </c>
      <c r="B5133" t="str">
        <f>"1551603835480726"</f>
        <v>1551603835480726</v>
      </c>
      <c r="C5133" t="s">
        <v>40</v>
      </c>
      <c r="D5133">
        <v>4.0247960000000003</v>
      </c>
      <c r="E5133">
        <v>0.49057440000000002</v>
      </c>
      <c r="F5133" t="s">
        <v>48</v>
      </c>
      <c r="G5133">
        <v>0</v>
      </c>
      <c r="H5133">
        <v>0</v>
      </c>
      <c r="I5133">
        <v>0</v>
      </c>
      <c r="J5133">
        <v>-274.3716</v>
      </c>
      <c r="K5133">
        <v>1.121597</v>
      </c>
      <c r="L5133">
        <v>141.6848</v>
      </c>
      <c r="M5133">
        <v>-0.99996719999999895</v>
      </c>
      <c r="N5133">
        <v>-7.23019099999999E-3</v>
      </c>
      <c r="O5133">
        <v>-3.6638780000000002E-3</v>
      </c>
      <c r="P5133">
        <v>-0.98167300000000002</v>
      </c>
      <c r="Q5133">
        <v>0.1870357</v>
      </c>
      <c r="R5133">
        <v>3.6543449999999998E-2</v>
      </c>
      <c r="S5133">
        <v>-3.052063</v>
      </c>
      <c r="T5133">
        <v>1.73192E-2</v>
      </c>
      <c r="U5133">
        <v>4.9896239999999998E-3</v>
      </c>
      <c r="V5133">
        <v>3.9651440000000003E-2</v>
      </c>
      <c r="W5133">
        <v>0.19422780000000001</v>
      </c>
      <c r="X5133">
        <v>0.98015479999999999</v>
      </c>
      <c r="Y5133">
        <v>5.2985109999999997E-3</v>
      </c>
      <c r="Z5133" s="1">
        <v>-4.3159669999999997E-5</v>
      </c>
      <c r="AA5133">
        <v>0.99998589999999998</v>
      </c>
      <c r="AB5133">
        <v>41</v>
      </c>
      <c r="AC5133">
        <v>-3.052063</v>
      </c>
      <c r="AD5133">
        <v>1.73192E-2</v>
      </c>
      <c r="AE5133">
        <v>4.9896239999999998E-3</v>
      </c>
      <c r="AF5133">
        <v>1.6171747975345801E-2</v>
      </c>
      <c r="AG5133">
        <v>1.73192E-2</v>
      </c>
      <c r="AH5133">
        <v>3.05192595691343</v>
      </c>
      <c r="AI5133">
        <v>89.674863513654103</v>
      </c>
      <c r="AJ5133">
        <v>89.696400159288402</v>
      </c>
      <c r="AK5133">
        <v>3.0520179433619199</v>
      </c>
      <c r="AL5133">
        <v>78.800383251055493</v>
      </c>
      <c r="AM5133">
        <v>87.683404658603607</v>
      </c>
      <c r="AN5133">
        <v>1.00000005347497</v>
      </c>
    </row>
    <row r="5134" spans="1:40" x14ac:dyDescent="0.25">
      <c r="A5134" t="str">
        <f>"20190303170355511"</f>
        <v>20190303170355511</v>
      </c>
      <c r="B5134" t="str">
        <f>"1551603835500246"</f>
        <v>1551603835500246</v>
      </c>
      <c r="C5134" t="s">
        <v>40</v>
      </c>
      <c r="D5134">
        <v>4.0194169999999998</v>
      </c>
      <c r="E5134">
        <v>0.48997390000000002</v>
      </c>
      <c r="F5134" t="s">
        <v>48</v>
      </c>
      <c r="G5134">
        <v>0</v>
      </c>
      <c r="H5134">
        <v>0</v>
      </c>
      <c r="I5134">
        <v>0</v>
      </c>
      <c r="J5134">
        <v>-274.76979999999998</v>
      </c>
      <c r="K5134">
        <v>1.1215980000000001</v>
      </c>
      <c r="L5134">
        <v>141.68260000000001</v>
      </c>
      <c r="M5134">
        <v>-0.9999633</v>
      </c>
      <c r="N5134">
        <v>-7.2226879999999997E-3</v>
      </c>
      <c r="O5134">
        <v>-4.6143390000000003E-3</v>
      </c>
      <c r="P5134">
        <v>-0.98190759999999999</v>
      </c>
      <c r="Q5134">
        <v>0.18592020000000001</v>
      </c>
      <c r="R5134">
        <v>3.5929910000000002E-2</v>
      </c>
      <c r="S5134">
        <v>-3.0523989999999999</v>
      </c>
      <c r="T5134">
        <v>1.940072E-2</v>
      </c>
      <c r="U5134">
        <v>-2.212524E-3</v>
      </c>
      <c r="V5134">
        <v>3.9972609999999999E-2</v>
      </c>
      <c r="W5134">
        <v>0.1931078</v>
      </c>
      <c r="X5134">
        <v>0.98036299999999998</v>
      </c>
      <c r="Y5134">
        <v>3.8892039999999998E-3</v>
      </c>
      <c r="Z5134" s="1">
        <v>-6.0969720000000001E-5</v>
      </c>
      <c r="AA5134">
        <v>0.9999924</v>
      </c>
      <c r="AB5134">
        <v>41</v>
      </c>
      <c r="AC5134">
        <v>-3.0523989999999999</v>
      </c>
      <c r="AD5134">
        <v>1.940072E-2</v>
      </c>
      <c r="AE5134">
        <v>-2.212524E-3</v>
      </c>
      <c r="AF5134">
        <v>1.1872190669713199E-2</v>
      </c>
      <c r="AG5134">
        <v>1.940072E-2</v>
      </c>
      <c r="AH5134">
        <v>3.05225340876079</v>
      </c>
      <c r="AI5134">
        <v>89.635824471631906</v>
      </c>
      <c r="AJ5134">
        <v>89.777140722797</v>
      </c>
      <c r="AK5134">
        <v>3.0523381542908501</v>
      </c>
      <c r="AL5134">
        <v>78.865792558380605</v>
      </c>
      <c r="AM5134">
        <v>87.665156725229707</v>
      </c>
      <c r="AN5134">
        <v>1.00000002187002</v>
      </c>
    </row>
    <row r="5135" spans="1:40" x14ac:dyDescent="0.25">
      <c r="A5135" t="str">
        <f>"20190303170355534"</f>
        <v>20190303170355534</v>
      </c>
      <c r="B5135" t="str">
        <f>"1551603835520274"</f>
        <v>1551603835520274</v>
      </c>
      <c r="C5135" t="s">
        <v>40</v>
      </c>
      <c r="D5135">
        <v>3.8946160000000001</v>
      </c>
      <c r="E5135">
        <v>0.48951709999999898</v>
      </c>
      <c r="F5135" t="s">
        <v>48</v>
      </c>
      <c r="G5135">
        <v>0</v>
      </c>
      <c r="H5135">
        <v>0</v>
      </c>
      <c r="I5135">
        <v>0</v>
      </c>
      <c r="J5135">
        <v>-275.1891</v>
      </c>
      <c r="K5135">
        <v>1.1215919999999999</v>
      </c>
      <c r="L5135">
        <v>141.68</v>
      </c>
      <c r="M5135">
        <v>-0.99995829999999997</v>
      </c>
      <c r="N5135">
        <v>-7.2180650000000001E-3</v>
      </c>
      <c r="O5135">
        <v>-5.6138129999999996E-3</v>
      </c>
      <c r="P5135">
        <v>-0.98203419999999997</v>
      </c>
      <c r="Q5135">
        <v>0.18540039999999999</v>
      </c>
      <c r="R5135">
        <v>3.5153280000000002E-2</v>
      </c>
      <c r="S5135">
        <v>-3.052673</v>
      </c>
      <c r="T5135">
        <v>1.528084E-2</v>
      </c>
      <c r="U5135">
        <v>-8.8653559999999996E-3</v>
      </c>
      <c r="V5135">
        <v>4.017714E-2</v>
      </c>
      <c r="W5135">
        <v>0.1925848</v>
      </c>
      <c r="X5135">
        <v>0.98045749999999998</v>
      </c>
      <c r="Y5135">
        <v>2.7094599999999999E-3</v>
      </c>
      <c r="Z5135" s="1">
        <v>-6.5624419999999996E-5</v>
      </c>
      <c r="AA5135">
        <v>0.99999629999999995</v>
      </c>
      <c r="AB5135">
        <v>41</v>
      </c>
      <c r="AC5135">
        <v>-3.052673</v>
      </c>
      <c r="AD5135">
        <v>1.528084E-2</v>
      </c>
      <c r="AE5135">
        <v>-8.8653559999999996E-3</v>
      </c>
      <c r="AF5135">
        <v>8.2721563833368008E-3</v>
      </c>
      <c r="AG5135">
        <v>1.528084E-2</v>
      </c>
      <c r="AH5135">
        <v>3.0525981753753202</v>
      </c>
      <c r="AI5135">
        <v>89.713189531833905</v>
      </c>
      <c r="AJ5135">
        <v>89.844736037679397</v>
      </c>
      <c r="AK5135">
        <v>3.0526476300004002</v>
      </c>
      <c r="AL5135">
        <v>78.896331348012396</v>
      </c>
      <c r="AM5135">
        <v>87.653449168357</v>
      </c>
      <c r="AN5135">
        <v>1.0000000085379299</v>
      </c>
    </row>
    <row r="5136" spans="1:40" x14ac:dyDescent="0.25">
      <c r="A5136" t="str">
        <f>"20190303170355557"</f>
        <v>20190303170355557</v>
      </c>
      <c r="B5136" t="str">
        <f>"1551603835550530"</f>
        <v>1551603835550530</v>
      </c>
      <c r="C5136" t="s">
        <v>40</v>
      </c>
      <c r="D5136">
        <v>3.963651</v>
      </c>
      <c r="E5136">
        <v>0.48893999999999999</v>
      </c>
      <c r="F5136" t="s">
        <v>48</v>
      </c>
      <c r="G5136">
        <v>0</v>
      </c>
      <c r="H5136">
        <v>0</v>
      </c>
      <c r="I5136">
        <v>0</v>
      </c>
      <c r="J5136">
        <v>-275.60610000000003</v>
      </c>
      <c r="K5136">
        <v>1.1215869999999999</v>
      </c>
      <c r="L5136">
        <v>141.67679999999999</v>
      </c>
      <c r="M5136">
        <v>-0.99995230000000002</v>
      </c>
      <c r="N5136">
        <v>-7.2165859999999997E-3</v>
      </c>
      <c r="O5136">
        <v>-6.6074580000000001E-3</v>
      </c>
      <c r="P5136">
        <v>-0.98224069999999997</v>
      </c>
      <c r="Q5136">
        <v>0.1845184</v>
      </c>
      <c r="R5136">
        <v>3.4011420000000001E-2</v>
      </c>
      <c r="S5136">
        <v>-3.0529790000000001</v>
      </c>
      <c r="T5136">
        <v>1.2933729999999999E-2</v>
      </c>
      <c r="U5136">
        <v>-1.4633180000000001E-2</v>
      </c>
      <c r="V5136">
        <v>4.0012430000000002E-2</v>
      </c>
      <c r="W5136">
        <v>0.19170319999999999</v>
      </c>
      <c r="X5136">
        <v>0.98063699999999998</v>
      </c>
      <c r="Y5136">
        <v>1.814209E-3</v>
      </c>
      <c r="Z5136" s="1">
        <v>-7.2971519999999904E-5</v>
      </c>
      <c r="AA5136">
        <v>0.99999830000000001</v>
      </c>
      <c r="AB5136">
        <v>41</v>
      </c>
      <c r="AC5136">
        <v>-3.0529790000000001</v>
      </c>
      <c r="AD5136">
        <v>1.2933729999999999E-2</v>
      </c>
      <c r="AE5136">
        <v>-1.4633180000000001E-2</v>
      </c>
      <c r="AF5136">
        <v>5.5399924161363204E-3</v>
      </c>
      <c r="AG5136">
        <v>1.2933729999999999E-2</v>
      </c>
      <c r="AH5136">
        <v>3.0529542510730199</v>
      </c>
      <c r="AI5136">
        <v>89.757270359119801</v>
      </c>
      <c r="AJ5136">
        <v>89.896029285253704</v>
      </c>
      <c r="AK5136">
        <v>3.0529866740673</v>
      </c>
      <c r="AL5136">
        <v>78.947802494387304</v>
      </c>
      <c r="AM5136">
        <v>87.663485678438093</v>
      </c>
      <c r="AN5136">
        <v>1.00000001860687</v>
      </c>
    </row>
    <row r="5137" spans="1:40" x14ac:dyDescent="0.25">
      <c r="A5137" t="str">
        <f>"20190303170355578"</f>
        <v>20190303170355578</v>
      </c>
      <c r="B5137" t="str">
        <f>"1551603835571027"</f>
        <v>1551603835571027</v>
      </c>
      <c r="C5137" t="s">
        <v>40</v>
      </c>
      <c r="D5137">
        <v>3.9989330000000001</v>
      </c>
      <c r="E5137">
        <v>0.48849310000000001</v>
      </c>
      <c r="F5137" t="s">
        <v>48</v>
      </c>
      <c r="G5137">
        <v>0</v>
      </c>
      <c r="H5137">
        <v>0</v>
      </c>
      <c r="I5137">
        <v>0</v>
      </c>
      <c r="J5137">
        <v>-276.00619999999998</v>
      </c>
      <c r="K5137">
        <v>1.1215850000000001</v>
      </c>
      <c r="L5137">
        <v>141.67349999999999</v>
      </c>
      <c r="M5137">
        <v>-0.99994550000000004</v>
      </c>
      <c r="N5137">
        <v>-7.2178880000000004E-3</v>
      </c>
      <c r="O5137">
        <v>-7.5601059999999996E-3</v>
      </c>
      <c r="P5137">
        <v>-0.98238219999999998</v>
      </c>
      <c r="Q5137">
        <v>0.18402160000000001</v>
      </c>
      <c r="R5137">
        <v>3.257873E-2</v>
      </c>
      <c r="S5137">
        <v>-3.053375</v>
      </c>
      <c r="T5137">
        <v>8.8031289999999998E-3</v>
      </c>
      <c r="U5137">
        <v>-2.2583010000000001E-2</v>
      </c>
      <c r="V5137">
        <v>3.9515710000000002E-2</v>
      </c>
      <c r="W5137">
        <v>0.1912075</v>
      </c>
      <c r="X5137">
        <v>0.98075389999999996</v>
      </c>
      <c r="Y5137">
        <v>1.6404389999999901E-4</v>
      </c>
      <c r="Z5137" s="1">
        <v>-7.6008500000000002E-5</v>
      </c>
      <c r="AA5137">
        <v>1</v>
      </c>
      <c r="AB5137">
        <v>41</v>
      </c>
      <c r="AC5137">
        <v>-3.053375</v>
      </c>
      <c r="AD5137">
        <v>8.8031289999999998E-3</v>
      </c>
      <c r="AE5137">
        <v>-2.2583010000000001E-2</v>
      </c>
      <c r="AF5137">
        <v>5.0206827309709099E-4</v>
      </c>
      <c r="AG5137">
        <v>8.8031289999999998E-3</v>
      </c>
      <c r="AH5137">
        <v>3.0534330912376402</v>
      </c>
      <c r="AI5137">
        <v>89.834815200176706</v>
      </c>
      <c r="AJ5137">
        <v>89.990579000110003</v>
      </c>
      <c r="AK5137">
        <v>3.0534458223157901</v>
      </c>
      <c r="AL5137">
        <v>78.976739162701804</v>
      </c>
      <c r="AM5137">
        <v>87.6927346957482</v>
      </c>
      <c r="AN5137">
        <v>1.0000000058791301</v>
      </c>
    </row>
    <row r="5138" spans="1:40" x14ac:dyDescent="0.25">
      <c r="A5138" t="str">
        <f>"20190303170355601"</f>
        <v>20190303170355601</v>
      </c>
      <c r="B5138" t="str">
        <f>"1551603835590547"</f>
        <v>1551603835590547</v>
      </c>
      <c r="C5138" t="s">
        <v>40</v>
      </c>
      <c r="D5138">
        <v>3.947047</v>
      </c>
      <c r="E5138">
        <v>0.4881585</v>
      </c>
      <c r="F5138" t="s">
        <v>48</v>
      </c>
      <c r="G5138">
        <v>0</v>
      </c>
      <c r="H5138">
        <v>0</v>
      </c>
      <c r="I5138">
        <v>0</v>
      </c>
      <c r="J5138">
        <v>-276.41030000000001</v>
      </c>
      <c r="K5138">
        <v>1.121578</v>
      </c>
      <c r="L5138">
        <v>141.66970000000001</v>
      </c>
      <c r="M5138">
        <v>-0.99993779999999999</v>
      </c>
      <c r="N5138">
        <v>-7.2214610000000002E-3</v>
      </c>
      <c r="O5138">
        <v>-8.5219419999999994E-3</v>
      </c>
      <c r="P5138">
        <v>-0.98248360000000001</v>
      </c>
      <c r="Q5138">
        <v>0.18365570000000001</v>
      </c>
      <c r="R5138">
        <v>3.1575060000000002E-2</v>
      </c>
      <c r="S5138">
        <v>-3.0534669999999999</v>
      </c>
      <c r="T5138">
        <v>6.9344039999999999E-3</v>
      </c>
      <c r="U5138">
        <v>-3.048706E-2</v>
      </c>
      <c r="V5138">
        <v>3.9456610000000003E-2</v>
      </c>
      <c r="W5138">
        <v>0.19084570000000001</v>
      </c>
      <c r="X5138">
        <v>0.98082670000000005</v>
      </c>
      <c r="Y5138">
        <v>-1.4622029999999901E-3</v>
      </c>
      <c r="Z5138" s="1">
        <v>-8.4512919999999895E-5</v>
      </c>
      <c r="AA5138">
        <v>0.99999890000000002</v>
      </c>
      <c r="AB5138">
        <v>41</v>
      </c>
      <c r="AC5138">
        <v>-3.0534669999999999</v>
      </c>
      <c r="AD5138">
        <v>6.9344039999999999E-3</v>
      </c>
      <c r="AE5138">
        <v>-3.048706E-2</v>
      </c>
      <c r="AF5138">
        <v>-4.4637875657729002E-3</v>
      </c>
      <c r="AG5138">
        <v>6.9344039999999999E-3</v>
      </c>
      <c r="AH5138">
        <v>3.0536001841012599</v>
      </c>
      <c r="AI5138">
        <v>89.869887689543901</v>
      </c>
      <c r="AJ5138">
        <v>90.083755564110504</v>
      </c>
      <c r="AK5138">
        <v>3.05361132033884</v>
      </c>
      <c r="AL5138">
        <v>78.997857169018502</v>
      </c>
      <c r="AM5138">
        <v>87.696352550806097</v>
      </c>
      <c r="AN5138">
        <v>0.99999996035703498</v>
      </c>
    </row>
    <row r="5139" spans="1:40" x14ac:dyDescent="0.25">
      <c r="A5139" t="str">
        <f>"20190303170355623"</f>
        <v>20190303170355623</v>
      </c>
      <c r="B5139" t="str">
        <f>"1551603835611043"</f>
        <v>1551603835611043</v>
      </c>
      <c r="C5139" t="s">
        <v>40</v>
      </c>
      <c r="D5139">
        <v>4.0245300000000004</v>
      </c>
      <c r="E5139">
        <v>0.48794539999999997</v>
      </c>
      <c r="F5139" t="s">
        <v>48</v>
      </c>
      <c r="G5139">
        <v>0</v>
      </c>
      <c r="H5139">
        <v>0</v>
      </c>
      <c r="I5139">
        <v>0</v>
      </c>
      <c r="J5139">
        <v>-276.82560000000001</v>
      </c>
      <c r="K5139">
        <v>1.121575</v>
      </c>
      <c r="L5139">
        <v>141.66540000000001</v>
      </c>
      <c r="M5139">
        <v>-0.9999287</v>
      </c>
      <c r="N5139">
        <v>-7.2295850000000002E-3</v>
      </c>
      <c r="O5139">
        <v>-9.5094340000000006E-3</v>
      </c>
      <c r="P5139">
        <v>-0.98269759999999995</v>
      </c>
      <c r="Q5139">
        <v>0.1826979</v>
      </c>
      <c r="R5139">
        <v>3.04502E-2</v>
      </c>
      <c r="S5139">
        <v>-3.0534970000000001</v>
      </c>
      <c r="T5139">
        <v>6.2992569999999999E-3</v>
      </c>
      <c r="U5139">
        <v>-3.6697390000000003E-2</v>
      </c>
      <c r="V5139">
        <v>3.930413E-2</v>
      </c>
      <c r="W5139">
        <v>0.18989729999999999</v>
      </c>
      <c r="X5139">
        <v>0.98101689999999997</v>
      </c>
      <c r="Y5139">
        <v>-2.5081669999999999E-3</v>
      </c>
      <c r="Z5139" s="1">
        <v>-9.4845390000000004E-5</v>
      </c>
      <c r="AA5139">
        <v>0.99999680000000002</v>
      </c>
      <c r="AB5139">
        <v>41</v>
      </c>
      <c r="AC5139">
        <v>-3.0534970000000001</v>
      </c>
      <c r="AD5139">
        <v>6.2992569999999999E-3</v>
      </c>
      <c r="AE5139">
        <v>-3.6697390000000003E-2</v>
      </c>
      <c r="AF5139">
        <v>-7.6579124425560302E-3</v>
      </c>
      <c r="AG5139">
        <v>6.2992569999999999E-3</v>
      </c>
      <c r="AH5139">
        <v>3.05369491322362</v>
      </c>
      <c r="AI5139">
        <v>89.881809020346395</v>
      </c>
      <c r="AJ5139">
        <v>90.143683359188302</v>
      </c>
      <c r="AK5139">
        <v>3.0537110124092601</v>
      </c>
      <c r="AL5139">
        <v>79.053208956428406</v>
      </c>
      <c r="AM5139">
        <v>87.705689889330003</v>
      </c>
      <c r="AN5139">
        <v>0.99999997863397805</v>
      </c>
    </row>
    <row r="5140" spans="1:40" x14ac:dyDescent="0.25">
      <c r="A5140" t="str">
        <f>"20190303170355648"</f>
        <v>20190303170355648</v>
      </c>
      <c r="B5140" t="str">
        <f>"1551603835640322"</f>
        <v>1551603835640322</v>
      </c>
      <c r="C5140" t="s">
        <v>40</v>
      </c>
      <c r="D5140">
        <v>4.0385580000000001</v>
      </c>
      <c r="E5140">
        <v>0.48858610000000002</v>
      </c>
      <c r="F5140" t="s">
        <v>48</v>
      </c>
      <c r="G5140">
        <v>0</v>
      </c>
      <c r="H5140">
        <v>0</v>
      </c>
      <c r="I5140">
        <v>0</v>
      </c>
      <c r="J5140">
        <v>-277.27350000000001</v>
      </c>
      <c r="K5140">
        <v>1.121578</v>
      </c>
      <c r="L5140">
        <v>141.66030000000001</v>
      </c>
      <c r="M5140">
        <v>-0.99991799999999997</v>
      </c>
      <c r="N5140">
        <v>-7.248305E-3</v>
      </c>
      <c r="O5140">
        <v>-1.0567999999999999E-2</v>
      </c>
      <c r="P5140">
        <v>-0.98297239999999997</v>
      </c>
      <c r="Q5140">
        <v>0.18148890000000001</v>
      </c>
      <c r="R5140">
        <v>2.8768439999999999E-2</v>
      </c>
      <c r="S5140">
        <v>-3.0534059999999998</v>
      </c>
      <c r="T5140">
        <v>4.1332239999999996E-3</v>
      </c>
      <c r="U5140">
        <v>-4.2480469999999999E-2</v>
      </c>
      <c r="V5140">
        <v>3.8667279999999998E-2</v>
      </c>
      <c r="W5140">
        <v>0.18870709999999999</v>
      </c>
      <c r="X5140">
        <v>0.98127189999999997</v>
      </c>
      <c r="Y5140">
        <v>-3.343515E-3</v>
      </c>
      <c r="Z5140">
        <v>-1.007591E-4</v>
      </c>
      <c r="AA5140">
        <v>0.99999439999999995</v>
      </c>
      <c r="AB5140">
        <v>41</v>
      </c>
      <c r="AC5140">
        <v>-3.0534059999999998</v>
      </c>
      <c r="AD5140">
        <v>4.1332239999999996E-3</v>
      </c>
      <c r="AE5140">
        <v>-4.2480469999999999E-2</v>
      </c>
      <c r="AF5140">
        <v>-1.0208840310424299E-2</v>
      </c>
      <c r="AG5140">
        <v>4.1332239999999996E-3</v>
      </c>
      <c r="AH5140">
        <v>3.05367883114114</v>
      </c>
      <c r="AI5140">
        <v>89.922449335348006</v>
      </c>
      <c r="AJ5140">
        <v>90.191546431938406</v>
      </c>
      <c r="AK5140">
        <v>3.05369869301486</v>
      </c>
      <c r="AL5140">
        <v>79.122658738163693</v>
      </c>
      <c r="AM5140">
        <v>87.743412089329794</v>
      </c>
      <c r="AN5140">
        <v>1.0000000349313001</v>
      </c>
    </row>
    <row r="5141" spans="1:40" x14ac:dyDescent="0.25">
      <c r="A5141" t="str">
        <f>"20190303170355670"</f>
        <v>20190303170355670</v>
      </c>
      <c r="B5141" t="str">
        <f>"1551603835660818"</f>
        <v>1551603835660818</v>
      </c>
      <c r="C5141" t="s">
        <v>40</v>
      </c>
      <c r="D5141">
        <v>4.0421180000000003</v>
      </c>
      <c r="E5141">
        <v>0.48894599999999999</v>
      </c>
      <c r="F5141" t="s">
        <v>48</v>
      </c>
      <c r="G5141">
        <v>0</v>
      </c>
      <c r="H5141">
        <v>0</v>
      </c>
      <c r="I5141">
        <v>0</v>
      </c>
      <c r="J5141">
        <v>-277.67959999999999</v>
      </c>
      <c r="K5141">
        <v>1.121577</v>
      </c>
      <c r="L5141">
        <v>141.65530000000001</v>
      </c>
      <c r="M5141">
        <v>-0.99990730000000005</v>
      </c>
      <c r="N5141">
        <v>-7.2737890000000001E-3</v>
      </c>
      <c r="O5141">
        <v>-1.1504779999999999E-2</v>
      </c>
      <c r="P5141">
        <v>-0.98296930000000005</v>
      </c>
      <c r="Q5141">
        <v>0.18183179999999999</v>
      </c>
      <c r="R5141">
        <v>2.6618510000000001E-2</v>
      </c>
      <c r="S5141">
        <v>-3.0531619999999999</v>
      </c>
      <c r="T5141" s="1">
        <v>4.947186E-5</v>
      </c>
      <c r="U5141">
        <v>-4.2160030000000001E-2</v>
      </c>
      <c r="V5141">
        <v>3.744012E-2</v>
      </c>
      <c r="W5141">
        <v>0.18907089999999999</v>
      </c>
      <c r="X5141">
        <v>0.9812495</v>
      </c>
      <c r="Y5141">
        <v>-2.302737E-3</v>
      </c>
      <c r="Z5141" s="1">
        <v>-9.2226579999999994E-5</v>
      </c>
      <c r="AA5141">
        <v>0.99999729999999998</v>
      </c>
      <c r="AB5141">
        <v>41</v>
      </c>
      <c r="AC5141">
        <v>-3.0531619999999999</v>
      </c>
      <c r="AD5141" s="1">
        <v>4.947186E-5</v>
      </c>
      <c r="AE5141">
        <v>-4.2160030000000001E-2</v>
      </c>
      <c r="AF5141">
        <v>-7.0303510663190499E-3</v>
      </c>
      <c r="AG5141" s="1">
        <v>4.947186E-5</v>
      </c>
      <c r="AH5141">
        <v>3.0534449783224402</v>
      </c>
      <c r="AI5141">
        <v>89.9990716972831</v>
      </c>
      <c r="AJ5141">
        <v>90.131919433841702</v>
      </c>
      <c r="AK5141">
        <v>3.0534530721670001</v>
      </c>
      <c r="AL5141">
        <v>79.1014328644643</v>
      </c>
      <c r="AM5141">
        <v>87.814907665599407</v>
      </c>
      <c r="AN5141">
        <v>1.00000007453133</v>
      </c>
    </row>
    <row r="5142" spans="1:40" x14ac:dyDescent="0.25">
      <c r="A5142" t="str">
        <f>"20190303170355691"</f>
        <v>20190303170355691</v>
      </c>
      <c r="B5142" t="str">
        <f>"1551603835680338"</f>
        <v>1551603835680338</v>
      </c>
      <c r="C5142" t="s">
        <v>40</v>
      </c>
      <c r="D5142">
        <v>4.0155599999999998</v>
      </c>
      <c r="E5142">
        <v>0.48927720000000002</v>
      </c>
      <c r="F5142" t="s">
        <v>48</v>
      </c>
      <c r="G5142">
        <v>0</v>
      </c>
      <c r="H5142">
        <v>0</v>
      </c>
      <c r="I5142">
        <v>0</v>
      </c>
      <c r="J5142">
        <v>-278.07560000000001</v>
      </c>
      <c r="K5142">
        <v>1.1215569999999999</v>
      </c>
      <c r="L5142">
        <v>141.65020000000001</v>
      </c>
      <c r="M5142">
        <v>-0.99989689999999998</v>
      </c>
      <c r="N5142">
        <v>-7.306496E-3</v>
      </c>
      <c r="O5142">
        <v>-1.2367349999999999E-2</v>
      </c>
      <c r="P5142">
        <v>-0.98291949999999995</v>
      </c>
      <c r="Q5142">
        <v>0.18226390000000001</v>
      </c>
      <c r="R5142">
        <v>2.5485170000000001E-2</v>
      </c>
      <c r="S5142">
        <v>-3.0530400000000002</v>
      </c>
      <c r="T5142">
        <v>4.8542019999999998E-4</v>
      </c>
      <c r="U5142">
        <v>-4.4998169999999997E-2</v>
      </c>
      <c r="V5142">
        <v>3.7164320000000001E-2</v>
      </c>
      <c r="W5142">
        <v>0.18953159999999999</v>
      </c>
      <c r="X5142">
        <v>0.98117100000000002</v>
      </c>
      <c r="Y5142">
        <v>-2.3700959999999999E-3</v>
      </c>
      <c r="Z5142">
        <v>-1.007989E-4</v>
      </c>
      <c r="AA5142">
        <v>0.99999720000000003</v>
      </c>
      <c r="AB5142">
        <v>41</v>
      </c>
      <c r="AC5142">
        <v>-3.0530400000000002</v>
      </c>
      <c r="AD5142">
        <v>4.8542019999999998E-4</v>
      </c>
      <c r="AE5142">
        <v>-4.4998169999999997E-2</v>
      </c>
      <c r="AF5142">
        <v>-7.23570887178775E-3</v>
      </c>
      <c r="AG5142">
        <v>4.8542019999999998E-4</v>
      </c>
      <c r="AH5142">
        <v>3.0533629411118</v>
      </c>
      <c r="AI5142">
        <v>89.990891207183907</v>
      </c>
      <c r="AJ5142">
        <v>90.1357764576601</v>
      </c>
      <c r="AK5142">
        <v>3.05337155309841</v>
      </c>
      <c r="AL5142">
        <v>79.074549518086997</v>
      </c>
      <c r="AM5142">
        <v>87.830815193802593</v>
      </c>
      <c r="AN5142">
        <v>0.99999997266031004</v>
      </c>
    </row>
    <row r="5143" spans="1:40" x14ac:dyDescent="0.25">
      <c r="A5143" t="str">
        <f>"20190303170355713"</f>
        <v>20190303170355713</v>
      </c>
      <c r="B5143" t="str">
        <f>"1551603835700835"</f>
        <v>1551603835700835</v>
      </c>
      <c r="C5143" t="s">
        <v>40</v>
      </c>
      <c r="D5143">
        <v>4.0669329999999997</v>
      </c>
      <c r="E5143">
        <v>0.48964079999999899</v>
      </c>
      <c r="F5143" t="s">
        <v>48</v>
      </c>
      <c r="G5143">
        <v>0</v>
      </c>
      <c r="H5143">
        <v>0</v>
      </c>
      <c r="I5143">
        <v>0</v>
      </c>
      <c r="J5143">
        <v>-278.4864</v>
      </c>
      <c r="K5143">
        <v>1.1215109999999999</v>
      </c>
      <c r="L5143">
        <v>141.64449999999999</v>
      </c>
      <c r="M5143">
        <v>-0.99988619999999995</v>
      </c>
      <c r="N5143">
        <v>-7.3513719999999897E-3</v>
      </c>
      <c r="O5143">
        <v>-1.3178749999999999E-2</v>
      </c>
      <c r="P5143">
        <v>-0.98292789999999997</v>
      </c>
      <c r="Q5143">
        <v>0.18230840000000001</v>
      </c>
      <c r="R5143">
        <v>2.4832099999999999E-2</v>
      </c>
      <c r="S5143">
        <v>-3.0529790000000001</v>
      </c>
      <c r="T5143">
        <v>1.8128160000000001E-3</v>
      </c>
      <c r="U5143">
        <v>-4.5822139999999997E-2</v>
      </c>
      <c r="V5143">
        <v>3.7332270000000001E-2</v>
      </c>
      <c r="W5143">
        <v>0.1896159</v>
      </c>
      <c r="X5143">
        <v>0.98114840000000003</v>
      </c>
      <c r="Y5143">
        <v>-1.828798E-3</v>
      </c>
      <c r="Z5143">
        <v>-1.108863E-4</v>
      </c>
      <c r="AA5143">
        <v>0.99999830000000001</v>
      </c>
      <c r="AB5143">
        <v>42</v>
      </c>
      <c r="AC5143">
        <v>-3.0529790000000001</v>
      </c>
      <c r="AD5143">
        <v>1.8128160000000001E-3</v>
      </c>
      <c r="AE5143">
        <v>-4.5822139999999997E-2</v>
      </c>
      <c r="AF5143">
        <v>-5.5826269514147103E-3</v>
      </c>
      <c r="AG5143">
        <v>1.8128160000000001E-3</v>
      </c>
      <c r="AH5143">
        <v>3.05331667283812</v>
      </c>
      <c r="AI5143">
        <v>89.965982395163294</v>
      </c>
      <c r="AJ5143">
        <v>90.104758412164998</v>
      </c>
      <c r="AK5143">
        <v>3.0533223145709298</v>
      </c>
      <c r="AL5143">
        <v>79.069630974538299</v>
      </c>
      <c r="AM5143">
        <v>87.820971673881104</v>
      </c>
      <c r="AN5143">
        <v>1.0000000353693601</v>
      </c>
    </row>
    <row r="5144" spans="1:40" x14ac:dyDescent="0.25">
      <c r="A5144" t="str">
        <f>"20190303170355736"</f>
        <v>20190303170355736</v>
      </c>
      <c r="B5144" t="str">
        <f>"1551603835731091"</f>
        <v>1551603835731091</v>
      </c>
      <c r="C5144" t="s">
        <v>40</v>
      </c>
      <c r="D5144">
        <v>4.0765609999999999</v>
      </c>
      <c r="E5144">
        <v>0.49009469999999999</v>
      </c>
      <c r="F5144" t="s">
        <v>48</v>
      </c>
      <c r="G5144">
        <v>0</v>
      </c>
      <c r="H5144">
        <v>0</v>
      </c>
      <c r="I5144">
        <v>0</v>
      </c>
      <c r="J5144">
        <v>-278.92239999999998</v>
      </c>
      <c r="K5144">
        <v>1.1214360000000001</v>
      </c>
      <c r="L5144">
        <v>141.63820000000001</v>
      </c>
      <c r="M5144">
        <v>-0.99987579999999998</v>
      </c>
      <c r="N5144">
        <v>-7.4125110000000001E-3</v>
      </c>
      <c r="O5144">
        <v>-1.391067E-2</v>
      </c>
      <c r="P5144">
        <v>-0.98303969999999896</v>
      </c>
      <c r="Q5144">
        <v>0.1818457</v>
      </c>
      <c r="R5144">
        <v>2.377572E-2</v>
      </c>
      <c r="S5144">
        <v>-3.0528870000000001</v>
      </c>
      <c r="T5144">
        <v>1.626492E-3</v>
      </c>
      <c r="U5144">
        <v>-4.4555659999999997E-2</v>
      </c>
      <c r="V5144">
        <v>3.7037899999999999E-2</v>
      </c>
      <c r="W5144">
        <v>0.18920529999999999</v>
      </c>
      <c r="X5144">
        <v>0.98123879999999997</v>
      </c>
      <c r="Y5144">
        <v>-6.8250500000000003E-4</v>
      </c>
      <c r="Z5144">
        <v>-1.1287229999999999E-4</v>
      </c>
      <c r="AA5144">
        <v>0.99999979999999999</v>
      </c>
      <c r="AB5144">
        <v>42</v>
      </c>
      <c r="AC5144">
        <v>-3.0528870000000001</v>
      </c>
      <c r="AD5144">
        <v>1.626492E-3</v>
      </c>
      <c r="AE5144">
        <v>-4.4555659999999997E-2</v>
      </c>
      <c r="AF5144">
        <v>-2.0824791335338202E-3</v>
      </c>
      <c r="AG5144">
        <v>1.626492E-3</v>
      </c>
      <c r="AH5144">
        <v>3.0532105420257998</v>
      </c>
      <c r="AI5144">
        <v>89.969477671049205</v>
      </c>
      <c r="AJ5144">
        <v>90.039079272500402</v>
      </c>
      <c r="AK5144">
        <v>3.0532116854442002</v>
      </c>
      <c r="AL5144">
        <v>79.093590132323101</v>
      </c>
      <c r="AM5144">
        <v>87.838336219435405</v>
      </c>
      <c r="AN5144">
        <v>1.0000000171049599</v>
      </c>
    </row>
    <row r="5145" spans="1:40" x14ac:dyDescent="0.25">
      <c r="A5145" t="str">
        <f>"20190303170355758"</f>
        <v>20190303170355758</v>
      </c>
      <c r="B5145" t="str">
        <f>"1551603835750611"</f>
        <v>1551603835750611</v>
      </c>
      <c r="C5145" t="s">
        <v>40</v>
      </c>
      <c r="D5145">
        <v>4.0420210000000001</v>
      </c>
      <c r="E5145">
        <v>0.4903863</v>
      </c>
      <c r="F5145" t="s">
        <v>48</v>
      </c>
      <c r="G5145">
        <v>0</v>
      </c>
      <c r="H5145">
        <v>0</v>
      </c>
      <c r="I5145">
        <v>0</v>
      </c>
      <c r="J5145">
        <v>-279.33730000000003</v>
      </c>
      <c r="K5145">
        <v>1.121324</v>
      </c>
      <c r="L5145">
        <v>141.63200000000001</v>
      </c>
      <c r="M5145">
        <v>-0.99986779999999997</v>
      </c>
      <c r="N5145">
        <v>-7.4844880000000001E-3</v>
      </c>
      <c r="O5145">
        <v>-1.4440740000000001E-2</v>
      </c>
      <c r="P5145">
        <v>-0.98307880000000003</v>
      </c>
      <c r="Q5145">
        <v>0.18173400000000001</v>
      </c>
      <c r="R5145">
        <v>2.3004219999999999E-2</v>
      </c>
      <c r="S5145">
        <v>-3.0529480000000002</v>
      </c>
      <c r="T5145">
        <v>-5.0938129999999896E-4</v>
      </c>
      <c r="U5145">
        <v>-4.3518069999999999E-2</v>
      </c>
      <c r="V5145">
        <v>3.6841110000000003E-2</v>
      </c>
      <c r="W5145">
        <v>0.1891533</v>
      </c>
      <c r="X5145">
        <v>0.98125620000000002</v>
      </c>
      <c r="Y5145">
        <v>1.877839E-4</v>
      </c>
      <c r="Z5145">
        <v>-1.049556E-4</v>
      </c>
      <c r="AA5145">
        <v>1</v>
      </c>
      <c r="AB5145">
        <v>42</v>
      </c>
      <c r="AC5145">
        <v>-3.0529480000000002</v>
      </c>
      <c r="AD5145">
        <v>-5.0938129999999896E-4</v>
      </c>
      <c r="AE5145">
        <v>-4.3518069999999999E-2</v>
      </c>
      <c r="AF5145">
        <v>5.7452741758240401E-4</v>
      </c>
      <c r="AG5145">
        <v>-5.0938129999999896E-4</v>
      </c>
      <c r="AH5145">
        <v>3.05325800811202</v>
      </c>
      <c r="AI5145">
        <v>90.009558772232097</v>
      </c>
      <c r="AJ5145">
        <v>89.989218731019093</v>
      </c>
      <c r="AK5145">
        <v>3.0532581046565999</v>
      </c>
      <c r="AL5145">
        <v>79.096623938560995</v>
      </c>
      <c r="AM5145">
        <v>87.849848867750197</v>
      </c>
      <c r="AN5145">
        <v>0.99999998416268099</v>
      </c>
    </row>
    <row r="5146" spans="1:40" x14ac:dyDescent="0.25">
      <c r="A5146" t="str">
        <f>"20190303170355779"</f>
        <v>20190303170355779</v>
      </c>
      <c r="B5146" t="str">
        <f>"1551603835771107"</f>
        <v>1551603835771107</v>
      </c>
      <c r="C5146" t="s">
        <v>40</v>
      </c>
      <c r="D5146">
        <v>4.0359049999999996</v>
      </c>
      <c r="E5146">
        <v>0.4906546</v>
      </c>
      <c r="F5146" t="s">
        <v>48</v>
      </c>
      <c r="G5146">
        <v>0</v>
      </c>
      <c r="H5146">
        <v>0</v>
      </c>
      <c r="I5146">
        <v>0</v>
      </c>
      <c r="J5146">
        <v>-279.733</v>
      </c>
      <c r="K5146">
        <v>1.121216</v>
      </c>
      <c r="L5146">
        <v>141.626</v>
      </c>
      <c r="M5146">
        <v>-0.99986180000000002</v>
      </c>
      <c r="N5146">
        <v>-7.5616049999999999E-3</v>
      </c>
      <c r="O5146">
        <v>-1.481382E-2</v>
      </c>
      <c r="P5146">
        <v>-0.98305699999999996</v>
      </c>
      <c r="Q5146">
        <v>0.18187249999999999</v>
      </c>
      <c r="R5146">
        <v>2.2837690000000001E-2</v>
      </c>
      <c r="S5146">
        <v>-3.0528870000000001</v>
      </c>
      <c r="T5146">
        <v>-1.5709400000000001E-3</v>
      </c>
      <c r="U5146">
        <v>-4.2404169999999998E-2</v>
      </c>
      <c r="V5146">
        <v>3.7095700000000002E-2</v>
      </c>
      <c r="W5146">
        <v>0.189357</v>
      </c>
      <c r="X5146">
        <v>0.9812073</v>
      </c>
      <c r="Y5146">
        <v>9.2544090000000001E-4</v>
      </c>
      <c r="Z5146">
        <v>-1.006592E-4</v>
      </c>
      <c r="AA5146">
        <v>0.99999959999999999</v>
      </c>
      <c r="AB5146">
        <v>42</v>
      </c>
      <c r="AC5146">
        <v>-3.0528870000000001</v>
      </c>
      <c r="AD5146">
        <v>-1.5709400000000001E-3</v>
      </c>
      <c r="AE5146">
        <v>-4.2404169999999998E-2</v>
      </c>
      <c r="AF5146">
        <v>2.8266884714747901E-3</v>
      </c>
      <c r="AG5146">
        <v>-1.5709400000000001E-3</v>
      </c>
      <c r="AH5146">
        <v>3.05317936298077</v>
      </c>
      <c r="AI5146">
        <v>90.029480149919095</v>
      </c>
      <c r="AJ5146">
        <v>89.946954550032601</v>
      </c>
      <c r="AK5146">
        <v>3.0531810756245399</v>
      </c>
      <c r="AL5146">
        <v>79.084737772597094</v>
      </c>
      <c r="AM5146">
        <v>87.834896574683896</v>
      </c>
      <c r="AN5146">
        <v>0.99999996499038901</v>
      </c>
    </row>
    <row r="5147" spans="1:40" x14ac:dyDescent="0.25">
      <c r="A5147" t="str">
        <f>"20190303170355802"</f>
        <v>20190303170355802</v>
      </c>
      <c r="B5147" t="str">
        <f>"1551603835790627"</f>
        <v>1551603835790627</v>
      </c>
      <c r="C5147" t="s">
        <v>40</v>
      </c>
      <c r="D5147">
        <v>3.9767049999999999</v>
      </c>
      <c r="E5147">
        <v>0.49089749999999999</v>
      </c>
      <c r="F5147" t="s">
        <v>48</v>
      </c>
      <c r="G5147">
        <v>0</v>
      </c>
      <c r="H5147">
        <v>0</v>
      </c>
      <c r="I5147">
        <v>0</v>
      </c>
      <c r="J5147">
        <v>-280.16629999999998</v>
      </c>
      <c r="K5147">
        <v>1.1210979999999999</v>
      </c>
      <c r="L5147">
        <v>141.61949999999999</v>
      </c>
      <c r="M5147">
        <v>-0.9998572</v>
      </c>
      <c r="N5147">
        <v>-7.6610100000000002E-3</v>
      </c>
      <c r="O5147">
        <v>-1.5059980000000001E-2</v>
      </c>
      <c r="P5147">
        <v>-0.98295650000000001</v>
      </c>
      <c r="Q5147">
        <v>0.18231649999999999</v>
      </c>
      <c r="R5147">
        <v>2.3605270000000001E-2</v>
      </c>
      <c r="S5147">
        <v>-3.0529790000000001</v>
      </c>
      <c r="T5147">
        <v>-1.7626289999999999E-3</v>
      </c>
      <c r="U5147">
        <v>-3.9978029999999998E-2</v>
      </c>
      <c r="V5147">
        <v>3.8166319999999997E-2</v>
      </c>
      <c r="W5147">
        <v>0.18988650000000001</v>
      </c>
      <c r="X5147">
        <v>0.98106400000000005</v>
      </c>
      <c r="Y5147">
        <v>1.966593E-3</v>
      </c>
      <c r="Z5147" s="1">
        <v>-9.8582480000000006E-5</v>
      </c>
      <c r="AA5147">
        <v>0.99999800000000005</v>
      </c>
      <c r="AB5147">
        <v>42</v>
      </c>
      <c r="AC5147">
        <v>-3.0529790000000001</v>
      </c>
      <c r="AD5147">
        <v>-1.7626289999999999E-3</v>
      </c>
      <c r="AE5147">
        <v>-3.9978029999999998E-2</v>
      </c>
      <c r="AF5147">
        <v>6.0056560402883402E-3</v>
      </c>
      <c r="AG5147">
        <v>-1.7626289999999999E-3</v>
      </c>
      <c r="AH5147">
        <v>3.0532338160875101</v>
      </c>
      <c r="AI5147">
        <v>90.033076731768205</v>
      </c>
      <c r="AJ5147">
        <v>89.887300376823703</v>
      </c>
      <c r="AK5147">
        <v>3.0532402313715399</v>
      </c>
      <c r="AL5147">
        <v>79.0538401365216</v>
      </c>
      <c r="AM5147">
        <v>87.772146492758907</v>
      </c>
      <c r="AN5147">
        <v>1.00000006148029</v>
      </c>
    </row>
    <row r="5148" spans="1:40" x14ac:dyDescent="0.25">
      <c r="A5148" t="str">
        <f>"20190303170355825"</f>
        <v>20190303170355825</v>
      </c>
      <c r="B5148" t="str">
        <f>"1551603835811123"</f>
        <v>1551603835811123</v>
      </c>
      <c r="C5148" t="s">
        <v>40</v>
      </c>
      <c r="D5148">
        <v>4.0328920000000004</v>
      </c>
      <c r="E5148">
        <v>0.49113089999999998</v>
      </c>
      <c r="F5148" t="s">
        <v>48</v>
      </c>
      <c r="G5148">
        <v>0</v>
      </c>
      <c r="H5148">
        <v>0</v>
      </c>
      <c r="I5148">
        <v>0</v>
      </c>
      <c r="J5148">
        <v>-280.59039999999999</v>
      </c>
      <c r="K5148">
        <v>1.120965</v>
      </c>
      <c r="L5148">
        <v>141.6131</v>
      </c>
      <c r="M5148">
        <v>-0.99985570000000001</v>
      </c>
      <c r="N5148">
        <v>-7.7776090000000004E-3</v>
      </c>
      <c r="O5148">
        <v>-1.510966E-2</v>
      </c>
      <c r="P5148">
        <v>-0.98293350000000002</v>
      </c>
      <c r="Q5148">
        <v>0.18237919999999999</v>
      </c>
      <c r="R5148">
        <v>2.4077580000000001E-2</v>
      </c>
      <c r="S5148">
        <v>-3.0529169999999999</v>
      </c>
      <c r="T5148">
        <v>-4.1806699999999999E-4</v>
      </c>
      <c r="U5148">
        <v>-3.598022E-2</v>
      </c>
      <c r="V5148">
        <v>3.8756350000000002E-2</v>
      </c>
      <c r="W5148">
        <v>0.19004989999999999</v>
      </c>
      <c r="X5148">
        <v>0.98100920000000003</v>
      </c>
      <c r="Y5148">
        <v>3.32526E-3</v>
      </c>
      <c r="Z5148">
        <v>-1.022921E-4</v>
      </c>
      <c r="AA5148">
        <v>0.99999450000000001</v>
      </c>
      <c r="AB5148">
        <v>42</v>
      </c>
      <c r="AC5148">
        <v>-3.0529169999999999</v>
      </c>
      <c r="AD5148">
        <v>-4.1806699999999999E-4</v>
      </c>
      <c r="AE5148">
        <v>-3.598022E-2</v>
      </c>
      <c r="AF5148">
        <v>1.0153815660760601E-2</v>
      </c>
      <c r="AG5148">
        <v>-4.1806699999999999E-4</v>
      </c>
      <c r="AH5148">
        <v>3.0531120738662301</v>
      </c>
      <c r="AI5148">
        <v>90.007845549543305</v>
      </c>
      <c r="AJ5148">
        <v>89.809450611582207</v>
      </c>
      <c r="AK5148">
        <v>3.0531289868494298</v>
      </c>
      <c r="AL5148">
        <v>79.044304066922393</v>
      </c>
      <c r="AM5148">
        <v>87.737614393299907</v>
      </c>
      <c r="AN5148">
        <v>1.00000003481998</v>
      </c>
    </row>
    <row r="5149" spans="1:40" x14ac:dyDescent="0.25">
      <c r="A5149" t="str">
        <f>"20190303170355848"</f>
        <v>20190303170355848</v>
      </c>
      <c r="B5149" t="str">
        <f>"1551603835840402"</f>
        <v>1551603835840402</v>
      </c>
      <c r="C5149" t="s">
        <v>40</v>
      </c>
      <c r="D5149">
        <v>4.0354769999999904</v>
      </c>
      <c r="E5149">
        <v>0.49148910000000001</v>
      </c>
      <c r="F5149" t="s">
        <v>48</v>
      </c>
      <c r="G5149">
        <v>0</v>
      </c>
      <c r="H5149">
        <v>0</v>
      </c>
      <c r="I5149">
        <v>0</v>
      </c>
      <c r="J5149">
        <v>-281.02609999999999</v>
      </c>
      <c r="K5149">
        <v>1.1208119999999999</v>
      </c>
      <c r="L5149">
        <v>141.60659999999999</v>
      </c>
      <c r="M5149">
        <v>-0.99985710000000005</v>
      </c>
      <c r="N5149">
        <v>-7.9156539999999994E-3</v>
      </c>
      <c r="O5149">
        <v>-1.4938399999999999E-2</v>
      </c>
      <c r="P5149">
        <v>-0.98305549999999997</v>
      </c>
      <c r="Q5149">
        <v>0.181616</v>
      </c>
      <c r="R5149">
        <v>2.4848740000000001E-2</v>
      </c>
      <c r="S5149">
        <v>-3.0529790000000001</v>
      </c>
      <c r="T5149">
        <v>-4.5466419999999998E-4</v>
      </c>
      <c r="U5149">
        <v>-3.2485960000000001E-2</v>
      </c>
      <c r="V5149">
        <v>3.9443409999999998E-2</v>
      </c>
      <c r="W5149">
        <v>0.18940660000000001</v>
      </c>
      <c r="X5149">
        <v>0.98110620000000004</v>
      </c>
      <c r="Y5149">
        <v>4.2986170000000002E-3</v>
      </c>
      <c r="Z5149" s="1">
        <v>-9.8692890000000004E-5</v>
      </c>
      <c r="AA5149">
        <v>0.99999079999999996</v>
      </c>
      <c r="AB5149">
        <v>42</v>
      </c>
      <c r="AC5149">
        <v>-3.0529790000000001</v>
      </c>
      <c r="AD5149">
        <v>-4.5466419999999998E-4</v>
      </c>
      <c r="AE5149">
        <v>-3.2485960000000001E-2</v>
      </c>
      <c r="AF5149">
        <v>1.31257144436107E-2</v>
      </c>
      <c r="AG5149">
        <v>-4.5466419999999998E-4</v>
      </c>
      <c r="AH5149">
        <v>3.0531235504347598</v>
      </c>
      <c r="AI5149">
        <v>90.008532277976997</v>
      </c>
      <c r="AJ5149">
        <v>89.753680650279406</v>
      </c>
      <c r="AK5149">
        <v>3.05315179860396</v>
      </c>
      <c r="AL5149">
        <v>79.081844014759</v>
      </c>
      <c r="AM5149">
        <v>87.697777737541301</v>
      </c>
      <c r="AN5149">
        <v>1.0000000091972101</v>
      </c>
    </row>
    <row r="5150" spans="1:40" x14ac:dyDescent="0.25">
      <c r="A5150" t="str">
        <f>"20190303170355870"</f>
        <v>20190303170355870</v>
      </c>
      <c r="B5150" t="str">
        <f>"1551603835860900"</f>
        <v>1551603835860900</v>
      </c>
      <c r="C5150" t="s">
        <v>40</v>
      </c>
      <c r="D5150">
        <v>3.9767950000000001</v>
      </c>
      <c r="E5150">
        <v>0.49174319999999999</v>
      </c>
      <c r="F5150" t="s">
        <v>48</v>
      </c>
      <c r="G5150">
        <v>0</v>
      </c>
      <c r="H5150">
        <v>0</v>
      </c>
      <c r="I5150">
        <v>0</v>
      </c>
      <c r="J5150">
        <v>-281.44229999999999</v>
      </c>
      <c r="K5150">
        <v>1.120641</v>
      </c>
      <c r="L5150">
        <v>141.60069999999999</v>
      </c>
      <c r="M5150">
        <v>-0.99986160000000002</v>
      </c>
      <c r="N5150">
        <v>-8.0614980000000003E-3</v>
      </c>
      <c r="O5150">
        <v>-1.4554299999999999E-2</v>
      </c>
      <c r="P5150">
        <v>-0.98311979999999999</v>
      </c>
      <c r="Q5150">
        <v>0.18112130000000001</v>
      </c>
      <c r="R5150">
        <v>2.5898230000000001E-2</v>
      </c>
      <c r="S5150">
        <v>-3.0531009999999998</v>
      </c>
      <c r="T5150">
        <v>-3.7122959999999999E-3</v>
      </c>
      <c r="U5150">
        <v>-2.6626589999999999E-2</v>
      </c>
      <c r="V5150">
        <v>4.0204520000000001E-2</v>
      </c>
      <c r="W5150">
        <v>0.1890367</v>
      </c>
      <c r="X5150">
        <v>0.98114659999999998</v>
      </c>
      <c r="Y5150">
        <v>5.8339419999999999E-3</v>
      </c>
      <c r="Z5150" s="1">
        <v>-7.2576000000000004E-5</v>
      </c>
      <c r="AA5150">
        <v>0.99998299999999996</v>
      </c>
      <c r="AB5150">
        <v>42</v>
      </c>
      <c r="AC5150">
        <v>-3.0531009999999998</v>
      </c>
      <c r="AD5150">
        <v>-3.7122959999999999E-3</v>
      </c>
      <c r="AE5150">
        <v>-2.6626589999999999E-2</v>
      </c>
      <c r="AF5150">
        <v>1.7813395199107601E-2</v>
      </c>
      <c r="AG5150">
        <v>-3.7122959999999999E-3</v>
      </c>
      <c r="AH5150">
        <v>3.0531606266663101</v>
      </c>
      <c r="AI5150">
        <v>90.069663930011998</v>
      </c>
      <c r="AJ5150">
        <v>89.665716643227498</v>
      </c>
      <c r="AK5150">
        <v>3.0532148483877699</v>
      </c>
      <c r="AL5150">
        <v>79.103427146599302</v>
      </c>
      <c r="AM5150">
        <v>87.653499183329103</v>
      </c>
      <c r="AN5150">
        <v>0.99999996403343905</v>
      </c>
    </row>
    <row r="5151" spans="1:40" x14ac:dyDescent="0.25">
      <c r="A5151" t="str">
        <f>"20190303170355892"</f>
        <v>20190303170355892</v>
      </c>
      <c r="B5151" t="str">
        <f>"1551603835880419"</f>
        <v>1551603835880419</v>
      </c>
      <c r="C5151" t="s">
        <v>40</v>
      </c>
      <c r="D5151">
        <v>3.9799419999999999</v>
      </c>
      <c r="E5151">
        <v>0.49194019999999999</v>
      </c>
      <c r="F5151" t="s">
        <v>48</v>
      </c>
      <c r="G5151">
        <v>0</v>
      </c>
      <c r="H5151">
        <v>0</v>
      </c>
      <c r="I5151">
        <v>0</v>
      </c>
      <c r="J5151">
        <v>-281.85230000000001</v>
      </c>
      <c r="K5151">
        <v>1.1204559999999999</v>
      </c>
      <c r="L5151">
        <v>141.59520000000001</v>
      </c>
      <c r="M5151">
        <v>-0.99986889999999995</v>
      </c>
      <c r="N5151">
        <v>-8.2136799999999992E-3</v>
      </c>
      <c r="O5151">
        <v>-1.396667E-2</v>
      </c>
      <c r="P5151">
        <v>-0.98304610000000003</v>
      </c>
      <c r="Q5151">
        <v>0.1813409</v>
      </c>
      <c r="R5151">
        <v>2.7131700000000002E-2</v>
      </c>
      <c r="S5151">
        <v>-3.0530400000000002</v>
      </c>
      <c r="T5151">
        <v>-5.2976610000000004E-3</v>
      </c>
      <c r="U5151">
        <v>-2.1530150000000001E-2</v>
      </c>
      <c r="V5151">
        <v>4.0953549999999998E-2</v>
      </c>
      <c r="W5151">
        <v>0.1893851</v>
      </c>
      <c r="X5151">
        <v>0.98104849999999999</v>
      </c>
      <c r="Y5151">
        <v>6.9152650000000003E-3</v>
      </c>
      <c r="Z5151" s="1">
        <v>-5.6088429999999999E-5</v>
      </c>
      <c r="AA5151">
        <v>0.99997610000000003</v>
      </c>
      <c r="AB5151">
        <v>42</v>
      </c>
      <c r="AC5151">
        <v>-3.0530400000000002</v>
      </c>
      <c r="AD5151">
        <v>-5.2976610000000004E-3</v>
      </c>
      <c r="AE5151">
        <v>-2.1530150000000001E-2</v>
      </c>
      <c r="AF5151">
        <v>2.11141197595799E-2</v>
      </c>
      <c r="AG5151">
        <v>-5.2976610000000004E-3</v>
      </c>
      <c r="AH5151">
        <v>3.0530337130033698</v>
      </c>
      <c r="AI5151">
        <v>90.099417851898096</v>
      </c>
      <c r="AJ5151">
        <v>89.603761118295296</v>
      </c>
      <c r="AK5151">
        <v>3.0531113186388099</v>
      </c>
      <c r="AL5151">
        <v>79.0830988586535</v>
      </c>
      <c r="AM5151">
        <v>87.609594228173805</v>
      </c>
      <c r="AN5151">
        <v>1.0000000343559301</v>
      </c>
    </row>
    <row r="5152" spans="1:40" x14ac:dyDescent="0.25">
      <c r="A5152" t="str">
        <f>"20190303170355914"</f>
        <v>20190303170355914</v>
      </c>
      <c r="B5152" t="str">
        <f>"1551603835900915"</f>
        <v>1551603835900915</v>
      </c>
      <c r="C5152" t="s">
        <v>40</v>
      </c>
      <c r="D5152">
        <v>3.964369</v>
      </c>
      <c r="E5152">
        <v>0.49214809999999998</v>
      </c>
      <c r="F5152" t="s">
        <v>48</v>
      </c>
      <c r="G5152">
        <v>0</v>
      </c>
      <c r="H5152">
        <v>0</v>
      </c>
      <c r="I5152">
        <v>0</v>
      </c>
      <c r="J5152">
        <v>-282.27260000000001</v>
      </c>
      <c r="K5152">
        <v>1.1202570000000001</v>
      </c>
      <c r="L5152">
        <v>141.5899</v>
      </c>
      <c r="M5152">
        <v>-0.9998785</v>
      </c>
      <c r="N5152">
        <v>-8.3701469999999997E-3</v>
      </c>
      <c r="O5152">
        <v>-1.316385E-2</v>
      </c>
      <c r="P5152">
        <v>-0.98305920000000002</v>
      </c>
      <c r="Q5152">
        <v>0.18103269999999999</v>
      </c>
      <c r="R5152">
        <v>2.8674709999999999E-2</v>
      </c>
      <c r="S5152">
        <v>-3.0530089999999999</v>
      </c>
      <c r="T5152">
        <v>-4.6654940000000001E-3</v>
      </c>
      <c r="U5152">
        <v>-1.6021730000000001E-2</v>
      </c>
      <c r="V5152">
        <v>4.1806839999999998E-2</v>
      </c>
      <c r="W5152">
        <v>0.1892086</v>
      </c>
      <c r="X5152">
        <v>0.98104659999999999</v>
      </c>
      <c r="Y5152">
        <v>7.9164370000000001E-3</v>
      </c>
      <c r="Z5152" s="1">
        <v>-5.0891820000000001E-5</v>
      </c>
      <c r="AA5152">
        <v>0.99996859999999999</v>
      </c>
      <c r="AB5152">
        <v>42</v>
      </c>
      <c r="AC5152">
        <v>-3.0530089999999999</v>
      </c>
      <c r="AD5152">
        <v>-4.6654940000000001E-3</v>
      </c>
      <c r="AE5152">
        <v>-1.6021730000000001E-2</v>
      </c>
      <c r="AF5152">
        <v>2.4170355054698001E-2</v>
      </c>
      <c r="AG5152">
        <v>-4.6654940000000001E-3</v>
      </c>
      <c r="AH5152">
        <v>3.0529482325014401</v>
      </c>
      <c r="AI5152">
        <v>90.087556194848403</v>
      </c>
      <c r="AJ5152">
        <v>89.54639571477</v>
      </c>
      <c r="AK5152">
        <v>3.0530474747752301</v>
      </c>
      <c r="AL5152">
        <v>79.093398148679796</v>
      </c>
      <c r="AM5152">
        <v>87.559843663325907</v>
      </c>
      <c r="AN5152">
        <v>1.0000000687781501</v>
      </c>
    </row>
    <row r="5153" spans="1:40" x14ac:dyDescent="0.25">
      <c r="A5153" t="str">
        <f>"20190303170355929"</f>
        <v>20190303170355929</v>
      </c>
      <c r="B5153" t="str">
        <f>"1551603835920435"</f>
        <v>1551603835920435</v>
      </c>
      <c r="C5153" t="s">
        <v>40</v>
      </c>
      <c r="D5153">
        <v>3.9521410000000001</v>
      </c>
      <c r="E5153">
        <v>0.49238609999999999</v>
      </c>
      <c r="F5153" t="s">
        <v>48</v>
      </c>
      <c r="G5153">
        <v>0</v>
      </c>
      <c r="H5153">
        <v>0</v>
      </c>
      <c r="I5153">
        <v>0</v>
      </c>
      <c r="J5153">
        <v>-282.54750000000001</v>
      </c>
      <c r="K5153">
        <v>1.1201299999999901</v>
      </c>
      <c r="L5153">
        <v>141.58680000000001</v>
      </c>
      <c r="M5153">
        <v>-0.99988569999999999</v>
      </c>
      <c r="N5153">
        <v>-8.4698129999999996E-3</v>
      </c>
      <c r="O5153">
        <v>-1.2520359999999999E-2</v>
      </c>
      <c r="P5153">
        <v>-0.98312489999999997</v>
      </c>
      <c r="Q5153">
        <v>0.1805493</v>
      </c>
      <c r="R5153">
        <v>2.945097E-2</v>
      </c>
      <c r="S5153">
        <v>-3.0530400000000002</v>
      </c>
      <c r="T5153">
        <v>-5.5377480000000003E-3</v>
      </c>
      <c r="U5153">
        <v>-1.068115E-2</v>
      </c>
      <c r="V5153">
        <v>4.2013889999999998E-2</v>
      </c>
      <c r="W5153">
        <v>0.18880920000000001</v>
      </c>
      <c r="X5153">
        <v>0.98111459999999995</v>
      </c>
      <c r="Y5153">
        <v>9.0221320000000004E-3</v>
      </c>
      <c r="Z5153" s="1">
        <v>-3.6949049999999998E-5</v>
      </c>
      <c r="AA5153">
        <v>0.9999593</v>
      </c>
      <c r="AB5153">
        <v>42</v>
      </c>
      <c r="AC5153">
        <v>-3.0530400000000002</v>
      </c>
      <c r="AD5153">
        <v>-5.5377480000000003E-3</v>
      </c>
      <c r="AE5153">
        <v>-1.068115E-2</v>
      </c>
      <c r="AF5153">
        <v>2.7546129429157198E-2</v>
      </c>
      <c r="AG5153">
        <v>-5.5377480000000003E-3</v>
      </c>
      <c r="AH5153">
        <v>3.0529243695702002</v>
      </c>
      <c r="AI5153">
        <v>90.103925380137198</v>
      </c>
      <c r="AJ5153">
        <v>89.483041851366295</v>
      </c>
      <c r="AK5153">
        <v>3.0530536618630002</v>
      </c>
      <c r="AL5153">
        <v>79.116701034990498</v>
      </c>
      <c r="AM5153">
        <v>87.547943164367794</v>
      </c>
      <c r="AN5153">
        <v>0.99999996964536497</v>
      </c>
    </row>
    <row r="5154" spans="1:40" x14ac:dyDescent="0.25">
      <c r="A5154" t="str">
        <f>"20190303170355941"</f>
        <v>20190303170355941</v>
      </c>
      <c r="B5154" t="str">
        <f>"1551603835931171"</f>
        <v>1551603835931171</v>
      </c>
      <c r="C5154" t="s">
        <v>40</v>
      </c>
      <c r="D5154">
        <v>3.936801</v>
      </c>
      <c r="E5154">
        <v>0.49248059999999999</v>
      </c>
      <c r="F5154" t="s">
        <v>48</v>
      </c>
      <c r="G5154">
        <v>0</v>
      </c>
      <c r="H5154">
        <v>0</v>
      </c>
      <c r="I5154">
        <v>0</v>
      </c>
      <c r="J5154">
        <v>-282.79349999999999</v>
      </c>
      <c r="K5154">
        <v>1.120012</v>
      </c>
      <c r="L5154">
        <v>141.58420000000001</v>
      </c>
      <c r="M5154">
        <v>-0.99989280000000003</v>
      </c>
      <c r="N5154">
        <v>-8.5567019999999994E-3</v>
      </c>
      <c r="O5154">
        <v>-1.1895960000000001E-2</v>
      </c>
      <c r="P5154">
        <v>-0.9831955</v>
      </c>
      <c r="Q5154">
        <v>0.18000089999999999</v>
      </c>
      <c r="R5154">
        <v>3.0440729999999999E-2</v>
      </c>
      <c r="S5154">
        <v>-3.0530089999999999</v>
      </c>
      <c r="T5154">
        <v>-7.2820189999999998E-3</v>
      </c>
      <c r="U5154">
        <v>-6.4086909999999898E-3</v>
      </c>
      <c r="V5154">
        <v>4.2444179999999998E-2</v>
      </c>
      <c r="W5154">
        <v>0.18833430000000001</v>
      </c>
      <c r="X5154">
        <v>0.98118740000000004</v>
      </c>
      <c r="Y5154">
        <v>9.7970290000000005E-3</v>
      </c>
      <c r="Z5154" s="1">
        <v>-1.982082E-5</v>
      </c>
      <c r="AA5154">
        <v>0.99995199999999995</v>
      </c>
      <c r="AB5154">
        <v>42</v>
      </c>
      <c r="AC5154">
        <v>-3.0530089999999999</v>
      </c>
      <c r="AD5154">
        <v>-7.2820189999999998E-3</v>
      </c>
      <c r="AE5154">
        <v>-6.4086909999999898E-3</v>
      </c>
      <c r="AF5154">
        <v>2.9911388702620601E-2</v>
      </c>
      <c r="AG5154">
        <v>-7.2820189999999998E-3</v>
      </c>
      <c r="AH5154">
        <v>3.0528518273134102</v>
      </c>
      <c r="AI5154">
        <v>90.136661771462897</v>
      </c>
      <c r="AJ5154">
        <v>89.438642426211899</v>
      </c>
      <c r="AK5154">
        <v>3.0530070420006599</v>
      </c>
      <c r="AL5154">
        <v>79.144408382035706</v>
      </c>
      <c r="AM5154">
        <v>87.523044835919094</v>
      </c>
      <c r="AN5154">
        <v>1.0000000154455599</v>
      </c>
    </row>
    <row r="5155" spans="1:40" x14ac:dyDescent="0.25">
      <c r="A5155" t="str">
        <f>"20190303170355960"</f>
        <v>20190303170355960</v>
      </c>
      <c r="B5155" t="str">
        <f>"1551603835950691"</f>
        <v>1551603835950691</v>
      </c>
      <c r="C5155" t="s">
        <v>40</v>
      </c>
      <c r="D5155">
        <v>3.9153820000000001</v>
      </c>
      <c r="E5155">
        <v>0.49266339999999997</v>
      </c>
      <c r="F5155" t="s">
        <v>48</v>
      </c>
      <c r="G5155">
        <v>0</v>
      </c>
      <c r="H5155">
        <v>0</v>
      </c>
      <c r="I5155">
        <v>0</v>
      </c>
      <c r="J5155">
        <v>-283.13979999999998</v>
      </c>
      <c r="K5155">
        <v>1.119864</v>
      </c>
      <c r="L5155">
        <v>141.58070000000001</v>
      </c>
      <c r="M5155">
        <v>-0.99990259999999997</v>
      </c>
      <c r="N5155">
        <v>-8.6745280000000008E-3</v>
      </c>
      <c r="O5155">
        <v>-1.0934630000000001E-2</v>
      </c>
      <c r="P5155">
        <v>-0.98348550000000001</v>
      </c>
      <c r="Q5155">
        <v>0.17821210000000001</v>
      </c>
      <c r="R5155">
        <v>3.1569949999999999E-2</v>
      </c>
      <c r="S5155">
        <v>-3.0530400000000002</v>
      </c>
      <c r="T5155">
        <v>-8.9205499999999993E-3</v>
      </c>
      <c r="U5155">
        <v>-2.7618410000000001E-3</v>
      </c>
      <c r="V5155">
        <v>4.2699069999999999E-2</v>
      </c>
      <c r="W5155">
        <v>0.1866477</v>
      </c>
      <c r="X5155">
        <v>0.98149850000000005</v>
      </c>
      <c r="Y5155">
        <v>1.003012E-2</v>
      </c>
      <c r="Z5155" s="1">
        <v>-4.7498690000000002E-6</v>
      </c>
      <c r="AA5155">
        <v>0.99994970000000005</v>
      </c>
      <c r="AB5155">
        <v>42</v>
      </c>
      <c r="AC5155">
        <v>-3.0530400000000002</v>
      </c>
      <c r="AD5155">
        <v>-8.9205499999999993E-3</v>
      </c>
      <c r="AE5155">
        <v>-2.7618410000000001E-3</v>
      </c>
      <c r="AF5155">
        <v>3.0623181177211901E-2</v>
      </c>
      <c r="AG5155">
        <v>-8.9205499999999993E-3</v>
      </c>
      <c r="AH5155">
        <v>3.05286159852584</v>
      </c>
      <c r="AI5155">
        <v>90.167411028271999</v>
      </c>
      <c r="AJ5155">
        <v>89.425286690933405</v>
      </c>
      <c r="AK5155">
        <v>3.05302821722817</v>
      </c>
      <c r="AL5155">
        <v>79.242787268284104</v>
      </c>
      <c r="AM5155">
        <v>87.508977492609404</v>
      </c>
      <c r="AN5155">
        <v>0.99999993999820003</v>
      </c>
    </row>
    <row r="5156" spans="1:40" x14ac:dyDescent="0.25">
      <c r="A5156" t="str">
        <f>"20190303170355980"</f>
        <v>20190303170355980</v>
      </c>
      <c r="B5156" t="str">
        <f>"1551603835971186"</f>
        <v>1551603835971186</v>
      </c>
      <c r="C5156" t="s">
        <v>40</v>
      </c>
      <c r="D5156">
        <v>3.9415390000000001</v>
      </c>
      <c r="E5156">
        <v>0.49279620000000002</v>
      </c>
      <c r="F5156" t="s">
        <v>75</v>
      </c>
      <c r="G5156">
        <v>-503.46170000000001</v>
      </c>
      <c r="H5156">
        <v>7.9987240000000001E-2</v>
      </c>
      <c r="I5156">
        <v>141.71510000000001</v>
      </c>
      <c r="J5156">
        <v>-283.5308</v>
      </c>
      <c r="K5156">
        <v>1.1197140000000001</v>
      </c>
      <c r="L5156">
        <v>141.57730000000001</v>
      </c>
      <c r="M5156">
        <v>-0.99991379999999996</v>
      </c>
      <c r="N5156">
        <v>-8.8010309999999904E-3</v>
      </c>
      <c r="O5156">
        <v>-9.7497380000000008E-3</v>
      </c>
      <c r="P5156">
        <v>-0.98346630000000002</v>
      </c>
      <c r="Q5156">
        <v>0.17799499999999999</v>
      </c>
      <c r="R5156">
        <v>3.3346019999999997E-2</v>
      </c>
      <c r="S5156">
        <v>-3.0529169999999999</v>
      </c>
      <c r="T5156">
        <v>-1.4409180000000001E-2</v>
      </c>
      <c r="U5156">
        <v>1.8615719999999999E-3</v>
      </c>
      <c r="V5156">
        <v>4.3379359999999999E-2</v>
      </c>
      <c r="W5156">
        <v>0.18653710000000001</v>
      </c>
      <c r="X5156">
        <v>0.98148979999999997</v>
      </c>
      <c r="Y5156">
        <v>1.0359439999999999E-2</v>
      </c>
      <c r="Z5156" s="1">
        <v>3.024099E-5</v>
      </c>
      <c r="AA5156">
        <v>0.99994640000000001</v>
      </c>
      <c r="AB5156">
        <v>42</v>
      </c>
      <c r="AC5156">
        <v>-219.93090000000001</v>
      </c>
      <c r="AD5156">
        <v>-1.03972676</v>
      </c>
      <c r="AE5156">
        <v>0.13779999999999801</v>
      </c>
      <c r="AF5156">
        <v>2.2820940180761502</v>
      </c>
      <c r="AG5156">
        <v>-1.03972676</v>
      </c>
      <c r="AH5156">
        <v>219.91418739942799</v>
      </c>
      <c r="AI5156">
        <v>90.2708706738144</v>
      </c>
      <c r="AJ5156">
        <v>89.405451444257693</v>
      </c>
      <c r="AK5156">
        <v>219.928485659301</v>
      </c>
      <c r="AL5156">
        <v>79.249238584825605</v>
      </c>
      <c r="AM5156">
        <v>87.469318820285807</v>
      </c>
      <c r="AN5156">
        <v>1.00000004302722</v>
      </c>
    </row>
    <row r="5157" spans="1:40" x14ac:dyDescent="0.25">
      <c r="A5157" t="str">
        <f>"20190303170355994"</f>
        <v>20190303170355994</v>
      </c>
      <c r="B5157" t="str">
        <f>"1551603835980947"</f>
        <v>1551603835980947</v>
      </c>
      <c r="C5157" t="s">
        <v>40</v>
      </c>
      <c r="D5157">
        <v>3.9122569999999999</v>
      </c>
      <c r="E5157">
        <v>0.49287379999999997</v>
      </c>
      <c r="F5157" t="s">
        <v>75</v>
      </c>
      <c r="G5157">
        <v>-499.95780000000002</v>
      </c>
      <c r="H5157">
        <v>4.9692399999999998E-2</v>
      </c>
      <c r="I5157">
        <v>142.19290000000001</v>
      </c>
      <c r="J5157">
        <v>-283.7989</v>
      </c>
      <c r="K5157">
        <v>1.119626</v>
      </c>
      <c r="L5157">
        <v>141.5753</v>
      </c>
      <c r="M5157">
        <v>-0.99992099999999995</v>
      </c>
      <c r="N5157">
        <v>-8.8841140000000002E-3</v>
      </c>
      <c r="O5157">
        <v>-8.8949179999999999E-3</v>
      </c>
      <c r="P5157">
        <v>-0.98337430000000003</v>
      </c>
      <c r="Q5157">
        <v>0.1782753</v>
      </c>
      <c r="R5157">
        <v>3.4538630000000001E-2</v>
      </c>
      <c r="S5157">
        <v>-3.0528870000000001</v>
      </c>
      <c r="T5157">
        <v>-1.5093560000000001E-2</v>
      </c>
      <c r="U5157">
        <v>8.6822510000000002E-3</v>
      </c>
      <c r="V5157">
        <v>4.3774269999999997E-2</v>
      </c>
      <c r="W5157">
        <v>0.186888</v>
      </c>
      <c r="X5157">
        <v>0.98140550000000004</v>
      </c>
      <c r="Y5157">
        <v>1.173859E-2</v>
      </c>
      <c r="Z5157" s="1">
        <v>4.6113540000000001E-5</v>
      </c>
      <c r="AA5157">
        <v>0.99993109999999996</v>
      </c>
      <c r="AB5157">
        <v>42</v>
      </c>
      <c r="AC5157">
        <v>-216.15889999999999</v>
      </c>
      <c r="AD5157">
        <v>-1.0699335999999999</v>
      </c>
      <c r="AE5157">
        <v>0.61760000000001003</v>
      </c>
      <c r="AF5157">
        <v>2.5403048495968199</v>
      </c>
      <c r="AG5157">
        <v>-1.0699335999999999</v>
      </c>
      <c r="AH5157">
        <v>216.139558846965</v>
      </c>
      <c r="AI5157">
        <v>90.283603546565303</v>
      </c>
      <c r="AJ5157">
        <v>89.326629303274103</v>
      </c>
      <c r="AK5157">
        <v>216.15713452300801</v>
      </c>
      <c r="AL5157">
        <v>79.228773506051397</v>
      </c>
      <c r="AM5157">
        <v>87.446091711268096</v>
      </c>
      <c r="AN5157">
        <v>1.0000000333441399</v>
      </c>
    </row>
    <row r="5158" spans="1:40" x14ac:dyDescent="0.25">
      <c r="A5158" t="str">
        <f>"20190303170356008"</f>
        <v>20190303170356008</v>
      </c>
      <c r="B5158" t="str">
        <f>"1551603836000467"</f>
        <v>1551603836000467</v>
      </c>
      <c r="C5158" t="s">
        <v>40</v>
      </c>
      <c r="D5158">
        <v>3.9209939999999999</v>
      </c>
      <c r="E5158">
        <v>0.493004</v>
      </c>
      <c r="F5158" t="s">
        <v>44</v>
      </c>
      <c r="G5158">
        <v>-536.35969999999998</v>
      </c>
      <c r="H5158">
        <v>-0.05</v>
      </c>
      <c r="I5158">
        <v>142.6053</v>
      </c>
      <c r="J5158">
        <v>-284.05700000000002</v>
      </c>
      <c r="K5158">
        <v>1.1195520000000001</v>
      </c>
      <c r="L5158">
        <v>141.5736</v>
      </c>
      <c r="M5158">
        <v>-0.99992769999999997</v>
      </c>
      <c r="N5158">
        <v>-8.9585140000000008E-3</v>
      </c>
      <c r="O5158">
        <v>-8.0338919999999904E-3</v>
      </c>
      <c r="P5158">
        <v>-0.98328990000000005</v>
      </c>
      <c r="Q5158">
        <v>0.17849110000000001</v>
      </c>
      <c r="R5158">
        <v>3.580854E-2</v>
      </c>
      <c r="S5158">
        <v>-3.0528559999999998</v>
      </c>
      <c r="T5158">
        <v>-1.413798E-2</v>
      </c>
      <c r="U5158">
        <v>1.2451169999999999E-2</v>
      </c>
      <c r="V5158">
        <v>4.4232760000000003E-2</v>
      </c>
      <c r="W5158">
        <v>0.18716669999999999</v>
      </c>
      <c r="X5158">
        <v>0.98133179999999998</v>
      </c>
      <c r="Y5158">
        <v>1.2112059999999999E-2</v>
      </c>
      <c r="Z5158" s="1">
        <v>4.7532260000000003E-5</v>
      </c>
      <c r="AA5158">
        <v>0.9999266</v>
      </c>
      <c r="AB5158">
        <v>42</v>
      </c>
      <c r="AC5158">
        <v>-252.30269999999999</v>
      </c>
      <c r="AD5158">
        <v>-1.1695519999999999</v>
      </c>
      <c r="AE5158">
        <v>1.0317000000000001</v>
      </c>
      <c r="AF5158">
        <v>3.0586547578380601</v>
      </c>
      <c r="AG5158">
        <v>-1.1695519999999999</v>
      </c>
      <c r="AH5158">
        <v>252.28084716772199</v>
      </c>
      <c r="AI5158">
        <v>90.265596813599103</v>
      </c>
      <c r="AJ5158">
        <v>89.305379601036904</v>
      </c>
      <c r="AK5158">
        <v>252.30209881899901</v>
      </c>
      <c r="AL5158">
        <v>79.212518049058104</v>
      </c>
      <c r="AM5158">
        <v>87.419184602359493</v>
      </c>
      <c r="AN5158">
        <v>1.00000000616867</v>
      </c>
    </row>
    <row r="5159" spans="1:40" x14ac:dyDescent="0.25">
      <c r="A5159" t="str">
        <f>"20190303170356026"</f>
        <v>20190303170356026</v>
      </c>
      <c r="B5159" t="str">
        <f>"1551603836020963"</f>
        <v>1551603836020963</v>
      </c>
      <c r="C5159" t="s">
        <v>40</v>
      </c>
      <c r="D5159">
        <v>3.903896</v>
      </c>
      <c r="E5159">
        <v>0.49315290000000001</v>
      </c>
      <c r="F5159" t="s">
        <v>44</v>
      </c>
      <c r="G5159">
        <v>-552.05579999999998</v>
      </c>
      <c r="H5159">
        <v>-0.05</v>
      </c>
      <c r="I5159">
        <v>143.05779999999999</v>
      </c>
      <c r="J5159">
        <v>-284.39819999999997</v>
      </c>
      <c r="K5159">
        <v>1.119472</v>
      </c>
      <c r="L5159">
        <v>141.57169999999999</v>
      </c>
      <c r="M5159">
        <v>-0.99993549999999998</v>
      </c>
      <c r="N5159">
        <v>-9.0513150000000007E-3</v>
      </c>
      <c r="O5159">
        <v>-6.8715869999999898E-3</v>
      </c>
      <c r="P5159">
        <v>-0.98303569999999996</v>
      </c>
      <c r="Q5159">
        <v>0.17942810000000001</v>
      </c>
      <c r="R5159">
        <v>3.8034459999999999E-2</v>
      </c>
      <c r="S5159">
        <v>-3.052826</v>
      </c>
      <c r="T5159">
        <v>-1.332259E-2</v>
      </c>
      <c r="U5159">
        <v>1.690674E-2</v>
      </c>
      <c r="V5159">
        <v>4.5358799999999998E-2</v>
      </c>
      <c r="W5159">
        <v>0.18817929999999999</v>
      </c>
      <c r="X5159">
        <v>0.98108669999999998</v>
      </c>
      <c r="Y5159">
        <v>1.2409170000000001E-2</v>
      </c>
      <c r="Z5159" s="1">
        <v>5.102791E-5</v>
      </c>
      <c r="AA5159">
        <v>0.99992300000000001</v>
      </c>
      <c r="AB5159">
        <v>42</v>
      </c>
      <c r="AC5159">
        <v>-267.6576</v>
      </c>
      <c r="AD5159">
        <v>-1.1694719999999901</v>
      </c>
      <c r="AE5159">
        <v>1.48609999999999</v>
      </c>
      <c r="AF5159">
        <v>3.3253091233342298</v>
      </c>
      <c r="AG5159">
        <v>-1.1694719999999901</v>
      </c>
      <c r="AH5159">
        <v>267.63595871820201</v>
      </c>
      <c r="AI5159">
        <v>90.250340845189399</v>
      </c>
      <c r="AJ5159">
        <v>89.288151053968903</v>
      </c>
      <c r="AK5159">
        <v>267.659170858268</v>
      </c>
      <c r="AL5159">
        <v>79.153450644526103</v>
      </c>
      <c r="AM5159">
        <v>87.352916442314907</v>
      </c>
      <c r="AN5159">
        <v>0.99999999130140904</v>
      </c>
    </row>
    <row r="5160" spans="1:40" x14ac:dyDescent="0.25">
      <c r="A5160" t="str">
        <f>"20190303170356051"</f>
        <v>20190303170356051</v>
      </c>
      <c r="B5160" t="str">
        <f>"1551603836040482"</f>
        <v>1551603836040482</v>
      </c>
      <c r="C5160" t="s">
        <v>40</v>
      </c>
      <c r="D5160">
        <v>3.9229099999999999</v>
      </c>
      <c r="E5160">
        <v>0.493286</v>
      </c>
      <c r="F5160" t="s">
        <v>48</v>
      </c>
      <c r="G5160">
        <v>0</v>
      </c>
      <c r="H5160">
        <v>0</v>
      </c>
      <c r="I5160">
        <v>0</v>
      </c>
      <c r="J5160">
        <v>-284.86840000000001</v>
      </c>
      <c r="K5160">
        <v>1.119373</v>
      </c>
      <c r="L5160">
        <v>141.56970000000001</v>
      </c>
      <c r="M5160">
        <v>-0.99994439999999996</v>
      </c>
      <c r="N5160">
        <v>-9.1627519999999997E-3</v>
      </c>
      <c r="O5160">
        <v>-5.2305049999999999E-3</v>
      </c>
      <c r="P5160">
        <v>-0.98305480000000001</v>
      </c>
      <c r="Q5160">
        <v>0.17893539999999999</v>
      </c>
      <c r="R5160">
        <v>3.9818449999999998E-2</v>
      </c>
      <c r="S5160">
        <v>-3.052673</v>
      </c>
      <c r="T5160">
        <v>-1.000881E-2</v>
      </c>
      <c r="U5160">
        <v>2.351379E-2</v>
      </c>
      <c r="V5160">
        <v>4.5577069999999997E-2</v>
      </c>
      <c r="W5160">
        <v>0.18778449999999999</v>
      </c>
      <c r="X5160">
        <v>0.98115220000000003</v>
      </c>
      <c r="Y5160">
        <v>1.2932569999999999E-2</v>
      </c>
      <c r="Z5160" s="1">
        <v>4.9675100000000001E-5</v>
      </c>
      <c r="AA5160">
        <v>0.99991640000000004</v>
      </c>
      <c r="AB5160">
        <v>43</v>
      </c>
      <c r="AC5160">
        <v>-3.052673</v>
      </c>
      <c r="AD5160">
        <v>-1.000881E-2</v>
      </c>
      <c r="AE5160">
        <v>2.351379E-2</v>
      </c>
      <c r="AF5160">
        <v>3.9480734694204697E-2</v>
      </c>
      <c r="AG5160">
        <v>-1.000881E-2</v>
      </c>
      <c r="AH5160">
        <v>3.0524754324174901</v>
      </c>
      <c r="AI5160">
        <v>90.187851652925005</v>
      </c>
      <c r="AJ5160">
        <v>89.258977379890496</v>
      </c>
      <c r="AK5160">
        <v>3.0527471513707001</v>
      </c>
      <c r="AL5160">
        <v>79.176481300421401</v>
      </c>
      <c r="AM5160">
        <v>87.340374032373404</v>
      </c>
      <c r="AN5160">
        <v>0.99999996365743604</v>
      </c>
    </row>
    <row r="5161" spans="1:40" x14ac:dyDescent="0.25">
      <c r="A5161" t="str">
        <f>"20190303170356072"</f>
        <v>20190303170356072</v>
      </c>
      <c r="B5161" t="str">
        <f>"1551603836060978"</f>
        <v>1551603836060978</v>
      </c>
      <c r="C5161" t="s">
        <v>40</v>
      </c>
      <c r="D5161">
        <v>3.8732549999999999</v>
      </c>
      <c r="E5161">
        <v>0.49340250000000002</v>
      </c>
      <c r="F5161" t="s">
        <v>48</v>
      </c>
      <c r="G5161">
        <v>0</v>
      </c>
      <c r="H5161">
        <v>0</v>
      </c>
      <c r="I5161">
        <v>0</v>
      </c>
      <c r="J5161">
        <v>-285.27289999999999</v>
      </c>
      <c r="K5161">
        <v>1.1192949999999999</v>
      </c>
      <c r="L5161">
        <v>141.5686</v>
      </c>
      <c r="M5161">
        <v>-0.99995020000000001</v>
      </c>
      <c r="N5161">
        <v>-9.2382109999999996E-3</v>
      </c>
      <c r="O5161">
        <v>-3.796364E-3</v>
      </c>
      <c r="P5161">
        <v>-0.98313209999999995</v>
      </c>
      <c r="Q5161">
        <v>0.17836659999999999</v>
      </c>
      <c r="R5161">
        <v>4.0458630000000002E-2</v>
      </c>
      <c r="S5161">
        <v>-3.0525509999999998</v>
      </c>
      <c r="T5161">
        <v>-1.144326E-2</v>
      </c>
      <c r="U5161">
        <v>2.989197E-2</v>
      </c>
      <c r="V5161">
        <v>4.4841039999999999E-2</v>
      </c>
      <c r="W5161">
        <v>0.18728520000000001</v>
      </c>
      <c r="X5161">
        <v>0.98128159999999998</v>
      </c>
      <c r="Y5161">
        <v>1.358787E-2</v>
      </c>
      <c r="Z5161" s="1">
        <v>6.7395159999999999E-5</v>
      </c>
      <c r="AA5161">
        <v>0.99990769999999995</v>
      </c>
      <c r="AB5161">
        <v>43</v>
      </c>
      <c r="AC5161">
        <v>-3.0525509999999998</v>
      </c>
      <c r="AD5161">
        <v>-1.144326E-2</v>
      </c>
      <c r="AE5161">
        <v>2.989197E-2</v>
      </c>
      <c r="AF5161">
        <v>4.1480260045384999E-2</v>
      </c>
      <c r="AG5161">
        <v>-1.144326E-2</v>
      </c>
      <c r="AH5161">
        <v>3.0523726238156499</v>
      </c>
      <c r="AI5161">
        <v>90.214779445093995</v>
      </c>
      <c r="AJ5161">
        <v>89.221426136105094</v>
      </c>
      <c r="AK5161">
        <v>3.0526759072643301</v>
      </c>
      <c r="AL5161">
        <v>79.205606447748593</v>
      </c>
      <c r="AM5161">
        <v>87.383609072834403</v>
      </c>
      <c r="AN5161">
        <v>1.0000000217529399</v>
      </c>
    </row>
    <row r="5162" spans="1:40" x14ac:dyDescent="0.25">
      <c r="A5162" t="str">
        <f>"20190303170356094"</f>
        <v>20190303170356094</v>
      </c>
      <c r="B5162" t="str">
        <f>"1551603836080500"</f>
        <v>1551603836080500</v>
      </c>
      <c r="C5162" t="s">
        <v>40</v>
      </c>
      <c r="D5162">
        <v>3.9283960000000002</v>
      </c>
      <c r="E5162">
        <v>0.49349589999999999</v>
      </c>
      <c r="F5162" t="s">
        <v>44</v>
      </c>
      <c r="G5162">
        <v>-554.92790000000002</v>
      </c>
      <c r="H5162">
        <v>-0.05</v>
      </c>
      <c r="I5162">
        <v>144.5085</v>
      </c>
      <c r="J5162">
        <v>-285.6866</v>
      </c>
      <c r="K5162">
        <v>1.1192299999999999</v>
      </c>
      <c r="L5162">
        <v>141.56799999999899</v>
      </c>
      <c r="M5162">
        <v>-0.99995420000000002</v>
      </c>
      <c r="N5162">
        <v>-9.2961169999999996E-3</v>
      </c>
      <c r="O5162">
        <v>-2.3210040000000002E-3</v>
      </c>
      <c r="P5162">
        <v>-0.98297909999999999</v>
      </c>
      <c r="Q5162">
        <v>0.17893290000000001</v>
      </c>
      <c r="R5162">
        <v>4.1660889999999999E-2</v>
      </c>
      <c r="S5162">
        <v>-3.0524900000000001</v>
      </c>
      <c r="T5162">
        <v>-1.3236400000000001E-2</v>
      </c>
      <c r="U5162">
        <v>3.3279419999999997E-2</v>
      </c>
      <c r="V5162">
        <v>4.4624690000000002E-2</v>
      </c>
      <c r="W5162">
        <v>0.18790109999999999</v>
      </c>
      <c r="X5162">
        <v>0.98117370000000004</v>
      </c>
      <c r="Y5162">
        <v>1.322225E-2</v>
      </c>
      <c r="Z5162" s="1">
        <v>7.8616429999999997E-5</v>
      </c>
      <c r="AA5162">
        <v>0.99991260000000004</v>
      </c>
      <c r="AB5162">
        <v>43</v>
      </c>
      <c r="AC5162">
        <v>-269.24130000000002</v>
      </c>
      <c r="AD5162">
        <v>-1.16923</v>
      </c>
      <c r="AE5162">
        <v>2.9405000000000099</v>
      </c>
      <c r="AF5162">
        <v>3.5653619211904601</v>
      </c>
      <c r="AG5162">
        <v>-1.16923</v>
      </c>
      <c r="AH5162">
        <v>269.22867276733302</v>
      </c>
      <c r="AI5162">
        <v>90.2488057790939</v>
      </c>
      <c r="AJ5162">
        <v>89.241283449186994</v>
      </c>
      <c r="AK5162">
        <v>269.254818238192</v>
      </c>
      <c r="AL5162">
        <v>79.169680020316306</v>
      </c>
      <c r="AM5162">
        <v>87.395929331129494</v>
      </c>
      <c r="AN5162">
        <v>1.00000000795524</v>
      </c>
    </row>
    <row r="5163" spans="1:40" x14ac:dyDescent="0.25">
      <c r="A5163" t="str">
        <f>"20190303170356117"</f>
        <v>20190303170356117</v>
      </c>
      <c r="B5163" t="str">
        <f>"1551603836110754"</f>
        <v>1551603836110754</v>
      </c>
      <c r="C5163" t="s">
        <v>40</v>
      </c>
      <c r="D5163">
        <v>4.0801669999999897</v>
      </c>
      <c r="E5163">
        <v>0.49361719999999998</v>
      </c>
      <c r="F5163" t="s">
        <v>48</v>
      </c>
      <c r="G5163">
        <v>0</v>
      </c>
      <c r="H5163">
        <v>0</v>
      </c>
      <c r="I5163">
        <v>0</v>
      </c>
      <c r="J5163">
        <v>-286.12830000000002</v>
      </c>
      <c r="K5163">
        <v>1.11917</v>
      </c>
      <c r="L5163">
        <v>141.56819999999999</v>
      </c>
      <c r="M5163">
        <v>-0.99995619999999996</v>
      </c>
      <c r="N5163">
        <v>-9.3380730000000006E-3</v>
      </c>
      <c r="O5163">
        <v>-7.4696050000000003E-4</v>
      </c>
      <c r="P5163">
        <v>-0.98260959999999997</v>
      </c>
      <c r="Q5163">
        <v>0.180478</v>
      </c>
      <c r="R5163">
        <v>4.3662100000000002E-2</v>
      </c>
      <c r="S5163">
        <v>-3.0524290000000001</v>
      </c>
      <c r="T5163">
        <v>-1.142144E-2</v>
      </c>
      <c r="U5163">
        <v>3.7994380000000001E-2</v>
      </c>
      <c r="V5163">
        <v>4.5110249999999998E-2</v>
      </c>
      <c r="W5163">
        <v>0.1894768</v>
      </c>
      <c r="X5163">
        <v>0.98084839999999995</v>
      </c>
      <c r="Y5163">
        <v>1.31929E-2</v>
      </c>
      <c r="Z5163" s="1">
        <v>8.2103589999999997E-5</v>
      </c>
      <c r="AA5163">
        <v>0.99991300000000005</v>
      </c>
      <c r="AB5163">
        <v>43</v>
      </c>
      <c r="AC5163">
        <v>-3.0524290000000001</v>
      </c>
      <c r="AD5163">
        <v>-1.142144E-2</v>
      </c>
      <c r="AE5163">
        <v>3.7994380000000001E-2</v>
      </c>
      <c r="AF5163">
        <v>4.0273948748578703E-2</v>
      </c>
      <c r="AG5163">
        <v>-1.142144E-2</v>
      </c>
      <c r="AH5163">
        <v>3.0523570382410399</v>
      </c>
      <c r="AI5163">
        <v>90.214372136372504</v>
      </c>
      <c r="AJ5163">
        <v>89.244061764179193</v>
      </c>
      <c r="AK5163">
        <v>3.0526440881863501</v>
      </c>
      <c r="AL5163">
        <v>79.077747441029302</v>
      </c>
      <c r="AM5163">
        <v>87.366762353268598</v>
      </c>
      <c r="AN5163">
        <v>0.999999988087931</v>
      </c>
    </row>
    <row r="5164" spans="1:40" x14ac:dyDescent="0.25">
      <c r="A5164" t="str">
        <f>"20190303170356138"</f>
        <v>20190303170356138</v>
      </c>
      <c r="B5164" t="str">
        <f>"1551603836131251"</f>
        <v>1551603836131251</v>
      </c>
      <c r="C5164" t="s">
        <v>40</v>
      </c>
      <c r="D5164">
        <v>3.914291</v>
      </c>
      <c r="E5164">
        <v>0.49370019999999998</v>
      </c>
      <c r="F5164" t="s">
        <v>48</v>
      </c>
      <c r="G5164">
        <v>0</v>
      </c>
      <c r="H5164">
        <v>0</v>
      </c>
      <c r="I5164">
        <v>0</v>
      </c>
      <c r="J5164">
        <v>-286.54509999999999</v>
      </c>
      <c r="K5164">
        <v>1.1191279999999999</v>
      </c>
      <c r="L5164">
        <v>141.56890000000001</v>
      </c>
      <c r="M5164">
        <v>-0.99995610000000001</v>
      </c>
      <c r="N5164">
        <v>-9.3614500000000003E-3</v>
      </c>
      <c r="O5164">
        <v>7.2652329999999996E-4</v>
      </c>
      <c r="P5164">
        <v>-0.98225340000000005</v>
      </c>
      <c r="Q5164">
        <v>0.18198980000000001</v>
      </c>
      <c r="R5164">
        <v>4.5372019999999999E-2</v>
      </c>
      <c r="S5164">
        <v>-3.0522770000000001</v>
      </c>
      <c r="T5164">
        <v>-6.4848659999999997E-3</v>
      </c>
      <c r="U5164">
        <v>4.4708249999999998E-2</v>
      </c>
      <c r="V5164">
        <v>4.5397060000000003E-2</v>
      </c>
      <c r="W5164">
        <v>0.19100339999999999</v>
      </c>
      <c r="X5164">
        <v>0.98053900000000005</v>
      </c>
      <c r="Y5164">
        <v>1.3919310000000001E-2</v>
      </c>
      <c r="Z5164" s="1">
        <v>8.5201060000000004E-5</v>
      </c>
      <c r="AA5164">
        <v>0.99990310000000004</v>
      </c>
      <c r="AB5164">
        <v>43</v>
      </c>
      <c r="AC5164">
        <v>-3.0522770000000001</v>
      </c>
      <c r="AD5164">
        <v>-6.4848659999999997E-3</v>
      </c>
      <c r="AE5164">
        <v>4.4708249999999998E-2</v>
      </c>
      <c r="AF5164">
        <v>4.2490399314454301E-2</v>
      </c>
      <c r="AG5164">
        <v>-6.4848659999999997E-3</v>
      </c>
      <c r="AH5164">
        <v>3.05229490251326</v>
      </c>
      <c r="AI5164">
        <v>90.121717890661998</v>
      </c>
      <c r="AJ5164">
        <v>89.202448195325204</v>
      </c>
      <c r="AK5164">
        <v>3.0525975266040799</v>
      </c>
      <c r="AL5164">
        <v>78.988652307317096</v>
      </c>
      <c r="AM5164">
        <v>87.3492090982717</v>
      </c>
      <c r="AN5164">
        <v>0.99999996119460099</v>
      </c>
    </row>
    <row r="5165" spans="1:40" x14ac:dyDescent="0.25">
      <c r="A5165" t="str">
        <f>"20190303170356161"</f>
        <v>20190303170356161</v>
      </c>
      <c r="B5165" t="str">
        <f>"1551603836150771"</f>
        <v>1551603836150771</v>
      </c>
      <c r="C5165" t="s">
        <v>40</v>
      </c>
      <c r="D5165">
        <v>3.8798550000000001</v>
      </c>
      <c r="E5165">
        <v>0.49376890000000001</v>
      </c>
      <c r="F5165" t="s">
        <v>48</v>
      </c>
      <c r="G5165">
        <v>0</v>
      </c>
      <c r="H5165">
        <v>0</v>
      </c>
      <c r="I5165">
        <v>0</v>
      </c>
      <c r="J5165">
        <v>-286.97160000000002</v>
      </c>
      <c r="K5165">
        <v>1.1190910000000001</v>
      </c>
      <c r="L5165">
        <v>141.5703</v>
      </c>
      <c r="M5165">
        <v>-0.99995369999999995</v>
      </c>
      <c r="N5165">
        <v>-9.3750989999999996E-3</v>
      </c>
      <c r="O5165">
        <v>2.2192090000000002E-3</v>
      </c>
      <c r="P5165">
        <v>-0.98225530000000005</v>
      </c>
      <c r="Q5165">
        <v>0.1817115</v>
      </c>
      <c r="R5165">
        <v>4.6428259999999999E-2</v>
      </c>
      <c r="S5165">
        <v>-3.0522770000000001</v>
      </c>
      <c r="T5165">
        <v>-2.147913E-3</v>
      </c>
      <c r="U5165">
        <v>4.9942019999999997E-2</v>
      </c>
      <c r="V5165">
        <v>4.4998950000000003E-2</v>
      </c>
      <c r="W5165">
        <v>0.19073799999999999</v>
      </c>
      <c r="X5165">
        <v>0.98060910000000001</v>
      </c>
      <c r="Y5165">
        <v>1.4141010000000001E-2</v>
      </c>
      <c r="Z5165" s="1">
        <v>9.0510880000000006E-5</v>
      </c>
      <c r="AA5165">
        <v>0.99990000000000001</v>
      </c>
      <c r="AB5165">
        <v>43</v>
      </c>
      <c r="AC5165">
        <v>-3.0522770000000001</v>
      </c>
      <c r="AD5165">
        <v>-2.147913E-3</v>
      </c>
      <c r="AE5165">
        <v>4.9942019999999997E-2</v>
      </c>
      <c r="AF5165">
        <v>4.3167938097337898E-2</v>
      </c>
      <c r="AG5165">
        <v>-2.147913E-3</v>
      </c>
      <c r="AH5165">
        <v>3.0523788087584101</v>
      </c>
      <c r="AI5165">
        <v>90.040314139177497</v>
      </c>
      <c r="AJ5165">
        <v>89.189754633144105</v>
      </c>
      <c r="AK5165">
        <v>3.0526847981026899</v>
      </c>
      <c r="AL5165">
        <v>79.004144381647805</v>
      </c>
      <c r="AM5165">
        <v>87.372610086345205</v>
      </c>
      <c r="AN5165">
        <v>1.00000004857395</v>
      </c>
    </row>
    <row r="5166" spans="1:40" x14ac:dyDescent="0.25">
      <c r="A5166" t="str">
        <f>"20190303170356182"</f>
        <v>20190303170356182</v>
      </c>
      <c r="B5166" t="str">
        <f>"1551603836171267"</f>
        <v>1551603836171267</v>
      </c>
      <c r="C5166" t="s">
        <v>40</v>
      </c>
      <c r="D5166">
        <v>3.9359839999999999</v>
      </c>
      <c r="E5166">
        <v>0.49382920000000002</v>
      </c>
      <c r="F5166" t="s">
        <v>48</v>
      </c>
      <c r="G5166">
        <v>0</v>
      </c>
      <c r="H5166">
        <v>0</v>
      </c>
      <c r="I5166">
        <v>0</v>
      </c>
      <c r="J5166">
        <v>-287.38200000000001</v>
      </c>
      <c r="K5166">
        <v>1.119073</v>
      </c>
      <c r="L5166">
        <v>141.57220000000001</v>
      </c>
      <c r="M5166">
        <v>-0.99994950000000005</v>
      </c>
      <c r="N5166">
        <v>-9.3820009999999992E-3</v>
      </c>
      <c r="O5166">
        <v>3.6293219999999999E-3</v>
      </c>
      <c r="P5166">
        <v>-0.98246359999999999</v>
      </c>
      <c r="Q5166">
        <v>0.1803979</v>
      </c>
      <c r="R5166">
        <v>4.7137480000000002E-2</v>
      </c>
      <c r="S5166">
        <v>-3.0523069999999999</v>
      </c>
      <c r="T5166">
        <v>-3.3938879999999999E-3</v>
      </c>
      <c r="U5166">
        <v>5.3482059999999998E-2</v>
      </c>
      <c r="V5166">
        <v>4.4323080000000001E-2</v>
      </c>
      <c r="W5166">
        <v>0.18943470000000001</v>
      </c>
      <c r="X5166">
        <v>0.9808924</v>
      </c>
      <c r="Y5166">
        <v>1.389016E-2</v>
      </c>
      <c r="Z5166">
        <v>1.029008E-4</v>
      </c>
      <c r="AA5166">
        <v>0.99990349999999995</v>
      </c>
      <c r="AB5166">
        <v>43</v>
      </c>
      <c r="AC5166">
        <v>-3.0523069999999999</v>
      </c>
      <c r="AD5166">
        <v>-3.3938879999999999E-3</v>
      </c>
      <c r="AE5166">
        <v>5.3482059999999998E-2</v>
      </c>
      <c r="AF5166">
        <v>4.2403363892053E-2</v>
      </c>
      <c r="AG5166">
        <v>-3.3938879999999999E-3</v>
      </c>
      <c r="AH5166">
        <v>3.0524772351014602</v>
      </c>
      <c r="AI5166">
        <v>90.063697975081098</v>
      </c>
      <c r="AJ5166">
        <v>89.204129190392507</v>
      </c>
      <c r="AK5166">
        <v>3.0527736297599599</v>
      </c>
      <c r="AL5166">
        <v>79.080203892604899</v>
      </c>
      <c r="AM5166">
        <v>87.412765032347295</v>
      </c>
      <c r="AN5166">
        <v>0.999999970681267</v>
      </c>
    </row>
    <row r="5167" spans="1:40" x14ac:dyDescent="0.25">
      <c r="A5167" t="str">
        <f>"20190303170356205"</f>
        <v>20190303170356205</v>
      </c>
      <c r="B5167" t="str">
        <f>"1551603836190787"</f>
        <v>1551603836190787</v>
      </c>
      <c r="C5167" t="s">
        <v>40</v>
      </c>
      <c r="D5167">
        <v>3.8982019999999999</v>
      </c>
      <c r="E5167">
        <v>0.49387940000000002</v>
      </c>
      <c r="F5167" t="s">
        <v>48</v>
      </c>
      <c r="G5167">
        <v>0</v>
      </c>
      <c r="H5167">
        <v>0</v>
      </c>
      <c r="I5167">
        <v>0</v>
      </c>
      <c r="J5167">
        <v>-287.82639999999998</v>
      </c>
      <c r="K5167">
        <v>1.119075</v>
      </c>
      <c r="L5167">
        <v>141.57490000000001</v>
      </c>
      <c r="M5167">
        <v>-0.99994300000000003</v>
      </c>
      <c r="N5167">
        <v>-9.3826940000000005E-3</v>
      </c>
      <c r="O5167">
        <v>5.1073990000000003E-3</v>
      </c>
      <c r="P5167">
        <v>-0.98242260000000003</v>
      </c>
      <c r="Q5167">
        <v>0.18006320000000001</v>
      </c>
      <c r="R5167">
        <v>4.922381E-2</v>
      </c>
      <c r="S5167">
        <v>-3.0523069999999999</v>
      </c>
      <c r="T5167">
        <v>-7.8380110000000006E-3</v>
      </c>
      <c r="U5167">
        <v>5.5969240000000003E-2</v>
      </c>
      <c r="V5167">
        <v>4.4953779999999999E-2</v>
      </c>
      <c r="W5167">
        <v>0.18909899999999999</v>
      </c>
      <c r="X5167">
        <v>0.98092849999999998</v>
      </c>
      <c r="Y5167">
        <v>1.322653E-2</v>
      </c>
      <c r="Z5167">
        <v>1.138432E-4</v>
      </c>
      <c r="AA5167">
        <v>0.99991249999999998</v>
      </c>
      <c r="AB5167">
        <v>43</v>
      </c>
      <c r="AC5167">
        <v>-3.0523069999999999</v>
      </c>
      <c r="AD5167">
        <v>-7.8380110000000006E-3</v>
      </c>
      <c r="AE5167">
        <v>5.5969240000000003E-2</v>
      </c>
      <c r="AF5167">
        <v>4.03782087651448E-2</v>
      </c>
      <c r="AG5167">
        <v>-7.8380110000000006E-3</v>
      </c>
      <c r="AH5167">
        <v>3.05253293360024</v>
      </c>
      <c r="AI5167">
        <v>90.147105596966</v>
      </c>
      <c r="AJ5167">
        <v>89.242148708335705</v>
      </c>
      <c r="AK5167">
        <v>3.0528100407450198</v>
      </c>
      <c r="AL5167">
        <v>79.0997924331718</v>
      </c>
      <c r="AM5167">
        <v>87.376097225199203</v>
      </c>
      <c r="AN5167">
        <v>0.99999999812476903</v>
      </c>
    </row>
    <row r="5168" spans="1:40" x14ac:dyDescent="0.25">
      <c r="A5168" t="str">
        <f>"20190303170356219"</f>
        <v>20190303170356219</v>
      </c>
      <c r="B5168" t="str">
        <f>"1551603836211287"</f>
        <v>1551603836211287</v>
      </c>
      <c r="C5168" t="s">
        <v>40</v>
      </c>
      <c r="D5168">
        <v>3.921732</v>
      </c>
      <c r="E5168">
        <v>0.49390689999999998</v>
      </c>
      <c r="F5168" t="s">
        <v>48</v>
      </c>
      <c r="G5168">
        <v>0</v>
      </c>
      <c r="H5168">
        <v>0</v>
      </c>
      <c r="I5168">
        <v>0</v>
      </c>
      <c r="J5168">
        <v>-288.09449999999998</v>
      </c>
      <c r="K5168">
        <v>1.1190850000000001</v>
      </c>
      <c r="L5168">
        <v>141.57679999999999</v>
      </c>
      <c r="M5168">
        <v>-0.99993829999999995</v>
      </c>
      <c r="N5168">
        <v>-9.3808160000000002E-3</v>
      </c>
      <c r="O5168">
        <v>5.9678739999999997E-3</v>
      </c>
      <c r="P5168">
        <v>-0.982325</v>
      </c>
      <c r="Q5168">
        <v>0.1803572</v>
      </c>
      <c r="R5168">
        <v>5.0091299999999998E-2</v>
      </c>
      <c r="S5168">
        <v>-3.0522459999999998</v>
      </c>
      <c r="T5168">
        <v>-9.2279909999999996E-3</v>
      </c>
      <c r="U5168">
        <v>6.2332150000000003E-2</v>
      </c>
      <c r="V5168">
        <v>4.4971440000000001E-2</v>
      </c>
      <c r="W5168">
        <v>0.18939210000000001</v>
      </c>
      <c r="X5168">
        <v>0.9808711</v>
      </c>
      <c r="Y5168">
        <v>1.4450070000000001E-2</v>
      </c>
      <c r="Z5168">
        <v>1.2756700000000001E-4</v>
      </c>
      <c r="AA5168">
        <v>0.9998956</v>
      </c>
      <c r="AB5168">
        <v>43</v>
      </c>
      <c r="AC5168">
        <v>-3.0522459999999998</v>
      </c>
      <c r="AD5168">
        <v>-9.2279909999999996E-3</v>
      </c>
      <c r="AE5168">
        <v>6.2332150000000003E-2</v>
      </c>
      <c r="AF5168">
        <v>4.41144177535003E-2</v>
      </c>
      <c r="AG5168">
        <v>-9.2279909999999996E-3</v>
      </c>
      <c r="AH5168">
        <v>3.0525357574128802</v>
      </c>
      <c r="AI5168">
        <v>90.173189821662206</v>
      </c>
      <c r="AJ5168">
        <v>89.172034592617194</v>
      </c>
      <c r="AK5168">
        <v>3.0528684524485898</v>
      </c>
      <c r="AL5168">
        <v>79.082689534272205</v>
      </c>
      <c r="AM5168">
        <v>87.374914477242001</v>
      </c>
      <c r="AN5168">
        <v>0.99999995638664496</v>
      </c>
    </row>
    <row r="5169" spans="1:40" x14ac:dyDescent="0.25">
      <c r="A5169" t="str">
        <f>"20190303170356238"</f>
        <v>20190303170356238</v>
      </c>
      <c r="B5169" t="str">
        <f>"1551603836230802"</f>
        <v>1551603836230802</v>
      </c>
      <c r="C5169" t="s">
        <v>40</v>
      </c>
      <c r="D5169">
        <v>3.9213689999999999</v>
      </c>
      <c r="E5169">
        <v>0.4939248</v>
      </c>
      <c r="F5169" t="s">
        <v>48</v>
      </c>
      <c r="G5169">
        <v>0</v>
      </c>
      <c r="H5169">
        <v>0</v>
      </c>
      <c r="I5169">
        <v>0</v>
      </c>
      <c r="J5169">
        <v>-288.47710000000001</v>
      </c>
      <c r="K5169">
        <v>1.119113</v>
      </c>
      <c r="L5169">
        <v>141.57990000000001</v>
      </c>
      <c r="M5169">
        <v>-0.99993069999999895</v>
      </c>
      <c r="N5169">
        <v>-9.3762020000000001E-3</v>
      </c>
      <c r="O5169">
        <v>7.1346259999999998E-3</v>
      </c>
      <c r="P5169">
        <v>-0.98215989999999997</v>
      </c>
      <c r="Q5169">
        <v>0.1806605</v>
      </c>
      <c r="R5169">
        <v>5.2190809999999997E-2</v>
      </c>
      <c r="S5169">
        <v>-3.0522459999999998</v>
      </c>
      <c r="T5169">
        <v>-8.4604019999999901E-3</v>
      </c>
      <c r="U5169">
        <v>6.480408E-2</v>
      </c>
      <c r="V5169">
        <v>4.5910279999999998E-2</v>
      </c>
      <c r="W5169">
        <v>0.18968989999999999</v>
      </c>
      <c r="X5169">
        <v>0.98077009999999998</v>
      </c>
      <c r="Y5169">
        <v>1.409287E-2</v>
      </c>
      <c r="Z5169">
        <v>1.327259E-4</v>
      </c>
      <c r="AA5169">
        <v>0.99990069999999998</v>
      </c>
      <c r="AB5169">
        <v>43</v>
      </c>
      <c r="AC5169">
        <v>-3.0522459999999998</v>
      </c>
      <c r="AD5169">
        <v>-8.4604019999999901E-3</v>
      </c>
      <c r="AE5169">
        <v>6.480408E-2</v>
      </c>
      <c r="AF5169">
        <v>4.3024511504907999E-2</v>
      </c>
      <c r="AG5169">
        <v>-8.4604019999999901E-3</v>
      </c>
      <c r="AH5169">
        <v>3.0526072380107299</v>
      </c>
      <c r="AI5169">
        <v>90.158780972681399</v>
      </c>
      <c r="AJ5169">
        <v>89.192506759196405</v>
      </c>
      <c r="AK5169">
        <v>3.05292214714816</v>
      </c>
      <c r="AL5169">
        <v>79.065312329950402</v>
      </c>
      <c r="AM5169">
        <v>87.319915752623899</v>
      </c>
      <c r="AN5169">
        <v>1.00000000051284</v>
      </c>
    </row>
    <row r="5170" spans="1:40" x14ac:dyDescent="0.25">
      <c r="A5170" t="str">
        <f>"20190303170356261"</f>
        <v>20190303170356261</v>
      </c>
      <c r="B5170" t="str">
        <f>"1551603836251299"</f>
        <v>1551603836251299</v>
      </c>
      <c r="C5170" t="s">
        <v>40</v>
      </c>
      <c r="D5170">
        <v>3.9294600000000002</v>
      </c>
      <c r="E5170">
        <v>0.49391629999999997</v>
      </c>
      <c r="F5170" t="s">
        <v>48</v>
      </c>
      <c r="G5170">
        <v>0</v>
      </c>
      <c r="H5170">
        <v>0</v>
      </c>
      <c r="I5170">
        <v>0</v>
      </c>
      <c r="J5170">
        <v>-288.90269999999998</v>
      </c>
      <c r="K5170">
        <v>1.1191719999999901</v>
      </c>
      <c r="L5170">
        <v>141.5838</v>
      </c>
      <c r="M5170">
        <v>-0.99992139999999996</v>
      </c>
      <c r="N5170">
        <v>-9.370293E-3</v>
      </c>
      <c r="O5170">
        <v>8.3345750000000003E-3</v>
      </c>
      <c r="P5170">
        <v>-0.98213130000000004</v>
      </c>
      <c r="Q5170">
        <v>0.18042150000000001</v>
      </c>
      <c r="R5170">
        <v>5.3539459999999997E-2</v>
      </c>
      <c r="S5170">
        <v>-3.0521240000000001</v>
      </c>
      <c r="T5170">
        <v>-7.3846579999999997E-3</v>
      </c>
      <c r="U5170">
        <v>7.0449830000000005E-2</v>
      </c>
      <c r="V5170">
        <v>4.6050769999999998E-2</v>
      </c>
      <c r="W5170">
        <v>0.1894516</v>
      </c>
      <c r="X5170">
        <v>0.98080959999999995</v>
      </c>
      <c r="Y5170">
        <v>1.474255E-2</v>
      </c>
      <c r="Z5170">
        <v>1.4484409999999999E-4</v>
      </c>
      <c r="AA5170">
        <v>0.99989130000000004</v>
      </c>
      <c r="AB5170">
        <v>43</v>
      </c>
      <c r="AC5170">
        <v>-3.0521240000000001</v>
      </c>
      <c r="AD5170">
        <v>-7.3846579999999997E-3</v>
      </c>
      <c r="AE5170">
        <v>7.0449830000000005E-2</v>
      </c>
      <c r="AF5170">
        <v>4.5007847212580103E-2</v>
      </c>
      <c r="AG5170">
        <v>-7.3846579999999997E-3</v>
      </c>
      <c r="AH5170">
        <v>3.0525873154132599</v>
      </c>
      <c r="AI5170">
        <v>90.138591589765696</v>
      </c>
      <c r="AJ5170">
        <v>89.155282852757594</v>
      </c>
      <c r="AK5170">
        <v>3.0529280302205701</v>
      </c>
      <c r="AL5170">
        <v>79.079218356737897</v>
      </c>
      <c r="AM5170">
        <v>87.311834547972694</v>
      </c>
      <c r="AN5170">
        <v>1.00000002680615</v>
      </c>
    </row>
    <row r="5171" spans="1:40" x14ac:dyDescent="0.25">
      <c r="A5171" t="str">
        <f>"20190303170356295"</f>
        <v>20190303170356295</v>
      </c>
      <c r="B5171" t="str">
        <f>"1551603836280579"</f>
        <v>1551603836280579</v>
      </c>
      <c r="C5171" t="s">
        <v>40</v>
      </c>
      <c r="D5171">
        <v>3.897221</v>
      </c>
      <c r="E5171">
        <v>0.49389680000000002</v>
      </c>
      <c r="F5171" t="s">
        <v>48</v>
      </c>
      <c r="G5171">
        <v>0</v>
      </c>
      <c r="H5171">
        <v>0</v>
      </c>
      <c r="I5171">
        <v>0</v>
      </c>
      <c r="J5171">
        <v>-289.55419999999998</v>
      </c>
      <c r="K5171">
        <v>1.119286</v>
      </c>
      <c r="L5171">
        <v>141.59049999999999</v>
      </c>
      <c r="M5171">
        <v>-0.99990659999999998</v>
      </c>
      <c r="N5171">
        <v>-9.3623170000000002E-3</v>
      </c>
      <c r="O5171">
        <v>9.9663600000000005E-3</v>
      </c>
      <c r="P5171">
        <v>-0.9823596</v>
      </c>
      <c r="Q5171">
        <v>0.17941170000000001</v>
      </c>
      <c r="R5171">
        <v>5.2738170000000001E-2</v>
      </c>
      <c r="S5171">
        <v>-3.0520320000000001</v>
      </c>
      <c r="T5171">
        <v>-8.0630779999999996E-3</v>
      </c>
      <c r="U5171">
        <v>7.3776250000000002E-2</v>
      </c>
      <c r="V5171">
        <v>4.3582200000000001E-2</v>
      </c>
      <c r="W5171">
        <v>0.1884594</v>
      </c>
      <c r="X5171">
        <v>0.98111349999999997</v>
      </c>
      <c r="Y5171">
        <v>1.420068E-2</v>
      </c>
      <c r="Z5171">
        <v>1.5221890000000001E-4</v>
      </c>
      <c r="AA5171">
        <v>0.99989910000000004</v>
      </c>
      <c r="AB5171">
        <v>43</v>
      </c>
      <c r="AC5171">
        <v>-3.0520320000000001</v>
      </c>
      <c r="AD5171">
        <v>-8.0630779999999996E-3</v>
      </c>
      <c r="AE5171">
        <v>7.3776250000000002E-2</v>
      </c>
      <c r="AF5171">
        <v>4.33533032060451E-2</v>
      </c>
      <c r="AG5171">
        <v>-8.0630779999999996E-3</v>
      </c>
      <c r="AH5171">
        <v>3.0525944260736599</v>
      </c>
      <c r="AI5171">
        <v>90.151324616715996</v>
      </c>
      <c r="AJ5171">
        <v>89.186333338111794</v>
      </c>
      <c r="AK5171">
        <v>3.0529129126494401</v>
      </c>
      <c r="AL5171">
        <v>79.137110111877107</v>
      </c>
      <c r="AM5171">
        <v>87.456527078000605</v>
      </c>
      <c r="AN5171">
        <v>1.0000000267437199</v>
      </c>
    </row>
    <row r="5172" spans="1:40" x14ac:dyDescent="0.25">
      <c r="A5172" t="str">
        <f>"20190303170356317"</f>
        <v>20190303170356317</v>
      </c>
      <c r="B5172" t="str">
        <f>"1551603836310835"</f>
        <v>1551603836310835</v>
      </c>
      <c r="C5172" t="s">
        <v>40</v>
      </c>
      <c r="D5172">
        <v>3.8806349999999998</v>
      </c>
      <c r="E5172">
        <v>0.49385430000000002</v>
      </c>
      <c r="F5172" t="s">
        <v>48</v>
      </c>
      <c r="G5172">
        <v>0</v>
      </c>
      <c r="H5172">
        <v>0</v>
      </c>
      <c r="I5172">
        <v>0</v>
      </c>
      <c r="J5172">
        <v>-290.00279999999998</v>
      </c>
      <c r="K5172">
        <v>1.119389</v>
      </c>
      <c r="L5172">
        <v>141.59569999999999</v>
      </c>
      <c r="M5172">
        <v>-0.99989680000000003</v>
      </c>
      <c r="N5172">
        <v>-9.3586710000000007E-3</v>
      </c>
      <c r="O5172">
        <v>1.0906529999999999E-2</v>
      </c>
      <c r="P5172">
        <v>-0.98249560000000002</v>
      </c>
      <c r="Q5172">
        <v>0.17882519999999999</v>
      </c>
      <c r="R5172">
        <v>5.2191620000000001E-2</v>
      </c>
      <c r="S5172">
        <v>-3.0520939999999999</v>
      </c>
      <c r="T5172">
        <v>-1.0964750000000001E-2</v>
      </c>
      <c r="U5172">
        <v>7.0678710000000006E-2</v>
      </c>
      <c r="V5172">
        <v>4.2059300000000001E-2</v>
      </c>
      <c r="W5172">
        <v>0.18788659999999999</v>
      </c>
      <c r="X5172">
        <v>0.98128979999999999</v>
      </c>
      <c r="Y5172">
        <v>1.224568E-2</v>
      </c>
      <c r="Z5172">
        <v>1.4219429999999999E-4</v>
      </c>
      <c r="AA5172">
        <v>0.99992499999999995</v>
      </c>
      <c r="AB5172">
        <v>43</v>
      </c>
      <c r="AC5172">
        <v>-3.0520939999999999</v>
      </c>
      <c r="AD5172">
        <v>-1.0964750000000001E-2</v>
      </c>
      <c r="AE5172">
        <v>7.0678710000000006E-2</v>
      </c>
      <c r="AF5172">
        <v>3.7384813406309898E-2</v>
      </c>
      <c r="AG5172">
        <v>-1.0964750000000001E-2</v>
      </c>
      <c r="AH5172">
        <v>3.0526439677396202</v>
      </c>
      <c r="AI5172">
        <v>90.205783608391002</v>
      </c>
      <c r="AJ5172">
        <v>89.298350881452905</v>
      </c>
      <c r="AK5172">
        <v>3.05289256997247</v>
      </c>
      <c r="AL5172">
        <v>79.170525955708001</v>
      </c>
      <c r="AM5172">
        <v>87.545733868620601</v>
      </c>
      <c r="AN5172">
        <v>1.0000000153800399</v>
      </c>
    </row>
    <row r="5173" spans="1:40" x14ac:dyDescent="0.25">
      <c r="A5173" t="str">
        <f>"20190303170356339"</f>
        <v>20190303170356339</v>
      </c>
      <c r="B5173" t="str">
        <f>"1551603836330355"</f>
        <v>1551603836330355</v>
      </c>
      <c r="C5173" t="s">
        <v>40</v>
      </c>
      <c r="D5173">
        <v>3.8851270000000002</v>
      </c>
      <c r="E5173">
        <v>0.49383320000000003</v>
      </c>
      <c r="F5173" t="s">
        <v>48</v>
      </c>
      <c r="G5173">
        <v>0</v>
      </c>
      <c r="H5173">
        <v>0</v>
      </c>
      <c r="I5173">
        <v>0</v>
      </c>
      <c r="J5173">
        <v>-290.42020000000002</v>
      </c>
      <c r="K5173">
        <v>1.1195059999999999</v>
      </c>
      <c r="L5173">
        <v>141.60069999999999</v>
      </c>
      <c r="M5173">
        <v>-0.99988840000000001</v>
      </c>
      <c r="N5173">
        <v>-9.3597730000000001E-3</v>
      </c>
      <c r="O5173">
        <v>1.1649120000000001E-2</v>
      </c>
      <c r="P5173">
        <v>-0.98263699999999998</v>
      </c>
      <c r="Q5173">
        <v>0.17824599999999999</v>
      </c>
      <c r="R5173">
        <v>5.1508150000000003E-2</v>
      </c>
      <c r="S5173">
        <v>-3.0521240000000001</v>
      </c>
      <c r="T5173">
        <v>-1.268816E-2</v>
      </c>
      <c r="U5173">
        <v>6.8359379999999997E-2</v>
      </c>
      <c r="V5173">
        <v>4.0592980000000001E-2</v>
      </c>
      <c r="W5173">
        <v>0.18732499999999999</v>
      </c>
      <c r="X5173">
        <v>0.98145890000000002</v>
      </c>
      <c r="Y5173">
        <v>1.0743330000000001E-2</v>
      </c>
      <c r="Z5173">
        <v>1.3322289999999999E-4</v>
      </c>
      <c r="AA5173">
        <v>0.99994229999999995</v>
      </c>
      <c r="AB5173">
        <v>43</v>
      </c>
      <c r="AC5173">
        <v>-3.0521240000000001</v>
      </c>
      <c r="AD5173">
        <v>-1.268816E-2</v>
      </c>
      <c r="AE5173">
        <v>6.8359379999999997E-2</v>
      </c>
      <c r="AF5173">
        <v>3.2798060566124901E-2</v>
      </c>
      <c r="AG5173">
        <v>-1.268816E-2</v>
      </c>
      <c r="AH5173">
        <v>3.0526605171500698</v>
      </c>
      <c r="AI5173">
        <v>90.238130598597394</v>
      </c>
      <c r="AJ5173">
        <v>89.384432650572194</v>
      </c>
      <c r="AK5173">
        <v>3.0528630717980199</v>
      </c>
      <c r="AL5173">
        <v>79.203284850994805</v>
      </c>
      <c r="AM5173">
        <v>87.631605777308707</v>
      </c>
      <c r="AN5173">
        <v>1.0000000090197401</v>
      </c>
    </row>
    <row r="5174" spans="1:40" x14ac:dyDescent="0.25">
      <c r="A5174" t="str">
        <f>"20190303170356360"</f>
        <v>20190303170356360</v>
      </c>
      <c r="B5174" t="str">
        <f>"1551603836350852"</f>
        <v>1551603836350852</v>
      </c>
      <c r="C5174" t="s">
        <v>40</v>
      </c>
      <c r="D5174">
        <v>3.8714179999999998</v>
      </c>
      <c r="E5174">
        <v>0.4938382</v>
      </c>
      <c r="F5174" t="s">
        <v>44</v>
      </c>
      <c r="G5174">
        <v>-538.33199999999999</v>
      </c>
      <c r="H5174">
        <v>-0.05</v>
      </c>
      <c r="I5174">
        <v>146.9623</v>
      </c>
      <c r="J5174">
        <v>-290.83069999999998</v>
      </c>
      <c r="K5174">
        <v>1.119621</v>
      </c>
      <c r="L5174">
        <v>141.60589999999999</v>
      </c>
      <c r="M5174">
        <v>-0.99988080000000001</v>
      </c>
      <c r="N5174">
        <v>-9.3658860000000003E-3</v>
      </c>
      <c r="O5174">
        <v>1.227229E-2</v>
      </c>
      <c r="P5174">
        <v>-0.98266039999999999</v>
      </c>
      <c r="Q5174">
        <v>0.17845429999999901</v>
      </c>
      <c r="R5174">
        <v>5.0325259999999997E-2</v>
      </c>
      <c r="S5174">
        <v>-3.0521850000000001</v>
      </c>
      <c r="T5174">
        <v>-1.439846E-2</v>
      </c>
      <c r="U5174">
        <v>6.6009520000000002E-2</v>
      </c>
      <c r="V5174">
        <v>3.8749579999999999E-2</v>
      </c>
      <c r="W5174">
        <v>0.187555</v>
      </c>
      <c r="X5174">
        <v>0.98148950000000001</v>
      </c>
      <c r="Y5174">
        <v>9.3501520000000005E-3</v>
      </c>
      <c r="Z5174">
        <v>1.2289770000000001E-4</v>
      </c>
      <c r="AA5174">
        <v>0.99995630000000002</v>
      </c>
      <c r="AB5174">
        <v>43</v>
      </c>
      <c r="AC5174">
        <v>-247.50129999999999</v>
      </c>
      <c r="AD5174">
        <v>-1.169621</v>
      </c>
      <c r="AE5174">
        <v>5.3563999999999998</v>
      </c>
      <c r="AF5174">
        <v>2.3184037922764298</v>
      </c>
      <c r="AG5174">
        <v>-1.169621</v>
      </c>
      <c r="AH5174">
        <v>247.54287222932899</v>
      </c>
      <c r="AI5174">
        <v>90.270704257371193</v>
      </c>
      <c r="AJ5174">
        <v>89.4634025709761</v>
      </c>
      <c r="AK5174">
        <v>247.55649173668101</v>
      </c>
      <c r="AL5174">
        <v>79.189869196850296</v>
      </c>
      <c r="AM5174">
        <v>87.739114953589393</v>
      </c>
      <c r="AN5174">
        <v>1.00000002329271</v>
      </c>
    </row>
    <row r="5175" spans="1:40" x14ac:dyDescent="0.25">
      <c r="A5175" t="str">
        <f>"20190303170356383"</f>
        <v>20190303170356383</v>
      </c>
      <c r="B5175" t="str">
        <f>"1551603836370371"</f>
        <v>1551603836370371</v>
      </c>
      <c r="C5175" t="s">
        <v>40</v>
      </c>
      <c r="D5175">
        <v>3.8593099999999998</v>
      </c>
      <c r="E5175">
        <v>0.4938495</v>
      </c>
      <c r="F5175" t="s">
        <v>44</v>
      </c>
      <c r="G5175">
        <v>-542.55970000000002</v>
      </c>
      <c r="H5175">
        <v>-0.05</v>
      </c>
      <c r="I5175">
        <v>146.81950000000001</v>
      </c>
      <c r="J5175">
        <v>-291.26159999999999</v>
      </c>
      <c r="K5175">
        <v>1.119734</v>
      </c>
      <c r="L5175">
        <v>141.61160000000001</v>
      </c>
      <c r="M5175">
        <v>-0.99987389999999998</v>
      </c>
      <c r="N5175">
        <v>-9.3792279999999999E-3</v>
      </c>
      <c r="O5175">
        <v>1.282167E-2</v>
      </c>
      <c r="P5175">
        <v>-0.9825933</v>
      </c>
      <c r="Q5175">
        <v>0.17898320000000001</v>
      </c>
      <c r="R5175">
        <v>4.9755500000000001E-2</v>
      </c>
      <c r="S5175">
        <v>-3.0523069999999999</v>
      </c>
      <c r="T5175">
        <v>-1.418209E-2</v>
      </c>
      <c r="U5175">
        <v>6.3217159999999994E-2</v>
      </c>
      <c r="V5175">
        <v>3.759361E-2</v>
      </c>
      <c r="W5175">
        <v>0.1881091</v>
      </c>
      <c r="X5175">
        <v>0.98142839999999998</v>
      </c>
      <c r="Y5175">
        <v>7.8855319999999902E-3</v>
      </c>
      <c r="Z5175">
        <v>1.1599310000000001E-4</v>
      </c>
      <c r="AA5175">
        <v>0.99996890000000005</v>
      </c>
      <c r="AB5175">
        <v>43</v>
      </c>
      <c r="AC5175">
        <v>-251.29810000000001</v>
      </c>
      <c r="AD5175">
        <v>-1.1697340000000001</v>
      </c>
      <c r="AE5175">
        <v>5.2078999999999898</v>
      </c>
      <c r="AF5175">
        <v>1.9852261230341299</v>
      </c>
      <c r="AG5175">
        <v>-1.1697340000000001</v>
      </c>
      <c r="AH5175">
        <v>251.33877475808799</v>
      </c>
      <c r="AI5175">
        <v>90.266645077079701</v>
      </c>
      <c r="AJ5175">
        <v>89.547452584724198</v>
      </c>
      <c r="AK5175">
        <v>251.34933677510901</v>
      </c>
      <c r="AL5175">
        <v>79.157546135157503</v>
      </c>
      <c r="AM5175">
        <v>87.806357920463597</v>
      </c>
      <c r="AN5175">
        <v>1.0000000086711001</v>
      </c>
    </row>
    <row r="5176" spans="1:40" x14ac:dyDescent="0.25">
      <c r="A5176" t="str">
        <f>"20190303170356405"</f>
        <v>20190303170356405</v>
      </c>
      <c r="B5176" t="str">
        <f>"1551603836400627"</f>
        <v>1551603836400627</v>
      </c>
      <c r="C5176" t="s">
        <v>40</v>
      </c>
      <c r="D5176">
        <v>3.8551329999999999</v>
      </c>
      <c r="E5176">
        <v>0.4938864</v>
      </c>
      <c r="F5176" t="s">
        <v>48</v>
      </c>
      <c r="G5176">
        <v>0</v>
      </c>
      <c r="H5176">
        <v>0</v>
      </c>
      <c r="I5176">
        <v>0</v>
      </c>
      <c r="J5176">
        <v>-291.70429999999999</v>
      </c>
      <c r="K5176">
        <v>1.1198349999999999</v>
      </c>
      <c r="L5176">
        <v>141.61760000000001</v>
      </c>
      <c r="M5176">
        <v>-0.99986759999999997</v>
      </c>
      <c r="N5176">
        <v>-9.4007020000000004E-3</v>
      </c>
      <c r="O5176">
        <v>1.3290980000000001E-2</v>
      </c>
      <c r="P5176">
        <v>-0.98259680000000005</v>
      </c>
      <c r="Q5176">
        <v>0.17912449999999999</v>
      </c>
      <c r="R5176">
        <v>4.9174929999999999E-2</v>
      </c>
      <c r="S5176">
        <v>-3.0523380000000002</v>
      </c>
      <c r="T5176">
        <v>-1.282227E-2</v>
      </c>
      <c r="U5176">
        <v>6.2149049999999997E-2</v>
      </c>
      <c r="V5176">
        <v>3.6505709999999997E-2</v>
      </c>
      <c r="W5176">
        <v>0.18828329999999999</v>
      </c>
      <c r="X5176">
        <v>0.98143610000000003</v>
      </c>
      <c r="Y5176">
        <v>7.0662809999999998E-3</v>
      </c>
      <c r="Z5176">
        <v>1.1717739999999999E-4</v>
      </c>
      <c r="AA5176">
        <v>0.99997499999999995</v>
      </c>
      <c r="AB5176">
        <v>43</v>
      </c>
      <c r="AC5176">
        <v>-3.0523380000000002</v>
      </c>
      <c r="AD5176">
        <v>-1.282227E-2</v>
      </c>
      <c r="AE5176">
        <v>6.2149049999999997E-2</v>
      </c>
      <c r="AF5176">
        <v>2.1572828291546501E-2</v>
      </c>
      <c r="AG5176">
        <v>-1.282227E-2</v>
      </c>
      <c r="AH5176">
        <v>3.05284057415771</v>
      </c>
      <c r="AI5176">
        <v>90.240641224209995</v>
      </c>
      <c r="AJ5176">
        <v>89.595127419836004</v>
      </c>
      <c r="AK5176">
        <v>3.0529437218448798</v>
      </c>
      <c r="AL5176">
        <v>79.147383999829799</v>
      </c>
      <c r="AM5176">
        <v>87.869795819176403</v>
      </c>
      <c r="AN5176">
        <v>1.0000000431523499</v>
      </c>
    </row>
    <row r="5177" spans="1:40" x14ac:dyDescent="0.25">
      <c r="A5177" t="str">
        <f>"20190303170356428"</f>
        <v>20190303170356428</v>
      </c>
      <c r="B5177" t="str">
        <f>"1551603836421123"</f>
        <v>1551603836421123</v>
      </c>
      <c r="C5177" t="s">
        <v>40</v>
      </c>
      <c r="D5177">
        <v>3.8403350000000001</v>
      </c>
      <c r="E5177">
        <v>0.49391069999999998</v>
      </c>
      <c r="F5177" t="s">
        <v>48</v>
      </c>
      <c r="G5177">
        <v>0</v>
      </c>
      <c r="H5177">
        <v>0</v>
      </c>
      <c r="I5177">
        <v>0</v>
      </c>
      <c r="J5177">
        <v>-292.15109999999999</v>
      </c>
      <c r="K5177">
        <v>1.1199269999999999</v>
      </c>
      <c r="L5177">
        <v>141.62379999999999</v>
      </c>
      <c r="M5177">
        <v>-0.99986200000000003</v>
      </c>
      <c r="N5177">
        <v>-9.4268459999999991E-3</v>
      </c>
      <c r="O5177">
        <v>1.368838E-2</v>
      </c>
      <c r="P5177">
        <v>-0.98278810000000005</v>
      </c>
      <c r="Q5177">
        <v>0.17791029999999999</v>
      </c>
      <c r="R5177">
        <v>4.9757900000000001E-2</v>
      </c>
      <c r="S5177">
        <v>-3.052368</v>
      </c>
      <c r="T5177">
        <v>-1.284277E-2</v>
      </c>
      <c r="U5177">
        <v>6.1813350000000003E-2</v>
      </c>
      <c r="V5177">
        <v>3.6651259999999998E-2</v>
      </c>
      <c r="W5177">
        <v>0.18710389999999999</v>
      </c>
      <c r="X5177">
        <v>0.98165610000000003</v>
      </c>
      <c r="Y5177">
        <v>6.5587140000000002E-3</v>
      </c>
      <c r="Z5177">
        <v>1.1616669999999999E-4</v>
      </c>
      <c r="AA5177">
        <v>0.99997849999999999</v>
      </c>
      <c r="AB5177">
        <v>43</v>
      </c>
      <c r="AC5177">
        <v>-3.052368</v>
      </c>
      <c r="AD5177">
        <v>-1.284277E-2</v>
      </c>
      <c r="AE5177">
        <v>6.1813350000000003E-2</v>
      </c>
      <c r="AF5177">
        <v>2.0023379511190299E-2</v>
      </c>
      <c r="AG5177">
        <v>-1.284277E-2</v>
      </c>
      <c r="AH5177">
        <v>3.0528741371383701</v>
      </c>
      <c r="AI5177">
        <v>90.241024135941302</v>
      </c>
      <c r="AJ5177">
        <v>89.624210289930005</v>
      </c>
      <c r="AK5177">
        <v>3.05296681437527</v>
      </c>
      <c r="AL5177">
        <v>79.216180225779794</v>
      </c>
      <c r="AM5177">
        <v>87.861789324311104</v>
      </c>
      <c r="AN5177">
        <v>0.99999994146100202</v>
      </c>
    </row>
    <row r="5178" spans="1:40" x14ac:dyDescent="0.25">
      <c r="A5178" t="str">
        <f>"20190303170356450"</f>
        <v>20190303170356450</v>
      </c>
      <c r="B5178" t="str">
        <f>"1551603836440643"</f>
        <v>1551603836440643</v>
      </c>
      <c r="C5178" t="s">
        <v>40</v>
      </c>
      <c r="D5178">
        <v>3.8795850000000001</v>
      </c>
      <c r="E5178">
        <v>0.49392740000000002</v>
      </c>
      <c r="F5178" t="s">
        <v>75</v>
      </c>
      <c r="G5178">
        <v>-495.00880000000001</v>
      </c>
      <c r="H5178" s="1">
        <v>-7.5441869999999898E-6</v>
      </c>
      <c r="I5178">
        <v>145.86779999999999</v>
      </c>
      <c r="J5178">
        <v>-292.57310000000001</v>
      </c>
      <c r="K5178">
        <v>1.1199969999999999</v>
      </c>
      <c r="L5178">
        <v>141.62979999999999</v>
      </c>
      <c r="M5178">
        <v>-0.99985710000000005</v>
      </c>
      <c r="N5178">
        <v>-9.452673E-3</v>
      </c>
      <c r="O5178">
        <v>1.401283E-2</v>
      </c>
      <c r="P5178">
        <v>-0.98307069999999996</v>
      </c>
      <c r="Q5178">
        <v>0.1759086</v>
      </c>
      <c r="R5178">
        <v>5.1265150000000002E-2</v>
      </c>
      <c r="S5178">
        <v>-3.0523380000000002</v>
      </c>
      <c r="T5178">
        <v>-1.6851310000000001E-2</v>
      </c>
      <c r="U5178">
        <v>6.3858029999999996E-2</v>
      </c>
      <c r="V5178">
        <v>3.7797450000000003E-2</v>
      </c>
      <c r="W5178">
        <v>0.18513569999999999</v>
      </c>
      <c r="X5178">
        <v>0.98198580000000002</v>
      </c>
      <c r="Y5178">
        <v>6.9038229999999999E-3</v>
      </c>
      <c r="Z5178">
        <v>1.067978E-4</v>
      </c>
      <c r="AA5178">
        <v>0.99997619999999998</v>
      </c>
      <c r="AB5178">
        <v>44</v>
      </c>
      <c r="AC5178">
        <v>-202.4357</v>
      </c>
      <c r="AD5178">
        <v>-1.1200045441869999</v>
      </c>
      <c r="AE5178">
        <v>4.2380000000000004</v>
      </c>
      <c r="AF5178">
        <v>1.4007171119018</v>
      </c>
      <c r="AG5178">
        <v>-1.1200045441869999</v>
      </c>
      <c r="AH5178">
        <v>202.46901630827901</v>
      </c>
      <c r="AI5178">
        <v>90.316934138796199</v>
      </c>
      <c r="AJ5178">
        <v>89.603623804107499</v>
      </c>
      <c r="AK5178">
        <v>202.47695914214199</v>
      </c>
      <c r="AL5178">
        <v>79.330955820858705</v>
      </c>
      <c r="AM5178">
        <v>87.795725949627396</v>
      </c>
      <c r="AN5178">
        <v>0.99999999302131604</v>
      </c>
    </row>
    <row r="5179" spans="1:40" x14ac:dyDescent="0.25">
      <c r="A5179" t="str">
        <f>"20190303170356473"</f>
        <v>20190303170356473</v>
      </c>
      <c r="B5179" t="str">
        <f>"1551603836461139"</f>
        <v>1551603836461139</v>
      </c>
      <c r="C5179" t="s">
        <v>40</v>
      </c>
      <c r="D5179">
        <v>3.8609309999999999</v>
      </c>
      <c r="E5179">
        <v>0.49393110000000001</v>
      </c>
      <c r="F5179" t="s">
        <v>90</v>
      </c>
      <c r="G5179">
        <v>-438.95249999999999</v>
      </c>
      <c r="H5179" s="1">
        <v>-9.4482549999999992E-6</v>
      </c>
      <c r="I5179">
        <v>144.92939999999999</v>
      </c>
      <c r="J5179">
        <v>-293.02330000000001</v>
      </c>
      <c r="K5179">
        <v>1.1200650000000001</v>
      </c>
      <c r="L5179">
        <v>141.63640000000001</v>
      </c>
      <c r="M5179">
        <v>-0.99985250000000003</v>
      </c>
      <c r="N5179">
        <v>-9.4797849999999993E-3</v>
      </c>
      <c r="O5179">
        <v>1.4323249999999999E-2</v>
      </c>
      <c r="P5179">
        <v>-0.98327710000000002</v>
      </c>
      <c r="Q5179">
        <v>0.17441699999999999</v>
      </c>
      <c r="R5179">
        <v>5.2390199999999901E-2</v>
      </c>
      <c r="S5179">
        <v>-3.0522459999999998</v>
      </c>
      <c r="T5179">
        <v>-2.3353929999999998E-2</v>
      </c>
      <c r="U5179">
        <v>6.8801879999999996E-2</v>
      </c>
      <c r="V5179">
        <v>3.8580490000000002E-2</v>
      </c>
      <c r="W5179">
        <v>0.18367820000000001</v>
      </c>
      <c r="X5179">
        <v>0.98222909999999997</v>
      </c>
      <c r="Y5179">
        <v>8.2125859999999992E-3</v>
      </c>
      <c r="Z5179" s="1">
        <v>9.655481E-5</v>
      </c>
      <c r="AA5179">
        <v>0.99996629999999997</v>
      </c>
      <c r="AB5179">
        <v>44</v>
      </c>
      <c r="AC5179">
        <v>-145.92919999999901</v>
      </c>
      <c r="AD5179">
        <v>-1.12007444825499</v>
      </c>
      <c r="AE5179">
        <v>3.29299999999997</v>
      </c>
      <c r="AF5179">
        <v>1.20231707493875</v>
      </c>
      <c r="AG5179">
        <v>-1.12007444825499</v>
      </c>
      <c r="AH5179">
        <v>145.952803273358</v>
      </c>
      <c r="AI5179">
        <v>90.439677074726603</v>
      </c>
      <c r="AJ5179">
        <v>89.5280245784123</v>
      </c>
      <c r="AK5179">
        <v>145.96205300169601</v>
      </c>
      <c r="AL5179">
        <v>79.415922419025406</v>
      </c>
      <c r="AM5179">
        <v>87.750663757628203</v>
      </c>
      <c r="AN5179">
        <v>1.00000007012534</v>
      </c>
    </row>
    <row r="5180" spans="1:40" x14ac:dyDescent="0.25">
      <c r="A5180" t="str">
        <f>"20190303170356496"</f>
        <v>20190303170356496</v>
      </c>
      <c r="B5180" t="str">
        <f>"1551603836490419"</f>
        <v>1551603836490419</v>
      </c>
      <c r="C5180" t="s">
        <v>40</v>
      </c>
      <c r="D5180">
        <v>3.9068209999999999</v>
      </c>
      <c r="E5180">
        <v>0.49391819999999997</v>
      </c>
      <c r="F5180" t="s">
        <v>90</v>
      </c>
      <c r="G5180">
        <v>-414.93599999999998</v>
      </c>
      <c r="H5180" s="1">
        <v>-1.1969059999999999E-5</v>
      </c>
      <c r="I5180">
        <v>144.54060000000001</v>
      </c>
      <c r="J5180">
        <v>-293.46249999999998</v>
      </c>
      <c r="K5180">
        <v>1.12012</v>
      </c>
      <c r="L5180">
        <v>141.6429</v>
      </c>
      <c r="M5180">
        <v>-0.99984819999999996</v>
      </c>
      <c r="N5180">
        <v>-9.5082059999999999E-3</v>
      </c>
      <c r="O5180">
        <v>1.460325E-2</v>
      </c>
      <c r="P5180">
        <v>-0.98325600000000002</v>
      </c>
      <c r="Q5180">
        <v>0.1741857</v>
      </c>
      <c r="R5180">
        <v>5.3545240000000001E-2</v>
      </c>
      <c r="S5180">
        <v>-3.0521240000000001</v>
      </c>
      <c r="T5180">
        <v>-2.8041480000000001E-2</v>
      </c>
      <c r="U5180">
        <v>7.2708129999999996E-2</v>
      </c>
      <c r="V5180">
        <v>3.9434520000000001E-2</v>
      </c>
      <c r="W5180">
        <v>0.18347849999999999</v>
      </c>
      <c r="X5180">
        <v>0.98223249999999995</v>
      </c>
      <c r="Y5180">
        <v>9.2122890000000002E-3</v>
      </c>
      <c r="Z5180" s="1">
        <v>9.0824890000000004E-5</v>
      </c>
      <c r="AA5180">
        <v>0.9999576</v>
      </c>
      <c r="AB5180">
        <v>44</v>
      </c>
      <c r="AC5180">
        <v>-121.4735</v>
      </c>
      <c r="AD5180">
        <v>-1.12013196906</v>
      </c>
      <c r="AE5180">
        <v>2.8977000000000102</v>
      </c>
      <c r="AF5180">
        <v>1.1233075142365501</v>
      </c>
      <c r="AG5180">
        <v>-1.12013196906</v>
      </c>
      <c r="AH5180">
        <v>121.49253876825701</v>
      </c>
      <c r="AI5180">
        <v>90.528215755276094</v>
      </c>
      <c r="AJ5180">
        <v>89.4702642120033</v>
      </c>
      <c r="AK5180">
        <v>121.50289499331301</v>
      </c>
      <c r="AL5180">
        <v>79.427562123081699</v>
      </c>
      <c r="AM5180">
        <v>87.700932537688303</v>
      </c>
      <c r="AN5180">
        <v>1.0000000626930601</v>
      </c>
    </row>
    <row r="5181" spans="1:40" x14ac:dyDescent="0.25">
      <c r="A5181" t="str">
        <f>"20190303170356517"</f>
        <v>20190303170356517</v>
      </c>
      <c r="B5181" t="str">
        <f>"1551603836510916"</f>
        <v>1551603836510916</v>
      </c>
      <c r="C5181" t="s">
        <v>40</v>
      </c>
      <c r="D5181">
        <v>3.8541509999999999</v>
      </c>
      <c r="E5181">
        <v>0.49391469999999998</v>
      </c>
      <c r="F5181" t="s">
        <v>90</v>
      </c>
      <c r="G5181">
        <v>-412.84249999999997</v>
      </c>
      <c r="H5181" s="1">
        <v>-1.219957E-5</v>
      </c>
      <c r="I5181">
        <v>144.61279999999999</v>
      </c>
      <c r="J5181">
        <v>-293.89830000000001</v>
      </c>
      <c r="K5181">
        <v>1.1201680000000001</v>
      </c>
      <c r="L5181">
        <v>141.64949999999999</v>
      </c>
      <c r="M5181">
        <v>-0.99984399999999996</v>
      </c>
      <c r="N5181">
        <v>-9.5387489999999991E-3</v>
      </c>
      <c r="O5181">
        <v>1.4867999999999999E-2</v>
      </c>
      <c r="P5181">
        <v>-0.98320969999999996</v>
      </c>
      <c r="Q5181">
        <v>0.17411689999999999</v>
      </c>
      <c r="R5181">
        <v>5.4608089999999998E-2</v>
      </c>
      <c r="S5181">
        <v>-3.0520320000000001</v>
      </c>
      <c r="T5181">
        <v>-2.8636930000000001E-2</v>
      </c>
      <c r="U5181">
        <v>7.5927729999999999E-2</v>
      </c>
      <c r="V5181">
        <v>4.021599E-2</v>
      </c>
      <c r="W5181">
        <v>0.18344389999999999</v>
      </c>
      <c r="X5181">
        <v>0.98220719999999995</v>
      </c>
      <c r="Y5181">
        <v>1.000235E-2</v>
      </c>
      <c r="Z5181" s="1">
        <v>9.6976679999999995E-5</v>
      </c>
      <c r="AA5181">
        <v>0.99995000000000001</v>
      </c>
      <c r="AB5181">
        <v>44</v>
      </c>
      <c r="AC5181">
        <v>-118.944199999999</v>
      </c>
      <c r="AD5181">
        <v>-1.12018019957</v>
      </c>
      <c r="AE5181">
        <v>2.9632999999999998</v>
      </c>
      <c r="AF5181">
        <v>1.19432379612576</v>
      </c>
      <c r="AG5181">
        <v>-1.12018019957</v>
      </c>
      <c r="AH5181">
        <v>118.964566899019</v>
      </c>
      <c r="AI5181">
        <v>90.539458671016604</v>
      </c>
      <c r="AJ5181">
        <v>89.4248084463498</v>
      </c>
      <c r="AK5181">
        <v>118.97583532163399</v>
      </c>
      <c r="AL5181">
        <v>79.4295779766923</v>
      </c>
      <c r="AM5181">
        <v>87.655362169484803</v>
      </c>
      <c r="AN5181">
        <v>0.99999998701536397</v>
      </c>
    </row>
    <row r="5182" spans="1:40" x14ac:dyDescent="0.25">
      <c r="A5182" t="str">
        <f>"20190303170356539"</f>
        <v>20190303170356539</v>
      </c>
      <c r="B5182" t="str">
        <f>"1551603836530435"</f>
        <v>1551603836530435</v>
      </c>
      <c r="C5182" t="s">
        <v>40</v>
      </c>
      <c r="D5182">
        <v>3.882457</v>
      </c>
      <c r="E5182">
        <v>0.49390919999999999</v>
      </c>
      <c r="F5182" t="s">
        <v>90</v>
      </c>
      <c r="G5182">
        <v>-412.75400000000002</v>
      </c>
      <c r="H5182" s="1">
        <v>-1.2247810000000001E-5</v>
      </c>
      <c r="I5182">
        <v>144.72229999999999</v>
      </c>
      <c r="J5182">
        <v>-294.31610000000001</v>
      </c>
      <c r="K5182">
        <v>1.1202110000000001</v>
      </c>
      <c r="L5182">
        <v>141.6559</v>
      </c>
      <c r="M5182">
        <v>-0.99984010000000001</v>
      </c>
      <c r="N5182">
        <v>-9.5682670000000001E-3</v>
      </c>
      <c r="O5182">
        <v>1.51156E-2</v>
      </c>
      <c r="P5182">
        <v>-0.98319199999999995</v>
      </c>
      <c r="Q5182">
        <v>0.17406279999999999</v>
      </c>
      <c r="R5182">
        <v>5.509795E-2</v>
      </c>
      <c r="S5182">
        <v>-3.0519409999999998</v>
      </c>
      <c r="T5182">
        <v>-2.8763650000000002E-2</v>
      </c>
      <c r="U5182">
        <v>7.8903199999999896E-2</v>
      </c>
      <c r="V5182">
        <v>4.0444910000000001E-2</v>
      </c>
      <c r="W5182">
        <v>0.1834218</v>
      </c>
      <c r="X5182">
        <v>0.98220189999999996</v>
      </c>
      <c r="Y5182">
        <v>1.072966E-2</v>
      </c>
      <c r="Z5182">
        <v>1.0409490000000001E-4</v>
      </c>
      <c r="AA5182">
        <v>0.99994240000000001</v>
      </c>
      <c r="AB5182">
        <v>44</v>
      </c>
      <c r="AC5182">
        <v>-118.4379</v>
      </c>
      <c r="AD5182">
        <v>-1.12022324781</v>
      </c>
      <c r="AE5182">
        <v>3.0663999999999798</v>
      </c>
      <c r="AF5182">
        <v>1.2755939564797201</v>
      </c>
      <c r="AG5182">
        <v>-1.12022324781</v>
      </c>
      <c r="AH5182">
        <v>118.460129839966</v>
      </c>
      <c r="AI5182">
        <v>90.541772414544894</v>
      </c>
      <c r="AJ5182">
        <v>89.3830555011982</v>
      </c>
      <c r="AK5182">
        <v>118.472293814919</v>
      </c>
      <c r="AL5182">
        <v>79.430865779728407</v>
      </c>
      <c r="AM5182">
        <v>87.642018186404101</v>
      </c>
      <c r="AN5182">
        <v>0.99999995991187796</v>
      </c>
    </row>
    <row r="5183" spans="1:40" x14ac:dyDescent="0.25">
      <c r="A5183" t="str">
        <f>"20190303170356561"</f>
        <v>20190303170356561</v>
      </c>
      <c r="B5183" t="str">
        <f>"1551603836550931"</f>
        <v>1551603836550931</v>
      </c>
      <c r="C5183" t="s">
        <v>40</v>
      </c>
      <c r="D5183">
        <v>3.906965</v>
      </c>
      <c r="E5183">
        <v>0.49389480000000002</v>
      </c>
      <c r="F5183" t="s">
        <v>90</v>
      </c>
      <c r="G5183">
        <v>-412.80619999999999</v>
      </c>
      <c r="H5183" s="1">
        <v>-1.2262610000000001E-5</v>
      </c>
      <c r="I5183">
        <v>144.7774</v>
      </c>
      <c r="J5183">
        <v>-294.75130000000001</v>
      </c>
      <c r="K5183">
        <v>1.120242</v>
      </c>
      <c r="L5183">
        <v>141.6628</v>
      </c>
      <c r="M5183">
        <v>-0.9998359</v>
      </c>
      <c r="N5183">
        <v>-9.5978580000000008E-3</v>
      </c>
      <c r="O5183">
        <v>1.5370099999999999E-2</v>
      </c>
      <c r="P5183">
        <v>-0.98322799999999999</v>
      </c>
      <c r="Q5183">
        <v>0.17387949999999999</v>
      </c>
      <c r="R5183">
        <v>5.503744E-2</v>
      </c>
      <c r="S5183">
        <v>-3.0518800000000001</v>
      </c>
      <c r="T5183">
        <v>-2.8852940000000001E-2</v>
      </c>
      <c r="U5183">
        <v>8.0398559999999994E-2</v>
      </c>
      <c r="V5183">
        <v>4.0117880000000002E-2</v>
      </c>
      <c r="W5183">
        <v>0.18327180000000001</v>
      </c>
      <c r="X5183">
        <v>0.98224339999999999</v>
      </c>
      <c r="Y5183">
        <v>1.0965229999999999E-2</v>
      </c>
      <c r="Z5183">
        <v>1.06696E-4</v>
      </c>
      <c r="AA5183">
        <v>0.99993989999999999</v>
      </c>
      <c r="AB5183">
        <v>44</v>
      </c>
      <c r="AC5183">
        <v>-118.05489999999899</v>
      </c>
      <c r="AD5183">
        <v>-1.1202542626100001</v>
      </c>
      <c r="AE5183">
        <v>3.11459999999999</v>
      </c>
      <c r="AF5183">
        <v>1.29951608163217</v>
      </c>
      <c r="AG5183">
        <v>-1.1202542626100001</v>
      </c>
      <c r="AH5183">
        <v>118.07820207234199</v>
      </c>
      <c r="AI5183">
        <v>90.543538332571799</v>
      </c>
      <c r="AJ5183">
        <v>89.369453636025497</v>
      </c>
      <c r="AK5183">
        <v>118.090666507968</v>
      </c>
      <c r="AL5183">
        <v>79.439609277716201</v>
      </c>
      <c r="AM5183">
        <v>87.661161837502604</v>
      </c>
      <c r="AN5183">
        <v>1.0000000469072401</v>
      </c>
    </row>
    <row r="5184" spans="1:40" x14ac:dyDescent="0.25">
      <c r="A5184" t="str">
        <f>"20190303170356584"</f>
        <v>20190303170356584</v>
      </c>
      <c r="B5184" t="str">
        <f>"1551603836570451"</f>
        <v>1551603836570451</v>
      </c>
      <c r="C5184" t="s">
        <v>40</v>
      </c>
      <c r="D5184">
        <v>3.8351220000000001</v>
      </c>
      <c r="E5184">
        <v>0.49387959999999897</v>
      </c>
      <c r="F5184" t="s">
        <v>90</v>
      </c>
      <c r="G5184">
        <v>-411.108</v>
      </c>
      <c r="H5184" s="1">
        <v>-1.2408299999999999E-5</v>
      </c>
      <c r="I5184">
        <v>144.72049999999999</v>
      </c>
      <c r="J5184">
        <v>-295.19040000000001</v>
      </c>
      <c r="K5184">
        <v>1.120271</v>
      </c>
      <c r="L5184">
        <v>141.66970000000001</v>
      </c>
      <c r="M5184">
        <v>-0.99983160000000004</v>
      </c>
      <c r="N5184">
        <v>-9.6259529999999996E-3</v>
      </c>
      <c r="O5184">
        <v>1.562478E-2</v>
      </c>
      <c r="P5184">
        <v>-0.98330110000000004</v>
      </c>
      <c r="Q5184">
        <v>0.17362179999999999</v>
      </c>
      <c r="R5184">
        <v>5.4541600000000003E-2</v>
      </c>
      <c r="S5184">
        <v>-3.0518489999999998</v>
      </c>
      <c r="T5184">
        <v>-2.9382470000000001E-2</v>
      </c>
      <c r="U5184">
        <v>8.0200199999999999E-2</v>
      </c>
      <c r="V5184">
        <v>3.9357009999999998E-2</v>
      </c>
      <c r="W5184">
        <v>0.1830463</v>
      </c>
      <c r="X5184">
        <v>0.98231619999999997</v>
      </c>
      <c r="Y5184">
        <v>1.064584E-2</v>
      </c>
      <c r="Z5184">
        <v>1.024917E-4</v>
      </c>
      <c r="AA5184">
        <v>0.99994329999999998</v>
      </c>
      <c r="AB5184">
        <v>44</v>
      </c>
      <c r="AC5184">
        <v>-115.91759999999999</v>
      </c>
      <c r="AD5184">
        <v>-1.1202834082999999</v>
      </c>
      <c r="AE5184">
        <v>3.0507999999999802</v>
      </c>
      <c r="AF5184">
        <v>1.23904099587859</v>
      </c>
      <c r="AG5184">
        <v>-1.1202834082999999</v>
      </c>
      <c r="AH5184">
        <v>115.94029683143999</v>
      </c>
      <c r="AI5184">
        <v>90.553576716863404</v>
      </c>
      <c r="AJ5184">
        <v>89.387709716257902</v>
      </c>
      <c r="AK5184">
        <v>115.952329372319</v>
      </c>
      <c r="AL5184">
        <v>79.452751511069096</v>
      </c>
      <c r="AM5184">
        <v>87.705641907116799</v>
      </c>
      <c r="AN5184">
        <v>1.00000001948113</v>
      </c>
    </row>
    <row r="5185" spans="1:40" x14ac:dyDescent="0.25">
      <c r="A5185" t="str">
        <f>"20190303170356607"</f>
        <v>20190303170356607</v>
      </c>
      <c r="B5185" t="str">
        <f>"1551603836600708"</f>
        <v>1551603836600708</v>
      </c>
      <c r="C5185" t="s">
        <v>40</v>
      </c>
      <c r="D5185">
        <v>3.898069</v>
      </c>
      <c r="E5185">
        <v>0.49386259999999998</v>
      </c>
      <c r="F5185" t="s">
        <v>90</v>
      </c>
      <c r="G5185">
        <v>-408.18450000000001</v>
      </c>
      <c r="H5185" s="1">
        <v>-1.15372699999999E-5</v>
      </c>
      <c r="I5185">
        <v>144.56450000000001</v>
      </c>
      <c r="J5185">
        <v>-295.6558</v>
      </c>
      <c r="K5185">
        <v>1.1203000000000001</v>
      </c>
      <c r="L5185">
        <v>141.6772</v>
      </c>
      <c r="M5185">
        <v>-0.99982709999999997</v>
      </c>
      <c r="N5185">
        <v>-9.6554480000000005E-3</v>
      </c>
      <c r="O5185">
        <v>1.5892650000000001E-2</v>
      </c>
      <c r="P5185">
        <v>-0.98331179999999996</v>
      </c>
      <c r="Q5185">
        <v>0.17381679999999999</v>
      </c>
      <c r="R5185">
        <v>5.3719210000000003E-2</v>
      </c>
      <c r="S5185">
        <v>-3.0519409999999998</v>
      </c>
      <c r="T5185">
        <v>-3.025854E-2</v>
      </c>
      <c r="U5185">
        <v>7.8186039999999998E-2</v>
      </c>
      <c r="V5185">
        <v>3.8259689999999999E-2</v>
      </c>
      <c r="W5185">
        <v>0.18327370000000001</v>
      </c>
      <c r="X5185">
        <v>0.98231710000000005</v>
      </c>
      <c r="Y5185">
        <v>9.7177070000000008E-3</v>
      </c>
      <c r="Z5185" s="1">
        <v>9.1005850000000006E-5</v>
      </c>
      <c r="AA5185">
        <v>0.99995279999999998</v>
      </c>
      <c r="AB5185">
        <v>44</v>
      </c>
      <c r="AC5185">
        <v>-112.5287</v>
      </c>
      <c r="AD5185">
        <v>-1.1203115372700001</v>
      </c>
      <c r="AE5185">
        <v>2.88730000000001</v>
      </c>
      <c r="AF5185">
        <v>1.09836393275092</v>
      </c>
      <c r="AG5185">
        <v>-1.1203115372700001</v>
      </c>
      <c r="AH5185">
        <v>112.54922744596</v>
      </c>
      <c r="AI5185">
        <v>90.570274433168606</v>
      </c>
      <c r="AJ5185">
        <v>89.440870262339004</v>
      </c>
      <c r="AK5185">
        <v>112.560162135418</v>
      </c>
      <c r="AL5185">
        <v>79.439497707588501</v>
      </c>
      <c r="AM5185">
        <v>87.769547832905502</v>
      </c>
      <c r="AN5185">
        <v>0.99999996897149701</v>
      </c>
    </row>
    <row r="5186" spans="1:40" x14ac:dyDescent="0.25">
      <c r="A5186" t="str">
        <f>"20190303170356629"</f>
        <v>20190303170356629</v>
      </c>
      <c r="B5186" t="str">
        <f>"1551603836621204"</f>
        <v>1551603836621204</v>
      </c>
      <c r="C5186" t="s">
        <v>40</v>
      </c>
      <c r="D5186">
        <v>3.885608</v>
      </c>
      <c r="E5186">
        <v>0.49384349999999999</v>
      </c>
      <c r="F5186" t="s">
        <v>90</v>
      </c>
      <c r="G5186">
        <v>-410.80380000000002</v>
      </c>
      <c r="H5186" s="1">
        <v>-1.23645899999999E-5</v>
      </c>
      <c r="I5186">
        <v>144.517</v>
      </c>
      <c r="J5186">
        <v>-296.07600000000002</v>
      </c>
      <c r="K5186">
        <v>1.120323</v>
      </c>
      <c r="L5186">
        <v>141.6841</v>
      </c>
      <c r="M5186">
        <v>-0.99982300000000002</v>
      </c>
      <c r="N5186">
        <v>-9.6837299999999998E-3</v>
      </c>
      <c r="O5186">
        <v>1.6132770000000001E-2</v>
      </c>
      <c r="P5186">
        <v>-0.98339379999999998</v>
      </c>
      <c r="Q5186">
        <v>0.1737136</v>
      </c>
      <c r="R5186">
        <v>5.2538130000000002E-2</v>
      </c>
      <c r="S5186">
        <v>-3.0520939999999999</v>
      </c>
      <c r="T5186">
        <v>-2.96948E-2</v>
      </c>
      <c r="U5186">
        <v>7.5271610000000003E-2</v>
      </c>
      <c r="V5186">
        <v>3.6832770000000001E-2</v>
      </c>
      <c r="W5186">
        <v>0.183202</v>
      </c>
      <c r="X5186">
        <v>0.98238499999999995</v>
      </c>
      <c r="Y5186">
        <v>8.5221580000000002E-3</v>
      </c>
      <c r="Z5186" s="1">
        <v>8.2020170000000002E-5</v>
      </c>
      <c r="AA5186">
        <v>0.99996370000000001</v>
      </c>
      <c r="AB5186">
        <v>44</v>
      </c>
      <c r="AC5186">
        <v>-114.7278</v>
      </c>
      <c r="AD5186">
        <v>-1.1203353645899901</v>
      </c>
      <c r="AE5186">
        <v>2.8328999999999902</v>
      </c>
      <c r="AF5186">
        <v>0.98147382067982003</v>
      </c>
      <c r="AG5186">
        <v>-1.1203353645899901</v>
      </c>
      <c r="AH5186">
        <v>114.74763692788601</v>
      </c>
      <c r="AI5186">
        <v>90.559367517180604</v>
      </c>
      <c r="AJ5186">
        <v>89.509942532693501</v>
      </c>
      <c r="AK5186">
        <v>114.75730313458899</v>
      </c>
      <c r="AL5186">
        <v>79.443676441090304</v>
      </c>
      <c r="AM5186">
        <v>87.852802895267203</v>
      </c>
      <c r="AN5186">
        <v>0.99999995698743505</v>
      </c>
    </row>
    <row r="5187" spans="1:40" x14ac:dyDescent="0.25">
      <c r="A5187" t="str">
        <f>"20190303170356650"</f>
        <v>20190303170356650</v>
      </c>
      <c r="B5187" t="str">
        <f>"1551603836640724"</f>
        <v>1551603836640724</v>
      </c>
      <c r="C5187" t="s">
        <v>40</v>
      </c>
      <c r="D5187">
        <v>3.8704939999999999</v>
      </c>
      <c r="E5187">
        <v>0.49384349999999999</v>
      </c>
      <c r="F5187" t="s">
        <v>90</v>
      </c>
      <c r="G5187">
        <v>-409.77760000000001</v>
      </c>
      <c r="H5187" s="1">
        <v>-1.22919E-5</v>
      </c>
      <c r="I5187">
        <v>144.34719999999999</v>
      </c>
      <c r="J5187">
        <v>-296.50569999999999</v>
      </c>
      <c r="K5187">
        <v>1.1203369999999999</v>
      </c>
      <c r="L5187">
        <v>141.69120000000001</v>
      </c>
      <c r="M5187">
        <v>-0.99981889999999995</v>
      </c>
      <c r="N5187">
        <v>-9.7132950000000003E-3</v>
      </c>
      <c r="O5187">
        <v>1.6376789999999999E-2</v>
      </c>
      <c r="P5187">
        <v>-0.98329350000000004</v>
      </c>
      <c r="Q5187">
        <v>0.174536</v>
      </c>
      <c r="R5187">
        <v>5.1682489999999998E-2</v>
      </c>
      <c r="S5187">
        <v>-3.052155</v>
      </c>
      <c r="T5187">
        <v>-3.0073760000000001E-2</v>
      </c>
      <c r="U5187">
        <v>7.1487430000000005E-2</v>
      </c>
      <c r="V5187">
        <v>3.5732420000000001E-2</v>
      </c>
      <c r="W5187">
        <v>0.18405460000000001</v>
      </c>
      <c r="X5187">
        <v>0.98226630000000004</v>
      </c>
      <c r="Y5187">
        <v>7.0386479999999998E-3</v>
      </c>
      <c r="Z5187" s="1">
        <v>6.6604060000000006E-5</v>
      </c>
      <c r="AA5187">
        <v>0.99997519999999995</v>
      </c>
      <c r="AB5187">
        <v>44</v>
      </c>
      <c r="AC5187">
        <v>-113.2719</v>
      </c>
      <c r="AD5187">
        <v>-1.1203492919</v>
      </c>
      <c r="AE5187">
        <v>2.6559999999999699</v>
      </c>
      <c r="AF5187">
        <v>0.80044822889909195</v>
      </c>
      <c r="AG5187">
        <v>-1.1203492919</v>
      </c>
      <c r="AH5187">
        <v>113.289129890277</v>
      </c>
      <c r="AI5187">
        <v>90.566582085512394</v>
      </c>
      <c r="AJ5187">
        <v>89.595181443038399</v>
      </c>
      <c r="AK5187">
        <v>113.297497109155</v>
      </c>
      <c r="AL5187">
        <v>79.393981407317796</v>
      </c>
      <c r="AM5187">
        <v>87.916639829814699</v>
      </c>
      <c r="AN5187">
        <v>0.99999999286795305</v>
      </c>
    </row>
    <row r="5188" spans="1:40" x14ac:dyDescent="0.25">
      <c r="A5188" t="str">
        <f>"20190303170356673"</f>
        <v>20190303170356673</v>
      </c>
      <c r="B5188" t="str">
        <f>"1551603836661220"</f>
        <v>1551603836661220</v>
      </c>
      <c r="C5188" t="s">
        <v>40</v>
      </c>
      <c r="D5188">
        <v>3.9642689999999998</v>
      </c>
      <c r="E5188">
        <v>0.49384270000000002</v>
      </c>
      <c r="F5188" t="s">
        <v>90</v>
      </c>
      <c r="G5188">
        <v>-420.93709999999999</v>
      </c>
      <c r="H5188" s="1">
        <v>-1.168186E-5</v>
      </c>
      <c r="I5188">
        <v>144.48419999999999</v>
      </c>
      <c r="J5188">
        <v>-296.96429999999998</v>
      </c>
      <c r="K5188">
        <v>1.120355</v>
      </c>
      <c r="L5188">
        <v>141.69890000000001</v>
      </c>
      <c r="M5188">
        <v>-0.99981419999999999</v>
      </c>
      <c r="N5188">
        <v>-9.7439339999999992E-3</v>
      </c>
      <c r="O5188">
        <v>1.6635779999999999E-2</v>
      </c>
      <c r="P5188">
        <v>-0.98315039999999998</v>
      </c>
      <c r="Q5188">
        <v>0.17515269999999999</v>
      </c>
      <c r="R5188">
        <v>5.2313390000000001E-2</v>
      </c>
      <c r="S5188">
        <v>-3.0522770000000001</v>
      </c>
      <c r="T5188">
        <v>-2.7481909999999998E-2</v>
      </c>
      <c r="U5188">
        <v>6.8511959999999997E-2</v>
      </c>
      <c r="V5188">
        <v>3.6105610000000003E-2</v>
      </c>
      <c r="W5188">
        <v>0.1847009</v>
      </c>
      <c r="X5188">
        <v>0.98213139999999999</v>
      </c>
      <c r="Y5188">
        <v>5.8045569999999897E-3</v>
      </c>
      <c r="Z5188" s="1">
        <v>6.6757209999999999E-5</v>
      </c>
      <c r="AA5188">
        <v>0.99998310000000001</v>
      </c>
      <c r="AB5188">
        <v>44</v>
      </c>
      <c r="AC5188">
        <v>-123.97280000000001</v>
      </c>
      <c r="AD5188">
        <v>-1.12036668186</v>
      </c>
      <c r="AE5188">
        <v>2.7852999999999701</v>
      </c>
      <c r="AF5188">
        <v>0.722373547316289</v>
      </c>
      <c r="AG5188">
        <v>-1.12036668186</v>
      </c>
      <c r="AH5188">
        <v>123.991858913161</v>
      </c>
      <c r="AI5188">
        <v>90.5176908123224</v>
      </c>
      <c r="AJ5188">
        <v>89.666199961909498</v>
      </c>
      <c r="AK5188">
        <v>123.99902468078</v>
      </c>
      <c r="AL5188">
        <v>79.356305949176303</v>
      </c>
      <c r="AM5188">
        <v>87.894611771523898</v>
      </c>
      <c r="AN5188">
        <v>1.00000006220011</v>
      </c>
    </row>
    <row r="5189" spans="1:40" x14ac:dyDescent="0.25">
      <c r="A5189" t="str">
        <f>"20190303170356698"</f>
        <v>20190303170356698</v>
      </c>
      <c r="B5189" t="str">
        <f>"1551603836691476"</f>
        <v>1551603836691476</v>
      </c>
      <c r="C5189" t="s">
        <v>40</v>
      </c>
      <c r="D5189">
        <v>3.8702939999999999</v>
      </c>
      <c r="E5189">
        <v>0.49382209999999899</v>
      </c>
      <c r="F5189" t="s">
        <v>90</v>
      </c>
      <c r="G5189">
        <v>-430.69729999999998</v>
      </c>
      <c r="H5189" s="1">
        <v>-1.289029E-5</v>
      </c>
      <c r="I5189">
        <v>144.76900000000001</v>
      </c>
      <c r="J5189">
        <v>-297.42880000000002</v>
      </c>
      <c r="K5189">
        <v>1.120371</v>
      </c>
      <c r="L5189">
        <v>141.70689999999999</v>
      </c>
      <c r="M5189">
        <v>-0.99980970000000002</v>
      </c>
      <c r="N5189">
        <v>-9.7722820000000002E-3</v>
      </c>
      <c r="O5189">
        <v>1.6896020000000001E-2</v>
      </c>
      <c r="P5189">
        <v>-0.98303929999999995</v>
      </c>
      <c r="Q5189">
        <v>0.17562059999999999</v>
      </c>
      <c r="R5189">
        <v>5.2833829999999998E-2</v>
      </c>
      <c r="S5189">
        <v>-3.052216</v>
      </c>
      <c r="T5189">
        <v>-2.5570389999999998E-2</v>
      </c>
      <c r="U5189">
        <v>7.0068359999999996E-2</v>
      </c>
      <c r="V5189">
        <v>3.6367999999999998E-2</v>
      </c>
      <c r="W5189">
        <v>0.18519620000000001</v>
      </c>
      <c r="X5189">
        <v>0.98202840000000002</v>
      </c>
      <c r="Y5189">
        <v>6.0544199999999996E-3</v>
      </c>
      <c r="Z5189" s="1">
        <v>7.8538919999999996E-5</v>
      </c>
      <c r="AA5189">
        <v>0.99998160000000003</v>
      </c>
      <c r="AB5189">
        <v>44</v>
      </c>
      <c r="AC5189">
        <v>-133.26849999999899</v>
      </c>
      <c r="AD5189">
        <v>-1.1203838902900001</v>
      </c>
      <c r="AE5189">
        <v>3.0621000000000098</v>
      </c>
      <c r="AF5189">
        <v>0.80979134197385305</v>
      </c>
      <c r="AG5189">
        <v>-1.1203838902900001</v>
      </c>
      <c r="AH5189">
        <v>133.29179844427</v>
      </c>
      <c r="AI5189">
        <v>90.481579307962903</v>
      </c>
      <c r="AJ5189">
        <v>89.651913651881401</v>
      </c>
      <c r="AK5189">
        <v>133.298966817403</v>
      </c>
      <c r="AL5189">
        <v>79.327428731766304</v>
      </c>
      <c r="AM5189">
        <v>87.879102997076899</v>
      </c>
      <c r="AN5189">
        <v>1.00000002116249</v>
      </c>
    </row>
    <row r="5190" spans="1:40" x14ac:dyDescent="0.25">
      <c r="A5190" t="str">
        <f>"20190303170356718"</f>
        <v>20190303170356718</v>
      </c>
      <c r="B5190" t="str">
        <f>"1551603836710996"</f>
        <v>1551603836710996</v>
      </c>
      <c r="C5190" t="s">
        <v>40</v>
      </c>
      <c r="D5190">
        <v>3.9155190000000002</v>
      </c>
      <c r="E5190">
        <v>0.47390539999999998</v>
      </c>
      <c r="F5190" t="s">
        <v>90</v>
      </c>
      <c r="G5190">
        <v>-439.54860000000002</v>
      </c>
      <c r="H5190" s="1">
        <v>-9.2304220000000008E-6</v>
      </c>
      <c r="I5190">
        <v>145.06180000000001</v>
      </c>
      <c r="J5190">
        <v>-297.84750000000003</v>
      </c>
      <c r="K5190">
        <v>1.1203780000000001</v>
      </c>
      <c r="L5190">
        <v>141.7141</v>
      </c>
      <c r="M5190">
        <v>-0.99980550000000001</v>
      </c>
      <c r="N5190">
        <v>-9.7897999999999995E-3</v>
      </c>
      <c r="O5190">
        <v>1.7129330000000002E-2</v>
      </c>
      <c r="P5190">
        <v>-0.98284470000000002</v>
      </c>
      <c r="Q5190">
        <v>0.1762233</v>
      </c>
      <c r="R5190">
        <v>5.4422720000000001E-2</v>
      </c>
      <c r="S5190">
        <v>-3.052216</v>
      </c>
      <c r="T5190">
        <v>-2.4061679999999998E-2</v>
      </c>
      <c r="U5190">
        <v>7.2052000000000005E-2</v>
      </c>
      <c r="V5190">
        <v>3.7727940000000001E-2</v>
      </c>
      <c r="W5190">
        <v>0.1858138</v>
      </c>
      <c r="X5190">
        <v>0.98186039999999997</v>
      </c>
      <c r="Y5190">
        <v>6.4706219999999997E-3</v>
      </c>
      <c r="Z5190" s="1">
        <v>8.9865300000000002E-5</v>
      </c>
      <c r="AA5190">
        <v>0.99997910000000001</v>
      </c>
      <c r="AB5190">
        <v>44</v>
      </c>
      <c r="AC5190">
        <v>-141.7011</v>
      </c>
      <c r="AD5190">
        <v>-1.1203872304219999</v>
      </c>
      <c r="AE5190">
        <v>3.3477000000000001</v>
      </c>
      <c r="AF5190">
        <v>0.91979044568600499</v>
      </c>
      <c r="AG5190">
        <v>-1.1203872304219999</v>
      </c>
      <c r="AH5190">
        <v>141.72879919838101</v>
      </c>
      <c r="AI5190">
        <v>90.452912684322598</v>
      </c>
      <c r="AJ5190">
        <v>89.628167521159298</v>
      </c>
      <c r="AK5190">
        <v>141.73621204274201</v>
      </c>
      <c r="AL5190">
        <v>79.291417658056801</v>
      </c>
      <c r="AM5190">
        <v>87.799494921249703</v>
      </c>
      <c r="AN5190">
        <v>1.0000000054076199</v>
      </c>
    </row>
    <row r="5191" spans="1:40" x14ac:dyDescent="0.25">
      <c r="A5191" t="str">
        <f>"20190303170356740"</f>
        <v>20190303170356740</v>
      </c>
      <c r="B5191" t="str">
        <f>"1551603836730515"</f>
        <v>1551603836730515</v>
      </c>
      <c r="C5191" t="s">
        <v>40</v>
      </c>
      <c r="D5191">
        <v>3.9066559999999999</v>
      </c>
      <c r="E5191">
        <v>0.47296670000000002</v>
      </c>
      <c r="F5191" t="s">
        <v>48</v>
      </c>
      <c r="G5191">
        <v>0</v>
      </c>
      <c r="H5191">
        <v>0</v>
      </c>
      <c r="I5191">
        <v>0</v>
      </c>
      <c r="J5191">
        <v>-298.26710000000003</v>
      </c>
      <c r="K5191">
        <v>1.1203749999999999</v>
      </c>
      <c r="L5191">
        <v>141.72149999999999</v>
      </c>
      <c r="M5191">
        <v>-0.99980119999999895</v>
      </c>
      <c r="N5191">
        <v>-9.7994759999999997E-3</v>
      </c>
      <c r="O5191">
        <v>1.7362220000000001E-2</v>
      </c>
      <c r="P5191">
        <v>-0.98275310000000005</v>
      </c>
      <c r="Q5191">
        <v>0.17628779999999999</v>
      </c>
      <c r="R5191">
        <v>5.584774E-2</v>
      </c>
      <c r="S5191">
        <v>-3.0555729999999999</v>
      </c>
      <c r="T5191">
        <v>6.884098E-3</v>
      </c>
      <c r="U5191">
        <v>-7.9986570000000007E-2</v>
      </c>
      <c r="V5191">
        <v>3.8923060000000002E-2</v>
      </c>
      <c r="W5191">
        <v>0.18588730000000001</v>
      </c>
      <c r="X5191">
        <v>0.9817998</v>
      </c>
      <c r="Y5191">
        <v>-4.3520589999999998E-2</v>
      </c>
      <c r="Z5191" s="1">
        <v>4.4958199999999999E-5</v>
      </c>
      <c r="AA5191">
        <v>0.99905250000000001</v>
      </c>
      <c r="AB5191">
        <v>44</v>
      </c>
      <c r="AC5191">
        <v>-3.0555729999999999</v>
      </c>
      <c r="AD5191">
        <v>6.884098E-3</v>
      </c>
      <c r="AE5191">
        <v>-7.9986570000000007E-2</v>
      </c>
      <c r="AF5191">
        <v>-0.13302791764966601</v>
      </c>
      <c r="AG5191">
        <v>6.884098E-3</v>
      </c>
      <c r="AH5191">
        <v>3.05370807412001</v>
      </c>
      <c r="AI5191">
        <v>89.870958402082394</v>
      </c>
      <c r="AJ5191">
        <v>92.494384570799696</v>
      </c>
      <c r="AK5191">
        <v>3.0566119838188799</v>
      </c>
      <c r="AL5191">
        <v>79.287131366466198</v>
      </c>
      <c r="AM5191">
        <v>87.729720656936195</v>
      </c>
      <c r="AN5191">
        <v>0.99999997009054598</v>
      </c>
    </row>
    <row r="5192" spans="1:40" x14ac:dyDescent="0.25">
      <c r="A5192" t="str">
        <f>"20190303170356762"</f>
        <v>20190303170356762</v>
      </c>
      <c r="B5192" t="str">
        <f>"1551603836751012"</f>
        <v>1551603836751012</v>
      </c>
      <c r="C5192" t="s">
        <v>40</v>
      </c>
      <c r="D5192">
        <v>3.9057539999999999</v>
      </c>
      <c r="E5192">
        <v>0.4726513</v>
      </c>
      <c r="F5192" t="s">
        <v>48</v>
      </c>
      <c r="G5192">
        <v>0</v>
      </c>
      <c r="H5192">
        <v>0</v>
      </c>
      <c r="I5192">
        <v>0</v>
      </c>
      <c r="J5192">
        <v>-298.72250000000003</v>
      </c>
      <c r="K5192">
        <v>1.120374</v>
      </c>
      <c r="L5192">
        <v>141.7296</v>
      </c>
      <c r="M5192">
        <v>-0.99979689999999999</v>
      </c>
      <c r="N5192">
        <v>-9.8009740000000005E-3</v>
      </c>
      <c r="O5192">
        <v>1.7614169999999998E-2</v>
      </c>
      <c r="P5192">
        <v>-0.98278560000000004</v>
      </c>
      <c r="Q5192">
        <v>0.17569799999999999</v>
      </c>
      <c r="R5192">
        <v>5.7121110000000003E-2</v>
      </c>
      <c r="S5192">
        <v>-3.055847</v>
      </c>
      <c r="T5192">
        <v>8.4210629999999995E-3</v>
      </c>
      <c r="U5192">
        <v>-8.2946779999999998E-2</v>
      </c>
      <c r="V5192">
        <v>3.9945319999999999E-2</v>
      </c>
      <c r="W5192">
        <v>0.18529880000000001</v>
      </c>
      <c r="X5192">
        <v>0.98187000000000002</v>
      </c>
      <c r="Y5192">
        <v>-4.4736999999999999E-2</v>
      </c>
      <c r="Z5192" s="1">
        <v>6.348723E-5</v>
      </c>
      <c r="AA5192">
        <v>0.99899879999999996</v>
      </c>
      <c r="AB5192">
        <v>44</v>
      </c>
      <c r="AC5192">
        <v>-3.055847</v>
      </c>
      <c r="AD5192">
        <v>8.4210629999999995E-3</v>
      </c>
      <c r="AE5192">
        <v>-8.2946779999999998E-2</v>
      </c>
      <c r="AF5192">
        <v>-0.13676166217013699</v>
      </c>
      <c r="AG5192">
        <v>8.4210629999999995E-3</v>
      </c>
      <c r="AH5192">
        <v>3.0538885828549902</v>
      </c>
      <c r="AI5192">
        <v>89.842166128454707</v>
      </c>
      <c r="AJ5192">
        <v>92.564151851149205</v>
      </c>
      <c r="AK5192">
        <v>3.0569609325331002</v>
      </c>
      <c r="AL5192">
        <v>79.321446259831006</v>
      </c>
      <c r="AM5192">
        <v>87.670326187681994</v>
      </c>
      <c r="AN5192">
        <v>0.99999998538567103</v>
      </c>
    </row>
    <row r="5193" spans="1:40" x14ac:dyDescent="0.25">
      <c r="A5193" t="str">
        <f>"20190303170356785"</f>
        <v>20190303170356785</v>
      </c>
      <c r="B5193" t="str">
        <f>"1551603836770532"</f>
        <v>1551603836770532</v>
      </c>
      <c r="C5193" t="s">
        <v>40</v>
      </c>
      <c r="D5193">
        <v>3.882037</v>
      </c>
      <c r="E5193">
        <v>0.47233999999999998</v>
      </c>
      <c r="F5193" t="s">
        <v>48</v>
      </c>
      <c r="G5193">
        <v>0</v>
      </c>
      <c r="H5193">
        <v>0</v>
      </c>
      <c r="I5193">
        <v>0</v>
      </c>
      <c r="J5193">
        <v>-299.16480000000001</v>
      </c>
      <c r="K5193">
        <v>1.120371</v>
      </c>
      <c r="L5193">
        <v>141.73750000000001</v>
      </c>
      <c r="M5193">
        <v>-0.99979260000000003</v>
      </c>
      <c r="N5193">
        <v>-9.7946430000000004E-3</v>
      </c>
      <c r="O5193">
        <v>1.7858590000000001E-2</v>
      </c>
      <c r="P5193">
        <v>-0.98283920000000002</v>
      </c>
      <c r="Q5193">
        <v>0.17535319999999999</v>
      </c>
      <c r="R5193">
        <v>5.7259789999999998E-2</v>
      </c>
      <c r="S5193">
        <v>-3.0562130000000001</v>
      </c>
      <c r="T5193">
        <v>6.1879159999999999E-3</v>
      </c>
      <c r="U5193">
        <v>-8.1451419999999997E-2</v>
      </c>
      <c r="V5193">
        <v>3.9840830000000001E-2</v>
      </c>
      <c r="W5193">
        <v>0.18494920000000001</v>
      </c>
      <c r="X5193">
        <v>0.98194020000000004</v>
      </c>
      <c r="Y5193">
        <v>-4.4489599999999997E-2</v>
      </c>
      <c r="Z5193" s="1">
        <v>3.8147869999999999E-5</v>
      </c>
      <c r="AA5193">
        <v>0.99900979999999995</v>
      </c>
      <c r="AB5193">
        <v>44</v>
      </c>
      <c r="AC5193">
        <v>-3.0562130000000001</v>
      </c>
      <c r="AD5193">
        <v>6.1879159999999999E-3</v>
      </c>
      <c r="AE5193">
        <v>-8.1451419999999997E-2</v>
      </c>
      <c r="AF5193">
        <v>-0.13602014212313601</v>
      </c>
      <c r="AG5193">
        <v>6.1879159999999999E-3</v>
      </c>
      <c r="AH5193">
        <v>3.0542583675890098</v>
      </c>
      <c r="AI5193">
        <v>89.884034066434694</v>
      </c>
      <c r="AJ5193">
        <v>92.5499590987517</v>
      </c>
      <c r="AK5193">
        <v>3.0572919300183199</v>
      </c>
      <c r="AL5193">
        <v>79.341829632537795</v>
      </c>
      <c r="AM5193">
        <v>87.676579454141205</v>
      </c>
      <c r="AN5193">
        <v>1.00000002734588</v>
      </c>
    </row>
    <row r="5194" spans="1:40" x14ac:dyDescent="0.25">
      <c r="A5194" t="str">
        <f>"20190303170356807"</f>
        <v>20190303170356807</v>
      </c>
      <c r="B5194" t="str">
        <f>"1551603836800788"</f>
        <v>1551603836800788</v>
      </c>
      <c r="C5194" t="s">
        <v>40</v>
      </c>
      <c r="D5194">
        <v>3.842991</v>
      </c>
      <c r="E5194">
        <v>0.47206419999999999</v>
      </c>
      <c r="F5194" t="s">
        <v>48</v>
      </c>
      <c r="G5194">
        <v>0</v>
      </c>
      <c r="H5194">
        <v>0</v>
      </c>
      <c r="I5194">
        <v>0</v>
      </c>
      <c r="J5194">
        <v>-299.6191</v>
      </c>
      <c r="K5194">
        <v>1.120368</v>
      </c>
      <c r="L5194">
        <v>141.7458</v>
      </c>
      <c r="M5194">
        <v>-0.99978829999999996</v>
      </c>
      <c r="N5194">
        <v>-9.7822269999999992E-3</v>
      </c>
      <c r="O5194">
        <v>1.8109190000000001E-2</v>
      </c>
      <c r="P5194">
        <v>-0.98276260000000004</v>
      </c>
      <c r="Q5194">
        <v>0.1757109</v>
      </c>
      <c r="R5194">
        <v>5.747733E-2</v>
      </c>
      <c r="S5194">
        <v>-3.0564269999999998</v>
      </c>
      <c r="T5194">
        <v>4.3642519999999999E-3</v>
      </c>
      <c r="U5194">
        <v>-8.3328250000000006E-2</v>
      </c>
      <c r="V5194">
        <v>3.9812100000000003E-2</v>
      </c>
      <c r="W5194">
        <v>0.18529409999999999</v>
      </c>
      <c r="X5194">
        <v>0.98187630000000004</v>
      </c>
      <c r="Y5194">
        <v>-4.5351170000000003E-2</v>
      </c>
      <c r="Z5194" s="1">
        <v>1.3477719999999999E-5</v>
      </c>
      <c r="AA5194">
        <v>0.9989711</v>
      </c>
      <c r="AB5194">
        <v>44</v>
      </c>
      <c r="AC5194">
        <v>-3.0564269999999998</v>
      </c>
      <c r="AD5194">
        <v>4.3642519999999999E-3</v>
      </c>
      <c r="AE5194">
        <v>-8.3328250000000006E-2</v>
      </c>
      <c r="AF5194">
        <v>-0.138666359577374</v>
      </c>
      <c r="AG5194">
        <v>4.3642519999999999E-3</v>
      </c>
      <c r="AH5194">
        <v>3.0544104424624998</v>
      </c>
      <c r="AI5194">
        <v>89.918218010450701</v>
      </c>
      <c r="AJ5194">
        <v>92.599370884179294</v>
      </c>
      <c r="AK5194">
        <v>3.05755957538</v>
      </c>
      <c r="AL5194">
        <v>79.321720320045401</v>
      </c>
      <c r="AM5194">
        <v>87.678102151141303</v>
      </c>
      <c r="AN5194">
        <v>0.99999998765145404</v>
      </c>
    </row>
    <row r="5195" spans="1:40" x14ac:dyDescent="0.25">
      <c r="A5195" t="str">
        <f>"20190303170356824"</f>
        <v>20190303170356824</v>
      </c>
      <c r="B5195" t="str">
        <f>"1551603836810547"</f>
        <v>1551603836810547</v>
      </c>
      <c r="C5195" t="s">
        <v>40</v>
      </c>
      <c r="D5195">
        <v>3.8693179999999998</v>
      </c>
      <c r="E5195">
        <v>0.47192339999999999</v>
      </c>
      <c r="F5195" t="s">
        <v>48</v>
      </c>
      <c r="G5195">
        <v>0</v>
      </c>
      <c r="H5195">
        <v>0</v>
      </c>
      <c r="I5195">
        <v>0</v>
      </c>
      <c r="J5195">
        <v>-299.92880000000002</v>
      </c>
      <c r="K5195">
        <v>1.120368</v>
      </c>
      <c r="L5195">
        <v>141.7516</v>
      </c>
      <c r="M5195">
        <v>-0.99978520000000004</v>
      </c>
      <c r="N5195">
        <v>-9.7698639999999996E-3</v>
      </c>
      <c r="O5195">
        <v>1.8280290000000001E-2</v>
      </c>
      <c r="P5195">
        <v>-0.98272950000000003</v>
      </c>
      <c r="Q5195">
        <v>0.17591999999999999</v>
      </c>
      <c r="R5195">
        <v>5.7403950000000002E-2</v>
      </c>
      <c r="S5195">
        <v>-3.0568849999999999</v>
      </c>
      <c r="T5195">
        <v>3.8238759999999999E-3</v>
      </c>
      <c r="U5195">
        <v>-8.4838869999999997E-2</v>
      </c>
      <c r="V5195">
        <v>3.9570510000000003E-2</v>
      </c>
      <c r="W5195">
        <v>0.18549089999999999</v>
      </c>
      <c r="X5195">
        <v>0.98184890000000002</v>
      </c>
      <c r="Y5195">
        <v>-4.601131E-2</v>
      </c>
      <c r="Z5195" s="1">
        <v>5.3865080000000002E-6</v>
      </c>
      <c r="AA5195">
        <v>0.99894090000000002</v>
      </c>
      <c r="AB5195">
        <v>44</v>
      </c>
      <c r="AC5195">
        <v>-3.0568849999999999</v>
      </c>
      <c r="AD5195">
        <v>3.8238759999999999E-3</v>
      </c>
      <c r="AE5195">
        <v>-8.4838869999999997E-2</v>
      </c>
      <c r="AF5195">
        <v>-0.140707881773144</v>
      </c>
      <c r="AG5195">
        <v>3.8238759999999999E-3</v>
      </c>
      <c r="AH5195">
        <v>3.0548184209717002</v>
      </c>
      <c r="AI5195">
        <v>89.928355873569799</v>
      </c>
      <c r="AJ5195">
        <v>92.637234836718605</v>
      </c>
      <c r="AK5195">
        <v>3.0580596650701199</v>
      </c>
      <c r="AL5195">
        <v>79.310245517203995</v>
      </c>
      <c r="AM5195">
        <v>87.692112405976602</v>
      </c>
      <c r="AN5195">
        <v>0.99999998083783903</v>
      </c>
    </row>
    <row r="5196" spans="1:40" x14ac:dyDescent="0.25">
      <c r="A5196" t="str">
        <f>"20190303170356840"</f>
        <v>20190303170356840</v>
      </c>
      <c r="B5196" t="str">
        <f>"1551603836831044"</f>
        <v>1551603836831044</v>
      </c>
      <c r="C5196" t="s">
        <v>40</v>
      </c>
      <c r="D5196">
        <v>3.811423</v>
      </c>
      <c r="E5196">
        <v>0.47176839999999998</v>
      </c>
      <c r="F5196" t="s">
        <v>48</v>
      </c>
      <c r="G5196">
        <v>0</v>
      </c>
      <c r="H5196">
        <v>0</v>
      </c>
      <c r="I5196">
        <v>0</v>
      </c>
      <c r="J5196">
        <v>-300.26240000000001</v>
      </c>
      <c r="K5196">
        <v>1.1203620000000001</v>
      </c>
      <c r="L5196">
        <v>141.7578</v>
      </c>
      <c r="M5196">
        <v>-0.99978199999999995</v>
      </c>
      <c r="N5196">
        <v>-9.7529360000000002E-3</v>
      </c>
      <c r="O5196">
        <v>1.8464049999999999E-2</v>
      </c>
      <c r="P5196">
        <v>-0.98271070000000005</v>
      </c>
      <c r="Q5196">
        <v>0.176108399999999</v>
      </c>
      <c r="R5196">
        <v>5.7148810000000001E-2</v>
      </c>
      <c r="S5196">
        <v>-3.0569760000000001</v>
      </c>
      <c r="T5196">
        <v>4.2691229999999997E-3</v>
      </c>
      <c r="U5196">
        <v>-8.6166380000000001E-2</v>
      </c>
      <c r="V5196">
        <v>3.9134479999999999E-2</v>
      </c>
      <c r="W5196">
        <v>0.18566340000000001</v>
      </c>
      <c r="X5196">
        <v>0.98183379999999998</v>
      </c>
      <c r="Y5196">
        <v>-4.662753E-2</v>
      </c>
      <c r="Z5196" s="1">
        <v>1.094741E-5</v>
      </c>
      <c r="AA5196">
        <v>0.99891229999999998</v>
      </c>
      <c r="AB5196">
        <v>44</v>
      </c>
      <c r="AC5196">
        <v>-3.0569760000000001</v>
      </c>
      <c r="AD5196">
        <v>4.2691229999999997E-3</v>
      </c>
      <c r="AE5196">
        <v>-8.6166380000000001E-2</v>
      </c>
      <c r="AF5196">
        <v>-0.142598251383767</v>
      </c>
      <c r="AG5196">
        <v>4.2691229999999997E-3</v>
      </c>
      <c r="AH5196">
        <v>3.0548578031726299</v>
      </c>
      <c r="AI5196">
        <v>89.920017056822502</v>
      </c>
      <c r="AJ5196">
        <v>92.672579885918495</v>
      </c>
      <c r="AK5196">
        <v>3.0581871565215901</v>
      </c>
      <c r="AL5196">
        <v>79.300187576882095</v>
      </c>
      <c r="AM5196">
        <v>87.717481055674298</v>
      </c>
      <c r="AN5196">
        <v>1.0000000082234299</v>
      </c>
    </row>
    <row r="5197" spans="1:40" x14ac:dyDescent="0.25">
      <c r="A5197" t="str">
        <f>"20190303170356863"</f>
        <v>20190303170356863</v>
      </c>
      <c r="B5197" t="str">
        <f>"1551603836850563"</f>
        <v>1551603836850563</v>
      </c>
      <c r="C5197" t="s">
        <v>40</v>
      </c>
      <c r="D5197">
        <v>3.867407</v>
      </c>
      <c r="E5197">
        <v>0.47169610000000001</v>
      </c>
      <c r="F5197" t="s">
        <v>48</v>
      </c>
      <c r="G5197">
        <v>0</v>
      </c>
      <c r="H5197">
        <v>0</v>
      </c>
      <c r="I5197">
        <v>0</v>
      </c>
      <c r="J5197">
        <v>-300.71100000000001</v>
      </c>
      <c r="K5197">
        <v>1.120357</v>
      </c>
      <c r="L5197">
        <v>141.7663</v>
      </c>
      <c r="M5197">
        <v>-0.99977769999999999</v>
      </c>
      <c r="N5197">
        <v>-9.7233900000000002E-3</v>
      </c>
      <c r="O5197">
        <v>1.870985E-2</v>
      </c>
      <c r="P5197">
        <v>-0.98275699999999999</v>
      </c>
      <c r="Q5197">
        <v>0.1759175</v>
      </c>
      <c r="R5197">
        <v>5.6937389999999997E-2</v>
      </c>
      <c r="S5197">
        <v>-3.05722</v>
      </c>
      <c r="T5197">
        <v>4.1186809999999999E-3</v>
      </c>
      <c r="U5197">
        <v>-8.8333129999999996E-2</v>
      </c>
      <c r="V5197">
        <v>3.8679270000000002E-2</v>
      </c>
      <c r="W5197">
        <v>0.18544450000000001</v>
      </c>
      <c r="X5197">
        <v>0.98189320000000002</v>
      </c>
      <c r="Y5197">
        <v>-4.7578229999999999E-2</v>
      </c>
      <c r="Z5197" s="1">
        <v>7.7637669999999998E-6</v>
      </c>
      <c r="AA5197">
        <v>0.99886750000000002</v>
      </c>
      <c r="AB5197">
        <v>44</v>
      </c>
      <c r="AC5197">
        <v>-3.05722</v>
      </c>
      <c r="AD5197">
        <v>4.1186809999999999E-3</v>
      </c>
      <c r="AE5197">
        <v>-8.8333129999999996E-2</v>
      </c>
      <c r="AF5197">
        <v>-0.14552023270237899</v>
      </c>
      <c r="AG5197">
        <v>4.1186809999999999E-3</v>
      </c>
      <c r="AH5197">
        <v>3.05502648190744</v>
      </c>
      <c r="AI5197">
        <v>89.922843340238799</v>
      </c>
      <c r="AJ5197">
        <v>92.727111521808496</v>
      </c>
      <c r="AK5197">
        <v>3.0584930777777899</v>
      </c>
      <c r="AL5197">
        <v>79.312951212915195</v>
      </c>
      <c r="AM5197">
        <v>87.744139925820306</v>
      </c>
      <c r="AN5197">
        <v>1.0000000023571101</v>
      </c>
    </row>
    <row r="5198" spans="1:40" x14ac:dyDescent="0.25">
      <c r="A5198" t="str">
        <f>"20190303170356879"</f>
        <v>20190303170356879</v>
      </c>
      <c r="B5198" t="str">
        <f>"1551603836871060"</f>
        <v>1551603836871060</v>
      </c>
      <c r="C5198" t="s">
        <v>40</v>
      </c>
      <c r="D5198">
        <v>3.866673</v>
      </c>
      <c r="E5198">
        <v>0.47160489999999999</v>
      </c>
      <c r="F5198" t="s">
        <v>48</v>
      </c>
      <c r="G5198">
        <v>0</v>
      </c>
      <c r="H5198">
        <v>0</v>
      </c>
      <c r="I5198">
        <v>0</v>
      </c>
      <c r="J5198">
        <v>-301.04000000000002</v>
      </c>
      <c r="K5198">
        <v>1.1203510000000001</v>
      </c>
      <c r="L5198">
        <v>141.77250000000001</v>
      </c>
      <c r="M5198">
        <v>-0.99977459999999996</v>
      </c>
      <c r="N5198">
        <v>-9.6978010000000007E-3</v>
      </c>
      <c r="O5198">
        <v>1.888799E-2</v>
      </c>
      <c r="P5198">
        <v>-0.98277139999999996</v>
      </c>
      <c r="Q5198">
        <v>0.17594960000000001</v>
      </c>
      <c r="R5198">
        <v>5.658651E-2</v>
      </c>
      <c r="S5198">
        <v>-3.05722</v>
      </c>
      <c r="T5198">
        <v>3.4365649999999999E-3</v>
      </c>
      <c r="U5198">
        <v>-8.9920040000000007E-2</v>
      </c>
      <c r="V5198">
        <v>3.8152110000000003E-2</v>
      </c>
      <c r="W5198">
        <v>0.18545249999999999</v>
      </c>
      <c r="X5198">
        <v>0.98191229999999996</v>
      </c>
      <c r="Y5198">
        <v>-4.8274230000000001E-2</v>
      </c>
      <c r="Z5198" s="1">
        <v>-2.6471390000000001E-6</v>
      </c>
      <c r="AA5198">
        <v>0.99883409999999995</v>
      </c>
      <c r="AB5198">
        <v>45</v>
      </c>
      <c r="AC5198">
        <v>-3.05722</v>
      </c>
      <c r="AD5198">
        <v>3.4365649999999999E-3</v>
      </c>
      <c r="AE5198">
        <v>-8.9920040000000007E-2</v>
      </c>
      <c r="AF5198">
        <v>-0.147651265672505</v>
      </c>
      <c r="AG5198">
        <v>3.4365649999999999E-3</v>
      </c>
      <c r="AH5198">
        <v>3.0549722135930502</v>
      </c>
      <c r="AI5198">
        <v>89.935622649557104</v>
      </c>
      <c r="AJ5198">
        <v>92.767035451155706</v>
      </c>
      <c r="AK5198">
        <v>3.0585401635517702</v>
      </c>
      <c r="AL5198">
        <v>79.312484611853407</v>
      </c>
      <c r="AM5198">
        <v>87.774897177856403</v>
      </c>
      <c r="AN5198">
        <v>0.99999998907249599</v>
      </c>
    </row>
    <row r="5199" spans="1:40" x14ac:dyDescent="0.25">
      <c r="A5199" t="str">
        <f>"20190303170356898"</f>
        <v>20190303170356898</v>
      </c>
      <c r="B5199" t="str">
        <f>"1551603836890579"</f>
        <v>1551603836890579</v>
      </c>
      <c r="C5199" t="s">
        <v>40</v>
      </c>
      <c r="D5199">
        <v>3.8741669999999999</v>
      </c>
      <c r="E5199">
        <v>0.47151120000000002</v>
      </c>
      <c r="F5199" t="s">
        <v>48</v>
      </c>
      <c r="G5199">
        <v>0</v>
      </c>
      <c r="H5199">
        <v>0</v>
      </c>
      <c r="I5199">
        <v>0</v>
      </c>
      <c r="J5199">
        <v>-301.4153</v>
      </c>
      <c r="K5199">
        <v>1.1203479999999999</v>
      </c>
      <c r="L5199">
        <v>141.77969999999999</v>
      </c>
      <c r="M5199">
        <v>-0.99977110000000002</v>
      </c>
      <c r="N5199">
        <v>-9.6662540000000009E-3</v>
      </c>
      <c r="O5199">
        <v>1.9087590000000001E-2</v>
      </c>
      <c r="P5199">
        <v>-0.98266989999999999</v>
      </c>
      <c r="Q5199">
        <v>0.1764531</v>
      </c>
      <c r="R5199">
        <v>5.6783479999999997E-2</v>
      </c>
      <c r="S5199">
        <v>-3.0573730000000001</v>
      </c>
      <c r="T5199">
        <v>3.1605959999999999E-3</v>
      </c>
      <c r="U5199">
        <v>-9.1674800000000001E-2</v>
      </c>
      <c r="V5199">
        <v>3.8153909999999999E-2</v>
      </c>
      <c r="W5199">
        <v>0.1859239</v>
      </c>
      <c r="X5199">
        <v>0.98182309999999995</v>
      </c>
      <c r="Y5199">
        <v>-4.904493E-2</v>
      </c>
      <c r="Z5199" s="1">
        <v>-7.5628340000000003E-6</v>
      </c>
      <c r="AA5199">
        <v>0.99879660000000003</v>
      </c>
      <c r="AB5199">
        <v>45</v>
      </c>
      <c r="AC5199">
        <v>-3.0573730000000001</v>
      </c>
      <c r="AD5199">
        <v>3.1605959999999999E-3</v>
      </c>
      <c r="AE5199">
        <v>-9.1674800000000001E-2</v>
      </c>
      <c r="AF5199">
        <v>-0.15001854466468301</v>
      </c>
      <c r="AG5199">
        <v>3.1605959999999999E-3</v>
      </c>
      <c r="AH5199">
        <v>3.0550627469233</v>
      </c>
      <c r="AI5199">
        <v>89.940796367441706</v>
      </c>
      <c r="AJ5199">
        <v>92.811245284844702</v>
      </c>
      <c r="AK5199">
        <v>3.0587454847942102</v>
      </c>
      <c r="AL5199">
        <v>79.284997553279993</v>
      </c>
      <c r="AM5199">
        <v>87.774590344023096</v>
      </c>
      <c r="AN5199">
        <v>1.0000000085665499</v>
      </c>
    </row>
    <row r="5200" spans="1:40" x14ac:dyDescent="0.25">
      <c r="A5200" t="str">
        <f>"20190303170356920"</f>
        <v>20190303170356920</v>
      </c>
      <c r="B5200" t="str">
        <f>"1551603836911076"</f>
        <v>1551603836911076</v>
      </c>
      <c r="C5200" t="s">
        <v>40</v>
      </c>
      <c r="D5200">
        <v>3.7951079999999999</v>
      </c>
      <c r="E5200">
        <v>0.47147480000000003</v>
      </c>
      <c r="F5200" t="s">
        <v>48</v>
      </c>
      <c r="G5200">
        <v>0</v>
      </c>
      <c r="H5200">
        <v>0</v>
      </c>
      <c r="I5200">
        <v>0</v>
      </c>
      <c r="J5200">
        <v>-301.85329999999999</v>
      </c>
      <c r="K5200">
        <v>1.1203449999999999</v>
      </c>
      <c r="L5200">
        <v>141.78829999999999</v>
      </c>
      <c r="M5200">
        <v>-0.99976710000000002</v>
      </c>
      <c r="N5200">
        <v>-9.6271410000000005E-3</v>
      </c>
      <c r="O5200">
        <v>1.931397E-2</v>
      </c>
      <c r="P5200">
        <v>-0.98264600000000002</v>
      </c>
      <c r="Q5200">
        <v>0.17647550000000001</v>
      </c>
      <c r="R5200">
        <v>5.712391E-2</v>
      </c>
      <c r="S5200">
        <v>-3.0574650000000001</v>
      </c>
      <c r="T5200">
        <v>4.1283370000000002E-3</v>
      </c>
      <c r="U5200">
        <v>-9.1552729999999999E-2</v>
      </c>
      <c r="V5200">
        <v>3.8269520000000001E-2</v>
      </c>
      <c r="W5200">
        <v>0.18590799999999999</v>
      </c>
      <c r="X5200">
        <v>0.98182159999999996</v>
      </c>
      <c r="Y5200">
        <v>-4.9230330000000003E-2</v>
      </c>
      <c r="Z5200" s="1">
        <v>8.1665349999999996E-6</v>
      </c>
      <c r="AA5200">
        <v>0.99878750000000005</v>
      </c>
      <c r="AB5200">
        <v>45</v>
      </c>
      <c r="AC5200">
        <v>-3.0574650000000001</v>
      </c>
      <c r="AD5200">
        <v>4.1283370000000002E-3</v>
      </c>
      <c r="AE5200">
        <v>-9.1552729999999999E-2</v>
      </c>
      <c r="AF5200">
        <v>-0.150589901595437</v>
      </c>
      <c r="AG5200">
        <v>4.1283370000000002E-3</v>
      </c>
      <c r="AH5200">
        <v>3.0551207380221901</v>
      </c>
      <c r="AI5200">
        <v>89.922671036115304</v>
      </c>
      <c r="AJ5200">
        <v>92.8218813723484</v>
      </c>
      <c r="AK5200">
        <v>3.0588326344411501</v>
      </c>
      <c r="AL5200">
        <v>79.285924599952594</v>
      </c>
      <c r="AM5200">
        <v>87.767850543589404</v>
      </c>
      <c r="AN5200">
        <v>0.99999999742579504</v>
      </c>
    </row>
    <row r="5201" spans="1:40" x14ac:dyDescent="0.25">
      <c r="A5201" t="str">
        <f>"20190303170356941"</f>
        <v>20190303170356941</v>
      </c>
      <c r="B5201" t="str">
        <f>"1551603836930596"</f>
        <v>1551603836930596</v>
      </c>
      <c r="C5201" t="s">
        <v>40</v>
      </c>
      <c r="D5201">
        <v>3.8329960000000001</v>
      </c>
      <c r="E5201">
        <v>0.47143809999999903</v>
      </c>
      <c r="F5201" t="s">
        <v>48</v>
      </c>
      <c r="G5201">
        <v>0</v>
      </c>
      <c r="H5201">
        <v>0</v>
      </c>
      <c r="I5201">
        <v>0</v>
      </c>
      <c r="J5201">
        <v>-302.2697</v>
      </c>
      <c r="K5201">
        <v>1.1203350000000001</v>
      </c>
      <c r="L5201">
        <v>141.79640000000001</v>
      </c>
      <c r="M5201">
        <v>-0.99976339999999997</v>
      </c>
      <c r="N5201">
        <v>-9.5901839999999999E-3</v>
      </c>
      <c r="O5201">
        <v>1.9521070000000001E-2</v>
      </c>
      <c r="P5201">
        <v>-0.98256109999999997</v>
      </c>
      <c r="Q5201">
        <v>0.17676210000000001</v>
      </c>
      <c r="R5201">
        <v>5.7699140000000003E-2</v>
      </c>
      <c r="S5201">
        <v>-3.0575559999999999</v>
      </c>
      <c r="T5201">
        <v>3.8771629999999999E-3</v>
      </c>
      <c r="U5201">
        <v>-9.0484620000000002E-2</v>
      </c>
      <c r="V5201">
        <v>3.8640099999999997E-2</v>
      </c>
      <c r="W5201">
        <v>0.18615809999999999</v>
      </c>
      <c r="X5201">
        <v>0.98175970000000001</v>
      </c>
      <c r="Y5201">
        <v>-4.9087720000000001E-2</v>
      </c>
      <c r="Z5201" s="1">
        <v>7.5976129999999996E-6</v>
      </c>
      <c r="AA5201">
        <v>0.99879450000000003</v>
      </c>
      <c r="AB5201">
        <v>45</v>
      </c>
      <c r="AC5201">
        <v>-3.0575559999999999</v>
      </c>
      <c r="AD5201">
        <v>3.8771629999999999E-3</v>
      </c>
      <c r="AE5201">
        <v>-9.0484620000000002E-2</v>
      </c>
      <c r="AF5201">
        <v>-0.15015664757710301</v>
      </c>
      <c r="AG5201">
        <v>3.8771629999999999E-3</v>
      </c>
      <c r="AH5201">
        <v>3.0552019697668999</v>
      </c>
      <c r="AI5201">
        <v>89.927377257627199</v>
      </c>
      <c r="AJ5201">
        <v>92.813701064407994</v>
      </c>
      <c r="AK5201">
        <v>3.0588921405097</v>
      </c>
      <c r="AL5201">
        <v>79.271340385032502</v>
      </c>
      <c r="AM5201">
        <v>87.746115923533907</v>
      </c>
      <c r="AN5201">
        <v>1.00000000203385</v>
      </c>
    </row>
    <row r="5202" spans="1:40" x14ac:dyDescent="0.25">
      <c r="A5202" t="str">
        <f>"20190303170356955"</f>
        <v>20190303170356955</v>
      </c>
      <c r="B5202" t="str">
        <f>"1551603836951092"</f>
        <v>1551603836951092</v>
      </c>
      <c r="C5202" t="s">
        <v>40</v>
      </c>
      <c r="D5202">
        <v>3.8189229999999998</v>
      </c>
      <c r="E5202">
        <v>0.47142450000000002</v>
      </c>
      <c r="F5202" t="s">
        <v>48</v>
      </c>
      <c r="G5202">
        <v>0</v>
      </c>
      <c r="H5202">
        <v>0</v>
      </c>
      <c r="I5202">
        <v>0</v>
      </c>
      <c r="J5202">
        <v>-302.57049999999998</v>
      </c>
      <c r="K5202">
        <v>1.1203379999999901</v>
      </c>
      <c r="L5202">
        <v>141.80240000000001</v>
      </c>
      <c r="M5202">
        <v>-0.99976089999999995</v>
      </c>
      <c r="N5202">
        <v>-9.5646519999999999E-3</v>
      </c>
      <c r="O5202">
        <v>1.9664649999999999E-2</v>
      </c>
      <c r="P5202">
        <v>-0.98253230000000003</v>
      </c>
      <c r="Q5202">
        <v>0.17682639999999999</v>
      </c>
      <c r="R5202">
        <v>5.7991710000000002E-2</v>
      </c>
      <c r="S5202">
        <v>-3.0575869999999998</v>
      </c>
      <c r="T5202">
        <v>4.8342940000000003E-3</v>
      </c>
      <c r="U5202">
        <v>-8.8485720000000004E-2</v>
      </c>
      <c r="V5202">
        <v>3.8789259999999999E-2</v>
      </c>
      <c r="W5202">
        <v>0.186198</v>
      </c>
      <c r="X5202">
        <v>0.98174629999999996</v>
      </c>
      <c r="Y5202">
        <v>-4.8578419999999997E-2</v>
      </c>
      <c r="Z5202" s="1">
        <v>2.515502E-5</v>
      </c>
      <c r="AA5202">
        <v>0.99881940000000002</v>
      </c>
      <c r="AB5202">
        <v>45</v>
      </c>
      <c r="AC5202">
        <v>-3.0575869999999998</v>
      </c>
      <c r="AD5202">
        <v>4.8342940000000003E-3</v>
      </c>
      <c r="AE5202">
        <v>-8.8485720000000004E-2</v>
      </c>
      <c r="AF5202">
        <v>-0.14859736447691399</v>
      </c>
      <c r="AG5202">
        <v>4.8342940000000003E-3</v>
      </c>
      <c r="AH5202">
        <v>3.0552479552176401</v>
      </c>
      <c r="AI5202">
        <v>89.909448467503196</v>
      </c>
      <c r="AJ5202">
        <v>92.784486915618004</v>
      </c>
      <c r="AK5202">
        <v>3.0588632880515498</v>
      </c>
      <c r="AL5202">
        <v>79.269014119902906</v>
      </c>
      <c r="AM5202">
        <v>87.737393568377001</v>
      </c>
      <c r="AN5202">
        <v>1.0000000497295101</v>
      </c>
    </row>
    <row r="5203" spans="1:40" x14ac:dyDescent="0.25">
      <c r="A5203" t="str">
        <f>"20190303170356974"</f>
        <v>20190303170356974</v>
      </c>
      <c r="B5203" t="str">
        <f>"1551603836960853"</f>
        <v>1551603836960853</v>
      </c>
      <c r="C5203" t="s">
        <v>40</v>
      </c>
      <c r="D5203">
        <v>3.7856230000000002</v>
      </c>
      <c r="E5203">
        <v>0.47143190000000001</v>
      </c>
      <c r="F5203" t="s">
        <v>48</v>
      </c>
      <c r="G5203">
        <v>0</v>
      </c>
      <c r="H5203">
        <v>0</v>
      </c>
      <c r="I5203">
        <v>0</v>
      </c>
      <c r="J5203">
        <v>-302.94909999999999</v>
      </c>
      <c r="K5203">
        <v>1.12035</v>
      </c>
      <c r="L5203">
        <v>141.81</v>
      </c>
      <c r="M5203">
        <v>-0.99975789999999998</v>
      </c>
      <c r="N5203">
        <v>-9.5351540000000005E-3</v>
      </c>
      <c r="O5203">
        <v>1.9834129999999998E-2</v>
      </c>
      <c r="P5203">
        <v>-0.98249799999999998</v>
      </c>
      <c r="Q5203">
        <v>0.1767765</v>
      </c>
      <c r="R5203">
        <v>5.8719470000000003E-2</v>
      </c>
      <c r="S5203">
        <v>-3.057617</v>
      </c>
      <c r="T5203">
        <v>4.8389430000000001E-3</v>
      </c>
      <c r="U5203">
        <v>-8.7371829999999998E-2</v>
      </c>
      <c r="V5203">
        <v>3.9346359999999997E-2</v>
      </c>
      <c r="W5203">
        <v>0.1861197</v>
      </c>
      <c r="X5203">
        <v>0.98173889999999997</v>
      </c>
      <c r="Y5203">
        <v>-4.8383870000000002E-2</v>
      </c>
      <c r="Z5203" s="1">
        <v>2.8018230000000001E-5</v>
      </c>
      <c r="AA5203">
        <v>0.99882879999999996</v>
      </c>
      <c r="AB5203">
        <v>45</v>
      </c>
      <c r="AC5203">
        <v>-3.057617</v>
      </c>
      <c r="AD5203">
        <v>4.8389430000000001E-3</v>
      </c>
      <c r="AE5203">
        <v>-8.7371829999999998E-2</v>
      </c>
      <c r="AF5203">
        <v>-0.14800219563803699</v>
      </c>
      <c r="AG5203">
        <v>4.8389430000000001E-3</v>
      </c>
      <c r="AH5203">
        <v>3.05527479531546</v>
      </c>
      <c r="AI5203">
        <v>89.909361326231902</v>
      </c>
      <c r="AJ5203">
        <v>92.773327484878706</v>
      </c>
      <c r="AK5203">
        <v>3.0588612489246598</v>
      </c>
      <c r="AL5203">
        <v>79.273579365947896</v>
      </c>
      <c r="AM5203">
        <v>87.704914733155206</v>
      </c>
      <c r="AN5203">
        <v>0.99999997327327395</v>
      </c>
    </row>
    <row r="5204" spans="1:40" x14ac:dyDescent="0.25">
      <c r="A5204" t="str">
        <f>"20190303170356991"</f>
        <v>20190303170356991</v>
      </c>
      <c r="B5204" t="str">
        <f>"1551603836981348"</f>
        <v>1551603836981348</v>
      </c>
      <c r="C5204" t="s">
        <v>40</v>
      </c>
      <c r="D5204">
        <v>3.8232719999999998</v>
      </c>
      <c r="E5204">
        <v>0.47136210000000001</v>
      </c>
      <c r="F5204" t="s">
        <v>48</v>
      </c>
      <c r="G5204">
        <v>0</v>
      </c>
      <c r="H5204">
        <v>0</v>
      </c>
      <c r="I5204">
        <v>0</v>
      </c>
      <c r="J5204">
        <v>-303.26870000000002</v>
      </c>
      <c r="K5204">
        <v>1.12036</v>
      </c>
      <c r="L5204">
        <v>141.81639999999999</v>
      </c>
      <c r="M5204">
        <v>-0.99975550000000002</v>
      </c>
      <c r="N5204">
        <v>-9.5129529999999993E-3</v>
      </c>
      <c r="O5204">
        <v>1.9963749999999999E-2</v>
      </c>
      <c r="P5204">
        <v>-0.98252799999999996</v>
      </c>
      <c r="Q5204">
        <v>0.1765177</v>
      </c>
      <c r="R5204">
        <v>5.8996739999999999E-2</v>
      </c>
      <c r="S5204">
        <v>-3.0576479999999999</v>
      </c>
      <c r="T5204">
        <v>5.2064659999999999E-3</v>
      </c>
      <c r="U5204">
        <v>-8.5922239999999997E-2</v>
      </c>
      <c r="V5204">
        <v>3.9490480000000001E-2</v>
      </c>
      <c r="W5204">
        <v>0.18584000000000001</v>
      </c>
      <c r="X5204">
        <v>0.98178609999999999</v>
      </c>
      <c r="Y5204">
        <v>-4.803992E-2</v>
      </c>
      <c r="Z5204" s="1">
        <v>3.6205950000000002E-5</v>
      </c>
      <c r="AA5204">
        <v>0.99884539999999999</v>
      </c>
      <c r="AB5204">
        <v>45</v>
      </c>
      <c r="AC5204">
        <v>-3.0576479999999999</v>
      </c>
      <c r="AD5204">
        <v>5.2064659999999999E-3</v>
      </c>
      <c r="AE5204">
        <v>-8.5922239999999997E-2</v>
      </c>
      <c r="AF5204">
        <v>-0.14694956801466</v>
      </c>
      <c r="AG5204">
        <v>5.2064659999999999E-3</v>
      </c>
      <c r="AH5204">
        <v>3.0553143100751599</v>
      </c>
      <c r="AI5204">
        <v>89.902476873228295</v>
      </c>
      <c r="AJ5204">
        <v>92.753597813942605</v>
      </c>
      <c r="AK5204">
        <v>3.05885057107698</v>
      </c>
      <c r="AL5204">
        <v>79.289889568096399</v>
      </c>
      <c r="AM5204">
        <v>87.696627830404097</v>
      </c>
      <c r="AN5204">
        <v>0.99999997488191905</v>
      </c>
    </row>
    <row r="5205" spans="1:40" x14ac:dyDescent="0.25">
      <c r="A5205" t="str">
        <f>"20190303170357009"</f>
        <v>20190303170357009</v>
      </c>
      <c r="B5205" t="str">
        <f>"1551603837000868"</f>
        <v>1551603837000868</v>
      </c>
      <c r="C5205" t="s">
        <v>40</v>
      </c>
      <c r="D5205">
        <v>3.8533979999999999</v>
      </c>
      <c r="E5205">
        <v>0.4712944</v>
      </c>
      <c r="F5205" t="s">
        <v>48</v>
      </c>
      <c r="G5205">
        <v>0</v>
      </c>
      <c r="H5205">
        <v>0</v>
      </c>
      <c r="I5205">
        <v>0</v>
      </c>
      <c r="J5205">
        <v>-303.637</v>
      </c>
      <c r="K5205">
        <v>1.120371</v>
      </c>
      <c r="L5205">
        <v>141.82380000000001</v>
      </c>
      <c r="M5205">
        <v>-0.99975309999999995</v>
      </c>
      <c r="N5205">
        <v>-9.4880510000000008E-3</v>
      </c>
      <c r="O5205">
        <v>2.009673E-2</v>
      </c>
      <c r="P5205">
        <v>-0.98257660000000002</v>
      </c>
      <c r="Q5205">
        <v>0.17609830000000001</v>
      </c>
      <c r="R5205">
        <v>5.9435799999999997E-2</v>
      </c>
      <c r="S5205">
        <v>-3.057709</v>
      </c>
      <c r="T5205">
        <v>4.2572019999999999E-3</v>
      </c>
      <c r="U5205">
        <v>-8.5571289999999994E-2</v>
      </c>
      <c r="V5205">
        <v>3.979009E-2</v>
      </c>
      <c r="W5205">
        <v>0.1853986</v>
      </c>
      <c r="X5205">
        <v>0.98185750000000005</v>
      </c>
      <c r="Y5205">
        <v>-4.8057679999999998E-2</v>
      </c>
      <c r="Z5205" s="1">
        <v>2.40292E-5</v>
      </c>
      <c r="AA5205">
        <v>0.99884459999999997</v>
      </c>
      <c r="AB5205">
        <v>45</v>
      </c>
      <c r="AC5205">
        <v>-3.057709</v>
      </c>
      <c r="AD5205">
        <v>4.2572019999999999E-3</v>
      </c>
      <c r="AE5205">
        <v>-8.5571289999999994E-2</v>
      </c>
      <c r="AF5205">
        <v>-0.14700643509326</v>
      </c>
      <c r="AG5205">
        <v>4.2572019999999999E-3</v>
      </c>
      <c r="AH5205">
        <v>3.0553657121467399</v>
      </c>
      <c r="AI5205">
        <v>89.920259069442196</v>
      </c>
      <c r="AJ5205">
        <v>92.754615498458705</v>
      </c>
      <c r="AK5205">
        <v>3.0589031777239502</v>
      </c>
      <c r="AL5205">
        <v>79.3156277024313</v>
      </c>
      <c r="AM5205">
        <v>87.679340016498003</v>
      </c>
      <c r="AN5205">
        <v>1.0000000212252</v>
      </c>
    </row>
    <row r="5206" spans="1:40" x14ac:dyDescent="0.25">
      <c r="A5206" t="str">
        <f>"20190303170357030"</f>
        <v>20190303170357030</v>
      </c>
      <c r="B5206" t="str">
        <f>"1551603837020388"</f>
        <v>1551603837020388</v>
      </c>
      <c r="C5206" t="s">
        <v>40</v>
      </c>
      <c r="D5206">
        <v>3.8561589999999999</v>
      </c>
      <c r="E5206">
        <v>0.47135060000000001</v>
      </c>
      <c r="F5206" t="s">
        <v>48</v>
      </c>
      <c r="G5206">
        <v>0</v>
      </c>
      <c r="H5206">
        <v>0</v>
      </c>
      <c r="I5206">
        <v>0</v>
      </c>
      <c r="J5206">
        <v>-304.0634</v>
      </c>
      <c r="K5206">
        <v>1.1203890000000001</v>
      </c>
      <c r="L5206">
        <v>141.83250000000001</v>
      </c>
      <c r="M5206">
        <v>-0.99975069999999999</v>
      </c>
      <c r="N5206">
        <v>-9.4599709999999993E-3</v>
      </c>
      <c r="O5206">
        <v>2.022475E-2</v>
      </c>
      <c r="P5206">
        <v>-0.98263690000000004</v>
      </c>
      <c r="Q5206">
        <v>0.17564279999999999</v>
      </c>
      <c r="R5206">
        <v>5.9787300000000002E-2</v>
      </c>
      <c r="S5206">
        <v>-3.0577999999999999</v>
      </c>
      <c r="T5206">
        <v>2.892375E-3</v>
      </c>
      <c r="U5206">
        <v>-8.4289550000000005E-2</v>
      </c>
      <c r="V5206">
        <v>4.0003919999999998E-2</v>
      </c>
      <c r="W5206">
        <v>0.18491779999999999</v>
      </c>
      <c r="X5206">
        <v>0.98193940000000002</v>
      </c>
      <c r="Y5206">
        <v>-4.7766400000000001E-2</v>
      </c>
      <c r="Z5206" s="1">
        <v>7.021838E-6</v>
      </c>
      <c r="AA5206">
        <v>0.99885849999999998</v>
      </c>
      <c r="AB5206">
        <v>45</v>
      </c>
      <c r="AC5206">
        <v>-3.0577999999999999</v>
      </c>
      <c r="AD5206">
        <v>2.892375E-3</v>
      </c>
      <c r="AE5206">
        <v>-8.4289550000000005E-2</v>
      </c>
      <c r="AF5206">
        <v>-0.14611818527479201</v>
      </c>
      <c r="AG5206">
        <v>2.892375E-3</v>
      </c>
      <c r="AH5206">
        <v>3.0554669549067799</v>
      </c>
      <c r="AI5206">
        <v>89.945824431568596</v>
      </c>
      <c r="AJ5206">
        <v>92.737906238326701</v>
      </c>
      <c r="AK5206">
        <v>3.0589601505133199</v>
      </c>
      <c r="AL5206">
        <v>79.343659418126904</v>
      </c>
      <c r="AM5206">
        <v>87.6670770297102</v>
      </c>
      <c r="AN5206">
        <v>0.99999994582228102</v>
      </c>
    </row>
    <row r="5207" spans="1:40" x14ac:dyDescent="0.25">
      <c r="A5207" t="str">
        <f>"20190303170357047"</f>
        <v>20190303170357047</v>
      </c>
      <c r="B5207" t="str">
        <f>"1551603837040642"</f>
        <v>1551603837040642</v>
      </c>
      <c r="C5207" t="s">
        <v>40</v>
      </c>
      <c r="D5207">
        <v>3.9114629999999999</v>
      </c>
      <c r="E5207">
        <v>0.49374659999999898</v>
      </c>
      <c r="F5207" t="s">
        <v>48</v>
      </c>
      <c r="G5207">
        <v>0</v>
      </c>
      <c r="H5207">
        <v>0</v>
      </c>
      <c r="I5207">
        <v>0</v>
      </c>
      <c r="J5207">
        <v>-304.3997</v>
      </c>
      <c r="K5207">
        <v>1.1204069999999999</v>
      </c>
      <c r="L5207">
        <v>141.83930000000001</v>
      </c>
      <c r="M5207">
        <v>-0.99974949999999996</v>
      </c>
      <c r="N5207">
        <v>-9.4391909999999996E-3</v>
      </c>
      <c r="O5207">
        <v>2.030324E-2</v>
      </c>
      <c r="P5207">
        <v>-0.98259249999999998</v>
      </c>
      <c r="Q5207">
        <v>0.175648</v>
      </c>
      <c r="R5207">
        <v>6.0499669999999998E-2</v>
      </c>
      <c r="S5207">
        <v>-3.0578919999999998</v>
      </c>
      <c r="T5207">
        <v>1.0350940000000001E-3</v>
      </c>
      <c r="U5207">
        <v>-8.2763669999999998E-2</v>
      </c>
      <c r="V5207">
        <v>4.0630319999999998E-2</v>
      </c>
      <c r="W5207">
        <v>0.18490419999999999</v>
      </c>
      <c r="X5207">
        <v>0.98191629999999996</v>
      </c>
      <c r="Y5207">
        <v>-4.7345930000000001E-2</v>
      </c>
      <c r="Z5207" s="1">
        <v>-1.700417E-5</v>
      </c>
      <c r="AA5207">
        <v>0.9988785</v>
      </c>
      <c r="AB5207">
        <v>45</v>
      </c>
      <c r="AC5207">
        <v>-3.0578919999999998</v>
      </c>
      <c r="AD5207">
        <v>1.0350940000000001E-3</v>
      </c>
      <c r="AE5207">
        <v>-8.2763669999999998E-2</v>
      </c>
      <c r="AF5207">
        <v>-0.144834460975695</v>
      </c>
      <c r="AG5207">
        <v>1.0350940000000001E-3</v>
      </c>
      <c r="AH5207">
        <v>3.05558081955148</v>
      </c>
      <c r="AI5207">
        <v>89.9806125227244</v>
      </c>
      <c r="AJ5207">
        <v>92.713787447277198</v>
      </c>
      <c r="AK5207">
        <v>3.0590116438674499</v>
      </c>
      <c r="AL5207">
        <v>79.344452931974999</v>
      </c>
      <c r="AM5207">
        <v>87.630532671441003</v>
      </c>
      <c r="AN5207">
        <v>1.0000000031433101</v>
      </c>
    </row>
    <row r="5208" spans="1:40" x14ac:dyDescent="0.25">
      <c r="A5208" t="str">
        <f>"20190303170357066"</f>
        <v>20190303170357066</v>
      </c>
      <c r="B5208" t="str">
        <f>"1551603837050402"</f>
        <v>1551603837050402</v>
      </c>
      <c r="C5208" t="s">
        <v>40</v>
      </c>
      <c r="D5208">
        <v>3.8949159999999998</v>
      </c>
      <c r="E5208">
        <v>0.49766939999999998</v>
      </c>
      <c r="F5208" t="s">
        <v>48</v>
      </c>
      <c r="G5208">
        <v>0</v>
      </c>
      <c r="H5208">
        <v>0</v>
      </c>
      <c r="I5208">
        <v>0</v>
      </c>
      <c r="J5208">
        <v>-304.7724</v>
      </c>
      <c r="K5208">
        <v>1.120431</v>
      </c>
      <c r="L5208">
        <v>141.84690000000001</v>
      </c>
      <c r="M5208">
        <v>-0.99974819999999998</v>
      </c>
      <c r="N5208">
        <v>-9.4180700000000006E-3</v>
      </c>
      <c r="O5208">
        <v>2.0371609999999998E-2</v>
      </c>
      <c r="P5208">
        <v>-0.9825083</v>
      </c>
      <c r="Q5208">
        <v>0.17590539999999999</v>
      </c>
      <c r="R5208">
        <v>6.1116900000000002E-2</v>
      </c>
      <c r="S5208">
        <v>-3.0491640000000002</v>
      </c>
      <c r="T5208">
        <v>-1.125264E-2</v>
      </c>
      <c r="U5208">
        <v>9.7091670000000005E-2</v>
      </c>
      <c r="V5208">
        <v>4.1171340000000001E-2</v>
      </c>
      <c r="W5208">
        <v>0.18514230000000001</v>
      </c>
      <c r="X5208">
        <v>0.98184890000000002</v>
      </c>
      <c r="Y5208">
        <v>1.1457190000000001E-2</v>
      </c>
      <c r="Z5208">
        <v>1.917965E-4</v>
      </c>
      <c r="AA5208">
        <v>0.9999344</v>
      </c>
      <c r="AB5208">
        <v>45</v>
      </c>
      <c r="AC5208">
        <v>-3.0491640000000002</v>
      </c>
      <c r="AD5208">
        <v>-1.125264E-2</v>
      </c>
      <c r="AE5208">
        <v>9.7091670000000005E-2</v>
      </c>
      <c r="AF5208">
        <v>3.4951914226702102E-2</v>
      </c>
      <c r="AG5208">
        <v>-1.125264E-2</v>
      </c>
      <c r="AH5208">
        <v>3.0504676717391002</v>
      </c>
      <c r="AI5208">
        <v>90.211339246677198</v>
      </c>
      <c r="AJ5208">
        <v>89.3435401526215</v>
      </c>
      <c r="AK5208">
        <v>3.0506886557858501</v>
      </c>
      <c r="AL5208">
        <v>79.330571161395397</v>
      </c>
      <c r="AM5208">
        <v>87.598853678942405</v>
      </c>
      <c r="AN5208">
        <v>1.00000000645894</v>
      </c>
    </row>
    <row r="5209" spans="1:40" x14ac:dyDescent="0.25">
      <c r="A5209" t="str">
        <f>"20190303170357089"</f>
        <v>20190303170357089</v>
      </c>
      <c r="B5209" t="str">
        <f>"1551603837080657"</f>
        <v>1551603837080657</v>
      </c>
      <c r="C5209" t="s">
        <v>40</v>
      </c>
      <c r="D5209">
        <v>3.8405689999999999</v>
      </c>
      <c r="E5209">
        <v>0.50131479999999995</v>
      </c>
      <c r="F5209" t="s">
        <v>74</v>
      </c>
      <c r="G5209">
        <v>-511.05889999999999</v>
      </c>
      <c r="H5209">
        <v>0.64176</v>
      </c>
      <c r="I5209">
        <v>150.69220000000001</v>
      </c>
      <c r="J5209">
        <v>-305.24079999999998</v>
      </c>
      <c r="K5209">
        <v>1.1204590000000001</v>
      </c>
      <c r="L5209">
        <v>141.85650000000001</v>
      </c>
      <c r="M5209">
        <v>-0.99974719999999995</v>
      </c>
      <c r="N5209">
        <v>-9.3949830000000008E-3</v>
      </c>
      <c r="O5209">
        <v>2.043381E-2</v>
      </c>
      <c r="P5209">
        <v>-0.98240850000000002</v>
      </c>
      <c r="Q5209">
        <v>0.17647090000000001</v>
      </c>
      <c r="R5209">
        <v>6.108864E-2</v>
      </c>
      <c r="S5209">
        <v>-3.0465089999999999</v>
      </c>
      <c r="T5209">
        <v>-7.068515E-3</v>
      </c>
      <c r="U5209">
        <v>0.13063050000000001</v>
      </c>
      <c r="V5209">
        <v>4.1071049999999998E-2</v>
      </c>
      <c r="W5209">
        <v>0.1856872</v>
      </c>
      <c r="X5209">
        <v>0.98175020000000002</v>
      </c>
      <c r="Y5209">
        <v>2.2414699999999999E-2</v>
      </c>
      <c r="Z5209">
        <v>2.7587770000000002E-4</v>
      </c>
      <c r="AA5209">
        <v>0.99974870000000005</v>
      </c>
      <c r="AB5209">
        <v>45</v>
      </c>
      <c r="AC5209">
        <v>-205.81809999999999</v>
      </c>
      <c r="AD5209">
        <v>-0.47869899999999999</v>
      </c>
      <c r="AE5209">
        <v>8.8356999999999992</v>
      </c>
      <c r="AF5209">
        <v>4.6279970229752303</v>
      </c>
      <c r="AG5209">
        <v>-0.47869899999999999</v>
      </c>
      <c r="AH5209">
        <v>205.95456592147201</v>
      </c>
      <c r="AI5209">
        <v>90.133138397988802</v>
      </c>
      <c r="AJ5209">
        <v>88.712725409942706</v>
      </c>
      <c r="AK5209">
        <v>206.00711330698999</v>
      </c>
      <c r="AL5209">
        <v>79.298799838870096</v>
      </c>
      <c r="AM5209">
        <v>87.604455322335596</v>
      </c>
      <c r="AN5209">
        <v>1.0000000112959899</v>
      </c>
    </row>
    <row r="5210" spans="1:40" x14ac:dyDescent="0.25">
      <c r="A5210" t="str">
        <f>"20190303170357110"</f>
        <v>20190303170357110</v>
      </c>
      <c r="B5210" t="str">
        <f>"1551603837101153"</f>
        <v>1551603837101153</v>
      </c>
      <c r="C5210" t="s">
        <v>40</v>
      </c>
      <c r="D5210">
        <v>3.8354200000000001</v>
      </c>
      <c r="E5210">
        <v>0.50217279999999997</v>
      </c>
      <c r="F5210" t="s">
        <v>74</v>
      </c>
      <c r="G5210">
        <v>-511.05889999999999</v>
      </c>
      <c r="H5210">
        <v>0.77033819999999997</v>
      </c>
      <c r="I5210">
        <v>152.69120000000001</v>
      </c>
      <c r="J5210">
        <v>-305.6823</v>
      </c>
      <c r="K5210">
        <v>1.120476</v>
      </c>
      <c r="L5210">
        <v>141.8655</v>
      </c>
      <c r="M5210">
        <v>-0.99974640000000004</v>
      </c>
      <c r="N5210">
        <v>-9.3769790000000006E-3</v>
      </c>
      <c r="O5210">
        <v>2.0473040000000001E-2</v>
      </c>
      <c r="P5210">
        <v>-0.98238639999999999</v>
      </c>
      <c r="Q5210">
        <v>0.176703</v>
      </c>
      <c r="R5210">
        <v>6.0772140000000002E-2</v>
      </c>
      <c r="S5210">
        <v>-3.0446780000000002</v>
      </c>
      <c r="T5210">
        <v>-5.1786899999999997E-3</v>
      </c>
      <c r="U5210">
        <v>0.16027829999999901</v>
      </c>
      <c r="V5210">
        <v>4.070621E-2</v>
      </c>
      <c r="W5210">
        <v>0.18590329999999999</v>
      </c>
      <c r="X5210">
        <v>0.9817245</v>
      </c>
      <c r="Y5210">
        <v>3.2112990000000001E-2</v>
      </c>
      <c r="Z5210">
        <v>3.3505250000000002E-4</v>
      </c>
      <c r="AA5210">
        <v>0.99948419999999905</v>
      </c>
      <c r="AB5210">
        <v>45</v>
      </c>
      <c r="AC5210">
        <v>-205.3766</v>
      </c>
      <c r="AD5210">
        <v>-0.3501378</v>
      </c>
      <c r="AE5210">
        <v>10.825699999999999</v>
      </c>
      <c r="AF5210">
        <v>6.6185432629874201</v>
      </c>
      <c r="AG5210">
        <v>-0.3501378</v>
      </c>
      <c r="AH5210">
        <v>205.55459931909499</v>
      </c>
      <c r="AI5210">
        <v>90.097545896368999</v>
      </c>
      <c r="AJ5210">
        <v>88.155800799129096</v>
      </c>
      <c r="AK5210">
        <v>205.661423248593</v>
      </c>
      <c r="AL5210">
        <v>79.286198838687994</v>
      </c>
      <c r="AM5210">
        <v>87.625648741721307</v>
      </c>
      <c r="AN5210">
        <v>1.0000000131918501</v>
      </c>
    </row>
    <row r="5211" spans="1:40" x14ac:dyDescent="0.25">
      <c r="A5211" t="str">
        <f>"20190303170357133"</f>
        <v>20190303170357133</v>
      </c>
      <c r="B5211" t="str">
        <f>"1551603837120674"</f>
        <v>1551603837120674</v>
      </c>
      <c r="C5211" t="s">
        <v>40</v>
      </c>
      <c r="D5211">
        <v>3.820694</v>
      </c>
      <c r="E5211">
        <v>0.50288120000000003</v>
      </c>
      <c r="F5211" t="s">
        <v>74</v>
      </c>
      <c r="G5211">
        <v>-511.05900000000003</v>
      </c>
      <c r="H5211">
        <v>0.95498309999999997</v>
      </c>
      <c r="I5211">
        <v>153.09870000000001</v>
      </c>
      <c r="J5211">
        <v>-306.1241</v>
      </c>
      <c r="K5211">
        <v>1.12049</v>
      </c>
      <c r="L5211">
        <v>141.87459999999999</v>
      </c>
      <c r="M5211">
        <v>-0.99974609999999997</v>
      </c>
      <c r="N5211">
        <v>-9.3668729999999995E-3</v>
      </c>
      <c r="O5211">
        <v>2.0495880000000001E-2</v>
      </c>
      <c r="P5211">
        <v>-0.98246840000000002</v>
      </c>
      <c r="Q5211">
        <v>0.17640020000000001</v>
      </c>
      <c r="R5211">
        <v>6.0322389999999997E-2</v>
      </c>
      <c r="S5211">
        <v>-3.0439150000000001</v>
      </c>
      <c r="T5211">
        <v>-2.4521349999999998E-3</v>
      </c>
      <c r="U5211">
        <v>0.16648859999999999</v>
      </c>
      <c r="V5211">
        <v>4.0223559999999998E-2</v>
      </c>
      <c r="W5211">
        <v>0.18559349999999999</v>
      </c>
      <c r="X5211">
        <v>0.98180299999999998</v>
      </c>
      <c r="Y5211">
        <v>3.4136880000000001E-2</v>
      </c>
      <c r="Z5211">
        <v>3.4912579999999999E-4</v>
      </c>
      <c r="AA5211">
        <v>0.99941709999999995</v>
      </c>
      <c r="AB5211">
        <v>45</v>
      </c>
      <c r="AC5211">
        <v>-204.9349</v>
      </c>
      <c r="AD5211">
        <v>-0.16550689999999901</v>
      </c>
      <c r="AE5211">
        <v>11.2241</v>
      </c>
      <c r="AF5211">
        <v>7.0212322450660203</v>
      </c>
      <c r="AG5211">
        <v>-0.16550689999999901</v>
      </c>
      <c r="AH5211">
        <v>205.12177156890499</v>
      </c>
      <c r="AI5211">
        <v>90.046203258895503</v>
      </c>
      <c r="AJ5211">
        <v>88.039554910114703</v>
      </c>
      <c r="AK5211">
        <v>205.24197004106901</v>
      </c>
      <c r="AL5211">
        <v>79.304263369861005</v>
      </c>
      <c r="AM5211">
        <v>87.653956952024899</v>
      </c>
      <c r="AN5211">
        <v>1.00000000641516</v>
      </c>
    </row>
    <row r="5212" spans="1:40" x14ac:dyDescent="0.25">
      <c r="A5212" t="str">
        <f>"20190303170357153"</f>
        <v>20190303170357153</v>
      </c>
      <c r="B5212" t="str">
        <f>"1551603837141170"</f>
        <v>1551603837141170</v>
      </c>
      <c r="C5212" t="s">
        <v>40</v>
      </c>
      <c r="D5212">
        <v>3.839988</v>
      </c>
      <c r="E5212">
        <v>0.50325419999999998</v>
      </c>
      <c r="F5212" t="s">
        <v>74</v>
      </c>
      <c r="G5212">
        <v>-511.05889999999999</v>
      </c>
      <c r="H5212">
        <v>0.85796640000000002</v>
      </c>
      <c r="I5212">
        <v>153.3493</v>
      </c>
      <c r="J5212">
        <v>-306.55470000000003</v>
      </c>
      <c r="K5212">
        <v>1.1205080000000001</v>
      </c>
      <c r="L5212">
        <v>141.88339999999999</v>
      </c>
      <c r="M5212">
        <v>-0.99974609999999997</v>
      </c>
      <c r="N5212">
        <v>-9.3662250000000006E-3</v>
      </c>
      <c r="O5212">
        <v>2.049902E-2</v>
      </c>
      <c r="P5212">
        <v>-0.98250919999999997</v>
      </c>
      <c r="Q5212">
        <v>0.1763325</v>
      </c>
      <c r="R5212">
        <v>5.9854850000000001E-2</v>
      </c>
      <c r="S5212">
        <v>-3.0437319999999999</v>
      </c>
      <c r="T5212">
        <v>-3.8983820000000001E-3</v>
      </c>
      <c r="U5212">
        <v>0.17042539999999901</v>
      </c>
      <c r="V5212">
        <v>3.9743720000000003E-2</v>
      </c>
      <c r="W5212">
        <v>0.18552750000000001</v>
      </c>
      <c r="X5212">
        <v>0.98183500000000001</v>
      </c>
      <c r="Y5212">
        <v>3.5425529999999997E-2</v>
      </c>
      <c r="Z5212">
        <v>3.5436549999999999E-4</v>
      </c>
      <c r="AA5212">
        <v>0.99937220000000004</v>
      </c>
      <c r="AB5212">
        <v>45</v>
      </c>
      <c r="AC5212">
        <v>-204.5042</v>
      </c>
      <c r="AD5212">
        <v>-0.26254159999999999</v>
      </c>
      <c r="AE5212">
        <v>11.4659</v>
      </c>
      <c r="AF5212">
        <v>7.2711593900279397</v>
      </c>
      <c r="AG5212">
        <v>-0.26254159999999999</v>
      </c>
      <c r="AH5212">
        <v>204.695938078241</v>
      </c>
      <c r="AI5212">
        <v>90.073440812812194</v>
      </c>
      <c r="AJ5212">
        <v>87.9656086118285</v>
      </c>
      <c r="AK5212">
        <v>204.82520780582101</v>
      </c>
      <c r="AL5212">
        <v>79.308111569067506</v>
      </c>
      <c r="AM5212">
        <v>87.681988421047606</v>
      </c>
      <c r="AN5212">
        <v>0.99999999188034405</v>
      </c>
    </row>
    <row r="5213" spans="1:40" x14ac:dyDescent="0.25">
      <c r="A5213" t="str">
        <f>"20190303170357177"</f>
        <v>20190303170357177</v>
      </c>
      <c r="B5213" t="str">
        <f>"1551603837170450"</f>
        <v>1551603837170450</v>
      </c>
      <c r="C5213" t="s">
        <v>40</v>
      </c>
      <c r="D5213">
        <v>3.7894000000000001</v>
      </c>
      <c r="E5213">
        <v>0.50372680000000003</v>
      </c>
      <c r="F5213" t="s">
        <v>74</v>
      </c>
      <c r="G5213">
        <v>-511.05889999999999</v>
      </c>
      <c r="H5213">
        <v>0.84651089999999996</v>
      </c>
      <c r="I5213">
        <v>153.4316</v>
      </c>
      <c r="J5213">
        <v>-307.02569999999997</v>
      </c>
      <c r="K5213">
        <v>1.1205339999999999</v>
      </c>
      <c r="L5213">
        <v>141.8931</v>
      </c>
      <c r="M5213">
        <v>-0.99974640000000004</v>
      </c>
      <c r="N5213">
        <v>-9.3763019999999996E-3</v>
      </c>
      <c r="O5213">
        <v>2.0476999999999999E-2</v>
      </c>
      <c r="P5213">
        <v>-0.98248139999999995</v>
      </c>
      <c r="Q5213">
        <v>0.17675550000000001</v>
      </c>
      <c r="R5213">
        <v>5.9057529999999997E-2</v>
      </c>
      <c r="S5213">
        <v>-3.043701</v>
      </c>
      <c r="T5213">
        <v>-4.0773149999999998E-3</v>
      </c>
      <c r="U5213">
        <v>0.171875</v>
      </c>
      <c r="V5213">
        <v>3.8958020000000003E-2</v>
      </c>
      <c r="W5213">
        <v>0.18596270000000001</v>
      </c>
      <c r="X5213">
        <v>0.9817842</v>
      </c>
      <c r="Y5213">
        <v>3.5922500000000003E-2</v>
      </c>
      <c r="Z5213">
        <v>3.5707479999999998E-4</v>
      </c>
      <c r="AA5213">
        <v>0.99935450000000003</v>
      </c>
      <c r="AB5213">
        <v>45</v>
      </c>
      <c r="AC5213">
        <v>-204.03319999999999</v>
      </c>
      <c r="AD5213">
        <v>-0.27402309999999902</v>
      </c>
      <c r="AE5213">
        <v>11.538500000000001</v>
      </c>
      <c r="AF5213">
        <v>7.3578958935146099</v>
      </c>
      <c r="AG5213">
        <v>-0.27402309999999902</v>
      </c>
      <c r="AH5213">
        <v>204.22633247354801</v>
      </c>
      <c r="AI5213">
        <v>90.076827398713505</v>
      </c>
      <c r="AJ5213">
        <v>87.936631815558101</v>
      </c>
      <c r="AK5213">
        <v>204.359018876671</v>
      </c>
      <c r="AL5213">
        <v>79.282735297964607</v>
      </c>
      <c r="AM5213">
        <v>87.727647600991602</v>
      </c>
      <c r="AN5213">
        <v>1.00000003424162</v>
      </c>
    </row>
    <row r="5214" spans="1:40" x14ac:dyDescent="0.25">
      <c r="A5214" t="str">
        <f>"20190303170357190"</f>
        <v>20190303170357190</v>
      </c>
      <c r="B5214" t="str">
        <f>"1551603837181186"</f>
        <v>1551603837181186</v>
      </c>
      <c r="C5214" t="s">
        <v>40</v>
      </c>
      <c r="D5214">
        <v>3.8601519999999998</v>
      </c>
      <c r="E5214">
        <v>0.50382700000000002</v>
      </c>
      <c r="F5214" t="s">
        <v>74</v>
      </c>
      <c r="G5214">
        <v>-511.05900000000003</v>
      </c>
      <c r="H5214">
        <v>0.92389350000000003</v>
      </c>
      <c r="I5214">
        <v>153.51830000000001</v>
      </c>
      <c r="J5214">
        <v>-307.31880000000001</v>
      </c>
      <c r="K5214">
        <v>1.1205540000000001</v>
      </c>
      <c r="L5214">
        <v>141.899</v>
      </c>
      <c r="M5214">
        <v>-0.99974669999999999</v>
      </c>
      <c r="N5214">
        <v>-9.3899150000000004E-3</v>
      </c>
      <c r="O5214">
        <v>2.044957E-2</v>
      </c>
      <c r="P5214">
        <v>-0.98240289999999997</v>
      </c>
      <c r="Q5214">
        <v>0.1772485</v>
      </c>
      <c r="R5214">
        <v>5.8885550000000002E-2</v>
      </c>
      <c r="S5214">
        <v>-3.0436100000000001</v>
      </c>
      <c r="T5214">
        <v>-2.9326679999999998E-3</v>
      </c>
      <c r="U5214">
        <v>0.17341609999999999</v>
      </c>
      <c r="V5214">
        <v>3.8807189999999998E-2</v>
      </c>
      <c r="W5214">
        <v>0.18646960000000001</v>
      </c>
      <c r="X5214">
        <v>0.98169399999999996</v>
      </c>
      <c r="Y5214">
        <v>3.6456160000000001E-2</v>
      </c>
      <c r="Z5214">
        <v>3.610749E-4</v>
      </c>
      <c r="AA5214">
        <v>0.99933519999999998</v>
      </c>
      <c r="AB5214">
        <v>45</v>
      </c>
      <c r="AC5214">
        <v>-203.74019999999999</v>
      </c>
      <c r="AD5214">
        <v>-0.19666049999999999</v>
      </c>
      <c r="AE5214">
        <v>11.619300000000001</v>
      </c>
      <c r="AF5214">
        <v>7.4502795577226202</v>
      </c>
      <c r="AG5214">
        <v>-0.19666049999999999</v>
      </c>
      <c r="AH5214">
        <v>203.935022035071</v>
      </c>
      <c r="AI5214">
        <v>90.055215143397206</v>
      </c>
      <c r="AJ5214">
        <v>87.9077658269224</v>
      </c>
      <c r="AK5214">
        <v>204.07116051339901</v>
      </c>
      <c r="AL5214">
        <v>79.253174756257394</v>
      </c>
      <c r="AM5214">
        <v>87.736228314722297</v>
      </c>
      <c r="AN5214">
        <v>1.00000000967792</v>
      </c>
    </row>
    <row r="5215" spans="1:40" x14ac:dyDescent="0.25">
      <c r="A5215" t="str">
        <f>"20190303170357210"</f>
        <v>20190303170357210</v>
      </c>
      <c r="B5215" t="str">
        <f>"1551603837200706"</f>
        <v>1551603837200706</v>
      </c>
      <c r="C5215" t="s">
        <v>40</v>
      </c>
      <c r="D5215">
        <v>3.8525320000000001</v>
      </c>
      <c r="E5215">
        <v>0.50403500000000001</v>
      </c>
      <c r="F5215" t="s">
        <v>74</v>
      </c>
      <c r="G5215">
        <v>-511.05900000000003</v>
      </c>
      <c r="H5215">
        <v>1.053221</v>
      </c>
      <c r="I5215">
        <v>153.53360000000001</v>
      </c>
      <c r="J5215">
        <v>-307.69760000000002</v>
      </c>
      <c r="K5215">
        <v>1.120587</v>
      </c>
      <c r="L5215">
        <v>141.9068</v>
      </c>
      <c r="M5215">
        <v>-0.99974750000000001</v>
      </c>
      <c r="N5215">
        <v>-9.4138090000000004E-3</v>
      </c>
      <c r="O5215">
        <v>2.0401989999999998E-2</v>
      </c>
      <c r="P5215">
        <v>-0.98233999999999999</v>
      </c>
      <c r="Q5215">
        <v>0.1776065</v>
      </c>
      <c r="R5215">
        <v>5.8856890000000002E-2</v>
      </c>
      <c r="S5215">
        <v>-3.043488</v>
      </c>
      <c r="T5215">
        <v>-1.005173E-3</v>
      </c>
      <c r="U5215">
        <v>0.1737976</v>
      </c>
      <c r="V5215">
        <v>3.8816120000000003E-2</v>
      </c>
      <c r="W5215">
        <v>0.18685280000000001</v>
      </c>
      <c r="X5215">
        <v>0.98162079999999996</v>
      </c>
      <c r="Y5215">
        <v>3.6631070000000002E-2</v>
      </c>
      <c r="Z5215">
        <v>3.6382260000000002E-4</v>
      </c>
      <c r="AA5215">
        <v>0.99932880000000002</v>
      </c>
      <c r="AB5215">
        <v>45</v>
      </c>
      <c r="AC5215">
        <v>-203.3614</v>
      </c>
      <c r="AD5215">
        <v>-6.7365999999999995E-2</v>
      </c>
      <c r="AE5215">
        <v>11.626799999999999</v>
      </c>
      <c r="AF5215">
        <v>7.4752176809769804</v>
      </c>
      <c r="AG5215">
        <v>-6.7365999999999995E-2</v>
      </c>
      <c r="AH5215">
        <v>203.55626625694299</v>
      </c>
      <c r="AI5215">
        <v>90.018948998300104</v>
      </c>
      <c r="AJ5215">
        <v>87.896866281186306</v>
      </c>
      <c r="AK5215">
        <v>203.69348774573899</v>
      </c>
      <c r="AL5215">
        <v>79.230826417942396</v>
      </c>
      <c r="AM5215">
        <v>87.735539262113093</v>
      </c>
      <c r="AN5215">
        <v>1.00000002751616</v>
      </c>
    </row>
    <row r="5216" spans="1:40" x14ac:dyDescent="0.25">
      <c r="A5216" t="str">
        <f>"20190303170357225"</f>
        <v>20190303170357225</v>
      </c>
      <c r="B5216" t="str">
        <f>"1551603837210466"</f>
        <v>1551603837210466</v>
      </c>
      <c r="C5216" t="s">
        <v>40</v>
      </c>
      <c r="D5216">
        <v>3.7701549999999999</v>
      </c>
      <c r="E5216">
        <v>0.50407769999999996</v>
      </c>
      <c r="F5216" t="s">
        <v>74</v>
      </c>
      <c r="G5216">
        <v>-511.92559999999997</v>
      </c>
      <c r="H5216">
        <v>1.1085430000000001</v>
      </c>
      <c r="I5216">
        <v>153.6533</v>
      </c>
      <c r="J5216">
        <v>-307.99509999999998</v>
      </c>
      <c r="K5216">
        <v>1.1206130000000001</v>
      </c>
      <c r="L5216">
        <v>141.9128</v>
      </c>
      <c r="M5216">
        <v>-0.99974830000000003</v>
      </c>
      <c r="N5216">
        <v>-9.4382189999999994E-3</v>
      </c>
      <c r="O5216">
        <v>2.035476E-2</v>
      </c>
      <c r="P5216">
        <v>-0.98240329999999998</v>
      </c>
      <c r="Q5216">
        <v>0.17726220000000001</v>
      </c>
      <c r="R5216">
        <v>5.8839629999999997E-2</v>
      </c>
      <c r="S5216">
        <v>-3.0434269999999999</v>
      </c>
      <c r="T5216">
        <v>-1.7881390000000001E-4</v>
      </c>
      <c r="U5216">
        <v>0.17504879999999901</v>
      </c>
      <c r="V5216">
        <v>3.8835729999999999E-2</v>
      </c>
      <c r="W5216">
        <v>0.1865348</v>
      </c>
      <c r="X5216">
        <v>0.98168049999999996</v>
      </c>
      <c r="Y5216">
        <v>3.7089030000000002E-2</v>
      </c>
      <c r="Z5216">
        <v>3.6706590000000001E-4</v>
      </c>
      <c r="AA5216">
        <v>0.99931190000000003</v>
      </c>
      <c r="AB5216">
        <v>45</v>
      </c>
      <c r="AC5216">
        <v>-203.93049999999999</v>
      </c>
      <c r="AD5216">
        <v>-1.20699999999998E-2</v>
      </c>
      <c r="AE5216">
        <v>11.7404999999999</v>
      </c>
      <c r="AF5216">
        <v>7.5869262085714304</v>
      </c>
      <c r="AG5216">
        <v>-1.20699999999998E-2</v>
      </c>
      <c r="AH5216">
        <v>204.12723098556901</v>
      </c>
      <c r="AI5216">
        <v>90.003385549673894</v>
      </c>
      <c r="AJ5216">
        <v>87.871431235489794</v>
      </c>
      <c r="AK5216">
        <v>204.26817673053</v>
      </c>
      <c r="AL5216">
        <v>79.249372521224899</v>
      </c>
      <c r="AM5216">
        <v>87.734534079813699</v>
      </c>
      <c r="AN5216">
        <v>1.0000000248079599</v>
      </c>
    </row>
    <row r="5217" spans="1:40" x14ac:dyDescent="0.25">
      <c r="A5217" t="str">
        <f>"20190303170357243"</f>
        <v>20190303170357243</v>
      </c>
      <c r="B5217" t="str">
        <f>"1551603837230492"</f>
        <v>1551603837230492</v>
      </c>
      <c r="C5217" t="s">
        <v>40</v>
      </c>
      <c r="D5217">
        <v>3.8181289999999999</v>
      </c>
      <c r="E5217">
        <v>0.5043048</v>
      </c>
      <c r="F5217" t="s">
        <v>74</v>
      </c>
      <c r="G5217">
        <v>-511.9255</v>
      </c>
      <c r="H5217">
        <v>1.0841259999999999</v>
      </c>
      <c r="I5217">
        <v>153.6857</v>
      </c>
      <c r="J5217">
        <v>-308.36610000000002</v>
      </c>
      <c r="K5217">
        <v>1.1206419999999999</v>
      </c>
      <c r="L5217">
        <v>141.9203</v>
      </c>
      <c r="M5217">
        <v>-0.99974940000000001</v>
      </c>
      <c r="N5217">
        <v>-9.4750600000000004E-3</v>
      </c>
      <c r="O5217">
        <v>2.0285060000000001E-2</v>
      </c>
      <c r="P5217">
        <v>-0.98252759999999995</v>
      </c>
      <c r="Q5217">
        <v>0.17648910000000001</v>
      </c>
      <c r="R5217">
        <v>5.9087349999999997E-2</v>
      </c>
      <c r="S5217">
        <v>-3.043304</v>
      </c>
      <c r="T5217">
        <v>-5.4383280000000001E-4</v>
      </c>
      <c r="U5217">
        <v>0.1756897</v>
      </c>
      <c r="V5217">
        <v>3.9139029999999998E-2</v>
      </c>
      <c r="W5217">
        <v>0.18580060000000001</v>
      </c>
      <c r="X5217">
        <v>0.9818076</v>
      </c>
      <c r="Y5217">
        <v>3.7370680000000003E-2</v>
      </c>
      <c r="Z5217">
        <v>3.6899589999999998E-4</v>
      </c>
      <c r="AA5217">
        <v>0.99930140000000001</v>
      </c>
      <c r="AB5217">
        <v>45</v>
      </c>
      <c r="AC5217">
        <v>-203.55940000000001</v>
      </c>
      <c r="AD5217">
        <v>-3.6515999999999903E-2</v>
      </c>
      <c r="AE5217">
        <v>11.7654</v>
      </c>
      <c r="AF5217">
        <v>7.6335788997346397</v>
      </c>
      <c r="AG5217">
        <v>-3.6515999999999903E-2</v>
      </c>
      <c r="AH5217">
        <v>203.75617726062899</v>
      </c>
      <c r="AI5217">
        <v>90.010261018577495</v>
      </c>
      <c r="AJ5217">
        <v>87.854458186869905</v>
      </c>
      <c r="AK5217">
        <v>203.899123666831</v>
      </c>
      <c r="AL5217">
        <v>79.292186711648995</v>
      </c>
      <c r="AM5217">
        <v>87.717155104889699</v>
      </c>
      <c r="AN5217">
        <v>0.99999994502372802</v>
      </c>
    </row>
    <row r="5218" spans="1:40" x14ac:dyDescent="0.25">
      <c r="A5218" t="str">
        <f>"20190303170357266"</f>
        <v>20190303170357266</v>
      </c>
      <c r="B5218" t="str">
        <f>"1551603837260748"</f>
        <v>1551603837260748</v>
      </c>
      <c r="C5218" t="s">
        <v>40</v>
      </c>
      <c r="D5218">
        <v>3.7980860000000001</v>
      </c>
      <c r="E5218">
        <v>0.50453040000000005</v>
      </c>
      <c r="F5218" t="s">
        <v>74</v>
      </c>
      <c r="G5218">
        <v>-511.9255</v>
      </c>
      <c r="H5218">
        <v>0.90538019999999997</v>
      </c>
      <c r="I5218">
        <v>153.8835</v>
      </c>
      <c r="J5218">
        <v>-308.8347</v>
      </c>
      <c r="K5218">
        <v>1.1206750000000001</v>
      </c>
      <c r="L5218">
        <v>141.9297</v>
      </c>
      <c r="M5218">
        <v>-0.9997509</v>
      </c>
      <c r="N5218">
        <v>-9.5315090000000005E-3</v>
      </c>
      <c r="O5218">
        <v>2.018035E-2</v>
      </c>
      <c r="P5218">
        <v>-0.98252340000000005</v>
      </c>
      <c r="Q5218">
        <v>0.17633859999999901</v>
      </c>
      <c r="R5218">
        <v>5.9605310000000002E-2</v>
      </c>
      <c r="S5218">
        <v>-3.0431819999999998</v>
      </c>
      <c r="T5218">
        <v>-3.2174590000000002E-3</v>
      </c>
      <c r="U5218">
        <v>0.17884829999999999</v>
      </c>
      <c r="V5218">
        <v>3.9748079999999998E-2</v>
      </c>
      <c r="W5218">
        <v>0.18570880000000001</v>
      </c>
      <c r="X5218">
        <v>0.98180060000000002</v>
      </c>
      <c r="Y5218">
        <v>3.8510969999999999E-2</v>
      </c>
      <c r="Z5218">
        <v>3.7495049999999999E-4</v>
      </c>
      <c r="AA5218">
        <v>0.99925810000000004</v>
      </c>
      <c r="AB5218">
        <v>46</v>
      </c>
      <c r="AC5218">
        <v>-203.0908</v>
      </c>
      <c r="AD5218">
        <v>-0.21529480000000001</v>
      </c>
      <c r="AE5218">
        <v>11.953799999999999</v>
      </c>
      <c r="AF5218">
        <v>7.8527269695364597</v>
      </c>
      <c r="AG5218">
        <v>-0.21529480000000001</v>
      </c>
      <c r="AH5218">
        <v>203.290453181343</v>
      </c>
      <c r="AI5218">
        <v>90.060633865501003</v>
      </c>
      <c r="AJ5218">
        <v>87.787871874021604</v>
      </c>
      <c r="AK5218">
        <v>203.44217858493499</v>
      </c>
      <c r="AL5218">
        <v>79.297540689069905</v>
      </c>
      <c r="AM5218">
        <v>87.681653267981503</v>
      </c>
      <c r="AN5218">
        <v>1.0000000432107401</v>
      </c>
    </row>
    <row r="5219" spans="1:40" x14ac:dyDescent="0.25">
      <c r="A5219" t="str">
        <f>"20190303170357289"</f>
        <v>20190303170357289</v>
      </c>
      <c r="B5219" t="str">
        <f>"1551603837281245"</f>
        <v>1551603837281245</v>
      </c>
      <c r="C5219" t="s">
        <v>40</v>
      </c>
      <c r="D5219">
        <v>3.781155</v>
      </c>
      <c r="E5219">
        <v>0.50464319999999996</v>
      </c>
      <c r="F5219" t="s">
        <v>74</v>
      </c>
      <c r="G5219">
        <v>-511.9255</v>
      </c>
      <c r="H5219">
        <v>0.82744980000000001</v>
      </c>
      <c r="I5219">
        <v>154.12479999999999</v>
      </c>
      <c r="J5219">
        <v>-309.30239999999998</v>
      </c>
      <c r="K5219">
        <v>1.120706</v>
      </c>
      <c r="L5219">
        <v>141.9391</v>
      </c>
      <c r="M5219">
        <v>-0.9997528</v>
      </c>
      <c r="N5219">
        <v>-9.5949E-3</v>
      </c>
      <c r="O5219">
        <v>2.0060789999999998E-2</v>
      </c>
      <c r="P5219">
        <v>-0.9825197</v>
      </c>
      <c r="Q5219">
        <v>0.1764251</v>
      </c>
      <c r="R5219">
        <v>5.9408900000000001E-2</v>
      </c>
      <c r="S5219">
        <v>-3.042999</v>
      </c>
      <c r="T5219">
        <v>-4.392862E-3</v>
      </c>
      <c r="U5219">
        <v>0.182724</v>
      </c>
      <c r="V5219">
        <v>3.965896E-2</v>
      </c>
      <c r="W5219">
        <v>0.18585969999999999</v>
      </c>
      <c r="X5219">
        <v>0.98177559999999997</v>
      </c>
      <c r="Y5219">
        <v>3.9902010000000002E-2</v>
      </c>
      <c r="Z5219">
        <v>3.8380450000000002E-4</v>
      </c>
      <c r="AA5219">
        <v>0.99920350000000002</v>
      </c>
      <c r="AB5219">
        <v>46</v>
      </c>
      <c r="AC5219">
        <v>-202.62309999999999</v>
      </c>
      <c r="AD5219">
        <v>-0.29325620000000002</v>
      </c>
      <c r="AE5219">
        <v>12.185699999999899</v>
      </c>
      <c r="AF5219">
        <v>8.1182643510706498</v>
      </c>
      <c r="AG5219">
        <v>-0.29325620000000002</v>
      </c>
      <c r="AH5219">
        <v>202.826363484057</v>
      </c>
      <c r="AI5219">
        <v>90.082774682810197</v>
      </c>
      <c r="AJ5219">
        <v>87.707920606559895</v>
      </c>
      <c r="AK5219">
        <v>202.98897984728001</v>
      </c>
      <c r="AL5219">
        <v>79.288741045793699</v>
      </c>
      <c r="AM5219">
        <v>87.686786790563801</v>
      </c>
      <c r="AN5219">
        <v>0.99999999497386505</v>
      </c>
    </row>
    <row r="5220" spans="1:40" x14ac:dyDescent="0.25">
      <c r="A5220" t="str">
        <f>"20190303170357311"</f>
        <v>20190303170357311</v>
      </c>
      <c r="B5220" t="str">
        <f>"1551603837300764"</f>
        <v>1551603837300764</v>
      </c>
      <c r="C5220" t="s">
        <v>40</v>
      </c>
      <c r="D5220">
        <v>3.8067920000000002</v>
      </c>
      <c r="E5220">
        <v>0.50474640000000004</v>
      </c>
      <c r="F5220" t="s">
        <v>74</v>
      </c>
      <c r="G5220">
        <v>-511.9255</v>
      </c>
      <c r="H5220">
        <v>0.82041200000000003</v>
      </c>
      <c r="I5220">
        <v>154.11680000000001</v>
      </c>
      <c r="J5220">
        <v>-309.74930000000001</v>
      </c>
      <c r="K5220">
        <v>1.120733</v>
      </c>
      <c r="L5220">
        <v>141.94799999999901</v>
      </c>
      <c r="M5220">
        <v>-0.99975460000000005</v>
      </c>
      <c r="N5220">
        <v>-9.6589889999999998E-3</v>
      </c>
      <c r="O5220">
        <v>1.993557E-2</v>
      </c>
      <c r="P5220">
        <v>-0.98260709999999996</v>
      </c>
      <c r="Q5220">
        <v>0.1760283</v>
      </c>
      <c r="R5220">
        <v>5.9137139999999998E-2</v>
      </c>
      <c r="S5220">
        <v>-3.0431210000000002</v>
      </c>
      <c r="T5220">
        <v>-4.5093299999999998E-3</v>
      </c>
      <c r="U5220">
        <v>0.18289179999999999</v>
      </c>
      <c r="V5220">
        <v>3.9500220000000003E-2</v>
      </c>
      <c r="W5220">
        <v>0.18552840000000001</v>
      </c>
      <c r="X5220">
        <v>0.98184470000000001</v>
      </c>
      <c r="Y5220">
        <v>4.0079660000000003E-2</v>
      </c>
      <c r="Z5220">
        <v>3.8633189999999999E-4</v>
      </c>
      <c r="AA5220">
        <v>0.99919639999999998</v>
      </c>
      <c r="AB5220">
        <v>46</v>
      </c>
      <c r="AC5220">
        <v>-202.17619999999999</v>
      </c>
      <c r="AD5220">
        <v>-0.30032099999999901</v>
      </c>
      <c r="AE5220">
        <v>12.168799999999999</v>
      </c>
      <c r="AF5220">
        <v>8.1356776934010799</v>
      </c>
      <c r="AG5220">
        <v>-0.30032099999999901</v>
      </c>
      <c r="AH5220">
        <v>202.37817546251799</v>
      </c>
      <c r="AI5220">
        <v>90.084955929813106</v>
      </c>
      <c r="AJ5220">
        <v>87.697927987925496</v>
      </c>
      <c r="AK5220">
        <v>202.54186072950901</v>
      </c>
      <c r="AL5220">
        <v>79.308059555588002</v>
      </c>
      <c r="AM5220">
        <v>87.696197694037807</v>
      </c>
      <c r="AN5220">
        <v>1.0000000347523399</v>
      </c>
    </row>
    <row r="5221" spans="1:40" x14ac:dyDescent="0.25">
      <c r="A5221" t="str">
        <f>"20190303170357331"</f>
        <v>20190303170357331</v>
      </c>
      <c r="B5221" t="str">
        <f>"1551603837321261"</f>
        <v>1551603837321261</v>
      </c>
      <c r="C5221" t="s">
        <v>40</v>
      </c>
      <c r="D5221">
        <v>3.8242950000000002</v>
      </c>
      <c r="E5221">
        <v>0.50487289999999996</v>
      </c>
      <c r="F5221" t="s">
        <v>74</v>
      </c>
      <c r="G5221">
        <v>-511.92540000000002</v>
      </c>
      <c r="H5221">
        <v>0.80046490000000003</v>
      </c>
      <c r="I5221">
        <v>154.08709999999999</v>
      </c>
      <c r="J5221">
        <v>-310.18259999999998</v>
      </c>
      <c r="K5221">
        <v>1.120752</v>
      </c>
      <c r="L5221">
        <v>141.95650000000001</v>
      </c>
      <c r="M5221">
        <v>-0.99975650000000005</v>
      </c>
      <c r="N5221">
        <v>-9.7241199999999993E-3</v>
      </c>
      <c r="O5221">
        <v>1.980691E-2</v>
      </c>
      <c r="P5221">
        <v>-0.98267320000000002</v>
      </c>
      <c r="Q5221">
        <v>0.175916299999999</v>
      </c>
      <c r="R5221">
        <v>5.8365269999999997E-2</v>
      </c>
      <c r="S5221">
        <v>-3.042999</v>
      </c>
      <c r="T5221">
        <v>-4.8197509999999997E-3</v>
      </c>
      <c r="U5221">
        <v>0.1827087</v>
      </c>
      <c r="V5221">
        <v>3.8847060000000003E-2</v>
      </c>
      <c r="W5221">
        <v>0.18548200000000001</v>
      </c>
      <c r="X5221">
        <v>0.98187950000000002</v>
      </c>
      <c r="Y5221">
        <v>4.0150680000000001E-2</v>
      </c>
      <c r="Z5221">
        <v>3.883019E-4</v>
      </c>
      <c r="AA5221">
        <v>0.99919349999999996</v>
      </c>
      <c r="AB5221">
        <v>46</v>
      </c>
      <c r="AC5221">
        <v>-201.74279999999999</v>
      </c>
      <c r="AD5221">
        <v>-0.32028709999999899</v>
      </c>
      <c r="AE5221">
        <v>12.1305999999999</v>
      </c>
      <c r="AF5221">
        <v>8.1321090619027405</v>
      </c>
      <c r="AG5221">
        <v>-0.32028709999999899</v>
      </c>
      <c r="AH5221">
        <v>201.94299305379499</v>
      </c>
      <c r="AI5221">
        <v>90.0907990035316</v>
      </c>
      <c r="AJ5221">
        <v>87.693983292594496</v>
      </c>
      <c r="AK5221">
        <v>202.10691780625999</v>
      </c>
      <c r="AL5221">
        <v>79.310764764390598</v>
      </c>
      <c r="AM5221">
        <v>87.734332640836101</v>
      </c>
      <c r="AN5221">
        <v>1.0000000094574399</v>
      </c>
    </row>
    <row r="5222" spans="1:40" x14ac:dyDescent="0.25">
      <c r="A5222" t="str">
        <f>"20190303170357354"</f>
        <v>20190303170357354</v>
      </c>
      <c r="B5222" t="str">
        <f>"1551603837340781"</f>
        <v>1551603837340781</v>
      </c>
      <c r="C5222" t="s">
        <v>40</v>
      </c>
      <c r="D5222">
        <v>3.790095</v>
      </c>
      <c r="E5222">
        <v>0.5049882</v>
      </c>
      <c r="F5222" t="s">
        <v>74</v>
      </c>
      <c r="G5222">
        <v>-511.92540000000002</v>
      </c>
      <c r="H5222">
        <v>0.77470119999999998</v>
      </c>
      <c r="I5222">
        <v>153.98140000000001</v>
      </c>
      <c r="J5222">
        <v>-310.64299999999997</v>
      </c>
      <c r="K5222">
        <v>1.120768</v>
      </c>
      <c r="L5222">
        <v>141.96559999999999</v>
      </c>
      <c r="M5222">
        <v>-0.9997587</v>
      </c>
      <c r="N5222">
        <v>-9.7951199999999992E-3</v>
      </c>
      <c r="O5222">
        <v>1.9664540000000001E-2</v>
      </c>
      <c r="P5222">
        <v>-0.98276699999999995</v>
      </c>
      <c r="Q5222">
        <v>0.17550299999999999</v>
      </c>
      <c r="R5222">
        <v>5.8032790000000001E-2</v>
      </c>
      <c r="S5222">
        <v>-3.0430600000000001</v>
      </c>
      <c r="T5222">
        <v>-5.2191019999999998E-3</v>
      </c>
      <c r="U5222">
        <v>0.18138119999999999</v>
      </c>
      <c r="V5222">
        <v>3.8647309999999997E-2</v>
      </c>
      <c r="W5222">
        <v>0.18514040000000001</v>
      </c>
      <c r="X5222">
        <v>0.98195180000000004</v>
      </c>
      <c r="Y5222">
        <v>3.9857379999999998E-2</v>
      </c>
      <c r="Z5222">
        <v>3.8833029999999998E-4</v>
      </c>
      <c r="AA5222">
        <v>0.99920529999999996</v>
      </c>
      <c r="AB5222">
        <v>46</v>
      </c>
      <c r="AC5222">
        <v>-201.2824</v>
      </c>
      <c r="AD5222">
        <v>-0.34606679999999901</v>
      </c>
      <c r="AE5222">
        <v>12.0158</v>
      </c>
      <c r="AF5222">
        <v>8.0551370980530095</v>
      </c>
      <c r="AG5222">
        <v>-0.34606679999999901</v>
      </c>
      <c r="AH5222">
        <v>201.47917818556201</v>
      </c>
      <c r="AI5222">
        <v>90.098334329600306</v>
      </c>
      <c r="AJ5222">
        <v>87.710534169903298</v>
      </c>
      <c r="AK5222">
        <v>201.640433044139</v>
      </c>
      <c r="AL5222">
        <v>79.330681435956905</v>
      </c>
      <c r="AM5222">
        <v>87.746136353211099</v>
      </c>
      <c r="AN5222">
        <v>0.99999995990281698</v>
      </c>
    </row>
    <row r="5223" spans="1:40" x14ac:dyDescent="0.25">
      <c r="A5223" t="str">
        <f>"20190303170357378"</f>
        <v>20190303170357378</v>
      </c>
      <c r="B5223" t="str">
        <f>"1551603837371037"</f>
        <v>1551603837371037</v>
      </c>
      <c r="C5223" t="s">
        <v>40</v>
      </c>
      <c r="D5223">
        <v>3.8020830000000001</v>
      </c>
      <c r="E5223">
        <v>0.50512500000000005</v>
      </c>
      <c r="F5223" t="s">
        <v>74</v>
      </c>
      <c r="G5223">
        <v>-511.92540000000002</v>
      </c>
      <c r="H5223">
        <v>0.72271219999999903</v>
      </c>
      <c r="I5223">
        <v>153.94220000000001</v>
      </c>
      <c r="J5223">
        <v>-311.12490000000003</v>
      </c>
      <c r="K5223">
        <v>1.1207819999999999</v>
      </c>
      <c r="L5223">
        <v>141.97499999999999</v>
      </c>
      <c r="M5223">
        <v>-0.99976100000000001</v>
      </c>
      <c r="N5223">
        <v>-9.8701980000000002E-3</v>
      </c>
      <c r="O5223">
        <v>1.9511899999999999E-2</v>
      </c>
      <c r="P5223">
        <v>-0.98277020000000004</v>
      </c>
      <c r="Q5223">
        <v>0.17521239999999999</v>
      </c>
      <c r="R5223">
        <v>5.8853040000000002E-2</v>
      </c>
      <c r="S5223">
        <v>-3.0429689999999998</v>
      </c>
      <c r="T5223">
        <v>-6.0170889999999998E-3</v>
      </c>
      <c r="U5223">
        <v>0.18106079999999999</v>
      </c>
      <c r="V5223">
        <v>3.9612340000000003E-2</v>
      </c>
      <c r="W5223">
        <v>0.1849249</v>
      </c>
      <c r="X5223">
        <v>0.98195399999999999</v>
      </c>
      <c r="Y5223">
        <v>3.9906740000000003E-2</v>
      </c>
      <c r="Z5223">
        <v>3.90462E-4</v>
      </c>
      <c r="AA5223">
        <v>0.99920330000000002</v>
      </c>
      <c r="AB5223">
        <v>46</v>
      </c>
      <c r="AC5223">
        <v>-200.8005</v>
      </c>
      <c r="AD5223">
        <v>-0.39806979999999997</v>
      </c>
      <c r="AE5223">
        <v>11.9672</v>
      </c>
      <c r="AF5223">
        <v>8.0467002478002705</v>
      </c>
      <c r="AG5223">
        <v>-0.39806979999999997</v>
      </c>
      <c r="AH5223">
        <v>200.99499589278901</v>
      </c>
      <c r="AI5223">
        <v>90.113383092318102</v>
      </c>
      <c r="AJ5223">
        <v>87.707426065803801</v>
      </c>
      <c r="AK5223">
        <v>201.156397408548</v>
      </c>
      <c r="AL5223">
        <v>79.343246139848304</v>
      </c>
      <c r="AM5223">
        <v>87.689922388999406</v>
      </c>
      <c r="AN5223">
        <v>1.0000000071181401</v>
      </c>
    </row>
    <row r="5224" spans="1:40" x14ac:dyDescent="0.25">
      <c r="A5224" t="str">
        <f>"20190303170357399"</f>
        <v>20190303170357399</v>
      </c>
      <c r="B5224" t="str">
        <f>"1551603837390556"</f>
        <v>1551603837390556</v>
      </c>
      <c r="C5224" t="s">
        <v>40</v>
      </c>
      <c r="D5224">
        <v>3.805434</v>
      </c>
      <c r="E5224">
        <v>0.50518069999999904</v>
      </c>
      <c r="F5224" t="s">
        <v>74</v>
      </c>
      <c r="G5224">
        <v>-511.92540000000002</v>
      </c>
      <c r="H5224">
        <v>0.70323959999999996</v>
      </c>
      <c r="I5224">
        <v>154.15369999999999</v>
      </c>
      <c r="J5224">
        <v>-311.5607</v>
      </c>
      <c r="K5224">
        <v>1.120798</v>
      </c>
      <c r="L5224">
        <v>141.98339999999999</v>
      </c>
      <c r="M5224">
        <v>-0.99976299999999996</v>
      </c>
      <c r="N5224">
        <v>-9.9366920000000004E-3</v>
      </c>
      <c r="O5224">
        <v>1.937293E-2</v>
      </c>
      <c r="P5224">
        <v>-0.98265619999999998</v>
      </c>
      <c r="Q5224">
        <v>0.17564379999999999</v>
      </c>
      <c r="R5224">
        <v>5.9466640000000001E-2</v>
      </c>
      <c r="S5224">
        <v>-3.0426639999999998</v>
      </c>
      <c r="T5224">
        <v>-6.3261990000000002E-3</v>
      </c>
      <c r="U5224">
        <v>0.1845398</v>
      </c>
      <c r="V5224">
        <v>4.0360670000000001E-2</v>
      </c>
      <c r="W5224">
        <v>0.18542159999999999</v>
      </c>
      <c r="X5224">
        <v>0.98182979999999997</v>
      </c>
      <c r="Y5224">
        <v>4.1189860000000002E-2</v>
      </c>
      <c r="Z5224">
        <v>3.997548E-4</v>
      </c>
      <c r="AA5224">
        <v>0.99915120000000002</v>
      </c>
      <c r="AB5224">
        <v>46</v>
      </c>
      <c r="AC5224">
        <v>-200.3647</v>
      </c>
      <c r="AD5224">
        <v>-0.4175584</v>
      </c>
      <c r="AE5224">
        <v>12.1702999999999</v>
      </c>
      <c r="AF5224">
        <v>8.2861371335798193</v>
      </c>
      <c r="AG5224">
        <v>-0.4175584</v>
      </c>
      <c r="AH5224">
        <v>200.56201143739</v>
      </c>
      <c r="AI5224">
        <v>90.119184621783006</v>
      </c>
      <c r="AJ5224">
        <v>87.634193849244497</v>
      </c>
      <c r="AK5224">
        <v>200.73354192916</v>
      </c>
      <c r="AL5224">
        <v>79.314285929125703</v>
      </c>
      <c r="AM5224">
        <v>87.646033162314495</v>
      </c>
      <c r="AN5224">
        <v>0.99999995479872295</v>
      </c>
    </row>
    <row r="5225" spans="1:40" x14ac:dyDescent="0.25">
      <c r="A5225" t="str">
        <f>"20190303170357420"</f>
        <v>20190303170357420</v>
      </c>
      <c r="B5225" t="str">
        <f>"1551603837411053"</f>
        <v>1551603837411053</v>
      </c>
      <c r="C5225" t="s">
        <v>40</v>
      </c>
      <c r="D5225">
        <v>3.8082129999999998</v>
      </c>
      <c r="E5225">
        <v>0.50527319999999998</v>
      </c>
      <c r="F5225" t="s">
        <v>74</v>
      </c>
      <c r="G5225">
        <v>-511.92540000000002</v>
      </c>
      <c r="H5225">
        <v>0.7876031</v>
      </c>
      <c r="I5225">
        <v>154.30189999999999</v>
      </c>
      <c r="J5225">
        <v>-312.00330000000002</v>
      </c>
      <c r="K5225">
        <v>1.1208129999999901</v>
      </c>
      <c r="L5225">
        <v>141.99189999999999</v>
      </c>
      <c r="M5225">
        <v>-0.99976520000000002</v>
      </c>
      <c r="N5225">
        <v>-1.000087E-2</v>
      </c>
      <c r="O5225">
        <v>1.9231410000000001E-2</v>
      </c>
      <c r="P5225">
        <v>-0.98261089999999995</v>
      </c>
      <c r="Q5225">
        <v>0.17573620000000001</v>
      </c>
      <c r="R5225">
        <v>5.9942259999999997E-2</v>
      </c>
      <c r="S5225">
        <v>-3.0425420000000001</v>
      </c>
      <c r="T5225">
        <v>-5.0588849999999999E-3</v>
      </c>
      <c r="U5225">
        <v>0.18705749999999999</v>
      </c>
      <c r="V5225">
        <v>4.0972740000000001E-2</v>
      </c>
      <c r="W5225">
        <v>0.18557760000000001</v>
      </c>
      <c r="X5225">
        <v>0.98177499999999995</v>
      </c>
      <c r="Y5225">
        <v>4.2157590000000002E-2</v>
      </c>
      <c r="Z5225">
        <v>4.0627870000000001E-4</v>
      </c>
      <c r="AA5225">
        <v>0.99911090000000002</v>
      </c>
      <c r="AB5225">
        <v>46</v>
      </c>
      <c r="AC5225">
        <v>-199.9221</v>
      </c>
      <c r="AD5225">
        <v>-0.333209899999999</v>
      </c>
      <c r="AE5225">
        <v>12.31</v>
      </c>
      <c r="AF5225">
        <v>8.46272418807464</v>
      </c>
      <c r="AG5225">
        <v>-0.333209899999999</v>
      </c>
      <c r="AH5225">
        <v>200.121319231543</v>
      </c>
      <c r="AI5225">
        <v>90.095314461652805</v>
      </c>
      <c r="AJ5225">
        <v>87.578520573349905</v>
      </c>
      <c r="AK5225">
        <v>200.30045217246601</v>
      </c>
      <c r="AL5225">
        <v>79.305190201578</v>
      </c>
      <c r="AM5225">
        <v>87.610243075712106</v>
      </c>
      <c r="AN5225">
        <v>0.99999998083493302</v>
      </c>
    </row>
    <row r="5226" spans="1:40" x14ac:dyDescent="0.25">
      <c r="A5226" t="str">
        <f>"20190303170357444"</f>
        <v>20190303170357444</v>
      </c>
      <c r="B5226" t="str">
        <f>"1551603837431081"</f>
        <v>1551603837431081</v>
      </c>
      <c r="C5226" t="s">
        <v>40</v>
      </c>
      <c r="D5226">
        <v>3.805431</v>
      </c>
      <c r="E5226">
        <v>0.50537940000000003</v>
      </c>
      <c r="F5226" t="s">
        <v>74</v>
      </c>
      <c r="G5226">
        <v>-511.92540000000002</v>
      </c>
      <c r="H5226">
        <v>0.80776579999999998</v>
      </c>
      <c r="I5226">
        <v>154.4605</v>
      </c>
      <c r="J5226">
        <v>-312.47370000000001</v>
      </c>
      <c r="K5226">
        <v>1.120824</v>
      </c>
      <c r="L5226">
        <v>142.0008</v>
      </c>
      <c r="M5226">
        <v>-0.99976730000000003</v>
      </c>
      <c r="N5226">
        <v>-1.006379E-2</v>
      </c>
      <c r="O5226">
        <v>1.908091E-2</v>
      </c>
      <c r="P5226">
        <v>-0.98257930000000004</v>
      </c>
      <c r="Q5226">
        <v>0.1759116</v>
      </c>
      <c r="R5226">
        <v>5.9943910000000003E-2</v>
      </c>
      <c r="S5226">
        <v>-3.0423279999999999</v>
      </c>
      <c r="T5226">
        <v>-4.7631260000000003E-3</v>
      </c>
      <c r="U5226">
        <v>0.18974299999999999</v>
      </c>
      <c r="V5226">
        <v>4.1119639999999999E-2</v>
      </c>
      <c r="W5226">
        <v>0.18581520000000001</v>
      </c>
      <c r="X5226">
        <v>0.98172400000000004</v>
      </c>
      <c r="Y5226">
        <v>4.3190859999999998E-2</v>
      </c>
      <c r="Z5226">
        <v>4.1337079999999998E-4</v>
      </c>
      <c r="AA5226">
        <v>0.99906680000000003</v>
      </c>
      <c r="AB5226">
        <v>46</v>
      </c>
      <c r="AC5226">
        <v>-199.45169999999999</v>
      </c>
      <c r="AD5226">
        <v>-0.31305819999999901</v>
      </c>
      <c r="AE5226">
        <v>12.4596999999999</v>
      </c>
      <c r="AF5226">
        <v>8.6514975174881794</v>
      </c>
      <c r="AG5226">
        <v>-0.31305819999999901</v>
      </c>
      <c r="AH5226">
        <v>199.65264921240899</v>
      </c>
      <c r="AI5226">
        <v>90.089756296149602</v>
      </c>
      <c r="AJ5226">
        <v>87.518768792913704</v>
      </c>
      <c r="AK5226">
        <v>199.84025308296799</v>
      </c>
      <c r="AL5226">
        <v>79.291336643689903</v>
      </c>
      <c r="AM5226">
        <v>87.601560596094004</v>
      </c>
      <c r="AN5226">
        <v>1.00000006276038</v>
      </c>
    </row>
    <row r="5227" spans="1:40" x14ac:dyDescent="0.25">
      <c r="A5227" t="str">
        <f>"20190303170357467"</f>
        <v>20190303170357467</v>
      </c>
      <c r="B5227" t="str">
        <f>"1551603837461335"</f>
        <v>1551603837461335</v>
      </c>
      <c r="C5227" t="s">
        <v>40</v>
      </c>
      <c r="D5227">
        <v>3.8075999999999999</v>
      </c>
      <c r="E5227">
        <v>0.50941559999999997</v>
      </c>
      <c r="F5227" t="s">
        <v>74</v>
      </c>
      <c r="G5227">
        <v>-511.9255</v>
      </c>
      <c r="H5227">
        <v>0.857877</v>
      </c>
      <c r="I5227">
        <v>154.51840000000001</v>
      </c>
      <c r="J5227">
        <v>-312.9402</v>
      </c>
      <c r="K5227">
        <v>1.120835</v>
      </c>
      <c r="L5227">
        <v>142.00960000000001</v>
      </c>
      <c r="M5227">
        <v>-0.99976969999999998</v>
      </c>
      <c r="N5227">
        <v>-1.0117549999999999E-2</v>
      </c>
      <c r="O5227">
        <v>1.8931239999999998E-2</v>
      </c>
      <c r="P5227">
        <v>-0.98248639999999998</v>
      </c>
      <c r="Q5227">
        <v>0.17639920000000001</v>
      </c>
      <c r="R5227">
        <v>6.0033900000000001E-2</v>
      </c>
      <c r="S5227">
        <v>-3.0422669999999998</v>
      </c>
      <c r="T5227">
        <v>-4.0100810000000004E-3</v>
      </c>
      <c r="U5227">
        <v>0.1909332</v>
      </c>
      <c r="V5227">
        <v>4.1355549999999998E-2</v>
      </c>
      <c r="W5227">
        <v>0.18635489999999999</v>
      </c>
      <c r="X5227">
        <v>0.98161169999999998</v>
      </c>
      <c r="Y5227">
        <v>4.3731100000000002E-2</v>
      </c>
      <c r="Z5227">
        <v>4.1671029999999998E-4</v>
      </c>
      <c r="AA5227">
        <v>0.99904320000000002</v>
      </c>
      <c r="AB5227">
        <v>46</v>
      </c>
      <c r="AC5227">
        <v>-198.9853</v>
      </c>
      <c r="AD5227">
        <v>-0.26295799999999903</v>
      </c>
      <c r="AE5227">
        <v>12.508800000000001</v>
      </c>
      <c r="AF5227">
        <v>8.7393119456629798</v>
      </c>
      <c r="AG5227">
        <v>-0.26295799999999903</v>
      </c>
      <c r="AH5227">
        <v>199.18610851861001</v>
      </c>
      <c r="AI5227">
        <v>90.075566987547504</v>
      </c>
      <c r="AJ5227">
        <v>87.4877527278976</v>
      </c>
      <c r="AK5227">
        <v>199.37790887403</v>
      </c>
      <c r="AL5227">
        <v>79.259863507419098</v>
      </c>
      <c r="AM5227">
        <v>87.587540933701803</v>
      </c>
      <c r="AN5227">
        <v>0.99999997992335099</v>
      </c>
    </row>
    <row r="5228" spans="1:40" x14ac:dyDescent="0.25">
      <c r="A5228" t="str">
        <f>"20190303170357488"</f>
        <v>20190303170357488</v>
      </c>
      <c r="B5228" t="str">
        <f>"1551603837480856"</f>
        <v>1551603837480856</v>
      </c>
      <c r="C5228" t="s">
        <v>40</v>
      </c>
      <c r="D5228">
        <v>3.8342909999999999</v>
      </c>
      <c r="E5228">
        <v>0.50980379999999903</v>
      </c>
      <c r="F5228" t="s">
        <v>74</v>
      </c>
      <c r="G5228">
        <v>-511.92579999999998</v>
      </c>
      <c r="H5228">
        <v>1.6831149999999999</v>
      </c>
      <c r="I5228">
        <v>156.69409999999999</v>
      </c>
      <c r="J5228">
        <v>-313.39120000000003</v>
      </c>
      <c r="K5228">
        <v>1.1208389999999999</v>
      </c>
      <c r="L5228">
        <v>142.0181</v>
      </c>
      <c r="M5228">
        <v>-0.99977199999999999</v>
      </c>
      <c r="N5228">
        <v>-1.0156180000000001E-2</v>
      </c>
      <c r="O5228">
        <v>1.8785900000000001E-2</v>
      </c>
      <c r="P5228">
        <v>-0.98247070000000003</v>
      </c>
      <c r="Q5228">
        <v>0.1764684</v>
      </c>
      <c r="R5228">
        <v>6.0084319999999997E-2</v>
      </c>
      <c r="S5228">
        <v>-3.0382389999999999</v>
      </c>
      <c r="T5228">
        <v>8.5859300000000003E-3</v>
      </c>
      <c r="U5228">
        <v>0.22421260000000001</v>
      </c>
      <c r="V5228">
        <v>4.154712E-2</v>
      </c>
      <c r="W5228">
        <v>0.18646309999999999</v>
      </c>
      <c r="X5228">
        <v>0.98158310000000004</v>
      </c>
      <c r="Y5228">
        <v>5.4850019999999999E-2</v>
      </c>
      <c r="Z5228">
        <v>4.4510410000000002E-4</v>
      </c>
      <c r="AA5228">
        <v>0.99849449999999995</v>
      </c>
      <c r="AB5228">
        <v>46</v>
      </c>
      <c r="AC5228">
        <v>-198.53459999999899</v>
      </c>
      <c r="AD5228">
        <v>0.562276</v>
      </c>
      <c r="AE5228">
        <v>14.675999999999901</v>
      </c>
      <c r="AF5228">
        <v>10.943479245631501</v>
      </c>
      <c r="AG5228">
        <v>0.562276</v>
      </c>
      <c r="AH5228">
        <v>198.773691252454</v>
      </c>
      <c r="AI5228">
        <v>89.838171528214502</v>
      </c>
      <c r="AJ5228">
        <v>86.848763963892495</v>
      </c>
      <c r="AK5228">
        <v>199.075503833158</v>
      </c>
      <c r="AL5228">
        <v>79.253553901657497</v>
      </c>
      <c r="AM5228">
        <v>87.576308539426606</v>
      </c>
      <c r="AN5228">
        <v>1.0000000165237499</v>
      </c>
    </row>
    <row r="5229" spans="1:40" x14ac:dyDescent="0.25">
      <c r="A5229" t="str">
        <f>"20190303170357512"</f>
        <v>20190303170357512</v>
      </c>
      <c r="B5229" t="str">
        <f>"1551603837500375"</f>
        <v>1551603837500375</v>
      </c>
      <c r="C5229" t="s">
        <v>40</v>
      </c>
      <c r="D5229">
        <v>3.8398080000000001</v>
      </c>
      <c r="E5229">
        <v>0.50982629999999995</v>
      </c>
      <c r="F5229" t="s">
        <v>74</v>
      </c>
      <c r="G5229">
        <v>-511.92579999999998</v>
      </c>
      <c r="H5229">
        <v>1.7268520000000001</v>
      </c>
      <c r="I5229">
        <v>156.91810000000001</v>
      </c>
      <c r="J5229">
        <v>-313.85820000000001</v>
      </c>
      <c r="K5229">
        <v>1.120844</v>
      </c>
      <c r="L5229">
        <v>142.02670000000001</v>
      </c>
      <c r="M5229">
        <v>-0.99977450000000001</v>
      </c>
      <c r="N5229">
        <v>-1.017915E-2</v>
      </c>
      <c r="O5229">
        <v>1.8634580000000001E-2</v>
      </c>
      <c r="P5229">
        <v>-0.98257950000000005</v>
      </c>
      <c r="Q5229">
        <v>0.17619319999999999</v>
      </c>
      <c r="R5229">
        <v>5.9104039999999997E-2</v>
      </c>
      <c r="S5229">
        <v>-3.0379330000000002</v>
      </c>
      <c r="T5229">
        <v>9.2737670000000005E-3</v>
      </c>
      <c r="U5229">
        <v>0.2279968</v>
      </c>
      <c r="V5229">
        <v>4.0712350000000001E-2</v>
      </c>
      <c r="W5229">
        <v>0.1862106</v>
      </c>
      <c r="X5229">
        <v>0.98166600000000004</v>
      </c>
      <c r="Y5229">
        <v>5.6245450000000002E-2</v>
      </c>
      <c r="Z5229">
        <v>4.471996E-4</v>
      </c>
      <c r="AA5229">
        <v>0.99841690000000005</v>
      </c>
      <c r="AB5229">
        <v>46</v>
      </c>
      <c r="AC5229">
        <v>-198.0676</v>
      </c>
      <c r="AD5229">
        <v>0.60600799999999999</v>
      </c>
      <c r="AE5229">
        <v>14.891400000000001</v>
      </c>
      <c r="AF5229">
        <v>11.197611843666801</v>
      </c>
      <c r="AG5229">
        <v>0.60600799999999999</v>
      </c>
      <c r="AH5229">
        <v>198.30886760702799</v>
      </c>
      <c r="AI5229">
        <v>89.825190002461099</v>
      </c>
      <c r="AJ5229">
        <v>86.768196241605196</v>
      </c>
      <c r="AK5229">
        <v>198.62567993157199</v>
      </c>
      <c r="AL5229">
        <v>79.268278903342505</v>
      </c>
      <c r="AM5229">
        <v>87.625149658835795</v>
      </c>
      <c r="AN5229">
        <v>1.00000000927544</v>
      </c>
    </row>
    <row r="5230" spans="1:40" x14ac:dyDescent="0.25">
      <c r="A5230" t="str">
        <f>"20190303170357534"</f>
        <v>20190303170357534</v>
      </c>
      <c r="B5230" t="str">
        <f>"1551603837520872"</f>
        <v>1551603837520872</v>
      </c>
      <c r="C5230" t="s">
        <v>40</v>
      </c>
      <c r="D5230">
        <v>3.8452679999999999</v>
      </c>
      <c r="E5230">
        <v>0.50971</v>
      </c>
      <c r="F5230" t="s">
        <v>74</v>
      </c>
      <c r="G5230">
        <v>-511.92579999999998</v>
      </c>
      <c r="H5230">
        <v>1.668706</v>
      </c>
      <c r="I5230">
        <v>156.72380000000001</v>
      </c>
      <c r="J5230">
        <v>-314.30840000000001</v>
      </c>
      <c r="K5230">
        <v>1.1208320000000001</v>
      </c>
      <c r="L5230">
        <v>142.035</v>
      </c>
      <c r="M5230">
        <v>-0.99977729999999998</v>
      </c>
      <c r="N5230">
        <v>-1.018468E-2</v>
      </c>
      <c r="O5230">
        <v>1.848837E-2</v>
      </c>
      <c r="P5230">
        <v>-0.98271359999999996</v>
      </c>
      <c r="Q5230">
        <v>0.1756894</v>
      </c>
      <c r="R5230">
        <v>5.8368679999999999E-2</v>
      </c>
      <c r="S5230">
        <v>-3.0380859999999998</v>
      </c>
      <c r="T5230">
        <v>8.4041359999999996E-3</v>
      </c>
      <c r="U5230">
        <v>0.2254333</v>
      </c>
      <c r="V5230">
        <v>4.0117260000000002E-2</v>
      </c>
      <c r="W5230">
        <v>0.1857135</v>
      </c>
      <c r="X5230">
        <v>0.98178460000000001</v>
      </c>
      <c r="Y5230">
        <v>5.5549809999999998E-2</v>
      </c>
      <c r="Z5230">
        <v>4.4569150000000002E-4</v>
      </c>
      <c r="AA5230">
        <v>0.9984558</v>
      </c>
      <c r="AB5230">
        <v>46</v>
      </c>
      <c r="AC5230">
        <v>-197.6174</v>
      </c>
      <c r="AD5230">
        <v>0.54787399999999997</v>
      </c>
      <c r="AE5230">
        <v>14.688800000000001</v>
      </c>
      <c r="AF5230">
        <v>11.032391977593401</v>
      </c>
      <c r="AG5230">
        <v>0.54787399999999997</v>
      </c>
      <c r="AH5230">
        <v>197.85369248638301</v>
      </c>
      <c r="AI5230">
        <v>89.841589506651999</v>
      </c>
      <c r="AJ5230">
        <v>86.808472018545302</v>
      </c>
      <c r="AK5230">
        <v>198.16179618978799</v>
      </c>
      <c r="AL5230">
        <v>79.297265619049995</v>
      </c>
      <c r="AM5230">
        <v>87.660106206448404</v>
      </c>
      <c r="AN5230">
        <v>0.999999949714657</v>
      </c>
    </row>
    <row r="5231" spans="1:40" x14ac:dyDescent="0.25">
      <c r="A5231" t="str">
        <f>"20190303170357557"</f>
        <v>20190303170357557</v>
      </c>
      <c r="B5231" t="str">
        <f>"1551603837550661"</f>
        <v>1551603837550661</v>
      </c>
      <c r="C5231" t="s">
        <v>40</v>
      </c>
      <c r="D5231">
        <v>3.8068330000000001</v>
      </c>
      <c r="E5231">
        <v>0.51008149999999997</v>
      </c>
      <c r="F5231" t="s">
        <v>74</v>
      </c>
      <c r="G5231">
        <v>-511.92570000000001</v>
      </c>
      <c r="H5231">
        <v>1.4723040000000001</v>
      </c>
      <c r="I5231">
        <v>156.4393</v>
      </c>
      <c r="J5231">
        <v>-314.78899999999999</v>
      </c>
      <c r="K5231">
        <v>1.1208229999999999</v>
      </c>
      <c r="L5231">
        <v>142.0438</v>
      </c>
      <c r="M5231">
        <v>-0.99978020000000001</v>
      </c>
      <c r="N5231">
        <v>-1.0172499999999999E-2</v>
      </c>
      <c r="O5231">
        <v>1.8331770000000001E-2</v>
      </c>
      <c r="P5231">
        <v>-0.98266379999999998</v>
      </c>
      <c r="Q5231">
        <v>0.17587739999999999</v>
      </c>
      <c r="R5231">
        <v>5.8645219999999998E-2</v>
      </c>
      <c r="S5231">
        <v>-3.0385740000000001</v>
      </c>
      <c r="T5231">
        <v>5.404949E-3</v>
      </c>
      <c r="U5231">
        <v>0.22148129999999999</v>
      </c>
      <c r="V5231">
        <v>4.0547930000000003E-2</v>
      </c>
      <c r="W5231">
        <v>0.18588969999999999</v>
      </c>
      <c r="X5231">
        <v>0.98173359999999998</v>
      </c>
      <c r="Y5231">
        <v>5.4402310000000002E-2</v>
      </c>
      <c r="Z5231">
        <v>4.4758960000000001E-4</v>
      </c>
      <c r="AA5231">
        <v>0.99851900000000005</v>
      </c>
      <c r="AB5231">
        <v>46</v>
      </c>
      <c r="AC5231">
        <v>-197.13669999999999</v>
      </c>
      <c r="AD5231">
        <v>0.35148099999999999</v>
      </c>
      <c r="AE5231">
        <v>14.395499999999901</v>
      </c>
      <c r="AF5231">
        <v>10.7789949610276</v>
      </c>
      <c r="AG5231">
        <v>0.35148099999999999</v>
      </c>
      <c r="AH5231">
        <v>197.36685410208801</v>
      </c>
      <c r="AI5231">
        <v>89.898116679587503</v>
      </c>
      <c r="AJ5231">
        <v>86.873953376775503</v>
      </c>
      <c r="AK5231">
        <v>197.66128950661599</v>
      </c>
      <c r="AL5231">
        <v>79.286991614576607</v>
      </c>
      <c r="AM5231">
        <v>87.634892444528802</v>
      </c>
      <c r="AN5231">
        <v>0.99999998828116698</v>
      </c>
    </row>
    <row r="5232" spans="1:40" x14ac:dyDescent="0.25">
      <c r="A5232" t="str">
        <f>"20190303170357577"</f>
        <v>20190303170357577</v>
      </c>
      <c r="B5232" t="str">
        <f>"1551603837571158"</f>
        <v>1551603837571158</v>
      </c>
      <c r="C5232" t="s">
        <v>40</v>
      </c>
      <c r="D5232">
        <v>3.8287409999999999</v>
      </c>
      <c r="E5232">
        <v>0.51015410000000005</v>
      </c>
      <c r="F5232" t="s">
        <v>74</v>
      </c>
      <c r="G5232">
        <v>-511.92559999999997</v>
      </c>
      <c r="H5232">
        <v>1.338276</v>
      </c>
      <c r="I5232">
        <v>156.65209999999999</v>
      </c>
      <c r="J5232">
        <v>-315.23399999999998</v>
      </c>
      <c r="K5232">
        <v>1.120824</v>
      </c>
      <c r="L5232">
        <v>142.05189999999999</v>
      </c>
      <c r="M5232">
        <v>-0.99978319999999998</v>
      </c>
      <c r="N5232">
        <v>-1.0150259999999999E-2</v>
      </c>
      <c r="O5232">
        <v>1.8186190000000001E-2</v>
      </c>
      <c r="P5232">
        <v>-0.98253789999999996</v>
      </c>
      <c r="Q5232">
        <v>0.17644889999999999</v>
      </c>
      <c r="R5232">
        <v>5.9035070000000002E-2</v>
      </c>
      <c r="S5232">
        <v>-3.0388790000000001</v>
      </c>
      <c r="T5232">
        <v>3.3527610000000001E-3</v>
      </c>
      <c r="U5232">
        <v>0.22518920000000001</v>
      </c>
      <c r="V5232">
        <v>4.1081909999999999E-2</v>
      </c>
      <c r="W5232">
        <v>0.1864382</v>
      </c>
      <c r="X5232">
        <v>0.98160740000000002</v>
      </c>
      <c r="Y5232">
        <v>5.5751889999999998E-2</v>
      </c>
      <c r="Z5232">
        <v>4.5704639999999999E-4</v>
      </c>
      <c r="AA5232">
        <v>0.99844460000000002</v>
      </c>
      <c r="AB5232">
        <v>46</v>
      </c>
      <c r="AC5232">
        <v>-196.69159999999999</v>
      </c>
      <c r="AD5232">
        <v>0.21745200000000001</v>
      </c>
      <c r="AE5232">
        <v>14.600199999999999</v>
      </c>
      <c r="AF5232">
        <v>11.020517026956499</v>
      </c>
      <c r="AG5232">
        <v>0.21745200000000001</v>
      </c>
      <c r="AH5232">
        <v>196.92436361325699</v>
      </c>
      <c r="AI5232">
        <v>89.936830506315999</v>
      </c>
      <c r="AJ5232">
        <v>86.7968861169294</v>
      </c>
      <c r="AK5232">
        <v>197.23261410172501</v>
      </c>
      <c r="AL5232">
        <v>79.255005924241502</v>
      </c>
      <c r="AM5232">
        <v>87.603474451927994</v>
      </c>
      <c r="AN5232">
        <v>1.0000000067416199</v>
      </c>
    </row>
    <row r="5233" spans="1:40" x14ac:dyDescent="0.25">
      <c r="A5233" t="str">
        <f>"20190303170357599"</f>
        <v>20190303170357599</v>
      </c>
      <c r="B5233" t="str">
        <f>"1551603837590678"</f>
        <v>1551603837590678</v>
      </c>
      <c r="C5233" t="s">
        <v>40</v>
      </c>
      <c r="D5233">
        <v>3.8301799999999999</v>
      </c>
      <c r="E5233">
        <v>0.51035129999999995</v>
      </c>
      <c r="F5233" t="s">
        <v>74</v>
      </c>
      <c r="G5233">
        <v>-511.92570000000001</v>
      </c>
      <c r="H5233">
        <v>1.451284</v>
      </c>
      <c r="I5233">
        <v>156.74539999999999</v>
      </c>
      <c r="J5233">
        <v>-315.6798</v>
      </c>
      <c r="K5233">
        <v>1.120808</v>
      </c>
      <c r="L5233">
        <v>142.0599</v>
      </c>
      <c r="M5233">
        <v>-0.99978610000000001</v>
      </c>
      <c r="N5233">
        <v>-1.0123750000000001E-2</v>
      </c>
      <c r="O5233">
        <v>1.804064E-2</v>
      </c>
      <c r="P5233">
        <v>-0.98264200000000002</v>
      </c>
      <c r="Q5233">
        <v>0.1757551</v>
      </c>
      <c r="R5233">
        <v>5.9372880000000003E-2</v>
      </c>
      <c r="S5233">
        <v>-3.0387569999999999</v>
      </c>
      <c r="T5233">
        <v>5.1060910000000001E-3</v>
      </c>
      <c r="U5233">
        <v>0.22700500000000001</v>
      </c>
      <c r="V5233">
        <v>4.156062E-2</v>
      </c>
      <c r="W5233">
        <v>0.1857201</v>
      </c>
      <c r="X5233">
        <v>0.98172340000000002</v>
      </c>
      <c r="Y5233">
        <v>5.6493750000000002E-2</v>
      </c>
      <c r="Z5233">
        <v>4.5166299999999999E-4</v>
      </c>
      <c r="AA5233">
        <v>0.99840280000000003</v>
      </c>
      <c r="AB5233">
        <v>46</v>
      </c>
      <c r="AC5233">
        <v>-196.24590000000001</v>
      </c>
      <c r="AD5233">
        <v>0.33047599999999999</v>
      </c>
      <c r="AE5233">
        <v>14.6854999999999</v>
      </c>
      <c r="AF5233">
        <v>11.1424956126619</v>
      </c>
      <c r="AG5233">
        <v>0.33047599999999999</v>
      </c>
      <c r="AH5233">
        <v>196.47835387322601</v>
      </c>
      <c r="AI5233">
        <v>89.903783360948196</v>
      </c>
      <c r="AJ5233">
        <v>86.754172344232401</v>
      </c>
      <c r="AK5233">
        <v>196.79432909410099</v>
      </c>
      <c r="AL5233">
        <v>79.296881721322606</v>
      </c>
      <c r="AM5233">
        <v>87.575868016965899</v>
      </c>
      <c r="AN5233">
        <v>1.0000000373931699</v>
      </c>
    </row>
    <row r="5234" spans="1:40" x14ac:dyDescent="0.25">
      <c r="A5234" t="str">
        <f>"20190303170357622"</f>
        <v>20190303170357622</v>
      </c>
      <c r="B5234" t="str">
        <f>"1551603837611174"</f>
        <v>1551603837611174</v>
      </c>
      <c r="C5234" t="s">
        <v>40</v>
      </c>
      <c r="D5234">
        <v>3.8461620000000001</v>
      </c>
      <c r="E5234">
        <v>0.51040580000000002</v>
      </c>
      <c r="F5234" t="s">
        <v>74</v>
      </c>
      <c r="G5234">
        <v>-511.92559999999997</v>
      </c>
      <c r="H5234">
        <v>1.2831699999999999</v>
      </c>
      <c r="I5234">
        <v>156.90379999999999</v>
      </c>
      <c r="J5234">
        <v>-316.14400000000001</v>
      </c>
      <c r="K5234">
        <v>1.1207959999999999</v>
      </c>
      <c r="L5234">
        <v>142.06809999999999</v>
      </c>
      <c r="M5234">
        <v>-0.99978909999999999</v>
      </c>
      <c r="N5234">
        <v>-1.009316E-2</v>
      </c>
      <c r="O5234">
        <v>1.7889099999999901E-2</v>
      </c>
      <c r="P5234">
        <v>-0.98278299999999996</v>
      </c>
      <c r="Q5234">
        <v>0.17490449999999999</v>
      </c>
      <c r="R5234">
        <v>5.9548839999999999E-2</v>
      </c>
      <c r="S5234">
        <v>-3.0386660000000001</v>
      </c>
      <c r="T5234">
        <v>2.5147199999999998E-3</v>
      </c>
      <c r="U5234">
        <v>0.22984309999999999</v>
      </c>
      <c r="V5234">
        <v>4.1882839999999998E-2</v>
      </c>
      <c r="W5234">
        <v>0.18484100000000001</v>
      </c>
      <c r="X5234">
        <v>0.98187559999999996</v>
      </c>
      <c r="Y5234">
        <v>5.7574189999999997E-2</v>
      </c>
      <c r="Z5234">
        <v>4.6230689999999998E-4</v>
      </c>
      <c r="AA5234">
        <v>0.99834109999999998</v>
      </c>
      <c r="AB5234">
        <v>46</v>
      </c>
      <c r="AC5234">
        <v>-195.7816</v>
      </c>
      <c r="AD5234">
        <v>0.16237399999999999</v>
      </c>
      <c r="AE5234">
        <v>14.835699999999999</v>
      </c>
      <c r="AF5234">
        <v>11.3307831682023</v>
      </c>
      <c r="AG5234">
        <v>0.16237399999999999</v>
      </c>
      <c r="AH5234">
        <v>196.01554406543201</v>
      </c>
      <c r="AI5234">
        <v>89.952616828395904</v>
      </c>
      <c r="AJ5234">
        <v>86.691668507530906</v>
      </c>
      <c r="AK5234">
        <v>196.342829071469</v>
      </c>
      <c r="AL5234">
        <v>79.348137835844696</v>
      </c>
      <c r="AM5234">
        <v>87.557474587913106</v>
      </c>
      <c r="AN5234">
        <v>1.0000000307214101</v>
      </c>
    </row>
    <row r="5235" spans="1:40" x14ac:dyDescent="0.25">
      <c r="A5235" t="str">
        <f>"20190303170357646"</f>
        <v>20190303170357646</v>
      </c>
      <c r="B5235" t="str">
        <f>"1551603837640453"</f>
        <v>1551603837640453</v>
      </c>
      <c r="C5235" t="s">
        <v>40</v>
      </c>
      <c r="D5235">
        <v>3.791169</v>
      </c>
      <c r="E5235">
        <v>0.51038620000000001</v>
      </c>
      <c r="F5235" t="s">
        <v>74</v>
      </c>
      <c r="G5235">
        <v>-511.9255</v>
      </c>
      <c r="H5235">
        <v>1.0963020000000001</v>
      </c>
      <c r="I5235">
        <v>156.97559999999999</v>
      </c>
      <c r="J5235">
        <v>-316.63170000000002</v>
      </c>
      <c r="K5235">
        <v>1.120784</v>
      </c>
      <c r="L5235">
        <v>142.07679999999999</v>
      </c>
      <c r="M5235">
        <v>-0.99979240000000003</v>
      </c>
      <c r="N5235">
        <v>-1.006015E-2</v>
      </c>
      <c r="O5235">
        <v>1.772988E-2</v>
      </c>
      <c r="P5235">
        <v>-0.98292650000000004</v>
      </c>
      <c r="Q5235">
        <v>0.1742938</v>
      </c>
      <c r="R5235">
        <v>5.8967319999999997E-2</v>
      </c>
      <c r="S5235">
        <v>-3.038605</v>
      </c>
      <c r="T5235">
        <v>-3.7944319999999999E-4</v>
      </c>
      <c r="U5235">
        <v>0.23136899999999999</v>
      </c>
      <c r="V5235">
        <v>4.1455029999999997E-2</v>
      </c>
      <c r="W5235">
        <v>0.1841989</v>
      </c>
      <c r="X5235">
        <v>0.98201439999999995</v>
      </c>
      <c r="Y5235">
        <v>5.823271E-2</v>
      </c>
      <c r="Z5235">
        <v>4.7291530000000002E-4</v>
      </c>
      <c r="AA5235">
        <v>0.99830289999999999</v>
      </c>
      <c r="AB5235">
        <v>46</v>
      </c>
      <c r="AC5235">
        <v>-195.2938</v>
      </c>
      <c r="AD5235">
        <v>-2.4481999999999799E-2</v>
      </c>
      <c r="AE5235">
        <v>14.8987999999999</v>
      </c>
      <c r="AF5235">
        <v>11.4337475143486</v>
      </c>
      <c r="AG5235">
        <v>-2.4481999999999799E-2</v>
      </c>
      <c r="AH5235">
        <v>195.52726351821499</v>
      </c>
      <c r="AI5235">
        <v>90.007161779296993</v>
      </c>
      <c r="AJ5235">
        <v>86.653355229598702</v>
      </c>
      <c r="AK5235">
        <v>195.861282443753</v>
      </c>
      <c r="AL5235">
        <v>79.385570079319905</v>
      </c>
      <c r="AM5235">
        <v>87.582735180292502</v>
      </c>
      <c r="AN5235">
        <v>1.00000001804043</v>
      </c>
    </row>
    <row r="5236" spans="1:40" x14ac:dyDescent="0.25">
      <c r="A5236" t="str">
        <f>"20190303170357667"</f>
        <v>20190303170357667</v>
      </c>
      <c r="B5236" t="str">
        <f>"1551603837660950"</f>
        <v>1551603837660950</v>
      </c>
      <c r="C5236" t="s">
        <v>40</v>
      </c>
      <c r="D5236">
        <v>3.7785190000000002</v>
      </c>
      <c r="E5236">
        <v>0.51041709999999996</v>
      </c>
      <c r="F5236" t="s">
        <v>74</v>
      </c>
      <c r="G5236">
        <v>-511.9255</v>
      </c>
      <c r="H5236">
        <v>1.0891630000000001</v>
      </c>
      <c r="I5236">
        <v>156.86670000000001</v>
      </c>
      <c r="J5236">
        <v>-317.08440000000002</v>
      </c>
      <c r="K5236">
        <v>1.1207750000000001</v>
      </c>
      <c r="L5236">
        <v>142.0847</v>
      </c>
      <c r="M5236">
        <v>-0.99979510000000005</v>
      </c>
      <c r="N5236">
        <v>-1.003095E-2</v>
      </c>
      <c r="O5236">
        <v>1.7581969999999999E-2</v>
      </c>
      <c r="P5236">
        <v>-0.98293969999999997</v>
      </c>
      <c r="Q5236">
        <v>0.17445720000000001</v>
      </c>
      <c r="R5236">
        <v>5.8259180000000001E-2</v>
      </c>
      <c r="S5236">
        <v>-3.0383909999999998</v>
      </c>
      <c r="T5236">
        <v>-4.9126149999999995E-4</v>
      </c>
      <c r="U5236">
        <v>0.23010249999999999</v>
      </c>
      <c r="V5236">
        <v>4.0891780000000003E-2</v>
      </c>
      <c r="W5236">
        <v>0.18433389999999999</v>
      </c>
      <c r="X5236">
        <v>0.98201269999999996</v>
      </c>
      <c r="Y5236">
        <v>5.7971950000000001E-2</v>
      </c>
      <c r="Z5236">
        <v>4.6917429999999998E-4</v>
      </c>
      <c r="AA5236">
        <v>0.99831809999999999</v>
      </c>
      <c r="AB5236">
        <v>46</v>
      </c>
      <c r="AC5236">
        <v>-194.84110000000001</v>
      </c>
      <c r="AD5236">
        <v>-3.1612000000000098E-2</v>
      </c>
      <c r="AE5236">
        <v>14.782</v>
      </c>
      <c r="AF5236">
        <v>11.353851792835</v>
      </c>
      <c r="AG5236">
        <v>-3.1612000000000098E-2</v>
      </c>
      <c r="AH5236">
        <v>195.07088410123899</v>
      </c>
      <c r="AI5236">
        <v>90.009269317727799</v>
      </c>
      <c r="AJ5236">
        <v>86.668930427160007</v>
      </c>
      <c r="AK5236">
        <v>195.40102551903701</v>
      </c>
      <c r="AL5236">
        <v>79.377700559192604</v>
      </c>
      <c r="AM5236">
        <v>87.615536294427002</v>
      </c>
      <c r="AN5236">
        <v>1.00000003366103</v>
      </c>
    </row>
    <row r="5237" spans="1:40" x14ac:dyDescent="0.25">
      <c r="A5237" t="str">
        <f>"20190303170357691"</f>
        <v>20190303170357691</v>
      </c>
      <c r="B5237" t="str">
        <f>"1551603837680470"</f>
        <v>1551603837680470</v>
      </c>
      <c r="C5237" t="s">
        <v>40</v>
      </c>
      <c r="D5237">
        <v>3.810432</v>
      </c>
      <c r="E5237">
        <v>0.5104706</v>
      </c>
      <c r="F5237" t="s">
        <v>74</v>
      </c>
      <c r="G5237">
        <v>-511.92559999999997</v>
      </c>
      <c r="H5237">
        <v>1.13679</v>
      </c>
      <c r="I5237">
        <v>156.68809999999999</v>
      </c>
      <c r="J5237">
        <v>-317.55970000000002</v>
      </c>
      <c r="K5237">
        <v>1.1207720000000001</v>
      </c>
      <c r="L5237">
        <v>142.09289999999999</v>
      </c>
      <c r="M5237">
        <v>-0.99979819999999997</v>
      </c>
      <c r="N5237">
        <v>-1.000317E-2</v>
      </c>
      <c r="O5237">
        <v>1.7426359999999998E-2</v>
      </c>
      <c r="P5237">
        <v>-0.98297939999999995</v>
      </c>
      <c r="Q5237">
        <v>0.1746181</v>
      </c>
      <c r="R5237">
        <v>5.7099539999999997E-2</v>
      </c>
      <c r="S5237">
        <v>-3.038513</v>
      </c>
      <c r="T5237">
        <v>2.5045869999999997E-4</v>
      </c>
      <c r="U5237">
        <v>0.22773740000000001</v>
      </c>
      <c r="V5237">
        <v>3.9884469999999998E-2</v>
      </c>
      <c r="W5237">
        <v>0.18446699999999999</v>
      </c>
      <c r="X5237">
        <v>0.98202909999999999</v>
      </c>
      <c r="Y5237">
        <v>5.7351720000000002E-2</v>
      </c>
      <c r="Z5237">
        <v>4.604462E-4</v>
      </c>
      <c r="AA5237">
        <v>0.99835399999999996</v>
      </c>
      <c r="AB5237">
        <v>46</v>
      </c>
      <c r="AC5237">
        <v>-194.36589999999899</v>
      </c>
      <c r="AD5237">
        <v>1.6018000000000001E-2</v>
      </c>
      <c r="AE5237">
        <v>14.5952</v>
      </c>
      <c r="AF5237">
        <v>11.2057241027027</v>
      </c>
      <c r="AG5237">
        <v>1.6018000000000001E-2</v>
      </c>
      <c r="AH5237">
        <v>194.59073508271501</v>
      </c>
      <c r="AI5237">
        <v>89.995291421032505</v>
      </c>
      <c r="AJ5237">
        <v>86.7041986729824</v>
      </c>
      <c r="AK5237">
        <v>194.913115744614</v>
      </c>
      <c r="AL5237">
        <v>79.369941060226196</v>
      </c>
      <c r="AM5237">
        <v>87.674247599718598</v>
      </c>
      <c r="AN5237">
        <v>0.99999999914149496</v>
      </c>
    </row>
    <row r="5238" spans="1:40" x14ac:dyDescent="0.25">
      <c r="A5238" t="str">
        <f>"20190303170357712"</f>
        <v>20190303170357712</v>
      </c>
      <c r="B5238" t="str">
        <f>"1551603837700966"</f>
        <v>1551603837700966</v>
      </c>
      <c r="C5238" t="s">
        <v>40</v>
      </c>
      <c r="D5238">
        <v>3.7733439999999998</v>
      </c>
      <c r="E5238">
        <v>0.51056299999999999</v>
      </c>
      <c r="F5238" t="s">
        <v>74</v>
      </c>
      <c r="G5238">
        <v>-511.92559999999997</v>
      </c>
      <c r="H5238">
        <v>1.1565939999999999</v>
      </c>
      <c r="I5238">
        <v>156.43559999999999</v>
      </c>
      <c r="J5238">
        <v>-318.01760000000002</v>
      </c>
      <c r="K5238">
        <v>1.120776</v>
      </c>
      <c r="L5238">
        <v>142.10079999999999</v>
      </c>
      <c r="M5238">
        <v>-0.99980100000000005</v>
      </c>
      <c r="N5238">
        <v>-9.9797389999999996E-3</v>
      </c>
      <c r="O5238">
        <v>1.7276570000000002E-2</v>
      </c>
      <c r="P5238">
        <v>-0.98314729999999995</v>
      </c>
      <c r="Q5238">
        <v>0.17434369999999999</v>
      </c>
      <c r="R5238">
        <v>5.5008080000000001E-2</v>
      </c>
      <c r="S5238">
        <v>-3.0388489999999999</v>
      </c>
      <c r="T5238">
        <v>5.6076050000000005E-4</v>
      </c>
      <c r="U5238">
        <v>0.2242432</v>
      </c>
      <c r="V5238">
        <v>3.7937369999999998E-2</v>
      </c>
      <c r="W5238">
        <v>0.18417040000000001</v>
      </c>
      <c r="X5238">
        <v>0.98216190000000003</v>
      </c>
      <c r="Y5238">
        <v>5.6351409999999998E-2</v>
      </c>
      <c r="Z5238">
        <v>4.5178550000000002E-4</v>
      </c>
      <c r="AA5238">
        <v>0.99841089999999999</v>
      </c>
      <c r="AB5238">
        <v>46</v>
      </c>
      <c r="AC5238">
        <v>-193.90799999999999</v>
      </c>
      <c r="AD5238">
        <v>3.58180000000001E-2</v>
      </c>
      <c r="AE5238">
        <v>14.3348</v>
      </c>
      <c r="AF5238">
        <v>10.982428149035</v>
      </c>
      <c r="AG5238">
        <v>3.58180000000001E-2</v>
      </c>
      <c r="AH5238">
        <v>194.12671805069201</v>
      </c>
      <c r="AI5238">
        <v>89.989445327452898</v>
      </c>
      <c r="AJ5238">
        <v>86.762028637693902</v>
      </c>
      <c r="AK5238">
        <v>194.43713038437599</v>
      </c>
      <c r="AL5238">
        <v>79.387231120703902</v>
      </c>
      <c r="AM5238">
        <v>87.787970470340497</v>
      </c>
      <c r="AN5238">
        <v>0.99999998904514298</v>
      </c>
    </row>
    <row r="5239" spans="1:40" x14ac:dyDescent="0.25">
      <c r="A5239" t="str">
        <f>"20190303170357735"</f>
        <v>20190303170357735</v>
      </c>
      <c r="B5239" t="str">
        <f>"1551603837720486"</f>
        <v>1551603837720486</v>
      </c>
      <c r="C5239" t="s">
        <v>40</v>
      </c>
      <c r="D5239">
        <v>3.7585030000000001</v>
      </c>
      <c r="E5239">
        <v>0.51067209999999996</v>
      </c>
      <c r="F5239" t="s">
        <v>74</v>
      </c>
      <c r="G5239">
        <v>-511.92559999999997</v>
      </c>
      <c r="H5239">
        <v>1.1247929999999999</v>
      </c>
      <c r="I5239">
        <v>156.0849</v>
      </c>
      <c r="J5239">
        <v>-318.47370000000001</v>
      </c>
      <c r="K5239">
        <v>1.1207739999999999</v>
      </c>
      <c r="L5239">
        <v>142.1086</v>
      </c>
      <c r="M5239">
        <v>-0.99980369999999996</v>
      </c>
      <c r="N5239">
        <v>-9.9597639999999994E-3</v>
      </c>
      <c r="O5239">
        <v>1.7127590000000002E-2</v>
      </c>
      <c r="P5239">
        <v>-0.98329849999999996</v>
      </c>
      <c r="Q5239">
        <v>0.17411750000000001</v>
      </c>
      <c r="R5239">
        <v>5.2982639999999998E-2</v>
      </c>
      <c r="S5239">
        <v>-3.0391849999999998</v>
      </c>
      <c r="T5239" s="1">
        <v>6.3657760000000003E-5</v>
      </c>
      <c r="U5239">
        <v>0.21917719999999999</v>
      </c>
      <c r="V5239">
        <v>3.605593E-2</v>
      </c>
      <c r="W5239">
        <v>0.1839248</v>
      </c>
      <c r="X5239">
        <v>0.98227880000000001</v>
      </c>
      <c r="Y5239">
        <v>5.4836540000000003E-2</v>
      </c>
      <c r="Z5239">
        <v>4.4362749999999999E-4</v>
      </c>
      <c r="AA5239">
        <v>0.99849520000000003</v>
      </c>
      <c r="AB5239">
        <v>46</v>
      </c>
      <c r="AC5239">
        <v>-193.45189999999999</v>
      </c>
      <c r="AD5239">
        <v>4.0189999999999896E-3</v>
      </c>
      <c r="AE5239">
        <v>13.9763</v>
      </c>
      <c r="AF5239">
        <v>10.6607204426519</v>
      </c>
      <c r="AG5239">
        <v>4.0189999999999896E-3</v>
      </c>
      <c r="AH5239">
        <v>193.66291225384001</v>
      </c>
      <c r="AI5239">
        <v>89.998812763712806</v>
      </c>
      <c r="AJ5239">
        <v>86.849172490624298</v>
      </c>
      <c r="AK5239">
        <v>193.95611503416799</v>
      </c>
      <c r="AL5239">
        <v>79.401547660686603</v>
      </c>
      <c r="AM5239">
        <v>87.897821322642102</v>
      </c>
      <c r="AN5239">
        <v>1.00000000153632</v>
      </c>
    </row>
    <row r="5240" spans="1:40" x14ac:dyDescent="0.25">
      <c r="A5240" t="str">
        <f>"20190303170357757"</f>
        <v>20190303170357757</v>
      </c>
      <c r="B5240" t="str">
        <f>"1551603837750743"</f>
        <v>1551603837750743</v>
      </c>
      <c r="C5240" t="s">
        <v>40</v>
      </c>
      <c r="D5240">
        <v>3.7612199999999998</v>
      </c>
      <c r="E5240">
        <v>0.51071729999999904</v>
      </c>
      <c r="F5240" t="s">
        <v>74</v>
      </c>
      <c r="G5240">
        <v>-511.92559999999997</v>
      </c>
      <c r="H5240">
        <v>1.118271</v>
      </c>
      <c r="I5240">
        <v>155.77430000000001</v>
      </c>
      <c r="J5240">
        <v>-318.94659999999999</v>
      </c>
      <c r="K5240">
        <v>1.120779</v>
      </c>
      <c r="L5240">
        <v>142.11660000000001</v>
      </c>
      <c r="M5240">
        <v>-0.99980650000000004</v>
      </c>
      <c r="N5240">
        <v>-9.9426549999999999E-3</v>
      </c>
      <c r="O5240">
        <v>1.6973060000000002E-2</v>
      </c>
      <c r="P5240">
        <v>-0.98335740000000005</v>
      </c>
      <c r="Q5240">
        <v>0.17406060000000001</v>
      </c>
      <c r="R5240">
        <v>5.2068959999999997E-2</v>
      </c>
      <c r="S5240">
        <v>-3.0393979999999998</v>
      </c>
      <c r="T5240" s="1">
        <v>-3.8623810000000002E-5</v>
      </c>
      <c r="U5240">
        <v>0.21470639999999999</v>
      </c>
      <c r="V5240">
        <v>3.5293270000000002E-2</v>
      </c>
      <c r="W5240">
        <v>0.1838516</v>
      </c>
      <c r="X5240">
        <v>0.98232019999999998</v>
      </c>
      <c r="Y5240">
        <v>5.3524460000000003E-2</v>
      </c>
      <c r="Z5240">
        <v>4.3513260000000001E-4</v>
      </c>
      <c r="AA5240">
        <v>0.99856639999999997</v>
      </c>
      <c r="AB5240">
        <v>46</v>
      </c>
      <c r="AC5240">
        <v>-192.97900000000001</v>
      </c>
      <c r="AD5240">
        <v>-2.5080000000001698E-3</v>
      </c>
      <c r="AE5240">
        <v>13.6577</v>
      </c>
      <c r="AF5240">
        <v>10.3801262822354</v>
      </c>
      <c r="AG5240">
        <v>-2.5080000000001698E-3</v>
      </c>
      <c r="AH5240">
        <v>193.18302248405399</v>
      </c>
      <c r="AI5240">
        <v>90.000742771407303</v>
      </c>
      <c r="AJ5240">
        <v>86.924336073481101</v>
      </c>
      <c r="AK5240">
        <v>193.46169441002999</v>
      </c>
      <c r="AL5240">
        <v>79.405814462190307</v>
      </c>
      <c r="AM5240">
        <v>87.942334906698207</v>
      </c>
      <c r="AN5240">
        <v>1.00000000052894</v>
      </c>
    </row>
    <row r="5241" spans="1:40" x14ac:dyDescent="0.25">
      <c r="A5241" t="str">
        <f>"20190303170357779"</f>
        <v>20190303170357779</v>
      </c>
      <c r="B5241" t="str">
        <f>"1551603837771238"</f>
        <v>1551603837771238</v>
      </c>
      <c r="C5241" t="s">
        <v>40</v>
      </c>
      <c r="D5241">
        <v>3.738877</v>
      </c>
      <c r="E5241">
        <v>0.51085199999999997</v>
      </c>
      <c r="F5241" t="s">
        <v>74</v>
      </c>
      <c r="G5241">
        <v>-511.92559999999997</v>
      </c>
      <c r="H5241">
        <v>1.1243669999999999</v>
      </c>
      <c r="I5241">
        <v>155.55629999999999</v>
      </c>
      <c r="J5241">
        <v>-319.40120000000002</v>
      </c>
      <c r="K5241">
        <v>1.1207879999999999</v>
      </c>
      <c r="L5241">
        <v>142.1242</v>
      </c>
      <c r="M5241">
        <v>-0.99980930000000001</v>
      </c>
      <c r="N5241">
        <v>-9.9293630000000001E-3</v>
      </c>
      <c r="O5241">
        <v>1.6824530000000001E-2</v>
      </c>
      <c r="P5241">
        <v>-0.98337640000000004</v>
      </c>
      <c r="Q5241">
        <v>0.17417449999999901</v>
      </c>
      <c r="R5241">
        <v>5.1326440000000001E-2</v>
      </c>
      <c r="S5241">
        <v>-3.0395509999999999</v>
      </c>
      <c r="T5241" s="1">
        <v>5.7220460000000003E-5</v>
      </c>
      <c r="U5241">
        <v>0.21168519999999999</v>
      </c>
      <c r="V5241">
        <v>3.4696379999999999E-2</v>
      </c>
      <c r="W5241">
        <v>0.1839519</v>
      </c>
      <c r="X5241">
        <v>0.98232269999999999</v>
      </c>
      <c r="Y5241">
        <v>5.2681579999999999E-2</v>
      </c>
      <c r="Z5241">
        <v>4.2858039999999999E-4</v>
      </c>
      <c r="AA5241">
        <v>0.99861129999999998</v>
      </c>
      <c r="AB5241">
        <v>47</v>
      </c>
      <c r="AC5241">
        <v>-192.52440000000001</v>
      </c>
      <c r="AD5241">
        <v>3.57900000000022E-3</v>
      </c>
      <c r="AE5241">
        <v>13.432099999999901</v>
      </c>
      <c r="AF5241">
        <v>10.1909068408808</v>
      </c>
      <c r="AG5241">
        <v>3.57900000000022E-3</v>
      </c>
      <c r="AH5241">
        <v>192.723146762167</v>
      </c>
      <c r="AI5241">
        <v>89.9989374628408</v>
      </c>
      <c r="AJ5241">
        <v>86.973105434497995</v>
      </c>
      <c r="AK5241">
        <v>192.992398536732</v>
      </c>
      <c r="AL5241">
        <v>79.399968121956903</v>
      </c>
      <c r="AM5241">
        <v>87.977110718042994</v>
      </c>
      <c r="AN5241">
        <v>1.000000013617</v>
      </c>
    </row>
    <row r="5242" spans="1:40" x14ac:dyDescent="0.25">
      <c r="A5242" t="str">
        <f>"20190303170357793"</f>
        <v>20190303170357793</v>
      </c>
      <c r="B5242" t="str">
        <f>"1551603837780998"</f>
        <v>1551603837780998</v>
      </c>
      <c r="C5242" t="s">
        <v>40</v>
      </c>
      <c r="D5242">
        <v>3.7056070000000001</v>
      </c>
      <c r="E5242">
        <v>0.51089479999999998</v>
      </c>
      <c r="F5242" t="s">
        <v>74</v>
      </c>
      <c r="G5242">
        <v>-511.92559999999997</v>
      </c>
      <c r="H5242">
        <v>1.144293</v>
      </c>
      <c r="I5242">
        <v>155.45259999999999</v>
      </c>
      <c r="J5242">
        <v>-319.71199999999999</v>
      </c>
      <c r="K5242">
        <v>1.120787</v>
      </c>
      <c r="L5242">
        <v>142.1294</v>
      </c>
      <c r="M5242">
        <v>-0.99981100000000001</v>
      </c>
      <c r="N5242">
        <v>-9.9216970000000002E-3</v>
      </c>
      <c r="O5242">
        <v>1.6723120000000001E-2</v>
      </c>
      <c r="P5242">
        <v>-0.98340079999999996</v>
      </c>
      <c r="Q5242">
        <v>0.1741897</v>
      </c>
      <c r="R5242">
        <v>5.0805459999999997E-2</v>
      </c>
      <c r="S5242">
        <v>-3.0396420000000002</v>
      </c>
      <c r="T5242">
        <v>3.7181379999999997E-4</v>
      </c>
      <c r="U5242">
        <v>0.21043400000000001</v>
      </c>
      <c r="V5242">
        <v>3.4274789999999999E-2</v>
      </c>
      <c r="W5242">
        <v>0.18395990000000001</v>
      </c>
      <c r="X5242">
        <v>0.98233599999999999</v>
      </c>
      <c r="Y5242">
        <v>5.237174E-2</v>
      </c>
      <c r="Z5242">
        <v>4.2472590000000002E-4</v>
      </c>
      <c r="AA5242">
        <v>0.9986275</v>
      </c>
      <c r="AB5242">
        <v>47</v>
      </c>
      <c r="AC5242">
        <v>-192.21360000000001</v>
      </c>
      <c r="AD5242">
        <v>2.3505999999999999E-2</v>
      </c>
      <c r="AE5242">
        <v>13.3231999999999</v>
      </c>
      <c r="AF5242">
        <v>10.106767433942601</v>
      </c>
      <c r="AG5242">
        <v>2.3505999999999999E-2</v>
      </c>
      <c r="AH5242">
        <v>192.40953154709399</v>
      </c>
      <c r="AI5242">
        <v>89.993010011383404</v>
      </c>
      <c r="AJ5242">
        <v>86.993166536211106</v>
      </c>
      <c r="AK5242">
        <v>192.674791113596</v>
      </c>
      <c r="AL5242">
        <v>79.399501774611906</v>
      </c>
      <c r="AM5242">
        <v>88.001697495660196</v>
      </c>
      <c r="AN5242">
        <v>1.00000001146677</v>
      </c>
    </row>
    <row r="5243" spans="1:40" x14ac:dyDescent="0.25">
      <c r="A5243" t="str">
        <f>"20190303170357812"</f>
        <v>20190303170357812</v>
      </c>
      <c r="B5243" t="str">
        <f>"1551603837800519"</f>
        <v>1551603837800519</v>
      </c>
      <c r="C5243" t="s">
        <v>40</v>
      </c>
      <c r="D5243">
        <v>3.7328440000000001</v>
      </c>
      <c r="E5243">
        <v>0.51101399999999997</v>
      </c>
      <c r="F5243" t="s">
        <v>74</v>
      </c>
      <c r="G5243">
        <v>-511.92559999999997</v>
      </c>
      <c r="H5243">
        <v>1.1581239999999999</v>
      </c>
      <c r="I5243">
        <v>155.3655</v>
      </c>
      <c r="J5243">
        <v>-320.09780000000001</v>
      </c>
      <c r="K5243">
        <v>1.1207940000000001</v>
      </c>
      <c r="L5243">
        <v>142.13570000000001</v>
      </c>
      <c r="M5243">
        <v>-0.99981319999999996</v>
      </c>
      <c r="N5243">
        <v>-9.9141769999999997E-3</v>
      </c>
      <c r="O5243">
        <v>1.6597270000000001E-2</v>
      </c>
      <c r="P5243">
        <v>-0.98341330000000005</v>
      </c>
      <c r="Q5243">
        <v>0.1745197</v>
      </c>
      <c r="R5243">
        <v>4.9409179999999997E-2</v>
      </c>
      <c r="S5243">
        <v>-3.0397340000000002</v>
      </c>
      <c r="T5243">
        <v>5.9115890000000003E-4</v>
      </c>
      <c r="U5243">
        <v>0.20932010000000001</v>
      </c>
      <c r="V5243">
        <v>3.3001790000000003E-2</v>
      </c>
      <c r="W5243">
        <v>0.1842819</v>
      </c>
      <c r="X5243">
        <v>0.98231919999999995</v>
      </c>
      <c r="Y5243">
        <v>5.2131179999999999E-2</v>
      </c>
      <c r="Z5243">
        <v>4.2127769999999998E-4</v>
      </c>
      <c r="AA5243">
        <v>0.99864019999999998</v>
      </c>
      <c r="AB5243">
        <v>47</v>
      </c>
      <c r="AC5243">
        <v>-191.8278</v>
      </c>
      <c r="AD5243">
        <v>3.7329999999999801E-2</v>
      </c>
      <c r="AE5243">
        <v>13.2297999999999</v>
      </c>
      <c r="AF5243">
        <v>10.0440031537232</v>
      </c>
      <c r="AG5243">
        <v>3.7329999999999801E-2</v>
      </c>
      <c r="AH5243">
        <v>192.02095634193199</v>
      </c>
      <c r="AI5243">
        <v>89.988876571065603</v>
      </c>
      <c r="AJ5243">
        <v>87.005769454898697</v>
      </c>
      <c r="AK5243">
        <v>192.28346540290701</v>
      </c>
      <c r="AL5243">
        <v>79.380731226761299</v>
      </c>
      <c r="AM5243">
        <v>88.075826703415103</v>
      </c>
      <c r="AN5243">
        <v>0.99999997374972605</v>
      </c>
    </row>
    <row r="5244" spans="1:40" x14ac:dyDescent="0.25">
      <c r="A5244" t="str">
        <f>"20190303170357835"</f>
        <v>20190303170357835</v>
      </c>
      <c r="B5244" t="str">
        <f>"1551603837830774"</f>
        <v>1551603837830774</v>
      </c>
      <c r="C5244" t="s">
        <v>40</v>
      </c>
      <c r="D5244">
        <v>3.7338710000000002</v>
      </c>
      <c r="E5244">
        <v>0.51007799999999903</v>
      </c>
      <c r="F5244" t="s">
        <v>74</v>
      </c>
      <c r="G5244">
        <v>-511.92559999999997</v>
      </c>
      <c r="H5244">
        <v>1.225536</v>
      </c>
      <c r="I5244">
        <v>155.1585</v>
      </c>
      <c r="J5244">
        <v>-320.57619999999997</v>
      </c>
      <c r="K5244">
        <v>1.1207910000000001</v>
      </c>
      <c r="L5244">
        <v>142.14359999999999</v>
      </c>
      <c r="M5244">
        <v>-0.99981580000000003</v>
      </c>
      <c r="N5244">
        <v>-9.9071469999999998E-3</v>
      </c>
      <c r="O5244">
        <v>1.6440969999999999E-2</v>
      </c>
      <c r="P5244">
        <v>-0.98337850000000004</v>
      </c>
      <c r="Q5244">
        <v>0.17510619999999999</v>
      </c>
      <c r="R5244">
        <v>4.8005060000000002E-2</v>
      </c>
      <c r="S5244">
        <v>-3.0399479999999999</v>
      </c>
      <c r="T5244">
        <v>1.660585E-3</v>
      </c>
      <c r="U5244">
        <v>0.20637510000000001</v>
      </c>
      <c r="V5244">
        <v>3.175182E-2</v>
      </c>
      <c r="W5244">
        <v>0.1848602</v>
      </c>
      <c r="X5244">
        <v>0.98225180000000001</v>
      </c>
      <c r="Y5244">
        <v>5.1319679999999999E-2</v>
      </c>
      <c r="Z5244">
        <v>4.1221010000000002E-4</v>
      </c>
      <c r="AA5244">
        <v>0.99868219999999996</v>
      </c>
      <c r="AB5244">
        <v>47</v>
      </c>
      <c r="AC5244">
        <v>-191.3494</v>
      </c>
      <c r="AD5244">
        <v>0.10474499999999901</v>
      </c>
      <c r="AE5244">
        <v>13.014900000000001</v>
      </c>
      <c r="AF5244">
        <v>9.8670137620097407</v>
      </c>
      <c r="AG5244">
        <v>0.10474499999999901</v>
      </c>
      <c r="AH5244">
        <v>191.537465261421</v>
      </c>
      <c r="AI5244">
        <v>89.968708480123297</v>
      </c>
      <c r="AJ5244">
        <v>87.051026306619093</v>
      </c>
      <c r="AK5244">
        <v>191.79147408282901</v>
      </c>
      <c r="AL5244">
        <v>79.347018513710196</v>
      </c>
      <c r="AM5244">
        <v>88.148527692052298</v>
      </c>
      <c r="AN5244">
        <v>1.00000003511029</v>
      </c>
    </row>
    <row r="5245" spans="1:40" x14ac:dyDescent="0.25">
      <c r="A5245" t="str">
        <f>"20190303170357858"</f>
        <v>20190303170357858</v>
      </c>
      <c r="B5245" t="str">
        <f>"1551603837851270"</f>
        <v>1551603837851270</v>
      </c>
      <c r="C5245" t="s">
        <v>40</v>
      </c>
      <c r="D5245">
        <v>3.707551</v>
      </c>
      <c r="E5245">
        <v>0.48336459999999998</v>
      </c>
      <c r="F5245" t="s">
        <v>74</v>
      </c>
      <c r="G5245">
        <v>-511.92559999999997</v>
      </c>
      <c r="H5245">
        <v>1.3451799999999901</v>
      </c>
      <c r="I5245">
        <v>154.42259999999999</v>
      </c>
      <c r="J5245">
        <v>-321.05189999999999</v>
      </c>
      <c r="K5245">
        <v>1.120795</v>
      </c>
      <c r="L5245">
        <v>142.15129999999999</v>
      </c>
      <c r="M5245">
        <v>-0.9998184</v>
      </c>
      <c r="N5245">
        <v>-9.9090849999999998E-3</v>
      </c>
      <c r="O5245">
        <v>1.6285330000000001E-2</v>
      </c>
      <c r="P5245">
        <v>-0.98332509999999995</v>
      </c>
      <c r="Q5245">
        <v>0.1754965</v>
      </c>
      <c r="R5245">
        <v>4.7676320000000001E-2</v>
      </c>
      <c r="S5245">
        <v>-3.0405579999999999</v>
      </c>
      <c r="T5245">
        <v>3.5662649999999999E-3</v>
      </c>
      <c r="U5245">
        <v>0.19511410000000001</v>
      </c>
      <c r="V5245">
        <v>3.1576890000000003E-2</v>
      </c>
      <c r="W5245">
        <v>0.18525150000000001</v>
      </c>
      <c r="X5245">
        <v>0.98218369999999999</v>
      </c>
      <c r="Y5245">
        <v>4.7778840000000003E-2</v>
      </c>
      <c r="Z5245">
        <v>3.8929459999999998E-4</v>
      </c>
      <c r="AA5245">
        <v>0.99885789999999997</v>
      </c>
      <c r="AB5245">
        <v>47</v>
      </c>
      <c r="AC5245">
        <v>-190.87370000000001</v>
      </c>
      <c r="AD5245">
        <v>0.224384999999999</v>
      </c>
      <c r="AE5245">
        <v>12.271299999999901</v>
      </c>
      <c r="AF5245">
        <v>9.1610664289420107</v>
      </c>
      <c r="AG5245">
        <v>0.224384999999999</v>
      </c>
      <c r="AH5245">
        <v>191.04797387100399</v>
      </c>
      <c r="AI5245">
        <v>89.932783624335201</v>
      </c>
      <c r="AJ5245">
        <v>87.254675454165493</v>
      </c>
      <c r="AK5245">
        <v>191.267623519924</v>
      </c>
      <c r="AL5245">
        <v>79.324204464843206</v>
      </c>
      <c r="AM5245">
        <v>88.158593372226605</v>
      </c>
      <c r="AN5245">
        <v>1.0000000193900001</v>
      </c>
    </row>
    <row r="5246" spans="1:40" x14ac:dyDescent="0.25">
      <c r="A5246" t="str">
        <f>"20190303170357879"</f>
        <v>20190303170357879</v>
      </c>
      <c r="B5246" t="str">
        <f>"1551603837870790"</f>
        <v>1551603837870790</v>
      </c>
      <c r="C5246" t="s">
        <v>40</v>
      </c>
      <c r="D5246">
        <v>3.6942279999999998</v>
      </c>
      <c r="E5246">
        <v>0.48379359999999999</v>
      </c>
      <c r="F5246" t="s">
        <v>48</v>
      </c>
      <c r="G5246">
        <v>0</v>
      </c>
      <c r="H5246">
        <v>0</v>
      </c>
      <c r="I5246">
        <v>0</v>
      </c>
      <c r="J5246">
        <v>-321.50380000000001</v>
      </c>
      <c r="K5246">
        <v>1.1208020000000001</v>
      </c>
      <c r="L5246">
        <v>142.15860000000001</v>
      </c>
      <c r="M5246">
        <v>-0.99982059999999995</v>
      </c>
      <c r="N5246">
        <v>-9.918985E-3</v>
      </c>
      <c r="O5246">
        <v>1.6138110000000001E-2</v>
      </c>
      <c r="P5246">
        <v>-0.98334350000000004</v>
      </c>
      <c r="Q5246">
        <v>0.1752736</v>
      </c>
      <c r="R5246">
        <v>4.8113019999999999E-2</v>
      </c>
      <c r="S5246">
        <v>-3.0476679999999998</v>
      </c>
      <c r="T5246">
        <v>2.2745370000000001E-2</v>
      </c>
      <c r="U5246">
        <v>-1.826477E-2</v>
      </c>
      <c r="V5246">
        <v>3.2157989999999997E-2</v>
      </c>
      <c r="W5246">
        <v>0.1850387</v>
      </c>
      <c r="X5246">
        <v>0.98220490000000005</v>
      </c>
      <c r="Y5246">
        <v>-2.2128519999999999E-2</v>
      </c>
      <c r="Z5246">
        <v>2.5333460000000001E-4</v>
      </c>
      <c r="AA5246">
        <v>0.99975510000000001</v>
      </c>
      <c r="AB5246">
        <v>47</v>
      </c>
      <c r="AC5246">
        <v>-3.0476679999999998</v>
      </c>
      <c r="AD5246">
        <v>2.2745370000000001E-2</v>
      </c>
      <c r="AE5246">
        <v>-1.826477E-2</v>
      </c>
      <c r="AF5246">
        <v>-6.7444654390660302E-2</v>
      </c>
      <c r="AG5246">
        <v>2.2745370000000001E-2</v>
      </c>
      <c r="AH5246">
        <v>3.0468065973027301</v>
      </c>
      <c r="AI5246">
        <v>89.572381674108797</v>
      </c>
      <c r="AJ5246">
        <v>91.268102496172006</v>
      </c>
      <c r="AK5246">
        <v>3.0476378680266101</v>
      </c>
      <c r="AL5246">
        <v>79.336610881732</v>
      </c>
      <c r="AM5246">
        <v>88.124770944355603</v>
      </c>
      <c r="AN5246">
        <v>0.99999996120126899</v>
      </c>
    </row>
    <row r="5247" spans="1:40" x14ac:dyDescent="0.25">
      <c r="A5247" t="str">
        <f>"20190303170357894"</f>
        <v>20190303170357894</v>
      </c>
      <c r="B5247" t="str">
        <f>"1551603837880550"</f>
        <v>1551603837880550</v>
      </c>
      <c r="C5247" t="s">
        <v>40</v>
      </c>
      <c r="D5247">
        <v>3.6898909999999998</v>
      </c>
      <c r="E5247">
        <v>0.48392960000000002</v>
      </c>
      <c r="F5247" t="s">
        <v>48</v>
      </c>
      <c r="G5247">
        <v>0</v>
      </c>
      <c r="H5247">
        <v>0</v>
      </c>
      <c r="I5247">
        <v>0</v>
      </c>
      <c r="J5247">
        <v>-321.81700000000001</v>
      </c>
      <c r="K5247">
        <v>1.1208</v>
      </c>
      <c r="L5247">
        <v>142.1636</v>
      </c>
      <c r="M5247">
        <v>-0.99982230000000005</v>
      </c>
      <c r="N5247">
        <v>-9.9298990000000007E-3</v>
      </c>
      <c r="O5247">
        <v>1.6035710000000002E-2</v>
      </c>
      <c r="P5247">
        <v>-0.9833421</v>
      </c>
      <c r="Q5247">
        <v>0.17528260000000001</v>
      </c>
      <c r="R5247">
        <v>4.8112170000000003E-2</v>
      </c>
      <c r="S5247">
        <v>-3.0475159999999999</v>
      </c>
      <c r="T5247">
        <v>2.229714E-2</v>
      </c>
      <c r="U5247">
        <v>-1.3992310000000001E-2</v>
      </c>
      <c r="V5247">
        <v>3.2257840000000003E-2</v>
      </c>
      <c r="W5247">
        <v>0.1850589</v>
      </c>
      <c r="X5247">
        <v>0.98219789999999996</v>
      </c>
      <c r="Y5247">
        <v>-2.0624880000000002E-2</v>
      </c>
      <c r="Z5247">
        <v>2.496005E-4</v>
      </c>
      <c r="AA5247">
        <v>0.99978730000000005</v>
      </c>
      <c r="AB5247">
        <v>47</v>
      </c>
      <c r="AC5247">
        <v>-3.0475159999999999</v>
      </c>
      <c r="AD5247">
        <v>2.229714E-2</v>
      </c>
      <c r="AE5247">
        <v>-1.3992310000000001E-2</v>
      </c>
      <c r="AF5247">
        <v>-6.2858628908467107E-2</v>
      </c>
      <c r="AG5247">
        <v>2.229714E-2</v>
      </c>
      <c r="AH5247">
        <v>3.0467366316595399</v>
      </c>
      <c r="AI5247">
        <v>89.580785092128295</v>
      </c>
      <c r="AJ5247">
        <v>91.181927978012894</v>
      </c>
      <c r="AK5247">
        <v>3.0474665662442502</v>
      </c>
      <c r="AL5247">
        <v>79.335434014384106</v>
      </c>
      <c r="AM5247">
        <v>88.118939170861395</v>
      </c>
      <c r="AN5247">
        <v>1.0000000397375399</v>
      </c>
    </row>
    <row r="5248" spans="1:40" x14ac:dyDescent="0.25">
      <c r="A5248" t="str">
        <f>"20190303170357913"</f>
        <v>20190303170357913</v>
      </c>
      <c r="B5248" t="str">
        <f>"1551603837901046"</f>
        <v>1551603837901046</v>
      </c>
      <c r="C5248" t="s">
        <v>40</v>
      </c>
      <c r="D5248">
        <v>3.7078440000000001</v>
      </c>
      <c r="E5248">
        <v>0.48426209999999997</v>
      </c>
      <c r="F5248" t="s">
        <v>48</v>
      </c>
      <c r="G5248">
        <v>0</v>
      </c>
      <c r="H5248">
        <v>0</v>
      </c>
      <c r="I5248">
        <v>0</v>
      </c>
      <c r="J5248">
        <v>-322.21159999999998</v>
      </c>
      <c r="K5248">
        <v>1.1208</v>
      </c>
      <c r="L5248">
        <v>142.16980000000001</v>
      </c>
      <c r="M5248">
        <v>-0.99982400000000005</v>
      </c>
      <c r="N5248">
        <v>-9.9477279999999994E-3</v>
      </c>
      <c r="O5248">
        <v>1.5906989999999999E-2</v>
      </c>
      <c r="P5248">
        <v>-0.98341529999999999</v>
      </c>
      <c r="Q5248">
        <v>0.174765899999999</v>
      </c>
      <c r="R5248">
        <v>4.8491100000000002E-2</v>
      </c>
      <c r="S5248">
        <v>-3.0477910000000001</v>
      </c>
      <c r="T5248">
        <v>2.0854230000000001E-2</v>
      </c>
      <c r="U5248">
        <v>-1.31072999999999E-2</v>
      </c>
      <c r="V5248">
        <v>3.276217E-2</v>
      </c>
      <c r="W5248">
        <v>0.18456030000000001</v>
      </c>
      <c r="X5248">
        <v>0.98227500000000001</v>
      </c>
      <c r="Y5248">
        <v>-2.0205609999999999E-2</v>
      </c>
      <c r="Z5248">
        <v>2.357026E-4</v>
      </c>
      <c r="AA5248">
        <v>0.99979580000000001</v>
      </c>
      <c r="AB5248">
        <v>47</v>
      </c>
      <c r="AC5248">
        <v>-3.0477910000000001</v>
      </c>
      <c r="AD5248">
        <v>2.0854230000000001E-2</v>
      </c>
      <c r="AE5248">
        <v>-1.31072999999999E-2</v>
      </c>
      <c r="AF5248">
        <v>-6.1586337536916197E-2</v>
      </c>
      <c r="AG5248">
        <v>2.0854230000000001E-2</v>
      </c>
      <c r="AH5248">
        <v>3.0470541785935401</v>
      </c>
      <c r="AI5248">
        <v>89.607950280744404</v>
      </c>
      <c r="AJ5248">
        <v>91.157891073356097</v>
      </c>
      <c r="AK5248">
        <v>3.0477478477007298</v>
      </c>
      <c r="AL5248">
        <v>79.364502197673403</v>
      </c>
      <c r="AM5248">
        <v>88.0897014965132</v>
      </c>
      <c r="AN5248">
        <v>1.00000001987209</v>
      </c>
    </row>
    <row r="5249" spans="1:40" x14ac:dyDescent="0.25">
      <c r="A5249" t="str">
        <f>"20190303170357937"</f>
        <v>20190303170357937</v>
      </c>
      <c r="B5249" t="str">
        <f>"1551603837931303"</f>
        <v>1551603837931303</v>
      </c>
      <c r="C5249" t="s">
        <v>40</v>
      </c>
      <c r="D5249">
        <v>3.6756850000000001</v>
      </c>
      <c r="E5249">
        <v>0.48460239999999999</v>
      </c>
      <c r="F5249" t="s">
        <v>48</v>
      </c>
      <c r="G5249">
        <v>0</v>
      </c>
      <c r="H5249">
        <v>0</v>
      </c>
      <c r="I5249">
        <v>0</v>
      </c>
      <c r="J5249">
        <v>-322.6857</v>
      </c>
      <c r="K5249">
        <v>1.1208039999999999</v>
      </c>
      <c r="L5249">
        <v>142.1773</v>
      </c>
      <c r="M5249">
        <v>-0.9998262</v>
      </c>
      <c r="N5249">
        <v>-9.9767889999999998E-3</v>
      </c>
      <c r="O5249">
        <v>1.575263E-2</v>
      </c>
      <c r="P5249">
        <v>-0.98344710000000002</v>
      </c>
      <c r="Q5249">
        <v>0.17453579999999999</v>
      </c>
      <c r="R5249">
        <v>4.8675580000000003E-2</v>
      </c>
      <c r="S5249">
        <v>-3.0475460000000001</v>
      </c>
      <c r="T5249">
        <v>1.952195E-2</v>
      </c>
      <c r="U5249">
        <v>-9.2620849999999998E-3</v>
      </c>
      <c r="V5249">
        <v>3.3097990000000001E-2</v>
      </c>
      <c r="W5249">
        <v>0.1843592</v>
      </c>
      <c r="X5249">
        <v>0.98230150000000005</v>
      </c>
      <c r="Y5249">
        <v>-1.8790250000000001E-2</v>
      </c>
      <c r="Z5249">
        <v>2.245157E-4</v>
      </c>
      <c r="AA5249">
        <v>0.99982349999999998</v>
      </c>
      <c r="AB5249">
        <v>47</v>
      </c>
      <c r="AC5249">
        <v>-3.0475460000000001</v>
      </c>
      <c r="AD5249">
        <v>1.952195E-2</v>
      </c>
      <c r="AE5249">
        <v>-9.2620849999999998E-3</v>
      </c>
      <c r="AF5249">
        <v>-5.7267836977021203E-2</v>
      </c>
      <c r="AG5249">
        <v>1.952195E-2</v>
      </c>
      <c r="AH5249">
        <v>3.0468968865111101</v>
      </c>
      <c r="AI5249">
        <v>89.632966730035406</v>
      </c>
      <c r="AJ5249">
        <v>91.076773905233395</v>
      </c>
      <c r="AK5249">
        <v>3.0474975551614301</v>
      </c>
      <c r="AL5249">
        <v>79.376225490061501</v>
      </c>
      <c r="AM5249">
        <v>88.070187239535002</v>
      </c>
      <c r="AN5249">
        <v>1.0000000142344601</v>
      </c>
    </row>
    <row r="5250" spans="1:40" x14ac:dyDescent="0.25">
      <c r="A5250" t="str">
        <f>"20190303170357958"</f>
        <v>20190303170357958</v>
      </c>
      <c r="B5250" t="str">
        <f>"1551603837950822"</f>
        <v>1551603837950822</v>
      </c>
      <c r="C5250" t="s">
        <v>40</v>
      </c>
      <c r="D5250">
        <v>3.6745269999999999</v>
      </c>
      <c r="E5250">
        <v>0.4848866</v>
      </c>
      <c r="F5250" t="s">
        <v>48</v>
      </c>
      <c r="G5250">
        <v>0</v>
      </c>
      <c r="H5250">
        <v>0</v>
      </c>
      <c r="I5250">
        <v>0</v>
      </c>
      <c r="J5250">
        <v>-323.15570000000002</v>
      </c>
      <c r="K5250">
        <v>1.1208129999999901</v>
      </c>
      <c r="L5250">
        <v>142.18459999999999</v>
      </c>
      <c r="M5250">
        <v>-0.99982819999999994</v>
      </c>
      <c r="N5250">
        <v>-1.0012739999999999E-2</v>
      </c>
      <c r="O5250">
        <v>1.5599729999999999E-2</v>
      </c>
      <c r="P5250">
        <v>-0.98340150000000004</v>
      </c>
      <c r="Q5250">
        <v>0.17467479999999999</v>
      </c>
      <c r="R5250">
        <v>4.9093919999999999E-2</v>
      </c>
      <c r="S5250">
        <v>-3.0476990000000002</v>
      </c>
      <c r="T5250">
        <v>1.7376900000000001E-2</v>
      </c>
      <c r="U5250">
        <v>-5.7220459999999997E-3</v>
      </c>
      <c r="V5250">
        <v>3.3667009999999997E-2</v>
      </c>
      <c r="W5250">
        <v>0.18453349999999999</v>
      </c>
      <c r="X5250">
        <v>0.98224940000000005</v>
      </c>
      <c r="Y5250">
        <v>-1.7476040000000002E-2</v>
      </c>
      <c r="Z5250">
        <v>2.0746889999999999E-4</v>
      </c>
      <c r="AA5250">
        <v>0.99984720000000005</v>
      </c>
      <c r="AB5250">
        <v>47</v>
      </c>
      <c r="AC5250">
        <v>-3.0476990000000002</v>
      </c>
      <c r="AD5250">
        <v>1.7376900000000001E-2</v>
      </c>
      <c r="AE5250">
        <v>-5.7220459999999997E-3</v>
      </c>
      <c r="AF5250">
        <v>-5.3265282139251899E-2</v>
      </c>
      <c r="AG5250">
        <v>1.7376900000000001E-2</v>
      </c>
      <c r="AH5250">
        <v>3.0471397838415801</v>
      </c>
      <c r="AI5250">
        <v>89.673313259302802</v>
      </c>
      <c r="AJ5250">
        <v>91.001452275154804</v>
      </c>
      <c r="AK5250">
        <v>3.0476548376095902</v>
      </c>
      <c r="AL5250">
        <v>79.366064152626706</v>
      </c>
      <c r="AM5250">
        <v>88.036931635273007</v>
      </c>
      <c r="AN5250">
        <v>0.99999998199247497</v>
      </c>
    </row>
    <row r="5251" spans="1:40" x14ac:dyDescent="0.25">
      <c r="A5251" t="str">
        <f>"20190303170357979"</f>
        <v>20190303170357979</v>
      </c>
      <c r="B5251" t="str">
        <f>"1551603837971319"</f>
        <v>1551603837971319</v>
      </c>
      <c r="C5251" t="s">
        <v>40</v>
      </c>
      <c r="D5251">
        <v>3.673908</v>
      </c>
      <c r="E5251">
        <v>0.48487970000000002</v>
      </c>
      <c r="F5251" t="s">
        <v>48</v>
      </c>
      <c r="G5251">
        <v>0</v>
      </c>
      <c r="H5251">
        <v>0</v>
      </c>
      <c r="I5251">
        <v>0</v>
      </c>
      <c r="J5251">
        <v>-323.60039999999998</v>
      </c>
      <c r="K5251">
        <v>1.1208279999999999</v>
      </c>
      <c r="L5251">
        <v>142.19139999999999</v>
      </c>
      <c r="M5251">
        <v>-0.9998302</v>
      </c>
      <c r="N5251">
        <v>-1.004966E-2</v>
      </c>
      <c r="O5251">
        <v>1.545535E-2</v>
      </c>
      <c r="P5251">
        <v>-0.98328450000000001</v>
      </c>
      <c r="Q5251">
        <v>0.1751434</v>
      </c>
      <c r="R5251">
        <v>4.9767409999999998E-2</v>
      </c>
      <c r="S5251">
        <v>-3.0474549999999998</v>
      </c>
      <c r="T5251">
        <v>1.8425230000000001E-2</v>
      </c>
      <c r="U5251">
        <v>-2.0904539999999998E-3</v>
      </c>
      <c r="V5251">
        <v>3.4483989999999999E-2</v>
      </c>
      <c r="W5251">
        <v>0.1850378</v>
      </c>
      <c r="X5251">
        <v>0.98212619999999895</v>
      </c>
      <c r="Y5251">
        <v>-1.61402E-2</v>
      </c>
      <c r="Z5251">
        <v>2.1645550000000001E-4</v>
      </c>
      <c r="AA5251">
        <v>0.99986969999999997</v>
      </c>
      <c r="AB5251">
        <v>47</v>
      </c>
      <c r="AC5251">
        <v>-3.0474549999999998</v>
      </c>
      <c r="AD5251">
        <v>1.8425230000000001E-2</v>
      </c>
      <c r="AE5251">
        <v>-2.0904539999999998E-3</v>
      </c>
      <c r="AF5251">
        <v>-4.9190261471925602E-2</v>
      </c>
      <c r="AG5251">
        <v>1.8425230000000001E-2</v>
      </c>
      <c r="AH5251">
        <v>3.0469472795286001</v>
      </c>
      <c r="AI5251">
        <v>89.653575395399898</v>
      </c>
      <c r="AJ5251">
        <v>90.924909196083505</v>
      </c>
      <c r="AK5251">
        <v>3.0474000221747999</v>
      </c>
      <c r="AL5251">
        <v>79.336663803494105</v>
      </c>
      <c r="AM5251">
        <v>87.9890814882407</v>
      </c>
      <c r="AN5251">
        <v>1.00000000286079</v>
      </c>
    </row>
    <row r="5252" spans="1:40" x14ac:dyDescent="0.25">
      <c r="A5252" t="str">
        <f>"20190303170357994"</f>
        <v>20190303170357994</v>
      </c>
      <c r="B5252" t="str">
        <f>"1551603837981077"</f>
        <v>1551603837981077</v>
      </c>
      <c r="C5252" t="s">
        <v>40</v>
      </c>
      <c r="D5252">
        <v>3.6691419999999999</v>
      </c>
      <c r="E5252">
        <v>0.48494809999999999</v>
      </c>
      <c r="F5252" t="s">
        <v>48</v>
      </c>
      <c r="G5252">
        <v>0</v>
      </c>
      <c r="H5252">
        <v>0</v>
      </c>
      <c r="I5252">
        <v>0</v>
      </c>
      <c r="J5252">
        <v>-323.92270000000002</v>
      </c>
      <c r="K5252">
        <v>1.1208309999999999</v>
      </c>
      <c r="L5252">
        <v>142.19640000000001</v>
      </c>
      <c r="M5252">
        <v>-0.99983129999999998</v>
      </c>
      <c r="N5252">
        <v>-1.007775E-2</v>
      </c>
      <c r="O5252">
        <v>1.5350829999999999E-2</v>
      </c>
      <c r="P5252">
        <v>-0.98323669999999996</v>
      </c>
      <c r="Q5252">
        <v>0.175317</v>
      </c>
      <c r="R5252">
        <v>5.0094689999999997E-2</v>
      </c>
      <c r="S5252">
        <v>-3.0474549999999998</v>
      </c>
      <c r="T5252">
        <v>1.987338E-2</v>
      </c>
      <c r="U5252">
        <v>-2.5939939999999997E-4</v>
      </c>
      <c r="V5252">
        <v>3.4914500000000001E-2</v>
      </c>
      <c r="W5252">
        <v>0.18523880000000001</v>
      </c>
      <c r="X5252">
        <v>0.98207310000000003</v>
      </c>
      <c r="Y5252">
        <v>-1.543479E-2</v>
      </c>
      <c r="Z5252">
        <v>2.2736109999999999E-4</v>
      </c>
      <c r="AA5252">
        <v>0.99988089999999996</v>
      </c>
      <c r="AB5252">
        <v>47</v>
      </c>
      <c r="AC5252">
        <v>-3.0474549999999998</v>
      </c>
      <c r="AD5252">
        <v>1.987338E-2</v>
      </c>
      <c r="AE5252">
        <v>-2.5939939999999997E-4</v>
      </c>
      <c r="AF5252">
        <v>-4.7040711494540498E-2</v>
      </c>
      <c r="AG5252">
        <v>1.987338E-2</v>
      </c>
      <c r="AH5252">
        <v>3.0469623174065901</v>
      </c>
      <c r="AI5252">
        <v>89.626346221438794</v>
      </c>
      <c r="AJ5252">
        <v>90.884494079090004</v>
      </c>
      <c r="AK5252">
        <v>3.0473902184436898</v>
      </c>
      <c r="AL5252">
        <v>79.324944776681605</v>
      </c>
      <c r="AM5252">
        <v>87.963887495356104</v>
      </c>
      <c r="AN5252">
        <v>1.00000000453965</v>
      </c>
    </row>
    <row r="5253" spans="1:40" x14ac:dyDescent="0.25">
      <c r="A5253" t="str">
        <f>"20190303170358013"</f>
        <v>20190303170358013</v>
      </c>
      <c r="B5253" t="str">
        <f>"1551603838000598"</f>
        <v>1551603838000598</v>
      </c>
      <c r="C5253" t="s">
        <v>40</v>
      </c>
      <c r="D5253">
        <v>3.6478670000000002</v>
      </c>
      <c r="E5253">
        <v>0.48500450000000001</v>
      </c>
      <c r="F5253" t="s">
        <v>48</v>
      </c>
      <c r="G5253">
        <v>0</v>
      </c>
      <c r="H5253">
        <v>0</v>
      </c>
      <c r="I5253">
        <v>0</v>
      </c>
      <c r="J5253">
        <v>-324.31479999999999</v>
      </c>
      <c r="K5253">
        <v>1.12083</v>
      </c>
      <c r="L5253">
        <v>142.20230000000001</v>
      </c>
      <c r="M5253">
        <v>-0.99983299999999997</v>
      </c>
      <c r="N5253">
        <v>-1.0115580000000001E-2</v>
      </c>
      <c r="O5253">
        <v>1.5223489999999999E-2</v>
      </c>
      <c r="P5253">
        <v>-0.98321069999999999</v>
      </c>
      <c r="Q5253">
        <v>0.175366299999999</v>
      </c>
      <c r="R5253">
        <v>5.043156E-2</v>
      </c>
      <c r="S5253">
        <v>-3.0473940000000002</v>
      </c>
      <c r="T5253">
        <v>2.067983E-2</v>
      </c>
      <c r="U5253">
        <v>1.2512210000000001E-3</v>
      </c>
      <c r="V5253">
        <v>3.5376890000000001E-2</v>
      </c>
      <c r="W5253">
        <v>0.18532509999999999</v>
      </c>
      <c r="X5253">
        <v>0.98204029999999998</v>
      </c>
      <c r="Y5253">
        <v>-1.481172E-2</v>
      </c>
      <c r="Z5253">
        <v>2.32642E-4</v>
      </c>
      <c r="AA5253">
        <v>0.99989030000000001</v>
      </c>
      <c r="AB5253">
        <v>47</v>
      </c>
      <c r="AC5253">
        <v>-3.0473940000000002</v>
      </c>
      <c r="AD5253">
        <v>2.067983E-2</v>
      </c>
      <c r="AE5253">
        <v>1.2512210000000001E-3</v>
      </c>
      <c r="AF5253">
        <v>-4.5141188527803099E-2</v>
      </c>
      <c r="AG5253">
        <v>2.067983E-2</v>
      </c>
      <c r="AH5253">
        <v>3.0469195555886501</v>
      </c>
      <c r="AI5253">
        <v>89.611174907424399</v>
      </c>
      <c r="AJ5253">
        <v>90.848795095810701</v>
      </c>
      <c r="AK5253">
        <v>3.0473240983687702</v>
      </c>
      <c r="AL5253">
        <v>79.319913345807805</v>
      </c>
      <c r="AM5253">
        <v>87.936876552814496</v>
      </c>
      <c r="AN5253">
        <v>1.0000000339300801</v>
      </c>
    </row>
    <row r="5254" spans="1:40" x14ac:dyDescent="0.25">
      <c r="A5254" t="str">
        <f>"20190303170358028"</f>
        <v>20190303170358028</v>
      </c>
      <c r="B5254" t="str">
        <f>"1551603838021094"</f>
        <v>1551603838021094</v>
      </c>
      <c r="C5254" t="s">
        <v>40</v>
      </c>
      <c r="D5254">
        <v>3.702915</v>
      </c>
      <c r="E5254">
        <v>0.48499510000000001</v>
      </c>
      <c r="F5254" t="s">
        <v>48</v>
      </c>
      <c r="G5254">
        <v>0</v>
      </c>
      <c r="H5254">
        <v>0</v>
      </c>
      <c r="I5254">
        <v>0</v>
      </c>
      <c r="J5254">
        <v>-324.64120000000003</v>
      </c>
      <c r="K5254">
        <v>1.1208340000000001</v>
      </c>
      <c r="L5254">
        <v>142.2072</v>
      </c>
      <c r="M5254">
        <v>-0.99983420000000001</v>
      </c>
      <c r="N5254">
        <v>-1.015055E-2</v>
      </c>
      <c r="O5254">
        <v>1.511756E-2</v>
      </c>
      <c r="P5254">
        <v>-0.98319330000000005</v>
      </c>
      <c r="Q5254">
        <v>0.1755679</v>
      </c>
      <c r="R5254">
        <v>5.0070730000000001E-2</v>
      </c>
      <c r="S5254">
        <v>-3.0473629999999998</v>
      </c>
      <c r="T5254">
        <v>2.0740149999999999E-2</v>
      </c>
      <c r="U5254">
        <v>2.8076170000000001E-3</v>
      </c>
      <c r="V5254">
        <v>3.5120400000000003E-2</v>
      </c>
      <c r="W5254">
        <v>0.1855607</v>
      </c>
      <c r="X5254">
        <v>0.98200500000000002</v>
      </c>
      <c r="Y5254">
        <v>-1.419511E-2</v>
      </c>
      <c r="Z5254">
        <v>2.3259990000000001E-4</v>
      </c>
      <c r="AA5254">
        <v>0.99989919999999999</v>
      </c>
      <c r="AB5254">
        <v>47</v>
      </c>
      <c r="AC5254">
        <v>-3.0473629999999998</v>
      </c>
      <c r="AD5254">
        <v>2.0740149999999999E-2</v>
      </c>
      <c r="AE5254">
        <v>2.8076170000000001E-3</v>
      </c>
      <c r="AF5254">
        <v>-4.3261766413654E-2</v>
      </c>
      <c r="AG5254">
        <v>2.0740149999999999E-2</v>
      </c>
      <c r="AH5254">
        <v>3.04691603234751</v>
      </c>
      <c r="AI5254">
        <v>89.610036857759397</v>
      </c>
      <c r="AJ5254">
        <v>90.813461892290206</v>
      </c>
      <c r="AK5254">
        <v>3.0472937243448599</v>
      </c>
      <c r="AL5254">
        <v>79.306176017330898</v>
      </c>
      <c r="AM5254">
        <v>87.951748288798598</v>
      </c>
      <c r="AN5254">
        <v>1.0000000179528199</v>
      </c>
    </row>
    <row r="5255" spans="1:40" x14ac:dyDescent="0.25">
      <c r="A5255" t="str">
        <f>"20190303170358048"</f>
        <v>20190303170358048</v>
      </c>
      <c r="B5255" t="str">
        <f>"1551603838040614"</f>
        <v>1551603838040614</v>
      </c>
      <c r="C5255" t="s">
        <v>40</v>
      </c>
      <c r="D5255">
        <v>3.7048869999999998</v>
      </c>
      <c r="E5255">
        <v>0.4850101</v>
      </c>
      <c r="F5255" t="s">
        <v>48</v>
      </c>
      <c r="G5255">
        <v>0</v>
      </c>
      <c r="H5255">
        <v>0</v>
      </c>
      <c r="I5255">
        <v>0</v>
      </c>
      <c r="J5255">
        <v>-325.0444</v>
      </c>
      <c r="K5255">
        <v>1.120844</v>
      </c>
      <c r="L5255">
        <v>142.2132</v>
      </c>
      <c r="M5255">
        <v>-0.99983580000000005</v>
      </c>
      <c r="N5255">
        <v>-1.0197400000000001E-2</v>
      </c>
      <c r="O5255">
        <v>1.498648E-2</v>
      </c>
      <c r="P5255">
        <v>-0.98314869999999999</v>
      </c>
      <c r="Q5255">
        <v>0.17575550000000001</v>
      </c>
      <c r="R5255">
        <v>5.029086E-2</v>
      </c>
      <c r="S5255">
        <v>-3.0473940000000002</v>
      </c>
      <c r="T5255">
        <v>2.130044E-2</v>
      </c>
      <c r="U5255">
        <v>1.739502E-3</v>
      </c>
      <c r="V5255">
        <v>3.5470040000000001E-2</v>
      </c>
      <c r="W5255">
        <v>0.18579409999999999</v>
      </c>
      <c r="X5255">
        <v>0.9819483</v>
      </c>
      <c r="Y5255">
        <v>-1.4414450000000001E-2</v>
      </c>
      <c r="Z5255">
        <v>2.3445329999999999E-4</v>
      </c>
      <c r="AA5255">
        <v>0.99989600000000001</v>
      </c>
      <c r="AB5255">
        <v>47</v>
      </c>
      <c r="AC5255">
        <v>-3.0473940000000002</v>
      </c>
      <c r="AD5255">
        <v>2.130044E-2</v>
      </c>
      <c r="AE5255">
        <v>1.739502E-3</v>
      </c>
      <c r="AF5255">
        <v>-4.3930626272147201E-2</v>
      </c>
      <c r="AG5255">
        <v>2.130044E-2</v>
      </c>
      <c r="AH5255">
        <v>3.0469289401272999</v>
      </c>
      <c r="AI5255">
        <v>89.599505392854695</v>
      </c>
      <c r="AJ5255">
        <v>90.826033404436103</v>
      </c>
      <c r="AK5255">
        <v>3.04732006439332</v>
      </c>
      <c r="AL5255">
        <v>79.292566520046506</v>
      </c>
      <c r="AM5255">
        <v>87.931255270529704</v>
      </c>
      <c r="AN5255">
        <v>1.00000001760265</v>
      </c>
    </row>
    <row r="5256" spans="1:40" x14ac:dyDescent="0.25">
      <c r="A5256" t="str">
        <f>"20190303170358069"</f>
        <v>20190303170358069</v>
      </c>
      <c r="B5256" t="str">
        <f>"1551603838061110"</f>
        <v>1551603838061110</v>
      </c>
      <c r="C5256" t="s">
        <v>40</v>
      </c>
      <c r="D5256">
        <v>3.6519529999999998</v>
      </c>
      <c r="E5256">
        <v>0.48495100000000002</v>
      </c>
      <c r="F5256" t="s">
        <v>48</v>
      </c>
      <c r="G5256">
        <v>0</v>
      </c>
      <c r="H5256">
        <v>0</v>
      </c>
      <c r="I5256">
        <v>0</v>
      </c>
      <c r="J5256">
        <v>-325.49380000000002</v>
      </c>
      <c r="K5256">
        <v>1.1208640000000001</v>
      </c>
      <c r="L5256">
        <v>142.2199</v>
      </c>
      <c r="M5256">
        <v>-0.99983730000000004</v>
      </c>
      <c r="N5256">
        <v>-1.0252900000000001E-2</v>
      </c>
      <c r="O5256">
        <v>1.4840920000000001E-2</v>
      </c>
      <c r="P5256">
        <v>-0.98307840000000002</v>
      </c>
      <c r="Q5256">
        <v>0.17596579999999901</v>
      </c>
      <c r="R5256">
        <v>5.0921180000000003E-2</v>
      </c>
      <c r="S5256">
        <v>-3.0473940000000002</v>
      </c>
      <c r="T5256">
        <v>2.1814819999999999E-2</v>
      </c>
      <c r="U5256">
        <v>2.6702879999999998E-3</v>
      </c>
      <c r="V5256">
        <v>3.6244239999999997E-2</v>
      </c>
      <c r="W5256">
        <v>0.18605830000000001</v>
      </c>
      <c r="X5256">
        <v>0.98187000000000002</v>
      </c>
      <c r="Y5256">
        <v>-1.3963450000000001E-2</v>
      </c>
      <c r="Z5256">
        <v>2.367945E-4</v>
      </c>
      <c r="AA5256">
        <v>0.99990250000000003</v>
      </c>
      <c r="AB5256">
        <v>47</v>
      </c>
      <c r="AC5256">
        <v>-3.0473940000000002</v>
      </c>
      <c r="AD5256">
        <v>2.1814819999999999E-2</v>
      </c>
      <c r="AE5256">
        <v>2.6702879999999998E-3</v>
      </c>
      <c r="AF5256">
        <v>-4.2556333195588499E-2</v>
      </c>
      <c r="AG5256">
        <v>2.1814819999999999E-2</v>
      </c>
      <c r="AH5256">
        <v>3.0469418406970101</v>
      </c>
      <c r="AI5256">
        <v>89.589833367647302</v>
      </c>
      <c r="AJ5256">
        <v>90.800192415840201</v>
      </c>
      <c r="AK5256">
        <v>3.0473171000827501</v>
      </c>
      <c r="AL5256">
        <v>79.277160336012898</v>
      </c>
      <c r="AM5256">
        <v>87.885973153553707</v>
      </c>
      <c r="AN5256">
        <v>1.0000000164160301</v>
      </c>
    </row>
    <row r="5257" spans="1:40" x14ac:dyDescent="0.25">
      <c r="A5257" t="str">
        <f>"20190303170358092"</f>
        <v>20190303170358092</v>
      </c>
      <c r="B5257" t="str">
        <f>"1551603838080630"</f>
        <v>1551603838080630</v>
      </c>
      <c r="C5257" t="s">
        <v>40</v>
      </c>
      <c r="D5257">
        <v>3.658207</v>
      </c>
      <c r="E5257">
        <v>0.48499710000000001</v>
      </c>
      <c r="F5257" t="s">
        <v>48</v>
      </c>
      <c r="G5257">
        <v>0</v>
      </c>
      <c r="H5257">
        <v>0</v>
      </c>
      <c r="I5257">
        <v>0</v>
      </c>
      <c r="J5257">
        <v>-325.9624</v>
      </c>
      <c r="K5257">
        <v>1.1208720000000001</v>
      </c>
      <c r="L5257">
        <v>142.22669999999999</v>
      </c>
      <c r="M5257">
        <v>-0.99983889999999997</v>
      </c>
      <c r="N5257">
        <v>-1.031281E-2</v>
      </c>
      <c r="O5257">
        <v>1.4689199999999999E-2</v>
      </c>
      <c r="P5257">
        <v>-0.98298319999999995</v>
      </c>
      <c r="Q5257">
        <v>0.1763256</v>
      </c>
      <c r="R5257">
        <v>5.1512670000000003E-2</v>
      </c>
      <c r="S5257">
        <v>-3.0474549999999998</v>
      </c>
      <c r="T5257">
        <v>2.2093769999999999E-2</v>
      </c>
      <c r="U5257">
        <v>4.2419429999999998E-3</v>
      </c>
      <c r="V5257">
        <v>3.6986079999999998E-2</v>
      </c>
      <c r="W5257">
        <v>0.1864767</v>
      </c>
      <c r="X5257">
        <v>0.98176289999999999</v>
      </c>
      <c r="Y5257">
        <v>-1.329604E-2</v>
      </c>
      <c r="Z5257">
        <v>2.3761710000000001E-4</v>
      </c>
      <c r="AA5257">
        <v>0.99991149999999995</v>
      </c>
      <c r="AB5257">
        <v>47</v>
      </c>
      <c r="AC5257">
        <v>-3.0474549999999998</v>
      </c>
      <c r="AD5257">
        <v>2.2093769999999999E-2</v>
      </c>
      <c r="AE5257">
        <v>4.2419429999999998E-3</v>
      </c>
      <c r="AF5257">
        <v>-4.0523442454636002E-2</v>
      </c>
      <c r="AG5257">
        <v>2.2093769999999999E-2</v>
      </c>
      <c r="AH5257">
        <v>3.04702832762294</v>
      </c>
      <c r="AI5257">
        <v>89.584596687180905</v>
      </c>
      <c r="AJ5257">
        <v>90.761950694332597</v>
      </c>
      <c r="AK5257">
        <v>3.0473778750587899</v>
      </c>
      <c r="AL5257">
        <v>79.252760161893505</v>
      </c>
      <c r="AM5257">
        <v>87.842509026896494</v>
      </c>
      <c r="AN5257">
        <v>0.99999996078653197</v>
      </c>
    </row>
    <row r="5258" spans="1:40" x14ac:dyDescent="0.25">
      <c r="A5258" t="str">
        <f>"20190303170358115"</f>
        <v>20190303170358115</v>
      </c>
      <c r="B5258" t="str">
        <f>"1551603838110886"</f>
        <v>1551603838110886</v>
      </c>
      <c r="C5258" t="s">
        <v>40</v>
      </c>
      <c r="D5258">
        <v>3.6621890000000001</v>
      </c>
      <c r="E5258">
        <v>0.48492059999999998</v>
      </c>
      <c r="F5258" t="s">
        <v>48</v>
      </c>
      <c r="G5258">
        <v>0</v>
      </c>
      <c r="H5258">
        <v>0</v>
      </c>
      <c r="I5258">
        <v>0</v>
      </c>
      <c r="J5258">
        <v>-326.45339999999999</v>
      </c>
      <c r="K5258">
        <v>1.120878</v>
      </c>
      <c r="L5258">
        <v>142.23390000000001</v>
      </c>
      <c r="M5258">
        <v>-0.99984070000000003</v>
      </c>
      <c r="N5258">
        <v>-1.037623E-2</v>
      </c>
      <c r="O5258">
        <v>1.4530009999999999E-2</v>
      </c>
      <c r="P5258">
        <v>-0.98294579999999998</v>
      </c>
      <c r="Q5258">
        <v>0.176544799999999</v>
      </c>
      <c r="R5258">
        <v>5.1474190000000003E-2</v>
      </c>
      <c r="S5258">
        <v>-3.0474239999999999</v>
      </c>
      <c r="T5258">
        <v>2.3236039999999999E-2</v>
      </c>
      <c r="U5258">
        <v>6.3323969999999896E-3</v>
      </c>
      <c r="V5258">
        <v>3.7104430000000001E-2</v>
      </c>
      <c r="W5258">
        <v>0.18675729999999999</v>
      </c>
      <c r="X5258">
        <v>0.9817051</v>
      </c>
      <c r="Y5258">
        <v>-1.245081E-2</v>
      </c>
      <c r="Z5258">
        <v>2.4442259999999999E-4</v>
      </c>
      <c r="AA5258">
        <v>0.99992250000000005</v>
      </c>
      <c r="AB5258">
        <v>47</v>
      </c>
      <c r="AC5258">
        <v>-3.0474239999999999</v>
      </c>
      <c r="AD5258">
        <v>2.3236039999999999E-2</v>
      </c>
      <c r="AE5258">
        <v>6.3323969999999896E-3</v>
      </c>
      <c r="AF5258">
        <v>-3.7947545738778198E-2</v>
      </c>
      <c r="AG5258">
        <v>2.3236039999999999E-2</v>
      </c>
      <c r="AH5258">
        <v>3.0470171292348902</v>
      </c>
      <c r="AI5258">
        <v>89.563114372438704</v>
      </c>
      <c r="AJ5258">
        <v>90.713524644775404</v>
      </c>
      <c r="AK5258">
        <v>3.04734200831368</v>
      </c>
      <c r="AL5258">
        <v>79.236395535334793</v>
      </c>
      <c r="AM5258">
        <v>87.835484617608799</v>
      </c>
      <c r="AN5258">
        <v>0.99999996559746196</v>
      </c>
    </row>
    <row r="5259" spans="1:40" x14ac:dyDescent="0.25">
      <c r="A5259" t="str">
        <f>"20190303170358138"</f>
        <v>20190303170358138</v>
      </c>
      <c r="B5259" t="str">
        <f>"1551603838131382"</f>
        <v>1551603838131382</v>
      </c>
      <c r="C5259" t="s">
        <v>40</v>
      </c>
      <c r="D5259">
        <v>3.6768230000000002</v>
      </c>
      <c r="E5259">
        <v>0.48484539999999998</v>
      </c>
      <c r="F5259" t="s">
        <v>48</v>
      </c>
      <c r="G5259">
        <v>0</v>
      </c>
      <c r="H5259">
        <v>0</v>
      </c>
      <c r="I5259">
        <v>0</v>
      </c>
      <c r="J5259">
        <v>-326.92320000000001</v>
      </c>
      <c r="K5259">
        <v>1.120876</v>
      </c>
      <c r="L5259">
        <v>142.2406</v>
      </c>
      <c r="M5259">
        <v>-0.99984220000000001</v>
      </c>
      <c r="N5259">
        <v>-1.0437760000000001E-2</v>
      </c>
      <c r="O5259">
        <v>1.4377859999999999E-2</v>
      </c>
      <c r="P5259">
        <v>-0.98286180000000001</v>
      </c>
      <c r="Q5259">
        <v>0.17692260000000001</v>
      </c>
      <c r="R5259">
        <v>5.177996E-2</v>
      </c>
      <c r="S5259">
        <v>-3.0475159999999999</v>
      </c>
      <c r="T5259">
        <v>2.3175950000000001E-2</v>
      </c>
      <c r="U5259">
        <v>6.286621E-3</v>
      </c>
      <c r="V5259">
        <v>3.7560679999999999E-2</v>
      </c>
      <c r="W5259">
        <v>0.18719479999999999</v>
      </c>
      <c r="X5259">
        <v>0.98160449999999999</v>
      </c>
      <c r="Y5259">
        <v>-1.231376E-2</v>
      </c>
      <c r="Z5259">
        <v>2.4196880000000001E-4</v>
      </c>
      <c r="AA5259">
        <v>0.99992420000000004</v>
      </c>
      <c r="AB5259">
        <v>47</v>
      </c>
      <c r="AC5259">
        <v>-3.0475159999999999</v>
      </c>
      <c r="AD5259">
        <v>2.3175950000000001E-2</v>
      </c>
      <c r="AE5259">
        <v>6.286621E-3</v>
      </c>
      <c r="AF5259">
        <v>-3.7531001707031997E-2</v>
      </c>
      <c r="AG5259">
        <v>2.3175950000000001E-2</v>
      </c>
      <c r="AH5259">
        <v>3.04711512083778</v>
      </c>
      <c r="AI5259">
        <v>89.5642574182163</v>
      </c>
      <c r="AJ5259">
        <v>90.705670505424493</v>
      </c>
      <c r="AK5259">
        <v>3.0474343734337799</v>
      </c>
      <c r="AL5259">
        <v>79.210879505761</v>
      </c>
      <c r="AM5259">
        <v>87.808670371338394</v>
      </c>
      <c r="AN5259">
        <v>1.0000000461246701</v>
      </c>
    </row>
    <row r="5260" spans="1:40" x14ac:dyDescent="0.25">
      <c r="A5260" t="str">
        <f>"20190303170358160"</f>
        <v>20190303170358160</v>
      </c>
      <c r="B5260" t="str">
        <f>"1551603838150902"</f>
        <v>1551603838150902</v>
      </c>
      <c r="C5260" t="s">
        <v>40</v>
      </c>
      <c r="D5260">
        <v>3.6439499999999998</v>
      </c>
      <c r="E5260">
        <v>0.4848498</v>
      </c>
      <c r="F5260" t="s">
        <v>48</v>
      </c>
      <c r="G5260">
        <v>0</v>
      </c>
      <c r="H5260">
        <v>0</v>
      </c>
      <c r="I5260">
        <v>0</v>
      </c>
      <c r="J5260">
        <v>-327.40249999999997</v>
      </c>
      <c r="K5260">
        <v>1.1208849999999999</v>
      </c>
      <c r="L5260">
        <v>142.2474</v>
      </c>
      <c r="M5260">
        <v>-0.9998437</v>
      </c>
      <c r="N5260">
        <v>-1.050565E-2</v>
      </c>
      <c r="O5260">
        <v>1.422287E-2</v>
      </c>
      <c r="P5260">
        <v>-0.98288430000000004</v>
      </c>
      <c r="Q5260">
        <v>0.17668010000000001</v>
      </c>
      <c r="R5260">
        <v>5.2178009999999997E-2</v>
      </c>
      <c r="S5260">
        <v>-3.0476679999999998</v>
      </c>
      <c r="T5260">
        <v>2.401114E-2</v>
      </c>
      <c r="U5260">
        <v>5.432129E-3</v>
      </c>
      <c r="V5260">
        <v>3.8110890000000001E-2</v>
      </c>
      <c r="W5260">
        <v>0.18701960000000001</v>
      </c>
      <c r="X5260">
        <v>0.98161659999999995</v>
      </c>
      <c r="Y5260">
        <v>-1.2439159999999999E-2</v>
      </c>
      <c r="Z5260">
        <v>2.4513170000000002E-4</v>
      </c>
      <c r="AA5260">
        <v>0.99992259999999999</v>
      </c>
      <c r="AB5260">
        <v>47</v>
      </c>
      <c r="AC5260">
        <v>-3.0476679999999998</v>
      </c>
      <c r="AD5260">
        <v>2.401114E-2</v>
      </c>
      <c r="AE5260">
        <v>5.432129E-3</v>
      </c>
      <c r="AF5260">
        <v>-3.79150433115008E-2</v>
      </c>
      <c r="AG5260">
        <v>2.401114E-2</v>
      </c>
      <c r="AH5260">
        <v>3.0472478129291298</v>
      </c>
      <c r="AI5260">
        <v>89.548575592024207</v>
      </c>
      <c r="AJ5260">
        <v>90.712859603724198</v>
      </c>
      <c r="AK5260">
        <v>3.04757827114494</v>
      </c>
      <c r="AL5260">
        <v>79.221097254175305</v>
      </c>
      <c r="AM5260">
        <v>87.776629903584904</v>
      </c>
      <c r="AN5260">
        <v>0.99999996005815495</v>
      </c>
    </row>
    <row r="5261" spans="1:40" x14ac:dyDescent="0.25">
      <c r="A5261" t="str">
        <f>"20190303170358180"</f>
        <v>20190303170358180</v>
      </c>
      <c r="B5261" t="str">
        <f>"1551603838171069"</f>
        <v>1551603838171069</v>
      </c>
      <c r="C5261" t="s">
        <v>40</v>
      </c>
      <c r="D5261">
        <v>3.7052809999999998</v>
      </c>
      <c r="E5261">
        <v>0.48474689999999998</v>
      </c>
      <c r="F5261" t="s">
        <v>48</v>
      </c>
      <c r="G5261">
        <v>0</v>
      </c>
      <c r="H5261">
        <v>0</v>
      </c>
      <c r="I5261">
        <v>0</v>
      </c>
      <c r="J5261">
        <v>-327.84010000000001</v>
      </c>
      <c r="K5261">
        <v>1.120895</v>
      </c>
      <c r="L5261">
        <v>142.2535</v>
      </c>
      <c r="M5261">
        <v>-0.99984479999999998</v>
      </c>
      <c r="N5261">
        <v>-1.058714E-2</v>
      </c>
      <c r="O5261">
        <v>1.4080260000000001E-2</v>
      </c>
      <c r="P5261">
        <v>-0.9829253</v>
      </c>
      <c r="Q5261">
        <v>0.17636499999999999</v>
      </c>
      <c r="R5261">
        <v>5.2476149999999999E-2</v>
      </c>
      <c r="S5261">
        <v>-3.0477599999999998</v>
      </c>
      <c r="T5261">
        <v>2.3429869999999998E-2</v>
      </c>
      <c r="U5261">
        <v>6.2408450000000001E-3</v>
      </c>
      <c r="V5261">
        <v>3.8548659999999998E-2</v>
      </c>
      <c r="W5261">
        <v>0.18678539999999999</v>
      </c>
      <c r="X5261">
        <v>0.98164419999999997</v>
      </c>
      <c r="Y5261">
        <v>-1.203132E-2</v>
      </c>
      <c r="Z5261">
        <v>2.398658E-4</v>
      </c>
      <c r="AA5261">
        <v>0.99992760000000003</v>
      </c>
      <c r="AB5261">
        <v>47</v>
      </c>
      <c r="AC5261">
        <v>-3.0477599999999998</v>
      </c>
      <c r="AD5261">
        <v>2.3429869999999998E-2</v>
      </c>
      <c r="AE5261">
        <v>6.2408450000000001E-3</v>
      </c>
      <c r="AF5261">
        <v>-3.6673265584600802E-2</v>
      </c>
      <c r="AG5261">
        <v>2.3429869999999998E-2</v>
      </c>
      <c r="AH5261">
        <v>3.0473656191933198</v>
      </c>
      <c r="AI5261">
        <v>89.559518223950406</v>
      </c>
      <c r="AJ5261">
        <v>90.689487961820006</v>
      </c>
      <c r="AK5261">
        <v>3.04767634506329</v>
      </c>
      <c r="AL5261">
        <v>79.234757715384703</v>
      </c>
      <c r="AM5261">
        <v>87.751179861256603</v>
      </c>
      <c r="AN5261">
        <v>1.00000006011729</v>
      </c>
    </row>
    <row r="5262" spans="1:40" x14ac:dyDescent="0.25">
      <c r="A5262" t="str">
        <f>"20190303170358196"</f>
        <v>20190303170358196</v>
      </c>
      <c r="B5262" t="str">
        <f>"1551603838190588"</f>
        <v>1551603838190588</v>
      </c>
      <c r="C5262" t="s">
        <v>40</v>
      </c>
      <c r="D5262">
        <v>3.704275</v>
      </c>
      <c r="E5262">
        <v>0.48461389999999999</v>
      </c>
      <c r="F5262" t="s">
        <v>48</v>
      </c>
      <c r="G5262">
        <v>0</v>
      </c>
      <c r="H5262">
        <v>0</v>
      </c>
      <c r="I5262">
        <v>0</v>
      </c>
      <c r="J5262">
        <v>-328.1782</v>
      </c>
      <c r="K5262">
        <v>1.1209150000000001</v>
      </c>
      <c r="L5262">
        <v>142.25819999999999</v>
      </c>
      <c r="M5262">
        <v>-0.99984519999999999</v>
      </c>
      <c r="N5262">
        <v>-1.0697150000000001E-2</v>
      </c>
      <c r="O5262">
        <v>1.3968339999999999E-2</v>
      </c>
      <c r="P5262">
        <v>-0.98302619999999996</v>
      </c>
      <c r="Q5262">
        <v>0.1758352</v>
      </c>
      <c r="R5262">
        <v>5.2359349999999999E-2</v>
      </c>
      <c r="S5262">
        <v>-3.047882</v>
      </c>
      <c r="T5262">
        <v>2.1633980000000001E-2</v>
      </c>
      <c r="U5262">
        <v>5.9814450000000002E-3</v>
      </c>
      <c r="V5262">
        <v>3.8539839999999999E-2</v>
      </c>
      <c r="W5262">
        <v>0.18636469999999999</v>
      </c>
      <c r="X5262">
        <v>0.98172440000000005</v>
      </c>
      <c r="Y5262">
        <v>-1.200476E-2</v>
      </c>
      <c r="Z5262">
        <v>2.269634E-4</v>
      </c>
      <c r="AA5262">
        <v>0.99992789999999998</v>
      </c>
      <c r="AB5262">
        <v>47</v>
      </c>
      <c r="AC5262">
        <v>-3.047882</v>
      </c>
      <c r="AD5262">
        <v>2.1633980000000001E-2</v>
      </c>
      <c r="AE5262">
        <v>5.9814450000000002E-3</v>
      </c>
      <c r="AF5262">
        <v>-3.6593583771824603E-2</v>
      </c>
      <c r="AG5262">
        <v>2.1633980000000001E-2</v>
      </c>
      <c r="AH5262">
        <v>3.0475146243766602</v>
      </c>
      <c r="AI5262">
        <v>89.593299546374396</v>
      </c>
      <c r="AJ5262">
        <v>90.687956386122806</v>
      </c>
      <c r="AK5262">
        <v>3.04781110065134</v>
      </c>
      <c r="AL5262">
        <v>79.259291770637304</v>
      </c>
      <c r="AM5262">
        <v>87.751877349486804</v>
      </c>
      <c r="AN5262">
        <v>0.99999995911433703</v>
      </c>
    </row>
    <row r="5263" spans="1:40" x14ac:dyDescent="0.25">
      <c r="A5263" t="str">
        <f>"20190303170358215"</f>
        <v>20190303170358215</v>
      </c>
      <c r="B5263" t="str">
        <f>"1551603838211084"</f>
        <v>1551603838211084</v>
      </c>
      <c r="C5263" t="s">
        <v>40</v>
      </c>
      <c r="D5263">
        <v>3.7340089999999999</v>
      </c>
      <c r="E5263">
        <v>0.48458370000000001</v>
      </c>
      <c r="F5263" t="s">
        <v>48</v>
      </c>
      <c r="G5263">
        <v>0</v>
      </c>
      <c r="H5263">
        <v>0</v>
      </c>
      <c r="I5263">
        <v>0</v>
      </c>
      <c r="J5263">
        <v>-328.5829</v>
      </c>
      <c r="K5263">
        <v>1.120968</v>
      </c>
      <c r="L5263">
        <v>142.2638</v>
      </c>
      <c r="M5263">
        <v>-0.99984439999999997</v>
      </c>
      <c r="N5263">
        <v>-1.0953589999999999E-2</v>
      </c>
      <c r="O5263">
        <v>1.383272E-2</v>
      </c>
      <c r="P5263">
        <v>-0.9832592</v>
      </c>
      <c r="Q5263">
        <v>0.17444289999999901</v>
      </c>
      <c r="R5263">
        <v>5.2639810000000002E-2</v>
      </c>
      <c r="S5263">
        <v>-3.0481569999999998</v>
      </c>
      <c r="T5263">
        <v>1.9061089999999999E-2</v>
      </c>
      <c r="U5263">
        <v>4.333496E-3</v>
      </c>
      <c r="V5263">
        <v>3.8949350000000001E-2</v>
      </c>
      <c r="W5263">
        <v>0.18522710000000001</v>
      </c>
      <c r="X5263">
        <v>0.98192360000000001</v>
      </c>
      <c r="Y5263">
        <v>-1.241013E-2</v>
      </c>
      <c r="Z5263">
        <v>2.0885209999999999E-4</v>
      </c>
      <c r="AA5263">
        <v>0.99992300000000001</v>
      </c>
      <c r="AB5263">
        <v>47</v>
      </c>
      <c r="AC5263">
        <v>-3.0481569999999998</v>
      </c>
      <c r="AD5263">
        <v>1.9061089999999999E-2</v>
      </c>
      <c r="AE5263">
        <v>4.333496E-3</v>
      </c>
      <c r="AF5263">
        <v>-3.7832268108339499E-2</v>
      </c>
      <c r="AG5263">
        <v>1.9061089999999999E-2</v>
      </c>
      <c r="AH5263">
        <v>3.0478060941671501</v>
      </c>
      <c r="AI5263">
        <v>89.641702387496593</v>
      </c>
      <c r="AJ5263">
        <v>90.711173186520796</v>
      </c>
      <c r="AK5263">
        <v>3.0481004893711501</v>
      </c>
      <c r="AL5263">
        <v>79.3256273614343</v>
      </c>
      <c r="AM5263">
        <v>87.728474964539799</v>
      </c>
      <c r="AN5263">
        <v>1.00000004333839</v>
      </c>
    </row>
    <row r="5264" spans="1:40" x14ac:dyDescent="0.25">
      <c r="A5264" t="str">
        <f>"20190303170358228"</f>
        <v>20190303170358228</v>
      </c>
      <c r="B5264" t="str">
        <f>"1551603838220845"</f>
        <v>1551603838220845</v>
      </c>
      <c r="C5264" t="s">
        <v>40</v>
      </c>
      <c r="D5264">
        <v>3.678769</v>
      </c>
      <c r="E5264">
        <v>0.48454839999999999</v>
      </c>
      <c r="F5264" t="s">
        <v>48</v>
      </c>
      <c r="G5264">
        <v>0</v>
      </c>
      <c r="H5264">
        <v>0</v>
      </c>
      <c r="I5264">
        <v>0</v>
      </c>
      <c r="J5264">
        <v>-328.87520000000001</v>
      </c>
      <c r="K5264">
        <v>1.120976</v>
      </c>
      <c r="L5264">
        <v>142.26779999999999</v>
      </c>
      <c r="M5264">
        <v>-0.99984479999999998</v>
      </c>
      <c r="N5264">
        <v>-1.1042079999999999E-2</v>
      </c>
      <c r="O5264">
        <v>1.3728489999999999E-2</v>
      </c>
      <c r="P5264">
        <v>-0.98337019999999997</v>
      </c>
      <c r="Q5264">
        <v>0.1736779</v>
      </c>
      <c r="R5264">
        <v>5.3097030000000003E-2</v>
      </c>
      <c r="S5264">
        <v>-3.0482179999999999</v>
      </c>
      <c r="T5264">
        <v>1.4367100000000001E-2</v>
      </c>
      <c r="U5264">
        <v>5.065918E-3</v>
      </c>
      <c r="V5264">
        <v>3.9505770000000003E-2</v>
      </c>
      <c r="W5264">
        <v>0.18455089999999999</v>
      </c>
      <c r="X5264">
        <v>0.98202869999999998</v>
      </c>
      <c r="Y5264">
        <v>-1.206601E-2</v>
      </c>
      <c r="Z5264">
        <v>1.7811739999999999E-4</v>
      </c>
      <c r="AA5264">
        <v>0.99992720000000002</v>
      </c>
      <c r="AB5264">
        <v>47</v>
      </c>
      <c r="AC5264">
        <v>-3.0482179999999999</v>
      </c>
      <c r="AD5264">
        <v>1.4367100000000001E-2</v>
      </c>
      <c r="AE5264">
        <v>5.065918E-3</v>
      </c>
      <c r="AF5264">
        <v>-3.6783723581787803E-2</v>
      </c>
      <c r="AG5264">
        <v>1.4367100000000001E-2</v>
      </c>
      <c r="AH5264">
        <v>3.0479325424555901</v>
      </c>
      <c r="AI5264">
        <v>89.7299454147078</v>
      </c>
      <c r="AJ5264">
        <v>90.691435842576396</v>
      </c>
      <c r="AK5264">
        <v>3.0481883536361001</v>
      </c>
      <c r="AL5264">
        <v>79.365050559516106</v>
      </c>
      <c r="AM5264">
        <v>87.696305598365598</v>
      </c>
      <c r="AN5264">
        <v>1.00000005408889</v>
      </c>
    </row>
    <row r="5265" spans="1:40" x14ac:dyDescent="0.25">
      <c r="A5265" t="str">
        <f>"20190303170358258"</f>
        <v>20190303170358258</v>
      </c>
      <c r="B5265" t="str">
        <f>"1551603838251101"</f>
        <v>1551603838251101</v>
      </c>
      <c r="C5265" t="s">
        <v>40</v>
      </c>
      <c r="D5265">
        <v>3.7206990000000002</v>
      </c>
      <c r="E5265">
        <v>0.48451939999999999</v>
      </c>
      <c r="F5265" t="s">
        <v>48</v>
      </c>
      <c r="G5265">
        <v>0</v>
      </c>
      <c r="H5265">
        <v>0</v>
      </c>
      <c r="I5265">
        <v>0</v>
      </c>
      <c r="J5265">
        <v>-329.50020000000001</v>
      </c>
      <c r="K5265">
        <v>1.1210089999999999</v>
      </c>
      <c r="L5265">
        <v>142.27619999999999</v>
      </c>
      <c r="M5265">
        <v>-0.99984649999999997</v>
      </c>
      <c r="N5265">
        <v>-1.1184299999999999E-2</v>
      </c>
      <c r="O5265">
        <v>1.348398E-2</v>
      </c>
      <c r="P5265">
        <v>-0.98326800000000003</v>
      </c>
      <c r="Q5265">
        <v>0.17430509999999999</v>
      </c>
      <c r="R5265">
        <v>5.2935000000000003E-2</v>
      </c>
      <c r="S5265">
        <v>-3.048279</v>
      </c>
      <c r="T5265">
        <v>1.183796E-2</v>
      </c>
      <c r="U5265">
        <v>6.1645509999999999E-3</v>
      </c>
      <c r="V5265">
        <v>3.9577220000000003E-2</v>
      </c>
      <c r="W5265">
        <v>0.1853185</v>
      </c>
      <c r="X5265">
        <v>0.98188120000000001</v>
      </c>
      <c r="Y5265">
        <v>-1.1461310000000001E-2</v>
      </c>
      <c r="Z5265">
        <v>1.6133839999999999E-4</v>
      </c>
      <c r="AA5265">
        <v>0.99993430000000005</v>
      </c>
      <c r="AB5265">
        <v>47</v>
      </c>
      <c r="AC5265">
        <v>-3.048279</v>
      </c>
      <c r="AD5265">
        <v>1.183796E-2</v>
      </c>
      <c r="AE5265">
        <v>6.1645509999999999E-3</v>
      </c>
      <c r="AF5265">
        <v>-3.4940988055011203E-2</v>
      </c>
      <c r="AG5265">
        <v>1.183796E-2</v>
      </c>
      <c r="AH5265">
        <v>3.0480389962449799</v>
      </c>
      <c r="AI5265">
        <v>89.777490650158001</v>
      </c>
      <c r="AJ5265">
        <v>90.656777509656393</v>
      </c>
      <c r="AK5265">
        <v>3.0482622479985801</v>
      </c>
      <c r="AL5265">
        <v>79.320297763137305</v>
      </c>
      <c r="AM5265">
        <v>87.691797330171596</v>
      </c>
      <c r="AN5265">
        <v>0.99999999684930896</v>
      </c>
    </row>
    <row r="5266" spans="1:40" x14ac:dyDescent="0.25">
      <c r="A5266" t="str">
        <f>"20190303170358281"</f>
        <v>20190303170358281</v>
      </c>
      <c r="B5266" t="str">
        <f>"1551603838270620"</f>
        <v>1551603838270620</v>
      </c>
      <c r="C5266" t="s">
        <v>40</v>
      </c>
      <c r="D5266">
        <v>3.7227109999999999</v>
      </c>
      <c r="E5266">
        <v>0.48447509999999999</v>
      </c>
      <c r="F5266" t="s">
        <v>48</v>
      </c>
      <c r="G5266">
        <v>0</v>
      </c>
      <c r="H5266">
        <v>0</v>
      </c>
      <c r="I5266">
        <v>0</v>
      </c>
      <c r="J5266">
        <v>-329.96809999999999</v>
      </c>
      <c r="K5266">
        <v>1.1210580000000001</v>
      </c>
      <c r="L5266">
        <v>142.28229999999999</v>
      </c>
      <c r="M5266">
        <v>-0.99984790000000001</v>
      </c>
      <c r="N5266">
        <v>-1.133814E-2</v>
      </c>
      <c r="O5266">
        <v>1.32558E-2</v>
      </c>
      <c r="P5266">
        <v>-0.98322169999999998</v>
      </c>
      <c r="Q5266">
        <v>0.17467170000000001</v>
      </c>
      <c r="R5266">
        <v>5.2581879999999998E-2</v>
      </c>
      <c r="S5266">
        <v>-3.0484309999999999</v>
      </c>
      <c r="T5266">
        <v>1.289392E-2</v>
      </c>
      <c r="U5266">
        <v>5.6610109999999996E-3</v>
      </c>
      <c r="V5266">
        <v>3.9437800000000002E-2</v>
      </c>
      <c r="W5266">
        <v>0.18583759999999999</v>
      </c>
      <c r="X5266">
        <v>0.98178869999999896</v>
      </c>
      <c r="Y5266">
        <v>-1.139834E-2</v>
      </c>
      <c r="Z5266">
        <v>1.658543E-4</v>
      </c>
      <c r="AA5266">
        <v>0.99993500000000002</v>
      </c>
      <c r="AB5266">
        <v>47</v>
      </c>
      <c r="AC5266">
        <v>-3.0484309999999999</v>
      </c>
      <c r="AD5266">
        <v>1.289392E-2</v>
      </c>
      <c r="AE5266">
        <v>5.6610109999999996E-3</v>
      </c>
      <c r="AF5266">
        <v>-3.4750852158982402E-2</v>
      </c>
      <c r="AG5266">
        <v>1.289392E-2</v>
      </c>
      <c r="AH5266">
        <v>3.0481836377845601</v>
      </c>
      <c r="AI5266">
        <v>89.757654106494996</v>
      </c>
      <c r="AJ5266">
        <v>90.653172887630006</v>
      </c>
      <c r="AK5266">
        <v>3.0484089890558099</v>
      </c>
      <c r="AL5266">
        <v>79.290029815597705</v>
      </c>
      <c r="AM5266">
        <v>87.699703293605197</v>
      </c>
      <c r="AN5266">
        <v>1.0000000025451401</v>
      </c>
    </row>
    <row r="5267" spans="1:40" x14ac:dyDescent="0.25">
      <c r="A5267" t="str">
        <f>"20190303170358303"</f>
        <v>20190303170358303</v>
      </c>
      <c r="B5267" t="str">
        <f>"1551603838291117"</f>
        <v>1551603838291117</v>
      </c>
      <c r="C5267" t="s">
        <v>40</v>
      </c>
      <c r="D5267">
        <v>3.7494610000000002</v>
      </c>
      <c r="E5267">
        <v>0.48442269999999998</v>
      </c>
      <c r="F5267" t="s">
        <v>48</v>
      </c>
      <c r="G5267">
        <v>0</v>
      </c>
      <c r="H5267">
        <v>0</v>
      </c>
      <c r="I5267">
        <v>0</v>
      </c>
      <c r="J5267">
        <v>-330.44529999999997</v>
      </c>
      <c r="K5267">
        <v>1.1211260000000001</v>
      </c>
      <c r="L5267">
        <v>142.2884</v>
      </c>
      <c r="M5267">
        <v>-0.99984919999999999</v>
      </c>
      <c r="N5267">
        <v>-1.1546819999999999E-2</v>
      </c>
      <c r="O5267">
        <v>1.297483E-2</v>
      </c>
      <c r="P5267">
        <v>-0.98325640000000003</v>
      </c>
      <c r="Q5267">
        <v>0.17464170000000001</v>
      </c>
      <c r="R5267">
        <v>5.2030130000000001E-2</v>
      </c>
      <c r="S5267">
        <v>-3.0484619999999998</v>
      </c>
      <c r="T5267">
        <v>1.3927699999999999E-2</v>
      </c>
      <c r="U5267">
        <v>3.5552980000000001E-3</v>
      </c>
      <c r="V5267">
        <v>3.9145819999999998E-2</v>
      </c>
      <c r="W5267">
        <v>0.18601609999999999</v>
      </c>
      <c r="X5267">
        <v>0.98176660000000004</v>
      </c>
      <c r="Y5267">
        <v>-1.1808030000000001E-2</v>
      </c>
      <c r="Z5267">
        <v>1.6790039999999999E-4</v>
      </c>
      <c r="AA5267">
        <v>0.99993030000000005</v>
      </c>
      <c r="AB5267">
        <v>47</v>
      </c>
      <c r="AC5267">
        <v>-3.0484619999999998</v>
      </c>
      <c r="AD5267">
        <v>1.3927699999999999E-2</v>
      </c>
      <c r="AE5267">
        <v>3.5552980000000001E-3</v>
      </c>
      <c r="AF5267">
        <v>-3.6000161198171697E-2</v>
      </c>
      <c r="AG5267">
        <v>1.3927699999999999E-2</v>
      </c>
      <c r="AH5267">
        <v>3.0481878623985499</v>
      </c>
      <c r="AI5267">
        <v>89.738225705273294</v>
      </c>
      <c r="AJ5267">
        <v>90.676651668724602</v>
      </c>
      <c r="AK5267">
        <v>3.0484322588680599</v>
      </c>
      <c r="AL5267">
        <v>79.279621224839701</v>
      </c>
      <c r="AM5267">
        <v>87.716664236151104</v>
      </c>
      <c r="AN5267">
        <v>1.00000002077912</v>
      </c>
    </row>
    <row r="5268" spans="1:40" x14ac:dyDescent="0.25">
      <c r="A5268" t="str">
        <f>"20190303170358328"</f>
        <v>20190303170358328</v>
      </c>
      <c r="B5268" t="str">
        <f>"1551603838321373"</f>
        <v>1551603838321373</v>
      </c>
      <c r="C5268" t="s">
        <v>40</v>
      </c>
      <c r="D5268">
        <v>3.7135449999999999</v>
      </c>
      <c r="E5268">
        <v>0.4844154</v>
      </c>
      <c r="F5268" t="s">
        <v>48</v>
      </c>
      <c r="G5268">
        <v>0</v>
      </c>
      <c r="H5268">
        <v>0</v>
      </c>
      <c r="I5268">
        <v>0</v>
      </c>
      <c r="J5268">
        <v>-330.94290000000001</v>
      </c>
      <c r="K5268">
        <v>1.1212169999999999</v>
      </c>
      <c r="L5268">
        <v>142.2946</v>
      </c>
      <c r="M5268">
        <v>-0.99985089999999999</v>
      </c>
      <c r="N5268">
        <v>-1.1780779999999999E-2</v>
      </c>
      <c r="O5268">
        <v>1.262068E-2</v>
      </c>
      <c r="P5268">
        <v>-0.98333610000000005</v>
      </c>
      <c r="Q5268">
        <v>0.17445929999999901</v>
      </c>
      <c r="R5268">
        <v>5.1127480000000003E-2</v>
      </c>
      <c r="S5268">
        <v>-3.048645</v>
      </c>
      <c r="T5268">
        <v>1.3616319999999999E-2</v>
      </c>
      <c r="U5268">
        <v>4.577637E-4</v>
      </c>
      <c r="V5268">
        <v>3.8566999999999997E-2</v>
      </c>
      <c r="W5268">
        <v>0.1860687</v>
      </c>
      <c r="X5268">
        <v>0.98177950000000003</v>
      </c>
      <c r="Y5268">
        <v>-1.246996E-2</v>
      </c>
      <c r="Z5268">
        <v>1.5944660000000001E-4</v>
      </c>
      <c r="AA5268">
        <v>0.99992219999999998</v>
      </c>
      <c r="AB5268">
        <v>47</v>
      </c>
      <c r="AC5268">
        <v>-3.048645</v>
      </c>
      <c r="AD5268">
        <v>1.3616319999999999E-2</v>
      </c>
      <c r="AE5268">
        <v>4.577637E-4</v>
      </c>
      <c r="AF5268">
        <v>-3.8020159666137303E-2</v>
      </c>
      <c r="AG5268">
        <v>1.3616319999999999E-2</v>
      </c>
      <c r="AH5268">
        <v>3.0483471284921002</v>
      </c>
      <c r="AI5268">
        <v>89.744093512145</v>
      </c>
      <c r="AJ5268">
        <v>90.714577981672093</v>
      </c>
      <c r="AK5268">
        <v>3.04861462840049</v>
      </c>
      <c r="AL5268">
        <v>79.276553481168605</v>
      </c>
      <c r="AM5268">
        <v>87.750420797447305</v>
      </c>
      <c r="AN5268">
        <v>0.99999998061446904</v>
      </c>
    </row>
    <row r="5269" spans="1:40" x14ac:dyDescent="0.25">
      <c r="A5269" t="str">
        <f>"20190303170358348"</f>
        <v>20190303170358348</v>
      </c>
      <c r="B5269" t="str">
        <f>"1551603838340892"</f>
        <v>1551603838340892</v>
      </c>
      <c r="C5269" t="s">
        <v>40</v>
      </c>
      <c r="D5269">
        <v>3.7254589999999999</v>
      </c>
      <c r="E5269">
        <v>0.48438439999999999</v>
      </c>
      <c r="F5269" t="s">
        <v>48</v>
      </c>
      <c r="G5269">
        <v>0</v>
      </c>
      <c r="H5269">
        <v>0</v>
      </c>
      <c r="I5269">
        <v>0</v>
      </c>
      <c r="J5269">
        <v>-331.39949999999999</v>
      </c>
      <c r="K5269">
        <v>1.121305</v>
      </c>
      <c r="L5269">
        <v>142.30000000000001</v>
      </c>
      <c r="M5269">
        <v>-0.99985360000000001</v>
      </c>
      <c r="N5269">
        <v>-1.1986109999999999E-2</v>
      </c>
      <c r="O5269">
        <v>1.2223059999999999E-2</v>
      </c>
      <c r="P5269">
        <v>-0.9832997</v>
      </c>
      <c r="Q5269">
        <v>0.17469660000000001</v>
      </c>
      <c r="R5269">
        <v>5.10204E-2</v>
      </c>
      <c r="S5269">
        <v>-3.0486759999999999</v>
      </c>
      <c r="T5269">
        <v>1.2619969999999999E-2</v>
      </c>
      <c r="U5269">
        <v>-2.212524E-3</v>
      </c>
      <c r="V5269">
        <v>3.8823299999999998E-2</v>
      </c>
      <c r="W5269">
        <v>0.18651280000000001</v>
      </c>
      <c r="X5269">
        <v>0.98168520000000004</v>
      </c>
      <c r="Y5269">
        <v>-1.294823E-2</v>
      </c>
      <c r="Z5269">
        <v>1.4630620000000001E-4</v>
      </c>
      <c r="AA5269">
        <v>0.99991609999999997</v>
      </c>
      <c r="AB5269">
        <v>47</v>
      </c>
      <c r="AC5269">
        <v>-3.0486759999999999</v>
      </c>
      <c r="AD5269">
        <v>1.2619969999999999E-2</v>
      </c>
      <c r="AE5269">
        <v>-2.212524E-3</v>
      </c>
      <c r="AF5269">
        <v>-3.9478503548178299E-2</v>
      </c>
      <c r="AG5269">
        <v>1.2619969999999999E-2</v>
      </c>
      <c r="AH5269">
        <v>3.0483689371362801</v>
      </c>
      <c r="AI5269">
        <v>89.762821930549407</v>
      </c>
      <c r="AJ5269">
        <v>90.741978820664698</v>
      </c>
      <c r="AK5269">
        <v>3.0486506839555401</v>
      </c>
      <c r="AL5269">
        <v>79.250655846518498</v>
      </c>
      <c r="AM5269">
        <v>87.735269255050795</v>
      </c>
      <c r="AN5269">
        <v>1.00000005254288</v>
      </c>
    </row>
    <row r="5270" spans="1:40" x14ac:dyDescent="0.25">
      <c r="A5270" t="str">
        <f>"20190303170358371"</f>
        <v>20190303170358371</v>
      </c>
      <c r="B5270" t="str">
        <f>"1551603838361389"</f>
        <v>1551603838361389</v>
      </c>
      <c r="C5270" t="s">
        <v>40</v>
      </c>
      <c r="D5270">
        <v>3.754419</v>
      </c>
      <c r="E5270">
        <v>0.48436279999999998</v>
      </c>
      <c r="F5270" t="s">
        <v>48</v>
      </c>
      <c r="G5270">
        <v>0</v>
      </c>
      <c r="H5270">
        <v>0</v>
      </c>
      <c r="I5270">
        <v>0</v>
      </c>
      <c r="J5270">
        <v>-331.86</v>
      </c>
      <c r="K5270">
        <v>1.121416</v>
      </c>
      <c r="L5270">
        <v>142.30529999999999</v>
      </c>
      <c r="M5270">
        <v>-0.999857</v>
      </c>
      <c r="N5270">
        <v>-1.217596E-2</v>
      </c>
      <c r="O5270">
        <v>1.173653E-2</v>
      </c>
      <c r="P5270">
        <v>-0.98311159999999997</v>
      </c>
      <c r="Q5270">
        <v>0.17567949999999999</v>
      </c>
      <c r="R5270">
        <v>5.1267109999999998E-2</v>
      </c>
      <c r="S5270">
        <v>-3.0488590000000002</v>
      </c>
      <c r="T5270">
        <v>1.256263E-2</v>
      </c>
      <c r="U5270">
        <v>-2.639771E-3</v>
      </c>
      <c r="V5270">
        <v>3.9516080000000002E-2</v>
      </c>
      <c r="W5270">
        <v>0.1876871</v>
      </c>
      <c r="X5270">
        <v>0.98143369999999996</v>
      </c>
      <c r="Y5270">
        <v>-1.260181E-2</v>
      </c>
      <c r="Z5270">
        <v>1.4050799999999999E-4</v>
      </c>
      <c r="AA5270">
        <v>0.99992060000000005</v>
      </c>
      <c r="AB5270">
        <v>47</v>
      </c>
      <c r="AC5270">
        <v>-3.0488590000000002</v>
      </c>
      <c r="AD5270">
        <v>1.256263E-2</v>
      </c>
      <c r="AE5270">
        <v>-2.639771E-3</v>
      </c>
      <c r="AF5270">
        <v>-3.8424614319303503E-2</v>
      </c>
      <c r="AG5270">
        <v>1.256263E-2</v>
      </c>
      <c r="AH5270">
        <v>3.04856623480276</v>
      </c>
      <c r="AI5270">
        <v>89.763913793445596</v>
      </c>
      <c r="AJ5270">
        <v>90.722126890986402</v>
      </c>
      <c r="AK5270">
        <v>3.0488342622447702</v>
      </c>
      <c r="AL5270">
        <v>79.182163743067605</v>
      </c>
      <c r="AM5270">
        <v>87.694309555549196</v>
      </c>
      <c r="AN5270">
        <v>1.00000003779033</v>
      </c>
    </row>
    <row r="5271" spans="1:40" x14ac:dyDescent="0.25">
      <c r="A5271" t="str">
        <f>"20190303170358392"</f>
        <v>20190303170358392</v>
      </c>
      <c r="B5271" t="str">
        <f>"1551603838380909"</f>
        <v>1551603838380909</v>
      </c>
      <c r="C5271" t="s">
        <v>40</v>
      </c>
      <c r="D5271">
        <v>3.7467990000000002</v>
      </c>
      <c r="E5271">
        <v>0.48435040000000001</v>
      </c>
      <c r="F5271" t="s">
        <v>48</v>
      </c>
      <c r="G5271">
        <v>0</v>
      </c>
      <c r="H5271">
        <v>0</v>
      </c>
      <c r="I5271">
        <v>0</v>
      </c>
      <c r="J5271">
        <v>-332.32580000000002</v>
      </c>
      <c r="K5271">
        <v>1.121521</v>
      </c>
      <c r="L5271">
        <v>142.31030000000001</v>
      </c>
      <c r="M5271">
        <v>-0.99986160000000002</v>
      </c>
      <c r="N5271">
        <v>-1.234961E-2</v>
      </c>
      <c r="O5271">
        <v>1.1146649999999999E-2</v>
      </c>
      <c r="P5271">
        <v>-0.98285489999999998</v>
      </c>
      <c r="Q5271">
        <v>0.17719379999999901</v>
      </c>
      <c r="R5271">
        <v>5.097583E-2</v>
      </c>
      <c r="S5271">
        <v>-3.04895</v>
      </c>
      <c r="T5271">
        <v>1.5284900000000001E-2</v>
      </c>
      <c r="U5271">
        <v>-2.7313229999999999E-3</v>
      </c>
      <c r="V5271">
        <v>3.9767339999999998E-2</v>
      </c>
      <c r="W5271">
        <v>0.18937660000000001</v>
      </c>
      <c r="X5271">
        <v>0.9810989</v>
      </c>
      <c r="Y5271">
        <v>-1.204181E-2</v>
      </c>
      <c r="Z5271">
        <v>1.493655E-4</v>
      </c>
      <c r="AA5271">
        <v>0.99992749999999997</v>
      </c>
      <c r="AB5271">
        <v>47</v>
      </c>
      <c r="AC5271">
        <v>-3.04895</v>
      </c>
      <c r="AD5271">
        <v>1.5284900000000001E-2</v>
      </c>
      <c r="AE5271">
        <v>-2.7313229999999999E-3</v>
      </c>
      <c r="AF5271">
        <v>-3.6718401263334997E-2</v>
      </c>
      <c r="AG5271">
        <v>1.5284900000000001E-2</v>
      </c>
      <c r="AH5271">
        <v>3.0486534868547901</v>
      </c>
      <c r="AI5271">
        <v>89.712761907735796</v>
      </c>
      <c r="AJ5271">
        <v>90.690044871845899</v>
      </c>
      <c r="AK5271">
        <v>3.0489129131661401</v>
      </c>
      <c r="AL5271">
        <v>79.083594410890498</v>
      </c>
      <c r="AM5271">
        <v>87.678874022701606</v>
      </c>
      <c r="AN5271">
        <v>0.99999999476972201</v>
      </c>
    </row>
    <row r="5272" spans="1:40" x14ac:dyDescent="0.25">
      <c r="A5272" t="str">
        <f>"20190303170358416"</f>
        <v>20190303170358416</v>
      </c>
      <c r="B5272" t="str">
        <f>"1551603838411165"</f>
        <v>1551603838411165</v>
      </c>
      <c r="C5272" t="s">
        <v>40</v>
      </c>
      <c r="D5272">
        <v>3.7632150000000002</v>
      </c>
      <c r="E5272">
        <v>0.48429889999999998</v>
      </c>
      <c r="F5272" t="s">
        <v>48</v>
      </c>
      <c r="G5272">
        <v>0</v>
      </c>
      <c r="H5272">
        <v>0</v>
      </c>
      <c r="I5272">
        <v>0</v>
      </c>
      <c r="J5272">
        <v>-332.81009999999998</v>
      </c>
      <c r="K5272">
        <v>1.121632</v>
      </c>
      <c r="L5272">
        <v>142.3151</v>
      </c>
      <c r="M5272">
        <v>-0.99986739999999996</v>
      </c>
      <c r="N5272">
        <v>-1.2511390000000001E-2</v>
      </c>
      <c r="O5272">
        <v>1.0427809999999999E-2</v>
      </c>
      <c r="P5272">
        <v>-0.98285449999999996</v>
      </c>
      <c r="Q5272">
        <v>0.17756150000000001</v>
      </c>
      <c r="R5272">
        <v>4.9689530000000003E-2</v>
      </c>
      <c r="S5272">
        <v>-3.0490110000000001</v>
      </c>
      <c r="T5272">
        <v>1.9354819999999998E-2</v>
      </c>
      <c r="U5272">
        <v>-3.9978030000000003E-3</v>
      </c>
      <c r="V5272">
        <v>3.9143770000000001E-2</v>
      </c>
      <c r="W5272">
        <v>0.18991130000000001</v>
      </c>
      <c r="X5272">
        <v>0.98102060000000002</v>
      </c>
      <c r="Y5272">
        <v>-1.17381E-2</v>
      </c>
      <c r="Z5272">
        <v>1.6048589999999999E-4</v>
      </c>
      <c r="AA5272">
        <v>0.99993109999999996</v>
      </c>
      <c r="AB5272">
        <v>47</v>
      </c>
      <c r="AC5272">
        <v>-3.0490110000000001</v>
      </c>
      <c r="AD5272">
        <v>1.9354819999999998E-2</v>
      </c>
      <c r="AE5272">
        <v>-3.9978030000000003E-3</v>
      </c>
      <c r="AF5272">
        <v>-3.5793137993675901E-2</v>
      </c>
      <c r="AG5272">
        <v>1.9354819999999998E-2</v>
      </c>
      <c r="AH5272">
        <v>3.0486806554624502</v>
      </c>
      <c r="AI5272">
        <v>89.636282606006901</v>
      </c>
      <c r="AJ5272">
        <v>90.672652125556795</v>
      </c>
      <c r="AK5272">
        <v>3.0489521965382802</v>
      </c>
      <c r="AL5272">
        <v>79.052391931194705</v>
      </c>
      <c r="AM5272">
        <v>87.715049291589196</v>
      </c>
      <c r="AN5272">
        <v>0.99999997711093103</v>
      </c>
    </row>
    <row r="5273" spans="1:40" x14ac:dyDescent="0.25">
      <c r="A5273" t="str">
        <f>"20190303170358438"</f>
        <v>20190303170358438</v>
      </c>
      <c r="B5273" t="str">
        <f>"1551603838430684"</f>
        <v>1551603838430684</v>
      </c>
      <c r="C5273" t="s">
        <v>40</v>
      </c>
      <c r="D5273">
        <v>3.7695090000000002</v>
      </c>
      <c r="E5273">
        <v>0.48426130000000001</v>
      </c>
      <c r="F5273" t="s">
        <v>48</v>
      </c>
      <c r="G5273">
        <v>0</v>
      </c>
      <c r="H5273">
        <v>0</v>
      </c>
      <c r="I5273">
        <v>0</v>
      </c>
      <c r="J5273">
        <v>-333.28449999999998</v>
      </c>
      <c r="K5273">
        <v>1.1217269999999999</v>
      </c>
      <c r="L5273">
        <v>142.31950000000001</v>
      </c>
      <c r="M5273">
        <v>-0.99987380000000003</v>
      </c>
      <c r="N5273">
        <v>-1.2650939999999999E-2</v>
      </c>
      <c r="O5273">
        <v>9.6148550000000003E-3</v>
      </c>
      <c r="P5273">
        <v>-0.98290929999999999</v>
      </c>
      <c r="Q5273">
        <v>0.17770250000000001</v>
      </c>
      <c r="R5273">
        <v>4.8074499999999999E-2</v>
      </c>
      <c r="S5273">
        <v>-3.049194</v>
      </c>
      <c r="T5273">
        <v>1.9600989999999999E-2</v>
      </c>
      <c r="U5273">
        <v>-7.9040529999999994E-3</v>
      </c>
      <c r="V5273">
        <v>3.8283009999999999E-2</v>
      </c>
      <c r="W5273">
        <v>0.1901969</v>
      </c>
      <c r="X5273">
        <v>0.98099930000000002</v>
      </c>
      <c r="Y5273">
        <v>-1.2206130000000001E-2</v>
      </c>
      <c r="Z5273">
        <v>1.4546389999999901E-4</v>
      </c>
      <c r="AA5273">
        <v>0.99992550000000002</v>
      </c>
      <c r="AB5273">
        <v>47</v>
      </c>
      <c r="AC5273">
        <v>-3.049194</v>
      </c>
      <c r="AD5273">
        <v>1.9600989999999999E-2</v>
      </c>
      <c r="AE5273">
        <v>-7.9040529999999994E-3</v>
      </c>
      <c r="AF5273">
        <v>-3.7222052454087599E-2</v>
      </c>
      <c r="AG5273">
        <v>1.9600989999999999E-2</v>
      </c>
      <c r="AH5273">
        <v>3.0488510446573298</v>
      </c>
      <c r="AI5273">
        <v>89.631679334095594</v>
      </c>
      <c r="AJ5273">
        <v>90.699463677171707</v>
      </c>
      <c r="AK5273">
        <v>3.04914125164873</v>
      </c>
      <c r="AL5273">
        <v>79.035725145712505</v>
      </c>
      <c r="AM5273">
        <v>87.765194697975303</v>
      </c>
      <c r="AN5273">
        <v>1.0000000381123699</v>
      </c>
    </row>
    <row r="5274" spans="1:40" x14ac:dyDescent="0.25">
      <c r="A5274" t="str">
        <f>"20190303170358459"</f>
        <v>20190303170358459</v>
      </c>
      <c r="B5274" t="str">
        <f>"1551603838450711"</f>
        <v>1551603838450711</v>
      </c>
      <c r="C5274" t="s">
        <v>40</v>
      </c>
      <c r="D5274">
        <v>3.7725170000000001</v>
      </c>
      <c r="E5274">
        <v>0.48423319999999997</v>
      </c>
      <c r="F5274" t="s">
        <v>48</v>
      </c>
      <c r="G5274">
        <v>0</v>
      </c>
      <c r="H5274">
        <v>0</v>
      </c>
      <c r="I5274">
        <v>0</v>
      </c>
      <c r="J5274">
        <v>-333.74470000000002</v>
      </c>
      <c r="K5274">
        <v>1.12182</v>
      </c>
      <c r="L5274">
        <v>142.32329999999999</v>
      </c>
      <c r="M5274">
        <v>-0.99988010000000005</v>
      </c>
      <c r="N5274">
        <v>-1.277088E-2</v>
      </c>
      <c r="O5274">
        <v>8.751254E-3</v>
      </c>
      <c r="P5274">
        <v>-0.98314829999999998</v>
      </c>
      <c r="Q5274">
        <v>0.17663309999999999</v>
      </c>
      <c r="R5274">
        <v>4.7120500000000003E-2</v>
      </c>
      <c r="S5274">
        <v>-3.049347</v>
      </c>
      <c r="T5274">
        <v>1.9222019999999999E-2</v>
      </c>
      <c r="U5274">
        <v>-1.3153079999999999E-2</v>
      </c>
      <c r="V5274">
        <v>3.8136900000000001E-2</v>
      </c>
      <c r="W5274">
        <v>0.18925539999999999</v>
      </c>
      <c r="X5274">
        <v>0.98118700000000003</v>
      </c>
      <c r="Y5274">
        <v>-1.3063770000000001E-2</v>
      </c>
      <c r="Z5274">
        <v>1.246796E-4</v>
      </c>
      <c r="AA5274">
        <v>0.99991459999999999</v>
      </c>
      <c r="AB5274">
        <v>47</v>
      </c>
      <c r="AC5274">
        <v>-3.049347</v>
      </c>
      <c r="AD5274">
        <v>1.9222019999999999E-2</v>
      </c>
      <c r="AE5274">
        <v>-1.3153079999999999E-2</v>
      </c>
      <c r="AF5274">
        <v>-3.9838781201559301E-2</v>
      </c>
      <c r="AG5274">
        <v>1.9222019999999999E-2</v>
      </c>
      <c r="AH5274">
        <v>3.0489939444629299</v>
      </c>
      <c r="AI5274">
        <v>89.638821181249199</v>
      </c>
      <c r="AJ5274">
        <v>90.748595825213599</v>
      </c>
      <c r="AK5274">
        <v>3.0493147899015201</v>
      </c>
      <c r="AL5274">
        <v>79.090666379299407</v>
      </c>
      <c r="AM5274">
        <v>87.774140859864801</v>
      </c>
      <c r="AN5274">
        <v>0.99999997926988404</v>
      </c>
    </row>
    <row r="5275" spans="1:40" x14ac:dyDescent="0.25">
      <c r="A5275" t="str">
        <f>"20190303170358481"</f>
        <v>20190303170358481</v>
      </c>
      <c r="B5275" t="str">
        <f>"1551603838471208"</f>
        <v>1551603838471208</v>
      </c>
      <c r="C5275" t="s">
        <v>40</v>
      </c>
      <c r="D5275">
        <v>3.7766510000000002</v>
      </c>
      <c r="E5275">
        <v>0.49220900000000001</v>
      </c>
      <c r="F5275" t="s">
        <v>48</v>
      </c>
      <c r="G5275">
        <v>0</v>
      </c>
      <c r="H5275">
        <v>0</v>
      </c>
      <c r="I5275">
        <v>0</v>
      </c>
      <c r="J5275">
        <v>-334.2115</v>
      </c>
      <c r="K5275">
        <v>1.121918</v>
      </c>
      <c r="L5275">
        <v>142.32660000000001</v>
      </c>
      <c r="M5275">
        <v>-0.99988670000000002</v>
      </c>
      <c r="N5275">
        <v>-1.2877899999999999E-2</v>
      </c>
      <c r="O5275">
        <v>7.8100050000000001E-3</v>
      </c>
      <c r="P5275">
        <v>-0.98327690000000001</v>
      </c>
      <c r="Q5275">
        <v>0.1761942</v>
      </c>
      <c r="R5275">
        <v>4.6073500000000003E-2</v>
      </c>
      <c r="S5275">
        <v>-3.0493769999999998</v>
      </c>
      <c r="T5275">
        <v>1.5812639999999999E-2</v>
      </c>
      <c r="U5275">
        <v>-1.6418459999999999E-2</v>
      </c>
      <c r="V5275">
        <v>3.7976599999999999E-2</v>
      </c>
      <c r="W5275">
        <v>0.18892999999999999</v>
      </c>
      <c r="X5275">
        <v>0.98125589999999996</v>
      </c>
      <c r="Y5275">
        <v>-1.319349E-2</v>
      </c>
      <c r="Z5275" s="1">
        <v>9.0327770000000004E-5</v>
      </c>
      <c r="AA5275">
        <v>0.99991300000000005</v>
      </c>
      <c r="AB5275">
        <v>47</v>
      </c>
      <c r="AC5275">
        <v>-3.0493769999999998</v>
      </c>
      <c r="AD5275">
        <v>1.5812639999999999E-2</v>
      </c>
      <c r="AE5275">
        <v>-1.6418459999999999E-2</v>
      </c>
      <c r="AF5275">
        <v>-4.0234499004357598E-2</v>
      </c>
      <c r="AG5275">
        <v>1.5812639999999999E-2</v>
      </c>
      <c r="AH5275">
        <v>3.04907375772533</v>
      </c>
      <c r="AI5275">
        <v>89.702889920430707</v>
      </c>
      <c r="AJ5275">
        <v>90.756010965726304</v>
      </c>
      <c r="AK5275">
        <v>3.04938020498316</v>
      </c>
      <c r="AL5275">
        <v>79.109652682025896</v>
      </c>
      <c r="AM5275">
        <v>87.783642893440998</v>
      </c>
      <c r="AN5275">
        <v>0.99999995416618304</v>
      </c>
    </row>
    <row r="5276" spans="1:40" x14ac:dyDescent="0.25">
      <c r="A5276" t="str">
        <f>"20190303170358505"</f>
        <v>20190303170358505</v>
      </c>
      <c r="B5276" t="str">
        <f>"1551603838490727"</f>
        <v>1551603838490727</v>
      </c>
      <c r="C5276" t="s">
        <v>40</v>
      </c>
      <c r="D5276">
        <v>3.7799130000000001</v>
      </c>
      <c r="E5276">
        <v>0.49245280000000002</v>
      </c>
      <c r="F5276" t="s">
        <v>48</v>
      </c>
      <c r="G5276">
        <v>0</v>
      </c>
      <c r="H5276">
        <v>0</v>
      </c>
      <c r="I5276">
        <v>0</v>
      </c>
      <c r="J5276">
        <v>-334.6902</v>
      </c>
      <c r="K5276">
        <v>1.122004</v>
      </c>
      <c r="L5276">
        <v>142.3296</v>
      </c>
      <c r="M5276">
        <v>-0.99989300000000003</v>
      </c>
      <c r="N5276">
        <v>-1.296567E-2</v>
      </c>
      <c r="O5276">
        <v>6.7933940000000003E-3</v>
      </c>
      <c r="P5276">
        <v>-0.98317929999999998</v>
      </c>
      <c r="Q5276">
        <v>0.17715829999999999</v>
      </c>
      <c r="R5276">
        <v>4.442716E-2</v>
      </c>
      <c r="S5276">
        <v>-3.0509949999999999</v>
      </c>
      <c r="T5276">
        <v>-1.0924700000000001E-2</v>
      </c>
      <c r="U5276">
        <v>4.2495730000000002E-2</v>
      </c>
      <c r="V5276">
        <v>3.7292390000000002E-2</v>
      </c>
      <c r="W5276">
        <v>0.1899844</v>
      </c>
      <c r="X5276">
        <v>0.98107860000000002</v>
      </c>
      <c r="Y5276">
        <v>7.133594E-3</v>
      </c>
      <c r="Z5276">
        <v>1.227809E-4</v>
      </c>
      <c r="AA5276">
        <v>0.99997449999999999</v>
      </c>
      <c r="AB5276">
        <v>47</v>
      </c>
      <c r="AC5276">
        <v>-3.0509949999999999</v>
      </c>
      <c r="AD5276">
        <v>-1.0924700000000001E-2</v>
      </c>
      <c r="AE5276">
        <v>4.2495730000000002E-2</v>
      </c>
      <c r="AF5276">
        <v>2.1766119506327401E-2</v>
      </c>
      <c r="AG5276">
        <v>-1.0924700000000001E-2</v>
      </c>
      <c r="AH5276">
        <v>3.05117418702774</v>
      </c>
      <c r="AI5276">
        <v>90.205140894365002</v>
      </c>
      <c r="AJ5276">
        <v>89.591276815605596</v>
      </c>
      <c r="AK5276">
        <v>3.0512713797059798</v>
      </c>
      <c r="AL5276">
        <v>79.048126275057498</v>
      </c>
      <c r="AM5276">
        <v>87.823142453968103</v>
      </c>
      <c r="AN5276">
        <v>1.00000000698661</v>
      </c>
    </row>
    <row r="5277" spans="1:40" x14ac:dyDescent="0.25">
      <c r="A5277" t="str">
        <f>"20190303170358528"</f>
        <v>20190303170358528</v>
      </c>
      <c r="B5277" t="str">
        <f>"1551603838520983"</f>
        <v>1551603838520983</v>
      </c>
      <c r="C5277" t="s">
        <v>40</v>
      </c>
      <c r="D5277">
        <v>3.7774109999999999</v>
      </c>
      <c r="E5277">
        <v>0.49310969999999998</v>
      </c>
      <c r="F5277" t="s">
        <v>48</v>
      </c>
      <c r="G5277">
        <v>0</v>
      </c>
      <c r="H5277">
        <v>0</v>
      </c>
      <c r="I5277">
        <v>0</v>
      </c>
      <c r="J5277">
        <v>-335.2</v>
      </c>
      <c r="K5277">
        <v>1.121856</v>
      </c>
      <c r="L5277">
        <v>142.3323</v>
      </c>
      <c r="M5277">
        <v>-0.99990749999999995</v>
      </c>
      <c r="N5277">
        <v>-1.235664E-2</v>
      </c>
      <c r="O5277">
        <v>5.6891260000000001E-3</v>
      </c>
      <c r="P5277">
        <v>-0.98304429999999998</v>
      </c>
      <c r="Q5277">
        <v>0.1783786</v>
      </c>
      <c r="R5277">
        <v>4.248739E-2</v>
      </c>
      <c r="S5277">
        <v>-3.0505979999999999</v>
      </c>
      <c r="T5277">
        <v>-5.7770010000000004E-3</v>
      </c>
      <c r="U5277">
        <v>3.9779660000000001E-2</v>
      </c>
      <c r="V5277">
        <v>3.6423400000000002E-2</v>
      </c>
      <c r="W5277">
        <v>0.19060550000000001</v>
      </c>
      <c r="X5277">
        <v>0.98099080000000005</v>
      </c>
      <c r="Y5277">
        <v>7.3497719999999897E-3</v>
      </c>
      <c r="Z5277">
        <v>1.118985E-4</v>
      </c>
      <c r="AA5277">
        <v>0.999973</v>
      </c>
      <c r="AB5277">
        <v>47</v>
      </c>
      <c r="AC5277">
        <v>-3.0505979999999999</v>
      </c>
      <c r="AD5277">
        <v>-5.7770010000000004E-3</v>
      </c>
      <c r="AE5277">
        <v>3.9779660000000001E-2</v>
      </c>
      <c r="AF5277">
        <v>2.24223747687212E-2</v>
      </c>
      <c r="AG5277">
        <v>-5.7770010000000004E-3</v>
      </c>
      <c r="AH5277">
        <v>3.0507640139711398</v>
      </c>
      <c r="AI5277">
        <v>90.108493622816098</v>
      </c>
      <c r="AJ5277">
        <v>89.578897514545801</v>
      </c>
      <c r="AK5277">
        <v>3.0508518819457802</v>
      </c>
      <c r="AL5277">
        <v>79.011877804432103</v>
      </c>
      <c r="AM5277">
        <v>87.873630516787003</v>
      </c>
      <c r="AN5277">
        <v>1.0000000351912199</v>
      </c>
    </row>
    <row r="5278" spans="1:40" x14ac:dyDescent="0.25">
      <c r="A5278" t="str">
        <f>"20190303170358550"</f>
        <v>20190303170358550</v>
      </c>
      <c r="B5278" t="str">
        <f>"1551603838540503"</f>
        <v>1551603838540503</v>
      </c>
      <c r="C5278" t="s">
        <v>40</v>
      </c>
      <c r="D5278">
        <v>3.7626330000000001</v>
      </c>
      <c r="E5278">
        <v>0.49348710000000001</v>
      </c>
      <c r="F5278" t="s">
        <v>48</v>
      </c>
      <c r="G5278">
        <v>0</v>
      </c>
      <c r="H5278">
        <v>0</v>
      </c>
      <c r="I5278">
        <v>0</v>
      </c>
      <c r="J5278">
        <v>-335.66129999999998</v>
      </c>
      <c r="K5278">
        <v>1.121505</v>
      </c>
      <c r="L5278">
        <v>142.33439999999999</v>
      </c>
      <c r="M5278">
        <v>-0.99992780000000003</v>
      </c>
      <c r="N5278">
        <v>-1.106378E-2</v>
      </c>
      <c r="O5278">
        <v>4.7187699999999997E-3</v>
      </c>
      <c r="P5278">
        <v>-0.98290759999999999</v>
      </c>
      <c r="Q5278">
        <v>0.17954410000000001</v>
      </c>
      <c r="R5278">
        <v>4.0705640000000001E-2</v>
      </c>
      <c r="S5278">
        <v>-3.0503849999999999</v>
      </c>
      <c r="T5278">
        <v>-1.725316E-3</v>
      </c>
      <c r="U5278">
        <v>3.9566039999999997E-2</v>
      </c>
      <c r="V5278">
        <v>3.5605499999999998E-2</v>
      </c>
      <c r="W5278">
        <v>0.19049650000000001</v>
      </c>
      <c r="X5278">
        <v>0.98104199999999997</v>
      </c>
      <c r="Y5278">
        <v>8.2511719999999993E-3</v>
      </c>
      <c r="Z5278" s="1">
        <v>9.7519990000000001E-5</v>
      </c>
      <c r="AA5278">
        <v>0.99996600000000002</v>
      </c>
      <c r="AB5278">
        <v>47</v>
      </c>
      <c r="AC5278">
        <v>-3.0503849999999999</v>
      </c>
      <c r="AD5278">
        <v>-1.725316E-3</v>
      </c>
      <c r="AE5278">
        <v>3.9566039999999997E-2</v>
      </c>
      <c r="AF5278">
        <v>2.5170647122250599E-2</v>
      </c>
      <c r="AG5278">
        <v>-1.725316E-3</v>
      </c>
      <c r="AH5278">
        <v>3.0505367732322002</v>
      </c>
      <c r="AI5278">
        <v>90.032404116721295</v>
      </c>
      <c r="AJ5278">
        <v>89.527250701330502</v>
      </c>
      <c r="AK5278">
        <v>3.0506411036098302</v>
      </c>
      <c r="AL5278">
        <v>79.018239629229399</v>
      </c>
      <c r="AM5278">
        <v>87.921444898335494</v>
      </c>
      <c r="AN5278">
        <v>1.00000003695324</v>
      </c>
    </row>
    <row r="5279" spans="1:40" x14ac:dyDescent="0.25">
      <c r="A5279" t="str">
        <f>"20190303170358571"</f>
        <v>20190303170358571</v>
      </c>
      <c r="B5279" t="str">
        <f>"1551603838560999"</f>
        <v>1551603838560999</v>
      </c>
      <c r="C5279" t="s">
        <v>40</v>
      </c>
      <c r="D5279">
        <v>3.7548409999999999</v>
      </c>
      <c r="E5279">
        <v>0.49379269999999997</v>
      </c>
      <c r="F5279" t="s">
        <v>48</v>
      </c>
      <c r="G5279">
        <v>0</v>
      </c>
      <c r="H5279">
        <v>0</v>
      </c>
      <c r="I5279">
        <v>0</v>
      </c>
      <c r="J5279">
        <v>-336.11399999999998</v>
      </c>
      <c r="K5279">
        <v>1.121164</v>
      </c>
      <c r="L5279">
        <v>142.33619999999999</v>
      </c>
      <c r="M5279">
        <v>-0.99994590000000005</v>
      </c>
      <c r="N5279">
        <v>-9.6895650000000007E-3</v>
      </c>
      <c r="O5279">
        <v>3.7765400000000001E-3</v>
      </c>
      <c r="P5279">
        <v>-0.98269499999999999</v>
      </c>
      <c r="Q5279">
        <v>0.181112</v>
      </c>
      <c r="R5279">
        <v>3.884232E-2</v>
      </c>
      <c r="S5279">
        <v>-3.0503849999999999</v>
      </c>
      <c r="T5279">
        <v>1.2285709999999999E-3</v>
      </c>
      <c r="U5279">
        <v>3.7429810000000001E-2</v>
      </c>
      <c r="V5279">
        <v>3.4682829999999998E-2</v>
      </c>
      <c r="W5279">
        <v>0.1907085</v>
      </c>
      <c r="X5279">
        <v>0.98103379999999996</v>
      </c>
      <c r="Y5279">
        <v>8.49328699999999E-3</v>
      </c>
      <c r="Z5279" s="1">
        <v>7.7553999999999996E-5</v>
      </c>
      <c r="AA5279">
        <v>0.99996390000000002</v>
      </c>
      <c r="AB5279">
        <v>48</v>
      </c>
      <c r="AC5279">
        <v>-3.0503849999999999</v>
      </c>
      <c r="AD5279">
        <v>1.2285709999999999E-3</v>
      </c>
      <c r="AE5279">
        <v>3.7429810000000001E-2</v>
      </c>
      <c r="AF5279">
        <v>2.5909096789097599E-2</v>
      </c>
      <c r="AG5279">
        <v>1.2285709999999999E-3</v>
      </c>
      <c r="AH5279">
        <v>3.05050411224645</v>
      </c>
      <c r="AI5279">
        <v>89.976925325151598</v>
      </c>
      <c r="AJ5279">
        <v>89.5133767573124</v>
      </c>
      <c r="AK5279">
        <v>3.0506143855813099</v>
      </c>
      <c r="AL5279">
        <v>79.005865379899006</v>
      </c>
      <c r="AM5279">
        <v>87.975245600592103</v>
      </c>
      <c r="AN5279">
        <v>0.999999973705749</v>
      </c>
    </row>
    <row r="5280" spans="1:40" x14ac:dyDescent="0.25">
      <c r="A5280" t="str">
        <f>"20190303170358594"</f>
        <v>20190303170358594</v>
      </c>
      <c r="B5280" t="str">
        <f>"1551603838580520"</f>
        <v>1551603838580520</v>
      </c>
      <c r="C5280" t="s">
        <v>40</v>
      </c>
      <c r="D5280">
        <v>3.796494</v>
      </c>
      <c r="E5280">
        <v>0.49412840000000002</v>
      </c>
      <c r="F5280" t="s">
        <v>48</v>
      </c>
      <c r="G5280">
        <v>0</v>
      </c>
      <c r="H5280">
        <v>0</v>
      </c>
      <c r="I5280">
        <v>0</v>
      </c>
      <c r="J5280">
        <v>-336.60509999999999</v>
      </c>
      <c r="K5280">
        <v>1.1209389999999999</v>
      </c>
      <c r="L5280">
        <v>142.33770000000001</v>
      </c>
      <c r="M5280">
        <v>-0.99996090000000004</v>
      </c>
      <c r="N5280">
        <v>-8.3983840000000001E-3</v>
      </c>
      <c r="O5280">
        <v>2.753831E-3</v>
      </c>
      <c r="P5280">
        <v>-0.98220399999999997</v>
      </c>
      <c r="Q5280">
        <v>0.18418280000000001</v>
      </c>
      <c r="R5280">
        <v>3.6770539999999997E-2</v>
      </c>
      <c r="S5280">
        <v>-3.0503849999999999</v>
      </c>
      <c r="T5280">
        <v>5.8559179999999999E-3</v>
      </c>
      <c r="U5280">
        <v>3.4500120000000002E-2</v>
      </c>
      <c r="V5280">
        <v>3.3617399999999999E-2</v>
      </c>
      <c r="W5280">
        <v>0.1925047</v>
      </c>
      <c r="X5280">
        <v>0.98072000000000004</v>
      </c>
      <c r="Y5280">
        <v>8.5557719999999997E-3</v>
      </c>
      <c r="Z5280" s="1">
        <v>5.613069E-5</v>
      </c>
      <c r="AA5280">
        <v>0.99996339999999995</v>
      </c>
      <c r="AB5280">
        <v>48</v>
      </c>
      <c r="AC5280">
        <v>-3.0503849999999999</v>
      </c>
      <c r="AD5280">
        <v>5.8559179999999999E-3</v>
      </c>
      <c r="AE5280">
        <v>3.4500120000000002E-2</v>
      </c>
      <c r="AF5280">
        <v>2.6099351618038402E-2</v>
      </c>
      <c r="AG5280">
        <v>5.8559179999999999E-3</v>
      </c>
      <c r="AH5280">
        <v>3.0504572029743202</v>
      </c>
      <c r="AI5280">
        <v>89.8900142921905</v>
      </c>
      <c r="AJ5280">
        <v>89.509796037461001</v>
      </c>
      <c r="AK5280">
        <v>3.05057447296545</v>
      </c>
      <c r="AL5280">
        <v>78.901007637470997</v>
      </c>
      <c r="AM5280">
        <v>88.036767613447594</v>
      </c>
      <c r="AN5280">
        <v>0.99999995375242401</v>
      </c>
    </row>
    <row r="5281" spans="1:40" x14ac:dyDescent="0.25">
      <c r="A5281" t="str">
        <f>"20190303170358617"</f>
        <v>20190303170358617</v>
      </c>
      <c r="B5281" t="str">
        <f>"1551603838610775"</f>
        <v>1551603838610775</v>
      </c>
      <c r="C5281" t="s">
        <v>40</v>
      </c>
      <c r="D5281">
        <v>3.7918479999999999</v>
      </c>
      <c r="E5281">
        <v>0.49460029999999999</v>
      </c>
      <c r="F5281" t="s">
        <v>48</v>
      </c>
      <c r="G5281">
        <v>0</v>
      </c>
      <c r="H5281">
        <v>0</v>
      </c>
      <c r="I5281">
        <v>0</v>
      </c>
      <c r="J5281">
        <v>-337.11239999999998</v>
      </c>
      <c r="K5281">
        <v>1.1209899999999999</v>
      </c>
      <c r="L5281">
        <v>142.3389</v>
      </c>
      <c r="M5281">
        <v>-0.99996859999999999</v>
      </c>
      <c r="N5281">
        <v>-7.7476530000000002E-3</v>
      </c>
      <c r="O5281">
        <v>1.740789E-3</v>
      </c>
      <c r="P5281">
        <v>-0.98191910000000004</v>
      </c>
      <c r="Q5281">
        <v>0.1860212</v>
      </c>
      <c r="R5281">
        <v>3.5093510000000001E-2</v>
      </c>
      <c r="S5281">
        <v>-3.0502929999999999</v>
      </c>
      <c r="T5281">
        <v>1.546931E-2</v>
      </c>
      <c r="U5281">
        <v>3.1127930000000002E-2</v>
      </c>
      <c r="V5281">
        <v>3.2905610000000002E-2</v>
      </c>
      <c r="W5281">
        <v>0.1937053</v>
      </c>
      <c r="X5281">
        <v>0.98050780000000004</v>
      </c>
      <c r="Y5281">
        <v>8.4638030000000006E-3</v>
      </c>
      <c r="Z5281" s="1">
        <v>3.3642139999999997E-5</v>
      </c>
      <c r="AA5281">
        <v>0.99996419999999997</v>
      </c>
      <c r="AB5281">
        <v>48</v>
      </c>
      <c r="AC5281">
        <v>-3.0502929999999999</v>
      </c>
      <c r="AD5281">
        <v>1.546931E-2</v>
      </c>
      <c r="AE5281">
        <v>3.1127930000000002E-2</v>
      </c>
      <c r="AF5281">
        <v>2.58171437121835E-2</v>
      </c>
      <c r="AG5281">
        <v>1.546931E-2</v>
      </c>
      <c r="AH5281">
        <v>3.05026412435434</v>
      </c>
      <c r="AI5281">
        <v>89.709439315543705</v>
      </c>
      <c r="AJ5281">
        <v>89.515065583655797</v>
      </c>
      <c r="AK5281">
        <v>3.0504126036955199</v>
      </c>
      <c r="AL5281">
        <v>78.830899642933801</v>
      </c>
      <c r="AM5281">
        <v>88.077888563888493</v>
      </c>
      <c r="AN5281">
        <v>1.0000000341391999</v>
      </c>
    </row>
    <row r="5282" spans="1:40" x14ac:dyDescent="0.25">
      <c r="A5282" t="str">
        <f>"20190303170358639"</f>
        <v>20190303170358639</v>
      </c>
      <c r="B5282" t="str">
        <f>"1551603838631272"</f>
        <v>1551603838631272</v>
      </c>
      <c r="C5282" t="s">
        <v>40</v>
      </c>
      <c r="D5282">
        <v>3.760262</v>
      </c>
      <c r="E5282">
        <v>0.49494450000000001</v>
      </c>
      <c r="F5282" t="s">
        <v>48</v>
      </c>
      <c r="G5282">
        <v>0</v>
      </c>
      <c r="H5282">
        <v>0</v>
      </c>
      <c r="I5282">
        <v>0</v>
      </c>
      <c r="J5282">
        <v>-337.56979999999999</v>
      </c>
      <c r="K5282">
        <v>1.121232</v>
      </c>
      <c r="L5282">
        <v>142.33940000000001</v>
      </c>
      <c r="M5282">
        <v>-0.99996910000000006</v>
      </c>
      <c r="N5282">
        <v>-7.8269369999999904E-3</v>
      </c>
      <c r="O5282">
        <v>8.8517800000000003E-4</v>
      </c>
      <c r="P5282">
        <v>-0.98200779999999999</v>
      </c>
      <c r="Q5282">
        <v>0.1857316</v>
      </c>
      <c r="R5282">
        <v>3.4126490000000002E-2</v>
      </c>
      <c r="S5282">
        <v>-3.0500180000000001</v>
      </c>
      <c r="T5282">
        <v>2.1749379999999999E-2</v>
      </c>
      <c r="U5282">
        <v>3.02124E-2</v>
      </c>
      <c r="V5282">
        <v>3.2741149999999997E-2</v>
      </c>
      <c r="W5282">
        <v>0.19350029999999999</v>
      </c>
      <c r="X5282">
        <v>0.98055369999999997</v>
      </c>
      <c r="Y5282">
        <v>9.0201150000000004E-3</v>
      </c>
      <c r="Z5282" s="1">
        <v>1.6381599999999999E-5</v>
      </c>
      <c r="AA5282">
        <v>0.9999593</v>
      </c>
      <c r="AB5282">
        <v>49</v>
      </c>
      <c r="AC5282">
        <v>-3.0500180000000001</v>
      </c>
      <c r="AD5282">
        <v>2.1749379999999999E-2</v>
      </c>
      <c r="AE5282">
        <v>3.02124E-2</v>
      </c>
      <c r="AF5282">
        <v>2.75110981652406E-2</v>
      </c>
      <c r="AG5282">
        <v>2.1749379999999999E-2</v>
      </c>
      <c r="AH5282">
        <v>3.0498884782896498</v>
      </c>
      <c r="AI5282">
        <v>89.591435596840199</v>
      </c>
      <c r="AJ5282">
        <v>89.483185344032506</v>
      </c>
      <c r="AK5282">
        <v>3.0500901013013699</v>
      </c>
      <c r="AL5282">
        <v>78.842870882504599</v>
      </c>
      <c r="AM5282">
        <v>88.087577452754203</v>
      </c>
      <c r="AN5282">
        <v>0.99999995379355</v>
      </c>
    </row>
    <row r="5283" spans="1:40" x14ac:dyDescent="0.25">
      <c r="A5283" t="str">
        <f>"20190303170358660"</f>
        <v>20190303170358660</v>
      </c>
      <c r="B5283" t="str">
        <f>"1551603838650791"</f>
        <v>1551603838650791</v>
      </c>
      <c r="C5283" t="s">
        <v>40</v>
      </c>
      <c r="D5283">
        <v>3.777155</v>
      </c>
      <c r="E5283">
        <v>0.49528749999999999</v>
      </c>
      <c r="F5283" t="s">
        <v>48</v>
      </c>
      <c r="G5283">
        <v>0</v>
      </c>
      <c r="H5283">
        <v>0</v>
      </c>
      <c r="I5283">
        <v>0</v>
      </c>
      <c r="J5283">
        <v>-338.04239999999999</v>
      </c>
      <c r="K5283">
        <v>1.121516</v>
      </c>
      <c r="L5283">
        <v>142.33940000000001</v>
      </c>
      <c r="M5283">
        <v>-0.99996629999999997</v>
      </c>
      <c r="N5283">
        <v>-8.2281919999999901E-3</v>
      </c>
      <c r="O5283" s="1">
        <v>1.76993899999999E-5</v>
      </c>
      <c r="P5283">
        <v>-0.98222909999999997</v>
      </c>
      <c r="Q5283">
        <v>0.18464369999999999</v>
      </c>
      <c r="R5283">
        <v>3.366065E-2</v>
      </c>
      <c r="S5283">
        <v>-3.0501100000000001</v>
      </c>
      <c r="T5283">
        <v>2.029514E-2</v>
      </c>
      <c r="U5283">
        <v>3.022766E-2</v>
      </c>
      <c r="V5283">
        <v>3.3093310000000001E-2</v>
      </c>
      <c r="W5283">
        <v>0.19281490000000001</v>
      </c>
      <c r="X5283">
        <v>0.98067689999999996</v>
      </c>
      <c r="Y5283">
        <v>9.8922209999999997E-3</v>
      </c>
      <c r="Z5283" s="1">
        <v>8.0527319999999992E-6</v>
      </c>
      <c r="AA5283">
        <v>0.99995109999999998</v>
      </c>
      <c r="AB5283">
        <v>48</v>
      </c>
      <c r="AC5283">
        <v>-3.0501100000000001</v>
      </c>
      <c r="AD5283">
        <v>2.029514E-2</v>
      </c>
      <c r="AE5283">
        <v>3.022766E-2</v>
      </c>
      <c r="AF5283">
        <v>3.0172337357263199E-2</v>
      </c>
      <c r="AG5283">
        <v>2.029514E-2</v>
      </c>
      <c r="AH5283">
        <v>3.0499755118480198</v>
      </c>
      <c r="AI5283">
        <v>89.618766837011194</v>
      </c>
      <c r="AJ5283">
        <v>89.433211450101993</v>
      </c>
      <c r="AK5283">
        <v>3.0501922702547399</v>
      </c>
      <c r="AL5283">
        <v>78.882895314448703</v>
      </c>
      <c r="AM5283">
        <v>88.067265830734101</v>
      </c>
      <c r="AN5283">
        <v>0.99999996751118703</v>
      </c>
    </row>
    <row r="5284" spans="1:40" x14ac:dyDescent="0.25">
      <c r="A5284" t="str">
        <f>"20190303170358683"</f>
        <v>20190303170358683</v>
      </c>
      <c r="B5284" t="str">
        <f>"1551603838671287"</f>
        <v>1551603838671287</v>
      </c>
      <c r="C5284" t="s">
        <v>40</v>
      </c>
      <c r="D5284">
        <v>3.7602509999999998</v>
      </c>
      <c r="E5284">
        <v>0.49924380000000002</v>
      </c>
      <c r="F5284" t="s">
        <v>48</v>
      </c>
      <c r="G5284">
        <v>0</v>
      </c>
      <c r="H5284">
        <v>0</v>
      </c>
      <c r="I5284">
        <v>0</v>
      </c>
      <c r="J5284">
        <v>-338.53179999999998</v>
      </c>
      <c r="K5284">
        <v>1.1217539999999999</v>
      </c>
      <c r="L5284">
        <v>142.33879999999999</v>
      </c>
      <c r="M5284">
        <v>-0.99996180000000001</v>
      </c>
      <c r="N5284">
        <v>-8.7088229999999992E-3</v>
      </c>
      <c r="O5284">
        <v>-9.0314059999999996E-4</v>
      </c>
      <c r="P5284">
        <v>-0.98244160000000003</v>
      </c>
      <c r="Q5284">
        <v>0.1835474</v>
      </c>
      <c r="R5284">
        <v>3.3452820000000001E-2</v>
      </c>
      <c r="S5284">
        <v>-3.0501100000000001</v>
      </c>
      <c r="T5284">
        <v>1.6593219999999999E-2</v>
      </c>
      <c r="U5284">
        <v>3.1570429999999997E-2</v>
      </c>
      <c r="V5284">
        <v>3.3764780000000001E-2</v>
      </c>
      <c r="W5284">
        <v>0.19219820000000001</v>
      </c>
      <c r="X5284">
        <v>0.98077510000000001</v>
      </c>
      <c r="Y5284">
        <v>1.125317E-2</v>
      </c>
      <c r="Z5284" s="1">
        <v>5.61605699999999E-6</v>
      </c>
      <c r="AA5284">
        <v>0.99993670000000001</v>
      </c>
      <c r="AB5284">
        <v>48</v>
      </c>
      <c r="AC5284">
        <v>-3.0501100000000001</v>
      </c>
      <c r="AD5284">
        <v>1.6593219999999999E-2</v>
      </c>
      <c r="AE5284">
        <v>3.1570429999999997E-2</v>
      </c>
      <c r="AF5284">
        <v>3.4324183664780003E-2</v>
      </c>
      <c r="AG5284">
        <v>1.6593219999999999E-2</v>
      </c>
      <c r="AH5284">
        <v>3.04998998508337</v>
      </c>
      <c r="AI5284">
        <v>89.688309829617197</v>
      </c>
      <c r="AJ5284">
        <v>89.355228098828505</v>
      </c>
      <c r="AK5284">
        <v>3.0502282527120999</v>
      </c>
      <c r="AL5284">
        <v>78.918903518739796</v>
      </c>
      <c r="AM5284">
        <v>88.028278195412497</v>
      </c>
      <c r="AN5284">
        <v>1.00000000261584</v>
      </c>
    </row>
    <row r="5285" spans="1:40" x14ac:dyDescent="0.25">
      <c r="A5285" t="str">
        <f>"20190303170358706"</f>
        <v>20190303170358706</v>
      </c>
      <c r="B5285" t="str">
        <f>"1551603838700567"</f>
        <v>1551603838700567</v>
      </c>
      <c r="C5285" t="s">
        <v>40</v>
      </c>
      <c r="D5285">
        <v>3.7699530000000001</v>
      </c>
      <c r="E5285">
        <v>0.49905339999999998</v>
      </c>
      <c r="F5285" t="s">
        <v>48</v>
      </c>
      <c r="G5285">
        <v>0</v>
      </c>
      <c r="H5285">
        <v>0</v>
      </c>
      <c r="I5285">
        <v>0</v>
      </c>
      <c r="J5285">
        <v>-339.03620000000001</v>
      </c>
      <c r="K5285">
        <v>1.121926</v>
      </c>
      <c r="L5285">
        <v>142.33770000000001</v>
      </c>
      <c r="M5285">
        <v>-0.99995590000000001</v>
      </c>
      <c r="N5285">
        <v>-9.1984349999999996E-3</v>
      </c>
      <c r="O5285">
        <v>-1.87666E-3</v>
      </c>
      <c r="P5285">
        <v>-0.98261869999999996</v>
      </c>
      <c r="Q5285">
        <v>0.1827087</v>
      </c>
      <c r="R5285">
        <v>3.2832090000000001E-2</v>
      </c>
      <c r="S5285">
        <v>-3.0493160000000001</v>
      </c>
      <c r="T5285">
        <v>1.182544E-2</v>
      </c>
      <c r="U5285">
        <v>6.2408449999999997E-2</v>
      </c>
      <c r="V5285">
        <v>3.4086669999999999E-2</v>
      </c>
      <c r="W5285">
        <v>0.19184490000000001</v>
      </c>
      <c r="X5285">
        <v>0.98083310000000001</v>
      </c>
      <c r="Y5285">
        <v>2.2338469999999999E-2</v>
      </c>
      <c r="Z5285" s="1">
        <v>3.4903919999999998E-5</v>
      </c>
      <c r="AA5285">
        <v>0.99975040000000004</v>
      </c>
      <c r="AB5285">
        <v>48</v>
      </c>
      <c r="AC5285">
        <v>-3.0493160000000001</v>
      </c>
      <c r="AD5285">
        <v>1.182544E-2</v>
      </c>
      <c r="AE5285">
        <v>6.2408449999999997E-2</v>
      </c>
      <c r="AF5285">
        <v>6.8130087550046098E-2</v>
      </c>
      <c r="AG5285">
        <v>1.182544E-2</v>
      </c>
      <c r="AH5285">
        <v>3.0491476674477398</v>
      </c>
      <c r="AI5285">
        <v>89.777847644118594</v>
      </c>
      <c r="AJ5285">
        <v>88.719997365886599</v>
      </c>
      <c r="AK5285">
        <v>3.04993164640829</v>
      </c>
      <c r="AL5285">
        <v>78.9395295778627</v>
      </c>
      <c r="AM5285">
        <v>88.009613826973194</v>
      </c>
      <c r="AN5285">
        <v>0.99999996839165395</v>
      </c>
    </row>
    <row r="5286" spans="1:40" x14ac:dyDescent="0.25">
      <c r="A5286" t="str">
        <f>"20190303170358728"</f>
        <v>20190303170358728</v>
      </c>
      <c r="B5286" t="str">
        <f>"1551603838721064"</f>
        <v>1551603838721064</v>
      </c>
      <c r="C5286" t="s">
        <v>40</v>
      </c>
      <c r="D5286">
        <v>3.7502010000000001</v>
      </c>
      <c r="E5286">
        <v>0.4991565</v>
      </c>
      <c r="F5286" t="s">
        <v>48</v>
      </c>
      <c r="G5286">
        <v>0</v>
      </c>
      <c r="H5286">
        <v>0</v>
      </c>
      <c r="I5286">
        <v>0</v>
      </c>
      <c r="J5286">
        <v>-339.52719999999999</v>
      </c>
      <c r="K5286">
        <v>1.1220479999999999</v>
      </c>
      <c r="L5286">
        <v>142.33619999999999</v>
      </c>
      <c r="M5286">
        <v>-0.99994919999999998</v>
      </c>
      <c r="N5286">
        <v>-9.6824240000000002E-3</v>
      </c>
      <c r="O5286">
        <v>-2.828293E-3</v>
      </c>
      <c r="P5286">
        <v>-0.98280659999999997</v>
      </c>
      <c r="Q5286">
        <v>0.18190719999999999</v>
      </c>
      <c r="R5286">
        <v>3.1643329999999997E-2</v>
      </c>
      <c r="S5286">
        <v>-3.0495909999999999</v>
      </c>
      <c r="T5286">
        <v>8.0736880000000007E-3</v>
      </c>
      <c r="U5286">
        <v>5.9005740000000001E-2</v>
      </c>
      <c r="V5286">
        <v>3.383224E-2</v>
      </c>
      <c r="W5286">
        <v>0.1915192</v>
      </c>
      <c r="X5286">
        <v>0.98090560000000004</v>
      </c>
      <c r="Y5286">
        <v>2.217293E-2</v>
      </c>
      <c r="Z5286" s="1">
        <v>4.31381E-5</v>
      </c>
      <c r="AA5286">
        <v>0.99975409999999998</v>
      </c>
      <c r="AB5286">
        <v>48</v>
      </c>
      <c r="AC5286">
        <v>-3.0495909999999999</v>
      </c>
      <c r="AD5286">
        <v>8.0736880000000007E-3</v>
      </c>
      <c r="AE5286">
        <v>5.9005740000000001E-2</v>
      </c>
      <c r="AF5286">
        <v>6.7630570681539506E-2</v>
      </c>
      <c r="AG5286">
        <v>8.0736880000000007E-3</v>
      </c>
      <c r="AH5286">
        <v>3.04939054288517</v>
      </c>
      <c r="AI5286">
        <v>89.848339058684601</v>
      </c>
      <c r="AJ5286">
        <v>88.729480182467199</v>
      </c>
      <c r="AK5286">
        <v>3.0501511047104102</v>
      </c>
      <c r="AL5286">
        <v>78.958543853779403</v>
      </c>
      <c r="AM5286">
        <v>88.024604566494403</v>
      </c>
      <c r="AN5286">
        <v>1.0000000102716999</v>
      </c>
    </row>
    <row r="5287" spans="1:40" x14ac:dyDescent="0.25">
      <c r="A5287" t="str">
        <f>"20190303170358750"</f>
        <v>20190303170358750</v>
      </c>
      <c r="B5287" t="str">
        <f>"1551603838740583"</f>
        <v>1551603838740583</v>
      </c>
      <c r="C5287" t="s">
        <v>40</v>
      </c>
      <c r="D5287">
        <v>3.7726099999999998</v>
      </c>
      <c r="E5287">
        <v>0.49926989999999999</v>
      </c>
      <c r="F5287" t="s">
        <v>48</v>
      </c>
      <c r="G5287">
        <v>0</v>
      </c>
      <c r="H5287">
        <v>0</v>
      </c>
      <c r="I5287">
        <v>0</v>
      </c>
      <c r="J5287">
        <v>-339.98750000000001</v>
      </c>
      <c r="K5287">
        <v>1.1221209999999999</v>
      </c>
      <c r="L5287">
        <v>142.33420000000001</v>
      </c>
      <c r="M5287">
        <v>-0.99994159999999999</v>
      </c>
      <c r="N5287">
        <v>-1.0152370000000001E-2</v>
      </c>
      <c r="O5287">
        <v>-3.7022259999999999E-3</v>
      </c>
      <c r="P5287">
        <v>-0.98268120000000003</v>
      </c>
      <c r="Q5287">
        <v>0.18276439999999999</v>
      </c>
      <c r="R5287">
        <v>3.0580119999999999E-2</v>
      </c>
      <c r="S5287">
        <v>-3.0498959999999999</v>
      </c>
      <c r="T5287">
        <v>4.2229889999999999E-3</v>
      </c>
      <c r="U5287">
        <v>5.6945799999999998E-2</v>
      </c>
      <c r="V5287">
        <v>3.3631290000000001E-2</v>
      </c>
      <c r="W5287">
        <v>0.1928337</v>
      </c>
      <c r="X5287">
        <v>0.98065500000000005</v>
      </c>
      <c r="Y5287">
        <v>2.2369670000000001E-2</v>
      </c>
      <c r="Z5287" s="1">
        <v>5.5370040000000003E-5</v>
      </c>
      <c r="AA5287">
        <v>0.99974980000000002</v>
      </c>
      <c r="AB5287">
        <v>48</v>
      </c>
      <c r="AC5287">
        <v>-3.0498959999999999</v>
      </c>
      <c r="AD5287">
        <v>4.2229889999999999E-3</v>
      </c>
      <c r="AE5287">
        <v>5.6945799999999998E-2</v>
      </c>
      <c r="AF5287">
        <v>6.8237265245211398E-2</v>
      </c>
      <c r="AG5287">
        <v>4.2229889999999999E-3</v>
      </c>
      <c r="AH5287">
        <v>3.0496584142188499</v>
      </c>
      <c r="AI5287">
        <v>89.920680052467802</v>
      </c>
      <c r="AJ5287">
        <v>88.718199058999303</v>
      </c>
      <c r="AK5287">
        <v>3.0504246591942001</v>
      </c>
      <c r="AL5287">
        <v>78.881798641923496</v>
      </c>
      <c r="AM5287">
        <v>88.035827003252805</v>
      </c>
      <c r="AN5287">
        <v>1.00000006427387</v>
      </c>
    </row>
    <row r="5288" spans="1:40" x14ac:dyDescent="0.25">
      <c r="A5288" t="str">
        <f>"20190303170358772"</f>
        <v>20190303170358772</v>
      </c>
      <c r="B5288" t="str">
        <f>"1551603838761079"</f>
        <v>1551603838761079</v>
      </c>
      <c r="C5288" t="s">
        <v>40</v>
      </c>
      <c r="D5288">
        <v>3.756081</v>
      </c>
      <c r="E5288">
        <v>0.49942500000000001</v>
      </c>
      <c r="F5288" t="s">
        <v>48</v>
      </c>
      <c r="G5288">
        <v>0</v>
      </c>
      <c r="H5288">
        <v>0</v>
      </c>
      <c r="I5288">
        <v>0</v>
      </c>
      <c r="J5288">
        <v>-340.45589999999999</v>
      </c>
      <c r="K5288">
        <v>1.1221650000000001</v>
      </c>
      <c r="L5288">
        <v>142.33189999999999</v>
      </c>
      <c r="M5288">
        <v>-0.99993310000000002</v>
      </c>
      <c r="N5288">
        <v>-1.0636029999999999E-2</v>
      </c>
      <c r="O5288">
        <v>-4.5564960000000002E-3</v>
      </c>
      <c r="P5288">
        <v>-0.98274289999999997</v>
      </c>
      <c r="Q5288">
        <v>0.18269289999999999</v>
      </c>
      <c r="R5288">
        <v>2.89781E-2</v>
      </c>
      <c r="S5288">
        <v>-3.0500180000000001</v>
      </c>
      <c r="T5288">
        <v>6.2263010000000001E-3</v>
      </c>
      <c r="U5288">
        <v>5.5007929999999997E-2</v>
      </c>
      <c r="V5288">
        <v>3.2884089999999998E-2</v>
      </c>
      <c r="W5288">
        <v>0.19323180000000001</v>
      </c>
      <c r="X5288">
        <v>0.98060190000000003</v>
      </c>
      <c r="Y5288">
        <v>2.2588009999999999E-2</v>
      </c>
      <c r="Z5288" s="1">
        <v>3.9321620000000001E-5</v>
      </c>
      <c r="AA5288">
        <v>0.99974479999999999</v>
      </c>
      <c r="AB5288">
        <v>48</v>
      </c>
      <c r="AC5288">
        <v>-3.0500180000000001</v>
      </c>
      <c r="AD5288">
        <v>6.2263010000000001E-3</v>
      </c>
      <c r="AE5288">
        <v>5.5007929999999997E-2</v>
      </c>
      <c r="AF5288">
        <v>6.8905252170379697E-2</v>
      </c>
      <c r="AG5288">
        <v>6.2263010000000001E-3</v>
      </c>
      <c r="AH5288">
        <v>3.0497229719675198</v>
      </c>
      <c r="AI5288">
        <v>89.883055196636704</v>
      </c>
      <c r="AJ5288">
        <v>88.705682915670806</v>
      </c>
      <c r="AK5288">
        <v>3.05050764731826</v>
      </c>
      <c r="AL5288">
        <v>78.858551129165505</v>
      </c>
      <c r="AM5288">
        <v>88.079328857101103</v>
      </c>
      <c r="AN5288">
        <v>0.99999998909498899</v>
      </c>
    </row>
    <row r="5289" spans="1:40" x14ac:dyDescent="0.25">
      <c r="A5289" t="str">
        <f>"20190303170358795"</f>
        <v>20190303170358795</v>
      </c>
      <c r="B5289" t="str">
        <f>"1551603838780600"</f>
        <v>1551603838780600</v>
      </c>
      <c r="C5289" t="s">
        <v>40</v>
      </c>
      <c r="D5289">
        <v>3.7916919999999998</v>
      </c>
      <c r="E5289">
        <v>0.49958570000000002</v>
      </c>
      <c r="F5289" t="s">
        <v>48</v>
      </c>
      <c r="G5289">
        <v>0</v>
      </c>
      <c r="H5289">
        <v>0</v>
      </c>
      <c r="I5289">
        <v>0</v>
      </c>
      <c r="J5289">
        <v>-340.94909999999999</v>
      </c>
      <c r="K5289">
        <v>1.1221650000000001</v>
      </c>
      <c r="L5289">
        <v>142.32910000000001</v>
      </c>
      <c r="M5289">
        <v>-0.99992360000000002</v>
      </c>
      <c r="N5289">
        <v>-1.1127740000000001E-2</v>
      </c>
      <c r="O5289">
        <v>-5.4015720000000003E-3</v>
      </c>
      <c r="P5289">
        <v>-0.98290560000000005</v>
      </c>
      <c r="Q5289">
        <v>0.182065</v>
      </c>
      <c r="R5289">
        <v>2.73767E-2</v>
      </c>
      <c r="S5289">
        <v>-3.0499879999999999</v>
      </c>
      <c r="T5289">
        <v>6.2882900000000002E-3</v>
      </c>
      <c r="U5289">
        <v>5.204773E-2</v>
      </c>
      <c r="V5289">
        <v>3.2138340000000001E-2</v>
      </c>
      <c r="W5289">
        <v>0.19308120000000001</v>
      </c>
      <c r="X5289">
        <v>0.98065630000000004</v>
      </c>
      <c r="Y5289">
        <v>2.2463029999999998E-2</v>
      </c>
      <c r="Z5289" s="1">
        <v>3.0599109999999997E-5</v>
      </c>
      <c r="AA5289">
        <v>0.99974770000000002</v>
      </c>
      <c r="AB5289">
        <v>48</v>
      </c>
      <c r="AC5289">
        <v>-3.0499879999999999</v>
      </c>
      <c r="AD5289">
        <v>6.2882900000000002E-3</v>
      </c>
      <c r="AE5289">
        <v>5.204773E-2</v>
      </c>
      <c r="AF5289">
        <v>6.8522427569067498E-2</v>
      </c>
      <c r="AG5289">
        <v>6.2882900000000002E-3</v>
      </c>
      <c r="AH5289">
        <v>3.0496493828937199</v>
      </c>
      <c r="AI5289">
        <v>89.881887715996498</v>
      </c>
      <c r="AJ5289">
        <v>88.712840423338605</v>
      </c>
      <c r="AK5289">
        <v>3.05042558084198</v>
      </c>
      <c r="AL5289">
        <v>78.867345620372006</v>
      </c>
      <c r="AM5289">
        <v>88.122958639647294</v>
      </c>
      <c r="AN5289">
        <v>1.0000000007105401</v>
      </c>
    </row>
    <row r="5290" spans="1:40" x14ac:dyDescent="0.25">
      <c r="A5290" t="str">
        <f>"20190303170358811"</f>
        <v>20190303170358811</v>
      </c>
      <c r="B5290" t="str">
        <f>"1551603838801096"</f>
        <v>1551603838801096</v>
      </c>
      <c r="C5290" t="s">
        <v>40</v>
      </c>
      <c r="D5290">
        <v>3.8043490000000002</v>
      </c>
      <c r="E5290">
        <v>0.49977379999999999</v>
      </c>
      <c r="F5290" t="s">
        <v>48</v>
      </c>
      <c r="G5290">
        <v>0</v>
      </c>
      <c r="H5290">
        <v>0</v>
      </c>
      <c r="I5290">
        <v>0</v>
      </c>
      <c r="J5290">
        <v>-341.2944</v>
      </c>
      <c r="K5290">
        <v>1.122152</v>
      </c>
      <c r="L5290">
        <v>142.32679999999999</v>
      </c>
      <c r="M5290">
        <v>-0.9999169</v>
      </c>
      <c r="N5290">
        <v>-1.1446349999999999E-2</v>
      </c>
      <c r="O5290">
        <v>-5.9421119999999899E-3</v>
      </c>
      <c r="P5290">
        <v>-0.98313919999999999</v>
      </c>
      <c r="Q5290">
        <v>0.1809258</v>
      </c>
      <c r="R5290">
        <v>2.6520189999999999E-2</v>
      </c>
      <c r="S5290">
        <v>-3.0501710000000002</v>
      </c>
      <c r="T5290">
        <v>3.4034249999999999E-3</v>
      </c>
      <c r="U5290">
        <v>4.7576899999999998E-2</v>
      </c>
      <c r="V5290">
        <v>3.1836879999999998E-2</v>
      </c>
      <c r="W5290">
        <v>0.19225300000000001</v>
      </c>
      <c r="X5290">
        <v>0.98082879999999995</v>
      </c>
      <c r="Y5290">
        <v>2.1537379999999998E-2</v>
      </c>
      <c r="Z5290" s="1">
        <v>3.6615400000000002E-5</v>
      </c>
      <c r="AA5290">
        <v>0.99976799999999999</v>
      </c>
      <c r="AB5290">
        <v>48</v>
      </c>
      <c r="AC5290">
        <v>-3.0501710000000002</v>
      </c>
      <c r="AD5290">
        <v>3.4034249999999999E-3</v>
      </c>
      <c r="AE5290">
        <v>4.7576899999999998E-2</v>
      </c>
      <c r="AF5290">
        <v>6.5701622084104905E-2</v>
      </c>
      <c r="AG5290">
        <v>3.4034249999999999E-3</v>
      </c>
      <c r="AH5290">
        <v>3.0498306216821098</v>
      </c>
      <c r="AI5290">
        <v>89.936076261810499</v>
      </c>
      <c r="AJ5290">
        <v>88.765884424599193</v>
      </c>
      <c r="AK5290">
        <v>3.0505401337133899</v>
      </c>
      <c r="AL5290">
        <v>78.915703664044599</v>
      </c>
      <c r="AM5290">
        <v>88.140879802125596</v>
      </c>
      <c r="AN5290">
        <v>0.99999996892328602</v>
      </c>
    </row>
    <row r="5291" spans="1:40" x14ac:dyDescent="0.25">
      <c r="A5291" t="str">
        <f>"20190303170358829"</f>
        <v>20190303170358829</v>
      </c>
      <c r="B5291" t="str">
        <f>"1551603838820615"</f>
        <v>1551603838820615</v>
      </c>
      <c r="C5291" t="s">
        <v>40</v>
      </c>
      <c r="D5291">
        <v>3.7957550000000002</v>
      </c>
      <c r="E5291">
        <v>0.49976660000000001</v>
      </c>
      <c r="F5291" t="s">
        <v>48</v>
      </c>
      <c r="G5291">
        <v>0</v>
      </c>
      <c r="H5291">
        <v>0</v>
      </c>
      <c r="I5291">
        <v>0</v>
      </c>
      <c r="J5291">
        <v>-341.68340000000001</v>
      </c>
      <c r="K5291">
        <v>1.12212</v>
      </c>
      <c r="L5291">
        <v>142.32409999999999</v>
      </c>
      <c r="M5291">
        <v>-0.99990950000000001</v>
      </c>
      <c r="N5291">
        <v>-1.1781420000000001E-2</v>
      </c>
      <c r="O5291">
        <v>-6.5040599999999999E-3</v>
      </c>
      <c r="P5291">
        <v>-0.98340740000000004</v>
      </c>
      <c r="Q5291">
        <v>0.17963989999999999</v>
      </c>
      <c r="R5291">
        <v>2.5288620000000001E-2</v>
      </c>
      <c r="S5291">
        <v>-3.0504760000000002</v>
      </c>
      <c r="T5291">
        <v>-1.4646049999999999E-3</v>
      </c>
      <c r="U5291">
        <v>4.6203609999999999E-2</v>
      </c>
      <c r="V5291">
        <v>3.1187280000000001E-2</v>
      </c>
      <c r="W5291">
        <v>0.1912932</v>
      </c>
      <c r="X5291">
        <v>0.98103739999999995</v>
      </c>
      <c r="Y5291">
        <v>2.1647599999999999E-2</v>
      </c>
      <c r="Z5291" s="1">
        <v>5.9225740000000001E-5</v>
      </c>
      <c r="AA5291">
        <v>0.99976560000000003</v>
      </c>
      <c r="AB5291">
        <v>48</v>
      </c>
      <c r="AC5291">
        <v>-3.0504760000000002</v>
      </c>
      <c r="AD5291">
        <v>-1.4646049999999999E-3</v>
      </c>
      <c r="AE5291">
        <v>4.6203609999999999E-2</v>
      </c>
      <c r="AF5291">
        <v>6.6044472266078097E-2</v>
      </c>
      <c r="AG5291">
        <v>-1.4646049999999999E-3</v>
      </c>
      <c r="AH5291">
        <v>3.0501102336967998</v>
      </c>
      <c r="AI5291">
        <v>90.027505895492496</v>
      </c>
      <c r="AJ5291">
        <v>88.759560147139695</v>
      </c>
      <c r="AK5291">
        <v>3.0508255366517898</v>
      </c>
      <c r="AL5291">
        <v>78.971737149491602</v>
      </c>
      <c r="AM5291">
        <v>88.1791744840653</v>
      </c>
      <c r="AN5291">
        <v>1.0000000574993899</v>
      </c>
    </row>
    <row r="5292" spans="1:40" x14ac:dyDescent="0.25">
      <c r="A5292" t="str">
        <f>"20190303170358845"</f>
        <v>20190303170358845</v>
      </c>
      <c r="B5292" t="str">
        <f>"1551603838831352"</f>
        <v>1551603838831352</v>
      </c>
      <c r="C5292" t="s">
        <v>40</v>
      </c>
      <c r="D5292">
        <v>3.8109730000000002</v>
      </c>
      <c r="E5292">
        <v>0.49984620000000002</v>
      </c>
      <c r="F5292" t="s">
        <v>48</v>
      </c>
      <c r="G5292">
        <v>0</v>
      </c>
      <c r="H5292">
        <v>0</v>
      </c>
      <c r="I5292">
        <v>0</v>
      </c>
      <c r="J5292">
        <v>-342.02620000000002</v>
      </c>
      <c r="K5292">
        <v>1.1220859999999999</v>
      </c>
      <c r="L5292">
        <v>142.32159999999999</v>
      </c>
      <c r="M5292">
        <v>-0.99990330000000005</v>
      </c>
      <c r="N5292">
        <v>-1.2053950000000001E-2</v>
      </c>
      <c r="O5292">
        <v>-6.9540409999999898E-3</v>
      </c>
      <c r="P5292">
        <v>-0.98351639999999996</v>
      </c>
      <c r="Q5292">
        <v>0.17915899999999901</v>
      </c>
      <c r="R5292">
        <v>2.444731E-2</v>
      </c>
      <c r="S5292">
        <v>-3.050659</v>
      </c>
      <c r="T5292">
        <v>-6.4381359999999997E-3</v>
      </c>
      <c r="U5292">
        <v>4.3136599999999997E-2</v>
      </c>
      <c r="V5292">
        <v>3.0813670000000001E-2</v>
      </c>
      <c r="W5292">
        <v>0.19107550000000001</v>
      </c>
      <c r="X5292">
        <v>0.98109159999999995</v>
      </c>
      <c r="Y5292">
        <v>2.1091530000000001E-2</v>
      </c>
      <c r="Z5292" s="1">
        <v>8.0237510000000006E-5</v>
      </c>
      <c r="AA5292">
        <v>0.99977760000000004</v>
      </c>
      <c r="AB5292">
        <v>48</v>
      </c>
      <c r="AC5292">
        <v>-3.050659</v>
      </c>
      <c r="AD5292">
        <v>-6.4381359999999997E-3</v>
      </c>
      <c r="AE5292">
        <v>4.3136599999999997E-2</v>
      </c>
      <c r="AF5292">
        <v>6.43512165837761E-2</v>
      </c>
      <c r="AG5292">
        <v>-6.4381359999999997E-3</v>
      </c>
      <c r="AH5292">
        <v>3.0502716473829201</v>
      </c>
      <c r="AI5292">
        <v>90.120905759726199</v>
      </c>
      <c r="AJ5292">
        <v>88.791417067138696</v>
      </c>
      <c r="AK5292">
        <v>3.0509571697254398</v>
      </c>
      <c r="AL5292">
        <v>78.984444518288896</v>
      </c>
      <c r="AM5292">
        <v>88.201072079452103</v>
      </c>
      <c r="AN5292">
        <v>1.00000002827483</v>
      </c>
    </row>
    <row r="5293" spans="1:40" x14ac:dyDescent="0.25">
      <c r="A5293" t="str">
        <f>"20190303170358859"</f>
        <v>20190303170358859</v>
      </c>
      <c r="B5293" t="str">
        <f>"1551603838850872"</f>
        <v>1551603838850872</v>
      </c>
      <c r="C5293" t="s">
        <v>40</v>
      </c>
      <c r="D5293">
        <v>3.7848250000000001</v>
      </c>
      <c r="E5293">
        <v>0.50333620000000001</v>
      </c>
      <c r="F5293" t="s">
        <v>48</v>
      </c>
      <c r="G5293">
        <v>0</v>
      </c>
      <c r="H5293">
        <v>0</v>
      </c>
      <c r="I5293">
        <v>0</v>
      </c>
      <c r="J5293">
        <v>-342.3374</v>
      </c>
      <c r="K5293">
        <v>1.1220490000000001</v>
      </c>
      <c r="L5293">
        <v>142.3192</v>
      </c>
      <c r="M5293">
        <v>-0.9998977</v>
      </c>
      <c r="N5293">
        <v>-1.2285330000000001E-2</v>
      </c>
      <c r="O5293">
        <v>-7.3302259999999996E-3</v>
      </c>
      <c r="P5293">
        <v>-0.98367309999999997</v>
      </c>
      <c r="Q5293">
        <v>0.17835479999999901</v>
      </c>
      <c r="R5293">
        <v>2.401874E-2</v>
      </c>
      <c r="S5293">
        <v>-3.0508120000000001</v>
      </c>
      <c r="T5293">
        <v>-8.3700419999999994E-3</v>
      </c>
      <c r="U5293">
        <v>4.1580199999999998E-2</v>
      </c>
      <c r="V5293">
        <v>3.078022E-2</v>
      </c>
      <c r="W5293">
        <v>0.190497</v>
      </c>
      <c r="X5293">
        <v>0.98120510000000005</v>
      </c>
      <c r="Y5293">
        <v>2.0956929999999999E-2</v>
      </c>
      <c r="Z5293" s="1">
        <v>8.7546710000000001E-5</v>
      </c>
      <c r="AA5293">
        <v>0.99978040000000001</v>
      </c>
      <c r="AB5293">
        <v>48</v>
      </c>
      <c r="AC5293">
        <v>-3.0508120000000001</v>
      </c>
      <c r="AD5293">
        <v>-8.3700419999999994E-3</v>
      </c>
      <c r="AE5293">
        <v>4.1580199999999998E-2</v>
      </c>
      <c r="AF5293">
        <v>6.3943429959010298E-2</v>
      </c>
      <c r="AG5293">
        <v>-8.3700419999999994E-3</v>
      </c>
      <c r="AH5293">
        <v>3.0504022515918399</v>
      </c>
      <c r="AI5293">
        <v>90.157179777607595</v>
      </c>
      <c r="AJ5293">
        <v>88.799124878110007</v>
      </c>
      <c r="AK5293">
        <v>3.0510838592792902</v>
      </c>
      <c r="AL5293">
        <v>79.018209909446597</v>
      </c>
      <c r="AM5293">
        <v>88.203231364817995</v>
      </c>
      <c r="AN5293">
        <v>0.99999998860912898</v>
      </c>
    </row>
    <row r="5294" spans="1:40" x14ac:dyDescent="0.25">
      <c r="A5294" t="str">
        <f>"20190303170358872"</f>
        <v>20190303170358872</v>
      </c>
      <c r="B5294" t="str">
        <f>"1551603838860632"</f>
        <v>1551603838860632</v>
      </c>
      <c r="C5294" t="s">
        <v>40</v>
      </c>
      <c r="D5294">
        <v>3.800271</v>
      </c>
      <c r="E5294">
        <v>0.50269540000000001</v>
      </c>
      <c r="F5294" t="s">
        <v>75</v>
      </c>
      <c r="G5294">
        <v>-492.75</v>
      </c>
      <c r="H5294" s="1">
        <v>-7.5007379999999998E-6</v>
      </c>
      <c r="I5294">
        <v>145.65260000000001</v>
      </c>
      <c r="J5294">
        <v>-342.62079999999997</v>
      </c>
      <c r="K5294">
        <v>1.122012</v>
      </c>
      <c r="L5294">
        <v>142.3169</v>
      </c>
      <c r="M5294">
        <v>-0.99989289999999997</v>
      </c>
      <c r="N5294">
        <v>-1.248175E-2</v>
      </c>
      <c r="O5294">
        <v>-7.6438640000000002E-3</v>
      </c>
      <c r="P5294">
        <v>-0.98374309999999998</v>
      </c>
      <c r="Q5294">
        <v>0.17792479999999999</v>
      </c>
      <c r="R5294">
        <v>2.4337250000000001E-2</v>
      </c>
      <c r="S5294">
        <v>-3.052216</v>
      </c>
      <c r="T5294">
        <v>-2.2769089999999999E-2</v>
      </c>
      <c r="U5294">
        <v>6.7642209999999994E-2</v>
      </c>
      <c r="V5294">
        <v>3.1429789999999999E-2</v>
      </c>
      <c r="W5294">
        <v>0.1902577</v>
      </c>
      <c r="X5294">
        <v>0.98123099999999996</v>
      </c>
      <c r="Y5294">
        <v>2.979586E-2</v>
      </c>
      <c r="Z5294">
        <v>2.5872530000000001E-4</v>
      </c>
      <c r="AA5294">
        <v>0.99955590000000005</v>
      </c>
      <c r="AB5294">
        <v>48</v>
      </c>
      <c r="AC5294">
        <v>-150.1292</v>
      </c>
      <c r="AD5294">
        <v>-1.1220195007380001</v>
      </c>
      <c r="AE5294">
        <v>3.3357000000000001</v>
      </c>
      <c r="AF5294">
        <v>4.4830088235385999</v>
      </c>
      <c r="AG5294">
        <v>-1.1220195007380001</v>
      </c>
      <c r="AH5294">
        <v>150.090934350927</v>
      </c>
      <c r="AI5294">
        <v>90.428121319603903</v>
      </c>
      <c r="AJ5294">
        <v>88.289162877930806</v>
      </c>
      <c r="AK5294">
        <v>150.16206202036</v>
      </c>
      <c r="AL5294">
        <v>79.032176898421895</v>
      </c>
      <c r="AM5294">
        <v>88.165387319617693</v>
      </c>
      <c r="AN5294">
        <v>1.00000004973486</v>
      </c>
    </row>
    <row r="5295" spans="1:40" x14ac:dyDescent="0.25">
      <c r="A5295" t="str">
        <f>"20190303170358896"</f>
        <v>20190303170358896</v>
      </c>
      <c r="B5295" t="str">
        <f>"1551603838890888"</f>
        <v>1551603838890888</v>
      </c>
      <c r="C5295" t="s">
        <v>40</v>
      </c>
      <c r="D5295">
        <v>3.8315269999999999</v>
      </c>
      <c r="E5295">
        <v>0.50242140000000002</v>
      </c>
      <c r="F5295" t="s">
        <v>75</v>
      </c>
      <c r="G5295">
        <v>-499.96539999999999</v>
      </c>
      <c r="H5295">
        <v>5.7638929999999998E-2</v>
      </c>
      <c r="I5295">
        <v>145.60939999999999</v>
      </c>
      <c r="J5295">
        <v>-343.12259999999998</v>
      </c>
      <c r="K5295">
        <v>1.1219349999999999</v>
      </c>
      <c r="L5295">
        <v>142.31270000000001</v>
      </c>
      <c r="M5295">
        <v>-0.99988509999999997</v>
      </c>
      <c r="N5295">
        <v>-1.279635E-2</v>
      </c>
      <c r="O5295">
        <v>-8.134957E-3</v>
      </c>
      <c r="P5295">
        <v>-0.98384199999999999</v>
      </c>
      <c r="Q5295">
        <v>0.1773776</v>
      </c>
      <c r="R5295">
        <v>2.4336569999999998E-2</v>
      </c>
      <c r="S5295">
        <v>-3.0517270000000001</v>
      </c>
      <c r="T5295">
        <v>-2.0643709999999999E-2</v>
      </c>
      <c r="U5295">
        <v>6.3858029999999996E-2</v>
      </c>
      <c r="V5295">
        <v>3.19522E-2</v>
      </c>
      <c r="W5295">
        <v>0.1900152</v>
      </c>
      <c r="X5295">
        <v>0.9812611</v>
      </c>
      <c r="Y5295">
        <v>2.905172E-2</v>
      </c>
      <c r="Z5295">
        <v>2.3509520000000001E-4</v>
      </c>
      <c r="AA5295">
        <v>0.99957790000000002</v>
      </c>
      <c r="AB5295">
        <v>48</v>
      </c>
      <c r="AC5295">
        <v>-156.84280000000001</v>
      </c>
      <c r="AD5295">
        <v>-1.0642960699999999</v>
      </c>
      <c r="AE5295">
        <v>3.29669999999998</v>
      </c>
      <c r="AF5295">
        <v>4.57239426914881</v>
      </c>
      <c r="AG5295">
        <v>-1.0642960699999999</v>
      </c>
      <c r="AH5295">
        <v>156.803571571324</v>
      </c>
      <c r="AI5295">
        <v>90.388720919793499</v>
      </c>
      <c r="AJ5295">
        <v>88.329727601108601</v>
      </c>
      <c r="AK5295">
        <v>156.87383329606101</v>
      </c>
      <c r="AL5295">
        <v>79.046329109645797</v>
      </c>
      <c r="AM5295">
        <v>88.134971851579706</v>
      </c>
      <c r="AN5295">
        <v>1.00000003284454</v>
      </c>
    </row>
    <row r="5296" spans="1:40" x14ac:dyDescent="0.25">
      <c r="A5296" t="str">
        <f>"20190303170358913"</f>
        <v>20190303170358913</v>
      </c>
      <c r="B5296" t="str">
        <f>"1551603838900647"</f>
        <v>1551603838900647</v>
      </c>
      <c r="C5296" t="s">
        <v>40</v>
      </c>
      <c r="D5296">
        <v>3.8439809999999999</v>
      </c>
      <c r="E5296">
        <v>0.50235989999999997</v>
      </c>
      <c r="F5296" t="s">
        <v>44</v>
      </c>
      <c r="G5296">
        <v>-543.08420000000001</v>
      </c>
      <c r="H5296">
        <v>-0.05</v>
      </c>
      <c r="I5296">
        <v>146.39789999999999</v>
      </c>
      <c r="J5296">
        <v>-343.49450000000002</v>
      </c>
      <c r="K5296">
        <v>1.12188</v>
      </c>
      <c r="L5296">
        <v>142.30940000000001</v>
      </c>
      <c r="M5296">
        <v>-0.99987979999999999</v>
      </c>
      <c r="N5296">
        <v>-1.300395E-2</v>
      </c>
      <c r="O5296">
        <v>-8.4511459999999997E-3</v>
      </c>
      <c r="P5296">
        <v>-0.98385840000000002</v>
      </c>
      <c r="Q5296">
        <v>0.17729200000000001</v>
      </c>
      <c r="R5296">
        <v>2.4298230000000001E-2</v>
      </c>
      <c r="S5296">
        <v>-3.0509949999999999</v>
      </c>
      <c r="T5296">
        <v>-1.7881270000000001E-2</v>
      </c>
      <c r="U5296">
        <v>6.2332150000000003E-2</v>
      </c>
      <c r="V5296">
        <v>3.2253379999999998E-2</v>
      </c>
      <c r="W5296">
        <v>0.19012950000000001</v>
      </c>
      <c r="X5296">
        <v>0.98122909999999997</v>
      </c>
      <c r="Y5296">
        <v>2.88734E-2</v>
      </c>
      <c r="Z5296">
        <v>2.120023E-4</v>
      </c>
      <c r="AA5296">
        <v>0.99958309999999995</v>
      </c>
      <c r="AB5296">
        <v>48</v>
      </c>
      <c r="AC5296">
        <v>-199.58969999999999</v>
      </c>
      <c r="AD5296">
        <v>-1.17188</v>
      </c>
      <c r="AE5296">
        <v>4.0884999999999803</v>
      </c>
      <c r="AF5296">
        <v>5.7750591770234498</v>
      </c>
      <c r="AG5296">
        <v>-1.17188</v>
      </c>
      <c r="AH5296">
        <v>199.54113963375099</v>
      </c>
      <c r="AI5296">
        <v>90.336346200920403</v>
      </c>
      <c r="AJ5296">
        <v>88.342225676520698</v>
      </c>
      <c r="AK5296">
        <v>199.62813182907999</v>
      </c>
      <c r="AL5296">
        <v>79.039658534468501</v>
      </c>
      <c r="AM5296">
        <v>88.117343419942799</v>
      </c>
      <c r="AN5296">
        <v>1.00000002698924</v>
      </c>
    </row>
    <row r="5297" spans="1:40" x14ac:dyDescent="0.25">
      <c r="A5297" t="str">
        <f>"20190303170358928"</f>
        <v>20190303170358928</v>
      </c>
      <c r="B5297" t="str">
        <f>"1551603838921144"</f>
        <v>1551603838921144</v>
      </c>
      <c r="C5297" t="s">
        <v>40</v>
      </c>
      <c r="D5297">
        <v>3.834238</v>
      </c>
      <c r="E5297">
        <v>0.5022316</v>
      </c>
      <c r="F5297" t="s">
        <v>44</v>
      </c>
      <c r="G5297">
        <v>-542.65719999999999</v>
      </c>
      <c r="H5297">
        <v>-0.05</v>
      </c>
      <c r="I5297">
        <v>146.3596</v>
      </c>
      <c r="J5297">
        <v>-343.82159999999999</v>
      </c>
      <c r="K5297">
        <v>1.121831</v>
      </c>
      <c r="L5297">
        <v>142.3065</v>
      </c>
      <c r="M5297">
        <v>-0.99987550000000003</v>
      </c>
      <c r="N5297">
        <v>-1.3168610000000001E-2</v>
      </c>
      <c r="O5297">
        <v>-8.7005620000000002E-3</v>
      </c>
      <c r="P5297">
        <v>-0.98386719999999905</v>
      </c>
      <c r="Q5297">
        <v>0.17728729999999901</v>
      </c>
      <c r="R5297">
        <v>2.3976629999999999E-2</v>
      </c>
      <c r="S5297">
        <v>-3.0509029999999999</v>
      </c>
      <c r="T5297">
        <v>-1.795161E-2</v>
      </c>
      <c r="U5297">
        <v>6.2042239999999999E-2</v>
      </c>
      <c r="V5297">
        <v>3.2200909999999999E-2</v>
      </c>
      <c r="W5297">
        <v>0.19028210000000001</v>
      </c>
      <c r="X5297">
        <v>0.9812012</v>
      </c>
      <c r="Y5297">
        <v>2.9028379999999999E-2</v>
      </c>
      <c r="Z5297">
        <v>2.1317959999999999E-4</v>
      </c>
      <c r="AA5297">
        <v>0.99957850000000004</v>
      </c>
      <c r="AB5297">
        <v>48</v>
      </c>
      <c r="AC5297">
        <v>-198.8356</v>
      </c>
      <c r="AD5297">
        <v>-1.1718309999999901</v>
      </c>
      <c r="AE5297">
        <v>4.0530999999999997</v>
      </c>
      <c r="AF5297">
        <v>5.7828771629257396</v>
      </c>
      <c r="AG5297">
        <v>-1.1718309999999901</v>
      </c>
      <c r="AH5297">
        <v>198.785903790791</v>
      </c>
      <c r="AI5297">
        <v>90.337608454197706</v>
      </c>
      <c r="AJ5297">
        <v>88.333679460294505</v>
      </c>
      <c r="AK5297">
        <v>198.87345323621199</v>
      </c>
      <c r="AL5297">
        <v>79.030752154036193</v>
      </c>
      <c r="AM5297">
        <v>88.120350531655603</v>
      </c>
      <c r="AN5297">
        <v>0.99999998553333802</v>
      </c>
    </row>
    <row r="5298" spans="1:40" x14ac:dyDescent="0.25">
      <c r="A5298" t="str">
        <f>"20190303170358951"</f>
        <v>20190303170358951</v>
      </c>
      <c r="B5298" t="str">
        <f>"1551603838940910"</f>
        <v>1551603838940910</v>
      </c>
      <c r="C5298" t="s">
        <v>40</v>
      </c>
      <c r="D5298">
        <v>3.8292480000000002</v>
      </c>
      <c r="E5298">
        <v>0.50217100000000003</v>
      </c>
      <c r="F5298" t="s">
        <v>44</v>
      </c>
      <c r="G5298">
        <v>-558.31960000000004</v>
      </c>
      <c r="H5298">
        <v>-0.05</v>
      </c>
      <c r="I5298">
        <v>146.5549</v>
      </c>
      <c r="J5298">
        <v>-344.31349999999998</v>
      </c>
      <c r="K5298">
        <v>1.121756</v>
      </c>
      <c r="L5298">
        <v>142.30189999999999</v>
      </c>
      <c r="M5298">
        <v>-0.99986949999999997</v>
      </c>
      <c r="N5298">
        <v>-1.339337E-2</v>
      </c>
      <c r="O5298">
        <v>-9.0443429999999998E-3</v>
      </c>
      <c r="P5298">
        <v>-0.98386899999999999</v>
      </c>
      <c r="Q5298">
        <v>0.17722309999999999</v>
      </c>
      <c r="R5298">
        <v>2.4369869999999998E-2</v>
      </c>
      <c r="S5298">
        <v>-3.050751</v>
      </c>
      <c r="T5298">
        <v>-1.6666650000000002E-2</v>
      </c>
      <c r="U5298">
        <v>6.0424800000000001E-2</v>
      </c>
      <c r="V5298">
        <v>3.2965439999999999E-2</v>
      </c>
      <c r="W5298">
        <v>0.19043379999999999</v>
      </c>
      <c r="X5298">
        <v>0.98114639999999997</v>
      </c>
      <c r="Y5298">
        <v>2.884345E-2</v>
      </c>
      <c r="Z5298">
        <v>2.0024579999999999E-4</v>
      </c>
      <c r="AA5298">
        <v>0.99958389999999997</v>
      </c>
      <c r="AB5298">
        <v>48</v>
      </c>
      <c r="AC5298">
        <v>-214.0061</v>
      </c>
      <c r="AD5298">
        <v>-1.171756</v>
      </c>
      <c r="AE5298">
        <v>4.2530000000000099</v>
      </c>
      <c r="AF5298">
        <v>6.1883585715824099</v>
      </c>
      <c r="AG5298">
        <v>-1.171756</v>
      </c>
      <c r="AH5298">
        <v>213.95246472893101</v>
      </c>
      <c r="AI5298">
        <v>90.313658164921506</v>
      </c>
      <c r="AJ5298">
        <v>88.343239458398202</v>
      </c>
      <c r="AK5298">
        <v>214.04514934358701</v>
      </c>
      <c r="AL5298">
        <v>79.021898712708193</v>
      </c>
      <c r="AM5298">
        <v>88.075648727416294</v>
      </c>
      <c r="AN5298">
        <v>1.0000000053248901</v>
      </c>
    </row>
    <row r="5299" spans="1:40" x14ac:dyDescent="0.25">
      <c r="A5299" t="str">
        <f>"20190303170358973"</f>
        <v>20190303170358973</v>
      </c>
      <c r="B5299" t="str">
        <f>"1551603838961405"</f>
        <v>1551603838961405</v>
      </c>
      <c r="C5299" t="s">
        <v>40</v>
      </c>
      <c r="D5299">
        <v>3.8703090000000002</v>
      </c>
      <c r="E5299">
        <v>0.50212959999999995</v>
      </c>
      <c r="F5299" t="s">
        <v>48</v>
      </c>
      <c r="G5299">
        <v>0</v>
      </c>
      <c r="H5299">
        <v>0</v>
      </c>
      <c r="I5299">
        <v>0</v>
      </c>
      <c r="J5299">
        <v>-344.77370000000002</v>
      </c>
      <c r="K5299">
        <v>1.1216930000000001</v>
      </c>
      <c r="L5299">
        <v>142.29750000000001</v>
      </c>
      <c r="M5299">
        <v>-0.99986439999999999</v>
      </c>
      <c r="N5299">
        <v>-1.3576680000000001E-2</v>
      </c>
      <c r="O5299">
        <v>-9.3357189999999993E-3</v>
      </c>
      <c r="P5299">
        <v>-0.98395250000000001</v>
      </c>
      <c r="Q5299">
        <v>0.17672489999999999</v>
      </c>
      <c r="R5299">
        <v>2.4614899999999999E-2</v>
      </c>
      <c r="S5299">
        <v>-3.0505070000000001</v>
      </c>
      <c r="T5299">
        <v>-1.5774489999999999E-2</v>
      </c>
      <c r="U5299">
        <v>6.0852049999999998E-2</v>
      </c>
      <c r="V5299">
        <v>3.3525720000000002E-2</v>
      </c>
      <c r="W5299">
        <v>0.1901127</v>
      </c>
      <c r="X5299">
        <v>0.98118970000000005</v>
      </c>
      <c r="Y5299">
        <v>2.9276320000000002E-2</v>
      </c>
      <c r="Z5299">
        <v>1.9598909999999999E-4</v>
      </c>
      <c r="AA5299">
        <v>0.99957130000000005</v>
      </c>
      <c r="AB5299">
        <v>48</v>
      </c>
      <c r="AC5299">
        <v>-3.0505070000000001</v>
      </c>
      <c r="AD5299">
        <v>-1.5774489999999999E-2</v>
      </c>
      <c r="AE5299">
        <v>6.0852049999999998E-2</v>
      </c>
      <c r="AF5299">
        <v>8.93283068659282E-2</v>
      </c>
      <c r="AG5299">
        <v>-1.5774489999999999E-2</v>
      </c>
      <c r="AH5299">
        <v>3.0497243700889101</v>
      </c>
      <c r="AI5299">
        <v>90.2962288006118</v>
      </c>
      <c r="AJ5299">
        <v>88.3222509899459</v>
      </c>
      <c r="AK5299">
        <v>3.05107310867119</v>
      </c>
      <c r="AL5299">
        <v>79.040638908738401</v>
      </c>
      <c r="AM5299">
        <v>88.043054006383201</v>
      </c>
      <c r="AN5299">
        <v>1.0000000199944401</v>
      </c>
    </row>
    <row r="5300" spans="1:40" x14ac:dyDescent="0.25">
      <c r="A5300" t="str">
        <f>"20190303170358997"</f>
        <v>20190303170358997</v>
      </c>
      <c r="B5300" t="str">
        <f>"1551603838991661"</f>
        <v>1551603838991661</v>
      </c>
      <c r="C5300" t="s">
        <v>40</v>
      </c>
      <c r="D5300">
        <v>3.879089</v>
      </c>
      <c r="E5300">
        <v>0.50215739999999998</v>
      </c>
      <c r="F5300" t="s">
        <v>44</v>
      </c>
      <c r="G5300">
        <v>-558.66690000000006</v>
      </c>
      <c r="H5300">
        <v>-0.05</v>
      </c>
      <c r="I5300">
        <v>146.5677</v>
      </c>
      <c r="J5300">
        <v>-345.27769999999998</v>
      </c>
      <c r="K5300">
        <v>1.1216390000000001</v>
      </c>
      <c r="L5300">
        <v>142.29249999999999</v>
      </c>
      <c r="M5300">
        <v>-0.99985919999999895</v>
      </c>
      <c r="N5300">
        <v>-1.3750739999999999E-2</v>
      </c>
      <c r="O5300">
        <v>-9.6321040000000007E-3</v>
      </c>
      <c r="P5300">
        <v>-0.98403719999999995</v>
      </c>
      <c r="Q5300">
        <v>0.1762512</v>
      </c>
      <c r="R5300">
        <v>2.4633470000000001E-2</v>
      </c>
      <c r="S5300">
        <v>-3.0503849999999999</v>
      </c>
      <c r="T5300">
        <v>-1.67097999999999E-2</v>
      </c>
      <c r="U5300">
        <v>6.089783E-2</v>
      </c>
      <c r="V5300">
        <v>3.3862879999999998E-2</v>
      </c>
      <c r="W5300">
        <v>0.18980649999999999</v>
      </c>
      <c r="X5300">
        <v>0.98123740000000004</v>
      </c>
      <c r="Y5300">
        <v>2.958829E-2</v>
      </c>
      <c r="Z5300">
        <v>2.0481589999999999E-4</v>
      </c>
      <c r="AA5300">
        <v>0.99956210000000001</v>
      </c>
      <c r="AB5300">
        <v>48</v>
      </c>
      <c r="AC5300">
        <v>-213.38919999999999</v>
      </c>
      <c r="AD5300">
        <v>-1.1716389999999901</v>
      </c>
      <c r="AE5300">
        <v>4.2752000000000097</v>
      </c>
      <c r="AF5300">
        <v>6.3303918974610598</v>
      </c>
      <c r="AG5300">
        <v>-1.1716389999999901</v>
      </c>
      <c r="AH5300">
        <v>213.331687281352</v>
      </c>
      <c r="AI5300">
        <v>90.314532551255496</v>
      </c>
      <c r="AJ5300">
        <v>88.300307187334397</v>
      </c>
      <c r="AK5300">
        <v>213.42880639180399</v>
      </c>
      <c r="AL5300">
        <v>79.058508227410002</v>
      </c>
      <c r="AM5300">
        <v>88.023485021852096</v>
      </c>
      <c r="AN5300">
        <v>1.0000000186214499</v>
      </c>
    </row>
    <row r="5301" spans="1:40" x14ac:dyDescent="0.25">
      <c r="A5301" t="str">
        <f>"20190303170359012"</f>
        <v>20190303170359012</v>
      </c>
      <c r="B5301" t="str">
        <f>"1551603839001422"</f>
        <v>1551603839001422</v>
      </c>
      <c r="C5301" t="s">
        <v>40</v>
      </c>
      <c r="D5301">
        <v>3.8897889999999999</v>
      </c>
      <c r="E5301">
        <v>0.50218240000000003</v>
      </c>
      <c r="F5301" t="s">
        <v>44</v>
      </c>
      <c r="G5301">
        <v>-533.58399999999995</v>
      </c>
      <c r="H5301">
        <v>-0.05</v>
      </c>
      <c r="I5301">
        <v>146.0658</v>
      </c>
      <c r="J5301">
        <v>-345.61799999999999</v>
      </c>
      <c r="K5301">
        <v>1.1216090000000001</v>
      </c>
      <c r="L5301">
        <v>142.28909999999999</v>
      </c>
      <c r="M5301">
        <v>-0.99985590000000002</v>
      </c>
      <c r="N5301">
        <v>-1.385424E-2</v>
      </c>
      <c r="O5301">
        <v>-9.823132E-3</v>
      </c>
      <c r="P5301">
        <v>-0.98399539999999996</v>
      </c>
      <c r="Q5301">
        <v>0.17653540000000001</v>
      </c>
      <c r="R5301">
        <v>2.425623E-2</v>
      </c>
      <c r="S5301">
        <v>-3.0505369999999998</v>
      </c>
      <c r="T5301">
        <v>-1.8980380000000002E-2</v>
      </c>
      <c r="U5301">
        <v>6.1126710000000001E-2</v>
      </c>
      <c r="V5301">
        <v>3.368757E-2</v>
      </c>
      <c r="W5301">
        <v>0.19018889999999999</v>
      </c>
      <c r="X5301">
        <v>0.98116930000000002</v>
      </c>
      <c r="Y5301">
        <v>2.9852980000000001E-2</v>
      </c>
      <c r="Z5301">
        <v>2.24723E-4</v>
      </c>
      <c r="AA5301">
        <v>0.99955430000000001</v>
      </c>
      <c r="AB5301">
        <v>48</v>
      </c>
      <c r="AC5301">
        <v>-187.96599999999901</v>
      </c>
      <c r="AD5301">
        <v>-1.1716089999999999</v>
      </c>
      <c r="AE5301">
        <v>3.7766999999999999</v>
      </c>
      <c r="AF5301">
        <v>5.6228911975279097</v>
      </c>
      <c r="AG5301">
        <v>-1.1716089999999999</v>
      </c>
      <c r="AH5301">
        <v>187.912528954538</v>
      </c>
      <c r="AI5301">
        <v>90.357066929747603</v>
      </c>
      <c r="AJ5301">
        <v>88.286054509809006</v>
      </c>
      <c r="AK5301">
        <v>188.00028752945599</v>
      </c>
      <c r="AL5301">
        <v>79.036190863675898</v>
      </c>
      <c r="AM5301">
        <v>88.033573128742105</v>
      </c>
      <c r="AN5301">
        <v>0.99999993265910003</v>
      </c>
    </row>
    <row r="5302" spans="1:40" x14ac:dyDescent="0.25">
      <c r="A5302" t="str">
        <f>"20190303170359028"</f>
        <v>20190303170359028</v>
      </c>
      <c r="B5302" t="str">
        <f>"1551603839020941"</f>
        <v>1551603839020941</v>
      </c>
      <c r="C5302" t="s">
        <v>40</v>
      </c>
      <c r="D5302">
        <v>3.8835120000000001</v>
      </c>
      <c r="E5302">
        <v>0.50211499999999998</v>
      </c>
      <c r="F5302" t="s">
        <v>44</v>
      </c>
      <c r="G5302">
        <v>-540.66229999999996</v>
      </c>
      <c r="H5302">
        <v>-0.05</v>
      </c>
      <c r="I5302">
        <v>146.1328</v>
      </c>
      <c r="J5302">
        <v>-345.95589999999999</v>
      </c>
      <c r="K5302">
        <v>1.1215919999999999</v>
      </c>
      <c r="L5302">
        <v>142.28559999999999</v>
      </c>
      <c r="M5302">
        <v>-0.99985270000000004</v>
      </c>
      <c r="N5302">
        <v>-1.394638E-2</v>
      </c>
      <c r="O5302">
        <v>-1.000843E-2</v>
      </c>
      <c r="P5302">
        <v>-0.98382369999999997</v>
      </c>
      <c r="Q5302">
        <v>0.17750479999999999</v>
      </c>
      <c r="R5302">
        <v>2.4143870000000001E-2</v>
      </c>
      <c r="S5302">
        <v>-3.050659</v>
      </c>
      <c r="T5302">
        <v>-1.8324969999999999E-2</v>
      </c>
      <c r="U5302">
        <v>6.011963E-2</v>
      </c>
      <c r="V5302">
        <v>3.3767480000000002E-2</v>
      </c>
      <c r="W5302">
        <v>0.19124350000000001</v>
      </c>
      <c r="X5302">
        <v>0.98096159999999999</v>
      </c>
      <c r="Y5302">
        <v>2.9707649999999999E-2</v>
      </c>
      <c r="Z5302">
        <v>2.169486E-4</v>
      </c>
      <c r="AA5302">
        <v>0.99955859999999996</v>
      </c>
      <c r="AB5302">
        <v>48</v>
      </c>
      <c r="AC5302">
        <v>-194.7064</v>
      </c>
      <c r="AD5302">
        <v>-1.171592</v>
      </c>
      <c r="AE5302">
        <v>3.8472000000000102</v>
      </c>
      <c r="AF5302">
        <v>5.7956923367325102</v>
      </c>
      <c r="AG5302">
        <v>-1.171592</v>
      </c>
      <c r="AH5302">
        <v>194.65109296518099</v>
      </c>
      <c r="AI5302">
        <v>90.344702568687893</v>
      </c>
      <c r="AJ5302">
        <v>88.294534970547701</v>
      </c>
      <c r="AK5302">
        <v>194.74088083917101</v>
      </c>
      <c r="AL5302">
        <v>78.974637556089206</v>
      </c>
      <c r="AM5302">
        <v>88.028495248167204</v>
      </c>
      <c r="AN5302">
        <v>0.99999998983617999</v>
      </c>
    </row>
    <row r="5303" spans="1:40" x14ac:dyDescent="0.25">
      <c r="A5303" t="str">
        <f>"20190303170359052"</f>
        <v>20190303170359052</v>
      </c>
      <c r="B5303" t="str">
        <f>"1551603839041437"</f>
        <v>1551603839041437</v>
      </c>
      <c r="C5303" t="s">
        <v>40</v>
      </c>
      <c r="D5303">
        <v>3.8966229999999999</v>
      </c>
      <c r="E5303">
        <v>0.50205959999999905</v>
      </c>
      <c r="F5303" t="s">
        <v>48</v>
      </c>
      <c r="G5303">
        <v>0</v>
      </c>
      <c r="H5303">
        <v>0</v>
      </c>
      <c r="I5303">
        <v>0</v>
      </c>
      <c r="J5303">
        <v>-346.45319999999998</v>
      </c>
      <c r="K5303">
        <v>1.1215630000000001</v>
      </c>
      <c r="L5303">
        <v>142.28039999999999</v>
      </c>
      <c r="M5303">
        <v>-0.99984839999999997</v>
      </c>
      <c r="N5303">
        <v>-1.4067659999999999E-2</v>
      </c>
      <c r="O5303">
        <v>-1.027688E-2</v>
      </c>
      <c r="P5303">
        <v>-0.98366120000000001</v>
      </c>
      <c r="Q5303">
        <v>0.17849319999999999</v>
      </c>
      <c r="R5303">
        <v>2.3481430000000001E-2</v>
      </c>
      <c r="S5303">
        <v>-3.0505979999999999</v>
      </c>
      <c r="T5303">
        <v>-1.535606E-2</v>
      </c>
      <c r="U5303">
        <v>5.9066769999999998E-2</v>
      </c>
      <c r="V5303">
        <v>3.3383379999999997E-2</v>
      </c>
      <c r="W5303">
        <v>0.19234560000000001</v>
      </c>
      <c r="X5303">
        <v>0.9807593</v>
      </c>
      <c r="Y5303">
        <v>2.963184E-2</v>
      </c>
      <c r="Z5303">
        <v>1.901947E-4</v>
      </c>
      <c r="AA5303">
        <v>0.99956080000000003</v>
      </c>
      <c r="AB5303">
        <v>48</v>
      </c>
      <c r="AC5303">
        <v>-3.0505979999999999</v>
      </c>
      <c r="AD5303">
        <v>-1.535606E-2</v>
      </c>
      <c r="AE5303">
        <v>5.9066769999999998E-2</v>
      </c>
      <c r="AF5303">
        <v>9.0415086875958006E-2</v>
      </c>
      <c r="AG5303">
        <v>-1.535606E-2</v>
      </c>
      <c r="AH5303">
        <v>3.0497525397559899</v>
      </c>
      <c r="AI5303">
        <v>90.288365560584197</v>
      </c>
      <c r="AJ5303">
        <v>88.301866829066199</v>
      </c>
      <c r="AK5303">
        <v>3.0511311427504402</v>
      </c>
      <c r="AL5303">
        <v>78.9102979927451</v>
      </c>
      <c r="AM5303">
        <v>88.050501693821701</v>
      </c>
      <c r="AN5303">
        <v>1.00000004221803</v>
      </c>
    </row>
    <row r="5304" spans="1:40" x14ac:dyDescent="0.25">
      <c r="A5304" t="str">
        <f>"20190303170359076"</f>
        <v>20190303170359076</v>
      </c>
      <c r="B5304" t="str">
        <f>"1551603839060957"</f>
        <v>1551603839060957</v>
      </c>
      <c r="C5304" t="s">
        <v>40</v>
      </c>
      <c r="D5304">
        <v>3.9010389999999999</v>
      </c>
      <c r="E5304">
        <v>0.50201660000000004</v>
      </c>
      <c r="F5304" t="s">
        <v>48</v>
      </c>
      <c r="G5304">
        <v>0</v>
      </c>
      <c r="H5304">
        <v>0</v>
      </c>
      <c r="I5304">
        <v>0</v>
      </c>
      <c r="J5304">
        <v>-346.94310000000002</v>
      </c>
      <c r="K5304">
        <v>1.12154</v>
      </c>
      <c r="L5304">
        <v>142.27510000000001</v>
      </c>
      <c r="M5304">
        <v>-0.99984410000000001</v>
      </c>
      <c r="N5304">
        <v>-1.4170149999999999E-2</v>
      </c>
      <c r="O5304">
        <v>-1.053899E-2</v>
      </c>
      <c r="P5304">
        <v>-0.98361719999999997</v>
      </c>
      <c r="Q5304">
        <v>0.17882890000000001</v>
      </c>
      <c r="R5304">
        <v>2.2749800000000001E-2</v>
      </c>
      <c r="S5304">
        <v>-3.0506289999999998</v>
      </c>
      <c r="T5304">
        <v>-1.17985E-2</v>
      </c>
      <c r="U5304">
        <v>5.6518550000000001E-2</v>
      </c>
      <c r="V5304">
        <v>3.2922470000000002E-2</v>
      </c>
      <c r="W5304">
        <v>0.19277749999999999</v>
      </c>
      <c r="X5304">
        <v>0.98069010000000001</v>
      </c>
      <c r="Y5304">
        <v>2.9059310000000001E-2</v>
      </c>
      <c r="Z5304">
        <v>1.5353170000000001E-4</v>
      </c>
      <c r="AA5304">
        <v>0.99957770000000001</v>
      </c>
      <c r="AB5304">
        <v>48</v>
      </c>
      <c r="AC5304">
        <v>-3.0506289999999998</v>
      </c>
      <c r="AD5304">
        <v>-1.17985E-2</v>
      </c>
      <c r="AE5304">
        <v>5.6518550000000001E-2</v>
      </c>
      <c r="AF5304">
        <v>8.8667860078176203E-2</v>
      </c>
      <c r="AG5304">
        <v>-1.17985E-2</v>
      </c>
      <c r="AH5304">
        <v>3.0498182322499399</v>
      </c>
      <c r="AI5304">
        <v>90.221559227526598</v>
      </c>
      <c r="AJ5304">
        <v>88.334699602116402</v>
      </c>
      <c r="AK5304">
        <v>3.05112969959935</v>
      </c>
      <c r="AL5304">
        <v>78.885080221567407</v>
      </c>
      <c r="AM5304">
        <v>88.077261676973606</v>
      </c>
      <c r="AN5304">
        <v>1.00000006288757</v>
      </c>
    </row>
    <row r="5305" spans="1:40" x14ac:dyDescent="0.25">
      <c r="A5305" t="str">
        <f>"20190303170359098"</f>
        <v>20190303170359098</v>
      </c>
      <c r="B5305" t="str">
        <f>"1551603839091213"</f>
        <v>1551603839091213</v>
      </c>
      <c r="C5305" t="s">
        <v>40</v>
      </c>
      <c r="D5305">
        <v>4.1003410000000002</v>
      </c>
      <c r="E5305">
        <v>0.4843402</v>
      </c>
      <c r="F5305" t="s">
        <v>48</v>
      </c>
      <c r="G5305">
        <v>0</v>
      </c>
      <c r="H5305">
        <v>0</v>
      </c>
      <c r="I5305">
        <v>0</v>
      </c>
      <c r="J5305">
        <v>-347.41789999999997</v>
      </c>
      <c r="K5305">
        <v>1.1215189999999999</v>
      </c>
      <c r="L5305">
        <v>142.26990000000001</v>
      </c>
      <c r="M5305">
        <v>-0.99984019999999996</v>
      </c>
      <c r="N5305">
        <v>-1.425477E-2</v>
      </c>
      <c r="O5305">
        <v>-1.0791419999999999E-2</v>
      </c>
      <c r="P5305">
        <v>-0.98372289999999996</v>
      </c>
      <c r="Q5305">
        <v>0.1783624</v>
      </c>
      <c r="R5305">
        <v>2.1834139999999998E-2</v>
      </c>
      <c r="S5305">
        <v>-3.0505979999999999</v>
      </c>
      <c r="T5305">
        <v>-1.032138E-2</v>
      </c>
      <c r="U5305">
        <v>5.4107669999999997E-2</v>
      </c>
      <c r="V5305">
        <v>3.2267860000000002E-2</v>
      </c>
      <c r="W5305">
        <v>0.19239329999999999</v>
      </c>
      <c r="X5305">
        <v>0.98078719999999997</v>
      </c>
      <c r="Y5305">
        <v>2.8522249999999999E-2</v>
      </c>
      <c r="Z5305">
        <v>1.3424959999999901E-4</v>
      </c>
      <c r="AA5305">
        <v>0.99959310000000001</v>
      </c>
      <c r="AB5305">
        <v>48</v>
      </c>
      <c r="AC5305">
        <v>-3.0505979999999999</v>
      </c>
      <c r="AD5305">
        <v>-1.032138E-2</v>
      </c>
      <c r="AE5305">
        <v>5.4107669999999997E-2</v>
      </c>
      <c r="AF5305">
        <v>8.7027150960351102E-2</v>
      </c>
      <c r="AG5305">
        <v>-1.032138E-2</v>
      </c>
      <c r="AH5305">
        <v>3.04980147131573</v>
      </c>
      <c r="AI5305">
        <v>90.193825284491695</v>
      </c>
      <c r="AJ5305">
        <v>88.365488451587197</v>
      </c>
      <c r="AK5305">
        <v>3.0510603518004999</v>
      </c>
      <c r="AL5305">
        <v>78.907512090443205</v>
      </c>
      <c r="AM5305">
        <v>88.115650807018994</v>
      </c>
      <c r="AN5305">
        <v>0.99999996417885395</v>
      </c>
    </row>
    <row r="5306" spans="1:40" x14ac:dyDescent="0.25">
      <c r="A5306" t="str">
        <f>"20190303170359120"</f>
        <v>20190303170359120</v>
      </c>
      <c r="B5306" t="str">
        <f>"1551603839110733"</f>
        <v>1551603839110733</v>
      </c>
      <c r="C5306" t="s">
        <v>40</v>
      </c>
      <c r="D5306">
        <v>3.9891489999999998</v>
      </c>
      <c r="E5306">
        <v>0.4725955</v>
      </c>
      <c r="F5306" t="s">
        <v>75</v>
      </c>
      <c r="G5306">
        <v>-482.9058</v>
      </c>
      <c r="H5306" s="1">
        <v>-1.100536E-5</v>
      </c>
      <c r="I5306">
        <v>138.2619</v>
      </c>
      <c r="J5306">
        <v>-347.90249999999997</v>
      </c>
      <c r="K5306">
        <v>1.1215040000000001</v>
      </c>
      <c r="L5306">
        <v>142.26439999999999</v>
      </c>
      <c r="M5306">
        <v>-0.99983639999999996</v>
      </c>
      <c r="N5306">
        <v>-1.432873E-2</v>
      </c>
      <c r="O5306">
        <v>-1.1048260000000001E-2</v>
      </c>
      <c r="P5306">
        <v>-0.98377460000000005</v>
      </c>
      <c r="Q5306">
        <v>0.1781364</v>
      </c>
      <c r="R5306">
        <v>2.134022E-2</v>
      </c>
      <c r="S5306">
        <v>-3.0562130000000001</v>
      </c>
      <c r="T5306">
        <v>-2.5298480000000002E-2</v>
      </c>
      <c r="U5306">
        <v>-9.0408329999999995E-2</v>
      </c>
      <c r="V5306">
        <v>3.2036370000000002E-2</v>
      </c>
      <c r="W5306">
        <v>0.19223889999999999</v>
      </c>
      <c r="X5306">
        <v>0.98082510000000001</v>
      </c>
      <c r="Y5306">
        <v>-1.8520979999999999E-2</v>
      </c>
      <c r="Z5306">
        <v>-2.7623490000000002E-4</v>
      </c>
      <c r="AA5306">
        <v>0.99982850000000001</v>
      </c>
      <c r="AB5306">
        <v>48</v>
      </c>
      <c r="AC5306">
        <v>-135.0033</v>
      </c>
      <c r="AD5306">
        <v>-1.12151500536</v>
      </c>
      <c r="AE5306">
        <v>-4.0024999999999897</v>
      </c>
      <c r="AF5306">
        <v>-2.5103780207072899</v>
      </c>
      <c r="AG5306">
        <v>-1.12151500536</v>
      </c>
      <c r="AH5306">
        <v>135.02997329361</v>
      </c>
      <c r="AI5306">
        <v>90.475786938876794</v>
      </c>
      <c r="AJ5306">
        <v>91.0650783239292</v>
      </c>
      <c r="AK5306">
        <v>135.05796341344401</v>
      </c>
      <c r="AL5306">
        <v>78.916527241801901</v>
      </c>
      <c r="AM5306">
        <v>88.129231748305799</v>
      </c>
      <c r="AN5306">
        <v>1.0000000002329901</v>
      </c>
    </row>
    <row r="5307" spans="1:40" x14ac:dyDescent="0.25">
      <c r="A5307" t="str">
        <f>"20190303170359142"</f>
        <v>20190303170359142</v>
      </c>
      <c r="B5307" t="str">
        <f>"1551603839131229"</f>
        <v>1551603839131229</v>
      </c>
      <c r="C5307" t="s">
        <v>40</v>
      </c>
      <c r="D5307">
        <v>4.0306009999999999</v>
      </c>
      <c r="E5307">
        <v>0.46592739999999999</v>
      </c>
      <c r="F5307" t="s">
        <v>48</v>
      </c>
      <c r="G5307">
        <v>0</v>
      </c>
      <c r="H5307">
        <v>0</v>
      </c>
      <c r="I5307">
        <v>0</v>
      </c>
      <c r="J5307">
        <v>-348.3861</v>
      </c>
      <c r="K5307">
        <v>1.121502</v>
      </c>
      <c r="L5307">
        <v>142.25890000000001</v>
      </c>
      <c r="M5307">
        <v>-0.99983259999999996</v>
      </c>
      <c r="N5307">
        <v>-1.4391920000000001E-2</v>
      </c>
      <c r="O5307">
        <v>-1.1303779999999999E-2</v>
      </c>
      <c r="P5307">
        <v>-0.98370150000000001</v>
      </c>
      <c r="Q5307">
        <v>0.17851020000000001</v>
      </c>
      <c r="R5307">
        <v>2.15868E-2</v>
      </c>
      <c r="S5307">
        <v>-3.056305</v>
      </c>
      <c r="T5307">
        <v>-1.5713930000000001E-2</v>
      </c>
      <c r="U5307">
        <v>-0.1854095</v>
      </c>
      <c r="V5307">
        <v>3.25405E-2</v>
      </c>
      <c r="W5307">
        <v>0.1926727</v>
      </c>
      <c r="X5307">
        <v>0.98072340000000002</v>
      </c>
      <c r="Y5307">
        <v>-4.9263220000000003E-2</v>
      </c>
      <c r="Z5307">
        <v>-5.8587669999999995E-4</v>
      </c>
      <c r="AA5307">
        <v>0.9987857</v>
      </c>
      <c r="AB5307">
        <v>48</v>
      </c>
      <c r="AC5307">
        <v>-3.056305</v>
      </c>
      <c r="AD5307">
        <v>-1.5713930000000001E-2</v>
      </c>
      <c r="AE5307">
        <v>-0.1854095</v>
      </c>
      <c r="AF5307">
        <v>-0.15084230338587201</v>
      </c>
      <c r="AG5307">
        <v>-1.5713930000000001E-2</v>
      </c>
      <c r="AH5307">
        <v>3.05812519356915</v>
      </c>
      <c r="AI5307">
        <v>90.294049674595797</v>
      </c>
      <c r="AJ5307">
        <v>92.823830927308805</v>
      </c>
      <c r="AK5307">
        <v>3.0618834118282701</v>
      </c>
      <c r="AL5307">
        <v>78.891199060865006</v>
      </c>
      <c r="AM5307">
        <v>88.099617518915906</v>
      </c>
      <c r="AN5307">
        <v>1.00000002038654</v>
      </c>
    </row>
    <row r="5308" spans="1:40" x14ac:dyDescent="0.25">
      <c r="A5308" t="str">
        <f>"20190303170359165"</f>
        <v>20190303170359165</v>
      </c>
      <c r="B5308" t="str">
        <f>"1551603839161485"</f>
        <v>1551603839161485</v>
      </c>
      <c r="C5308" t="s">
        <v>40</v>
      </c>
      <c r="D5308">
        <v>4.0090859999999999</v>
      </c>
      <c r="E5308">
        <v>0.46123449999999999</v>
      </c>
      <c r="F5308" t="s">
        <v>48</v>
      </c>
      <c r="G5308">
        <v>0</v>
      </c>
      <c r="H5308">
        <v>0</v>
      </c>
      <c r="I5308">
        <v>0</v>
      </c>
      <c r="J5308">
        <v>-348.85750000000002</v>
      </c>
      <c r="K5308">
        <v>1.1214959999999901</v>
      </c>
      <c r="L5308">
        <v>142.2533</v>
      </c>
      <c r="M5308">
        <v>-0.99982890000000002</v>
      </c>
      <c r="N5308">
        <v>-1.4444729999999999E-2</v>
      </c>
      <c r="O5308">
        <v>-1.155166E-2</v>
      </c>
      <c r="P5308">
        <v>-0.98366759999999998</v>
      </c>
      <c r="Q5308">
        <v>0.17866799999999999</v>
      </c>
      <c r="R5308">
        <v>2.181719E-2</v>
      </c>
      <c r="S5308">
        <v>-3.057404</v>
      </c>
      <c r="T5308">
        <v>-1.3661980000000001E-2</v>
      </c>
      <c r="U5308">
        <v>-0.2384338</v>
      </c>
      <c r="V5308">
        <v>3.3019699999999902E-2</v>
      </c>
      <c r="W5308">
        <v>0.19288140000000001</v>
      </c>
      <c r="X5308">
        <v>0.98066629999999999</v>
      </c>
      <c r="Y5308">
        <v>-6.6224340000000007E-2</v>
      </c>
      <c r="Z5308">
        <v>-7.4189979999999905E-4</v>
      </c>
      <c r="AA5308">
        <v>0.99780449999999998</v>
      </c>
      <c r="AB5308">
        <v>48</v>
      </c>
      <c r="AC5308">
        <v>-3.057404</v>
      </c>
      <c r="AD5308">
        <v>-1.3661980000000001E-2</v>
      </c>
      <c r="AE5308">
        <v>-0.2384338</v>
      </c>
      <c r="AF5308">
        <v>-0.203092078997262</v>
      </c>
      <c r="AG5308">
        <v>-1.3661980000000001E-2</v>
      </c>
      <c r="AH5308">
        <v>3.0598938241979599</v>
      </c>
      <c r="AI5308">
        <v>90.255253998769504</v>
      </c>
      <c r="AJ5308">
        <v>93.797281081686194</v>
      </c>
      <c r="AK5308">
        <v>3.0666566905367398</v>
      </c>
      <c r="AL5308">
        <v>78.879012209439693</v>
      </c>
      <c r="AM5308">
        <v>88.071540765202698</v>
      </c>
      <c r="AN5308">
        <v>0.99999996350486897</v>
      </c>
    </row>
    <row r="5309" spans="1:40" x14ac:dyDescent="0.25">
      <c r="A5309" t="str">
        <f>"20190303170359187"</f>
        <v>20190303170359187</v>
      </c>
      <c r="B5309" t="str">
        <f>"1551603839181005"</f>
        <v>1551603839181005</v>
      </c>
      <c r="C5309" t="s">
        <v>40</v>
      </c>
      <c r="D5309">
        <v>4.0523089999999904</v>
      </c>
      <c r="E5309">
        <v>0.4593798</v>
      </c>
      <c r="F5309" t="s">
        <v>45</v>
      </c>
      <c r="G5309">
        <v>-500.58629999999999</v>
      </c>
      <c r="H5309">
        <v>0.60871450000000005</v>
      </c>
      <c r="I5309">
        <v>128.59139999999999</v>
      </c>
      <c r="J5309">
        <v>-349.3263</v>
      </c>
      <c r="K5309">
        <v>1.1214919999999999</v>
      </c>
      <c r="L5309">
        <v>142.24770000000001</v>
      </c>
      <c r="M5309">
        <v>-0.99982539999999998</v>
      </c>
      <c r="N5309">
        <v>-1.4489760000000001E-2</v>
      </c>
      <c r="O5309">
        <v>-1.1797139999999999E-2</v>
      </c>
      <c r="P5309">
        <v>-0.98379550000000004</v>
      </c>
      <c r="Q5309">
        <v>0.17796770000000001</v>
      </c>
      <c r="R5309">
        <v>2.1769509999999999E-2</v>
      </c>
      <c r="S5309">
        <v>-3.0578310000000002</v>
      </c>
      <c r="T5309">
        <v>-1.033354E-2</v>
      </c>
      <c r="U5309">
        <v>-0.27532960000000001</v>
      </c>
      <c r="V5309">
        <v>3.3220020000000003E-2</v>
      </c>
      <c r="W5309">
        <v>0.19222629999999999</v>
      </c>
      <c r="X5309">
        <v>0.9807882</v>
      </c>
      <c r="Y5309">
        <v>-7.7919299999999997E-2</v>
      </c>
      <c r="Z5309">
        <v>-8.2793549999999997E-4</v>
      </c>
      <c r="AA5309">
        <v>0.99695929999999999</v>
      </c>
      <c r="AB5309">
        <v>48</v>
      </c>
      <c r="AC5309">
        <v>-151.26</v>
      </c>
      <c r="AD5309">
        <v>-0.512777499999999</v>
      </c>
      <c r="AE5309">
        <v>-13.6563</v>
      </c>
      <c r="AF5309">
        <v>-11.870591369302501</v>
      </c>
      <c r="AG5309">
        <v>-0.512777499999999</v>
      </c>
      <c r="AH5309">
        <v>151.40886802858</v>
      </c>
      <c r="AI5309">
        <v>90.193449662541795</v>
      </c>
      <c r="AJ5309">
        <v>94.482870674263694</v>
      </c>
      <c r="AK5309">
        <v>151.8743533251</v>
      </c>
      <c r="AL5309">
        <v>78.917262961467699</v>
      </c>
      <c r="AM5309">
        <v>88.0600912843652</v>
      </c>
      <c r="AN5309">
        <v>1.00000000669986</v>
      </c>
    </row>
    <row r="5310" spans="1:40" x14ac:dyDescent="0.25">
      <c r="A5310" t="str">
        <f>"20190303170359208"</f>
        <v>20190303170359208</v>
      </c>
      <c r="B5310" t="str">
        <f>"1551603839200525"</f>
        <v>1551603839200525</v>
      </c>
      <c r="C5310" t="s">
        <v>40</v>
      </c>
      <c r="D5310">
        <v>4.0452810000000001</v>
      </c>
      <c r="E5310">
        <v>0.458069</v>
      </c>
      <c r="F5310" t="s">
        <v>48</v>
      </c>
      <c r="G5310">
        <v>0</v>
      </c>
      <c r="H5310">
        <v>0</v>
      </c>
      <c r="I5310">
        <v>0</v>
      </c>
      <c r="J5310">
        <v>-349.78750000000002</v>
      </c>
      <c r="K5310">
        <v>1.1214820000000001</v>
      </c>
      <c r="L5310">
        <v>142.24209999999999</v>
      </c>
      <c r="M5310">
        <v>-0.99982199999999999</v>
      </c>
      <c r="N5310">
        <v>-1.45279E-2</v>
      </c>
      <c r="O5310">
        <v>-1.203772E-2</v>
      </c>
      <c r="P5310">
        <v>-0.98382130000000001</v>
      </c>
      <c r="Q5310">
        <v>0.17776210000000001</v>
      </c>
      <c r="R5310">
        <v>2.2277689999999999E-2</v>
      </c>
      <c r="S5310">
        <v>-3.0580750000000001</v>
      </c>
      <c r="T5310">
        <v>-1.244283E-2</v>
      </c>
      <c r="U5310">
        <v>-0.29005429999999999</v>
      </c>
      <c r="V5310">
        <v>3.39688E-2</v>
      </c>
      <c r="W5310">
        <v>0.1920578</v>
      </c>
      <c r="X5310">
        <v>0.98079559999999999</v>
      </c>
      <c r="Y5310">
        <v>-8.2430370000000003E-2</v>
      </c>
      <c r="Z5310">
        <v>-8.9314440000000004E-4</v>
      </c>
      <c r="AA5310">
        <v>0.9965965</v>
      </c>
      <c r="AB5310">
        <v>48</v>
      </c>
      <c r="AC5310">
        <v>-3.0580750000000001</v>
      </c>
      <c r="AD5310">
        <v>-1.244283E-2</v>
      </c>
      <c r="AE5310">
        <v>-0.29005429999999999</v>
      </c>
      <c r="AF5310">
        <v>-0.253212988676428</v>
      </c>
      <c r="AG5310">
        <v>-1.244283E-2</v>
      </c>
      <c r="AH5310">
        <v>3.0612951090221698</v>
      </c>
      <c r="AI5310">
        <v>90.232088508884701</v>
      </c>
      <c r="AJ5310">
        <v>94.728418482402304</v>
      </c>
      <c r="AK5310">
        <v>3.0717746314103</v>
      </c>
      <c r="AL5310">
        <v>78.927101015866995</v>
      </c>
      <c r="AM5310">
        <v>88.016415198117897</v>
      </c>
      <c r="AN5310">
        <v>1.0000000434468099</v>
      </c>
    </row>
    <row r="5311" spans="1:40" x14ac:dyDescent="0.25">
      <c r="A5311" t="str">
        <f>"20190303170359223"</f>
        <v>20190303170359223</v>
      </c>
      <c r="B5311" t="str">
        <f>"1551603839211261"</f>
        <v>1551603839211261</v>
      </c>
      <c r="C5311" t="s">
        <v>40</v>
      </c>
      <c r="D5311">
        <v>4.0823400000000003</v>
      </c>
      <c r="E5311">
        <v>0.45745200000000003</v>
      </c>
      <c r="F5311" t="s">
        <v>48</v>
      </c>
      <c r="G5311">
        <v>0</v>
      </c>
      <c r="H5311">
        <v>0</v>
      </c>
      <c r="I5311">
        <v>0</v>
      </c>
      <c r="J5311">
        <v>-350.10449999999997</v>
      </c>
      <c r="K5311">
        <v>1.1214839999999999</v>
      </c>
      <c r="L5311">
        <v>142.23820000000001</v>
      </c>
      <c r="M5311">
        <v>-0.99981980000000004</v>
      </c>
      <c r="N5311">
        <v>-1.4550789999999999E-2</v>
      </c>
      <c r="O5311">
        <v>-1.2202309999999999E-2</v>
      </c>
      <c r="P5311">
        <v>-0.98380040000000002</v>
      </c>
      <c r="Q5311">
        <v>0.17783309999999999</v>
      </c>
      <c r="R5311">
        <v>2.2637029999999999E-2</v>
      </c>
      <c r="S5311">
        <v>-3.0583499999999999</v>
      </c>
      <c r="T5311">
        <v>-1.252258E-2</v>
      </c>
      <c r="U5311">
        <v>-0.29882809999999999</v>
      </c>
      <c r="V5311">
        <v>3.4491729999999998E-2</v>
      </c>
      <c r="W5311">
        <v>0.19215099999999999</v>
      </c>
      <c r="X5311">
        <v>0.98075909999999999</v>
      </c>
      <c r="Y5311">
        <v>-8.5090239999999998E-2</v>
      </c>
      <c r="Z5311">
        <v>-9.2170619999999996E-4</v>
      </c>
      <c r="AA5311">
        <v>0.99637279999999995</v>
      </c>
      <c r="AB5311">
        <v>47</v>
      </c>
      <c r="AC5311">
        <v>-3.0583499999999999</v>
      </c>
      <c r="AD5311">
        <v>-1.252258E-2</v>
      </c>
      <c r="AE5311">
        <v>-0.29882809999999999</v>
      </c>
      <c r="AF5311">
        <v>-0.26147862357193102</v>
      </c>
      <c r="AG5311">
        <v>-1.252258E-2</v>
      </c>
      <c r="AH5311">
        <v>3.0617181880534399</v>
      </c>
      <c r="AI5311">
        <v>90.233491347563799</v>
      </c>
      <c r="AJ5311">
        <v>94.881362651607901</v>
      </c>
      <c r="AK5311">
        <v>3.0728888929885101</v>
      </c>
      <c r="AL5311">
        <v>78.921659767188103</v>
      </c>
      <c r="AM5311">
        <v>87.985829123231298</v>
      </c>
      <c r="AN5311">
        <v>1.0000000492361001</v>
      </c>
    </row>
    <row r="5312" spans="1:40" x14ac:dyDescent="0.25">
      <c r="A5312" t="str">
        <f>"20190303170359237"</f>
        <v>20190303170359237</v>
      </c>
      <c r="B5312" t="str">
        <f>"1551603839230781"</f>
        <v>1551603839230781</v>
      </c>
      <c r="C5312" t="s">
        <v>40</v>
      </c>
      <c r="D5312">
        <v>4.0508170000000003</v>
      </c>
      <c r="E5312">
        <v>0.45668530000000002</v>
      </c>
      <c r="F5312" t="s">
        <v>48</v>
      </c>
      <c r="G5312">
        <v>0</v>
      </c>
      <c r="H5312">
        <v>0</v>
      </c>
      <c r="I5312">
        <v>0</v>
      </c>
      <c r="J5312">
        <v>-350.39749999999998</v>
      </c>
      <c r="K5312">
        <v>1.1214869999999999</v>
      </c>
      <c r="L5312">
        <v>142.2345</v>
      </c>
      <c r="M5312">
        <v>-0.99981759999999997</v>
      </c>
      <c r="N5312">
        <v>-1.4570130000000001E-2</v>
      </c>
      <c r="O5312">
        <v>-1.2353060000000001E-2</v>
      </c>
      <c r="P5312">
        <v>-0.98375590000000002</v>
      </c>
      <c r="Q5312">
        <v>0.1780197</v>
      </c>
      <c r="R5312">
        <v>2.308822E-2</v>
      </c>
      <c r="S5312">
        <v>-3.0585939999999998</v>
      </c>
      <c r="T5312">
        <v>-1.2133359999999999E-2</v>
      </c>
      <c r="U5312">
        <v>-0.30282589999999998</v>
      </c>
      <c r="V5312">
        <v>3.5092039999999998E-2</v>
      </c>
      <c r="W5312">
        <v>0.1923559</v>
      </c>
      <c r="X5312">
        <v>0.98069759999999995</v>
      </c>
      <c r="Y5312">
        <v>-8.6222220000000002E-2</v>
      </c>
      <c r="Z5312">
        <v>-9.3102720000000003E-4</v>
      </c>
      <c r="AA5312">
        <v>0.99627549999999998</v>
      </c>
      <c r="AB5312">
        <v>47</v>
      </c>
      <c r="AC5312">
        <v>-3.0585939999999998</v>
      </c>
      <c r="AD5312">
        <v>-1.2133359999999999E-2</v>
      </c>
      <c r="AE5312">
        <v>-0.30282589999999998</v>
      </c>
      <c r="AF5312">
        <v>-0.26501165489796202</v>
      </c>
      <c r="AG5312">
        <v>-1.2133359999999999E-2</v>
      </c>
      <c r="AH5312">
        <v>3.0620540777961298</v>
      </c>
      <c r="AI5312">
        <v>90.226187264345697</v>
      </c>
      <c r="AJ5312">
        <v>94.946453254074996</v>
      </c>
      <c r="AK5312">
        <v>3.0735246169511199</v>
      </c>
      <c r="AL5312">
        <v>78.909696289158504</v>
      </c>
      <c r="AM5312">
        <v>87.950674797792601</v>
      </c>
      <c r="AN5312">
        <v>1.0000000130909601</v>
      </c>
    </row>
    <row r="5313" spans="1:40" x14ac:dyDescent="0.25">
      <c r="A5313" t="str">
        <f>"20190303170359253"</f>
        <v>20190303170359253</v>
      </c>
      <c r="B5313" t="str">
        <f>"1551603839240541"</f>
        <v>1551603839240541</v>
      </c>
      <c r="C5313" t="s">
        <v>40</v>
      </c>
      <c r="D5313">
        <v>4.0323659999999997</v>
      </c>
      <c r="E5313">
        <v>0.45641969999999998</v>
      </c>
      <c r="F5313" t="s">
        <v>48</v>
      </c>
      <c r="G5313">
        <v>0</v>
      </c>
      <c r="H5313">
        <v>0</v>
      </c>
      <c r="I5313">
        <v>0</v>
      </c>
      <c r="J5313">
        <v>-350.72269999999997</v>
      </c>
      <c r="K5313">
        <v>1.1214900000000001</v>
      </c>
      <c r="L5313">
        <v>142.2304</v>
      </c>
      <c r="M5313">
        <v>-0.99981529999999996</v>
      </c>
      <c r="N5313">
        <v>-1.45892E-2</v>
      </c>
      <c r="O5313">
        <v>-1.251881E-2</v>
      </c>
      <c r="P5313">
        <v>-0.98361339999999997</v>
      </c>
      <c r="Q5313">
        <v>0.17865059999999999</v>
      </c>
      <c r="R5313">
        <v>2.4255809999999999E-2</v>
      </c>
      <c r="S5313">
        <v>-3.0588380000000002</v>
      </c>
      <c r="T5313">
        <v>-1.1497500000000001E-2</v>
      </c>
      <c r="U5313">
        <v>-0.30780030000000003</v>
      </c>
      <c r="V5313">
        <v>3.6422379999999997E-2</v>
      </c>
      <c r="W5313">
        <v>0.19300400000000001</v>
      </c>
      <c r="X5313">
        <v>0.98052169999999905</v>
      </c>
      <c r="Y5313">
        <v>-8.7653549999999997E-2</v>
      </c>
      <c r="Z5313">
        <v>-9.4066760000000005E-4</v>
      </c>
      <c r="AA5313">
        <v>0.9961506</v>
      </c>
      <c r="AB5313">
        <v>47</v>
      </c>
      <c r="AC5313">
        <v>-3.0588380000000002</v>
      </c>
      <c r="AD5313">
        <v>-1.1497500000000001E-2</v>
      </c>
      <c r="AE5313">
        <v>-0.30780030000000003</v>
      </c>
      <c r="AF5313">
        <v>-0.26947532169550698</v>
      </c>
      <c r="AG5313">
        <v>-1.1497500000000001E-2</v>
      </c>
      <c r="AH5313">
        <v>3.0624091180728001</v>
      </c>
      <c r="AI5313">
        <v>90.214282109265199</v>
      </c>
      <c r="AJ5313">
        <v>95.028763894377093</v>
      </c>
      <c r="AK5313">
        <v>3.0742639359632999</v>
      </c>
      <c r="AL5313">
        <v>78.871853291211295</v>
      </c>
      <c r="AM5313">
        <v>87.872673676707194</v>
      </c>
      <c r="AN5313">
        <v>0.99999996897587595</v>
      </c>
    </row>
    <row r="5314" spans="1:40" x14ac:dyDescent="0.25">
      <c r="A5314" t="str">
        <f>"20190303170359275"</f>
        <v>20190303170359275</v>
      </c>
      <c r="B5314" t="str">
        <f>"1551603839270797"</f>
        <v>1551603839270797</v>
      </c>
      <c r="C5314" t="s">
        <v>40</v>
      </c>
      <c r="D5314">
        <v>4.0364279999999999</v>
      </c>
      <c r="E5314">
        <v>0.45546219999999998</v>
      </c>
      <c r="F5314" t="s">
        <v>48</v>
      </c>
      <c r="G5314">
        <v>0</v>
      </c>
      <c r="H5314">
        <v>0</v>
      </c>
      <c r="I5314">
        <v>0</v>
      </c>
      <c r="J5314">
        <v>-351.19560000000001</v>
      </c>
      <c r="K5314">
        <v>1.1214949999999999</v>
      </c>
      <c r="L5314">
        <v>142.2243</v>
      </c>
      <c r="M5314">
        <v>-0.99981189999999998</v>
      </c>
      <c r="N5314">
        <v>-1.461348E-2</v>
      </c>
      <c r="O5314">
        <v>-1.2755849999999999E-2</v>
      </c>
      <c r="P5314">
        <v>-0.98361089999999995</v>
      </c>
      <c r="Q5314">
        <v>0.17862520000000001</v>
      </c>
      <c r="R5314">
        <v>2.4552230000000001E-2</v>
      </c>
      <c r="S5314">
        <v>-3.059326</v>
      </c>
      <c r="T5314">
        <v>-9.7317700000000007E-3</v>
      </c>
      <c r="U5314">
        <v>-0.30668640000000003</v>
      </c>
      <c r="V5314">
        <v>3.6955200000000001E-2</v>
      </c>
      <c r="W5314">
        <v>0.19300210000000001</v>
      </c>
      <c r="X5314">
        <v>0.98050219999999999</v>
      </c>
      <c r="Y5314">
        <v>-8.7043099999999998E-2</v>
      </c>
      <c r="Z5314">
        <v>-9.2124950000000002E-4</v>
      </c>
      <c r="AA5314">
        <v>0.99620410000000004</v>
      </c>
      <c r="AB5314">
        <v>47</v>
      </c>
      <c r="AC5314">
        <v>-3.059326</v>
      </c>
      <c r="AD5314">
        <v>-9.7317700000000007E-3</v>
      </c>
      <c r="AE5314">
        <v>-0.30668640000000003</v>
      </c>
      <c r="AF5314">
        <v>-0.267630292600885</v>
      </c>
      <c r="AG5314">
        <v>-9.7317700000000007E-3</v>
      </c>
      <c r="AH5314">
        <v>3.0629588206267102</v>
      </c>
      <c r="AI5314">
        <v>90.181351151334098</v>
      </c>
      <c r="AJ5314">
        <v>94.993616153982003</v>
      </c>
      <c r="AK5314">
        <v>3.0746442749885601</v>
      </c>
      <c r="AL5314">
        <v>78.871964936078996</v>
      </c>
      <c r="AM5314">
        <v>87.841539532142306</v>
      </c>
      <c r="AN5314">
        <v>1.00000003080814</v>
      </c>
    </row>
    <row r="5315" spans="1:40" x14ac:dyDescent="0.25">
      <c r="A5315" t="str">
        <f>"20190303170359298"</f>
        <v>20190303170359298</v>
      </c>
      <c r="B5315" t="str">
        <f>"1551603839291294"</f>
        <v>1551603839291294</v>
      </c>
      <c r="C5315" t="s">
        <v>40</v>
      </c>
      <c r="D5315">
        <v>4.0341199999999997</v>
      </c>
      <c r="E5315">
        <v>0.45501740000000002</v>
      </c>
      <c r="F5315" t="s">
        <v>48</v>
      </c>
      <c r="G5315">
        <v>0</v>
      </c>
      <c r="H5315">
        <v>0</v>
      </c>
      <c r="I5315">
        <v>0</v>
      </c>
      <c r="J5315">
        <v>-351.67219999999998</v>
      </c>
      <c r="K5315">
        <v>1.1214919999999999</v>
      </c>
      <c r="L5315">
        <v>142.21799999999999</v>
      </c>
      <c r="M5315">
        <v>-0.99980860000000005</v>
      </c>
      <c r="N5315">
        <v>-1.4633739999999999E-2</v>
      </c>
      <c r="O5315">
        <v>-1.2988660000000001E-2</v>
      </c>
      <c r="P5315">
        <v>-0.9836665</v>
      </c>
      <c r="Q5315">
        <v>0.178333399999999</v>
      </c>
      <c r="R5315">
        <v>2.4443099999999999E-2</v>
      </c>
      <c r="S5315">
        <v>-3.0597840000000001</v>
      </c>
      <c r="T5315">
        <v>-1.066756E-2</v>
      </c>
      <c r="U5315">
        <v>-0.3136139</v>
      </c>
      <c r="V5315">
        <v>3.7079550000000003E-2</v>
      </c>
      <c r="W5315">
        <v>0.19273019999999999</v>
      </c>
      <c r="X5315">
        <v>0.9805509</v>
      </c>
      <c r="Y5315">
        <v>-8.9028289999999996E-2</v>
      </c>
      <c r="Z5315">
        <v>-9.5241019999999996E-4</v>
      </c>
      <c r="AA5315">
        <v>0.99602869999999999</v>
      </c>
      <c r="AB5315">
        <v>47</v>
      </c>
      <c r="AC5315">
        <v>-3.0597840000000001</v>
      </c>
      <c r="AD5315">
        <v>-1.066756E-2</v>
      </c>
      <c r="AE5315">
        <v>-0.3136139</v>
      </c>
      <c r="AF5315">
        <v>-0.27383739688228798</v>
      </c>
      <c r="AG5315">
        <v>-1.066756E-2</v>
      </c>
      <c r="AH5315">
        <v>3.06356284339518</v>
      </c>
      <c r="AI5315">
        <v>90.198715223193105</v>
      </c>
      <c r="AJ5315">
        <v>95.107824303509702</v>
      </c>
      <c r="AK5315">
        <v>3.0757955088398101</v>
      </c>
      <c r="AL5315">
        <v>78.887840781183897</v>
      </c>
      <c r="AM5315">
        <v>87.8343909252049</v>
      </c>
      <c r="AN5315">
        <v>0.99999994525552405</v>
      </c>
    </row>
    <row r="5316" spans="1:40" x14ac:dyDescent="0.25">
      <c r="A5316" t="str">
        <f>"20190303170359319"</f>
        <v>20190303170359319</v>
      </c>
      <c r="B5316" t="str">
        <f>"1551603839310813"</f>
        <v>1551603839310813</v>
      </c>
      <c r="C5316" t="s">
        <v>40</v>
      </c>
      <c r="D5316">
        <v>4.0020730000000002</v>
      </c>
      <c r="E5316">
        <v>0.45468120000000001</v>
      </c>
      <c r="F5316" t="s">
        <v>48</v>
      </c>
      <c r="G5316">
        <v>0</v>
      </c>
      <c r="H5316">
        <v>0</v>
      </c>
      <c r="I5316">
        <v>0</v>
      </c>
      <c r="J5316">
        <v>-352.12900000000002</v>
      </c>
      <c r="K5316">
        <v>1.1214949999999999</v>
      </c>
      <c r="L5316">
        <v>142.21190000000001</v>
      </c>
      <c r="M5316">
        <v>-0.99980550000000001</v>
      </c>
      <c r="N5316">
        <v>-1.465025E-2</v>
      </c>
      <c r="O5316">
        <v>-1.3207150000000001E-2</v>
      </c>
      <c r="P5316">
        <v>-0.98356690000000002</v>
      </c>
      <c r="Q5316">
        <v>0.17893529999999999</v>
      </c>
      <c r="R5316">
        <v>2.4044579999999999E-2</v>
      </c>
      <c r="S5316">
        <v>-3.0599980000000002</v>
      </c>
      <c r="T5316">
        <v>-1.280308E-2</v>
      </c>
      <c r="U5316">
        <v>-0.3172913</v>
      </c>
      <c r="V5316">
        <v>3.6897520000000003E-2</v>
      </c>
      <c r="W5316">
        <v>0.19334599999999999</v>
      </c>
      <c r="X5316">
        <v>0.98043659999999999</v>
      </c>
      <c r="Y5316">
        <v>-8.99871E-2</v>
      </c>
      <c r="Z5316">
        <v>-9.8664780000000006E-4</v>
      </c>
      <c r="AA5316">
        <v>0.99594240000000001</v>
      </c>
      <c r="AB5316">
        <v>47</v>
      </c>
      <c r="AC5316">
        <v>-3.0599980000000002</v>
      </c>
      <c r="AD5316">
        <v>-1.280308E-2</v>
      </c>
      <c r="AE5316">
        <v>-0.3172913</v>
      </c>
      <c r="AF5316">
        <v>-0.27684063732263597</v>
      </c>
      <c r="AG5316">
        <v>-1.280308E-2</v>
      </c>
      <c r="AH5316">
        <v>3.0638689530377099</v>
      </c>
      <c r="AI5316">
        <v>90.238450775748504</v>
      </c>
      <c r="AJ5316">
        <v>95.163028746704001</v>
      </c>
      <c r="AK5316">
        <v>3.0763773531085401</v>
      </c>
      <c r="AL5316">
        <v>78.851882476045901</v>
      </c>
      <c r="AM5316">
        <v>87.844761237860098</v>
      </c>
      <c r="AN5316">
        <v>1.0000000146588499</v>
      </c>
    </row>
    <row r="5317" spans="1:40" x14ac:dyDescent="0.25">
      <c r="A5317" t="str">
        <f>"20190303170359342"</f>
        <v>20190303170359342</v>
      </c>
      <c r="B5317" t="str">
        <f>"1551603839331310"</f>
        <v>1551603839331310</v>
      </c>
      <c r="C5317" t="s">
        <v>40</v>
      </c>
      <c r="D5317">
        <v>4.0426070000000003</v>
      </c>
      <c r="E5317">
        <v>0.45419920000000003</v>
      </c>
      <c r="F5317" t="s">
        <v>48</v>
      </c>
      <c r="G5317">
        <v>0</v>
      </c>
      <c r="H5317">
        <v>0</v>
      </c>
      <c r="I5317">
        <v>0</v>
      </c>
      <c r="J5317">
        <v>-352.60919999999999</v>
      </c>
      <c r="K5317">
        <v>1.1215010000000001</v>
      </c>
      <c r="L5317">
        <v>142.2054</v>
      </c>
      <c r="M5317">
        <v>-0.99980219999999997</v>
      </c>
      <c r="N5317">
        <v>-1.466479E-2</v>
      </c>
      <c r="O5317">
        <v>-1.343303E-2</v>
      </c>
      <c r="P5317">
        <v>-0.983464</v>
      </c>
      <c r="Q5317">
        <v>0.17953529999999901</v>
      </c>
      <c r="R5317">
        <v>2.3783189999999999E-2</v>
      </c>
      <c r="S5317">
        <v>-3.060028</v>
      </c>
      <c r="T5317">
        <v>-1.1355759999999999E-2</v>
      </c>
      <c r="U5317">
        <v>-0.32188420000000001</v>
      </c>
      <c r="V5317">
        <v>3.6859459999999997E-2</v>
      </c>
      <c r="W5317">
        <v>0.19395789999999999</v>
      </c>
      <c r="X5317">
        <v>0.9803172</v>
      </c>
      <c r="Y5317">
        <v>-9.124024E-2</v>
      </c>
      <c r="Z5317">
        <v>-9.8652729999999995E-4</v>
      </c>
      <c r="AA5317">
        <v>0.99582839999999995</v>
      </c>
      <c r="AB5317">
        <v>47</v>
      </c>
      <c r="AC5317">
        <v>-3.060028</v>
      </c>
      <c r="AD5317">
        <v>-1.1355759999999999E-2</v>
      </c>
      <c r="AE5317">
        <v>-0.32188420000000001</v>
      </c>
      <c r="AF5317">
        <v>-0.28074145728334698</v>
      </c>
      <c r="AG5317">
        <v>-1.1355759999999999E-2</v>
      </c>
      <c r="AH5317">
        <v>3.0640344534379702</v>
      </c>
      <c r="AI5317">
        <v>90.211459820085807</v>
      </c>
      <c r="AJ5317">
        <v>95.235095655085303</v>
      </c>
      <c r="AK5317">
        <v>3.0768899640672398</v>
      </c>
      <c r="AL5317">
        <v>78.816147117970402</v>
      </c>
      <c r="AM5317">
        <v>87.846720300583002</v>
      </c>
      <c r="AN5317">
        <v>1.00000004968986</v>
      </c>
    </row>
    <row r="5318" spans="1:40" x14ac:dyDescent="0.25">
      <c r="A5318" t="str">
        <f>"20190303170359365"</f>
        <v>20190303170359365</v>
      </c>
      <c r="B5318" t="str">
        <f>"1551603839350829"</f>
        <v>1551603839350829</v>
      </c>
      <c r="C5318" t="s">
        <v>40</v>
      </c>
      <c r="D5318">
        <v>3.9856690000000001</v>
      </c>
      <c r="E5318">
        <v>0.45384619999999998</v>
      </c>
      <c r="F5318" t="s">
        <v>48</v>
      </c>
      <c r="G5318">
        <v>0</v>
      </c>
      <c r="H5318">
        <v>0</v>
      </c>
      <c r="I5318">
        <v>0</v>
      </c>
      <c r="J5318">
        <v>-353.08769999999998</v>
      </c>
      <c r="K5318">
        <v>1.121499</v>
      </c>
      <c r="L5318">
        <v>142.19880000000001</v>
      </c>
      <c r="M5318">
        <v>-0.99979910000000005</v>
      </c>
      <c r="N5318">
        <v>-1.467692E-2</v>
      </c>
      <c r="O5318">
        <v>-1.3654619999999999E-2</v>
      </c>
      <c r="P5318">
        <v>-0.98351469999999996</v>
      </c>
      <c r="Q5318">
        <v>0.17934600000000001</v>
      </c>
      <c r="R5318">
        <v>2.3113809999999999E-2</v>
      </c>
      <c r="S5318">
        <v>-3.060028</v>
      </c>
      <c r="T5318">
        <v>-9.5192190000000006E-3</v>
      </c>
      <c r="U5318">
        <v>-0.32673649999999999</v>
      </c>
      <c r="V5318">
        <v>3.6411480000000003E-2</v>
      </c>
      <c r="W5318">
        <v>0.19378010000000001</v>
      </c>
      <c r="X5318">
        <v>0.98036900000000005</v>
      </c>
      <c r="Y5318">
        <v>-9.2581640000000007E-2</v>
      </c>
      <c r="Z5318">
        <v>-9.8251799999999993E-4</v>
      </c>
      <c r="AA5318">
        <v>0.99570460000000005</v>
      </c>
      <c r="AB5318">
        <v>47</v>
      </c>
      <c r="AC5318">
        <v>-3.060028</v>
      </c>
      <c r="AD5318">
        <v>-9.5192190000000006E-3</v>
      </c>
      <c r="AE5318">
        <v>-0.32673649999999999</v>
      </c>
      <c r="AF5318">
        <v>-0.28491528763396801</v>
      </c>
      <c r="AG5318">
        <v>-9.5192190000000006E-3</v>
      </c>
      <c r="AH5318">
        <v>3.06417528082663</v>
      </c>
      <c r="AI5318">
        <v>90.177230973279407</v>
      </c>
      <c r="AJ5318">
        <v>95.312241859125606</v>
      </c>
      <c r="AK5318">
        <v>3.07740759216047</v>
      </c>
      <c r="AL5318">
        <v>78.826530189349995</v>
      </c>
      <c r="AM5318">
        <v>87.872978785541406</v>
      </c>
      <c r="AN5318">
        <v>0.99999994959639804</v>
      </c>
    </row>
    <row r="5319" spans="1:40" x14ac:dyDescent="0.25">
      <c r="A5319" t="str">
        <f>"20190303170359387"</f>
        <v>20190303170359387</v>
      </c>
      <c r="B5319" t="str">
        <f>"1551603839381085"</f>
        <v>1551603839381085</v>
      </c>
      <c r="C5319" t="s">
        <v>40</v>
      </c>
      <c r="D5319">
        <v>3.959972</v>
      </c>
      <c r="E5319">
        <v>0.45336969999999999</v>
      </c>
      <c r="F5319" t="s">
        <v>48</v>
      </c>
      <c r="G5319">
        <v>0</v>
      </c>
      <c r="H5319">
        <v>0</v>
      </c>
      <c r="I5319">
        <v>0</v>
      </c>
      <c r="J5319">
        <v>-353.56310000000002</v>
      </c>
      <c r="K5319">
        <v>1.121499</v>
      </c>
      <c r="L5319">
        <v>142.19210000000001</v>
      </c>
      <c r="M5319">
        <v>-0.99979589999999996</v>
      </c>
      <c r="N5319">
        <v>-1.4686879999999999E-2</v>
      </c>
      <c r="O5319">
        <v>-1.3872519999999999E-2</v>
      </c>
      <c r="P5319">
        <v>-0.98358920000000005</v>
      </c>
      <c r="Q5319">
        <v>0.1789867</v>
      </c>
      <c r="R5319">
        <v>2.2714399999999999E-2</v>
      </c>
      <c r="S5319">
        <v>-3.060028</v>
      </c>
      <c r="T5319">
        <v>-1.0630850000000001E-2</v>
      </c>
      <c r="U5319">
        <v>-0.33190920000000002</v>
      </c>
      <c r="V5319">
        <v>3.6229690000000002E-2</v>
      </c>
      <c r="W5319">
        <v>0.19343160000000001</v>
      </c>
      <c r="X5319">
        <v>0.9804446</v>
      </c>
      <c r="Y5319">
        <v>-9.4027970000000002E-2</v>
      </c>
      <c r="Z5319">
        <v>-1.010571E-3</v>
      </c>
      <c r="AA5319">
        <v>0.99556909999999998</v>
      </c>
      <c r="AB5319">
        <v>47</v>
      </c>
      <c r="AC5319">
        <v>-3.060028</v>
      </c>
      <c r="AD5319">
        <v>-1.0630850000000001E-2</v>
      </c>
      <c r="AE5319">
        <v>-0.33190920000000002</v>
      </c>
      <c r="AF5319">
        <v>-0.28941892276673897</v>
      </c>
      <c r="AG5319">
        <v>-1.0630850000000001E-2</v>
      </c>
      <c r="AH5319">
        <v>3.0643018355041498</v>
      </c>
      <c r="AI5319">
        <v>90.197892290085704</v>
      </c>
      <c r="AJ5319">
        <v>95.395498787709599</v>
      </c>
      <c r="AK5319">
        <v>3.0779574504695999</v>
      </c>
      <c r="AL5319">
        <v>78.846883355963001</v>
      </c>
      <c r="AM5319">
        <v>87.883751633380797</v>
      </c>
      <c r="AN5319">
        <v>0.99999999399260797</v>
      </c>
    </row>
    <row r="5320" spans="1:40" x14ac:dyDescent="0.25">
      <c r="A5320" t="str">
        <f>"20190303170359409"</f>
        <v>20190303170359409</v>
      </c>
      <c r="B5320" t="str">
        <f>"1551603839400605"</f>
        <v>1551603839400605</v>
      </c>
      <c r="C5320" t="s">
        <v>40</v>
      </c>
      <c r="D5320">
        <v>3.9328280000000002</v>
      </c>
      <c r="E5320">
        <v>0.45312279999999999</v>
      </c>
      <c r="F5320" t="s">
        <v>48</v>
      </c>
      <c r="G5320">
        <v>0</v>
      </c>
      <c r="H5320">
        <v>0</v>
      </c>
      <c r="I5320">
        <v>0</v>
      </c>
      <c r="J5320">
        <v>-354.01940000000002</v>
      </c>
      <c r="K5320">
        <v>1.1214959999999901</v>
      </c>
      <c r="L5320">
        <v>142.18559999999999</v>
      </c>
      <c r="M5320">
        <v>-0.99979289999999998</v>
      </c>
      <c r="N5320">
        <v>-1.4694759999999999E-2</v>
      </c>
      <c r="O5320">
        <v>-1.408016E-2</v>
      </c>
      <c r="P5320">
        <v>-0.98355769999999998</v>
      </c>
      <c r="Q5320">
        <v>0.17918680000000001</v>
      </c>
      <c r="R5320">
        <v>2.2509749999999999E-2</v>
      </c>
      <c r="S5320">
        <v>-3.0600890000000001</v>
      </c>
      <c r="T5320">
        <v>-1.257277E-2</v>
      </c>
      <c r="U5320">
        <v>-0.3372192</v>
      </c>
      <c r="V5320">
        <v>3.6230440000000003E-2</v>
      </c>
      <c r="W5320">
        <v>0.19363839999999999</v>
      </c>
      <c r="X5320">
        <v>0.98040380000000005</v>
      </c>
      <c r="Y5320">
        <v>-9.5525349999999995E-2</v>
      </c>
      <c r="Z5320">
        <v>-1.0483529999999999E-3</v>
      </c>
      <c r="AA5320">
        <v>0.99542649999999999</v>
      </c>
      <c r="AB5320">
        <v>47</v>
      </c>
      <c r="AC5320">
        <v>-3.0600890000000001</v>
      </c>
      <c r="AD5320">
        <v>-1.257277E-2</v>
      </c>
      <c r="AE5320">
        <v>-0.3372192</v>
      </c>
      <c r="AF5320">
        <v>-0.29408966439089901</v>
      </c>
      <c r="AG5320">
        <v>-1.257277E-2</v>
      </c>
      <c r="AH5320">
        <v>3.06448308934577</v>
      </c>
      <c r="AI5320">
        <v>90.233993209052599</v>
      </c>
      <c r="AJ5320">
        <v>95.481724646317005</v>
      </c>
      <c r="AK5320">
        <v>3.0785878922215599</v>
      </c>
      <c r="AL5320">
        <v>78.834806804363296</v>
      </c>
      <c r="AM5320">
        <v>87.883619873738795</v>
      </c>
      <c r="AN5320">
        <v>1.00000004289579</v>
      </c>
    </row>
    <row r="5321" spans="1:40" x14ac:dyDescent="0.25">
      <c r="A5321" t="str">
        <f>"20190303170359431"</f>
        <v>20190303170359431</v>
      </c>
      <c r="B5321" t="str">
        <f>"1551603839421102"</f>
        <v>1551603839421102</v>
      </c>
      <c r="C5321" t="s">
        <v>40</v>
      </c>
      <c r="D5321">
        <v>3.9933000000000001</v>
      </c>
      <c r="E5321">
        <v>0.45311820000000003</v>
      </c>
      <c r="F5321" t="s">
        <v>48</v>
      </c>
      <c r="G5321">
        <v>0</v>
      </c>
      <c r="H5321">
        <v>0</v>
      </c>
      <c r="I5321">
        <v>0</v>
      </c>
      <c r="J5321">
        <v>-354.48360000000002</v>
      </c>
      <c r="K5321">
        <v>1.121505</v>
      </c>
      <c r="L5321">
        <v>142.1789</v>
      </c>
      <c r="M5321">
        <v>-0.99978979999999995</v>
      </c>
      <c r="N5321">
        <v>-1.470132E-2</v>
      </c>
      <c r="O5321">
        <v>-1.429043E-2</v>
      </c>
      <c r="P5321">
        <v>-0.98349949999999997</v>
      </c>
      <c r="Q5321">
        <v>0.17941019999999999</v>
      </c>
      <c r="R5321">
        <v>2.325698E-2</v>
      </c>
      <c r="S5321">
        <v>-3.0602420000000001</v>
      </c>
      <c r="T5321">
        <v>-1.2802839999999999E-2</v>
      </c>
      <c r="U5321">
        <v>-0.33956910000000001</v>
      </c>
      <c r="V5321">
        <v>3.7184879999999997E-2</v>
      </c>
      <c r="W5321">
        <v>0.19386719999999999</v>
      </c>
      <c r="X5321">
        <v>0.98032280000000005</v>
      </c>
      <c r="Y5321">
        <v>-9.6065590000000006E-2</v>
      </c>
      <c r="Z5321">
        <v>-1.05861E-3</v>
      </c>
      <c r="AA5321">
        <v>0.99537439999999999</v>
      </c>
      <c r="AB5321">
        <v>47</v>
      </c>
      <c r="AC5321">
        <v>-3.0602420000000001</v>
      </c>
      <c r="AD5321">
        <v>-1.2802839999999999E-2</v>
      </c>
      <c r="AE5321">
        <v>-0.33956910000000001</v>
      </c>
      <c r="AF5321">
        <v>-0.29579240282067898</v>
      </c>
      <c r="AG5321">
        <v>-1.2802839999999999E-2</v>
      </c>
      <c r="AH5321">
        <v>3.06472956551635</v>
      </c>
      <c r="AI5321">
        <v>90.238243408607005</v>
      </c>
      <c r="AJ5321">
        <v>95.512827413457302</v>
      </c>
      <c r="AK5321">
        <v>3.0789972991265402</v>
      </c>
      <c r="AL5321">
        <v>78.821443823679402</v>
      </c>
      <c r="AM5321">
        <v>87.827740234863995</v>
      </c>
      <c r="AN5321">
        <v>0.99999999936814699</v>
      </c>
    </row>
    <row r="5322" spans="1:40" x14ac:dyDescent="0.25">
      <c r="A5322" t="str">
        <f>"20190303170359454"</f>
        <v>20190303170359454</v>
      </c>
      <c r="B5322" t="str">
        <f>"1551603839440621"</f>
        <v>1551603839440621</v>
      </c>
      <c r="C5322" t="s">
        <v>40</v>
      </c>
      <c r="D5322">
        <v>3.9572440000000002</v>
      </c>
      <c r="E5322">
        <v>0.45318530000000001</v>
      </c>
      <c r="F5322" t="s">
        <v>48</v>
      </c>
      <c r="G5322">
        <v>0</v>
      </c>
      <c r="H5322">
        <v>0</v>
      </c>
      <c r="I5322">
        <v>0</v>
      </c>
      <c r="J5322">
        <v>-354.95519999999999</v>
      </c>
      <c r="K5322">
        <v>1.1215079999999999</v>
      </c>
      <c r="L5322">
        <v>142.172</v>
      </c>
      <c r="M5322">
        <v>-0.99978670000000003</v>
      </c>
      <c r="N5322">
        <v>-1.470669E-2</v>
      </c>
      <c r="O5322">
        <v>-1.450391E-2</v>
      </c>
      <c r="P5322">
        <v>-0.98349810000000004</v>
      </c>
      <c r="Q5322">
        <v>0.179456</v>
      </c>
      <c r="R5322">
        <v>2.2968619999999999E-2</v>
      </c>
      <c r="S5322">
        <v>-3.0606689999999999</v>
      </c>
      <c r="T5322">
        <v>-1.2772560000000001E-2</v>
      </c>
      <c r="U5322">
        <v>-0.33746340000000002</v>
      </c>
      <c r="V5322">
        <v>3.7107689999999999E-2</v>
      </c>
      <c r="W5322">
        <v>0.19391810000000001</v>
      </c>
      <c r="X5322">
        <v>0.98031570000000001</v>
      </c>
      <c r="Y5322">
        <v>-9.5161300000000004E-2</v>
      </c>
      <c r="Z5322">
        <v>-1.052271E-3</v>
      </c>
      <c r="AA5322">
        <v>0.99546129999999999</v>
      </c>
      <c r="AB5322">
        <v>47</v>
      </c>
      <c r="AC5322">
        <v>-3.0606689999999999</v>
      </c>
      <c r="AD5322">
        <v>-1.2772560000000001E-2</v>
      </c>
      <c r="AE5322">
        <v>-0.33746340000000002</v>
      </c>
      <c r="AF5322">
        <v>-0.29302638668717801</v>
      </c>
      <c r="AG5322">
        <v>-1.2772560000000001E-2</v>
      </c>
      <c r="AH5322">
        <v>3.06518931592296</v>
      </c>
      <c r="AI5322">
        <v>90.237665035164497</v>
      </c>
      <c r="AJ5322">
        <v>95.460774753613194</v>
      </c>
      <c r="AK5322">
        <v>3.0791903390391702</v>
      </c>
      <c r="AL5322">
        <v>78.818471524056704</v>
      </c>
      <c r="AM5322">
        <v>87.832229515128702</v>
      </c>
      <c r="AN5322">
        <v>1.00000004091561</v>
      </c>
    </row>
    <row r="5323" spans="1:40" x14ac:dyDescent="0.25">
      <c r="A5323" t="str">
        <f>"20190303170359476"</f>
        <v>20190303170359476</v>
      </c>
      <c r="B5323" t="str">
        <f>"1551603839470877"</f>
        <v>1551603839470877</v>
      </c>
      <c r="C5323" t="s">
        <v>40</v>
      </c>
      <c r="D5323">
        <v>3.9823080000000002</v>
      </c>
      <c r="E5323">
        <v>0.45312619999999998</v>
      </c>
      <c r="F5323" t="s">
        <v>48</v>
      </c>
      <c r="G5323">
        <v>0</v>
      </c>
      <c r="H5323">
        <v>0</v>
      </c>
      <c r="I5323">
        <v>0</v>
      </c>
      <c r="J5323">
        <v>-355.4409</v>
      </c>
      <c r="K5323">
        <v>1.1215090000000001</v>
      </c>
      <c r="L5323">
        <v>142.16480000000001</v>
      </c>
      <c r="M5323">
        <v>-0.99978350000000005</v>
      </c>
      <c r="N5323">
        <v>-1.471098E-2</v>
      </c>
      <c r="O5323">
        <v>-1.4723470000000001E-2</v>
      </c>
      <c r="P5323">
        <v>-0.98349880000000001</v>
      </c>
      <c r="Q5323">
        <v>0.1794181</v>
      </c>
      <c r="R5323">
        <v>2.3230839999999999E-2</v>
      </c>
      <c r="S5323">
        <v>-3.0606689999999999</v>
      </c>
      <c r="T5323">
        <v>-1.322508E-2</v>
      </c>
      <c r="U5323">
        <v>-0.33749390000000001</v>
      </c>
      <c r="V5323">
        <v>3.7586729999999999E-2</v>
      </c>
      <c r="W5323">
        <v>0.19388440000000001</v>
      </c>
      <c r="X5323">
        <v>0.98030410000000001</v>
      </c>
      <c r="Y5323">
        <v>-9.4952330000000001E-2</v>
      </c>
      <c r="Z5323">
        <v>-1.0577E-3</v>
      </c>
      <c r="AA5323">
        <v>0.99548130000000001</v>
      </c>
      <c r="AB5323">
        <v>47</v>
      </c>
      <c r="AC5323">
        <v>-3.0606689999999999</v>
      </c>
      <c r="AD5323">
        <v>-1.322508E-2</v>
      </c>
      <c r="AE5323">
        <v>-0.33749390000000001</v>
      </c>
      <c r="AF5323">
        <v>-0.29238337582730101</v>
      </c>
      <c r="AG5323">
        <v>-1.322508E-2</v>
      </c>
      <c r="AH5323">
        <v>3.0652502386974598</v>
      </c>
      <c r="AI5323">
        <v>90.246085224169093</v>
      </c>
      <c r="AJ5323">
        <v>95.448756298322394</v>
      </c>
      <c r="AK5323">
        <v>3.0791917717212698</v>
      </c>
      <c r="AL5323">
        <v>78.820439573742803</v>
      </c>
      <c r="AM5323">
        <v>87.804246043129197</v>
      </c>
      <c r="AN5323">
        <v>1.0000000256561301</v>
      </c>
    </row>
    <row r="5324" spans="1:40" x14ac:dyDescent="0.25">
      <c r="A5324" t="str">
        <f>"20190303170359498"</f>
        <v>20190303170359498</v>
      </c>
      <c r="B5324" t="str">
        <f>"1551603839491374"</f>
        <v>1551603839491374</v>
      </c>
      <c r="C5324" t="s">
        <v>40</v>
      </c>
      <c r="D5324">
        <v>3.9573230000000001</v>
      </c>
      <c r="E5324">
        <v>0.45289360000000001</v>
      </c>
      <c r="F5324" t="s">
        <v>48</v>
      </c>
      <c r="G5324">
        <v>0</v>
      </c>
      <c r="H5324">
        <v>0</v>
      </c>
      <c r="I5324">
        <v>0</v>
      </c>
      <c r="J5324">
        <v>-355.8929</v>
      </c>
      <c r="K5324">
        <v>1.121505</v>
      </c>
      <c r="L5324">
        <v>142.15799999999999</v>
      </c>
      <c r="M5324">
        <v>-0.99978040000000001</v>
      </c>
      <c r="N5324">
        <v>-1.4714029999999999E-2</v>
      </c>
      <c r="O5324">
        <v>-1.492837E-2</v>
      </c>
      <c r="P5324">
        <v>-0.9836819</v>
      </c>
      <c r="Q5324">
        <v>0.1784249</v>
      </c>
      <c r="R5324">
        <v>2.31262E-2</v>
      </c>
      <c r="S5324">
        <v>-3.0607600000000001</v>
      </c>
      <c r="T5324">
        <v>-1.3693810000000001E-2</v>
      </c>
      <c r="U5324">
        <v>-0.33792109999999997</v>
      </c>
      <c r="V5324">
        <v>3.768788E-2</v>
      </c>
      <c r="W5324">
        <v>0.19289680000000001</v>
      </c>
      <c r="X5324">
        <v>0.98049500000000001</v>
      </c>
      <c r="Y5324">
        <v>-9.4882179999999997E-2</v>
      </c>
      <c r="Z5324">
        <v>-1.06431E-3</v>
      </c>
      <c r="AA5324">
        <v>0.99548789999999998</v>
      </c>
      <c r="AB5324">
        <v>47</v>
      </c>
      <c r="AC5324">
        <v>-3.0607600000000001</v>
      </c>
      <c r="AD5324">
        <v>-1.3693810000000001E-2</v>
      </c>
      <c r="AE5324">
        <v>-0.33792109999999997</v>
      </c>
      <c r="AF5324">
        <v>-0.29218055774679902</v>
      </c>
      <c r="AG5324">
        <v>-1.3693810000000001E-2</v>
      </c>
      <c r="AH5324">
        <v>3.0654033893372001</v>
      </c>
      <c r="AI5324">
        <v>90.254795966023494</v>
      </c>
      <c r="AJ5324">
        <v>95.444728970823107</v>
      </c>
      <c r="AK5324">
        <v>3.0793270268221802</v>
      </c>
      <c r="AL5324">
        <v>78.878113360041695</v>
      </c>
      <c r="AM5324">
        <v>87.798771071963998</v>
      </c>
      <c r="AN5324">
        <v>0.99999999838706699</v>
      </c>
    </row>
    <row r="5325" spans="1:40" x14ac:dyDescent="0.25">
      <c r="A5325" t="str">
        <f>"20190303170359520"</f>
        <v>20190303170359520</v>
      </c>
      <c r="B5325" t="str">
        <f>"1551603839510894"</f>
        <v>1551603839510894</v>
      </c>
      <c r="C5325" t="s">
        <v>40</v>
      </c>
      <c r="D5325">
        <v>3.9728620000000001</v>
      </c>
      <c r="E5325">
        <v>0.45269120000000002</v>
      </c>
      <c r="F5325" t="s">
        <v>48</v>
      </c>
      <c r="G5325">
        <v>0</v>
      </c>
      <c r="H5325">
        <v>0</v>
      </c>
      <c r="I5325">
        <v>0</v>
      </c>
      <c r="J5325">
        <v>-356.35849999999999</v>
      </c>
      <c r="K5325">
        <v>1.121499</v>
      </c>
      <c r="L5325">
        <v>142.15090000000001</v>
      </c>
      <c r="M5325">
        <v>-0.99977720000000003</v>
      </c>
      <c r="N5325">
        <v>-1.471622E-2</v>
      </c>
      <c r="O5325">
        <v>-1.5139329999999999E-2</v>
      </c>
      <c r="P5325">
        <v>-0.98380049999999997</v>
      </c>
      <c r="Q5325">
        <v>0.17779779999999901</v>
      </c>
      <c r="R5325">
        <v>2.2909120000000002E-2</v>
      </c>
      <c r="S5325">
        <v>-3.0607600000000001</v>
      </c>
      <c r="T5325">
        <v>-1.646042E-2</v>
      </c>
      <c r="U5325">
        <v>-0.34062189999999998</v>
      </c>
      <c r="V5325">
        <v>3.7681350000000002E-2</v>
      </c>
      <c r="W5325">
        <v>0.1922731</v>
      </c>
      <c r="X5325">
        <v>0.98061779999999998</v>
      </c>
      <c r="Y5325">
        <v>-9.5538670000000006E-2</v>
      </c>
      <c r="Z5325">
        <v>-1.1023389999999999E-3</v>
      </c>
      <c r="AA5325">
        <v>0.99542509999999995</v>
      </c>
      <c r="AB5325">
        <v>47</v>
      </c>
      <c r="AC5325">
        <v>-3.0607600000000001</v>
      </c>
      <c r="AD5325">
        <v>-1.646042E-2</v>
      </c>
      <c r="AE5325">
        <v>-0.34062189999999998</v>
      </c>
      <c r="AF5325">
        <v>-0.29423157947002598</v>
      </c>
      <c r="AG5325">
        <v>-1.646042E-2</v>
      </c>
      <c r="AH5325">
        <v>3.0654789130524298</v>
      </c>
      <c r="AI5325">
        <v>90.306245520804495</v>
      </c>
      <c r="AJ5325">
        <v>95.482583027334002</v>
      </c>
      <c r="AK5325">
        <v>3.0796110361786102</v>
      </c>
      <c r="AL5325">
        <v>78.914531028027397</v>
      </c>
      <c r="AM5325">
        <v>87.799427428364694</v>
      </c>
      <c r="AN5325">
        <v>1.0000000493991299</v>
      </c>
    </row>
    <row r="5326" spans="1:40" x14ac:dyDescent="0.25">
      <c r="A5326" t="str">
        <f>"20190303170359543"</f>
        <v>20190303170359543</v>
      </c>
      <c r="B5326" t="str">
        <f>"1551603839531390"</f>
        <v>1551603839531390</v>
      </c>
      <c r="C5326" t="s">
        <v>40</v>
      </c>
      <c r="D5326">
        <v>4.0098929999999999</v>
      </c>
      <c r="E5326">
        <v>0.4272186</v>
      </c>
      <c r="F5326" t="s">
        <v>44</v>
      </c>
      <c r="G5326">
        <v>-545.90150000000006</v>
      </c>
      <c r="H5326">
        <v>-0.05</v>
      </c>
      <c r="I5326">
        <v>120.92230000000001</v>
      </c>
      <c r="J5326">
        <v>-356.82749999999999</v>
      </c>
      <c r="K5326">
        <v>1.121499</v>
      </c>
      <c r="L5326">
        <v>142.14359999999999</v>
      </c>
      <c r="M5326">
        <v>-0.99977389999999999</v>
      </c>
      <c r="N5326">
        <v>-1.471781E-2</v>
      </c>
      <c r="O5326">
        <v>-1.5352090000000001E-2</v>
      </c>
      <c r="P5326">
        <v>-0.9838846</v>
      </c>
      <c r="Q5326">
        <v>0.177394</v>
      </c>
      <c r="R5326">
        <v>2.241611E-2</v>
      </c>
      <c r="S5326">
        <v>-3.060791</v>
      </c>
      <c r="T5326">
        <v>-1.8917679999999999E-2</v>
      </c>
      <c r="U5326">
        <v>-0.342804</v>
      </c>
      <c r="V5326">
        <v>3.7399889999999998E-2</v>
      </c>
      <c r="W5326">
        <v>0.19187209999999999</v>
      </c>
      <c r="X5326">
        <v>0.980707</v>
      </c>
      <c r="Y5326">
        <v>-9.6025470000000002E-2</v>
      </c>
      <c r="Z5326">
        <v>-1.135477E-3</v>
      </c>
      <c r="AA5326">
        <v>0.99537830000000005</v>
      </c>
      <c r="AB5326">
        <v>47</v>
      </c>
      <c r="AC5326">
        <v>-189.07400000000001</v>
      </c>
      <c r="AD5326">
        <v>-1.1714990000000001</v>
      </c>
      <c r="AE5326">
        <v>-21.2212999999999</v>
      </c>
      <c r="AF5326">
        <v>-18.315108873176499</v>
      </c>
      <c r="AG5326">
        <v>-1.1714990000000001</v>
      </c>
      <c r="AH5326">
        <v>189.37035980566301</v>
      </c>
      <c r="AI5326">
        <v>90.352797353228596</v>
      </c>
      <c r="AJ5326">
        <v>95.524226379587006</v>
      </c>
      <c r="AK5326">
        <v>190.25758538326301</v>
      </c>
      <c r="AL5326">
        <v>78.937941283202093</v>
      </c>
      <c r="AM5326">
        <v>87.816047043287497</v>
      </c>
      <c r="AN5326">
        <v>0.99999993718970903</v>
      </c>
    </row>
    <row r="5327" spans="1:40" x14ac:dyDescent="0.25">
      <c r="A5327" t="str">
        <f>"20190303170359566"</f>
        <v>20190303170359566</v>
      </c>
      <c r="B5327" t="str">
        <f>"1551603839560669"</f>
        <v>1551603839560669</v>
      </c>
      <c r="C5327" t="s">
        <v>40</v>
      </c>
      <c r="D5327">
        <v>3.9835370000000001</v>
      </c>
      <c r="E5327">
        <v>0.41655920000000002</v>
      </c>
      <c r="F5327" t="s">
        <v>48</v>
      </c>
      <c r="G5327">
        <v>0</v>
      </c>
      <c r="H5327">
        <v>0</v>
      </c>
      <c r="I5327">
        <v>0</v>
      </c>
      <c r="J5327">
        <v>-357.31729999999999</v>
      </c>
      <c r="K5327">
        <v>1.1215029999999999</v>
      </c>
      <c r="L5327">
        <v>142.13589999999999</v>
      </c>
      <c r="M5327">
        <v>-0.99977050000000001</v>
      </c>
      <c r="N5327">
        <v>-1.471884E-2</v>
      </c>
      <c r="O5327">
        <v>-1.5574269999999999E-2</v>
      </c>
      <c r="P5327">
        <v>-0.98391600000000001</v>
      </c>
      <c r="Q5327">
        <v>0.1771655</v>
      </c>
      <c r="R5327">
        <v>2.284829E-2</v>
      </c>
      <c r="S5327">
        <v>-3.063599</v>
      </c>
      <c r="T5327">
        <v>-1.0809900000000001E-2</v>
      </c>
      <c r="U5327">
        <v>-0.54733279999999995</v>
      </c>
      <c r="V5327">
        <v>3.8051950000000001E-2</v>
      </c>
      <c r="W5327">
        <v>0.19164510000000001</v>
      </c>
      <c r="X5327">
        <v>0.9807264</v>
      </c>
      <c r="Y5327">
        <v>-0.160513299999999</v>
      </c>
      <c r="Z5327">
        <v>-1.644642E-3</v>
      </c>
      <c r="AA5327">
        <v>0.98703229999999997</v>
      </c>
      <c r="AB5327">
        <v>47</v>
      </c>
      <c r="AC5327">
        <v>-3.063599</v>
      </c>
      <c r="AD5327">
        <v>-1.0809900000000001E-2</v>
      </c>
      <c r="AE5327">
        <v>-0.54733279999999995</v>
      </c>
      <c r="AF5327">
        <v>-0.49954189342856098</v>
      </c>
      <c r="AG5327">
        <v>-1.0809900000000001E-2</v>
      </c>
      <c r="AH5327">
        <v>3.0717155173974202</v>
      </c>
      <c r="AI5327">
        <v>90.199018402399105</v>
      </c>
      <c r="AJ5327">
        <v>99.236939371598197</v>
      </c>
      <c r="AK5327">
        <v>3.1120885554637301</v>
      </c>
      <c r="AL5327">
        <v>78.951194433384501</v>
      </c>
      <c r="AM5327">
        <v>87.778051986435301</v>
      </c>
      <c r="AN5327">
        <v>1.00000003345488</v>
      </c>
    </row>
    <row r="5328" spans="1:40" x14ac:dyDescent="0.25">
      <c r="A5328" t="str">
        <f>"20190303170359587"</f>
        <v>20190303170359587</v>
      </c>
      <c r="B5328" t="str">
        <f>"1551603839581166"</f>
        <v>1551603839581166</v>
      </c>
      <c r="C5328" t="s">
        <v>40</v>
      </c>
      <c r="D5328">
        <v>3.9924590000000002</v>
      </c>
      <c r="E5328">
        <v>0.41434310000000002</v>
      </c>
      <c r="F5328" t="s">
        <v>77</v>
      </c>
      <c r="G5328">
        <v>-467.85820000000001</v>
      </c>
      <c r="H5328">
        <v>1.944426</v>
      </c>
      <c r="I5328">
        <v>119.395</v>
      </c>
      <c r="J5328">
        <v>-357.77640000000002</v>
      </c>
      <c r="K5328">
        <v>1.1215029999999999</v>
      </c>
      <c r="L5328">
        <v>142.12860000000001</v>
      </c>
      <c r="M5328">
        <v>-0.99976730000000003</v>
      </c>
      <c r="N5328">
        <v>-1.471928E-2</v>
      </c>
      <c r="O5328">
        <v>-1.5782379999999999E-2</v>
      </c>
      <c r="P5328">
        <v>-0.98404740000000002</v>
      </c>
      <c r="Q5328">
        <v>0.17633859999999901</v>
      </c>
      <c r="R5328">
        <v>2.3571910000000001E-2</v>
      </c>
      <c r="S5328">
        <v>-3.0595699999999999</v>
      </c>
      <c r="T5328">
        <v>2.2777680000000002E-2</v>
      </c>
      <c r="U5328">
        <v>-0.62942500000000001</v>
      </c>
      <c r="V5328">
        <v>3.8983169999999998E-2</v>
      </c>
      <c r="W5328">
        <v>0.19082089999999999</v>
      </c>
      <c r="X5328">
        <v>0.98085049999999996</v>
      </c>
      <c r="Y5328">
        <v>-0.18602669999999999</v>
      </c>
      <c r="Z5328">
        <v>-1.044286E-3</v>
      </c>
      <c r="AA5328">
        <v>0.98254410000000003</v>
      </c>
      <c r="AB5328">
        <v>47</v>
      </c>
      <c r="AC5328">
        <v>-110.0818</v>
      </c>
      <c r="AD5328">
        <v>0.82292299999999896</v>
      </c>
      <c r="AE5328">
        <v>-22.733599999999999</v>
      </c>
      <c r="AF5328">
        <v>-20.992102100763798</v>
      </c>
      <c r="AG5328">
        <v>0.82292299999999896</v>
      </c>
      <c r="AH5328">
        <v>110.42099716062</v>
      </c>
      <c r="AI5328">
        <v>89.580518479867393</v>
      </c>
      <c r="AJ5328">
        <v>100.764033046051</v>
      </c>
      <c r="AK5328">
        <v>112.40170001747499</v>
      </c>
      <c r="AL5328">
        <v>78.999305185832895</v>
      </c>
      <c r="AM5328">
        <v>87.724019947398602</v>
      </c>
      <c r="AN5328">
        <v>1.0000000033851499</v>
      </c>
    </row>
    <row r="5329" spans="1:40" x14ac:dyDescent="0.25">
      <c r="A5329" t="str">
        <f>"20190303170359610"</f>
        <v>20190303170359610</v>
      </c>
      <c r="B5329" t="str">
        <f>"1551603839600686"</f>
        <v>1551603839600686</v>
      </c>
      <c r="C5329" t="s">
        <v>40</v>
      </c>
      <c r="D5329">
        <v>3.9819810000000002</v>
      </c>
      <c r="E5329">
        <v>0.41295870000000001</v>
      </c>
      <c r="F5329" t="s">
        <v>77</v>
      </c>
      <c r="G5329">
        <v>-463.62990000000002</v>
      </c>
      <c r="H5329">
        <v>2.0165359999999999</v>
      </c>
      <c r="I5329">
        <v>119.8177</v>
      </c>
      <c r="J5329">
        <v>-358.22980000000001</v>
      </c>
      <c r="K5329">
        <v>1.1214900000000001</v>
      </c>
      <c r="L5329">
        <v>142.12129999999999</v>
      </c>
      <c r="M5329">
        <v>-0.99976379999999998</v>
      </c>
      <c r="N5329">
        <v>-1.471928E-2</v>
      </c>
      <c r="O5329">
        <v>-1.5987399999999999E-2</v>
      </c>
      <c r="P5329">
        <v>-0.98417779999999999</v>
      </c>
      <c r="Q5329">
        <v>0.17573800000000001</v>
      </c>
      <c r="R5329">
        <v>2.258839E-2</v>
      </c>
      <c r="S5329">
        <v>-3.059418</v>
      </c>
      <c r="T5329">
        <v>2.5869369999999999E-2</v>
      </c>
      <c r="U5329">
        <v>-0.64483639999999998</v>
      </c>
      <c r="V5329">
        <v>3.820432E-2</v>
      </c>
      <c r="W5329">
        <v>0.19022169999999999</v>
      </c>
      <c r="X5329">
        <v>0.98099749999999997</v>
      </c>
      <c r="Y5329">
        <v>-0.190577</v>
      </c>
      <c r="Z5329">
        <v>-9.8744590000000008E-4</v>
      </c>
      <c r="AA5329">
        <v>0.98167179999999998</v>
      </c>
      <c r="AB5329">
        <v>47</v>
      </c>
      <c r="AC5329">
        <v>-105.40009999999999</v>
      </c>
      <c r="AD5329">
        <v>0.89504599999999901</v>
      </c>
      <c r="AE5329">
        <v>-22.3035999999999</v>
      </c>
      <c r="AF5329">
        <v>-20.614069813289099</v>
      </c>
      <c r="AG5329">
        <v>0.89504599999999901</v>
      </c>
      <c r="AH5329">
        <v>105.73594341511399</v>
      </c>
      <c r="AI5329">
        <v>89.523969401780803</v>
      </c>
      <c r="AJ5329">
        <v>101.031891631652</v>
      </c>
      <c r="AK5329">
        <v>107.730361140643</v>
      </c>
      <c r="AL5329">
        <v>79.034277142920999</v>
      </c>
      <c r="AM5329">
        <v>87.769779566527902</v>
      </c>
      <c r="AN5329">
        <v>0.99999998011190006</v>
      </c>
    </row>
    <row r="5330" spans="1:40" x14ac:dyDescent="0.25">
      <c r="A5330" t="str">
        <f>"20190303170359632"</f>
        <v>20190303170359632</v>
      </c>
      <c r="B5330" t="str">
        <f>"1551603839621182"</f>
        <v>1551603839621182</v>
      </c>
      <c r="C5330" t="s">
        <v>40</v>
      </c>
      <c r="D5330">
        <v>3.9725570000000001</v>
      </c>
      <c r="E5330">
        <v>0.41210150000000001</v>
      </c>
      <c r="F5330" t="s">
        <v>77</v>
      </c>
      <c r="G5330">
        <v>-461.96170000000001</v>
      </c>
      <c r="H5330">
        <v>1.965293</v>
      </c>
      <c r="I5330">
        <v>119.8177</v>
      </c>
      <c r="J5330">
        <v>-358.69670000000002</v>
      </c>
      <c r="K5330">
        <v>1.1214900000000001</v>
      </c>
      <c r="L5330">
        <v>142.11359999999999</v>
      </c>
      <c r="M5330">
        <v>-0.99976050000000005</v>
      </c>
      <c r="N5330">
        <v>-1.47189E-2</v>
      </c>
      <c r="O5330">
        <v>-1.6198850000000001E-2</v>
      </c>
      <c r="P5330">
        <v>-0.98435680000000003</v>
      </c>
      <c r="Q5330">
        <v>0.17487510000000001</v>
      </c>
      <c r="R5330">
        <v>2.1458100000000001E-2</v>
      </c>
      <c r="S5330">
        <v>-3.0588380000000002</v>
      </c>
      <c r="T5330">
        <v>2.4882789999999998E-2</v>
      </c>
      <c r="U5330">
        <v>-0.6576843</v>
      </c>
      <c r="V5330">
        <v>3.7285939999999997E-2</v>
      </c>
      <c r="W5330">
        <v>0.18936120000000001</v>
      </c>
      <c r="X5330">
        <v>0.9811993</v>
      </c>
      <c r="Y5330">
        <v>-0.1943501</v>
      </c>
      <c r="Z5330">
        <v>-1.0310510000000001E-3</v>
      </c>
      <c r="AA5330">
        <v>0.98093169999999996</v>
      </c>
      <c r="AB5330">
        <v>47</v>
      </c>
      <c r="AC5330">
        <v>-103.265</v>
      </c>
      <c r="AD5330">
        <v>0.84380299999999997</v>
      </c>
      <c r="AE5330">
        <v>-22.2958999999999</v>
      </c>
      <c r="AF5330">
        <v>-20.618703161425199</v>
      </c>
      <c r="AG5330">
        <v>0.84380299999999997</v>
      </c>
      <c r="AH5330">
        <v>103.60604514699401</v>
      </c>
      <c r="AI5330">
        <v>89.542348238717906</v>
      </c>
      <c r="AJ5330">
        <v>101.255415036755</v>
      </c>
      <c r="AK5330">
        <v>105.64116392090099</v>
      </c>
      <c r="AL5330">
        <v>79.0844929269023</v>
      </c>
      <c r="AM5330">
        <v>87.823786073240996</v>
      </c>
      <c r="AN5330">
        <v>0.99999998585380601</v>
      </c>
    </row>
    <row r="5331" spans="1:40" x14ac:dyDescent="0.25">
      <c r="A5331" t="str">
        <f>"20190303170359655"</f>
        <v>20190303170359655</v>
      </c>
      <c r="B5331" t="str">
        <f>"1551603839640702"</f>
        <v>1551603839640702</v>
      </c>
      <c r="C5331" t="s">
        <v>40</v>
      </c>
      <c r="D5331">
        <v>3.991279</v>
      </c>
      <c r="E5331">
        <v>0.41156310000000002</v>
      </c>
      <c r="F5331" t="s">
        <v>77</v>
      </c>
      <c r="G5331">
        <v>-461.03219999999999</v>
      </c>
      <c r="H5331">
        <v>1.9370890000000001</v>
      </c>
      <c r="I5331">
        <v>119.77209999999999</v>
      </c>
      <c r="J5331">
        <v>-359.16829999999999</v>
      </c>
      <c r="K5331">
        <v>1.121494</v>
      </c>
      <c r="L5331">
        <v>142.10579999999999</v>
      </c>
      <c r="M5331">
        <v>-0.99975700000000001</v>
      </c>
      <c r="N5331">
        <v>-1.471808E-2</v>
      </c>
      <c r="O5331">
        <v>-1.6411849999999999E-2</v>
      </c>
      <c r="P5331">
        <v>-0.98432529999999996</v>
      </c>
      <c r="Q5331">
        <v>0.1751239</v>
      </c>
      <c r="R5331">
        <v>2.0864210000000001E-2</v>
      </c>
      <c r="S5331">
        <v>-3.0578919999999998</v>
      </c>
      <c r="T5331">
        <v>2.4371739999999999E-2</v>
      </c>
      <c r="U5331">
        <v>-0.66758729999999999</v>
      </c>
      <c r="V5331">
        <v>3.6901259999999998E-2</v>
      </c>
      <c r="W5331">
        <v>0.1896079</v>
      </c>
      <c r="X5331">
        <v>0.98116619999999999</v>
      </c>
      <c r="Y5331">
        <v>-0.197237</v>
      </c>
      <c r="Z5331">
        <v>-1.0596659999999999E-3</v>
      </c>
      <c r="AA5331">
        <v>0.98035530000000004</v>
      </c>
      <c r="AB5331">
        <v>47</v>
      </c>
      <c r="AC5331">
        <v>-101.8639</v>
      </c>
      <c r="AD5331">
        <v>0.81559499999999896</v>
      </c>
      <c r="AE5331">
        <v>-22.3337</v>
      </c>
      <c r="AF5331">
        <v>-20.6574716868727</v>
      </c>
      <c r="AG5331">
        <v>0.81559499999999896</v>
      </c>
      <c r="AH5331">
        <v>102.210502758044</v>
      </c>
      <c r="AI5331">
        <v>89.551874870732107</v>
      </c>
      <c r="AJ5331">
        <v>101.425971673444</v>
      </c>
      <c r="AK5331">
        <v>104.280310729064</v>
      </c>
      <c r="AL5331">
        <v>79.070097256421406</v>
      </c>
      <c r="AM5331">
        <v>87.846144283243603</v>
      </c>
      <c r="AN5331">
        <v>0.99999998537721801</v>
      </c>
    </row>
    <row r="5332" spans="1:40" x14ac:dyDescent="0.25">
      <c r="A5332" t="str">
        <f>"20190303170359677"</f>
        <v>20190303170359677</v>
      </c>
      <c r="B5332" t="str">
        <f>"1551603839670958"</f>
        <v>1551603839670958</v>
      </c>
      <c r="C5332" t="s">
        <v>40</v>
      </c>
      <c r="D5332">
        <v>3.974046</v>
      </c>
      <c r="E5332">
        <v>0.410634</v>
      </c>
      <c r="F5332" t="s">
        <v>77</v>
      </c>
      <c r="G5332">
        <v>-461.03219999999999</v>
      </c>
      <c r="H5332">
        <v>2.0188090000000001</v>
      </c>
      <c r="I5332">
        <v>119.65089999999999</v>
      </c>
      <c r="J5332">
        <v>-359.63869999999997</v>
      </c>
      <c r="K5332">
        <v>1.1214999999999999</v>
      </c>
      <c r="L5332">
        <v>142.09790000000001</v>
      </c>
      <c r="M5332">
        <v>-0.99975349999999996</v>
      </c>
      <c r="N5332">
        <v>-1.471679E-2</v>
      </c>
      <c r="O5332">
        <v>-1.6624960000000001E-2</v>
      </c>
      <c r="P5332">
        <v>-0.98414860000000004</v>
      </c>
      <c r="Q5332">
        <v>0.17612069999999999</v>
      </c>
      <c r="R5332">
        <v>2.0817970000000002E-2</v>
      </c>
      <c r="S5332">
        <v>-3.05722</v>
      </c>
      <c r="T5332">
        <v>2.6931759999999999E-2</v>
      </c>
      <c r="U5332">
        <v>-0.6739349</v>
      </c>
      <c r="V5332">
        <v>3.7061520000000001E-2</v>
      </c>
      <c r="W5332">
        <v>0.19060089999999999</v>
      </c>
      <c r="X5332">
        <v>0.98096779999999995</v>
      </c>
      <c r="Y5332">
        <v>-0.19901479999999999</v>
      </c>
      <c r="Z5332">
        <v>-1.0022200000000001E-3</v>
      </c>
      <c r="AA5332">
        <v>0.97999599999999998</v>
      </c>
      <c r="AB5332">
        <v>47</v>
      </c>
      <c r="AC5332">
        <v>-101.3935</v>
      </c>
      <c r="AD5332">
        <v>0.89730900000000002</v>
      </c>
      <c r="AE5332">
        <v>-22.446999999999999</v>
      </c>
      <c r="AF5332">
        <v>-20.756501966932401</v>
      </c>
      <c r="AG5332">
        <v>0.89730900000000002</v>
      </c>
      <c r="AH5332">
        <v>101.745108633214</v>
      </c>
      <c r="AI5332">
        <v>89.504907818475701</v>
      </c>
      <c r="AJ5332">
        <v>101.530400599342</v>
      </c>
      <c r="AK5332">
        <v>103.844617906414</v>
      </c>
      <c r="AL5332">
        <v>79.012146362702794</v>
      </c>
      <c r="AM5332">
        <v>87.836361992039102</v>
      </c>
      <c r="AN5332">
        <v>1.0000000419911701</v>
      </c>
    </row>
    <row r="5333" spans="1:40" x14ac:dyDescent="0.25">
      <c r="A5333" t="str">
        <f>"20190303170359698"</f>
        <v>20190303170359698</v>
      </c>
      <c r="B5333" t="str">
        <f>"1551603839691454"</f>
        <v>1551603839691454</v>
      </c>
      <c r="C5333" t="s">
        <v>40</v>
      </c>
      <c r="D5333">
        <v>3.9637980000000002</v>
      </c>
      <c r="E5333">
        <v>0.41017169999999997</v>
      </c>
      <c r="F5333" t="s">
        <v>77</v>
      </c>
      <c r="G5333">
        <v>-461.03219999999999</v>
      </c>
      <c r="H5333">
        <v>2.2171310000000002</v>
      </c>
      <c r="I5333">
        <v>119.49760000000001</v>
      </c>
      <c r="J5333">
        <v>-360.08620000000002</v>
      </c>
      <c r="K5333">
        <v>1.121499</v>
      </c>
      <c r="L5333">
        <v>142.09030000000001</v>
      </c>
      <c r="M5333">
        <v>-0.99975009999999997</v>
      </c>
      <c r="N5333">
        <v>-1.471566E-2</v>
      </c>
      <c r="O5333">
        <v>-1.6827470000000001E-2</v>
      </c>
      <c r="P5333">
        <v>-0.9840778</v>
      </c>
      <c r="Q5333">
        <v>0.17655689999999999</v>
      </c>
      <c r="R5333">
        <v>2.046945E-2</v>
      </c>
      <c r="S5333">
        <v>-3.0567929999999999</v>
      </c>
      <c r="T5333">
        <v>3.3031699999999997E-2</v>
      </c>
      <c r="U5333">
        <v>-0.68135069999999998</v>
      </c>
      <c r="V5333">
        <v>3.6911140000000002E-2</v>
      </c>
      <c r="W5333">
        <v>0.1910348</v>
      </c>
      <c r="X5333">
        <v>0.98088900000000001</v>
      </c>
      <c r="Y5333">
        <v>-0.20111080000000001</v>
      </c>
      <c r="Z5333">
        <v>-8.48626E-4</v>
      </c>
      <c r="AA5333">
        <v>0.97956810000000005</v>
      </c>
      <c r="AB5333">
        <v>47</v>
      </c>
      <c r="AC5333">
        <v>-100.945999999999</v>
      </c>
      <c r="AD5333">
        <v>1.0956319999999999</v>
      </c>
      <c r="AE5333">
        <v>-22.592700000000001</v>
      </c>
      <c r="AF5333">
        <v>-20.888307305670601</v>
      </c>
      <c r="AG5333">
        <v>1.0956319999999999</v>
      </c>
      <c r="AH5333">
        <v>101.30055879494699</v>
      </c>
      <c r="AI5333">
        <v>89.393099812183607</v>
      </c>
      <c r="AJ5333">
        <v>101.651164321655</v>
      </c>
      <c r="AK5333">
        <v>103.43754155887601</v>
      </c>
      <c r="AL5333">
        <v>78.986819665630904</v>
      </c>
      <c r="AM5333">
        <v>87.844959879808897</v>
      </c>
      <c r="AN5333">
        <v>0.99999997869406898</v>
      </c>
    </row>
    <row r="5334" spans="1:40" x14ac:dyDescent="0.25">
      <c r="A5334" t="str">
        <f>"20190303170359721"</f>
        <v>20190303170359721</v>
      </c>
      <c r="B5334" t="str">
        <f>"1551603839710974"</f>
        <v>1551603839710974</v>
      </c>
      <c r="C5334" t="s">
        <v>40</v>
      </c>
      <c r="D5334">
        <v>4.0007260000000002</v>
      </c>
      <c r="E5334">
        <v>0.40970380000000001</v>
      </c>
      <c r="F5334" t="s">
        <v>77</v>
      </c>
      <c r="G5334">
        <v>-461.03219999999999</v>
      </c>
      <c r="H5334">
        <v>2.3179650000000001</v>
      </c>
      <c r="I5334">
        <v>119.4135</v>
      </c>
      <c r="J5334">
        <v>-360.54899999999998</v>
      </c>
      <c r="K5334">
        <v>1.1215010000000001</v>
      </c>
      <c r="L5334">
        <v>142.08240000000001</v>
      </c>
      <c r="M5334">
        <v>-0.99974649999999998</v>
      </c>
      <c r="N5334">
        <v>-1.4714339999999999E-2</v>
      </c>
      <c r="O5334">
        <v>-1.703725E-2</v>
      </c>
      <c r="P5334">
        <v>-0.98414310000000005</v>
      </c>
      <c r="Q5334">
        <v>0.1762562</v>
      </c>
      <c r="R5334">
        <v>1.990627E-2</v>
      </c>
      <c r="S5334">
        <v>-3.0563349999999998</v>
      </c>
      <c r="T5334">
        <v>3.6226149999999999E-2</v>
      </c>
      <c r="U5334">
        <v>-0.68658450000000004</v>
      </c>
      <c r="V5334">
        <v>3.6555789999999998E-2</v>
      </c>
      <c r="W5334">
        <v>0.19073329999999999</v>
      </c>
      <c r="X5334">
        <v>0.98096099999999997</v>
      </c>
      <c r="Y5334">
        <v>-0.2025334</v>
      </c>
      <c r="Z5334">
        <v>-7.7007360000000001E-4</v>
      </c>
      <c r="AA5334">
        <v>0.97927500000000001</v>
      </c>
      <c r="AB5334">
        <v>47</v>
      </c>
      <c r="AC5334">
        <v>-100.483199999999</v>
      </c>
      <c r="AD5334">
        <v>1.196464</v>
      </c>
      <c r="AE5334">
        <v>-22.668900000000001</v>
      </c>
      <c r="AF5334">
        <v>-20.950639619847799</v>
      </c>
      <c r="AG5334">
        <v>1.196464</v>
      </c>
      <c r="AH5334">
        <v>100.84126504587201</v>
      </c>
      <c r="AI5334">
        <v>89.334438443212903</v>
      </c>
      <c r="AJ5334">
        <v>101.736725077261</v>
      </c>
      <c r="AK5334">
        <v>103.001560971841</v>
      </c>
      <c r="AL5334">
        <v>79.004418173029094</v>
      </c>
      <c r="AM5334">
        <v>87.865844055696698</v>
      </c>
      <c r="AN5334">
        <v>1.0000000005162</v>
      </c>
    </row>
    <row r="5335" spans="1:40" x14ac:dyDescent="0.25">
      <c r="A5335" t="str">
        <f>"20190303170359744"</f>
        <v>20190303170359744</v>
      </c>
      <c r="B5335" t="str">
        <f>"1551603839741230"</f>
        <v>1551603839741230</v>
      </c>
      <c r="C5335" t="s">
        <v>40</v>
      </c>
      <c r="D5335">
        <v>4.0021149999999999</v>
      </c>
      <c r="E5335">
        <v>0.40903990000000001</v>
      </c>
      <c r="F5335" t="s">
        <v>77</v>
      </c>
      <c r="G5335">
        <v>-460.80349999999999</v>
      </c>
      <c r="H5335">
        <v>2.2970799999999998</v>
      </c>
      <c r="I5335">
        <v>119.395</v>
      </c>
      <c r="J5335">
        <v>-361.02190000000002</v>
      </c>
      <c r="K5335">
        <v>1.1215090000000001</v>
      </c>
      <c r="L5335">
        <v>142.07409999999999</v>
      </c>
      <c r="M5335">
        <v>-0.99974289999999999</v>
      </c>
      <c r="N5335">
        <v>-1.4712799999999899E-2</v>
      </c>
      <c r="O5335">
        <v>-1.725167E-2</v>
      </c>
      <c r="P5335">
        <v>-0.98405679999999995</v>
      </c>
      <c r="Q5335">
        <v>0.17682809999999999</v>
      </c>
      <c r="R5335">
        <v>1.9076889999999999E-2</v>
      </c>
      <c r="S5335">
        <v>-3.0559080000000001</v>
      </c>
      <c r="T5335">
        <v>3.583443E-2</v>
      </c>
      <c r="U5335">
        <v>-0.69154359999999904</v>
      </c>
      <c r="V5335">
        <v>3.5935969999999998E-2</v>
      </c>
      <c r="W5335">
        <v>0.191302</v>
      </c>
      <c r="X5335">
        <v>0.9808732</v>
      </c>
      <c r="Y5335">
        <v>-0.20386489999999999</v>
      </c>
      <c r="Z5335">
        <v>-7.8861899999999995E-4</v>
      </c>
      <c r="AA5335">
        <v>0.9789987</v>
      </c>
      <c r="AB5335">
        <v>47</v>
      </c>
      <c r="AC5335">
        <v>-99.781599999999898</v>
      </c>
      <c r="AD5335">
        <v>1.1755709999999899</v>
      </c>
      <c r="AE5335">
        <v>-22.679099999999899</v>
      </c>
      <c r="AF5335">
        <v>-20.951373272588501</v>
      </c>
      <c r="AG5335">
        <v>1.1755709999999899</v>
      </c>
      <c r="AH5335">
        <v>100.14482436006</v>
      </c>
      <c r="AI5335">
        <v>89.341703340488607</v>
      </c>
      <c r="AJ5335">
        <v>101.816461264228</v>
      </c>
      <c r="AK5335">
        <v>102.31973345983</v>
      </c>
      <c r="AL5335">
        <v>78.971223284692002</v>
      </c>
      <c r="AM5335">
        <v>87.901809393856794</v>
      </c>
      <c r="AN5335">
        <v>1.00000004181103</v>
      </c>
    </row>
    <row r="5336" spans="1:40" x14ac:dyDescent="0.25">
      <c r="A5336" t="str">
        <f>"20190303170359767"</f>
        <v>20190303170359767</v>
      </c>
      <c r="B5336" t="str">
        <f>"1551603839760749"</f>
        <v>1551603839760749</v>
      </c>
      <c r="C5336" t="s">
        <v>40</v>
      </c>
      <c r="D5336">
        <v>4.0197989999999999</v>
      </c>
      <c r="E5336">
        <v>0.40858870000000003</v>
      </c>
      <c r="F5336" t="s">
        <v>77</v>
      </c>
      <c r="G5336">
        <v>-460.125</v>
      </c>
      <c r="H5336">
        <v>2.392763</v>
      </c>
      <c r="I5336">
        <v>119.395</v>
      </c>
      <c r="J5336">
        <v>-361.5025</v>
      </c>
      <c r="K5336">
        <v>1.1215170000000001</v>
      </c>
      <c r="L5336">
        <v>142.06569999999999</v>
      </c>
      <c r="M5336">
        <v>-0.99973920000000005</v>
      </c>
      <c r="N5336">
        <v>-1.471096E-2</v>
      </c>
      <c r="O5336">
        <v>-1.746955E-2</v>
      </c>
      <c r="P5336">
        <v>-0.98381909999999895</v>
      </c>
      <c r="Q5336">
        <v>0.17815549999999999</v>
      </c>
      <c r="R5336">
        <v>1.898381E-2</v>
      </c>
      <c r="S5336">
        <v>-3.0551149999999998</v>
      </c>
      <c r="T5336">
        <v>3.919077E-2</v>
      </c>
      <c r="U5336">
        <v>-0.6991425</v>
      </c>
      <c r="V5336">
        <v>3.6052510000000003E-2</v>
      </c>
      <c r="W5336">
        <v>0.19262409999999999</v>
      </c>
      <c r="X5336">
        <v>0.98061010000000004</v>
      </c>
      <c r="Y5336">
        <v>-0.2060205</v>
      </c>
      <c r="Z5336">
        <v>-7.0524979999999997E-4</v>
      </c>
      <c r="AA5336">
        <v>0.97854739999999996</v>
      </c>
      <c r="AB5336">
        <v>47</v>
      </c>
      <c r="AC5336">
        <v>-98.622500000000002</v>
      </c>
      <c r="AD5336">
        <v>1.2712460000000001</v>
      </c>
      <c r="AE5336">
        <v>-22.6707</v>
      </c>
      <c r="AF5336">
        <v>-20.9408577611458</v>
      </c>
      <c r="AG5336">
        <v>1.2712460000000001</v>
      </c>
      <c r="AH5336">
        <v>98.987914682210402</v>
      </c>
      <c r="AI5336">
        <v>89.280152767163301</v>
      </c>
      <c r="AJ5336">
        <v>101.944790258194</v>
      </c>
      <c r="AK5336">
        <v>101.186673249482</v>
      </c>
      <c r="AL5336">
        <v>78.894036538470402</v>
      </c>
      <c r="AM5336">
        <v>87.894446828304496</v>
      </c>
      <c r="AN5336">
        <v>0.99999999780005999</v>
      </c>
    </row>
    <row r="5337" spans="1:40" x14ac:dyDescent="0.25">
      <c r="A5337" t="str">
        <f>"20190303170359789"</f>
        <v>20190303170359789</v>
      </c>
      <c r="B5337" t="str">
        <f>"1551603839781246"</f>
        <v>1551603839781246</v>
      </c>
      <c r="C5337" t="s">
        <v>40</v>
      </c>
      <c r="D5337">
        <v>4.0274359999999998</v>
      </c>
      <c r="E5337">
        <v>0.40821879999999999</v>
      </c>
      <c r="F5337" t="s">
        <v>77</v>
      </c>
      <c r="G5337">
        <v>-459.96800000000002</v>
      </c>
      <c r="H5337">
        <v>2.585817</v>
      </c>
      <c r="I5337">
        <v>119.395</v>
      </c>
      <c r="J5337">
        <v>-361.95830000000001</v>
      </c>
      <c r="K5337">
        <v>1.1215200000000001</v>
      </c>
      <c r="L5337">
        <v>142.0575</v>
      </c>
      <c r="M5337">
        <v>-0.9997355</v>
      </c>
      <c r="N5337">
        <v>-1.470895E-2</v>
      </c>
      <c r="O5337">
        <v>-1.7676230000000001E-2</v>
      </c>
      <c r="P5337">
        <v>-0.98364569999999996</v>
      </c>
      <c r="Q5337">
        <v>0.1790204</v>
      </c>
      <c r="R5337">
        <v>1.982602E-2</v>
      </c>
      <c r="S5337">
        <v>-3.0546880000000001</v>
      </c>
      <c r="T5337">
        <v>4.5427559999999999E-2</v>
      </c>
      <c r="U5337">
        <v>-0.70330809999999999</v>
      </c>
      <c r="V5337">
        <v>3.7094620000000002E-2</v>
      </c>
      <c r="W5337">
        <v>0.19348489999999999</v>
      </c>
      <c r="X5337">
        <v>0.98040179999999999</v>
      </c>
      <c r="Y5337">
        <v>-0.2071141</v>
      </c>
      <c r="Z5337">
        <v>-5.3898269999999896E-4</v>
      </c>
      <c r="AA5337">
        <v>0.97831670000000004</v>
      </c>
      <c r="AB5337">
        <v>46</v>
      </c>
      <c r="AC5337">
        <v>-98.009699999999995</v>
      </c>
      <c r="AD5337">
        <v>1.464297</v>
      </c>
      <c r="AE5337">
        <v>-22.662500000000001</v>
      </c>
      <c r="AF5337">
        <v>-20.9218959367259</v>
      </c>
      <c r="AG5337">
        <v>1.464297</v>
      </c>
      <c r="AH5337">
        <v>98.374170908361407</v>
      </c>
      <c r="AI5337">
        <v>89.1658698582917</v>
      </c>
      <c r="AJ5337">
        <v>102.00658676712899</v>
      </c>
      <c r="AK5337">
        <v>100.58502571058401</v>
      </c>
      <c r="AL5337">
        <v>78.843771359245295</v>
      </c>
      <c r="AM5337">
        <v>87.833182442742199</v>
      </c>
      <c r="AN5337">
        <v>1.0000000534020901</v>
      </c>
    </row>
    <row r="5338" spans="1:40" x14ac:dyDescent="0.25">
      <c r="A5338" t="str">
        <f>"20190303170359810"</f>
        <v>20190303170359810</v>
      </c>
      <c r="B5338" t="str">
        <f>"1551603839800766"</f>
        <v>1551603839800766</v>
      </c>
      <c r="C5338" t="s">
        <v>40</v>
      </c>
      <c r="D5338">
        <v>4.055402</v>
      </c>
      <c r="E5338">
        <v>0.40779189999999998</v>
      </c>
      <c r="F5338" t="s">
        <v>77</v>
      </c>
      <c r="G5338">
        <v>-460.25790000000001</v>
      </c>
      <c r="H5338">
        <v>2.7473160000000001</v>
      </c>
      <c r="I5338">
        <v>119.395</v>
      </c>
      <c r="J5338">
        <v>-362.40449999999998</v>
      </c>
      <c r="K5338">
        <v>1.1215269999999999</v>
      </c>
      <c r="L5338">
        <v>142.04949999999999</v>
      </c>
      <c r="M5338">
        <v>-0.99973199999999995</v>
      </c>
      <c r="N5338">
        <v>-1.470689E-2</v>
      </c>
      <c r="O5338">
        <v>-1.7878850000000002E-2</v>
      </c>
      <c r="P5338">
        <v>-0.98362439999999995</v>
      </c>
      <c r="Q5338">
        <v>0.1790881</v>
      </c>
      <c r="R5338">
        <v>2.026445E-2</v>
      </c>
      <c r="S5338">
        <v>-3.0548709999999999</v>
      </c>
      <c r="T5338">
        <v>5.0526139999999997E-2</v>
      </c>
      <c r="U5338">
        <v>-0.70428469999999999</v>
      </c>
      <c r="V5338">
        <v>3.7732010000000003E-2</v>
      </c>
      <c r="W5338">
        <v>0.1935499</v>
      </c>
      <c r="X5338">
        <v>0.98036460000000003</v>
      </c>
      <c r="Y5338">
        <v>-0.2071982</v>
      </c>
      <c r="Z5338">
        <v>-4.0361489999999998E-4</v>
      </c>
      <c r="AA5338">
        <v>0.97829889999999997</v>
      </c>
      <c r="AB5338">
        <v>46</v>
      </c>
      <c r="AC5338">
        <v>-97.853399999999993</v>
      </c>
      <c r="AD5338">
        <v>1.6257889999999999</v>
      </c>
      <c r="AE5338">
        <v>-22.654499999999999</v>
      </c>
      <c r="AF5338">
        <v>-20.895707982508199</v>
      </c>
      <c r="AG5338">
        <v>1.6257889999999999</v>
      </c>
      <c r="AH5338">
        <v>98.217103127692297</v>
      </c>
      <c r="AI5338">
        <v>89.072425003551103</v>
      </c>
      <c r="AJ5338">
        <v>102.010614453022</v>
      </c>
      <c r="AK5338">
        <v>100.42844790575199</v>
      </c>
      <c r="AL5338">
        <v>78.839974871912105</v>
      </c>
      <c r="AM5338">
        <v>87.795903276592398</v>
      </c>
      <c r="AN5338">
        <v>1.0000000086509</v>
      </c>
    </row>
    <row r="5339" spans="1:40" x14ac:dyDescent="0.25">
      <c r="A5339" t="str">
        <f>"20190303170359833"</f>
        <v>20190303170359833</v>
      </c>
      <c r="B5339" t="str">
        <f>"1551603839821262"</f>
        <v>1551603839821262</v>
      </c>
      <c r="C5339" t="s">
        <v>40</v>
      </c>
      <c r="D5339">
        <v>4.0444420000000001</v>
      </c>
      <c r="E5339">
        <v>0.40748899999999999</v>
      </c>
      <c r="F5339" t="s">
        <v>77</v>
      </c>
      <c r="G5339">
        <v>-460.34870000000001</v>
      </c>
      <c r="H5339">
        <v>2.8023310000000001</v>
      </c>
      <c r="I5339">
        <v>119.395</v>
      </c>
      <c r="J5339">
        <v>-362.8784</v>
      </c>
      <c r="K5339">
        <v>1.1215299999999999</v>
      </c>
      <c r="L5339">
        <v>142.04079999999999</v>
      </c>
      <c r="M5339">
        <v>-0.99972819999999996</v>
      </c>
      <c r="N5339">
        <v>-1.470464E-2</v>
      </c>
      <c r="O5339">
        <v>-1.8093870000000001E-2</v>
      </c>
      <c r="P5339">
        <v>-0.98374340000000005</v>
      </c>
      <c r="Q5339">
        <v>0.1784606</v>
      </c>
      <c r="R5339">
        <v>2.002907E-2</v>
      </c>
      <c r="S5339">
        <v>-3.054932</v>
      </c>
      <c r="T5339">
        <v>5.2426100000000003E-2</v>
      </c>
      <c r="U5339">
        <v>-0.70660400000000001</v>
      </c>
      <c r="V5339">
        <v>3.7710880000000002E-2</v>
      </c>
      <c r="W5339">
        <v>0.19292210000000001</v>
      </c>
      <c r="X5339">
        <v>0.9804891</v>
      </c>
      <c r="Y5339">
        <v>-0.20768800000000001</v>
      </c>
      <c r="Z5339">
        <v>-3.5723969999999999E-4</v>
      </c>
      <c r="AA5339">
        <v>0.97819509999999998</v>
      </c>
      <c r="AB5339">
        <v>46</v>
      </c>
      <c r="AC5339">
        <v>-97.470299999999995</v>
      </c>
      <c r="AD5339">
        <v>1.680801</v>
      </c>
      <c r="AE5339">
        <v>-22.645799999999898</v>
      </c>
      <c r="AF5339">
        <v>-20.872397534757098</v>
      </c>
      <c r="AG5339">
        <v>1.680801</v>
      </c>
      <c r="AH5339">
        <v>97.836531352781805</v>
      </c>
      <c r="AI5339">
        <v>89.037430384886306</v>
      </c>
      <c r="AJ5339">
        <v>102.042913564714</v>
      </c>
      <c r="AK5339">
        <v>100.05233099730501</v>
      </c>
      <c r="AL5339">
        <v>78.876635608273503</v>
      </c>
      <c r="AM5339">
        <v>87.797415797254203</v>
      </c>
      <c r="AN5339">
        <v>0.99999996117879597</v>
      </c>
    </row>
    <row r="5340" spans="1:40" x14ac:dyDescent="0.25">
      <c r="A5340" t="str">
        <f>"20190303170359857"</f>
        <v>20190303170359857</v>
      </c>
      <c r="B5340" t="str">
        <f>"1551603839851518"</f>
        <v>1551603839851518</v>
      </c>
      <c r="C5340" t="s">
        <v>40</v>
      </c>
      <c r="D5340">
        <v>4.0483209999999996</v>
      </c>
      <c r="E5340">
        <v>0.40705400000000003</v>
      </c>
      <c r="F5340" t="s">
        <v>77</v>
      </c>
      <c r="G5340">
        <v>-460.3725</v>
      </c>
      <c r="H5340">
        <v>2.7164779999999999</v>
      </c>
      <c r="I5340">
        <v>119.395</v>
      </c>
      <c r="J5340">
        <v>-363.35399999999998</v>
      </c>
      <c r="K5340">
        <v>1.1215299999999999</v>
      </c>
      <c r="L5340">
        <v>142.03210000000001</v>
      </c>
      <c r="M5340">
        <v>-0.99972430000000001</v>
      </c>
      <c r="N5340">
        <v>-1.470229E-2</v>
      </c>
      <c r="O5340">
        <v>-1.830996E-2</v>
      </c>
      <c r="P5340">
        <v>-0.98371339999999996</v>
      </c>
      <c r="Q5340">
        <v>0.1786527</v>
      </c>
      <c r="R5340">
        <v>1.9779089999999999E-2</v>
      </c>
      <c r="S5340">
        <v>-3.0549930000000001</v>
      </c>
      <c r="T5340">
        <v>4.997861E-2</v>
      </c>
      <c r="U5340">
        <v>-0.70960999999999996</v>
      </c>
      <c r="V5340">
        <v>3.7672780000000003E-2</v>
      </c>
      <c r="W5340">
        <v>0.19311110000000001</v>
      </c>
      <c r="X5340">
        <v>0.98045340000000003</v>
      </c>
      <c r="Y5340">
        <v>-0.20838670000000001</v>
      </c>
      <c r="Z5340">
        <v>-4.312489E-4</v>
      </c>
      <c r="AA5340">
        <v>0.97804639999999998</v>
      </c>
      <c r="AB5340">
        <v>46</v>
      </c>
      <c r="AC5340">
        <v>-97.018499999999904</v>
      </c>
      <c r="AD5340">
        <v>1.594948</v>
      </c>
      <c r="AE5340">
        <v>-22.6371</v>
      </c>
      <c r="AF5340">
        <v>-20.851363105693402</v>
      </c>
      <c r="AG5340">
        <v>1.594948</v>
      </c>
      <c r="AH5340">
        <v>97.391799102447294</v>
      </c>
      <c r="AI5340">
        <v>89.082560408692601</v>
      </c>
      <c r="AJ5340">
        <v>102.084458833032</v>
      </c>
      <c r="AK5340">
        <v>99.611674691773104</v>
      </c>
      <c r="AL5340">
        <v>78.865599635925193</v>
      </c>
      <c r="AM5340">
        <v>87.799558880217603</v>
      </c>
      <c r="AN5340">
        <v>1.00000000243384</v>
      </c>
    </row>
    <row r="5341" spans="1:40" x14ac:dyDescent="0.25">
      <c r="A5341" t="str">
        <f>"20190303170359877"</f>
        <v>20190303170359877</v>
      </c>
      <c r="B5341" t="str">
        <f>"1551603839871038"</f>
        <v>1551603839871038</v>
      </c>
      <c r="C5341" t="s">
        <v>40</v>
      </c>
      <c r="D5341">
        <v>4.0612180000000002</v>
      </c>
      <c r="E5341">
        <v>0.40680699999999997</v>
      </c>
      <c r="F5341" t="s">
        <v>77</v>
      </c>
      <c r="G5341">
        <v>-460.28910000000002</v>
      </c>
      <c r="H5341">
        <v>2.6899259999999998</v>
      </c>
      <c r="I5341">
        <v>119.395</v>
      </c>
      <c r="J5341">
        <v>-363.80529999999999</v>
      </c>
      <c r="K5341">
        <v>1.1215280000000001</v>
      </c>
      <c r="L5341">
        <v>142.02359999999999</v>
      </c>
      <c r="M5341">
        <v>-0.99972050000000001</v>
      </c>
      <c r="N5341">
        <v>-1.469998E-2</v>
      </c>
      <c r="O5341">
        <v>-1.8514610000000001E-2</v>
      </c>
      <c r="P5341">
        <v>-0.98362859999999996</v>
      </c>
      <c r="Q5341">
        <v>0.17903540000000001</v>
      </c>
      <c r="R5341">
        <v>2.0519559999999999E-2</v>
      </c>
      <c r="S5341">
        <v>-3.0549930000000001</v>
      </c>
      <c r="T5341">
        <v>4.9430010000000003E-2</v>
      </c>
      <c r="U5341">
        <v>-0.71342469999999902</v>
      </c>
      <c r="V5341">
        <v>3.861274E-2</v>
      </c>
      <c r="W5341">
        <v>0.19349050000000001</v>
      </c>
      <c r="X5341">
        <v>0.98034200000000005</v>
      </c>
      <c r="Y5341">
        <v>-0.20934510000000001</v>
      </c>
      <c r="Z5341">
        <v>-4.5227050000000001E-4</v>
      </c>
      <c r="AA5341">
        <v>0.97784170000000004</v>
      </c>
      <c r="AB5341">
        <v>46</v>
      </c>
      <c r="AC5341">
        <v>-96.483800000000002</v>
      </c>
      <c r="AD5341">
        <v>1.56839799999999</v>
      </c>
      <c r="AE5341">
        <v>-22.628599999999899</v>
      </c>
      <c r="AF5341">
        <v>-20.832949439342499</v>
      </c>
      <c r="AG5341">
        <v>1.56839799999999</v>
      </c>
      <c r="AH5341">
        <v>96.862002463360298</v>
      </c>
      <c r="AI5341">
        <v>89.093078644865003</v>
      </c>
      <c r="AJ5341">
        <v>102.13818771642001</v>
      </c>
      <c r="AK5341">
        <v>99.089450376115394</v>
      </c>
      <c r="AL5341">
        <v>78.843443460850906</v>
      </c>
      <c r="AM5341">
        <v>87.744456455480005</v>
      </c>
      <c r="AN5341">
        <v>0.99999997712227795</v>
      </c>
    </row>
    <row r="5342" spans="1:40" x14ac:dyDescent="0.25">
      <c r="A5342" t="str">
        <f>"20190303170359894"</f>
        <v>20190303170359894</v>
      </c>
      <c r="B5342" t="str">
        <f>"1551603839880799"</f>
        <v>1551603839880799</v>
      </c>
      <c r="C5342" t="s">
        <v>40</v>
      </c>
      <c r="D5342">
        <v>4.0749259999999996</v>
      </c>
      <c r="E5342">
        <v>0.40666059999999998</v>
      </c>
      <c r="F5342" t="s">
        <v>77</v>
      </c>
      <c r="G5342">
        <v>-460.75560000000002</v>
      </c>
      <c r="H5342">
        <v>2.713174</v>
      </c>
      <c r="I5342">
        <v>119.395</v>
      </c>
      <c r="J5342">
        <v>-364.14830000000001</v>
      </c>
      <c r="K5342">
        <v>1.121529</v>
      </c>
      <c r="L5342">
        <v>142.0172</v>
      </c>
      <c r="M5342">
        <v>-0.99971770000000004</v>
      </c>
      <c r="N5342">
        <v>-1.469819E-2</v>
      </c>
      <c r="O5342">
        <v>-1.8670860000000001E-2</v>
      </c>
      <c r="P5342">
        <v>-0.9836144</v>
      </c>
      <c r="Q5342">
        <v>0.17910670000000001</v>
      </c>
      <c r="R5342">
        <v>2.0584959999999999E-2</v>
      </c>
      <c r="S5342">
        <v>-3.055634</v>
      </c>
      <c r="T5342">
        <v>5.0165300000000003E-2</v>
      </c>
      <c r="U5342">
        <v>-0.71319580000000005</v>
      </c>
      <c r="V5342">
        <v>3.8831879999999999E-2</v>
      </c>
      <c r="W5342">
        <v>0.19356019999999999</v>
      </c>
      <c r="X5342">
        <v>0.98031959999999996</v>
      </c>
      <c r="Y5342">
        <v>-0.20907719999999999</v>
      </c>
      <c r="Z5342">
        <v>-4.3681569999999998E-4</v>
      </c>
      <c r="AA5342">
        <v>0.97789899999999996</v>
      </c>
      <c r="AB5342">
        <v>46</v>
      </c>
      <c r="AC5342">
        <v>-96.607299999999995</v>
      </c>
      <c r="AD5342">
        <v>1.591645</v>
      </c>
      <c r="AE5342">
        <v>-22.622199999999999</v>
      </c>
      <c r="AF5342">
        <v>-20.808964861333699</v>
      </c>
      <c r="AG5342">
        <v>1.591645</v>
      </c>
      <c r="AH5342">
        <v>96.987919943394402</v>
      </c>
      <c r="AI5342">
        <v>89.080733749565297</v>
      </c>
      <c r="AJ5342">
        <v>102.109350657609</v>
      </c>
      <c r="AK5342">
        <v>99.207877546858796</v>
      </c>
      <c r="AL5342">
        <v>78.839373162451693</v>
      </c>
      <c r="AM5342">
        <v>87.731617061354299</v>
      </c>
      <c r="AN5342">
        <v>0.99999999203626699</v>
      </c>
    </row>
    <row r="5343" spans="1:40" x14ac:dyDescent="0.25">
      <c r="A5343" t="str">
        <f>"20190303170359908"</f>
        <v>20190303170359908</v>
      </c>
      <c r="B5343" t="str">
        <f>"1551603839901294"</f>
        <v>1551603839901294</v>
      </c>
      <c r="C5343" t="s">
        <v>40</v>
      </c>
      <c r="D5343">
        <v>4.0830840000000004</v>
      </c>
      <c r="E5343">
        <v>0.40650720000000001</v>
      </c>
      <c r="F5343" t="s">
        <v>77</v>
      </c>
      <c r="G5343">
        <v>-460.89190000000002</v>
      </c>
      <c r="H5343">
        <v>2.7300620000000002</v>
      </c>
      <c r="I5343">
        <v>119.395</v>
      </c>
      <c r="J5343">
        <v>-364.4196</v>
      </c>
      <c r="K5343">
        <v>1.1215349999999999</v>
      </c>
      <c r="L5343">
        <v>142.012</v>
      </c>
      <c r="M5343">
        <v>-0.99971540000000003</v>
      </c>
      <c r="N5343">
        <v>-1.469671E-2</v>
      </c>
      <c r="O5343">
        <v>-1.8793859999999999E-2</v>
      </c>
      <c r="P5343">
        <v>-0.98366169999999997</v>
      </c>
      <c r="Q5343">
        <v>0.1788112</v>
      </c>
      <c r="R5343">
        <v>2.089678E-2</v>
      </c>
      <c r="S5343">
        <v>-3.0557249999999998</v>
      </c>
      <c r="T5343">
        <v>5.0807600000000001E-2</v>
      </c>
      <c r="U5343">
        <v>-0.71453859999999902</v>
      </c>
      <c r="V5343">
        <v>3.9265710000000002E-2</v>
      </c>
      <c r="W5343">
        <v>0.19326370000000001</v>
      </c>
      <c r="X5343">
        <v>0.98036080000000003</v>
      </c>
      <c r="Y5343">
        <v>-0.2093576</v>
      </c>
      <c r="Z5343">
        <v>-4.225834E-4</v>
      </c>
      <c r="AA5343">
        <v>0.97783909999999996</v>
      </c>
      <c r="AB5343">
        <v>46</v>
      </c>
      <c r="AC5343">
        <v>-96.472300000000004</v>
      </c>
      <c r="AD5343">
        <v>1.60852699999999</v>
      </c>
      <c r="AE5343">
        <v>-22.617000000000001</v>
      </c>
      <c r="AF5343">
        <v>-20.794242144685999</v>
      </c>
      <c r="AG5343">
        <v>1.60852699999999</v>
      </c>
      <c r="AH5343">
        <v>96.854840748654595</v>
      </c>
      <c r="AI5343">
        <v>89.069736126821297</v>
      </c>
      <c r="AJ5343">
        <v>102.117171551014</v>
      </c>
      <c r="AK5343">
        <v>99.0749617306452</v>
      </c>
      <c r="AL5343">
        <v>78.856688130663002</v>
      </c>
      <c r="AM5343">
        <v>87.7063978818517</v>
      </c>
      <c r="AN5343">
        <v>0.999999975948066</v>
      </c>
    </row>
    <row r="5344" spans="1:40" x14ac:dyDescent="0.25">
      <c r="A5344" t="str">
        <f>"20190303170359922"</f>
        <v>20190303170359922</v>
      </c>
      <c r="B5344" t="str">
        <f>"1551603839911054"</f>
        <v>1551603839911054</v>
      </c>
      <c r="C5344" t="s">
        <v>40</v>
      </c>
      <c r="D5344">
        <v>4.1104029999999998</v>
      </c>
      <c r="E5344">
        <v>0.40055469999999999</v>
      </c>
      <c r="F5344" t="s">
        <v>77</v>
      </c>
      <c r="G5344">
        <v>-461.03219999999999</v>
      </c>
      <c r="H5344">
        <v>2.7079230000000001</v>
      </c>
      <c r="I5344">
        <v>119.4088</v>
      </c>
      <c r="J5344">
        <v>-364.71839999999997</v>
      </c>
      <c r="K5344">
        <v>1.121537</v>
      </c>
      <c r="L5344">
        <v>142.00630000000001</v>
      </c>
      <c r="M5344">
        <v>-0.99971279999999996</v>
      </c>
      <c r="N5344">
        <v>-1.4695059999999999E-2</v>
      </c>
      <c r="O5344">
        <v>-1.892986E-2</v>
      </c>
      <c r="P5344">
        <v>-0.98365179999999997</v>
      </c>
      <c r="Q5344">
        <v>0.17885299999999901</v>
      </c>
      <c r="R5344">
        <v>2.1000689999999999E-2</v>
      </c>
      <c r="S5344">
        <v>-3.0559080000000001</v>
      </c>
      <c r="T5344">
        <v>5.0179120000000001E-2</v>
      </c>
      <c r="U5344">
        <v>-0.71495059999999999</v>
      </c>
      <c r="V5344">
        <v>3.9503099999999999E-2</v>
      </c>
      <c r="W5344">
        <v>0.1933039</v>
      </c>
      <c r="X5344">
        <v>0.98034330000000003</v>
      </c>
      <c r="Y5344">
        <v>-0.20933689999999999</v>
      </c>
      <c r="Z5344">
        <v>-4.4411210000000001E-4</v>
      </c>
      <c r="AA5344">
        <v>0.97784349999999998</v>
      </c>
      <c r="AB5344">
        <v>46</v>
      </c>
      <c r="AC5344">
        <v>-96.313800000000001</v>
      </c>
      <c r="AD5344">
        <v>1.5863860000000001</v>
      </c>
      <c r="AE5344">
        <v>-22.5975</v>
      </c>
      <c r="AF5344">
        <v>-20.764706883629898</v>
      </c>
      <c r="AG5344">
        <v>1.5863860000000001</v>
      </c>
      <c r="AH5344">
        <v>96.699486680877897</v>
      </c>
      <c r="AI5344">
        <v>89.081072526242707</v>
      </c>
      <c r="AJ5344">
        <v>102.11933433632601</v>
      </c>
      <c r="AK5344">
        <v>98.916532474856496</v>
      </c>
      <c r="AL5344">
        <v>78.854340157949693</v>
      </c>
      <c r="AM5344">
        <v>87.692505173639006</v>
      </c>
      <c r="AN5344">
        <v>0.99999993925985298</v>
      </c>
    </row>
    <row r="5345" spans="1:40" x14ac:dyDescent="0.25">
      <c r="A5345" t="str">
        <f>"20190303170359940"</f>
        <v>20190303170359940</v>
      </c>
      <c r="B5345" t="str">
        <f>"1551603839930574"</f>
        <v>1551603839930574</v>
      </c>
      <c r="C5345" t="s">
        <v>40</v>
      </c>
      <c r="D5345">
        <v>4.1063039999999997</v>
      </c>
      <c r="E5345">
        <v>0.40034409999999998</v>
      </c>
      <c r="F5345" t="s">
        <v>77</v>
      </c>
      <c r="G5345">
        <v>-455.42680000000001</v>
      </c>
      <c r="H5345">
        <v>2.5078900000000002</v>
      </c>
      <c r="I5345">
        <v>119.395</v>
      </c>
      <c r="J5345">
        <v>-365.0949</v>
      </c>
      <c r="K5345">
        <v>1.1215360000000001</v>
      </c>
      <c r="L5345">
        <v>141.999</v>
      </c>
      <c r="M5345">
        <v>-0.99970979999999998</v>
      </c>
      <c r="N5345">
        <v>-1.469292E-2</v>
      </c>
      <c r="O5345">
        <v>-1.910077E-2</v>
      </c>
      <c r="P5345">
        <v>-0.98360709999999996</v>
      </c>
      <c r="Q5345">
        <v>0.17915029999999901</v>
      </c>
      <c r="R5345">
        <v>2.0564369999999998E-2</v>
      </c>
      <c r="S5345">
        <v>-3.0576479999999999</v>
      </c>
      <c r="T5345">
        <v>4.6732660000000002E-2</v>
      </c>
      <c r="U5345">
        <v>-0.76219179999999997</v>
      </c>
      <c r="V5345">
        <v>3.9234230000000002E-2</v>
      </c>
      <c r="W5345">
        <v>0.1935981</v>
      </c>
      <c r="X5345">
        <v>0.9802961</v>
      </c>
      <c r="Y5345">
        <v>-0.22330059999999999</v>
      </c>
      <c r="Z5345">
        <v>-5.4855919999999996E-4</v>
      </c>
      <c r="AA5345">
        <v>0.97474950000000005</v>
      </c>
      <c r="AB5345">
        <v>46</v>
      </c>
      <c r="AC5345">
        <v>-90.331900000000005</v>
      </c>
      <c r="AD5345">
        <v>1.3863540000000001</v>
      </c>
      <c r="AE5345">
        <v>-22.603999999999999</v>
      </c>
      <c r="AF5345">
        <v>-20.869654561534698</v>
      </c>
      <c r="AG5345">
        <v>1.3863540000000001</v>
      </c>
      <c r="AH5345">
        <v>90.727106285667304</v>
      </c>
      <c r="AI5345">
        <v>89.146837969122004</v>
      </c>
      <c r="AJ5345">
        <v>102.954216063606</v>
      </c>
      <c r="AK5345">
        <v>93.1067788826456</v>
      </c>
      <c r="AL5345">
        <v>78.837159834969299</v>
      </c>
      <c r="AM5345">
        <v>87.708083644673806</v>
      </c>
      <c r="AN5345">
        <v>0.99999999640125603</v>
      </c>
    </row>
    <row r="5346" spans="1:40" x14ac:dyDescent="0.25">
      <c r="A5346" t="str">
        <f>"20190303170359957"</f>
        <v>20190303170359957</v>
      </c>
      <c r="B5346" t="str">
        <f>"1551603839951070"</f>
        <v>1551603839951070</v>
      </c>
      <c r="C5346" t="s">
        <v>40</v>
      </c>
      <c r="D5346">
        <v>4.1021450000000002</v>
      </c>
      <c r="E5346">
        <v>0.397115</v>
      </c>
      <c r="F5346" t="s">
        <v>77</v>
      </c>
      <c r="G5346">
        <v>-455.42059999999998</v>
      </c>
      <c r="H5346">
        <v>2.497125</v>
      </c>
      <c r="I5346">
        <v>119.395</v>
      </c>
      <c r="J5346">
        <v>-365.44330000000002</v>
      </c>
      <c r="K5346">
        <v>1.121542</v>
      </c>
      <c r="L5346">
        <v>141.9923</v>
      </c>
      <c r="M5346">
        <v>-0.9997066</v>
      </c>
      <c r="N5346">
        <v>-1.469094E-2</v>
      </c>
      <c r="O5346">
        <v>-1.9258939999999999E-2</v>
      </c>
      <c r="P5346">
        <v>-0.98333859999999995</v>
      </c>
      <c r="Q5346">
        <v>0.18062249999999999</v>
      </c>
      <c r="R5346">
        <v>2.0507600000000001E-2</v>
      </c>
      <c r="S5346">
        <v>-3.0574949999999999</v>
      </c>
      <c r="T5346">
        <v>4.6564220000000003E-2</v>
      </c>
      <c r="U5346">
        <v>-0.765136699999999</v>
      </c>
      <c r="V5346">
        <v>3.9326720000000003E-2</v>
      </c>
      <c r="W5346">
        <v>0.19506409999999999</v>
      </c>
      <c r="X5346">
        <v>0.98000169999999998</v>
      </c>
      <c r="Y5346">
        <v>-0.2240415</v>
      </c>
      <c r="Z5346">
        <v>-5.5819660000000005E-4</v>
      </c>
      <c r="AA5346">
        <v>0.97457950000000004</v>
      </c>
      <c r="AB5346">
        <v>46</v>
      </c>
      <c r="AC5346">
        <v>-89.9772999999999</v>
      </c>
      <c r="AD5346">
        <v>1.375583</v>
      </c>
      <c r="AE5346">
        <v>-22.597300000000001</v>
      </c>
      <c r="AF5346">
        <v>-20.855468262111401</v>
      </c>
      <c r="AG5346">
        <v>1.375583</v>
      </c>
      <c r="AH5346">
        <v>90.375985287427696</v>
      </c>
      <c r="AI5346">
        <v>89.150314012951398</v>
      </c>
      <c r="AJ5346">
        <v>102.99429877330201</v>
      </c>
      <c r="AK5346">
        <v>92.761314682873902</v>
      </c>
      <c r="AL5346">
        <v>78.751531419226595</v>
      </c>
      <c r="AM5346">
        <v>87.701997117552096</v>
      </c>
      <c r="AN5346">
        <v>0.99999996300882799</v>
      </c>
    </row>
    <row r="5347" spans="1:40" x14ac:dyDescent="0.25">
      <c r="A5347" t="str">
        <f>"20190303170359979"</f>
        <v>20190303170359979</v>
      </c>
      <c r="B5347" t="str">
        <f>"1551603839970590"</f>
        <v>1551603839970590</v>
      </c>
      <c r="C5347" t="s">
        <v>40</v>
      </c>
      <c r="D5347">
        <v>4.1749619999999998</v>
      </c>
      <c r="E5347">
        <v>0.39694200000000002</v>
      </c>
      <c r="F5347" t="s">
        <v>77</v>
      </c>
      <c r="G5347">
        <v>-451.23759999999999</v>
      </c>
      <c r="H5347">
        <v>2.8776039999999998</v>
      </c>
      <c r="I5347">
        <v>119.8177</v>
      </c>
      <c r="J5347">
        <v>-365.89179999999999</v>
      </c>
      <c r="K5347">
        <v>1.121545</v>
      </c>
      <c r="L5347">
        <v>141.98349999999999</v>
      </c>
      <c r="M5347">
        <v>-0.9997028</v>
      </c>
      <c r="N5347">
        <v>-1.4688420000000001E-2</v>
      </c>
      <c r="O5347">
        <v>-1.9462989999999999E-2</v>
      </c>
      <c r="P5347">
        <v>-0.98316559999999997</v>
      </c>
      <c r="Q5347">
        <v>0.18146370000000001</v>
      </c>
      <c r="R5347">
        <v>2.13682E-2</v>
      </c>
      <c r="S5347">
        <v>-3.0558169999999998</v>
      </c>
      <c r="T5347">
        <v>6.2548160000000005E-2</v>
      </c>
      <c r="U5347">
        <v>-0.78981020000000002</v>
      </c>
      <c r="V5347">
        <v>4.0384179999999999E-2</v>
      </c>
      <c r="W5347">
        <v>0.19590070000000001</v>
      </c>
      <c r="X5347">
        <v>0.97979179999999999</v>
      </c>
      <c r="Y5347">
        <v>-0.23134469999999999</v>
      </c>
      <c r="Z5347" s="1">
        <v>-7.0561190000000004E-5</v>
      </c>
      <c r="AA5347">
        <v>0.97287179999999995</v>
      </c>
      <c r="AB5347">
        <v>46</v>
      </c>
      <c r="AC5347">
        <v>-85.345799999999997</v>
      </c>
      <c r="AD5347">
        <v>1.756059</v>
      </c>
      <c r="AE5347">
        <v>-22.165799999999901</v>
      </c>
      <c r="AF5347">
        <v>-20.492209499096699</v>
      </c>
      <c r="AG5347">
        <v>1.756059</v>
      </c>
      <c r="AH5347">
        <v>85.727089055355293</v>
      </c>
      <c r="AI5347">
        <v>88.858647163346802</v>
      </c>
      <c r="AJ5347">
        <v>103.44371756702201</v>
      </c>
      <c r="AK5347">
        <v>88.159787835901497</v>
      </c>
      <c r="AL5347">
        <v>78.702654866556301</v>
      </c>
      <c r="AM5347">
        <v>87.639769881115598</v>
      </c>
      <c r="AN5347">
        <v>0.99999996880099995</v>
      </c>
    </row>
    <row r="5348" spans="1:40" x14ac:dyDescent="0.25">
      <c r="A5348" t="str">
        <f>"20190303170400000"</f>
        <v>20190303170400000</v>
      </c>
      <c r="B5348" t="str">
        <f>"1551603839991086"</f>
        <v>1551603839991086</v>
      </c>
      <c r="C5348" t="s">
        <v>40</v>
      </c>
      <c r="D5348">
        <v>4.3066360000000001</v>
      </c>
      <c r="E5348">
        <v>0.42226209999999997</v>
      </c>
      <c r="F5348" t="s">
        <v>77</v>
      </c>
      <c r="G5348">
        <v>-451.71039999999999</v>
      </c>
      <c r="H5348">
        <v>2.9829940000000001</v>
      </c>
      <c r="I5348">
        <v>119.8177</v>
      </c>
      <c r="J5348">
        <v>-366.33069999999998</v>
      </c>
      <c r="K5348">
        <v>1.1215459999999999</v>
      </c>
      <c r="L5348">
        <v>141.97470000000001</v>
      </c>
      <c r="M5348">
        <v>-0.99969889999999995</v>
      </c>
      <c r="N5348">
        <v>-1.4685810000000001E-2</v>
      </c>
      <c r="O5348">
        <v>-1.9661540000000002E-2</v>
      </c>
      <c r="P5348">
        <v>-0.98323919999999998</v>
      </c>
      <c r="Q5348">
        <v>0.1810129</v>
      </c>
      <c r="R5348">
        <v>2.1802060000000002E-2</v>
      </c>
      <c r="S5348">
        <v>-3.056305</v>
      </c>
      <c r="T5348">
        <v>6.6293599999999994E-2</v>
      </c>
      <c r="U5348">
        <v>-0.78939820000000005</v>
      </c>
      <c r="V5348">
        <v>4.1015259999999998E-2</v>
      </c>
      <c r="W5348">
        <v>0.19544890000000001</v>
      </c>
      <c r="X5348">
        <v>0.97985580000000005</v>
      </c>
      <c r="Y5348">
        <v>-0.2309882</v>
      </c>
      <c r="Z5348" s="1">
        <v>3.7282240000000003E-5</v>
      </c>
      <c r="AA5348">
        <v>0.9729565</v>
      </c>
      <c r="AB5348">
        <v>46</v>
      </c>
      <c r="AC5348">
        <v>-85.3797</v>
      </c>
      <c r="AD5348">
        <v>1.861448</v>
      </c>
      <c r="AE5348">
        <v>-22.157</v>
      </c>
      <c r="AF5348">
        <v>-20.464724987355702</v>
      </c>
      <c r="AG5348">
        <v>1.861448</v>
      </c>
      <c r="AH5348">
        <v>85.760687389201294</v>
      </c>
      <c r="AI5348">
        <v>88.790529929621002</v>
      </c>
      <c r="AJ5348">
        <v>103.42127023186799</v>
      </c>
      <c r="AK5348">
        <v>88.188238778950193</v>
      </c>
      <c r="AL5348">
        <v>78.729051234725901</v>
      </c>
      <c r="AM5348">
        <v>87.603085850746396</v>
      </c>
      <c r="AN5348">
        <v>0.99999995642885697</v>
      </c>
    </row>
    <row r="5349" spans="1:40" x14ac:dyDescent="0.25">
      <c r="A5349" t="str">
        <f>"20190303170400023"</f>
        <v>20190303170400023</v>
      </c>
      <c r="B5349" t="str">
        <f>"1551603840010605"</f>
        <v>1551603840010605</v>
      </c>
      <c r="C5349" t="s">
        <v>40</v>
      </c>
      <c r="D5349">
        <v>4.0457489999999998</v>
      </c>
      <c r="E5349">
        <v>0.4763175</v>
      </c>
      <c r="F5349" t="s">
        <v>48</v>
      </c>
      <c r="G5349">
        <v>0</v>
      </c>
      <c r="H5349">
        <v>0</v>
      </c>
      <c r="I5349">
        <v>0</v>
      </c>
      <c r="J5349">
        <v>-366.79289999999997</v>
      </c>
      <c r="K5349">
        <v>1.1215389999999901</v>
      </c>
      <c r="L5349">
        <v>141.96549999999999</v>
      </c>
      <c r="M5349">
        <v>-0.99969490000000005</v>
      </c>
      <c r="N5349">
        <v>-1.468303E-2</v>
      </c>
      <c r="O5349">
        <v>-1.986831E-2</v>
      </c>
      <c r="P5349">
        <v>-0.9834849</v>
      </c>
      <c r="Q5349">
        <v>0.17984820000000001</v>
      </c>
      <c r="R5349">
        <v>2.0310760000000001E-2</v>
      </c>
      <c r="S5349">
        <v>-3.0641479999999999</v>
      </c>
      <c r="T5349">
        <v>6.3252449999999895E-4</v>
      </c>
      <c r="U5349">
        <v>-0.59007259999999995</v>
      </c>
      <c r="V5349">
        <v>3.9733789999999998E-2</v>
      </c>
      <c r="W5349">
        <v>0.1942844</v>
      </c>
      <c r="X5349">
        <v>0.98014020000000002</v>
      </c>
      <c r="Y5349">
        <v>-0.1695517</v>
      </c>
      <c r="Z5349">
        <v>-1.5321270000000001E-3</v>
      </c>
      <c r="AA5349">
        <v>0.98552010000000001</v>
      </c>
      <c r="AB5349">
        <v>46</v>
      </c>
      <c r="AC5349">
        <v>-3.0641479999999999</v>
      </c>
      <c r="AD5349">
        <v>6.3252449999999895E-4</v>
      </c>
      <c r="AE5349">
        <v>-0.59007259999999995</v>
      </c>
      <c r="AF5349">
        <v>-0.529070077348745</v>
      </c>
      <c r="AG5349">
        <v>6.3252449999999895E-4</v>
      </c>
      <c r="AH5349">
        <v>3.07526790576927</v>
      </c>
      <c r="AI5349">
        <v>89.988385963021997</v>
      </c>
      <c r="AJ5349">
        <v>99.761625088073401</v>
      </c>
      <c r="AK5349">
        <v>3.1204468011949098</v>
      </c>
      <c r="AL5349">
        <v>78.7970768067362</v>
      </c>
      <c r="AM5349">
        <v>87.678564159721404</v>
      </c>
      <c r="AN5349">
        <v>1.0000000069035799</v>
      </c>
    </row>
    <row r="5350" spans="1:40" x14ac:dyDescent="0.25">
      <c r="A5350" t="str">
        <f>"20190303170400046"</f>
        <v>20190303170400046</v>
      </c>
      <c r="B5350" t="str">
        <f>"1551603840040862"</f>
        <v>1551603840040862</v>
      </c>
      <c r="C5350" t="s">
        <v>40</v>
      </c>
      <c r="D5350">
        <v>4.3211300000000001</v>
      </c>
      <c r="E5350">
        <v>0.49129060000000002</v>
      </c>
      <c r="F5350" t="s">
        <v>90</v>
      </c>
      <c r="G5350">
        <v>-415.97629999999998</v>
      </c>
      <c r="H5350" s="1">
        <v>-1.0008860000000001E-5</v>
      </c>
      <c r="I5350">
        <v>139.29669999999999</v>
      </c>
      <c r="J5350">
        <v>-367.26299999999998</v>
      </c>
      <c r="K5350">
        <v>1.1215170000000001</v>
      </c>
      <c r="L5350">
        <v>141.95590000000001</v>
      </c>
      <c r="M5350">
        <v>-0.99969059999999998</v>
      </c>
      <c r="N5350">
        <v>-1.4680159999999999E-2</v>
      </c>
      <c r="O5350">
        <v>-2.007637E-2</v>
      </c>
      <c r="P5350">
        <v>-0.98369269999999998</v>
      </c>
      <c r="Q5350">
        <v>0.17903640000000001</v>
      </c>
      <c r="R5350">
        <v>1.716078E-2</v>
      </c>
      <c r="S5350">
        <v>-3.0665589999999998</v>
      </c>
      <c r="T5350">
        <v>-6.9927929999999999E-2</v>
      </c>
      <c r="U5350">
        <v>-0.16639709999999999</v>
      </c>
      <c r="V5350">
        <v>3.6794670000000002E-2</v>
      </c>
      <c r="W5350">
        <v>0.1934718</v>
      </c>
      <c r="X5350">
        <v>0.98041560000000005</v>
      </c>
      <c r="Y5350">
        <v>-3.4108270000000003E-2</v>
      </c>
      <c r="Z5350">
        <v>-4.7640120000000001E-4</v>
      </c>
      <c r="AA5350">
        <v>0.99941800000000003</v>
      </c>
      <c r="AB5350">
        <v>46</v>
      </c>
      <c r="AC5350">
        <v>-48.713299999999897</v>
      </c>
      <c r="AD5350">
        <v>-1.12152700886</v>
      </c>
      <c r="AE5350">
        <v>-2.6592000000000202</v>
      </c>
      <c r="AF5350">
        <v>-1.6796845339445701</v>
      </c>
      <c r="AG5350">
        <v>-1.12152700886</v>
      </c>
      <c r="AH5350">
        <v>48.731118892838303</v>
      </c>
      <c r="AI5350">
        <v>91.317624263059898</v>
      </c>
      <c r="AJ5350">
        <v>91.974113280349698</v>
      </c>
      <c r="AK5350">
        <v>48.772954713787001</v>
      </c>
      <c r="AL5350">
        <v>78.844535412491496</v>
      </c>
      <c r="AM5350">
        <v>87.850717224426802</v>
      </c>
      <c r="AN5350">
        <v>0.99999996692950299</v>
      </c>
    </row>
    <row r="5351" spans="1:40" x14ac:dyDescent="0.25">
      <c r="A5351" t="str">
        <f>"20190303170400070"</f>
        <v>20190303170400070</v>
      </c>
      <c r="B5351" t="str">
        <f>"1551603840061359"</f>
        <v>1551603840061359</v>
      </c>
      <c r="C5351" t="s">
        <v>40</v>
      </c>
      <c r="D5351">
        <v>4.1866349999999999</v>
      </c>
      <c r="E5351">
        <v>0.49520720000000001</v>
      </c>
      <c r="F5351" t="s">
        <v>90</v>
      </c>
      <c r="G5351">
        <v>-415.44810000000001</v>
      </c>
      <c r="H5351" s="1">
        <v>-1.070648E-5</v>
      </c>
      <c r="I5351">
        <v>141.07299999999901</v>
      </c>
      <c r="J5351">
        <v>-367.73379999999997</v>
      </c>
      <c r="K5351">
        <v>1.1214980000000001</v>
      </c>
      <c r="L5351">
        <v>141.94630000000001</v>
      </c>
      <c r="M5351">
        <v>-0.99968670000000004</v>
      </c>
      <c r="N5351">
        <v>-1.4677290000000001E-2</v>
      </c>
      <c r="O5351">
        <v>-2.0282999999999999E-2</v>
      </c>
      <c r="P5351">
        <v>-0.98407690000000003</v>
      </c>
      <c r="Q5351">
        <v>0.17719960000000001</v>
      </c>
      <c r="R5351">
        <v>1.3902350000000001E-2</v>
      </c>
      <c r="S5351">
        <v>-3.06366</v>
      </c>
      <c r="T5351">
        <v>-7.130802E-2</v>
      </c>
      <c r="U5351">
        <v>-5.6137079999999999E-2</v>
      </c>
      <c r="V5351">
        <v>3.3750189999999999E-2</v>
      </c>
      <c r="W5351">
        <v>0.19163669999999999</v>
      </c>
      <c r="X5351">
        <v>0.98088549999999997</v>
      </c>
      <c r="Y5351">
        <v>1.9634700000000001E-3</v>
      </c>
      <c r="Z5351">
        <v>2.1150100000000001E-4</v>
      </c>
      <c r="AA5351">
        <v>0.99999800000000005</v>
      </c>
      <c r="AB5351">
        <v>46</v>
      </c>
      <c r="AC5351">
        <v>-47.714300000000001</v>
      </c>
      <c r="AD5351">
        <v>-1.12150870647999</v>
      </c>
      <c r="AE5351">
        <v>-0.87330000000002805</v>
      </c>
      <c r="AF5351">
        <v>9.4720632529885801E-2</v>
      </c>
      <c r="AG5351">
        <v>-1.12150870647999</v>
      </c>
      <c r="AH5351">
        <v>47.6958554200504</v>
      </c>
      <c r="AI5351">
        <v>91.346988111646894</v>
      </c>
      <c r="AJ5351">
        <v>89.886214739324302</v>
      </c>
      <c r="AK5351">
        <v>47.7091330672366</v>
      </c>
      <c r="AL5351">
        <v>78.951684791901201</v>
      </c>
      <c r="AM5351">
        <v>88.029351167525903</v>
      </c>
      <c r="AN5351">
        <v>1.00000003211108</v>
      </c>
    </row>
    <row r="5352" spans="1:40" x14ac:dyDescent="0.25">
      <c r="A5352" t="str">
        <f>"20190303170400090"</f>
        <v>20190303170400090</v>
      </c>
      <c r="B5352" t="str">
        <f>"1551603840080878"</f>
        <v>1551603840080878</v>
      </c>
      <c r="C5352" t="s">
        <v>40</v>
      </c>
      <c r="D5352">
        <v>4.1915620000000002</v>
      </c>
      <c r="E5352">
        <v>0.49739139999999998</v>
      </c>
      <c r="F5352" t="s">
        <v>90</v>
      </c>
      <c r="G5352">
        <v>-413.2285</v>
      </c>
      <c r="H5352" s="1">
        <v>-1.1022100000000001E-5</v>
      </c>
      <c r="I5352">
        <v>141.41659999999999</v>
      </c>
      <c r="J5352">
        <v>-368.17259999999999</v>
      </c>
      <c r="K5352">
        <v>1.121489</v>
      </c>
      <c r="L5352">
        <v>141.93719999999999</v>
      </c>
      <c r="M5352">
        <v>-0.99968279999999998</v>
      </c>
      <c r="N5352">
        <v>-1.467459E-2</v>
      </c>
      <c r="O5352">
        <v>-2.04739E-2</v>
      </c>
      <c r="P5352">
        <v>-0.98467539999999998</v>
      </c>
      <c r="Q5352">
        <v>0.17410239999999999</v>
      </c>
      <c r="R5352">
        <v>1.015742E-2</v>
      </c>
      <c r="S5352">
        <v>-3.0626530000000001</v>
      </c>
      <c r="T5352">
        <v>-7.5498819999999994E-2</v>
      </c>
      <c r="U5352">
        <v>-3.5659789999999997E-2</v>
      </c>
      <c r="V5352">
        <v>3.0209079999999999E-2</v>
      </c>
      <c r="W5352">
        <v>0.18854460000000001</v>
      </c>
      <c r="X5352">
        <v>0.98159989999999997</v>
      </c>
      <c r="Y5352">
        <v>8.8292219999999994E-3</v>
      </c>
      <c r="Z5352">
        <v>3.7772800000000003E-4</v>
      </c>
      <c r="AA5352">
        <v>0.99996099999999999</v>
      </c>
      <c r="AB5352">
        <v>46</v>
      </c>
      <c r="AC5352">
        <v>-45.055900000000001</v>
      </c>
      <c r="AD5352">
        <v>-1.1215000221</v>
      </c>
      <c r="AE5352">
        <v>-0.52060000000000095</v>
      </c>
      <c r="AF5352">
        <v>0.401829443948506</v>
      </c>
      <c r="AG5352">
        <v>-1.1215000221</v>
      </c>
      <c r="AH5352">
        <v>45.029218217385903</v>
      </c>
      <c r="AI5352">
        <v>91.4266598935762</v>
      </c>
      <c r="AJ5352">
        <v>89.488720412500996</v>
      </c>
      <c r="AK5352">
        <v>45.044974441890297</v>
      </c>
      <c r="AL5352">
        <v>79.132139207619005</v>
      </c>
      <c r="AM5352">
        <v>88.2372587300639</v>
      </c>
      <c r="AN5352">
        <v>1.0000000091918</v>
      </c>
    </row>
    <row r="5353" spans="1:40" x14ac:dyDescent="0.25">
      <c r="A5353" t="str">
        <f>"20190303170400113"</f>
        <v>20190303170400113</v>
      </c>
      <c r="B5353" t="str">
        <f>"1551603840101375"</f>
        <v>1551603840101375</v>
      </c>
      <c r="C5353" t="s">
        <v>40</v>
      </c>
      <c r="D5353">
        <v>4.2109620000000003</v>
      </c>
      <c r="E5353">
        <v>0.49887320000000002</v>
      </c>
      <c r="F5353" t="s">
        <v>90</v>
      </c>
      <c r="G5353">
        <v>-409.1712</v>
      </c>
      <c r="H5353" s="1">
        <v>-1.096244E-5</v>
      </c>
      <c r="I5353">
        <v>141.5445</v>
      </c>
      <c r="J5353">
        <v>-368.6309</v>
      </c>
      <c r="K5353">
        <v>1.121491</v>
      </c>
      <c r="L5353">
        <v>141.92760000000001</v>
      </c>
      <c r="M5353">
        <v>-0.99967870000000003</v>
      </c>
      <c r="N5353">
        <v>-1.4671790000000001E-2</v>
      </c>
      <c r="O5353">
        <v>-2.0672320000000001E-2</v>
      </c>
      <c r="P5353">
        <v>-0.98516300000000001</v>
      </c>
      <c r="Q5353">
        <v>0.1715381</v>
      </c>
      <c r="R5353">
        <v>5.3545160000000001E-3</v>
      </c>
      <c r="S5353">
        <v>-3.0618289999999999</v>
      </c>
      <c r="T5353">
        <v>-8.3755019999999999E-2</v>
      </c>
      <c r="U5353">
        <v>-2.9327389999999998E-2</v>
      </c>
      <c r="V5353">
        <v>2.561478E-2</v>
      </c>
      <c r="W5353">
        <v>0.18598339999999999</v>
      </c>
      <c r="X5353">
        <v>0.98221899999999995</v>
      </c>
      <c r="Y5353">
        <v>1.1089659999999999E-2</v>
      </c>
      <c r="Z5353">
        <v>4.9503969999999998E-4</v>
      </c>
      <c r="AA5353">
        <v>0.99993840000000001</v>
      </c>
      <c r="AB5353">
        <v>46</v>
      </c>
      <c r="AC5353">
        <v>-40.540300000000002</v>
      </c>
      <c r="AD5353">
        <v>-1.12150196244</v>
      </c>
      <c r="AE5353">
        <v>-0.38310000000001299</v>
      </c>
      <c r="AF5353">
        <v>0.45478609638459699</v>
      </c>
      <c r="AG5353">
        <v>-1.12150196244</v>
      </c>
      <c r="AH5353">
        <v>40.508557249938001</v>
      </c>
      <c r="AI5353">
        <v>91.585760575228406</v>
      </c>
      <c r="AJ5353">
        <v>89.356772223711502</v>
      </c>
      <c r="AK5353">
        <v>40.526630843393797</v>
      </c>
      <c r="AL5353">
        <v>79.281528421059704</v>
      </c>
      <c r="AM5353">
        <v>88.506151662780795</v>
      </c>
      <c r="AN5353">
        <v>1.0000000529955</v>
      </c>
    </row>
    <row r="5354" spans="1:40" x14ac:dyDescent="0.25">
      <c r="A5354" t="str">
        <f>"20190303170400135"</f>
        <v>20190303170400135</v>
      </c>
      <c r="B5354" t="str">
        <f>"1551603840120894"</f>
        <v>1551603840120894</v>
      </c>
      <c r="C5354" t="s">
        <v>40</v>
      </c>
      <c r="D5354">
        <v>4.1663019999999999</v>
      </c>
      <c r="E5354">
        <v>0.4998939</v>
      </c>
      <c r="F5354" t="s">
        <v>90</v>
      </c>
      <c r="G5354">
        <v>-405.51209999999998</v>
      </c>
      <c r="H5354" s="1">
        <v>-8.7084119999999905E-6</v>
      </c>
      <c r="I5354">
        <v>141.55959999999999</v>
      </c>
      <c r="J5354">
        <v>-369.0847</v>
      </c>
      <c r="K5354">
        <v>1.121494</v>
      </c>
      <c r="L5354">
        <v>141.91810000000001</v>
      </c>
      <c r="M5354">
        <v>-0.99967470000000003</v>
      </c>
      <c r="N5354">
        <v>-1.4668769999999999E-2</v>
      </c>
      <c r="O5354">
        <v>-2.0867879999999998E-2</v>
      </c>
      <c r="P5354">
        <v>-0.98494250000000005</v>
      </c>
      <c r="Q5354">
        <v>0.1728827</v>
      </c>
      <c r="R5354">
        <v>4.329882E-4</v>
      </c>
      <c r="S5354">
        <v>-3.0615540000000001</v>
      </c>
      <c r="T5354">
        <v>-9.3096849999999995E-2</v>
      </c>
      <c r="U5354">
        <v>-3.0548100000000002E-2</v>
      </c>
      <c r="V5354">
        <v>2.088249E-2</v>
      </c>
      <c r="W5354">
        <v>0.1873203</v>
      </c>
      <c r="X5354">
        <v>0.98207690000000003</v>
      </c>
      <c r="Y5354">
        <v>1.0883749999999999E-2</v>
      </c>
      <c r="Z5354">
        <v>5.7353699999999896E-4</v>
      </c>
      <c r="AA5354">
        <v>0.99994059999999996</v>
      </c>
      <c r="AB5354">
        <v>46</v>
      </c>
      <c r="AC5354">
        <v>-36.427399999999899</v>
      </c>
      <c r="AD5354">
        <v>-1.1215027084119999</v>
      </c>
      <c r="AE5354">
        <v>-0.35850000000002002</v>
      </c>
      <c r="AF5354">
        <v>0.40144196135147697</v>
      </c>
      <c r="AG5354">
        <v>-1.1215027084119999</v>
      </c>
      <c r="AH5354">
        <v>36.392456256993597</v>
      </c>
      <c r="AI5354">
        <v>91.765012405465896</v>
      </c>
      <c r="AJ5354">
        <v>89.368000964674195</v>
      </c>
      <c r="AK5354">
        <v>36.411945792425001</v>
      </c>
      <c r="AL5354">
        <v>79.203558953786398</v>
      </c>
      <c r="AM5354">
        <v>88.781869051098099</v>
      </c>
      <c r="AN5354">
        <v>1.0000000053471501</v>
      </c>
    </row>
    <row r="5355" spans="1:40" x14ac:dyDescent="0.25">
      <c r="A5355" t="str">
        <f>"20190303170400158"</f>
        <v>20190303170400158</v>
      </c>
      <c r="B5355" t="str">
        <f>"1551603840151150"</f>
        <v>1551603840151150</v>
      </c>
      <c r="C5355" t="s">
        <v>40</v>
      </c>
      <c r="D5355">
        <v>4.2040119999999996</v>
      </c>
      <c r="E5355">
        <v>0.5012472</v>
      </c>
      <c r="F5355" t="s">
        <v>90</v>
      </c>
      <c r="G5355">
        <v>-407.02519999999998</v>
      </c>
      <c r="H5355" s="1">
        <v>-9.6181399999999997E-6</v>
      </c>
      <c r="I5355">
        <v>141.4813</v>
      </c>
      <c r="J5355">
        <v>-369.56979999999999</v>
      </c>
      <c r="K5355">
        <v>1.121507</v>
      </c>
      <c r="L5355">
        <v>141.90770000000001</v>
      </c>
      <c r="M5355">
        <v>-0.99967030000000001</v>
      </c>
      <c r="N5355">
        <v>-1.466571E-2</v>
      </c>
      <c r="O5355">
        <v>-2.10762E-2</v>
      </c>
      <c r="P5355">
        <v>-0.98450369999999998</v>
      </c>
      <c r="Q5355">
        <v>0.17532890000000001</v>
      </c>
      <c r="R5355">
        <v>-3.5215390000000002E-3</v>
      </c>
      <c r="S5355">
        <v>-3.0618289999999999</v>
      </c>
      <c r="T5355">
        <v>-9.0506320000000001E-2</v>
      </c>
      <c r="U5355">
        <v>-3.5247800000000003E-2</v>
      </c>
      <c r="V5355">
        <v>1.7124090000000002E-2</v>
      </c>
      <c r="W5355">
        <v>0.18975590000000001</v>
      </c>
      <c r="X5355">
        <v>0.9816819</v>
      </c>
      <c r="Y5355">
        <v>9.5598000000000002E-3</v>
      </c>
      <c r="Z5355">
        <v>5.2508269999999998E-4</v>
      </c>
      <c r="AA5355">
        <v>0.99995420000000002</v>
      </c>
      <c r="AB5355">
        <v>46</v>
      </c>
      <c r="AC5355">
        <v>-37.455399999999997</v>
      </c>
      <c r="AD5355">
        <v>-1.12151661814</v>
      </c>
      <c r="AE5355">
        <v>-0.426400000000001</v>
      </c>
      <c r="AF5355">
        <v>0.362871850190155</v>
      </c>
      <c r="AG5355">
        <v>-1.12151661814</v>
      </c>
      <c r="AH5355">
        <v>37.422518751639601</v>
      </c>
      <c r="AI5355">
        <v>91.716504546230496</v>
      </c>
      <c r="AJ5355">
        <v>89.444442153304294</v>
      </c>
      <c r="AK5355">
        <v>37.441078846919503</v>
      </c>
      <c r="AL5355">
        <v>79.061460235609005</v>
      </c>
      <c r="AM5355">
        <v>89.000655314522703</v>
      </c>
      <c r="AN5355">
        <v>0.99999994441537199</v>
      </c>
    </row>
    <row r="5356" spans="1:40" x14ac:dyDescent="0.25">
      <c r="A5356" t="str">
        <f>"20190303170400180"</f>
        <v>20190303170400180</v>
      </c>
      <c r="B5356" t="str">
        <f>"1551603840170671"</f>
        <v>1551603840170671</v>
      </c>
      <c r="C5356" t="s">
        <v>40</v>
      </c>
      <c r="D5356">
        <v>4.1841239999999997</v>
      </c>
      <c r="E5356">
        <v>0.50205739999999999</v>
      </c>
      <c r="F5356" t="s">
        <v>90</v>
      </c>
      <c r="G5356">
        <v>-410.97859999999997</v>
      </c>
      <c r="H5356" s="1">
        <v>-1.122071E-5</v>
      </c>
      <c r="I5356">
        <v>141.39760000000001</v>
      </c>
      <c r="J5356">
        <v>-370.0059</v>
      </c>
      <c r="K5356">
        <v>1.121516</v>
      </c>
      <c r="L5356">
        <v>141.89830000000001</v>
      </c>
      <c r="M5356">
        <v>-0.99966639999999996</v>
      </c>
      <c r="N5356">
        <v>-1.466317E-2</v>
      </c>
      <c r="O5356">
        <v>-2.1263069999999998E-2</v>
      </c>
      <c r="P5356">
        <v>-0.98440680000000003</v>
      </c>
      <c r="Q5356">
        <v>0.17571870000000001</v>
      </c>
      <c r="R5356">
        <v>-8.1373399999999999E-3</v>
      </c>
      <c r="S5356">
        <v>-3.0618289999999999</v>
      </c>
      <c r="T5356">
        <v>-8.2926749999999994E-2</v>
      </c>
      <c r="U5356">
        <v>-3.771973E-2</v>
      </c>
      <c r="V5356">
        <v>1.2691320000000001E-2</v>
      </c>
      <c r="W5356">
        <v>0.1901407</v>
      </c>
      <c r="X5356">
        <v>0.98167479999999996</v>
      </c>
      <c r="Y5356">
        <v>8.9414290000000007E-3</v>
      </c>
      <c r="Z5356">
        <v>4.5055859999999998E-4</v>
      </c>
      <c r="AA5356">
        <v>0.99995990000000001</v>
      </c>
      <c r="AB5356">
        <v>46</v>
      </c>
      <c r="AC5356">
        <v>-40.972699999999897</v>
      </c>
      <c r="AD5356">
        <v>-1.12152722071</v>
      </c>
      <c r="AE5356">
        <v>-0.50069999999999404</v>
      </c>
      <c r="AF5356">
        <v>0.37043476078513099</v>
      </c>
      <c r="AG5356">
        <v>-1.12152722071</v>
      </c>
      <c r="AH5356">
        <v>40.943409742079297</v>
      </c>
      <c r="AI5356">
        <v>91.568996924657</v>
      </c>
      <c r="AJ5356">
        <v>89.481631612509304</v>
      </c>
      <c r="AK5356">
        <v>40.960442460092899</v>
      </c>
      <c r="AL5356">
        <v>79.039004423009004</v>
      </c>
      <c r="AM5356">
        <v>89.259308108701802</v>
      </c>
      <c r="AN5356">
        <v>0.99999998417743596</v>
      </c>
    </row>
    <row r="5357" spans="1:40" x14ac:dyDescent="0.25">
      <c r="A5357" t="str">
        <f>"20190303170400201"</f>
        <v>20190303170400201</v>
      </c>
      <c r="B5357" t="str">
        <f>"1551603840191165"</f>
        <v>1551603840191165</v>
      </c>
      <c r="C5357" t="s">
        <v>40</v>
      </c>
      <c r="D5357">
        <v>4.2269180000000004</v>
      </c>
      <c r="E5357">
        <v>0.50288500000000003</v>
      </c>
      <c r="F5357" t="s">
        <v>90</v>
      </c>
      <c r="G5357">
        <v>-412.459</v>
      </c>
      <c r="H5357" s="1">
        <v>-1.1034620000000001E-5</v>
      </c>
      <c r="I5357">
        <v>141.25980000000001</v>
      </c>
      <c r="J5357">
        <v>-370.45440000000002</v>
      </c>
      <c r="K5357">
        <v>1.1215200000000001</v>
      </c>
      <c r="L5357">
        <v>141.8886</v>
      </c>
      <c r="M5357">
        <v>-0.9996623</v>
      </c>
      <c r="N5357">
        <v>-1.4660589999999999E-2</v>
      </c>
      <c r="O5357">
        <v>-2.1455910000000002E-2</v>
      </c>
      <c r="P5357">
        <v>-0.98455280000000001</v>
      </c>
      <c r="Q5357">
        <v>0.17453929999999901</v>
      </c>
      <c r="R5357">
        <v>-1.385987E-2</v>
      </c>
      <c r="S5357">
        <v>-3.0615230000000002</v>
      </c>
      <c r="T5357">
        <v>-8.0879450000000006E-2</v>
      </c>
      <c r="U5357">
        <v>-4.605103E-2</v>
      </c>
      <c r="V5357">
        <v>7.1641480000000004E-3</v>
      </c>
      <c r="W5357">
        <v>0.18895989999999999</v>
      </c>
      <c r="X5357">
        <v>0.98195869999999996</v>
      </c>
      <c r="Y5357">
        <v>6.414126E-3</v>
      </c>
      <c r="Z5357">
        <v>3.8381519999999998E-4</v>
      </c>
      <c r="AA5357">
        <v>0.99997939999999996</v>
      </c>
      <c r="AB5357">
        <v>46</v>
      </c>
      <c r="AC5357">
        <v>-42.004599999999897</v>
      </c>
      <c r="AD5357">
        <v>-1.12153103462</v>
      </c>
      <c r="AE5357">
        <v>-0.62879999999998304</v>
      </c>
      <c r="AF5357">
        <v>0.27249435116159199</v>
      </c>
      <c r="AG5357">
        <v>-1.12153103462</v>
      </c>
      <c r="AH5357">
        <v>41.978501410551601</v>
      </c>
      <c r="AI5357">
        <v>91.530363337332901</v>
      </c>
      <c r="AJ5357">
        <v>89.628082078848806</v>
      </c>
      <c r="AK5357">
        <v>41.9943646899046</v>
      </c>
      <c r="AL5357">
        <v>79.1079089357969</v>
      </c>
      <c r="AM5357">
        <v>89.581990401970302</v>
      </c>
      <c r="AN5357">
        <v>1.00000002866513</v>
      </c>
    </row>
    <row r="5358" spans="1:40" x14ac:dyDescent="0.25">
      <c r="A5358" t="str">
        <f>"20190303170400219"</f>
        <v>20190303170400219</v>
      </c>
      <c r="B5358" t="str">
        <f>"1551603840210686"</f>
        <v>1551603840210686</v>
      </c>
      <c r="C5358" t="s">
        <v>40</v>
      </c>
      <c r="D5358">
        <v>4.2429959999999998</v>
      </c>
      <c r="E5358">
        <v>0.50370039999999905</v>
      </c>
      <c r="F5358" t="s">
        <v>90</v>
      </c>
      <c r="G5358">
        <v>-410.96109999999999</v>
      </c>
      <c r="H5358" s="1">
        <v>-1.114039E-5</v>
      </c>
      <c r="I5358">
        <v>141.1705</v>
      </c>
      <c r="J5358">
        <v>-370.81259999999997</v>
      </c>
      <c r="K5358">
        <v>1.1215189999999999</v>
      </c>
      <c r="L5358">
        <v>141.88079999999999</v>
      </c>
      <c r="M5358">
        <v>-0.99965899999999996</v>
      </c>
      <c r="N5358">
        <v>-1.46585E-2</v>
      </c>
      <c r="O5358">
        <v>-2.161134E-2</v>
      </c>
      <c r="P5358">
        <v>-0.98465530000000001</v>
      </c>
      <c r="Q5358">
        <v>0.173734</v>
      </c>
      <c r="R5358">
        <v>-1.644926E-2</v>
      </c>
      <c r="S5358">
        <v>-3.0613709999999998</v>
      </c>
      <c r="T5358">
        <v>-8.4761859999999994E-2</v>
      </c>
      <c r="U5358">
        <v>-5.4275509999999999E-2</v>
      </c>
      <c r="V5358">
        <v>4.7312589999999998E-3</v>
      </c>
      <c r="W5358">
        <v>0.1881535</v>
      </c>
      <c r="X5358">
        <v>0.98212820000000001</v>
      </c>
      <c r="Y5358">
        <v>3.8839310000000002E-3</v>
      </c>
      <c r="Z5358">
        <v>3.6358499999999998E-4</v>
      </c>
      <c r="AA5358">
        <v>0.9999924</v>
      </c>
      <c r="AB5358">
        <v>46</v>
      </c>
      <c r="AC5358">
        <v>-40.148499999999999</v>
      </c>
      <c r="AD5358">
        <v>-1.12153014039</v>
      </c>
      <c r="AE5358">
        <v>-0.71029999999998905</v>
      </c>
      <c r="AF5358">
        <v>0.15749916419528301</v>
      </c>
      <c r="AG5358">
        <v>-1.12153014039</v>
      </c>
      <c r="AH5358">
        <v>40.123173519328397</v>
      </c>
      <c r="AI5358">
        <v>91.601112660698206</v>
      </c>
      <c r="AJ5358">
        <v>89.775092789413705</v>
      </c>
      <c r="AK5358">
        <v>40.139154065633498</v>
      </c>
      <c r="AL5358">
        <v>79.154955448513903</v>
      </c>
      <c r="AM5358">
        <v>89.723988094906304</v>
      </c>
      <c r="AN5358">
        <v>0.99999996280460601</v>
      </c>
    </row>
    <row r="5359" spans="1:40" x14ac:dyDescent="0.25">
      <c r="A5359" t="str">
        <f>"20190303170400237"</f>
        <v>20190303170400237</v>
      </c>
      <c r="B5359" t="str">
        <f>"1551603840231181"</f>
        <v>1551603840231181</v>
      </c>
      <c r="C5359" t="s">
        <v>40</v>
      </c>
      <c r="D5359">
        <v>4.2233260000000001</v>
      </c>
      <c r="E5359">
        <v>0.50448409999999999</v>
      </c>
      <c r="F5359" t="s">
        <v>90</v>
      </c>
      <c r="G5359">
        <v>-409.87419999999997</v>
      </c>
      <c r="H5359" s="1">
        <v>-1.1200869999999999E-5</v>
      </c>
      <c r="I5359">
        <v>141.18690000000001</v>
      </c>
      <c r="J5359">
        <v>-371.15769999999998</v>
      </c>
      <c r="K5359">
        <v>1.1215170000000001</v>
      </c>
      <c r="L5359">
        <v>141.8732</v>
      </c>
      <c r="M5359">
        <v>-0.99965570000000004</v>
      </c>
      <c r="N5359">
        <v>-1.465645E-2</v>
      </c>
      <c r="O5359">
        <v>-2.1762839999999999E-2</v>
      </c>
      <c r="P5359">
        <v>-0.98450009999999999</v>
      </c>
      <c r="Q5359">
        <v>0.17431529999999901</v>
      </c>
      <c r="R5359">
        <v>-1.9331950000000001E-2</v>
      </c>
      <c r="S5359">
        <v>-3.0613100000000002</v>
      </c>
      <c r="T5359">
        <v>-8.7895870000000001E-2</v>
      </c>
      <c r="U5359">
        <v>-5.4382319999999998E-2</v>
      </c>
      <c r="V5359">
        <v>1.9943600000000001E-3</v>
      </c>
      <c r="W5359">
        <v>0.18873000000000001</v>
      </c>
      <c r="X5359">
        <v>0.98202699999999998</v>
      </c>
      <c r="Y5359">
        <v>3.9997230000000002E-3</v>
      </c>
      <c r="Z5359">
        <v>3.9237350000000001E-4</v>
      </c>
      <c r="AA5359">
        <v>0.99999199999999999</v>
      </c>
      <c r="AB5359">
        <v>46</v>
      </c>
      <c r="AC5359">
        <v>-38.716500000000003</v>
      </c>
      <c r="AD5359">
        <v>-1.12152820087</v>
      </c>
      <c r="AE5359">
        <v>-0.68629999999998803</v>
      </c>
      <c r="AF5359">
        <v>0.156402904500509</v>
      </c>
      <c r="AG5359">
        <v>-1.12152820087</v>
      </c>
      <c r="AH5359">
        <v>38.6898104022127</v>
      </c>
      <c r="AI5359">
        <v>91.660393724160301</v>
      </c>
      <c r="AJ5359">
        <v>89.768384041560594</v>
      </c>
      <c r="AK5359">
        <v>38.706378238386598</v>
      </c>
      <c r="AL5359">
        <v>79.121322377631103</v>
      </c>
      <c r="AM5359">
        <v>89.883640415452803</v>
      </c>
      <c r="AN5359">
        <v>1.0000000095504</v>
      </c>
    </row>
    <row r="5360" spans="1:40" x14ac:dyDescent="0.25">
      <c r="A5360" t="str">
        <f>"20190303170400257"</f>
        <v>20190303170400257</v>
      </c>
      <c r="B5360" t="str">
        <f>"1551603840250702"</f>
        <v>1551603840250702</v>
      </c>
      <c r="C5360" t="s">
        <v>40</v>
      </c>
      <c r="D5360">
        <v>4.2299569999999997</v>
      </c>
      <c r="E5360">
        <v>0.51396269999999999</v>
      </c>
      <c r="F5360" t="s">
        <v>90</v>
      </c>
      <c r="G5360">
        <v>-411.2373</v>
      </c>
      <c r="H5360" s="1">
        <v>-1.1099959999999999E-5</v>
      </c>
      <c r="I5360">
        <v>141.13339999999999</v>
      </c>
      <c r="J5360">
        <v>-371.59899999999999</v>
      </c>
      <c r="K5360">
        <v>1.121534</v>
      </c>
      <c r="L5360">
        <v>141.86340000000001</v>
      </c>
      <c r="M5360">
        <v>-0.99965159999999997</v>
      </c>
      <c r="N5360">
        <v>-1.4653650000000001E-2</v>
      </c>
      <c r="O5360">
        <v>-2.1958809999999999E-2</v>
      </c>
      <c r="P5360">
        <v>-0.98448089999999999</v>
      </c>
      <c r="Q5360">
        <v>0.1741347</v>
      </c>
      <c r="R5360">
        <v>-2.1791479999999998E-2</v>
      </c>
      <c r="S5360">
        <v>-3.0613100000000002</v>
      </c>
      <c r="T5360">
        <v>-8.5662959999999996E-2</v>
      </c>
      <c r="U5360">
        <v>-5.6503299999999999E-2</v>
      </c>
      <c r="V5360">
        <v>-2.7190200000000003E-4</v>
      </c>
      <c r="W5360">
        <v>0.1885455</v>
      </c>
      <c r="X5360">
        <v>0.98206439999999995</v>
      </c>
      <c r="Y5360">
        <v>3.5037520000000002E-3</v>
      </c>
      <c r="Z5360">
        <v>3.67139E-4</v>
      </c>
      <c r="AA5360">
        <v>0.99999380000000004</v>
      </c>
      <c r="AB5360">
        <v>46</v>
      </c>
      <c r="AC5360">
        <v>-39.638300000000001</v>
      </c>
      <c r="AD5360">
        <v>-1.1215450999600001</v>
      </c>
      <c r="AE5360">
        <v>-0.73000000000001797</v>
      </c>
      <c r="AF5360">
        <v>0.14056682183892799</v>
      </c>
      <c r="AG5360">
        <v>-1.1215450999600001</v>
      </c>
      <c r="AH5360">
        <v>39.613069280785503</v>
      </c>
      <c r="AI5360">
        <v>91.621743423672797</v>
      </c>
      <c r="AJ5360">
        <v>89.796687003227802</v>
      </c>
      <c r="AK5360">
        <v>39.629192273965899</v>
      </c>
      <c r="AL5360">
        <v>79.132086407415301</v>
      </c>
      <c r="AM5360">
        <v>90.015863355440899</v>
      </c>
      <c r="AN5360">
        <v>0.99999998262415302</v>
      </c>
    </row>
    <row r="5361" spans="1:40" x14ac:dyDescent="0.25">
      <c r="A5361" t="str">
        <f>"20190303170400276"</f>
        <v>20190303170400276</v>
      </c>
      <c r="B5361" t="str">
        <f>"1551603840261438"</f>
        <v>1551603840261438</v>
      </c>
      <c r="C5361" t="s">
        <v>40</v>
      </c>
      <c r="D5361">
        <v>4.2256400000000003</v>
      </c>
      <c r="E5361">
        <v>0.51434230000000003</v>
      </c>
      <c r="F5361" t="s">
        <v>90</v>
      </c>
      <c r="G5361">
        <v>-412.33710000000002</v>
      </c>
      <c r="H5361" s="1">
        <v>-1.1308729999999999E-5</v>
      </c>
      <c r="I5361">
        <v>142.0095</v>
      </c>
      <c r="J5361">
        <v>-371.97149999999999</v>
      </c>
      <c r="K5361">
        <v>1.1215379999999999</v>
      </c>
      <c r="L5361">
        <v>141.85509999999999</v>
      </c>
      <c r="M5361">
        <v>-0.99964790000000003</v>
      </c>
      <c r="N5361">
        <v>-1.465114E-2</v>
      </c>
      <c r="O5361">
        <v>-2.212546E-2</v>
      </c>
      <c r="P5361">
        <v>-0.98455380000000003</v>
      </c>
      <c r="Q5361">
        <v>0.17356429999999901</v>
      </c>
      <c r="R5361">
        <v>-2.3000670000000001E-2</v>
      </c>
      <c r="S5361">
        <v>-3.0623779999999998</v>
      </c>
      <c r="T5361">
        <v>-8.4309099999999998E-2</v>
      </c>
      <c r="U5361">
        <v>1.0986330000000001E-2</v>
      </c>
      <c r="V5361">
        <v>-1.3158550000000001E-3</v>
      </c>
      <c r="W5361">
        <v>0.18797369999999999</v>
      </c>
      <c r="X5361">
        <v>0.98217319999999997</v>
      </c>
      <c r="Y5361">
        <v>2.569755E-2</v>
      </c>
      <c r="Z5361">
        <v>8.2679219999999998E-4</v>
      </c>
      <c r="AA5361">
        <v>0.99966940000000004</v>
      </c>
      <c r="AB5361">
        <v>46</v>
      </c>
      <c r="AC5361">
        <v>-40.365600000000001</v>
      </c>
      <c r="AD5361">
        <v>-1.1215493087299999</v>
      </c>
      <c r="AE5361">
        <v>0.154400000000009</v>
      </c>
      <c r="AF5361">
        <v>1.04675740373482</v>
      </c>
      <c r="AG5361">
        <v>-1.1215493087299999</v>
      </c>
      <c r="AH5361">
        <v>40.321172677967397</v>
      </c>
      <c r="AI5361">
        <v>91.592757513739997</v>
      </c>
      <c r="AJ5361">
        <v>88.512907497583697</v>
      </c>
      <c r="AK5361">
        <v>40.350347458735101</v>
      </c>
      <c r="AL5361">
        <v>79.165445002856003</v>
      </c>
      <c r="AM5361">
        <v>90.076761301207995</v>
      </c>
      <c r="AN5361">
        <v>1.0000000190821501</v>
      </c>
    </row>
    <row r="5362" spans="1:40" x14ac:dyDescent="0.25">
      <c r="A5362" t="str">
        <f>"20190303170400290"</f>
        <v>20190303170400290</v>
      </c>
      <c r="B5362" t="str">
        <f>"1551603840280959"</f>
        <v>1551603840280959</v>
      </c>
      <c r="C5362" t="s">
        <v>40</v>
      </c>
      <c r="D5362">
        <v>4.4309979999999998</v>
      </c>
      <c r="E5362">
        <v>0.51484200000000002</v>
      </c>
      <c r="F5362" t="s">
        <v>90</v>
      </c>
      <c r="G5362">
        <v>-412.12360000000001</v>
      </c>
      <c r="H5362" s="1">
        <v>-1.13263899999999E-5</v>
      </c>
      <c r="I5362">
        <v>142.00049999999999</v>
      </c>
      <c r="J5362">
        <v>-372.27710000000002</v>
      </c>
      <c r="K5362">
        <v>1.121529</v>
      </c>
      <c r="L5362">
        <v>141.84819999999999</v>
      </c>
      <c r="M5362">
        <v>-0.99964489999999995</v>
      </c>
      <c r="N5362">
        <v>-1.46491E-2</v>
      </c>
      <c r="O5362">
        <v>-2.2263370000000001E-2</v>
      </c>
      <c r="P5362">
        <v>-0.98484870000000002</v>
      </c>
      <c r="Q5362">
        <v>0.171232299999999</v>
      </c>
      <c r="R5362">
        <v>-2.7436820000000001E-2</v>
      </c>
      <c r="S5362">
        <v>-3.0623779999999998</v>
      </c>
      <c r="T5362">
        <v>-8.5540060000000001E-2</v>
      </c>
      <c r="U5362">
        <v>1.109314E-2</v>
      </c>
      <c r="V5362">
        <v>-5.6073859999999998E-3</v>
      </c>
      <c r="W5362">
        <v>0.18564320000000001</v>
      </c>
      <c r="X5362">
        <v>0.98260119999999895</v>
      </c>
      <c r="Y5362">
        <v>2.5869739999999999E-2</v>
      </c>
      <c r="Z5362">
        <v>8.463597E-4</v>
      </c>
      <c r="AA5362">
        <v>0.99966500000000003</v>
      </c>
      <c r="AB5362">
        <v>46</v>
      </c>
      <c r="AC5362">
        <v>-39.846499999999899</v>
      </c>
      <c r="AD5362">
        <v>-1.1215403263899999</v>
      </c>
      <c r="AE5362">
        <v>0.15229999999999599</v>
      </c>
      <c r="AF5362">
        <v>1.03865190143556</v>
      </c>
      <c r="AG5362">
        <v>-1.1215403263899999</v>
      </c>
      <c r="AH5362">
        <v>39.801698967193303</v>
      </c>
      <c r="AI5362">
        <v>91.613515957616002</v>
      </c>
      <c r="AJ5362">
        <v>88.505167647054805</v>
      </c>
      <c r="AK5362">
        <v>39.831041803487203</v>
      </c>
      <c r="AL5362">
        <v>79.301365115785899</v>
      </c>
      <c r="AM5362">
        <v>90.326964860573</v>
      </c>
      <c r="AN5362">
        <v>0.99999997936271601</v>
      </c>
    </row>
    <row r="5363" spans="1:40" x14ac:dyDescent="0.25">
      <c r="A5363" t="str">
        <f>"20190303170400313"</f>
        <v>20190303170400313</v>
      </c>
      <c r="B5363" t="str">
        <f>"1551603840301454"</f>
        <v>1551603840301454</v>
      </c>
      <c r="C5363" t="s">
        <v>40</v>
      </c>
      <c r="D5363">
        <v>4.2143959999999998</v>
      </c>
      <c r="E5363">
        <v>0.51500179999999995</v>
      </c>
      <c r="F5363" t="s">
        <v>90</v>
      </c>
      <c r="G5363">
        <v>-409.43119999999999</v>
      </c>
      <c r="H5363" s="1">
        <v>-1.12263E-5</v>
      </c>
      <c r="I5363">
        <v>141.89869999999999</v>
      </c>
      <c r="J5363">
        <v>-372.71620000000001</v>
      </c>
      <c r="K5363">
        <v>1.121516</v>
      </c>
      <c r="L5363">
        <v>141.8382</v>
      </c>
      <c r="M5363">
        <v>-0.99964039999999998</v>
      </c>
      <c r="N5363">
        <v>-1.4646320000000001E-2</v>
      </c>
      <c r="O5363">
        <v>-2.246196E-2</v>
      </c>
      <c r="P5363">
        <v>-0.98481620000000003</v>
      </c>
      <c r="Q5363">
        <v>0.17082900000000001</v>
      </c>
      <c r="R5363">
        <v>-3.090174E-2</v>
      </c>
      <c r="S5363">
        <v>-3.0623469999999999</v>
      </c>
      <c r="T5363">
        <v>-9.2440720000000004E-2</v>
      </c>
      <c r="U5363">
        <v>4.1656489999999996E-3</v>
      </c>
      <c r="V5363">
        <v>-8.8765839999999999E-3</v>
      </c>
      <c r="W5363">
        <v>0.18523600000000001</v>
      </c>
      <c r="X5363">
        <v>0.98265400000000003</v>
      </c>
      <c r="Y5363">
        <v>2.3805469999999999E-2</v>
      </c>
      <c r="Z5363">
        <v>8.8247990000000001E-4</v>
      </c>
      <c r="AA5363">
        <v>0.99971620000000005</v>
      </c>
      <c r="AB5363">
        <v>46</v>
      </c>
      <c r="AC5363">
        <v>-36.714999999999897</v>
      </c>
      <c r="AD5363">
        <v>-1.1215272263</v>
      </c>
      <c r="AE5363">
        <v>6.0499999999990402E-2</v>
      </c>
      <c r="AF5363">
        <v>0.88443879307009898</v>
      </c>
      <c r="AG5363">
        <v>-1.1215272263</v>
      </c>
      <c r="AH5363">
        <v>36.6701584849028</v>
      </c>
      <c r="AI5363">
        <v>91.751290158007606</v>
      </c>
      <c r="AJ5363">
        <v>88.618364644499394</v>
      </c>
      <c r="AK5363">
        <v>36.6979642297213</v>
      </c>
      <c r="AL5363">
        <v>79.325108268175597</v>
      </c>
      <c r="AM5363">
        <v>90.517554466465796</v>
      </c>
      <c r="AN5363">
        <v>1.00000002657775</v>
      </c>
    </row>
    <row r="5364" spans="1:40" x14ac:dyDescent="0.25">
      <c r="A5364" t="str">
        <f>"20190303170400336"</f>
        <v>20190303170400336</v>
      </c>
      <c r="B5364" t="str">
        <f>"1551603840330734"</f>
        <v>1551603840330734</v>
      </c>
      <c r="C5364" t="s">
        <v>40</v>
      </c>
      <c r="D5364">
        <v>4.1978650000000002</v>
      </c>
      <c r="E5364">
        <v>0.51590879999999995</v>
      </c>
      <c r="F5364" t="s">
        <v>90</v>
      </c>
      <c r="G5364">
        <v>-410.01909999999998</v>
      </c>
      <c r="H5364" s="1">
        <v>-1.1454609999999999E-5</v>
      </c>
      <c r="I5364">
        <v>141.785</v>
      </c>
      <c r="J5364">
        <v>-373.18900000000002</v>
      </c>
      <c r="K5364">
        <v>1.1215200000000001</v>
      </c>
      <c r="L5364">
        <v>141.82740000000001</v>
      </c>
      <c r="M5364">
        <v>-0.99963579999999996</v>
      </c>
      <c r="N5364">
        <v>-1.4643369999999999E-2</v>
      </c>
      <c r="O5364">
        <v>-2.267711E-2</v>
      </c>
      <c r="P5364">
        <v>-0.98474399999999995</v>
      </c>
      <c r="Q5364">
        <v>0.17091339999999999</v>
      </c>
      <c r="R5364">
        <v>-3.2687569999999999E-2</v>
      </c>
      <c r="S5364">
        <v>-3.062103</v>
      </c>
      <c r="T5364">
        <v>-9.2063549999999994E-2</v>
      </c>
      <c r="U5364">
        <v>-4.3640140000000003E-3</v>
      </c>
      <c r="V5364">
        <v>-1.0451729999999999E-2</v>
      </c>
      <c r="W5364">
        <v>0.18531619999999999</v>
      </c>
      <c r="X5364">
        <v>0.98262340000000004</v>
      </c>
      <c r="Y5364">
        <v>2.123775E-2</v>
      </c>
      <c r="Z5364">
        <v>8.2427149999999996E-4</v>
      </c>
      <c r="AA5364">
        <v>0.9997741</v>
      </c>
      <c r="AB5364">
        <v>46</v>
      </c>
      <c r="AC5364">
        <v>-36.830099999999902</v>
      </c>
      <c r="AD5364">
        <v>-1.1215314546099999</v>
      </c>
      <c r="AE5364">
        <v>-4.2400000000014801E-2</v>
      </c>
      <c r="AF5364">
        <v>0.79216595314100302</v>
      </c>
      <c r="AG5364">
        <v>-1.1215314546099999</v>
      </c>
      <c r="AH5364">
        <v>36.787475668754197</v>
      </c>
      <c r="AI5364">
        <v>91.745818140775299</v>
      </c>
      <c r="AJ5364">
        <v>88.766407546160906</v>
      </c>
      <c r="AK5364">
        <v>36.813091771544798</v>
      </c>
      <c r="AL5364">
        <v>79.320432326405495</v>
      </c>
      <c r="AM5364">
        <v>90.609406854771294</v>
      </c>
      <c r="AN5364">
        <v>1.0000000394349899</v>
      </c>
    </row>
    <row r="5365" spans="1:40" x14ac:dyDescent="0.25">
      <c r="A5365" t="str">
        <f>"20190303170400357"</f>
        <v>20190303170400357</v>
      </c>
      <c r="B5365" t="str">
        <f>"1551603840351157"</f>
        <v>1551603840351157</v>
      </c>
      <c r="C5365" t="s">
        <v>40</v>
      </c>
      <c r="D5365">
        <v>4.2167810000000001</v>
      </c>
      <c r="E5365">
        <v>0.51657129999999996</v>
      </c>
      <c r="F5365" t="s">
        <v>90</v>
      </c>
      <c r="G5365">
        <v>-411.18490000000003</v>
      </c>
      <c r="H5365" s="1">
        <v>-1.1338319999999999E-5</v>
      </c>
      <c r="I5365">
        <v>141.7791</v>
      </c>
      <c r="J5365">
        <v>-373.64550000000003</v>
      </c>
      <c r="K5365">
        <v>1.121529</v>
      </c>
      <c r="L5365">
        <v>141.8168</v>
      </c>
      <c r="M5365">
        <v>-0.99963089999999999</v>
      </c>
      <c r="N5365">
        <v>-1.4640520000000001E-2</v>
      </c>
      <c r="O5365">
        <v>-2.2885579999999999E-2</v>
      </c>
      <c r="P5365">
        <v>-0.98496689999999998</v>
      </c>
      <c r="Q5365">
        <v>0.1691221</v>
      </c>
      <c r="R5365">
        <v>-3.5182070000000003E-2</v>
      </c>
      <c r="S5365">
        <v>-3.0620419999999999</v>
      </c>
      <c r="T5365">
        <v>-9.0382809999999994E-2</v>
      </c>
      <c r="U5365">
        <v>-3.8909909999999999E-3</v>
      </c>
      <c r="V5365">
        <v>-1.273415E-2</v>
      </c>
      <c r="W5365">
        <v>0.18352540000000001</v>
      </c>
      <c r="X5365">
        <v>0.98293249999999999</v>
      </c>
      <c r="Y5365">
        <v>2.160103E-2</v>
      </c>
      <c r="Z5365">
        <v>8.1717889999999998E-4</v>
      </c>
      <c r="AA5365">
        <v>0.9997663</v>
      </c>
      <c r="AB5365">
        <v>46</v>
      </c>
      <c r="AC5365">
        <v>-37.539400000000001</v>
      </c>
      <c r="AD5365">
        <v>-1.12154033832</v>
      </c>
      <c r="AE5365">
        <v>-3.7700000000000899E-2</v>
      </c>
      <c r="AF5365">
        <v>0.82078026769970502</v>
      </c>
      <c r="AG5365">
        <v>-1.12154033832</v>
      </c>
      <c r="AH5365">
        <v>37.4969592393591</v>
      </c>
      <c r="AI5365">
        <v>91.712805560609596</v>
      </c>
      <c r="AJ5365">
        <v>88.746038679044403</v>
      </c>
      <c r="AK5365">
        <v>37.522706261362302</v>
      </c>
      <c r="AL5365">
        <v>79.424828025970399</v>
      </c>
      <c r="AM5365">
        <v>90.742240424092799</v>
      </c>
      <c r="AN5365">
        <v>1.00000001528881</v>
      </c>
    </row>
    <row r="5366" spans="1:40" x14ac:dyDescent="0.25">
      <c r="A5366" t="str">
        <f>"20190303170400380"</f>
        <v>20190303170400380</v>
      </c>
      <c r="B5366" t="str">
        <f>"1551603840370678"</f>
        <v>1551603840370678</v>
      </c>
      <c r="C5366" t="s">
        <v>40</v>
      </c>
      <c r="D5366">
        <v>4.2323680000000001</v>
      </c>
      <c r="E5366">
        <v>0.51671809999999996</v>
      </c>
      <c r="F5366" t="s">
        <v>90</v>
      </c>
      <c r="G5366">
        <v>-409.57510000000002</v>
      </c>
      <c r="H5366" s="1">
        <v>-1.124566E-5</v>
      </c>
      <c r="I5366">
        <v>141.744</v>
      </c>
      <c r="J5366">
        <v>-374.09719999999999</v>
      </c>
      <c r="K5366">
        <v>1.121523</v>
      </c>
      <c r="L5366">
        <v>141.80629999999999</v>
      </c>
      <c r="M5366">
        <v>-0.99962620000000002</v>
      </c>
      <c r="N5366">
        <v>-1.463765E-2</v>
      </c>
      <c r="O5366">
        <v>-2.309191E-2</v>
      </c>
      <c r="P5366">
        <v>-0.98538219999999999</v>
      </c>
      <c r="Q5366">
        <v>0.1655459</v>
      </c>
      <c r="R5366">
        <v>-4.0205780000000003E-2</v>
      </c>
      <c r="S5366">
        <v>-3.0619809999999998</v>
      </c>
      <c r="T5366">
        <v>-9.5579620000000004E-2</v>
      </c>
      <c r="U5366">
        <v>-6.2103269999999999E-3</v>
      </c>
      <c r="V5366">
        <v>-1.7541480000000002E-2</v>
      </c>
      <c r="W5366">
        <v>0.17995149999999999</v>
      </c>
      <c r="X5366">
        <v>0.98351909999999998</v>
      </c>
      <c r="Y5366">
        <v>2.104845E-2</v>
      </c>
      <c r="Z5366">
        <v>8.6512100000000005E-4</v>
      </c>
      <c r="AA5366">
        <v>0.9997781</v>
      </c>
      <c r="AB5366">
        <v>45</v>
      </c>
      <c r="AC5366">
        <v>-35.477899999999998</v>
      </c>
      <c r="AD5366">
        <v>-1.1215342456599999</v>
      </c>
      <c r="AE5366">
        <v>-6.2299999999993298E-2</v>
      </c>
      <c r="AF5366">
        <v>0.75630106312633805</v>
      </c>
      <c r="AG5366">
        <v>-1.1215342456599999</v>
      </c>
      <c r="AH5366">
        <v>35.434465795825098</v>
      </c>
      <c r="AI5366">
        <v>91.812447721517799</v>
      </c>
      <c r="AJ5366">
        <v>88.777284215676602</v>
      </c>
      <c r="AK5366">
        <v>35.460276318688898</v>
      </c>
      <c r="AL5366">
        <v>79.633065514263706</v>
      </c>
      <c r="AM5366">
        <v>91.021786176667106</v>
      </c>
      <c r="AN5366">
        <v>1.0000000329688199</v>
      </c>
    </row>
    <row r="5367" spans="1:40" x14ac:dyDescent="0.25">
      <c r="A5367" t="str">
        <f>"20190303170400402"</f>
        <v>20190303170400402</v>
      </c>
      <c r="B5367" t="str">
        <f>"1551603840391173"</f>
        <v>1551603840391173</v>
      </c>
      <c r="C5367" t="s">
        <v>40</v>
      </c>
      <c r="D5367">
        <v>4.1900879999999896</v>
      </c>
      <c r="E5367">
        <v>0.52263899999999996</v>
      </c>
      <c r="F5367" t="s">
        <v>90</v>
      </c>
      <c r="G5367">
        <v>-406.46910000000003</v>
      </c>
      <c r="H5367" s="1">
        <v>-9.3230750000000005E-6</v>
      </c>
      <c r="I5367">
        <v>141.60560000000001</v>
      </c>
      <c r="J5367">
        <v>-374.54180000000002</v>
      </c>
      <c r="K5367">
        <v>1.1215120000000001</v>
      </c>
      <c r="L5367">
        <v>141.79580000000001</v>
      </c>
      <c r="M5367">
        <v>-0.9996216</v>
      </c>
      <c r="N5367">
        <v>-1.463483E-2</v>
      </c>
      <c r="O5367">
        <v>-2.3295260000000002E-2</v>
      </c>
      <c r="P5367">
        <v>-0.98549359999999997</v>
      </c>
      <c r="Q5367">
        <v>0.16365099999999999</v>
      </c>
      <c r="R5367">
        <v>-4.4954750000000002E-2</v>
      </c>
      <c r="S5367">
        <v>-3.0615540000000001</v>
      </c>
      <c r="T5367">
        <v>-0.106068</v>
      </c>
      <c r="U5367">
        <v>-1.8981930000000001E-2</v>
      </c>
      <c r="V5367">
        <v>-2.2084980000000001E-2</v>
      </c>
      <c r="W5367">
        <v>0.17805480000000001</v>
      </c>
      <c r="X5367">
        <v>0.98377270000000006</v>
      </c>
      <c r="Y5367">
        <v>1.7079770000000001E-2</v>
      </c>
      <c r="Z5367">
        <v>8.8665619999999995E-4</v>
      </c>
      <c r="AA5367">
        <v>0.99985369999999996</v>
      </c>
      <c r="AB5367">
        <v>45</v>
      </c>
      <c r="AC5367">
        <v>-31.927299999999999</v>
      </c>
      <c r="AD5367">
        <v>-1.1215213230750001</v>
      </c>
      <c r="AE5367">
        <v>-0.190200000000004</v>
      </c>
      <c r="AF5367">
        <v>0.55300362663235902</v>
      </c>
      <c r="AG5367">
        <v>-1.1215213230750001</v>
      </c>
      <c r="AH5367">
        <v>31.883724319781301</v>
      </c>
      <c r="AI5367">
        <v>92.014266080631401</v>
      </c>
      <c r="AJ5367">
        <v>89.006339507344805</v>
      </c>
      <c r="AK5367">
        <v>31.908235607582501</v>
      </c>
      <c r="AL5367">
        <v>79.743522051865199</v>
      </c>
      <c r="AM5367">
        <v>91.286032473195505</v>
      </c>
      <c r="AN5367">
        <v>0.99999999170496501</v>
      </c>
    </row>
    <row r="5368" spans="1:40" x14ac:dyDescent="0.25">
      <c r="A5368" t="str">
        <f>"20190303170400425"</f>
        <v>20190303170400425</v>
      </c>
      <c r="B5368" t="str">
        <f>"1551603840410693"</f>
        <v>1551603840410693</v>
      </c>
      <c r="C5368" t="s">
        <v>40</v>
      </c>
      <c r="D5368">
        <v>4.1646460000000003</v>
      </c>
      <c r="E5368">
        <v>0.52241610000000005</v>
      </c>
      <c r="F5368" t="s">
        <v>90</v>
      </c>
      <c r="G5368">
        <v>-410.56349999999998</v>
      </c>
      <c r="H5368" s="1">
        <v>-1.147137E-5</v>
      </c>
      <c r="I5368">
        <v>141.97899999999899</v>
      </c>
      <c r="J5368">
        <v>-375.00979999999998</v>
      </c>
      <c r="K5368">
        <v>1.121521</v>
      </c>
      <c r="L5368">
        <v>141.78479999999999</v>
      </c>
      <c r="M5368">
        <v>-0.99961659999999997</v>
      </c>
      <c r="N5368">
        <v>-1.463184E-2</v>
      </c>
      <c r="O5368">
        <v>-2.350932E-2</v>
      </c>
      <c r="P5368">
        <v>-0.98496470000000003</v>
      </c>
      <c r="Q5368">
        <v>0.16575879999999901</v>
      </c>
      <c r="R5368">
        <v>-4.8668450000000002E-2</v>
      </c>
      <c r="S5368">
        <v>-3.0606990000000001</v>
      </c>
      <c r="T5368">
        <v>-9.5293760000000005E-2</v>
      </c>
      <c r="U5368">
        <v>1.556396E-2</v>
      </c>
      <c r="V5368">
        <v>-2.5600660000000001E-2</v>
      </c>
      <c r="W5368">
        <v>0.1801508</v>
      </c>
      <c r="X5368">
        <v>0.98330580000000001</v>
      </c>
      <c r="Y5368">
        <v>2.8571610000000001E-2</v>
      </c>
      <c r="Z5368">
        <v>1.0415450000000001E-3</v>
      </c>
      <c r="AA5368">
        <v>0.99959120000000001</v>
      </c>
      <c r="AB5368">
        <v>45</v>
      </c>
      <c r="AC5368">
        <v>-35.5536999999999</v>
      </c>
      <c r="AD5368">
        <v>-1.1215324713699999</v>
      </c>
      <c r="AE5368">
        <v>0.19419999999999499</v>
      </c>
      <c r="AF5368">
        <v>1.02905510805874</v>
      </c>
      <c r="AG5368">
        <v>-1.1215324713699999</v>
      </c>
      <c r="AH5368">
        <v>35.503977559766199</v>
      </c>
      <c r="AI5368">
        <v>91.808551403775994</v>
      </c>
      <c r="AJ5368">
        <v>88.339791304201199</v>
      </c>
      <c r="AK5368">
        <v>35.536589764131001</v>
      </c>
      <c r="AL5368">
        <v>79.621456405055895</v>
      </c>
      <c r="AM5368">
        <v>91.491375812362193</v>
      </c>
      <c r="AN5368">
        <v>1.00000000042335</v>
      </c>
    </row>
    <row r="5369" spans="1:40" x14ac:dyDescent="0.25">
      <c r="A5369" t="str">
        <f>"20190303170400447"</f>
        <v>20190303170400447</v>
      </c>
      <c r="B5369" t="str">
        <f>"1551603840440949"</f>
        <v>1551603840440949</v>
      </c>
      <c r="C5369" t="s">
        <v>40</v>
      </c>
      <c r="D5369">
        <v>4.2096539999999996</v>
      </c>
      <c r="E5369">
        <v>0.52315540000000005</v>
      </c>
      <c r="F5369" t="s">
        <v>90</v>
      </c>
      <c r="G5369">
        <v>-415.22059999999999</v>
      </c>
      <c r="H5369" s="1">
        <v>-1.0984830000000001E-5</v>
      </c>
      <c r="I5369">
        <v>141.80879999999999</v>
      </c>
      <c r="J5369">
        <v>-375.45600000000002</v>
      </c>
      <c r="K5369">
        <v>1.121529</v>
      </c>
      <c r="L5369">
        <v>141.7741</v>
      </c>
      <c r="M5369">
        <v>-0.99961169999999999</v>
      </c>
      <c r="N5369">
        <v>-1.462898E-2</v>
      </c>
      <c r="O5369">
        <v>-2.3713379999999999E-2</v>
      </c>
      <c r="P5369">
        <v>-0.98425850000000004</v>
      </c>
      <c r="Q5369">
        <v>0.16895689999999999</v>
      </c>
      <c r="R5369">
        <v>-5.1855859999999997E-2</v>
      </c>
      <c r="S5369">
        <v>-3.0602420000000001</v>
      </c>
      <c r="T5369">
        <v>-8.535421E-2</v>
      </c>
      <c r="U5369">
        <v>1.8310550000000001E-3</v>
      </c>
      <c r="V5369">
        <v>-2.8604379999999999E-2</v>
      </c>
      <c r="W5369">
        <v>0.1833351</v>
      </c>
      <c r="X5369">
        <v>0.98263420000000001</v>
      </c>
      <c r="Y5369">
        <v>2.4297590000000001E-2</v>
      </c>
      <c r="Z5369">
        <v>8.3087789999999905E-4</v>
      </c>
      <c r="AA5369">
        <v>0.99970440000000005</v>
      </c>
      <c r="AB5369">
        <v>45</v>
      </c>
      <c r="AC5369">
        <v>-39.764600000000002</v>
      </c>
      <c r="AD5369">
        <v>-1.1215399848300001</v>
      </c>
      <c r="AE5369">
        <v>3.4699999999986603E-2</v>
      </c>
      <c r="AF5369">
        <v>0.97696711183572005</v>
      </c>
      <c r="AG5369">
        <v>-1.1215399848300001</v>
      </c>
      <c r="AH5369">
        <v>39.720995044068502</v>
      </c>
      <c r="AI5369">
        <v>91.616853414791294</v>
      </c>
      <c r="AJ5369">
        <v>88.591052195920696</v>
      </c>
      <c r="AK5369">
        <v>39.748833491891297</v>
      </c>
      <c r="AL5369">
        <v>79.435919125037302</v>
      </c>
      <c r="AM5369">
        <v>91.667403347962207</v>
      </c>
      <c r="AN5369">
        <v>0.99999997022841602</v>
      </c>
    </row>
    <row r="5370" spans="1:40" x14ac:dyDescent="0.25">
      <c r="A5370" t="str">
        <f>"20190303170400468"</f>
        <v>20190303170400468</v>
      </c>
      <c r="B5370" t="str">
        <f>"1551603840461075"</f>
        <v>1551603840461075</v>
      </c>
      <c r="C5370" t="s">
        <v>40</v>
      </c>
      <c r="D5370">
        <v>4.2947660000000001</v>
      </c>
      <c r="E5370">
        <v>0.5244588</v>
      </c>
      <c r="F5370" t="s">
        <v>90</v>
      </c>
      <c r="G5370">
        <v>-424.50150000000002</v>
      </c>
      <c r="H5370" s="1">
        <v>-1.127982E-5</v>
      </c>
      <c r="I5370">
        <v>141.7687</v>
      </c>
      <c r="J5370">
        <v>-375.89389999999997</v>
      </c>
      <c r="K5370">
        <v>1.121545</v>
      </c>
      <c r="L5370">
        <v>141.76349999999999</v>
      </c>
      <c r="M5370">
        <v>-0.99960709999999997</v>
      </c>
      <c r="N5370">
        <v>-1.4626159999999999E-2</v>
      </c>
      <c r="O5370">
        <v>-2.3913980000000001E-2</v>
      </c>
      <c r="P5370">
        <v>-0.98403280000000004</v>
      </c>
      <c r="Q5370">
        <v>0.16927609999999901</v>
      </c>
      <c r="R5370">
        <v>-5.5000849999999997E-2</v>
      </c>
      <c r="S5370">
        <v>-3.0599370000000001</v>
      </c>
      <c r="T5370">
        <v>-6.9972629999999994E-2</v>
      </c>
      <c r="U5370">
        <v>-3.3569339999999902E-4</v>
      </c>
      <c r="V5370">
        <v>-3.1556149999999998E-2</v>
      </c>
      <c r="W5370">
        <v>0.1836477</v>
      </c>
      <c r="X5370">
        <v>0.98248550000000001</v>
      </c>
      <c r="Y5370">
        <v>2.3795859999999999E-2</v>
      </c>
      <c r="Z5370">
        <v>6.4304770000000002E-4</v>
      </c>
      <c r="AA5370">
        <v>0.99971659999999996</v>
      </c>
      <c r="AB5370">
        <v>45</v>
      </c>
      <c r="AC5370">
        <v>-48.607599999999998</v>
      </c>
      <c r="AD5370">
        <v>-1.1215562798200001</v>
      </c>
      <c r="AE5370">
        <v>5.2000000000020901E-3</v>
      </c>
      <c r="AF5370">
        <v>1.1671025890569899</v>
      </c>
      <c r="AG5370">
        <v>-1.1215562798200001</v>
      </c>
      <c r="AH5370">
        <v>48.567714657203702</v>
      </c>
      <c r="AI5370">
        <v>91.322493485135496</v>
      </c>
      <c r="AJ5370">
        <v>88.623423277713698</v>
      </c>
      <c r="AK5370">
        <v>48.594679996536101</v>
      </c>
      <c r="AL5370">
        <v>79.417699569857007</v>
      </c>
      <c r="AM5370">
        <v>91.839633122568898</v>
      </c>
      <c r="AN5370">
        <v>1.00000001301418</v>
      </c>
    </row>
    <row r="5371" spans="1:40" x14ac:dyDescent="0.25">
      <c r="A5371" t="str">
        <f>"20190303170400491"</f>
        <v>20190303170400491</v>
      </c>
      <c r="B5371" t="str">
        <f>"1551603840480594"</f>
        <v>1551603840480594</v>
      </c>
      <c r="C5371" t="s">
        <v>40</v>
      </c>
      <c r="D5371">
        <v>4.2834989999999999</v>
      </c>
      <c r="E5371">
        <v>0.52436640000000001</v>
      </c>
      <c r="F5371" t="s">
        <v>90</v>
      </c>
      <c r="G5371">
        <v>-428.86290000000002</v>
      </c>
      <c r="H5371" s="1">
        <v>-1.191962E-5</v>
      </c>
      <c r="I5371">
        <v>141.80369999999999</v>
      </c>
      <c r="J5371">
        <v>-376.34309999999999</v>
      </c>
      <c r="K5371">
        <v>1.1215469999999901</v>
      </c>
      <c r="L5371">
        <v>141.7526</v>
      </c>
      <c r="M5371">
        <v>-0.99960210000000005</v>
      </c>
      <c r="N5371">
        <v>-1.462341E-2</v>
      </c>
      <c r="O5371">
        <v>-2.4119700000000001E-2</v>
      </c>
      <c r="P5371">
        <v>-0.98412630000000001</v>
      </c>
      <c r="Q5371">
        <v>0.1678026</v>
      </c>
      <c r="R5371">
        <v>-5.7770839999999997E-2</v>
      </c>
      <c r="S5371">
        <v>-3.0599669999999999</v>
      </c>
      <c r="T5371">
        <v>-6.4791199999999993E-2</v>
      </c>
      <c r="U5371">
        <v>2.319336E-3</v>
      </c>
      <c r="V5371">
        <v>-3.4119740000000003E-2</v>
      </c>
      <c r="W5371">
        <v>0.1821729</v>
      </c>
      <c r="X5371">
        <v>0.98267439999999995</v>
      </c>
      <c r="Y5371">
        <v>2.4870079999999999E-2</v>
      </c>
      <c r="Z5371">
        <v>6.0302399999999996E-4</v>
      </c>
      <c r="AA5371">
        <v>0.99969050000000004</v>
      </c>
      <c r="AB5371">
        <v>45</v>
      </c>
      <c r="AC5371">
        <v>-52.519799999999996</v>
      </c>
      <c r="AD5371">
        <v>-1.12155891961999</v>
      </c>
      <c r="AE5371">
        <v>5.1099999999991E-2</v>
      </c>
      <c r="AF5371">
        <v>1.3173816696796601</v>
      </c>
      <c r="AG5371">
        <v>-1.12155891961999</v>
      </c>
      <c r="AH5371">
        <v>52.479352509818298</v>
      </c>
      <c r="AI5371">
        <v>91.223921038301498</v>
      </c>
      <c r="AJ5371">
        <v>88.562014252896404</v>
      </c>
      <c r="AK5371">
        <v>52.507864446419397</v>
      </c>
      <c r="AL5371">
        <v>79.503649785616005</v>
      </c>
      <c r="AM5371">
        <v>91.988585508999805</v>
      </c>
      <c r="AN5371">
        <v>1.00000004928371</v>
      </c>
    </row>
    <row r="5372" spans="1:40" x14ac:dyDescent="0.25">
      <c r="A5372" t="str">
        <f>"20190303170400514"</f>
        <v>20190303170400514</v>
      </c>
      <c r="B5372" t="str">
        <f>"1551603840501091"</f>
        <v>1551603840501091</v>
      </c>
      <c r="C5372" t="s">
        <v>40</v>
      </c>
      <c r="D5372">
        <v>4.2929349999999999</v>
      </c>
      <c r="E5372">
        <v>0.47644019999999998</v>
      </c>
      <c r="F5372" t="s">
        <v>90</v>
      </c>
      <c r="G5372">
        <v>-426.4588</v>
      </c>
      <c r="H5372" s="1">
        <v>-1.1522679999999999E-5</v>
      </c>
      <c r="I5372">
        <v>141.6694</v>
      </c>
      <c r="J5372">
        <v>-376.803</v>
      </c>
      <c r="K5372">
        <v>1.1215360000000001</v>
      </c>
      <c r="L5372">
        <v>141.7413</v>
      </c>
      <c r="M5372">
        <v>-0.99959710000000002</v>
      </c>
      <c r="N5372">
        <v>-1.462045E-2</v>
      </c>
      <c r="O5372">
        <v>-2.4330669999999999E-2</v>
      </c>
      <c r="P5372">
        <v>-0.98396899999999998</v>
      </c>
      <c r="Q5372">
        <v>0.16757130000000001</v>
      </c>
      <c r="R5372">
        <v>-6.1033749999999998E-2</v>
      </c>
      <c r="S5372">
        <v>-3.0597840000000001</v>
      </c>
      <c r="T5372">
        <v>-6.8476079999999995E-2</v>
      </c>
      <c r="U5372">
        <v>-5.0811770000000001E-3</v>
      </c>
      <c r="V5372">
        <v>-3.7177290000000002E-2</v>
      </c>
      <c r="W5372">
        <v>0.18193570000000001</v>
      </c>
      <c r="X5372">
        <v>0.98260740000000002</v>
      </c>
      <c r="Y5372">
        <v>2.2662979999999999E-2</v>
      </c>
      <c r="Z5372">
        <v>6.0791160000000003E-4</v>
      </c>
      <c r="AA5372">
        <v>0.99974300000000005</v>
      </c>
      <c r="AB5372">
        <v>45</v>
      </c>
      <c r="AC5372">
        <v>-49.6557999999999</v>
      </c>
      <c r="AD5372">
        <v>-1.12154752268</v>
      </c>
      <c r="AE5372">
        <v>-7.1899999999999395E-2</v>
      </c>
      <c r="AF5372">
        <v>1.1358298197686101</v>
      </c>
      <c r="AG5372">
        <v>-1.12154752268</v>
      </c>
      <c r="AH5372">
        <v>49.617534400259402</v>
      </c>
      <c r="AI5372">
        <v>91.294545922933494</v>
      </c>
      <c r="AJ5372">
        <v>88.688631113497706</v>
      </c>
      <c r="AK5372">
        <v>49.643203947630397</v>
      </c>
      <c r="AL5372">
        <v>79.517471077857294</v>
      </c>
      <c r="AM5372">
        <v>92.166772059531198</v>
      </c>
      <c r="AN5372">
        <v>1.00000002618049</v>
      </c>
    </row>
    <row r="5373" spans="1:40" x14ac:dyDescent="0.25">
      <c r="A5373" t="str">
        <f>"20190303170400537"</f>
        <v>20190303170400537</v>
      </c>
      <c r="B5373" t="str">
        <f>"1551603840531347"</f>
        <v>1551603840531347</v>
      </c>
      <c r="C5373" t="s">
        <v>40</v>
      </c>
      <c r="D5373">
        <v>4.2426839999999997</v>
      </c>
      <c r="E5373">
        <v>0.41359899999999999</v>
      </c>
      <c r="F5373" t="s">
        <v>90</v>
      </c>
      <c r="G5373">
        <v>-428.99430000000001</v>
      </c>
      <c r="H5373" s="1">
        <v>-9.2385790000000008E-6</v>
      </c>
      <c r="I5373">
        <v>134.94</v>
      </c>
      <c r="J5373">
        <v>-377.25479999999999</v>
      </c>
      <c r="K5373">
        <v>1.1215310000000001</v>
      </c>
      <c r="L5373">
        <v>141.7302</v>
      </c>
      <c r="M5373">
        <v>-0.99959209999999998</v>
      </c>
      <c r="N5373">
        <v>-1.461751E-2</v>
      </c>
      <c r="O5373">
        <v>-2.4537340000000001E-2</v>
      </c>
      <c r="P5373">
        <v>-0.98346049999999996</v>
      </c>
      <c r="Q5373">
        <v>0.1697882</v>
      </c>
      <c r="R5373">
        <v>-6.3067559999999995E-2</v>
      </c>
      <c r="S5373">
        <v>-3.0354610000000002</v>
      </c>
      <c r="T5373">
        <v>-6.5229540000000003E-2</v>
      </c>
      <c r="U5373">
        <v>-0.3955688</v>
      </c>
      <c r="V5373">
        <v>-3.9020569999999997E-2</v>
      </c>
      <c r="W5373">
        <v>0.18414179999999999</v>
      </c>
      <c r="X5373">
        <v>0.98212489999999997</v>
      </c>
      <c r="Y5373">
        <v>-0.1048105</v>
      </c>
      <c r="Z5373">
        <v>-1.723306E-3</v>
      </c>
      <c r="AA5373">
        <v>0.99449069999999995</v>
      </c>
      <c r="AB5373">
        <v>45</v>
      </c>
      <c r="AC5373">
        <v>-51.7395</v>
      </c>
      <c r="AD5373">
        <v>-1.1215402385789901</v>
      </c>
      <c r="AE5373">
        <v>-6.7901999999999898</v>
      </c>
      <c r="AF5373">
        <v>-5.5159219205175498</v>
      </c>
      <c r="AG5373">
        <v>-1.1215402385789901</v>
      </c>
      <c r="AH5373">
        <v>51.866591546587301</v>
      </c>
      <c r="AI5373">
        <v>91.231801487095197</v>
      </c>
      <c r="AJ5373">
        <v>96.070489596568706</v>
      </c>
      <c r="AK5373">
        <v>52.171127702978801</v>
      </c>
      <c r="AL5373">
        <v>79.388899090667906</v>
      </c>
      <c r="AM5373">
        <v>92.275208280594498</v>
      </c>
      <c r="AN5373">
        <v>1.00000006329518</v>
      </c>
    </row>
    <row r="5374" spans="1:40" x14ac:dyDescent="0.25">
      <c r="A5374" t="str">
        <f>"20190303170400558"</f>
        <v>20190303170400558</v>
      </c>
      <c r="B5374" t="str">
        <f>"1551603840550866"</f>
        <v>1551603840550866</v>
      </c>
      <c r="C5374" t="s">
        <v>40</v>
      </c>
      <c r="D5374">
        <v>4.2840220000000002</v>
      </c>
      <c r="E5374">
        <v>0.40755000000000002</v>
      </c>
      <c r="F5374" t="s">
        <v>77</v>
      </c>
      <c r="G5374">
        <v>-450.29239999999999</v>
      </c>
      <c r="H5374">
        <v>1.3081989999999999</v>
      </c>
      <c r="I5374">
        <v>119.7726</v>
      </c>
      <c r="J5374">
        <v>-377.697</v>
      </c>
      <c r="K5374">
        <v>1.1215310000000001</v>
      </c>
      <c r="L5374">
        <v>141.7192</v>
      </c>
      <c r="M5374">
        <v>-0.99958709999999995</v>
      </c>
      <c r="N5374">
        <v>-1.461467E-2</v>
      </c>
      <c r="O5374">
        <v>-2.4739959999999998E-2</v>
      </c>
      <c r="P5374">
        <v>-0.98300529999999997</v>
      </c>
      <c r="Q5374">
        <v>0.17215899999999901</v>
      </c>
      <c r="R5374">
        <v>-6.3734979999999997E-2</v>
      </c>
      <c r="S5374">
        <v>-2.991425</v>
      </c>
      <c r="T5374">
        <v>7.6465609999999996E-3</v>
      </c>
      <c r="U5374">
        <v>-0.89932250000000002</v>
      </c>
      <c r="V5374">
        <v>-3.9500470000000003E-2</v>
      </c>
      <c r="W5374">
        <v>0.18650340000000001</v>
      </c>
      <c r="X5374">
        <v>0.98165990000000003</v>
      </c>
      <c r="Y5374">
        <v>-0.26412809999999998</v>
      </c>
      <c r="Z5374">
        <v>-2.0575699999999999E-3</v>
      </c>
      <c r="AA5374">
        <v>0.96448540000000005</v>
      </c>
      <c r="AB5374">
        <v>45</v>
      </c>
      <c r="AC5374">
        <v>-72.595399999999998</v>
      </c>
      <c r="AD5374">
        <v>0.186667999999999</v>
      </c>
      <c r="AE5374">
        <v>-21.9466</v>
      </c>
      <c r="AF5374">
        <v>-20.1435600203788</v>
      </c>
      <c r="AG5374">
        <v>0.186667999999999</v>
      </c>
      <c r="AH5374">
        <v>73.115748325338402</v>
      </c>
      <c r="AI5374">
        <v>89.858975543175106</v>
      </c>
      <c r="AJ5374">
        <v>105.403006365229</v>
      </c>
      <c r="AK5374">
        <v>75.840032360298096</v>
      </c>
      <c r="AL5374">
        <v>79.251203281880805</v>
      </c>
      <c r="AM5374">
        <v>92.304250103201497</v>
      </c>
      <c r="AN5374">
        <v>0.99999998230489495</v>
      </c>
    </row>
    <row r="5375" spans="1:40" x14ac:dyDescent="0.25">
      <c r="A5375" t="str">
        <f>"20190303170400582"</f>
        <v>20190303170400582</v>
      </c>
      <c r="B5375" t="str">
        <f>"1551603840571363"</f>
        <v>1551603840571363</v>
      </c>
      <c r="C5375" t="s">
        <v>40</v>
      </c>
      <c r="D5375">
        <v>4.3012350000000001</v>
      </c>
      <c r="E5375">
        <v>0.4049893</v>
      </c>
      <c r="F5375" t="s">
        <v>77</v>
      </c>
      <c r="G5375">
        <v>-447.88459999999998</v>
      </c>
      <c r="H5375">
        <v>1.63017099999999</v>
      </c>
      <c r="I5375">
        <v>119.395</v>
      </c>
      <c r="J5375">
        <v>-378.1592</v>
      </c>
      <c r="K5375">
        <v>1.1215329999999999</v>
      </c>
      <c r="L5375">
        <v>141.70760000000001</v>
      </c>
      <c r="M5375">
        <v>-0.99958190000000002</v>
      </c>
      <c r="N5375">
        <v>-1.461171E-2</v>
      </c>
      <c r="O5375">
        <v>-2.495296E-2</v>
      </c>
      <c r="P5375">
        <v>-0.98309939999999996</v>
      </c>
      <c r="Q5375">
        <v>0.17168340000000001</v>
      </c>
      <c r="R5375">
        <v>-6.3567849999999995E-2</v>
      </c>
      <c r="S5375">
        <v>-2.9864809999999999</v>
      </c>
      <c r="T5375">
        <v>2.1643880000000001E-2</v>
      </c>
      <c r="U5375">
        <v>-0.94989009999999996</v>
      </c>
      <c r="V5375">
        <v>-3.9121639999999999E-2</v>
      </c>
      <c r="W5375">
        <v>0.186026</v>
      </c>
      <c r="X5375">
        <v>0.98176569999999996</v>
      </c>
      <c r="Y5375">
        <v>-0.27923750000000003</v>
      </c>
      <c r="Z5375">
        <v>-1.6343379999999999E-3</v>
      </c>
      <c r="AA5375">
        <v>0.96022070000000004</v>
      </c>
      <c r="AB5375">
        <v>45</v>
      </c>
      <c r="AC5375">
        <v>-69.725399999999894</v>
      </c>
      <c r="AD5375">
        <v>0.50863799999999904</v>
      </c>
      <c r="AE5375">
        <v>-22.3126</v>
      </c>
      <c r="AF5375">
        <v>-20.5646175013554</v>
      </c>
      <c r="AG5375">
        <v>0.50863799999999904</v>
      </c>
      <c r="AH5375">
        <v>70.257118096148204</v>
      </c>
      <c r="AI5375">
        <v>89.601907550663995</v>
      </c>
      <c r="AJ5375">
        <v>106.31502314961099</v>
      </c>
      <c r="AK5375">
        <v>73.2067267999889</v>
      </c>
      <c r="AL5375">
        <v>79.279044047848799</v>
      </c>
      <c r="AM5375">
        <v>92.2819289502049</v>
      </c>
      <c r="AN5375">
        <v>1.0000000325443801</v>
      </c>
    </row>
    <row r="5376" spans="1:40" x14ac:dyDescent="0.25">
      <c r="A5376" t="str">
        <f>"20190303170400605"</f>
        <v>20190303170400605</v>
      </c>
      <c r="B5376" t="str">
        <f>"1551603840600643"</f>
        <v>1551603840600643</v>
      </c>
      <c r="C5376" t="s">
        <v>40</v>
      </c>
      <c r="D5376">
        <v>4.3203990000000001</v>
      </c>
      <c r="E5376">
        <v>0.4036382</v>
      </c>
      <c r="F5376" t="s">
        <v>77</v>
      </c>
      <c r="G5376">
        <v>-446.76080000000002</v>
      </c>
      <c r="H5376">
        <v>1.6648619999999901</v>
      </c>
      <c r="I5376">
        <v>119.395</v>
      </c>
      <c r="J5376">
        <v>-378.61509999999998</v>
      </c>
      <c r="K5376">
        <v>1.1215310000000001</v>
      </c>
      <c r="L5376">
        <v>141.696</v>
      </c>
      <c r="M5376">
        <v>-0.99957640000000003</v>
      </c>
      <c r="N5376">
        <v>-1.460873E-2</v>
      </c>
      <c r="O5376">
        <v>-2.5174519999999999E-2</v>
      </c>
      <c r="P5376">
        <v>-0.98360789999999998</v>
      </c>
      <c r="Q5376">
        <v>0.16892969999999999</v>
      </c>
      <c r="R5376">
        <v>-6.3071849999999999E-2</v>
      </c>
      <c r="S5376">
        <v>-2.9847410000000001</v>
      </c>
      <c r="T5376">
        <v>2.364028E-2</v>
      </c>
      <c r="U5376">
        <v>-0.97077939999999996</v>
      </c>
      <c r="V5376">
        <v>-3.8395579999999999E-2</v>
      </c>
      <c r="W5376">
        <v>0.183277</v>
      </c>
      <c r="X5376">
        <v>0.98231120000000005</v>
      </c>
      <c r="Y5376">
        <v>-0.2852712</v>
      </c>
      <c r="Z5376">
        <v>-1.587967E-3</v>
      </c>
      <c r="AA5376">
        <v>0.95844549999999995</v>
      </c>
      <c r="AB5376">
        <v>45</v>
      </c>
      <c r="AC5376">
        <v>-68.145700000000005</v>
      </c>
      <c r="AD5376">
        <v>0.54333099999999901</v>
      </c>
      <c r="AE5376">
        <v>-22.300999999999998</v>
      </c>
      <c r="AF5376">
        <v>-20.577030879616</v>
      </c>
      <c r="AG5376">
        <v>0.54333099999999901</v>
      </c>
      <c r="AH5376">
        <v>68.681631193262902</v>
      </c>
      <c r="AI5376">
        <v>89.565817100380499</v>
      </c>
      <c r="AJ5376">
        <v>106.67822679619501</v>
      </c>
      <c r="AK5376">
        <v>71.699901476666</v>
      </c>
      <c r="AL5376">
        <v>79.439305560592103</v>
      </c>
      <c r="AM5376">
        <v>92.238379629033105</v>
      </c>
      <c r="AN5376">
        <v>0.99999998646898802</v>
      </c>
    </row>
    <row r="5377" spans="1:40" x14ac:dyDescent="0.25">
      <c r="A5377" t="str">
        <f>"20190303170400626"</f>
        <v>20190303170400626</v>
      </c>
      <c r="B5377" t="str">
        <f>"1551603840621139"</f>
        <v>1551603840621139</v>
      </c>
      <c r="C5377" t="s">
        <v>40</v>
      </c>
      <c r="D5377">
        <v>4.3043670000000001</v>
      </c>
      <c r="E5377">
        <v>0.40319430000000001</v>
      </c>
      <c r="F5377" t="s">
        <v>77</v>
      </c>
      <c r="G5377">
        <v>-446.4948</v>
      </c>
      <c r="H5377">
        <v>1.4480919999999999</v>
      </c>
      <c r="I5377">
        <v>119.395</v>
      </c>
      <c r="J5377">
        <v>-379.06319999999999</v>
      </c>
      <c r="K5377">
        <v>1.1215469999999901</v>
      </c>
      <c r="L5377">
        <v>141.68450000000001</v>
      </c>
      <c r="M5377">
        <v>-0.99956970000000001</v>
      </c>
      <c r="N5377">
        <v>-1.4605709999999999E-2</v>
      </c>
      <c r="O5377">
        <v>-2.5440520000000001E-2</v>
      </c>
      <c r="P5377">
        <v>-0.98387530000000001</v>
      </c>
      <c r="Q5377">
        <v>0.16729079999999999</v>
      </c>
      <c r="R5377">
        <v>-6.3274209999999997E-2</v>
      </c>
      <c r="S5377">
        <v>-2.98468</v>
      </c>
      <c r="T5377">
        <v>1.436019E-2</v>
      </c>
      <c r="U5377">
        <v>-0.98057559999999999</v>
      </c>
      <c r="V5377">
        <v>-3.8338120000000003E-2</v>
      </c>
      <c r="W5377">
        <v>0.18163750000000001</v>
      </c>
      <c r="X5377">
        <v>0.98261790000000004</v>
      </c>
      <c r="Y5377">
        <v>-0.28786030000000001</v>
      </c>
      <c r="Z5377">
        <v>-1.9630260000000001E-3</v>
      </c>
      <c r="AA5377">
        <v>0.95767040000000003</v>
      </c>
      <c r="AB5377">
        <v>45</v>
      </c>
      <c r="AC5377">
        <v>-67.431600000000003</v>
      </c>
      <c r="AD5377">
        <v>0.32654499999999997</v>
      </c>
      <c r="AE5377">
        <v>-22.2895</v>
      </c>
      <c r="AF5377">
        <v>-20.566171534710499</v>
      </c>
      <c r="AG5377">
        <v>0.32654499999999997</v>
      </c>
      <c r="AH5377">
        <v>67.975450132408099</v>
      </c>
      <c r="AI5377">
        <v>89.736554349007804</v>
      </c>
      <c r="AJ5377">
        <v>106.83334431026699</v>
      </c>
      <c r="AK5377">
        <v>71.019264034032801</v>
      </c>
      <c r="AL5377">
        <v>79.534845536682695</v>
      </c>
      <c r="AM5377">
        <v>92.234336331001501</v>
      </c>
      <c r="AN5377">
        <v>0.99999996512589595</v>
      </c>
    </row>
    <row r="5378" spans="1:40" x14ac:dyDescent="0.25">
      <c r="A5378" t="str">
        <f>"20190303170400648"</f>
        <v>20190303170400648</v>
      </c>
      <c r="B5378" t="str">
        <f>"1551603840640658"</f>
        <v>1551603840640658</v>
      </c>
      <c r="C5378" t="s">
        <v>40</v>
      </c>
      <c r="D5378">
        <v>4.2894050000000004</v>
      </c>
      <c r="E5378">
        <v>0.40280100000000002</v>
      </c>
      <c r="F5378" t="s">
        <v>77</v>
      </c>
      <c r="G5378">
        <v>-446.5573</v>
      </c>
      <c r="H5378">
        <v>1.324082</v>
      </c>
      <c r="I5378">
        <v>119.395</v>
      </c>
      <c r="J5378">
        <v>-379.49610000000001</v>
      </c>
      <c r="K5378">
        <v>1.1215980000000001</v>
      </c>
      <c r="L5378">
        <v>141.67330000000001</v>
      </c>
      <c r="M5378">
        <v>-0.99956060000000002</v>
      </c>
      <c r="N5378">
        <v>-1.460293E-2</v>
      </c>
      <c r="O5378">
        <v>-2.5795869999999999E-2</v>
      </c>
      <c r="P5378">
        <v>-0.98397089999999998</v>
      </c>
      <c r="Q5378">
        <v>0.16709660000000001</v>
      </c>
      <c r="R5378">
        <v>-6.2289579999999997E-2</v>
      </c>
      <c r="S5378">
        <v>-2.9842219999999999</v>
      </c>
      <c r="T5378">
        <v>8.9563130000000005E-3</v>
      </c>
      <c r="U5378">
        <v>-0.98551940000000005</v>
      </c>
      <c r="V5378">
        <v>-3.7027070000000002E-2</v>
      </c>
      <c r="W5378">
        <v>0.1814373</v>
      </c>
      <c r="X5378">
        <v>0.98270519999999995</v>
      </c>
      <c r="Y5378">
        <v>-0.28899180000000002</v>
      </c>
      <c r="Z5378">
        <v>-2.1850419999999999E-3</v>
      </c>
      <c r="AA5378">
        <v>0.95732899999999999</v>
      </c>
      <c r="AB5378">
        <v>45</v>
      </c>
      <c r="AC5378">
        <v>-67.0611999999999</v>
      </c>
      <c r="AD5378">
        <v>0.202484</v>
      </c>
      <c r="AE5378">
        <v>-22.278300000000002</v>
      </c>
      <c r="AF5378">
        <v>-20.540629827786301</v>
      </c>
      <c r="AG5378">
        <v>0.202484</v>
      </c>
      <c r="AH5378">
        <v>67.613073618030597</v>
      </c>
      <c r="AI5378">
        <v>89.835823114982801</v>
      </c>
      <c r="AJ5378">
        <v>106.898609310239</v>
      </c>
      <c r="AK5378">
        <v>70.664603569040295</v>
      </c>
      <c r="AL5378">
        <v>79.546510378038406</v>
      </c>
      <c r="AM5378">
        <v>92.157810644673205</v>
      </c>
      <c r="AN5378">
        <v>1.0000000039255501</v>
      </c>
    </row>
    <row r="5379" spans="1:40" x14ac:dyDescent="0.25">
      <c r="A5379" t="str">
        <f>"20190303170400670"</f>
        <v>20190303170400670</v>
      </c>
      <c r="B5379" t="str">
        <f>"1551603840661155"</f>
        <v>1551603840661155</v>
      </c>
      <c r="C5379" t="s">
        <v>40</v>
      </c>
      <c r="D5379">
        <v>4.3355819999999996</v>
      </c>
      <c r="E5379">
        <v>0.40252739999999998</v>
      </c>
      <c r="F5379" t="s">
        <v>77</v>
      </c>
      <c r="G5379">
        <v>-446.95370000000003</v>
      </c>
      <c r="H5379">
        <v>1.283307</v>
      </c>
      <c r="I5379">
        <v>119.395</v>
      </c>
      <c r="J5379">
        <v>-379.94819999999999</v>
      </c>
      <c r="K5379">
        <v>1.1217060000000001</v>
      </c>
      <c r="L5379">
        <v>141.66120000000001</v>
      </c>
      <c r="M5379">
        <v>-0.99954679999999996</v>
      </c>
      <c r="N5379">
        <v>-1.460067E-2</v>
      </c>
      <c r="O5379">
        <v>-2.633071E-2</v>
      </c>
      <c r="P5379">
        <v>-0.98424639999999997</v>
      </c>
      <c r="Q5379">
        <v>0.1663792</v>
      </c>
      <c r="R5379">
        <v>-5.9811580000000003E-2</v>
      </c>
      <c r="S5379">
        <v>-2.9852289999999999</v>
      </c>
      <c r="T5379">
        <v>7.1575639999999999E-3</v>
      </c>
      <c r="U5379">
        <v>-0.98588560000000003</v>
      </c>
      <c r="V5379">
        <v>-3.4064869999999997E-2</v>
      </c>
      <c r="W5379">
        <v>0.18071409999999999</v>
      </c>
      <c r="X5379">
        <v>0.98294559999999997</v>
      </c>
      <c r="Y5379">
        <v>-0.28848829999999998</v>
      </c>
      <c r="Z5379">
        <v>-2.2601510000000002E-3</v>
      </c>
      <c r="AA5379">
        <v>0.95748080000000002</v>
      </c>
      <c r="AB5379">
        <v>45</v>
      </c>
      <c r="AC5379">
        <v>-67.005499999999998</v>
      </c>
      <c r="AD5379">
        <v>0.16160099999999999</v>
      </c>
      <c r="AE5379">
        <v>-22.266200000000001</v>
      </c>
      <c r="AF5379">
        <v>-20.493880800798699</v>
      </c>
      <c r="AG5379">
        <v>0.16160099999999999</v>
      </c>
      <c r="AH5379">
        <v>67.568256696888596</v>
      </c>
      <c r="AI5379">
        <v>89.868866717862105</v>
      </c>
      <c r="AJ5379">
        <v>106.87288336410499</v>
      </c>
      <c r="AK5379">
        <v>70.608034799286003</v>
      </c>
      <c r="AL5379">
        <v>79.588643419368495</v>
      </c>
      <c r="AM5379">
        <v>91.984842765119296</v>
      </c>
      <c r="AN5379">
        <v>1.0000000269331399</v>
      </c>
    </row>
    <row r="5380" spans="1:40" x14ac:dyDescent="0.25">
      <c r="A5380" t="str">
        <f>"20190303170400693"</f>
        <v>20190303170400693</v>
      </c>
      <c r="B5380" t="str">
        <f>"1551603840680674"</f>
        <v>1551603840680674</v>
      </c>
      <c r="C5380" t="s">
        <v>40</v>
      </c>
      <c r="D5380">
        <v>4.3706860000000001</v>
      </c>
      <c r="E5380">
        <v>0.40201140000000002</v>
      </c>
      <c r="F5380" t="s">
        <v>77</v>
      </c>
      <c r="G5380">
        <v>-447.66849999999999</v>
      </c>
      <c r="H5380">
        <v>1.2622709999999999</v>
      </c>
      <c r="I5380">
        <v>119.395</v>
      </c>
      <c r="J5380">
        <v>-380.39519999999999</v>
      </c>
      <c r="K5380">
        <v>1.1218760000000001</v>
      </c>
      <c r="L5380">
        <v>141.6489</v>
      </c>
      <c r="M5380">
        <v>-0.99952640000000004</v>
      </c>
      <c r="N5380">
        <v>-1.459974E-2</v>
      </c>
      <c r="O5380">
        <v>-2.709174E-2</v>
      </c>
      <c r="P5380">
        <v>-0.98470709999999995</v>
      </c>
      <c r="Q5380">
        <v>0.16413059999999999</v>
      </c>
      <c r="R5380">
        <v>-5.8423820000000001E-2</v>
      </c>
      <c r="S5380">
        <v>-2.9873349999999999</v>
      </c>
      <c r="T5380">
        <v>6.2019819999999896E-3</v>
      </c>
      <c r="U5380">
        <v>-0.98222350000000003</v>
      </c>
      <c r="V5380">
        <v>-3.1988700000000002E-2</v>
      </c>
      <c r="W5380">
        <v>0.1784597</v>
      </c>
      <c r="X5380">
        <v>0.9834271</v>
      </c>
      <c r="Y5380">
        <v>-0.28649829999999998</v>
      </c>
      <c r="Z5380">
        <v>-2.2960120000000001E-3</v>
      </c>
      <c r="AA5380">
        <v>0.95807799999999999</v>
      </c>
      <c r="AB5380">
        <v>45</v>
      </c>
      <c r="AC5380">
        <v>-67.273300000000006</v>
      </c>
      <c r="AD5380">
        <v>0.14039499999999899</v>
      </c>
      <c r="AE5380">
        <v>-22.253900000000002</v>
      </c>
      <c r="AF5380">
        <v>-20.4229049257446</v>
      </c>
      <c r="AG5380">
        <v>0.14039499999999899</v>
      </c>
      <c r="AH5380">
        <v>67.851296901489405</v>
      </c>
      <c r="AI5380">
        <v>89.886477172645101</v>
      </c>
      <c r="AJ5380">
        <v>106.751534964752</v>
      </c>
      <c r="AK5380">
        <v>70.858402801475194</v>
      </c>
      <c r="AL5380">
        <v>79.719945483562398</v>
      </c>
      <c r="AM5380">
        <v>91.863047605700999</v>
      </c>
      <c r="AN5380">
        <v>1.0000000012330901</v>
      </c>
    </row>
    <row r="5381" spans="1:40" x14ac:dyDescent="0.25">
      <c r="A5381" t="str">
        <f>"20190303170400715"</f>
        <v>20190303170400715</v>
      </c>
      <c r="B5381" t="str">
        <f>"1551603840710931"</f>
        <v>1551603840710931</v>
      </c>
      <c r="C5381" t="s">
        <v>40</v>
      </c>
      <c r="D5381">
        <v>4.3787760000000002</v>
      </c>
      <c r="E5381">
        <v>0.40131929999999999</v>
      </c>
      <c r="F5381" t="s">
        <v>77</v>
      </c>
      <c r="G5381">
        <v>-448.06189999999998</v>
      </c>
      <c r="H5381">
        <v>1.1266700000000001</v>
      </c>
      <c r="I5381">
        <v>119.395</v>
      </c>
      <c r="J5381">
        <v>-380.84890000000001</v>
      </c>
      <c r="K5381">
        <v>1.1221209999999999</v>
      </c>
      <c r="L5381">
        <v>141.63579999999999</v>
      </c>
      <c r="M5381">
        <v>-0.9994963</v>
      </c>
      <c r="N5381">
        <v>-1.4600419999999999E-2</v>
      </c>
      <c r="O5381">
        <v>-2.818E-2</v>
      </c>
      <c r="P5381">
        <v>-0.98504930000000002</v>
      </c>
      <c r="Q5381">
        <v>0.16212499999999999</v>
      </c>
      <c r="R5381">
        <v>-5.8254340000000002E-2</v>
      </c>
      <c r="S5381">
        <v>-2.988251</v>
      </c>
      <c r="T5381">
        <v>2.1278860000000001E-4</v>
      </c>
      <c r="U5381">
        <v>-0.98275760000000001</v>
      </c>
      <c r="V5381">
        <v>-3.083851E-2</v>
      </c>
      <c r="W5381">
        <v>0.17644370000000001</v>
      </c>
      <c r="X5381">
        <v>0.98382749999999997</v>
      </c>
      <c r="Y5381">
        <v>-0.2855183</v>
      </c>
      <c r="Z5381">
        <v>-2.5314280000000001E-3</v>
      </c>
      <c r="AA5381">
        <v>0.9583699</v>
      </c>
      <c r="AB5381">
        <v>45</v>
      </c>
      <c r="AC5381">
        <v>-67.212999999999894</v>
      </c>
      <c r="AD5381">
        <v>4.5490000000001302E-3</v>
      </c>
      <c r="AE5381">
        <v>-22.2408</v>
      </c>
      <c r="AF5381">
        <v>-20.337701310244199</v>
      </c>
      <c r="AG5381">
        <v>4.5490000000001302E-3</v>
      </c>
      <c r="AH5381">
        <v>67.813113906297403</v>
      </c>
      <c r="AI5381">
        <v>89.996318518542296</v>
      </c>
      <c r="AJ5381">
        <v>106.694412745835</v>
      </c>
      <c r="AK5381">
        <v>70.797178848783105</v>
      </c>
      <c r="AL5381">
        <v>79.837316226255496</v>
      </c>
      <c r="AM5381">
        <v>91.795373806405294</v>
      </c>
      <c r="AN5381">
        <v>0.99999997136247898</v>
      </c>
    </row>
    <row r="5382" spans="1:40" x14ac:dyDescent="0.25">
      <c r="A5382" t="str">
        <f>"20190303170400737"</f>
        <v>20190303170400737</v>
      </c>
      <c r="B5382" t="str">
        <f>"1551603840731427"</f>
        <v>1551603840731427</v>
      </c>
      <c r="C5382" t="s">
        <v>40</v>
      </c>
      <c r="D5382">
        <v>4.3943130000000004</v>
      </c>
      <c r="E5382">
        <v>0.40073750000000002</v>
      </c>
      <c r="F5382" t="s">
        <v>77</v>
      </c>
      <c r="G5382">
        <v>-448.17039999999997</v>
      </c>
      <c r="H5382">
        <v>0.9600516</v>
      </c>
      <c r="I5382">
        <v>119.395</v>
      </c>
      <c r="J5382">
        <v>-381.2919</v>
      </c>
      <c r="K5382">
        <v>1.1224209999999999</v>
      </c>
      <c r="L5382">
        <v>141.62209999999999</v>
      </c>
      <c r="M5382">
        <v>-0.99945379999999995</v>
      </c>
      <c r="N5382">
        <v>-1.460382E-2</v>
      </c>
      <c r="O5382">
        <v>-2.9647070000000001E-2</v>
      </c>
      <c r="P5382">
        <v>-0.98482409999999998</v>
      </c>
      <c r="Q5382">
        <v>0.16322300000000001</v>
      </c>
      <c r="R5382">
        <v>-5.8993789999999997E-2</v>
      </c>
      <c r="S5382">
        <v>-2.9883419999999998</v>
      </c>
      <c r="T5382">
        <v>-7.192731E-3</v>
      </c>
      <c r="U5382">
        <v>-0.98724369999999995</v>
      </c>
      <c r="V5382">
        <v>-3.027053E-2</v>
      </c>
      <c r="W5382">
        <v>0.17752219999999999</v>
      </c>
      <c r="X5382">
        <v>0.98365119999999895</v>
      </c>
      <c r="Y5382">
        <v>-0.28539399999999998</v>
      </c>
      <c r="Z5382">
        <v>-2.8255149999999998E-3</v>
      </c>
      <c r="AA5382">
        <v>0.95840619999999999</v>
      </c>
      <c r="AB5382">
        <v>45</v>
      </c>
      <c r="AC5382">
        <v>-66.878499999999903</v>
      </c>
      <c r="AD5382">
        <v>-0.162369399999999</v>
      </c>
      <c r="AE5382">
        <v>-22.2271</v>
      </c>
      <c r="AF5382">
        <v>-20.2342572046093</v>
      </c>
      <c r="AG5382">
        <v>-0.162369399999999</v>
      </c>
      <c r="AH5382">
        <v>67.507776180329103</v>
      </c>
      <c r="AI5382">
        <v>90.132005185641603</v>
      </c>
      <c r="AJ5382">
        <v>106.685168591056</v>
      </c>
      <c r="AK5382">
        <v>70.475182676299298</v>
      </c>
      <c r="AL5382">
        <v>79.774532514302805</v>
      </c>
      <c r="AM5382">
        <v>91.762643536358894</v>
      </c>
      <c r="AN5382">
        <v>1.00000005987037</v>
      </c>
    </row>
    <row r="5383" spans="1:40" x14ac:dyDescent="0.25">
      <c r="A5383" t="str">
        <f>"20190303170400760"</f>
        <v>20190303170400760</v>
      </c>
      <c r="B5383" t="str">
        <f>"1551603840750947"</f>
        <v>1551603840750947</v>
      </c>
      <c r="C5383" t="s">
        <v>40</v>
      </c>
      <c r="D5383">
        <v>4.3908950000000004</v>
      </c>
      <c r="E5383">
        <v>0.40011649999999999</v>
      </c>
      <c r="F5383" t="s">
        <v>77</v>
      </c>
      <c r="G5383">
        <v>-448.02190000000002</v>
      </c>
      <c r="H5383">
        <v>1.0966910000000001</v>
      </c>
      <c r="I5383">
        <v>119.395</v>
      </c>
      <c r="J5383">
        <v>-381.74340000000001</v>
      </c>
      <c r="K5383">
        <v>1.1227590000000001</v>
      </c>
      <c r="L5383">
        <v>141.6071</v>
      </c>
      <c r="M5383">
        <v>-0.99939690000000003</v>
      </c>
      <c r="N5383">
        <v>-1.4609810000000001E-2</v>
      </c>
      <c r="O5383">
        <v>-3.1507939999999998E-2</v>
      </c>
      <c r="P5383">
        <v>-0.98431970000000002</v>
      </c>
      <c r="Q5383">
        <v>0.16579160000000001</v>
      </c>
      <c r="R5383">
        <v>-6.0234259999999998E-2</v>
      </c>
      <c r="S5383">
        <v>-2.9868160000000001</v>
      </c>
      <c r="T5383">
        <v>-1.15037E-3</v>
      </c>
      <c r="U5383">
        <v>-0.99487300000000001</v>
      </c>
      <c r="V5383">
        <v>-2.984185E-2</v>
      </c>
      <c r="W5383">
        <v>0.1800678</v>
      </c>
      <c r="X5383">
        <v>0.9832014</v>
      </c>
      <c r="Y5383">
        <v>-0.2859662</v>
      </c>
      <c r="Z5383">
        <v>-2.6347380000000002E-3</v>
      </c>
      <c r="AA5383">
        <v>0.95823610000000004</v>
      </c>
      <c r="AB5383">
        <v>45</v>
      </c>
      <c r="AC5383">
        <v>-66.278499999999994</v>
      </c>
      <c r="AD5383">
        <v>-2.60679999999999E-2</v>
      </c>
      <c r="AE5383">
        <v>-22.2121</v>
      </c>
      <c r="AF5383">
        <v>-20.112545049311901</v>
      </c>
      <c r="AG5383">
        <v>-2.60679999999999E-2</v>
      </c>
      <c r="AH5383">
        <v>66.945508596308599</v>
      </c>
      <c r="AI5383">
        <v>90.021367022734495</v>
      </c>
      <c r="AJ5383">
        <v>106.72192761353899</v>
      </c>
      <c r="AK5383">
        <v>69.901475443080997</v>
      </c>
      <c r="AL5383">
        <v>79.6262907062208</v>
      </c>
      <c r="AM5383">
        <v>91.738491530202296</v>
      </c>
      <c r="AN5383">
        <v>0.99999997078511005</v>
      </c>
    </row>
    <row r="5384" spans="1:40" x14ac:dyDescent="0.25">
      <c r="A5384" t="str">
        <f>"20190303170400783"</f>
        <v>20190303170400783</v>
      </c>
      <c r="B5384" t="str">
        <f>"1551603840771443"</f>
        <v>1551603840771443</v>
      </c>
      <c r="C5384" t="s">
        <v>40</v>
      </c>
      <c r="D5384">
        <v>4.4293940000000003</v>
      </c>
      <c r="E5384">
        <v>0.3996903</v>
      </c>
      <c r="F5384" t="s">
        <v>77</v>
      </c>
      <c r="G5384">
        <v>-447.75830000000002</v>
      </c>
      <c r="H5384">
        <v>1.307606</v>
      </c>
      <c r="I5384">
        <v>119.395</v>
      </c>
      <c r="J5384">
        <v>-382.19099999999997</v>
      </c>
      <c r="K5384">
        <v>1.1231070000000001</v>
      </c>
      <c r="L5384">
        <v>141.59119999999999</v>
      </c>
      <c r="M5384">
        <v>-0.99932350000000003</v>
      </c>
      <c r="N5384">
        <v>-1.461644E-2</v>
      </c>
      <c r="O5384">
        <v>-3.374837E-2</v>
      </c>
      <c r="P5384">
        <v>-0.98421939999999997</v>
      </c>
      <c r="Q5384">
        <v>0.16565659999999999</v>
      </c>
      <c r="R5384">
        <v>-6.2213560000000001E-2</v>
      </c>
      <c r="S5384">
        <v>-2.9848629999999998</v>
      </c>
      <c r="T5384">
        <v>8.3593130000000002E-3</v>
      </c>
      <c r="U5384">
        <v>-1.004318</v>
      </c>
      <c r="V5384">
        <v>-2.9764869999999999E-2</v>
      </c>
      <c r="W5384">
        <v>0.1799154</v>
      </c>
      <c r="X5384">
        <v>0.98323170000000004</v>
      </c>
      <c r="Y5384">
        <v>-0.28673949999999998</v>
      </c>
      <c r="Z5384">
        <v>-2.3337649999999998E-3</v>
      </c>
      <c r="AA5384">
        <v>0.95800569999999896</v>
      </c>
      <c r="AB5384">
        <v>45</v>
      </c>
      <c r="AC5384">
        <v>-65.567300000000003</v>
      </c>
      <c r="AD5384">
        <v>0.184499</v>
      </c>
      <c r="AE5384">
        <v>-22.196199999999902</v>
      </c>
      <c r="AF5384">
        <v>-19.970385768605802</v>
      </c>
      <c r="AG5384">
        <v>0.184499</v>
      </c>
      <c r="AH5384">
        <v>66.278637108396396</v>
      </c>
      <c r="AI5384">
        <v>89.847288414231599</v>
      </c>
      <c r="AJ5384">
        <v>106.76805537206801</v>
      </c>
      <c r="AK5384">
        <v>69.222164691480401</v>
      </c>
      <c r="AL5384">
        <v>79.635168255399407</v>
      </c>
      <c r="AM5384">
        <v>91.733956257052199</v>
      </c>
      <c r="AN5384">
        <v>1.00000003726408</v>
      </c>
    </row>
    <row r="5385" spans="1:40" x14ac:dyDescent="0.25">
      <c r="A5385" t="str">
        <f>"20190303170400805"</f>
        <v>20190303170400805</v>
      </c>
      <c r="B5385" t="str">
        <f>"1551603840790962"</f>
        <v>1551603840790962</v>
      </c>
      <c r="C5385" t="s">
        <v>40</v>
      </c>
      <c r="D5385">
        <v>4.4298390000000003</v>
      </c>
      <c r="E5385">
        <v>0.39931749999999999</v>
      </c>
      <c r="F5385" t="s">
        <v>77</v>
      </c>
      <c r="G5385">
        <v>-447.41849999999999</v>
      </c>
      <c r="H5385">
        <v>1.322368</v>
      </c>
      <c r="I5385">
        <v>119.395</v>
      </c>
      <c r="J5385">
        <v>-382.63639999999998</v>
      </c>
      <c r="K5385">
        <v>1.1234729999999999</v>
      </c>
      <c r="L5385">
        <v>141.57409999999999</v>
      </c>
      <c r="M5385">
        <v>-0.99923030000000002</v>
      </c>
      <c r="N5385">
        <v>-1.4624420000000001E-2</v>
      </c>
      <c r="O5385">
        <v>-3.6399819999999999E-2</v>
      </c>
      <c r="P5385">
        <v>-0.9843655</v>
      </c>
      <c r="Q5385">
        <v>0.16321659999999999</v>
      </c>
      <c r="R5385">
        <v>-6.622103E-2</v>
      </c>
      <c r="S5385">
        <v>-2.9824519999999999</v>
      </c>
      <c r="T5385">
        <v>9.1123579999999992E-3</v>
      </c>
      <c r="U5385">
        <v>-1.014893</v>
      </c>
      <c r="V5385">
        <v>-3.1297150000000003E-2</v>
      </c>
      <c r="W5385">
        <v>0.1774551</v>
      </c>
      <c r="X5385">
        <v>0.98363109999999998</v>
      </c>
      <c r="Y5385">
        <v>-0.28747979999999901</v>
      </c>
      <c r="Z5385">
        <v>-2.359304E-3</v>
      </c>
      <c r="AA5385">
        <v>0.95778379999999996</v>
      </c>
      <c r="AB5385">
        <v>45</v>
      </c>
      <c r="AC5385">
        <v>-64.7821</v>
      </c>
      <c r="AD5385">
        <v>0.19889499999999999</v>
      </c>
      <c r="AE5385">
        <v>-22.179099999999899</v>
      </c>
      <c r="AF5385">
        <v>-19.805922844800499</v>
      </c>
      <c r="AG5385">
        <v>0.19889499999999999</v>
      </c>
      <c r="AH5385">
        <v>65.546008727038895</v>
      </c>
      <c r="AI5385">
        <v>89.833572218965401</v>
      </c>
      <c r="AJ5385">
        <v>106.81315010447101</v>
      </c>
      <c r="AK5385">
        <v>68.473304279845294</v>
      </c>
      <c r="AL5385">
        <v>79.778438286769997</v>
      </c>
      <c r="AM5385">
        <v>91.822420864412905</v>
      </c>
      <c r="AN5385">
        <v>0.99999998250067101</v>
      </c>
    </row>
    <row r="5386" spans="1:40" x14ac:dyDescent="0.25">
      <c r="A5386" t="str">
        <f>"20190303170400828"</f>
        <v>20190303170400828</v>
      </c>
      <c r="B5386" t="str">
        <f>"1551603840821219"</f>
        <v>1551603840821219</v>
      </c>
      <c r="C5386" t="s">
        <v>40</v>
      </c>
      <c r="D5386">
        <v>4.4196160000000004</v>
      </c>
      <c r="E5386">
        <v>0.39862740000000002</v>
      </c>
      <c r="F5386" t="s">
        <v>77</v>
      </c>
      <c r="G5386">
        <v>-446.76060000000001</v>
      </c>
      <c r="H5386">
        <v>1.142075</v>
      </c>
      <c r="I5386">
        <v>119.395</v>
      </c>
      <c r="J5386">
        <v>-383.08229999999998</v>
      </c>
      <c r="K5386">
        <v>1.123869</v>
      </c>
      <c r="L5386">
        <v>141.55549999999999</v>
      </c>
      <c r="M5386">
        <v>-0.99911280000000002</v>
      </c>
      <c r="N5386">
        <v>-1.4634690000000001E-2</v>
      </c>
      <c r="O5386">
        <v>-3.9488490000000001E-2</v>
      </c>
      <c r="P5386">
        <v>-0.9840468</v>
      </c>
      <c r="Q5386">
        <v>0.16282729999999901</v>
      </c>
      <c r="R5386">
        <v>-7.1689489999999995E-2</v>
      </c>
      <c r="S5386">
        <v>-2.9782099999999998</v>
      </c>
      <c r="T5386">
        <v>8.6545939999999998E-4</v>
      </c>
      <c r="U5386">
        <v>-1.03009</v>
      </c>
      <c r="V5386">
        <v>-3.3895300000000003E-2</v>
      </c>
      <c r="W5386">
        <v>0.17702989999999999</v>
      </c>
      <c r="X5386">
        <v>0.98362169999999904</v>
      </c>
      <c r="Y5386">
        <v>-0.28930099999999997</v>
      </c>
      <c r="Z5386">
        <v>-2.7098119999999998E-3</v>
      </c>
      <c r="AA5386">
        <v>0.95723429999999998</v>
      </c>
      <c r="AB5386">
        <v>45</v>
      </c>
      <c r="AC5386">
        <v>-63.6783</v>
      </c>
      <c r="AD5386">
        <v>1.8205999999999899E-2</v>
      </c>
      <c r="AE5386">
        <v>-22.160499999999999</v>
      </c>
      <c r="AF5386">
        <v>-19.6283808798491</v>
      </c>
      <c r="AG5386">
        <v>1.8205999999999899E-2</v>
      </c>
      <c r="AH5386">
        <v>64.503795642262602</v>
      </c>
      <c r="AI5386">
        <v>89.984528877525705</v>
      </c>
      <c r="AJ5386">
        <v>106.92490418342</v>
      </c>
      <c r="AK5386">
        <v>67.424130099554404</v>
      </c>
      <c r="AL5386">
        <v>79.803193206609706</v>
      </c>
      <c r="AM5386">
        <v>91.973613911352899</v>
      </c>
      <c r="AN5386">
        <v>1.00000006278349</v>
      </c>
    </row>
    <row r="5387" spans="1:40" x14ac:dyDescent="0.25">
      <c r="A5387" t="str">
        <f>"20190303170400849"</f>
        <v>20190303170400849</v>
      </c>
      <c r="B5387" t="str">
        <f>"1551603840840739"</f>
        <v>1551603840840739</v>
      </c>
      <c r="C5387" t="s">
        <v>40</v>
      </c>
      <c r="D5387">
        <v>4.4650749999999997</v>
      </c>
      <c r="E5387">
        <v>0.39838440000000003</v>
      </c>
      <c r="F5387" t="s">
        <v>77</v>
      </c>
      <c r="G5387">
        <v>-445.68259999999998</v>
      </c>
      <c r="H5387">
        <v>1.096473</v>
      </c>
      <c r="I5387">
        <v>119.395</v>
      </c>
      <c r="J5387">
        <v>-383.52010000000001</v>
      </c>
      <c r="K5387">
        <v>1.1242939999999999</v>
      </c>
      <c r="L5387">
        <v>141.53559999999999</v>
      </c>
      <c r="M5387">
        <v>-0.99897029999999998</v>
      </c>
      <c r="N5387">
        <v>-1.464738E-2</v>
      </c>
      <c r="O5387">
        <v>-4.2940779999999998E-2</v>
      </c>
      <c r="P5387">
        <v>-0.98320750000000001</v>
      </c>
      <c r="Q5387">
        <v>0.16556370000000001</v>
      </c>
      <c r="R5387">
        <v>-7.6758629999999994E-2</v>
      </c>
      <c r="S5387">
        <v>-2.9721980000000001</v>
      </c>
      <c r="T5387">
        <v>-1.2993810000000001E-3</v>
      </c>
      <c r="U5387">
        <v>-1.052155</v>
      </c>
      <c r="V5387">
        <v>-3.5786409999999998E-2</v>
      </c>
      <c r="W5387">
        <v>0.17972449999999901</v>
      </c>
      <c r="X5387">
        <v>0.98306579999999999</v>
      </c>
      <c r="Y5387">
        <v>-0.29291689999999998</v>
      </c>
      <c r="Z5387">
        <v>-2.8644009999999999E-3</v>
      </c>
      <c r="AA5387">
        <v>0.95613360000000003</v>
      </c>
      <c r="AB5387">
        <v>45</v>
      </c>
      <c r="AC5387">
        <v>-62.162499999999902</v>
      </c>
      <c r="AD5387">
        <v>-2.7820999999999999E-2</v>
      </c>
      <c r="AE5387">
        <v>-22.1405999999999</v>
      </c>
      <c r="AF5387">
        <v>-19.4505776274185</v>
      </c>
      <c r="AG5387">
        <v>-2.7820999999999999E-2</v>
      </c>
      <c r="AH5387">
        <v>63.055975581653499</v>
      </c>
      <c r="AI5387">
        <v>90.024156395331801</v>
      </c>
      <c r="AJ5387">
        <v>107.143176632606</v>
      </c>
      <c r="AK5387">
        <v>65.987739774918495</v>
      </c>
      <c r="AL5387">
        <v>79.646286508701294</v>
      </c>
      <c r="AM5387">
        <v>92.084809850343007</v>
      </c>
      <c r="AN5387">
        <v>0.99999996508528799</v>
      </c>
    </row>
    <row r="5388" spans="1:40" x14ac:dyDescent="0.25">
      <c r="A5388" t="str">
        <f>"20190303170400871"</f>
        <v>20190303170400871</v>
      </c>
      <c r="B5388" t="str">
        <f>"1551603840861235"</f>
        <v>1551603840861235</v>
      </c>
      <c r="C5388" t="s">
        <v>40</v>
      </c>
      <c r="D5388">
        <v>4.4438360000000001</v>
      </c>
      <c r="E5388">
        <v>0.3898875</v>
      </c>
      <c r="F5388" t="s">
        <v>77</v>
      </c>
      <c r="G5388">
        <v>-444.86939999999998</v>
      </c>
      <c r="H5388">
        <v>1.30549</v>
      </c>
      <c r="I5388">
        <v>119.395</v>
      </c>
      <c r="J5388">
        <v>-383.95769999999999</v>
      </c>
      <c r="K5388">
        <v>1.1247480000000001</v>
      </c>
      <c r="L5388">
        <v>141.51400000000001</v>
      </c>
      <c r="M5388">
        <v>-0.99879680000000004</v>
      </c>
      <c r="N5388">
        <v>-1.4662089999999999E-2</v>
      </c>
      <c r="O5388">
        <v>-4.680049E-2</v>
      </c>
      <c r="P5388">
        <v>-0.98223700000000003</v>
      </c>
      <c r="Q5388">
        <v>0.16957050000000001</v>
      </c>
      <c r="R5388">
        <v>-8.0354729999999999E-2</v>
      </c>
      <c r="S5388">
        <v>-2.9661559999999998</v>
      </c>
      <c r="T5388">
        <v>8.7621209999999995E-3</v>
      </c>
      <c r="U5388">
        <v>-1.070465</v>
      </c>
      <c r="V5388">
        <v>-3.5836979999999997E-2</v>
      </c>
      <c r="W5388">
        <v>0.1836989</v>
      </c>
      <c r="X5388">
        <v>0.98232909999999996</v>
      </c>
      <c r="Y5388">
        <v>-0.29507519999999998</v>
      </c>
      <c r="Z5388">
        <v>-2.6075809999999999E-3</v>
      </c>
      <c r="AA5388">
        <v>0.9554705</v>
      </c>
      <c r="AB5388">
        <v>45</v>
      </c>
      <c r="AC5388">
        <v>-60.911700000000003</v>
      </c>
      <c r="AD5388">
        <v>0.18074200000000001</v>
      </c>
      <c r="AE5388">
        <v>-22.119</v>
      </c>
      <c r="AF5388">
        <v>-19.2436049221029</v>
      </c>
      <c r="AG5388">
        <v>0.18074200000000001</v>
      </c>
      <c r="AH5388">
        <v>61.879751881477702</v>
      </c>
      <c r="AI5388">
        <v>89.840196630390594</v>
      </c>
      <c r="AJ5388">
        <v>107.274851293598</v>
      </c>
      <c r="AK5388">
        <v>64.803184265758006</v>
      </c>
      <c r="AL5388">
        <v>79.414715306659204</v>
      </c>
      <c r="AM5388">
        <v>92.089317631351506</v>
      </c>
      <c r="AN5388">
        <v>1.0000000178517701</v>
      </c>
    </row>
    <row r="5389" spans="1:40" x14ac:dyDescent="0.25">
      <c r="A5389" t="str">
        <f>"20190303170400894"</f>
        <v>20190303170400894</v>
      </c>
      <c r="B5389" t="str">
        <f>"1551603840880755"</f>
        <v>1551603840880755</v>
      </c>
      <c r="C5389" t="s">
        <v>40</v>
      </c>
      <c r="D5389">
        <v>4.463152</v>
      </c>
      <c r="E5389">
        <v>0.38958789999999999</v>
      </c>
      <c r="F5389" t="s">
        <v>77</v>
      </c>
      <c r="G5389">
        <v>-440.20710000000003</v>
      </c>
      <c r="H5389">
        <v>1.48647</v>
      </c>
      <c r="I5389">
        <v>119.6454</v>
      </c>
      <c r="J5389">
        <v>-384.40089999999998</v>
      </c>
      <c r="K5389">
        <v>1.125202</v>
      </c>
      <c r="L5389">
        <v>141.49010000000001</v>
      </c>
      <c r="M5389">
        <v>-0.99858539999999996</v>
      </c>
      <c r="N5389">
        <v>-1.4678389999999999E-2</v>
      </c>
      <c r="O5389">
        <v>-5.1107100000000003E-2</v>
      </c>
      <c r="P5389">
        <v>-0.9818038</v>
      </c>
      <c r="Q5389">
        <v>0.17022699999999999</v>
      </c>
      <c r="R5389">
        <v>-8.4168740000000006E-2</v>
      </c>
      <c r="S5389">
        <v>-2.956909</v>
      </c>
      <c r="T5389">
        <v>1.9016390000000001E-2</v>
      </c>
      <c r="U5389">
        <v>-1.1495820000000001</v>
      </c>
      <c r="V5389">
        <v>-3.5624690000000001E-2</v>
      </c>
      <c r="W5389">
        <v>0.1843349</v>
      </c>
      <c r="X5389">
        <v>0.98221769999999997</v>
      </c>
      <c r="Y5389">
        <v>-0.31426140000000002</v>
      </c>
      <c r="Z5389">
        <v>-2.4548349999999998E-3</v>
      </c>
      <c r="AA5389">
        <v>0.94933330000000005</v>
      </c>
      <c r="AB5389">
        <v>45</v>
      </c>
      <c r="AC5389">
        <v>-55.806199999999997</v>
      </c>
      <c r="AD5389">
        <v>0.36126799999999998</v>
      </c>
      <c r="AE5389">
        <v>-21.8447</v>
      </c>
      <c r="AF5389">
        <v>-18.963057541695701</v>
      </c>
      <c r="AG5389">
        <v>0.36126799999999998</v>
      </c>
      <c r="AH5389">
        <v>56.847729156867402</v>
      </c>
      <c r="AI5389">
        <v>89.654599207650705</v>
      </c>
      <c r="AJ5389">
        <v>108.44747894180701</v>
      </c>
      <c r="AK5389">
        <v>59.928226873402799</v>
      </c>
      <c r="AL5389">
        <v>79.377642354538395</v>
      </c>
      <c r="AM5389">
        <v>92.077187222381994</v>
      </c>
      <c r="AN5389">
        <v>1.0000000420444399</v>
      </c>
    </row>
    <row r="5390" spans="1:40" x14ac:dyDescent="0.25">
      <c r="A5390" t="str">
        <f>"20190303170400909"</f>
        <v>20190303170400909</v>
      </c>
      <c r="B5390" t="str">
        <f>"1551603840901251"</f>
        <v>1551603840901251</v>
      </c>
      <c r="C5390" t="s">
        <v>40</v>
      </c>
      <c r="D5390">
        <v>4.4630789999999996</v>
      </c>
      <c r="E5390">
        <v>0.3892581</v>
      </c>
      <c r="F5390" t="s">
        <v>77</v>
      </c>
      <c r="G5390">
        <v>-440.20710000000003</v>
      </c>
      <c r="H5390">
        <v>1.475482</v>
      </c>
      <c r="I5390">
        <v>119.4926</v>
      </c>
      <c r="J5390">
        <v>-384.70139999999998</v>
      </c>
      <c r="K5390">
        <v>1.1254959999999901</v>
      </c>
      <c r="L5390">
        <v>141.4725</v>
      </c>
      <c r="M5390">
        <v>-0.99841749999999996</v>
      </c>
      <c r="N5390">
        <v>-1.4690409999999999E-2</v>
      </c>
      <c r="O5390">
        <v>-5.4283310000000001E-2</v>
      </c>
      <c r="P5390">
        <v>-0.9817015</v>
      </c>
      <c r="Q5390">
        <v>0.1691107</v>
      </c>
      <c r="R5390">
        <v>-8.7543289999999996E-2</v>
      </c>
      <c r="S5390">
        <v>-2.9526059999999998</v>
      </c>
      <c r="T5390">
        <v>1.8534180000000001E-2</v>
      </c>
      <c r="U5390">
        <v>-1.1638489999999999</v>
      </c>
      <c r="V5390">
        <v>-3.5988369999999999E-2</v>
      </c>
      <c r="W5390">
        <v>0.18320529999999999</v>
      </c>
      <c r="X5390">
        <v>0.9824157</v>
      </c>
      <c r="Y5390">
        <v>-0.31568550000000001</v>
      </c>
      <c r="Z5390">
        <v>-2.5461059999999998E-3</v>
      </c>
      <c r="AA5390">
        <v>0.9488605</v>
      </c>
      <c r="AB5390">
        <v>45</v>
      </c>
      <c r="AC5390">
        <v>-55.505699999999997</v>
      </c>
      <c r="AD5390">
        <v>0.34998600000000002</v>
      </c>
      <c r="AE5390">
        <v>-21.979900000000001</v>
      </c>
      <c r="AF5390">
        <v>-18.933476240847401</v>
      </c>
      <c r="AG5390">
        <v>0.34998600000000002</v>
      </c>
      <c r="AH5390">
        <v>56.615167986731301</v>
      </c>
      <c r="AI5390">
        <v>89.664096534715</v>
      </c>
      <c r="AJ5390">
        <v>108.491176771884</v>
      </c>
      <c r="AK5390">
        <v>59.698209846935399</v>
      </c>
      <c r="AL5390">
        <v>79.443484314568906</v>
      </c>
      <c r="AM5390">
        <v>92.097951102737696</v>
      </c>
      <c r="AN5390">
        <v>0.99999997616491798</v>
      </c>
    </row>
    <row r="5391" spans="1:40" x14ac:dyDescent="0.25">
      <c r="A5391" t="str">
        <f>"20190303170400922"</f>
        <v>20190303170400922</v>
      </c>
      <c r="B5391" t="str">
        <f>"1551603840911012"</f>
        <v>1551603840911012</v>
      </c>
      <c r="C5391" t="s">
        <v>40</v>
      </c>
      <c r="D5391">
        <v>4.4699960000000001</v>
      </c>
      <c r="E5391">
        <v>0.3894957</v>
      </c>
      <c r="F5391" t="s">
        <v>77</v>
      </c>
      <c r="G5391">
        <v>-440.20710000000003</v>
      </c>
      <c r="H5391">
        <v>1.4205080000000001</v>
      </c>
      <c r="I5391">
        <v>119.3331</v>
      </c>
      <c r="J5391">
        <v>-384.9701</v>
      </c>
      <c r="K5391">
        <v>1.1257520000000001</v>
      </c>
      <c r="L5391">
        <v>141.45599999999999</v>
      </c>
      <c r="M5391">
        <v>-0.99825160000000002</v>
      </c>
      <c r="N5391">
        <v>-1.4700970000000001E-2</v>
      </c>
      <c r="O5391">
        <v>-5.7249800000000003E-2</v>
      </c>
      <c r="P5391">
        <v>-0.98162050000000001</v>
      </c>
      <c r="Q5391">
        <v>0.16765759999999999</v>
      </c>
      <c r="R5391">
        <v>-9.1171470000000004E-2</v>
      </c>
      <c r="S5391">
        <v>-2.948334</v>
      </c>
      <c r="T5391">
        <v>1.5671850000000001E-2</v>
      </c>
      <c r="U5391">
        <v>-1.1759949999999999</v>
      </c>
      <c r="V5391">
        <v>-3.6788840000000003E-2</v>
      </c>
      <c r="W5391">
        <v>0.18173549999999999</v>
      </c>
      <c r="X5391">
        <v>0.98265899999999995</v>
      </c>
      <c r="Y5391">
        <v>-0.31671100000000002</v>
      </c>
      <c r="Z5391">
        <v>-2.708799E-3</v>
      </c>
      <c r="AA5391">
        <v>0.94851819999999998</v>
      </c>
      <c r="AB5391">
        <v>45</v>
      </c>
      <c r="AC5391">
        <v>-55.237000000000002</v>
      </c>
      <c r="AD5391">
        <v>0.29475599999999902</v>
      </c>
      <c r="AE5391">
        <v>-22.122900000000001</v>
      </c>
      <c r="AF5391">
        <v>-18.923494581339298</v>
      </c>
      <c r="AG5391">
        <v>0.29475599999999902</v>
      </c>
      <c r="AH5391">
        <v>56.411669629932298</v>
      </c>
      <c r="AI5391">
        <v>89.716170786153995</v>
      </c>
      <c r="AJ5391">
        <v>108.54421047768</v>
      </c>
      <c r="AK5391">
        <v>59.501781475062998</v>
      </c>
      <c r="AL5391">
        <v>79.529135466335902</v>
      </c>
      <c r="AM5391">
        <v>92.144041118756604</v>
      </c>
      <c r="AN5391">
        <v>0.99999996049489603</v>
      </c>
    </row>
    <row r="5392" spans="1:40" x14ac:dyDescent="0.25">
      <c r="A5392" t="str">
        <f>"20190303170400939"</f>
        <v>20190303170400939</v>
      </c>
      <c r="B5392" t="str">
        <f>"1551603840931508"</f>
        <v>1551603840931508</v>
      </c>
      <c r="C5392" t="s">
        <v>40</v>
      </c>
      <c r="D5392">
        <v>4.475034</v>
      </c>
      <c r="E5392">
        <v>0.38898480000000002</v>
      </c>
      <c r="F5392" t="s">
        <v>77</v>
      </c>
      <c r="G5392">
        <v>-440.20710000000003</v>
      </c>
      <c r="H5392">
        <v>1.285655</v>
      </c>
      <c r="I5392">
        <v>119.2359</v>
      </c>
      <c r="J5392">
        <v>-385.3032</v>
      </c>
      <c r="K5392">
        <v>1.1260460000000001</v>
      </c>
      <c r="L5392">
        <v>141.43440000000001</v>
      </c>
      <c r="M5392">
        <v>-0.99802349999999995</v>
      </c>
      <c r="N5392">
        <v>-1.4713820000000001E-2</v>
      </c>
      <c r="O5392">
        <v>-6.1097029999999997E-2</v>
      </c>
      <c r="P5392">
        <v>-0.9814484</v>
      </c>
      <c r="Q5392">
        <v>0.1655218</v>
      </c>
      <c r="R5392">
        <v>-9.6756540000000002E-2</v>
      </c>
      <c r="S5392">
        <v>-2.9447019999999999</v>
      </c>
      <c r="T5392">
        <v>8.5259680000000001E-3</v>
      </c>
      <c r="U5392">
        <v>-1.184555</v>
      </c>
      <c r="V5392">
        <v>-3.8690889999999999E-2</v>
      </c>
      <c r="W5392">
        <v>0.17956820000000001</v>
      </c>
      <c r="X5392">
        <v>0.98298439999999998</v>
      </c>
      <c r="Y5392">
        <v>-0.31582850000000001</v>
      </c>
      <c r="Z5392">
        <v>-3.0088210000000001E-3</v>
      </c>
      <c r="AA5392">
        <v>0.94881150000000003</v>
      </c>
      <c r="AB5392">
        <v>44</v>
      </c>
      <c r="AC5392">
        <v>-54.9039</v>
      </c>
      <c r="AD5392">
        <v>0.159609</v>
      </c>
      <c r="AE5392">
        <v>-22.198499999999999</v>
      </c>
      <c r="AF5392">
        <v>-18.802055931331601</v>
      </c>
      <c r="AG5392">
        <v>0.159609</v>
      </c>
      <c r="AH5392">
        <v>56.157309236682899</v>
      </c>
      <c r="AI5392">
        <v>89.845580861478396</v>
      </c>
      <c r="AJ5392">
        <v>108.511086129128</v>
      </c>
      <c r="AK5392">
        <v>59.2215008504701</v>
      </c>
      <c r="AL5392">
        <v>79.655390588623007</v>
      </c>
      <c r="AM5392">
        <v>92.254034706245506</v>
      </c>
      <c r="AN5392">
        <v>1.0000000270317899</v>
      </c>
    </row>
    <row r="5393" spans="1:40" x14ac:dyDescent="0.25">
      <c r="A5393" t="str">
        <f>"20190303170400960"</f>
        <v>20190303170400960</v>
      </c>
      <c r="B5393" t="str">
        <f>"1551603840951027"</f>
        <v>1551603840951027</v>
      </c>
      <c r="C5393" t="s">
        <v>40</v>
      </c>
      <c r="D5393">
        <v>4.4583159999999999</v>
      </c>
      <c r="E5393">
        <v>0.38888159999999999</v>
      </c>
      <c r="F5393" t="s">
        <v>77</v>
      </c>
      <c r="G5393">
        <v>-440.20710000000003</v>
      </c>
      <c r="H5393">
        <v>1.136781</v>
      </c>
      <c r="I5393">
        <v>118.93040000000001</v>
      </c>
      <c r="J5393">
        <v>-385.72329999999999</v>
      </c>
      <c r="K5393">
        <v>1.1264209999999999</v>
      </c>
      <c r="L5393">
        <v>141.405</v>
      </c>
      <c r="M5393">
        <v>-0.99769600000000003</v>
      </c>
      <c r="N5393">
        <v>-1.473001E-2</v>
      </c>
      <c r="O5393">
        <v>-6.6225039999999999E-2</v>
      </c>
      <c r="P5393">
        <v>-0.98042050000000003</v>
      </c>
      <c r="Q5393">
        <v>0.16817770000000001</v>
      </c>
      <c r="R5393">
        <v>-0.10242999999999999</v>
      </c>
      <c r="S5393">
        <v>-2.9379270000000002</v>
      </c>
      <c r="T5393">
        <v>5.7590009999999999E-4</v>
      </c>
      <c r="U5393">
        <v>-1.2041930000000001</v>
      </c>
      <c r="V5393">
        <v>-3.9553619999999998E-2</v>
      </c>
      <c r="W5393">
        <v>0.1821884</v>
      </c>
      <c r="X5393">
        <v>0.9824678</v>
      </c>
      <c r="Y5393">
        <v>-0.31714540000000002</v>
      </c>
      <c r="Z5393">
        <v>-3.350638E-3</v>
      </c>
      <c r="AA5393">
        <v>0.94837099999999996</v>
      </c>
      <c r="AB5393">
        <v>44</v>
      </c>
      <c r="AC5393">
        <v>-54.483800000000002</v>
      </c>
      <c r="AD5393">
        <v>1.03600000000001E-2</v>
      </c>
      <c r="AE5393">
        <v>-22.474599999999899</v>
      </c>
      <c r="AF5393">
        <v>-18.816667219673999</v>
      </c>
      <c r="AG5393">
        <v>1.03600000000001E-2</v>
      </c>
      <c r="AH5393">
        <v>55.852707433792801</v>
      </c>
      <c r="AI5393">
        <v>89.989928527132307</v>
      </c>
      <c r="AJ5393">
        <v>108.618569800621</v>
      </c>
      <c r="AK5393">
        <v>58.937186904961898</v>
      </c>
      <c r="AL5393">
        <v>79.5027464874738</v>
      </c>
      <c r="AM5393">
        <v>92.305451923698101</v>
      </c>
      <c r="AN5393">
        <v>1.00000003999325</v>
      </c>
    </row>
    <row r="5394" spans="1:40" x14ac:dyDescent="0.25">
      <c r="A5394" t="str">
        <f>"20190303170400984"</f>
        <v>20190303170400984</v>
      </c>
      <c r="B5394" t="str">
        <f>"1551603840971523"</f>
        <v>1551603840971523</v>
      </c>
      <c r="C5394" t="s">
        <v>40</v>
      </c>
      <c r="D5394">
        <v>4.5090899999999996</v>
      </c>
      <c r="E5394">
        <v>0.38896789999999998</v>
      </c>
      <c r="F5394" t="s">
        <v>77</v>
      </c>
      <c r="G5394">
        <v>-440.20710000000003</v>
      </c>
      <c r="H5394">
        <v>1.291164</v>
      </c>
      <c r="I5394">
        <v>118.6845</v>
      </c>
      <c r="J5394">
        <v>-386.16860000000003</v>
      </c>
      <c r="K5394">
        <v>1.1268049999999901</v>
      </c>
      <c r="L5394">
        <v>141.37129999999999</v>
      </c>
      <c r="M5394">
        <v>-0.99729909999999999</v>
      </c>
      <c r="N5394">
        <v>-1.47463E-2</v>
      </c>
      <c r="O5394">
        <v>-7.195182E-2</v>
      </c>
      <c r="P5394">
        <v>-0.97933159999999997</v>
      </c>
      <c r="Q5394">
        <v>0.171987</v>
      </c>
      <c r="R5394">
        <v>-0.1064437</v>
      </c>
      <c r="S5394">
        <v>-2.9306640000000002</v>
      </c>
      <c r="T5394">
        <v>8.8629720000000002E-3</v>
      </c>
      <c r="U5394">
        <v>-1.2221219999999999</v>
      </c>
      <c r="V5394">
        <v>-3.8197309999999998E-2</v>
      </c>
      <c r="W5394">
        <v>0.1859894</v>
      </c>
      <c r="X5394">
        <v>0.98180900000000004</v>
      </c>
      <c r="Y5394">
        <v>-0.31748670000000001</v>
      </c>
      <c r="Z5394">
        <v>-3.2051520000000002E-3</v>
      </c>
      <c r="AA5394">
        <v>0.94825729999999997</v>
      </c>
      <c r="AB5394">
        <v>44</v>
      </c>
      <c r="AC5394">
        <v>-54.038499999999999</v>
      </c>
      <c r="AD5394">
        <v>0.16435900000000001</v>
      </c>
      <c r="AE5394">
        <v>-22.686799999999899</v>
      </c>
      <c r="AF5394">
        <v>-18.739246883895301</v>
      </c>
      <c r="AG5394">
        <v>0.16435900000000001</v>
      </c>
      <c r="AH5394">
        <v>55.530504910274402</v>
      </c>
      <c r="AI5394">
        <v>89.8393190140998</v>
      </c>
      <c r="AJ5394">
        <v>108.647409650763</v>
      </c>
      <c r="AK5394">
        <v>58.607366117634697</v>
      </c>
      <c r="AL5394">
        <v>79.281177988115104</v>
      </c>
      <c r="AM5394">
        <v>92.227970469465603</v>
      </c>
      <c r="AN5394">
        <v>1.0000000019422901</v>
      </c>
    </row>
    <row r="5395" spans="1:40" x14ac:dyDescent="0.25">
      <c r="A5395" t="str">
        <f>"20190303170401006"</f>
        <v>20190303170401006</v>
      </c>
      <c r="B5395" t="str">
        <f>"1551603840991043"</f>
        <v>1551603840991043</v>
      </c>
      <c r="C5395" t="s">
        <v>40</v>
      </c>
      <c r="D5395">
        <v>4.4718070000000001</v>
      </c>
      <c r="E5395">
        <v>0.38877200000000001</v>
      </c>
      <c r="F5395" t="s">
        <v>77</v>
      </c>
      <c r="G5395">
        <v>-440.20710000000003</v>
      </c>
      <c r="H5395">
        <v>1.5327869999999999</v>
      </c>
      <c r="I5395">
        <v>118.5574</v>
      </c>
      <c r="J5395">
        <v>-386.6139</v>
      </c>
      <c r="K5395">
        <v>1.127178</v>
      </c>
      <c r="L5395">
        <v>141.33500000000001</v>
      </c>
      <c r="M5395">
        <v>-0.99684709999999999</v>
      </c>
      <c r="N5395">
        <v>-1.4761700000000001E-2</v>
      </c>
      <c r="O5395">
        <v>-7.7962669999999998E-2</v>
      </c>
      <c r="P5395">
        <v>-0.97859479999999999</v>
      </c>
      <c r="Q5395">
        <v>0.17456569999999999</v>
      </c>
      <c r="R5395">
        <v>-0.1089919</v>
      </c>
      <c r="S5395">
        <v>-2.9252319999999998</v>
      </c>
      <c r="T5395">
        <v>2.1978259999999999E-2</v>
      </c>
      <c r="U5395">
        <v>-1.2349699999999999</v>
      </c>
      <c r="V5395">
        <v>-3.5060040000000001E-2</v>
      </c>
      <c r="W5395">
        <v>0.18859190000000001</v>
      </c>
      <c r="X5395">
        <v>0.98142949999999995</v>
      </c>
      <c r="Y5395">
        <v>-0.3159459</v>
      </c>
      <c r="Z5395">
        <v>-2.957809E-3</v>
      </c>
      <c r="AA5395">
        <v>0.94877259999999997</v>
      </c>
      <c r="AB5395">
        <v>44</v>
      </c>
      <c r="AC5395">
        <v>-53.593200000000003</v>
      </c>
      <c r="AD5395">
        <v>0.405609</v>
      </c>
      <c r="AE5395">
        <v>-22.7776</v>
      </c>
      <c r="AF5395">
        <v>-18.528633488475101</v>
      </c>
      <c r="AG5395">
        <v>0.405609</v>
      </c>
      <c r="AH5395">
        <v>55.203359278866202</v>
      </c>
      <c r="AI5395">
        <v>89.600904202352197</v>
      </c>
      <c r="AJ5395">
        <v>108.55397845982201</v>
      </c>
      <c r="AK5395">
        <v>58.231311622551502</v>
      </c>
      <c r="AL5395">
        <v>79.129379369578203</v>
      </c>
      <c r="AM5395">
        <v>92.0459324474174</v>
      </c>
      <c r="AN5395">
        <v>0.99999998731033002</v>
      </c>
    </row>
    <row r="5396" spans="1:40" x14ac:dyDescent="0.25">
      <c r="A5396" t="str">
        <f>"20190303170401028"</f>
        <v>20190303170401028</v>
      </c>
      <c r="B5396" t="str">
        <f>"1551603841021300"</f>
        <v>1551603841021300</v>
      </c>
      <c r="C5396" t="s">
        <v>40</v>
      </c>
      <c r="D5396">
        <v>4.4829800000000004</v>
      </c>
      <c r="E5396">
        <v>0.3887371</v>
      </c>
      <c r="F5396" t="s">
        <v>77</v>
      </c>
      <c r="G5396">
        <v>-440.20710000000003</v>
      </c>
      <c r="H5396">
        <v>1.7256590000000001</v>
      </c>
      <c r="I5396">
        <v>118.47450000000001</v>
      </c>
      <c r="J5396">
        <v>-387.0496</v>
      </c>
      <c r="K5396">
        <v>1.127526</v>
      </c>
      <c r="L5396">
        <v>141.29669999999999</v>
      </c>
      <c r="M5396">
        <v>-0.99634529999999999</v>
      </c>
      <c r="N5396">
        <v>-1.47774E-2</v>
      </c>
      <c r="O5396">
        <v>-8.4129700000000002E-2</v>
      </c>
      <c r="P5396">
        <v>-0.97816749999999997</v>
      </c>
      <c r="Q5396">
        <v>0.17439669999999999</v>
      </c>
      <c r="R5396">
        <v>-0.1130235</v>
      </c>
      <c r="S5396">
        <v>-2.9210509999999998</v>
      </c>
      <c r="T5396">
        <v>3.2621150000000002E-2</v>
      </c>
      <c r="U5396">
        <v>-1.245987</v>
      </c>
      <c r="V5396">
        <v>-3.318107E-2</v>
      </c>
      <c r="W5396">
        <v>0.18844060000000001</v>
      </c>
      <c r="X5396">
        <v>0.9815239</v>
      </c>
      <c r="Y5396">
        <v>-0.3135984</v>
      </c>
      <c r="Z5396">
        <v>-2.8296530000000001E-3</v>
      </c>
      <c r="AA5396">
        <v>0.94955149999999999</v>
      </c>
      <c r="AB5396">
        <v>44</v>
      </c>
      <c r="AC5396">
        <v>-53.157499999999999</v>
      </c>
      <c r="AD5396">
        <v>0.59813300000000003</v>
      </c>
      <c r="AE5396">
        <v>-22.822199999999899</v>
      </c>
      <c r="AF5396">
        <v>-18.2667079431411</v>
      </c>
      <c r="AG5396">
        <v>0.59813300000000003</v>
      </c>
      <c r="AH5396">
        <v>54.883372605567097</v>
      </c>
      <c r="AI5396">
        <v>89.407550664885093</v>
      </c>
      <c r="AJ5396">
        <v>108.408872472791</v>
      </c>
      <c r="AK5396">
        <v>57.846477599999297</v>
      </c>
      <c r="AL5396">
        <v>79.138206682014101</v>
      </c>
      <c r="AM5396">
        <v>91.936184688394903</v>
      </c>
      <c r="AN5396">
        <v>1.00000000470295</v>
      </c>
    </row>
    <row r="5397" spans="1:40" x14ac:dyDescent="0.25">
      <c r="A5397" t="str">
        <f>"20190303170401051"</f>
        <v>20190303170401051</v>
      </c>
      <c r="B5397" t="str">
        <f>"1551603841040819"</f>
        <v>1551603841040819</v>
      </c>
      <c r="C5397" t="s">
        <v>40</v>
      </c>
      <c r="D5397">
        <v>4.5150220000000001</v>
      </c>
      <c r="E5397">
        <v>0.38863370000000003</v>
      </c>
      <c r="F5397" t="s">
        <v>77</v>
      </c>
      <c r="G5397">
        <v>-440.20710000000003</v>
      </c>
      <c r="H5397">
        <v>1.7099059999999999</v>
      </c>
      <c r="I5397">
        <v>118.3409</v>
      </c>
      <c r="J5397">
        <v>-387.4864</v>
      </c>
      <c r="K5397">
        <v>1.127869</v>
      </c>
      <c r="L5397">
        <v>141.25540000000001</v>
      </c>
      <c r="M5397">
        <v>-0.99577640000000001</v>
      </c>
      <c r="N5397">
        <v>-1.4795849999999999E-2</v>
      </c>
      <c r="O5397">
        <v>-9.0613040000000006E-2</v>
      </c>
      <c r="P5397">
        <v>-0.97776280000000004</v>
      </c>
      <c r="Q5397">
        <v>0.17284070000000001</v>
      </c>
      <c r="R5397">
        <v>-0.11877</v>
      </c>
      <c r="S5397">
        <v>-2.9158019999999998</v>
      </c>
      <c r="T5397">
        <v>3.1946179999999998E-2</v>
      </c>
      <c r="U5397">
        <v>-1.25917099999999</v>
      </c>
      <c r="V5397">
        <v>-3.2673760000000003E-2</v>
      </c>
      <c r="W5397">
        <v>0.18688840000000001</v>
      </c>
      <c r="X5397">
        <v>0.98183759999999998</v>
      </c>
      <c r="Y5397">
        <v>-0.31165979999999999</v>
      </c>
      <c r="Z5397">
        <v>-3.0062019999999999E-3</v>
      </c>
      <c r="AA5397">
        <v>0.95018899999999995</v>
      </c>
      <c r="AB5397">
        <v>44</v>
      </c>
      <c r="AC5397">
        <v>-52.720700000000001</v>
      </c>
      <c r="AD5397">
        <v>0.58203700000000003</v>
      </c>
      <c r="AE5397">
        <v>-22.9145</v>
      </c>
      <c r="AF5397">
        <v>-18.040658472086299</v>
      </c>
      <c r="AG5397">
        <v>0.58203700000000003</v>
      </c>
      <c r="AH5397">
        <v>54.574753601524698</v>
      </c>
      <c r="AI5397">
        <v>89.419841088462107</v>
      </c>
      <c r="AJ5397">
        <v>108.292224772998</v>
      </c>
      <c r="AK5397">
        <v>57.482239481799603</v>
      </c>
      <c r="AL5397">
        <v>79.228749385000398</v>
      </c>
      <c r="AM5397">
        <v>91.905995392562602</v>
      </c>
      <c r="AN5397">
        <v>0.99999996071042796</v>
      </c>
    </row>
    <row r="5398" spans="1:40" x14ac:dyDescent="0.25">
      <c r="A5398" t="str">
        <f>"20190303170401074"</f>
        <v>20190303170401074</v>
      </c>
      <c r="B5398" t="str">
        <f>"1551603841061315"</f>
        <v>1551603841061315</v>
      </c>
      <c r="C5398" t="s">
        <v>40</v>
      </c>
      <c r="D5398">
        <v>4.5450010000000001</v>
      </c>
      <c r="E5398">
        <v>0.38856930000000001</v>
      </c>
      <c r="F5398" t="s">
        <v>77</v>
      </c>
      <c r="G5398">
        <v>-440.20710000000003</v>
      </c>
      <c r="H5398">
        <v>1.5996859999999999</v>
      </c>
      <c r="I5398">
        <v>118.1114</v>
      </c>
      <c r="J5398">
        <v>-387.92809999999997</v>
      </c>
      <c r="K5398">
        <v>1.1282449999999999</v>
      </c>
      <c r="L5398">
        <v>141.2106</v>
      </c>
      <c r="M5398">
        <v>-0.99512619999999896</v>
      </c>
      <c r="N5398">
        <v>-1.481843E-2</v>
      </c>
      <c r="O5398">
        <v>-9.7490649999999998E-2</v>
      </c>
      <c r="P5398">
        <v>-0.97684349999999998</v>
      </c>
      <c r="Q5398">
        <v>0.1739202</v>
      </c>
      <c r="R5398">
        <v>-0.12461510000000001</v>
      </c>
      <c r="S5398">
        <v>-2.9085079999999999</v>
      </c>
      <c r="T5398">
        <v>2.603078E-2</v>
      </c>
      <c r="U5398">
        <v>-1.27681</v>
      </c>
      <c r="V5398">
        <v>-3.1968030000000001E-2</v>
      </c>
      <c r="W5398">
        <v>0.1879728</v>
      </c>
      <c r="X5398">
        <v>0.98165389999999997</v>
      </c>
      <c r="Y5398">
        <v>-0.31080249999999998</v>
      </c>
      <c r="Z5398">
        <v>-3.2941099999999998E-3</v>
      </c>
      <c r="AA5398">
        <v>0.9504688</v>
      </c>
      <c r="AB5398">
        <v>44</v>
      </c>
      <c r="AC5398">
        <v>-52.279000000000003</v>
      </c>
      <c r="AD5398">
        <v>0.471441</v>
      </c>
      <c r="AE5398">
        <v>-23.0992</v>
      </c>
      <c r="AF5398">
        <v>-17.890651206040101</v>
      </c>
      <c r="AG5398">
        <v>0.471441</v>
      </c>
      <c r="AH5398">
        <v>54.278421248155801</v>
      </c>
      <c r="AI5398">
        <v>89.527374386826907</v>
      </c>
      <c r="AJ5398">
        <v>108.24268029745301</v>
      </c>
      <c r="AK5398">
        <v>57.152818569033997</v>
      </c>
      <c r="AL5398">
        <v>79.165497887114796</v>
      </c>
      <c r="AM5398">
        <v>91.865205365471695</v>
      </c>
      <c r="AN5398">
        <v>1.0000000539335601</v>
      </c>
    </row>
    <row r="5399" spans="1:40" x14ac:dyDescent="0.25">
      <c r="A5399" t="str">
        <f>"20190303170401096"</f>
        <v>20190303170401096</v>
      </c>
      <c r="B5399" t="str">
        <f>"1551603841080835"</f>
        <v>1551603841080835</v>
      </c>
      <c r="C5399" t="s">
        <v>40</v>
      </c>
      <c r="D5399">
        <v>4.5259839999999896</v>
      </c>
      <c r="E5399">
        <v>0.38843939999999999</v>
      </c>
      <c r="F5399" t="s">
        <v>77</v>
      </c>
      <c r="G5399">
        <v>-440.20710000000003</v>
      </c>
      <c r="H5399">
        <v>1.623505</v>
      </c>
      <c r="I5399">
        <v>117.88120000000001</v>
      </c>
      <c r="J5399">
        <v>-388.36059999999998</v>
      </c>
      <c r="K5399">
        <v>1.1286179999999999</v>
      </c>
      <c r="L5399">
        <v>141.1634</v>
      </c>
      <c r="M5399">
        <v>-0.99440720000000005</v>
      </c>
      <c r="N5399">
        <v>-1.4844710000000001E-2</v>
      </c>
      <c r="O5399">
        <v>-0.1045663</v>
      </c>
      <c r="P5399">
        <v>-0.97563789999999995</v>
      </c>
      <c r="Q5399">
        <v>0.1767696</v>
      </c>
      <c r="R5399">
        <v>-0.12993660000000001</v>
      </c>
      <c r="S5399">
        <v>-2.901062</v>
      </c>
      <c r="T5399">
        <v>2.7484419999999999E-2</v>
      </c>
      <c r="U5399">
        <v>-1.294586</v>
      </c>
      <c r="V5399">
        <v>-3.0609689999999998E-2</v>
      </c>
      <c r="W5399">
        <v>0.1908387</v>
      </c>
      <c r="X5399">
        <v>0.98114409999999996</v>
      </c>
      <c r="Y5399">
        <v>-0.30980999999999997</v>
      </c>
      <c r="Z5399">
        <v>-3.435184E-3</v>
      </c>
      <c r="AA5399">
        <v>0.95079230000000003</v>
      </c>
      <c r="AB5399">
        <v>44</v>
      </c>
      <c r="AC5399">
        <v>-51.846499999999999</v>
      </c>
      <c r="AD5399">
        <v>0.49488699999999902</v>
      </c>
      <c r="AE5399">
        <v>-23.2821999999999</v>
      </c>
      <c r="AF5399">
        <v>-17.731198774344499</v>
      </c>
      <c r="AG5399">
        <v>0.49488699999999902</v>
      </c>
      <c r="AH5399">
        <v>53.992918225751502</v>
      </c>
      <c r="AI5399">
        <v>89.501068099129299</v>
      </c>
      <c r="AJ5399">
        <v>108.180107793744</v>
      </c>
      <c r="AK5399">
        <v>56.831993996786501</v>
      </c>
      <c r="AL5399">
        <v>78.998266789217894</v>
      </c>
      <c r="AM5399">
        <v>91.786931584110107</v>
      </c>
      <c r="AN5399">
        <v>1.00000005375219</v>
      </c>
    </row>
    <row r="5400" spans="1:40" x14ac:dyDescent="0.25">
      <c r="A5400" t="str">
        <f>"20190303170401117"</f>
        <v>20190303170401117</v>
      </c>
      <c r="B5400" t="str">
        <f>"1551603841111091"</f>
        <v>1551603841111091</v>
      </c>
      <c r="C5400" t="s">
        <v>40</v>
      </c>
      <c r="D5400">
        <v>4.5577220000000001</v>
      </c>
      <c r="E5400">
        <v>0.38820379999999999</v>
      </c>
      <c r="F5400" t="s">
        <v>77</v>
      </c>
      <c r="G5400">
        <v>-440.20710000000003</v>
      </c>
      <c r="H5400">
        <v>1.8151090000000001</v>
      </c>
      <c r="I5400">
        <v>117.629</v>
      </c>
      <c r="J5400">
        <v>-388.79450000000003</v>
      </c>
      <c r="K5400">
        <v>1.129</v>
      </c>
      <c r="L5400">
        <v>141.11259999999999</v>
      </c>
      <c r="M5400">
        <v>-0.99359109999999995</v>
      </c>
      <c r="N5400">
        <v>-1.487575E-2</v>
      </c>
      <c r="O5400">
        <v>-0.1120522</v>
      </c>
      <c r="P5400">
        <v>-0.974746</v>
      </c>
      <c r="Q5400">
        <v>0.1772338</v>
      </c>
      <c r="R5400">
        <v>-0.1358626</v>
      </c>
      <c r="S5400">
        <v>-2.8930660000000001</v>
      </c>
      <c r="T5400">
        <v>3.8308019999999998E-2</v>
      </c>
      <c r="U5400">
        <v>-1.313232</v>
      </c>
      <c r="V5400">
        <v>-2.938058E-2</v>
      </c>
      <c r="W5400">
        <v>0.19132969999999999</v>
      </c>
      <c r="X5400">
        <v>0.98108600000000001</v>
      </c>
      <c r="Y5400">
        <v>-0.30872810000000001</v>
      </c>
      <c r="Z5400">
        <v>-3.4611469999999999E-3</v>
      </c>
      <c r="AA5400">
        <v>0.95114399999999999</v>
      </c>
      <c r="AB5400">
        <v>44</v>
      </c>
      <c r="AC5400">
        <v>-51.412599999999998</v>
      </c>
      <c r="AD5400">
        <v>0.68610899999999997</v>
      </c>
      <c r="AE5400">
        <v>-23.483599999999999</v>
      </c>
      <c r="AF5400">
        <v>-17.571554160159302</v>
      </c>
      <c r="AG5400">
        <v>0.68610899999999997</v>
      </c>
      <c r="AH5400">
        <v>53.712513523848699</v>
      </c>
      <c r="AI5400">
        <v>89.304429767548001</v>
      </c>
      <c r="AJ5400">
        <v>108.115031925002</v>
      </c>
      <c r="AK5400">
        <v>56.517823473776097</v>
      </c>
      <c r="AL5400">
        <v>78.969605923940406</v>
      </c>
      <c r="AM5400">
        <v>91.715323908589696</v>
      </c>
      <c r="AN5400">
        <v>1.0000000059896099</v>
      </c>
    </row>
    <row r="5401" spans="1:40" x14ac:dyDescent="0.25">
      <c r="A5401" t="str">
        <f>"20190303170401140"</f>
        <v>20190303170401140</v>
      </c>
      <c r="B5401" t="str">
        <f>"1551603841130612"</f>
        <v>1551603841130612</v>
      </c>
      <c r="C5401" t="s">
        <v>40</v>
      </c>
      <c r="D5401">
        <v>4.5607480000000002</v>
      </c>
      <c r="E5401">
        <v>0.38815899999999998</v>
      </c>
      <c r="F5401" t="s">
        <v>77</v>
      </c>
      <c r="G5401">
        <v>-440.20710000000003</v>
      </c>
      <c r="H5401">
        <v>1.8500810000000001</v>
      </c>
      <c r="I5401">
        <v>117.34399999999999</v>
      </c>
      <c r="J5401">
        <v>-389.22879999999998</v>
      </c>
      <c r="K5401">
        <v>1.129359</v>
      </c>
      <c r="L5401">
        <v>141.0582</v>
      </c>
      <c r="M5401">
        <v>-0.99267660000000002</v>
      </c>
      <c r="N5401">
        <v>-1.4909779999999999E-2</v>
      </c>
      <c r="O5401">
        <v>-0.11987879999999999</v>
      </c>
      <c r="P5401">
        <v>-0.97383299999999995</v>
      </c>
      <c r="Q5401">
        <v>0.1752543</v>
      </c>
      <c r="R5401">
        <v>-0.1446914</v>
      </c>
      <c r="S5401">
        <v>-2.8844910000000001</v>
      </c>
      <c r="T5401">
        <v>4.0457489999999999E-2</v>
      </c>
      <c r="U5401">
        <v>-1.3335269999999999</v>
      </c>
      <c r="V5401">
        <v>-3.0642610000000001E-2</v>
      </c>
      <c r="W5401">
        <v>0.1893397</v>
      </c>
      <c r="X5401">
        <v>0.98143340000000001</v>
      </c>
      <c r="Y5401">
        <v>-0.30782799999999999</v>
      </c>
      <c r="Z5401">
        <v>-3.6548240000000001E-3</v>
      </c>
      <c r="AA5401">
        <v>0.95143500000000003</v>
      </c>
      <c r="AB5401">
        <v>44</v>
      </c>
      <c r="AC5401">
        <v>-50.978299999999997</v>
      </c>
      <c r="AD5401">
        <v>0.72072199999999997</v>
      </c>
      <c r="AE5401">
        <v>-23.714200000000002</v>
      </c>
      <c r="AF5401">
        <v>-17.428387243261799</v>
      </c>
      <c r="AG5401">
        <v>0.72072199999999997</v>
      </c>
      <c r="AH5401">
        <v>53.444953421567099</v>
      </c>
      <c r="AI5401">
        <v>89.265460087758797</v>
      </c>
      <c r="AJ5401">
        <v>108.06113574779501</v>
      </c>
      <c r="AK5401">
        <v>56.219491000327103</v>
      </c>
      <c r="AL5401">
        <v>79.085747694133303</v>
      </c>
      <c r="AM5401">
        <v>91.788325176197901</v>
      </c>
      <c r="AN5401">
        <v>1.0000000050896301</v>
      </c>
    </row>
    <row r="5402" spans="1:40" x14ac:dyDescent="0.25">
      <c r="A5402" t="str">
        <f>"20190303170401162"</f>
        <v>20190303170401162</v>
      </c>
      <c r="B5402" t="str">
        <f>"1551603841151108"</f>
        <v>1551603841151108</v>
      </c>
      <c r="C5402" t="s">
        <v>40</v>
      </c>
      <c r="D5402">
        <v>4.5838510000000001</v>
      </c>
      <c r="E5402">
        <v>0.38814539999999997</v>
      </c>
      <c r="F5402" t="s">
        <v>77</v>
      </c>
      <c r="G5402">
        <v>-440.75</v>
      </c>
      <c r="H5402">
        <v>1.7255400000000001</v>
      </c>
      <c r="I5402">
        <v>116.667</v>
      </c>
      <c r="J5402">
        <v>-389.65359999999998</v>
      </c>
      <c r="K5402">
        <v>1.1297170000000001</v>
      </c>
      <c r="L5402">
        <v>141.00139999999999</v>
      </c>
      <c r="M5402">
        <v>-0.99167799999999995</v>
      </c>
      <c r="N5402">
        <v>-1.4943690000000001E-2</v>
      </c>
      <c r="O5402">
        <v>-0.1278734</v>
      </c>
      <c r="P5402">
        <v>-0.97268489999999996</v>
      </c>
      <c r="Q5402">
        <v>0.1732746</v>
      </c>
      <c r="R5402">
        <v>-0.15446699999999999</v>
      </c>
      <c r="S5402">
        <v>-2.8725890000000001</v>
      </c>
      <c r="T5402">
        <v>3.324187E-2</v>
      </c>
      <c r="U5402">
        <v>-1.3599399999999999</v>
      </c>
      <c r="V5402">
        <v>-3.2685939999999997E-2</v>
      </c>
      <c r="W5402">
        <v>0.1873311</v>
      </c>
      <c r="X5402">
        <v>0.98175290000000004</v>
      </c>
      <c r="Y5402">
        <v>-0.30883179999999999</v>
      </c>
      <c r="Z5402">
        <v>-3.9524449999999997E-3</v>
      </c>
      <c r="AA5402">
        <v>0.95110850000000002</v>
      </c>
      <c r="AB5402">
        <v>44</v>
      </c>
      <c r="AC5402">
        <v>-51.096400000000003</v>
      </c>
      <c r="AD5402">
        <v>0.59582299999999999</v>
      </c>
      <c r="AE5402">
        <v>-24.334399999999899</v>
      </c>
      <c r="AF5402">
        <v>-17.598031970713699</v>
      </c>
      <c r="AG5402">
        <v>0.59582299999999999</v>
      </c>
      <c r="AH5402">
        <v>53.7829386981279</v>
      </c>
      <c r="AI5402">
        <v>89.396755786596003</v>
      </c>
      <c r="AJ5402">
        <v>108.11834116996801</v>
      </c>
      <c r="AK5402">
        <v>56.591962585654997</v>
      </c>
      <c r="AL5402">
        <v>79.2029293230257</v>
      </c>
      <c r="AM5402">
        <v>91.9068697560716</v>
      </c>
      <c r="AN5402">
        <v>1.00000003417965</v>
      </c>
    </row>
    <row r="5403" spans="1:40" x14ac:dyDescent="0.25">
      <c r="A5403" t="str">
        <f>"20190303170401185"</f>
        <v>20190303170401185</v>
      </c>
      <c r="B5403" t="str">
        <f>"1551603841170627"</f>
        <v>1551603841170627</v>
      </c>
      <c r="C5403" t="s">
        <v>40</v>
      </c>
      <c r="D5403">
        <v>4.6556959999999998</v>
      </c>
      <c r="E5403">
        <v>0.388154</v>
      </c>
      <c r="F5403" t="s">
        <v>77</v>
      </c>
      <c r="G5403">
        <v>-440.75</v>
      </c>
      <c r="H5403">
        <v>1.583658</v>
      </c>
      <c r="I5403">
        <v>116.1859</v>
      </c>
      <c r="J5403">
        <v>-390.08940000000001</v>
      </c>
      <c r="K5403">
        <v>1.1300840000000001</v>
      </c>
      <c r="L5403">
        <v>140.93940000000001</v>
      </c>
      <c r="M5403">
        <v>-0.99053349999999996</v>
      </c>
      <c r="N5403">
        <v>-1.4979869999999999E-2</v>
      </c>
      <c r="O5403">
        <v>-0.1364523</v>
      </c>
      <c r="P5403">
        <v>-0.9710223</v>
      </c>
      <c r="Q5403">
        <v>0.172842</v>
      </c>
      <c r="R5403">
        <v>-0.16504959999999999</v>
      </c>
      <c r="S5403">
        <v>-2.8591609999999998</v>
      </c>
      <c r="T5403">
        <v>2.5402310000000001E-2</v>
      </c>
      <c r="U5403">
        <v>-1.3885799999999999</v>
      </c>
      <c r="V5403">
        <v>-3.5040979999999999E-2</v>
      </c>
      <c r="W5403">
        <v>0.18685570000000001</v>
      </c>
      <c r="X5403">
        <v>0.98176220000000003</v>
      </c>
      <c r="Y5403">
        <v>-0.31006009999999901</v>
      </c>
      <c r="Z5403">
        <v>-4.235005E-3</v>
      </c>
      <c r="AA5403">
        <v>0.95070759999999999</v>
      </c>
      <c r="AB5403">
        <v>44</v>
      </c>
      <c r="AC5403">
        <v>-50.660599999999903</v>
      </c>
      <c r="AD5403">
        <v>0.45357399999999898</v>
      </c>
      <c r="AE5403">
        <v>-24.753499999999999</v>
      </c>
      <c r="AF5403">
        <v>-17.607249847380601</v>
      </c>
      <c r="AG5403">
        <v>0.45357399999999898</v>
      </c>
      <c r="AH5403">
        <v>53.5612312088697</v>
      </c>
      <c r="AI5403">
        <v>89.5390769821053</v>
      </c>
      <c r="AJ5403">
        <v>108.197309519695</v>
      </c>
      <c r="AK5403">
        <v>56.382856128184599</v>
      </c>
      <c r="AL5403">
        <v>79.230656655847795</v>
      </c>
      <c r="AM5403">
        <v>92.044128781583893</v>
      </c>
      <c r="AN5403">
        <v>0.99999997012534403</v>
      </c>
    </row>
    <row r="5404" spans="1:40" x14ac:dyDescent="0.25">
      <c r="A5404" t="str">
        <f>"20190303170401207"</f>
        <v>20190303170401207</v>
      </c>
      <c r="B5404" t="str">
        <f>"1551603841191123"</f>
        <v>1551603841191123</v>
      </c>
      <c r="C5404" t="s">
        <v>40</v>
      </c>
      <c r="D5404">
        <v>4.6902499999999998</v>
      </c>
      <c r="E5404">
        <v>0.38822079999999998</v>
      </c>
      <c r="F5404" t="s">
        <v>77</v>
      </c>
      <c r="G5404">
        <v>-440.75</v>
      </c>
      <c r="H5404">
        <v>1.5515490000000001</v>
      </c>
      <c r="I5404">
        <v>115.63890000000001</v>
      </c>
      <c r="J5404">
        <v>-390.52199999999999</v>
      </c>
      <c r="K5404">
        <v>1.130477</v>
      </c>
      <c r="L5404">
        <v>140.87379999999999</v>
      </c>
      <c r="M5404">
        <v>-0.98926409999999998</v>
      </c>
      <c r="N5404">
        <v>-1.501985E-2</v>
      </c>
      <c r="O5404">
        <v>-0.14536569999999999</v>
      </c>
      <c r="P5404">
        <v>-0.96908760000000005</v>
      </c>
      <c r="Q5404">
        <v>0.1734754</v>
      </c>
      <c r="R5404">
        <v>-0.17543149999999999</v>
      </c>
      <c r="S5404">
        <v>-2.8439030000000001</v>
      </c>
      <c r="T5404">
        <v>2.3661020000000001E-2</v>
      </c>
      <c r="U5404">
        <v>-1.4202729999999999</v>
      </c>
      <c r="V5404">
        <v>-3.692231E-2</v>
      </c>
      <c r="W5404">
        <v>0.18745390000000001</v>
      </c>
      <c r="X5404">
        <v>0.98157919999999999</v>
      </c>
      <c r="Y5404">
        <v>-0.3120192</v>
      </c>
      <c r="Z5404">
        <v>-4.4649140000000004E-3</v>
      </c>
      <c r="AA5404">
        <v>0.9500653</v>
      </c>
      <c r="AB5404">
        <v>44</v>
      </c>
      <c r="AC5404">
        <v>-50.228000000000002</v>
      </c>
      <c r="AD5404">
        <v>0.421072</v>
      </c>
      <c r="AE5404">
        <v>-25.2348999999999</v>
      </c>
      <c r="AF5404">
        <v>-17.663551577193999</v>
      </c>
      <c r="AG5404">
        <v>0.421072</v>
      </c>
      <c r="AH5404">
        <v>53.360064976316004</v>
      </c>
      <c r="AI5404">
        <v>89.570784295961303</v>
      </c>
      <c r="AJ5404">
        <v>108.315869429843</v>
      </c>
      <c r="AK5404">
        <v>56.209206454334897</v>
      </c>
      <c r="AL5404">
        <v>79.195765852316399</v>
      </c>
      <c r="AM5404">
        <v>92.154177308655306</v>
      </c>
      <c r="AN5404">
        <v>0.99999997373679195</v>
      </c>
    </row>
    <row r="5405" spans="1:40" x14ac:dyDescent="0.25">
      <c r="A5405" t="str">
        <f>"20190303170401230"</f>
        <v>20190303170401230</v>
      </c>
      <c r="B5405" t="str">
        <f>"1551603841221379"</f>
        <v>1551603841221379</v>
      </c>
      <c r="C5405" t="s">
        <v>40</v>
      </c>
      <c r="D5405">
        <v>4.6226079999999996</v>
      </c>
      <c r="E5405">
        <v>0.38932810000000001</v>
      </c>
      <c r="F5405" t="s">
        <v>77</v>
      </c>
      <c r="G5405">
        <v>-440.75</v>
      </c>
      <c r="H5405">
        <v>1.5775709999999901</v>
      </c>
      <c r="I5405">
        <v>115.1073</v>
      </c>
      <c r="J5405">
        <v>-390.95609999999999</v>
      </c>
      <c r="K5405">
        <v>1.130879</v>
      </c>
      <c r="L5405">
        <v>140.8039</v>
      </c>
      <c r="M5405">
        <v>-0.98784329999999998</v>
      </c>
      <c r="N5405">
        <v>-1.5065230000000001E-2</v>
      </c>
      <c r="O5405">
        <v>-0.1547222</v>
      </c>
      <c r="P5405">
        <v>-0.96690209999999999</v>
      </c>
      <c r="Q5405">
        <v>0.17453279999999999</v>
      </c>
      <c r="R5405">
        <v>-0.1861157</v>
      </c>
      <c r="S5405">
        <v>-2.8285520000000002</v>
      </c>
      <c r="T5405">
        <v>2.517927E-2</v>
      </c>
      <c r="U5405">
        <v>-1.4510190000000001</v>
      </c>
      <c r="V5405">
        <v>-3.8710439999999999E-2</v>
      </c>
      <c r="W5405">
        <v>0.1884776</v>
      </c>
      <c r="X5405">
        <v>0.98131420000000003</v>
      </c>
      <c r="Y5405">
        <v>-0.31330069999999999</v>
      </c>
      <c r="Z5405">
        <v>-4.6908419999999998E-3</v>
      </c>
      <c r="AA5405">
        <v>0.9496424</v>
      </c>
      <c r="AB5405">
        <v>44</v>
      </c>
      <c r="AC5405">
        <v>-49.793900000000001</v>
      </c>
      <c r="AD5405">
        <v>0.44669199999999898</v>
      </c>
      <c r="AE5405">
        <v>-25.6966</v>
      </c>
      <c r="AF5405">
        <v>-17.680872727290399</v>
      </c>
      <c r="AG5405">
        <v>0.44669199999999898</v>
      </c>
      <c r="AH5405">
        <v>53.167052193290097</v>
      </c>
      <c r="AI5405">
        <v>89.543225524515407</v>
      </c>
      <c r="AJ5405">
        <v>108.394710303598</v>
      </c>
      <c r="AK5405">
        <v>56.031671696153602</v>
      </c>
      <c r="AL5405">
        <v>79.136047252874107</v>
      </c>
      <c r="AM5405">
        <v>92.259006802623503</v>
      </c>
      <c r="AN5405">
        <v>0.99999993149419397</v>
      </c>
    </row>
    <row r="5406" spans="1:40" x14ac:dyDescent="0.25">
      <c r="A5406" t="str">
        <f>"20190303170401251"</f>
        <v>20190303170401251</v>
      </c>
      <c r="B5406" t="str">
        <f>"1551603841240899"</f>
        <v>1551603841240899</v>
      </c>
      <c r="C5406" t="s">
        <v>40</v>
      </c>
      <c r="D5406">
        <v>4.6831389999999997</v>
      </c>
      <c r="E5406">
        <v>0.38960329999999999</v>
      </c>
      <c r="F5406" t="s">
        <v>77</v>
      </c>
      <c r="G5406">
        <v>-440.75</v>
      </c>
      <c r="H5406">
        <v>1.1081449999999999</v>
      </c>
      <c r="I5406">
        <v>114.70869999999999</v>
      </c>
      <c r="J5406">
        <v>-391.36540000000002</v>
      </c>
      <c r="K5406">
        <v>1.1312690000000001</v>
      </c>
      <c r="L5406">
        <v>140.73390000000001</v>
      </c>
      <c r="M5406">
        <v>-0.98635439999999996</v>
      </c>
      <c r="N5406">
        <v>-1.5112759999999999E-2</v>
      </c>
      <c r="O5406">
        <v>-0.16394120000000001</v>
      </c>
      <c r="P5406">
        <v>-0.96454660000000003</v>
      </c>
      <c r="Q5406">
        <v>0.17551559999999999</v>
      </c>
      <c r="R5406">
        <v>-0.1970895</v>
      </c>
      <c r="S5406">
        <v>-2.8186339999999999</v>
      </c>
      <c r="T5406">
        <v>-1.285315E-3</v>
      </c>
      <c r="U5406">
        <v>-1.477142</v>
      </c>
      <c r="V5406">
        <v>-4.0936229999999997E-2</v>
      </c>
      <c r="W5406">
        <v>0.189416</v>
      </c>
      <c r="X5406">
        <v>0.9810432</v>
      </c>
      <c r="Y5406">
        <v>-0.31268639999999998</v>
      </c>
      <c r="Z5406">
        <v>-4.8663420000000001E-3</v>
      </c>
      <c r="AA5406">
        <v>0.94984389999999996</v>
      </c>
      <c r="AB5406">
        <v>44</v>
      </c>
      <c r="AC5406">
        <v>-49.384599999999899</v>
      </c>
      <c r="AD5406">
        <v>-2.3123999999999902E-2</v>
      </c>
      <c r="AE5406">
        <v>-26.025200000000002</v>
      </c>
      <c r="AF5406">
        <v>-17.575903162609599</v>
      </c>
      <c r="AG5406">
        <v>-2.3123999999999902E-2</v>
      </c>
      <c r="AH5406">
        <v>52.983358809913902</v>
      </c>
      <c r="AI5406">
        <v>90.023734303012503</v>
      </c>
      <c r="AJ5406">
        <v>108.351971705422</v>
      </c>
      <c r="AK5406">
        <v>55.822479499578797</v>
      </c>
      <c r="AL5406">
        <v>79.081295161784794</v>
      </c>
      <c r="AM5406">
        <v>92.389408891305493</v>
      </c>
      <c r="AN5406">
        <v>0.99999997812442598</v>
      </c>
    </row>
    <row r="5407" spans="1:40" x14ac:dyDescent="0.25">
      <c r="A5407" t="str">
        <f>"20190303170401287"</f>
        <v>20190303170401287</v>
      </c>
      <c r="B5407" t="str">
        <f>"1551603841281892"</f>
        <v>1551603841281892</v>
      </c>
      <c r="C5407" t="s">
        <v>40</v>
      </c>
      <c r="D5407">
        <v>4.6840609999999998</v>
      </c>
      <c r="E5407">
        <v>0.39126749999999999</v>
      </c>
      <c r="F5407" t="s">
        <v>77</v>
      </c>
      <c r="G5407">
        <v>-440.75</v>
      </c>
      <c r="H5407">
        <v>1.174688</v>
      </c>
      <c r="I5407">
        <v>114.1661</v>
      </c>
      <c r="J5407">
        <v>-392.05239999999998</v>
      </c>
      <c r="K5407">
        <v>1.1319349999999999</v>
      </c>
      <c r="L5407">
        <v>140.6069</v>
      </c>
      <c r="M5407">
        <v>-0.9834908</v>
      </c>
      <c r="N5407">
        <v>-1.5202709999999999E-2</v>
      </c>
      <c r="O5407">
        <v>-0.18031900000000001</v>
      </c>
      <c r="P5407">
        <v>-0.96062080000000005</v>
      </c>
      <c r="Q5407">
        <v>0.1766375</v>
      </c>
      <c r="R5407">
        <v>-0.21449219999999999</v>
      </c>
      <c r="S5407">
        <v>-2.8018489999999998</v>
      </c>
      <c r="T5407">
        <v>2.4647710000000001E-3</v>
      </c>
      <c r="U5407">
        <v>-1.5073240000000001</v>
      </c>
      <c r="V5407">
        <v>-4.2743349999999999E-2</v>
      </c>
      <c r="W5407">
        <v>0.1905152</v>
      </c>
      <c r="X5407">
        <v>0.98075319999999999</v>
      </c>
      <c r="Y5407">
        <v>-0.3072011</v>
      </c>
      <c r="Z5407">
        <v>-5.1151679999999998E-3</v>
      </c>
      <c r="AA5407">
        <v>0.95163089999999995</v>
      </c>
      <c r="AB5407">
        <v>44</v>
      </c>
      <c r="AC5407">
        <v>-48.697600000000001</v>
      </c>
      <c r="AD5407">
        <v>4.2752999999999798E-2</v>
      </c>
      <c r="AE5407">
        <v>-26.440799999999999</v>
      </c>
      <c r="AF5407">
        <v>-17.225159556513599</v>
      </c>
      <c r="AG5407">
        <v>4.2752999999999798E-2</v>
      </c>
      <c r="AH5407">
        <v>52.667469779911499</v>
      </c>
      <c r="AI5407">
        <v>89.955794149943998</v>
      </c>
      <c r="AJ5407">
        <v>108.11059177611099</v>
      </c>
      <c r="AK5407">
        <v>55.412727081278497</v>
      </c>
      <c r="AL5407">
        <v>79.017147102540093</v>
      </c>
      <c r="AM5407">
        <v>92.495495059809002</v>
      </c>
      <c r="AN5407">
        <v>0.99999993735524895</v>
      </c>
    </row>
    <row r="5408" spans="1:40" x14ac:dyDescent="0.25">
      <c r="A5408" t="str">
        <f>"20190303170401308"</f>
        <v>20190303170401308</v>
      </c>
      <c r="B5408" t="str">
        <f>"1551603841301412"</f>
        <v>1551603841301412</v>
      </c>
      <c r="C5408" t="s">
        <v>40</v>
      </c>
      <c r="D5408">
        <v>4.711627</v>
      </c>
      <c r="E5408">
        <v>0.3915381</v>
      </c>
      <c r="F5408" t="s">
        <v>77</v>
      </c>
      <c r="G5408">
        <v>-440.75</v>
      </c>
      <c r="H5408">
        <v>1.1014949999999999</v>
      </c>
      <c r="I5408">
        <v>113.5046</v>
      </c>
      <c r="J5408">
        <v>-392.44920000000002</v>
      </c>
      <c r="K5408">
        <v>1.1323129999999999</v>
      </c>
      <c r="L5408">
        <v>140.52799999999999</v>
      </c>
      <c r="M5408">
        <v>-0.98161770000000004</v>
      </c>
      <c r="N5408">
        <v>-1.5258580000000001E-2</v>
      </c>
      <c r="O5408">
        <v>-0.1902471</v>
      </c>
      <c r="P5408">
        <v>-0.95818820000000005</v>
      </c>
      <c r="Q5408">
        <v>0.17749110000000001</v>
      </c>
      <c r="R5408">
        <v>-0.22443769999999999</v>
      </c>
      <c r="S5408">
        <v>-2.7781069999999999</v>
      </c>
      <c r="T5408">
        <v>-1.734972E-3</v>
      </c>
      <c r="U5408">
        <v>-1.546127</v>
      </c>
      <c r="V5408">
        <v>-4.3232649999999997E-2</v>
      </c>
      <c r="W5408">
        <v>0.19137319999999999</v>
      </c>
      <c r="X5408">
        <v>0.98056480000000001</v>
      </c>
      <c r="Y5408">
        <v>-0.31117230000000001</v>
      </c>
      <c r="Z5408">
        <v>-5.2748980000000001E-3</v>
      </c>
      <c r="AA5408">
        <v>0.95033880000000004</v>
      </c>
      <c r="AB5408">
        <v>44</v>
      </c>
      <c r="AC5408">
        <v>-48.300799999999903</v>
      </c>
      <c r="AD5408">
        <v>-3.08179999999997E-2</v>
      </c>
      <c r="AE5408">
        <v>-27.023399999999899</v>
      </c>
      <c r="AF5408">
        <v>-17.339573105097799</v>
      </c>
      <c r="AG5408">
        <v>-3.08179999999997E-2</v>
      </c>
      <c r="AH5408">
        <v>52.560143961328698</v>
      </c>
      <c r="AI5408">
        <v>90.031903421994102</v>
      </c>
      <c r="AJ5408">
        <v>108.25770480907801</v>
      </c>
      <c r="AK5408">
        <v>55.346458589974397</v>
      </c>
      <c r="AL5408">
        <v>78.967067075249901</v>
      </c>
      <c r="AM5408">
        <v>92.524509565460207</v>
      </c>
      <c r="AN5408">
        <v>1.00000004535165</v>
      </c>
    </row>
    <row r="5409" spans="1:40" x14ac:dyDescent="0.25">
      <c r="A5409" t="str">
        <f>"20190303170401329"</f>
        <v>20190303170401329</v>
      </c>
      <c r="B5409" t="str">
        <f>"1551603841320931"</f>
        <v>1551603841320931</v>
      </c>
      <c r="C5409" t="s">
        <v>40</v>
      </c>
      <c r="D5409">
        <v>4.7454049999999999</v>
      </c>
      <c r="E5409">
        <v>0.39176620000000001</v>
      </c>
      <c r="F5409" t="s">
        <v>77</v>
      </c>
      <c r="G5409">
        <v>-440.75</v>
      </c>
      <c r="H5409">
        <v>1.19631</v>
      </c>
      <c r="I5409">
        <v>113.0147</v>
      </c>
      <c r="J5409">
        <v>-392.8553</v>
      </c>
      <c r="K5409">
        <v>1.1326689999999999</v>
      </c>
      <c r="L5409">
        <v>140.44280000000001</v>
      </c>
      <c r="M5409">
        <v>-0.97952260000000002</v>
      </c>
      <c r="N5409">
        <v>-1.531533E-2</v>
      </c>
      <c r="O5409">
        <v>-0.20075119999999999</v>
      </c>
      <c r="P5409">
        <v>-0.95539359999999995</v>
      </c>
      <c r="Q5409">
        <v>0.1781866</v>
      </c>
      <c r="R5409">
        <v>-0.2355266</v>
      </c>
      <c r="S5409">
        <v>-2.7617189999999998</v>
      </c>
      <c r="T5409">
        <v>3.6607979999999998E-3</v>
      </c>
      <c r="U5409">
        <v>-1.573135</v>
      </c>
      <c r="V5409">
        <v>-4.4319789999999998E-2</v>
      </c>
      <c r="W5409">
        <v>0.192056</v>
      </c>
      <c r="X5409">
        <v>0.98038270000000005</v>
      </c>
      <c r="Y5409">
        <v>-0.31044080000000002</v>
      </c>
      <c r="Z5409">
        <v>-5.5143880000000003E-3</v>
      </c>
      <c r="AA5409">
        <v>0.95057670000000005</v>
      </c>
      <c r="AB5409">
        <v>44</v>
      </c>
      <c r="AC5409">
        <v>-47.8947</v>
      </c>
      <c r="AD5409">
        <v>6.3640999999999795E-2</v>
      </c>
      <c r="AE5409">
        <v>-27.428100000000001</v>
      </c>
      <c r="AF5409">
        <v>-17.253524895016799</v>
      </c>
      <c r="AG5409">
        <v>6.3640999999999795E-2</v>
      </c>
      <c r="AH5409">
        <v>52.426240911011597</v>
      </c>
      <c r="AI5409">
        <v>89.933933607253806</v>
      </c>
      <c r="AJ5409">
        <v>108.216423702798</v>
      </c>
      <c r="AK5409">
        <v>55.192380883046397</v>
      </c>
      <c r="AL5409">
        <v>78.927205557927493</v>
      </c>
      <c r="AM5409">
        <v>92.588386356543296</v>
      </c>
      <c r="AN5409">
        <v>0.99999999469046696</v>
      </c>
    </row>
    <row r="5410" spans="1:40" x14ac:dyDescent="0.25">
      <c r="A5410" t="str">
        <f>"20190303170401352"</f>
        <v>20190303170401352</v>
      </c>
      <c r="B5410" t="str">
        <f>"1551603841341428"</f>
        <v>1551603841341428</v>
      </c>
      <c r="C5410" t="s">
        <v>40</v>
      </c>
      <c r="D5410">
        <v>4.7581089999999904</v>
      </c>
      <c r="E5410">
        <v>0.39777679999999999</v>
      </c>
      <c r="F5410" t="s">
        <v>77</v>
      </c>
      <c r="G5410">
        <v>-440.75</v>
      </c>
      <c r="H5410">
        <v>1.2423949999999999</v>
      </c>
      <c r="I5410">
        <v>112.4413</v>
      </c>
      <c r="J5410">
        <v>-393.27390000000003</v>
      </c>
      <c r="K5410">
        <v>1.133041</v>
      </c>
      <c r="L5410">
        <v>140.3503</v>
      </c>
      <c r="M5410">
        <v>-0.97716150000000002</v>
      </c>
      <c r="N5410">
        <v>-1.5372439999999999E-2</v>
      </c>
      <c r="O5410">
        <v>-0.2119412</v>
      </c>
      <c r="P5410">
        <v>-0.95271810000000001</v>
      </c>
      <c r="Q5410">
        <v>0.17855879999999999</v>
      </c>
      <c r="R5410">
        <v>-0.24585560000000001</v>
      </c>
      <c r="S5410">
        <v>-2.7435</v>
      </c>
      <c r="T5410">
        <v>6.286621E-3</v>
      </c>
      <c r="U5410">
        <v>-1.6039730000000001</v>
      </c>
      <c r="V5410">
        <v>-4.3926840000000002E-2</v>
      </c>
      <c r="W5410">
        <v>0.1924584</v>
      </c>
      <c r="X5410">
        <v>0.98032149999999996</v>
      </c>
      <c r="Y5410">
        <v>-0.31028600000000001</v>
      </c>
      <c r="Z5410">
        <v>-5.7598390000000001E-3</v>
      </c>
      <c r="AA5410">
        <v>0.95062579999999997</v>
      </c>
      <c r="AB5410">
        <v>44</v>
      </c>
      <c r="AC5410">
        <v>-47.476099999999903</v>
      </c>
      <c r="AD5410">
        <v>0.10935400000000001</v>
      </c>
      <c r="AE5410">
        <v>-27.908999999999999</v>
      </c>
      <c r="AF5410">
        <v>-17.211424757670901</v>
      </c>
      <c r="AG5410">
        <v>0.10935400000000001</v>
      </c>
      <c r="AH5410">
        <v>52.312859734178602</v>
      </c>
      <c r="AI5410">
        <v>89.886229425931305</v>
      </c>
      <c r="AJ5410">
        <v>108.211693667554</v>
      </c>
      <c r="AK5410">
        <v>55.071593349513002</v>
      </c>
      <c r="AL5410">
        <v>78.903711763348497</v>
      </c>
      <c r="AM5410">
        <v>92.565627838256503</v>
      </c>
      <c r="AN5410">
        <v>1.0000000231825901</v>
      </c>
    </row>
    <row r="5411" spans="1:40" x14ac:dyDescent="0.25">
      <c r="A5411" t="str">
        <f>"20190303170401376"</f>
        <v>20190303170401376</v>
      </c>
      <c r="B5411" t="str">
        <f>"1551603841370707"</f>
        <v>1551603841370707</v>
      </c>
      <c r="C5411" t="s">
        <v>40</v>
      </c>
      <c r="D5411">
        <v>4.7623110000000004</v>
      </c>
      <c r="E5411">
        <v>0.39941290000000002</v>
      </c>
      <c r="F5411" t="s">
        <v>77</v>
      </c>
      <c r="G5411">
        <v>-440.75</v>
      </c>
      <c r="H5411">
        <v>0.93843639999999995</v>
      </c>
      <c r="I5411">
        <v>112.8139</v>
      </c>
      <c r="J5411">
        <v>-393.72739999999999</v>
      </c>
      <c r="K5411">
        <v>1.133446</v>
      </c>
      <c r="L5411">
        <v>140.24430000000001</v>
      </c>
      <c r="M5411">
        <v>-0.97435720000000003</v>
      </c>
      <c r="N5411">
        <v>-1.543576E-2</v>
      </c>
      <c r="O5411">
        <v>-0.2244775</v>
      </c>
      <c r="P5411">
        <v>-0.94953799999999999</v>
      </c>
      <c r="Q5411">
        <v>0.17860719999999999</v>
      </c>
      <c r="R5411">
        <v>-0.25783270000000003</v>
      </c>
      <c r="S5411">
        <v>-2.7407840000000001</v>
      </c>
      <c r="T5411">
        <v>-1.1232850000000001E-2</v>
      </c>
      <c r="U5411">
        <v>-1.589661</v>
      </c>
      <c r="V5411">
        <v>-4.3873839999999997E-2</v>
      </c>
      <c r="W5411">
        <v>0.19253190000000001</v>
      </c>
      <c r="X5411">
        <v>0.9803094</v>
      </c>
      <c r="Y5411">
        <v>-0.29470740000000001</v>
      </c>
      <c r="Z5411">
        <v>-5.4570469999999996E-3</v>
      </c>
      <c r="AA5411">
        <v>0.95557190000000003</v>
      </c>
      <c r="AB5411">
        <v>44</v>
      </c>
      <c r="AC5411">
        <v>-47.022599999999997</v>
      </c>
      <c r="AD5411">
        <v>-0.19500960000000001</v>
      </c>
      <c r="AE5411">
        <v>-27.430399999999999</v>
      </c>
      <c r="AF5411">
        <v>-16.173208442898801</v>
      </c>
      <c r="AG5411">
        <v>-0.19500960000000001</v>
      </c>
      <c r="AH5411">
        <v>51.979832892750899</v>
      </c>
      <c r="AI5411">
        <v>90.205246651749306</v>
      </c>
      <c r="AJ5411">
        <v>107.28321174926501</v>
      </c>
      <c r="AK5411">
        <v>54.438164256703701</v>
      </c>
      <c r="AL5411">
        <v>78.899419812452095</v>
      </c>
      <c r="AM5411">
        <v>92.562567992029798</v>
      </c>
      <c r="AN5411">
        <v>0.999999983041157</v>
      </c>
    </row>
    <row r="5412" spans="1:40" x14ac:dyDescent="0.25">
      <c r="A5412" t="str">
        <f>"20190303170401398"</f>
        <v>20190303170401398</v>
      </c>
      <c r="B5412" t="str">
        <f>"1551603841391204"</f>
        <v>1551603841391204</v>
      </c>
      <c r="C5412" t="s">
        <v>40</v>
      </c>
      <c r="D5412">
        <v>4.7725</v>
      </c>
      <c r="E5412">
        <v>0.3996653</v>
      </c>
      <c r="F5412" t="s">
        <v>77</v>
      </c>
      <c r="G5412">
        <v>-440.75</v>
      </c>
      <c r="H5412">
        <v>0.90785389999999999</v>
      </c>
      <c r="I5412">
        <v>112.3916</v>
      </c>
      <c r="J5412">
        <v>-394.12270000000001</v>
      </c>
      <c r="K5412">
        <v>1.1337809999999999</v>
      </c>
      <c r="L5412">
        <v>140.1465</v>
      </c>
      <c r="M5412">
        <v>-0.97168739999999998</v>
      </c>
      <c r="N5412">
        <v>-1.5493969999999999E-2</v>
      </c>
      <c r="O5412">
        <v>-0.23576179999999999</v>
      </c>
      <c r="P5412">
        <v>-0.9462758</v>
      </c>
      <c r="Q5412">
        <v>0.17897479999999999</v>
      </c>
      <c r="R5412">
        <v>-0.26931440000000001</v>
      </c>
      <c r="S5412">
        <v>-2.7237550000000001</v>
      </c>
      <c r="T5412">
        <v>-1.30657E-2</v>
      </c>
      <c r="U5412">
        <v>-1.6133420000000001</v>
      </c>
      <c r="V5412">
        <v>-4.4573109999999999E-2</v>
      </c>
      <c r="W5412">
        <v>0.1929015</v>
      </c>
      <c r="X5412">
        <v>0.9802052</v>
      </c>
      <c r="Y5412">
        <v>-0.29238429999999999</v>
      </c>
      <c r="Z5412">
        <v>-5.5301980000000001E-3</v>
      </c>
      <c r="AA5412">
        <v>0.95628489999999999</v>
      </c>
      <c r="AB5412">
        <v>44</v>
      </c>
      <c r="AC5412">
        <v>-46.627299999999899</v>
      </c>
      <c r="AD5412">
        <v>-0.22592709999999899</v>
      </c>
      <c r="AE5412">
        <v>-27.754899999999999</v>
      </c>
      <c r="AF5412">
        <v>-15.9777907058479</v>
      </c>
      <c r="AG5412">
        <v>-0.22592709999999899</v>
      </c>
      <c r="AH5412">
        <v>51.856028579188198</v>
      </c>
      <c r="AI5412">
        <v>90.238558368340406</v>
      </c>
      <c r="AJ5412">
        <v>107.125022264823</v>
      </c>
      <c r="AK5412">
        <v>54.262220180342503</v>
      </c>
      <c r="AL5412">
        <v>78.877838848794795</v>
      </c>
      <c r="AM5412">
        <v>92.603631326968895</v>
      </c>
      <c r="AN5412">
        <v>0.99999999247218097</v>
      </c>
    </row>
    <row r="5413" spans="1:40" x14ac:dyDescent="0.25">
      <c r="A5413" t="str">
        <f>"20190303170401420"</f>
        <v>20190303170401420</v>
      </c>
      <c r="B5413" t="str">
        <f>"1551603841410724"</f>
        <v>1551603841410724</v>
      </c>
      <c r="C5413" t="s">
        <v>40</v>
      </c>
      <c r="D5413">
        <v>4.7744739999999997</v>
      </c>
      <c r="E5413">
        <v>0.40418880000000001</v>
      </c>
      <c r="F5413" t="s">
        <v>77</v>
      </c>
      <c r="G5413">
        <v>-440.75</v>
      </c>
      <c r="H5413">
        <v>0.92125699999999999</v>
      </c>
      <c r="I5413">
        <v>111.7941</v>
      </c>
      <c r="J5413">
        <v>-394.53870000000001</v>
      </c>
      <c r="K5413">
        <v>1.134112</v>
      </c>
      <c r="L5413">
        <v>140.03829999999999</v>
      </c>
      <c r="M5413">
        <v>-0.96865020000000002</v>
      </c>
      <c r="N5413">
        <v>-1.5555980000000001E-2</v>
      </c>
      <c r="O5413">
        <v>-0.24794150000000001</v>
      </c>
      <c r="P5413">
        <v>-0.9426407</v>
      </c>
      <c r="Q5413">
        <v>0.1785437</v>
      </c>
      <c r="R5413">
        <v>-0.28204800000000002</v>
      </c>
      <c r="S5413">
        <v>-2.7046199999999998</v>
      </c>
      <c r="T5413">
        <v>-1.2326E-2</v>
      </c>
      <c r="U5413">
        <v>-1.644577</v>
      </c>
      <c r="V5413">
        <v>-4.5618409999999998E-2</v>
      </c>
      <c r="W5413">
        <v>0.1924659</v>
      </c>
      <c r="X5413">
        <v>0.98024270000000002</v>
      </c>
      <c r="Y5413">
        <v>-0.29144550000000002</v>
      </c>
      <c r="Z5413">
        <v>-5.6987119999999999E-3</v>
      </c>
      <c r="AA5413">
        <v>0.95657040000000004</v>
      </c>
      <c r="AB5413">
        <v>43</v>
      </c>
      <c r="AC5413">
        <v>-46.211300000000001</v>
      </c>
      <c r="AD5413">
        <v>-0.21285499999999999</v>
      </c>
      <c r="AE5413">
        <v>-28.2441999999999</v>
      </c>
      <c r="AF5413">
        <v>-15.9027281088729</v>
      </c>
      <c r="AG5413">
        <v>-0.21285499999999999</v>
      </c>
      <c r="AH5413">
        <v>51.770954285416103</v>
      </c>
      <c r="AI5413">
        <v>90.225184612161101</v>
      </c>
      <c r="AJ5413">
        <v>107.07563396571101</v>
      </c>
      <c r="AK5413">
        <v>54.1587830012677</v>
      </c>
      <c r="AL5413">
        <v>78.903273108180301</v>
      </c>
      <c r="AM5413">
        <v>92.664501234816896</v>
      </c>
      <c r="AN5413">
        <v>0.99999995644851303</v>
      </c>
    </row>
    <row r="5414" spans="1:40" x14ac:dyDescent="0.25">
      <c r="A5414" t="str">
        <f>"20190303170401441"</f>
        <v>20190303170401441</v>
      </c>
      <c r="B5414" t="str">
        <f>"1551603841431219"</f>
        <v>1551603841431219</v>
      </c>
      <c r="C5414" t="s">
        <v>40</v>
      </c>
      <c r="D5414">
        <v>4.769177</v>
      </c>
      <c r="E5414">
        <v>0.40460940000000001</v>
      </c>
      <c r="F5414" t="s">
        <v>77</v>
      </c>
      <c r="G5414">
        <v>-440.75</v>
      </c>
      <c r="H5414">
        <v>0.68998909999999902</v>
      </c>
      <c r="I5414">
        <v>111.76300000000001</v>
      </c>
      <c r="J5414">
        <v>-394.94729999999998</v>
      </c>
      <c r="K5414">
        <v>1.1344259999999999</v>
      </c>
      <c r="L5414">
        <v>139.92670000000001</v>
      </c>
      <c r="M5414">
        <v>-0.9654315</v>
      </c>
      <c r="N5414">
        <v>-1.561444E-2</v>
      </c>
      <c r="O5414">
        <v>-0.26018869999999999</v>
      </c>
      <c r="P5414">
        <v>-0.93887149999999997</v>
      </c>
      <c r="Q5414">
        <v>0.17960690000000001</v>
      </c>
      <c r="R5414">
        <v>-0.29370420000000003</v>
      </c>
      <c r="S5414">
        <v>-2.6942140000000001</v>
      </c>
      <c r="T5414">
        <v>-2.589166E-2</v>
      </c>
      <c r="U5414">
        <v>-1.6484989999999999</v>
      </c>
      <c r="V5414">
        <v>-4.5590720000000001E-2</v>
      </c>
      <c r="W5414">
        <v>0.19355320000000001</v>
      </c>
      <c r="X5414">
        <v>0.98002990000000001</v>
      </c>
      <c r="Y5414">
        <v>-0.28194449999999999</v>
      </c>
      <c r="Z5414">
        <v>-5.2387299999999996E-3</v>
      </c>
      <c r="AA5414">
        <v>0.95941639999999995</v>
      </c>
      <c r="AB5414">
        <v>43</v>
      </c>
      <c r="AC5414">
        <v>-45.802700000000002</v>
      </c>
      <c r="AD5414">
        <v>-0.44443690000000002</v>
      </c>
      <c r="AE5414">
        <v>-28.163699999999999</v>
      </c>
      <c r="AF5414">
        <v>-15.2735971903278</v>
      </c>
      <c r="AG5414">
        <v>-0.44443690000000002</v>
      </c>
      <c r="AH5414">
        <v>51.550010145619098</v>
      </c>
      <c r="AI5414">
        <v>90.473611639451605</v>
      </c>
      <c r="AJ5414">
        <v>106.503871049019</v>
      </c>
      <c r="AK5414">
        <v>53.766940040362201</v>
      </c>
      <c r="AL5414">
        <v>78.839781826952802</v>
      </c>
      <c r="AM5414">
        <v>92.663463609690993</v>
      </c>
      <c r="AN5414">
        <v>0.99999997993718304</v>
      </c>
    </row>
    <row r="5415" spans="1:40" x14ac:dyDescent="0.25">
      <c r="A5415" t="str">
        <f>"20190303170401464"</f>
        <v>20190303170401464</v>
      </c>
      <c r="B5415" t="str">
        <f>"1551603841450739"</f>
        <v>1551603841450739</v>
      </c>
      <c r="C5415" t="s">
        <v>40</v>
      </c>
      <c r="D5415">
        <v>4.7694039999999998</v>
      </c>
      <c r="E5415">
        <v>0.40558349999999999</v>
      </c>
      <c r="F5415" t="s">
        <v>77</v>
      </c>
      <c r="G5415">
        <v>-440.75</v>
      </c>
      <c r="H5415">
        <v>0.69418800000000003</v>
      </c>
      <c r="I5415">
        <v>111.15940000000001</v>
      </c>
      <c r="J5415">
        <v>-395.35149999999999</v>
      </c>
      <c r="K5415">
        <v>1.134719</v>
      </c>
      <c r="L5415">
        <v>139.8108</v>
      </c>
      <c r="M5415">
        <v>-0.96200589999999997</v>
      </c>
      <c r="N5415">
        <v>-1.5670150000000001E-2</v>
      </c>
      <c r="O5415">
        <v>-0.27257870000000001</v>
      </c>
      <c r="P5415">
        <v>-0.93563649999999998</v>
      </c>
      <c r="Q5415">
        <v>0.179389299999999</v>
      </c>
      <c r="R5415">
        <v>-0.30397970000000002</v>
      </c>
      <c r="S5415">
        <v>-2.674744</v>
      </c>
      <c r="T5415">
        <v>-2.570689E-2</v>
      </c>
      <c r="U5415">
        <v>-1.679916</v>
      </c>
      <c r="V5415">
        <v>-4.38623E-2</v>
      </c>
      <c r="W5415">
        <v>0.19341939999999999</v>
      </c>
      <c r="X5415">
        <v>0.98013519999999998</v>
      </c>
      <c r="Y5415">
        <v>-0.28083730000000001</v>
      </c>
      <c r="Z5415">
        <v>-5.3361759999999998E-3</v>
      </c>
      <c r="AA5415">
        <v>0.95974060000000005</v>
      </c>
      <c r="AB5415">
        <v>43</v>
      </c>
      <c r="AC5415">
        <v>-45.398499999999999</v>
      </c>
      <c r="AD5415">
        <v>-0.44053100000000001</v>
      </c>
      <c r="AE5415">
        <v>-28.651399999999899</v>
      </c>
      <c r="AF5415">
        <v>-15.1889936057712</v>
      </c>
      <c r="AG5415">
        <v>-0.44053100000000001</v>
      </c>
      <c r="AH5415">
        <v>51.486239924193796</v>
      </c>
      <c r="AI5415">
        <v>90.470194072712303</v>
      </c>
      <c r="AJ5415">
        <v>106.43662517819401</v>
      </c>
      <c r="AK5415">
        <v>53.681770610233897</v>
      </c>
      <c r="AL5415">
        <v>78.847595751326807</v>
      </c>
      <c r="AM5415">
        <v>92.562349586122593</v>
      </c>
      <c r="AN5415">
        <v>0.999999987968344</v>
      </c>
    </row>
    <row r="5416" spans="1:40" x14ac:dyDescent="0.25">
      <c r="A5416" t="str">
        <f>"20190303170401486"</f>
        <v>20190303170401486</v>
      </c>
      <c r="B5416" t="str">
        <f>"1551603841480996"</f>
        <v>1551603841480996</v>
      </c>
      <c r="C5416" t="s">
        <v>40</v>
      </c>
      <c r="D5416">
        <v>4.7478939999999996</v>
      </c>
      <c r="E5416">
        <v>0.411943</v>
      </c>
      <c r="F5416" t="s">
        <v>77</v>
      </c>
      <c r="G5416">
        <v>-440.75</v>
      </c>
      <c r="H5416">
        <v>0.68225839999999904</v>
      </c>
      <c r="I5416">
        <v>110.72280000000001</v>
      </c>
      <c r="J5416">
        <v>-395.76609999999999</v>
      </c>
      <c r="K5416">
        <v>1.1350039999999999</v>
      </c>
      <c r="L5416">
        <v>139.68610000000001</v>
      </c>
      <c r="M5416">
        <v>-0.95823239999999998</v>
      </c>
      <c r="N5416">
        <v>-1.5726529999999999E-2</v>
      </c>
      <c r="O5416">
        <v>-0.28555829999999999</v>
      </c>
      <c r="P5416">
        <v>-0.9319075</v>
      </c>
      <c r="Q5416">
        <v>0.1779878</v>
      </c>
      <c r="R5416">
        <v>-0.3160212</v>
      </c>
      <c r="S5416">
        <v>-2.658112</v>
      </c>
      <c r="T5416">
        <v>-2.649021E-2</v>
      </c>
      <c r="U5416">
        <v>-1.7031099999999999</v>
      </c>
      <c r="V5416">
        <v>-4.3275290000000001E-2</v>
      </c>
      <c r="W5416">
        <v>0.19206860000000001</v>
      </c>
      <c r="X5416">
        <v>0.98042689999999999</v>
      </c>
      <c r="Y5416">
        <v>-0.27651940000000003</v>
      </c>
      <c r="Z5416">
        <v>-5.3545140000000003E-3</v>
      </c>
      <c r="AA5416">
        <v>0.9609934</v>
      </c>
      <c r="AB5416">
        <v>43</v>
      </c>
      <c r="AC5416">
        <v>-44.983899999999998</v>
      </c>
      <c r="AD5416">
        <v>-0.45274560000000003</v>
      </c>
      <c r="AE5416">
        <v>-28.9633</v>
      </c>
      <c r="AF5416">
        <v>-14.9088212529694</v>
      </c>
      <c r="AG5416">
        <v>-0.45274560000000003</v>
      </c>
      <c r="AH5416">
        <v>51.378411242678503</v>
      </c>
      <c r="AI5416">
        <v>90.484875922595904</v>
      </c>
      <c r="AJ5416">
        <v>106.18150087292</v>
      </c>
      <c r="AK5416">
        <v>53.499710948313599</v>
      </c>
      <c r="AL5416">
        <v>78.926470018211504</v>
      </c>
      <c r="AM5416">
        <v>92.527351210808305</v>
      </c>
      <c r="AN5416">
        <v>1.0000000020370701</v>
      </c>
    </row>
    <row r="5417" spans="1:40" x14ac:dyDescent="0.25">
      <c r="A5417" t="str">
        <f>"20190303170401509"</f>
        <v>20190303170401509</v>
      </c>
      <c r="B5417" t="str">
        <f>"1551603841501492"</f>
        <v>1551603841501492</v>
      </c>
      <c r="C5417" t="s">
        <v>40</v>
      </c>
      <c r="D5417">
        <v>4.7783600000000002</v>
      </c>
      <c r="E5417">
        <v>0.4127016</v>
      </c>
      <c r="F5417" t="s">
        <v>77</v>
      </c>
      <c r="G5417">
        <v>-440.75</v>
      </c>
      <c r="H5417">
        <v>0.24615890000000001</v>
      </c>
      <c r="I5417">
        <v>111.0266</v>
      </c>
      <c r="J5417">
        <v>-396.17520000000002</v>
      </c>
      <c r="K5417">
        <v>1.135267</v>
      </c>
      <c r="L5417">
        <v>139.55719999999999</v>
      </c>
      <c r="M5417">
        <v>-0.95424279999999995</v>
      </c>
      <c r="N5417">
        <v>-1.5782170000000002E-2</v>
      </c>
      <c r="O5417">
        <v>-0.29861650000000001</v>
      </c>
      <c r="P5417">
        <v>-0.92770220000000003</v>
      </c>
      <c r="Q5417">
        <v>0.17511470000000001</v>
      </c>
      <c r="R5417">
        <v>-0.329702299999999</v>
      </c>
      <c r="S5417">
        <v>-2.6554869999999999</v>
      </c>
      <c r="T5417">
        <v>-5.2468540000000001E-2</v>
      </c>
      <c r="U5417">
        <v>-1.691818</v>
      </c>
      <c r="V5417">
        <v>-4.419704E-2</v>
      </c>
      <c r="W5417">
        <v>0.1891978</v>
      </c>
      <c r="X5417">
        <v>0.98094389999999998</v>
      </c>
      <c r="Y5417">
        <v>-0.2608452</v>
      </c>
      <c r="Z5417">
        <v>-3.847297E-3</v>
      </c>
      <c r="AA5417">
        <v>0.96537300000000004</v>
      </c>
      <c r="AB5417">
        <v>43</v>
      </c>
      <c r="AC5417">
        <v>-44.574799999999897</v>
      </c>
      <c r="AD5417">
        <v>-0.88910809999999996</v>
      </c>
      <c r="AE5417">
        <v>-28.5306</v>
      </c>
      <c r="AF5417">
        <v>-13.912154091312299</v>
      </c>
      <c r="AG5417">
        <v>-0.88910809999999996</v>
      </c>
      <c r="AH5417">
        <v>51.046836754018599</v>
      </c>
      <c r="AI5417">
        <v>90.962740989052605</v>
      </c>
      <c r="AJ5417">
        <v>105.244973578353</v>
      </c>
      <c r="AK5417">
        <v>52.916142029302698</v>
      </c>
      <c r="AL5417">
        <v>79.094028232934093</v>
      </c>
      <c r="AM5417">
        <v>92.579752429861799</v>
      </c>
      <c r="AN5417">
        <v>1.0000000604084001</v>
      </c>
    </row>
    <row r="5418" spans="1:40" x14ac:dyDescent="0.25">
      <c r="A5418" t="str">
        <f>"20190303170401530"</f>
        <v>20190303170401530</v>
      </c>
      <c r="B5418" t="str">
        <f>"1551603841521012"</f>
        <v>1551603841521012</v>
      </c>
      <c r="C5418" t="s">
        <v>40</v>
      </c>
      <c r="D5418">
        <v>4.7630839999999903</v>
      </c>
      <c r="E5418">
        <v>0.41382740000000001</v>
      </c>
      <c r="F5418" t="s">
        <v>44</v>
      </c>
      <c r="G5418">
        <v>-443.62650000000002</v>
      </c>
      <c r="H5418">
        <v>-0.05</v>
      </c>
      <c r="I5418">
        <v>108.49760000000001</v>
      </c>
      <c r="J5418">
        <v>-396.56790000000001</v>
      </c>
      <c r="K5418">
        <v>1.135513</v>
      </c>
      <c r="L5418">
        <v>139.42769999999999</v>
      </c>
      <c r="M5418">
        <v>-0.950152</v>
      </c>
      <c r="N5418">
        <v>-1.5835490000000001E-2</v>
      </c>
      <c r="O5418">
        <v>-0.31138470000000001</v>
      </c>
      <c r="P5418">
        <v>-0.92303840000000004</v>
      </c>
      <c r="Q5418">
        <v>0.17262269999999999</v>
      </c>
      <c r="R5418">
        <v>-0.34380490000000002</v>
      </c>
      <c r="S5418">
        <v>-2.6336059999999999</v>
      </c>
      <c r="T5418">
        <v>-6.5783739999999993E-2</v>
      </c>
      <c r="U5418">
        <v>-1.723846</v>
      </c>
      <c r="V5418">
        <v>-4.5893580000000003E-2</v>
      </c>
      <c r="W5418">
        <v>0.18667810000000001</v>
      </c>
      <c r="X5418">
        <v>0.98134860000000002</v>
      </c>
      <c r="Y5418">
        <v>-0.25976759999999999</v>
      </c>
      <c r="Z5418">
        <v>-3.0374400000000002E-3</v>
      </c>
      <c r="AA5418">
        <v>0.96566640000000004</v>
      </c>
      <c r="AB5418">
        <v>43</v>
      </c>
      <c r="AC5418">
        <v>-47.058599999999998</v>
      </c>
      <c r="AD5418">
        <v>-1.18551299999999</v>
      </c>
      <c r="AE5418">
        <v>-30.9300999999999</v>
      </c>
      <c r="AF5418">
        <v>-14.7302877056011</v>
      </c>
      <c r="AG5418">
        <v>-1.18551299999999</v>
      </c>
      <c r="AH5418">
        <v>54.326720216377502</v>
      </c>
      <c r="AI5418">
        <v>91.206553367567906</v>
      </c>
      <c r="AJ5418">
        <v>105.17057505319499</v>
      </c>
      <c r="AK5418">
        <v>56.300793479590602</v>
      </c>
      <c r="AL5418">
        <v>79.241015014221801</v>
      </c>
      <c r="AM5418">
        <v>92.677533756329396</v>
      </c>
      <c r="AN5418">
        <v>1.0000000042133901</v>
      </c>
    </row>
    <row r="5419" spans="1:40" x14ac:dyDescent="0.25">
      <c r="A5419" t="str">
        <f>"20190303170401554"</f>
        <v>20190303170401554</v>
      </c>
      <c r="B5419" t="str">
        <f>"1551603841541509"</f>
        <v>1551603841541509</v>
      </c>
      <c r="C5419" t="s">
        <v>40</v>
      </c>
      <c r="D5419">
        <v>4.7634480000000003</v>
      </c>
      <c r="E5419">
        <v>0.4144853</v>
      </c>
      <c r="F5419" t="s">
        <v>42</v>
      </c>
      <c r="G5419">
        <v>-432.52080000000001</v>
      </c>
      <c r="H5419">
        <v>7.9986749999999995E-2</v>
      </c>
      <c r="I5419">
        <v>115.2495</v>
      </c>
      <c r="J5419">
        <v>-396.97239999999999</v>
      </c>
      <c r="K5419">
        <v>1.1357630000000001</v>
      </c>
      <c r="L5419">
        <v>139.2884</v>
      </c>
      <c r="M5419">
        <v>-0.94566539999999999</v>
      </c>
      <c r="N5419">
        <v>-1.5889839999999999E-2</v>
      </c>
      <c r="O5419">
        <v>-0.32475300000000001</v>
      </c>
      <c r="P5419">
        <v>-0.91733600000000004</v>
      </c>
      <c r="Q5419">
        <v>0.17272750000000001</v>
      </c>
      <c r="R5419">
        <v>-0.3586917</v>
      </c>
      <c r="S5419">
        <v>-2.6105649999999998</v>
      </c>
      <c r="T5419">
        <v>-7.6642390000000005E-2</v>
      </c>
      <c r="U5419">
        <v>-1.7556</v>
      </c>
      <c r="V5419">
        <v>-4.8068439999999997E-2</v>
      </c>
      <c r="W5419">
        <v>0.18673010000000001</v>
      </c>
      <c r="X5419">
        <v>0.98123459999999996</v>
      </c>
      <c r="Y5419">
        <v>-0.25815979999999999</v>
      </c>
      <c r="Z5419">
        <v>-2.24873E-3</v>
      </c>
      <c r="AA5419">
        <v>0.96609959999999995</v>
      </c>
      <c r="AB5419">
        <v>43</v>
      </c>
      <c r="AC5419">
        <v>-35.548400000000001</v>
      </c>
      <c r="AD5419">
        <v>-1.0557762500000001</v>
      </c>
      <c r="AE5419">
        <v>-24.038900000000002</v>
      </c>
      <c r="AF5419">
        <v>-11.182950045664301</v>
      </c>
      <c r="AG5419">
        <v>-1.0557762500000001</v>
      </c>
      <c r="AH5419">
        <v>41.403765281607903</v>
      </c>
      <c r="AI5419">
        <v>91.410187850845602</v>
      </c>
      <c r="AJ5419">
        <v>105.114648339423</v>
      </c>
      <c r="AK5419">
        <v>42.9004057639129</v>
      </c>
      <c r="AL5419">
        <v>79.237982508534202</v>
      </c>
      <c r="AM5419">
        <v>92.804547249686294</v>
      </c>
      <c r="AN5419">
        <v>1.0000000227035999</v>
      </c>
    </row>
    <row r="5420" spans="1:40" x14ac:dyDescent="0.25">
      <c r="A5420" t="str">
        <f>"20190303170401576"</f>
        <v>20190303170401576</v>
      </c>
      <c r="B5420" t="str">
        <f>"1551603841570788"</f>
        <v>1551603841570788</v>
      </c>
      <c r="C5420" t="s">
        <v>40</v>
      </c>
      <c r="D5420">
        <v>4.7401400000000002</v>
      </c>
      <c r="E5420">
        <v>0.42276360000000002</v>
      </c>
      <c r="F5420" t="s">
        <v>42</v>
      </c>
      <c r="G5420">
        <v>-431.4631</v>
      </c>
      <c r="H5420">
        <v>7.9986680000000004E-2</v>
      </c>
      <c r="I5420">
        <v>115.34829999999999</v>
      </c>
      <c r="J5420">
        <v>-397.37439999999998</v>
      </c>
      <c r="K5420">
        <v>1.1360049999999999</v>
      </c>
      <c r="L5420">
        <v>139.14359999999999</v>
      </c>
      <c r="M5420">
        <v>-0.94092070000000005</v>
      </c>
      <c r="N5420">
        <v>-1.5942709999999999E-2</v>
      </c>
      <c r="O5420">
        <v>-0.33825179999999999</v>
      </c>
      <c r="P5420">
        <v>-0.91111759999999997</v>
      </c>
      <c r="Q5420">
        <v>0.17446619999999999</v>
      </c>
      <c r="R5420">
        <v>-0.37339909999999998</v>
      </c>
      <c r="S5420">
        <v>-2.5839539999999999</v>
      </c>
      <c r="T5420">
        <v>-7.9096079999999999E-2</v>
      </c>
      <c r="U5420">
        <v>-1.793533</v>
      </c>
      <c r="V5420">
        <v>-5.0104080000000002E-2</v>
      </c>
      <c r="W5420">
        <v>0.18841530000000001</v>
      </c>
      <c r="X5420">
        <v>0.98081050000000003</v>
      </c>
      <c r="Y5420">
        <v>-0.25856079999999998</v>
      </c>
      <c r="Z5420">
        <v>-1.973556E-3</v>
      </c>
      <c r="AA5420">
        <v>0.96599299999999999</v>
      </c>
      <c r="AB5420">
        <v>43</v>
      </c>
      <c r="AC5420">
        <v>-34.088700000000003</v>
      </c>
      <c r="AD5420">
        <v>-1.05601832</v>
      </c>
      <c r="AE5420">
        <v>-23.795300000000001</v>
      </c>
      <c r="AF5420">
        <v>-10.853302101984699</v>
      </c>
      <c r="AG5420">
        <v>-1.05601832</v>
      </c>
      <c r="AH5420">
        <v>40.102785573529999</v>
      </c>
      <c r="AI5420">
        <v>91.456051427142299</v>
      </c>
      <c r="AJ5420">
        <v>105.143593220177</v>
      </c>
      <c r="AK5420">
        <v>41.558907011201001</v>
      </c>
      <c r="AL5420">
        <v>79.139682549178602</v>
      </c>
      <c r="AM5420">
        <v>92.924376359868106</v>
      </c>
      <c r="AN5420">
        <v>0.99999999050849298</v>
      </c>
    </row>
    <row r="5421" spans="1:40" x14ac:dyDescent="0.25">
      <c r="A5421" t="str">
        <f>"20190303170401598"</f>
        <v>20190303170401598</v>
      </c>
      <c r="B5421" t="str">
        <f>"1551603841591283"</f>
        <v>1551603841591283</v>
      </c>
      <c r="C5421" t="s">
        <v>40</v>
      </c>
      <c r="D5421">
        <v>4.7354529999999997</v>
      </c>
      <c r="E5421">
        <v>0.4232765</v>
      </c>
      <c r="F5421" t="s">
        <v>42</v>
      </c>
      <c r="G5421">
        <v>-427.37450000000001</v>
      </c>
      <c r="H5421" s="1">
        <v>-5.2258559999999999E-6</v>
      </c>
      <c r="I5421">
        <v>118.4992</v>
      </c>
      <c r="J5421">
        <v>-397.77429999999998</v>
      </c>
      <c r="K5421">
        <v>1.1362239999999999</v>
      </c>
      <c r="L5421">
        <v>138.99270000000001</v>
      </c>
      <c r="M5421">
        <v>-0.93590779999999996</v>
      </c>
      <c r="N5421">
        <v>-1.5994120000000001E-2</v>
      </c>
      <c r="O5421">
        <v>-0.35188199999999997</v>
      </c>
      <c r="P5421">
        <v>-0.90468470000000001</v>
      </c>
      <c r="Q5421">
        <v>0.175320899999999</v>
      </c>
      <c r="R5421">
        <v>-0.38834069999999998</v>
      </c>
      <c r="S5421">
        <v>-2.5829469999999999</v>
      </c>
      <c r="T5421">
        <v>-9.7808119999999998E-2</v>
      </c>
      <c r="U5421">
        <v>-1.7774350000000001</v>
      </c>
      <c r="V5421">
        <v>-5.2201320000000002E-2</v>
      </c>
      <c r="W5421">
        <v>0.18921460000000001</v>
      </c>
      <c r="X5421">
        <v>0.98054719999999995</v>
      </c>
      <c r="Y5421">
        <v>-0.24057500000000001</v>
      </c>
      <c r="Z5421" s="1">
        <v>-4.570698E-5</v>
      </c>
      <c r="AA5421">
        <v>0.97063060000000001</v>
      </c>
      <c r="AB5421">
        <v>43</v>
      </c>
      <c r="AC5421">
        <v>-29.600200000000001</v>
      </c>
      <c r="AD5421">
        <v>-1.1362292258559901</v>
      </c>
      <c r="AE5421">
        <v>-20.493500000000001</v>
      </c>
      <c r="AF5421">
        <v>-8.7566474866952309</v>
      </c>
      <c r="AG5421">
        <v>-1.1362292258559901</v>
      </c>
      <c r="AH5421">
        <v>34.884069802069099</v>
      </c>
      <c r="AI5421">
        <v>91.809455871556807</v>
      </c>
      <c r="AJ5421">
        <v>104.09130880688301</v>
      </c>
      <c r="AK5421">
        <v>35.984277372424302</v>
      </c>
      <c r="AL5421">
        <v>79.093047037173704</v>
      </c>
      <c r="AM5421">
        <v>93.047374494880003</v>
      </c>
      <c r="AN5421">
        <v>0.99999997704537003</v>
      </c>
    </row>
    <row r="5422" spans="1:40" x14ac:dyDescent="0.25">
      <c r="A5422" t="str">
        <f>"20190303170401620"</f>
        <v>20190303170401620</v>
      </c>
      <c r="B5422" t="str">
        <f>"1551603841610803"</f>
        <v>1551603841610803</v>
      </c>
      <c r="C5422" t="s">
        <v>40</v>
      </c>
      <c r="D5422">
        <v>4.7471670000000001</v>
      </c>
      <c r="E5422">
        <v>0.4242069</v>
      </c>
      <c r="F5422" t="s">
        <v>42</v>
      </c>
      <c r="G5422">
        <v>-427.9529</v>
      </c>
      <c r="H5422" s="1">
        <v>-5.0015850000000003E-6</v>
      </c>
      <c r="I5422">
        <v>117.53879999999999</v>
      </c>
      <c r="J5422">
        <v>-398.1653</v>
      </c>
      <c r="K5422">
        <v>1.136409</v>
      </c>
      <c r="L5422">
        <v>138.8389</v>
      </c>
      <c r="M5422">
        <v>-0.93072500000000002</v>
      </c>
      <c r="N5422">
        <v>-1.604154E-2</v>
      </c>
      <c r="O5422">
        <v>-0.36536780000000002</v>
      </c>
      <c r="P5422">
        <v>-0.89799879999999999</v>
      </c>
      <c r="Q5422">
        <v>0.17365269999999999</v>
      </c>
      <c r="R5422">
        <v>-0.40428049999999999</v>
      </c>
      <c r="S5422">
        <v>-2.5549930000000001</v>
      </c>
      <c r="T5422">
        <v>-9.6195939999999994E-2</v>
      </c>
      <c r="U5422">
        <v>-1.8163450000000001</v>
      </c>
      <c r="V5422">
        <v>-5.5301299999999998E-2</v>
      </c>
      <c r="W5422">
        <v>0.1874538</v>
      </c>
      <c r="X5422">
        <v>0.98071549999999996</v>
      </c>
      <c r="Y5422">
        <v>-0.2413845</v>
      </c>
      <c r="Z5422" s="1">
        <v>2.0047769999999999E-5</v>
      </c>
      <c r="AA5422">
        <v>0.97042949999999994</v>
      </c>
      <c r="AB5422">
        <v>43</v>
      </c>
      <c r="AC5422">
        <v>-29.787600000000001</v>
      </c>
      <c r="AD5422">
        <v>-1.1364140015849999</v>
      </c>
      <c r="AE5422">
        <v>-21.3001</v>
      </c>
      <c r="AF5422">
        <v>-8.9336528944637905</v>
      </c>
      <c r="AG5422">
        <v>-1.1364140015849999</v>
      </c>
      <c r="AH5422">
        <v>35.476838535996102</v>
      </c>
      <c r="AI5422">
        <v>91.779196791209202</v>
      </c>
      <c r="AJ5422">
        <v>104.13415645116299</v>
      </c>
      <c r="AK5422">
        <v>36.602017203029902</v>
      </c>
      <c r="AL5422">
        <v>79.195772261428303</v>
      </c>
      <c r="AM5422">
        <v>93.227418318507205</v>
      </c>
      <c r="AN5422">
        <v>1.0000000264281801</v>
      </c>
    </row>
    <row r="5423" spans="1:40" x14ac:dyDescent="0.25">
      <c r="A5423" t="str">
        <f>"20190303170401643"</f>
        <v>20190303170401643</v>
      </c>
      <c r="B5423" t="str">
        <f>"1551603841631300"</f>
        <v>1551603841631300</v>
      </c>
      <c r="C5423" t="s">
        <v>40</v>
      </c>
      <c r="D5423">
        <v>4.7369320000000004</v>
      </c>
      <c r="E5423">
        <v>0.42478670000000002</v>
      </c>
      <c r="F5423" t="s">
        <v>42</v>
      </c>
      <c r="G5423">
        <v>-425.32029999999997</v>
      </c>
      <c r="H5423" s="1">
        <v>-5.0052500000000001E-6</v>
      </c>
      <c r="I5423">
        <v>118.9217</v>
      </c>
      <c r="J5423">
        <v>-398.55889999999999</v>
      </c>
      <c r="K5423">
        <v>1.1365689999999999</v>
      </c>
      <c r="L5423">
        <v>138.67760000000001</v>
      </c>
      <c r="M5423">
        <v>-0.92522340000000003</v>
      </c>
      <c r="N5423">
        <v>-1.60854E-2</v>
      </c>
      <c r="O5423">
        <v>-0.37908199999999997</v>
      </c>
      <c r="P5423">
        <v>-0.89104359999999905</v>
      </c>
      <c r="Q5423">
        <v>0.1719763</v>
      </c>
      <c r="R5423">
        <v>-0.42007830000000002</v>
      </c>
      <c r="S5423">
        <v>-2.5268250000000001</v>
      </c>
      <c r="T5423">
        <v>-0.1057456</v>
      </c>
      <c r="U5423">
        <v>-1.8533329999999999</v>
      </c>
      <c r="V5423">
        <v>-5.8039680000000003E-2</v>
      </c>
      <c r="W5423">
        <v>0.18569469999999999</v>
      </c>
      <c r="X5423">
        <v>0.98089190000000004</v>
      </c>
      <c r="Y5423">
        <v>-0.24142459999999999</v>
      </c>
      <c r="Z5423">
        <v>1.0420729999999999E-3</v>
      </c>
      <c r="AA5423">
        <v>0.97041900000000003</v>
      </c>
      <c r="AB5423">
        <v>43</v>
      </c>
      <c r="AC5423">
        <v>-26.761399999999899</v>
      </c>
      <c r="AD5423">
        <v>-1.13657400525</v>
      </c>
      <c r="AE5423">
        <v>-19.7559</v>
      </c>
      <c r="AF5423">
        <v>-8.1254210060176195</v>
      </c>
      <c r="AG5423">
        <v>-1.13657400525</v>
      </c>
      <c r="AH5423">
        <v>32.215936503548697</v>
      </c>
      <c r="AI5423">
        <v>91.959243075686501</v>
      </c>
      <c r="AJ5423">
        <v>104.15575732105199</v>
      </c>
      <c r="AK5423">
        <v>33.244260133068501</v>
      </c>
      <c r="AL5423">
        <v>79.298362638956206</v>
      </c>
      <c r="AM5423">
        <v>93.386260938330295</v>
      </c>
      <c r="AN5423">
        <v>1.0000000227740999</v>
      </c>
    </row>
    <row r="5424" spans="1:40" x14ac:dyDescent="0.25">
      <c r="A5424" t="str">
        <f>"20190303170401664"</f>
        <v>20190303170401664</v>
      </c>
      <c r="B5424" t="str">
        <f>"1551603841650819"</f>
        <v>1551603841650819</v>
      </c>
      <c r="C5424" t="s">
        <v>40</v>
      </c>
      <c r="D5424">
        <v>4.7460529999999999</v>
      </c>
      <c r="E5424">
        <v>0.40459240000000002</v>
      </c>
      <c r="F5424" t="s">
        <v>42</v>
      </c>
      <c r="G5424">
        <v>-423.89580000000001</v>
      </c>
      <c r="H5424" s="1">
        <v>-4.9391569999999999E-6</v>
      </c>
      <c r="I5424">
        <v>119.47</v>
      </c>
      <c r="J5424">
        <v>-398.93880000000001</v>
      </c>
      <c r="K5424">
        <v>1.1367240000000001</v>
      </c>
      <c r="L5424">
        <v>138.51560000000001</v>
      </c>
      <c r="M5424">
        <v>-0.91963879999999998</v>
      </c>
      <c r="N5424">
        <v>-1.612361E-2</v>
      </c>
      <c r="O5424">
        <v>-0.39243440000000002</v>
      </c>
      <c r="P5424">
        <v>-0.88371499999999903</v>
      </c>
      <c r="Q5424">
        <v>0.1727609</v>
      </c>
      <c r="R5424">
        <v>-0.43497340000000001</v>
      </c>
      <c r="S5424">
        <v>-2.4962770000000001</v>
      </c>
      <c r="T5424">
        <v>-0.1119791</v>
      </c>
      <c r="U5424">
        <v>-1.892395</v>
      </c>
      <c r="V5424">
        <v>-6.0478450000000003E-2</v>
      </c>
      <c r="W5424">
        <v>0.18639700000000001</v>
      </c>
      <c r="X5424">
        <v>0.98061129999999996</v>
      </c>
      <c r="Y5424">
        <v>-0.242728</v>
      </c>
      <c r="Z5424">
        <v>1.8197199999999999E-3</v>
      </c>
      <c r="AA5424">
        <v>0.97009270000000003</v>
      </c>
      <c r="AB5424">
        <v>43</v>
      </c>
      <c r="AC5424">
        <v>-24.956999999999901</v>
      </c>
      <c r="AD5424">
        <v>-1.1367289391569999</v>
      </c>
      <c r="AE5424">
        <v>-19.0456</v>
      </c>
      <c r="AF5424">
        <v>-7.7119794768318899</v>
      </c>
      <c r="AG5424">
        <v>-1.1367289391569999</v>
      </c>
      <c r="AH5424">
        <v>30.3896835933567</v>
      </c>
      <c r="AI5424">
        <v>92.0763996670604</v>
      </c>
      <c r="AJ5424">
        <v>104.23934269643701</v>
      </c>
      <c r="AK5424">
        <v>31.373550150349999</v>
      </c>
      <c r="AL5424">
        <v>79.257408588778404</v>
      </c>
      <c r="AM5424">
        <v>93.529203107522207</v>
      </c>
      <c r="AN5424">
        <v>1.00000000310554</v>
      </c>
    </row>
    <row r="5425" spans="1:40" x14ac:dyDescent="0.25">
      <c r="A5425" t="str">
        <f>"20190303170401688"</f>
        <v>20190303170401688</v>
      </c>
      <c r="B5425" t="str">
        <f>"1551603841680606"</f>
        <v>1551603841680606</v>
      </c>
      <c r="C5425" t="s">
        <v>40</v>
      </c>
      <c r="D5425">
        <v>4.6108580000000003</v>
      </c>
      <c r="E5425">
        <v>0.38177</v>
      </c>
      <c r="F5425" t="s">
        <v>77</v>
      </c>
      <c r="G5425">
        <v>-440.75</v>
      </c>
      <c r="H5425">
        <v>0.1764628</v>
      </c>
      <c r="I5425">
        <v>102.2367</v>
      </c>
      <c r="J5425">
        <v>-399.33249999999998</v>
      </c>
      <c r="K5425">
        <v>1.136879</v>
      </c>
      <c r="L5425">
        <v>138.34110000000001</v>
      </c>
      <c r="M5425">
        <v>-0.91356590000000004</v>
      </c>
      <c r="N5425">
        <v>-1.6159179999999999E-2</v>
      </c>
      <c r="O5425">
        <v>-0.4063697</v>
      </c>
      <c r="P5425">
        <v>-0.87558189999999902</v>
      </c>
      <c r="Q5425">
        <v>0.17240939999999999</v>
      </c>
      <c r="R5425">
        <v>-0.45125539999999997</v>
      </c>
      <c r="S5425">
        <v>-2.3862920000000001</v>
      </c>
      <c r="T5425">
        <v>-5.4803490000000003E-2</v>
      </c>
      <c r="U5425">
        <v>-2.070541</v>
      </c>
      <c r="V5425">
        <v>-6.3761230000000002E-2</v>
      </c>
      <c r="W5425">
        <v>0.18592900000000001</v>
      </c>
      <c r="X5425">
        <v>0.98049219999999904</v>
      </c>
      <c r="Y5425">
        <v>-0.29173670000000002</v>
      </c>
      <c r="Z5425">
        <v>-4.0836099999999997E-3</v>
      </c>
      <c r="AA5425">
        <v>0.95648999999999995</v>
      </c>
      <c r="AB5425">
        <v>43</v>
      </c>
      <c r="AC5425">
        <v>-41.417499999999997</v>
      </c>
      <c r="AD5425">
        <v>-0.96041620000000005</v>
      </c>
      <c r="AE5425">
        <v>-36.104399999999998</v>
      </c>
      <c r="AF5425">
        <v>-16.150105640555001</v>
      </c>
      <c r="AG5425">
        <v>-0.96041620000000005</v>
      </c>
      <c r="AH5425">
        <v>52.500163237780598</v>
      </c>
      <c r="AI5425">
        <v>91.001713449191399</v>
      </c>
      <c r="AJ5425">
        <v>107.098949682685</v>
      </c>
      <c r="AK5425">
        <v>54.936467409835501</v>
      </c>
      <c r="AL5425">
        <v>79.284700292810896</v>
      </c>
      <c r="AM5425">
        <v>93.720695267390894</v>
      </c>
      <c r="AN5425">
        <v>1.0000000208764701</v>
      </c>
    </row>
    <row r="5426" spans="1:40" x14ac:dyDescent="0.25">
      <c r="A5426" t="str">
        <f>"20190303170401709"</f>
        <v>20190303170401709</v>
      </c>
      <c r="B5426" t="str">
        <f>"1551603841701104"</f>
        <v>1551603841701104</v>
      </c>
      <c r="C5426" t="s">
        <v>40</v>
      </c>
      <c r="D5426">
        <v>4.6013869999999999</v>
      </c>
      <c r="E5426">
        <v>0.37258750000000002</v>
      </c>
      <c r="F5426" t="s">
        <v>77</v>
      </c>
      <c r="G5426">
        <v>-440.20710000000003</v>
      </c>
      <c r="H5426">
        <v>1.715813</v>
      </c>
      <c r="I5426">
        <v>97.28</v>
      </c>
      <c r="J5426">
        <v>-399.7097</v>
      </c>
      <c r="K5426">
        <v>1.1370100000000001</v>
      </c>
      <c r="L5426">
        <v>138.16720000000001</v>
      </c>
      <c r="M5426">
        <v>-0.90746769999999999</v>
      </c>
      <c r="N5426">
        <v>-1.618938E-2</v>
      </c>
      <c r="O5426">
        <v>-0.41980970000000001</v>
      </c>
      <c r="P5426">
        <v>-0.86723410000000001</v>
      </c>
      <c r="Q5426">
        <v>0.1708576</v>
      </c>
      <c r="R5426">
        <v>-0.46766740000000001</v>
      </c>
      <c r="S5426">
        <v>-2.253387</v>
      </c>
      <c r="T5426">
        <v>3.1917330000000001E-2</v>
      </c>
      <c r="U5426">
        <v>-2.2636569999999998</v>
      </c>
      <c r="V5426">
        <v>-6.7640790000000006E-2</v>
      </c>
      <c r="W5426">
        <v>0.18423410000000001</v>
      </c>
      <c r="X5426">
        <v>0.98055210000000004</v>
      </c>
      <c r="Y5426">
        <v>-0.34710740000000001</v>
      </c>
      <c r="Z5426">
        <v>-1.199912E-2</v>
      </c>
      <c r="AA5426">
        <v>0.93774860000000004</v>
      </c>
      <c r="AB5426">
        <v>43</v>
      </c>
      <c r="AC5426">
        <v>-40.497399999999999</v>
      </c>
      <c r="AD5426">
        <v>0.57880299999999996</v>
      </c>
      <c r="AE5426">
        <v>-40.8872</v>
      </c>
      <c r="AF5426">
        <v>-20.1032142749645</v>
      </c>
      <c r="AG5426">
        <v>0.57880299999999996</v>
      </c>
      <c r="AH5426">
        <v>53.916540896486602</v>
      </c>
      <c r="AI5426">
        <v>89.423697541187806</v>
      </c>
      <c r="AJ5426">
        <v>110.448373381061</v>
      </c>
      <c r="AK5426">
        <v>57.545352717143501</v>
      </c>
      <c r="AL5426">
        <v>79.383517424617395</v>
      </c>
      <c r="AM5426">
        <v>93.946146215801406</v>
      </c>
      <c r="AN5426">
        <v>0.99999995044451995</v>
      </c>
    </row>
    <row r="5427" spans="1:40" x14ac:dyDescent="0.25">
      <c r="A5427" t="str">
        <f>"20190303170401732"</f>
        <v>20190303170401732</v>
      </c>
      <c r="B5427" t="str">
        <f>"1551603841721598"</f>
        <v>1551603841721598</v>
      </c>
      <c r="C5427" t="s">
        <v>40</v>
      </c>
      <c r="D5427">
        <v>4.6537059999999997</v>
      </c>
      <c r="E5427">
        <v>0.3694364</v>
      </c>
      <c r="F5427" t="s">
        <v>77</v>
      </c>
      <c r="G5427">
        <v>-440.75</v>
      </c>
      <c r="H5427">
        <v>2.2916699999999999</v>
      </c>
      <c r="I5427">
        <v>93.517939999999996</v>
      </c>
      <c r="J5427">
        <v>-400.07830000000001</v>
      </c>
      <c r="K5427">
        <v>1.1371100000000001</v>
      </c>
      <c r="L5427">
        <v>137.99080000000001</v>
      </c>
      <c r="M5427">
        <v>-0.90124190000000004</v>
      </c>
      <c r="N5427">
        <v>-1.6215279999999999E-2</v>
      </c>
      <c r="O5427">
        <v>-0.43301289999999998</v>
      </c>
      <c r="P5427">
        <v>-0.85877159999999997</v>
      </c>
      <c r="Q5427">
        <v>0.16871749999999999</v>
      </c>
      <c r="R5427">
        <v>-0.48378290000000002</v>
      </c>
      <c r="S5427">
        <v>-2.1726070000000002</v>
      </c>
      <c r="T5427">
        <v>6.1126710000000001E-2</v>
      </c>
      <c r="U5427">
        <v>-2.3636469999999998</v>
      </c>
      <c r="V5427">
        <v>-7.1435999999999999E-2</v>
      </c>
      <c r="W5427">
        <v>0.1819511</v>
      </c>
      <c r="X5427">
        <v>0.98070930000000001</v>
      </c>
      <c r="Y5427">
        <v>-0.37071959999999998</v>
      </c>
      <c r="Z5427">
        <v>-1.477552E-2</v>
      </c>
      <c r="AA5427">
        <v>0.92862730000000004</v>
      </c>
      <c r="AB5427">
        <v>43</v>
      </c>
      <c r="AC5427">
        <v>-40.671699999999902</v>
      </c>
      <c r="AD5427">
        <v>1.15455999999999</v>
      </c>
      <c r="AE5427">
        <v>-44.472859999999997</v>
      </c>
      <c r="AF5427">
        <v>-22.464143198386399</v>
      </c>
      <c r="AG5427">
        <v>1.15455999999999</v>
      </c>
      <c r="AH5427">
        <v>55.899196570539701</v>
      </c>
      <c r="AI5427">
        <v>88.902079032425505</v>
      </c>
      <c r="AJ5427">
        <v>111.893655572344</v>
      </c>
      <c r="AK5427">
        <v>60.255214842062003</v>
      </c>
      <c r="AL5427">
        <v>79.516573658743795</v>
      </c>
      <c r="AM5427">
        <v>94.166132991727594</v>
      </c>
      <c r="AN5427">
        <v>1.00000001799684</v>
      </c>
    </row>
    <row r="5428" spans="1:40" x14ac:dyDescent="0.25">
      <c r="A5428" t="str">
        <f>"20190303170401753"</f>
        <v>20190303170401753</v>
      </c>
      <c r="B5428" t="str">
        <f>"1551603841741119"</f>
        <v>1551603841741119</v>
      </c>
      <c r="C5428" t="s">
        <v>40</v>
      </c>
      <c r="D5428">
        <v>4.6486739999999998</v>
      </c>
      <c r="E5428">
        <v>0.36794779999999999</v>
      </c>
      <c r="F5428" t="s">
        <v>77</v>
      </c>
      <c r="G5428">
        <v>-440.75</v>
      </c>
      <c r="H5428">
        <v>2.294616</v>
      </c>
      <c r="I5428">
        <v>91.437669999999997</v>
      </c>
      <c r="J5428">
        <v>-400.45420000000001</v>
      </c>
      <c r="K5428">
        <v>1.1371990000000001</v>
      </c>
      <c r="L5428">
        <v>137.80430000000001</v>
      </c>
      <c r="M5428">
        <v>-0.89461880000000005</v>
      </c>
      <c r="N5428">
        <v>-1.6238309999999999E-2</v>
      </c>
      <c r="O5428">
        <v>-0.44653540000000003</v>
      </c>
      <c r="P5428">
        <v>-0.84983059999999999</v>
      </c>
      <c r="Q5428">
        <v>0.1678905</v>
      </c>
      <c r="R5428">
        <v>-0.49960110000000002</v>
      </c>
      <c r="S5428">
        <v>-2.1166689999999999</v>
      </c>
      <c r="T5428">
        <v>6.024098E-2</v>
      </c>
      <c r="U5428">
        <v>-2.4227449999999999</v>
      </c>
      <c r="V5428">
        <v>-7.4779529999999997E-2</v>
      </c>
      <c r="W5428">
        <v>0.18099309999999999</v>
      </c>
      <c r="X5428">
        <v>0.98063730000000005</v>
      </c>
      <c r="Y5428">
        <v>-0.38014999999999999</v>
      </c>
      <c r="Z5428">
        <v>-1.517192E-2</v>
      </c>
      <c r="AA5428">
        <v>0.92480039999999997</v>
      </c>
      <c r="AB5428">
        <v>43</v>
      </c>
      <c r="AC5428">
        <v>-40.2957999999999</v>
      </c>
      <c r="AD5428">
        <v>1.1574169999999999</v>
      </c>
      <c r="AE5428">
        <v>-46.366630000000001</v>
      </c>
      <c r="AF5428">
        <v>-23.481714961641998</v>
      </c>
      <c r="AG5428">
        <v>1.1574169999999999</v>
      </c>
      <c r="AH5428">
        <v>56.741053351401298</v>
      </c>
      <c r="AI5428">
        <v>88.920217288146006</v>
      </c>
      <c r="AJ5428">
        <v>112.481726312288</v>
      </c>
      <c r="AK5428">
        <v>61.418870773389102</v>
      </c>
      <c r="AL5428">
        <v>79.572389563854003</v>
      </c>
      <c r="AM5428">
        <v>94.3607105811477</v>
      </c>
      <c r="AN5428">
        <v>0.99999999725295996</v>
      </c>
    </row>
    <row r="5429" spans="1:40" x14ac:dyDescent="0.25">
      <c r="A5429" t="str">
        <f>"20190303170401777"</f>
        <v>20190303170401777</v>
      </c>
      <c r="B5429" t="str">
        <f>"1551603841771375"</f>
        <v>1551603841771375</v>
      </c>
      <c r="C5429" t="s">
        <v>40</v>
      </c>
      <c r="D5429">
        <v>4.6290709999999997</v>
      </c>
      <c r="E5429">
        <v>0.36733890000000002</v>
      </c>
      <c r="F5429" t="s">
        <v>77</v>
      </c>
      <c r="G5429">
        <v>-440.75</v>
      </c>
      <c r="H5429">
        <v>2.3537309999999998</v>
      </c>
      <c r="I5429">
        <v>89.589489999999998</v>
      </c>
      <c r="J5429">
        <v>-400.8347</v>
      </c>
      <c r="K5429">
        <v>1.1372930000000001</v>
      </c>
      <c r="L5429">
        <v>137.608</v>
      </c>
      <c r="M5429">
        <v>-0.88762399999999997</v>
      </c>
      <c r="N5429">
        <v>-1.6258290000000002E-2</v>
      </c>
      <c r="O5429">
        <v>-0.46028190000000002</v>
      </c>
      <c r="P5429">
        <v>-0.84050290000000005</v>
      </c>
      <c r="Q5429">
        <v>0.16902300000000001</v>
      </c>
      <c r="R5429">
        <v>-0.51476840000000001</v>
      </c>
      <c r="S5429">
        <v>-2.0651549999999999</v>
      </c>
      <c r="T5429">
        <v>6.2348010000000002E-2</v>
      </c>
      <c r="U5429">
        <v>-2.470993</v>
      </c>
      <c r="V5429">
        <v>-7.7449379999999998E-2</v>
      </c>
      <c r="W5429">
        <v>0.18201490000000001</v>
      </c>
      <c r="X5429">
        <v>0.98024089999999997</v>
      </c>
      <c r="Y5429">
        <v>-0.3861426</v>
      </c>
      <c r="Z5429">
        <v>-1.584033E-2</v>
      </c>
      <c r="AA5429">
        <v>0.92230310000000004</v>
      </c>
      <c r="AB5429">
        <v>43</v>
      </c>
      <c r="AC5429">
        <v>-39.915300000000002</v>
      </c>
      <c r="AD5429">
        <v>1.2164379999999999</v>
      </c>
      <c r="AE5429">
        <v>-48.018509999999999</v>
      </c>
      <c r="AF5429">
        <v>-24.244095025398099</v>
      </c>
      <c r="AG5429">
        <v>1.2164379999999999</v>
      </c>
      <c r="AH5429">
        <v>57.517602298417302</v>
      </c>
      <c r="AI5429">
        <v>88.883534423147196</v>
      </c>
      <c r="AJ5429">
        <v>112.855783137179</v>
      </c>
      <c r="AK5429">
        <v>62.430204542090699</v>
      </c>
      <c r="AL5429">
        <v>79.512856197831496</v>
      </c>
      <c r="AM5429">
        <v>94.5175864826127</v>
      </c>
      <c r="AN5429">
        <v>1.0000000261586</v>
      </c>
    </row>
    <row r="5430" spans="1:40" x14ac:dyDescent="0.25">
      <c r="A5430" t="str">
        <f>"20190303170401799"</f>
        <v>20190303170401799</v>
      </c>
      <c r="B5430" t="str">
        <f>"1551603841790894"</f>
        <v>1551603841790894</v>
      </c>
      <c r="C5430" t="s">
        <v>40</v>
      </c>
      <c r="D5430">
        <v>4.6216179999999998</v>
      </c>
      <c r="E5430">
        <v>0.36769669999999999</v>
      </c>
      <c r="F5430" t="s">
        <v>77</v>
      </c>
      <c r="G5430">
        <v>-440.20710000000003</v>
      </c>
      <c r="H5430">
        <v>2.4989849999999998</v>
      </c>
      <c r="I5430">
        <v>88.570539999999994</v>
      </c>
      <c r="J5430">
        <v>-401.20209999999997</v>
      </c>
      <c r="K5430">
        <v>1.1373819999999999</v>
      </c>
      <c r="L5430">
        <v>137.41120000000001</v>
      </c>
      <c r="M5430">
        <v>-0.880590599999999</v>
      </c>
      <c r="N5430">
        <v>-1.627497E-2</v>
      </c>
      <c r="O5430">
        <v>-0.47359859999999998</v>
      </c>
      <c r="P5430">
        <v>-0.83166459999999998</v>
      </c>
      <c r="Q5430">
        <v>0.17009469999999999</v>
      </c>
      <c r="R5430">
        <v>-0.52858509999999903</v>
      </c>
      <c r="S5430">
        <v>-2.0168149999999998</v>
      </c>
      <c r="T5430">
        <v>6.9752220000000004E-2</v>
      </c>
      <c r="U5430">
        <v>-2.5118870000000002</v>
      </c>
      <c r="V5430">
        <v>-7.907119E-2</v>
      </c>
      <c r="W5430">
        <v>0.18301770000000001</v>
      </c>
      <c r="X5430">
        <v>0.97992460000000003</v>
      </c>
      <c r="Y5430">
        <v>-0.3903992</v>
      </c>
      <c r="Z5430">
        <v>-1.6998050000000001E-2</v>
      </c>
      <c r="AA5430">
        <v>0.92048869999999905</v>
      </c>
      <c r="AB5430">
        <v>42</v>
      </c>
      <c r="AC5430">
        <v>-39.005000000000003</v>
      </c>
      <c r="AD5430">
        <v>1.3616029999999999</v>
      </c>
      <c r="AE5430">
        <v>-48.84066</v>
      </c>
      <c r="AF5430">
        <v>-24.527519494775401</v>
      </c>
      <c r="AG5430">
        <v>1.3616029999999999</v>
      </c>
      <c r="AH5430">
        <v>57.458642465008097</v>
      </c>
      <c r="AI5430">
        <v>88.751467554158793</v>
      </c>
      <c r="AJ5430">
        <v>113.116307556439</v>
      </c>
      <c r="AK5430">
        <v>62.489589286678999</v>
      </c>
      <c r="AL5430">
        <v>79.454417871019004</v>
      </c>
      <c r="AM5430">
        <v>94.613264169589996</v>
      </c>
      <c r="AN5430">
        <v>0.99999997664323204</v>
      </c>
    </row>
    <row r="5431" spans="1:40" x14ac:dyDescent="0.25">
      <c r="A5431" t="str">
        <f>"20190303170401827"</f>
        <v>20190303170401827</v>
      </c>
      <c r="B5431" t="str">
        <f>"1551603841821151"</f>
        <v>1551603841821151</v>
      </c>
      <c r="C5431" t="s">
        <v>40</v>
      </c>
      <c r="D5431">
        <v>4.5041140000000004</v>
      </c>
      <c r="E5431">
        <v>0.36757410000000001</v>
      </c>
      <c r="F5431" t="s">
        <v>77</v>
      </c>
      <c r="G5431">
        <v>-440.20710000000003</v>
      </c>
      <c r="H5431">
        <v>2.532956</v>
      </c>
      <c r="I5431">
        <v>87.238600000000005</v>
      </c>
      <c r="J5431">
        <v>-401.65370000000001</v>
      </c>
      <c r="K5431">
        <v>1.1374580000000001</v>
      </c>
      <c r="L5431">
        <v>137.15960000000001</v>
      </c>
      <c r="M5431">
        <v>-0.87156279999999997</v>
      </c>
      <c r="N5431">
        <v>-1.6292069999999999E-2</v>
      </c>
      <c r="O5431">
        <v>-0.49001309999999898</v>
      </c>
      <c r="P5431">
        <v>-0.8207989</v>
      </c>
      <c r="Q5431">
        <v>0.16955309999999901</v>
      </c>
      <c r="R5431">
        <v>-0.54547349999999994</v>
      </c>
      <c r="S5431">
        <v>-1.976715</v>
      </c>
      <c r="T5431">
        <v>7.072639E-2</v>
      </c>
      <c r="U5431">
        <v>-2.5426639999999998</v>
      </c>
      <c r="V5431">
        <v>-8.071159E-2</v>
      </c>
      <c r="W5431">
        <v>0.18240880000000001</v>
      </c>
      <c r="X5431">
        <v>0.97990440000000001</v>
      </c>
      <c r="Y5431">
        <v>-0.3876019</v>
      </c>
      <c r="Z5431">
        <v>-1.774562E-2</v>
      </c>
      <c r="AA5431">
        <v>0.92165600000000003</v>
      </c>
      <c r="AB5431">
        <v>42</v>
      </c>
      <c r="AC5431">
        <v>-38.553400000000003</v>
      </c>
      <c r="AD5431">
        <v>1.3954979999999999</v>
      </c>
      <c r="AE5431">
        <v>-49.920999999999999</v>
      </c>
      <c r="AF5431">
        <v>-24.608837745553</v>
      </c>
      <c r="AG5431">
        <v>1.3954979999999999</v>
      </c>
      <c r="AH5431">
        <v>58.0429498378696</v>
      </c>
      <c r="AI5431">
        <v>88.731952934570899</v>
      </c>
      <c r="AJ5431">
        <v>112.975795706152</v>
      </c>
      <c r="AK5431">
        <v>63.059704532580902</v>
      </c>
      <c r="AL5431">
        <v>79.489902672133795</v>
      </c>
      <c r="AM5431">
        <v>94.708640962038402</v>
      </c>
      <c r="AN5431">
        <v>0.999999982108563</v>
      </c>
    </row>
    <row r="5432" spans="1:40" x14ac:dyDescent="0.25">
      <c r="A5432" t="str">
        <f>"20190303170401846"</f>
        <v>20190303170401846</v>
      </c>
      <c r="B5432" t="str">
        <f>"1551603841830910"</f>
        <v>1551603841830910</v>
      </c>
      <c r="C5432" t="s">
        <v>40</v>
      </c>
      <c r="D5432">
        <v>4.5199160000000003</v>
      </c>
      <c r="E5432">
        <v>0.36762400000000001</v>
      </c>
      <c r="F5432" t="s">
        <v>76</v>
      </c>
      <c r="G5432">
        <v>-455.8605</v>
      </c>
      <c r="H5432">
        <v>3.1553559999999998</v>
      </c>
      <c r="I5432">
        <v>64.450009999999907</v>
      </c>
      <c r="J5432">
        <v>-401.94900000000001</v>
      </c>
      <c r="K5432">
        <v>1.137491</v>
      </c>
      <c r="L5432">
        <v>136.98920000000001</v>
      </c>
      <c r="M5432">
        <v>-0.86542909999999995</v>
      </c>
      <c r="N5432">
        <v>-1.630121E-2</v>
      </c>
      <c r="O5432">
        <v>-0.50076659999999995</v>
      </c>
      <c r="P5432">
        <v>-0.81378149999999905</v>
      </c>
      <c r="Q5432">
        <v>0.1669938</v>
      </c>
      <c r="R5432">
        <v>-0.55666260000000001</v>
      </c>
      <c r="S5432">
        <v>-1.924561</v>
      </c>
      <c r="T5432">
        <v>7.1644070000000004E-2</v>
      </c>
      <c r="U5432">
        <v>-2.5814819999999998</v>
      </c>
      <c r="V5432">
        <v>-8.1656759999999995E-2</v>
      </c>
      <c r="W5432">
        <v>0.17981449999999999</v>
      </c>
      <c r="X5432">
        <v>0.98030550000000005</v>
      </c>
      <c r="Y5432">
        <v>-0.39478980000000002</v>
      </c>
      <c r="Z5432">
        <v>-1.8243579999999999E-2</v>
      </c>
      <c r="AA5432">
        <v>0.91859040000000003</v>
      </c>
      <c r="AB5432">
        <v>42</v>
      </c>
      <c r="AC5432">
        <v>-53.911499999999897</v>
      </c>
      <c r="AD5432">
        <v>2.017865</v>
      </c>
      <c r="AE5432">
        <v>-72.539190000000005</v>
      </c>
      <c r="AF5432">
        <v>-35.767364986687603</v>
      </c>
      <c r="AG5432">
        <v>2.017865</v>
      </c>
      <c r="AH5432">
        <v>82.951443910038705</v>
      </c>
      <c r="AI5432">
        <v>88.720350934957395</v>
      </c>
      <c r="AJ5432">
        <v>113.324949699333</v>
      </c>
      <c r="AK5432">
        <v>90.356616935393603</v>
      </c>
      <c r="AL5432">
        <v>79.641044615171893</v>
      </c>
      <c r="AM5432">
        <v>94.761588966339303</v>
      </c>
      <c r="AN5432">
        <v>0.99999997709709798</v>
      </c>
    </row>
    <row r="5433" spans="1:40" x14ac:dyDescent="0.25">
      <c r="A5433" t="str">
        <f>"20190303170401867"</f>
        <v>20190303170401867</v>
      </c>
      <c r="B5433" t="str">
        <f>"1551603841851406"</f>
        <v>1551603841851406</v>
      </c>
      <c r="C5433" t="s">
        <v>40</v>
      </c>
      <c r="D5433">
        <v>4.5825529999999999</v>
      </c>
      <c r="E5433">
        <v>0.36796220000000002</v>
      </c>
      <c r="F5433" t="s">
        <v>76</v>
      </c>
      <c r="G5433">
        <v>-454.58890000000002</v>
      </c>
      <c r="H5433">
        <v>2.9046910000000001</v>
      </c>
      <c r="I5433">
        <v>64.450009999999907</v>
      </c>
      <c r="J5433">
        <v>-402.29579999999999</v>
      </c>
      <c r="K5433">
        <v>1.1375309999999901</v>
      </c>
      <c r="L5433">
        <v>136.78290000000001</v>
      </c>
      <c r="M5433">
        <v>-0.85799049999999999</v>
      </c>
      <c r="N5433">
        <v>-1.6310129999999999E-2</v>
      </c>
      <c r="O5433">
        <v>-0.51340680000000005</v>
      </c>
      <c r="P5433">
        <v>-0.80540819999999902</v>
      </c>
      <c r="Q5433">
        <v>0.16579189999999999</v>
      </c>
      <c r="R5433">
        <v>-0.569061699999999</v>
      </c>
      <c r="S5433">
        <v>-1.8909910000000001</v>
      </c>
      <c r="T5433">
        <v>6.3483949999999997E-2</v>
      </c>
      <c r="U5433">
        <v>-2.6058349999999999</v>
      </c>
      <c r="V5433">
        <v>-8.2141809999999996E-2</v>
      </c>
      <c r="W5433">
        <v>0.17859340000000001</v>
      </c>
      <c r="X5433">
        <v>0.98048820000000003</v>
      </c>
      <c r="Y5433">
        <v>-0.39312340000000001</v>
      </c>
      <c r="Z5433">
        <v>-1.7896459999999999E-2</v>
      </c>
      <c r="AA5433">
        <v>0.91931149999999995</v>
      </c>
      <c r="AB5433">
        <v>42</v>
      </c>
      <c r="AC5433">
        <v>-52.293100000000003</v>
      </c>
      <c r="AD5433">
        <v>1.7671600000000001</v>
      </c>
      <c r="AE5433">
        <v>-72.332890000000006</v>
      </c>
      <c r="AF5433">
        <v>-35.204179614997898</v>
      </c>
      <c r="AG5433">
        <v>1.7671600000000001</v>
      </c>
      <c r="AH5433">
        <v>81.9819430274447</v>
      </c>
      <c r="AI5433">
        <v>88.865315799371999</v>
      </c>
      <c r="AJ5433">
        <v>113.239354247519</v>
      </c>
      <c r="AK5433">
        <v>89.238422775090697</v>
      </c>
      <c r="AL5433">
        <v>79.712159898419003</v>
      </c>
      <c r="AM5433">
        <v>94.788853765998994</v>
      </c>
      <c r="AN5433">
        <v>0.99999999490643798</v>
      </c>
    </row>
    <row r="5434" spans="1:40" x14ac:dyDescent="0.25">
      <c r="A5434" t="str">
        <f>"20190303170401888"</f>
        <v>20190303170401888</v>
      </c>
      <c r="B5434" t="str">
        <f>"1551603841880687"</f>
        <v>1551603841880687</v>
      </c>
      <c r="C5434" t="s">
        <v>40</v>
      </c>
      <c r="D5434">
        <v>4.572165</v>
      </c>
      <c r="E5434">
        <v>0.3683939</v>
      </c>
      <c r="F5434" t="s">
        <v>76</v>
      </c>
      <c r="G5434">
        <v>-453.20710000000003</v>
      </c>
      <c r="H5434">
        <v>2.871569</v>
      </c>
      <c r="I5434">
        <v>64.450009999999907</v>
      </c>
      <c r="J5434">
        <v>-402.63600000000002</v>
      </c>
      <c r="K5434">
        <v>1.1375710000000001</v>
      </c>
      <c r="L5434">
        <v>136.57380000000001</v>
      </c>
      <c r="M5434">
        <v>-0.85044059999999899</v>
      </c>
      <c r="N5434">
        <v>-1.63167E-2</v>
      </c>
      <c r="O5434">
        <v>-0.52581820000000001</v>
      </c>
      <c r="P5434">
        <v>-0.79577880000000001</v>
      </c>
      <c r="Q5434">
        <v>0.16628019999999999</v>
      </c>
      <c r="R5434">
        <v>-0.58231219999999995</v>
      </c>
      <c r="S5434">
        <v>-1.852325</v>
      </c>
      <c r="T5434">
        <v>6.3090800000000002E-2</v>
      </c>
      <c r="U5434">
        <v>-2.6317140000000001</v>
      </c>
      <c r="V5434">
        <v>-8.4219249999999996E-2</v>
      </c>
      <c r="W5434">
        <v>0.17899119999999999</v>
      </c>
      <c r="X5434">
        <v>0.98023939999999998</v>
      </c>
      <c r="Y5434">
        <v>-0.39304810000000001</v>
      </c>
      <c r="Z5434">
        <v>-1.8313690000000001E-2</v>
      </c>
      <c r="AA5434">
        <v>0.91933549999999997</v>
      </c>
      <c r="AB5434">
        <v>42</v>
      </c>
      <c r="AC5434">
        <v>-50.571100000000001</v>
      </c>
      <c r="AD5434">
        <v>1.7339979999999999</v>
      </c>
      <c r="AE5434">
        <v>-72.12379</v>
      </c>
      <c r="AF5434">
        <v>-34.736955991361803</v>
      </c>
      <c r="AG5434">
        <v>1.7339979999999999</v>
      </c>
      <c r="AH5434">
        <v>80.911131020860495</v>
      </c>
      <c r="AI5434">
        <v>88.871834753369896</v>
      </c>
      <c r="AJ5434">
        <v>113.234928472102</v>
      </c>
      <c r="AK5434">
        <v>88.069710932219294</v>
      </c>
      <c r="AL5434">
        <v>79.688994488283697</v>
      </c>
      <c r="AM5434">
        <v>94.910623463597801</v>
      </c>
      <c r="AN5434">
        <v>1.00000000653018</v>
      </c>
    </row>
    <row r="5435" spans="1:40" x14ac:dyDescent="0.25">
      <c r="A5435" t="str">
        <f>"20190303170401910"</f>
        <v>20190303170401910</v>
      </c>
      <c r="B5435" t="str">
        <f>"1551603841901183"</f>
        <v>1551603841901183</v>
      </c>
      <c r="C5435" t="s">
        <v>40</v>
      </c>
      <c r="D5435">
        <v>4.59232</v>
      </c>
      <c r="E5435">
        <v>0.36890070000000003</v>
      </c>
      <c r="F5435" t="s">
        <v>76</v>
      </c>
      <c r="G5435">
        <v>-451.77390000000003</v>
      </c>
      <c r="H5435">
        <v>3.0238010000000002</v>
      </c>
      <c r="I5435">
        <v>64.450009999999907</v>
      </c>
      <c r="J5435">
        <v>-402.98250000000002</v>
      </c>
      <c r="K5435">
        <v>1.1375999999999999</v>
      </c>
      <c r="L5435">
        <v>136.35380000000001</v>
      </c>
      <c r="M5435">
        <v>-0.84249300000000005</v>
      </c>
      <c r="N5435">
        <v>-1.632109E-2</v>
      </c>
      <c r="O5435">
        <v>-0.5384601</v>
      </c>
      <c r="P5435">
        <v>-0.78523030000000005</v>
      </c>
      <c r="Q5435">
        <v>0.16667979999999999</v>
      </c>
      <c r="R5435">
        <v>-0.59634860000000001</v>
      </c>
      <c r="S5435">
        <v>-1.810638</v>
      </c>
      <c r="T5435">
        <v>6.9504620000000003E-2</v>
      </c>
      <c r="U5435">
        <v>-2.6576230000000001</v>
      </c>
      <c r="V5435">
        <v>-8.706614E-2</v>
      </c>
      <c r="W5435">
        <v>0.17926710000000001</v>
      </c>
      <c r="X5435">
        <v>0.97994020000000004</v>
      </c>
      <c r="Y5435">
        <v>-0.39334859999999999</v>
      </c>
      <c r="Z5435">
        <v>-1.9510059999999999E-2</v>
      </c>
      <c r="AA5435">
        <v>0.91918239999999996</v>
      </c>
      <c r="AB5435">
        <v>42</v>
      </c>
      <c r="AC5435">
        <v>-48.791400000000003</v>
      </c>
      <c r="AD5435">
        <v>1.886201</v>
      </c>
      <c r="AE5435">
        <v>-71.903790000000001</v>
      </c>
      <c r="AF5435">
        <v>-34.294626928503199</v>
      </c>
      <c r="AG5435">
        <v>1.886201</v>
      </c>
      <c r="AH5435">
        <v>79.796765671229096</v>
      </c>
      <c r="AI5435">
        <v>88.755910243177695</v>
      </c>
      <c r="AJ5435">
        <v>113.25680706508901</v>
      </c>
      <c r="AK5435">
        <v>86.8746395789166</v>
      </c>
      <c r="AL5435">
        <v>79.672926634743206</v>
      </c>
      <c r="AM5435">
        <v>95.077307421291493</v>
      </c>
      <c r="AN5435">
        <v>1.00000000072647</v>
      </c>
    </row>
    <row r="5436" spans="1:40" x14ac:dyDescent="0.25">
      <c r="A5436" t="str">
        <f>"20190303170401932"</f>
        <v>20190303170401932</v>
      </c>
      <c r="B5436" t="str">
        <f>"1551603841920703"</f>
        <v>1551603841920703</v>
      </c>
      <c r="C5436" t="s">
        <v>40</v>
      </c>
      <c r="D5436">
        <v>4.5742849999999997</v>
      </c>
      <c r="E5436">
        <v>0.3696699</v>
      </c>
      <c r="F5436" t="s">
        <v>76</v>
      </c>
      <c r="G5436">
        <v>-450.24829999999997</v>
      </c>
      <c r="H5436">
        <v>3.0671110000000001</v>
      </c>
      <c r="I5436">
        <v>64.450009999999907</v>
      </c>
      <c r="J5436">
        <v>-403.32389999999998</v>
      </c>
      <c r="K5436">
        <v>1.1376189999999999</v>
      </c>
      <c r="L5436">
        <v>136.12979999999999</v>
      </c>
      <c r="M5436">
        <v>-0.83440119999999895</v>
      </c>
      <c r="N5436">
        <v>-1.6322989999999999E-2</v>
      </c>
      <c r="O5436">
        <v>-0.55091579999999996</v>
      </c>
      <c r="P5436">
        <v>-0.7749838</v>
      </c>
      <c r="Q5436">
        <v>0.1661628</v>
      </c>
      <c r="R5436">
        <v>-0.60974619999999902</v>
      </c>
      <c r="S5436">
        <v>-1.7655029999999901</v>
      </c>
      <c r="T5436">
        <v>7.2072860000000002E-2</v>
      </c>
      <c r="U5436">
        <v>-2.685791</v>
      </c>
      <c r="V5436">
        <v>-8.927127E-2</v>
      </c>
      <c r="W5436">
        <v>0.17865439999999999</v>
      </c>
      <c r="X5436">
        <v>0.97985370000000005</v>
      </c>
      <c r="Y5436">
        <v>-0.39490619999999999</v>
      </c>
      <c r="Z5436">
        <v>-2.029572E-2</v>
      </c>
      <c r="AA5436">
        <v>0.91849729999999996</v>
      </c>
      <c r="AB5436">
        <v>42</v>
      </c>
      <c r="AC5436">
        <v>-46.924399999999899</v>
      </c>
      <c r="AD5436">
        <v>1.92949199999999</v>
      </c>
      <c r="AE5436">
        <v>-71.679789999999997</v>
      </c>
      <c r="AF5436">
        <v>-33.945616002163</v>
      </c>
      <c r="AG5436">
        <v>1.92949199999999</v>
      </c>
      <c r="AH5436">
        <v>78.613908098377294</v>
      </c>
      <c r="AI5436">
        <v>88.709174511405294</v>
      </c>
      <c r="AJ5436">
        <v>113.354766989433</v>
      </c>
      <c r="AK5436">
        <v>85.651470107899996</v>
      </c>
      <c r="AL5436">
        <v>79.708607924834993</v>
      </c>
      <c r="AM5436">
        <v>95.205659978317996</v>
      </c>
      <c r="AN5436">
        <v>1.0000000138452301</v>
      </c>
    </row>
    <row r="5437" spans="1:40" x14ac:dyDescent="0.25">
      <c r="A5437" t="str">
        <f>"20190303170401955"</f>
        <v>20190303170401955</v>
      </c>
      <c r="B5437" t="str">
        <f>"1551603841941198"</f>
        <v>1551603841941198</v>
      </c>
      <c r="C5437" t="s">
        <v>40</v>
      </c>
      <c r="D5437">
        <v>4.5924820000000004</v>
      </c>
      <c r="E5437">
        <v>0.37006800000000001</v>
      </c>
      <c r="F5437" t="s">
        <v>76</v>
      </c>
      <c r="G5437">
        <v>-448.88229999999999</v>
      </c>
      <c r="H5437">
        <v>3.0381680000000002</v>
      </c>
      <c r="I5437">
        <v>64.450009999999907</v>
      </c>
      <c r="J5437">
        <v>-403.6755</v>
      </c>
      <c r="K5437">
        <v>1.137626</v>
      </c>
      <c r="L5437">
        <v>135.89150000000001</v>
      </c>
      <c r="M5437">
        <v>-0.82579919999999996</v>
      </c>
      <c r="N5437">
        <v>-1.6321950000000002E-2</v>
      </c>
      <c r="O5437">
        <v>-0.56372829999999996</v>
      </c>
      <c r="P5437">
        <v>-0.76510319999999898</v>
      </c>
      <c r="Q5437">
        <v>0.1657556</v>
      </c>
      <c r="R5437">
        <v>-0.62220759999999997</v>
      </c>
      <c r="S5437">
        <v>-1.7229000000000001</v>
      </c>
      <c r="T5437">
        <v>7.1874380000000002E-2</v>
      </c>
      <c r="U5437">
        <v>-2.7107389999999998</v>
      </c>
      <c r="V5437">
        <v>-8.9945730000000002E-2</v>
      </c>
      <c r="W5437">
        <v>0.1782157</v>
      </c>
      <c r="X5437">
        <v>0.97987190000000002</v>
      </c>
      <c r="Y5437">
        <v>-0.39482929999999999</v>
      </c>
      <c r="Z5437">
        <v>-2.0783980000000001E-2</v>
      </c>
      <c r="AA5437">
        <v>0.91851939999999999</v>
      </c>
      <c r="AB5437">
        <v>42</v>
      </c>
      <c r="AC5437">
        <v>-45.206799999999902</v>
      </c>
      <c r="AD5437">
        <v>1.900542</v>
      </c>
      <c r="AE5437">
        <v>-71.441490000000002</v>
      </c>
      <c r="AF5437">
        <v>-33.499502976153401</v>
      </c>
      <c r="AG5437">
        <v>1.900542</v>
      </c>
      <c r="AH5437">
        <v>77.576452050057</v>
      </c>
      <c r="AI5437">
        <v>88.711548810226702</v>
      </c>
      <c r="AJ5437">
        <v>113.355926217651</v>
      </c>
      <c r="AK5437">
        <v>84.521799982122204</v>
      </c>
      <c r="AL5437">
        <v>79.734153457891907</v>
      </c>
      <c r="AM5437">
        <v>95.244674253689993</v>
      </c>
      <c r="AN5437">
        <v>1.0000000052406599</v>
      </c>
    </row>
    <row r="5438" spans="1:40" x14ac:dyDescent="0.25">
      <c r="A5438" t="str">
        <f>"20190303170401978"</f>
        <v>20190303170401978</v>
      </c>
      <c r="B5438" t="str">
        <f>"1551603841971455"</f>
        <v>1551603841971455</v>
      </c>
      <c r="C5438" t="s">
        <v>40</v>
      </c>
      <c r="D5438">
        <v>4.6062949999999896</v>
      </c>
      <c r="E5438">
        <v>0.38813599999999998</v>
      </c>
      <c r="F5438" t="s">
        <v>76</v>
      </c>
      <c r="G5438">
        <v>-447.57600000000002</v>
      </c>
      <c r="H5438">
        <v>2.9742229999999998</v>
      </c>
      <c r="I5438">
        <v>64.450009999999907</v>
      </c>
      <c r="J5438">
        <v>-404.02440000000001</v>
      </c>
      <c r="K5438">
        <v>1.137616</v>
      </c>
      <c r="L5438">
        <v>135.6465</v>
      </c>
      <c r="M5438">
        <v>-0.81698040000000005</v>
      </c>
      <c r="N5438">
        <v>-1.6317890000000002E-2</v>
      </c>
      <c r="O5438">
        <v>-0.57643440000000001</v>
      </c>
      <c r="P5438">
        <v>-0.75496989999999997</v>
      </c>
      <c r="Q5438">
        <v>0.16553579999999901</v>
      </c>
      <c r="R5438">
        <v>-0.63452229999999998</v>
      </c>
      <c r="S5438">
        <v>-1.6810609999999999</v>
      </c>
      <c r="T5438">
        <v>7.0328470000000004E-2</v>
      </c>
      <c r="U5438">
        <v>-2.7356720000000001</v>
      </c>
      <c r="V5438">
        <v>-9.0629749999999995E-2</v>
      </c>
      <c r="W5438">
        <v>0.17796229999999999</v>
      </c>
      <c r="X5438">
        <v>0.97985489999999997</v>
      </c>
      <c r="Y5438">
        <v>-0.39454349999999999</v>
      </c>
      <c r="Z5438">
        <v>-2.109084E-2</v>
      </c>
      <c r="AA5438">
        <v>0.91863519999999999</v>
      </c>
      <c r="AB5438">
        <v>42</v>
      </c>
      <c r="AC5438">
        <v>-43.551599999999901</v>
      </c>
      <c r="AD5438">
        <v>1.8366070000000001</v>
      </c>
      <c r="AE5438">
        <v>-71.196489999999997</v>
      </c>
      <c r="AF5438">
        <v>-33.049896893066197</v>
      </c>
      <c r="AG5438">
        <v>1.8366070000000001</v>
      </c>
      <c r="AH5438">
        <v>76.594027266030906</v>
      </c>
      <c r="AI5438">
        <v>88.738761717495606</v>
      </c>
      <c r="AJ5438">
        <v>113.33992916679</v>
      </c>
      <c r="AK5438">
        <v>83.440480719757602</v>
      </c>
      <c r="AL5438">
        <v>79.748907792139903</v>
      </c>
      <c r="AM5438">
        <v>95.2844252062485</v>
      </c>
      <c r="AN5438">
        <v>0.99999997843018096</v>
      </c>
    </row>
    <row r="5439" spans="1:40" x14ac:dyDescent="0.25">
      <c r="A5439" t="str">
        <f>"20190303170401999"</f>
        <v>20190303170401999</v>
      </c>
      <c r="B5439" t="str">
        <f>"1551603841990975"</f>
        <v>1551603841990975</v>
      </c>
      <c r="C5439" t="s">
        <v>40</v>
      </c>
      <c r="D5439">
        <v>4.6150270000000004</v>
      </c>
      <c r="E5439">
        <v>0.3896908</v>
      </c>
      <c r="F5439" t="s">
        <v>76</v>
      </c>
      <c r="G5439">
        <v>-450.4495</v>
      </c>
      <c r="H5439">
        <v>2.004359</v>
      </c>
      <c r="I5439">
        <v>64.450009999999907</v>
      </c>
      <c r="J5439">
        <v>-404.34039999999999</v>
      </c>
      <c r="K5439">
        <v>1.1375949999999999</v>
      </c>
      <c r="L5439">
        <v>135.4177</v>
      </c>
      <c r="M5439">
        <v>-0.80875160000000001</v>
      </c>
      <c r="N5439">
        <v>-1.6312119999999999E-2</v>
      </c>
      <c r="O5439">
        <v>-0.58792419999999901</v>
      </c>
      <c r="P5439">
        <v>-0.74621519999999997</v>
      </c>
      <c r="Q5439">
        <v>0.164764299999999</v>
      </c>
      <c r="R5439">
        <v>-0.64499300000000004</v>
      </c>
      <c r="S5439">
        <v>-1.7329410000000001</v>
      </c>
      <c r="T5439">
        <v>3.235412E-2</v>
      </c>
      <c r="U5439">
        <v>-2.6575929999999999</v>
      </c>
      <c r="V5439">
        <v>-9.0315300000000001E-2</v>
      </c>
      <c r="W5439">
        <v>0.1772012</v>
      </c>
      <c r="X5439">
        <v>0.9800219</v>
      </c>
      <c r="Y5439">
        <v>-0.35647770000000001</v>
      </c>
      <c r="Z5439">
        <v>-1.6497589999999999E-2</v>
      </c>
      <c r="AA5439">
        <v>0.93415809999999999</v>
      </c>
      <c r="AB5439">
        <v>42</v>
      </c>
      <c r="AC5439">
        <v>-46.109099999999998</v>
      </c>
      <c r="AD5439">
        <v>0.86676399999999898</v>
      </c>
      <c r="AE5439">
        <v>-70.967690000000005</v>
      </c>
      <c r="AF5439">
        <v>-30.287428902862999</v>
      </c>
      <c r="AG5439">
        <v>0.86676399999999898</v>
      </c>
      <c r="AH5439">
        <v>79.016653016384893</v>
      </c>
      <c r="AI5439">
        <v>89.413155967735307</v>
      </c>
      <c r="AJ5439">
        <v>110.97204685513201</v>
      </c>
      <c r="AK5439">
        <v>84.626893380824598</v>
      </c>
      <c r="AL5439">
        <v>79.793220351740004</v>
      </c>
      <c r="AM5439">
        <v>95.265301231334405</v>
      </c>
      <c r="AN5439">
        <v>1.00000002158756</v>
      </c>
    </row>
    <row r="5440" spans="1:40" x14ac:dyDescent="0.25">
      <c r="A5440" t="str">
        <f>"20190303170402023"</f>
        <v>20190303170402023</v>
      </c>
      <c r="B5440" t="str">
        <f>"1551603842011470"</f>
        <v>1551603842011470</v>
      </c>
      <c r="C5440" t="s">
        <v>40</v>
      </c>
      <c r="D5440">
        <v>4.6078279999999996</v>
      </c>
      <c r="E5440">
        <v>0.3909357</v>
      </c>
      <c r="F5440" t="s">
        <v>76</v>
      </c>
      <c r="G5440">
        <v>-449.6103</v>
      </c>
      <c r="H5440">
        <v>1.785021</v>
      </c>
      <c r="I5440">
        <v>64.450009999999907</v>
      </c>
      <c r="J5440">
        <v>-404.67500000000001</v>
      </c>
      <c r="K5440">
        <v>1.1375759999999999</v>
      </c>
      <c r="L5440">
        <v>135.1678</v>
      </c>
      <c r="M5440">
        <v>-0.79977900000000002</v>
      </c>
      <c r="N5440">
        <v>-1.6304630000000001E-2</v>
      </c>
      <c r="O5440">
        <v>-0.60007290000000002</v>
      </c>
      <c r="P5440">
        <v>-0.73672649999999995</v>
      </c>
      <c r="Q5440">
        <v>0.16364119999999999</v>
      </c>
      <c r="R5440">
        <v>-0.65609090000000003</v>
      </c>
      <c r="S5440">
        <v>-1.7048650000000001</v>
      </c>
      <c r="T5440">
        <v>2.4382709999999998E-2</v>
      </c>
      <c r="U5440">
        <v>-2.6726380000000001</v>
      </c>
      <c r="V5440">
        <v>-8.9980710000000005E-2</v>
      </c>
      <c r="W5440">
        <v>0.17608979999999999</v>
      </c>
      <c r="X5440">
        <v>0.98025300000000004</v>
      </c>
      <c r="Y5440">
        <v>-0.35168959999999999</v>
      </c>
      <c r="Z5440">
        <v>-1.565159E-2</v>
      </c>
      <c r="AA5440">
        <v>0.93598579999999998</v>
      </c>
      <c r="AB5440">
        <v>42</v>
      </c>
      <c r="AC5440">
        <v>-44.935299999999899</v>
      </c>
      <c r="AD5440">
        <v>0.64744499999999905</v>
      </c>
      <c r="AE5440">
        <v>-70.717789999999994</v>
      </c>
      <c r="AF5440">
        <v>-29.596318129886999</v>
      </c>
      <c r="AG5440">
        <v>0.64744499999999905</v>
      </c>
      <c r="AH5440">
        <v>78.379886876397904</v>
      </c>
      <c r="AI5440">
        <v>89.557239917508298</v>
      </c>
      <c r="AJ5440">
        <v>110.686583037933</v>
      </c>
      <c r="AK5440">
        <v>83.784055157472693</v>
      </c>
      <c r="AL5440">
        <v>79.857916495501001</v>
      </c>
      <c r="AM5440">
        <v>95.244674111805097</v>
      </c>
      <c r="AN5440">
        <v>1.0000000449225701</v>
      </c>
    </row>
    <row r="5441" spans="1:40" x14ac:dyDescent="0.25">
      <c r="A5441" t="str">
        <f>"20190303170402045"</f>
        <v>20190303170402045</v>
      </c>
      <c r="B5441" t="str">
        <f>"1551603842030991"</f>
        <v>1551603842030991</v>
      </c>
      <c r="C5441" t="s">
        <v>40</v>
      </c>
      <c r="D5441">
        <v>4.6146060000000002</v>
      </c>
      <c r="E5441">
        <v>0.39216109999999998</v>
      </c>
      <c r="F5441" t="s">
        <v>76</v>
      </c>
      <c r="G5441">
        <v>-448.63040000000001</v>
      </c>
      <c r="H5441">
        <v>1.5187520000000001</v>
      </c>
      <c r="I5441">
        <v>64.450009999999907</v>
      </c>
      <c r="J5441">
        <v>-405.00020000000001</v>
      </c>
      <c r="K5441">
        <v>1.137554</v>
      </c>
      <c r="L5441">
        <v>134.9171</v>
      </c>
      <c r="M5441">
        <v>-0.79079359999999999</v>
      </c>
      <c r="N5441">
        <v>-1.6296419999999999E-2</v>
      </c>
      <c r="O5441">
        <v>-0.61186589999999996</v>
      </c>
      <c r="P5441">
        <v>-0.72714840000000003</v>
      </c>
      <c r="Q5441">
        <v>0.16349810000000001</v>
      </c>
      <c r="R5441">
        <v>-0.66672629999999999</v>
      </c>
      <c r="S5441">
        <v>-1.6725460000000001</v>
      </c>
      <c r="T5441">
        <v>1.450479E-2</v>
      </c>
      <c r="U5441">
        <v>-2.6908720000000002</v>
      </c>
      <c r="V5441">
        <v>-8.965381E-2</v>
      </c>
      <c r="W5441">
        <v>0.1759569</v>
      </c>
      <c r="X5441">
        <v>0.98030669999999998</v>
      </c>
      <c r="Y5441">
        <v>-0.34872550000000002</v>
      </c>
      <c r="Z5441">
        <v>-1.4441819999999999E-2</v>
      </c>
      <c r="AA5441">
        <v>0.93711359999999999</v>
      </c>
      <c r="AB5441">
        <v>42</v>
      </c>
      <c r="AC5441">
        <v>-43.630200000000002</v>
      </c>
      <c r="AD5441">
        <v>0.38119799999999898</v>
      </c>
      <c r="AE5441">
        <v>-70.467089999999999</v>
      </c>
      <c r="AF5441">
        <v>-29.032333908813001</v>
      </c>
      <c r="AG5441">
        <v>0.38119799999999898</v>
      </c>
      <c r="AH5441">
        <v>77.627560172315398</v>
      </c>
      <c r="AI5441">
        <v>89.736472387333393</v>
      </c>
      <c r="AJ5441">
        <v>110.505554887404</v>
      </c>
      <c r="AK5441">
        <v>82.879791399438702</v>
      </c>
      <c r="AL5441">
        <v>79.865650719855097</v>
      </c>
      <c r="AM5441">
        <v>95.225441214225199</v>
      </c>
      <c r="AN5441">
        <v>0.99999993118500496</v>
      </c>
    </row>
    <row r="5442" spans="1:40" x14ac:dyDescent="0.25">
      <c r="A5442" t="str">
        <f>"20190303170402068"</f>
        <v>20190303170402068</v>
      </c>
      <c r="B5442" t="str">
        <f>"1551603842051487"</f>
        <v>1551603842051487</v>
      </c>
      <c r="C5442" t="s">
        <v>40</v>
      </c>
      <c r="D5442">
        <v>4.6377699999999997</v>
      </c>
      <c r="E5442">
        <v>0.39270329999999998</v>
      </c>
      <c r="F5442" t="s">
        <v>76</v>
      </c>
      <c r="G5442">
        <v>-447.67770000000002</v>
      </c>
      <c r="H5442">
        <v>1.3940140000000001</v>
      </c>
      <c r="I5442">
        <v>64.450009999999907</v>
      </c>
      <c r="J5442">
        <v>-405.32670000000002</v>
      </c>
      <c r="K5442">
        <v>1.1375309999999901</v>
      </c>
      <c r="L5442">
        <v>134.65770000000001</v>
      </c>
      <c r="M5442">
        <v>-0.78150730000000002</v>
      </c>
      <c r="N5442">
        <v>-1.6287659999999999E-2</v>
      </c>
      <c r="O5442">
        <v>-0.6236834</v>
      </c>
      <c r="P5442">
        <v>-0.71737720000000005</v>
      </c>
      <c r="Q5442">
        <v>0.1640307</v>
      </c>
      <c r="R5442">
        <v>-0.67709949999999997</v>
      </c>
      <c r="S5442">
        <v>-1.6402589999999999</v>
      </c>
      <c r="T5442">
        <v>9.8574160000000008E-3</v>
      </c>
      <c r="U5442">
        <v>-2.708313</v>
      </c>
      <c r="V5442">
        <v>-8.9082499999999995E-2</v>
      </c>
      <c r="W5442">
        <v>0.1765089</v>
      </c>
      <c r="X5442">
        <v>0.98025960000000001</v>
      </c>
      <c r="Y5442">
        <v>-0.3454643</v>
      </c>
      <c r="Z5442">
        <v>-1.393638E-2</v>
      </c>
      <c r="AA5442">
        <v>0.93832839999999995</v>
      </c>
      <c r="AB5442">
        <v>42</v>
      </c>
      <c r="AC5442">
        <v>-42.350999999999999</v>
      </c>
      <c r="AD5442">
        <v>0.25648300000000002</v>
      </c>
      <c r="AE5442">
        <v>-70.207689999999999</v>
      </c>
      <c r="AF5442">
        <v>-28.457704119556801</v>
      </c>
      <c r="AG5442">
        <v>0.25648300000000002</v>
      </c>
      <c r="AH5442">
        <v>76.894437037098896</v>
      </c>
      <c r="AI5442">
        <v>89.820769748330207</v>
      </c>
      <c r="AJ5442">
        <v>110.308905660307</v>
      </c>
      <c r="AK5442">
        <v>81.991835901740302</v>
      </c>
      <c r="AL5442">
        <v>79.833521099015698</v>
      </c>
      <c r="AM5442">
        <v>95.192573319175096</v>
      </c>
      <c r="AN5442">
        <v>0.99999998348880903</v>
      </c>
    </row>
    <row r="5443" spans="1:40" x14ac:dyDescent="0.25">
      <c r="A5443" t="str">
        <f>"20190303170402089"</f>
        <v>20190303170402089</v>
      </c>
      <c r="B5443" t="str">
        <f>"1551603842080768"</f>
        <v>1551603842080768</v>
      </c>
      <c r="C5443" t="s">
        <v>40</v>
      </c>
      <c r="D5443">
        <v>4.6663480000000002</v>
      </c>
      <c r="E5443">
        <v>0.40114689999999997</v>
      </c>
      <c r="F5443" t="s">
        <v>76</v>
      </c>
      <c r="G5443">
        <v>-446.5641</v>
      </c>
      <c r="H5443">
        <v>1.5351980000000001</v>
      </c>
      <c r="I5443">
        <v>64.450009999999907</v>
      </c>
      <c r="J5443">
        <v>-405.63959999999997</v>
      </c>
      <c r="K5443">
        <v>1.1375059999999999</v>
      </c>
      <c r="L5443">
        <v>134.4015</v>
      </c>
      <c r="M5443">
        <v>-0.77234329999999995</v>
      </c>
      <c r="N5443">
        <v>-1.627901E-2</v>
      </c>
      <c r="O5443">
        <v>-0.63499669999999997</v>
      </c>
      <c r="P5443">
        <v>-0.7082773</v>
      </c>
      <c r="Q5443">
        <v>0.16415170000000001</v>
      </c>
      <c r="R5443">
        <v>-0.68658430000000004</v>
      </c>
      <c r="S5443">
        <v>-1.6027830000000001</v>
      </c>
      <c r="T5443">
        <v>1.5456910000000001E-2</v>
      </c>
      <c r="U5443">
        <v>-2.7287750000000002</v>
      </c>
      <c r="V5443">
        <v>-8.7860209999999994E-2</v>
      </c>
      <c r="W5443">
        <v>0.17667840000000001</v>
      </c>
      <c r="X5443">
        <v>0.98033939999999997</v>
      </c>
      <c r="Y5443">
        <v>-0.34446339999999998</v>
      </c>
      <c r="Z5443">
        <v>-1.500346E-2</v>
      </c>
      <c r="AA5443">
        <v>0.93867990000000001</v>
      </c>
      <c r="AB5443">
        <v>42</v>
      </c>
      <c r="AC5443">
        <v>-40.924500000000002</v>
      </c>
      <c r="AD5443">
        <v>0.39769199999999999</v>
      </c>
      <c r="AE5443">
        <v>-69.951490000000007</v>
      </c>
      <c r="AF5443">
        <v>-28.042683148538501</v>
      </c>
      <c r="AG5443">
        <v>0.39769199999999999</v>
      </c>
      <c r="AH5443">
        <v>76.034973984819203</v>
      </c>
      <c r="AI5443">
        <v>89.718836436715094</v>
      </c>
      <c r="AJ5443">
        <v>110.244627507625</v>
      </c>
      <c r="AK5443">
        <v>81.042380924848999</v>
      </c>
      <c r="AL5443">
        <v>79.823654632801194</v>
      </c>
      <c r="AM5443">
        <v>95.121293516032395</v>
      </c>
      <c r="AN5443">
        <v>1.00000000636008</v>
      </c>
    </row>
    <row r="5444" spans="1:40" x14ac:dyDescent="0.25">
      <c r="A5444" t="str">
        <f>"20190303170402112"</f>
        <v>20190303170402112</v>
      </c>
      <c r="B5444" t="str">
        <f>"1551603842101264"</f>
        <v>1551603842101264</v>
      </c>
      <c r="C5444" t="s">
        <v>40</v>
      </c>
      <c r="D5444">
        <v>4.654706</v>
      </c>
      <c r="E5444">
        <v>0.40159119999999998</v>
      </c>
      <c r="F5444" t="s">
        <v>76</v>
      </c>
      <c r="G5444">
        <v>-447.38099999999997</v>
      </c>
      <c r="H5444">
        <v>1.1793559999999901</v>
      </c>
      <c r="I5444">
        <v>64.450009999999907</v>
      </c>
      <c r="J5444">
        <v>-405.94540000000001</v>
      </c>
      <c r="K5444">
        <v>1.137481</v>
      </c>
      <c r="L5444">
        <v>134.14330000000001</v>
      </c>
      <c r="M5444">
        <v>-0.76312519999999995</v>
      </c>
      <c r="N5444">
        <v>-1.62706E-2</v>
      </c>
      <c r="O5444">
        <v>-0.6460458</v>
      </c>
      <c r="P5444">
        <v>-0.69863299999999995</v>
      </c>
      <c r="Q5444">
        <v>0.16360060000000001</v>
      </c>
      <c r="R5444">
        <v>-0.696524699999999</v>
      </c>
      <c r="S5444">
        <v>-1.613739</v>
      </c>
      <c r="T5444">
        <v>1.6186239999999999E-3</v>
      </c>
      <c r="U5444">
        <v>-2.7043460000000001</v>
      </c>
      <c r="V5444">
        <v>-8.7486359999999999E-2</v>
      </c>
      <c r="W5444">
        <v>0.1761414</v>
      </c>
      <c r="X5444">
        <v>0.98046949999999999</v>
      </c>
      <c r="Y5444">
        <v>-0.3243356</v>
      </c>
      <c r="Z5444">
        <v>-1.2849350000000001E-2</v>
      </c>
      <c r="AA5444">
        <v>0.9458548</v>
      </c>
      <c r="AB5444">
        <v>42</v>
      </c>
      <c r="AC5444">
        <v>-41.435599999999901</v>
      </c>
      <c r="AD5444">
        <v>4.1874999999999801E-2</v>
      </c>
      <c r="AE5444">
        <v>-69.693290000000005</v>
      </c>
      <c r="AF5444">
        <v>-26.418900952378898</v>
      </c>
      <c r="AG5444">
        <v>4.1874999999999801E-2</v>
      </c>
      <c r="AH5444">
        <v>76.655735492020696</v>
      </c>
      <c r="AI5444">
        <v>89.970408936194602</v>
      </c>
      <c r="AJ5444">
        <v>109.016178992425</v>
      </c>
      <c r="AK5444">
        <v>81.080588705743097</v>
      </c>
      <c r="AL5444">
        <v>79.854913122292103</v>
      </c>
      <c r="AM5444">
        <v>95.098944170757505</v>
      </c>
      <c r="AN5444">
        <v>1.0000000482051199</v>
      </c>
    </row>
    <row r="5445" spans="1:40" x14ac:dyDescent="0.25">
      <c r="A5445" t="str">
        <f>"20190303170402134"</f>
        <v>20190303170402134</v>
      </c>
      <c r="B5445" t="str">
        <f>"1551603842120783"</f>
        <v>1551603842120783</v>
      </c>
      <c r="C5445" t="s">
        <v>40</v>
      </c>
      <c r="D5445">
        <v>4.6876530000000001</v>
      </c>
      <c r="E5445">
        <v>0.40251350000000002</v>
      </c>
      <c r="F5445" t="s">
        <v>76</v>
      </c>
      <c r="G5445">
        <v>-446.32530000000003</v>
      </c>
      <c r="H5445">
        <v>1.2239340000000001</v>
      </c>
      <c r="I5445">
        <v>64.450009999999907</v>
      </c>
      <c r="J5445">
        <v>-406.25740000000002</v>
      </c>
      <c r="K5445">
        <v>1.1374519999999999</v>
      </c>
      <c r="L5445">
        <v>133.87209999999999</v>
      </c>
      <c r="M5445">
        <v>-0.75344719999999998</v>
      </c>
      <c r="N5445">
        <v>-1.6262349999999998E-2</v>
      </c>
      <c r="O5445">
        <v>-0.65730719999999898</v>
      </c>
      <c r="P5445">
        <v>-0.68840239999999997</v>
      </c>
      <c r="Q5445">
        <v>0.16356200000000001</v>
      </c>
      <c r="R5445">
        <v>-0.70664689999999997</v>
      </c>
      <c r="S5445">
        <v>-1.578003</v>
      </c>
      <c r="T5445">
        <v>3.3792259999999999E-3</v>
      </c>
      <c r="U5445">
        <v>-2.723541</v>
      </c>
      <c r="V5445">
        <v>-8.7212380000000006E-2</v>
      </c>
      <c r="W5445">
        <v>0.17611280000000001</v>
      </c>
      <c r="X5445">
        <v>0.98049900000000001</v>
      </c>
      <c r="Y5445">
        <v>-0.32246979999999997</v>
      </c>
      <c r="Z5445">
        <v>-1.3292440000000001E-2</v>
      </c>
      <c r="AA5445">
        <v>0.94648639999999995</v>
      </c>
      <c r="AB5445">
        <v>42</v>
      </c>
      <c r="AC5445">
        <v>-40.067900000000002</v>
      </c>
      <c r="AD5445">
        <v>8.6481999999999906E-2</v>
      </c>
      <c r="AE5445">
        <v>-69.422089999999997</v>
      </c>
      <c r="AF5445">
        <v>-25.972365812642501</v>
      </c>
      <c r="AG5445">
        <v>8.6481999999999906E-2</v>
      </c>
      <c r="AH5445">
        <v>75.830630000190794</v>
      </c>
      <c r="AI5445">
        <v>89.938181743541094</v>
      </c>
      <c r="AJ5445">
        <v>108.90658565296501</v>
      </c>
      <c r="AK5445">
        <v>80.155197655971705</v>
      </c>
      <c r="AL5445">
        <v>79.856577344197206</v>
      </c>
      <c r="AM5445">
        <v>95.082907520825799</v>
      </c>
      <c r="AN5445">
        <v>1.00000000327505</v>
      </c>
    </row>
    <row r="5446" spans="1:40" x14ac:dyDescent="0.25">
      <c r="A5446" t="str">
        <f>"20190303170402156"</f>
        <v>20190303170402156</v>
      </c>
      <c r="B5446" t="str">
        <f>"1551603842151040"</f>
        <v>1551603842151040</v>
      </c>
      <c r="C5446" t="s">
        <v>40</v>
      </c>
      <c r="D5446">
        <v>4.653467</v>
      </c>
      <c r="E5446">
        <v>0.40796149999999998</v>
      </c>
      <c r="F5446" t="s">
        <v>76</v>
      </c>
      <c r="G5446">
        <v>-444.66539999999998</v>
      </c>
      <c r="H5446">
        <v>1.1620539999999999</v>
      </c>
      <c r="I5446">
        <v>65.675449999999998</v>
      </c>
      <c r="J5446">
        <v>-406.56209999999999</v>
      </c>
      <c r="K5446">
        <v>1.1374200000000001</v>
      </c>
      <c r="L5446">
        <v>133.59880000000001</v>
      </c>
      <c r="M5446">
        <v>-0.74371589999999999</v>
      </c>
      <c r="N5446">
        <v>-1.6254250000000001E-2</v>
      </c>
      <c r="O5446">
        <v>-0.66829830000000001</v>
      </c>
      <c r="P5446">
        <v>-0.67897989999999997</v>
      </c>
      <c r="Q5446">
        <v>0.16509889999999999</v>
      </c>
      <c r="R5446">
        <v>-0.71535219999999999</v>
      </c>
      <c r="S5446">
        <v>-1.5438540000000001</v>
      </c>
      <c r="T5446">
        <v>9.8967549999999993E-4</v>
      </c>
      <c r="U5446">
        <v>-2.741241</v>
      </c>
      <c r="V5446">
        <v>-8.5588250000000005E-2</v>
      </c>
      <c r="W5446">
        <v>0.1777146</v>
      </c>
      <c r="X5446">
        <v>0.98035309999999998</v>
      </c>
      <c r="Y5446">
        <v>-0.32012439999999998</v>
      </c>
      <c r="Z5446">
        <v>-1.302333E-2</v>
      </c>
      <c r="AA5446">
        <v>0.94728599999999996</v>
      </c>
      <c r="AB5446">
        <v>42</v>
      </c>
      <c r="AC5446">
        <v>-38.103299999999898</v>
      </c>
      <c r="AD5446">
        <v>2.4634E-2</v>
      </c>
      <c r="AE5446">
        <v>-67.923349999999999</v>
      </c>
      <c r="AF5446">
        <v>-25.0546102124299</v>
      </c>
      <c r="AG5446">
        <v>2.4634E-2</v>
      </c>
      <c r="AH5446">
        <v>73.740818001619502</v>
      </c>
      <c r="AI5446">
        <v>89.981877156609201</v>
      </c>
      <c r="AJ5446">
        <v>108.76600568010301</v>
      </c>
      <c r="AK5446">
        <v>77.880949784133506</v>
      </c>
      <c r="AL5446">
        <v>79.763330218493095</v>
      </c>
      <c r="AM5446">
        <v>94.989470932011699</v>
      </c>
      <c r="AN5446">
        <v>1.00000001413541</v>
      </c>
    </row>
    <row r="5447" spans="1:40" x14ac:dyDescent="0.25">
      <c r="A5447" t="str">
        <f>"20190303170402179"</f>
        <v>20190303170402179</v>
      </c>
      <c r="B5447" t="str">
        <f>"1551603842171247"</f>
        <v>1551603842171247</v>
      </c>
      <c r="C5447" t="s">
        <v>40</v>
      </c>
      <c r="D5447">
        <v>4.7277680000000002</v>
      </c>
      <c r="E5447">
        <v>0.40933079999999999</v>
      </c>
      <c r="F5447" t="s">
        <v>76</v>
      </c>
      <c r="G5447">
        <v>-444.8177</v>
      </c>
      <c r="H5447">
        <v>0.86125839999999998</v>
      </c>
      <c r="I5447">
        <v>65.675449999999998</v>
      </c>
      <c r="J5447">
        <v>-406.85890000000001</v>
      </c>
      <c r="K5447">
        <v>1.1373850000000001</v>
      </c>
      <c r="L5447">
        <v>133.32409999999999</v>
      </c>
      <c r="M5447">
        <v>-0.73395429999999995</v>
      </c>
      <c r="N5447">
        <v>-1.6245840000000001E-2</v>
      </c>
      <c r="O5447">
        <v>-0.67900479999999996</v>
      </c>
      <c r="P5447">
        <v>-0.66991009999999995</v>
      </c>
      <c r="Q5447">
        <v>0.16616449999999999</v>
      </c>
      <c r="R5447">
        <v>-0.72360909999999901</v>
      </c>
      <c r="S5447">
        <v>-1.5401</v>
      </c>
      <c r="T5447">
        <v>-1.111698E-2</v>
      </c>
      <c r="U5447">
        <v>-2.734467</v>
      </c>
      <c r="V5447">
        <v>-8.357945E-2</v>
      </c>
      <c r="W5447">
        <v>0.17886270000000001</v>
      </c>
      <c r="X5447">
        <v>0.98031760000000001</v>
      </c>
      <c r="Y5447">
        <v>-0.30631839999999999</v>
      </c>
      <c r="Z5447">
        <v>-1.090676E-2</v>
      </c>
      <c r="AA5447">
        <v>0.95186660000000001</v>
      </c>
      <c r="AB5447">
        <v>41</v>
      </c>
      <c r="AC5447">
        <v>-37.958799999999997</v>
      </c>
      <c r="AD5447">
        <v>-0.276126599999999</v>
      </c>
      <c r="AE5447">
        <v>-67.648649999999904</v>
      </c>
      <c r="AF5447">
        <v>-23.879654760902302</v>
      </c>
      <c r="AG5447">
        <v>-0.276126599999999</v>
      </c>
      <c r="AH5447">
        <v>73.802574100518399</v>
      </c>
      <c r="AI5447">
        <v>90.203956217792097</v>
      </c>
      <c r="AJ5447">
        <v>107.92957224114301</v>
      </c>
      <c r="AK5447">
        <v>77.570188224998006</v>
      </c>
      <c r="AL5447">
        <v>79.696477621360103</v>
      </c>
      <c r="AM5447">
        <v>94.8731117222367</v>
      </c>
      <c r="AN5447">
        <v>0.999999993391676</v>
      </c>
    </row>
    <row r="5448" spans="1:40" x14ac:dyDescent="0.25">
      <c r="A5448" t="str">
        <f>"20190303170402200"</f>
        <v>20190303170402200</v>
      </c>
      <c r="B5448" t="str">
        <f>"1551603842190768"</f>
        <v>1551603842190768</v>
      </c>
      <c r="C5448" t="s">
        <v>40</v>
      </c>
      <c r="D5448">
        <v>4.7368480000000002</v>
      </c>
      <c r="E5448">
        <v>0.41053279999999998</v>
      </c>
      <c r="F5448" t="s">
        <v>76</v>
      </c>
      <c r="G5448">
        <v>-444.12950000000001</v>
      </c>
      <c r="H5448">
        <v>0.91416799999999998</v>
      </c>
      <c r="I5448">
        <v>65.675449999999998</v>
      </c>
      <c r="J5448">
        <v>-407.14789999999999</v>
      </c>
      <c r="K5448">
        <v>1.1373420000000001</v>
      </c>
      <c r="L5448">
        <v>133.04900000000001</v>
      </c>
      <c r="M5448">
        <v>-0.724188099999999</v>
      </c>
      <c r="N5448">
        <v>-1.6236779999999999E-2</v>
      </c>
      <c r="O5448">
        <v>-0.68941129999999995</v>
      </c>
      <c r="P5448">
        <v>-0.65950019999999998</v>
      </c>
      <c r="Q5448">
        <v>0.16559849999999901</v>
      </c>
      <c r="R5448">
        <v>-0.73323709999999997</v>
      </c>
      <c r="S5448">
        <v>-1.5133970000000001</v>
      </c>
      <c r="T5448">
        <v>-9.063125E-3</v>
      </c>
      <c r="U5448">
        <v>-2.746918</v>
      </c>
      <c r="V5448">
        <v>-8.3646659999999998E-2</v>
      </c>
      <c r="W5448">
        <v>0.17829449999999999</v>
      </c>
      <c r="X5448">
        <v>0.98041529999999999</v>
      </c>
      <c r="Y5448">
        <v>-0.30164920000000001</v>
      </c>
      <c r="Z5448">
        <v>-1.134226E-2</v>
      </c>
      <c r="AA5448">
        <v>0.95335150000000002</v>
      </c>
      <c r="AB5448">
        <v>41</v>
      </c>
      <c r="AC5448">
        <v>-36.9816</v>
      </c>
      <c r="AD5448">
        <v>-0.22317400000000001</v>
      </c>
      <c r="AE5448">
        <v>-67.373549999999994</v>
      </c>
      <c r="AF5448">
        <v>-23.298465388925202</v>
      </c>
      <c r="AG5448">
        <v>-0.22317400000000001</v>
      </c>
      <c r="AH5448">
        <v>73.238759387873998</v>
      </c>
      <c r="AI5448">
        <v>90.166376233740806</v>
      </c>
      <c r="AJ5448">
        <v>107.646731143604</v>
      </c>
      <c r="AK5448">
        <v>76.855605994540994</v>
      </c>
      <c r="AL5448">
        <v>79.7295642463706</v>
      </c>
      <c r="AM5448">
        <v>94.876527859023696</v>
      </c>
      <c r="AN5448">
        <v>0.99999992646674496</v>
      </c>
    </row>
    <row r="5449" spans="1:40" x14ac:dyDescent="0.25">
      <c r="A5449" t="str">
        <f>"20190303170402223"</f>
        <v>20190303170402223</v>
      </c>
      <c r="B5449" t="str">
        <f>"1551603842211263"</f>
        <v>1551603842211263</v>
      </c>
      <c r="C5449" t="s">
        <v>40</v>
      </c>
      <c r="D5449">
        <v>4.7437389999999997</v>
      </c>
      <c r="E5449">
        <v>0.41165580000000002</v>
      </c>
      <c r="F5449" t="s">
        <v>76</v>
      </c>
      <c r="G5449">
        <v>-443.26589999999999</v>
      </c>
      <c r="H5449">
        <v>0.69340900000000005</v>
      </c>
      <c r="I5449">
        <v>65.675449999999998</v>
      </c>
      <c r="J5449">
        <v>-407.44580000000002</v>
      </c>
      <c r="K5449">
        <v>1.137283</v>
      </c>
      <c r="L5449">
        <v>132.75659999999999</v>
      </c>
      <c r="M5449">
        <v>-0.71383099999999999</v>
      </c>
      <c r="N5449">
        <v>-1.622643E-2</v>
      </c>
      <c r="O5449">
        <v>-0.70013000000000003</v>
      </c>
      <c r="P5449">
        <v>-0.64881999999999995</v>
      </c>
      <c r="Q5449">
        <v>0.1638809</v>
      </c>
      <c r="R5449">
        <v>-0.74308540000000001</v>
      </c>
      <c r="S5449">
        <v>-1.481293</v>
      </c>
      <c r="T5449">
        <v>-1.8206E-2</v>
      </c>
      <c r="U5449">
        <v>-2.763153</v>
      </c>
      <c r="V5449">
        <v>-8.339684E-2</v>
      </c>
      <c r="W5449">
        <v>0.1765911</v>
      </c>
      <c r="X5449">
        <v>0.98074490000000003</v>
      </c>
      <c r="Y5449">
        <v>-0.2983479</v>
      </c>
      <c r="Z5449">
        <v>-9.6976809999999997E-3</v>
      </c>
      <c r="AA5449">
        <v>0.95440789999999998</v>
      </c>
      <c r="AB5449">
        <v>41</v>
      </c>
      <c r="AC5449">
        <v>-35.820099999999897</v>
      </c>
      <c r="AD5449">
        <v>-0.44387399999999999</v>
      </c>
      <c r="AE5449">
        <v>-67.081149999999994</v>
      </c>
      <c r="AF5449">
        <v>-22.8081035390803</v>
      </c>
      <c r="AG5449">
        <v>-0.44387399999999999</v>
      </c>
      <c r="AH5449">
        <v>72.542102493407995</v>
      </c>
      <c r="AI5449">
        <v>90.334439141130702</v>
      </c>
      <c r="AJ5449">
        <v>107.453770501004</v>
      </c>
      <c r="AK5449">
        <v>76.044482017707196</v>
      </c>
      <c r="AL5449">
        <v>79.828736436353907</v>
      </c>
      <c r="AM5449">
        <v>94.860407330524893</v>
      </c>
      <c r="AN5449">
        <v>1.0000000041985999</v>
      </c>
    </row>
    <row r="5450" spans="1:40" x14ac:dyDescent="0.25">
      <c r="A5450" t="str">
        <f>"20190303170402246"</f>
        <v>20190303170402246</v>
      </c>
      <c r="B5450" t="str">
        <f>"1551603842241521"</f>
        <v>1551603842241521</v>
      </c>
      <c r="C5450" t="s">
        <v>40</v>
      </c>
      <c r="D5450">
        <v>4.7513540000000001</v>
      </c>
      <c r="E5450">
        <v>0.41828910000000002</v>
      </c>
      <c r="F5450" t="s">
        <v>76</v>
      </c>
      <c r="G5450">
        <v>-442.38929999999999</v>
      </c>
      <c r="H5450">
        <v>0.48121960000000003</v>
      </c>
      <c r="I5450">
        <v>65.675449999999998</v>
      </c>
      <c r="J5450">
        <v>-407.73250000000002</v>
      </c>
      <c r="K5450">
        <v>1.1372089999999999</v>
      </c>
      <c r="L5450">
        <v>132.46700000000001</v>
      </c>
      <c r="M5450">
        <v>-0.70359359999999904</v>
      </c>
      <c r="N5450">
        <v>-1.6215110000000001E-2</v>
      </c>
      <c r="O5450">
        <v>-0.71041769999999904</v>
      </c>
      <c r="P5450">
        <v>-0.63913359999999997</v>
      </c>
      <c r="Q5450">
        <v>0.16270970000000001</v>
      </c>
      <c r="R5450">
        <v>-0.75168749999999995</v>
      </c>
      <c r="S5450">
        <v>-1.4477230000000001</v>
      </c>
      <c r="T5450">
        <v>-2.7180079999999999E-2</v>
      </c>
      <c r="U5450">
        <v>-2.7791899999999998</v>
      </c>
      <c r="V5450">
        <v>-8.1974759999999994E-2</v>
      </c>
      <c r="W5450">
        <v>0.17548239999999901</v>
      </c>
      <c r="X5450">
        <v>0.98106369999999998</v>
      </c>
      <c r="Y5450">
        <v>-0.29579359999999999</v>
      </c>
      <c r="Z5450">
        <v>-8.0086810000000001E-3</v>
      </c>
      <c r="AA5450">
        <v>0.95521829999999996</v>
      </c>
      <c r="AB5450">
        <v>41</v>
      </c>
      <c r="AC5450">
        <v>-34.656799999999897</v>
      </c>
      <c r="AD5450">
        <v>-0.65598939999999994</v>
      </c>
      <c r="AE5450">
        <v>-66.791550000000001</v>
      </c>
      <c r="AF5450">
        <v>-22.3745422580485</v>
      </c>
      <c r="AG5450">
        <v>-0.65598939999999994</v>
      </c>
      <c r="AH5450">
        <v>71.838181006354304</v>
      </c>
      <c r="AI5450">
        <v>90.499515148666504</v>
      </c>
      <c r="AJ5450">
        <v>107.299593231638</v>
      </c>
      <c r="AK5450">
        <v>75.244765357145198</v>
      </c>
      <c r="AL5450">
        <v>79.893267557416806</v>
      </c>
      <c r="AM5450">
        <v>94.776369414817495</v>
      </c>
      <c r="AN5450">
        <v>0.999999958722252</v>
      </c>
    </row>
    <row r="5451" spans="1:40" x14ac:dyDescent="0.25">
      <c r="A5451" t="str">
        <f>"20190303170402268"</f>
        <v>20190303170402268</v>
      </c>
      <c r="B5451" t="str">
        <f>"1551603842261548"</f>
        <v>1551603842261548</v>
      </c>
      <c r="C5451" t="s">
        <v>40</v>
      </c>
      <c r="D5451">
        <v>4.7382439999999999</v>
      </c>
      <c r="E5451">
        <v>0.4194522</v>
      </c>
      <c r="F5451" t="s">
        <v>44</v>
      </c>
      <c r="G5451">
        <v>-439.12110000000001</v>
      </c>
      <c r="H5451">
        <v>-0.05</v>
      </c>
      <c r="I5451">
        <v>72.619929999999997</v>
      </c>
      <c r="J5451">
        <v>-408.01029999999997</v>
      </c>
      <c r="K5451">
        <v>1.1371389999999999</v>
      </c>
      <c r="L5451">
        <v>132.178</v>
      </c>
      <c r="M5451">
        <v>-0.69341980000000003</v>
      </c>
      <c r="N5451">
        <v>-1.6201589999999998E-2</v>
      </c>
      <c r="O5451">
        <v>-0.72035179999999999</v>
      </c>
      <c r="P5451">
        <v>-0.62952949999999996</v>
      </c>
      <c r="Q5451">
        <v>0.16295850000000001</v>
      </c>
      <c r="R5451">
        <v>-0.75969580000000003</v>
      </c>
      <c r="S5451">
        <v>-1.451965</v>
      </c>
      <c r="T5451">
        <v>-5.4917569999999999E-2</v>
      </c>
      <c r="U5451">
        <v>-2.7683870000000002</v>
      </c>
      <c r="V5451">
        <v>-8.042821E-2</v>
      </c>
      <c r="W5451">
        <v>0.17579449999999999</v>
      </c>
      <c r="X5451">
        <v>0.9811358</v>
      </c>
      <c r="Y5451">
        <v>-0.27945229999999999</v>
      </c>
      <c r="Z5451">
        <v>-2.3564910000000001E-3</v>
      </c>
      <c r="AA5451">
        <v>0.96015669999999997</v>
      </c>
      <c r="AB5451">
        <v>41</v>
      </c>
      <c r="AC5451">
        <v>-31.110800000000001</v>
      </c>
      <c r="AD5451">
        <v>-1.1871389999999999</v>
      </c>
      <c r="AE5451">
        <v>-59.558069999999901</v>
      </c>
      <c r="AF5451">
        <v>-18.8846070044561</v>
      </c>
      <c r="AG5451">
        <v>-1.1871389999999999</v>
      </c>
      <c r="AH5451">
        <v>64.463942775497998</v>
      </c>
      <c r="AI5451">
        <v>91.012473032513299</v>
      </c>
      <c r="AJ5451">
        <v>106.32786019874899</v>
      </c>
      <c r="AK5451">
        <v>67.183611088425096</v>
      </c>
      <c r="AL5451">
        <v>79.875102886164001</v>
      </c>
      <c r="AM5451">
        <v>94.686319976427399</v>
      </c>
      <c r="AN5451">
        <v>0.99999993061784398</v>
      </c>
    </row>
    <row r="5452" spans="1:40" x14ac:dyDescent="0.25">
      <c r="A5452" t="str">
        <f>"20190303170402289"</f>
        <v>20190303170402289</v>
      </c>
      <c r="B5452" t="str">
        <f>"1551603842281068"</f>
        <v>1551603842281068</v>
      </c>
      <c r="C5452" t="s">
        <v>40</v>
      </c>
      <c r="D5452">
        <v>4.718045</v>
      </c>
      <c r="E5452">
        <v>0.4202169</v>
      </c>
      <c r="F5452" t="s">
        <v>44</v>
      </c>
      <c r="G5452">
        <v>-439.58600000000001</v>
      </c>
      <c r="H5452">
        <v>-0.05</v>
      </c>
      <c r="I5452">
        <v>70.450209999999998</v>
      </c>
      <c r="J5452">
        <v>-408.28309999999999</v>
      </c>
      <c r="K5452">
        <v>1.137052</v>
      </c>
      <c r="L5452">
        <v>131.8861</v>
      </c>
      <c r="M5452">
        <v>-0.68319549999999996</v>
      </c>
      <c r="N5452">
        <v>-1.6184299999999999E-2</v>
      </c>
      <c r="O5452">
        <v>-0.73005640000000005</v>
      </c>
      <c r="P5452">
        <v>-0.61911619999999901</v>
      </c>
      <c r="Q5452">
        <v>0.16296840000000001</v>
      </c>
      <c r="R5452">
        <v>-0.76820369999999905</v>
      </c>
      <c r="S5452">
        <v>-1.4227909999999999</v>
      </c>
      <c r="T5452">
        <v>-5.3492070000000003E-2</v>
      </c>
      <c r="U5452">
        <v>-2.7814329999999998</v>
      </c>
      <c r="V5452">
        <v>-7.9927650000000003E-2</v>
      </c>
      <c r="W5452">
        <v>0.17582410000000001</v>
      </c>
      <c r="X5452">
        <v>0.98117149999999997</v>
      </c>
      <c r="Y5452">
        <v>-0.2757193</v>
      </c>
      <c r="Z5452">
        <v>-2.516702E-3</v>
      </c>
      <c r="AA5452">
        <v>0.9612349</v>
      </c>
      <c r="AB5452">
        <v>41</v>
      </c>
      <c r="AC5452">
        <v>-31.302900000000001</v>
      </c>
      <c r="AD5452">
        <v>-1.187052</v>
      </c>
      <c r="AE5452">
        <v>-61.435890000000001</v>
      </c>
      <c r="AF5452">
        <v>-19.116676177496998</v>
      </c>
      <c r="AG5452">
        <v>-1.187052</v>
      </c>
      <c r="AH5452">
        <v>66.226700717597893</v>
      </c>
      <c r="AI5452">
        <v>90.986592008836098</v>
      </c>
      <c r="AJ5452">
        <v>106.101055154021</v>
      </c>
      <c r="AK5452">
        <v>68.940788278523897</v>
      </c>
      <c r="AL5452">
        <v>79.873381092690494</v>
      </c>
      <c r="AM5452">
        <v>94.657113779023405</v>
      </c>
      <c r="AN5452">
        <v>1.0000000278937899</v>
      </c>
    </row>
    <row r="5453" spans="1:40" x14ac:dyDescent="0.25">
      <c r="A5453" t="str">
        <f>"20190303170402313"</f>
        <v>20190303170402313</v>
      </c>
      <c r="B5453" t="str">
        <f>"1551603842301564"</f>
        <v>1551603842301564</v>
      </c>
      <c r="C5453" t="s">
        <v>40</v>
      </c>
      <c r="D5453">
        <v>4.7717070000000001</v>
      </c>
      <c r="E5453">
        <v>0.42116520000000002</v>
      </c>
      <c r="F5453" t="s">
        <v>42</v>
      </c>
      <c r="G5453">
        <v>-434.02719999999999</v>
      </c>
      <c r="H5453">
        <v>7.9986860000000007E-2</v>
      </c>
      <c r="I5453">
        <v>80.073549999999997</v>
      </c>
      <c r="J5453">
        <v>-408.55790000000002</v>
      </c>
      <c r="K5453">
        <v>1.136941</v>
      </c>
      <c r="L5453">
        <v>131.58340000000001</v>
      </c>
      <c r="M5453">
        <v>-0.67267449999999995</v>
      </c>
      <c r="N5453">
        <v>-1.616157E-2</v>
      </c>
      <c r="O5453">
        <v>-0.73976219999999904</v>
      </c>
      <c r="P5453">
        <v>-0.60725200000000001</v>
      </c>
      <c r="Q5453">
        <v>0.16116320000000001</v>
      </c>
      <c r="R5453">
        <v>-0.77799219999999902</v>
      </c>
      <c r="S5453">
        <v>-1.3898619999999999</v>
      </c>
      <c r="T5453">
        <v>-5.7068229999999998E-2</v>
      </c>
      <c r="U5453">
        <v>-2.7972260000000002</v>
      </c>
      <c r="V5453">
        <v>-8.1076590000000004E-2</v>
      </c>
      <c r="W5453">
        <v>0.17397290000000001</v>
      </c>
      <c r="X5453">
        <v>0.98140720000000004</v>
      </c>
      <c r="Y5453">
        <v>-0.27318959999999998</v>
      </c>
      <c r="Z5453">
        <v>-1.6671730000000001E-3</v>
      </c>
      <c r="AA5453">
        <v>0.9619588</v>
      </c>
      <c r="AB5453">
        <v>41</v>
      </c>
      <c r="AC5453">
        <v>-25.469299999999901</v>
      </c>
      <c r="AD5453">
        <v>-1.05695414</v>
      </c>
      <c r="AE5453">
        <v>-51.50985</v>
      </c>
      <c r="AF5453">
        <v>-15.8048525322722</v>
      </c>
      <c r="AG5453">
        <v>-1.05695414</v>
      </c>
      <c r="AH5453">
        <v>55.226111172413397</v>
      </c>
      <c r="AI5453">
        <v>91.054123374397506</v>
      </c>
      <c r="AJ5453">
        <v>105.970296498238</v>
      </c>
      <c r="AK5453">
        <v>57.452883921076598</v>
      </c>
      <c r="AL5453">
        <v>79.981107598311397</v>
      </c>
      <c r="AM5453">
        <v>94.722628460262698</v>
      </c>
      <c r="AN5453">
        <v>1.00000003779613</v>
      </c>
    </row>
    <row r="5454" spans="1:40" x14ac:dyDescent="0.25">
      <c r="A5454" t="str">
        <f>"20190303170402335"</f>
        <v>20190303170402335</v>
      </c>
      <c r="B5454" t="str">
        <f>"1551603842330844"</f>
        <v>1551603842330844</v>
      </c>
      <c r="C5454" t="s">
        <v>40</v>
      </c>
      <c r="D5454">
        <v>4.8001529999999999</v>
      </c>
      <c r="E5454">
        <v>0.42792560000000002</v>
      </c>
      <c r="F5454" t="s">
        <v>42</v>
      </c>
      <c r="G5454">
        <v>-429.97840000000002</v>
      </c>
      <c r="H5454">
        <v>7.0663260000000006E-2</v>
      </c>
      <c r="I5454">
        <v>87.020030000000006</v>
      </c>
      <c r="J5454">
        <v>-408.82870000000003</v>
      </c>
      <c r="K5454">
        <v>1.136798</v>
      </c>
      <c r="L5454">
        <v>131.2765</v>
      </c>
      <c r="M5454">
        <v>-0.6621148</v>
      </c>
      <c r="N5454">
        <v>-1.6132540000000001E-2</v>
      </c>
      <c r="O5454">
        <v>-0.74922880000000003</v>
      </c>
      <c r="P5454">
        <v>-0.59521380000000002</v>
      </c>
      <c r="Q5454">
        <v>0.1599632</v>
      </c>
      <c r="R5454">
        <v>-0.78748490000000004</v>
      </c>
      <c r="S5454">
        <v>-1.352722</v>
      </c>
      <c r="T5454">
        <v>-6.7336199999999999E-2</v>
      </c>
      <c r="U5454">
        <v>-2.814209</v>
      </c>
      <c r="V5454">
        <v>-8.2309309999999997E-2</v>
      </c>
      <c r="W5454">
        <v>0.17272190000000001</v>
      </c>
      <c r="X5454">
        <v>0.98152550000000005</v>
      </c>
      <c r="Y5454">
        <v>-0.27211170000000001</v>
      </c>
      <c r="Z5454">
        <v>6.0628099999999996E-4</v>
      </c>
      <c r="AA5454">
        <v>0.9622655</v>
      </c>
      <c r="AB5454">
        <v>41</v>
      </c>
      <c r="AC5454">
        <v>-21.149699999999999</v>
      </c>
      <c r="AD5454">
        <v>-1.0661347400000001</v>
      </c>
      <c r="AE5454">
        <v>-44.256469999999901</v>
      </c>
      <c r="AF5454">
        <v>-13.452295211692</v>
      </c>
      <c r="AG5454">
        <v>-1.0661347400000001</v>
      </c>
      <c r="AH5454">
        <v>47.145615107489697</v>
      </c>
      <c r="AI5454">
        <v>91.245743324041797</v>
      </c>
      <c r="AJ5454">
        <v>105.925303793222</v>
      </c>
      <c r="AK5454">
        <v>49.0388612593106</v>
      </c>
      <c r="AL5454">
        <v>80.053885980576595</v>
      </c>
      <c r="AM5454">
        <v>94.793525828752195</v>
      </c>
      <c r="AN5454">
        <v>0.99999999220126801</v>
      </c>
    </row>
    <row r="5455" spans="1:40" x14ac:dyDescent="0.25">
      <c r="A5455" t="str">
        <f>"20190303170402358"</f>
        <v>20190303170402358</v>
      </c>
      <c r="B5455" t="str">
        <f>"1551603842351340"</f>
        <v>1551603842351340</v>
      </c>
      <c r="C5455" t="s">
        <v>40</v>
      </c>
      <c r="D5455">
        <v>4.7676590000000001</v>
      </c>
      <c r="E5455">
        <v>0.42857489999999998</v>
      </c>
      <c r="F5455" t="s">
        <v>42</v>
      </c>
      <c r="G5455">
        <v>-425.51049999999998</v>
      </c>
      <c r="H5455" s="1">
        <v>-4.2857259999999998E-6</v>
      </c>
      <c r="I5455">
        <v>96.708240000000004</v>
      </c>
      <c r="J5455">
        <v>-409.09570000000002</v>
      </c>
      <c r="K5455">
        <v>1.136628</v>
      </c>
      <c r="L5455">
        <v>130.96430000000001</v>
      </c>
      <c r="M5455">
        <v>-0.65155069999999904</v>
      </c>
      <c r="N5455">
        <v>-1.6094279999999999E-2</v>
      </c>
      <c r="O5455">
        <v>-0.75843450000000001</v>
      </c>
      <c r="P5455">
        <v>-0.58445819999999904</v>
      </c>
      <c r="Q5455">
        <v>0.16036039999999999</v>
      </c>
      <c r="R5455">
        <v>-0.79542019999999902</v>
      </c>
      <c r="S5455">
        <v>-1.353699</v>
      </c>
      <c r="T5455">
        <v>-9.2249269999999994E-2</v>
      </c>
      <c r="U5455">
        <v>-2.805145</v>
      </c>
      <c r="V5455">
        <v>-8.1780039999999998E-2</v>
      </c>
      <c r="W5455">
        <v>0.1731337</v>
      </c>
      <c r="X5455">
        <v>0.98149719999999996</v>
      </c>
      <c r="Y5455">
        <v>-0.25710569999999999</v>
      </c>
      <c r="Z5455">
        <v>6.3569999999999998E-3</v>
      </c>
      <c r="AA5455">
        <v>0.96636239999999995</v>
      </c>
      <c r="AB5455">
        <v>41</v>
      </c>
      <c r="AC5455">
        <v>-16.4147999999999</v>
      </c>
      <c r="AD5455">
        <v>-1.1366322857260001</v>
      </c>
      <c r="AE5455">
        <v>-34.256059999999998</v>
      </c>
      <c r="AF5455">
        <v>-9.8624562125733402</v>
      </c>
      <c r="AG5455">
        <v>-1.1366322857260001</v>
      </c>
      <c r="AH5455">
        <v>36.647985802799397</v>
      </c>
      <c r="AI5455">
        <v>91.715457145368703</v>
      </c>
      <c r="AJ5455">
        <v>105.062206270405</v>
      </c>
      <c r="AK5455">
        <v>37.968866705500503</v>
      </c>
      <c r="AL5455">
        <v>80.029930791607896</v>
      </c>
      <c r="AM5455">
        <v>94.762981180907104</v>
      </c>
      <c r="AN5455">
        <v>1.0000000033129599</v>
      </c>
    </row>
    <row r="5456" spans="1:40" x14ac:dyDescent="0.25">
      <c r="A5456" t="str">
        <f>"20190303170402380"</f>
        <v>20190303170402380</v>
      </c>
      <c r="B5456" t="str">
        <f>"1551603842371367"</f>
        <v>1551603842371367</v>
      </c>
      <c r="C5456" t="s">
        <v>40</v>
      </c>
      <c r="D5456">
        <v>4.814991</v>
      </c>
      <c r="E5456">
        <v>0.42970770000000003</v>
      </c>
      <c r="F5456" t="s">
        <v>42</v>
      </c>
      <c r="G5456">
        <v>-425.83699999999999</v>
      </c>
      <c r="H5456" s="1">
        <v>-3.825684E-6</v>
      </c>
      <c r="I5456">
        <v>95.186220000000006</v>
      </c>
      <c r="J5456">
        <v>-409.34570000000002</v>
      </c>
      <c r="K5456">
        <v>1.1364609999999999</v>
      </c>
      <c r="L5456">
        <v>130.66380000000001</v>
      </c>
      <c r="M5456">
        <v>-0.64153249999999995</v>
      </c>
      <c r="N5456">
        <v>-1.6050950000000001E-2</v>
      </c>
      <c r="O5456">
        <v>-0.76692799999999905</v>
      </c>
      <c r="P5456">
        <v>-0.57410989999999995</v>
      </c>
      <c r="Q5456">
        <v>0.1612104</v>
      </c>
      <c r="R5456">
        <v>-0.80275099999999999</v>
      </c>
      <c r="S5456">
        <v>-1.31958</v>
      </c>
      <c r="T5456">
        <v>-8.9591619999999997E-2</v>
      </c>
      <c r="U5456">
        <v>-2.8200989999999999</v>
      </c>
      <c r="V5456">
        <v>-8.1440929999999995E-2</v>
      </c>
      <c r="W5456">
        <v>0.17398649999999999</v>
      </c>
      <c r="X5456">
        <v>0.98137459999999999</v>
      </c>
      <c r="Y5456">
        <v>-0.25596790000000003</v>
      </c>
      <c r="Z5456">
        <v>6.0104819999999897E-3</v>
      </c>
      <c r="AA5456">
        <v>0.96666660000000004</v>
      </c>
      <c r="AB5456">
        <v>41</v>
      </c>
      <c r="AC5456">
        <v>-16.491299999999899</v>
      </c>
      <c r="AD5456">
        <v>-1.136464825684</v>
      </c>
      <c r="AE5456">
        <v>-35.477580000000003</v>
      </c>
      <c r="AF5456">
        <v>-10.105156234874601</v>
      </c>
      <c r="AG5456">
        <v>-1.136464825684</v>
      </c>
      <c r="AH5456">
        <v>37.761457029766298</v>
      </c>
      <c r="AI5456">
        <v>91.665285480861499</v>
      </c>
      <c r="AJ5456">
        <v>104.981600846215</v>
      </c>
      <c r="AK5456">
        <v>39.106692161855499</v>
      </c>
      <c r="AL5456">
        <v>79.980316091297993</v>
      </c>
      <c r="AM5456">
        <v>94.743911118214896</v>
      </c>
      <c r="AN5456">
        <v>1.00000001639333</v>
      </c>
    </row>
    <row r="5457" spans="1:40" x14ac:dyDescent="0.25">
      <c r="A5457" t="str">
        <f>"20190303170402401"</f>
        <v>20190303170402401</v>
      </c>
      <c r="B5457" t="str">
        <f>"1551603842390887"</f>
        <v>1551603842390887</v>
      </c>
      <c r="C5457" t="s">
        <v>40</v>
      </c>
      <c r="D5457">
        <v>4.8295859999999999</v>
      </c>
      <c r="E5457">
        <v>0.43026940000000002</v>
      </c>
      <c r="F5457" t="s">
        <v>42</v>
      </c>
      <c r="G5457">
        <v>-426.16289999999998</v>
      </c>
      <c r="H5457" s="1">
        <v>-3.3985480000000002E-6</v>
      </c>
      <c r="I5457">
        <v>93.761170000000007</v>
      </c>
      <c r="J5457">
        <v>-409.59519999999998</v>
      </c>
      <c r="K5457">
        <v>1.136244</v>
      </c>
      <c r="L5457">
        <v>130.35599999999999</v>
      </c>
      <c r="M5457">
        <v>-0.63146080000000004</v>
      </c>
      <c r="N5457">
        <v>-1.60027999999999E-2</v>
      </c>
      <c r="O5457">
        <v>-0.775242599999999</v>
      </c>
      <c r="P5457">
        <v>-0.5637413</v>
      </c>
      <c r="Q5457">
        <v>0.15967049999999999</v>
      </c>
      <c r="R5457">
        <v>-0.81037119999999996</v>
      </c>
      <c r="S5457">
        <v>-1.2904659999999999</v>
      </c>
      <c r="T5457">
        <v>-8.7206599999999995E-2</v>
      </c>
      <c r="U5457">
        <v>-2.8317260000000002</v>
      </c>
      <c r="V5457">
        <v>-8.1281240000000005E-2</v>
      </c>
      <c r="W5457">
        <v>0.17244760000000001</v>
      </c>
      <c r="X5457">
        <v>0.98165939999999996</v>
      </c>
      <c r="Y5457">
        <v>-0.25306519999999999</v>
      </c>
      <c r="Z5457">
        <v>5.7384050000000002E-3</v>
      </c>
      <c r="AA5457">
        <v>0.96743219999999996</v>
      </c>
      <c r="AB5457">
        <v>41</v>
      </c>
      <c r="AC5457">
        <v>-16.567699999999999</v>
      </c>
      <c r="AD5457">
        <v>-1.1362473985479999</v>
      </c>
      <c r="AE5457">
        <v>-36.594830000000002</v>
      </c>
      <c r="AF5457">
        <v>-10.257322111259001</v>
      </c>
      <c r="AG5457">
        <v>-1.1362473985479999</v>
      </c>
      <c r="AH5457">
        <v>38.805651500176701</v>
      </c>
      <c r="AI5457">
        <v>91.621509500372198</v>
      </c>
      <c r="AJ5457">
        <v>104.80610931229801</v>
      </c>
      <c r="AK5457">
        <v>40.154480489703801</v>
      </c>
      <c r="AL5457">
        <v>80.069841672633004</v>
      </c>
      <c r="AM5457">
        <v>94.733284170449807</v>
      </c>
      <c r="AN5457">
        <v>0.99999999616502799</v>
      </c>
    </row>
    <row r="5458" spans="1:40" x14ac:dyDescent="0.25">
      <c r="A5458" t="str">
        <f>"20190303170402425"</f>
        <v>20190303170402425</v>
      </c>
      <c r="B5458" t="str">
        <f>"1551603842421144"</f>
        <v>1551603842421144</v>
      </c>
      <c r="C5458" t="s">
        <v>40</v>
      </c>
      <c r="D5458">
        <v>4.8142670000000001</v>
      </c>
      <c r="E5458">
        <v>0.43798589999999998</v>
      </c>
      <c r="F5458" t="s">
        <v>42</v>
      </c>
      <c r="G5458">
        <v>-424.79969999999997</v>
      </c>
      <c r="H5458" s="1">
        <v>-3.9043220000000002E-6</v>
      </c>
      <c r="I5458">
        <v>95.957970000000003</v>
      </c>
      <c r="J5458">
        <v>-409.85079999999999</v>
      </c>
      <c r="K5458">
        <v>1.135972</v>
      </c>
      <c r="L5458">
        <v>130.03190000000001</v>
      </c>
      <c r="M5458">
        <v>-0.62112460000000003</v>
      </c>
      <c r="N5458">
        <v>-1.5946120000000001E-2</v>
      </c>
      <c r="O5458">
        <v>-0.78354969999999902</v>
      </c>
      <c r="P5458">
        <v>-0.55314869999999905</v>
      </c>
      <c r="Q5458">
        <v>0.15667210000000001</v>
      </c>
      <c r="R5458">
        <v>-0.81821809999999995</v>
      </c>
      <c r="S5458">
        <v>-1.257782</v>
      </c>
      <c r="T5458">
        <v>-9.3995090000000003E-2</v>
      </c>
      <c r="U5458">
        <v>-2.8455509999999999</v>
      </c>
      <c r="V5458">
        <v>-8.1168619999999997E-2</v>
      </c>
      <c r="W5458">
        <v>0.16945250000000001</v>
      </c>
      <c r="X5458">
        <v>0.98219009999999995</v>
      </c>
      <c r="Y5458">
        <v>-0.25126730000000003</v>
      </c>
      <c r="Z5458">
        <v>7.5120489999999998E-3</v>
      </c>
      <c r="AA5458">
        <v>0.96788859999999999</v>
      </c>
      <c r="AB5458">
        <v>41</v>
      </c>
      <c r="AC5458">
        <v>-14.948899999999901</v>
      </c>
      <c r="AD5458">
        <v>-1.1359759043219999</v>
      </c>
      <c r="AE5458">
        <v>-34.073929999999997</v>
      </c>
      <c r="AF5458">
        <v>-9.4433492163643002</v>
      </c>
      <c r="AG5458">
        <v>-1.1359759043219999</v>
      </c>
      <c r="AH5458">
        <v>35.9548076584339</v>
      </c>
      <c r="AI5458">
        <v>91.750307615502805</v>
      </c>
      <c r="AJ5458">
        <v>104.716074098953</v>
      </c>
      <c r="AK5458">
        <v>37.191604959081602</v>
      </c>
      <c r="AL5458">
        <v>80.244011659252905</v>
      </c>
      <c r="AM5458">
        <v>94.724213247045896</v>
      </c>
      <c r="AN5458">
        <v>0.99999994358347999</v>
      </c>
    </row>
    <row r="5459" spans="1:40" x14ac:dyDescent="0.25">
      <c r="A5459" t="str">
        <f>"20190303170402447"</f>
        <v>20190303170402447</v>
      </c>
      <c r="B5459" t="str">
        <f>"1551603842441639"</f>
        <v>1551603842441639</v>
      </c>
      <c r="C5459" t="s">
        <v>40</v>
      </c>
      <c r="D5459">
        <v>4.8392600000000003</v>
      </c>
      <c r="E5459">
        <v>0.43875809999999998</v>
      </c>
      <c r="F5459" t="s">
        <v>42</v>
      </c>
      <c r="G5459">
        <v>-421.55110000000002</v>
      </c>
      <c r="H5459" s="1">
        <v>-2.4969089999999998E-6</v>
      </c>
      <c r="I5459">
        <v>104.00069999999999</v>
      </c>
      <c r="J5459">
        <v>-410.09589999999997</v>
      </c>
      <c r="K5459">
        <v>1.135659</v>
      </c>
      <c r="L5459">
        <v>129.71279999999999</v>
      </c>
      <c r="M5459">
        <v>-0.61128419999999895</v>
      </c>
      <c r="N5459">
        <v>-1.5880720000000001E-2</v>
      </c>
      <c r="O5459">
        <v>-0.79125210000000001</v>
      </c>
      <c r="P5459">
        <v>-0.54417629999999995</v>
      </c>
      <c r="Q5459">
        <v>0.15488160000000001</v>
      </c>
      <c r="R5459">
        <v>-0.82455089999999998</v>
      </c>
      <c r="S5459">
        <v>-1.2720640000000001</v>
      </c>
      <c r="T5459">
        <v>-0.12350460000000001</v>
      </c>
      <c r="U5459">
        <v>-2.830139</v>
      </c>
      <c r="V5459">
        <v>-7.9627290000000003E-2</v>
      </c>
      <c r="W5459">
        <v>0.1677177</v>
      </c>
      <c r="X5459">
        <v>0.98261399999999999</v>
      </c>
      <c r="Y5459">
        <v>-0.2331384</v>
      </c>
      <c r="Z5459">
        <v>1.4892539999999999E-2</v>
      </c>
      <c r="AA5459">
        <v>0.97232949999999996</v>
      </c>
      <c r="AB5459">
        <v>41</v>
      </c>
      <c r="AC5459">
        <v>-11.4552</v>
      </c>
      <c r="AD5459">
        <v>-1.135661496909</v>
      </c>
      <c r="AE5459">
        <v>-25.7120999999999</v>
      </c>
      <c r="AF5459">
        <v>-6.6434730918010096</v>
      </c>
      <c r="AG5459">
        <v>-1.135661496909</v>
      </c>
      <c r="AH5459">
        <v>27.306130980135698</v>
      </c>
      <c r="AI5459">
        <v>92.314129084845803</v>
      </c>
      <c r="AJ5459">
        <v>103.67416226603299</v>
      </c>
      <c r="AK5459">
        <v>28.125615564132499</v>
      </c>
      <c r="AL5459">
        <v>80.344852285874694</v>
      </c>
      <c r="AM5459">
        <v>94.632907868794604</v>
      </c>
      <c r="AN5459">
        <v>1.0000000026010101</v>
      </c>
    </row>
    <row r="5460" spans="1:40" x14ac:dyDescent="0.25">
      <c r="A5460" t="str">
        <f>"20190303170402468"</f>
        <v>20190303170402468</v>
      </c>
      <c r="B5460" t="str">
        <f>"1551603842461666"</f>
        <v>1551603842461666</v>
      </c>
      <c r="C5460" t="s">
        <v>40</v>
      </c>
      <c r="D5460">
        <v>4.837872</v>
      </c>
      <c r="E5460">
        <v>0.4391872</v>
      </c>
      <c r="F5460" t="s">
        <v>42</v>
      </c>
      <c r="G5460">
        <v>-420.70760000000001</v>
      </c>
      <c r="H5460" s="1">
        <v>-3.0081079999999998E-6</v>
      </c>
      <c r="I5460">
        <v>105.5569</v>
      </c>
      <c r="J5460">
        <v>-410.33069999999998</v>
      </c>
      <c r="K5460">
        <v>1.1352869999999999</v>
      </c>
      <c r="L5460">
        <v>129.39959999999999</v>
      </c>
      <c r="M5460">
        <v>-0.60200669999999901</v>
      </c>
      <c r="N5460">
        <v>-1.5806150000000001E-2</v>
      </c>
      <c r="O5460">
        <v>-0.79833449999999995</v>
      </c>
      <c r="P5460">
        <v>-0.53715249999999903</v>
      </c>
      <c r="Q5460">
        <v>0.15460769999999999</v>
      </c>
      <c r="R5460">
        <v>-0.8291944</v>
      </c>
      <c r="S5460">
        <v>-1.24762</v>
      </c>
      <c r="T5460">
        <v>-0.13352130000000001</v>
      </c>
      <c r="U5460">
        <v>-2.840042</v>
      </c>
      <c r="V5460">
        <v>-7.6359880000000005E-2</v>
      </c>
      <c r="W5460">
        <v>0.16755929999999999</v>
      </c>
      <c r="X5460">
        <v>0.98290029999999995</v>
      </c>
      <c r="Y5460">
        <v>-0.23006360000000001</v>
      </c>
      <c r="Z5460">
        <v>1.7597060000000001E-2</v>
      </c>
      <c r="AA5460">
        <v>0.97301649999999995</v>
      </c>
      <c r="AB5460">
        <v>41</v>
      </c>
      <c r="AC5460">
        <v>-10.376899999999999</v>
      </c>
      <c r="AD5460">
        <v>-1.135290008108</v>
      </c>
      <c r="AE5460">
        <v>-23.842699999999901</v>
      </c>
      <c r="AF5460">
        <v>-6.0584379695775503</v>
      </c>
      <c r="AG5460">
        <v>-1.135290008108</v>
      </c>
      <c r="AH5460">
        <v>25.2364678862115</v>
      </c>
      <c r="AI5460">
        <v>92.504706244995106</v>
      </c>
      <c r="AJ5460">
        <v>103.49935187904001</v>
      </c>
      <c r="AK5460">
        <v>25.978315291902799</v>
      </c>
      <c r="AL5460">
        <v>80.354057946083799</v>
      </c>
      <c r="AM5460">
        <v>94.442290485348906</v>
      </c>
      <c r="AN5460">
        <v>0.99999997501509597</v>
      </c>
    </row>
    <row r="5461" spans="1:40" x14ac:dyDescent="0.25">
      <c r="A5461" t="str">
        <f>"20190303170402490"</f>
        <v>20190303170402490</v>
      </c>
      <c r="B5461" t="str">
        <f>"1551603842481186"</f>
        <v>1551603842481186</v>
      </c>
      <c r="C5461" t="s">
        <v>40</v>
      </c>
      <c r="D5461">
        <v>4.8462129999999997</v>
      </c>
      <c r="E5461">
        <v>0.4451213</v>
      </c>
      <c r="F5461" t="s">
        <v>42</v>
      </c>
      <c r="G5461">
        <v>-420.62720000000002</v>
      </c>
      <c r="H5461" s="1">
        <v>-2.9513719999999999E-6</v>
      </c>
      <c r="I5461">
        <v>105.4821</v>
      </c>
      <c r="J5461">
        <v>-410.57089999999999</v>
      </c>
      <c r="K5461">
        <v>1.1348400000000001</v>
      </c>
      <c r="L5461">
        <v>129.07159999999999</v>
      </c>
      <c r="M5461">
        <v>-0.59275199999999995</v>
      </c>
      <c r="N5461">
        <v>-1.5719480000000001E-2</v>
      </c>
      <c r="O5461">
        <v>-0.80523180000000005</v>
      </c>
      <c r="P5461">
        <v>-0.53005880000000005</v>
      </c>
      <c r="Q5461">
        <v>0.1545465</v>
      </c>
      <c r="R5461">
        <v>-0.83375840000000001</v>
      </c>
      <c r="S5461">
        <v>-1.2263790000000001</v>
      </c>
      <c r="T5461">
        <v>-0.13522039999999999</v>
      </c>
      <c r="U5461">
        <v>-2.8487239999999998</v>
      </c>
      <c r="V5461">
        <v>-7.3205629999999994E-2</v>
      </c>
      <c r="W5461">
        <v>0.16760439999999999</v>
      </c>
      <c r="X5461">
        <v>0.98313260000000002</v>
      </c>
      <c r="Y5461">
        <v>-0.22603280000000001</v>
      </c>
      <c r="Z5461">
        <v>1.8405399999999999E-2</v>
      </c>
      <c r="AA5461">
        <v>0.97394579999999997</v>
      </c>
      <c r="AB5461">
        <v>41</v>
      </c>
      <c r="AC5461">
        <v>-10.0563</v>
      </c>
      <c r="AD5461">
        <v>-1.134842951372</v>
      </c>
      <c r="AE5461">
        <v>-23.589499999999902</v>
      </c>
      <c r="AF5461">
        <v>-5.8742926035978504</v>
      </c>
      <c r="AG5461">
        <v>-1.134842951372</v>
      </c>
      <c r="AH5461">
        <v>24.910202253116601</v>
      </c>
      <c r="AI5461">
        <v>92.5388960017887</v>
      </c>
      <c r="AJ5461">
        <v>103.268998588747</v>
      </c>
      <c r="AK5461">
        <v>25.618613514554902</v>
      </c>
      <c r="AL5461">
        <v>80.351437123122196</v>
      </c>
      <c r="AM5461">
        <v>94.258476810113194</v>
      </c>
      <c r="AN5461">
        <v>1.0000000041729</v>
      </c>
    </row>
    <row r="5462" spans="1:40" x14ac:dyDescent="0.25">
      <c r="A5462" t="str">
        <f>"20190303170402513"</f>
        <v>20190303170402513</v>
      </c>
      <c r="B5462" t="str">
        <f>"1551603842501682"</f>
        <v>1551603842501682</v>
      </c>
      <c r="C5462" t="s">
        <v>40</v>
      </c>
      <c r="D5462">
        <v>4.8945100000000004</v>
      </c>
      <c r="E5462">
        <v>0.42784260000000002</v>
      </c>
      <c r="F5462" t="s">
        <v>42</v>
      </c>
      <c r="G5462">
        <v>-420.85480000000001</v>
      </c>
      <c r="H5462" s="1">
        <v>-3.0672379999999998E-6</v>
      </c>
      <c r="I5462">
        <v>105.59910000000001</v>
      </c>
      <c r="J5462">
        <v>-410.80259999999998</v>
      </c>
      <c r="K5462">
        <v>1.134363</v>
      </c>
      <c r="L5462">
        <v>128.74780000000001</v>
      </c>
      <c r="M5462">
        <v>-0.5841075</v>
      </c>
      <c r="N5462">
        <v>-1.5629259999999999E-2</v>
      </c>
      <c r="O5462">
        <v>-0.81152579999999996</v>
      </c>
      <c r="P5462">
        <v>-0.52167149999999995</v>
      </c>
      <c r="Q5462">
        <v>0.15636429999999901</v>
      </c>
      <c r="R5462">
        <v>-0.83869509999999903</v>
      </c>
      <c r="S5462">
        <v>-1.24173</v>
      </c>
      <c r="T5462">
        <v>-0.137026799999999</v>
      </c>
      <c r="U5462">
        <v>-2.8341829999999999</v>
      </c>
      <c r="V5462">
        <v>-7.2202260000000004E-2</v>
      </c>
      <c r="W5462">
        <v>0.1694473</v>
      </c>
      <c r="X5462">
        <v>0.98289079999999995</v>
      </c>
      <c r="Y5462">
        <v>-0.2093547</v>
      </c>
      <c r="Z5462">
        <v>1.953059E-2</v>
      </c>
      <c r="AA5462">
        <v>0.97764470000000003</v>
      </c>
      <c r="AB5462">
        <v>41</v>
      </c>
      <c r="AC5462">
        <v>-10.052199999999999</v>
      </c>
      <c r="AD5462">
        <v>-1.134366067238</v>
      </c>
      <c r="AE5462">
        <v>-23.148700000000002</v>
      </c>
      <c r="AF5462">
        <v>-5.3535488444882597</v>
      </c>
      <c r="AG5462">
        <v>-1.134366067238</v>
      </c>
      <c r="AH5462">
        <v>24.6106228469312</v>
      </c>
      <c r="AI5462">
        <v>92.578815654998806</v>
      </c>
      <c r="AJ5462">
        <v>102.272361706211</v>
      </c>
      <c r="AK5462">
        <v>25.211704197033399</v>
      </c>
      <c r="AL5462">
        <v>80.244313926647806</v>
      </c>
      <c r="AM5462">
        <v>94.201349290789807</v>
      </c>
      <c r="AN5462">
        <v>0.999999939275517</v>
      </c>
    </row>
    <row r="5463" spans="1:40" x14ac:dyDescent="0.25">
      <c r="A5463" t="str">
        <f>"20190303170402536"</f>
        <v>20190303170402536</v>
      </c>
      <c r="B5463" t="str">
        <f>"1551603842530961"</f>
        <v>1551603842530961</v>
      </c>
      <c r="C5463" t="s">
        <v>40</v>
      </c>
      <c r="D5463">
        <v>4.846635</v>
      </c>
      <c r="E5463">
        <v>0.412545</v>
      </c>
      <c r="F5463" t="s">
        <v>42</v>
      </c>
      <c r="G5463">
        <v>-423.6472</v>
      </c>
      <c r="H5463" s="1">
        <v>-3.104735E-6</v>
      </c>
      <c r="I5463">
        <v>94.5642</v>
      </c>
      <c r="J5463">
        <v>-411.0419</v>
      </c>
      <c r="K5463">
        <v>1.1338459999999999</v>
      </c>
      <c r="L5463">
        <v>128.40559999999999</v>
      </c>
      <c r="M5463">
        <v>-0.57550279999999998</v>
      </c>
      <c r="N5463">
        <v>-1.553499E-2</v>
      </c>
      <c r="O5463">
        <v>-0.81765239999999995</v>
      </c>
      <c r="P5463">
        <v>-0.51185550000000002</v>
      </c>
      <c r="Q5463">
        <v>0.15863640000000001</v>
      </c>
      <c r="R5463">
        <v>-0.84429779999999999</v>
      </c>
      <c r="S5463">
        <v>-1.09494</v>
      </c>
      <c r="T5463">
        <v>-9.6698759999999995E-2</v>
      </c>
      <c r="U5463">
        <v>-2.9139710000000001</v>
      </c>
      <c r="V5463">
        <v>-7.2880769999999997E-2</v>
      </c>
      <c r="W5463">
        <v>0.17168900000000001</v>
      </c>
      <c r="X5463">
        <v>0.98245170000000004</v>
      </c>
      <c r="Y5463">
        <v>-0.25106980000000001</v>
      </c>
      <c r="Z5463">
        <v>9.2694709999999996E-3</v>
      </c>
      <c r="AA5463">
        <v>0.96792460000000002</v>
      </c>
      <c r="AB5463">
        <v>41</v>
      </c>
      <c r="AC5463">
        <v>-12.6053</v>
      </c>
      <c r="AD5463">
        <v>-1.1338491047349999</v>
      </c>
      <c r="AE5463">
        <v>-33.841399999999901</v>
      </c>
      <c r="AF5463">
        <v>-9.1611410545378806</v>
      </c>
      <c r="AG5463">
        <v>-1.1338491047349999</v>
      </c>
      <c r="AH5463">
        <v>34.894698825507902</v>
      </c>
      <c r="AI5463">
        <v>91.800121344902806</v>
      </c>
      <c r="AJ5463">
        <v>104.710274121959</v>
      </c>
      <c r="AK5463">
        <v>36.095042946869498</v>
      </c>
      <c r="AL5463">
        <v>80.113964689738197</v>
      </c>
      <c r="AM5463">
        <v>94.242575909040895</v>
      </c>
      <c r="AN5463">
        <v>1.00000003109484</v>
      </c>
    </row>
    <row r="5464" spans="1:40" x14ac:dyDescent="0.25">
      <c r="A5464" t="str">
        <f>"20190303170402558"</f>
        <v>20190303170402558</v>
      </c>
      <c r="B5464" t="str">
        <f>"1551603842551458"</f>
        <v>1551603842551458</v>
      </c>
      <c r="C5464" t="s">
        <v>40</v>
      </c>
      <c r="D5464">
        <v>4.8655299999999997</v>
      </c>
      <c r="E5464">
        <v>0.40951019999999999</v>
      </c>
      <c r="F5464" t="s">
        <v>44</v>
      </c>
      <c r="G5464">
        <v>-438.51549999999997</v>
      </c>
      <c r="H5464">
        <v>-0.05</v>
      </c>
      <c r="I5464">
        <v>42.819569999999999</v>
      </c>
      <c r="J5464">
        <v>-411.26490000000001</v>
      </c>
      <c r="K5464">
        <v>1.1333690000000001</v>
      </c>
      <c r="L5464">
        <v>128.0795</v>
      </c>
      <c r="M5464">
        <v>-0.56775730000000002</v>
      </c>
      <c r="N5464">
        <v>-1.5451909999999999E-2</v>
      </c>
      <c r="O5464">
        <v>-0.82305119999999898</v>
      </c>
      <c r="P5464">
        <v>-0.50260070000000001</v>
      </c>
      <c r="Q5464">
        <v>0.15930620000000001</v>
      </c>
      <c r="R5464">
        <v>-0.84971430000000003</v>
      </c>
      <c r="S5464">
        <v>-0.95687869999999997</v>
      </c>
      <c r="T5464">
        <v>-4.1232230000000002E-2</v>
      </c>
      <c r="U5464">
        <v>-2.9808810000000001</v>
      </c>
      <c r="V5464">
        <v>-7.4077320000000002E-2</v>
      </c>
      <c r="W5464">
        <v>0.17232020000000001</v>
      </c>
      <c r="X5464">
        <v>0.9822516</v>
      </c>
      <c r="Y5464">
        <v>-0.28899659999999999</v>
      </c>
      <c r="Z5464">
        <v>-4.2790110000000001E-3</v>
      </c>
      <c r="AA5464">
        <v>0.95732059999999997</v>
      </c>
      <c r="AB5464">
        <v>41</v>
      </c>
      <c r="AC5464">
        <v>-27.250599999999899</v>
      </c>
      <c r="AD5464">
        <v>-1.1833689999999999</v>
      </c>
      <c r="AE5464">
        <v>-85.259929999999997</v>
      </c>
      <c r="AF5464">
        <v>-25.976865007316398</v>
      </c>
      <c r="AG5464">
        <v>-1.1833689999999999</v>
      </c>
      <c r="AH5464">
        <v>85.640255476602505</v>
      </c>
      <c r="AI5464">
        <v>90.7575773549964</v>
      </c>
      <c r="AJ5464">
        <v>106.873883449171</v>
      </c>
      <c r="AK5464">
        <v>89.501124215823396</v>
      </c>
      <c r="AL5464">
        <v>80.077251659291704</v>
      </c>
      <c r="AM5464">
        <v>94.312844647422196</v>
      </c>
      <c r="AN5464">
        <v>0.99999995318448998</v>
      </c>
    </row>
    <row r="5465" spans="1:40" x14ac:dyDescent="0.25">
      <c r="A5465" t="str">
        <f>"20190303170402580"</f>
        <v>20190303170402580</v>
      </c>
      <c r="B5465" t="str">
        <f>"1551603842570977"</f>
        <v>1551603842570977</v>
      </c>
      <c r="C5465" t="s">
        <v>40</v>
      </c>
      <c r="D5465">
        <v>4.8666530000000003</v>
      </c>
      <c r="E5465">
        <v>0.40828170000000003</v>
      </c>
      <c r="F5465" t="s">
        <v>76</v>
      </c>
      <c r="G5465">
        <v>-442.3252</v>
      </c>
      <c r="H5465">
        <v>8.4563139999999995E-2</v>
      </c>
      <c r="I5465">
        <v>25.024100000000001</v>
      </c>
      <c r="J5465">
        <v>-411.48360000000002</v>
      </c>
      <c r="K5465">
        <v>1.1329370000000001</v>
      </c>
      <c r="L5465">
        <v>127.75320000000001</v>
      </c>
      <c r="M5465">
        <v>-0.56036409999999903</v>
      </c>
      <c r="N5465">
        <v>-1.537879E-2</v>
      </c>
      <c r="O5465">
        <v>-0.82810379999999995</v>
      </c>
      <c r="P5465">
        <v>-0.49407190000000001</v>
      </c>
      <c r="Q5465">
        <v>0.15825059999999999</v>
      </c>
      <c r="R5465">
        <v>-0.85489740000000003</v>
      </c>
      <c r="S5465">
        <v>-0.90457149999999997</v>
      </c>
      <c r="T5465">
        <v>-3.0544160000000001E-2</v>
      </c>
      <c r="U5465">
        <v>-3.0012819999999998</v>
      </c>
      <c r="V5465">
        <v>-7.499836E-2</v>
      </c>
      <c r="W5465">
        <v>0.17124310000000001</v>
      </c>
      <c r="X5465">
        <v>0.98237010000000002</v>
      </c>
      <c r="Y5465">
        <v>-0.2975389</v>
      </c>
      <c r="Z5465">
        <v>-6.8107239999999998E-3</v>
      </c>
      <c r="AA5465">
        <v>0.95468540000000002</v>
      </c>
      <c r="AB5465">
        <v>41</v>
      </c>
      <c r="AC5465">
        <v>-30.8415999999999</v>
      </c>
      <c r="AD5465">
        <v>-1.0483738600000001</v>
      </c>
      <c r="AE5465">
        <v>-102.7291</v>
      </c>
      <c r="AF5465">
        <v>-32.026376294144796</v>
      </c>
      <c r="AG5465">
        <v>-1.0483738600000001</v>
      </c>
      <c r="AH5465">
        <v>102.35519350917799</v>
      </c>
      <c r="AI5465">
        <v>90.560058150133898</v>
      </c>
      <c r="AJ5465">
        <v>107.374614139798</v>
      </c>
      <c r="AK5465">
        <v>107.253780840518</v>
      </c>
      <c r="AL5465">
        <v>80.139896457407204</v>
      </c>
      <c r="AM5465">
        <v>94.365737629715397</v>
      </c>
      <c r="AN5465">
        <v>0.99999998333715401</v>
      </c>
    </row>
    <row r="5466" spans="1:40" x14ac:dyDescent="0.25">
      <c r="A5466" t="str">
        <f>"20190303170402603"</f>
        <v>20190303170402603</v>
      </c>
      <c r="B5466" t="str">
        <f>"1551603842591474"</f>
        <v>1551603842591474</v>
      </c>
      <c r="C5466" t="s">
        <v>40</v>
      </c>
      <c r="D5466">
        <v>4.8550519999999997</v>
      </c>
      <c r="E5466">
        <v>0.40802630000000001</v>
      </c>
      <c r="F5466" t="s">
        <v>76</v>
      </c>
      <c r="G5466">
        <v>-442.3252</v>
      </c>
      <c r="H5466">
        <v>0.1067927</v>
      </c>
      <c r="I5466">
        <v>20.349550000000001</v>
      </c>
      <c r="J5466">
        <v>-411.70370000000003</v>
      </c>
      <c r="K5466">
        <v>1.13253</v>
      </c>
      <c r="L5466">
        <v>127.4182</v>
      </c>
      <c r="M5466">
        <v>-0.5530931</v>
      </c>
      <c r="N5466">
        <v>-1.5314060000000001E-2</v>
      </c>
      <c r="O5466">
        <v>-0.83297880000000002</v>
      </c>
      <c r="P5466">
        <v>-0.48544999999999999</v>
      </c>
      <c r="Q5466">
        <v>0.1564333</v>
      </c>
      <c r="R5466">
        <v>-0.86015529999999996</v>
      </c>
      <c r="S5466">
        <v>-0.86557009999999901</v>
      </c>
      <c r="T5466">
        <v>-2.8798580000000001E-2</v>
      </c>
      <c r="U5466">
        <v>-3.0142820000000001</v>
      </c>
      <c r="V5466">
        <v>-7.6235250000000004E-2</v>
      </c>
      <c r="W5466">
        <v>0.1694003</v>
      </c>
      <c r="X5466">
        <v>0.98259439999999998</v>
      </c>
      <c r="Y5466">
        <v>-0.3016894</v>
      </c>
      <c r="Z5466">
        <v>-7.2013540000000001E-3</v>
      </c>
      <c r="AA5466">
        <v>0.95337910000000003</v>
      </c>
      <c r="AB5466">
        <v>41</v>
      </c>
      <c r="AC5466">
        <v>-30.621499999999902</v>
      </c>
      <c r="AD5466">
        <v>-1.0257372999999901</v>
      </c>
      <c r="AE5466">
        <v>-107.06865000000001</v>
      </c>
      <c r="AF5466">
        <v>-33.712961736258599</v>
      </c>
      <c r="AG5466">
        <v>-1.0257372999999901</v>
      </c>
      <c r="AH5466">
        <v>106.12588882919</v>
      </c>
      <c r="AI5466">
        <v>90.527774584708496</v>
      </c>
      <c r="AJ5466">
        <v>107.623466973002</v>
      </c>
      <c r="AK5466">
        <v>111.356725013915</v>
      </c>
      <c r="AL5466">
        <v>80.247047075249498</v>
      </c>
      <c r="AM5466">
        <v>94.436444205610002</v>
      </c>
      <c r="AN5466">
        <v>1.0000000149470001</v>
      </c>
    </row>
    <row r="5467" spans="1:40" x14ac:dyDescent="0.25">
      <c r="A5467" t="str">
        <f>"20190303170402626"</f>
        <v>20190303170402626</v>
      </c>
      <c r="B5467" t="str">
        <f>"1551603842621729"</f>
        <v>1551603842621729</v>
      </c>
      <c r="C5467" t="s">
        <v>40</v>
      </c>
      <c r="D5467">
        <v>4.8996069999999996</v>
      </c>
      <c r="E5467">
        <v>0.40865269999999998</v>
      </c>
      <c r="F5467" t="s">
        <v>76</v>
      </c>
      <c r="G5467">
        <v>-442.3252</v>
      </c>
      <c r="H5467">
        <v>8.4404349999999996E-3</v>
      </c>
      <c r="I5467">
        <v>16.129719999999999</v>
      </c>
      <c r="J5467">
        <v>-411.92720000000003</v>
      </c>
      <c r="K5467">
        <v>1.1321509999999999</v>
      </c>
      <c r="L5467">
        <v>127.0712</v>
      </c>
      <c r="M5467">
        <v>-0.54584750000000004</v>
      </c>
      <c r="N5467">
        <v>-1.525528E-2</v>
      </c>
      <c r="O5467">
        <v>-0.83774570000000004</v>
      </c>
      <c r="P5467">
        <v>-0.47708780000000001</v>
      </c>
      <c r="Q5467">
        <v>0.1549749</v>
      </c>
      <c r="R5467">
        <v>-0.86508390000000002</v>
      </c>
      <c r="S5467">
        <v>-0.83200069999999904</v>
      </c>
      <c r="T5467">
        <v>-3.05419E-2</v>
      </c>
      <c r="U5467">
        <v>-3.0237579999999999</v>
      </c>
      <c r="V5467">
        <v>-7.7179349999999994E-2</v>
      </c>
      <c r="W5467">
        <v>0.16792869999999999</v>
      </c>
      <c r="X5467">
        <v>0.98277320000000001</v>
      </c>
      <c r="Y5467">
        <v>-0.30401980000000001</v>
      </c>
      <c r="Z5467">
        <v>-6.7472950000000004E-3</v>
      </c>
      <c r="AA5467">
        <v>0.95264179999999998</v>
      </c>
      <c r="AB5467">
        <v>41</v>
      </c>
      <c r="AC5467">
        <v>-30.3979999999999</v>
      </c>
      <c r="AD5467">
        <v>-1.1237105650000001</v>
      </c>
      <c r="AE5467">
        <v>-110.94148</v>
      </c>
      <c r="AF5467">
        <v>-35.092069596005999</v>
      </c>
      <c r="AG5467">
        <v>-1.1237105650000001</v>
      </c>
      <c r="AH5467">
        <v>109.53571084650299</v>
      </c>
      <c r="AI5467">
        <v>90.559746193694593</v>
      </c>
      <c r="AJ5467">
        <v>107.763953857608</v>
      </c>
      <c r="AK5467">
        <v>115.025162571558</v>
      </c>
      <c r="AL5467">
        <v>80.332588252792902</v>
      </c>
      <c r="AM5467">
        <v>94.4903481247283</v>
      </c>
      <c r="AN5467">
        <v>0.99999993149417299</v>
      </c>
    </row>
    <row r="5468" spans="1:40" x14ac:dyDescent="0.25">
      <c r="A5468" t="str">
        <f>"20190303170402649"</f>
        <v>20190303170402649</v>
      </c>
      <c r="B5468" t="str">
        <f>"1551603842641252"</f>
        <v>1551603842641252</v>
      </c>
      <c r="C5468" t="s">
        <v>40</v>
      </c>
      <c r="D5468">
        <v>4.8906409999999996</v>
      </c>
      <c r="E5468">
        <v>0.4094062</v>
      </c>
      <c r="F5468" t="s">
        <v>44</v>
      </c>
      <c r="G5468">
        <v>-437.95100000000002</v>
      </c>
      <c r="H5468">
        <v>-0.05</v>
      </c>
      <c r="I5468">
        <v>29.325510000000001</v>
      </c>
      <c r="J5468">
        <v>-412.14640000000003</v>
      </c>
      <c r="K5468">
        <v>1.1317950000000001</v>
      </c>
      <c r="L5468">
        <v>126.72410000000001</v>
      </c>
      <c r="M5468">
        <v>-0.53882849999999904</v>
      </c>
      <c r="N5468">
        <v>-1.520239E-2</v>
      </c>
      <c r="O5468">
        <v>-0.84227839999999998</v>
      </c>
      <c r="P5468">
        <v>-0.4693831</v>
      </c>
      <c r="Q5468">
        <v>0.15367629999999999</v>
      </c>
      <c r="R5468">
        <v>-0.86951889999999998</v>
      </c>
      <c r="S5468">
        <v>-0.8066101</v>
      </c>
      <c r="T5468">
        <v>-3.6641E-2</v>
      </c>
      <c r="U5468">
        <v>-3.0296479999999999</v>
      </c>
      <c r="V5468">
        <v>-7.7635259999999998E-2</v>
      </c>
      <c r="W5468">
        <v>0.16663449999999999</v>
      </c>
      <c r="X5468">
        <v>0.98295770000000005</v>
      </c>
      <c r="Y5468">
        <v>-0.30396489999999998</v>
      </c>
      <c r="Z5468">
        <v>-5.2179929999999998E-3</v>
      </c>
      <c r="AA5468">
        <v>0.95266890000000004</v>
      </c>
      <c r="AB5468">
        <v>40</v>
      </c>
      <c r="AC5468">
        <v>-25.804599999999901</v>
      </c>
      <c r="AD5468">
        <v>-1.1817949999999999</v>
      </c>
      <c r="AE5468">
        <v>-97.398589999999999</v>
      </c>
      <c r="AF5468">
        <v>-30.745800295265099</v>
      </c>
      <c r="AG5468">
        <v>-1.1817949999999999</v>
      </c>
      <c r="AH5468">
        <v>95.938864787948901</v>
      </c>
      <c r="AI5468">
        <v>90.6720801048819</v>
      </c>
      <c r="AJ5468">
        <v>107.769243391624</v>
      </c>
      <c r="AK5468">
        <v>100.75200569725</v>
      </c>
      <c r="AL5468">
        <v>80.407801555809399</v>
      </c>
      <c r="AM5468">
        <v>94.515919562732904</v>
      </c>
      <c r="AN5468">
        <v>1.0000000650873999</v>
      </c>
    </row>
    <row r="5469" spans="1:40" x14ac:dyDescent="0.25">
      <c r="A5469" t="str">
        <f>"20190303170402670"</f>
        <v>20190303170402670</v>
      </c>
      <c r="B5469" t="str">
        <f>"1551603842661278"</f>
        <v>1551603842661278</v>
      </c>
      <c r="C5469" t="s">
        <v>40</v>
      </c>
      <c r="D5469">
        <v>4.9256279999999997</v>
      </c>
      <c r="E5469">
        <v>0.4104102</v>
      </c>
      <c r="F5469" t="s">
        <v>42</v>
      </c>
      <c r="G5469">
        <v>-431.40899999999999</v>
      </c>
      <c r="H5469">
        <v>7.9986100000000004E-2</v>
      </c>
      <c r="I5469">
        <v>52.26558</v>
      </c>
      <c r="J5469">
        <v>-412.34840000000003</v>
      </c>
      <c r="K5469">
        <v>1.1314740000000001</v>
      </c>
      <c r="L5469">
        <v>126.39830000000001</v>
      </c>
      <c r="M5469">
        <v>-0.53240639999999995</v>
      </c>
      <c r="N5469">
        <v>-1.515698E-2</v>
      </c>
      <c r="O5469">
        <v>-0.84635339999999903</v>
      </c>
      <c r="P5469">
        <v>-0.46281739999999999</v>
      </c>
      <c r="Q5469">
        <v>0.15390980000000001</v>
      </c>
      <c r="R5469">
        <v>-0.8729905</v>
      </c>
      <c r="S5469">
        <v>-0.7849121</v>
      </c>
      <c r="T5469">
        <v>-4.28592E-2</v>
      </c>
      <c r="U5469">
        <v>-3.0340419999999999</v>
      </c>
      <c r="V5469">
        <v>-7.7410649999999998E-2</v>
      </c>
      <c r="W5469">
        <v>0.1668898</v>
      </c>
      <c r="X5469">
        <v>0.98293200000000003</v>
      </c>
      <c r="Y5469">
        <v>-0.3034289</v>
      </c>
      <c r="Z5469">
        <v>-3.6404250000000001E-3</v>
      </c>
      <c r="AA5469">
        <v>0.95284709999999995</v>
      </c>
      <c r="AB5469">
        <v>40</v>
      </c>
      <c r="AC5469">
        <v>-19.060599999999901</v>
      </c>
      <c r="AD5469">
        <v>-1.0514878999999999</v>
      </c>
      <c r="AE5469">
        <v>-74.132719999999907</v>
      </c>
      <c r="AF5469">
        <v>-23.3350040590106</v>
      </c>
      <c r="AG5469">
        <v>-1.0514878999999999</v>
      </c>
      <c r="AH5469">
        <v>72.885071205817397</v>
      </c>
      <c r="AI5469">
        <v>90.787174504329698</v>
      </c>
      <c r="AJ5469">
        <v>107.753072348556</v>
      </c>
      <c r="AK5469">
        <v>76.536668636118193</v>
      </c>
      <c r="AL5469">
        <v>80.392965239858398</v>
      </c>
      <c r="AM5469">
        <v>94.503025415384101</v>
      </c>
      <c r="AN5469">
        <v>0.99999996535072999</v>
      </c>
    </row>
    <row r="5470" spans="1:40" x14ac:dyDescent="0.25">
      <c r="A5470" t="str">
        <f>"20190303170402692"</f>
        <v>20190303170402692</v>
      </c>
      <c r="B5470" t="str">
        <f>"1551603842680797"</f>
        <v>1551603842680797</v>
      </c>
      <c r="C5470" t="s">
        <v>40</v>
      </c>
      <c r="D5470">
        <v>4.9173349999999996</v>
      </c>
      <c r="E5470">
        <v>0.41124359999999999</v>
      </c>
      <c r="F5470" t="s">
        <v>42</v>
      </c>
      <c r="G5470">
        <v>-429.97800000000001</v>
      </c>
      <c r="H5470">
        <v>7.0181759999999996E-2</v>
      </c>
      <c r="I5470">
        <v>56.901780000000002</v>
      </c>
      <c r="J5470">
        <v>-412.55579999999998</v>
      </c>
      <c r="K5470">
        <v>1.1311560000000001</v>
      </c>
      <c r="L5470">
        <v>126.0574</v>
      </c>
      <c r="M5470">
        <v>-0.52581109999999998</v>
      </c>
      <c r="N5470">
        <v>-1.511382E-2</v>
      </c>
      <c r="O5470">
        <v>-0.85046710000000003</v>
      </c>
      <c r="P5470">
        <v>-0.457482</v>
      </c>
      <c r="Q5470">
        <v>0.15420449999999999</v>
      </c>
      <c r="R5470">
        <v>-0.87574640000000004</v>
      </c>
      <c r="S5470">
        <v>-0.77023319999999995</v>
      </c>
      <c r="T5470">
        <v>-4.6367650000000003E-2</v>
      </c>
      <c r="U5470">
        <v>-3.0362849999999999</v>
      </c>
      <c r="V5470">
        <v>-7.5599949999999999E-2</v>
      </c>
      <c r="W5470">
        <v>0.16724990000000001</v>
      </c>
      <c r="X5470">
        <v>0.98301179999999999</v>
      </c>
      <c r="Y5470">
        <v>-0.30051109999999998</v>
      </c>
      <c r="Z5470">
        <v>-2.6861620000000002E-3</v>
      </c>
      <c r="AA5470">
        <v>0.95377460000000003</v>
      </c>
      <c r="AB5470">
        <v>40</v>
      </c>
      <c r="AC5470">
        <v>-17.4222</v>
      </c>
      <c r="AD5470">
        <v>-1.06097424</v>
      </c>
      <c r="AE5470">
        <v>-69.155619999999999</v>
      </c>
      <c r="AF5470">
        <v>-21.5434775417786</v>
      </c>
      <c r="AG5470">
        <v>-1.06097424</v>
      </c>
      <c r="AH5470">
        <v>67.968086778643894</v>
      </c>
      <c r="AI5470">
        <v>90.8525148461258</v>
      </c>
      <c r="AJ5470">
        <v>107.58677208405101</v>
      </c>
      <c r="AK5470">
        <v>71.3085402408459</v>
      </c>
      <c r="AL5470">
        <v>80.3720396381824</v>
      </c>
      <c r="AM5470">
        <v>94.397758429914504</v>
      </c>
      <c r="AN5470">
        <v>1.0000000402146201</v>
      </c>
    </row>
    <row r="5471" spans="1:40" x14ac:dyDescent="0.25">
      <c r="A5471" t="str">
        <f>"20190303170402714"</f>
        <v>20190303170402714</v>
      </c>
      <c r="B5471" t="str">
        <f>"1551603842711053"</f>
        <v>1551603842711053</v>
      </c>
      <c r="C5471" t="s">
        <v>40</v>
      </c>
      <c r="D5471">
        <v>4.9302330000000003</v>
      </c>
      <c r="E5471">
        <v>0.4125993</v>
      </c>
      <c r="F5471" t="s">
        <v>42</v>
      </c>
      <c r="G5471">
        <v>-429.95780000000002</v>
      </c>
      <c r="H5471">
        <v>3.672189E-2</v>
      </c>
      <c r="I5471">
        <v>56.279020000000003</v>
      </c>
      <c r="J5471">
        <v>-412.7629</v>
      </c>
      <c r="K5471">
        <v>1.1308510000000001</v>
      </c>
      <c r="L5471">
        <v>125.7111</v>
      </c>
      <c r="M5471">
        <v>-0.51920480000000002</v>
      </c>
      <c r="N5471">
        <v>-1.507474E-2</v>
      </c>
      <c r="O5471">
        <v>-0.85451710000000003</v>
      </c>
      <c r="P5471">
        <v>-0.45260099999999998</v>
      </c>
      <c r="Q5471">
        <v>0.15381320000000001</v>
      </c>
      <c r="R5471">
        <v>-0.87834729999999905</v>
      </c>
      <c r="S5471">
        <v>-0.75769039999999999</v>
      </c>
      <c r="T5471">
        <v>-4.7652359999999998E-2</v>
      </c>
      <c r="U5471">
        <v>-3.0381930000000001</v>
      </c>
      <c r="V5471">
        <v>-7.333452E-2</v>
      </c>
      <c r="W5471">
        <v>0.16693729999999901</v>
      </c>
      <c r="X5471">
        <v>0.98323649999999996</v>
      </c>
      <c r="Y5471">
        <v>-0.29696349999999999</v>
      </c>
      <c r="Z5471">
        <v>-2.2683400000000002E-3</v>
      </c>
      <c r="AA5471">
        <v>0.95488609999999896</v>
      </c>
      <c r="AB5471">
        <v>40</v>
      </c>
      <c r="AC5471">
        <v>-17.194900000000001</v>
      </c>
      <c r="AD5471">
        <v>-1.0941291099999999</v>
      </c>
      <c r="AE5471">
        <v>-69.432079999999999</v>
      </c>
      <c r="AF5471">
        <v>-21.353560248939502</v>
      </c>
      <c r="AG5471">
        <v>-1.0941291099999999</v>
      </c>
      <c r="AH5471">
        <v>68.250350818375196</v>
      </c>
      <c r="AI5471">
        <v>90.8765432587562</v>
      </c>
      <c r="AJ5471">
        <v>107.37339177889</v>
      </c>
      <c r="AK5471">
        <v>71.5211999385198</v>
      </c>
      <c r="AL5471">
        <v>80.390205444100005</v>
      </c>
      <c r="AM5471">
        <v>94.265497747742501</v>
      </c>
      <c r="AN5471">
        <v>1.0000000144435801</v>
      </c>
    </row>
    <row r="5472" spans="1:40" x14ac:dyDescent="0.25">
      <c r="A5472" t="str">
        <f>"20190303170402738"</f>
        <v>20190303170402738</v>
      </c>
      <c r="B5472" t="str">
        <f>"1551603842731549"</f>
        <v>1551603842731549</v>
      </c>
      <c r="C5472" t="s">
        <v>40</v>
      </c>
      <c r="D5472">
        <v>4.9275460000000004</v>
      </c>
      <c r="E5472">
        <v>0.41356120000000002</v>
      </c>
      <c r="F5472" t="s">
        <v>42</v>
      </c>
      <c r="G5472">
        <v>-429.15940000000001</v>
      </c>
      <c r="H5472" s="1">
        <v>-5.8412869999999997E-6</v>
      </c>
      <c r="I5472">
        <v>59.377330000000001</v>
      </c>
      <c r="J5472">
        <v>-412.96719999999999</v>
      </c>
      <c r="K5472">
        <v>1.130566</v>
      </c>
      <c r="L5472">
        <v>125.3627</v>
      </c>
      <c r="M5472">
        <v>-0.51263249999999905</v>
      </c>
      <c r="N5472">
        <v>-1.503988E-2</v>
      </c>
      <c r="O5472">
        <v>-0.85847640000000003</v>
      </c>
      <c r="P5472">
        <v>-0.44694719999999999</v>
      </c>
      <c r="Q5472">
        <v>0.15301899999999999</v>
      </c>
      <c r="R5472">
        <v>-0.88137569999999998</v>
      </c>
      <c r="S5472">
        <v>-0.75085449999999998</v>
      </c>
      <c r="T5472">
        <v>-5.1785949999999997E-2</v>
      </c>
      <c r="U5472">
        <v>-3.0376590000000001</v>
      </c>
      <c r="V5472">
        <v>-7.2028030000000007E-2</v>
      </c>
      <c r="W5472">
        <v>0.16619579999999901</v>
      </c>
      <c r="X5472">
        <v>0.98345859999999996</v>
      </c>
      <c r="Y5472">
        <v>-0.29161379999999998</v>
      </c>
      <c r="Z5472">
        <v>-1.1192260000000001E-3</v>
      </c>
      <c r="AA5472">
        <v>0.95653549999999998</v>
      </c>
      <c r="AB5472">
        <v>40</v>
      </c>
      <c r="AC5472">
        <v>-16.1922</v>
      </c>
      <c r="AD5472">
        <v>-1.1305718412870001</v>
      </c>
      <c r="AE5472">
        <v>-65.985369999999904</v>
      </c>
      <c r="AF5472">
        <v>-19.922361207444201</v>
      </c>
      <c r="AG5472">
        <v>-1.1305718412870001</v>
      </c>
      <c r="AH5472">
        <v>64.936897021514298</v>
      </c>
      <c r="AI5472">
        <v>90.953577443377</v>
      </c>
      <c r="AJ5472">
        <v>107.05578862927599</v>
      </c>
      <c r="AK5472">
        <v>67.933638674451501</v>
      </c>
      <c r="AL5472">
        <v>80.433291550134996</v>
      </c>
      <c r="AM5472">
        <v>94.188836058950699</v>
      </c>
      <c r="AN5472">
        <v>0.99999994947863902</v>
      </c>
    </row>
    <row r="5473" spans="1:40" x14ac:dyDescent="0.25">
      <c r="A5473" t="str">
        <f>"20190303170402759"</f>
        <v>20190303170402759</v>
      </c>
      <c r="B5473" t="str">
        <f>"1551603842751069"</f>
        <v>1551603842751069</v>
      </c>
      <c r="C5473" t="s">
        <v>40</v>
      </c>
      <c r="D5473">
        <v>4.9143280000000003</v>
      </c>
      <c r="E5473">
        <v>0.41446949999999999</v>
      </c>
      <c r="F5473" t="s">
        <v>42</v>
      </c>
      <c r="G5473">
        <v>-427.55020000000002</v>
      </c>
      <c r="H5473" s="1">
        <v>-4.1694439999999998E-6</v>
      </c>
      <c r="I5473">
        <v>65.303330000000003</v>
      </c>
      <c r="J5473">
        <v>-413.16320000000002</v>
      </c>
      <c r="K5473">
        <v>1.1303110000000001</v>
      </c>
      <c r="L5473">
        <v>125.0227</v>
      </c>
      <c r="M5473">
        <v>-0.50626419999999905</v>
      </c>
      <c r="N5473">
        <v>-1.500947E-2</v>
      </c>
      <c r="O5473">
        <v>-0.86224789999999996</v>
      </c>
      <c r="P5473">
        <v>-0.44146940000000001</v>
      </c>
      <c r="Q5473">
        <v>0.15435869999999999</v>
      </c>
      <c r="R5473">
        <v>-0.88389969999999995</v>
      </c>
      <c r="S5473">
        <v>-0.73800659999999996</v>
      </c>
      <c r="T5473">
        <v>-5.7215090000000003E-2</v>
      </c>
      <c r="U5473">
        <v>-3.039444</v>
      </c>
      <c r="V5473">
        <v>-7.0647440000000006E-2</v>
      </c>
      <c r="W5473">
        <v>0.1675818</v>
      </c>
      <c r="X5473">
        <v>0.98332359999999996</v>
      </c>
      <c r="Y5473">
        <v>-0.28847390000000001</v>
      </c>
      <c r="Z5473">
        <v>3.4423860000000001E-4</v>
      </c>
      <c r="AA5473">
        <v>0.95748770000000005</v>
      </c>
      <c r="AB5473">
        <v>40</v>
      </c>
      <c r="AC5473">
        <v>-14.387</v>
      </c>
      <c r="AD5473">
        <v>-1.1303151694439999</v>
      </c>
      <c r="AE5473">
        <v>-59.719369999999998</v>
      </c>
      <c r="AF5473">
        <v>-17.824590520654699</v>
      </c>
      <c r="AG5473">
        <v>-1.1303151694439999</v>
      </c>
      <c r="AH5473">
        <v>58.763245037679603</v>
      </c>
      <c r="AI5473">
        <v>91.054518936377207</v>
      </c>
      <c r="AJ5473">
        <v>106.874066968056</v>
      </c>
      <c r="AK5473">
        <v>61.41752687116</v>
      </c>
      <c r="AL5473">
        <v>80.352750655328904</v>
      </c>
      <c r="AM5473">
        <v>94.109386788930095</v>
      </c>
      <c r="AN5473">
        <v>1.00000001139337</v>
      </c>
    </row>
    <row r="5474" spans="1:40" x14ac:dyDescent="0.25">
      <c r="A5474" t="str">
        <f>"20190303170402782"</f>
        <v>20190303170402782</v>
      </c>
      <c r="B5474" t="str">
        <f>"1551603842771565"</f>
        <v>1551603842771565</v>
      </c>
      <c r="C5474" t="s">
        <v>40</v>
      </c>
      <c r="D5474">
        <v>4.9440619999999997</v>
      </c>
      <c r="E5474">
        <v>0.41487950000000001</v>
      </c>
      <c r="F5474" t="s">
        <v>42</v>
      </c>
      <c r="G5474">
        <v>-427.91329999999999</v>
      </c>
      <c r="H5474" s="1">
        <v>-3.5660849999999998E-6</v>
      </c>
      <c r="I5474">
        <v>63.341079999999998</v>
      </c>
      <c r="J5474">
        <v>-413.35770000000002</v>
      </c>
      <c r="K5474">
        <v>1.130082</v>
      </c>
      <c r="L5474">
        <v>124.6795</v>
      </c>
      <c r="M5474">
        <v>-0.49987169999999997</v>
      </c>
      <c r="N5474">
        <v>-1.498181E-2</v>
      </c>
      <c r="O5474">
        <v>-0.86596980000000001</v>
      </c>
      <c r="P5474">
        <v>-0.43676540000000003</v>
      </c>
      <c r="Q5474">
        <v>0.1562066</v>
      </c>
      <c r="R5474">
        <v>-0.88590930000000001</v>
      </c>
      <c r="S5474">
        <v>-0.72711179999999997</v>
      </c>
      <c r="T5474">
        <v>-5.571926E-2</v>
      </c>
      <c r="U5474">
        <v>-3.040619</v>
      </c>
      <c r="V5474">
        <v>-6.837116E-2</v>
      </c>
      <c r="W5474">
        <v>0.16949059999999999</v>
      </c>
      <c r="X5474">
        <v>0.98315730000000001</v>
      </c>
      <c r="Y5474">
        <v>-0.28471829999999998</v>
      </c>
      <c r="Z5474" s="1">
        <v>7.4171519999999906E-5</v>
      </c>
      <c r="AA5474">
        <v>0.9586112</v>
      </c>
      <c r="AB5474">
        <v>40</v>
      </c>
      <c r="AC5474">
        <v>-14.555599999999901</v>
      </c>
      <c r="AD5474">
        <v>-1.130085566085</v>
      </c>
      <c r="AE5474">
        <v>-61.3384199999999</v>
      </c>
      <c r="AF5474">
        <v>-18.052857146181999</v>
      </c>
      <c r="AG5474">
        <v>-1.130085566085</v>
      </c>
      <c r="AH5474">
        <v>60.380532062587299</v>
      </c>
      <c r="AI5474">
        <v>91.027302671962403</v>
      </c>
      <c r="AJ5474">
        <v>106.645861791896</v>
      </c>
      <c r="AK5474">
        <v>63.031669791369701</v>
      </c>
      <c r="AL5474">
        <v>80.241796986913101</v>
      </c>
      <c r="AM5474">
        <v>93.978083829705795</v>
      </c>
      <c r="AN5474">
        <v>0.99999997777569705</v>
      </c>
    </row>
    <row r="5475" spans="1:40" x14ac:dyDescent="0.25">
      <c r="A5475" t="str">
        <f>"20190303170402804"</f>
        <v>20190303170402804</v>
      </c>
      <c r="B5475" t="str">
        <f>"1551603842800845"</f>
        <v>1551603842800845</v>
      </c>
      <c r="C5475" t="s">
        <v>40</v>
      </c>
      <c r="D5475">
        <v>4.9449199999999998</v>
      </c>
      <c r="E5475">
        <v>0.42854959999999997</v>
      </c>
      <c r="F5475" t="s">
        <v>42</v>
      </c>
      <c r="G5475">
        <v>-429.62939999999998</v>
      </c>
      <c r="H5475" s="1">
        <v>-4.5107200000000004E-6</v>
      </c>
      <c r="I5475">
        <v>55.222439999999999</v>
      </c>
      <c r="J5475">
        <v>-413.5539</v>
      </c>
      <c r="K5475">
        <v>1.129893</v>
      </c>
      <c r="L5475">
        <v>124.32729999999999</v>
      </c>
      <c r="M5475">
        <v>-0.49334220000000001</v>
      </c>
      <c r="N5475">
        <v>-1.495577E-2</v>
      </c>
      <c r="O5475">
        <v>-0.86970689999999995</v>
      </c>
      <c r="P5475">
        <v>-0.43134699999999998</v>
      </c>
      <c r="Q5475">
        <v>0.15652089999999999</v>
      </c>
      <c r="R5475">
        <v>-0.88850499999999899</v>
      </c>
      <c r="S5475">
        <v>-0.71301269999999894</v>
      </c>
      <c r="T5475">
        <v>-4.951966E-2</v>
      </c>
      <c r="U5475">
        <v>-3.0435639999999999</v>
      </c>
      <c r="V5475">
        <v>-6.6863919999999993E-2</v>
      </c>
      <c r="W5475">
        <v>0.1698472</v>
      </c>
      <c r="X5475">
        <v>0.98319939999999995</v>
      </c>
      <c r="Y5475">
        <v>-0.2819257</v>
      </c>
      <c r="Z5475">
        <v>-1.417628E-3</v>
      </c>
      <c r="AA5475">
        <v>0.95943520000000004</v>
      </c>
      <c r="AB5475">
        <v>40</v>
      </c>
      <c r="AC5475">
        <v>-16.075499999999899</v>
      </c>
      <c r="AD5475">
        <v>-1.12989751072</v>
      </c>
      <c r="AE5475">
        <v>-69.104860000000002</v>
      </c>
      <c r="AF5475">
        <v>-20.108517223973099</v>
      </c>
      <c r="AG5475">
        <v>-1.12989751072</v>
      </c>
      <c r="AH5475">
        <v>68.022044552982095</v>
      </c>
      <c r="AI5475">
        <v>90.912604586118505</v>
      </c>
      <c r="AJ5475">
        <v>106.468609558542</v>
      </c>
      <c r="AK5475">
        <v>70.941015488217005</v>
      </c>
      <c r="AL5475">
        <v>80.221064518012298</v>
      </c>
      <c r="AM5475">
        <v>93.890493372339293</v>
      </c>
      <c r="AN5475">
        <v>0.999999957652982</v>
      </c>
    </row>
    <row r="5476" spans="1:40" x14ac:dyDescent="0.25">
      <c r="A5476" t="str">
        <f>"20190303170402828"</f>
        <v>20190303170402828</v>
      </c>
      <c r="B5476" t="str">
        <f>"1551603842821341"</f>
        <v>1551603842821341</v>
      </c>
      <c r="C5476" t="s">
        <v>40</v>
      </c>
      <c r="D5476">
        <v>4.9463280000000003</v>
      </c>
      <c r="E5476">
        <v>0.4295292</v>
      </c>
      <c r="F5476" t="s">
        <v>42</v>
      </c>
      <c r="G5476">
        <v>-424.76389999999998</v>
      </c>
      <c r="H5476" s="1">
        <v>-2.2190459999999998E-6</v>
      </c>
      <c r="I5476">
        <v>81.807079999999999</v>
      </c>
      <c r="J5476">
        <v>-413.75319999999999</v>
      </c>
      <c r="K5476">
        <v>1.129718</v>
      </c>
      <c r="L5476">
        <v>123.9632</v>
      </c>
      <c r="M5476">
        <v>-0.48661589999999999</v>
      </c>
      <c r="N5476">
        <v>-1.493066E-2</v>
      </c>
      <c r="O5476">
        <v>-0.87348869999999901</v>
      </c>
      <c r="P5476">
        <v>-0.42452420000000002</v>
      </c>
      <c r="Q5476">
        <v>0.1553184</v>
      </c>
      <c r="R5476">
        <v>-0.89199569999999995</v>
      </c>
      <c r="S5476">
        <v>-0.79244999999999999</v>
      </c>
      <c r="T5476">
        <v>-7.9873920000000001E-2</v>
      </c>
      <c r="U5476">
        <v>-3.005814</v>
      </c>
      <c r="V5476">
        <v>-6.6810320000000006E-2</v>
      </c>
      <c r="W5476">
        <v>0.16865260000000001</v>
      </c>
      <c r="X5476">
        <v>0.98340870000000002</v>
      </c>
      <c r="Y5476">
        <v>-0.24781449999999999</v>
      </c>
      <c r="Z5476">
        <v>6.910182E-3</v>
      </c>
      <c r="AA5476">
        <v>0.96878280000000006</v>
      </c>
      <c r="AB5476">
        <v>40</v>
      </c>
      <c r="AC5476">
        <v>-11.0106999999999</v>
      </c>
      <c r="AD5476">
        <v>-1.1297202190459901</v>
      </c>
      <c r="AE5476">
        <v>-42.156120000000001</v>
      </c>
      <c r="AF5476">
        <v>-10.890007105364599</v>
      </c>
      <c r="AG5476">
        <v>-1.1297202190459901</v>
      </c>
      <c r="AH5476">
        <v>42.157226538562</v>
      </c>
      <c r="AI5476">
        <v>91.486267899119596</v>
      </c>
      <c r="AJ5476">
        <v>104.483956692308</v>
      </c>
      <c r="AK5476">
        <v>43.555714572853098</v>
      </c>
      <c r="AL5476">
        <v>80.290512334504001</v>
      </c>
      <c r="AM5476">
        <v>93.886559388815996</v>
      </c>
      <c r="AN5476">
        <v>0.99999999479047597</v>
      </c>
    </row>
    <row r="5477" spans="1:40" x14ac:dyDescent="0.25">
      <c r="A5477" t="str">
        <f>"20190303170402849"</f>
        <v>20190303170402849</v>
      </c>
      <c r="B5477" t="str">
        <f>"1551603842840861"</f>
        <v>1551603842840861</v>
      </c>
      <c r="C5477" t="s">
        <v>40</v>
      </c>
      <c r="D5477">
        <v>4.9588609999999997</v>
      </c>
      <c r="E5477">
        <v>0.43003710000000001</v>
      </c>
      <c r="F5477" t="s">
        <v>42</v>
      </c>
      <c r="G5477">
        <v>-424.26859999999999</v>
      </c>
      <c r="H5477" s="1">
        <v>-2.7056840000000002E-6</v>
      </c>
      <c r="I5477">
        <v>83.248609999999999</v>
      </c>
      <c r="J5477">
        <v>-413.935</v>
      </c>
      <c r="K5477">
        <v>1.129578</v>
      </c>
      <c r="L5477">
        <v>123.625</v>
      </c>
      <c r="M5477">
        <v>-0.4803866</v>
      </c>
      <c r="N5477">
        <v>-1.490873E-2</v>
      </c>
      <c r="O5477">
        <v>-0.87693029999999905</v>
      </c>
      <c r="P5477">
        <v>-0.41697770000000001</v>
      </c>
      <c r="Q5477">
        <v>0.1545202</v>
      </c>
      <c r="R5477">
        <v>-0.89568609999999904</v>
      </c>
      <c r="S5477">
        <v>-0.77688599999999997</v>
      </c>
      <c r="T5477">
        <v>-8.3464259999999998E-2</v>
      </c>
      <c r="U5477">
        <v>-3.0080110000000002</v>
      </c>
      <c r="V5477">
        <v>-6.8106230000000004E-2</v>
      </c>
      <c r="W5477">
        <v>0.16782910000000001</v>
      </c>
      <c r="X5477">
        <v>0.98346069999999997</v>
      </c>
      <c r="Y5477">
        <v>-0.2457869</v>
      </c>
      <c r="Z5477">
        <v>7.976159E-3</v>
      </c>
      <c r="AA5477">
        <v>0.96929109999999996</v>
      </c>
      <c r="AB5477">
        <v>40</v>
      </c>
      <c r="AC5477">
        <v>-10.333599999999899</v>
      </c>
      <c r="AD5477">
        <v>-1.1295807056839999</v>
      </c>
      <c r="AE5477">
        <v>-40.376390000000001</v>
      </c>
      <c r="AF5477">
        <v>-10.327990387656</v>
      </c>
      <c r="AG5477">
        <v>-1.1295807056839999</v>
      </c>
      <c r="AH5477">
        <v>40.346247369894201</v>
      </c>
      <c r="AI5477">
        <v>91.553631096582393</v>
      </c>
      <c r="AJ5477">
        <v>104.358471662089</v>
      </c>
      <c r="AK5477">
        <v>41.6624893021392</v>
      </c>
      <c r="AL5477">
        <v>80.338377805502304</v>
      </c>
      <c r="AM5477">
        <v>93.961499824043798</v>
      </c>
      <c r="AN5477">
        <v>1.0000000069080499</v>
      </c>
    </row>
    <row r="5478" spans="1:40" x14ac:dyDescent="0.25">
      <c r="A5478" t="str">
        <f>"20190303170402871"</f>
        <v>20190303170402871</v>
      </c>
      <c r="B5478" t="str">
        <f>"1551603842861356"</f>
        <v>1551603842861356</v>
      </c>
      <c r="C5478" t="s">
        <v>40</v>
      </c>
      <c r="D5478">
        <v>4.9474539999999996</v>
      </c>
      <c r="E5478">
        <v>0.43066349999999998</v>
      </c>
      <c r="F5478" t="s">
        <v>42</v>
      </c>
      <c r="G5478">
        <v>-423.8152</v>
      </c>
      <c r="H5478" s="1">
        <v>-3.007003E-6</v>
      </c>
      <c r="I5478">
        <v>84.232230000000001</v>
      </c>
      <c r="J5478">
        <v>-414.11489999999998</v>
      </c>
      <c r="K5478">
        <v>1.129478</v>
      </c>
      <c r="L5478">
        <v>123.2847</v>
      </c>
      <c r="M5478">
        <v>-0.47412989999999999</v>
      </c>
      <c r="N5478">
        <v>-1.4887849999999999E-2</v>
      </c>
      <c r="O5478">
        <v>-0.88032919999999903</v>
      </c>
      <c r="P5478">
        <v>-0.40974250000000001</v>
      </c>
      <c r="Q5478">
        <v>0.15494559999999999</v>
      </c>
      <c r="R5478">
        <v>-0.89894560000000001</v>
      </c>
      <c r="S5478">
        <v>-0.7555847</v>
      </c>
      <c r="T5478">
        <v>-8.6384530000000001E-2</v>
      </c>
      <c r="U5478">
        <v>-3.0125579999999998</v>
      </c>
      <c r="V5478">
        <v>-6.8956740000000002E-2</v>
      </c>
      <c r="W5478">
        <v>0.1682342</v>
      </c>
      <c r="X5478">
        <v>0.98333219999999999</v>
      </c>
      <c r="Y5478">
        <v>-0.2456759</v>
      </c>
      <c r="Z5478">
        <v>8.8478180000000003E-3</v>
      </c>
      <c r="AA5478">
        <v>0.9693117</v>
      </c>
      <c r="AB5478">
        <v>40</v>
      </c>
      <c r="AC5478">
        <v>-9.7003000000000199</v>
      </c>
      <c r="AD5478">
        <v>-1.1294810070029999</v>
      </c>
      <c r="AE5478">
        <v>-39.05247</v>
      </c>
      <c r="AF5478">
        <v>-9.9697356770297603</v>
      </c>
      <c r="AG5478">
        <v>-1.1294810070029999</v>
      </c>
      <c r="AH5478">
        <v>38.951856967593699</v>
      </c>
      <c r="AI5478">
        <v>91.609089985213899</v>
      </c>
      <c r="AJ5478">
        <v>104.356658809251</v>
      </c>
      <c r="AK5478">
        <v>40.2233578662808</v>
      </c>
      <c r="AL5478">
        <v>80.314832409930801</v>
      </c>
      <c r="AM5478">
        <v>94.011332947714294</v>
      </c>
      <c r="AN5478">
        <v>0.99999999679895302</v>
      </c>
    </row>
    <row r="5479" spans="1:40" x14ac:dyDescent="0.25">
      <c r="A5479" t="str">
        <f>"20190303170402893"</f>
        <v>20190303170402893</v>
      </c>
      <c r="B5479" t="str">
        <f>"1551603842880877"</f>
        <v>1551603842880877</v>
      </c>
      <c r="C5479" t="s">
        <v>40</v>
      </c>
      <c r="D5479">
        <v>4.9042510000000004</v>
      </c>
      <c r="E5479">
        <v>0.43131269999999999</v>
      </c>
      <c r="F5479" t="s">
        <v>42</v>
      </c>
      <c r="G5479">
        <v>-423.54930000000002</v>
      </c>
      <c r="H5479" s="1">
        <v>-3.1378159999999999E-6</v>
      </c>
      <c r="I5479">
        <v>84.702079999999995</v>
      </c>
      <c r="J5479">
        <v>-414.29849999999999</v>
      </c>
      <c r="K5479">
        <v>1.1293899999999999</v>
      </c>
      <c r="L5479">
        <v>122.9315</v>
      </c>
      <c r="M5479">
        <v>-0.4676478</v>
      </c>
      <c r="N5479">
        <v>-1.486727E-2</v>
      </c>
      <c r="O5479">
        <v>-0.88378999999999996</v>
      </c>
      <c r="P5479">
        <v>-0.40222829999999998</v>
      </c>
      <c r="Q5479">
        <v>0.15651370000000001</v>
      </c>
      <c r="R5479">
        <v>-0.90206229999999998</v>
      </c>
      <c r="S5479">
        <v>-0.7375488</v>
      </c>
      <c r="T5479">
        <v>-8.8299160000000002E-2</v>
      </c>
      <c r="U5479">
        <v>-3.0162659999999999</v>
      </c>
      <c r="V5479">
        <v>-6.979602E-2</v>
      </c>
      <c r="W5479">
        <v>0.16977909999999999</v>
      </c>
      <c r="X5479">
        <v>0.98300739999999998</v>
      </c>
      <c r="Y5479">
        <v>-0.2442955</v>
      </c>
      <c r="Z5479">
        <v>9.4751460000000003E-3</v>
      </c>
      <c r="AA5479">
        <v>0.96965460000000003</v>
      </c>
      <c r="AB5479">
        <v>40</v>
      </c>
      <c r="AC5479">
        <v>-9.2508000000000195</v>
      </c>
      <c r="AD5479">
        <v>-1.12939313781599</v>
      </c>
      <c r="AE5479">
        <v>-38.229419999999898</v>
      </c>
      <c r="AF5479">
        <v>-9.6952172416345803</v>
      </c>
      <c r="AG5479">
        <v>-1.12939313781599</v>
      </c>
      <c r="AH5479">
        <v>38.085702180525999</v>
      </c>
      <c r="AI5479">
        <v>91.646083217628899</v>
      </c>
      <c r="AJ5479">
        <v>104.28204921814699</v>
      </c>
      <c r="AK5479">
        <v>39.316580176891698</v>
      </c>
      <c r="AL5479">
        <v>80.225024163099604</v>
      </c>
      <c r="AM5479">
        <v>94.061330021113903</v>
      </c>
      <c r="AN5479">
        <v>0.99999998782970501</v>
      </c>
    </row>
    <row r="5480" spans="1:40" x14ac:dyDescent="0.25">
      <c r="A5480" t="str">
        <f>"20190303170402916"</f>
        <v>20190303170402916</v>
      </c>
      <c r="B5480" t="str">
        <f>"1551603842911133"</f>
        <v>1551603842911133</v>
      </c>
      <c r="C5480" t="s">
        <v>40</v>
      </c>
      <c r="D5480">
        <v>4.9680569999999999</v>
      </c>
      <c r="E5480">
        <v>0.43658089999999999</v>
      </c>
      <c r="F5480" t="s">
        <v>42</v>
      </c>
      <c r="G5480">
        <v>-423.90280000000001</v>
      </c>
      <c r="H5480" s="1">
        <v>-2.2978860000000001E-6</v>
      </c>
      <c r="I5480">
        <v>82.524900000000002</v>
      </c>
      <c r="J5480">
        <v>-414.48050000000001</v>
      </c>
      <c r="K5480">
        <v>1.129316</v>
      </c>
      <c r="L5480">
        <v>122.5746</v>
      </c>
      <c r="M5480">
        <v>-0.4611152</v>
      </c>
      <c r="N5480">
        <v>-1.484742E-2</v>
      </c>
      <c r="O5480">
        <v>-0.88721640000000002</v>
      </c>
      <c r="P5480">
        <v>-0.39497139999999997</v>
      </c>
      <c r="Q5480">
        <v>0.15731909999999999</v>
      </c>
      <c r="R5480">
        <v>-0.90512380000000003</v>
      </c>
      <c r="S5480">
        <v>-0.71789550000000002</v>
      </c>
      <c r="T5480">
        <v>-8.441854E-2</v>
      </c>
      <c r="U5480">
        <v>-3.0202640000000001</v>
      </c>
      <c r="V5480">
        <v>-7.0351590000000006E-2</v>
      </c>
      <c r="W5480">
        <v>0.17056660000000001</v>
      </c>
      <c r="X5480">
        <v>0.98283149999999997</v>
      </c>
      <c r="Y5480">
        <v>-0.24340210000000001</v>
      </c>
      <c r="Z5480">
        <v>8.5530959999999996E-3</v>
      </c>
      <c r="AA5480">
        <v>0.96988770000000002</v>
      </c>
      <c r="AB5480">
        <v>40</v>
      </c>
      <c r="AC5480">
        <v>-9.4222999999999999</v>
      </c>
      <c r="AD5480">
        <v>-1.1293182978859999</v>
      </c>
      <c r="AE5480">
        <v>-40.049700000000001</v>
      </c>
      <c r="AF5480">
        <v>-10.1014069295376</v>
      </c>
      <c r="AG5480">
        <v>-1.1293182978859999</v>
      </c>
      <c r="AH5480">
        <v>39.851875056815999</v>
      </c>
      <c r="AI5480">
        <v>91.573473449380899</v>
      </c>
      <c r="AJ5480">
        <v>104.223416980252</v>
      </c>
      <c r="AK5480">
        <v>41.127675928966902</v>
      </c>
      <c r="AL5480">
        <v>80.179236338483506</v>
      </c>
      <c r="AM5480">
        <v>94.094278514410504</v>
      </c>
      <c r="AN5480">
        <v>1.00000003432166</v>
      </c>
    </row>
    <row r="5481" spans="1:40" x14ac:dyDescent="0.25">
      <c r="A5481" t="str">
        <f>"20190303170402938"</f>
        <v>20190303170402938</v>
      </c>
      <c r="B5481" t="str">
        <f>"1551603842931630"</f>
        <v>1551603842931630</v>
      </c>
      <c r="C5481" t="s">
        <v>40</v>
      </c>
      <c r="D5481">
        <v>4.9489229999999997</v>
      </c>
      <c r="E5481">
        <v>0.43698999999999999</v>
      </c>
      <c r="F5481" t="s">
        <v>42</v>
      </c>
      <c r="G5481">
        <v>-423.31959999999998</v>
      </c>
      <c r="H5481" s="1">
        <v>-3.7402830000000002E-6</v>
      </c>
      <c r="I5481">
        <v>86.248909999999995</v>
      </c>
      <c r="J5481">
        <v>-414.65929999999997</v>
      </c>
      <c r="K5481">
        <v>1.129246</v>
      </c>
      <c r="L5481">
        <v>122.2175</v>
      </c>
      <c r="M5481">
        <v>-0.45459100000000002</v>
      </c>
      <c r="N5481">
        <v>-1.482852E-2</v>
      </c>
      <c r="O5481">
        <v>-0.89057730000000002</v>
      </c>
      <c r="P5481">
        <v>-0.38701799999999997</v>
      </c>
      <c r="Q5481">
        <v>0.15720010000000001</v>
      </c>
      <c r="R5481">
        <v>-0.90857370000000004</v>
      </c>
      <c r="S5481">
        <v>-0.73266600000000004</v>
      </c>
      <c r="T5481">
        <v>-9.3609090000000006E-2</v>
      </c>
      <c r="U5481">
        <v>-3.0110320000000002</v>
      </c>
      <c r="V5481">
        <v>-7.1733619999999998E-2</v>
      </c>
      <c r="W5481">
        <v>0.17041339999999999</v>
      </c>
      <c r="X5481">
        <v>0.98275820000000003</v>
      </c>
      <c r="Y5481">
        <v>-0.23110410000000001</v>
      </c>
      <c r="Z5481">
        <v>1.129108E-2</v>
      </c>
      <c r="AA5481">
        <v>0.97286349999999999</v>
      </c>
      <c r="AB5481">
        <v>40</v>
      </c>
      <c r="AC5481">
        <v>-8.6602999999999994</v>
      </c>
      <c r="AD5481">
        <v>-1.129249740283</v>
      </c>
      <c r="AE5481">
        <v>-35.968589999999999</v>
      </c>
      <c r="AF5481">
        <v>-8.6312357654735496</v>
      </c>
      <c r="AG5481">
        <v>-1.129249740283</v>
      </c>
      <c r="AH5481">
        <v>35.940161124422801</v>
      </c>
      <c r="AI5481">
        <v>91.749933194747697</v>
      </c>
      <c r="AJ5481">
        <v>103.50416990190401</v>
      </c>
      <c r="AK5481">
        <v>36.979299850924598</v>
      </c>
      <c r="AL5481">
        <v>80.188144720490001</v>
      </c>
      <c r="AM5481">
        <v>94.174737695759703</v>
      </c>
      <c r="AN5481">
        <v>1.00000005940255</v>
      </c>
    </row>
    <row r="5482" spans="1:40" x14ac:dyDescent="0.25">
      <c r="A5482" t="str">
        <f>"20190303170402959"</f>
        <v>20190303170402959</v>
      </c>
      <c r="B5482" t="str">
        <f>"1551603842951150"</f>
        <v>1551603842951150</v>
      </c>
      <c r="C5482" t="s">
        <v>40</v>
      </c>
      <c r="D5482">
        <v>4.9671570000000003</v>
      </c>
      <c r="E5482">
        <v>0.43788840000000001</v>
      </c>
      <c r="F5482" t="s">
        <v>42</v>
      </c>
      <c r="G5482">
        <v>-423.00880000000001</v>
      </c>
      <c r="H5482" s="1">
        <v>-3.8426560000000001E-6</v>
      </c>
      <c r="I5482">
        <v>86.710269999999994</v>
      </c>
      <c r="J5482">
        <v>-414.83150000000001</v>
      </c>
      <c r="K5482">
        <v>1.129197</v>
      </c>
      <c r="L5482">
        <v>121.8673</v>
      </c>
      <c r="M5482">
        <v>-0.4482023</v>
      </c>
      <c r="N5482">
        <v>-1.481125E-2</v>
      </c>
      <c r="O5482">
        <v>-0.89380949999999904</v>
      </c>
      <c r="P5482">
        <v>-0.37825130000000001</v>
      </c>
      <c r="Q5482">
        <v>0.15715129999999999</v>
      </c>
      <c r="R5482">
        <v>-0.91226609999999997</v>
      </c>
      <c r="S5482">
        <v>-0.70928959999999996</v>
      </c>
      <c r="T5482">
        <v>-9.5929860000000006E-2</v>
      </c>
      <c r="U5482">
        <v>-3.0163419999999999</v>
      </c>
      <c r="V5482">
        <v>-7.4140170000000005E-2</v>
      </c>
      <c r="W5482">
        <v>0.17030960000000001</v>
      </c>
      <c r="X5482">
        <v>0.98259750000000001</v>
      </c>
      <c r="Y5482">
        <v>-0.2316636</v>
      </c>
      <c r="Z5482">
        <v>1.201665E-2</v>
      </c>
      <c r="AA5482">
        <v>0.97272179999999997</v>
      </c>
      <c r="AB5482">
        <v>40</v>
      </c>
      <c r="AC5482">
        <v>-8.1773000000000007</v>
      </c>
      <c r="AD5482">
        <v>-1.1292008426559901</v>
      </c>
      <c r="AE5482">
        <v>-35.157029999999999</v>
      </c>
      <c r="AF5482">
        <v>-8.4411785844093199</v>
      </c>
      <c r="AG5482">
        <v>-1.1292008426559901</v>
      </c>
      <c r="AH5482">
        <v>35.058309251051</v>
      </c>
      <c r="AI5482">
        <v>91.793592230438406</v>
      </c>
      <c r="AJ5482">
        <v>103.53773363100601</v>
      </c>
      <c r="AK5482">
        <v>36.077882947579901</v>
      </c>
      <c r="AL5482">
        <v>80.194179523125996</v>
      </c>
      <c r="AM5482">
        <v>94.3149762266425</v>
      </c>
      <c r="AN5482">
        <v>0.99999998583301897</v>
      </c>
    </row>
    <row r="5483" spans="1:40" x14ac:dyDescent="0.25">
      <c r="A5483" t="str">
        <f>"20190303170402982"</f>
        <v>20190303170402982</v>
      </c>
      <c r="B5483" t="str">
        <f>"1551603842971645"</f>
        <v>1551603842971645</v>
      </c>
      <c r="C5483" t="s">
        <v>40</v>
      </c>
      <c r="D5483">
        <v>4.9823550000000001</v>
      </c>
      <c r="E5483">
        <v>0.43861749999999999</v>
      </c>
      <c r="F5483" t="s">
        <v>42</v>
      </c>
      <c r="G5483">
        <v>-422.46589999999998</v>
      </c>
      <c r="H5483" s="1">
        <v>-4.2987370000000004E-6</v>
      </c>
      <c r="I5483">
        <v>88.333469999999906</v>
      </c>
      <c r="J5483">
        <v>-415.00150000000002</v>
      </c>
      <c r="K5483">
        <v>1.129157</v>
      </c>
      <c r="L5483">
        <v>121.5153</v>
      </c>
      <c r="M5483">
        <v>-0.44178650000000003</v>
      </c>
      <c r="N5483">
        <v>-1.47952E-2</v>
      </c>
      <c r="O5483">
        <v>-0.89699819999999997</v>
      </c>
      <c r="P5483">
        <v>-0.36907060000000003</v>
      </c>
      <c r="Q5483">
        <v>0.15738659999999999</v>
      </c>
      <c r="R5483">
        <v>-0.91597850000000003</v>
      </c>
      <c r="S5483">
        <v>-0.68774409999999997</v>
      </c>
      <c r="T5483">
        <v>-0.1017233</v>
      </c>
      <c r="U5483">
        <v>-3.0208740000000001</v>
      </c>
      <c r="V5483">
        <v>-7.6937069999999996E-2</v>
      </c>
      <c r="W5483">
        <v>0.17048060000000001</v>
      </c>
      <c r="X5483">
        <v>0.98235280000000003</v>
      </c>
      <c r="Y5483">
        <v>-0.23160559999999999</v>
      </c>
      <c r="Z5483">
        <v>1.3701039999999999E-2</v>
      </c>
      <c r="AA5483">
        <v>0.9727133</v>
      </c>
      <c r="AB5483">
        <v>40</v>
      </c>
      <c r="AC5483">
        <v>-7.4643999999999497</v>
      </c>
      <c r="AD5483">
        <v>-1.1291612987370001</v>
      </c>
      <c r="AE5483">
        <v>-33.181829999999998</v>
      </c>
      <c r="AF5483">
        <v>-7.9558338638125701</v>
      </c>
      <c r="AG5483">
        <v>-1.1291612987370001</v>
      </c>
      <c r="AH5483">
        <v>33.028926964419199</v>
      </c>
      <c r="AI5483">
        <v>91.903606783263697</v>
      </c>
      <c r="AJ5483">
        <v>103.543112609072</v>
      </c>
      <c r="AK5483">
        <v>33.992356701589401</v>
      </c>
      <c r="AL5483">
        <v>80.184236535269605</v>
      </c>
      <c r="AM5483">
        <v>94.478217340483596</v>
      </c>
      <c r="AN5483">
        <v>0.99999998569219195</v>
      </c>
    </row>
    <row r="5484" spans="1:40" x14ac:dyDescent="0.25">
      <c r="A5484" t="str">
        <f>"20190303170403005"</f>
        <v>20190303170403005</v>
      </c>
      <c r="B5484" t="str">
        <f>"1551603842991166"</f>
        <v>1551603842991166</v>
      </c>
      <c r="C5484" t="s">
        <v>40</v>
      </c>
      <c r="D5484">
        <v>4.9298859999999998</v>
      </c>
      <c r="E5484">
        <v>0.43883329999999998</v>
      </c>
      <c r="F5484" t="s">
        <v>42</v>
      </c>
      <c r="G5484">
        <v>-422.12520000000001</v>
      </c>
      <c r="H5484" s="1">
        <v>-4.4741860000000003E-6</v>
      </c>
      <c r="I5484">
        <v>89.026629999999997</v>
      </c>
      <c r="J5484">
        <v>-415.17570000000001</v>
      </c>
      <c r="K5484">
        <v>1.129116</v>
      </c>
      <c r="L5484">
        <v>121.1477</v>
      </c>
      <c r="M5484">
        <v>-0.43508799999999997</v>
      </c>
      <c r="N5484">
        <v>-1.4779830000000001E-2</v>
      </c>
      <c r="O5484">
        <v>-0.90026659999999903</v>
      </c>
      <c r="P5484">
        <v>-0.36058050000000003</v>
      </c>
      <c r="Q5484">
        <v>0.157444899999999</v>
      </c>
      <c r="R5484">
        <v>-0.91934389999999999</v>
      </c>
      <c r="S5484">
        <v>-0.66348269999999998</v>
      </c>
      <c r="T5484">
        <v>-0.105167</v>
      </c>
      <c r="U5484">
        <v>-3.025909</v>
      </c>
      <c r="V5484">
        <v>-7.8684409999999996E-2</v>
      </c>
      <c r="W5484">
        <v>0.1704966</v>
      </c>
      <c r="X5484">
        <v>0.98221159999999996</v>
      </c>
      <c r="Y5484">
        <v>-0.23213449999999999</v>
      </c>
      <c r="Z5484">
        <v>1.475257E-2</v>
      </c>
      <c r="AA5484">
        <v>0.97257179999999999</v>
      </c>
      <c r="AB5484">
        <v>40</v>
      </c>
      <c r="AC5484">
        <v>-6.9494999999999996</v>
      </c>
      <c r="AD5484">
        <v>-1.1291204741859999</v>
      </c>
      <c r="AE5484">
        <v>-32.121069999999897</v>
      </c>
      <c r="AF5484">
        <v>-7.7108307948401604</v>
      </c>
      <c r="AG5484">
        <v>-1.1291204741859999</v>
      </c>
      <c r="AH5484">
        <v>31.906997010472701</v>
      </c>
      <c r="AI5484">
        <v>91.970064218732006</v>
      </c>
      <c r="AJ5484">
        <v>103.585945711157</v>
      </c>
      <c r="AK5484">
        <v>32.844912586551303</v>
      </c>
      <c r="AL5484">
        <v>80.183306096721793</v>
      </c>
      <c r="AM5484">
        <v>94.580151128764996</v>
      </c>
      <c r="AN5484">
        <v>0.99999997708158295</v>
      </c>
    </row>
    <row r="5485" spans="1:40" x14ac:dyDescent="0.25">
      <c r="A5485" t="str">
        <f>"20190303170403028"</f>
        <v>20190303170403028</v>
      </c>
      <c r="B5485" t="str">
        <f>"1551603843021420"</f>
        <v>1551603843021420</v>
      </c>
      <c r="C5485" t="s">
        <v>40</v>
      </c>
      <c r="D5485">
        <v>4.9712310000000004</v>
      </c>
      <c r="E5485">
        <v>0.4394884</v>
      </c>
      <c r="F5485" t="s">
        <v>42</v>
      </c>
      <c r="G5485">
        <v>-421.94279999999998</v>
      </c>
      <c r="H5485" s="1">
        <v>-4.4321789999999997E-6</v>
      </c>
      <c r="I5485">
        <v>88.998249999999999</v>
      </c>
      <c r="J5485">
        <v>-415.34399999999999</v>
      </c>
      <c r="K5485">
        <v>1.1290960000000001</v>
      </c>
      <c r="L5485">
        <v>120.7859</v>
      </c>
      <c r="M5485">
        <v>-0.4284828</v>
      </c>
      <c r="N5485">
        <v>-1.4766359999999999E-2</v>
      </c>
      <c r="O5485">
        <v>-0.90342940000000005</v>
      </c>
      <c r="P5485">
        <v>-0.35349170000000002</v>
      </c>
      <c r="Q5485">
        <v>0.15896389999999999</v>
      </c>
      <c r="R5485">
        <v>-0.92183210000000004</v>
      </c>
      <c r="S5485">
        <v>-0.63803100000000001</v>
      </c>
      <c r="T5485">
        <v>-0.10645830000000001</v>
      </c>
      <c r="U5485">
        <v>-3.0311889999999999</v>
      </c>
      <c r="V5485">
        <v>-7.8958550000000002E-2</v>
      </c>
      <c r="W5485">
        <v>0.17199900000000001</v>
      </c>
      <c r="X5485">
        <v>0.98192760000000001</v>
      </c>
      <c r="Y5485">
        <v>-0.2331715</v>
      </c>
      <c r="Z5485">
        <v>1.520941E-2</v>
      </c>
      <c r="AA5485">
        <v>0.97231670000000003</v>
      </c>
      <c r="AB5485">
        <v>40</v>
      </c>
      <c r="AC5485">
        <v>-6.5987999999999802</v>
      </c>
      <c r="AD5485">
        <v>-1.1291004321789999</v>
      </c>
      <c r="AE5485">
        <v>-31.787649999999999</v>
      </c>
      <c r="AF5485">
        <v>-7.6504919024322096</v>
      </c>
      <c r="AG5485">
        <v>-1.1291004321789999</v>
      </c>
      <c r="AH5485">
        <v>31.510692005312301</v>
      </c>
      <c r="AI5485">
        <v>91.994273365785006</v>
      </c>
      <c r="AJ5485">
        <v>103.646805205775</v>
      </c>
      <c r="AK5485">
        <v>32.445779460336297</v>
      </c>
      <c r="AL5485">
        <v>80.0959340790033</v>
      </c>
      <c r="AM5485">
        <v>94.597363934108202</v>
      </c>
      <c r="AN5485">
        <v>0.99999996013043002</v>
      </c>
    </row>
    <row r="5486" spans="1:40" x14ac:dyDescent="0.25">
      <c r="A5486" t="str">
        <f>"20190303170403050"</f>
        <v>20190303170403050</v>
      </c>
      <c r="B5486" t="str">
        <f>"1551603843040942"</f>
        <v>1551603843040942</v>
      </c>
      <c r="C5486" t="s">
        <v>40</v>
      </c>
      <c r="D5486">
        <v>4.9949890000000003</v>
      </c>
      <c r="E5486">
        <v>0.44503419999999999</v>
      </c>
      <c r="F5486" t="s">
        <v>42</v>
      </c>
      <c r="G5486">
        <v>-422.108</v>
      </c>
      <c r="H5486" s="1">
        <v>-3.9944210000000002E-6</v>
      </c>
      <c r="I5486">
        <v>87.62576</v>
      </c>
      <c r="J5486">
        <v>-415.50889999999998</v>
      </c>
      <c r="K5486">
        <v>1.1291059999999999</v>
      </c>
      <c r="L5486">
        <v>120.4247</v>
      </c>
      <c r="M5486">
        <v>-0.42185919999999999</v>
      </c>
      <c r="N5486">
        <v>-1.475518E-2</v>
      </c>
      <c r="O5486">
        <v>-0.9065415</v>
      </c>
      <c r="P5486">
        <v>-0.34650979999999998</v>
      </c>
      <c r="Q5486">
        <v>0.161017299999999</v>
      </c>
      <c r="R5486">
        <v>-0.92412399999999995</v>
      </c>
      <c r="S5486">
        <v>-0.61904910000000002</v>
      </c>
      <c r="T5486">
        <v>-0.1033365</v>
      </c>
      <c r="U5486">
        <v>-3.0348510000000002</v>
      </c>
      <c r="V5486">
        <v>-7.9082449999999999E-2</v>
      </c>
      <c r="W5486">
        <v>0.17403589999999999</v>
      </c>
      <c r="X5486">
        <v>0.98155870000000001</v>
      </c>
      <c r="Y5486">
        <v>-0.232122</v>
      </c>
      <c r="Z5486">
        <v>1.447062E-2</v>
      </c>
      <c r="AA5486">
        <v>0.97257910000000003</v>
      </c>
      <c r="AB5486">
        <v>40</v>
      </c>
      <c r="AC5486">
        <v>-6.5991000000000204</v>
      </c>
      <c r="AD5486">
        <v>-1.1291099944209999</v>
      </c>
      <c r="AE5486">
        <v>-32.798940000000002</v>
      </c>
      <c r="AF5486">
        <v>-7.8460935678622503</v>
      </c>
      <c r="AG5486">
        <v>-1.1291099944209999</v>
      </c>
      <c r="AH5486">
        <v>32.484026421308002</v>
      </c>
      <c r="AI5486">
        <v>91.935134792617205</v>
      </c>
      <c r="AJ5486">
        <v>103.578970396781</v>
      </c>
      <c r="AK5486">
        <v>33.437225456000199</v>
      </c>
      <c r="AL5486">
        <v>79.977441713444307</v>
      </c>
      <c r="AM5486">
        <v>94.606270103375195</v>
      </c>
      <c r="AN5486">
        <v>1.0000000049662501</v>
      </c>
    </row>
    <row r="5487" spans="1:40" x14ac:dyDescent="0.25">
      <c r="A5487" t="str">
        <f>"20190303170403072"</f>
        <v>20190303170403072</v>
      </c>
      <c r="B5487" t="str">
        <f>"1551603843061437"</f>
        <v>1551603843061437</v>
      </c>
      <c r="C5487" t="s">
        <v>40</v>
      </c>
      <c r="D5487">
        <v>4.9664599999999997</v>
      </c>
      <c r="E5487">
        <v>0.44616400000000001</v>
      </c>
      <c r="F5487" t="s">
        <v>42</v>
      </c>
      <c r="G5487">
        <v>-421.65410000000003</v>
      </c>
      <c r="H5487" s="1">
        <v>-1.1731649999999999E-6</v>
      </c>
      <c r="I5487">
        <v>91.297870000000003</v>
      </c>
      <c r="J5487">
        <v>-415.66370000000001</v>
      </c>
      <c r="K5487">
        <v>1.1291169999999999</v>
      </c>
      <c r="L5487">
        <v>120.07859999999999</v>
      </c>
      <c r="M5487">
        <v>-0.41546309999999897</v>
      </c>
      <c r="N5487">
        <v>-1.474698E-2</v>
      </c>
      <c r="O5487">
        <v>-0.90949049999999998</v>
      </c>
      <c r="P5487">
        <v>-0.33873019999999998</v>
      </c>
      <c r="Q5487">
        <v>0.160503799999999</v>
      </c>
      <c r="R5487">
        <v>-0.92709249999999999</v>
      </c>
      <c r="S5487">
        <v>-0.6387024</v>
      </c>
      <c r="T5487">
        <v>-0.1173532</v>
      </c>
      <c r="U5487">
        <v>-3.0272830000000002</v>
      </c>
      <c r="V5487">
        <v>-8.0452289999999996E-2</v>
      </c>
      <c r="W5487">
        <v>0.173486</v>
      </c>
      <c r="X5487">
        <v>0.98154470000000005</v>
      </c>
      <c r="Y5487">
        <v>-0.21873280000000001</v>
      </c>
      <c r="Z5487">
        <v>1.8647489999999999E-2</v>
      </c>
      <c r="AA5487">
        <v>0.97560659999999999</v>
      </c>
      <c r="AB5487">
        <v>40</v>
      </c>
      <c r="AC5487">
        <v>-5.9904000000000197</v>
      </c>
      <c r="AD5487">
        <v>-1.129118173165</v>
      </c>
      <c r="AE5487">
        <v>-28.780729999999998</v>
      </c>
      <c r="AF5487">
        <v>-6.50023792932208</v>
      </c>
      <c r="AG5487">
        <v>-1.129118173165</v>
      </c>
      <c r="AH5487">
        <v>28.625478753877101</v>
      </c>
      <c r="AI5487">
        <v>92.202810845686798</v>
      </c>
      <c r="AJ5487">
        <v>102.793697413353</v>
      </c>
      <c r="AK5487">
        <v>29.375943131675498</v>
      </c>
      <c r="AL5487">
        <v>80.009435108957703</v>
      </c>
      <c r="AM5487">
        <v>94.685772646487706</v>
      </c>
      <c r="AN5487">
        <v>0.99999998063016604</v>
      </c>
    </row>
    <row r="5488" spans="1:40" x14ac:dyDescent="0.25">
      <c r="A5488" t="str">
        <f>"20190303170403094"</f>
        <v>20190303170403094</v>
      </c>
      <c r="B5488" t="str">
        <f>"1551603843080957"</f>
        <v>1551603843080957</v>
      </c>
      <c r="C5488" t="s">
        <v>40</v>
      </c>
      <c r="D5488">
        <v>5.0240720000000003</v>
      </c>
      <c r="E5488">
        <v>0.44641769999999997</v>
      </c>
      <c r="F5488" t="s">
        <v>42</v>
      </c>
      <c r="G5488">
        <v>-421.37759999999997</v>
      </c>
      <c r="H5488" s="1">
        <v>-1.526611E-6</v>
      </c>
      <c r="I5488">
        <v>92.293270000000007</v>
      </c>
      <c r="J5488">
        <v>-415.82389999999998</v>
      </c>
      <c r="K5488">
        <v>1.1291260000000001</v>
      </c>
      <c r="L5488">
        <v>119.7137</v>
      </c>
      <c r="M5488">
        <v>-0.4086436</v>
      </c>
      <c r="N5488">
        <v>-1.4741300000000001E-2</v>
      </c>
      <c r="O5488">
        <v>-0.91257520000000003</v>
      </c>
      <c r="P5488">
        <v>-0.33031739999999998</v>
      </c>
      <c r="Q5488">
        <v>0.15741949999999999</v>
      </c>
      <c r="R5488">
        <v>-0.93065059999999999</v>
      </c>
      <c r="S5488">
        <v>-0.62301640000000003</v>
      </c>
      <c r="T5488">
        <v>-0.1231145</v>
      </c>
      <c r="U5488">
        <v>-3.0296020000000001</v>
      </c>
      <c r="V5488">
        <v>-8.2169469999999994E-2</v>
      </c>
      <c r="W5488">
        <v>0.17036270000000001</v>
      </c>
      <c r="X5488">
        <v>0.98194939999999997</v>
      </c>
      <c r="Y5488">
        <v>-0.21642529999999999</v>
      </c>
      <c r="Z5488">
        <v>2.041372E-2</v>
      </c>
      <c r="AA5488">
        <v>0.97608569999999995</v>
      </c>
      <c r="AB5488">
        <v>40</v>
      </c>
      <c r="AC5488">
        <v>-5.5536999999999903</v>
      </c>
      <c r="AD5488">
        <v>-1.1291275266109999</v>
      </c>
      <c r="AE5488">
        <v>-27.42043</v>
      </c>
      <c r="AF5488">
        <v>-6.1276990245841096</v>
      </c>
      <c r="AG5488">
        <v>-1.1291275266109999</v>
      </c>
      <c r="AH5488">
        <v>27.251261039583</v>
      </c>
      <c r="AI5488">
        <v>92.314897908531506</v>
      </c>
      <c r="AJ5488">
        <v>102.672709279114</v>
      </c>
      <c r="AK5488">
        <v>27.9545139924616</v>
      </c>
      <c r="AL5488">
        <v>80.191091618924105</v>
      </c>
      <c r="AM5488">
        <v>94.783363445157306</v>
      </c>
      <c r="AN5488">
        <v>0.99999994775586398</v>
      </c>
    </row>
    <row r="5489" spans="1:40" x14ac:dyDescent="0.25">
      <c r="A5489" t="str">
        <f>"20190303170403118"</f>
        <v>20190303170403118</v>
      </c>
      <c r="B5489" t="str">
        <f>"1551603843111214"</f>
        <v>1551603843111214</v>
      </c>
      <c r="C5489" t="s">
        <v>40</v>
      </c>
      <c r="D5489">
        <v>4.8641030000000001</v>
      </c>
      <c r="E5489">
        <v>0.41147600000000001</v>
      </c>
      <c r="F5489" t="s">
        <v>42</v>
      </c>
      <c r="G5489">
        <v>-420.86489999999998</v>
      </c>
      <c r="H5489" s="1">
        <v>-2.157434E-6</v>
      </c>
      <c r="I5489">
        <v>94.081710000000001</v>
      </c>
      <c r="J5489">
        <v>-415.98340000000002</v>
      </c>
      <c r="K5489">
        <v>1.1291739999999999</v>
      </c>
      <c r="L5489">
        <v>119.3416</v>
      </c>
      <c r="M5489">
        <v>-0.40158820000000001</v>
      </c>
      <c r="N5489">
        <v>-1.473901E-2</v>
      </c>
      <c r="O5489">
        <v>-0.91570169999999995</v>
      </c>
      <c r="P5489">
        <v>-0.32234489999999999</v>
      </c>
      <c r="Q5489">
        <v>0.15554689999999999</v>
      </c>
      <c r="R5489">
        <v>-0.93375509999999995</v>
      </c>
      <c r="S5489">
        <v>-0.59677119999999995</v>
      </c>
      <c r="T5489">
        <v>-0.13366929999999999</v>
      </c>
      <c r="U5489">
        <v>-3.0343779999999998</v>
      </c>
      <c r="V5489">
        <v>-8.3103949999999996E-2</v>
      </c>
      <c r="W5489">
        <v>0.16846229999999901</v>
      </c>
      <c r="X5489">
        <v>0.98219869999999998</v>
      </c>
      <c r="Y5489">
        <v>-0.21731529999999999</v>
      </c>
      <c r="Z5489">
        <v>2.350095E-2</v>
      </c>
      <c r="AA5489">
        <v>0.97581850000000003</v>
      </c>
      <c r="AB5489">
        <v>40</v>
      </c>
      <c r="AC5489">
        <v>-4.88149999999996</v>
      </c>
      <c r="AD5489">
        <v>-1.12917615743399</v>
      </c>
      <c r="AE5489">
        <v>-25.259889999999999</v>
      </c>
      <c r="AF5489">
        <v>-5.6637820694497796</v>
      </c>
      <c r="AG5489">
        <v>-1.12917615743399</v>
      </c>
      <c r="AH5489">
        <v>25.045357450107598</v>
      </c>
      <c r="AI5489">
        <v>92.517950323674299</v>
      </c>
      <c r="AJ5489">
        <v>102.742592403003</v>
      </c>
      <c r="AK5489">
        <v>25.702595120501002</v>
      </c>
      <c r="AL5489">
        <v>80.301574530740098</v>
      </c>
      <c r="AM5489">
        <v>94.8362839571611</v>
      </c>
      <c r="AN5489">
        <v>1.00000004965429</v>
      </c>
    </row>
    <row r="5490" spans="1:40" x14ac:dyDescent="0.25">
      <c r="A5490" t="str">
        <f>"20190303170403139"</f>
        <v>20190303170403139</v>
      </c>
      <c r="B5490" t="str">
        <f>"1551603843130733"</f>
        <v>1551603843130733</v>
      </c>
      <c r="C5490" t="s">
        <v>40</v>
      </c>
      <c r="D5490">
        <v>4.8741899999999996</v>
      </c>
      <c r="E5490">
        <v>0.40704010000000002</v>
      </c>
      <c r="F5490" t="s">
        <v>44</v>
      </c>
      <c r="G5490">
        <v>-428.75020000000001</v>
      </c>
      <c r="H5490">
        <v>-0.05</v>
      </c>
      <c r="I5490">
        <v>-11.054639999999999</v>
      </c>
      <c r="J5490">
        <v>-416.13060000000002</v>
      </c>
      <c r="K5490">
        <v>1.1292359999999999</v>
      </c>
      <c r="L5490">
        <v>118.9913</v>
      </c>
      <c r="M5490">
        <v>-0.39484249999999999</v>
      </c>
      <c r="N5490">
        <v>-1.4739179999999999E-2</v>
      </c>
      <c r="O5490">
        <v>-0.91863079999999997</v>
      </c>
      <c r="P5490">
        <v>-0.31466889999999997</v>
      </c>
      <c r="Q5490">
        <v>0.1557374</v>
      </c>
      <c r="R5490">
        <v>-0.93633869999999997</v>
      </c>
      <c r="S5490">
        <v>-0.30471799999999999</v>
      </c>
      <c r="T5490">
        <v>-2.8144720000000002E-2</v>
      </c>
      <c r="U5490">
        <v>-3.11232</v>
      </c>
      <c r="V5490">
        <v>-8.3961930000000004E-2</v>
      </c>
      <c r="W5490">
        <v>0.16862249999999901</v>
      </c>
      <c r="X5490">
        <v>0.98209820000000003</v>
      </c>
      <c r="Y5490">
        <v>-0.30343189999999998</v>
      </c>
      <c r="Z5490">
        <v>-6.7301260000000003E-3</v>
      </c>
      <c r="AA5490">
        <v>0.95282940000000005</v>
      </c>
      <c r="AB5490">
        <v>40</v>
      </c>
      <c r="AC5490">
        <v>-12.619599999999901</v>
      </c>
      <c r="AD5490">
        <v>-1.179236</v>
      </c>
      <c r="AE5490">
        <v>-130.04594</v>
      </c>
      <c r="AF5490">
        <v>-39.755983547356998</v>
      </c>
      <c r="AG5490">
        <v>-1.179236</v>
      </c>
      <c r="AH5490">
        <v>124.450318326351</v>
      </c>
      <c r="AI5490">
        <v>90.517148069203799</v>
      </c>
      <c r="AJ5490">
        <v>107.71621913384899</v>
      </c>
      <c r="AK5490">
        <v>130.65148509256099</v>
      </c>
      <c r="AL5490">
        <v>80.292262182415101</v>
      </c>
      <c r="AM5490">
        <v>94.886471697276093</v>
      </c>
      <c r="AN5490">
        <v>1.0000000138194001</v>
      </c>
    </row>
    <row r="5491" spans="1:40" x14ac:dyDescent="0.25">
      <c r="A5491" t="str">
        <f>"20190303170403172"</f>
        <v>20190303170403172</v>
      </c>
      <c r="B5491" t="str">
        <f>"1551603843160989"</f>
        <v>1551603843160989</v>
      </c>
      <c r="C5491" t="s">
        <v>40</v>
      </c>
      <c r="D5491">
        <v>4.909173</v>
      </c>
      <c r="E5491">
        <v>0.40463529999999998</v>
      </c>
      <c r="F5491" t="s">
        <v>95</v>
      </c>
      <c r="G5491">
        <v>-425.42790000000002</v>
      </c>
      <c r="H5491">
        <v>0.94989129999999999</v>
      </c>
      <c r="I5491">
        <v>0.4221878</v>
      </c>
      <c r="J5491">
        <v>-416.35129999999998</v>
      </c>
      <c r="K5491">
        <v>1.1293519999999999</v>
      </c>
      <c r="L5491">
        <v>118.45140000000001</v>
      </c>
      <c r="M5491">
        <v>-0.38426749999999998</v>
      </c>
      <c r="N5491">
        <v>-1.474162E-2</v>
      </c>
      <c r="O5491">
        <v>-0.92310429999999999</v>
      </c>
      <c r="P5491">
        <v>-0.30312339999999999</v>
      </c>
      <c r="Q5491">
        <v>0.1550154</v>
      </c>
      <c r="R5491">
        <v>-0.94025899999999996</v>
      </c>
      <c r="S5491">
        <v>-0.24484249999999999</v>
      </c>
      <c r="T5491">
        <v>-4.7237870000000001E-3</v>
      </c>
      <c r="U5491">
        <v>-3.1224669999999999</v>
      </c>
      <c r="V5491">
        <v>-8.4844989999999995E-2</v>
      </c>
      <c r="W5491">
        <v>0.167865299999999</v>
      </c>
      <c r="X5491">
        <v>0.98215200000000003</v>
      </c>
      <c r="Y5491">
        <v>-0.31093300000000001</v>
      </c>
      <c r="Z5491">
        <v>-1.3212929999999999E-2</v>
      </c>
      <c r="AA5491">
        <v>0.95033999999999996</v>
      </c>
      <c r="AB5491">
        <v>40</v>
      </c>
      <c r="AC5491">
        <v>-9.07660000000004</v>
      </c>
      <c r="AD5491">
        <v>-0.1794607</v>
      </c>
      <c r="AE5491">
        <v>-118.0292122</v>
      </c>
      <c r="AF5491">
        <v>-36.980068270373302</v>
      </c>
      <c r="AG5491">
        <v>-0.1794607</v>
      </c>
      <c r="AH5491">
        <v>112.45305571111599</v>
      </c>
      <c r="AI5491">
        <v>90.086860587315698</v>
      </c>
      <c r="AJ5491">
        <v>108.203395484401</v>
      </c>
      <c r="AK5491">
        <v>118.377562883309</v>
      </c>
      <c r="AL5491">
        <v>80.336273696154194</v>
      </c>
      <c r="AM5491">
        <v>94.9373427114745</v>
      </c>
      <c r="AN5491">
        <v>0.99999999118809502</v>
      </c>
    </row>
    <row r="5492" spans="1:40" x14ac:dyDescent="0.25">
      <c r="A5492" t="str">
        <f>"20190303170403196"</f>
        <v>20190303170403196</v>
      </c>
      <c r="B5492" t="str">
        <f>"1551603843191246"</f>
        <v>1551603843191246</v>
      </c>
      <c r="C5492" t="s">
        <v>40</v>
      </c>
      <c r="D5492">
        <v>4.921894</v>
      </c>
      <c r="E5492">
        <v>0.40420010000000001</v>
      </c>
      <c r="F5492" t="s">
        <v>95</v>
      </c>
      <c r="G5492">
        <v>-423.45409999999998</v>
      </c>
      <c r="H5492">
        <v>1.4828859999999999</v>
      </c>
      <c r="I5492">
        <v>0.44226070000000001</v>
      </c>
      <c r="J5492">
        <v>-416.49810000000002</v>
      </c>
      <c r="K5492">
        <v>1.129427</v>
      </c>
      <c r="L5492">
        <v>118.0822</v>
      </c>
      <c r="M5492">
        <v>-0.3769014</v>
      </c>
      <c r="N5492">
        <v>-1.4743650000000001E-2</v>
      </c>
      <c r="O5492">
        <v>-0.92613630000000002</v>
      </c>
      <c r="P5492">
        <v>-0.29560009999999998</v>
      </c>
      <c r="Q5492">
        <v>0.15459059999999999</v>
      </c>
      <c r="R5492">
        <v>-0.94272089999999997</v>
      </c>
      <c r="S5492">
        <v>-0.1882935</v>
      </c>
      <c r="T5492">
        <v>9.3711609999999994E-3</v>
      </c>
      <c r="U5492">
        <v>-3.1283569999999998</v>
      </c>
      <c r="V5492">
        <v>-8.4917430000000002E-2</v>
      </c>
      <c r="W5492">
        <v>0.16742760000000001</v>
      </c>
      <c r="X5492">
        <v>0.98222050000000005</v>
      </c>
      <c r="Y5492">
        <v>-0.3205944</v>
      </c>
      <c r="Z5492">
        <v>-1.715481E-2</v>
      </c>
      <c r="AA5492">
        <v>0.94706120000000005</v>
      </c>
      <c r="AB5492">
        <v>40</v>
      </c>
      <c r="AC5492">
        <v>-6.9559999999999498</v>
      </c>
      <c r="AD5492">
        <v>0.35345900000000002</v>
      </c>
      <c r="AE5492">
        <v>-117.63993929999999</v>
      </c>
      <c r="AF5492">
        <v>-37.900223083433701</v>
      </c>
      <c r="AG5492">
        <v>0.35345900000000002</v>
      </c>
      <c r="AH5492">
        <v>111.583441789433</v>
      </c>
      <c r="AI5492">
        <v>89.828149183308099</v>
      </c>
      <c r="AJ5492">
        <v>108.760473347268</v>
      </c>
      <c r="AK5492">
        <v>117.84488247104601</v>
      </c>
      <c r="AL5492">
        <v>80.361712567764698</v>
      </c>
      <c r="AM5492">
        <v>94.941194396159503</v>
      </c>
      <c r="AN5492">
        <v>1.0000000408898999</v>
      </c>
    </row>
    <row r="5493" spans="1:40" x14ac:dyDescent="0.25">
      <c r="A5493" t="str">
        <f>"20190303170403217"</f>
        <v>20190303170403217</v>
      </c>
      <c r="B5493" t="str">
        <f>"1551603843210765"</f>
        <v>1551603843210765</v>
      </c>
      <c r="C5493" t="s">
        <v>40</v>
      </c>
      <c r="D5493">
        <v>4.9055679999999997</v>
      </c>
      <c r="E5493">
        <v>0.40441290000000002</v>
      </c>
      <c r="F5493" t="s">
        <v>95</v>
      </c>
      <c r="G5493">
        <v>-422.53719999999998</v>
      </c>
      <c r="H5493">
        <v>1.6491400000000001</v>
      </c>
      <c r="I5493">
        <v>0.45158769999999998</v>
      </c>
      <c r="J5493">
        <v>-416.63869999999997</v>
      </c>
      <c r="K5493">
        <v>1.129516</v>
      </c>
      <c r="L5493">
        <v>117.7192</v>
      </c>
      <c r="M5493">
        <v>-0.36954579999999998</v>
      </c>
      <c r="N5493">
        <v>-1.47467E-2</v>
      </c>
      <c r="O5493">
        <v>-0.92909569999999997</v>
      </c>
      <c r="P5493">
        <v>-0.28814190000000001</v>
      </c>
      <c r="Q5493">
        <v>0.15652430000000001</v>
      </c>
      <c r="R5493">
        <v>-0.94470909999999997</v>
      </c>
      <c r="S5493">
        <v>-0.16067500000000001</v>
      </c>
      <c r="T5493">
        <v>1.382649E-2</v>
      </c>
      <c r="U5493">
        <v>-3.1296390000000001</v>
      </c>
      <c r="V5493">
        <v>-8.4841910000000006E-2</v>
      </c>
      <c r="W5493">
        <v>0.16934679999999999</v>
      </c>
      <c r="X5493">
        <v>0.98189800000000005</v>
      </c>
      <c r="Y5493">
        <v>-0.32144279999999997</v>
      </c>
      <c r="Z5493">
        <v>-1.843235E-2</v>
      </c>
      <c r="AA5493">
        <v>0.94674959999999997</v>
      </c>
      <c r="AB5493">
        <v>39</v>
      </c>
      <c r="AC5493">
        <v>-5.8985000000000101</v>
      </c>
      <c r="AD5493">
        <v>0.51962399999999997</v>
      </c>
      <c r="AE5493">
        <v>-117.2676123</v>
      </c>
      <c r="AF5493">
        <v>-37.8588506872549</v>
      </c>
      <c r="AG5493">
        <v>0.51962399999999997</v>
      </c>
      <c r="AH5493">
        <v>111.142487911214</v>
      </c>
      <c r="AI5493">
        <v>89.746434172063204</v>
      </c>
      <c r="AJ5493">
        <v>108.81056084954</v>
      </c>
      <c r="AK5493">
        <v>117.414714595555</v>
      </c>
      <c r="AL5493">
        <v>80.250158030140895</v>
      </c>
      <c r="AM5493">
        <v>94.938435208174596</v>
      </c>
      <c r="AN5493">
        <v>1.00000008538334</v>
      </c>
    </row>
    <row r="5494" spans="1:40" x14ac:dyDescent="0.25">
      <c r="A5494" t="str">
        <f>"20190303170403240"</f>
        <v>20190303170403240</v>
      </c>
      <c r="B5494" t="str">
        <f>"1551603843231261"</f>
        <v>1551603843231261</v>
      </c>
      <c r="C5494" t="s">
        <v>40</v>
      </c>
      <c r="D5494">
        <v>4.9092589999999996</v>
      </c>
      <c r="E5494">
        <v>0.40473999999999999</v>
      </c>
      <c r="F5494" t="s">
        <v>95</v>
      </c>
      <c r="G5494">
        <v>-421.83730000000003</v>
      </c>
      <c r="H5494">
        <v>1.8648340000000001</v>
      </c>
      <c r="I5494">
        <v>0.4587059</v>
      </c>
      <c r="J5494">
        <v>-416.77670000000001</v>
      </c>
      <c r="K5494">
        <v>1.1296060000000001</v>
      </c>
      <c r="L5494">
        <v>117.3546</v>
      </c>
      <c r="M5494">
        <v>-0.36206500000000003</v>
      </c>
      <c r="N5494">
        <v>-1.475048E-2</v>
      </c>
      <c r="O5494">
        <v>-0.93203630000000004</v>
      </c>
      <c r="P5494">
        <v>-0.28001670000000001</v>
      </c>
      <c r="Q5494">
        <v>0.16026370000000001</v>
      </c>
      <c r="R5494">
        <v>-0.94652349999999996</v>
      </c>
      <c r="S5494">
        <v>-0.13876340000000001</v>
      </c>
      <c r="T5494">
        <v>1.9626859999999999E-2</v>
      </c>
      <c r="U5494">
        <v>-3.1299899999999998</v>
      </c>
      <c r="V5494">
        <v>-8.5263160000000005E-2</v>
      </c>
      <c r="W5494">
        <v>0.17305809999999999</v>
      </c>
      <c r="X5494">
        <v>0.98121409999999998</v>
      </c>
      <c r="Y5494">
        <v>-0.32045439999999997</v>
      </c>
      <c r="Z5494">
        <v>-2.0093509999999998E-2</v>
      </c>
      <c r="AA5494">
        <v>0.94705079999999997</v>
      </c>
      <c r="AB5494">
        <v>39</v>
      </c>
      <c r="AC5494">
        <v>-5.0606000000000204</v>
      </c>
      <c r="AD5494">
        <v>0.73522799999999999</v>
      </c>
      <c r="AE5494">
        <v>-116.895894099999</v>
      </c>
      <c r="AF5494">
        <v>-37.609850124763703</v>
      </c>
      <c r="AG5494">
        <v>0.73522799999999999</v>
      </c>
      <c r="AH5494">
        <v>110.791145165107</v>
      </c>
      <c r="AI5494">
        <v>89.639960410289603</v>
      </c>
      <c r="AJ5494">
        <v>108.750613984783</v>
      </c>
      <c r="AK5494">
        <v>117.003073607555</v>
      </c>
      <c r="AL5494">
        <v>80.034328819404294</v>
      </c>
      <c r="AM5494">
        <v>94.9662747272003</v>
      </c>
      <c r="AN5494">
        <v>1.0000000112337999</v>
      </c>
    </row>
    <row r="5495" spans="1:40" x14ac:dyDescent="0.25">
      <c r="A5495" t="str">
        <f>"20190303170403261"</f>
        <v>20190303170403261</v>
      </c>
      <c r="B5495" t="str">
        <f>"1551603843250781"</f>
        <v>1551603843250781</v>
      </c>
      <c r="C5495" t="s">
        <v>40</v>
      </c>
      <c r="D5495">
        <v>4.9036989999999996</v>
      </c>
      <c r="E5495">
        <v>0.40542240000000002</v>
      </c>
      <c r="F5495" t="s">
        <v>95</v>
      </c>
      <c r="G5495">
        <v>-421.0881</v>
      </c>
      <c r="H5495">
        <v>2.331223</v>
      </c>
      <c r="I5495">
        <v>0.46632770000000001</v>
      </c>
      <c r="J5495">
        <v>-416.90960000000001</v>
      </c>
      <c r="K5495">
        <v>1.129691</v>
      </c>
      <c r="L5495">
        <v>116.99460000000001</v>
      </c>
      <c r="M5495">
        <v>-0.35460269999999999</v>
      </c>
      <c r="N5495">
        <v>-1.4753850000000001E-2</v>
      </c>
      <c r="O5495">
        <v>-0.93490079999999998</v>
      </c>
      <c r="P5495">
        <v>-0.27245029999999998</v>
      </c>
      <c r="Q5495">
        <v>0.16251489999999999</v>
      </c>
      <c r="R5495">
        <v>-0.94834580000000002</v>
      </c>
      <c r="S5495">
        <v>-0.115448</v>
      </c>
      <c r="T5495">
        <v>3.2174710000000002E-2</v>
      </c>
      <c r="U5495">
        <v>-3.1298979999999998</v>
      </c>
      <c r="V5495">
        <v>-8.5191950000000002E-2</v>
      </c>
      <c r="W5495">
        <v>0.17529600000000001</v>
      </c>
      <c r="X5495">
        <v>0.98082290000000005</v>
      </c>
      <c r="Y5495">
        <v>-0.31993630000000001</v>
      </c>
      <c r="Z5495">
        <v>-2.365884E-2</v>
      </c>
      <c r="AA5495">
        <v>0.94714359999999997</v>
      </c>
      <c r="AB5495">
        <v>39</v>
      </c>
      <c r="AC5495">
        <v>-4.1784999999999801</v>
      </c>
      <c r="AD5495">
        <v>1.201532</v>
      </c>
      <c r="AE5495">
        <v>-116.5282723</v>
      </c>
      <c r="AF5495">
        <v>-37.414852224195897</v>
      </c>
      <c r="AG5495">
        <v>1.201532</v>
      </c>
      <c r="AH5495">
        <v>110.42436344409001</v>
      </c>
      <c r="AI5495">
        <v>89.409556463518001</v>
      </c>
      <c r="AJ5495">
        <v>108.717812813219</v>
      </c>
      <c r="AK5495">
        <v>116.59697632502299</v>
      </c>
      <c r="AL5495">
        <v>79.904115643860194</v>
      </c>
      <c r="AM5495">
        <v>94.964116975540605</v>
      </c>
      <c r="AN5495">
        <v>0.99999995856260504</v>
      </c>
    </row>
    <row r="5496" spans="1:40" x14ac:dyDescent="0.25">
      <c r="A5496" t="str">
        <f>"20190303170403285"</f>
        <v>20190303170403285</v>
      </c>
      <c r="B5496" t="str">
        <f>"1551603843281037"</f>
        <v>1551603843281037</v>
      </c>
      <c r="C5496" t="s">
        <v>40</v>
      </c>
      <c r="D5496">
        <v>4.9262550000000003</v>
      </c>
      <c r="E5496">
        <v>0.40607140000000003</v>
      </c>
      <c r="F5496" t="s">
        <v>95</v>
      </c>
      <c r="G5496">
        <v>-420.48570000000001</v>
      </c>
      <c r="H5496">
        <v>2.5498240000000001</v>
      </c>
      <c r="I5496">
        <v>0.47245409999999999</v>
      </c>
      <c r="J5496">
        <v>-417.04790000000003</v>
      </c>
      <c r="K5496">
        <v>1.129761</v>
      </c>
      <c r="L5496">
        <v>116.6101</v>
      </c>
      <c r="M5496">
        <v>-0.34656870000000001</v>
      </c>
      <c r="N5496">
        <v>-1.4756480000000001E-2</v>
      </c>
      <c r="O5496">
        <v>-0.93790879999999999</v>
      </c>
      <c r="P5496">
        <v>-0.263907</v>
      </c>
      <c r="Q5496">
        <v>0.1619215</v>
      </c>
      <c r="R5496">
        <v>-0.95086029999999999</v>
      </c>
      <c r="S5496">
        <v>-9.6038819999999997E-2</v>
      </c>
      <c r="T5496">
        <v>3.8138030000000003E-2</v>
      </c>
      <c r="U5496">
        <v>-3.1292879999999998</v>
      </c>
      <c r="V5496">
        <v>-8.5651329999999998E-2</v>
      </c>
      <c r="W5496">
        <v>0.17468429999999999</v>
      </c>
      <c r="X5496">
        <v>0.98089210000000004</v>
      </c>
      <c r="Y5496">
        <v>-0.3176736</v>
      </c>
      <c r="Z5496">
        <v>-2.5410780000000001E-2</v>
      </c>
      <c r="AA5496">
        <v>0.94785960000000002</v>
      </c>
      <c r="AB5496">
        <v>39</v>
      </c>
      <c r="AC5496">
        <v>-3.4377999999999802</v>
      </c>
      <c r="AD5496">
        <v>1.4200629999999901</v>
      </c>
      <c r="AE5496">
        <v>-116.1376459</v>
      </c>
      <c r="AF5496">
        <v>-37.023821474899499</v>
      </c>
      <c r="AG5496">
        <v>1.4200629999999901</v>
      </c>
      <c r="AH5496">
        <v>110.113467174105</v>
      </c>
      <c r="AI5496">
        <v>89.299657827524101</v>
      </c>
      <c r="AJ5496">
        <v>108.58436205204301</v>
      </c>
      <c r="AK5496">
        <v>116.179841576032</v>
      </c>
      <c r="AL5496">
        <v>79.939713491723097</v>
      </c>
      <c r="AM5496">
        <v>94.990399809259898</v>
      </c>
      <c r="AN5496">
        <v>1.00000003341983</v>
      </c>
    </row>
    <row r="5497" spans="1:40" x14ac:dyDescent="0.25">
      <c r="A5497" t="str">
        <f>"20190303170403307"</f>
        <v>20190303170403307</v>
      </c>
      <c r="B5497" t="str">
        <f>"1551603843301534"</f>
        <v>1551603843301534</v>
      </c>
      <c r="C5497" t="s">
        <v>40</v>
      </c>
      <c r="D5497">
        <v>4.8761099999999997</v>
      </c>
      <c r="E5497">
        <v>0.40658240000000001</v>
      </c>
      <c r="F5497" t="s">
        <v>95</v>
      </c>
      <c r="G5497">
        <v>-419.75369999999998</v>
      </c>
      <c r="H5497">
        <v>2.3711829999999998</v>
      </c>
      <c r="I5497">
        <v>0.4799004</v>
      </c>
      <c r="J5497">
        <v>-417.1771</v>
      </c>
      <c r="K5497">
        <v>1.129807</v>
      </c>
      <c r="L5497">
        <v>116.2414</v>
      </c>
      <c r="M5497">
        <v>-0.33881679999999997</v>
      </c>
      <c r="N5497">
        <v>-1.475808E-2</v>
      </c>
      <c r="O5497">
        <v>-0.94073669999999998</v>
      </c>
      <c r="P5497">
        <v>-0.25556329999999999</v>
      </c>
      <c r="Q5497">
        <v>0.1603086</v>
      </c>
      <c r="R5497">
        <v>-0.9534089</v>
      </c>
      <c r="S5497">
        <v>-7.2906490000000004E-2</v>
      </c>
      <c r="T5497">
        <v>3.344917E-2</v>
      </c>
      <c r="U5497">
        <v>-3.129089</v>
      </c>
      <c r="V5497">
        <v>-8.623451E-2</v>
      </c>
      <c r="W5497">
        <v>0.17305390000000001</v>
      </c>
      <c r="X5497">
        <v>0.9811299</v>
      </c>
      <c r="Y5497">
        <v>-0.31684430000000002</v>
      </c>
      <c r="Z5497">
        <v>-2.4161499999999999E-2</v>
      </c>
      <c r="AA5497">
        <v>0.94816979999999995</v>
      </c>
      <c r="AB5497">
        <v>39</v>
      </c>
      <c r="AC5497">
        <v>-2.57659999999998</v>
      </c>
      <c r="AD5497">
        <v>1.241376</v>
      </c>
      <c r="AE5497">
        <v>-115.76149959999999</v>
      </c>
      <c r="AF5497">
        <v>-36.7978141793809</v>
      </c>
      <c r="AG5497">
        <v>1.241376</v>
      </c>
      <c r="AH5497">
        <v>109.773416779087</v>
      </c>
      <c r="AI5497">
        <v>89.385690042980997</v>
      </c>
      <c r="AJ5497">
        <v>108.531979886572</v>
      </c>
      <c r="AK5497">
        <v>115.783518577165</v>
      </c>
      <c r="AL5497">
        <v>80.034572650926904</v>
      </c>
      <c r="AM5497">
        <v>95.022993447050794</v>
      </c>
      <c r="AN5497">
        <v>0.99999996184707896</v>
      </c>
    </row>
    <row r="5498" spans="1:40" x14ac:dyDescent="0.25">
      <c r="A5498" t="str">
        <f>"20190303170403329"</f>
        <v>20190303170403329</v>
      </c>
      <c r="B5498" t="str">
        <f>"1551603843321053"</f>
        <v>1551603843321053</v>
      </c>
      <c r="C5498" t="s">
        <v>40</v>
      </c>
      <c r="D5498">
        <v>4.8966089999999998</v>
      </c>
      <c r="E5498">
        <v>0.40719470000000002</v>
      </c>
      <c r="F5498" t="s">
        <v>95</v>
      </c>
      <c r="G5498">
        <v>-419.01839999999999</v>
      </c>
      <c r="H5498">
        <v>2.0741930000000002</v>
      </c>
      <c r="I5498">
        <v>0.48737530000000001</v>
      </c>
      <c r="J5498">
        <v>-417.30070000000001</v>
      </c>
      <c r="K5498">
        <v>1.1298429999999999</v>
      </c>
      <c r="L5498">
        <v>115.8792</v>
      </c>
      <c r="M5498">
        <v>-0.33116610000000002</v>
      </c>
      <c r="N5498">
        <v>-1.4758820000000001E-2</v>
      </c>
      <c r="O5498">
        <v>-0.9434572</v>
      </c>
      <c r="P5498">
        <v>-0.24818670000000001</v>
      </c>
      <c r="Q5498">
        <v>0.16103329999999999</v>
      </c>
      <c r="R5498">
        <v>-0.95523389999999997</v>
      </c>
      <c r="S5498">
        <v>-4.977417E-2</v>
      </c>
      <c r="T5498">
        <v>2.552712E-2</v>
      </c>
      <c r="U5498">
        <v>-3.1289669999999998</v>
      </c>
      <c r="V5498">
        <v>-8.5840689999999997E-2</v>
      </c>
      <c r="W5498">
        <v>0.1737785</v>
      </c>
      <c r="X5498">
        <v>0.98103640000000003</v>
      </c>
      <c r="Y5498">
        <v>-0.31614140000000002</v>
      </c>
      <c r="Z5498">
        <v>-2.1975919999999999E-2</v>
      </c>
      <c r="AA5498">
        <v>0.94845749999999995</v>
      </c>
      <c r="AB5498">
        <v>39</v>
      </c>
      <c r="AC5498">
        <v>-1.71769999999997</v>
      </c>
      <c r="AD5498">
        <v>0.94435000000000002</v>
      </c>
      <c r="AE5498">
        <v>-115.3918247</v>
      </c>
      <c r="AF5498">
        <v>-36.594814357176503</v>
      </c>
      <c r="AG5498">
        <v>0.94435000000000002</v>
      </c>
      <c r="AH5498">
        <v>109.440668164691</v>
      </c>
      <c r="AI5498">
        <v>89.531130643849593</v>
      </c>
      <c r="AJ5498">
        <v>108.48892508386599</v>
      </c>
      <c r="AK5498">
        <v>115.400745591581</v>
      </c>
      <c r="AL5498">
        <v>79.992417849329001</v>
      </c>
      <c r="AM5498">
        <v>95.000644887356202</v>
      </c>
      <c r="AN5498">
        <v>1.0000000046234401</v>
      </c>
    </row>
    <row r="5499" spans="1:40" x14ac:dyDescent="0.25">
      <c r="A5499" t="str">
        <f>"20190303170403351"</f>
        <v>20190303170403351</v>
      </c>
      <c r="B5499" t="str">
        <f>"1551603843341550"</f>
        <v>1551603843341550</v>
      </c>
      <c r="C5499" t="s">
        <v>40</v>
      </c>
      <c r="D5499">
        <v>4.9015620000000002</v>
      </c>
      <c r="E5499">
        <v>0.40750989999999998</v>
      </c>
      <c r="F5499" t="s">
        <v>95</v>
      </c>
      <c r="G5499">
        <v>-418.45100000000002</v>
      </c>
      <c r="H5499">
        <v>2.0330279999999998</v>
      </c>
      <c r="I5499">
        <v>0.4931431</v>
      </c>
      <c r="J5499">
        <v>-417.4203</v>
      </c>
      <c r="K5499">
        <v>1.1298779999999999</v>
      </c>
      <c r="L5499">
        <v>115.5194</v>
      </c>
      <c r="M5499">
        <v>-0.32354349999999998</v>
      </c>
      <c r="N5499">
        <v>-1.475885E-2</v>
      </c>
      <c r="O5499">
        <v>-0.94609829999999995</v>
      </c>
      <c r="P5499">
        <v>-0.24134700000000001</v>
      </c>
      <c r="Q5499">
        <v>0.16383490000000001</v>
      </c>
      <c r="R5499">
        <v>-0.95650959999999996</v>
      </c>
      <c r="S5499">
        <v>-3.1188960000000002E-2</v>
      </c>
      <c r="T5499">
        <v>2.448678E-2</v>
      </c>
      <c r="U5499">
        <v>-3.128387</v>
      </c>
      <c r="V5499">
        <v>-8.485914E-2</v>
      </c>
      <c r="W5499">
        <v>0.1765892</v>
      </c>
      <c r="X5499">
        <v>0.98061980000000004</v>
      </c>
      <c r="Y5499">
        <v>-0.31411650000000002</v>
      </c>
      <c r="Z5499">
        <v>-2.173069E-2</v>
      </c>
      <c r="AA5499">
        <v>0.94913570000000003</v>
      </c>
      <c r="AB5499">
        <v>39</v>
      </c>
      <c r="AC5499">
        <v>-1.03069999999996</v>
      </c>
      <c r="AD5499">
        <v>0.90314999999999901</v>
      </c>
      <c r="AE5499">
        <v>-115.02625690000001</v>
      </c>
      <c r="AF5499">
        <v>-36.242563930373002</v>
      </c>
      <c r="AG5499">
        <v>0.90314999999999901</v>
      </c>
      <c r="AH5499">
        <v>109.164772109209</v>
      </c>
      <c r="AI5499">
        <v>89.550131129080398</v>
      </c>
      <c r="AJ5499">
        <v>108.36610002908</v>
      </c>
      <c r="AK5499">
        <v>115.02732975178201</v>
      </c>
      <c r="AL5499">
        <v>79.828847051651493</v>
      </c>
      <c r="AM5499">
        <v>94.945839607534097</v>
      </c>
      <c r="AN5499">
        <v>1.0000000056750999</v>
      </c>
    </row>
    <row r="5500" spans="1:40" x14ac:dyDescent="0.25">
      <c r="A5500" t="str">
        <f>"20190303170403373"</f>
        <v>20190303170403373</v>
      </c>
      <c r="B5500" t="str">
        <f>"1551603843361070"</f>
        <v>1551603843361070</v>
      </c>
      <c r="C5500" t="s">
        <v>40</v>
      </c>
      <c r="D5500">
        <v>4.8891119999999999</v>
      </c>
      <c r="E5500">
        <v>0.41766249999999999</v>
      </c>
      <c r="F5500" t="s">
        <v>95</v>
      </c>
      <c r="G5500">
        <v>-417.84100000000001</v>
      </c>
      <c r="H5500">
        <v>2.2882859999999998</v>
      </c>
      <c r="I5500">
        <v>0.4993515</v>
      </c>
      <c r="J5500">
        <v>-417.54</v>
      </c>
      <c r="K5500">
        <v>1.1299030000000001</v>
      </c>
      <c r="L5500">
        <v>115.1491</v>
      </c>
      <c r="M5500">
        <v>-0.31567909999999999</v>
      </c>
      <c r="N5500">
        <v>-1.475842E-2</v>
      </c>
      <c r="O5500">
        <v>-0.94875140000000002</v>
      </c>
      <c r="P5500">
        <v>-0.234543</v>
      </c>
      <c r="Q5500">
        <v>0.16478110000000001</v>
      </c>
      <c r="R5500">
        <v>-0.95803830000000001</v>
      </c>
      <c r="S5500">
        <v>-1.1444090000000001E-2</v>
      </c>
      <c r="T5500">
        <v>3.150356E-2</v>
      </c>
      <c r="U5500">
        <v>-3.1281129999999999</v>
      </c>
      <c r="V5500">
        <v>-8.3665500000000004E-2</v>
      </c>
      <c r="W5500">
        <v>0.17755409999999999</v>
      </c>
      <c r="X5500">
        <v>0.98054810000000003</v>
      </c>
      <c r="Y5500">
        <v>-0.31223050000000002</v>
      </c>
      <c r="Z5500">
        <v>-2.3794309999999999E-2</v>
      </c>
      <c r="AA5500">
        <v>0.94970829999999995</v>
      </c>
      <c r="AB5500">
        <v>39</v>
      </c>
      <c r="AC5500">
        <v>-0.300999999999987</v>
      </c>
      <c r="AD5500">
        <v>1.1583829999999999</v>
      </c>
      <c r="AE5500">
        <v>-114.6497485</v>
      </c>
      <c r="AF5500">
        <v>-35.907195003402698</v>
      </c>
      <c r="AG5500">
        <v>1.1583829999999999</v>
      </c>
      <c r="AH5500">
        <v>108.869855734439</v>
      </c>
      <c r="AI5500">
        <v>89.421065066365998</v>
      </c>
      <c r="AJ5500">
        <v>108.253465225281</v>
      </c>
      <c r="AK5500">
        <v>114.644293324285</v>
      </c>
      <c r="AL5500">
        <v>79.772674401233402</v>
      </c>
      <c r="AM5500">
        <v>94.876963504766806</v>
      </c>
      <c r="AN5500">
        <v>0.99999997536533403</v>
      </c>
    </row>
    <row r="5501" spans="1:40" x14ac:dyDescent="0.25">
      <c r="A5501" t="str">
        <f>"20190303170403396"</f>
        <v>20190303170403396</v>
      </c>
      <c r="B5501" t="str">
        <f>"1551603843391326"</f>
        <v>1551603843391326</v>
      </c>
      <c r="C5501" t="s">
        <v>40</v>
      </c>
      <c r="D5501">
        <v>4.9061659999999998</v>
      </c>
      <c r="E5501">
        <v>0.41937629999999998</v>
      </c>
      <c r="F5501" t="s">
        <v>95</v>
      </c>
      <c r="G5501">
        <v>-420.04660000000001</v>
      </c>
      <c r="H5501">
        <v>0.84761730000000002</v>
      </c>
      <c r="I5501">
        <v>0.47691349999999999</v>
      </c>
      <c r="J5501">
        <v>-417.65750000000003</v>
      </c>
      <c r="K5501">
        <v>1.129912</v>
      </c>
      <c r="L5501">
        <v>114.7747</v>
      </c>
      <c r="M5501">
        <v>-0.30771510000000002</v>
      </c>
      <c r="N5501">
        <v>-1.4757610000000001E-2</v>
      </c>
      <c r="O5501">
        <v>-0.95136430000000005</v>
      </c>
      <c r="P5501">
        <v>-0.22689210000000001</v>
      </c>
      <c r="Q5501">
        <v>0.16154009999999999</v>
      </c>
      <c r="R5501">
        <v>-0.9604298</v>
      </c>
      <c r="S5501">
        <v>-6.8115229999999999E-2</v>
      </c>
      <c r="T5501">
        <v>-7.6713559999999998E-3</v>
      </c>
      <c r="U5501">
        <v>-3.116028</v>
      </c>
      <c r="V5501">
        <v>-8.3378229999999998E-2</v>
      </c>
      <c r="W5501">
        <v>0.17432230000000001</v>
      </c>
      <c r="X5501">
        <v>0.98115229999999998</v>
      </c>
      <c r="Y5501">
        <v>-0.2868464</v>
      </c>
      <c r="Z5501">
        <v>-1.247615E-2</v>
      </c>
      <c r="AA5501">
        <v>0.95789530000000001</v>
      </c>
      <c r="AB5501">
        <v>39</v>
      </c>
      <c r="AC5501">
        <v>-2.38909999999998</v>
      </c>
      <c r="AD5501">
        <v>-0.28229470000000001</v>
      </c>
      <c r="AE5501">
        <v>-114.2977865</v>
      </c>
      <c r="AF5501">
        <v>-32.901626132510401</v>
      </c>
      <c r="AG5501">
        <v>-0.28229470000000001</v>
      </c>
      <c r="AH5501">
        <v>109.48522921521599</v>
      </c>
      <c r="AI5501">
        <v>90.141479803847503</v>
      </c>
      <c r="AJ5501">
        <v>106.726154133552</v>
      </c>
      <c r="AK5501">
        <v>114.322404229309</v>
      </c>
      <c r="AL5501">
        <v>79.9607775707277</v>
      </c>
      <c r="AM5501">
        <v>94.857319861102894</v>
      </c>
      <c r="AN5501">
        <v>1.0000000146552499</v>
      </c>
    </row>
    <row r="5502" spans="1:40" x14ac:dyDescent="0.25">
      <c r="A5502" t="str">
        <f>"20190303170403418"</f>
        <v>20190303170403418</v>
      </c>
      <c r="B5502" t="str">
        <f>"1551603843410845"</f>
        <v>1551603843410845</v>
      </c>
      <c r="C5502" t="s">
        <v>40</v>
      </c>
      <c r="D5502">
        <v>4.919009</v>
      </c>
      <c r="E5502">
        <v>0.4204542</v>
      </c>
      <c r="F5502" t="s">
        <v>95</v>
      </c>
      <c r="G5502">
        <v>-419.72910000000002</v>
      </c>
      <c r="H5502">
        <v>0.12551229999999999</v>
      </c>
      <c r="I5502">
        <v>0.48014259999999997</v>
      </c>
      <c r="J5502">
        <v>-417.7679</v>
      </c>
      <c r="K5502">
        <v>1.129907</v>
      </c>
      <c r="L5502">
        <v>114.4119</v>
      </c>
      <c r="M5502">
        <v>-0.29999130000000002</v>
      </c>
      <c r="N5502">
        <v>-1.475664E-2</v>
      </c>
      <c r="O5502">
        <v>-0.95382800000000001</v>
      </c>
      <c r="P5502">
        <v>-0.21883069999999999</v>
      </c>
      <c r="Q5502">
        <v>0.15707839999999901</v>
      </c>
      <c r="R5502">
        <v>-0.96303669999999997</v>
      </c>
      <c r="S5502">
        <v>-5.6457519999999997E-2</v>
      </c>
      <c r="T5502">
        <v>-2.7373669999999999E-2</v>
      </c>
      <c r="U5502">
        <v>-3.1148530000000001</v>
      </c>
      <c r="V5502">
        <v>-8.3785139999999994E-2</v>
      </c>
      <c r="W5502">
        <v>0.1698576</v>
      </c>
      <c r="X5502">
        <v>0.98190049999999995</v>
      </c>
      <c r="Y5502">
        <v>-0.2826379</v>
      </c>
      <c r="Z5502">
        <v>-6.7146790000000003E-3</v>
      </c>
      <c r="AA5502">
        <v>0.95920320000000003</v>
      </c>
      <c r="AB5502">
        <v>39</v>
      </c>
      <c r="AC5502">
        <v>-1.96120000000002</v>
      </c>
      <c r="AD5502">
        <v>-1.0043947</v>
      </c>
      <c r="AE5502">
        <v>-113.9317574</v>
      </c>
      <c r="AF5502">
        <v>-32.308890211667197</v>
      </c>
      <c r="AG5502">
        <v>-1.0043947</v>
      </c>
      <c r="AH5502">
        <v>109.263030713359</v>
      </c>
      <c r="AI5502">
        <v>90.505057013102402</v>
      </c>
      <c r="AJ5502">
        <v>106.47285772636999</v>
      </c>
      <c r="AK5502">
        <v>113.944210366703</v>
      </c>
      <c r="AL5502">
        <v>80.220460994291102</v>
      </c>
      <c r="AM5502">
        <v>94.877209484740902</v>
      </c>
      <c r="AN5502">
        <v>1.00000007293141</v>
      </c>
    </row>
    <row r="5503" spans="1:40" x14ac:dyDescent="0.25">
      <c r="A5503" t="str">
        <f>"20190303170403442"</f>
        <v>20190303170403442</v>
      </c>
      <c r="B5503" t="str">
        <f>"1551603843431341"</f>
        <v>1551603843431341</v>
      </c>
      <c r="C5503" t="s">
        <v>40</v>
      </c>
      <c r="D5503">
        <v>4.9083209999999999</v>
      </c>
      <c r="E5503">
        <v>0.42129460000000002</v>
      </c>
      <c r="F5503" t="s">
        <v>75</v>
      </c>
      <c r="G5503">
        <v>-418.79199999999997</v>
      </c>
      <c r="H5503" s="1">
        <v>-4.7943540000000002E-6</v>
      </c>
      <c r="I5503">
        <v>31.948560000000001</v>
      </c>
      <c r="J5503">
        <v>-417.88229999999999</v>
      </c>
      <c r="K5503">
        <v>1.1299140000000001</v>
      </c>
      <c r="L5503">
        <v>114.0243</v>
      </c>
      <c r="M5503">
        <v>-0.29173310000000002</v>
      </c>
      <c r="N5503">
        <v>-1.475548E-2</v>
      </c>
      <c r="O5503">
        <v>-0.95638590000000001</v>
      </c>
      <c r="P5503">
        <v>-0.21097009999999999</v>
      </c>
      <c r="Q5503">
        <v>0.156612</v>
      </c>
      <c r="R5503">
        <v>-0.96486499999999997</v>
      </c>
      <c r="S5503">
        <v>-3.8665770000000002E-2</v>
      </c>
      <c r="T5503">
        <v>-4.265857E-2</v>
      </c>
      <c r="U5503">
        <v>-3.1133120000000001</v>
      </c>
      <c r="V5503">
        <v>-8.3318909999999996E-2</v>
      </c>
      <c r="W5503">
        <v>0.16939889999999999</v>
      </c>
      <c r="X5503">
        <v>0.98201930000000004</v>
      </c>
      <c r="Y5503">
        <v>-0.27980429999999901</v>
      </c>
      <c r="Z5503">
        <v>-2.1951969999999999E-3</v>
      </c>
      <c r="AA5503">
        <v>0.96005459999999998</v>
      </c>
      <c r="AB5503">
        <v>39</v>
      </c>
      <c r="AC5503">
        <v>-0.90969999999998596</v>
      </c>
      <c r="AD5503">
        <v>-1.1299187943539999</v>
      </c>
      <c r="AE5503">
        <v>-82.075739999999996</v>
      </c>
      <c r="AF5503">
        <v>-23.072326871938799</v>
      </c>
      <c r="AG5503">
        <v>-1.1299187943539999</v>
      </c>
      <c r="AH5503">
        <v>78.7551247603744</v>
      </c>
      <c r="AI5503">
        <v>90.788829663566503</v>
      </c>
      <c r="AJ5503">
        <v>106.32862494744199</v>
      </c>
      <c r="AK5503">
        <v>82.073008107352507</v>
      </c>
      <c r="AL5503">
        <v>80.247127991760394</v>
      </c>
      <c r="AM5503">
        <v>94.849615683636202</v>
      </c>
      <c r="AN5503">
        <v>0.99999996682864301</v>
      </c>
    </row>
    <row r="5504" spans="1:40" x14ac:dyDescent="0.25">
      <c r="A5504" t="str">
        <f>"20190303170403463"</f>
        <v>20190303170403463</v>
      </c>
      <c r="B5504" t="str">
        <f>"1551603843450861"</f>
        <v>1551603843450861</v>
      </c>
      <c r="C5504" t="s">
        <v>40</v>
      </c>
      <c r="D5504">
        <v>4.8848099999999999</v>
      </c>
      <c r="E5504">
        <v>0.42775449999999998</v>
      </c>
      <c r="F5504" t="s">
        <v>75</v>
      </c>
      <c r="G5504">
        <v>-418.37419999999997</v>
      </c>
      <c r="H5504" s="1">
        <v>-3.1637939999999999E-6</v>
      </c>
      <c r="I5504">
        <v>35.281659999999903</v>
      </c>
      <c r="J5504">
        <v>-417.98379999999997</v>
      </c>
      <c r="K5504">
        <v>1.12992</v>
      </c>
      <c r="L5504">
        <v>113.67019999999999</v>
      </c>
      <c r="M5504">
        <v>-0.28418490000000002</v>
      </c>
      <c r="N5504">
        <v>-1.4754389999999999E-2</v>
      </c>
      <c r="O5504">
        <v>-0.95865630000000002</v>
      </c>
      <c r="P5504">
        <v>-0.20530470000000001</v>
      </c>
      <c r="Q5504">
        <v>0.15897610000000001</v>
      </c>
      <c r="R5504">
        <v>-0.96570049999999996</v>
      </c>
      <c r="S5504">
        <v>-1.9439700000000001E-2</v>
      </c>
      <c r="T5504">
        <v>-4.4658900000000001E-2</v>
      </c>
      <c r="U5504">
        <v>-3.112228</v>
      </c>
      <c r="V5504">
        <v>-8.1278879999999998E-2</v>
      </c>
      <c r="W5504">
        <v>0.17180029999999999</v>
      </c>
      <c r="X5504">
        <v>0.98177309999999995</v>
      </c>
      <c r="Y5504">
        <v>-0.27816079999999999</v>
      </c>
      <c r="Z5504">
        <v>-1.5634689999999901E-3</v>
      </c>
      <c r="AA5504">
        <v>0.96053330000000003</v>
      </c>
      <c r="AB5504">
        <v>39</v>
      </c>
      <c r="AC5504">
        <v>-0.39039999999999903</v>
      </c>
      <c r="AD5504">
        <v>-1.1299231637939999</v>
      </c>
      <c r="AE5504">
        <v>-78.388540000000006</v>
      </c>
      <c r="AF5504">
        <v>-21.9004070106154</v>
      </c>
      <c r="AG5504">
        <v>-1.1299231637939999</v>
      </c>
      <c r="AH5504">
        <v>75.251147041908993</v>
      </c>
      <c r="AI5504">
        <v>90.825987963897305</v>
      </c>
      <c r="AJ5504">
        <v>106.22662665302499</v>
      </c>
      <c r="AK5504">
        <v>78.381373327530397</v>
      </c>
      <c r="AL5504">
        <v>80.107491273317805</v>
      </c>
      <c r="AM5504">
        <v>94.732601704034707</v>
      </c>
      <c r="AN5504">
        <v>1.0000000096488699</v>
      </c>
    </row>
    <row r="5505" spans="1:40" x14ac:dyDescent="0.25">
      <c r="A5505" t="str">
        <f>"20190303170403485"</f>
        <v>20190303170403485</v>
      </c>
      <c r="B5505" t="str">
        <f>"1551603843481118"</f>
        <v>1551603843481118</v>
      </c>
      <c r="C5505" t="s">
        <v>40</v>
      </c>
      <c r="D5505">
        <v>4.942545</v>
      </c>
      <c r="E5505">
        <v>0.42854360000000002</v>
      </c>
      <c r="F5505" t="s">
        <v>42</v>
      </c>
      <c r="G5505">
        <v>-419.12819999999999</v>
      </c>
      <c r="H5505" s="1">
        <v>-1.6530329999999999E-6</v>
      </c>
      <c r="I5505">
        <v>43.12556</v>
      </c>
      <c r="J5505">
        <v>-418.0908</v>
      </c>
      <c r="K5505">
        <v>1.129931</v>
      </c>
      <c r="L5505">
        <v>113.285</v>
      </c>
      <c r="M5505">
        <v>-0.27596900000000002</v>
      </c>
      <c r="N5505">
        <v>-1.475306E-2</v>
      </c>
      <c r="O5505">
        <v>-0.9610535</v>
      </c>
      <c r="P5505">
        <v>-0.1988152</v>
      </c>
      <c r="Q5505">
        <v>0.15944849999999999</v>
      </c>
      <c r="R5505">
        <v>-0.9669797</v>
      </c>
      <c r="S5505">
        <v>-5.0354000000000003E-2</v>
      </c>
      <c r="T5505">
        <v>-4.971743E-2</v>
      </c>
      <c r="U5505">
        <v>-3.1040190000000001</v>
      </c>
      <c r="V5505">
        <v>-7.9455129999999999E-2</v>
      </c>
      <c r="W5505">
        <v>0.1723104</v>
      </c>
      <c r="X5505">
        <v>0.98183299999999996</v>
      </c>
      <c r="Y5505">
        <v>-0.2603123</v>
      </c>
      <c r="Z5505" s="1">
        <v>8.6500539999999999E-5</v>
      </c>
      <c r="AA5505">
        <v>0.96552439999999995</v>
      </c>
      <c r="AB5505">
        <v>39</v>
      </c>
      <c r="AC5505">
        <v>-1.0373999999999901</v>
      </c>
      <c r="AD5505">
        <v>-1.1299326530329901</v>
      </c>
      <c r="AE5505">
        <v>-70.159439999999904</v>
      </c>
      <c r="AF5505">
        <v>-18.362067415433302</v>
      </c>
      <c r="AG5505">
        <v>-1.1299326530329901</v>
      </c>
      <c r="AH5505">
        <v>67.703066381248306</v>
      </c>
      <c r="AI5505">
        <v>90.922819277171598</v>
      </c>
      <c r="AJ5505">
        <v>105.17442401229199</v>
      </c>
      <c r="AK5505">
        <v>70.1580178240023</v>
      </c>
      <c r="AL5505">
        <v>80.077822311652696</v>
      </c>
      <c r="AM5505">
        <v>94.626596007795399</v>
      </c>
      <c r="AN5505">
        <v>1.00000001576023</v>
      </c>
    </row>
    <row r="5506" spans="1:40" x14ac:dyDescent="0.25">
      <c r="A5506" t="str">
        <f>"20190303170403508"</f>
        <v>20190303170403508</v>
      </c>
      <c r="B5506" t="str">
        <f>"1551603843501613"</f>
        <v>1551603843501613</v>
      </c>
      <c r="C5506" t="s">
        <v>40</v>
      </c>
      <c r="D5506">
        <v>4.9408409999999998</v>
      </c>
      <c r="E5506">
        <v>0.42895699999999998</v>
      </c>
      <c r="F5506" t="s">
        <v>75</v>
      </c>
      <c r="G5506">
        <v>-418.9742</v>
      </c>
      <c r="H5506" s="1">
        <v>-2.0651459999999999E-6</v>
      </c>
      <c r="I5506">
        <v>36.776560000000003</v>
      </c>
      <c r="J5506">
        <v>-418.19110000000001</v>
      </c>
      <c r="K5506">
        <v>1.1299269999999999</v>
      </c>
      <c r="L5506">
        <v>112.9117</v>
      </c>
      <c r="M5506">
        <v>-0.26800059999999998</v>
      </c>
      <c r="N5506">
        <v>-1.475167E-2</v>
      </c>
      <c r="O5506">
        <v>-0.963306</v>
      </c>
      <c r="P5506">
        <v>-0.1924196</v>
      </c>
      <c r="Q5506">
        <v>0.1579855</v>
      </c>
      <c r="R5506">
        <v>-0.96851220000000005</v>
      </c>
      <c r="S5506">
        <v>-3.5827640000000001E-2</v>
      </c>
      <c r="T5506">
        <v>-4.582191E-2</v>
      </c>
      <c r="U5506">
        <v>-3.1026310000000001</v>
      </c>
      <c r="V5506">
        <v>-7.7843529999999994E-2</v>
      </c>
      <c r="W5506">
        <v>0.1708847</v>
      </c>
      <c r="X5506">
        <v>0.98221119999999995</v>
      </c>
      <c r="Y5506">
        <v>-0.25683070000000002</v>
      </c>
      <c r="Z5506">
        <v>-1.019383E-3</v>
      </c>
      <c r="AA5506">
        <v>0.96645590000000003</v>
      </c>
      <c r="AB5506">
        <v>39</v>
      </c>
      <c r="AC5506">
        <v>-0.78309999999999003</v>
      </c>
      <c r="AD5506">
        <v>-1.1299290651459999</v>
      </c>
      <c r="AE5506">
        <v>-76.135140000000007</v>
      </c>
      <c r="AF5506">
        <v>-19.647705771563299</v>
      </c>
      <c r="AG5506">
        <v>-1.1299290651459999</v>
      </c>
      <c r="AH5506">
        <v>73.543101717696004</v>
      </c>
      <c r="AI5506">
        <v>90.8504121042657</v>
      </c>
      <c r="AJ5506">
        <v>104.95775289674501</v>
      </c>
      <c r="AK5506">
        <v>76.130788069200705</v>
      </c>
      <c r="AL5506">
        <v>80.160738828692701</v>
      </c>
      <c r="AM5506">
        <v>94.531411016547906</v>
      </c>
      <c r="AN5506">
        <v>1.0000000186311899</v>
      </c>
    </row>
    <row r="5507" spans="1:40" x14ac:dyDescent="0.25">
      <c r="A5507" t="str">
        <f>"20190303170403529"</f>
        <v>20190303170403529</v>
      </c>
      <c r="B5507" t="str">
        <f>"1551603843521134"</f>
        <v>1551603843521134</v>
      </c>
      <c r="C5507" t="s">
        <v>40</v>
      </c>
      <c r="D5507">
        <v>4.920623</v>
      </c>
      <c r="E5507">
        <v>0.43314760000000002</v>
      </c>
      <c r="F5507" t="s">
        <v>42</v>
      </c>
      <c r="G5507">
        <v>-418.6046</v>
      </c>
      <c r="H5507" s="1">
        <v>-2.6399610000000001E-6</v>
      </c>
      <c r="I5507">
        <v>45.209629999999997</v>
      </c>
      <c r="J5507">
        <v>-418.28480000000002</v>
      </c>
      <c r="K5507">
        <v>1.129918</v>
      </c>
      <c r="L5507">
        <v>112.5508</v>
      </c>
      <c r="M5507">
        <v>-0.26029750000000001</v>
      </c>
      <c r="N5507">
        <v>-1.4750259999999999E-2</v>
      </c>
      <c r="O5507">
        <v>-0.96541600000000005</v>
      </c>
      <c r="P5507">
        <v>-0.18575249999999999</v>
      </c>
      <c r="Q5507">
        <v>0.15629570000000001</v>
      </c>
      <c r="R5507">
        <v>-0.97008689999999997</v>
      </c>
      <c r="S5507">
        <v>-1.895142E-2</v>
      </c>
      <c r="T5507">
        <v>-5.1774979999999998E-2</v>
      </c>
      <c r="U5507">
        <v>-3.1022029999999998</v>
      </c>
      <c r="V5507">
        <v>-7.6787220000000003E-2</v>
      </c>
      <c r="W5507">
        <v>0.16922129999999999</v>
      </c>
      <c r="X5507">
        <v>0.98258230000000002</v>
      </c>
      <c r="Y5507">
        <v>-0.25436249999999999</v>
      </c>
      <c r="Z5507">
        <v>8.1205679999999997E-4</v>
      </c>
      <c r="AA5507">
        <v>0.96710859999999998</v>
      </c>
      <c r="AB5507">
        <v>39</v>
      </c>
      <c r="AC5507">
        <v>-0.31979999999998598</v>
      </c>
      <c r="AD5507">
        <v>-1.129920639961</v>
      </c>
      <c r="AE5507">
        <v>-67.341169999999906</v>
      </c>
      <c r="AF5507">
        <v>-17.2170210908066</v>
      </c>
      <c r="AG5507">
        <v>-1.129920639961</v>
      </c>
      <c r="AH5507">
        <v>65.084232117798706</v>
      </c>
      <c r="AI5507">
        <v>90.961538095943098</v>
      </c>
      <c r="AJ5507">
        <v>104.817300032899</v>
      </c>
      <c r="AK5507">
        <v>67.332457301493093</v>
      </c>
      <c r="AL5507">
        <v>80.257453610412199</v>
      </c>
      <c r="AM5507">
        <v>94.468490799786807</v>
      </c>
      <c r="AN5507">
        <v>1.00000005090115</v>
      </c>
    </row>
    <row r="5508" spans="1:40" x14ac:dyDescent="0.25">
      <c r="A5508" t="str">
        <f>"20190303170403552"</f>
        <v>20190303170403552</v>
      </c>
      <c r="B5508" t="str">
        <f>"1551603843541629"</f>
        <v>1551603843541629</v>
      </c>
      <c r="C5508" t="s">
        <v>40</v>
      </c>
      <c r="D5508">
        <v>4.9460059999999997</v>
      </c>
      <c r="E5508">
        <v>0.43428299999999997</v>
      </c>
      <c r="F5508" t="s">
        <v>42</v>
      </c>
      <c r="G5508">
        <v>-418.80029999999999</v>
      </c>
      <c r="H5508" s="1">
        <v>-4.9935779999999995E-7</v>
      </c>
      <c r="I5508">
        <v>60.17745</v>
      </c>
      <c r="J5508">
        <v>-418.37970000000001</v>
      </c>
      <c r="K5508">
        <v>1.1299090000000001</v>
      </c>
      <c r="L5508">
        <v>112.1734</v>
      </c>
      <c r="M5508">
        <v>-0.25224410000000003</v>
      </c>
      <c r="N5508">
        <v>-1.474842E-2</v>
      </c>
      <c r="O5508">
        <v>-0.96755139999999995</v>
      </c>
      <c r="P5508">
        <v>-0.1791179</v>
      </c>
      <c r="Q5508">
        <v>0.15619530000000001</v>
      </c>
      <c r="R5508">
        <v>-0.97134980000000004</v>
      </c>
      <c r="S5508">
        <v>-3.048706E-2</v>
      </c>
      <c r="T5508">
        <v>-6.6824789999999995E-2</v>
      </c>
      <c r="U5508">
        <v>-3.0974270000000002</v>
      </c>
      <c r="V5508">
        <v>-7.5309799999999996E-2</v>
      </c>
      <c r="W5508">
        <v>0.16915359999999999</v>
      </c>
      <c r="X5508">
        <v>0.98270829999999998</v>
      </c>
      <c r="Y5508">
        <v>-0.242669</v>
      </c>
      <c r="Z5508">
        <v>5.4718719999999896E-3</v>
      </c>
      <c r="AA5508">
        <v>0.97009369999999995</v>
      </c>
      <c r="AB5508">
        <v>39</v>
      </c>
      <c r="AC5508">
        <v>-0.42059999999997899</v>
      </c>
      <c r="AD5508">
        <v>-1.1299094993578001</v>
      </c>
      <c r="AE5508">
        <v>-51.995950000000001</v>
      </c>
      <c r="AF5508">
        <v>-12.7041011073612</v>
      </c>
      <c r="AG5508">
        <v>-1.1299094993578001</v>
      </c>
      <c r="AH5508">
        <v>50.396527184582297</v>
      </c>
      <c r="AI5508">
        <v>91.2454295950062</v>
      </c>
      <c r="AJ5508">
        <v>104.148507874568</v>
      </c>
      <c r="AK5508">
        <v>51.985390569746997</v>
      </c>
      <c r="AL5508">
        <v>80.261389308056707</v>
      </c>
      <c r="AM5508">
        <v>94.382293562570794</v>
      </c>
      <c r="AN5508">
        <v>1.00000005462894</v>
      </c>
    </row>
    <row r="5509" spans="1:40" x14ac:dyDescent="0.25">
      <c r="A5509" t="str">
        <f>"20190303170403574"</f>
        <v>20190303170403574</v>
      </c>
      <c r="B5509" t="str">
        <f>"1551603843570910"</f>
        <v>1551603843570910</v>
      </c>
      <c r="C5509" t="s">
        <v>40</v>
      </c>
      <c r="D5509">
        <v>4.944121</v>
      </c>
      <c r="E5509">
        <v>0.43570579999999998</v>
      </c>
      <c r="F5509" t="s">
        <v>42</v>
      </c>
      <c r="G5509">
        <v>-418.6807</v>
      </c>
      <c r="H5509" s="1">
        <v>-2.0403140000000001E-6</v>
      </c>
      <c r="I5509">
        <v>63.84328</v>
      </c>
      <c r="J5509">
        <v>-418.47070000000002</v>
      </c>
      <c r="K5509">
        <v>1.1299079999999999</v>
      </c>
      <c r="L5509">
        <v>111.7985</v>
      </c>
      <c r="M5509">
        <v>-0.24426200000000001</v>
      </c>
      <c r="N5509">
        <v>-1.474586E-2</v>
      </c>
      <c r="O5509">
        <v>-0.9695973</v>
      </c>
      <c r="P5509">
        <v>-0.17313789999999901</v>
      </c>
      <c r="Q5509">
        <v>0.15810669999999999</v>
      </c>
      <c r="R5509">
        <v>-0.97212430000000005</v>
      </c>
      <c r="S5509">
        <v>-1.928711E-2</v>
      </c>
      <c r="T5509">
        <v>-7.2394849999999997E-2</v>
      </c>
      <c r="U5509">
        <v>-3.0965729999999998</v>
      </c>
      <c r="V5509">
        <v>-7.3210109999999995E-2</v>
      </c>
      <c r="W5509">
        <v>0.17110829999999999</v>
      </c>
      <c r="X5509">
        <v>0.98252850000000003</v>
      </c>
      <c r="Y5509">
        <v>-0.23817569999999999</v>
      </c>
      <c r="Z5509">
        <v>7.2414139999999998E-3</v>
      </c>
      <c r="AA5509">
        <v>0.97119509999999998</v>
      </c>
      <c r="AB5509">
        <v>39</v>
      </c>
      <c r="AC5509">
        <v>-0.20999999999997901</v>
      </c>
      <c r="AD5509">
        <v>-1.1299100403140001</v>
      </c>
      <c r="AE5509">
        <v>-47.955219999999997</v>
      </c>
      <c r="AF5509">
        <v>-11.5048855284287</v>
      </c>
      <c r="AG5509">
        <v>-1.1299100403140001</v>
      </c>
      <c r="AH5509">
        <v>46.527771981003198</v>
      </c>
      <c r="AI5509">
        <v>91.350476536392904</v>
      </c>
      <c r="AJ5509">
        <v>103.88889018615799</v>
      </c>
      <c r="AK5509">
        <v>47.942388897901999</v>
      </c>
      <c r="AL5509">
        <v>80.147735915208102</v>
      </c>
      <c r="AM5509">
        <v>94.261345267869004</v>
      </c>
      <c r="AN5509">
        <v>1.0000000119236701</v>
      </c>
    </row>
    <row r="5510" spans="1:40" x14ac:dyDescent="0.25">
      <c r="A5510" t="str">
        <f>"20190303170403598"</f>
        <v>20190303170403598</v>
      </c>
      <c r="B5510" t="str">
        <f>"1551603843591406"</f>
        <v>1551603843591406</v>
      </c>
      <c r="C5510" t="s">
        <v>40</v>
      </c>
      <c r="D5510">
        <v>4.9388079999999999</v>
      </c>
      <c r="E5510">
        <v>0.43679570000000001</v>
      </c>
      <c r="F5510" t="s">
        <v>42</v>
      </c>
      <c r="G5510">
        <v>-418.6395</v>
      </c>
      <c r="H5510" s="1">
        <v>-3.3732339999999998E-6</v>
      </c>
      <c r="I5510">
        <v>56.933320000000002</v>
      </c>
      <c r="J5510">
        <v>-418.56110000000001</v>
      </c>
      <c r="K5510">
        <v>1.1298820000000001</v>
      </c>
      <c r="L5510">
        <v>111.41070000000001</v>
      </c>
      <c r="M5510">
        <v>-0.2360468</v>
      </c>
      <c r="N5510">
        <v>-1.4741519999999999E-2</v>
      </c>
      <c r="O5510">
        <v>-0.97162990000000005</v>
      </c>
      <c r="P5510">
        <v>-0.16655639999999999</v>
      </c>
      <c r="Q5510">
        <v>0.15777769999999999</v>
      </c>
      <c r="R5510">
        <v>-0.97332700000000005</v>
      </c>
      <c r="S5510">
        <v>-9.5214840000000002E-3</v>
      </c>
      <c r="T5510">
        <v>-6.3732860000000002E-2</v>
      </c>
      <c r="U5510">
        <v>-3.094681</v>
      </c>
      <c r="V5510">
        <v>-7.1529830000000003E-2</v>
      </c>
      <c r="W5510">
        <v>0.1708189</v>
      </c>
      <c r="X5510">
        <v>0.98270259999999998</v>
      </c>
      <c r="Y5510">
        <v>-0.2330197</v>
      </c>
      <c r="Z5510">
        <v>4.6986240000000002E-3</v>
      </c>
      <c r="AA5510">
        <v>0.97246069999999996</v>
      </c>
      <c r="AB5510">
        <v>39</v>
      </c>
      <c r="AC5510">
        <v>-7.8399999999987799E-2</v>
      </c>
      <c r="AD5510">
        <v>-1.129885373234</v>
      </c>
      <c r="AE5510">
        <v>-54.477379999999997</v>
      </c>
      <c r="AF5510">
        <v>-12.778927140871801</v>
      </c>
      <c r="AG5510">
        <v>-1.129885373234</v>
      </c>
      <c r="AH5510">
        <v>52.9333398152352</v>
      </c>
      <c r="AI5510">
        <v>91.188679628960799</v>
      </c>
      <c r="AJ5510">
        <v>103.572392130898</v>
      </c>
      <c r="AK5510">
        <v>54.465733115634499</v>
      </c>
      <c r="AL5510">
        <v>80.164565030931499</v>
      </c>
      <c r="AM5510">
        <v>94.163154028398395</v>
      </c>
      <c r="AN5510">
        <v>1.0000000066118899</v>
      </c>
    </row>
    <row r="5511" spans="1:40" x14ac:dyDescent="0.25">
      <c r="A5511" t="str">
        <f>"20190303170403618"</f>
        <v>20190303170403618</v>
      </c>
      <c r="B5511" t="str">
        <f>"1551603843610925"</f>
        <v>1551603843610925</v>
      </c>
      <c r="C5511" t="s">
        <v>40</v>
      </c>
      <c r="D5511">
        <v>4.9315239999999996</v>
      </c>
      <c r="E5511">
        <v>0.44333739999999999</v>
      </c>
      <c r="F5511" t="s">
        <v>42</v>
      </c>
      <c r="G5511">
        <v>-418.50549999999998</v>
      </c>
      <c r="H5511" s="1">
        <v>-4.1924900000000002E-6</v>
      </c>
      <c r="I5511">
        <v>58.78763</v>
      </c>
      <c r="J5511">
        <v>-418.64120000000003</v>
      </c>
      <c r="K5511">
        <v>1.1298250000000001</v>
      </c>
      <c r="L5511">
        <v>111.05410000000001</v>
      </c>
      <c r="M5511">
        <v>-0.2285432</v>
      </c>
      <c r="N5511">
        <v>-1.473585E-2</v>
      </c>
      <c r="O5511">
        <v>-0.97342229999999996</v>
      </c>
      <c r="P5511">
        <v>-0.15986159999999999</v>
      </c>
      <c r="Q5511">
        <v>0.156169899999999</v>
      </c>
      <c r="R5511">
        <v>-0.97470800000000002</v>
      </c>
      <c r="S5511">
        <v>3.2653809999999999E-3</v>
      </c>
      <c r="T5511">
        <v>-6.642199E-2</v>
      </c>
      <c r="U5511">
        <v>-3.093521</v>
      </c>
      <c r="V5511">
        <v>-7.0707370000000005E-2</v>
      </c>
      <c r="W5511">
        <v>0.16923440000000001</v>
      </c>
      <c r="X5511">
        <v>0.98303620000000003</v>
      </c>
      <c r="Y5511">
        <v>-0.22953309999999999</v>
      </c>
      <c r="Z5511">
        <v>5.5909509999999898E-3</v>
      </c>
      <c r="AA5511">
        <v>0.97328479999999995</v>
      </c>
      <c r="AB5511">
        <v>39</v>
      </c>
      <c r="AC5511">
        <v>0.13570000000004201</v>
      </c>
      <c r="AD5511">
        <v>-1.1298291924899999</v>
      </c>
      <c r="AE5511">
        <v>-52.266469999999998</v>
      </c>
      <c r="AF5511">
        <v>-12.0729090797117</v>
      </c>
      <c r="AG5511">
        <v>-1.1298291924899999</v>
      </c>
      <c r="AH5511">
        <v>50.828101749386903</v>
      </c>
      <c r="AI5511">
        <v>91.238927763368395</v>
      </c>
      <c r="AJ5511">
        <v>103.36153616193</v>
      </c>
      <c r="AK5511">
        <v>52.2544502898769</v>
      </c>
      <c r="AL5511">
        <v>80.256691476320299</v>
      </c>
      <c r="AM5511">
        <v>94.114059117008495</v>
      </c>
      <c r="AN5511">
        <v>0.99999999241305804</v>
      </c>
    </row>
    <row r="5512" spans="1:40" x14ac:dyDescent="0.25">
      <c r="A5512" t="str">
        <f>"20190303170403642"</f>
        <v>20190303170403642</v>
      </c>
      <c r="B5512" t="str">
        <f>"1551603843631422"</f>
        <v>1551603843631422</v>
      </c>
      <c r="C5512" t="s">
        <v>40</v>
      </c>
      <c r="D5512">
        <v>4.9037059999999997</v>
      </c>
      <c r="E5512">
        <v>0.44410810000000001</v>
      </c>
      <c r="F5512" t="s">
        <v>42</v>
      </c>
      <c r="G5512">
        <v>-419.0249</v>
      </c>
      <c r="H5512" s="1">
        <v>-3.7379759999999998E-6</v>
      </c>
      <c r="I5512">
        <v>67.942880000000002</v>
      </c>
      <c r="J5512">
        <v>-418.72430000000003</v>
      </c>
      <c r="K5512">
        <v>1.1297509999999999</v>
      </c>
      <c r="L5512">
        <v>110.6703</v>
      </c>
      <c r="M5512">
        <v>-0.2205309</v>
      </c>
      <c r="N5512">
        <v>-1.4728059999999999E-2</v>
      </c>
      <c r="O5512">
        <v>-0.97526880000000005</v>
      </c>
      <c r="P5512">
        <v>-0.15317249999999999</v>
      </c>
      <c r="Q5512">
        <v>0.15407950000000001</v>
      </c>
      <c r="R5512">
        <v>-0.97611389999999998</v>
      </c>
      <c r="S5512">
        <v>-2.7465819999999998E-2</v>
      </c>
      <c r="T5512">
        <v>-8.0883739999999996E-2</v>
      </c>
      <c r="U5512">
        <v>-3.0863040000000002</v>
      </c>
      <c r="V5512">
        <v>-6.9366949999999997E-2</v>
      </c>
      <c r="W5512">
        <v>0.16718079999999999</v>
      </c>
      <c r="X5512">
        <v>0.983483</v>
      </c>
      <c r="Y5512">
        <v>-0.21180160000000001</v>
      </c>
      <c r="Z5512">
        <v>1.022224E-2</v>
      </c>
      <c r="AA5512">
        <v>0.97725919999999999</v>
      </c>
      <c r="AB5512">
        <v>39</v>
      </c>
      <c r="AC5512">
        <v>-0.300599999999974</v>
      </c>
      <c r="AD5512">
        <v>-1.129754737976</v>
      </c>
      <c r="AE5512">
        <v>-42.727420000000002</v>
      </c>
      <c r="AF5512">
        <v>-9.1241621840097498</v>
      </c>
      <c r="AG5512">
        <v>-1.129754737976</v>
      </c>
      <c r="AH5512">
        <v>41.712377389350799</v>
      </c>
      <c r="AI5512">
        <v>91.5156243608144</v>
      </c>
      <c r="AJ5512">
        <v>102.338536229019</v>
      </c>
      <c r="AK5512">
        <v>42.713570546135799</v>
      </c>
      <c r="AL5512">
        <v>80.376054948775504</v>
      </c>
      <c r="AM5512">
        <v>94.034500308953298</v>
      </c>
      <c r="AN5512">
        <v>1.00000000246497</v>
      </c>
    </row>
    <row r="5513" spans="1:40" x14ac:dyDescent="0.25">
      <c r="A5513" t="str">
        <f>"20190303170403664"</f>
        <v>20190303170403664</v>
      </c>
      <c r="B5513" t="str">
        <f>"1551603843650942"</f>
        <v>1551603843650942</v>
      </c>
      <c r="C5513" t="s">
        <v>40</v>
      </c>
      <c r="D5513">
        <v>4.8665320000000003</v>
      </c>
      <c r="E5513">
        <v>0.4443703</v>
      </c>
      <c r="F5513" t="s">
        <v>42</v>
      </c>
      <c r="G5513">
        <v>-418.89249999999998</v>
      </c>
      <c r="H5513" s="1">
        <v>-3.8081539999999998E-7</v>
      </c>
      <c r="I5513">
        <v>69.901179999999997</v>
      </c>
      <c r="J5513">
        <v>-418.803</v>
      </c>
      <c r="K5513">
        <v>1.129675</v>
      </c>
      <c r="L5513">
        <v>110.29259999999999</v>
      </c>
      <c r="M5513">
        <v>-0.21274000000000001</v>
      </c>
      <c r="N5513">
        <v>-1.4719060000000001E-2</v>
      </c>
      <c r="O5513">
        <v>-0.97699820000000004</v>
      </c>
      <c r="P5513">
        <v>-0.1467685</v>
      </c>
      <c r="Q5513">
        <v>0.15429419999999999</v>
      </c>
      <c r="R5513">
        <v>-0.97706329999999997</v>
      </c>
      <c r="S5513">
        <v>-1.272583E-2</v>
      </c>
      <c r="T5513">
        <v>-8.5485459999999999E-2</v>
      </c>
      <c r="U5513">
        <v>-3.0849000000000002</v>
      </c>
      <c r="V5513">
        <v>-6.7927070000000006E-2</v>
      </c>
      <c r="W5513">
        <v>0.16743</v>
      </c>
      <c r="X5513">
        <v>0.98354109999999995</v>
      </c>
      <c r="Y5513">
        <v>-0.20866419999999999</v>
      </c>
      <c r="Z5513">
        <v>1.173444E-2</v>
      </c>
      <c r="AA5513">
        <v>0.97791700000000004</v>
      </c>
      <c r="AB5513">
        <v>39</v>
      </c>
      <c r="AC5513">
        <v>-8.94999999999299E-2</v>
      </c>
      <c r="AD5513">
        <v>-1.1296753808153901</v>
      </c>
      <c r="AE5513">
        <v>-40.391419999999897</v>
      </c>
      <c r="AF5513">
        <v>-8.4997003731742407</v>
      </c>
      <c r="AG5513">
        <v>-1.1296753808153901</v>
      </c>
      <c r="AH5513">
        <v>39.454791497301997</v>
      </c>
      <c r="AI5513">
        <v>91.603290843569297</v>
      </c>
      <c r="AJ5513">
        <v>102.15736378900201</v>
      </c>
      <c r="AK5513">
        <v>40.375755658505497</v>
      </c>
      <c r="AL5513">
        <v>80.361572628542305</v>
      </c>
      <c r="AM5513">
        <v>93.950789804632606</v>
      </c>
      <c r="AN5513">
        <v>0.99999999356399705</v>
      </c>
    </row>
    <row r="5514" spans="1:40" x14ac:dyDescent="0.25">
      <c r="A5514" t="str">
        <f>"20190303170403687"</f>
        <v>20190303170403687</v>
      </c>
      <c r="B5514" t="str">
        <f>"1551603843681198"</f>
        <v>1551603843681198</v>
      </c>
      <c r="C5514" t="s">
        <v>40</v>
      </c>
      <c r="D5514">
        <v>4.8638729999999999</v>
      </c>
      <c r="E5514">
        <v>0.44575189999999998</v>
      </c>
      <c r="F5514" t="s">
        <v>42</v>
      </c>
      <c r="G5514">
        <v>-418.72859999999997</v>
      </c>
      <c r="H5514" s="1">
        <v>-4.0378679999999999E-6</v>
      </c>
      <c r="I5514">
        <v>68.519419999999997</v>
      </c>
      <c r="J5514">
        <v>-418.87880000000001</v>
      </c>
      <c r="K5514">
        <v>1.129569</v>
      </c>
      <c r="L5514">
        <v>109.9141</v>
      </c>
      <c r="M5514">
        <v>-0.2050727</v>
      </c>
      <c r="N5514">
        <v>-1.4707410000000001E-2</v>
      </c>
      <c r="O5514">
        <v>-0.97863630000000001</v>
      </c>
      <c r="P5514">
        <v>-0.14129659999999999</v>
      </c>
      <c r="Q5514">
        <v>0.155241299999999</v>
      </c>
      <c r="R5514">
        <v>-0.97771940000000002</v>
      </c>
      <c r="S5514">
        <v>5.493164E-3</v>
      </c>
      <c r="T5514">
        <v>-8.3412650000000005E-2</v>
      </c>
      <c r="U5514">
        <v>-3.0844269999999998</v>
      </c>
      <c r="V5514">
        <v>-6.5658320000000006E-2</v>
      </c>
      <c r="W5514">
        <v>0.16842889999999999</v>
      </c>
      <c r="X5514">
        <v>0.98352459999999997</v>
      </c>
      <c r="Y5514">
        <v>-0.2067727</v>
      </c>
      <c r="Z5514">
        <v>1.117161E-2</v>
      </c>
      <c r="AA5514">
        <v>0.97832520000000001</v>
      </c>
      <c r="AB5514">
        <v>39</v>
      </c>
      <c r="AC5514">
        <v>0.15020000000004</v>
      </c>
      <c r="AD5514">
        <v>-1.129573037868</v>
      </c>
      <c r="AE5514">
        <v>-41.394680000000001</v>
      </c>
      <c r="AF5514">
        <v>-8.6304172036937903</v>
      </c>
      <c r="AG5514">
        <v>-1.129573037868</v>
      </c>
      <c r="AH5514">
        <v>40.453788057051703</v>
      </c>
      <c r="AI5514">
        <v>91.564245464624193</v>
      </c>
      <c r="AJ5514">
        <v>102.042948695774</v>
      </c>
      <c r="AK5514">
        <v>41.379572309565397</v>
      </c>
      <c r="AL5514">
        <v>80.303515210770001</v>
      </c>
      <c r="AM5514">
        <v>93.819295377439701</v>
      </c>
      <c r="AN5514">
        <v>0.99999997407279495</v>
      </c>
    </row>
    <row r="5515" spans="1:40" x14ac:dyDescent="0.25">
      <c r="A5515" t="str">
        <f>"20190303170403701"</f>
        <v>20190303170403701</v>
      </c>
      <c r="B5515" t="str">
        <f>"1551603843690958"</f>
        <v>1551603843690958</v>
      </c>
      <c r="C5515" t="s">
        <v>40</v>
      </c>
      <c r="D5515">
        <v>4.8332660000000001</v>
      </c>
      <c r="E5515">
        <v>0.44575189999999998</v>
      </c>
      <c r="F5515" t="s">
        <v>42</v>
      </c>
      <c r="G5515">
        <v>-418.70429999999999</v>
      </c>
      <c r="H5515" s="1">
        <v>-3.661776E-6</v>
      </c>
      <c r="I5515">
        <v>67.632710000000003</v>
      </c>
      <c r="J5515">
        <v>-418.92579999999998</v>
      </c>
      <c r="K5515">
        <v>1.129483</v>
      </c>
      <c r="L5515">
        <v>109.67149999999999</v>
      </c>
      <c r="M5515">
        <v>-0.2002575</v>
      </c>
      <c r="N5515">
        <v>-1.4697969999999999E-2</v>
      </c>
      <c r="O5515">
        <v>-0.97963299999999998</v>
      </c>
      <c r="P5515">
        <v>-0.13763010000000001</v>
      </c>
      <c r="Q5515">
        <v>0.1560549</v>
      </c>
      <c r="R5515">
        <v>-0.97811309999999996</v>
      </c>
      <c r="S5515">
        <v>1.272583E-2</v>
      </c>
      <c r="T5515">
        <v>-8.2371829999999993E-2</v>
      </c>
      <c r="U5515">
        <v>-3.0832820000000001</v>
      </c>
      <c r="V5515">
        <v>-6.4459989999999995E-2</v>
      </c>
      <c r="W5515">
        <v>0.16927020000000001</v>
      </c>
      <c r="X5515">
        <v>0.98345950000000004</v>
      </c>
      <c r="Y5515">
        <v>-0.20425750000000001</v>
      </c>
      <c r="Z5515">
        <v>1.091115E-2</v>
      </c>
      <c r="AA5515">
        <v>0.97885639999999996</v>
      </c>
      <c r="AB5515">
        <v>39</v>
      </c>
      <c r="AC5515">
        <v>0.22149999999999101</v>
      </c>
      <c r="AD5515">
        <v>-1.129486661776</v>
      </c>
      <c r="AE5515">
        <v>-42.038789999999899</v>
      </c>
      <c r="AF5515">
        <v>-8.6302752007358698</v>
      </c>
      <c r="AG5515">
        <v>-1.129486661776</v>
      </c>
      <c r="AH5515">
        <v>41.112997417793402</v>
      </c>
      <c r="AI5515">
        <v>91.540126063835004</v>
      </c>
      <c r="AJ5515">
        <v>101.855168457947</v>
      </c>
      <c r="AK5515">
        <v>42.024230472848103</v>
      </c>
      <c r="AL5515">
        <v>80.254610724849201</v>
      </c>
      <c r="AM5515">
        <v>93.7500376388479</v>
      </c>
      <c r="AN5515">
        <v>1.0000000395295401</v>
      </c>
    </row>
    <row r="5516" spans="1:40" x14ac:dyDescent="0.25">
      <c r="A5516" t="str">
        <f>"20190303170403720"</f>
        <v>20190303170403720</v>
      </c>
      <c r="B5516" t="str">
        <f>"1551603843711454"</f>
        <v>1551603843711454</v>
      </c>
      <c r="C5516" t="s">
        <v>40</v>
      </c>
      <c r="D5516">
        <v>4.8056289999999997</v>
      </c>
      <c r="E5516">
        <v>0.45192510000000002</v>
      </c>
      <c r="F5516" t="s">
        <v>42</v>
      </c>
      <c r="G5516">
        <v>-418.58589999999998</v>
      </c>
      <c r="H5516" s="1">
        <v>-3.0183029999999998E-6</v>
      </c>
      <c r="I5516">
        <v>66.083789999999993</v>
      </c>
      <c r="J5516">
        <v>-418.98419999999999</v>
      </c>
      <c r="K5516">
        <v>1.1293420000000001</v>
      </c>
      <c r="L5516">
        <v>109.3623</v>
      </c>
      <c r="M5516">
        <v>-0.1942468</v>
      </c>
      <c r="N5516">
        <v>-1.468359E-2</v>
      </c>
      <c r="O5516">
        <v>-0.98084280000000001</v>
      </c>
      <c r="P5516">
        <v>-0.13301760000000001</v>
      </c>
      <c r="Q5516">
        <v>0.1568716</v>
      </c>
      <c r="R5516">
        <v>-0.9786203</v>
      </c>
      <c r="S5516">
        <v>2.4047849999999999E-2</v>
      </c>
      <c r="T5516">
        <v>-7.9896449999999994E-2</v>
      </c>
      <c r="U5516">
        <v>-3.0832670000000002</v>
      </c>
      <c r="V5516">
        <v>-6.2995860000000001E-2</v>
      </c>
      <c r="W5516">
        <v>0.17012169999999999</v>
      </c>
      <c r="X5516">
        <v>0.98340740000000004</v>
      </c>
      <c r="Y5516">
        <v>-0.2018509</v>
      </c>
      <c r="Z5516">
        <v>1.020426E-2</v>
      </c>
      <c r="AA5516">
        <v>0.97936310000000004</v>
      </c>
      <c r="AB5516">
        <v>39</v>
      </c>
      <c r="AC5516">
        <v>0.39830000000000598</v>
      </c>
      <c r="AD5516">
        <v>-1.129345018303</v>
      </c>
      <c r="AE5516">
        <v>-43.278509999999997</v>
      </c>
      <c r="AF5516">
        <v>-8.7923436479601502</v>
      </c>
      <c r="AG5516">
        <v>-1.129345018303</v>
      </c>
      <c r="AH5516">
        <v>42.347780655125099</v>
      </c>
      <c r="AI5516">
        <v>91.495737943995806</v>
      </c>
      <c r="AJ5516">
        <v>101.72923886456699</v>
      </c>
      <c r="AK5516">
        <v>43.265635941342403</v>
      </c>
      <c r="AL5516">
        <v>80.205104903870506</v>
      </c>
      <c r="AM5516">
        <v>93.665288609354405</v>
      </c>
      <c r="AN5516">
        <v>0.99999999278139395</v>
      </c>
    </row>
    <row r="5517" spans="1:40" x14ac:dyDescent="0.25">
      <c r="A5517" t="str">
        <f>"20190303170403742"</f>
        <v>20190303170403742</v>
      </c>
      <c r="B5517" t="str">
        <f>"1551603843730974"</f>
        <v>1551603843730974</v>
      </c>
      <c r="C5517" t="s">
        <v>40</v>
      </c>
      <c r="D5517">
        <v>4.8307140000000004</v>
      </c>
      <c r="E5517">
        <v>0.45153169999999998</v>
      </c>
      <c r="F5517" t="s">
        <v>42</v>
      </c>
      <c r="G5517">
        <v>-419.14679999999998</v>
      </c>
      <c r="H5517" s="1">
        <v>-1.043421E-6</v>
      </c>
      <c r="I5517">
        <v>61.712220000000002</v>
      </c>
      <c r="J5517">
        <v>-419.05270000000002</v>
      </c>
      <c r="K5517">
        <v>1.1291420000000001</v>
      </c>
      <c r="L5517">
        <v>108.985</v>
      </c>
      <c r="M5517">
        <v>-0.187143</v>
      </c>
      <c r="N5517">
        <v>-1.4662720000000001E-2</v>
      </c>
      <c r="O5517">
        <v>-0.98222339999999997</v>
      </c>
      <c r="P5517">
        <v>-0.12669069999999999</v>
      </c>
      <c r="Q5517">
        <v>0.15726209999999999</v>
      </c>
      <c r="R5517">
        <v>-0.97939710000000002</v>
      </c>
      <c r="S5517">
        <v>-1.049805E-2</v>
      </c>
      <c r="T5517">
        <v>-7.2898859999999996E-2</v>
      </c>
      <c r="U5517">
        <v>-3.075806</v>
      </c>
      <c r="V5517">
        <v>-6.2143009999999999E-2</v>
      </c>
      <c r="W5517">
        <v>0.17053750000000001</v>
      </c>
      <c r="X5517">
        <v>0.98338970000000003</v>
      </c>
      <c r="Y5517">
        <v>-0.1837569</v>
      </c>
      <c r="Z5517">
        <v>8.2079949999999992E-3</v>
      </c>
      <c r="AA5517">
        <v>0.98293750000000002</v>
      </c>
      <c r="AB5517">
        <v>39</v>
      </c>
      <c r="AC5517">
        <v>-9.4099999999969E-2</v>
      </c>
      <c r="AD5517">
        <v>-1.1291430434209999</v>
      </c>
      <c r="AE5517">
        <v>-47.272779999999997</v>
      </c>
      <c r="AF5517">
        <v>-8.7502902814138199</v>
      </c>
      <c r="AG5517">
        <v>-1.1291430434209999</v>
      </c>
      <c r="AH5517">
        <v>46.428539242994503</v>
      </c>
      <c r="AI5517">
        <v>91.369066776576702</v>
      </c>
      <c r="AJ5517">
        <v>100.673220203752</v>
      </c>
      <c r="AK5517">
        <v>47.259409647812902</v>
      </c>
      <c r="AL5517">
        <v>80.180928566122404</v>
      </c>
      <c r="AM5517">
        <v>93.615864680856802</v>
      </c>
      <c r="AN5517">
        <v>1.00000004733209</v>
      </c>
    </row>
    <row r="5518" spans="1:40" x14ac:dyDescent="0.25">
      <c r="A5518" t="str">
        <f>"20190303170403766"</f>
        <v>20190303170403766</v>
      </c>
      <c r="B5518" t="str">
        <f>"1551603843751469"</f>
        <v>1551603843751469</v>
      </c>
      <c r="C5518" t="s">
        <v>40</v>
      </c>
      <c r="D5518">
        <v>4.8222170000000002</v>
      </c>
      <c r="E5518">
        <v>0.45198100000000002</v>
      </c>
      <c r="F5518" t="s">
        <v>42</v>
      </c>
      <c r="G5518">
        <v>-418.84960000000001</v>
      </c>
      <c r="H5518" s="1">
        <v>-4.4564649999999997E-6</v>
      </c>
      <c r="I5518">
        <v>59.545229999999997</v>
      </c>
      <c r="J5518">
        <v>-419.12090000000001</v>
      </c>
      <c r="K5518">
        <v>1.1289199999999999</v>
      </c>
      <c r="L5518">
        <v>108.5947</v>
      </c>
      <c r="M5518">
        <v>-0.18006029999999901</v>
      </c>
      <c r="N5518">
        <v>-1.4639310000000001E-2</v>
      </c>
      <c r="O5518">
        <v>-0.98354680000000005</v>
      </c>
      <c r="P5518">
        <v>-0.1198429</v>
      </c>
      <c r="Q5518">
        <v>0.15717819999999999</v>
      </c>
      <c r="R5518">
        <v>-0.98027180000000003</v>
      </c>
      <c r="S5518">
        <v>1.2634279999999999E-2</v>
      </c>
      <c r="T5518">
        <v>-7.0253010000000005E-2</v>
      </c>
      <c r="U5518">
        <v>-3.0760350000000001</v>
      </c>
      <c r="V5518">
        <v>-6.1833310000000002E-2</v>
      </c>
      <c r="W5518">
        <v>0.17046979999999901</v>
      </c>
      <c r="X5518">
        <v>0.98342090000000004</v>
      </c>
      <c r="Y5518">
        <v>-0.18406690000000001</v>
      </c>
      <c r="Z5518">
        <v>7.4344500000000004E-3</v>
      </c>
      <c r="AA5518">
        <v>0.98288560000000003</v>
      </c>
      <c r="AB5518">
        <v>39</v>
      </c>
      <c r="AC5518">
        <v>0.27129999999999599</v>
      </c>
      <c r="AD5518">
        <v>-1.1289244564650001</v>
      </c>
      <c r="AE5518">
        <v>-49.049469999999999</v>
      </c>
      <c r="AF5518">
        <v>-9.0948544159349591</v>
      </c>
      <c r="AG5518">
        <v>-1.1289244564650001</v>
      </c>
      <c r="AH5518">
        <v>48.173237561759997</v>
      </c>
      <c r="AI5518">
        <v>91.319167056910501</v>
      </c>
      <c r="AJ5518">
        <v>100.691302784467</v>
      </c>
      <c r="AK5518">
        <v>49.037247725144802</v>
      </c>
      <c r="AL5518">
        <v>80.184864552472803</v>
      </c>
      <c r="AM5518">
        <v>93.597778025075698</v>
      </c>
      <c r="AN5518">
        <v>0.99999998874720297</v>
      </c>
    </row>
    <row r="5519" spans="1:40" x14ac:dyDescent="0.25">
      <c r="A5519" t="str">
        <f>"20190303170403787"</f>
        <v>20190303170403787</v>
      </c>
      <c r="B5519" t="str">
        <f>"1551603843780750"</f>
        <v>1551603843780750</v>
      </c>
      <c r="C5519" t="s">
        <v>40</v>
      </c>
      <c r="D5519">
        <v>4.75258</v>
      </c>
      <c r="E5519">
        <v>0.45291900000000002</v>
      </c>
      <c r="F5519" t="s">
        <v>42</v>
      </c>
      <c r="G5519">
        <v>-418.59649999999999</v>
      </c>
      <c r="H5519" s="1">
        <v>-3.2116139999999998E-6</v>
      </c>
      <c r="I5519">
        <v>56.538800000000002</v>
      </c>
      <c r="J5519">
        <v>-419.18360000000001</v>
      </c>
      <c r="K5519">
        <v>1.128695</v>
      </c>
      <c r="L5519">
        <v>108.2217</v>
      </c>
      <c r="M5519">
        <v>-0.1735536</v>
      </c>
      <c r="N5519">
        <v>-1.461665E-2</v>
      </c>
      <c r="O5519">
        <v>-0.98471620000000004</v>
      </c>
      <c r="P5519">
        <v>-0.1147951</v>
      </c>
      <c r="Q5519">
        <v>0.1576881</v>
      </c>
      <c r="R5519">
        <v>-0.98079430000000001</v>
      </c>
      <c r="S5519">
        <v>3.0975340000000001E-2</v>
      </c>
      <c r="T5519">
        <v>-6.6684010000000002E-2</v>
      </c>
      <c r="U5519">
        <v>-3.074875</v>
      </c>
      <c r="V5519">
        <v>-6.0287930000000003E-2</v>
      </c>
      <c r="W5519">
        <v>0.17101859999999999</v>
      </c>
      <c r="X5519">
        <v>0.98342160000000001</v>
      </c>
      <c r="Y5519">
        <v>-0.18343419999999999</v>
      </c>
      <c r="Z5519">
        <v>6.3750500000000002E-3</v>
      </c>
      <c r="AA5519">
        <v>0.98301130000000003</v>
      </c>
      <c r="AB5519">
        <v>39</v>
      </c>
      <c r="AC5519">
        <v>0.58710000000002005</v>
      </c>
      <c r="AD5519">
        <v>-1.1286982116140001</v>
      </c>
      <c r="AE5519">
        <v>-51.682899999999997</v>
      </c>
      <c r="AF5519">
        <v>-9.5443465044708606</v>
      </c>
      <c r="AG5519">
        <v>-1.1286982116140001</v>
      </c>
      <c r="AH5519">
        <v>50.772297473353902</v>
      </c>
      <c r="AI5519">
        <v>91.2515942073357</v>
      </c>
      <c r="AJ5519">
        <v>100.6464062318</v>
      </c>
      <c r="AK5519">
        <v>51.673926699768501</v>
      </c>
      <c r="AL5519">
        <v>80.152952312366196</v>
      </c>
      <c r="AM5519">
        <v>93.5080848498026</v>
      </c>
      <c r="AN5519">
        <v>1.0000000196981</v>
      </c>
    </row>
    <row r="5520" spans="1:40" x14ac:dyDescent="0.25">
      <c r="A5520" t="str">
        <f>"20190303170403809"</f>
        <v>20190303170403809</v>
      </c>
      <c r="B5520" t="str">
        <f>"1551603843801246"</f>
        <v>1551603843801246</v>
      </c>
      <c r="C5520" t="s">
        <v>40</v>
      </c>
      <c r="D5520">
        <v>4.7429600000000001</v>
      </c>
      <c r="E5520">
        <v>0.45377529999999999</v>
      </c>
      <c r="F5520" t="s">
        <v>42</v>
      </c>
      <c r="G5520">
        <v>-418.50580000000002</v>
      </c>
      <c r="H5520" s="1">
        <v>-2.9383669999999998E-6</v>
      </c>
      <c r="I5520">
        <v>55.864350000000002</v>
      </c>
      <c r="J5520">
        <v>-419.24310000000003</v>
      </c>
      <c r="K5520">
        <v>1.128468</v>
      </c>
      <c r="L5520">
        <v>107.8548</v>
      </c>
      <c r="M5520">
        <v>-0.16741729999999999</v>
      </c>
      <c r="N5520">
        <v>-1.4594090000000001E-2</v>
      </c>
      <c r="O5520">
        <v>-0.98577820000000005</v>
      </c>
      <c r="P5520">
        <v>-0.1112075</v>
      </c>
      <c r="Q5520">
        <v>0.159028</v>
      </c>
      <c r="R5520">
        <v>-0.9809911</v>
      </c>
      <c r="S5520">
        <v>3.9794919999999998E-2</v>
      </c>
      <c r="T5520">
        <v>-6.6269399999999895E-2</v>
      </c>
      <c r="U5520">
        <v>-3.0740660000000002</v>
      </c>
      <c r="V5520">
        <v>-5.7640869999999997E-2</v>
      </c>
      <c r="W5520">
        <v>0.1724156</v>
      </c>
      <c r="X5520">
        <v>0.98333630000000005</v>
      </c>
      <c r="Y5520">
        <v>-0.1801343</v>
      </c>
      <c r="Z5520">
        <v>6.3100129999999997E-3</v>
      </c>
      <c r="AA5520">
        <v>0.98362179999999999</v>
      </c>
      <c r="AB5520">
        <v>39</v>
      </c>
      <c r="AC5520">
        <v>0.73730000000000395</v>
      </c>
      <c r="AD5520">
        <v>-1.128470938367</v>
      </c>
      <c r="AE5520">
        <v>-51.990450000000003</v>
      </c>
      <c r="AF5520">
        <v>-9.4274779834175408</v>
      </c>
      <c r="AG5520">
        <v>-1.128470938367</v>
      </c>
      <c r="AH5520">
        <v>51.108982247770697</v>
      </c>
      <c r="AI5520">
        <v>91.243890199811403</v>
      </c>
      <c r="AJ5520">
        <v>100.451207380071</v>
      </c>
      <c r="AK5520">
        <v>51.9834478867024</v>
      </c>
      <c r="AL5520">
        <v>80.071702494173294</v>
      </c>
      <c r="AM5520">
        <v>93.3547055789289</v>
      </c>
      <c r="AN5520">
        <v>0.99999994395770198</v>
      </c>
    </row>
    <row r="5521" spans="1:40" x14ac:dyDescent="0.25">
      <c r="A5521" t="str">
        <f>"20190303170403832"</f>
        <v>20190303170403832</v>
      </c>
      <c r="B5521" t="str">
        <f>"1551603843820765"</f>
        <v>1551603843820765</v>
      </c>
      <c r="C5521" t="s">
        <v>40</v>
      </c>
      <c r="D5521">
        <v>4.708056</v>
      </c>
      <c r="E5521">
        <v>0.45418170000000002</v>
      </c>
      <c r="F5521" t="s">
        <v>42</v>
      </c>
      <c r="G5521">
        <v>-418.42669999999998</v>
      </c>
      <c r="H5521" s="1">
        <v>-1.1484159999999999E-6</v>
      </c>
      <c r="I5521">
        <v>51.659199999999998</v>
      </c>
      <c r="J5521">
        <v>-419.3021</v>
      </c>
      <c r="K5521">
        <v>1.1282289999999999</v>
      </c>
      <c r="L5521">
        <v>107.47629999999999</v>
      </c>
      <c r="M5521">
        <v>-0.16136800000000001</v>
      </c>
      <c r="N5521">
        <v>-1.4570339999999999E-2</v>
      </c>
      <c r="O5521">
        <v>-0.98678679999999996</v>
      </c>
      <c r="P5521">
        <v>-0.1085156</v>
      </c>
      <c r="Q5521">
        <v>0.1610829</v>
      </c>
      <c r="R5521">
        <v>-0.98095719999999997</v>
      </c>
      <c r="S5521">
        <v>4.4647220000000001E-2</v>
      </c>
      <c r="T5521">
        <v>-6.1713219999999999E-2</v>
      </c>
      <c r="U5521">
        <v>-3.0731959999999998</v>
      </c>
      <c r="V5521">
        <v>-5.4173159999999998E-2</v>
      </c>
      <c r="W5521">
        <v>0.17453689999999999</v>
      </c>
      <c r="X5521">
        <v>0.98315920000000001</v>
      </c>
      <c r="Y5521">
        <v>-0.17565919999999999</v>
      </c>
      <c r="Z5521">
        <v>4.9383669999999999E-3</v>
      </c>
      <c r="AA5521">
        <v>0.9844387</v>
      </c>
      <c r="AB5521">
        <v>39</v>
      </c>
      <c r="AC5521">
        <v>0.87540000000001295</v>
      </c>
      <c r="AD5521">
        <v>-1.128230148416</v>
      </c>
      <c r="AE5521">
        <v>-55.817100000000003</v>
      </c>
      <c r="AF5521">
        <v>-9.8679436282337694</v>
      </c>
      <c r="AG5521">
        <v>-1.128230148416</v>
      </c>
      <c r="AH5521">
        <v>54.921711722612798</v>
      </c>
      <c r="AI5521">
        <v>91.158291443326306</v>
      </c>
      <c r="AJ5521">
        <v>100.185819818303</v>
      </c>
      <c r="AK5521">
        <v>55.812575941803502</v>
      </c>
      <c r="AL5521">
        <v>79.948289672488698</v>
      </c>
      <c r="AM5521">
        <v>93.153871584806296</v>
      </c>
      <c r="AN5521">
        <v>0.99999993663531495</v>
      </c>
    </row>
    <row r="5522" spans="1:40" x14ac:dyDescent="0.25">
      <c r="A5522" t="str">
        <f>"20190303170403854"</f>
        <v>20190303170403854</v>
      </c>
      <c r="B5522" t="str">
        <f>"1551603843841262"</f>
        <v>1551603843841262</v>
      </c>
      <c r="C5522" t="s">
        <v>40</v>
      </c>
      <c r="D5522">
        <v>4.7158110000000004</v>
      </c>
      <c r="E5522">
        <v>0.462862</v>
      </c>
      <c r="F5522" t="s">
        <v>42</v>
      </c>
      <c r="G5522">
        <v>-418.28210000000001</v>
      </c>
      <c r="H5522" s="1">
        <v>-2.6075789999999999E-6</v>
      </c>
      <c r="I5522">
        <v>45.000770000000003</v>
      </c>
      <c r="J5522">
        <v>-419.35969999999998</v>
      </c>
      <c r="K5522">
        <v>1.12798</v>
      </c>
      <c r="L5522">
        <v>107.0936</v>
      </c>
      <c r="M5522">
        <v>-0.1555396</v>
      </c>
      <c r="N5522">
        <v>-1.454595E-2</v>
      </c>
      <c r="O5522">
        <v>-0.98772269999999895</v>
      </c>
      <c r="P5522">
        <v>-0.1052386</v>
      </c>
      <c r="Q5522">
        <v>0.16268820000000001</v>
      </c>
      <c r="R5522">
        <v>-0.98104950000000002</v>
      </c>
      <c r="S5522">
        <v>5.0170899999999997E-2</v>
      </c>
      <c r="T5522">
        <v>-5.5492640000000003E-2</v>
      </c>
      <c r="U5522">
        <v>-3.0728909999999998</v>
      </c>
      <c r="V5522">
        <v>-5.1517680000000003E-2</v>
      </c>
      <c r="W5522">
        <v>0.1761926</v>
      </c>
      <c r="X5522">
        <v>0.98300670000000001</v>
      </c>
      <c r="Y5522">
        <v>-0.1716203</v>
      </c>
      <c r="Z5522">
        <v>3.026857E-3</v>
      </c>
      <c r="AA5522">
        <v>0.98515850000000005</v>
      </c>
      <c r="AB5522">
        <v>38</v>
      </c>
      <c r="AC5522">
        <v>1.0775999999999599</v>
      </c>
      <c r="AD5522">
        <v>-1.127982607579</v>
      </c>
      <c r="AE5522">
        <v>-62.0928299999999</v>
      </c>
      <c r="AF5522">
        <v>-10.7198603596834</v>
      </c>
      <c r="AG5522">
        <v>-1.127982607579</v>
      </c>
      <c r="AH5522">
        <v>61.149177608723498</v>
      </c>
      <c r="AI5522">
        <v>91.040911147482404</v>
      </c>
      <c r="AJ5522">
        <v>99.943294905191905</v>
      </c>
      <c r="AK5522">
        <v>62.091945315937103</v>
      </c>
      <c r="AL5522">
        <v>79.851932864605999</v>
      </c>
      <c r="AM5522">
        <v>93.000028007295896</v>
      </c>
      <c r="AN5522">
        <v>1.00000003794611</v>
      </c>
    </row>
    <row r="5523" spans="1:40" x14ac:dyDescent="0.25">
      <c r="A5523" t="str">
        <f>"20190303170403878"</f>
        <v>20190303170403878</v>
      </c>
      <c r="B5523" t="str">
        <f>"1551603843871519"</f>
        <v>1551603843871519</v>
      </c>
      <c r="C5523" t="s">
        <v>40</v>
      </c>
      <c r="D5523">
        <v>4.7878569999999998</v>
      </c>
      <c r="E5523">
        <v>0.46391080000000001</v>
      </c>
      <c r="F5523" t="s">
        <v>75</v>
      </c>
      <c r="G5523">
        <v>-419.55270000000002</v>
      </c>
      <c r="H5523" s="1">
        <v>-9.2428919999999998E-7</v>
      </c>
      <c r="I5523">
        <v>38.329250000000002</v>
      </c>
      <c r="J5523">
        <v>-419.41570000000002</v>
      </c>
      <c r="K5523">
        <v>1.127699</v>
      </c>
      <c r="L5523">
        <v>106.7059</v>
      </c>
      <c r="M5523">
        <v>-0.14996089999999901</v>
      </c>
      <c r="N5523">
        <v>-1.452062E-2</v>
      </c>
      <c r="O5523">
        <v>-0.98858539999999995</v>
      </c>
      <c r="P5523">
        <v>-0.10066509999999999</v>
      </c>
      <c r="Q5523">
        <v>0.1630452</v>
      </c>
      <c r="R5523">
        <v>-0.98146990000000001</v>
      </c>
      <c r="S5523">
        <v>-8.6059569999999991E-3</v>
      </c>
      <c r="T5523">
        <v>-5.0282960000000002E-2</v>
      </c>
      <c r="U5523">
        <v>-3.065369</v>
      </c>
      <c r="V5523">
        <v>-5.0421979999999998E-2</v>
      </c>
      <c r="W5523">
        <v>0.17657509999999901</v>
      </c>
      <c r="X5523">
        <v>0.9829949</v>
      </c>
      <c r="Y5523">
        <v>-0.1471671</v>
      </c>
      <c r="Z5523">
        <v>1.516512E-3</v>
      </c>
      <c r="AA5523">
        <v>0.9891105</v>
      </c>
      <c r="AB5523">
        <v>38</v>
      </c>
      <c r="AC5523">
        <v>-0.13700000000000001</v>
      </c>
      <c r="AD5523">
        <v>-1.1276999242892001</v>
      </c>
      <c r="AE5523">
        <v>-68.376649999999998</v>
      </c>
      <c r="AF5523">
        <v>-10.116701838706801</v>
      </c>
      <c r="AG5523">
        <v>-1.1276999242892001</v>
      </c>
      <c r="AH5523">
        <v>67.605436181045803</v>
      </c>
      <c r="AI5523">
        <v>90.945118386059505</v>
      </c>
      <c r="AJ5523">
        <v>98.510777936363297</v>
      </c>
      <c r="AK5523">
        <v>68.367494940519805</v>
      </c>
      <c r="AL5523">
        <v>79.829668354674098</v>
      </c>
      <c r="AM5523">
        <v>92.936370190283</v>
      </c>
      <c r="AN5523">
        <v>1.00000005771656</v>
      </c>
    </row>
    <row r="5524" spans="1:40" x14ac:dyDescent="0.25">
      <c r="A5524" t="str">
        <f>"20190303170403898"</f>
        <v>20190303170403898</v>
      </c>
      <c r="B5524" t="str">
        <f>"1551603843891038"</f>
        <v>1551603843891038</v>
      </c>
      <c r="C5524" t="s">
        <v>40</v>
      </c>
      <c r="D5524">
        <v>4.6708600000000002</v>
      </c>
      <c r="E5524">
        <v>0.46537410000000001</v>
      </c>
      <c r="F5524" t="s">
        <v>42</v>
      </c>
      <c r="G5524">
        <v>-419.46890000000002</v>
      </c>
      <c r="H5524" s="1">
        <v>-8.8784490000000003E-7</v>
      </c>
      <c r="I5524">
        <v>41.482770000000002</v>
      </c>
      <c r="J5524">
        <v>-419.4665</v>
      </c>
      <c r="K5524">
        <v>1.127416</v>
      </c>
      <c r="L5524">
        <v>106.3417</v>
      </c>
      <c r="M5524">
        <v>-0.14500759999999999</v>
      </c>
      <c r="N5524">
        <v>-1.4496459999999999E-2</v>
      </c>
      <c r="O5524">
        <v>-0.98932430000000005</v>
      </c>
      <c r="P5524">
        <v>-9.7311850000000005E-2</v>
      </c>
      <c r="Q5524">
        <v>0.16344739999999999</v>
      </c>
      <c r="R5524">
        <v>-0.98174110000000003</v>
      </c>
      <c r="S5524">
        <v>-2.5024410000000002E-3</v>
      </c>
      <c r="T5524">
        <v>-5.2996639999999998E-2</v>
      </c>
      <c r="U5524">
        <v>-3.0651860000000002</v>
      </c>
      <c r="V5524">
        <v>-4.8727319999999998E-2</v>
      </c>
      <c r="W5524">
        <v>0.17701159999999999</v>
      </c>
      <c r="X5524">
        <v>0.98300180000000004</v>
      </c>
      <c r="Y5524">
        <v>-0.14418159999999999</v>
      </c>
      <c r="Z5524">
        <v>2.4276240000000002E-3</v>
      </c>
      <c r="AA5524">
        <v>0.98954830000000005</v>
      </c>
      <c r="AB5524">
        <v>38</v>
      </c>
      <c r="AC5524">
        <v>-2.4000000000228201E-3</v>
      </c>
      <c r="AD5524">
        <v>-1.12741688784489</v>
      </c>
      <c r="AE5524">
        <v>-64.858930000000001</v>
      </c>
      <c r="AF5524">
        <v>-9.4008113942312299</v>
      </c>
      <c r="AG5524">
        <v>-1.12741688784489</v>
      </c>
      <c r="AH5524">
        <v>64.154224846627798</v>
      </c>
      <c r="AI5524">
        <v>90.996150209443201</v>
      </c>
      <c r="AJ5524">
        <v>98.336481929771907</v>
      </c>
      <c r="AK5524">
        <v>64.849139465227907</v>
      </c>
      <c r="AL5524">
        <v>79.804257881897897</v>
      </c>
      <c r="AM5524">
        <v>92.837824348229802</v>
      </c>
      <c r="AN5524">
        <v>0.99999999852609101</v>
      </c>
    </row>
    <row r="5525" spans="1:40" x14ac:dyDescent="0.25">
      <c r="A5525" t="str">
        <f>"20190303170403921"</f>
        <v>20190303170403921</v>
      </c>
      <c r="B5525" t="str">
        <f>"1551603843911534"</f>
        <v>1551603843911534</v>
      </c>
      <c r="C5525" t="s">
        <v>40</v>
      </c>
      <c r="D5525">
        <v>4.7282830000000002</v>
      </c>
      <c r="E5525">
        <v>0.46665820000000002</v>
      </c>
      <c r="F5525" t="s">
        <v>42</v>
      </c>
      <c r="G5525">
        <v>-419.51639999999998</v>
      </c>
      <c r="H5525" s="1">
        <v>-2.1753839999999999E-6</v>
      </c>
      <c r="I5525">
        <v>44.50367</v>
      </c>
      <c r="J5525">
        <v>-419.51690000000002</v>
      </c>
      <c r="K5525">
        <v>1.1271340000000001</v>
      </c>
      <c r="L5525">
        <v>105.9676</v>
      </c>
      <c r="M5525">
        <v>-0.1401772</v>
      </c>
      <c r="N5525">
        <v>-1.447186E-2</v>
      </c>
      <c r="O5525">
        <v>-0.99002060000000003</v>
      </c>
      <c r="P5525">
        <v>-9.5212900000000003E-2</v>
      </c>
      <c r="Q5525">
        <v>0.1640172</v>
      </c>
      <c r="R5525">
        <v>-0.98185180000000005</v>
      </c>
      <c r="S5525">
        <v>-2.4719239999999999E-3</v>
      </c>
      <c r="T5525">
        <v>-5.5877690000000001E-2</v>
      </c>
      <c r="U5525">
        <v>-3.0648499999999999</v>
      </c>
      <c r="V5525">
        <v>-4.5894530000000003E-2</v>
      </c>
      <c r="W5525">
        <v>0.17763010000000001</v>
      </c>
      <c r="X5525">
        <v>0.98302659999999997</v>
      </c>
      <c r="Y5525">
        <v>-0.13936009999999999</v>
      </c>
      <c r="Z5525">
        <v>3.3992829999999999E-3</v>
      </c>
      <c r="AA5525">
        <v>0.99023589999999995</v>
      </c>
      <c r="AB5525">
        <v>38</v>
      </c>
      <c r="AC5525">
        <v>5.0000000004501999E-4</v>
      </c>
      <c r="AD5525">
        <v>-1.1271361753839999</v>
      </c>
      <c r="AE5525">
        <v>-61.463929999999998</v>
      </c>
      <c r="AF5525">
        <v>-8.6143426932464795</v>
      </c>
      <c r="AG5525">
        <v>-1.1271361753839999</v>
      </c>
      <c r="AH5525">
        <v>60.836405223084697</v>
      </c>
      <c r="AI5525">
        <v>91.050935374911404</v>
      </c>
      <c r="AJ5525">
        <v>98.059416356853504</v>
      </c>
      <c r="AK5525">
        <v>61.453604747499703</v>
      </c>
      <c r="AL5525">
        <v>79.768250133365797</v>
      </c>
      <c r="AM5525">
        <v>92.673025162818604</v>
      </c>
      <c r="AN5525">
        <v>1.00000002830874</v>
      </c>
    </row>
    <row r="5526" spans="1:40" x14ac:dyDescent="0.25">
      <c r="A5526" t="str">
        <f>"20190303170403936"</f>
        <v>20190303170403936</v>
      </c>
      <c r="B5526" t="str">
        <f>"1551603843921294"</f>
        <v>1551603843921294</v>
      </c>
      <c r="C5526" t="s">
        <v>40</v>
      </c>
      <c r="D5526">
        <v>4.7302989999999996</v>
      </c>
      <c r="E5526">
        <v>0.46719270000000002</v>
      </c>
      <c r="F5526" t="s">
        <v>42</v>
      </c>
      <c r="G5526">
        <v>-419.61099999999999</v>
      </c>
      <c r="H5526" s="1">
        <v>-1.5036619999999999E-6</v>
      </c>
      <c r="I5526">
        <v>42.97701</v>
      </c>
      <c r="J5526">
        <v>-419.5498</v>
      </c>
      <c r="K5526">
        <v>1.1269439999999999</v>
      </c>
      <c r="L5526">
        <v>105.7178</v>
      </c>
      <c r="M5526">
        <v>-0.13708290000000001</v>
      </c>
      <c r="N5526">
        <v>-1.445623E-2</v>
      </c>
      <c r="O5526">
        <v>-0.9904541</v>
      </c>
      <c r="P5526">
        <v>-9.3538289999999996E-2</v>
      </c>
      <c r="Q5526">
        <v>0.16449800000000001</v>
      </c>
      <c r="R5526">
        <v>-0.98193260000000004</v>
      </c>
      <c r="S5526">
        <v>-4.5776369999999999E-3</v>
      </c>
      <c r="T5526">
        <v>-5.4829240000000001E-2</v>
      </c>
      <c r="U5526">
        <v>-3.0641630000000002</v>
      </c>
      <c r="V5526">
        <v>-4.4407250000000002E-2</v>
      </c>
      <c r="W5526">
        <v>0.17813590000000001</v>
      </c>
      <c r="X5526">
        <v>0.98300330000000002</v>
      </c>
      <c r="Y5526">
        <v>-0.13558539999999999</v>
      </c>
      <c r="Z5526">
        <v>3.1005820000000002E-3</v>
      </c>
      <c r="AA5526">
        <v>0.9907608</v>
      </c>
      <c r="AB5526">
        <v>38</v>
      </c>
      <c r="AC5526">
        <v>-6.1199999999985197E-2</v>
      </c>
      <c r="AD5526">
        <v>-1.126945503662</v>
      </c>
      <c r="AE5526">
        <v>-62.740789999999997</v>
      </c>
      <c r="AF5526">
        <v>-8.5382113454811606</v>
      </c>
      <c r="AG5526">
        <v>-1.126945503662</v>
      </c>
      <c r="AH5526">
        <v>62.136709267929803</v>
      </c>
      <c r="AI5526">
        <v>91.029363401385098</v>
      </c>
      <c r="AJ5526">
        <v>97.824021054914894</v>
      </c>
      <c r="AK5526">
        <v>62.730707773749501</v>
      </c>
      <c r="AL5526">
        <v>79.738799390041294</v>
      </c>
      <c r="AM5526">
        <v>92.586582666022494</v>
      </c>
      <c r="AN5526">
        <v>0.99999994526612901</v>
      </c>
    </row>
    <row r="5527" spans="1:40" x14ac:dyDescent="0.25">
      <c r="A5527" t="str">
        <f>"20190303170403949"</f>
        <v>20190303170403949</v>
      </c>
      <c r="B5527" t="str">
        <f>"1551603843940814"</f>
        <v>1551603843940814</v>
      </c>
      <c r="C5527" t="s">
        <v>40</v>
      </c>
      <c r="D5527">
        <v>4.7887009999999997</v>
      </c>
      <c r="E5527">
        <v>0.4745644</v>
      </c>
      <c r="F5527" t="s">
        <v>42</v>
      </c>
      <c r="G5527">
        <v>-419.61520000000002</v>
      </c>
      <c r="H5527" s="1">
        <v>-1.6069739999999999E-6</v>
      </c>
      <c r="I5527">
        <v>43.219540000000002</v>
      </c>
      <c r="J5527">
        <v>-419.5795</v>
      </c>
      <c r="K5527">
        <v>1.126762</v>
      </c>
      <c r="L5527">
        <v>105.4862</v>
      </c>
      <c r="M5527">
        <v>-0.13437270000000001</v>
      </c>
      <c r="N5527">
        <v>-1.444146E-2</v>
      </c>
      <c r="O5527">
        <v>-0.99082570000000003</v>
      </c>
      <c r="P5527">
        <v>-9.2231640000000004E-2</v>
      </c>
      <c r="Q5527">
        <v>0.1648954</v>
      </c>
      <c r="R5527">
        <v>-0.98198949999999996</v>
      </c>
      <c r="S5527">
        <v>-3.2043459999999998E-3</v>
      </c>
      <c r="T5527">
        <v>-5.5251599999999998E-2</v>
      </c>
      <c r="U5527">
        <v>-3.0641479999999999</v>
      </c>
      <c r="V5527">
        <v>-4.2936729999999999E-2</v>
      </c>
      <c r="W5527">
        <v>0.17855770000000001</v>
      </c>
      <c r="X5527">
        <v>0.98299219999999998</v>
      </c>
      <c r="Y5527">
        <v>-0.13331889999999999</v>
      </c>
      <c r="Z5527">
        <v>3.2629909999999998E-3</v>
      </c>
      <c r="AA5527">
        <v>0.99106780000000005</v>
      </c>
      <c r="AB5527">
        <v>38</v>
      </c>
      <c r="AC5527">
        <v>-3.5700000000019799E-2</v>
      </c>
      <c r="AD5527">
        <v>-1.1267636069739999</v>
      </c>
      <c r="AE5527">
        <v>-62.266660000000002</v>
      </c>
      <c r="AF5527">
        <v>-8.3297074507531104</v>
      </c>
      <c r="AG5527">
        <v>-1.1267636069739999</v>
      </c>
      <c r="AH5527">
        <v>61.686434894949301</v>
      </c>
      <c r="AI5527">
        <v>91.037037742607595</v>
      </c>
      <c r="AJ5527">
        <v>97.690307496627398</v>
      </c>
      <c r="AK5527">
        <v>62.256484581848603</v>
      </c>
      <c r="AL5527">
        <v>79.714239243458906</v>
      </c>
      <c r="AM5527">
        <v>92.501068328311405</v>
      </c>
      <c r="AN5527">
        <v>1.00000004013661</v>
      </c>
    </row>
    <row r="5528" spans="1:40" x14ac:dyDescent="0.25">
      <c r="A5528" t="str">
        <f>"20190303170403963"</f>
        <v>20190303170403963</v>
      </c>
      <c r="B5528" t="str">
        <f>"1551603843951551"</f>
        <v>1551603843951551</v>
      </c>
      <c r="C5528" t="s">
        <v>40</v>
      </c>
      <c r="D5528">
        <v>4.6727749999999997</v>
      </c>
      <c r="E5528">
        <v>0.47495189999999998</v>
      </c>
      <c r="F5528" t="s">
        <v>42</v>
      </c>
      <c r="G5528">
        <v>-420.47129999999999</v>
      </c>
      <c r="H5528" s="1">
        <v>-3.7078229999999999E-6</v>
      </c>
      <c r="I5528">
        <v>57.939799999999998</v>
      </c>
      <c r="J5528">
        <v>-419.60820000000001</v>
      </c>
      <c r="K5528">
        <v>1.1265769999999999</v>
      </c>
      <c r="L5528">
        <v>105.2586</v>
      </c>
      <c r="M5528">
        <v>-0.1318202</v>
      </c>
      <c r="N5528">
        <v>-1.442678E-2</v>
      </c>
      <c r="O5528">
        <v>-0.99116890000000002</v>
      </c>
      <c r="P5528">
        <v>-9.0547429999999998E-2</v>
      </c>
      <c r="Q5528">
        <v>0.165323</v>
      </c>
      <c r="R5528">
        <v>-0.98207429999999996</v>
      </c>
      <c r="S5528">
        <v>-5.7434079999999998E-2</v>
      </c>
      <c r="T5528">
        <v>-7.2559949999999998E-2</v>
      </c>
      <c r="U5528">
        <v>-3.0618289999999999</v>
      </c>
      <c r="V5528">
        <v>-4.200098E-2</v>
      </c>
      <c r="W5528">
        <v>0.1790011</v>
      </c>
      <c r="X5528">
        <v>0.98295189999999999</v>
      </c>
      <c r="Y5528">
        <v>-0.113189</v>
      </c>
      <c r="Z5528">
        <v>8.8961319999999993E-3</v>
      </c>
      <c r="AA5528">
        <v>0.99353369999999996</v>
      </c>
      <c r="AB5528">
        <v>38</v>
      </c>
      <c r="AC5528">
        <v>-0.863099999999974</v>
      </c>
      <c r="AD5528">
        <v>-1.1265807078229999</v>
      </c>
      <c r="AE5528">
        <v>-47.318800000000003</v>
      </c>
      <c r="AF5528">
        <v>-5.3796063374091201</v>
      </c>
      <c r="AG5528">
        <v>-1.1265807078229999</v>
      </c>
      <c r="AH5528">
        <v>46.992950518473897</v>
      </c>
      <c r="AI5528">
        <v>91.364403752878403</v>
      </c>
      <c r="AJ5528">
        <v>96.530613267985203</v>
      </c>
      <c r="AK5528">
        <v>47.313282985526101</v>
      </c>
      <c r="AL5528">
        <v>79.688417431650905</v>
      </c>
      <c r="AM5528">
        <v>92.446727968023296</v>
      </c>
      <c r="AN5528">
        <v>0.99999995691788901</v>
      </c>
    </row>
    <row r="5529" spans="1:40" x14ac:dyDescent="0.25">
      <c r="A5529" t="str">
        <f>"20190303170403977"</f>
        <v>20190303170403977</v>
      </c>
      <c r="B5529" t="str">
        <f>"1551603843971071"</f>
        <v>1551603843971071</v>
      </c>
      <c r="C5529" t="s">
        <v>40</v>
      </c>
      <c r="D5529">
        <v>4.7268869999999996</v>
      </c>
      <c r="E5529">
        <v>0.47546440000000001</v>
      </c>
      <c r="F5529" t="s">
        <v>42</v>
      </c>
      <c r="G5529">
        <v>-420.50330000000002</v>
      </c>
      <c r="H5529" s="1">
        <v>-2.6970720000000001E-6</v>
      </c>
      <c r="I5529">
        <v>55.563879999999997</v>
      </c>
      <c r="J5529">
        <v>-419.63900000000001</v>
      </c>
      <c r="K5529">
        <v>1.126369</v>
      </c>
      <c r="L5529">
        <v>105.0098</v>
      </c>
      <c r="M5529">
        <v>-0.1291543</v>
      </c>
      <c r="N5529">
        <v>-1.4410549999999999E-2</v>
      </c>
      <c r="O5529">
        <v>-0.99151990000000001</v>
      </c>
      <c r="P5529">
        <v>-8.9985720000000005E-2</v>
      </c>
      <c r="Q5529">
        <v>0.1658618</v>
      </c>
      <c r="R5529">
        <v>-0.98203479999999999</v>
      </c>
      <c r="S5529">
        <v>-5.5145260000000001E-2</v>
      </c>
      <c r="T5529">
        <v>-6.9401260000000006E-2</v>
      </c>
      <c r="U5529">
        <v>-3.0613709999999998</v>
      </c>
      <c r="V5529">
        <v>-3.9812489999999999E-2</v>
      </c>
      <c r="W5529">
        <v>0.1795725</v>
      </c>
      <c r="X5529">
        <v>0.9829388</v>
      </c>
      <c r="Y5529">
        <v>-0.111258</v>
      </c>
      <c r="Z5529">
        <v>7.9149990000000007E-3</v>
      </c>
      <c r="AA5529">
        <v>0.99375999999999998</v>
      </c>
      <c r="AB5529">
        <v>38</v>
      </c>
      <c r="AC5529">
        <v>-0.86430000000001395</v>
      </c>
      <c r="AD5529">
        <v>-1.1263716970719999</v>
      </c>
      <c r="AE5529">
        <v>-49.445920000000001</v>
      </c>
      <c r="AF5529">
        <v>-5.5268890013309298</v>
      </c>
      <c r="AG5529">
        <v>-1.1263716970719999</v>
      </c>
      <c r="AH5529">
        <v>49.117858909229099</v>
      </c>
      <c r="AI5529">
        <v>91.305442179387498</v>
      </c>
      <c r="AJ5529">
        <v>96.4200882479402</v>
      </c>
      <c r="AK5529">
        <v>49.440664225513103</v>
      </c>
      <c r="AL5529">
        <v>79.655139871835203</v>
      </c>
      <c r="AM5529">
        <v>92.319413450050007</v>
      </c>
      <c r="AN5529">
        <v>1.0000000008308401</v>
      </c>
    </row>
    <row r="5530" spans="1:40" x14ac:dyDescent="0.25">
      <c r="A5530" t="str">
        <f>"20190303170403999"</f>
        <v>20190303170403999</v>
      </c>
      <c r="B5530" t="str">
        <f>"1551603843991567"</f>
        <v>1551603843991567</v>
      </c>
      <c r="C5530" t="s">
        <v>40</v>
      </c>
      <c r="D5530">
        <v>4.7234449999999999</v>
      </c>
      <c r="E5530">
        <v>0.47592570000000001</v>
      </c>
      <c r="F5530" t="s">
        <v>42</v>
      </c>
      <c r="G5530">
        <v>-420.58940000000001</v>
      </c>
      <c r="H5530" s="1">
        <v>-2.5312570000000001E-6</v>
      </c>
      <c r="I5530">
        <v>55.123989999999999</v>
      </c>
      <c r="J5530">
        <v>-419.68200000000002</v>
      </c>
      <c r="K5530">
        <v>1.1260209999999999</v>
      </c>
      <c r="L5530">
        <v>104.6545</v>
      </c>
      <c r="M5530">
        <v>-0.12568859999999901</v>
      </c>
      <c r="N5530">
        <v>-1.438621E-2</v>
      </c>
      <c r="O5530">
        <v>-0.9919654</v>
      </c>
      <c r="P5530">
        <v>-8.8750129999999997E-2</v>
      </c>
      <c r="Q5530">
        <v>0.16647290000000001</v>
      </c>
      <c r="R5530">
        <v>-0.98204409999999998</v>
      </c>
      <c r="S5530">
        <v>-5.8319089999999997E-2</v>
      </c>
      <c r="T5530">
        <v>-6.9119219999999995E-2</v>
      </c>
      <c r="U5530">
        <v>-3.0612180000000002</v>
      </c>
      <c r="V5530">
        <v>-3.7446550000000002E-2</v>
      </c>
      <c r="W5530">
        <v>0.1802184</v>
      </c>
      <c r="X5530">
        <v>0.98291360000000005</v>
      </c>
      <c r="Y5530">
        <v>-0.1067544</v>
      </c>
      <c r="Z5530">
        <v>7.8707009999999904E-3</v>
      </c>
      <c r="AA5530">
        <v>0.99425430000000004</v>
      </c>
      <c r="AB5530">
        <v>38</v>
      </c>
      <c r="AC5530">
        <v>-0.90740000000005205</v>
      </c>
      <c r="AD5530">
        <v>-1.1260235312569999</v>
      </c>
      <c r="AE5530">
        <v>-49.53051</v>
      </c>
      <c r="AF5530">
        <v>-5.3231121352699899</v>
      </c>
      <c r="AG5530">
        <v>-1.1260235312569999</v>
      </c>
      <c r="AH5530">
        <v>49.2262671623145</v>
      </c>
      <c r="AI5530">
        <v>91.302788454192495</v>
      </c>
      <c r="AJ5530">
        <v>96.171732292923394</v>
      </c>
      <c r="AK5530">
        <v>49.526041942933098</v>
      </c>
      <c r="AL5530">
        <v>79.617519077276796</v>
      </c>
      <c r="AM5530">
        <v>92.1817707623416</v>
      </c>
      <c r="AN5530">
        <v>1.0000000304352099</v>
      </c>
    </row>
    <row r="5531" spans="1:40" x14ac:dyDescent="0.25">
      <c r="A5531" t="str">
        <f>"20190303170404021"</f>
        <v>20190303170404021</v>
      </c>
      <c r="B5531" t="str">
        <f>"1551603844011087"</f>
        <v>1551603844011087</v>
      </c>
      <c r="C5531" t="s">
        <v>40</v>
      </c>
      <c r="D5531">
        <v>4.8463500000000002</v>
      </c>
      <c r="E5531">
        <v>0.4763579</v>
      </c>
      <c r="F5531" t="s">
        <v>42</v>
      </c>
      <c r="G5531">
        <v>-420.61320000000001</v>
      </c>
      <c r="H5531" s="1">
        <v>-2.2178580000000001E-6</v>
      </c>
      <c r="I5531">
        <v>54.3786699999999</v>
      </c>
      <c r="J5531">
        <v>-419.72710000000001</v>
      </c>
      <c r="K5531">
        <v>1.125624</v>
      </c>
      <c r="L5531">
        <v>104.27330000000001</v>
      </c>
      <c r="M5531">
        <v>-0.1223722</v>
      </c>
      <c r="N5531">
        <v>-1.4360059999999999E-2</v>
      </c>
      <c r="O5531">
        <v>-0.9923805</v>
      </c>
      <c r="P5531">
        <v>-8.8636119999999999E-2</v>
      </c>
      <c r="Q5531">
        <v>0.16717029999999999</v>
      </c>
      <c r="R5531">
        <v>-0.98193600000000003</v>
      </c>
      <c r="S5531">
        <v>-5.6701660000000001E-2</v>
      </c>
      <c r="T5531">
        <v>-6.8564529999999999E-2</v>
      </c>
      <c r="U5531">
        <v>-3.06134</v>
      </c>
      <c r="V5531">
        <v>-3.4078770000000001E-2</v>
      </c>
      <c r="W5531">
        <v>0.1809608</v>
      </c>
      <c r="X5531">
        <v>0.98289970000000004</v>
      </c>
      <c r="Y5531">
        <v>-0.1039573</v>
      </c>
      <c r="Z5531">
        <v>7.7339499999999999E-3</v>
      </c>
      <c r="AA5531">
        <v>0.99455170000000004</v>
      </c>
      <c r="AB5531">
        <v>38</v>
      </c>
      <c r="AC5531">
        <v>-0.886099999999999</v>
      </c>
      <c r="AD5531">
        <v>-1.1256262178580001</v>
      </c>
      <c r="AE5531">
        <v>-49.894629999999999</v>
      </c>
      <c r="AF5531">
        <v>-5.2242475704306903</v>
      </c>
      <c r="AG5531">
        <v>-1.1256262178580001</v>
      </c>
      <c r="AH5531">
        <v>49.602765822891797</v>
      </c>
      <c r="AI5531">
        <v>91.292830966221899</v>
      </c>
      <c r="AJ5531">
        <v>96.012323336336195</v>
      </c>
      <c r="AK5531">
        <v>49.889820347843703</v>
      </c>
      <c r="AL5531">
        <v>79.5742712869732</v>
      </c>
      <c r="AM5531">
        <v>91.9857446749442</v>
      </c>
      <c r="AN5531">
        <v>0.99999999698072095</v>
      </c>
    </row>
    <row r="5532" spans="1:40" x14ac:dyDescent="0.25">
      <c r="A5532" t="str">
        <f>"20190303170404044"</f>
        <v>20190303170404044</v>
      </c>
      <c r="B5532" t="str">
        <f>"1551603844031583"</f>
        <v>1551603844031583</v>
      </c>
      <c r="C5532" t="s">
        <v>40</v>
      </c>
      <c r="D5532">
        <v>4.6326700000000001</v>
      </c>
      <c r="E5532">
        <v>0.47673339999999997</v>
      </c>
      <c r="F5532" t="s">
        <v>42</v>
      </c>
      <c r="G5532">
        <v>-420.71190000000001</v>
      </c>
      <c r="H5532" s="1">
        <v>-1.543496E-6</v>
      </c>
      <c r="I5532">
        <v>52.7455199999999</v>
      </c>
      <c r="J5532">
        <v>-419.77190000000002</v>
      </c>
      <c r="K5532">
        <v>1.125216</v>
      </c>
      <c r="L5532">
        <v>103.8878</v>
      </c>
      <c r="M5532">
        <v>-0.1194373</v>
      </c>
      <c r="N5532">
        <v>-1.433502E-2</v>
      </c>
      <c r="O5532">
        <v>-0.99273820000000002</v>
      </c>
      <c r="P5532">
        <v>-8.8702980000000001E-2</v>
      </c>
      <c r="Q5532">
        <v>0.16881119999999999</v>
      </c>
      <c r="R5532">
        <v>-0.98164910000000005</v>
      </c>
      <c r="S5532">
        <v>-5.85021999999999E-2</v>
      </c>
      <c r="T5532">
        <v>-6.6873669999999996E-2</v>
      </c>
      <c r="U5532">
        <v>-3.0612789999999999</v>
      </c>
      <c r="V5532">
        <v>-3.089072E-2</v>
      </c>
      <c r="W5532">
        <v>0.1826371</v>
      </c>
      <c r="X5532">
        <v>0.98269499999999999</v>
      </c>
      <c r="Y5532">
        <v>-0.10043199999999999</v>
      </c>
      <c r="Z5532">
        <v>7.230762E-3</v>
      </c>
      <c r="AA5532">
        <v>0.99491759999999996</v>
      </c>
      <c r="AB5532">
        <v>38</v>
      </c>
      <c r="AC5532">
        <v>-0.93999999999999695</v>
      </c>
      <c r="AD5532">
        <v>-1.1252175434959999</v>
      </c>
      <c r="AE5532">
        <v>-51.14228</v>
      </c>
      <c r="AF5532">
        <v>-5.1731506613400899</v>
      </c>
      <c r="AG5532">
        <v>-1.1252175434959999</v>
      </c>
      <c r="AH5532">
        <v>50.863784008572999</v>
      </c>
      <c r="AI5532">
        <v>91.260798543226201</v>
      </c>
      <c r="AJ5532">
        <v>95.807354002244395</v>
      </c>
      <c r="AK5532">
        <v>51.138558113774401</v>
      </c>
      <c r="AL5532">
        <v>79.476598800593393</v>
      </c>
      <c r="AM5532">
        <v>91.800482606641495</v>
      </c>
      <c r="AN5532">
        <v>1.0000000049517599</v>
      </c>
    </row>
    <row r="5533" spans="1:40" x14ac:dyDescent="0.25">
      <c r="A5533" t="str">
        <f>"20190303170404067"</f>
        <v>20190303170404067</v>
      </c>
      <c r="B5533" t="str">
        <f>"1551603844060862"</f>
        <v>1551603844060862</v>
      </c>
      <c r="C5533" t="s">
        <v>40</v>
      </c>
      <c r="D5533">
        <v>4.7247459999999997</v>
      </c>
      <c r="E5533">
        <v>0.47909740000000001</v>
      </c>
      <c r="F5533" t="s">
        <v>42</v>
      </c>
      <c r="G5533">
        <v>-420.85660000000001</v>
      </c>
      <c r="H5533" s="1">
        <v>-4.686385E-7</v>
      </c>
      <c r="I5533">
        <v>50.150239999999997</v>
      </c>
      <c r="J5533">
        <v>-419.81569999999999</v>
      </c>
      <c r="K5533">
        <v>1.1247969999999901</v>
      </c>
      <c r="L5533">
        <v>103.5031</v>
      </c>
      <c r="M5533">
        <v>-0.11696620000000001</v>
      </c>
      <c r="N5533">
        <v>-1.431145E-2</v>
      </c>
      <c r="O5533">
        <v>-0.99303300000000005</v>
      </c>
      <c r="P5533">
        <v>-8.8661980000000001E-2</v>
      </c>
      <c r="Q5533">
        <v>0.17066410000000001</v>
      </c>
      <c r="R5533">
        <v>-0.98133230000000005</v>
      </c>
      <c r="S5533">
        <v>-6.1798100000000002E-2</v>
      </c>
      <c r="T5533">
        <v>-6.4104910000000001E-2</v>
      </c>
      <c r="U5533">
        <v>-3.061493</v>
      </c>
      <c r="V5533">
        <v>-2.8261600000000001E-2</v>
      </c>
      <c r="W5533">
        <v>0.18451629999999999</v>
      </c>
      <c r="X5533">
        <v>0.98242309999999999</v>
      </c>
      <c r="Y5533">
        <v>-9.6887280000000006E-2</v>
      </c>
      <c r="Z5533">
        <v>6.3741780000000003E-3</v>
      </c>
      <c r="AA5533">
        <v>0.99527500000000002</v>
      </c>
      <c r="AB5533">
        <v>38</v>
      </c>
      <c r="AC5533">
        <v>-1.0409000000000199</v>
      </c>
      <c r="AD5533">
        <v>-1.1247974686384901</v>
      </c>
      <c r="AE5533">
        <v>-53.35286</v>
      </c>
      <c r="AF5533">
        <v>-5.2050528221891597</v>
      </c>
      <c r="AG5533">
        <v>-1.1247974686384901</v>
      </c>
      <c r="AH5533">
        <v>53.084742767864597</v>
      </c>
      <c r="AI5533">
        <v>91.208050720765797</v>
      </c>
      <c r="AJ5533">
        <v>95.600051619217894</v>
      </c>
      <c r="AK5533">
        <v>53.351172985770297</v>
      </c>
      <c r="AL5533">
        <v>79.367067753795695</v>
      </c>
      <c r="AM5533">
        <v>91.647786932156507</v>
      </c>
      <c r="AN5533">
        <v>1.0000000652069201</v>
      </c>
    </row>
    <row r="5534" spans="1:40" x14ac:dyDescent="0.25">
      <c r="A5534" t="str">
        <f>"20190303170404090"</f>
        <v>20190303170404090</v>
      </c>
      <c r="B5534" t="str">
        <f>"1551603844081359"</f>
        <v>1551603844081359</v>
      </c>
      <c r="C5534" t="s">
        <v>40</v>
      </c>
      <c r="D5534">
        <v>4.8440560000000001</v>
      </c>
      <c r="E5534">
        <v>0.48167939999999998</v>
      </c>
      <c r="F5534" t="s">
        <v>42</v>
      </c>
      <c r="G5534">
        <v>-421.38209999999998</v>
      </c>
      <c r="H5534" s="1">
        <v>-2.5038180000000001E-6</v>
      </c>
      <c r="I5534">
        <v>44.56832</v>
      </c>
      <c r="J5534">
        <v>-419.85879999999997</v>
      </c>
      <c r="K5534">
        <v>1.124355</v>
      </c>
      <c r="L5534">
        <v>103.1206</v>
      </c>
      <c r="M5534">
        <v>-0.1150055</v>
      </c>
      <c r="N5534">
        <v>-1.428897E-2</v>
      </c>
      <c r="O5534">
        <v>-0.99326230000000004</v>
      </c>
      <c r="P5534">
        <v>-8.9540519999999998E-2</v>
      </c>
      <c r="Q5534">
        <v>0.17265639999999999</v>
      </c>
      <c r="R5534">
        <v>-0.98090409999999995</v>
      </c>
      <c r="S5534">
        <v>-8.1329349999999995E-2</v>
      </c>
      <c r="T5534">
        <v>-5.8399199999999998E-2</v>
      </c>
      <c r="U5534">
        <v>-3.0598749999999999</v>
      </c>
      <c r="V5534">
        <v>-2.5203449999999999E-2</v>
      </c>
      <c r="W5534">
        <v>0.1865339</v>
      </c>
      <c r="X5534">
        <v>0.98212520000000003</v>
      </c>
      <c r="Y5534">
        <v>-8.8562109999999999E-2</v>
      </c>
      <c r="Z5534">
        <v>4.5849360000000004E-3</v>
      </c>
      <c r="AA5534">
        <v>0.9960601</v>
      </c>
      <c r="AB5534">
        <v>38</v>
      </c>
      <c r="AC5534">
        <v>-1.5233000000000001</v>
      </c>
      <c r="AD5534">
        <v>-1.124357503818</v>
      </c>
      <c r="AE5534">
        <v>-58.552280000000003</v>
      </c>
      <c r="AF5534">
        <v>-5.2194063891840798</v>
      </c>
      <c r="AG5534">
        <v>-1.124357503818</v>
      </c>
      <c r="AH5534">
        <v>58.317413953912997</v>
      </c>
      <c r="AI5534">
        <v>91.100127319670605</v>
      </c>
      <c r="AJ5534">
        <v>95.114343480306104</v>
      </c>
      <c r="AK5534">
        <v>58.561311060493701</v>
      </c>
      <c r="AL5534">
        <v>79.249424837869697</v>
      </c>
      <c r="AM5534">
        <v>91.4700105931895</v>
      </c>
      <c r="AN5534">
        <v>1.0000000091080701</v>
      </c>
    </row>
    <row r="5535" spans="1:40" x14ac:dyDescent="0.25">
      <c r="A5535" t="str">
        <f>"20190303170404111"</f>
        <v>20190303170404111</v>
      </c>
      <c r="B5535" t="str">
        <f>"1551603844100878"</f>
        <v>1551603844100878</v>
      </c>
      <c r="C5535" t="s">
        <v>40</v>
      </c>
      <c r="D5535">
        <v>4.7856329999999998</v>
      </c>
      <c r="E5535">
        <v>0.48375810000000002</v>
      </c>
      <c r="F5535" t="s">
        <v>75</v>
      </c>
      <c r="G5535">
        <v>-422.09710000000001</v>
      </c>
      <c r="H5535" s="1">
        <v>-1.4980070000000001E-6</v>
      </c>
      <c r="I5535">
        <v>37.725749999999998</v>
      </c>
      <c r="J5535">
        <v>-419.89940000000001</v>
      </c>
      <c r="K5535">
        <v>1.1239159999999999</v>
      </c>
      <c r="L5535">
        <v>102.7567</v>
      </c>
      <c r="M5535">
        <v>-0.1136229</v>
      </c>
      <c r="N5535">
        <v>-1.4268940000000001E-2</v>
      </c>
      <c r="O5535">
        <v>-0.99342180000000002</v>
      </c>
      <c r="P5535">
        <v>-9.0604249999999997E-2</v>
      </c>
      <c r="Q5535">
        <v>0.17529729999999999</v>
      </c>
      <c r="R5535">
        <v>-0.98033789999999998</v>
      </c>
      <c r="S5535">
        <v>-0.1046753</v>
      </c>
      <c r="T5535">
        <v>-5.2579050000000002E-2</v>
      </c>
      <c r="U5535">
        <v>-3.0581049999999999</v>
      </c>
      <c r="V5535">
        <v>-2.251856E-2</v>
      </c>
      <c r="W5535">
        <v>0.18919269999999999</v>
      </c>
      <c r="X5535">
        <v>0.98168180000000005</v>
      </c>
      <c r="Y5535">
        <v>-7.9562949999999993E-2</v>
      </c>
      <c r="Z5535">
        <v>2.7509029999999999E-3</v>
      </c>
      <c r="AA5535">
        <v>0.99682610000000005</v>
      </c>
      <c r="AB5535">
        <v>38</v>
      </c>
      <c r="AC5535">
        <v>-2.19769999999999</v>
      </c>
      <c r="AD5535">
        <v>-1.1239174980069999</v>
      </c>
      <c r="AE5535">
        <v>-65.030949999999905</v>
      </c>
      <c r="AF5535">
        <v>-5.2047375520016903</v>
      </c>
      <c r="AG5535">
        <v>-1.1239174980069999</v>
      </c>
      <c r="AH5535">
        <v>64.8401094948929</v>
      </c>
      <c r="AI5535">
        <v>90.989863821804605</v>
      </c>
      <c r="AJ5535">
        <v>94.589311695764195</v>
      </c>
      <c r="AK5535">
        <v>65.058375962186801</v>
      </c>
      <c r="AL5535">
        <v>79.094325809887707</v>
      </c>
      <c r="AM5535">
        <v>91.314063499592706</v>
      </c>
      <c r="AN5535">
        <v>1.0000000598645</v>
      </c>
    </row>
    <row r="5536" spans="1:40" x14ac:dyDescent="0.25">
      <c r="A5536" t="str">
        <f>"20190303170404134"</f>
        <v>20190303170404134</v>
      </c>
      <c r="B5536" t="str">
        <f>"1551603844121374"</f>
        <v>1551603844121374</v>
      </c>
      <c r="C5536" t="s">
        <v>40</v>
      </c>
      <c r="D5536">
        <v>4.8420620000000003</v>
      </c>
      <c r="E5536">
        <v>0.48537249999999998</v>
      </c>
      <c r="F5536" t="s">
        <v>75</v>
      </c>
      <c r="G5536">
        <v>-422.96609999999998</v>
      </c>
      <c r="H5536" s="1">
        <v>-7.3638919999999997E-6</v>
      </c>
      <c r="I5536">
        <v>26.01934</v>
      </c>
      <c r="J5536">
        <v>-419.94150000000002</v>
      </c>
      <c r="K5536">
        <v>1.1234550000000001</v>
      </c>
      <c r="L5536">
        <v>102.38</v>
      </c>
      <c r="M5536">
        <v>-0.1126727</v>
      </c>
      <c r="N5536">
        <v>-1.4250280000000001E-2</v>
      </c>
      <c r="O5536">
        <v>-0.99353029999999998</v>
      </c>
      <c r="P5536">
        <v>-9.3914490000000003E-2</v>
      </c>
      <c r="Q5536">
        <v>0.17772829999999901</v>
      </c>
      <c r="R5536">
        <v>-0.97958840000000003</v>
      </c>
      <c r="S5536">
        <v>-0.1221619</v>
      </c>
      <c r="T5536">
        <v>-4.4772270000000003E-2</v>
      </c>
      <c r="U5536">
        <v>-3.0568849999999999</v>
      </c>
      <c r="V5536">
        <v>-1.7989620000000001E-2</v>
      </c>
      <c r="W5536">
        <v>0.19164690000000001</v>
      </c>
      <c r="X5536">
        <v>0.98129900000000003</v>
      </c>
      <c r="Y5536">
        <v>-7.2902510000000004E-2</v>
      </c>
      <c r="Z5536">
        <v>2.6164930000000002E-4</v>
      </c>
      <c r="AA5536">
        <v>0.99733899999999998</v>
      </c>
      <c r="AB5536">
        <v>38</v>
      </c>
      <c r="AC5536">
        <v>-3.02459999999996</v>
      </c>
      <c r="AD5536">
        <v>-1.1234623638919901</v>
      </c>
      <c r="AE5536">
        <v>-76.360659999999996</v>
      </c>
      <c r="AF5536">
        <v>-5.5980868200738598</v>
      </c>
      <c r="AG5536">
        <v>-1.1234623638919901</v>
      </c>
      <c r="AH5536">
        <v>76.198664735618905</v>
      </c>
      <c r="AI5536">
        <v>90.8424296104658</v>
      </c>
      <c r="AJ5536">
        <v>94.201799923812402</v>
      </c>
      <c r="AK5536">
        <v>76.412284687865593</v>
      </c>
      <c r="AL5536">
        <v>78.951088353021703</v>
      </c>
      <c r="AM5536">
        <v>91.050254668074999</v>
      </c>
      <c r="AN5536">
        <v>0.99999994405417503</v>
      </c>
    </row>
    <row r="5537" spans="1:40" x14ac:dyDescent="0.25">
      <c r="A5537" t="str">
        <f>"20190303170404167"</f>
        <v>20190303170404167</v>
      </c>
      <c r="B5537" t="str">
        <f>"1551603844161391"</f>
        <v>1551603844161391</v>
      </c>
      <c r="C5537" t="s">
        <v>40</v>
      </c>
      <c r="D5537">
        <v>4.836665</v>
      </c>
      <c r="E5537">
        <v>0.48801060000000002</v>
      </c>
      <c r="F5537" t="s">
        <v>75</v>
      </c>
      <c r="G5537">
        <v>-424.20440000000002</v>
      </c>
      <c r="H5537" s="1">
        <v>-8.9414999999999905E-6</v>
      </c>
      <c r="I5537">
        <v>12.1226</v>
      </c>
      <c r="J5537">
        <v>-420.00439999999998</v>
      </c>
      <c r="K5537">
        <v>1.122725</v>
      </c>
      <c r="L5537">
        <v>101.81789999999999</v>
      </c>
      <c r="M5537">
        <v>-0.1122528</v>
      </c>
      <c r="N5537">
        <v>-1.4226880000000001E-2</v>
      </c>
      <c r="O5537">
        <v>-0.99357810000000002</v>
      </c>
      <c r="P5537">
        <v>-9.740074E-2</v>
      </c>
      <c r="Q5537">
        <v>0.18056069999999999</v>
      </c>
      <c r="R5537">
        <v>-0.97872969999999904</v>
      </c>
      <c r="S5537">
        <v>-0.14431759999999999</v>
      </c>
      <c r="T5537">
        <v>-3.803372E-2</v>
      </c>
      <c r="U5537">
        <v>-3.0555729999999999</v>
      </c>
      <c r="V5537">
        <v>-1.3670699999999999E-2</v>
      </c>
      <c r="W5537">
        <v>0.19449440000000001</v>
      </c>
      <c r="X5537">
        <v>0.98080840000000002</v>
      </c>
      <c r="Y5537">
        <v>-6.5246639999999995E-2</v>
      </c>
      <c r="Z5537">
        <v>-1.880931E-3</v>
      </c>
      <c r="AA5537">
        <v>0.99786739999999996</v>
      </c>
      <c r="AB5537">
        <v>38</v>
      </c>
      <c r="AC5537">
        <v>-4.2000000000000401</v>
      </c>
      <c r="AD5537">
        <v>-1.1227339414999999</v>
      </c>
      <c r="AE5537">
        <v>-89.695299999999904</v>
      </c>
      <c r="AF5537">
        <v>-5.89519406084026</v>
      </c>
      <c r="AG5537">
        <v>-1.1227339414999999</v>
      </c>
      <c r="AH5537">
        <v>89.585786021835005</v>
      </c>
      <c r="AI5537">
        <v>90.716472384213503</v>
      </c>
      <c r="AJ5537">
        <v>93.764921521543698</v>
      </c>
      <c r="AK5537">
        <v>89.786563035168996</v>
      </c>
      <c r="AL5537">
        <v>78.784811070450701</v>
      </c>
      <c r="AM5537">
        <v>90.798548111802504</v>
      </c>
      <c r="AN5537">
        <v>1.0000000385901999</v>
      </c>
    </row>
    <row r="5538" spans="1:40" x14ac:dyDescent="0.25">
      <c r="A5538" t="str">
        <f>"20190303170404188"</f>
        <v>20190303170404188</v>
      </c>
      <c r="B5538" t="str">
        <f>"1551603844180829"</f>
        <v>1551603844180829</v>
      </c>
      <c r="C5538" t="s">
        <v>40</v>
      </c>
      <c r="D5538">
        <v>4.8367959999999997</v>
      </c>
      <c r="E5538">
        <v>0.48896200000000001</v>
      </c>
      <c r="F5538" t="s">
        <v>95</v>
      </c>
      <c r="G5538">
        <v>-425.8553</v>
      </c>
      <c r="H5538">
        <v>9.5008850000000006E-2</v>
      </c>
      <c r="I5538">
        <v>0.62590409999999996</v>
      </c>
      <c r="J5538">
        <v>-420.04629999999997</v>
      </c>
      <c r="K5538">
        <v>1.1222540000000001</v>
      </c>
      <c r="L5538">
        <v>101.44670000000001</v>
      </c>
      <c r="M5538">
        <v>-0.1125259</v>
      </c>
      <c r="N5538">
        <v>-1.421441E-2</v>
      </c>
      <c r="O5538">
        <v>-0.99354730000000002</v>
      </c>
      <c r="P5538">
        <v>-0.10099229999999999</v>
      </c>
      <c r="Q5538">
        <v>0.18264320000000001</v>
      </c>
      <c r="R5538">
        <v>-0.97797860000000003</v>
      </c>
      <c r="S5538">
        <v>-0.17654420000000001</v>
      </c>
      <c r="T5538">
        <v>-3.1010869999999999E-2</v>
      </c>
      <c r="U5538">
        <v>-3.0533450000000002</v>
      </c>
      <c r="V5538">
        <v>-1.00619E-2</v>
      </c>
      <c r="W5538">
        <v>0.19658139999999999</v>
      </c>
      <c r="X5538">
        <v>0.98043590000000003</v>
      </c>
      <c r="Y5538">
        <v>-5.4983700000000003E-2</v>
      </c>
      <c r="Z5538">
        <v>-4.1253119999999999E-3</v>
      </c>
      <c r="AA5538">
        <v>0.99847870000000005</v>
      </c>
      <c r="AB5538">
        <v>38</v>
      </c>
      <c r="AC5538">
        <v>-5.8090000000000197</v>
      </c>
      <c r="AD5538">
        <v>-1.0272451499999999</v>
      </c>
      <c r="AE5538">
        <v>-100.82079589999999</v>
      </c>
      <c r="AF5538">
        <v>-5.57341998034547</v>
      </c>
      <c r="AG5538">
        <v>-1.0272451499999999</v>
      </c>
      <c r="AH5538">
        <v>100.823629268842</v>
      </c>
      <c r="AI5538">
        <v>90.582850115611905</v>
      </c>
      <c r="AJ5538">
        <v>93.164027829448997</v>
      </c>
      <c r="AK5538">
        <v>100.982782996986</v>
      </c>
      <c r="AL5538">
        <v>78.662880840307807</v>
      </c>
      <c r="AM5538">
        <v>90.587987613992397</v>
      </c>
      <c r="AN5538">
        <v>1.0000000213331799</v>
      </c>
    </row>
    <row r="5539" spans="1:40" x14ac:dyDescent="0.25">
      <c r="A5539" t="str">
        <f>"20190303170404212"</f>
        <v>20190303170404212</v>
      </c>
      <c r="B5539" t="str">
        <f>"1551603844201325"</f>
        <v>1551603844201325</v>
      </c>
      <c r="C5539" t="s">
        <v>40</v>
      </c>
      <c r="D5539">
        <v>4.8359880000000004</v>
      </c>
      <c r="E5539">
        <v>0.48985790000000001</v>
      </c>
      <c r="F5539" t="s">
        <v>95</v>
      </c>
      <c r="G5539">
        <v>-426.40530000000001</v>
      </c>
      <c r="H5539">
        <v>0.2590344</v>
      </c>
      <c r="I5539">
        <v>1.297871</v>
      </c>
      <c r="J5539">
        <v>-420.08969999999999</v>
      </c>
      <c r="K5539">
        <v>1.121804</v>
      </c>
      <c r="L5539">
        <v>101.06740000000001</v>
      </c>
      <c r="M5539">
        <v>-0.1132513</v>
      </c>
      <c r="N5539">
        <v>-1.4202970000000001E-2</v>
      </c>
      <c r="O5539">
        <v>-0.99346489999999998</v>
      </c>
      <c r="P5539">
        <v>-0.1045001</v>
      </c>
      <c r="Q5539">
        <v>0.18440719999999999</v>
      </c>
      <c r="R5539">
        <v>-0.97727889999999995</v>
      </c>
      <c r="S5539">
        <v>-0.19381709999999999</v>
      </c>
      <c r="T5539">
        <v>-2.6310799999999999E-2</v>
      </c>
      <c r="U5539">
        <v>-3.0524290000000001</v>
      </c>
      <c r="V5539">
        <v>-6.9863879999999996E-3</v>
      </c>
      <c r="W5539">
        <v>0.1983432</v>
      </c>
      <c r="X5539">
        <v>0.98010770000000003</v>
      </c>
      <c r="Y5539">
        <v>-5.0067279999999999E-2</v>
      </c>
      <c r="Z5539">
        <v>-5.6299870000000004E-3</v>
      </c>
      <c r="AA5539">
        <v>0.99873000000000001</v>
      </c>
      <c r="AB5539">
        <v>38</v>
      </c>
      <c r="AC5539">
        <v>-6.3156000000000097</v>
      </c>
      <c r="AD5539">
        <v>-0.86276960000000003</v>
      </c>
      <c r="AE5539">
        <v>-99.769529000000006</v>
      </c>
      <c r="AF5539">
        <v>-5.0248343283828998</v>
      </c>
      <c r="AG5539">
        <v>-0.86276960000000003</v>
      </c>
      <c r="AH5539">
        <v>99.835405461996501</v>
      </c>
      <c r="AI5539">
        <v>90.494507301902601</v>
      </c>
      <c r="AJ5539">
        <v>92.881333133138298</v>
      </c>
      <c r="AK5539">
        <v>99.965501625168699</v>
      </c>
      <c r="AL5539">
        <v>78.559909064596496</v>
      </c>
      <c r="AM5539">
        <v>90.408407940194294</v>
      </c>
      <c r="AN5539">
        <v>0.99999996910140698</v>
      </c>
    </row>
    <row r="5540" spans="1:40" x14ac:dyDescent="0.25">
      <c r="A5540" t="str">
        <f>"20190303170404233"</f>
        <v>20190303170404233</v>
      </c>
      <c r="B5540" t="str">
        <f>"1551603844220845"</f>
        <v>1551603844220845</v>
      </c>
      <c r="C5540" t="s">
        <v>40</v>
      </c>
      <c r="D5540">
        <v>4.8326580000000003</v>
      </c>
      <c r="E5540">
        <v>0.49066029999999999</v>
      </c>
      <c r="F5540" t="s">
        <v>95</v>
      </c>
      <c r="G5540">
        <v>-426.96230000000003</v>
      </c>
      <c r="H5540">
        <v>0.3739188</v>
      </c>
      <c r="I5540">
        <v>1.163527</v>
      </c>
      <c r="J5540">
        <v>-420.13279999999997</v>
      </c>
      <c r="K5540">
        <v>1.1213610000000001</v>
      </c>
      <c r="L5540">
        <v>100.69540000000001</v>
      </c>
      <c r="M5540">
        <v>-0.114427399999999</v>
      </c>
      <c r="N5540">
        <v>-1.4193259999999999E-2</v>
      </c>
      <c r="O5540">
        <v>-0.99333039999999995</v>
      </c>
      <c r="P5540">
        <v>-0.1073247</v>
      </c>
      <c r="Q5540">
        <v>0.1869499</v>
      </c>
      <c r="R5540">
        <v>-0.97648950000000001</v>
      </c>
      <c r="S5540">
        <v>-0.20993039999999999</v>
      </c>
      <c r="T5540">
        <v>-2.2845509999999999E-2</v>
      </c>
      <c r="U5540">
        <v>-3.0516359999999998</v>
      </c>
      <c r="V5540">
        <v>-5.0245910000000001E-3</v>
      </c>
      <c r="W5540">
        <v>0.20087659999999999</v>
      </c>
      <c r="X5540">
        <v>0.97960360000000002</v>
      </c>
      <c r="Y5540">
        <v>-4.5983910000000003E-2</v>
      </c>
      <c r="Z5540">
        <v>-6.738005E-3</v>
      </c>
      <c r="AA5540">
        <v>0.99891940000000001</v>
      </c>
      <c r="AB5540">
        <v>38</v>
      </c>
      <c r="AC5540">
        <v>-6.8295000000000501</v>
      </c>
      <c r="AD5540">
        <v>-0.74744219999999995</v>
      </c>
      <c r="AE5540">
        <v>-99.531873000000004</v>
      </c>
      <c r="AF5540">
        <v>-4.60542807161531</v>
      </c>
      <c r="AG5540">
        <v>-0.74744219999999995</v>
      </c>
      <c r="AH5540">
        <v>99.653944225991907</v>
      </c>
      <c r="AI5540">
        <v>90.429273767042204</v>
      </c>
      <c r="AJ5540">
        <v>92.645996391977505</v>
      </c>
      <c r="AK5540">
        <v>99.7631055920086</v>
      </c>
      <c r="AL5540">
        <v>78.411774337522601</v>
      </c>
      <c r="AM5540">
        <v>90.293879415571695</v>
      </c>
      <c r="AN5540">
        <v>0.999999934037616</v>
      </c>
    </row>
    <row r="5541" spans="1:40" x14ac:dyDescent="0.25">
      <c r="A5541" t="str">
        <f>"20190303170404256"</f>
        <v>20190303170404256</v>
      </c>
      <c r="B5541" t="str">
        <f>"1551603844251101"</f>
        <v>1551603844251101</v>
      </c>
      <c r="C5541" t="s">
        <v>40</v>
      </c>
      <c r="D5541">
        <v>4.8918439999999999</v>
      </c>
      <c r="E5541">
        <v>0.49163820000000003</v>
      </c>
      <c r="F5541" t="s">
        <v>95</v>
      </c>
      <c r="G5541">
        <v>-427.55790000000002</v>
      </c>
      <c r="H5541">
        <v>0.55016469999999995</v>
      </c>
      <c r="I5541">
        <v>0.67609209999999997</v>
      </c>
      <c r="J5541">
        <v>-420.17869999999999</v>
      </c>
      <c r="K5541">
        <v>1.120878</v>
      </c>
      <c r="L5541">
        <v>100.3086</v>
      </c>
      <c r="M5541">
        <v>-0.1161571</v>
      </c>
      <c r="N5541">
        <v>-1.418665E-2</v>
      </c>
      <c r="O5541">
        <v>-0.9931297</v>
      </c>
      <c r="P5541">
        <v>-0.11039740000000001</v>
      </c>
      <c r="Q5541">
        <v>0.1902857</v>
      </c>
      <c r="R5541">
        <v>-0.97550179999999997</v>
      </c>
      <c r="S5541">
        <v>-0.2264709</v>
      </c>
      <c r="T5541">
        <v>-1.7422679999999999E-2</v>
      </c>
      <c r="U5541">
        <v>-3.050659</v>
      </c>
      <c r="V5541">
        <v>-3.318699E-3</v>
      </c>
      <c r="W5541">
        <v>0.20419989999999999</v>
      </c>
      <c r="X5541">
        <v>0.9789236</v>
      </c>
      <c r="Y5541">
        <v>-4.2314879999999999E-2</v>
      </c>
      <c r="Z5541">
        <v>-8.4830349999999999E-3</v>
      </c>
      <c r="AA5541">
        <v>0.99906830000000002</v>
      </c>
      <c r="AB5541">
        <v>38</v>
      </c>
      <c r="AC5541">
        <v>-7.3792000000000204</v>
      </c>
      <c r="AD5541">
        <v>-0.57071329999999998</v>
      </c>
      <c r="AE5541">
        <v>-99.632507899999993</v>
      </c>
      <c r="AF5541">
        <v>-4.2448084638445902</v>
      </c>
      <c r="AG5541">
        <v>-0.57071329999999998</v>
      </c>
      <c r="AH5541">
        <v>99.811920273747702</v>
      </c>
      <c r="AI5541">
        <v>90.327311379713706</v>
      </c>
      <c r="AJ5541">
        <v>92.435211567009802</v>
      </c>
      <c r="AK5541">
        <v>99.903771406781701</v>
      </c>
      <c r="AL5541">
        <v>78.217334192650398</v>
      </c>
      <c r="AM5541">
        <v>90.194240610519998</v>
      </c>
      <c r="AN5541">
        <v>1.00000001378001</v>
      </c>
    </row>
    <row r="5542" spans="1:40" x14ac:dyDescent="0.25">
      <c r="A5542" t="str">
        <f>"20190303170404280"</f>
        <v>20190303170404280</v>
      </c>
      <c r="B5542" t="str">
        <f>"1551603844271597"</f>
        <v>1551603844271597</v>
      </c>
      <c r="C5542" t="s">
        <v>40</v>
      </c>
      <c r="D5542">
        <v>4.8287110000000002</v>
      </c>
      <c r="E5542">
        <v>0.49222260000000001</v>
      </c>
      <c r="F5542" t="s">
        <v>95</v>
      </c>
      <c r="G5542">
        <v>-428.24360000000001</v>
      </c>
      <c r="H5542">
        <v>0.77390340000000002</v>
      </c>
      <c r="I5542">
        <v>-0.64020730000000003</v>
      </c>
      <c r="J5542">
        <v>-420.22609999999997</v>
      </c>
      <c r="K5542">
        <v>1.12039</v>
      </c>
      <c r="L5542">
        <v>99.918909999999997</v>
      </c>
      <c r="M5542">
        <v>-0.1183805</v>
      </c>
      <c r="N5542">
        <v>-1.418436E-2</v>
      </c>
      <c r="O5542">
        <v>-0.9928669</v>
      </c>
      <c r="P5542">
        <v>-0.11490690000000001</v>
      </c>
      <c r="Q5542">
        <v>0.1934514</v>
      </c>
      <c r="R5542">
        <v>-0.97435769999999999</v>
      </c>
      <c r="S5542">
        <v>-0.24365229999999999</v>
      </c>
      <c r="T5542">
        <v>-1.048338E-2</v>
      </c>
      <c r="U5542">
        <v>-3.0498050000000001</v>
      </c>
      <c r="V5542">
        <v>-6.4636160000000002E-4</v>
      </c>
      <c r="W5542">
        <v>0.20735110000000001</v>
      </c>
      <c r="X5542">
        <v>0.97826639999999998</v>
      </c>
      <c r="Y5542">
        <v>-3.8938859999999999E-2</v>
      </c>
      <c r="Z5542">
        <v>-1.0723109999999999E-2</v>
      </c>
      <c r="AA5542">
        <v>0.99918410000000002</v>
      </c>
      <c r="AB5542">
        <v>38</v>
      </c>
      <c r="AC5542">
        <v>-8.0175000000000392</v>
      </c>
      <c r="AD5542">
        <v>-0.34648659999999998</v>
      </c>
      <c r="AE5542">
        <v>-100.5591173</v>
      </c>
      <c r="AF5542">
        <v>-3.94427884987044</v>
      </c>
      <c r="AG5542">
        <v>-0.34648659999999998</v>
      </c>
      <c r="AH5542">
        <v>100.799895541019</v>
      </c>
      <c r="AI5542">
        <v>90.196795451865</v>
      </c>
      <c r="AJ5542">
        <v>92.240828672149505</v>
      </c>
      <c r="AK5542">
        <v>100.877630472221</v>
      </c>
      <c r="AL5542">
        <v>78.032835336551301</v>
      </c>
      <c r="AM5542">
        <v>90.037856545344098</v>
      </c>
      <c r="AN5542">
        <v>1.0000000229117401</v>
      </c>
    </row>
    <row r="5543" spans="1:40" x14ac:dyDescent="0.25">
      <c r="A5543" t="str">
        <f>"20190303170404300"</f>
        <v>20190303170404300</v>
      </c>
      <c r="B5543" t="str">
        <f>"1551603844291118"</f>
        <v>1551603844291118</v>
      </c>
      <c r="C5543" t="s">
        <v>40</v>
      </c>
      <c r="D5543">
        <v>4.7705390000000003</v>
      </c>
      <c r="E5543">
        <v>0.49272470000000002</v>
      </c>
      <c r="F5543" t="s">
        <v>95</v>
      </c>
      <c r="G5543">
        <v>-428.88260000000002</v>
      </c>
      <c r="H5543">
        <v>1.04287</v>
      </c>
      <c r="I5543">
        <v>-1.1631320000000001</v>
      </c>
      <c r="J5543">
        <v>-420.2704</v>
      </c>
      <c r="K5543">
        <v>1.119988</v>
      </c>
      <c r="L5543">
        <v>99.564359999999994</v>
      </c>
      <c r="M5543">
        <v>-0.1207244</v>
      </c>
      <c r="N5543">
        <v>-1.4183660000000001E-2</v>
      </c>
      <c r="O5543">
        <v>-0.99258500000000005</v>
      </c>
      <c r="P5543">
        <v>-0.1190441</v>
      </c>
      <c r="Q5543">
        <v>0.19604340000000001</v>
      </c>
      <c r="R5543">
        <v>-0.97334279999999995</v>
      </c>
      <c r="S5543">
        <v>-0.26107789999999997</v>
      </c>
      <c r="T5543">
        <v>-2.3387669999999998E-3</v>
      </c>
      <c r="U5543">
        <v>-3.0486149999999999</v>
      </c>
      <c r="V5543">
        <v>1.4881969999999999E-3</v>
      </c>
      <c r="W5543">
        <v>0.20992810000000001</v>
      </c>
      <c r="X5543">
        <v>0.97771569999999997</v>
      </c>
      <c r="Y5543">
        <v>-3.5598350000000001E-2</v>
      </c>
      <c r="Z5543">
        <v>-1.335333E-2</v>
      </c>
      <c r="AA5543">
        <v>0.99927690000000002</v>
      </c>
      <c r="AB5543">
        <v>38</v>
      </c>
      <c r="AC5543">
        <v>-8.6122000000000298</v>
      </c>
      <c r="AD5543">
        <v>-7.7118000000000006E-2</v>
      </c>
      <c r="AE5543">
        <v>-100.727492</v>
      </c>
      <c r="AF5543">
        <v>-3.6122857937142001</v>
      </c>
      <c r="AG5543">
        <v>-7.7118000000000006E-2</v>
      </c>
      <c r="AH5543">
        <v>101.030377265618</v>
      </c>
      <c r="AI5543">
        <v>90.043706790043103</v>
      </c>
      <c r="AJ5543">
        <v>92.047706923467103</v>
      </c>
      <c r="AK5543">
        <v>101.094963703809</v>
      </c>
      <c r="AL5543">
        <v>77.881861317551497</v>
      </c>
      <c r="AM5543">
        <v>89.912789227651899</v>
      </c>
      <c r="AN5543">
        <v>1.0000000059631999</v>
      </c>
    </row>
    <row r="5544" spans="1:40" x14ac:dyDescent="0.25">
      <c r="A5544" t="str">
        <f>"20190303170404323"</f>
        <v>20190303170404323</v>
      </c>
      <c r="B5544" t="str">
        <f>"1551603844311614"</f>
        <v>1551603844311614</v>
      </c>
      <c r="C5544" t="s">
        <v>40</v>
      </c>
      <c r="D5544">
        <v>4.8272559999999904</v>
      </c>
      <c r="E5544">
        <v>0.49315599999999998</v>
      </c>
      <c r="F5544" t="s">
        <v>95</v>
      </c>
      <c r="G5544">
        <v>-429.45749999999998</v>
      </c>
      <c r="H5544">
        <v>1.24498</v>
      </c>
      <c r="I5544">
        <v>-1.6336729999999999</v>
      </c>
      <c r="J5544">
        <v>-420.31869999999998</v>
      </c>
      <c r="K5544">
        <v>1.119604</v>
      </c>
      <c r="L5544">
        <v>99.187380000000005</v>
      </c>
      <c r="M5544">
        <v>-0.1235353</v>
      </c>
      <c r="N5544">
        <v>-1.4182220000000001E-2</v>
      </c>
      <c r="O5544">
        <v>-0.99223890000000003</v>
      </c>
      <c r="P5544">
        <v>-0.1219171</v>
      </c>
      <c r="Q5544">
        <v>0.19792650000000001</v>
      </c>
      <c r="R5544">
        <v>-0.97260550000000001</v>
      </c>
      <c r="S5544">
        <v>-0.27667239999999999</v>
      </c>
      <c r="T5544">
        <v>3.7633179999999999E-3</v>
      </c>
      <c r="U5544">
        <v>-3.047577</v>
      </c>
      <c r="V5544">
        <v>1.8646260000000001E-3</v>
      </c>
      <c r="W5544">
        <v>0.2118014</v>
      </c>
      <c r="X5544">
        <v>0.97731100000000004</v>
      </c>
      <c r="Y5544">
        <v>-3.3329449999999997E-2</v>
      </c>
      <c r="Z5544">
        <v>-1.5320479999999999E-2</v>
      </c>
      <c r="AA5544">
        <v>0.99932699999999997</v>
      </c>
      <c r="AB5544">
        <v>38</v>
      </c>
      <c r="AC5544">
        <v>-9.1387999999999998</v>
      </c>
      <c r="AD5544">
        <v>0.12537599999999899</v>
      </c>
      <c r="AE5544">
        <v>-100.82105300000001</v>
      </c>
      <c r="AF5544">
        <v>-3.38742141865833</v>
      </c>
      <c r="AG5544">
        <v>0.12537599999999899</v>
      </c>
      <c r="AH5544">
        <v>101.177548553969</v>
      </c>
      <c r="AI5544">
        <v>89.929040687051398</v>
      </c>
      <c r="AJ5544">
        <v>91.917544801892902</v>
      </c>
      <c r="AK5544">
        <v>101.234315695814</v>
      </c>
      <c r="AL5544">
        <v>77.7720608166603</v>
      </c>
      <c r="AM5544">
        <v>89.890684674029998</v>
      </c>
      <c r="AN5544">
        <v>1.0000000502965301</v>
      </c>
    </row>
    <row r="5545" spans="1:40" x14ac:dyDescent="0.25">
      <c r="A5545" t="str">
        <f>"20190303170404346"</f>
        <v>20190303170404346</v>
      </c>
      <c r="B5545" t="str">
        <f>"1551603844340893"</f>
        <v>1551603844340893</v>
      </c>
      <c r="C5545" t="s">
        <v>40</v>
      </c>
      <c r="D5545">
        <v>4.7614029999999996</v>
      </c>
      <c r="E5545">
        <v>0.493643</v>
      </c>
      <c r="F5545" t="s">
        <v>95</v>
      </c>
      <c r="G5545">
        <v>-429.87670000000003</v>
      </c>
      <c r="H5545">
        <v>1.3685449999999999</v>
      </c>
      <c r="I5545">
        <v>-1.9767490000000001</v>
      </c>
      <c r="J5545">
        <v>-420.3689</v>
      </c>
      <c r="K5545">
        <v>1.1192599999999999</v>
      </c>
      <c r="L5545">
        <v>98.806430000000006</v>
      </c>
      <c r="M5545">
        <v>-0.12667529999999999</v>
      </c>
      <c r="N5545">
        <v>-1.418051E-2</v>
      </c>
      <c r="O5545">
        <v>-0.99184300000000003</v>
      </c>
      <c r="P5545">
        <v>-0.12507219999999999</v>
      </c>
      <c r="Q5545">
        <v>0.19846939999999999</v>
      </c>
      <c r="R5545">
        <v>-0.97209420000000002</v>
      </c>
      <c r="S5545">
        <v>-0.28787230000000003</v>
      </c>
      <c r="T5545">
        <v>7.496834E-3</v>
      </c>
      <c r="U5545">
        <v>-3.046875</v>
      </c>
      <c r="V5545">
        <v>2.1417290000000002E-3</v>
      </c>
      <c r="W5545">
        <v>0.21233920000000001</v>
      </c>
      <c r="X5545">
        <v>0.97719370000000005</v>
      </c>
      <c r="Y5545">
        <v>-3.2832149999999997E-2</v>
      </c>
      <c r="Z5545">
        <v>-1.652021E-2</v>
      </c>
      <c r="AA5545">
        <v>0.99932430000000005</v>
      </c>
      <c r="AB5545">
        <v>38</v>
      </c>
      <c r="AC5545">
        <v>-9.5078000000000298</v>
      </c>
      <c r="AD5545">
        <v>0.24928500000000001</v>
      </c>
      <c r="AE5545">
        <v>-100.783179</v>
      </c>
      <c r="AF5545">
        <v>-3.3368094119955698</v>
      </c>
      <c r="AG5545">
        <v>0.24928500000000001</v>
      </c>
      <c r="AH5545">
        <v>101.175040638697</v>
      </c>
      <c r="AI5545">
        <v>89.858906031961894</v>
      </c>
      <c r="AJ5545">
        <v>91.888962158059698</v>
      </c>
      <c r="AK5545">
        <v>101.230357543107</v>
      </c>
      <c r="AL5545">
        <v>77.740529645944605</v>
      </c>
      <c r="AM5545">
        <v>89.874424245597893</v>
      </c>
      <c r="AN5545">
        <v>1.0000000250897101</v>
      </c>
    </row>
    <row r="5546" spans="1:40" x14ac:dyDescent="0.25">
      <c r="A5546" t="str">
        <f>"20190303170404368"</f>
        <v>20190303170404368</v>
      </c>
      <c r="B5546" t="str">
        <f>"1551603844361390"</f>
        <v>1551603844361390</v>
      </c>
      <c r="C5546" t="s">
        <v>40</v>
      </c>
      <c r="D5546">
        <v>4.8194239999999997</v>
      </c>
      <c r="E5546">
        <v>0.49396909999999999</v>
      </c>
      <c r="F5546" t="s">
        <v>95</v>
      </c>
      <c r="G5546">
        <v>-430.37549999999999</v>
      </c>
      <c r="H5546">
        <v>1.297174</v>
      </c>
      <c r="I5546">
        <v>-2.384989</v>
      </c>
      <c r="J5546">
        <v>-420.41849999999999</v>
      </c>
      <c r="K5546">
        <v>1.118962</v>
      </c>
      <c r="L5546">
        <v>98.440190000000001</v>
      </c>
      <c r="M5546">
        <v>-0.12993360000000001</v>
      </c>
      <c r="N5546">
        <v>-1.417945E-2</v>
      </c>
      <c r="O5546">
        <v>-0.99142129999999995</v>
      </c>
      <c r="P5546">
        <v>-0.1284786</v>
      </c>
      <c r="Q5546">
        <v>0.19950509999999999</v>
      </c>
      <c r="R5546">
        <v>-0.97143780000000002</v>
      </c>
      <c r="S5546">
        <v>-0.30123899999999998</v>
      </c>
      <c r="T5546">
        <v>5.3551199999999997E-3</v>
      </c>
      <c r="U5546">
        <v>-3.046265</v>
      </c>
      <c r="V5546">
        <v>2.5443229999999998E-3</v>
      </c>
      <c r="W5546">
        <v>0.21336749999999999</v>
      </c>
      <c r="X5546">
        <v>0.97696870000000002</v>
      </c>
      <c r="Y5546">
        <v>-3.1751910000000001E-2</v>
      </c>
      <c r="Z5546">
        <v>-1.581923E-2</v>
      </c>
      <c r="AA5546">
        <v>0.9993706</v>
      </c>
      <c r="AB5546">
        <v>38</v>
      </c>
      <c r="AC5546">
        <v>-9.9569999999999901</v>
      </c>
      <c r="AD5546">
        <v>0.17821200000000001</v>
      </c>
      <c r="AE5546">
        <v>-100.82517900000001</v>
      </c>
      <c r="AF5546">
        <v>-3.2293112713749799</v>
      </c>
      <c r="AG5546">
        <v>0.17821200000000001</v>
      </c>
      <c r="AH5546">
        <v>101.263846457437</v>
      </c>
      <c r="AI5546">
        <v>89.899217764515598</v>
      </c>
      <c r="AJ5546">
        <v>91.826547469382206</v>
      </c>
      <c r="AK5546">
        <v>101.31548159170799</v>
      </c>
      <c r="AL5546">
        <v>77.680230304350204</v>
      </c>
      <c r="AM5546">
        <v>89.850784738505396</v>
      </c>
      <c r="AN5546">
        <v>1.00000000220773</v>
      </c>
    </row>
    <row r="5547" spans="1:40" x14ac:dyDescent="0.25">
      <c r="A5547" t="str">
        <f>"20190303170404389"</f>
        <v>20190303170404389</v>
      </c>
      <c r="B5547" t="str">
        <f>"1551603844380910"</f>
        <v>1551603844380910</v>
      </c>
      <c r="C5547" t="s">
        <v>40</v>
      </c>
      <c r="D5547">
        <v>4.8150519999999997</v>
      </c>
      <c r="E5547">
        <v>0.4942375</v>
      </c>
      <c r="F5547" t="s">
        <v>95</v>
      </c>
      <c r="G5547">
        <v>-430.83870000000002</v>
      </c>
      <c r="H5547">
        <v>1.3239099999999999</v>
      </c>
      <c r="I5547">
        <v>-2.7641089999999999</v>
      </c>
      <c r="J5547">
        <v>-420.46960000000001</v>
      </c>
      <c r="K5547">
        <v>1.1187129999999901</v>
      </c>
      <c r="L5547">
        <v>98.073300000000003</v>
      </c>
      <c r="M5547">
        <v>-0.13337739999999901</v>
      </c>
      <c r="N5547">
        <v>-1.4178659999999999E-2</v>
      </c>
      <c r="O5547">
        <v>-0.99096390000000001</v>
      </c>
      <c r="P5547">
        <v>-0.13255430000000001</v>
      </c>
      <c r="Q5547">
        <v>0.2006781</v>
      </c>
      <c r="R5547">
        <v>-0.97064830000000002</v>
      </c>
      <c r="S5547">
        <v>-0.31356810000000002</v>
      </c>
      <c r="T5547">
        <v>6.1665770000000003E-3</v>
      </c>
      <c r="U5547">
        <v>-3.045471</v>
      </c>
      <c r="V5547">
        <v>3.4254300000000001E-3</v>
      </c>
      <c r="W5547">
        <v>0.2145292</v>
      </c>
      <c r="X5547">
        <v>0.97671160000000001</v>
      </c>
      <c r="Y5547">
        <v>-3.1194570000000001E-2</v>
      </c>
      <c r="Z5547">
        <v>-1.6073219999999999E-2</v>
      </c>
      <c r="AA5547">
        <v>0.9993841</v>
      </c>
      <c r="AB5547">
        <v>38</v>
      </c>
      <c r="AC5547">
        <v>-10.3691</v>
      </c>
      <c r="AD5547">
        <v>0.20519699999999999</v>
      </c>
      <c r="AE5547">
        <v>-100.83740899999999</v>
      </c>
      <c r="AF5547">
        <v>-3.17433371904258</v>
      </c>
      <c r="AG5547">
        <v>0.20519699999999999</v>
      </c>
      <c r="AH5547">
        <v>101.319004549903</v>
      </c>
      <c r="AI5547">
        <v>89.884018401420903</v>
      </c>
      <c r="AJ5547">
        <v>91.794495044945705</v>
      </c>
      <c r="AK5547">
        <v>101.368926123107</v>
      </c>
      <c r="AL5547">
        <v>77.612092404690202</v>
      </c>
      <c r="AM5547">
        <v>89.799058517006898</v>
      </c>
      <c r="AN5547">
        <v>1.00000003039894</v>
      </c>
    </row>
    <row r="5548" spans="1:40" x14ac:dyDescent="0.25">
      <c r="A5548" t="str">
        <f>"20190303170404412"</f>
        <v>20190303170404412</v>
      </c>
      <c r="B5548" t="str">
        <f>"1551603844401406"</f>
        <v>1551603844401406</v>
      </c>
      <c r="C5548" t="s">
        <v>40</v>
      </c>
      <c r="D5548">
        <v>4.7611420000000004</v>
      </c>
      <c r="E5548">
        <v>0.4944481</v>
      </c>
      <c r="F5548" t="s">
        <v>95</v>
      </c>
      <c r="G5548">
        <v>-431.31729999999999</v>
      </c>
      <c r="H5548">
        <v>1.368268</v>
      </c>
      <c r="I5548">
        <v>-3.1558630000000001</v>
      </c>
      <c r="J5548">
        <v>-420.52339999999998</v>
      </c>
      <c r="K5548">
        <v>1.118492</v>
      </c>
      <c r="L5548">
        <v>97.696960000000004</v>
      </c>
      <c r="M5548">
        <v>-0.1370402</v>
      </c>
      <c r="N5548">
        <v>-1.4177449999999999E-2</v>
      </c>
      <c r="O5548">
        <v>-0.99046409999999996</v>
      </c>
      <c r="P5548">
        <v>-0.1352392</v>
      </c>
      <c r="Q5548">
        <v>0.19945570000000001</v>
      </c>
      <c r="R5548">
        <v>-0.97052959999999999</v>
      </c>
      <c r="S5548">
        <v>-0.32626339999999998</v>
      </c>
      <c r="T5548">
        <v>7.5049399999999999E-3</v>
      </c>
      <c r="U5548">
        <v>-3.0446170000000001</v>
      </c>
      <c r="V5548">
        <v>2.5831909999999999E-3</v>
      </c>
      <c r="W5548">
        <v>0.2133148</v>
      </c>
      <c r="X5548">
        <v>0.97698010000000002</v>
      </c>
      <c r="Y5548">
        <v>-3.0740549999999998E-2</v>
      </c>
      <c r="Z5548">
        <v>-1.6495900000000001E-2</v>
      </c>
      <c r="AA5548">
        <v>0.99939129999999998</v>
      </c>
      <c r="AB5548">
        <v>38</v>
      </c>
      <c r="AC5548">
        <v>-10.793900000000001</v>
      </c>
      <c r="AD5548">
        <v>0.249776</v>
      </c>
      <c r="AE5548">
        <v>-100.852823</v>
      </c>
      <c r="AF5548">
        <v>-3.1302159729408401</v>
      </c>
      <c r="AG5548">
        <v>0.249776</v>
      </c>
      <c r="AH5548">
        <v>101.37986564045499</v>
      </c>
      <c r="AI5548">
        <v>89.858904281872597</v>
      </c>
      <c r="AJ5548">
        <v>91.768508990861307</v>
      </c>
      <c r="AK5548">
        <v>101.428486123791</v>
      </c>
      <c r="AL5548">
        <v>77.683320871299301</v>
      </c>
      <c r="AM5548">
        <v>89.848507050376298</v>
      </c>
      <c r="AN5548">
        <v>0.99999999628539604</v>
      </c>
    </row>
    <row r="5549" spans="1:40" x14ac:dyDescent="0.25">
      <c r="A5549" t="str">
        <f>"20190303170404435"</f>
        <v>20190303170404435</v>
      </c>
      <c r="B5549" t="str">
        <f>"1551603844420925"</f>
        <v>1551603844420925</v>
      </c>
      <c r="C5549" t="s">
        <v>40</v>
      </c>
      <c r="D5549">
        <v>4.7589459999999999</v>
      </c>
      <c r="E5549">
        <v>0.49864890000000001</v>
      </c>
      <c r="F5549" t="s">
        <v>95</v>
      </c>
      <c r="G5549">
        <v>-431.65410000000003</v>
      </c>
      <c r="H5549">
        <v>1.16612</v>
      </c>
      <c r="I5549">
        <v>-3.4316080000000002</v>
      </c>
      <c r="J5549">
        <v>-420.57850000000002</v>
      </c>
      <c r="K5549">
        <v>1.1183050000000001</v>
      </c>
      <c r="L5549">
        <v>97.323059999999998</v>
      </c>
      <c r="M5549">
        <v>-0.140765</v>
      </c>
      <c r="N5549">
        <v>-1.417561E-2</v>
      </c>
      <c r="O5549">
        <v>-0.98994159999999998</v>
      </c>
      <c r="P5549">
        <v>-0.135878</v>
      </c>
      <c r="Q5549">
        <v>0.1951031</v>
      </c>
      <c r="R5549">
        <v>-0.97132490000000005</v>
      </c>
      <c r="S5549">
        <v>-0.33505249999999998</v>
      </c>
      <c r="T5549">
        <v>1.4328959999999999E-3</v>
      </c>
      <c r="U5549">
        <v>-3.0441280000000002</v>
      </c>
      <c r="V5549">
        <v>-5.2815489999999995E-4</v>
      </c>
      <c r="W5549">
        <v>0.20899789999999999</v>
      </c>
      <c r="X5549">
        <v>0.97791589999999995</v>
      </c>
      <c r="Y5549">
        <v>-3.1627820000000001E-2</v>
      </c>
      <c r="Z5549">
        <v>-1.452814E-2</v>
      </c>
      <c r="AA5549">
        <v>0.99939409999999895</v>
      </c>
      <c r="AB5549">
        <v>38</v>
      </c>
      <c r="AC5549">
        <v>-11.0756</v>
      </c>
      <c r="AD5549">
        <v>4.78150000000001E-2</v>
      </c>
      <c r="AE5549">
        <v>-100.754668</v>
      </c>
      <c r="AF5549">
        <v>-3.21885619903779</v>
      </c>
      <c r="AG5549">
        <v>4.78150000000001E-2</v>
      </c>
      <c r="AH5549">
        <v>101.31044581568599</v>
      </c>
      <c r="AI5549">
        <v>89.972972029257505</v>
      </c>
      <c r="AJ5549">
        <v>91.819801039845899</v>
      </c>
      <c r="AK5549">
        <v>101.361579273793</v>
      </c>
      <c r="AL5549">
        <v>77.936366343397296</v>
      </c>
      <c r="AM5549">
        <v>90.030944423499903</v>
      </c>
      <c r="AN5549">
        <v>0.99999995431240796</v>
      </c>
    </row>
    <row r="5550" spans="1:40" x14ac:dyDescent="0.25">
      <c r="A5550" t="str">
        <f>"20190303170404458"</f>
        <v>20190303170404458</v>
      </c>
      <c r="B5550" t="str">
        <f>"1551603844451182"</f>
        <v>1551603844451182</v>
      </c>
      <c r="C5550" t="s">
        <v>40</v>
      </c>
      <c r="D5550">
        <v>4.7606789999999997</v>
      </c>
      <c r="E5550">
        <v>0.49787150000000002</v>
      </c>
      <c r="F5550" t="s">
        <v>42</v>
      </c>
      <c r="G5550">
        <v>-426.04</v>
      </c>
      <c r="H5550" s="1">
        <v>-2.619956E-6</v>
      </c>
      <c r="I5550">
        <v>51.950110000000002</v>
      </c>
      <c r="J5550">
        <v>-420.6361</v>
      </c>
      <c r="K5550">
        <v>1.118161</v>
      </c>
      <c r="L5550">
        <v>96.943049999999999</v>
      </c>
      <c r="M5550">
        <v>-0.14460799999999999</v>
      </c>
      <c r="N5550">
        <v>-1.417353E-2</v>
      </c>
      <c r="O5550">
        <v>-0.98938749999999998</v>
      </c>
      <c r="P5550">
        <v>-0.13664560000000001</v>
      </c>
      <c r="Q5550">
        <v>0.1925723</v>
      </c>
      <c r="R5550">
        <v>-0.97172219999999998</v>
      </c>
      <c r="S5550">
        <v>-0.36740109999999998</v>
      </c>
      <c r="T5550">
        <v>-7.5229530000000003E-2</v>
      </c>
      <c r="U5550">
        <v>-3.0522770000000001</v>
      </c>
      <c r="V5550">
        <v>-3.588599E-3</v>
      </c>
      <c r="W5550">
        <v>0.20649880000000001</v>
      </c>
      <c r="X5550">
        <v>0.97844030000000004</v>
      </c>
      <c r="Y5550">
        <v>-2.533477E-2</v>
      </c>
      <c r="Z5550">
        <v>1.0112350000000001E-2</v>
      </c>
      <c r="AA5550">
        <v>0.99962790000000001</v>
      </c>
      <c r="AB5550">
        <v>38</v>
      </c>
      <c r="AC5550">
        <v>-5.4039000000000197</v>
      </c>
      <c r="AD5550">
        <v>-1.1181636199560001</v>
      </c>
      <c r="AE5550">
        <v>-44.992939999999997</v>
      </c>
      <c r="AF5550">
        <v>-1.15919871076824</v>
      </c>
      <c r="AG5550">
        <v>-1.1181636199560001</v>
      </c>
      <c r="AH5550">
        <v>45.273885910763198</v>
      </c>
      <c r="AI5550">
        <v>91.4143265271627</v>
      </c>
      <c r="AJ5550">
        <v>91.466688453376193</v>
      </c>
      <c r="AK5550">
        <v>45.302525061996697</v>
      </c>
      <c r="AL5550">
        <v>78.082748860543703</v>
      </c>
      <c r="AM5550">
        <v>90.210141237152598</v>
      </c>
      <c r="AN5550">
        <v>1.00000002655415</v>
      </c>
    </row>
    <row r="5551" spans="1:40" x14ac:dyDescent="0.25">
      <c r="A5551" t="str">
        <f>"20190303170404479"</f>
        <v>20190303170404479</v>
      </c>
      <c r="B5551" t="str">
        <f>"1551603844471210"</f>
        <v>1551603844471210</v>
      </c>
      <c r="C5551" t="s">
        <v>40</v>
      </c>
      <c r="D5551">
        <v>4.713616</v>
      </c>
      <c r="E5551">
        <v>0.49790879999999998</v>
      </c>
      <c r="F5551" t="s">
        <v>42</v>
      </c>
      <c r="G5551">
        <v>-425.65809999999999</v>
      </c>
      <c r="H5551" s="1">
        <v>-3.7203370000000002E-6</v>
      </c>
      <c r="I5551">
        <v>54.969880000000003</v>
      </c>
      <c r="J5551">
        <v>-420.69290000000001</v>
      </c>
      <c r="K5551">
        <v>1.1180650000000001</v>
      </c>
      <c r="L5551">
        <v>96.577699999999993</v>
      </c>
      <c r="M5551">
        <v>-0.14832960000000001</v>
      </c>
      <c r="N5551">
        <v>-1.4171599999999999E-2</v>
      </c>
      <c r="O5551">
        <v>-0.98883650000000001</v>
      </c>
      <c r="P5551">
        <v>-0.13975499999999999</v>
      </c>
      <c r="Q5551">
        <v>0.19337750000000001</v>
      </c>
      <c r="R5551">
        <v>-0.97111990000000004</v>
      </c>
      <c r="S5551">
        <v>-0.36517329999999998</v>
      </c>
      <c r="T5551">
        <v>-8.1306929999999999E-2</v>
      </c>
      <c r="U5551">
        <v>-3.052063</v>
      </c>
      <c r="V5551">
        <v>-4.0605119999999996E-3</v>
      </c>
      <c r="W5551">
        <v>0.20730489999999999</v>
      </c>
      <c r="X5551">
        <v>0.97826800000000003</v>
      </c>
      <c r="Y5551">
        <v>-2.9807810000000001E-2</v>
      </c>
      <c r="Z5551">
        <v>1.2047220000000001E-2</v>
      </c>
      <c r="AA5551">
        <v>0.99948300000000001</v>
      </c>
      <c r="AB5551">
        <v>38</v>
      </c>
      <c r="AC5551">
        <v>-4.9651999999999799</v>
      </c>
      <c r="AD5551">
        <v>-1.1180687203370001</v>
      </c>
      <c r="AE5551">
        <v>-41.607819999999897</v>
      </c>
      <c r="AF5551">
        <v>-1.26112910829247</v>
      </c>
      <c r="AG5551">
        <v>-1.1180687203370001</v>
      </c>
      <c r="AH5551">
        <v>41.854222745899698</v>
      </c>
      <c r="AI5551">
        <v>91.529507495395094</v>
      </c>
      <c r="AJ5551">
        <v>91.725883671332895</v>
      </c>
      <c r="AK5551">
        <v>41.888142546006598</v>
      </c>
      <c r="AL5551">
        <v>78.035541458799599</v>
      </c>
      <c r="AM5551">
        <v>90.237817105547194</v>
      </c>
      <c r="AN5551">
        <v>1.0000000445728501</v>
      </c>
    </row>
    <row r="5552" spans="1:40" x14ac:dyDescent="0.25">
      <c r="A5552" t="str">
        <f>"20190303170404502"</f>
        <v>20190303170404502</v>
      </c>
      <c r="B5552" t="str">
        <f>"1551603844491704"</f>
        <v>1551603844491704</v>
      </c>
      <c r="C5552" t="s">
        <v>40</v>
      </c>
      <c r="D5552">
        <v>4.7042519999999897</v>
      </c>
      <c r="E5552">
        <v>0.49815680000000001</v>
      </c>
      <c r="F5552" t="s">
        <v>42</v>
      </c>
      <c r="G5552">
        <v>-426.33100000000002</v>
      </c>
      <c r="H5552" s="1">
        <v>-2.189371E-6</v>
      </c>
      <c r="I5552">
        <v>50.765929999999997</v>
      </c>
      <c r="J5552">
        <v>-420.75150000000002</v>
      </c>
      <c r="K5552">
        <v>1.1180060000000001</v>
      </c>
      <c r="L5552">
        <v>96.210629999999995</v>
      </c>
      <c r="M5552">
        <v>-0.15207619999999999</v>
      </c>
      <c r="N5552">
        <v>-1.416979E-2</v>
      </c>
      <c r="O5552">
        <v>-0.98826740000000002</v>
      </c>
      <c r="P5552">
        <v>-0.1443701</v>
      </c>
      <c r="Q5552">
        <v>0.19543869999999999</v>
      </c>
      <c r="R5552">
        <v>-0.97003170000000005</v>
      </c>
      <c r="S5552">
        <v>-0.37536619999999998</v>
      </c>
      <c r="T5552">
        <v>-7.4437740000000002E-2</v>
      </c>
      <c r="U5552">
        <v>-3.0500180000000001</v>
      </c>
      <c r="V5552">
        <v>-2.9970140000000001E-3</v>
      </c>
      <c r="W5552">
        <v>0.20935000000000001</v>
      </c>
      <c r="X5552">
        <v>0.97783620000000004</v>
      </c>
      <c r="Y5552">
        <v>-3.022273E-2</v>
      </c>
      <c r="Z5552">
        <v>9.8426390000000002E-3</v>
      </c>
      <c r="AA5552">
        <v>0.99949469999999996</v>
      </c>
      <c r="AB5552">
        <v>37</v>
      </c>
      <c r="AC5552">
        <v>-5.5794999999999302</v>
      </c>
      <c r="AD5552">
        <v>-1.1180081893709899</v>
      </c>
      <c r="AE5552">
        <v>-45.444699999999997</v>
      </c>
      <c r="AF5552">
        <v>-1.3963267581385399</v>
      </c>
      <c r="AG5552">
        <v>-1.1180081893709899</v>
      </c>
      <c r="AH5552">
        <v>45.737339224604902</v>
      </c>
      <c r="AI5552">
        <v>91.399613202565803</v>
      </c>
      <c r="AJ5552">
        <v>91.7486541610904</v>
      </c>
      <c r="AK5552">
        <v>45.772304618334097</v>
      </c>
      <c r="AL5552">
        <v>77.915736923235599</v>
      </c>
      <c r="AM5552">
        <v>90.175607852982196</v>
      </c>
      <c r="AN5552">
        <v>1.00000001931167</v>
      </c>
    </row>
    <row r="5553" spans="1:40" x14ac:dyDescent="0.25">
      <c r="A5553" t="str">
        <f>"20190303170404524"</f>
        <v>20190303170404524</v>
      </c>
      <c r="B5553" t="str">
        <f>"1551603844511224"</f>
        <v>1551603844511224</v>
      </c>
      <c r="C5553" t="s">
        <v>40</v>
      </c>
      <c r="D5553">
        <v>4.7033610000000001</v>
      </c>
      <c r="E5553">
        <v>0.49794290000000002</v>
      </c>
      <c r="F5553" t="s">
        <v>42</v>
      </c>
      <c r="G5553">
        <v>-427.24740000000003</v>
      </c>
      <c r="H5553" s="1">
        <v>-4.2446680000000002E-6</v>
      </c>
      <c r="I5553">
        <v>45.682209999999998</v>
      </c>
      <c r="J5553">
        <v>-420.81209999999999</v>
      </c>
      <c r="K5553">
        <v>1.1179680000000001</v>
      </c>
      <c r="L5553">
        <v>95.839449999999999</v>
      </c>
      <c r="M5553">
        <v>-0.15584500000000001</v>
      </c>
      <c r="N5553">
        <v>-1.416801E-2</v>
      </c>
      <c r="O5553">
        <v>-0.98767990000000006</v>
      </c>
      <c r="P5553">
        <v>-0.14848</v>
      </c>
      <c r="Q5553">
        <v>0.19592989999999999</v>
      </c>
      <c r="R5553">
        <v>-0.9693117</v>
      </c>
      <c r="S5553">
        <v>-0.39184570000000002</v>
      </c>
      <c r="T5553">
        <v>-6.7439910000000006E-2</v>
      </c>
      <c r="U5553">
        <v>-3.0479430000000001</v>
      </c>
      <c r="V5553">
        <v>-2.5365359999999998E-3</v>
      </c>
      <c r="W5553">
        <v>0.20983489999999999</v>
      </c>
      <c r="X5553">
        <v>0.97773359999999998</v>
      </c>
      <c r="Y5553">
        <v>-2.8631819999999999E-2</v>
      </c>
      <c r="Z5553">
        <v>7.5980969999999998E-3</v>
      </c>
      <c r="AA5553">
        <v>0.99956109999999998</v>
      </c>
      <c r="AB5553">
        <v>37</v>
      </c>
      <c r="AC5553">
        <v>-6.4353000000000398</v>
      </c>
      <c r="AD5553">
        <v>-1.117972244668</v>
      </c>
      <c r="AE5553">
        <v>-50.157240000000002</v>
      </c>
      <c r="AF5553">
        <v>-1.4601715649668301</v>
      </c>
      <c r="AG5553">
        <v>-1.117972244668</v>
      </c>
      <c r="AH5553">
        <v>50.522587197383501</v>
      </c>
      <c r="AI5553">
        <v>91.2671147787987</v>
      </c>
      <c r="AJ5553">
        <v>91.655465217883801</v>
      </c>
      <c r="AK5553">
        <v>50.556045929801599</v>
      </c>
      <c r="AL5553">
        <v>77.887323545925199</v>
      </c>
      <c r="AM5553">
        <v>90.148642208199504</v>
      </c>
      <c r="AN5553">
        <v>1.0000000559209199</v>
      </c>
    </row>
    <row r="5554" spans="1:40" x14ac:dyDescent="0.25">
      <c r="A5554" t="str">
        <f>"20190303170404546"</f>
        <v>20190303170404546</v>
      </c>
      <c r="B5554" t="str">
        <f>"1551603844541481"</f>
        <v>1551603844541481</v>
      </c>
      <c r="C5554" t="s">
        <v>40</v>
      </c>
      <c r="D5554">
        <v>4.6470789999999997</v>
      </c>
      <c r="E5554">
        <v>0.49790309999999999</v>
      </c>
      <c r="F5554" t="s">
        <v>42</v>
      </c>
      <c r="G5554">
        <v>-428.07769999999999</v>
      </c>
      <c r="H5554" s="1">
        <v>-2.7715629999999999E-6</v>
      </c>
      <c r="I5554">
        <v>41.039700000000003</v>
      </c>
      <c r="J5554">
        <v>-420.87450000000001</v>
      </c>
      <c r="K5554">
        <v>1.1179680000000001</v>
      </c>
      <c r="L5554">
        <v>95.466579999999993</v>
      </c>
      <c r="M5554">
        <v>-0.15957779999999999</v>
      </c>
      <c r="N5554">
        <v>-1.416562E-2</v>
      </c>
      <c r="O5554">
        <v>-0.98708370000000001</v>
      </c>
      <c r="P5554">
        <v>-0.1517964</v>
      </c>
      <c r="Q5554">
        <v>0.19482350000000001</v>
      </c>
      <c r="R5554">
        <v>-0.96902100000000002</v>
      </c>
      <c r="S5554">
        <v>-0.40380860000000002</v>
      </c>
      <c r="T5554">
        <v>-6.2135099999999999E-2</v>
      </c>
      <c r="U5554">
        <v>-3.0456850000000002</v>
      </c>
      <c r="V5554">
        <v>-2.9256019999999998E-3</v>
      </c>
      <c r="W5554">
        <v>0.20873259999999999</v>
      </c>
      <c r="X5554">
        <v>0.97796839999999996</v>
      </c>
      <c r="Y5554">
        <v>-2.8455640000000001E-2</v>
      </c>
      <c r="Z5554">
        <v>5.8994619999999899E-3</v>
      </c>
      <c r="AA5554">
        <v>0.99957759999999996</v>
      </c>
      <c r="AB5554">
        <v>37</v>
      </c>
      <c r="AC5554">
        <v>-7.2031999999999803</v>
      </c>
      <c r="AD5554">
        <v>-1.1179707715629901</v>
      </c>
      <c r="AE5554">
        <v>-54.426879999999997</v>
      </c>
      <c r="AF5554">
        <v>-1.5746655985229501</v>
      </c>
      <c r="AG5554">
        <v>-1.1179707715629901</v>
      </c>
      <c r="AH5554">
        <v>54.856117449907003</v>
      </c>
      <c r="AI5554">
        <v>91.167049005488906</v>
      </c>
      <c r="AJ5554">
        <v>91.644245501203898</v>
      </c>
      <c r="AK5554">
        <v>54.890099763720897</v>
      </c>
      <c r="AL5554">
        <v>77.951910590188405</v>
      </c>
      <c r="AM5554">
        <v>90.171400371531504</v>
      </c>
      <c r="AN5554">
        <v>1.00000002442419</v>
      </c>
    </row>
    <row r="5555" spans="1:40" x14ac:dyDescent="0.25">
      <c r="A5555" t="str">
        <f>"20190303170404568"</f>
        <v>20190303170404568</v>
      </c>
      <c r="B5555" t="str">
        <f>"1551603844561000"</f>
        <v>1551603844561000</v>
      </c>
      <c r="C5555" t="s">
        <v>40</v>
      </c>
      <c r="D5555">
        <v>4.7073219999999996</v>
      </c>
      <c r="E5555">
        <v>0.49780219999999997</v>
      </c>
      <c r="F5555" t="s">
        <v>42</v>
      </c>
      <c r="G5555">
        <v>-428.19540000000001</v>
      </c>
      <c r="H5555" s="1">
        <v>-3.0669779999999998E-6</v>
      </c>
      <c r="I5555">
        <v>41.72739</v>
      </c>
      <c r="J5555">
        <v>-420.93729999999999</v>
      </c>
      <c r="K5555">
        <v>1.117985</v>
      </c>
      <c r="L5555">
        <v>95.098789999999994</v>
      </c>
      <c r="M5555">
        <v>-0.16316700000000001</v>
      </c>
      <c r="N5555">
        <v>-1.416222E-2</v>
      </c>
      <c r="O5555">
        <v>-0.98649690000000001</v>
      </c>
      <c r="P5555">
        <v>-0.15473499999999901</v>
      </c>
      <c r="Q5555">
        <v>0.19456560000000001</v>
      </c>
      <c r="R5555">
        <v>-0.96860800000000002</v>
      </c>
      <c r="S5555">
        <v>-0.41464230000000002</v>
      </c>
      <c r="T5555">
        <v>-6.3319440000000005E-2</v>
      </c>
      <c r="U5555">
        <v>-3.0436709999999998</v>
      </c>
      <c r="V5555">
        <v>-3.540891E-3</v>
      </c>
      <c r="W5555">
        <v>0.20847750000000001</v>
      </c>
      <c r="X5555">
        <v>0.97802069999999997</v>
      </c>
      <c r="Y5555">
        <v>-2.851068E-2</v>
      </c>
      <c r="Z5555">
        <v>6.2802680000000003E-3</v>
      </c>
      <c r="AA5555">
        <v>0.99957379999999996</v>
      </c>
      <c r="AB5555">
        <v>37</v>
      </c>
      <c r="AC5555">
        <v>-7.2581000000000104</v>
      </c>
      <c r="AD5555">
        <v>-1.117988066978</v>
      </c>
      <c r="AE5555">
        <v>-53.371400000000001</v>
      </c>
      <c r="AF5555">
        <v>-1.54784639235984</v>
      </c>
      <c r="AG5555">
        <v>-1.117988066978</v>
      </c>
      <c r="AH5555">
        <v>53.8172123488878</v>
      </c>
      <c r="AI5555">
        <v>91.189588182163504</v>
      </c>
      <c r="AJ5555">
        <v>91.647439922854005</v>
      </c>
      <c r="AK5555">
        <v>53.851073069879703</v>
      </c>
      <c r="AL5555">
        <v>77.966854596284193</v>
      </c>
      <c r="AM5555">
        <v>90.207436533394301</v>
      </c>
      <c r="AN5555">
        <v>0.99999994777190504</v>
      </c>
    </row>
    <row r="5556" spans="1:40" x14ac:dyDescent="0.25">
      <c r="A5556" t="str">
        <f>"20190303170404591"</f>
        <v>20190303170404591</v>
      </c>
      <c r="B5556" t="str">
        <f>"1551603844581497"</f>
        <v>1551603844581497</v>
      </c>
      <c r="C5556" t="s">
        <v>40</v>
      </c>
      <c r="D5556">
        <v>4.6448269999999896</v>
      </c>
      <c r="E5556">
        <v>0.4975309</v>
      </c>
      <c r="F5556" t="s">
        <v>42</v>
      </c>
      <c r="G5556">
        <v>-428.62369999999999</v>
      </c>
      <c r="H5556" s="1">
        <v>-2.4626290000000001E-6</v>
      </c>
      <c r="I5556">
        <v>39.980930000000001</v>
      </c>
      <c r="J5556">
        <v>-421.00069999999999</v>
      </c>
      <c r="K5556">
        <v>1.118053</v>
      </c>
      <c r="L5556">
        <v>94.734740000000002</v>
      </c>
      <c r="M5556">
        <v>-0.16657629999999901</v>
      </c>
      <c r="N5556">
        <v>-1.415742E-2</v>
      </c>
      <c r="O5556">
        <v>-0.98592690000000005</v>
      </c>
      <c r="P5556">
        <v>-0.1580231</v>
      </c>
      <c r="Q5556">
        <v>0.1961387</v>
      </c>
      <c r="R5556">
        <v>-0.96775940000000005</v>
      </c>
      <c r="S5556">
        <v>-0.42419430000000002</v>
      </c>
      <c r="T5556">
        <v>-6.169939E-2</v>
      </c>
      <c r="U5556">
        <v>-3.0418400000000001</v>
      </c>
      <c r="V5556">
        <v>-3.571847E-3</v>
      </c>
      <c r="W5556">
        <v>0.21004049999999999</v>
      </c>
      <c r="X5556">
        <v>0.97768619999999995</v>
      </c>
      <c r="Y5556">
        <v>-2.8805109999999998E-2</v>
      </c>
      <c r="Z5556">
        <v>5.7635339999999998E-3</v>
      </c>
      <c r="AA5556">
        <v>0.99956840000000002</v>
      </c>
      <c r="AB5556">
        <v>37</v>
      </c>
      <c r="AC5556">
        <v>-7.6229999999999896</v>
      </c>
      <c r="AD5556">
        <v>-1.118055462629</v>
      </c>
      <c r="AE5556">
        <v>-54.753809999999902</v>
      </c>
      <c r="AF5556">
        <v>-1.60447094640385</v>
      </c>
      <c r="AG5556">
        <v>-1.118055462629</v>
      </c>
      <c r="AH5556">
        <v>55.236011338325397</v>
      </c>
      <c r="AI5556">
        <v>91.159100986230499</v>
      </c>
      <c r="AJ5556">
        <v>91.663834316988797</v>
      </c>
      <c r="AK5556">
        <v>55.270618990590101</v>
      </c>
      <c r="AL5556">
        <v>77.875274806051493</v>
      </c>
      <c r="AM5556">
        <v>90.209321608172104</v>
      </c>
      <c r="AN5556">
        <v>1.00000003770084</v>
      </c>
    </row>
    <row r="5557" spans="1:40" x14ac:dyDescent="0.25">
      <c r="A5557" t="str">
        <f>"20190303170404613"</f>
        <v>20190303170404613</v>
      </c>
      <c r="B5557" t="str">
        <f>"1551603844601016"</f>
        <v>1551603844601016</v>
      </c>
      <c r="C5557" t="s">
        <v>40</v>
      </c>
      <c r="D5557">
        <v>4.6442480000000002</v>
      </c>
      <c r="E5557">
        <v>0.49726579999999898</v>
      </c>
      <c r="F5557" t="s">
        <v>75</v>
      </c>
      <c r="G5557">
        <v>-429.76479999999998</v>
      </c>
      <c r="H5557" s="1">
        <v>-5.2018750000000001E-6</v>
      </c>
      <c r="I5557">
        <v>32.715649999999997</v>
      </c>
      <c r="J5557">
        <v>-421.06569999999999</v>
      </c>
      <c r="K5557">
        <v>1.118198</v>
      </c>
      <c r="L5557">
        <v>94.368350000000007</v>
      </c>
      <c r="M5557">
        <v>-0.16979469999999999</v>
      </c>
      <c r="N5557">
        <v>-1.415082E-2</v>
      </c>
      <c r="O5557">
        <v>-0.98537779999999997</v>
      </c>
      <c r="P5557">
        <v>-0.1616726</v>
      </c>
      <c r="Q5557">
        <v>0.19780349999999999</v>
      </c>
      <c r="R5557">
        <v>-0.96681709999999998</v>
      </c>
      <c r="S5557">
        <v>-0.42971799999999999</v>
      </c>
      <c r="T5557">
        <v>-5.4820180000000003E-2</v>
      </c>
      <c r="U5557">
        <v>-3.0408940000000002</v>
      </c>
      <c r="V5557">
        <v>-3.0718989999999999E-3</v>
      </c>
      <c r="W5557">
        <v>0.21168770000000001</v>
      </c>
      <c r="X5557">
        <v>0.97733250000000005</v>
      </c>
      <c r="Y5557">
        <v>-3.0244480000000001E-2</v>
      </c>
      <c r="Z5557">
        <v>3.5612230000000001E-3</v>
      </c>
      <c r="AA5557">
        <v>0.99953619999999999</v>
      </c>
      <c r="AB5557">
        <v>37</v>
      </c>
      <c r="AC5557">
        <v>-8.6990999999999801</v>
      </c>
      <c r="AD5557">
        <v>-1.1182032018750001</v>
      </c>
      <c r="AE5557">
        <v>-61.652700000000003</v>
      </c>
      <c r="AF5557">
        <v>-1.89598016368529</v>
      </c>
      <c r="AG5557">
        <v>-1.1182032018750001</v>
      </c>
      <c r="AH5557">
        <v>62.214431363368597</v>
      </c>
      <c r="AI5557">
        <v>91.029209857221801</v>
      </c>
      <c r="AJ5557">
        <v>91.745544373901893</v>
      </c>
      <c r="AK5557">
        <v>62.2533580543979</v>
      </c>
      <c r="AL5557">
        <v>77.778725459378904</v>
      </c>
      <c r="AM5557">
        <v>90.180088422498699</v>
      </c>
      <c r="AN5557">
        <v>0.999999967225502</v>
      </c>
    </row>
    <row r="5558" spans="1:40" x14ac:dyDescent="0.25">
      <c r="A5558" t="str">
        <f>"20190303170404628"</f>
        <v>20190303170404628</v>
      </c>
      <c r="B5558" t="str">
        <f>"1551603844621513"</f>
        <v>1551603844621513</v>
      </c>
      <c r="C5558" t="s">
        <v>40</v>
      </c>
      <c r="D5558">
        <v>4.6425979999999996</v>
      </c>
      <c r="E5558">
        <v>0.49699910000000003</v>
      </c>
      <c r="F5558" t="s">
        <v>75</v>
      </c>
      <c r="G5558">
        <v>-430.24470000000002</v>
      </c>
      <c r="H5558">
        <v>7.9987489999999994E-2</v>
      </c>
      <c r="I5558">
        <v>30.388770000000001</v>
      </c>
      <c r="J5558">
        <v>-421.1096</v>
      </c>
      <c r="K5558">
        <v>1.118336</v>
      </c>
      <c r="L5558">
        <v>94.123959999999997</v>
      </c>
      <c r="M5558">
        <v>-0.17175309999999999</v>
      </c>
      <c r="N5558">
        <v>-1.414514E-2</v>
      </c>
      <c r="O5558">
        <v>-0.98503850000000004</v>
      </c>
      <c r="P5558">
        <v>-0.16353480000000001</v>
      </c>
      <c r="Q5558">
        <v>0.19770769999999999</v>
      </c>
      <c r="R5558">
        <v>-0.96652369999999999</v>
      </c>
      <c r="S5558">
        <v>-0.43615720000000002</v>
      </c>
      <c r="T5558">
        <v>-4.9332380000000002E-2</v>
      </c>
      <c r="U5558">
        <v>-3.0400999999999998</v>
      </c>
      <c r="V5558">
        <v>-3.206188E-3</v>
      </c>
      <c r="W5558">
        <v>0.21158660000000001</v>
      </c>
      <c r="X5558">
        <v>0.97735399999999995</v>
      </c>
      <c r="Y5558">
        <v>-3.0119960000000001E-2</v>
      </c>
      <c r="Z5558">
        <v>1.809129E-3</v>
      </c>
      <c r="AA5558">
        <v>0.99954469999999995</v>
      </c>
      <c r="AB5558">
        <v>37</v>
      </c>
      <c r="AC5558">
        <v>-9.1351000000000209</v>
      </c>
      <c r="AD5558">
        <v>-1.0383485100000001</v>
      </c>
      <c r="AE5558">
        <v>-63.735190000000003</v>
      </c>
      <c r="AF5558">
        <v>-1.94797952596932</v>
      </c>
      <c r="AG5558">
        <v>-1.0383485100000001</v>
      </c>
      <c r="AH5558">
        <v>64.340301349724598</v>
      </c>
      <c r="AI5558">
        <v>90.924157653496707</v>
      </c>
      <c r="AJ5558">
        <v>91.734168462858406</v>
      </c>
      <c r="AK5558">
        <v>64.378157550796601</v>
      </c>
      <c r="AL5558">
        <v>77.784652786363694</v>
      </c>
      <c r="AM5558">
        <v>90.187956852646394</v>
      </c>
      <c r="AN5558">
        <v>1.0000000051285201</v>
      </c>
    </row>
    <row r="5559" spans="1:40" x14ac:dyDescent="0.25">
      <c r="A5559" t="str">
        <f>"20190303170404647"</f>
        <v>20190303170404647</v>
      </c>
      <c r="B5559" t="str">
        <f>"1551603844641032"</f>
        <v>1551603844641032</v>
      </c>
      <c r="C5559" t="s">
        <v>40</v>
      </c>
      <c r="D5559">
        <v>4.6448099999999997</v>
      </c>
      <c r="E5559">
        <v>0.49671999999999999</v>
      </c>
      <c r="F5559" t="s">
        <v>75</v>
      </c>
      <c r="G5559">
        <v>-430.59960000000001</v>
      </c>
      <c r="H5559">
        <v>7.9987440000000007E-2</v>
      </c>
      <c r="I5559">
        <v>28.613939999999999</v>
      </c>
      <c r="J5559">
        <v>-421.16739999999999</v>
      </c>
      <c r="K5559">
        <v>1.1185560000000001</v>
      </c>
      <c r="L5559">
        <v>93.805850000000007</v>
      </c>
      <c r="M5559">
        <v>-0.1740736</v>
      </c>
      <c r="N5559">
        <v>-1.413701E-2</v>
      </c>
      <c r="O5559">
        <v>-0.98463120000000004</v>
      </c>
      <c r="P5559">
        <v>-0.16337850000000001</v>
      </c>
      <c r="Q5559">
        <v>0.1959516</v>
      </c>
      <c r="R5559">
        <v>-0.96690790000000004</v>
      </c>
      <c r="S5559">
        <v>-0.44027709999999998</v>
      </c>
      <c r="T5559">
        <v>-4.8173189999999998E-2</v>
      </c>
      <c r="U5559">
        <v>-3.0392760000000001</v>
      </c>
      <c r="V5559">
        <v>-5.8657769999999904E-3</v>
      </c>
      <c r="W5559">
        <v>0.2098447</v>
      </c>
      <c r="X5559">
        <v>0.97771719999999895</v>
      </c>
      <c r="Y5559">
        <v>-3.1109399999999999E-2</v>
      </c>
      <c r="Z5559">
        <v>1.443302E-3</v>
      </c>
      <c r="AA5559">
        <v>0.99951489999999998</v>
      </c>
      <c r="AB5559">
        <v>37</v>
      </c>
      <c r="AC5559">
        <v>-9.4322000000000195</v>
      </c>
      <c r="AD5559">
        <v>-1.0385685600000001</v>
      </c>
      <c r="AE5559">
        <v>-65.191909999999993</v>
      </c>
      <c r="AF5559">
        <v>-2.0606457029682401</v>
      </c>
      <c r="AG5559">
        <v>-1.0385685600000001</v>
      </c>
      <c r="AH5559">
        <v>65.822099787306698</v>
      </c>
      <c r="AI5559">
        <v>90.903519128755605</v>
      </c>
      <c r="AJ5559">
        <v>91.793132599506293</v>
      </c>
      <c r="AK5559">
        <v>65.862536435952194</v>
      </c>
      <c r="AL5559">
        <v>77.886749364565901</v>
      </c>
      <c r="AM5559">
        <v>90.343739716826306</v>
      </c>
      <c r="AN5559">
        <v>1.0000000643168601</v>
      </c>
    </row>
    <row r="5560" spans="1:40" x14ac:dyDescent="0.25">
      <c r="A5560" t="str">
        <f>"20190303170404670"</f>
        <v>20190303170404670</v>
      </c>
      <c r="B5560" t="str">
        <f>"1551603844661529"</f>
        <v>1551603844661529</v>
      </c>
      <c r="C5560" t="s">
        <v>40</v>
      </c>
      <c r="D5560">
        <v>4.4924730000000004</v>
      </c>
      <c r="E5560">
        <v>0.49647829999999898</v>
      </c>
      <c r="F5560" t="s">
        <v>75</v>
      </c>
      <c r="G5560">
        <v>-429.96960000000001</v>
      </c>
      <c r="H5560">
        <v>6.1781639999999999E-2</v>
      </c>
      <c r="I5560">
        <v>32.786200000000001</v>
      </c>
      <c r="J5560">
        <v>-421.23360000000002</v>
      </c>
      <c r="K5560">
        <v>1.1188579999999999</v>
      </c>
      <c r="L5560">
        <v>93.443879999999993</v>
      </c>
      <c r="M5560">
        <v>-0.1763361</v>
      </c>
      <c r="N5560">
        <v>-1.412737E-2</v>
      </c>
      <c r="O5560">
        <v>-0.98422860000000001</v>
      </c>
      <c r="P5560">
        <v>-0.1639487</v>
      </c>
      <c r="Q5560">
        <v>0.194271</v>
      </c>
      <c r="R5560">
        <v>-0.96715039999999997</v>
      </c>
      <c r="S5560">
        <v>-0.43841550000000001</v>
      </c>
      <c r="T5560">
        <v>-5.2635429999999997E-2</v>
      </c>
      <c r="U5560">
        <v>-3.0392459999999999</v>
      </c>
      <c r="V5560">
        <v>-7.7754249999999999E-3</v>
      </c>
      <c r="W5560">
        <v>0.2081664</v>
      </c>
      <c r="X5560">
        <v>0.97806249999999995</v>
      </c>
      <c r="Y5560">
        <v>-3.4004189999999997E-2</v>
      </c>
      <c r="Z5560">
        <v>2.870661E-3</v>
      </c>
      <c r="AA5560">
        <v>0.99941749999999996</v>
      </c>
      <c r="AB5560">
        <v>37</v>
      </c>
      <c r="AC5560">
        <v>-8.73599999999999</v>
      </c>
      <c r="AD5560">
        <v>-1.0570763599999999</v>
      </c>
      <c r="AE5560">
        <v>-60.657679999999999</v>
      </c>
      <c r="AF5560">
        <v>-2.0975030631409601</v>
      </c>
      <c r="AG5560">
        <v>-1.0570763599999999</v>
      </c>
      <c r="AH5560">
        <v>61.229392419013799</v>
      </c>
      <c r="AI5560">
        <v>90.988487717766503</v>
      </c>
      <c r="AJ5560">
        <v>91.961984129907805</v>
      </c>
      <c r="AK5560">
        <v>61.274427174248999</v>
      </c>
      <c r="AL5560">
        <v>77.985079556065401</v>
      </c>
      <c r="AM5560">
        <v>90.455481783260595</v>
      </c>
      <c r="AN5560">
        <v>0.99999998061456996</v>
      </c>
    </row>
    <row r="5561" spans="1:40" x14ac:dyDescent="0.25">
      <c r="A5561" t="str">
        <f>"20190303170404691"</f>
        <v>20190303170404691</v>
      </c>
      <c r="B5561" t="str">
        <f>"1551603844681049"</f>
        <v>1551603844681049</v>
      </c>
      <c r="C5561" t="s">
        <v>40</v>
      </c>
      <c r="D5561">
        <v>4.5478880000000004</v>
      </c>
      <c r="E5561">
        <v>0.49546099999999998</v>
      </c>
      <c r="F5561" t="s">
        <v>75</v>
      </c>
      <c r="G5561">
        <v>-429.68310000000002</v>
      </c>
      <c r="H5561" s="1">
        <v>-4.370497E-6</v>
      </c>
      <c r="I5561">
        <v>34.944519999999997</v>
      </c>
      <c r="J5561">
        <v>-421.30009999999999</v>
      </c>
      <c r="K5561">
        <v>1.1192219999999999</v>
      </c>
      <c r="L5561">
        <v>93.083280000000002</v>
      </c>
      <c r="M5561">
        <v>-0.17814059999999901</v>
      </c>
      <c r="N5561">
        <v>-1.411842E-2</v>
      </c>
      <c r="O5561">
        <v>-0.98390390000000005</v>
      </c>
      <c r="P5561">
        <v>-0.16583529999999999</v>
      </c>
      <c r="Q5561">
        <v>0.1954234</v>
      </c>
      <c r="R5561">
        <v>-0.96659649999999997</v>
      </c>
      <c r="S5561">
        <v>-0.43896479999999999</v>
      </c>
      <c r="T5561">
        <v>-5.812705E-2</v>
      </c>
      <c r="U5561">
        <v>-3.0391539999999999</v>
      </c>
      <c r="V5561">
        <v>-7.8005440000000004E-3</v>
      </c>
      <c r="W5561">
        <v>0.20929909999999999</v>
      </c>
      <c r="X5561">
        <v>0.97782060000000004</v>
      </c>
      <c r="Y5561">
        <v>-3.5655630000000001E-2</v>
      </c>
      <c r="Z5561">
        <v>4.6265439999999998E-3</v>
      </c>
      <c r="AA5561">
        <v>0.99935339999999995</v>
      </c>
      <c r="AB5561">
        <v>37</v>
      </c>
      <c r="AC5561">
        <v>-8.3830000000000293</v>
      </c>
      <c r="AD5561">
        <v>-1.119226370497</v>
      </c>
      <c r="AE5561">
        <v>-58.138759999999998</v>
      </c>
      <c r="AF5561">
        <v>-2.1082516951572901</v>
      </c>
      <c r="AG5561">
        <v>-1.119226370497</v>
      </c>
      <c r="AH5561">
        <v>58.680843607410303</v>
      </c>
      <c r="AI5561">
        <v>91.091972050071703</v>
      </c>
      <c r="AJ5561">
        <v>92.057604906176394</v>
      </c>
      <c r="AK5561">
        <v>58.729369138071696</v>
      </c>
      <c r="AL5561">
        <v>77.918719650281503</v>
      </c>
      <c r="AM5561">
        <v>90.457066222976707</v>
      </c>
      <c r="AN5561">
        <v>1.00000004376593</v>
      </c>
    </row>
    <row r="5562" spans="1:40" x14ac:dyDescent="0.25">
      <c r="A5562" t="str">
        <f>"20190303170404707"</f>
        <v>20190303170404707</v>
      </c>
      <c r="B5562" t="str">
        <f>"1551603844701545"</f>
        <v>1551603844701545</v>
      </c>
      <c r="C5562" t="s">
        <v>40</v>
      </c>
      <c r="D5562">
        <v>4.5612789999999999</v>
      </c>
      <c r="E5562">
        <v>0.45865739999999999</v>
      </c>
      <c r="F5562" t="s">
        <v>75</v>
      </c>
      <c r="G5562">
        <v>-429.95890000000003</v>
      </c>
      <c r="H5562">
        <v>5.1145669999999997E-2</v>
      </c>
      <c r="I5562">
        <v>32.685630000000003</v>
      </c>
      <c r="J5562">
        <v>-421.34679999999997</v>
      </c>
      <c r="K5562">
        <v>1.1195200000000001</v>
      </c>
      <c r="L5562">
        <v>92.830780000000004</v>
      </c>
      <c r="M5562">
        <v>-0.1790727</v>
      </c>
      <c r="N5562">
        <v>-1.4112799999999899E-2</v>
      </c>
      <c r="O5562">
        <v>-0.98373480000000002</v>
      </c>
      <c r="P5562">
        <v>-0.16769329999999999</v>
      </c>
      <c r="Q5562">
        <v>0.19700770000000001</v>
      </c>
      <c r="R5562">
        <v>-0.96595410000000004</v>
      </c>
      <c r="S5562">
        <v>-0.43579099999999998</v>
      </c>
      <c r="T5562">
        <v>-5.3755400000000002E-2</v>
      </c>
      <c r="U5562">
        <v>-3.0397639999999999</v>
      </c>
      <c r="V5562">
        <v>-6.9257880000000004E-3</v>
      </c>
      <c r="W5562">
        <v>0.2108623</v>
      </c>
      <c r="X5562">
        <v>0.97749129999999995</v>
      </c>
      <c r="Y5562">
        <v>-3.765222E-2</v>
      </c>
      <c r="Z5562">
        <v>3.2285920000000002E-3</v>
      </c>
      <c r="AA5562">
        <v>0.99928570000000005</v>
      </c>
      <c r="AB5562">
        <v>37</v>
      </c>
      <c r="AC5562">
        <v>-8.6121000000000496</v>
      </c>
      <c r="AD5562">
        <v>-1.0683743299999999</v>
      </c>
      <c r="AE5562">
        <v>-60.145150000000001</v>
      </c>
      <c r="AF5562">
        <v>-2.2978499507130898</v>
      </c>
      <c r="AG5562">
        <v>-1.0683743299999999</v>
      </c>
      <c r="AH5562">
        <v>60.696337875089903</v>
      </c>
      <c r="AI5562">
        <v>91.007691987549194</v>
      </c>
      <c r="AJ5562">
        <v>92.168075770473294</v>
      </c>
      <c r="AK5562">
        <v>60.749213736081103</v>
      </c>
      <c r="AL5562">
        <v>77.827110722766903</v>
      </c>
      <c r="AM5562">
        <v>90.405949170260399</v>
      </c>
      <c r="AN5562">
        <v>1.0000000588381901</v>
      </c>
    </row>
    <row r="5563" spans="1:40" x14ac:dyDescent="0.25">
      <c r="A5563" t="str">
        <f>"20190303170404726"</f>
        <v>20190303170404726</v>
      </c>
      <c r="B5563" t="str">
        <f>"1551603844721064"</f>
        <v>1551603844721064</v>
      </c>
      <c r="C5563" t="s">
        <v>40</v>
      </c>
      <c r="D5563">
        <v>4.4726990000000004</v>
      </c>
      <c r="E5563">
        <v>0.45731509999999997</v>
      </c>
      <c r="F5563" t="s">
        <v>95</v>
      </c>
      <c r="G5563">
        <v>-425.88350000000003</v>
      </c>
      <c r="H5563">
        <v>1.0933330000000001</v>
      </c>
      <c r="I5563">
        <v>0.65998650000000003</v>
      </c>
      <c r="J5563">
        <v>-421.40359999999998</v>
      </c>
      <c r="K5563">
        <v>1.1199059999999901</v>
      </c>
      <c r="L5563">
        <v>92.523380000000003</v>
      </c>
      <c r="M5563">
        <v>-0.1798681</v>
      </c>
      <c r="N5563">
        <v>-1.410692E-2</v>
      </c>
      <c r="O5563">
        <v>-0.98358959999999995</v>
      </c>
      <c r="P5563">
        <v>-0.16924429999999999</v>
      </c>
      <c r="Q5563">
        <v>0.19763230000000001</v>
      </c>
      <c r="R5563">
        <v>-0.96555599999999997</v>
      </c>
      <c r="S5563">
        <v>-0.15158079999999999</v>
      </c>
      <c r="T5563">
        <v>-8.7583069999999999E-4</v>
      </c>
      <c r="U5563">
        <v>-3.0796199999999998</v>
      </c>
      <c r="V5563">
        <v>-6.3124770000000004E-3</v>
      </c>
      <c r="W5563">
        <v>0.2114692</v>
      </c>
      <c r="X5563">
        <v>0.97736429999999996</v>
      </c>
      <c r="Y5563">
        <v>-0.13130069999999999</v>
      </c>
      <c r="Z5563">
        <v>-1.376811E-2</v>
      </c>
      <c r="AA5563">
        <v>0.99124699999999999</v>
      </c>
      <c r="AB5563">
        <v>37</v>
      </c>
      <c r="AC5563">
        <v>-4.4799000000000397</v>
      </c>
      <c r="AD5563">
        <v>-2.6572999999999899E-2</v>
      </c>
      <c r="AE5563">
        <v>-91.863393500000001</v>
      </c>
      <c r="AF5563">
        <v>-12.1181155905522</v>
      </c>
      <c r="AG5563">
        <v>-2.6572999999999899E-2</v>
      </c>
      <c r="AH5563">
        <v>91.170732319266705</v>
      </c>
      <c r="AI5563">
        <v>90.016554076170706</v>
      </c>
      <c r="AJ5563">
        <v>97.571189400607295</v>
      </c>
      <c r="AK5563">
        <v>91.972560382005696</v>
      </c>
      <c r="AL5563">
        <v>77.791535257112102</v>
      </c>
      <c r="AM5563">
        <v>90.370049592999393</v>
      </c>
      <c r="AN5563">
        <v>1.0000000224145</v>
      </c>
    </row>
    <row r="5564" spans="1:40" x14ac:dyDescent="0.25">
      <c r="A5564" t="str">
        <f>"20190303170404747"</f>
        <v>20190303170404747</v>
      </c>
      <c r="B5564" t="str">
        <f>"1551603844741561"</f>
        <v>1551603844741561</v>
      </c>
      <c r="C5564" t="s">
        <v>40</v>
      </c>
      <c r="D5564">
        <v>4.5872149999999996</v>
      </c>
      <c r="E5564">
        <v>0.4571325</v>
      </c>
      <c r="F5564" t="s">
        <v>95</v>
      </c>
      <c r="G5564">
        <v>-425.7097</v>
      </c>
      <c r="H5564">
        <v>1.1543139999999901</v>
      </c>
      <c r="I5564">
        <v>0.4193211</v>
      </c>
      <c r="J5564">
        <v>-421.46960000000001</v>
      </c>
      <c r="K5564">
        <v>1.120371</v>
      </c>
      <c r="L5564">
        <v>92.16583</v>
      </c>
      <c r="M5564">
        <v>-0.18029049999999999</v>
      </c>
      <c r="N5564">
        <v>-1.410171E-2</v>
      </c>
      <c r="O5564">
        <v>-0.98351230000000001</v>
      </c>
      <c r="P5564">
        <v>-0.16900670000000001</v>
      </c>
      <c r="Q5564">
        <v>0.1942487</v>
      </c>
      <c r="R5564">
        <v>-0.96628369999999997</v>
      </c>
      <c r="S5564">
        <v>-0.14407349999999999</v>
      </c>
      <c r="T5564">
        <v>1.15025E-3</v>
      </c>
      <c r="U5564">
        <v>-3.0815429999999999</v>
      </c>
      <c r="V5564">
        <v>-7.3497500000000004E-3</v>
      </c>
      <c r="W5564">
        <v>0.20808570000000001</v>
      </c>
      <c r="X5564">
        <v>0.97808300000000004</v>
      </c>
      <c r="Y5564">
        <v>-0.13416639999999999</v>
      </c>
      <c r="Z5564">
        <v>-1.4404129999999999E-2</v>
      </c>
      <c r="AA5564">
        <v>0.99085409999999996</v>
      </c>
      <c r="AB5564">
        <v>37</v>
      </c>
      <c r="AC5564">
        <v>-4.2400999999999804</v>
      </c>
      <c r="AD5564">
        <v>3.39429999999998E-2</v>
      </c>
      <c r="AE5564">
        <v>-91.746508899999995</v>
      </c>
      <c r="AF5564">
        <v>-12.372062179276901</v>
      </c>
      <c r="AG5564">
        <v>3.39429999999998E-2</v>
      </c>
      <c r="AH5564">
        <v>91.007308039112203</v>
      </c>
      <c r="AI5564">
        <v>89.978825164428997</v>
      </c>
      <c r="AJ5564">
        <v>97.741662033324602</v>
      </c>
      <c r="AK5564">
        <v>91.844429287905101</v>
      </c>
      <c r="AL5564">
        <v>77.989807276548206</v>
      </c>
      <c r="AM5564">
        <v>90.430537827052305</v>
      </c>
      <c r="AN5564">
        <v>1.0000000161292699</v>
      </c>
    </row>
    <row r="5565" spans="1:40" x14ac:dyDescent="0.25">
      <c r="A5565" t="str">
        <f>"20190303170404769"</f>
        <v>20190303170404769</v>
      </c>
      <c r="B5565" t="str">
        <f>"1551603844761081"</f>
        <v>1551603844761081</v>
      </c>
      <c r="C5565" t="s">
        <v>40</v>
      </c>
      <c r="D5565">
        <v>4.5980740000000004</v>
      </c>
      <c r="E5565">
        <v>0.45680270000000001</v>
      </c>
      <c r="F5565" t="s">
        <v>95</v>
      </c>
      <c r="G5565">
        <v>-425.66329999999999</v>
      </c>
      <c r="H5565">
        <v>0.65830449999999996</v>
      </c>
      <c r="I5565">
        <v>0.4197922</v>
      </c>
      <c r="J5565">
        <v>-421.53500000000003</v>
      </c>
      <c r="K5565">
        <v>1.1208370000000001</v>
      </c>
      <c r="L5565">
        <v>91.809690000000003</v>
      </c>
      <c r="M5565">
        <v>-0.1801693</v>
      </c>
      <c r="N5565">
        <v>-1.4098279999999999E-2</v>
      </c>
      <c r="O5565">
        <v>-0.98353460000000004</v>
      </c>
      <c r="P5565">
        <v>-0.1680982</v>
      </c>
      <c r="Q5565">
        <v>0.1907491</v>
      </c>
      <c r="R5565">
        <v>-0.96713899999999997</v>
      </c>
      <c r="S5565">
        <v>-0.14093020000000001</v>
      </c>
      <c r="T5565">
        <v>-1.5528800000000001E-2</v>
      </c>
      <c r="U5565">
        <v>-3.0831599999999999</v>
      </c>
      <c r="V5565">
        <v>-8.5296030000000002E-3</v>
      </c>
      <c r="W5565">
        <v>0.2045855</v>
      </c>
      <c r="X5565">
        <v>0.9788116</v>
      </c>
      <c r="Y5565">
        <v>-0.13506840000000001</v>
      </c>
      <c r="Z5565">
        <v>-9.1527380000000005E-3</v>
      </c>
      <c r="AA5565">
        <v>0.99079399999999995</v>
      </c>
      <c r="AB5565">
        <v>37</v>
      </c>
      <c r="AC5565">
        <v>-4.1282999999999603</v>
      </c>
      <c r="AD5565">
        <v>-0.46253250000000001</v>
      </c>
      <c r="AE5565">
        <v>-91.3898978</v>
      </c>
      <c r="AF5565">
        <v>-12.406243629807699</v>
      </c>
      <c r="AG5565">
        <v>-0.46253250000000001</v>
      </c>
      <c r="AH5565">
        <v>90.635608584931106</v>
      </c>
      <c r="AI5565">
        <v>90.289688628972101</v>
      </c>
      <c r="AJ5565">
        <v>97.794235134191695</v>
      </c>
      <c r="AK5565">
        <v>91.481923683733996</v>
      </c>
      <c r="AL5565">
        <v>78.194765079009301</v>
      </c>
      <c r="AM5565">
        <v>90.499276758487994</v>
      </c>
      <c r="AN5565">
        <v>1.0000000646160701</v>
      </c>
    </row>
    <row r="5566" spans="1:40" x14ac:dyDescent="0.25">
      <c r="A5566" t="str">
        <f>"20190303170404785"</f>
        <v>20190303170404785</v>
      </c>
      <c r="B5566" t="str">
        <f>"1551603844781577"</f>
        <v>1551603844781577</v>
      </c>
      <c r="C5566" t="s">
        <v>40</v>
      </c>
      <c r="D5566">
        <v>4.5568759999999999</v>
      </c>
      <c r="E5566">
        <v>0.45639669999999999</v>
      </c>
      <c r="F5566" t="s">
        <v>95</v>
      </c>
      <c r="G5566">
        <v>-425.57409999999999</v>
      </c>
      <c r="H5566">
        <v>0.3019366</v>
      </c>
      <c r="I5566">
        <v>0.42069820000000002</v>
      </c>
      <c r="J5566">
        <v>-421.58049999999997</v>
      </c>
      <c r="K5566">
        <v>1.1211799999999901</v>
      </c>
      <c r="L5566">
        <v>91.560209999999998</v>
      </c>
      <c r="M5566">
        <v>-0.17973439999999999</v>
      </c>
      <c r="N5566">
        <v>-1.409701E-2</v>
      </c>
      <c r="O5566">
        <v>-0.98361410000000005</v>
      </c>
      <c r="P5566">
        <v>-0.1682795</v>
      </c>
      <c r="Q5566">
        <v>0.1908241</v>
      </c>
      <c r="R5566">
        <v>-0.96709299999999998</v>
      </c>
      <c r="S5566">
        <v>-0.13629150000000001</v>
      </c>
      <c r="T5566">
        <v>-2.7632830000000001E-2</v>
      </c>
      <c r="U5566">
        <v>-3.08371</v>
      </c>
      <c r="V5566">
        <v>-8.0846930000000004E-3</v>
      </c>
      <c r="W5566">
        <v>0.20465130000000001</v>
      </c>
      <c r="X5566">
        <v>0.97880149999999999</v>
      </c>
      <c r="Y5566">
        <v>-0.13612050000000001</v>
      </c>
      <c r="Z5566">
        <v>-5.3450370000000004E-3</v>
      </c>
      <c r="AA5566">
        <v>0.9906779</v>
      </c>
      <c r="AB5566">
        <v>37</v>
      </c>
      <c r="AC5566">
        <v>-3.99360000000001</v>
      </c>
      <c r="AD5566">
        <v>-0.81924339999999896</v>
      </c>
      <c r="AE5566">
        <v>-91.139511799999994</v>
      </c>
      <c r="AF5566">
        <v>-12.4529782095664</v>
      </c>
      <c r="AG5566">
        <v>-0.81924339999999896</v>
      </c>
      <c r="AH5566">
        <v>90.365594275021607</v>
      </c>
      <c r="AI5566">
        <v>90.514559612030496</v>
      </c>
      <c r="AJ5566">
        <v>97.846318528897299</v>
      </c>
      <c r="AK5566">
        <v>91.223288993075698</v>
      </c>
      <c r="AL5566">
        <v>78.190912111694303</v>
      </c>
      <c r="AM5566">
        <v>90.473240236924298</v>
      </c>
      <c r="AN5566">
        <v>0.99999994662741998</v>
      </c>
    </row>
    <row r="5567" spans="1:40" x14ac:dyDescent="0.25">
      <c r="A5567" t="str">
        <f>"20190303170404804"</f>
        <v>20190303170404804</v>
      </c>
      <c r="B5567" t="str">
        <f>"1551603844791337"</f>
        <v>1551603844791337</v>
      </c>
      <c r="C5567" t="s">
        <v>40</v>
      </c>
      <c r="D5567">
        <v>4.5776709999999996</v>
      </c>
      <c r="E5567">
        <v>0.45613759999999998</v>
      </c>
      <c r="F5567" t="s">
        <v>95</v>
      </c>
      <c r="G5567">
        <v>-425.52769999999998</v>
      </c>
      <c r="H5567">
        <v>0.32898040000000001</v>
      </c>
      <c r="I5567">
        <v>0.42116930000000002</v>
      </c>
      <c r="J5567">
        <v>-421.63490000000002</v>
      </c>
      <c r="K5567">
        <v>1.121632</v>
      </c>
      <c r="L5567">
        <v>91.259829999999994</v>
      </c>
      <c r="M5567">
        <v>-0.178858399999999</v>
      </c>
      <c r="N5567">
        <v>-1.4096849999999999E-2</v>
      </c>
      <c r="O5567">
        <v>-0.98377389999999998</v>
      </c>
      <c r="P5567">
        <v>-0.1704581</v>
      </c>
      <c r="Q5567">
        <v>0.1931919</v>
      </c>
      <c r="R5567">
        <v>-0.96624080000000001</v>
      </c>
      <c r="S5567">
        <v>-0.13357539999999901</v>
      </c>
      <c r="T5567">
        <v>-2.680898E-2</v>
      </c>
      <c r="U5567">
        <v>-3.0841370000000001</v>
      </c>
      <c r="V5567">
        <v>-5.133271E-3</v>
      </c>
      <c r="W5567">
        <v>0.20700350000000001</v>
      </c>
      <c r="X5567">
        <v>0.97832669999999999</v>
      </c>
      <c r="Y5567">
        <v>-0.136115299999999</v>
      </c>
      <c r="Z5567">
        <v>-5.6044529999999997E-3</v>
      </c>
      <c r="AA5567">
        <v>0.99067720000000004</v>
      </c>
      <c r="AB5567">
        <v>37</v>
      </c>
      <c r="AC5567">
        <v>-3.8927999999999598</v>
      </c>
      <c r="AD5567">
        <v>-0.79265159999999901</v>
      </c>
      <c r="AE5567">
        <v>-90.838660700000005</v>
      </c>
      <c r="AF5567">
        <v>-12.417911853207301</v>
      </c>
      <c r="AG5567">
        <v>-0.79265159999999901</v>
      </c>
      <c r="AH5567">
        <v>90.063062267164</v>
      </c>
      <c r="AI5567">
        <v>90.499525697869998</v>
      </c>
      <c r="AJ5567">
        <v>97.850454318940706</v>
      </c>
      <c r="AK5567">
        <v>90.918579049015406</v>
      </c>
      <c r="AL5567">
        <v>78.053192348413404</v>
      </c>
      <c r="AM5567">
        <v>90.300627657774299</v>
      </c>
      <c r="AN5567">
        <v>0.99999996570814897</v>
      </c>
    </row>
    <row r="5568" spans="1:40" x14ac:dyDescent="0.25">
      <c r="A5568" t="str">
        <f>"20190303170404820"</f>
        <v>20190303170404820</v>
      </c>
      <c r="B5568" t="str">
        <f>"1551603844810856"</f>
        <v>1551603844810856</v>
      </c>
      <c r="C5568" t="s">
        <v>40</v>
      </c>
      <c r="D5568">
        <v>4.5695569999999996</v>
      </c>
      <c r="E5568">
        <v>0.45562770000000002</v>
      </c>
      <c r="F5568" t="s">
        <v>95</v>
      </c>
      <c r="G5568">
        <v>-425.63650000000001</v>
      </c>
      <c r="H5568">
        <v>0.62983489999999998</v>
      </c>
      <c r="I5568">
        <v>0.42006490000000002</v>
      </c>
      <c r="J5568">
        <v>-421.68270000000001</v>
      </c>
      <c r="K5568">
        <v>1.1220410000000001</v>
      </c>
      <c r="L5568">
        <v>90.992400000000004</v>
      </c>
      <c r="M5568">
        <v>-0.17776029999999901</v>
      </c>
      <c r="N5568">
        <v>-1.40982E-2</v>
      </c>
      <c r="O5568">
        <v>-0.98397299999999999</v>
      </c>
      <c r="P5568">
        <v>-0.17102200000000001</v>
      </c>
      <c r="Q5568">
        <v>0.1949301</v>
      </c>
      <c r="R5568">
        <v>-0.96579210000000004</v>
      </c>
      <c r="S5568">
        <v>-0.13586429999999999</v>
      </c>
      <c r="T5568">
        <v>-1.6698359999999999E-2</v>
      </c>
      <c r="U5568">
        <v>-3.0841980000000002</v>
      </c>
      <c r="V5568">
        <v>-3.6064460000000001E-3</v>
      </c>
      <c r="W5568">
        <v>0.2087349</v>
      </c>
      <c r="X5568">
        <v>0.97796559999999999</v>
      </c>
      <c r="Y5568">
        <v>-0.13428090000000001</v>
      </c>
      <c r="Z5568">
        <v>-8.7851800000000001E-3</v>
      </c>
      <c r="AA5568">
        <v>0.99090440000000002</v>
      </c>
      <c r="AB5568">
        <v>37</v>
      </c>
      <c r="AC5568">
        <v>-3.9538000000000002</v>
      </c>
      <c r="AD5568">
        <v>-0.49220609999999998</v>
      </c>
      <c r="AE5568">
        <v>-90.572335099999904</v>
      </c>
      <c r="AF5568">
        <v>-12.210584539316001</v>
      </c>
      <c r="AG5568">
        <v>-0.49220609999999998</v>
      </c>
      <c r="AH5568">
        <v>89.829825408089505</v>
      </c>
      <c r="AI5568">
        <v>90.311077919075501</v>
      </c>
      <c r="AJ5568">
        <v>97.740782892678197</v>
      </c>
      <c r="AK5568">
        <v>90.657256601358199</v>
      </c>
      <c r="AL5568">
        <v>77.951775419006296</v>
      </c>
      <c r="AM5568">
        <v>90.211288820554302</v>
      </c>
      <c r="AN5568">
        <v>0.99999998985705996</v>
      </c>
    </row>
    <row r="5569" spans="1:40" x14ac:dyDescent="0.25">
      <c r="A5569" t="str">
        <f>"20190303170404837"</f>
        <v>20190303170404837</v>
      </c>
      <c r="B5569" t="str">
        <f>"1551603844831353"</f>
        <v>1551603844831353</v>
      </c>
      <c r="C5569" t="s">
        <v>40</v>
      </c>
      <c r="D5569">
        <v>4.5598799999999997</v>
      </c>
      <c r="E5569">
        <v>0.4553101</v>
      </c>
      <c r="F5569" t="s">
        <v>95</v>
      </c>
      <c r="G5569">
        <v>-425.58440000000002</v>
      </c>
      <c r="H5569">
        <v>0.87144349999999904</v>
      </c>
      <c r="I5569">
        <v>0.4205933</v>
      </c>
      <c r="J5569">
        <v>-421.7321</v>
      </c>
      <c r="K5569">
        <v>1.1224609999999999</v>
      </c>
      <c r="L5569">
        <v>90.713229999999996</v>
      </c>
      <c r="M5569">
        <v>-0.1763092</v>
      </c>
      <c r="N5569">
        <v>-1.410112E-2</v>
      </c>
      <c r="O5569">
        <v>-0.9842341</v>
      </c>
      <c r="P5569">
        <v>-0.1720787</v>
      </c>
      <c r="Q5569">
        <v>0.19555439999999999</v>
      </c>
      <c r="R5569">
        <v>-0.96547810000000001</v>
      </c>
      <c r="S5569">
        <v>-0.13287349999999901</v>
      </c>
      <c r="T5569">
        <v>-8.5350280000000001E-3</v>
      </c>
      <c r="U5569">
        <v>-3.0844420000000001</v>
      </c>
      <c r="V5569">
        <v>-1.276475E-3</v>
      </c>
      <c r="W5569">
        <v>0.2093621</v>
      </c>
      <c r="X5569">
        <v>0.97783730000000002</v>
      </c>
      <c r="Y5569">
        <v>-0.13378579999999901</v>
      </c>
      <c r="Z5569">
        <v>-1.1359009999999999E-2</v>
      </c>
      <c r="AA5569">
        <v>0.99094519999999997</v>
      </c>
      <c r="AB5569">
        <v>37</v>
      </c>
      <c r="AC5569">
        <v>-3.8523000000000098</v>
      </c>
      <c r="AD5569">
        <v>-0.2510175</v>
      </c>
      <c r="AE5569">
        <v>-90.292636700000003</v>
      </c>
      <c r="AF5569">
        <v>-12.128966619343201</v>
      </c>
      <c r="AG5569">
        <v>-0.2510175</v>
      </c>
      <c r="AH5569">
        <v>89.556477198261305</v>
      </c>
      <c r="AI5569">
        <v>90.159140831728607</v>
      </c>
      <c r="AJ5569">
        <v>97.712851750366696</v>
      </c>
      <c r="AK5569">
        <v>90.374429177733404</v>
      </c>
      <c r="AL5569">
        <v>77.915027104375895</v>
      </c>
      <c r="AM5569">
        <v>90.074794230707198</v>
      </c>
      <c r="AN5569">
        <v>0.999999951788061</v>
      </c>
    </row>
    <row r="5570" spans="1:40" x14ac:dyDescent="0.25">
      <c r="A5570" t="str">
        <f>"20190303170404860"</f>
        <v>20190303170404860</v>
      </c>
      <c r="B5570" t="str">
        <f>"1551603844850873"</f>
        <v>1551603844850873</v>
      </c>
      <c r="C5570" t="s">
        <v>40</v>
      </c>
      <c r="D5570">
        <v>4.5537390000000002</v>
      </c>
      <c r="E5570">
        <v>0.45476420000000001</v>
      </c>
      <c r="F5570" t="s">
        <v>95</v>
      </c>
      <c r="G5570">
        <v>-425.6431</v>
      </c>
      <c r="H5570">
        <v>0.96210169999999995</v>
      </c>
      <c r="I5570">
        <v>0.41999819999999999</v>
      </c>
      <c r="J5570">
        <v>-421.79660000000001</v>
      </c>
      <c r="K5570">
        <v>1.1229800000000001</v>
      </c>
      <c r="L5570">
        <v>90.342190000000002</v>
      </c>
      <c r="M5570">
        <v>-0.17389019999999999</v>
      </c>
      <c r="N5570">
        <v>-1.4106479999999999E-2</v>
      </c>
      <c r="O5570">
        <v>-0.98466410000000004</v>
      </c>
      <c r="P5570">
        <v>-0.17008899999999999</v>
      </c>
      <c r="Q5570">
        <v>0.19226679999999999</v>
      </c>
      <c r="R5570">
        <v>-0.96649030000000002</v>
      </c>
      <c r="S5570">
        <v>-0.133606</v>
      </c>
      <c r="T5570">
        <v>-5.4789779999999998E-3</v>
      </c>
      <c r="U5570">
        <v>-3.0845639999999999</v>
      </c>
      <c r="V5570">
        <v>-1.2615180000000001E-3</v>
      </c>
      <c r="W5570">
        <v>0.20608770000000001</v>
      </c>
      <c r="X5570">
        <v>0.97853270000000003</v>
      </c>
      <c r="Y5570">
        <v>-0.13111879999999901</v>
      </c>
      <c r="Z5570">
        <v>-1.232599E-2</v>
      </c>
      <c r="AA5570">
        <v>0.99129</v>
      </c>
      <c r="AB5570">
        <v>37</v>
      </c>
      <c r="AC5570">
        <v>-3.84649999999999</v>
      </c>
      <c r="AD5570">
        <v>-0.160878299999999</v>
      </c>
      <c r="AE5570">
        <v>-89.922191799999993</v>
      </c>
      <c r="AF5570">
        <v>-11.8502176191627</v>
      </c>
      <c r="AG5570">
        <v>-0.160878299999999</v>
      </c>
      <c r="AH5570">
        <v>89.220607033004001</v>
      </c>
      <c r="AI5570">
        <v>90.102413491940396</v>
      </c>
      <c r="AJ5570">
        <v>97.5657033250029</v>
      </c>
      <c r="AK5570">
        <v>90.004279113754606</v>
      </c>
      <c r="AL5570">
        <v>78.106820478091393</v>
      </c>
      <c r="AM5570">
        <v>90.0738653058159</v>
      </c>
      <c r="AN5570">
        <v>0.99999998824412195</v>
      </c>
    </row>
    <row r="5571" spans="1:40" x14ac:dyDescent="0.25">
      <c r="A5571" t="str">
        <f>"20190303170404882"</f>
        <v>20190303170404882</v>
      </c>
      <c r="B5571" t="str">
        <f>"1551603844871368"</f>
        <v>1551603844871368</v>
      </c>
      <c r="C5571" t="s">
        <v>40</v>
      </c>
      <c r="D5571">
        <v>4.5936570000000003</v>
      </c>
      <c r="E5571">
        <v>0.45434760000000002</v>
      </c>
      <c r="F5571" t="s">
        <v>95</v>
      </c>
      <c r="G5571">
        <v>-425.3809</v>
      </c>
      <c r="H5571">
        <v>0.69377330000000004</v>
      </c>
      <c r="I5571">
        <v>0.4226685</v>
      </c>
      <c r="J5571">
        <v>-421.8571</v>
      </c>
      <c r="K5571">
        <v>1.123435</v>
      </c>
      <c r="L5571">
        <v>89.985720000000001</v>
      </c>
      <c r="M5571">
        <v>-0.1711531</v>
      </c>
      <c r="N5571">
        <v>-1.411165E-2</v>
      </c>
      <c r="O5571">
        <v>-0.9851434</v>
      </c>
      <c r="P5571">
        <v>-0.16715920000000001</v>
      </c>
      <c r="Q5571">
        <v>0.1890521</v>
      </c>
      <c r="R5571">
        <v>-0.96763469999999996</v>
      </c>
      <c r="S5571">
        <v>-0.12298580000000001</v>
      </c>
      <c r="T5571">
        <v>-1.472771E-2</v>
      </c>
      <c r="U5571">
        <v>-3.0852970000000002</v>
      </c>
      <c r="V5571">
        <v>-1.836224E-3</v>
      </c>
      <c r="W5571">
        <v>0.2028848</v>
      </c>
      <c r="X5571">
        <v>0.97920090000000004</v>
      </c>
      <c r="Y5571">
        <v>-0.131776</v>
      </c>
      <c r="Z5571">
        <v>-9.4183040000000006E-3</v>
      </c>
      <c r="AA5571">
        <v>0.99123479999999997</v>
      </c>
      <c r="AB5571">
        <v>37</v>
      </c>
      <c r="AC5571">
        <v>-3.5237999999999898</v>
      </c>
      <c r="AD5571">
        <v>-0.42966169999999898</v>
      </c>
      <c r="AE5571">
        <v>-89.5630515</v>
      </c>
      <c r="AF5571">
        <v>-11.8584536878704</v>
      </c>
      <c r="AG5571">
        <v>-0.42966169999999898</v>
      </c>
      <c r="AH5571">
        <v>88.842361691578105</v>
      </c>
      <c r="AI5571">
        <v>90.274657312621798</v>
      </c>
      <c r="AJ5571">
        <v>97.602757399032598</v>
      </c>
      <c r="AK5571">
        <v>89.631315755047396</v>
      </c>
      <c r="AL5571">
        <v>78.294294896860904</v>
      </c>
      <c r="AM5571">
        <v>90.107442468772803</v>
      </c>
      <c r="AN5571">
        <v>1.0000000081752101</v>
      </c>
    </row>
    <row r="5572" spans="1:40" x14ac:dyDescent="0.25">
      <c r="A5572" t="str">
        <f>"20190303170404904"</f>
        <v>20190303170404904</v>
      </c>
      <c r="B5572" t="str">
        <f>"1551603844890889"</f>
        <v>1551603844890889</v>
      </c>
      <c r="C5572" t="s">
        <v>40</v>
      </c>
      <c r="D5572">
        <v>4.8073800000000002</v>
      </c>
      <c r="E5572">
        <v>0.45405459999999898</v>
      </c>
      <c r="F5572" t="s">
        <v>95</v>
      </c>
      <c r="G5572">
        <v>-425.09519999999998</v>
      </c>
      <c r="H5572">
        <v>0.40627839999999998</v>
      </c>
      <c r="I5572">
        <v>0.42556759999999899</v>
      </c>
      <c r="J5572">
        <v>-421.91579999999999</v>
      </c>
      <c r="K5572">
        <v>1.123848</v>
      </c>
      <c r="L5572">
        <v>89.632199999999997</v>
      </c>
      <c r="M5572">
        <v>-0.1680944</v>
      </c>
      <c r="N5572">
        <v>-1.4115890000000001E-2</v>
      </c>
      <c r="O5572">
        <v>-0.98566989999999999</v>
      </c>
      <c r="P5572">
        <v>-0.16471649999999999</v>
      </c>
      <c r="Q5572">
        <v>0.18957209999999999</v>
      </c>
      <c r="R5572">
        <v>-0.96795209999999998</v>
      </c>
      <c r="S5572">
        <v>-0.1115723</v>
      </c>
      <c r="T5572">
        <v>-2.4711130000000001E-2</v>
      </c>
      <c r="U5572">
        <v>-3.0858759999999998</v>
      </c>
      <c r="V5572">
        <v>-1.4559900000000001E-3</v>
      </c>
      <c r="W5572">
        <v>0.20340820000000001</v>
      </c>
      <c r="X5572">
        <v>0.97909299999999999</v>
      </c>
      <c r="Y5572">
        <v>-0.13236339999999999</v>
      </c>
      <c r="Z5572">
        <v>-6.2740829999999997E-3</v>
      </c>
      <c r="AA5572">
        <v>0.99118139999999999</v>
      </c>
      <c r="AB5572">
        <v>37</v>
      </c>
      <c r="AC5572">
        <v>-3.1793999999999798</v>
      </c>
      <c r="AD5572">
        <v>-0.71756960000000003</v>
      </c>
      <c r="AE5572">
        <v>-89.206632400000004</v>
      </c>
      <c r="AF5572">
        <v>-11.8617110306539</v>
      </c>
      <c r="AG5572">
        <v>-0.71756960000000003</v>
      </c>
      <c r="AH5572">
        <v>88.465823612776902</v>
      </c>
      <c r="AI5572">
        <v>90.460609156034593</v>
      </c>
      <c r="AJ5572">
        <v>97.636808605073995</v>
      </c>
      <c r="AK5572">
        <v>89.260388987459294</v>
      </c>
      <c r="AL5572">
        <v>78.263668264628507</v>
      </c>
      <c r="AM5572">
        <v>90.085203367320403</v>
      </c>
      <c r="AN5572">
        <v>1.0000000591915501</v>
      </c>
    </row>
    <row r="5573" spans="1:40" x14ac:dyDescent="0.25">
      <c r="A5573" t="str">
        <f>"20190303170404927"</f>
        <v>20190303170404927</v>
      </c>
      <c r="B5573" t="str">
        <f>"1551603844921144"</f>
        <v>1551603844921144</v>
      </c>
      <c r="C5573" t="s">
        <v>40</v>
      </c>
      <c r="D5573">
        <v>4.5870329999999999</v>
      </c>
      <c r="E5573">
        <v>0.45374150000000002</v>
      </c>
      <c r="F5573" t="s">
        <v>95</v>
      </c>
      <c r="G5573">
        <v>-424.8193</v>
      </c>
      <c r="H5573">
        <v>0.49850319999999998</v>
      </c>
      <c r="I5573">
        <v>0.42837720000000001</v>
      </c>
      <c r="J5573">
        <v>-421.97640000000001</v>
      </c>
      <c r="K5573">
        <v>1.124242</v>
      </c>
      <c r="L5573">
        <v>89.258700000000005</v>
      </c>
      <c r="M5573">
        <v>-0.1645587</v>
      </c>
      <c r="N5573">
        <v>-1.4119029999999999E-2</v>
      </c>
      <c r="O5573">
        <v>-0.98626639999999999</v>
      </c>
      <c r="P5573">
        <v>-0.16165679999999999</v>
      </c>
      <c r="Q5573">
        <v>0.19328809999999999</v>
      </c>
      <c r="R5573">
        <v>-0.96773299999999995</v>
      </c>
      <c r="S5573">
        <v>-0.10046389999999999</v>
      </c>
      <c r="T5573">
        <v>-2.1638149999999998E-2</v>
      </c>
      <c r="U5573">
        <v>-3.086487</v>
      </c>
      <c r="V5573">
        <v>-1.1254870000000001E-3</v>
      </c>
      <c r="W5573">
        <v>0.20711879999999999</v>
      </c>
      <c r="X5573">
        <v>0.97831520000000005</v>
      </c>
      <c r="Y5573">
        <v>-0.13238029999999901</v>
      </c>
      <c r="Z5573">
        <v>-7.2468350000000001E-3</v>
      </c>
      <c r="AA5573">
        <v>0.99117250000000001</v>
      </c>
      <c r="AB5573">
        <v>37</v>
      </c>
      <c r="AC5573">
        <v>-2.8428999999999802</v>
      </c>
      <c r="AD5573">
        <v>-0.62573879999999904</v>
      </c>
      <c r="AE5573">
        <v>-88.830322800000005</v>
      </c>
      <c r="AF5573">
        <v>-11.814535841134401</v>
      </c>
      <c r="AG5573">
        <v>-0.62573879999999904</v>
      </c>
      <c r="AH5573">
        <v>88.082586429739493</v>
      </c>
      <c r="AI5573">
        <v>90.403409880983205</v>
      </c>
      <c r="AJ5573">
        <v>97.639498849275</v>
      </c>
      <c r="AK5573">
        <v>88.873600345320796</v>
      </c>
      <c r="AL5573">
        <v>78.046440793286607</v>
      </c>
      <c r="AM5573">
        <v>90.065914979699699</v>
      </c>
      <c r="AN5573">
        <v>1.00000004729273</v>
      </c>
    </row>
    <row r="5574" spans="1:40" x14ac:dyDescent="0.25">
      <c r="A5574" t="str">
        <f>"20190303170404941"</f>
        <v>20190303170404941</v>
      </c>
      <c r="B5574" t="str">
        <f>"1551603844930905"</f>
        <v>1551603844930905</v>
      </c>
      <c r="C5574" t="s">
        <v>40</v>
      </c>
      <c r="D5574">
        <v>4.5995780000000002</v>
      </c>
      <c r="E5574">
        <v>0.45358700000000002</v>
      </c>
      <c r="F5574" t="s">
        <v>95</v>
      </c>
      <c r="G5574">
        <v>-424.49630000000002</v>
      </c>
      <c r="H5574">
        <v>0.83636739999999998</v>
      </c>
      <c r="I5574">
        <v>0.43166349999999998</v>
      </c>
      <c r="J5574">
        <v>-422.01459999999997</v>
      </c>
      <c r="K5574">
        <v>1.12446</v>
      </c>
      <c r="L5574">
        <v>89.017759999999996</v>
      </c>
      <c r="M5574">
        <v>-0.1621515</v>
      </c>
      <c r="N5574">
        <v>-1.412037E-2</v>
      </c>
      <c r="O5574">
        <v>-0.98666509999999996</v>
      </c>
      <c r="P5574">
        <v>-0.15921450000000001</v>
      </c>
      <c r="Q5574">
        <v>0.19424350000000001</v>
      </c>
      <c r="R5574">
        <v>-0.96794659999999999</v>
      </c>
      <c r="S5574">
        <v>-8.7585449999999995E-2</v>
      </c>
      <c r="T5574">
        <v>-1.0006549999999999E-2</v>
      </c>
      <c r="U5574">
        <v>-3.087402</v>
      </c>
      <c r="V5574">
        <v>-1.286164E-3</v>
      </c>
      <c r="W5574">
        <v>0.2080717</v>
      </c>
      <c r="X5574">
        <v>0.97811269999999995</v>
      </c>
      <c r="Y5574">
        <v>-0.13410569999999999</v>
      </c>
      <c r="Z5574">
        <v>-1.0926460000000001E-2</v>
      </c>
      <c r="AA5574">
        <v>0.99090679999999998</v>
      </c>
      <c r="AB5574">
        <v>37</v>
      </c>
      <c r="AC5574">
        <v>-2.48170000000004</v>
      </c>
      <c r="AD5574">
        <v>-0.28809259999999898</v>
      </c>
      <c r="AE5574">
        <v>-88.586096499999996</v>
      </c>
      <c r="AF5574">
        <v>-11.916820740504001</v>
      </c>
      <c r="AG5574">
        <v>-0.28809259999999898</v>
      </c>
      <c r="AH5574">
        <v>87.815025590014798</v>
      </c>
      <c r="AI5574">
        <v>90.186260976890907</v>
      </c>
      <c r="AJ5574">
        <v>97.728039430794098</v>
      </c>
      <c r="AK5574">
        <v>88.620383283319399</v>
      </c>
      <c r="AL5574">
        <v>77.990626808089701</v>
      </c>
      <c r="AM5574">
        <v>90.075340731685301</v>
      </c>
      <c r="AN5574">
        <v>0.99999997023000697</v>
      </c>
    </row>
    <row r="5575" spans="1:40" x14ac:dyDescent="0.25">
      <c r="A5575" t="str">
        <f>"20190303170404959"</f>
        <v>20190303170404959</v>
      </c>
      <c r="B5575" t="str">
        <f>"1551603844951401"</f>
        <v>1551603844951401</v>
      </c>
      <c r="C5575" t="s">
        <v>40</v>
      </c>
      <c r="D5575">
        <v>4.6018290000000004</v>
      </c>
      <c r="E5575">
        <v>0.4533276</v>
      </c>
      <c r="F5575" t="s">
        <v>95</v>
      </c>
      <c r="G5575">
        <v>-424.26740000000001</v>
      </c>
      <c r="H5575">
        <v>0.94874170000000002</v>
      </c>
      <c r="I5575">
        <v>0.4339905</v>
      </c>
      <c r="J5575">
        <v>-422.05930000000001</v>
      </c>
      <c r="K5575">
        <v>1.1246670000000001</v>
      </c>
      <c r="L5575">
        <v>88.730409999999907</v>
      </c>
      <c r="M5575">
        <v>-0.15918270000000001</v>
      </c>
      <c r="N5575">
        <v>-1.412124E-2</v>
      </c>
      <c r="O5575">
        <v>-0.98714820000000003</v>
      </c>
      <c r="P5575">
        <v>-0.1551661</v>
      </c>
      <c r="Q5575">
        <v>0.19342000000000001</v>
      </c>
      <c r="R5575">
        <v>-0.96876870000000004</v>
      </c>
      <c r="S5575">
        <v>-7.8521729999999998E-2</v>
      </c>
      <c r="T5575">
        <v>-6.1256890000000001E-3</v>
      </c>
      <c r="U5575">
        <v>-3.0876459999999999</v>
      </c>
      <c r="V5575">
        <v>-2.5640950000000002E-3</v>
      </c>
      <c r="W5575">
        <v>0.20724239999999999</v>
      </c>
      <c r="X5575">
        <v>0.97828630000000005</v>
      </c>
      <c r="Y5575">
        <v>-0.13403519999999999</v>
      </c>
      <c r="Z5575">
        <v>-1.2155930000000001E-2</v>
      </c>
      <c r="AA5575">
        <v>0.99090199999999995</v>
      </c>
      <c r="AB5575">
        <v>37</v>
      </c>
      <c r="AC5575">
        <v>-2.2081</v>
      </c>
      <c r="AD5575">
        <v>-0.17592530000000001</v>
      </c>
      <c r="AE5575">
        <v>-88.296419499999999</v>
      </c>
      <c r="AF5575">
        <v>-11.8766769672838</v>
      </c>
      <c r="AG5575">
        <v>-0.17592530000000001</v>
      </c>
      <c r="AH5575">
        <v>87.521517624471997</v>
      </c>
      <c r="AI5575">
        <v>90.114123012996004</v>
      </c>
      <c r="AJ5575">
        <v>97.727837802437307</v>
      </c>
      <c r="AK5575">
        <v>88.323849852614302</v>
      </c>
      <c r="AL5575">
        <v>78.039201833678902</v>
      </c>
      <c r="AM5575">
        <v>90.150172281222495</v>
      </c>
      <c r="AN5575">
        <v>1.0000000358543</v>
      </c>
    </row>
    <row r="5576" spans="1:40" x14ac:dyDescent="0.25">
      <c r="A5576" t="str">
        <f>"20190303170404974"</f>
        <v>20190303170404974</v>
      </c>
      <c r="B5576" t="str">
        <f>"1551603844961161"</f>
        <v>1551603844961161</v>
      </c>
      <c r="C5576" t="s">
        <v>40</v>
      </c>
      <c r="D5576">
        <v>4.5921159999999999</v>
      </c>
      <c r="E5576">
        <v>0.45319599999999999</v>
      </c>
      <c r="F5576" t="s">
        <v>95</v>
      </c>
      <c r="G5576">
        <v>-423.89949999999999</v>
      </c>
      <c r="H5576">
        <v>0.88144149999999999</v>
      </c>
      <c r="I5576">
        <v>0.43773079999999998</v>
      </c>
      <c r="J5576">
        <v>-422.09699999999998</v>
      </c>
      <c r="K5576">
        <v>1.1248149999999999</v>
      </c>
      <c r="L5576">
        <v>88.483980000000003</v>
      </c>
      <c r="M5576">
        <v>-0.15657689999999999</v>
      </c>
      <c r="N5576">
        <v>-1.412129E-2</v>
      </c>
      <c r="O5576">
        <v>-0.98756500000000003</v>
      </c>
      <c r="P5576">
        <v>-0.1519354</v>
      </c>
      <c r="Q5576">
        <v>0.19258400000000001</v>
      </c>
      <c r="R5576">
        <v>-0.9694469</v>
      </c>
      <c r="S5576">
        <v>-6.4361570000000007E-2</v>
      </c>
      <c r="T5576">
        <v>-8.5078480000000001E-3</v>
      </c>
      <c r="U5576">
        <v>-3.0880740000000002</v>
      </c>
      <c r="V5576">
        <v>-3.3432610000000001E-3</v>
      </c>
      <c r="W5576">
        <v>0.20640220000000001</v>
      </c>
      <c r="X5576">
        <v>0.97846149999999998</v>
      </c>
      <c r="Y5576">
        <v>-0.13596329999999901</v>
      </c>
      <c r="Z5576">
        <v>-1.140732E-2</v>
      </c>
      <c r="AA5576">
        <v>0.99064819999999998</v>
      </c>
      <c r="AB5576">
        <v>37</v>
      </c>
      <c r="AC5576">
        <v>-1.8025</v>
      </c>
      <c r="AD5576">
        <v>-0.24337349999999899</v>
      </c>
      <c r="AE5576">
        <v>-88.046249200000005</v>
      </c>
      <c r="AF5576">
        <v>-12.0070261807913</v>
      </c>
      <c r="AG5576">
        <v>-0.24337349999999899</v>
      </c>
      <c r="AH5576">
        <v>87.241640669856494</v>
      </c>
      <c r="AI5576">
        <v>90.158342056874204</v>
      </c>
      <c r="AJ5576">
        <v>97.836360310791306</v>
      </c>
      <c r="AK5576">
        <v>88.064361549579601</v>
      </c>
      <c r="AL5576">
        <v>78.088404885533507</v>
      </c>
      <c r="AM5576">
        <v>90.195770604827302</v>
      </c>
      <c r="AN5576">
        <v>0.999999976270601</v>
      </c>
    </row>
    <row r="5577" spans="1:40" x14ac:dyDescent="0.25">
      <c r="A5577" t="str">
        <f>"20190303170404988"</f>
        <v>20190303170404988</v>
      </c>
      <c r="B5577" t="str">
        <f>"1551603844981657"</f>
        <v>1551603844981657</v>
      </c>
      <c r="C5577" t="s">
        <v>40</v>
      </c>
      <c r="D5577">
        <v>4.6317159999999999</v>
      </c>
      <c r="E5577">
        <v>0.45299349999999999</v>
      </c>
      <c r="F5577" t="s">
        <v>95</v>
      </c>
      <c r="G5577">
        <v>-423.60890000000001</v>
      </c>
      <c r="H5577">
        <v>0.81191950000000002</v>
      </c>
      <c r="I5577">
        <v>0.4406891</v>
      </c>
      <c r="J5577">
        <v>-422.1302</v>
      </c>
      <c r="K5577">
        <v>1.1249169999999999</v>
      </c>
      <c r="L5577">
        <v>88.260649999999998</v>
      </c>
      <c r="M5577">
        <v>-0.15417129999999901</v>
      </c>
      <c r="N5577">
        <v>-1.412095E-2</v>
      </c>
      <c r="O5577">
        <v>-0.98794329999999997</v>
      </c>
      <c r="P5577">
        <v>-0.1488836</v>
      </c>
      <c r="Q5577">
        <v>0.19121079999999999</v>
      </c>
      <c r="R5577">
        <v>-0.97019200000000005</v>
      </c>
      <c r="S5577">
        <v>-5.3039549999999998E-2</v>
      </c>
      <c r="T5577">
        <v>-1.0976669999999999E-2</v>
      </c>
      <c r="U5577">
        <v>-3.088409</v>
      </c>
      <c r="V5577">
        <v>-4.128311E-3</v>
      </c>
      <c r="W5577">
        <v>0.2050256</v>
      </c>
      <c r="X5577">
        <v>0.9787479</v>
      </c>
      <c r="Y5577">
        <v>-0.1371819</v>
      </c>
      <c r="Z5577">
        <v>-1.0629069999999999E-2</v>
      </c>
      <c r="AA5577">
        <v>0.99048879999999995</v>
      </c>
      <c r="AB5577">
        <v>37</v>
      </c>
      <c r="AC5577">
        <v>-1.4786999999999999</v>
      </c>
      <c r="AD5577">
        <v>-0.31299749999999898</v>
      </c>
      <c r="AE5577">
        <v>-87.819960899999998</v>
      </c>
      <c r="AF5577">
        <v>-12.0794958540527</v>
      </c>
      <c r="AG5577">
        <v>-0.31299749999999898</v>
      </c>
      <c r="AH5577">
        <v>86.996677723586998</v>
      </c>
      <c r="AI5577">
        <v>90.204179616128698</v>
      </c>
      <c r="AJ5577">
        <v>97.904981311681397</v>
      </c>
      <c r="AK5577">
        <v>87.831851412028996</v>
      </c>
      <c r="AL5577">
        <v>78.169002296128895</v>
      </c>
      <c r="AM5577">
        <v>90.2416693758354</v>
      </c>
      <c r="AN5577">
        <v>0.99999999568074105</v>
      </c>
    </row>
    <row r="5578" spans="1:40" x14ac:dyDescent="0.25">
      <c r="A5578" t="str">
        <f>"20190303170405004"</f>
        <v>20190303170405004</v>
      </c>
      <c r="B5578" t="str">
        <f>"1551603844991417"</f>
        <v>1551603844991417</v>
      </c>
      <c r="C5578" t="s">
        <v>40</v>
      </c>
      <c r="D5578">
        <v>4.6341799999999997</v>
      </c>
      <c r="E5578">
        <v>0.45297700000000002</v>
      </c>
      <c r="F5578" t="s">
        <v>95</v>
      </c>
      <c r="G5578">
        <v>-423.32319999999999</v>
      </c>
      <c r="H5578">
        <v>0.69153169999999897</v>
      </c>
      <c r="I5578">
        <v>0.44359209999999899</v>
      </c>
      <c r="J5578">
        <v>-422.16739999999999</v>
      </c>
      <c r="K5578">
        <v>1.1250150000000001</v>
      </c>
      <c r="L5578">
        <v>88.007199999999997</v>
      </c>
      <c r="M5578">
        <v>-0.151422</v>
      </c>
      <c r="N5578">
        <v>-1.412015E-2</v>
      </c>
      <c r="O5578">
        <v>-0.98836840000000004</v>
      </c>
      <c r="P5578">
        <v>-0.14601529999999999</v>
      </c>
      <c r="Q5578">
        <v>0.19086819999999999</v>
      </c>
      <c r="R5578">
        <v>-0.97069510000000003</v>
      </c>
      <c r="S5578">
        <v>-4.196167E-2</v>
      </c>
      <c r="T5578">
        <v>-1.524413E-2</v>
      </c>
      <c r="U5578">
        <v>-3.0887150000000001</v>
      </c>
      <c r="V5578">
        <v>-4.3605850000000002E-3</v>
      </c>
      <c r="W5578">
        <v>0.20468020000000001</v>
      </c>
      <c r="X5578">
        <v>0.9788192</v>
      </c>
      <c r="Y5578">
        <v>-0.1379775</v>
      </c>
      <c r="Z5578">
        <v>-9.2796679999999996E-3</v>
      </c>
      <c r="AA5578">
        <v>0.99039189999999999</v>
      </c>
      <c r="AB5578">
        <v>37</v>
      </c>
      <c r="AC5578">
        <v>-1.1557999999999899</v>
      </c>
      <c r="AD5578">
        <v>-0.43348329999999902</v>
      </c>
      <c r="AE5578">
        <v>-87.563607899999994</v>
      </c>
      <c r="AF5578">
        <v>-12.117611030682101</v>
      </c>
      <c r="AG5578">
        <v>-0.43348329999999902</v>
      </c>
      <c r="AH5578">
        <v>86.726633759669298</v>
      </c>
      <c r="AI5578">
        <v>90.283622460278906</v>
      </c>
      <c r="AJ5578">
        <v>97.953982779476704</v>
      </c>
      <c r="AK5578">
        <v>87.570162773321897</v>
      </c>
      <c r="AL5578">
        <v>78.189221245228495</v>
      </c>
      <c r="AM5578">
        <v>90.255247816847302</v>
      </c>
      <c r="AN5578">
        <v>1.0000000126311099</v>
      </c>
    </row>
    <row r="5579" spans="1:40" x14ac:dyDescent="0.25">
      <c r="A5579" t="str">
        <f>"20190303170405020"</f>
        <v>20190303170405020</v>
      </c>
      <c r="B5579" t="str">
        <f>"1551603845010937"</f>
        <v>1551603845010937</v>
      </c>
      <c r="C5579" t="s">
        <v>40</v>
      </c>
      <c r="D5579">
        <v>4.6300549999999996</v>
      </c>
      <c r="E5579">
        <v>0.4528334</v>
      </c>
      <c r="F5579" t="s">
        <v>95</v>
      </c>
      <c r="G5579">
        <v>-423.09390000000002</v>
      </c>
      <c r="H5579">
        <v>0.6586957</v>
      </c>
      <c r="I5579">
        <v>0.44592090000000001</v>
      </c>
      <c r="J5579">
        <v>-422.20460000000003</v>
      </c>
      <c r="K5579">
        <v>1.1251089999999999</v>
      </c>
      <c r="L5579">
        <v>87.748869999999997</v>
      </c>
      <c r="M5579">
        <v>-0.14860200000000001</v>
      </c>
      <c r="N5579">
        <v>-1.4119110000000001E-2</v>
      </c>
      <c r="O5579">
        <v>-0.98879640000000002</v>
      </c>
      <c r="P5579">
        <v>-0.143262</v>
      </c>
      <c r="Q5579">
        <v>0.19174640000000001</v>
      </c>
      <c r="R5579">
        <v>-0.97093229999999997</v>
      </c>
      <c r="S5579">
        <v>-3.2684329999999998E-2</v>
      </c>
      <c r="T5579">
        <v>-1.645112E-2</v>
      </c>
      <c r="U5579">
        <v>-3.088867</v>
      </c>
      <c r="V5579">
        <v>-4.3723690000000001E-3</v>
      </c>
      <c r="W5579">
        <v>0.20555480000000001</v>
      </c>
      <c r="X5579">
        <v>0.97863579999999994</v>
      </c>
      <c r="Y5579">
        <v>-0.13812669999999999</v>
      </c>
      <c r="Z5579">
        <v>-8.89677E-3</v>
      </c>
      <c r="AA5579">
        <v>0.99037459999999999</v>
      </c>
      <c r="AB5579">
        <v>37</v>
      </c>
      <c r="AC5579">
        <v>-0.88929999999999099</v>
      </c>
      <c r="AD5579">
        <v>-0.46641329999999898</v>
      </c>
      <c r="AE5579">
        <v>-87.302949099999907</v>
      </c>
      <c r="AF5579">
        <v>-12.0949153206654</v>
      </c>
      <c r="AG5579">
        <v>-0.46641329999999898</v>
      </c>
      <c r="AH5579">
        <v>86.463135123154203</v>
      </c>
      <c r="AI5579">
        <v>90.3060908701963</v>
      </c>
      <c r="AJ5579">
        <v>97.9631607202315</v>
      </c>
      <c r="AK5579">
        <v>87.306232614317395</v>
      </c>
      <c r="AL5579">
        <v>78.138021099285595</v>
      </c>
      <c r="AM5579">
        <v>90.255985549776099</v>
      </c>
      <c r="AN5579">
        <v>0.99999996122767498</v>
      </c>
    </row>
    <row r="5580" spans="1:40" x14ac:dyDescent="0.25">
      <c r="A5580" t="str">
        <f>"20190303170405038"</f>
        <v>20190303170405038</v>
      </c>
      <c r="B5580" t="str">
        <f>"1551603845031434"</f>
        <v>1551603845031434</v>
      </c>
      <c r="C5580" t="s">
        <v>40</v>
      </c>
      <c r="D5580">
        <v>4.6663670000000002</v>
      </c>
      <c r="E5580">
        <v>0.4528701</v>
      </c>
      <c r="F5580" t="s">
        <v>95</v>
      </c>
      <c r="G5580">
        <v>-422.84100000000001</v>
      </c>
      <c r="H5580">
        <v>0.72791410000000001</v>
      </c>
      <c r="I5580">
        <v>0.4484921</v>
      </c>
      <c r="J5580">
        <v>-422.24540000000002</v>
      </c>
      <c r="K5580">
        <v>1.1252040000000001</v>
      </c>
      <c r="L5580">
        <v>87.458740000000006</v>
      </c>
      <c r="M5580">
        <v>-0.1454232</v>
      </c>
      <c r="N5580">
        <v>-1.4117960000000001E-2</v>
      </c>
      <c r="O5580">
        <v>-0.98926890000000001</v>
      </c>
      <c r="P5580">
        <v>-0.1402668</v>
      </c>
      <c r="Q5580">
        <v>0.1932469</v>
      </c>
      <c r="R5580">
        <v>-0.97107200000000005</v>
      </c>
      <c r="S5580">
        <v>-2.2521969999999999E-2</v>
      </c>
      <c r="T5580">
        <v>-1.4056320000000001E-2</v>
      </c>
      <c r="U5580">
        <v>-3.089264</v>
      </c>
      <c r="V5580">
        <v>-4.2566660000000001E-3</v>
      </c>
      <c r="W5580">
        <v>0.2070507</v>
      </c>
      <c r="X5580">
        <v>0.978321</v>
      </c>
      <c r="Y5580">
        <v>-0.1382032</v>
      </c>
      <c r="Z5580">
        <v>-9.6551750000000002E-3</v>
      </c>
      <c r="AA5580">
        <v>0.99035680000000004</v>
      </c>
      <c r="AB5580">
        <v>37</v>
      </c>
      <c r="AC5580">
        <v>-0.59559999999999003</v>
      </c>
      <c r="AD5580">
        <v>-0.39728989999999997</v>
      </c>
      <c r="AE5580">
        <v>-87.010247899999996</v>
      </c>
      <c r="AF5580">
        <v>-12.0650499796297</v>
      </c>
      <c r="AG5580">
        <v>-0.39728989999999997</v>
      </c>
      <c r="AH5580">
        <v>86.169930250120302</v>
      </c>
      <c r="AI5580">
        <v>90.261610765830994</v>
      </c>
      <c r="AJ5580">
        <v>97.970431915383202</v>
      </c>
      <c r="AK5580">
        <v>87.011379425832601</v>
      </c>
      <c r="AL5580">
        <v>78.050429065896907</v>
      </c>
      <c r="AM5580">
        <v>90.249291855723598</v>
      </c>
      <c r="AN5580">
        <v>1.0000000453084601</v>
      </c>
    </row>
    <row r="5581" spans="1:40" x14ac:dyDescent="0.25">
      <c r="A5581" t="str">
        <f>"20190303170405052"</f>
        <v>20190303170405052</v>
      </c>
      <c r="B5581" t="str">
        <f>"1551603845041192"</f>
        <v>1551603845041192</v>
      </c>
      <c r="C5581" t="s">
        <v>40</v>
      </c>
      <c r="D5581">
        <v>4.6424909999999997</v>
      </c>
      <c r="E5581">
        <v>0.45289980000000002</v>
      </c>
      <c r="F5581" t="s">
        <v>95</v>
      </c>
      <c r="G5581">
        <v>-422.5849</v>
      </c>
      <c r="H5581">
        <v>0.87276209999999899</v>
      </c>
      <c r="I5581">
        <v>0.45110129999999998</v>
      </c>
      <c r="J5581">
        <v>-422.27870000000001</v>
      </c>
      <c r="K5581">
        <v>1.1252580000000001</v>
      </c>
      <c r="L5581">
        <v>87.217129999999997</v>
      </c>
      <c r="M5581">
        <v>-0.14277290000000001</v>
      </c>
      <c r="N5581">
        <v>-1.411718E-2</v>
      </c>
      <c r="O5581">
        <v>-0.9896549</v>
      </c>
      <c r="P5581">
        <v>-0.13802420000000001</v>
      </c>
      <c r="Q5581">
        <v>0.19297349999999999</v>
      </c>
      <c r="R5581">
        <v>-0.97144779999999997</v>
      </c>
      <c r="S5581">
        <v>-1.205444E-2</v>
      </c>
      <c r="T5581">
        <v>-8.9646580000000003E-3</v>
      </c>
      <c r="U5581">
        <v>-3.0894170000000001</v>
      </c>
      <c r="V5581">
        <v>-3.9289479999999998E-3</v>
      </c>
      <c r="W5581">
        <v>0.20677960000000001</v>
      </c>
      <c r="X5581">
        <v>0.97837969999999996</v>
      </c>
      <c r="Y5581">
        <v>-0.1389077</v>
      </c>
      <c r="Z5581">
        <v>-1.12704E-2</v>
      </c>
      <c r="AA5581">
        <v>0.99024120000000004</v>
      </c>
      <c r="AB5581">
        <v>37</v>
      </c>
      <c r="AC5581">
        <v>-0.30619999999998898</v>
      </c>
      <c r="AD5581">
        <v>-0.2524959</v>
      </c>
      <c r="AE5581">
        <v>-86.766028700000007</v>
      </c>
      <c r="AF5581">
        <v>-12.0859059483858</v>
      </c>
      <c r="AG5581">
        <v>-0.2524959</v>
      </c>
      <c r="AH5581">
        <v>85.919967792572194</v>
      </c>
      <c r="AI5581">
        <v>90.166735083068303</v>
      </c>
      <c r="AJ5581">
        <v>98.006959021379501</v>
      </c>
      <c r="AK5581">
        <v>86.766201612433093</v>
      </c>
      <c r="AL5581">
        <v>78.066305452880101</v>
      </c>
      <c r="AM5581">
        <v>90.230085444592206</v>
      </c>
      <c r="AN5581">
        <v>1.0000000384903101</v>
      </c>
    </row>
    <row r="5582" spans="1:40" x14ac:dyDescent="0.25">
      <c r="A5582" t="str">
        <f>"20190303170405072"</f>
        <v>20190303170405072</v>
      </c>
      <c r="B5582" t="str">
        <f>"1551603845061689"</f>
        <v>1551603845061689</v>
      </c>
      <c r="C5582" t="s">
        <v>40</v>
      </c>
      <c r="D5582">
        <v>4.6566530000000004</v>
      </c>
      <c r="E5582">
        <v>0.45298820000000001</v>
      </c>
      <c r="F5582" t="s">
        <v>95</v>
      </c>
      <c r="G5582">
        <v>-422.43290000000002</v>
      </c>
      <c r="H5582">
        <v>0.84254050000000003</v>
      </c>
      <c r="I5582">
        <v>0.4526463</v>
      </c>
      <c r="J5582">
        <v>-422.32049999999998</v>
      </c>
      <c r="K5582">
        <v>1.12531</v>
      </c>
      <c r="L5582">
        <v>86.905940000000001</v>
      </c>
      <c r="M5582">
        <v>-0.1393607</v>
      </c>
      <c r="N5582">
        <v>-1.411638E-2</v>
      </c>
      <c r="O5582">
        <v>-0.99014120000000005</v>
      </c>
      <c r="P5582">
        <v>-0.13409119999999999</v>
      </c>
      <c r="Q5582">
        <v>0.1906341</v>
      </c>
      <c r="R5582">
        <v>-0.97246010000000005</v>
      </c>
      <c r="S5582">
        <v>-5.493164E-3</v>
      </c>
      <c r="T5582">
        <v>-1.006746E-2</v>
      </c>
      <c r="U5582">
        <v>-3.0893860000000002</v>
      </c>
      <c r="V5582">
        <v>-4.5913890000000004E-3</v>
      </c>
      <c r="W5582">
        <v>0.20443939999999999</v>
      </c>
      <c r="X5582">
        <v>0.97886850000000003</v>
      </c>
      <c r="Y5582">
        <v>-0.13759689999999999</v>
      </c>
      <c r="Z5582">
        <v>-1.0919369999999999E-2</v>
      </c>
      <c r="AA5582">
        <v>0.99042810000000003</v>
      </c>
      <c r="AB5582">
        <v>37</v>
      </c>
      <c r="AC5582">
        <v>-0.112400000000036</v>
      </c>
      <c r="AD5582">
        <v>-0.28276950000000001</v>
      </c>
      <c r="AE5582">
        <v>-86.453293700000003</v>
      </c>
      <c r="AF5582">
        <v>-11.9379598395219</v>
      </c>
      <c r="AG5582">
        <v>-0.28276950000000001</v>
      </c>
      <c r="AH5582">
        <v>85.624236204443307</v>
      </c>
      <c r="AI5582">
        <v>90.187402932681195</v>
      </c>
      <c r="AJ5582">
        <v>97.937165268842193</v>
      </c>
      <c r="AK5582">
        <v>86.452904342852904</v>
      </c>
      <c r="AL5582">
        <v>78.203316501850395</v>
      </c>
      <c r="AM5582">
        <v>90.268744251749894</v>
      </c>
      <c r="AN5582">
        <v>1.00000004470877</v>
      </c>
    </row>
    <row r="5583" spans="1:40" x14ac:dyDescent="0.25">
      <c r="A5583" t="str">
        <f>"20190303170405094"</f>
        <v>20190303170405094</v>
      </c>
      <c r="B5583" t="str">
        <f>"1551603845081209"</f>
        <v>1551603845081209</v>
      </c>
      <c r="C5583" t="s">
        <v>40</v>
      </c>
      <c r="D5583">
        <v>4.6822999999999997</v>
      </c>
      <c r="E5583">
        <v>0.45309850000000002</v>
      </c>
      <c r="F5583" t="s">
        <v>95</v>
      </c>
      <c r="G5583">
        <v>-422.14280000000002</v>
      </c>
      <c r="H5583">
        <v>0.61551230000000001</v>
      </c>
      <c r="I5583">
        <v>0.45559309999999997</v>
      </c>
      <c r="J5583">
        <v>-422.3664</v>
      </c>
      <c r="K5583">
        <v>1.125346</v>
      </c>
      <c r="L5583">
        <v>86.554319999999905</v>
      </c>
      <c r="M5583">
        <v>-0.1355095</v>
      </c>
      <c r="N5583">
        <v>-1.411578E-2</v>
      </c>
      <c r="O5583">
        <v>-0.99067539999999998</v>
      </c>
      <c r="P5583">
        <v>-0.1299486</v>
      </c>
      <c r="Q5583">
        <v>0.1879025</v>
      </c>
      <c r="R5583">
        <v>-0.97355349999999996</v>
      </c>
      <c r="S5583">
        <v>6.3476560000000001E-3</v>
      </c>
      <c r="T5583">
        <v>-1.8218990000000001E-2</v>
      </c>
      <c r="U5583">
        <v>-3.0894170000000001</v>
      </c>
      <c r="V5583">
        <v>-5.0283810000000002E-3</v>
      </c>
      <c r="W5583">
        <v>0.2017109</v>
      </c>
      <c r="X5583">
        <v>0.97943219999999998</v>
      </c>
      <c r="Y5583">
        <v>-0.13753889999999999</v>
      </c>
      <c r="Z5583">
        <v>-8.3306059999999904E-3</v>
      </c>
      <c r="AA5583">
        <v>0.99046129999999999</v>
      </c>
      <c r="AB5583">
        <v>37</v>
      </c>
      <c r="AC5583">
        <v>0.22359999999997601</v>
      </c>
      <c r="AD5583">
        <v>-0.50983369999999995</v>
      </c>
      <c r="AE5583">
        <v>-86.098726899999903</v>
      </c>
      <c r="AF5583">
        <v>-11.8894792040581</v>
      </c>
      <c r="AG5583">
        <v>-0.50983369999999995</v>
      </c>
      <c r="AH5583">
        <v>85.271104259033706</v>
      </c>
      <c r="AI5583">
        <v>90.339283803830895</v>
      </c>
      <c r="AJ5583">
        <v>97.937662215504801</v>
      </c>
      <c r="AK5583">
        <v>86.097507906445202</v>
      </c>
      <c r="AL5583">
        <v>78.362974371613802</v>
      </c>
      <c r="AM5583">
        <v>90.294152548651596</v>
      </c>
      <c r="AN5583">
        <v>1.00000000309556</v>
      </c>
    </row>
    <row r="5584" spans="1:40" x14ac:dyDescent="0.25">
      <c r="A5584" t="str">
        <f>"20190303170405129"</f>
        <v>20190303170405129</v>
      </c>
      <c r="B5584" t="str">
        <f>"1551603845121225"</f>
        <v>1551603845121225</v>
      </c>
      <c r="C5584" t="s">
        <v>40</v>
      </c>
      <c r="D5584">
        <v>4.6827629999999996</v>
      </c>
      <c r="E5584">
        <v>0.4534455</v>
      </c>
      <c r="F5584" t="s">
        <v>95</v>
      </c>
      <c r="G5584">
        <v>-421.87560000000002</v>
      </c>
      <c r="H5584">
        <v>0.34133340000000001</v>
      </c>
      <c r="I5584">
        <v>0.45831300000000003</v>
      </c>
      <c r="J5584">
        <v>-422.43560000000002</v>
      </c>
      <c r="K5584">
        <v>1.125405</v>
      </c>
      <c r="L5584">
        <v>86.002470000000002</v>
      </c>
      <c r="M5584">
        <v>-0.12947609999999901</v>
      </c>
      <c r="N5584">
        <v>-1.411537E-2</v>
      </c>
      <c r="O5584">
        <v>-0.99148199999999997</v>
      </c>
      <c r="P5584">
        <v>-0.124435</v>
      </c>
      <c r="Q5584">
        <v>0.18821460000000001</v>
      </c>
      <c r="R5584">
        <v>-0.97421310000000005</v>
      </c>
      <c r="S5584">
        <v>1.7608639999999998E-2</v>
      </c>
      <c r="T5584">
        <v>-2.8132799999999999E-2</v>
      </c>
      <c r="U5584">
        <v>-3.0892940000000002</v>
      </c>
      <c r="V5584">
        <v>-4.6339010000000002E-3</v>
      </c>
      <c r="W5584">
        <v>0.2020247</v>
      </c>
      <c r="X5584">
        <v>0.9793695</v>
      </c>
      <c r="Y5584">
        <v>-0.1351164</v>
      </c>
      <c r="Z5584">
        <v>-5.1715889999999999E-3</v>
      </c>
      <c r="AA5584">
        <v>0.99081620000000004</v>
      </c>
      <c r="AB5584">
        <v>37</v>
      </c>
      <c r="AC5584">
        <v>0.56000000000000205</v>
      </c>
      <c r="AD5584">
        <v>-0.78407159999999998</v>
      </c>
      <c r="AE5584">
        <v>-85.544156999999998</v>
      </c>
      <c r="AF5584">
        <v>-11.631336341770099</v>
      </c>
      <c r="AG5584">
        <v>-0.78407159999999998</v>
      </c>
      <c r="AH5584">
        <v>84.744315621246102</v>
      </c>
      <c r="AI5584">
        <v>90.525173760005003</v>
      </c>
      <c r="AJ5584">
        <v>97.815136677877206</v>
      </c>
      <c r="AK5584">
        <v>85.542397578526405</v>
      </c>
      <c r="AL5584">
        <v>78.344617406256603</v>
      </c>
      <c r="AM5584">
        <v>90.271093789132706</v>
      </c>
      <c r="AN5584">
        <v>1.0000000349894</v>
      </c>
    </row>
    <row r="5585" spans="1:40" x14ac:dyDescent="0.25">
      <c r="A5585" t="str">
        <f>"20190303170405149"</f>
        <v>20190303170405149</v>
      </c>
      <c r="B5585" t="str">
        <f>"1551603845141722"</f>
        <v>1551603845141722</v>
      </c>
      <c r="C5585" t="s">
        <v>40</v>
      </c>
      <c r="D5585">
        <v>4.6717570000000004</v>
      </c>
      <c r="E5585">
        <v>0.45366640000000003</v>
      </c>
      <c r="F5585" t="s">
        <v>95</v>
      </c>
      <c r="G5585">
        <v>-421.57530000000003</v>
      </c>
      <c r="H5585">
        <v>0.30815700000000001</v>
      </c>
      <c r="I5585">
        <v>0.46136670000000002</v>
      </c>
      <c r="J5585">
        <v>-422.47609999999997</v>
      </c>
      <c r="K5585">
        <v>1.125434</v>
      </c>
      <c r="L5585">
        <v>85.665890000000005</v>
      </c>
      <c r="M5585">
        <v>-0.12579960000000001</v>
      </c>
      <c r="N5585">
        <v>-1.411538E-2</v>
      </c>
      <c r="O5585">
        <v>-0.99195540000000004</v>
      </c>
      <c r="P5585">
        <v>-0.1202165</v>
      </c>
      <c r="Q5585">
        <v>0.18740770000000001</v>
      </c>
      <c r="R5585">
        <v>-0.9748983</v>
      </c>
      <c r="S5585">
        <v>3.106689E-2</v>
      </c>
      <c r="T5585">
        <v>-2.9513480000000002E-2</v>
      </c>
      <c r="U5585">
        <v>-3.0890810000000002</v>
      </c>
      <c r="V5585">
        <v>-5.268516E-3</v>
      </c>
      <c r="W5585">
        <v>0.2012139</v>
      </c>
      <c r="X5585">
        <v>0.97953310000000005</v>
      </c>
      <c r="Y5585">
        <v>-0.13575950000000001</v>
      </c>
      <c r="Z5585">
        <v>-4.7293040000000001E-3</v>
      </c>
      <c r="AA5585">
        <v>0.99073049999999996</v>
      </c>
      <c r="AB5585">
        <v>37</v>
      </c>
      <c r="AC5585">
        <v>0.90079999999994698</v>
      </c>
      <c r="AD5585">
        <v>-0.81727700000000003</v>
      </c>
      <c r="AE5585">
        <v>-85.204523300000005</v>
      </c>
      <c r="AF5585">
        <v>-11.612335367705001</v>
      </c>
      <c r="AG5585">
        <v>-0.81727700000000003</v>
      </c>
      <c r="AH5585">
        <v>84.406399044493099</v>
      </c>
      <c r="AI5585">
        <v>90.549580886760694</v>
      </c>
      <c r="AJ5585">
        <v>97.833377202389002</v>
      </c>
      <c r="AK5585">
        <v>85.205366462711694</v>
      </c>
      <c r="AL5585">
        <v>78.392045746880797</v>
      </c>
      <c r="AM5585">
        <v>90.308168065216506</v>
      </c>
      <c r="AN5585">
        <v>0.99999994240482903</v>
      </c>
    </row>
    <row r="5586" spans="1:40" x14ac:dyDescent="0.25">
      <c r="A5586" t="str">
        <f>"20190303170405171"</f>
        <v>20190303170405171</v>
      </c>
      <c r="B5586" t="str">
        <f>"1551603845161241"</f>
        <v>1551603845161241</v>
      </c>
      <c r="C5586" t="s">
        <v>40</v>
      </c>
      <c r="D5586">
        <v>4.709835</v>
      </c>
      <c r="E5586">
        <v>0.45384020000000003</v>
      </c>
      <c r="F5586" t="s">
        <v>95</v>
      </c>
      <c r="G5586">
        <v>-421.30180000000001</v>
      </c>
      <c r="H5586">
        <v>0.22236359999999999</v>
      </c>
      <c r="I5586">
        <v>0.46414569999999999</v>
      </c>
      <c r="J5586">
        <v>-422.5181</v>
      </c>
      <c r="K5586">
        <v>1.125435</v>
      </c>
      <c r="L5586">
        <v>85.305329999999998</v>
      </c>
      <c r="M5586">
        <v>-0.12186080000000001</v>
      </c>
      <c r="N5586">
        <v>-1.411546E-2</v>
      </c>
      <c r="O5586">
        <v>-0.99244699999999997</v>
      </c>
      <c r="P5586">
        <v>-0.1149958</v>
      </c>
      <c r="Q5586">
        <v>0.1856544</v>
      </c>
      <c r="R5586">
        <v>-0.97586289999999998</v>
      </c>
      <c r="S5586">
        <v>4.2572020000000002E-2</v>
      </c>
      <c r="T5586">
        <v>-3.2739879999999999E-2</v>
      </c>
      <c r="U5586">
        <v>-3.0888059999999999</v>
      </c>
      <c r="V5586">
        <v>-6.6614519999999896E-3</v>
      </c>
      <c r="W5586">
        <v>0.1994522</v>
      </c>
      <c r="X5586">
        <v>0.97988489999999995</v>
      </c>
      <c r="Y5586">
        <v>-0.1355162</v>
      </c>
      <c r="Z5586">
        <v>-3.6966130000000001E-3</v>
      </c>
      <c r="AA5586">
        <v>0.99076830000000005</v>
      </c>
      <c r="AB5586">
        <v>37</v>
      </c>
      <c r="AC5586">
        <v>1.21629999999998</v>
      </c>
      <c r="AD5586">
        <v>-0.90307139999999997</v>
      </c>
      <c r="AE5586">
        <v>-84.841184299999995</v>
      </c>
      <c r="AF5586">
        <v>-11.545768408677</v>
      </c>
      <c r="AG5586">
        <v>-0.90307139999999997</v>
      </c>
      <c r="AH5586">
        <v>84.050998638718298</v>
      </c>
      <c r="AI5586">
        <v>90.6098544050284</v>
      </c>
      <c r="AJ5586">
        <v>97.821553866216604</v>
      </c>
      <c r="AK5586">
        <v>84.845098139292205</v>
      </c>
      <c r="AL5586">
        <v>78.495072822546803</v>
      </c>
      <c r="AM5586">
        <v>90.389502078717797</v>
      </c>
      <c r="AN5586">
        <v>0.99999998613779895</v>
      </c>
    </row>
    <row r="5587" spans="1:40" x14ac:dyDescent="0.25">
      <c r="A5587" t="str">
        <f>"20190303170405195"</f>
        <v>20190303170405195</v>
      </c>
      <c r="B5587" t="str">
        <f>"1551603845181737"</f>
        <v>1551603845181737</v>
      </c>
      <c r="C5587" t="s">
        <v>40</v>
      </c>
      <c r="D5587">
        <v>4.7276109999999996</v>
      </c>
      <c r="E5587">
        <v>0.4540478</v>
      </c>
      <c r="F5587" t="s">
        <v>44</v>
      </c>
      <c r="G5587">
        <v>-420.84960000000001</v>
      </c>
      <c r="H5587">
        <v>-0.05</v>
      </c>
      <c r="I5587">
        <v>-7.01109299999999</v>
      </c>
      <c r="J5587">
        <v>-422.56</v>
      </c>
      <c r="K5587">
        <v>1.125435</v>
      </c>
      <c r="L5587">
        <v>84.933009999999996</v>
      </c>
      <c r="M5587">
        <v>-0.11779299999999999</v>
      </c>
      <c r="N5587">
        <v>-1.411548E-2</v>
      </c>
      <c r="O5587">
        <v>-0.99293790000000004</v>
      </c>
      <c r="P5587">
        <v>-0.1106618</v>
      </c>
      <c r="Q5587">
        <v>0.18530369999999999</v>
      </c>
      <c r="R5587">
        <v>-0.97643080000000004</v>
      </c>
      <c r="S5587">
        <v>5.5816650000000002E-2</v>
      </c>
      <c r="T5587">
        <v>-3.9321780000000001E-2</v>
      </c>
      <c r="U5587">
        <v>-3.088257</v>
      </c>
      <c r="V5587">
        <v>-7.0086599999999999E-3</v>
      </c>
      <c r="W5587">
        <v>0.19909940000000001</v>
      </c>
      <c r="X5587">
        <v>0.9799542</v>
      </c>
      <c r="Y5587">
        <v>-0.13570479999999999</v>
      </c>
      <c r="Z5587">
        <v>-1.591966E-3</v>
      </c>
      <c r="AA5587">
        <v>0.99074799999999996</v>
      </c>
      <c r="AB5587">
        <v>36</v>
      </c>
      <c r="AC5587">
        <v>1.7103999999999899</v>
      </c>
      <c r="AD5587">
        <v>-1.175435</v>
      </c>
      <c r="AE5587">
        <v>-91.944102999999998</v>
      </c>
      <c r="AF5587">
        <v>-12.527893542641699</v>
      </c>
      <c r="AG5587">
        <v>-1.175435</v>
      </c>
      <c r="AH5587">
        <v>91.087500845034</v>
      </c>
      <c r="AI5587">
        <v>90.732435742722402</v>
      </c>
      <c r="AJ5587">
        <v>97.831152130590993</v>
      </c>
      <c r="AK5587">
        <v>91.952501729148494</v>
      </c>
      <c r="AL5587">
        <v>78.515700227530402</v>
      </c>
      <c r="AM5587">
        <v>90.4097740397862</v>
      </c>
      <c r="AN5587">
        <v>0.99999996324649698</v>
      </c>
    </row>
    <row r="5588" spans="1:40" x14ac:dyDescent="0.25">
      <c r="A5588" t="str">
        <f>"20190303170405216"</f>
        <v>20190303170405216</v>
      </c>
      <c r="B5588" t="str">
        <f>"1551603845211017"</f>
        <v>1551603845211017</v>
      </c>
      <c r="C5588" t="s">
        <v>40</v>
      </c>
      <c r="D5588">
        <v>4.6294180000000003</v>
      </c>
      <c r="E5588">
        <v>0.46343600000000001</v>
      </c>
      <c r="F5588" t="s">
        <v>44</v>
      </c>
      <c r="G5588">
        <v>-420.53309999999999</v>
      </c>
      <c r="H5588">
        <v>-0.05</v>
      </c>
      <c r="I5588">
        <v>-5.532578</v>
      </c>
      <c r="J5588">
        <v>-422.59859999999998</v>
      </c>
      <c r="K5588">
        <v>1.1254459999999999</v>
      </c>
      <c r="L5588">
        <v>84.575810000000004</v>
      </c>
      <c r="M5588">
        <v>-0.11388810000000001</v>
      </c>
      <c r="N5588">
        <v>-1.411542E-2</v>
      </c>
      <c r="O5588">
        <v>-0.99339339999999998</v>
      </c>
      <c r="P5588">
        <v>-0.1071288</v>
      </c>
      <c r="Q5588">
        <v>0.18611249999999999</v>
      </c>
      <c r="R5588">
        <v>-0.97667060000000006</v>
      </c>
      <c r="S5588">
        <v>6.9183350000000005E-2</v>
      </c>
      <c r="T5588">
        <v>-4.0121080000000003E-2</v>
      </c>
      <c r="U5588">
        <v>-3.08786</v>
      </c>
      <c r="V5588">
        <v>-6.6925889999999997E-3</v>
      </c>
      <c r="W5588">
        <v>0.19990869999999999</v>
      </c>
      <c r="X5588">
        <v>0.97979170000000004</v>
      </c>
      <c r="Y5588">
        <v>-0.13609830000000001</v>
      </c>
      <c r="Z5588">
        <v>-1.3304359999999999E-3</v>
      </c>
      <c r="AA5588">
        <v>0.99069450000000003</v>
      </c>
      <c r="AB5588">
        <v>36</v>
      </c>
      <c r="AC5588">
        <v>2.0654999999999801</v>
      </c>
      <c r="AD5588">
        <v>-1.175446</v>
      </c>
      <c r="AE5588">
        <v>-90.108388000000005</v>
      </c>
      <c r="AF5588">
        <v>-12.3132587313213</v>
      </c>
      <c r="AG5588">
        <v>-1.175446</v>
      </c>
      <c r="AH5588">
        <v>89.271545835394406</v>
      </c>
      <c r="AI5588">
        <v>90.747300472757502</v>
      </c>
      <c r="AJ5588">
        <v>97.853276812259097</v>
      </c>
      <c r="AK5588">
        <v>90.124396861916907</v>
      </c>
      <c r="AL5588">
        <v>78.468380208650203</v>
      </c>
      <c r="AM5588">
        <v>90.391359857585201</v>
      </c>
      <c r="AN5588">
        <v>1.0000000272360501</v>
      </c>
    </row>
    <row r="5589" spans="1:40" x14ac:dyDescent="0.25">
      <c r="A5589" t="str">
        <f>"20190303170405239"</f>
        <v>20190303170405239</v>
      </c>
      <c r="B5589" t="str">
        <f>"1551603845231513"</f>
        <v>1551603845231513</v>
      </c>
      <c r="C5589" t="s">
        <v>40</v>
      </c>
      <c r="D5589">
        <v>4.7010350000000001</v>
      </c>
      <c r="E5589">
        <v>0.46278249999999999</v>
      </c>
      <c r="F5589" t="s">
        <v>75</v>
      </c>
      <c r="G5589">
        <v>-422.44080000000002</v>
      </c>
      <c r="H5589" s="1">
        <v>-7.6329939999999999E-6</v>
      </c>
      <c r="I5589">
        <v>25.28379</v>
      </c>
      <c r="J5589">
        <v>-422.6354</v>
      </c>
      <c r="K5589">
        <v>1.1254489999999999</v>
      </c>
      <c r="L5589">
        <v>84.222200000000001</v>
      </c>
      <c r="M5589">
        <v>-0.110026</v>
      </c>
      <c r="N5589">
        <v>-1.41152E-2</v>
      </c>
      <c r="O5589">
        <v>-0.9938285</v>
      </c>
      <c r="P5589">
        <v>-0.1031482</v>
      </c>
      <c r="Q5589">
        <v>0.1866698</v>
      </c>
      <c r="R5589">
        <v>-0.97699270000000005</v>
      </c>
      <c r="S5589">
        <v>8.2092290000000002E-3</v>
      </c>
      <c r="T5589">
        <v>-5.8533549999999997E-2</v>
      </c>
      <c r="U5589">
        <v>-3.08371</v>
      </c>
      <c r="V5589">
        <v>-6.8707330000000004E-3</v>
      </c>
      <c r="W5589">
        <v>0.20046230000000001</v>
      </c>
      <c r="X5589">
        <v>0.97967729999999997</v>
      </c>
      <c r="Y5589">
        <v>-0.1126561</v>
      </c>
      <c r="Z5589">
        <v>4.6282049999999998E-3</v>
      </c>
      <c r="AA5589">
        <v>0.99362329999999999</v>
      </c>
      <c r="AB5589">
        <v>36</v>
      </c>
      <c r="AC5589">
        <v>0.19459999999997901</v>
      </c>
      <c r="AD5589">
        <v>-1.1254566329939999</v>
      </c>
      <c r="AE5589">
        <v>-58.938409999999998</v>
      </c>
      <c r="AF5589">
        <v>-6.6763873104233697</v>
      </c>
      <c r="AG5589">
        <v>-1.1254566329939999</v>
      </c>
      <c r="AH5589">
        <v>58.537748287925297</v>
      </c>
      <c r="AI5589">
        <v>91.094349711412903</v>
      </c>
      <c r="AJ5589">
        <v>96.506621896866406</v>
      </c>
      <c r="AK5589">
        <v>58.927996527729</v>
      </c>
      <c r="AL5589">
        <v>78.436005350347102</v>
      </c>
      <c r="AM5589">
        <v>90.401823691353002</v>
      </c>
      <c r="AN5589">
        <v>0.99999997641426797</v>
      </c>
    </row>
    <row r="5590" spans="1:40" x14ac:dyDescent="0.25">
      <c r="A5590" t="str">
        <f>"20190303170405261"</f>
        <v>20190303170405261</v>
      </c>
      <c r="B5590" t="str">
        <f>"1551603845251033"</f>
        <v>1551603845251033</v>
      </c>
      <c r="C5590" t="s">
        <v>40</v>
      </c>
      <c r="D5590">
        <v>4.6867830000000001</v>
      </c>
      <c r="E5590">
        <v>0.46334019999999998</v>
      </c>
      <c r="F5590" t="s">
        <v>75</v>
      </c>
      <c r="G5590">
        <v>-422.06450000000001</v>
      </c>
      <c r="H5590" s="1">
        <v>-9.9051579999999997E-6</v>
      </c>
      <c r="I5590">
        <v>13.98077</v>
      </c>
      <c r="J5590">
        <v>-422.67160000000001</v>
      </c>
      <c r="K5590">
        <v>1.1254390000000001</v>
      </c>
      <c r="L5590">
        <v>83.860690000000005</v>
      </c>
      <c r="M5590">
        <v>-0.10608430000000001</v>
      </c>
      <c r="N5590">
        <v>-1.4114740000000001E-2</v>
      </c>
      <c r="O5590">
        <v>-0.99425699999999995</v>
      </c>
      <c r="P5590">
        <v>-9.7473969999999993E-2</v>
      </c>
      <c r="Q5590">
        <v>0.18504609999999999</v>
      </c>
      <c r="R5590">
        <v>-0.97788399999999998</v>
      </c>
      <c r="S5590">
        <v>2.505493E-2</v>
      </c>
      <c r="T5590">
        <v>-4.9393769999999997E-2</v>
      </c>
      <c r="U5590">
        <v>-3.0827330000000002</v>
      </c>
      <c r="V5590">
        <v>-8.6941469999999993E-3</v>
      </c>
      <c r="W5590">
        <v>0.19882549999999999</v>
      </c>
      <c r="X5590">
        <v>0.97999630000000004</v>
      </c>
      <c r="Y5590">
        <v>-0.1141484</v>
      </c>
      <c r="Z5590">
        <v>1.711792E-3</v>
      </c>
      <c r="AA5590">
        <v>0.99346230000000002</v>
      </c>
      <c r="AB5590">
        <v>36</v>
      </c>
      <c r="AC5590">
        <v>0.60710000000000197</v>
      </c>
      <c r="AD5590">
        <v>-1.1254489051579999</v>
      </c>
      <c r="AE5590">
        <v>-69.879919999999998</v>
      </c>
      <c r="AF5590">
        <v>-8.0154952170767402</v>
      </c>
      <c r="AG5590">
        <v>-1.1254489051579999</v>
      </c>
      <c r="AH5590">
        <v>69.403107573025395</v>
      </c>
      <c r="AI5590">
        <v>90.922900097180403</v>
      </c>
      <c r="AJ5590">
        <v>96.588009517198202</v>
      </c>
      <c r="AK5590">
        <v>69.873500982890803</v>
      </c>
      <c r="AL5590">
        <v>78.531713634695905</v>
      </c>
      <c r="AM5590">
        <v>90.508292594014605</v>
      </c>
      <c r="AN5590">
        <v>0.999999957827998</v>
      </c>
    </row>
    <row r="5591" spans="1:40" x14ac:dyDescent="0.25">
      <c r="A5591" t="str">
        <f>"20190303170405284"</f>
        <v>20190303170405284</v>
      </c>
      <c r="B5591" t="str">
        <f>"1551603845271530"</f>
        <v>1551603845271530</v>
      </c>
      <c r="C5591" t="s">
        <v>40</v>
      </c>
      <c r="D5591">
        <v>4.6887280000000002</v>
      </c>
      <c r="E5591">
        <v>0.46374029999999999</v>
      </c>
      <c r="F5591" t="s">
        <v>75</v>
      </c>
      <c r="G5591">
        <v>-421.89859999999999</v>
      </c>
      <c r="H5591" s="1">
        <v>-9.3421940000000004E-6</v>
      </c>
      <c r="I5591">
        <v>21.047409999999999</v>
      </c>
      <c r="J5591">
        <v>-422.70659999999998</v>
      </c>
      <c r="K5591">
        <v>1.1254109999999999</v>
      </c>
      <c r="L5591">
        <v>83.497039999999998</v>
      </c>
      <c r="M5591">
        <v>-0.1021383</v>
      </c>
      <c r="N5591">
        <v>-1.4113830000000001E-2</v>
      </c>
      <c r="O5591">
        <v>-0.99467019999999995</v>
      </c>
      <c r="P5591">
        <v>-9.2679540000000005E-2</v>
      </c>
      <c r="Q5591">
        <v>0.18260199999999999</v>
      </c>
      <c r="R5591">
        <v>-0.97880909999999999</v>
      </c>
      <c r="S5591">
        <v>3.7933349999999998E-2</v>
      </c>
      <c r="T5591">
        <v>-5.522299E-2</v>
      </c>
      <c r="U5591">
        <v>-3.0820919999999998</v>
      </c>
      <c r="V5591">
        <v>-9.6289119999999999E-3</v>
      </c>
      <c r="W5591">
        <v>0.19637850000000001</v>
      </c>
      <c r="X5591">
        <v>0.98048089999999999</v>
      </c>
      <c r="Y5591">
        <v>-0.1143571</v>
      </c>
      <c r="Z5591">
        <v>3.5922480000000001E-3</v>
      </c>
      <c r="AA5591">
        <v>0.99343320000000002</v>
      </c>
      <c r="AB5591">
        <v>36</v>
      </c>
      <c r="AC5591">
        <v>0.80799999999999195</v>
      </c>
      <c r="AD5591">
        <v>-1.1254203421939999</v>
      </c>
      <c r="AE5591">
        <v>-62.449629999999999</v>
      </c>
      <c r="AF5591">
        <v>-7.1805755475054696</v>
      </c>
      <c r="AG5591">
        <v>-1.1254203421939999</v>
      </c>
      <c r="AH5591">
        <v>62.020291657852198</v>
      </c>
      <c r="AI5591">
        <v>91.032678516698297</v>
      </c>
      <c r="AJ5591">
        <v>96.604177883893001</v>
      </c>
      <c r="AK5591">
        <v>62.444726066058699</v>
      </c>
      <c r="AL5591">
        <v>78.674737168046406</v>
      </c>
      <c r="AM5591">
        <v>90.562660918705205</v>
      </c>
      <c r="AN5591">
        <v>1.00000001323668</v>
      </c>
    </row>
    <row r="5592" spans="1:40" x14ac:dyDescent="0.25">
      <c r="A5592" t="str">
        <f>"20190303170405306"</f>
        <v>20190303170405306</v>
      </c>
      <c r="B5592" t="str">
        <f>"1551603845301786"</f>
        <v>1551603845301786</v>
      </c>
      <c r="C5592" t="s">
        <v>40</v>
      </c>
      <c r="D5592">
        <v>4.6494540000000004</v>
      </c>
      <c r="E5592">
        <v>0.46528330000000001</v>
      </c>
      <c r="F5592" t="s">
        <v>75</v>
      </c>
      <c r="G5592">
        <v>-421.80939999999998</v>
      </c>
      <c r="H5592" s="1">
        <v>-6.3979150000000004E-6</v>
      </c>
      <c r="I5592">
        <v>28.22617</v>
      </c>
      <c r="J5592">
        <v>-422.73989999999998</v>
      </c>
      <c r="K5592">
        <v>1.1253839999999999</v>
      </c>
      <c r="L5592">
        <v>83.137209999999996</v>
      </c>
      <c r="M5592">
        <v>-9.8267389999999996E-2</v>
      </c>
      <c r="N5592">
        <v>-1.411222E-2</v>
      </c>
      <c r="O5592">
        <v>-0.99505999999999994</v>
      </c>
      <c r="P5592">
        <v>-8.892543E-2</v>
      </c>
      <c r="Q5592">
        <v>0.18252769999999999</v>
      </c>
      <c r="R5592">
        <v>-0.97917100000000001</v>
      </c>
      <c r="S5592">
        <v>5.0018310000000003E-2</v>
      </c>
      <c r="T5592">
        <v>-6.2742829999999999E-2</v>
      </c>
      <c r="U5592">
        <v>-3.0813899999999999</v>
      </c>
      <c r="V5592">
        <v>-9.5626689999999993E-3</v>
      </c>
      <c r="W5592">
        <v>0.1963037</v>
      </c>
      <c r="X5592">
        <v>0.98049649999999999</v>
      </c>
      <c r="Y5592">
        <v>-0.11438769999999999</v>
      </c>
      <c r="Z5592">
        <v>6.0190510000000001E-3</v>
      </c>
      <c r="AA5592">
        <v>0.99341800000000002</v>
      </c>
      <c r="AB5592">
        <v>36</v>
      </c>
      <c r="AC5592">
        <v>0.930499999999994</v>
      </c>
      <c r="AD5592">
        <v>-1.125390397915</v>
      </c>
      <c r="AE5592">
        <v>-54.91104</v>
      </c>
      <c r="AF5592">
        <v>-6.3198435977912997</v>
      </c>
      <c r="AG5592">
        <v>-1.125390397915</v>
      </c>
      <c r="AH5592">
        <v>54.530874818931302</v>
      </c>
      <c r="AI5592">
        <v>91.174425095607802</v>
      </c>
      <c r="AJ5592">
        <v>96.610789061164496</v>
      </c>
      <c r="AK5592">
        <v>54.907406013817599</v>
      </c>
      <c r="AL5592">
        <v>78.679107664845603</v>
      </c>
      <c r="AM5592">
        <v>90.558781396668607</v>
      </c>
      <c r="AN5592">
        <v>0.99999998689217096</v>
      </c>
    </row>
    <row r="5593" spans="1:40" x14ac:dyDescent="0.25">
      <c r="A5593" t="str">
        <f>"20190303170405328"</f>
        <v>20190303170405328</v>
      </c>
      <c r="B5593" t="str">
        <f>"1551603845321305"</f>
        <v>1551603845321305</v>
      </c>
      <c r="C5593" t="s">
        <v>40</v>
      </c>
      <c r="D5593">
        <v>4.6797300000000002</v>
      </c>
      <c r="E5593">
        <v>0.4658795</v>
      </c>
      <c r="F5593" t="s">
        <v>75</v>
      </c>
      <c r="G5593">
        <v>-421.87939999999998</v>
      </c>
      <c r="H5593" s="1">
        <v>-4.9122350000000001E-6</v>
      </c>
      <c r="I5593">
        <v>31.428820000000002</v>
      </c>
      <c r="J5593">
        <v>-422.7713</v>
      </c>
      <c r="K5593">
        <v>1.1253439999999999</v>
      </c>
      <c r="L5593">
        <v>82.782529999999994</v>
      </c>
      <c r="M5593">
        <v>-9.450074E-2</v>
      </c>
      <c r="N5593">
        <v>-1.410989E-2</v>
      </c>
      <c r="O5593">
        <v>-0.9954248</v>
      </c>
      <c r="P5593">
        <v>-8.5211839999999997E-2</v>
      </c>
      <c r="Q5593">
        <v>0.1828592</v>
      </c>
      <c r="R5593">
        <v>-0.97943939999999996</v>
      </c>
      <c r="S5593">
        <v>5.1269530000000001E-2</v>
      </c>
      <c r="T5593">
        <v>-6.7054509999999998E-2</v>
      </c>
      <c r="U5593">
        <v>-3.0809630000000001</v>
      </c>
      <c r="V5593">
        <v>-9.5484690000000004E-3</v>
      </c>
      <c r="W5593">
        <v>0.1966329</v>
      </c>
      <c r="X5593">
        <v>0.98043069999999999</v>
      </c>
      <c r="Y5593">
        <v>-0.1110324</v>
      </c>
      <c r="Z5593">
        <v>7.42428599999999E-3</v>
      </c>
      <c r="AA5593">
        <v>0.99378909999999998</v>
      </c>
      <c r="AB5593">
        <v>36</v>
      </c>
      <c r="AC5593">
        <v>0.89190000000002101</v>
      </c>
      <c r="AD5593">
        <v>-1.125348912235</v>
      </c>
      <c r="AE5593">
        <v>-51.35371</v>
      </c>
      <c r="AF5593">
        <v>-5.7385995930675202</v>
      </c>
      <c r="AG5593">
        <v>-1.125348912235</v>
      </c>
      <c r="AH5593">
        <v>51.015061437242998</v>
      </c>
      <c r="AI5593">
        <v>91.255773759723695</v>
      </c>
      <c r="AJ5593">
        <v>96.418127029014201</v>
      </c>
      <c r="AK5593">
        <v>51.349142435969704</v>
      </c>
      <c r="AL5593">
        <v>78.659871286379399</v>
      </c>
      <c r="AM5593">
        <v>90.557989135361396</v>
      </c>
      <c r="AN5593">
        <v>1.00000001406257</v>
      </c>
    </row>
    <row r="5594" spans="1:40" x14ac:dyDescent="0.25">
      <c r="A5594" t="str">
        <f>"20190303170405350"</f>
        <v>20190303170405350</v>
      </c>
      <c r="B5594" t="str">
        <f>"1551603845341800"</f>
        <v>1551603845341800</v>
      </c>
      <c r="C5594" t="s">
        <v>40</v>
      </c>
      <c r="D5594">
        <v>4.6421809999999999</v>
      </c>
      <c r="E5594">
        <v>0.46634059999999999</v>
      </c>
      <c r="F5594" t="s">
        <v>75</v>
      </c>
      <c r="G5594">
        <v>-421.79180000000002</v>
      </c>
      <c r="H5594" s="1">
        <v>-5.7212149999999997E-6</v>
      </c>
      <c r="I5594">
        <v>29.831160000000001</v>
      </c>
      <c r="J5594">
        <v>-422.80160000000001</v>
      </c>
      <c r="K5594">
        <v>1.125292</v>
      </c>
      <c r="L5594">
        <v>82.425929999999994</v>
      </c>
      <c r="M5594">
        <v>-9.0776880000000004E-2</v>
      </c>
      <c r="N5594">
        <v>-1.4106749999999999E-2</v>
      </c>
      <c r="O5594">
        <v>-0.99577130000000003</v>
      </c>
      <c r="P5594">
        <v>-8.0492220000000003E-2</v>
      </c>
      <c r="Q5594">
        <v>0.18251990000000001</v>
      </c>
      <c r="R5594">
        <v>-0.97990169999999999</v>
      </c>
      <c r="S5594">
        <v>5.6976319999999997E-2</v>
      </c>
      <c r="T5594">
        <v>-6.5460679999999993E-2</v>
      </c>
      <c r="U5594">
        <v>-3.080139</v>
      </c>
      <c r="V5594">
        <v>-1.0585209999999999E-2</v>
      </c>
      <c r="W5594">
        <v>0.1962826</v>
      </c>
      <c r="X5594">
        <v>0.98049019999999998</v>
      </c>
      <c r="Y5594">
        <v>-0.10916099999999999</v>
      </c>
      <c r="Z5594">
        <v>6.9332469999999896E-3</v>
      </c>
      <c r="AA5594">
        <v>0.99399990000000005</v>
      </c>
      <c r="AB5594">
        <v>36</v>
      </c>
      <c r="AC5594">
        <v>1.00979999999998</v>
      </c>
      <c r="AD5594">
        <v>-1.1252977212149999</v>
      </c>
      <c r="AE5594">
        <v>-52.594769999999997</v>
      </c>
      <c r="AF5594">
        <v>-5.7778504248343001</v>
      </c>
      <c r="AG5594">
        <v>-1.1252977212149999</v>
      </c>
      <c r="AH5594">
        <v>52.2619854125616</v>
      </c>
      <c r="AI5594">
        <v>91.226026556018098</v>
      </c>
      <c r="AJ5594">
        <v>96.308744419022204</v>
      </c>
      <c r="AK5594">
        <v>52.592442135310002</v>
      </c>
      <c r="AL5594">
        <v>78.680340387052894</v>
      </c>
      <c r="AM5594">
        <v>90.618531728154906</v>
      </c>
      <c r="AN5594">
        <v>0.99999996901477095</v>
      </c>
    </row>
    <row r="5595" spans="1:40" x14ac:dyDescent="0.25">
      <c r="A5595" t="str">
        <f>"20190303170405374"</f>
        <v>20190303170405374</v>
      </c>
      <c r="B5595" t="str">
        <f>"1551603845361322"</f>
        <v>1551603845361322</v>
      </c>
      <c r="C5595" t="s">
        <v>40</v>
      </c>
      <c r="D5595">
        <v>4.6396480000000002</v>
      </c>
      <c r="E5595">
        <v>0.46689809999999998</v>
      </c>
      <c r="F5595" t="s">
        <v>75</v>
      </c>
      <c r="G5595">
        <v>-421.68049999999999</v>
      </c>
      <c r="H5595" s="1">
        <v>-5.3318489999999901E-6</v>
      </c>
      <c r="I5595">
        <v>30.582640000000001</v>
      </c>
      <c r="J5595">
        <v>-422.83120000000002</v>
      </c>
      <c r="K5595">
        <v>1.12522099999999</v>
      </c>
      <c r="L5595">
        <v>82.062159999999906</v>
      </c>
      <c r="M5595">
        <v>-8.7059999999999998E-2</v>
      </c>
      <c r="N5595">
        <v>-1.410282E-2</v>
      </c>
      <c r="O5595">
        <v>-0.99610339999999997</v>
      </c>
      <c r="P5595">
        <v>-7.5243829999999998E-2</v>
      </c>
      <c r="Q5595">
        <v>0.1813689</v>
      </c>
      <c r="R5595">
        <v>-0.98053290000000004</v>
      </c>
      <c r="S5595">
        <v>6.658936E-2</v>
      </c>
      <c r="T5595">
        <v>-6.6841479999999995E-2</v>
      </c>
      <c r="U5595">
        <v>-3.079437</v>
      </c>
      <c r="V5595">
        <v>-1.215712E-2</v>
      </c>
      <c r="W5595">
        <v>0.19511880000000001</v>
      </c>
      <c r="X5595">
        <v>0.98070429999999997</v>
      </c>
      <c r="Y5595">
        <v>-0.1085569</v>
      </c>
      <c r="Z5595">
        <v>7.3954090000000004E-3</v>
      </c>
      <c r="AA5595">
        <v>0.99406269999999997</v>
      </c>
      <c r="AB5595">
        <v>36</v>
      </c>
      <c r="AC5595">
        <v>1.15070000000002</v>
      </c>
      <c r="AD5595">
        <v>-1.1252263318489999</v>
      </c>
      <c r="AE5595">
        <v>-51.479520000000001</v>
      </c>
      <c r="AF5595">
        <v>-5.6258955714366197</v>
      </c>
      <c r="AG5595">
        <v>-1.1252263318489999</v>
      </c>
      <c r="AH5595">
        <v>51.159397308927304</v>
      </c>
      <c r="AI5595">
        <v>91.252442274223696</v>
      </c>
      <c r="AJ5595">
        <v>96.275485796262402</v>
      </c>
      <c r="AK5595">
        <v>51.480100702031201</v>
      </c>
      <c r="AL5595">
        <v>78.748336735188204</v>
      </c>
      <c r="AM5595">
        <v>90.710220186595393</v>
      </c>
      <c r="AN5595">
        <v>1.0000000328593099</v>
      </c>
    </row>
    <row r="5596" spans="1:40" x14ac:dyDescent="0.25">
      <c r="A5596" t="str">
        <f>"20190303170405396"</f>
        <v>20190303170405396</v>
      </c>
      <c r="B5596" t="str">
        <f>"1551603845391577"</f>
        <v>1551603845391577</v>
      </c>
      <c r="C5596" t="s">
        <v>40</v>
      </c>
      <c r="D5596">
        <v>4.7215210000000001</v>
      </c>
      <c r="E5596">
        <v>0.46780509999999997</v>
      </c>
      <c r="F5596" t="s">
        <v>75</v>
      </c>
      <c r="G5596">
        <v>-421.60379999999998</v>
      </c>
      <c r="H5596" s="1">
        <v>-4.052933E-6</v>
      </c>
      <c r="I5596">
        <v>33.083880000000001</v>
      </c>
      <c r="J5596">
        <v>-422.85910000000001</v>
      </c>
      <c r="K5596">
        <v>1.125132</v>
      </c>
      <c r="L5596">
        <v>81.703220000000002</v>
      </c>
      <c r="M5596">
        <v>-8.3490980000000006E-2</v>
      </c>
      <c r="N5596">
        <v>-1.409826E-2</v>
      </c>
      <c r="O5596">
        <v>-0.99640890000000004</v>
      </c>
      <c r="P5596">
        <v>-6.9837280000000002E-2</v>
      </c>
      <c r="Q5596">
        <v>0.18118129999999999</v>
      </c>
      <c r="R5596">
        <v>-0.98096709999999998</v>
      </c>
      <c r="S5596">
        <v>7.7148439999999999E-2</v>
      </c>
      <c r="T5596">
        <v>-7.0727230000000002E-2</v>
      </c>
      <c r="U5596">
        <v>-3.0785830000000001</v>
      </c>
      <c r="V5596">
        <v>-1.401841E-2</v>
      </c>
      <c r="W5596">
        <v>0.1949121</v>
      </c>
      <c r="X5596">
        <v>0.9807205</v>
      </c>
      <c r="Y5596">
        <v>-0.10840809999999999</v>
      </c>
      <c r="Z5596">
        <v>8.6647140000000004E-3</v>
      </c>
      <c r="AA5596">
        <v>0.99406870000000003</v>
      </c>
      <c r="AB5596">
        <v>36</v>
      </c>
      <c r="AC5596">
        <v>1.2553000000000301</v>
      </c>
      <c r="AD5596">
        <v>-1.1251360529329999</v>
      </c>
      <c r="AE5596">
        <v>-48.619340000000001</v>
      </c>
      <c r="AF5596">
        <v>-5.30775507665739</v>
      </c>
      <c r="AG5596">
        <v>-1.1251360529329999</v>
      </c>
      <c r="AH5596">
        <v>48.318877314801199</v>
      </c>
      <c r="AI5596">
        <v>91.3259548394646</v>
      </c>
      <c r="AJ5596">
        <v>96.2687205039432</v>
      </c>
      <c r="AK5596">
        <v>48.622547239467004</v>
      </c>
      <c r="AL5596">
        <v>78.760410901697597</v>
      </c>
      <c r="AM5596">
        <v>90.818929585639196</v>
      </c>
      <c r="AN5596">
        <v>0.99999997083279302</v>
      </c>
    </row>
    <row r="5597" spans="1:40" x14ac:dyDescent="0.25">
      <c r="A5597" t="str">
        <f>"20190303170405417"</f>
        <v>20190303170405417</v>
      </c>
      <c r="B5597" t="str">
        <f>"1551603845411097"</f>
        <v>1551603845411097</v>
      </c>
      <c r="C5597" t="s">
        <v>40</v>
      </c>
      <c r="D5597">
        <v>4.8216140000000003</v>
      </c>
      <c r="E5597">
        <v>0.44125419999999999</v>
      </c>
      <c r="F5597" t="s">
        <v>75</v>
      </c>
      <c r="G5597">
        <v>-421.48129999999998</v>
      </c>
      <c r="H5597" s="1">
        <v>-4.3069000000000002E-6</v>
      </c>
      <c r="I5597">
        <v>32.571480000000001</v>
      </c>
      <c r="J5597">
        <v>-422.88580000000002</v>
      </c>
      <c r="K5597">
        <v>1.1250450000000001</v>
      </c>
      <c r="L5597">
        <v>81.344300000000004</v>
      </c>
      <c r="M5597">
        <v>-8.0040730000000004E-2</v>
      </c>
      <c r="N5597">
        <v>-1.4093029999999999E-2</v>
      </c>
      <c r="O5597">
        <v>-0.99669200000000002</v>
      </c>
      <c r="P5597">
        <v>-6.4395369999999993E-2</v>
      </c>
      <c r="Q5597">
        <v>0.182309</v>
      </c>
      <c r="R5597">
        <v>-0.98113039999999996</v>
      </c>
      <c r="S5597">
        <v>8.6303710000000006E-2</v>
      </c>
      <c r="T5597">
        <v>-7.0472839999999995E-2</v>
      </c>
      <c r="U5597">
        <v>-3.0773619999999999</v>
      </c>
      <c r="V5597">
        <v>-1.6017710000000001E-2</v>
      </c>
      <c r="W5597">
        <v>0.1960171</v>
      </c>
      <c r="X5597">
        <v>0.98046960000000005</v>
      </c>
      <c r="Y5597">
        <v>-0.10793170000000001</v>
      </c>
      <c r="Z5597">
        <v>8.6053899999999992E-3</v>
      </c>
      <c r="AA5597">
        <v>0.99412109999999998</v>
      </c>
      <c r="AB5597">
        <v>36</v>
      </c>
      <c r="AC5597">
        <v>1.40450000000004</v>
      </c>
      <c r="AD5597">
        <v>-1.1250493069</v>
      </c>
      <c r="AE5597">
        <v>-48.772820000000003</v>
      </c>
      <c r="AF5597">
        <v>-5.3013741150518703</v>
      </c>
      <c r="AG5597">
        <v>-1.1250493069</v>
      </c>
      <c r="AH5597">
        <v>48.478104015848999</v>
      </c>
      <c r="AI5597">
        <v>91.321569873452404</v>
      </c>
      <c r="AJ5597">
        <v>96.240841598725495</v>
      </c>
      <c r="AK5597">
        <v>48.780086843118397</v>
      </c>
      <c r="AL5597">
        <v>78.695853603900403</v>
      </c>
      <c r="AM5597">
        <v>90.935944926425194</v>
      </c>
      <c r="AN5597">
        <v>0.99999995352510596</v>
      </c>
    </row>
    <row r="5598" spans="1:40" x14ac:dyDescent="0.25">
      <c r="A5598" t="str">
        <f>"20190303170405441"</f>
        <v>20190303170405441</v>
      </c>
      <c r="B5598" t="str">
        <f>"1551603845431593"</f>
        <v>1551603845431593</v>
      </c>
      <c r="C5598" t="s">
        <v>40</v>
      </c>
      <c r="D5598">
        <v>4.7686129999999904</v>
      </c>
      <c r="E5598">
        <v>0.4265659</v>
      </c>
      <c r="F5598" t="s">
        <v>95</v>
      </c>
      <c r="G5598">
        <v>-414.68290000000002</v>
      </c>
      <c r="H5598">
        <v>0.76539230000000003</v>
      </c>
      <c r="I5598">
        <v>0.53146549999999904</v>
      </c>
      <c r="J5598">
        <v>-422.91180000000003</v>
      </c>
      <c r="K5598">
        <v>1.1249640000000001</v>
      </c>
      <c r="L5598">
        <v>80.978489999999994</v>
      </c>
      <c r="M5598">
        <v>-7.6626920000000001E-2</v>
      </c>
      <c r="N5598">
        <v>-1.408739E-2</v>
      </c>
      <c r="O5598">
        <v>-0.99696039999999997</v>
      </c>
      <c r="P5598">
        <v>-5.9757999999999999E-2</v>
      </c>
      <c r="Q5598">
        <v>0.18371129999999999</v>
      </c>
      <c r="R5598">
        <v>-0.98116219999999998</v>
      </c>
      <c r="S5598">
        <v>0.31271359999999998</v>
      </c>
      <c r="T5598">
        <v>-1.371181E-2</v>
      </c>
      <c r="U5598">
        <v>-3.0807500000000001</v>
      </c>
      <c r="V5598">
        <v>-1.7243789999999998E-2</v>
      </c>
      <c r="W5598">
        <v>0.19740279999999999</v>
      </c>
      <c r="X5598">
        <v>0.98017080000000001</v>
      </c>
      <c r="Y5598">
        <v>-0.1769047</v>
      </c>
      <c r="Z5598">
        <v>-9.7577849999999997E-3</v>
      </c>
      <c r="AA5598">
        <v>0.98417960000000004</v>
      </c>
      <c r="AB5598">
        <v>36</v>
      </c>
      <c r="AC5598">
        <v>8.2289000000000101</v>
      </c>
      <c r="AD5598">
        <v>-0.35957169999999899</v>
      </c>
      <c r="AE5598">
        <v>-80.447024499999998</v>
      </c>
      <c r="AF5598">
        <v>-14.369435702437499</v>
      </c>
      <c r="AG5598">
        <v>-0.35957169999999899</v>
      </c>
      <c r="AH5598">
        <v>79.578258888723795</v>
      </c>
      <c r="AI5598">
        <v>90.254767267141602</v>
      </c>
      <c r="AJ5598">
        <v>100.235596913926</v>
      </c>
      <c r="AK5598">
        <v>80.865995708793903</v>
      </c>
      <c r="AL5598">
        <v>78.6148772808248</v>
      </c>
      <c r="AM5598">
        <v>91.007879932905695</v>
      </c>
      <c r="AN5598">
        <v>1.0000000054570199</v>
      </c>
    </row>
    <row r="5599" spans="1:40" x14ac:dyDescent="0.25">
      <c r="A5599" t="str">
        <f>"20190303170405462"</f>
        <v>20190303170405462</v>
      </c>
      <c r="B5599" t="str">
        <f>"1551603845451113"</f>
        <v>1551603845451113</v>
      </c>
      <c r="C5599" t="s">
        <v>40</v>
      </c>
      <c r="D5599">
        <v>4.7390239999999997</v>
      </c>
      <c r="E5599">
        <v>0.4149118</v>
      </c>
      <c r="F5599" t="s">
        <v>95</v>
      </c>
      <c r="G5599">
        <v>-411.34899999999999</v>
      </c>
      <c r="H5599">
        <v>1.5372189999999999</v>
      </c>
      <c r="I5599">
        <v>0.56537249999999994</v>
      </c>
      <c r="J5599">
        <v>-422.93540000000002</v>
      </c>
      <c r="K5599">
        <v>1.1248880000000001</v>
      </c>
      <c r="L5599">
        <v>80.631810000000002</v>
      </c>
      <c r="M5599">
        <v>-7.3491039999999994E-2</v>
      </c>
      <c r="N5599">
        <v>-1.4081990000000001E-2</v>
      </c>
      <c r="O5599">
        <v>-0.99719639999999998</v>
      </c>
      <c r="P5599">
        <v>-5.5329240000000002E-2</v>
      </c>
      <c r="Q5599">
        <v>0.18431030000000001</v>
      </c>
      <c r="R5599">
        <v>-0.98130969999999995</v>
      </c>
      <c r="S5599">
        <v>0.44311519999999999</v>
      </c>
      <c r="T5599">
        <v>1.5797729999999999E-2</v>
      </c>
      <c r="U5599">
        <v>-3.0816349999999999</v>
      </c>
      <c r="V5599">
        <v>-1.854134E-2</v>
      </c>
      <c r="W5599">
        <v>0.19798760000000001</v>
      </c>
      <c r="X5599">
        <v>0.98002920000000004</v>
      </c>
      <c r="Y5599">
        <v>-0.21465380000000001</v>
      </c>
      <c r="Z5599">
        <v>-1.9175569999999999E-2</v>
      </c>
      <c r="AA5599">
        <v>0.97650190000000003</v>
      </c>
      <c r="AB5599">
        <v>36</v>
      </c>
      <c r="AC5599">
        <v>11.586399999999999</v>
      </c>
      <c r="AD5599">
        <v>0.412331</v>
      </c>
      <c r="AE5599">
        <v>-80.066437500000006</v>
      </c>
      <c r="AF5599">
        <v>-17.439359281364499</v>
      </c>
      <c r="AG5599">
        <v>0.412331</v>
      </c>
      <c r="AH5599">
        <v>78.996251849685393</v>
      </c>
      <c r="AI5599">
        <v>89.707971439959096</v>
      </c>
      <c r="AJ5599">
        <v>102.449047891332</v>
      </c>
      <c r="AK5599">
        <v>80.899376235524898</v>
      </c>
      <c r="AL5599">
        <v>78.580696630985898</v>
      </c>
      <c r="AM5599">
        <v>91.083859344294197</v>
      </c>
      <c r="AN5599">
        <v>1.0000000519476899</v>
      </c>
    </row>
    <row r="5600" spans="1:40" x14ac:dyDescent="0.25">
      <c r="A5600" t="str">
        <f>"20190303170405497"</f>
        <v>20190303170405497</v>
      </c>
      <c r="B5600" t="str">
        <f>"1551603845491129"</f>
        <v>1551603845491129</v>
      </c>
      <c r="C5600" t="s">
        <v>40</v>
      </c>
      <c r="D5600">
        <v>4.7143110000000004</v>
      </c>
      <c r="E5600">
        <v>0.40404849999999998</v>
      </c>
      <c r="F5600" t="s">
        <v>95</v>
      </c>
      <c r="G5600">
        <v>-408.70139999999998</v>
      </c>
      <c r="H5600">
        <v>2.052524</v>
      </c>
      <c r="I5600">
        <v>0.59230039999999995</v>
      </c>
      <c r="J5600">
        <v>-422.97070000000002</v>
      </c>
      <c r="K5600">
        <v>1.124733</v>
      </c>
      <c r="L5600">
        <v>80.084719999999905</v>
      </c>
      <c r="M5600">
        <v>-6.8747950000000002E-2</v>
      </c>
      <c r="N5600">
        <v>-1.407314E-2</v>
      </c>
      <c r="O5600">
        <v>-0.9975349</v>
      </c>
      <c r="P5600">
        <v>-4.8025190000000002E-2</v>
      </c>
      <c r="Q5600">
        <v>0.18417919999999999</v>
      </c>
      <c r="R5600">
        <v>-0.98171870000000006</v>
      </c>
      <c r="S5600">
        <v>0.54797359999999995</v>
      </c>
      <c r="T5600">
        <v>3.5710810000000003E-2</v>
      </c>
      <c r="U5600">
        <v>-3.0813290000000002</v>
      </c>
      <c r="V5600">
        <v>-2.1110299999999999E-2</v>
      </c>
      <c r="W5600">
        <v>0.1978338</v>
      </c>
      <c r="X5600">
        <v>0.9800082</v>
      </c>
      <c r="Y5600">
        <v>-0.24230670000000001</v>
      </c>
      <c r="Z5600">
        <v>-2.5442969999999999E-2</v>
      </c>
      <c r="AA5600">
        <v>0.96986600000000001</v>
      </c>
      <c r="AB5600">
        <v>36</v>
      </c>
      <c r="AC5600">
        <v>14.269299999999999</v>
      </c>
      <c r="AD5600">
        <v>0.92779100000000003</v>
      </c>
      <c r="AE5600">
        <v>-79.492419599999906</v>
      </c>
      <c r="AF5600">
        <v>-19.698414980649201</v>
      </c>
      <c r="AG5600">
        <v>0.92779100000000003</v>
      </c>
      <c r="AH5600">
        <v>78.312890969887405</v>
      </c>
      <c r="AI5600">
        <v>89.341738135683002</v>
      </c>
      <c r="AJ5600">
        <v>104.118976654637</v>
      </c>
      <c r="AK5600">
        <v>80.757645092901399</v>
      </c>
      <c r="AL5600">
        <v>78.589685531617206</v>
      </c>
      <c r="AM5600">
        <v>91.2340142330075</v>
      </c>
      <c r="AN5600">
        <v>0.99999996462788399</v>
      </c>
    </row>
    <row r="5601" spans="1:40" x14ac:dyDescent="0.25">
      <c r="A5601" t="str">
        <f>"20190303170405519"</f>
        <v>20190303170405519</v>
      </c>
      <c r="B5601" t="str">
        <f>"1551603845511625"</f>
        <v>1551603845511625</v>
      </c>
      <c r="C5601" t="s">
        <v>40</v>
      </c>
      <c r="D5601">
        <v>4.6987819999999996</v>
      </c>
      <c r="E5601">
        <v>0.40157599999999999</v>
      </c>
      <c r="F5601" t="s">
        <v>95</v>
      </c>
      <c r="G5601">
        <v>-406.05560000000003</v>
      </c>
      <c r="H5601">
        <v>2.531066</v>
      </c>
      <c r="I5601">
        <v>0.61920929999999996</v>
      </c>
      <c r="J5601">
        <v>-422.99239999999998</v>
      </c>
      <c r="K5601">
        <v>1.1246290000000001</v>
      </c>
      <c r="L5601">
        <v>79.726349999999996</v>
      </c>
      <c r="M5601">
        <v>-6.5786960000000005E-2</v>
      </c>
      <c r="N5601">
        <v>-1.4067130000000001E-2</v>
      </c>
      <c r="O5601">
        <v>-0.99773480000000003</v>
      </c>
      <c r="P5601">
        <v>-4.5225010000000003E-2</v>
      </c>
      <c r="Q5601">
        <v>0.18316650000000001</v>
      </c>
      <c r="R5601">
        <v>-0.98204139999999995</v>
      </c>
      <c r="S5601">
        <v>0.65512079999999995</v>
      </c>
      <c r="T5601">
        <v>5.4466130000000001E-2</v>
      </c>
      <c r="U5601">
        <v>-3.0776979999999998</v>
      </c>
      <c r="V5601">
        <v>-2.0952490000000001E-2</v>
      </c>
      <c r="W5601">
        <v>0.1968241</v>
      </c>
      <c r="X5601">
        <v>0.9802149</v>
      </c>
      <c r="Y5601">
        <v>-0.27200089999999999</v>
      </c>
      <c r="Z5601">
        <v>-3.1272429999999997E-2</v>
      </c>
      <c r="AA5601">
        <v>0.96178869999999905</v>
      </c>
      <c r="AB5601">
        <v>36</v>
      </c>
      <c r="AC5601">
        <v>16.936799999999899</v>
      </c>
      <c r="AD5601">
        <v>1.4064369999999999</v>
      </c>
      <c r="AE5601">
        <v>-79.107140700000002</v>
      </c>
      <c r="AF5601">
        <v>-22.0981554733828</v>
      </c>
      <c r="AG5601">
        <v>1.4064369999999999</v>
      </c>
      <c r="AH5601">
        <v>77.7978925895289</v>
      </c>
      <c r="AI5601">
        <v>89.003717825012799</v>
      </c>
      <c r="AJ5601">
        <v>105.85696844747601</v>
      </c>
      <c r="AK5601">
        <v>80.8876914723905</v>
      </c>
      <c r="AL5601">
        <v>78.648697727413506</v>
      </c>
      <c r="AM5601">
        <v>91.224533987105005</v>
      </c>
      <c r="AN5601">
        <v>0.99999999168000997</v>
      </c>
    </row>
    <row r="5602" spans="1:40" x14ac:dyDescent="0.25">
      <c r="A5602" t="str">
        <f>"20190303170405540"</f>
        <v>20190303170405540</v>
      </c>
      <c r="B5602" t="str">
        <f>"1551603845531146"</f>
        <v>1551603845531146</v>
      </c>
      <c r="C5602" t="s">
        <v>40</v>
      </c>
      <c r="D5602">
        <v>4.7138929999999997</v>
      </c>
      <c r="E5602">
        <v>0.40017390000000003</v>
      </c>
      <c r="F5602" t="s">
        <v>95</v>
      </c>
      <c r="G5602">
        <v>-405.4237</v>
      </c>
      <c r="H5602">
        <v>2.5269080000000002</v>
      </c>
      <c r="I5602">
        <v>0.6256351</v>
      </c>
      <c r="J5602">
        <v>-423.01209999999998</v>
      </c>
      <c r="K5602">
        <v>1.1245369999999999</v>
      </c>
      <c r="L5602">
        <v>79.386439999999993</v>
      </c>
      <c r="M5602">
        <v>-6.305848E-2</v>
      </c>
      <c r="N5602">
        <v>-1.4061519999999999E-2</v>
      </c>
      <c r="O5602">
        <v>-0.99791070000000004</v>
      </c>
      <c r="P5602">
        <v>-4.2808569999999997E-2</v>
      </c>
      <c r="Q5602">
        <v>0.18324950000000001</v>
      </c>
      <c r="R5602">
        <v>-0.98213360000000005</v>
      </c>
      <c r="S5602">
        <v>0.68322749999999999</v>
      </c>
      <c r="T5602">
        <v>5.4532169999999998E-2</v>
      </c>
      <c r="U5602">
        <v>-3.0761409999999998</v>
      </c>
      <c r="V5602">
        <v>-2.0638500000000001E-2</v>
      </c>
      <c r="W5602">
        <v>0.19690769999999999</v>
      </c>
      <c r="X5602">
        <v>0.98020479999999999</v>
      </c>
      <c r="Y5602">
        <v>-0.27785470000000001</v>
      </c>
      <c r="Z5602">
        <v>-3.1269449999999997E-2</v>
      </c>
      <c r="AA5602">
        <v>0.96011409999999997</v>
      </c>
      <c r="AB5602">
        <v>36</v>
      </c>
      <c r="AC5602">
        <v>17.588399999999901</v>
      </c>
      <c r="AD5602">
        <v>1.40237099999999</v>
      </c>
      <c r="AE5602">
        <v>-78.760804899999997</v>
      </c>
      <c r="AF5602">
        <v>-22.513618744348399</v>
      </c>
      <c r="AG5602">
        <v>1.40237099999999</v>
      </c>
      <c r="AH5602">
        <v>77.4714248362543</v>
      </c>
      <c r="AI5602">
        <v>89.004147077727495</v>
      </c>
      <c r="AJ5602">
        <v>106.204152793511</v>
      </c>
      <c r="AK5602">
        <v>80.688607247534705</v>
      </c>
      <c r="AL5602">
        <v>78.643812517923095</v>
      </c>
      <c r="AM5602">
        <v>91.206201242852202</v>
      </c>
      <c r="AN5602">
        <v>1.0000000199722801</v>
      </c>
    </row>
    <row r="5603" spans="1:40" x14ac:dyDescent="0.25">
      <c r="A5603" t="str">
        <f>"20190303170405563"</f>
        <v>20190303170405563</v>
      </c>
      <c r="B5603" t="str">
        <f>"1551603845551642"</f>
        <v>1551603845551642</v>
      </c>
      <c r="C5603" t="s">
        <v>40</v>
      </c>
      <c r="D5603">
        <v>4.695208</v>
      </c>
      <c r="E5603">
        <v>0.399308</v>
      </c>
      <c r="F5603" t="s">
        <v>95</v>
      </c>
      <c r="G5603">
        <v>-405.04270000000002</v>
      </c>
      <c r="H5603">
        <v>2.53606</v>
      </c>
      <c r="I5603">
        <v>0.62950899999999999</v>
      </c>
      <c r="J5603">
        <v>-423.03199999999998</v>
      </c>
      <c r="K5603">
        <v>1.124455</v>
      </c>
      <c r="L5603">
        <v>79.028109999999998</v>
      </c>
      <c r="M5603">
        <v>-6.0265369999999999E-2</v>
      </c>
      <c r="N5603">
        <v>-1.405588E-2</v>
      </c>
      <c r="O5603">
        <v>-0.99808350000000001</v>
      </c>
      <c r="P5603">
        <v>-4.1835400000000002E-2</v>
      </c>
      <c r="Q5603">
        <v>0.18377060000000001</v>
      </c>
      <c r="R5603">
        <v>-0.98207849999999997</v>
      </c>
      <c r="S5603">
        <v>0.70156859999999999</v>
      </c>
      <c r="T5603">
        <v>5.5108310000000001E-2</v>
      </c>
      <c r="U5603">
        <v>-3.0748600000000001</v>
      </c>
      <c r="V5603">
        <v>-1.8815430000000001E-2</v>
      </c>
      <c r="W5603">
        <v>0.19744020000000001</v>
      </c>
      <c r="X5603">
        <v>0.98013439999999996</v>
      </c>
      <c r="Y5603">
        <v>-0.28069939999999999</v>
      </c>
      <c r="Z5603">
        <v>-3.1435709999999999E-2</v>
      </c>
      <c r="AA5603">
        <v>0.95928080000000004</v>
      </c>
      <c r="AB5603">
        <v>36</v>
      </c>
      <c r="AC5603">
        <v>17.989299999999901</v>
      </c>
      <c r="AD5603">
        <v>1.411605</v>
      </c>
      <c r="AE5603">
        <v>-78.398600999999999</v>
      </c>
      <c r="AF5603">
        <v>-22.674799718182101</v>
      </c>
      <c r="AG5603">
        <v>1.411605</v>
      </c>
      <c r="AH5603">
        <v>77.148075763170795</v>
      </c>
      <c r="AI5603">
        <v>88.994286454307002</v>
      </c>
      <c r="AJ5603">
        <v>106.378732375398</v>
      </c>
      <c r="AK5603">
        <v>80.423657992506406</v>
      </c>
      <c r="AL5603">
        <v>78.612691883081794</v>
      </c>
      <c r="AM5603">
        <v>91.099759718882694</v>
      </c>
      <c r="AN5603">
        <v>1.00000004752274</v>
      </c>
    </row>
    <row r="5604" spans="1:40" x14ac:dyDescent="0.25">
      <c r="A5604" t="str">
        <f>"20190303170405585"</f>
        <v>20190303170405585</v>
      </c>
      <c r="B5604" t="str">
        <f>"1551603845571163"</f>
        <v>1551603845571163</v>
      </c>
      <c r="C5604" t="s">
        <v>40</v>
      </c>
      <c r="D5604">
        <v>4.6868860000000003</v>
      </c>
      <c r="E5604">
        <v>0.39860580000000001</v>
      </c>
      <c r="F5604" t="s">
        <v>95</v>
      </c>
      <c r="G5604">
        <v>-404.89800000000002</v>
      </c>
      <c r="H5604">
        <v>2.5659019999999999</v>
      </c>
      <c r="I5604">
        <v>0.63098140000000003</v>
      </c>
      <c r="J5604">
        <v>-423.05110000000002</v>
      </c>
      <c r="K5604">
        <v>1.124377</v>
      </c>
      <c r="L5604">
        <v>78.666200000000003</v>
      </c>
      <c r="M5604">
        <v>-5.7518739999999999E-2</v>
      </c>
      <c r="N5604">
        <v>-1.405034E-2</v>
      </c>
      <c r="O5604">
        <v>-0.99824550000000001</v>
      </c>
      <c r="P5604">
        <v>-4.0903420000000003E-2</v>
      </c>
      <c r="Q5604">
        <v>0.18303949999999999</v>
      </c>
      <c r="R5604">
        <v>-0.98225439999999997</v>
      </c>
      <c r="S5604">
        <v>0.71115109999999904</v>
      </c>
      <c r="T5604">
        <v>5.6527609999999999E-2</v>
      </c>
      <c r="U5604">
        <v>-3.0744630000000002</v>
      </c>
      <c r="V5604">
        <v>-1.7006400000000001E-2</v>
      </c>
      <c r="W5604">
        <v>0.1967217</v>
      </c>
      <c r="X5604">
        <v>0.98031190000000001</v>
      </c>
      <c r="Y5604">
        <v>-0.28092309999999998</v>
      </c>
      <c r="Z5604">
        <v>-3.187189E-2</v>
      </c>
      <c r="AA5604">
        <v>0.95920090000000002</v>
      </c>
      <c r="AB5604">
        <v>36</v>
      </c>
      <c r="AC5604">
        <v>18.153099999999899</v>
      </c>
      <c r="AD5604">
        <v>1.4415249999999999</v>
      </c>
      <c r="AE5604">
        <v>-78.035218599999993</v>
      </c>
      <c r="AF5604">
        <v>-22.604653392726</v>
      </c>
      <c r="AG5604">
        <v>1.4415249999999999</v>
      </c>
      <c r="AH5604">
        <v>76.836879524890705</v>
      </c>
      <c r="AI5604">
        <v>88.968892901665697</v>
      </c>
      <c r="AJ5604">
        <v>106.393363822078</v>
      </c>
      <c r="AK5604">
        <v>80.105894941967094</v>
      </c>
      <c r="AL5604">
        <v>78.654682285526405</v>
      </c>
      <c r="AM5604">
        <v>90.993864517896199</v>
      </c>
      <c r="AN5604">
        <v>1.00000003308672</v>
      </c>
    </row>
    <row r="5605" spans="1:40" x14ac:dyDescent="0.25">
      <c r="A5605" t="str">
        <f>"20190303170405608"</f>
        <v>20190303170405608</v>
      </c>
      <c r="B5605" t="str">
        <f>"1551603845601418"</f>
        <v>1551603845601418</v>
      </c>
      <c r="C5605" t="s">
        <v>40</v>
      </c>
      <c r="D5605">
        <v>4.6969469999999998</v>
      </c>
      <c r="E5605">
        <v>0.39790720000000002</v>
      </c>
      <c r="F5605" t="s">
        <v>95</v>
      </c>
      <c r="G5605">
        <v>-404.81560000000002</v>
      </c>
      <c r="H5605">
        <v>2.5035530000000001</v>
      </c>
      <c r="I5605">
        <v>0.63182069999999901</v>
      </c>
      <c r="J5605">
        <v>-423.06900000000002</v>
      </c>
      <c r="K5605">
        <v>1.1243019999999999</v>
      </c>
      <c r="L5605">
        <v>78.309600000000003</v>
      </c>
      <c r="M5605">
        <v>-5.4867190000000003E-2</v>
      </c>
      <c r="N5605">
        <v>-1.4045129999999999E-2</v>
      </c>
      <c r="O5605">
        <v>-0.99839509999999998</v>
      </c>
      <c r="P5605">
        <v>-4.0364690000000002E-2</v>
      </c>
      <c r="Q5605">
        <v>0.18228359999999999</v>
      </c>
      <c r="R5605">
        <v>-0.98241730000000005</v>
      </c>
      <c r="S5605">
        <v>0.71835329999999997</v>
      </c>
      <c r="T5605">
        <v>5.4328920000000003E-2</v>
      </c>
      <c r="U5605">
        <v>-3.0740050000000001</v>
      </c>
      <c r="V5605">
        <v>-1.490323E-2</v>
      </c>
      <c r="W5605">
        <v>0.19598019999999999</v>
      </c>
      <c r="X5605">
        <v>0.98049459999999999</v>
      </c>
      <c r="Y5605">
        <v>-0.28054119999999999</v>
      </c>
      <c r="Z5605">
        <v>-3.1176869999999999E-2</v>
      </c>
      <c r="AA5605">
        <v>0.95933550000000001</v>
      </c>
      <c r="AB5605">
        <v>36</v>
      </c>
      <c r="AC5605">
        <v>18.253399999999999</v>
      </c>
      <c r="AD5605">
        <v>1.37925099999999</v>
      </c>
      <c r="AE5605">
        <v>-77.677779299999997</v>
      </c>
      <c r="AF5605">
        <v>-22.481562707052301</v>
      </c>
      <c r="AG5605">
        <v>1.37925099999999</v>
      </c>
      <c r="AH5605">
        <v>76.536268426147601</v>
      </c>
      <c r="AI5605">
        <v>89.009432301488999</v>
      </c>
      <c r="AJ5605">
        <v>106.36948508612799</v>
      </c>
      <c r="AK5605">
        <v>79.781723343579401</v>
      </c>
      <c r="AL5605">
        <v>78.698010201046898</v>
      </c>
      <c r="AM5605">
        <v>90.870811966413996</v>
      </c>
      <c r="AN5605">
        <v>1.00000000284281</v>
      </c>
    </row>
    <row r="5606" spans="1:40" x14ac:dyDescent="0.25">
      <c r="A5606" t="str">
        <f>"20190303170405629"</f>
        <v>20190303170405629</v>
      </c>
      <c r="B5606" t="str">
        <f>"1551603845620937"</f>
        <v>1551603845620937</v>
      </c>
      <c r="C5606" t="s">
        <v>40</v>
      </c>
      <c r="D5606">
        <v>4.6915440000000004</v>
      </c>
      <c r="E5606">
        <v>0.39757120000000001</v>
      </c>
      <c r="F5606" t="s">
        <v>95</v>
      </c>
      <c r="G5606">
        <v>-404.70979999999997</v>
      </c>
      <c r="H5606">
        <v>2.4512830000000001</v>
      </c>
      <c r="I5606">
        <v>0.63289449999999903</v>
      </c>
      <c r="J5606">
        <v>-423.0856</v>
      </c>
      <c r="K5606">
        <v>1.1242540000000001</v>
      </c>
      <c r="L5606">
        <v>77.963709999999907</v>
      </c>
      <c r="M5606">
        <v>-5.2331160000000002E-2</v>
      </c>
      <c r="N5606">
        <v>-1.404033E-2</v>
      </c>
      <c r="O5606">
        <v>-0.99853119999999995</v>
      </c>
      <c r="P5606">
        <v>-3.897337E-2</v>
      </c>
      <c r="Q5606">
        <v>0.18168709999999999</v>
      </c>
      <c r="R5606">
        <v>-0.98258389999999995</v>
      </c>
      <c r="S5606">
        <v>0.72650150000000002</v>
      </c>
      <c r="T5606">
        <v>5.2509779999999999E-2</v>
      </c>
      <c r="U5606">
        <v>-3.0737920000000001</v>
      </c>
      <c r="V5606">
        <v>-1.377343E-2</v>
      </c>
      <c r="W5606">
        <v>0.1953896</v>
      </c>
      <c r="X5606">
        <v>0.98062899999999997</v>
      </c>
      <c r="Y5606">
        <v>-0.28053109999999998</v>
      </c>
      <c r="Z5606">
        <v>-3.0598090000000001E-2</v>
      </c>
      <c r="AA5606">
        <v>0.95935709999999996</v>
      </c>
      <c r="AB5606">
        <v>36</v>
      </c>
      <c r="AC5606">
        <v>18.375800000000002</v>
      </c>
      <c r="AD5606">
        <v>1.327029</v>
      </c>
      <c r="AE5606">
        <v>-77.3308154999999</v>
      </c>
      <c r="AF5606">
        <v>-22.391584550400601</v>
      </c>
      <c r="AG5606">
        <v>1.327029</v>
      </c>
      <c r="AH5606">
        <v>76.241861552349704</v>
      </c>
      <c r="AI5606">
        <v>89.043239241127495</v>
      </c>
      <c r="AJ5606">
        <v>106.367063822929</v>
      </c>
      <c r="AK5606">
        <v>79.473049001609596</v>
      </c>
      <c r="AL5606">
        <v>78.732516388454201</v>
      </c>
      <c r="AM5606">
        <v>90.804695272555605</v>
      </c>
      <c r="AN5606">
        <v>1.0000000194015599</v>
      </c>
    </row>
    <row r="5607" spans="1:40" x14ac:dyDescent="0.25">
      <c r="A5607" t="str">
        <f>"20190303170405652"</f>
        <v>20190303170405652</v>
      </c>
      <c r="B5607" t="str">
        <f>"1551603845641434"</f>
        <v>1551603845641434</v>
      </c>
      <c r="C5607" t="s">
        <v>40</v>
      </c>
      <c r="D5607">
        <v>4.6865059999999996</v>
      </c>
      <c r="E5607">
        <v>0.39728000000000002</v>
      </c>
      <c r="F5607" t="s">
        <v>95</v>
      </c>
      <c r="G5607">
        <v>-404.63869999999997</v>
      </c>
      <c r="H5607">
        <v>2.3968060000000002</v>
      </c>
      <c r="I5607">
        <v>0.6336174</v>
      </c>
      <c r="J5607">
        <v>-423.10169999999999</v>
      </c>
      <c r="K5607">
        <v>1.1242110000000001</v>
      </c>
      <c r="L5607">
        <v>77.607669999999999</v>
      </c>
      <c r="M5607">
        <v>-4.9743620000000002E-2</v>
      </c>
      <c r="N5607">
        <v>-1.403574E-2</v>
      </c>
      <c r="O5607">
        <v>-0.99866370000000004</v>
      </c>
      <c r="P5607">
        <v>-3.5937629999999998E-2</v>
      </c>
      <c r="Q5607">
        <v>0.18187909999999999</v>
      </c>
      <c r="R5607">
        <v>-0.98266439999999999</v>
      </c>
      <c r="S5607">
        <v>0.73303219999999902</v>
      </c>
      <c r="T5607">
        <v>5.0567029999999999E-2</v>
      </c>
      <c r="U5607">
        <v>-3.0729060000000001</v>
      </c>
      <c r="V5607">
        <v>-1.424097E-2</v>
      </c>
      <c r="W5607">
        <v>0.19557469999999999</v>
      </c>
      <c r="X5607">
        <v>0.98058540000000005</v>
      </c>
      <c r="Y5607">
        <v>-0.28003899999999998</v>
      </c>
      <c r="Z5607">
        <v>-2.998576E-2</v>
      </c>
      <c r="AA5607">
        <v>0.95952020000000005</v>
      </c>
      <c r="AB5607">
        <v>36</v>
      </c>
      <c r="AC5607">
        <v>18.463000000000001</v>
      </c>
      <c r="AD5607">
        <v>1.2725949999999999</v>
      </c>
      <c r="AE5607">
        <v>-76.974052599999993</v>
      </c>
      <c r="AF5607">
        <v>-22.2637283934613</v>
      </c>
      <c r="AG5607">
        <v>1.2725949999999999</v>
      </c>
      <c r="AH5607">
        <v>75.940607055306899</v>
      </c>
      <c r="AI5607">
        <v>89.078709986110297</v>
      </c>
      <c r="AJ5607">
        <v>106.33970757247801</v>
      </c>
      <c r="AK5607">
        <v>79.147134502396099</v>
      </c>
      <c r="AL5607">
        <v>78.721702057477003</v>
      </c>
      <c r="AM5607">
        <v>90.832043919003695</v>
      </c>
      <c r="AN5607">
        <v>0.999999997599895</v>
      </c>
    </row>
    <row r="5608" spans="1:40" x14ac:dyDescent="0.25">
      <c r="A5608" t="str">
        <f>"20190303170405676"</f>
        <v>20190303170405676</v>
      </c>
      <c r="B5608" t="str">
        <f>"1551603845671690"</f>
        <v>1551603845671690</v>
      </c>
      <c r="C5608" t="s">
        <v>40</v>
      </c>
      <c r="D5608">
        <v>4.6700549999999996</v>
      </c>
      <c r="E5608">
        <v>0.39692349999999998</v>
      </c>
      <c r="F5608" t="s">
        <v>95</v>
      </c>
      <c r="G5608">
        <v>-404.41789999999997</v>
      </c>
      <c r="H5608">
        <v>2.4126180000000002</v>
      </c>
      <c r="I5608">
        <v>0.63586809999999905</v>
      </c>
      <c r="J5608">
        <v>-423.11770000000001</v>
      </c>
      <c r="K5608">
        <v>1.1241719999999999</v>
      </c>
      <c r="L5608">
        <v>77.231899999999996</v>
      </c>
      <c r="M5608">
        <v>-4.7027489999999998E-2</v>
      </c>
      <c r="N5608">
        <v>-1.403131E-2</v>
      </c>
      <c r="O5608">
        <v>-0.99879519999999999</v>
      </c>
      <c r="P5608">
        <v>-3.2687019999999997E-2</v>
      </c>
      <c r="Q5608">
        <v>0.1816825</v>
      </c>
      <c r="R5608">
        <v>-0.98281390000000002</v>
      </c>
      <c r="S5608">
        <v>0.7453613</v>
      </c>
      <c r="T5608">
        <v>5.1398039999999999E-2</v>
      </c>
      <c r="U5608">
        <v>-3.0706790000000002</v>
      </c>
      <c r="V5608">
        <v>-1.480126E-2</v>
      </c>
      <c r="W5608">
        <v>0.19537180000000001</v>
      </c>
      <c r="X5608">
        <v>0.98061759999999998</v>
      </c>
      <c r="Y5608">
        <v>-0.28122540000000001</v>
      </c>
      <c r="Z5608">
        <v>-3.024309E-2</v>
      </c>
      <c r="AA5608">
        <v>0.95916500000000005</v>
      </c>
      <c r="AB5608">
        <v>36</v>
      </c>
      <c r="AC5608">
        <v>18.6998</v>
      </c>
      <c r="AD5608">
        <v>1.288446</v>
      </c>
      <c r="AE5608">
        <v>-76.5960319</v>
      </c>
      <c r="AF5608">
        <v>-22.2756310917847</v>
      </c>
      <c r="AG5608">
        <v>1.288446</v>
      </c>
      <c r="AH5608">
        <v>75.6115865830198</v>
      </c>
      <c r="AI5608">
        <v>89.0635416486666</v>
      </c>
      <c r="AJ5608">
        <v>106.41529253833799</v>
      </c>
      <c r="AK5608">
        <v>78.835118184941507</v>
      </c>
      <c r="AL5608">
        <v>78.733556615431795</v>
      </c>
      <c r="AM5608">
        <v>90.864746193080506</v>
      </c>
      <c r="AN5608">
        <v>1.00000004748129</v>
      </c>
    </row>
    <row r="5609" spans="1:40" x14ac:dyDescent="0.25">
      <c r="A5609" t="str">
        <f>"20190303170405698"</f>
        <v>20190303170405698</v>
      </c>
      <c r="B5609" t="str">
        <f>"1551603845691209"</f>
        <v>1551603845691209</v>
      </c>
      <c r="C5609" t="s">
        <v>40</v>
      </c>
      <c r="D5609">
        <v>4.6955479999999996</v>
      </c>
      <c r="E5609">
        <v>0.39673219999999998</v>
      </c>
      <c r="F5609" t="s">
        <v>95</v>
      </c>
      <c r="G5609">
        <v>-404.19830000000002</v>
      </c>
      <c r="H5609">
        <v>2.3984290000000001</v>
      </c>
      <c r="I5609">
        <v>0.63809969999999905</v>
      </c>
      <c r="J5609">
        <v>-423.1318</v>
      </c>
      <c r="K5609">
        <v>1.124139</v>
      </c>
      <c r="L5609">
        <v>76.877110000000002</v>
      </c>
      <c r="M5609">
        <v>-4.4475420000000002E-2</v>
      </c>
      <c r="N5609">
        <v>-1.402728E-2</v>
      </c>
      <c r="O5609">
        <v>-0.99891200000000002</v>
      </c>
      <c r="P5609">
        <v>-3.0083080000000002E-2</v>
      </c>
      <c r="Q5609">
        <v>0.18175559999999999</v>
      </c>
      <c r="R5609">
        <v>-0.98288379999999997</v>
      </c>
      <c r="S5609">
        <v>0.75787349999999998</v>
      </c>
      <c r="T5609">
        <v>5.1043270000000002E-2</v>
      </c>
      <c r="U5609">
        <v>-3.0682070000000001</v>
      </c>
      <c r="V5609">
        <v>-1.488008E-2</v>
      </c>
      <c r="W5609">
        <v>0.19544149999999999</v>
      </c>
      <c r="X5609">
        <v>0.98060250000000004</v>
      </c>
      <c r="Y5609">
        <v>-0.28264119999999998</v>
      </c>
      <c r="Z5609">
        <v>-3.0129050000000001E-2</v>
      </c>
      <c r="AA5609">
        <v>0.95875250000000001</v>
      </c>
      <c r="AB5609">
        <v>36</v>
      </c>
      <c r="AC5609">
        <v>18.933499999999899</v>
      </c>
      <c r="AD5609">
        <v>1.2742899999999999</v>
      </c>
      <c r="AE5609">
        <v>-76.239010300000004</v>
      </c>
      <c r="AF5609">
        <v>-22.299988769590598</v>
      </c>
      <c r="AG5609">
        <v>1.2742899999999999</v>
      </c>
      <c r="AH5609">
        <v>75.301582095429893</v>
      </c>
      <c r="AI5609">
        <v>89.070404371808195</v>
      </c>
      <c r="AJ5609">
        <v>106.49625333720201</v>
      </c>
      <c r="AK5609">
        <v>78.544519733732798</v>
      </c>
      <c r="AL5609">
        <v>78.729484399478096</v>
      </c>
      <c r="AM5609">
        <v>90.869363838742601</v>
      </c>
      <c r="AN5609">
        <v>1.0000000298546501</v>
      </c>
    </row>
    <row r="5610" spans="1:40" x14ac:dyDescent="0.25">
      <c r="A5610" t="str">
        <f>"20190303170405719"</f>
        <v>20190303170405719</v>
      </c>
      <c r="B5610" t="str">
        <f>"1551603845711706"</f>
        <v>1551603845711706</v>
      </c>
      <c r="C5610" t="s">
        <v>40</v>
      </c>
      <c r="D5610">
        <v>4.6729399999999996</v>
      </c>
      <c r="E5610">
        <v>0.39656829999999998</v>
      </c>
      <c r="F5610" t="s">
        <v>95</v>
      </c>
      <c r="G5610">
        <v>-404.0421</v>
      </c>
      <c r="H5610">
        <v>2.4271929999999999</v>
      </c>
      <c r="I5610">
        <v>0.63968659999999999</v>
      </c>
      <c r="J5610">
        <v>-423.14460000000003</v>
      </c>
      <c r="K5610">
        <v>1.124107</v>
      </c>
      <c r="L5610">
        <v>76.53604</v>
      </c>
      <c r="M5610">
        <v>-4.2028660000000002E-2</v>
      </c>
      <c r="N5610">
        <v>-1.402339E-2</v>
      </c>
      <c r="O5610">
        <v>-0.99901830000000003</v>
      </c>
      <c r="P5610">
        <v>-2.807053E-2</v>
      </c>
      <c r="Q5610">
        <v>0.18114910000000001</v>
      </c>
      <c r="R5610">
        <v>-0.98305549999999997</v>
      </c>
      <c r="S5610">
        <v>0.76773069999999999</v>
      </c>
      <c r="T5610">
        <v>5.2403930000000001E-2</v>
      </c>
      <c r="U5610">
        <v>-3.0660400000000001</v>
      </c>
      <c r="V5610">
        <v>-1.447272E-2</v>
      </c>
      <c r="W5610">
        <v>0.1948358</v>
      </c>
      <c r="X5610">
        <v>0.98072910000000002</v>
      </c>
      <c r="Y5610">
        <v>-0.28334989999999999</v>
      </c>
      <c r="Z5610">
        <v>-3.0554830000000002E-2</v>
      </c>
      <c r="AA5610">
        <v>0.95852979999999999</v>
      </c>
      <c r="AB5610">
        <v>36</v>
      </c>
      <c r="AC5610">
        <v>19.102499999999999</v>
      </c>
      <c r="AD5610">
        <v>1.303086</v>
      </c>
      <c r="AE5610">
        <v>-75.896353399999995</v>
      </c>
      <c r="AF5610">
        <v>-22.269578920865101</v>
      </c>
      <c r="AG5610">
        <v>1.303086</v>
      </c>
      <c r="AH5610">
        <v>75.005554232908295</v>
      </c>
      <c r="AI5610">
        <v>89.045848905583796</v>
      </c>
      <c r="AJ5610">
        <v>106.536455994432</v>
      </c>
      <c r="AK5610">
        <v>78.2525740421476</v>
      </c>
      <c r="AL5610">
        <v>78.764868444370904</v>
      </c>
      <c r="AM5610">
        <v>90.845458330812207</v>
      </c>
      <c r="AN5610">
        <v>1.0000000080863201</v>
      </c>
    </row>
    <row r="5611" spans="1:40" x14ac:dyDescent="0.25">
      <c r="A5611" t="str">
        <f>"20190303170405733"</f>
        <v>20190303170405733</v>
      </c>
      <c r="B5611" t="str">
        <f>"1551603845721465"</f>
        <v>1551603845721465</v>
      </c>
      <c r="C5611" t="s">
        <v>40</v>
      </c>
      <c r="D5611">
        <v>4.667465</v>
      </c>
      <c r="E5611">
        <v>0.39653189999999999</v>
      </c>
      <c r="F5611" t="s">
        <v>95</v>
      </c>
      <c r="G5611">
        <v>-403.93380000000002</v>
      </c>
      <c r="H5611">
        <v>2.3978030000000001</v>
      </c>
      <c r="I5611">
        <v>0.64078519999999894</v>
      </c>
      <c r="J5611">
        <v>-423.15280000000001</v>
      </c>
      <c r="K5611">
        <v>1.1240810000000001</v>
      </c>
      <c r="L5611">
        <v>76.303650000000005</v>
      </c>
      <c r="M5611">
        <v>-4.0366510000000001E-2</v>
      </c>
      <c r="N5611">
        <v>-1.402074E-2</v>
      </c>
      <c r="O5611">
        <v>-0.99908660000000005</v>
      </c>
      <c r="P5611">
        <v>-2.597385E-2</v>
      </c>
      <c r="Q5611">
        <v>0.1806847</v>
      </c>
      <c r="R5611">
        <v>-0.98319829999999997</v>
      </c>
      <c r="S5611">
        <v>0.7756653</v>
      </c>
      <c r="T5611">
        <v>5.1426409999999999E-2</v>
      </c>
      <c r="U5611">
        <v>-3.0643919999999998</v>
      </c>
      <c r="V5611">
        <v>-1.4925880000000001E-2</v>
      </c>
      <c r="W5611">
        <v>0.1943686</v>
      </c>
      <c r="X5611">
        <v>0.98081499999999999</v>
      </c>
      <c r="Y5611">
        <v>-0.2842114</v>
      </c>
      <c r="Z5611">
        <v>-3.0246120000000001E-2</v>
      </c>
      <c r="AA5611">
        <v>0.95828440000000004</v>
      </c>
      <c r="AB5611">
        <v>36</v>
      </c>
      <c r="AC5611">
        <v>19.218999999999902</v>
      </c>
      <c r="AD5611">
        <v>1.27372199999999</v>
      </c>
      <c r="AE5611">
        <v>-75.662864799999994</v>
      </c>
      <c r="AF5611">
        <v>-22.251954448506499</v>
      </c>
      <c r="AG5611">
        <v>1.27372199999999</v>
      </c>
      <c r="AH5611">
        <v>74.805388534022995</v>
      </c>
      <c r="AI5611">
        <v>89.064993598788703</v>
      </c>
      <c r="AJ5611">
        <v>106.565877900004</v>
      </c>
      <c r="AK5611">
        <v>78.055224029130997</v>
      </c>
      <c r="AL5611">
        <v>78.792158663451602</v>
      </c>
      <c r="AM5611">
        <v>90.871850372417697</v>
      </c>
      <c r="AN5611">
        <v>0.99999999939236695</v>
      </c>
    </row>
    <row r="5612" spans="1:40" x14ac:dyDescent="0.25">
      <c r="A5612" t="str">
        <f>"20190303170405752"</f>
        <v>20190303170405752</v>
      </c>
      <c r="B5612" t="str">
        <f>"1551603845740986"</f>
        <v>1551603845740986</v>
      </c>
      <c r="C5612" t="s">
        <v>40</v>
      </c>
      <c r="D5612">
        <v>4.6718659999999996</v>
      </c>
      <c r="E5612">
        <v>0.39646550000000003</v>
      </c>
      <c r="F5612" t="s">
        <v>95</v>
      </c>
      <c r="G5612">
        <v>-403.8261</v>
      </c>
      <c r="H5612">
        <v>2.353942</v>
      </c>
      <c r="I5612">
        <v>0.64188190000000001</v>
      </c>
      <c r="J5612">
        <v>-423.1628</v>
      </c>
      <c r="K5612">
        <v>1.124055</v>
      </c>
      <c r="L5612">
        <v>76.005189999999999</v>
      </c>
      <c r="M5612">
        <v>-3.8244149999999998E-2</v>
      </c>
      <c r="N5612">
        <v>-1.401735E-2</v>
      </c>
      <c r="O5612">
        <v>-0.99917029999999996</v>
      </c>
      <c r="P5612">
        <v>-2.411348E-2</v>
      </c>
      <c r="Q5612">
        <v>0.18005470000000001</v>
      </c>
      <c r="R5612">
        <v>-0.98336140000000005</v>
      </c>
      <c r="S5612">
        <v>0.78234859999999995</v>
      </c>
      <c r="T5612">
        <v>4.978395E-2</v>
      </c>
      <c r="U5612">
        <v>-3.062805</v>
      </c>
      <c r="V5612">
        <v>-1.468641E-2</v>
      </c>
      <c r="W5612">
        <v>0.19373889999999999</v>
      </c>
      <c r="X5612">
        <v>0.98094320000000002</v>
      </c>
      <c r="Y5612">
        <v>-0.28425980000000001</v>
      </c>
      <c r="Z5612">
        <v>-2.9729439999999999E-2</v>
      </c>
      <c r="AA5612">
        <v>0.95828619999999998</v>
      </c>
      <c r="AB5612">
        <v>36</v>
      </c>
      <c r="AC5612">
        <v>19.3367</v>
      </c>
      <c r="AD5612">
        <v>1.229887</v>
      </c>
      <c r="AE5612">
        <v>-75.363308099999898</v>
      </c>
      <c r="AF5612">
        <v>-22.199492193846702</v>
      </c>
      <c r="AG5612">
        <v>1.229887</v>
      </c>
      <c r="AH5612">
        <v>74.549947085514205</v>
      </c>
      <c r="AI5612">
        <v>89.094151455882098</v>
      </c>
      <c r="AJ5612">
        <v>106.582485213231</v>
      </c>
      <c r="AK5612">
        <v>77.794760017306999</v>
      </c>
      <c r="AL5612">
        <v>78.828937022536607</v>
      </c>
      <c r="AM5612">
        <v>90.857752462295295</v>
      </c>
      <c r="AN5612">
        <v>1.00000000681906</v>
      </c>
    </row>
    <row r="5613" spans="1:40" x14ac:dyDescent="0.25">
      <c r="A5613" t="str">
        <f>"20190303170405768"</f>
        <v>20190303170405768</v>
      </c>
      <c r="B5613" t="str">
        <f>"1551603845761482"</f>
        <v>1551603845761482</v>
      </c>
      <c r="C5613" t="s">
        <v>40</v>
      </c>
      <c r="D5613">
        <v>4.6655899999999999</v>
      </c>
      <c r="E5613">
        <v>0.39643129999999999</v>
      </c>
      <c r="F5613" t="s">
        <v>95</v>
      </c>
      <c r="G5613">
        <v>-403.75170000000003</v>
      </c>
      <c r="H5613">
        <v>2.2977159999999999</v>
      </c>
      <c r="I5613">
        <v>0.64263919999999997</v>
      </c>
      <c r="J5613">
        <v>-423.17070000000001</v>
      </c>
      <c r="K5613">
        <v>1.1240289999999999</v>
      </c>
      <c r="L5613">
        <v>75.75479</v>
      </c>
      <c r="M5613">
        <v>-3.6476460000000002E-2</v>
      </c>
      <c r="N5613">
        <v>-1.4014489999999999E-2</v>
      </c>
      <c r="O5613">
        <v>-0.99923640000000002</v>
      </c>
      <c r="P5613">
        <v>-2.1788129999999999E-2</v>
      </c>
      <c r="Q5613">
        <v>0.17918519999999999</v>
      </c>
      <c r="R5613">
        <v>-0.98357419999999995</v>
      </c>
      <c r="S5613">
        <v>0.78851319999999903</v>
      </c>
      <c r="T5613">
        <v>4.7675370000000002E-2</v>
      </c>
      <c r="U5613">
        <v>-3.0613709999999998</v>
      </c>
      <c r="V5613">
        <v>-1.5262080000000001E-2</v>
      </c>
      <c r="W5613">
        <v>0.19286600000000001</v>
      </c>
      <c r="X5613">
        <v>0.98110640000000005</v>
      </c>
      <c r="Y5613">
        <v>-0.2844855</v>
      </c>
      <c r="Z5613">
        <v>-2.9065690000000002E-2</v>
      </c>
      <c r="AA5613">
        <v>0.95823959999999997</v>
      </c>
      <c r="AB5613">
        <v>36</v>
      </c>
      <c r="AC5613">
        <v>19.418999999999901</v>
      </c>
      <c r="AD5613">
        <v>1.1736869999999899</v>
      </c>
      <c r="AE5613">
        <v>-75.112150799999995</v>
      </c>
      <c r="AF5613">
        <v>-22.141100995741301</v>
      </c>
      <c r="AG5613">
        <v>1.1736869999999899</v>
      </c>
      <c r="AH5613">
        <v>74.336735660689101</v>
      </c>
      <c r="AI5613">
        <v>89.133075210410396</v>
      </c>
      <c r="AJ5613">
        <v>106.586095088688</v>
      </c>
      <c r="AK5613">
        <v>77.572908693465607</v>
      </c>
      <c r="AL5613">
        <v>78.879911821470003</v>
      </c>
      <c r="AM5613">
        <v>90.891220610639394</v>
      </c>
      <c r="AN5613">
        <v>0.99999999658144301</v>
      </c>
    </row>
    <row r="5614" spans="1:40" x14ac:dyDescent="0.25">
      <c r="A5614" t="str">
        <f>"20190303170405781"</f>
        <v>20190303170405781</v>
      </c>
      <c r="B5614" t="str">
        <f>"1551603845771242"</f>
        <v>1551603845771242</v>
      </c>
      <c r="C5614" t="s">
        <v>40</v>
      </c>
      <c r="D5614">
        <v>4.6794099999999998</v>
      </c>
      <c r="E5614">
        <v>0.39639350000000001</v>
      </c>
      <c r="F5614" t="s">
        <v>95</v>
      </c>
      <c r="G5614">
        <v>-403.6241</v>
      </c>
      <c r="H5614">
        <v>2.2442280000000001</v>
      </c>
      <c r="I5614">
        <v>0.64393619999999996</v>
      </c>
      <c r="J5614">
        <v>-423.17720000000003</v>
      </c>
      <c r="K5614">
        <v>1.1240079999999999</v>
      </c>
      <c r="L5614">
        <v>75.536769999999905</v>
      </c>
      <c r="M5614">
        <v>-3.4946739999999997E-2</v>
      </c>
      <c r="N5614">
        <v>-1.401197E-2</v>
      </c>
      <c r="O5614">
        <v>-0.99929109999999999</v>
      </c>
      <c r="P5614">
        <v>-2.0140180000000001E-2</v>
      </c>
      <c r="Q5614">
        <v>0.17887529999999999</v>
      </c>
      <c r="R5614">
        <v>-0.98366560000000003</v>
      </c>
      <c r="S5614">
        <v>0.79617309999999997</v>
      </c>
      <c r="T5614">
        <v>4.5626880000000002E-2</v>
      </c>
      <c r="U5614">
        <v>-3.059418</v>
      </c>
      <c r="V5614">
        <v>-1.5394969999999999E-2</v>
      </c>
      <c r="W5614">
        <v>0.19255430000000001</v>
      </c>
      <c r="X5614">
        <v>0.98116550000000002</v>
      </c>
      <c r="Y5614">
        <v>-0.28541729999999998</v>
      </c>
      <c r="Z5614">
        <v>-2.842095E-2</v>
      </c>
      <c r="AA5614">
        <v>0.95798179999999999</v>
      </c>
      <c r="AB5614">
        <v>36</v>
      </c>
      <c r="AC5614">
        <v>19.553100000000001</v>
      </c>
      <c r="AD5614">
        <v>1.12021999999999</v>
      </c>
      <c r="AE5614">
        <v>-74.892833799999906</v>
      </c>
      <c r="AF5614">
        <v>-22.154030858937102</v>
      </c>
      <c r="AG5614">
        <v>1.12021999999999</v>
      </c>
      <c r="AH5614">
        <v>74.148163790584405</v>
      </c>
      <c r="AI5614">
        <v>89.1706697917177</v>
      </c>
      <c r="AJ5614">
        <v>106.63512363529701</v>
      </c>
      <c r="AK5614">
        <v>77.395130141776207</v>
      </c>
      <c r="AL5614">
        <v>78.898111553680096</v>
      </c>
      <c r="AM5614">
        <v>90.898925239035293</v>
      </c>
      <c r="AN5614">
        <v>0.99999995097001904</v>
      </c>
    </row>
    <row r="5615" spans="1:40" x14ac:dyDescent="0.25">
      <c r="A5615" t="str">
        <f>"20190303170405796"</f>
        <v>20190303170405796</v>
      </c>
      <c r="B5615" t="str">
        <f>"1551603845791737"</f>
        <v>1551603845791737</v>
      </c>
      <c r="C5615" t="s">
        <v>40</v>
      </c>
      <c r="D5615">
        <v>4.6645640000000004</v>
      </c>
      <c r="E5615">
        <v>0.39633839999999998</v>
      </c>
      <c r="F5615" t="s">
        <v>95</v>
      </c>
      <c r="G5615">
        <v>-403.54599999999999</v>
      </c>
      <c r="H5615">
        <v>2.2214689999999999</v>
      </c>
      <c r="I5615">
        <v>0.64473150000000001</v>
      </c>
      <c r="J5615">
        <v>-423.18360000000001</v>
      </c>
      <c r="K5615">
        <v>1.123988</v>
      </c>
      <c r="L5615">
        <v>75.317139999999995</v>
      </c>
      <c r="M5615">
        <v>-3.3414270000000003E-2</v>
      </c>
      <c r="N5615">
        <v>-1.400942E-2</v>
      </c>
      <c r="O5615">
        <v>-0.99934350000000005</v>
      </c>
      <c r="P5615">
        <v>-1.830791E-2</v>
      </c>
      <c r="Q5615">
        <v>0.1787387</v>
      </c>
      <c r="R5615">
        <v>-0.98372660000000001</v>
      </c>
      <c r="S5615">
        <v>0.80160520000000002</v>
      </c>
      <c r="T5615">
        <v>4.4811730000000001E-2</v>
      </c>
      <c r="U5615">
        <v>-3.0580750000000001</v>
      </c>
      <c r="V5615">
        <v>-1.5708860000000002E-2</v>
      </c>
      <c r="W5615">
        <v>0.19241440000000001</v>
      </c>
      <c r="X5615">
        <v>0.98118799999999995</v>
      </c>
      <c r="Y5615">
        <v>-0.28564440000000002</v>
      </c>
      <c r="Z5615">
        <v>-2.8163339999999999E-2</v>
      </c>
      <c r="AA5615">
        <v>0.95792169999999999</v>
      </c>
      <c r="AB5615">
        <v>36</v>
      </c>
      <c r="AC5615">
        <v>19.637599999999999</v>
      </c>
      <c r="AD5615">
        <v>1.0974809999999999</v>
      </c>
      <c r="AE5615">
        <v>-74.672408500000003</v>
      </c>
      <c r="AF5615">
        <v>-22.117532052045</v>
      </c>
      <c r="AG5615">
        <v>1.0974809999999999</v>
      </c>
      <c r="AH5615">
        <v>73.959519344229705</v>
      </c>
      <c r="AI5615">
        <v>89.185489737280903</v>
      </c>
      <c r="AJ5615">
        <v>106.649250262</v>
      </c>
      <c r="AK5615">
        <v>77.203628089929097</v>
      </c>
      <c r="AL5615">
        <v>78.906280314417003</v>
      </c>
      <c r="AM5615">
        <v>90.917229409627794</v>
      </c>
      <c r="AN5615">
        <v>0.99999998047692895</v>
      </c>
    </row>
    <row r="5616" spans="1:40" x14ac:dyDescent="0.25">
      <c r="A5616" t="str">
        <f>"20190303170405808"</f>
        <v>20190303170405808</v>
      </c>
      <c r="B5616" t="str">
        <f>"1551603845801498"</f>
        <v>1551603845801498</v>
      </c>
      <c r="C5616" t="s">
        <v>40</v>
      </c>
      <c r="D5616">
        <v>4.6595409999999999</v>
      </c>
      <c r="E5616">
        <v>0.39630029999999999</v>
      </c>
      <c r="F5616" t="s">
        <v>95</v>
      </c>
      <c r="G5616">
        <v>-403.45350000000002</v>
      </c>
      <c r="H5616">
        <v>2.1991480000000001</v>
      </c>
      <c r="I5616">
        <v>0.64567180000000002</v>
      </c>
      <c r="J5616">
        <v>-423.18900000000002</v>
      </c>
      <c r="K5616">
        <v>1.123969</v>
      </c>
      <c r="L5616">
        <v>75.113650000000007</v>
      </c>
      <c r="M5616">
        <v>-3.2008229999999999E-2</v>
      </c>
      <c r="N5616">
        <v>-1.400708E-2</v>
      </c>
      <c r="O5616">
        <v>-0.99938959999999999</v>
      </c>
      <c r="P5616">
        <v>-1.598693E-2</v>
      </c>
      <c r="Q5616">
        <v>0.17804110000000001</v>
      </c>
      <c r="R5616">
        <v>-0.98389349999999998</v>
      </c>
      <c r="S5616">
        <v>0.80764769999999997</v>
      </c>
      <c r="T5616">
        <v>4.4010639999999997E-2</v>
      </c>
      <c r="U5616">
        <v>-3.0566710000000001</v>
      </c>
      <c r="V5616">
        <v>-1.6636160000000001E-2</v>
      </c>
      <c r="W5616">
        <v>0.19171150000000001</v>
      </c>
      <c r="X5616">
        <v>0.98131029999999997</v>
      </c>
      <c r="Y5616">
        <v>-0.28617629999999999</v>
      </c>
      <c r="Z5616">
        <v>-2.7909610000000001E-2</v>
      </c>
      <c r="AA5616">
        <v>0.95777040000000002</v>
      </c>
      <c r="AB5616">
        <v>36</v>
      </c>
      <c r="AC5616">
        <v>19.735499999999998</v>
      </c>
      <c r="AD5616">
        <v>1.0751790000000001</v>
      </c>
      <c r="AE5616">
        <v>-74.467978200000005</v>
      </c>
      <c r="AF5616">
        <v>-22.104901754848601</v>
      </c>
      <c r="AG5616">
        <v>1.0751790000000001</v>
      </c>
      <c r="AH5616">
        <v>73.783681877603797</v>
      </c>
      <c r="AI5616">
        <v>89.200256850083605</v>
      </c>
      <c r="AJ5616">
        <v>106.677724740222</v>
      </c>
      <c r="AK5616">
        <v>77.031256012666702</v>
      </c>
      <c r="AL5616">
        <v>78.947317553348697</v>
      </c>
      <c r="AM5616">
        <v>90.971242689317805</v>
      </c>
      <c r="AN5616">
        <v>0.99999998296894199</v>
      </c>
    </row>
    <row r="5617" spans="1:40" x14ac:dyDescent="0.25">
      <c r="A5617" t="str">
        <f>"20190303170405826"</f>
        <v>20190303170405826</v>
      </c>
      <c r="B5617" t="str">
        <f>"1551603845821018"</f>
        <v>1551603845821018</v>
      </c>
      <c r="C5617" t="s">
        <v>40</v>
      </c>
      <c r="D5617">
        <v>4.6625370000000004</v>
      </c>
      <c r="E5617">
        <v>0.39631719999999998</v>
      </c>
      <c r="F5617" t="s">
        <v>95</v>
      </c>
      <c r="G5617">
        <v>-403.32600000000002</v>
      </c>
      <c r="H5617">
        <v>2.1452490000000002</v>
      </c>
      <c r="I5617">
        <v>0.64696690000000001</v>
      </c>
      <c r="J5617">
        <v>-423.19619999999998</v>
      </c>
      <c r="K5617">
        <v>1.1239410000000001</v>
      </c>
      <c r="L5617">
        <v>74.834959999999995</v>
      </c>
      <c r="M5617">
        <v>-3.0097519999999999E-2</v>
      </c>
      <c r="N5617">
        <v>-1.4003939999999999E-2</v>
      </c>
      <c r="O5617">
        <v>-0.99944900000000003</v>
      </c>
      <c r="P5617">
        <v>-1.40465E-2</v>
      </c>
      <c r="Q5617">
        <v>0.17768989999999901</v>
      </c>
      <c r="R5617">
        <v>-0.98398660000000004</v>
      </c>
      <c r="S5617">
        <v>0.81481930000000002</v>
      </c>
      <c r="T5617">
        <v>4.189408E-2</v>
      </c>
      <c r="U5617">
        <v>-3.0547789999999999</v>
      </c>
      <c r="V5617">
        <v>-1.6683659999999999E-2</v>
      </c>
      <c r="W5617">
        <v>0.19135869999999999</v>
      </c>
      <c r="X5617">
        <v>0.98137839999999998</v>
      </c>
      <c r="Y5617">
        <v>-0.28659479999999998</v>
      </c>
      <c r="Z5617">
        <v>-2.7242200000000001E-2</v>
      </c>
      <c r="AA5617">
        <v>0.95766450000000003</v>
      </c>
      <c r="AB5617">
        <v>36</v>
      </c>
      <c r="AC5617">
        <v>19.870200000000001</v>
      </c>
      <c r="AD5617">
        <v>1.0213079999999899</v>
      </c>
      <c r="AE5617">
        <v>-74.1879931</v>
      </c>
      <c r="AF5617">
        <v>-22.090383392494701</v>
      </c>
      <c r="AG5617">
        <v>1.0213079999999899</v>
      </c>
      <c r="AH5617">
        <v>73.543269868611404</v>
      </c>
      <c r="AI5617">
        <v>89.238003432153107</v>
      </c>
      <c r="AJ5617">
        <v>106.71882806956999</v>
      </c>
      <c r="AK5617">
        <v>76.796097891922102</v>
      </c>
      <c r="AL5617">
        <v>78.967913338786303</v>
      </c>
      <c r="AM5617">
        <v>90.973947697378094</v>
      </c>
      <c r="AN5617">
        <v>1.0000000302816201</v>
      </c>
    </row>
    <row r="5618" spans="1:40" x14ac:dyDescent="0.25">
      <c r="A5618" t="str">
        <f>"20190303170405841"</f>
        <v>20190303170405841</v>
      </c>
      <c r="B5618" t="str">
        <f>"1551603845831754"</f>
        <v>1551603845831754</v>
      </c>
      <c r="C5618" t="s">
        <v>40</v>
      </c>
      <c r="D5618">
        <v>4.6660380000000004</v>
      </c>
      <c r="E5618">
        <v>0.39636169999999998</v>
      </c>
      <c r="F5618" t="s">
        <v>95</v>
      </c>
      <c r="G5618">
        <v>-403.24709999999999</v>
      </c>
      <c r="H5618">
        <v>2.1260810000000001</v>
      </c>
      <c r="I5618">
        <v>0.64777180000000001</v>
      </c>
      <c r="J5618">
        <v>-423.20190000000002</v>
      </c>
      <c r="K5618">
        <v>1.1239170000000001</v>
      </c>
      <c r="L5618">
        <v>74.596440000000001</v>
      </c>
      <c r="M5618">
        <v>-2.8478400000000001E-2</v>
      </c>
      <c r="N5618">
        <v>-1.400129E-2</v>
      </c>
      <c r="O5618">
        <v>-0.9994963</v>
      </c>
      <c r="P5618">
        <v>-1.2423200000000001E-2</v>
      </c>
      <c r="Q5618">
        <v>0.1769802</v>
      </c>
      <c r="R5618">
        <v>-0.98413600000000001</v>
      </c>
      <c r="S5618">
        <v>0.82098389999999999</v>
      </c>
      <c r="T5618">
        <v>4.1241050000000001E-2</v>
      </c>
      <c r="U5618">
        <v>-3.0531009999999998</v>
      </c>
      <c r="V5618">
        <v>-1.670145E-2</v>
      </c>
      <c r="W5618">
        <v>0.19064909999999999</v>
      </c>
      <c r="X5618">
        <v>0.98151619999999995</v>
      </c>
      <c r="Y5618">
        <v>-0.28697909999999999</v>
      </c>
      <c r="Z5618">
        <v>-2.7035279999999998E-2</v>
      </c>
      <c r="AA5618">
        <v>0.95755520000000005</v>
      </c>
      <c r="AB5618">
        <v>36</v>
      </c>
      <c r="AC5618">
        <v>19.954799999999999</v>
      </c>
      <c r="AD5618">
        <v>1.0021639999999901</v>
      </c>
      <c r="AE5618">
        <v>-73.9486682</v>
      </c>
      <c r="AF5618">
        <v>-22.049076513454601</v>
      </c>
      <c r="AG5618">
        <v>1.0021639999999901</v>
      </c>
      <c r="AH5618">
        <v>73.337777760335001</v>
      </c>
      <c r="AI5618">
        <v>89.250247780313302</v>
      </c>
      <c r="AJ5618">
        <v>106.733458081862</v>
      </c>
      <c r="AK5618">
        <v>76.587177481634399</v>
      </c>
      <c r="AL5618">
        <v>79.009333034174205</v>
      </c>
      <c r="AM5618">
        <v>90.974849173117207</v>
      </c>
      <c r="AN5618">
        <v>1.00000003431267</v>
      </c>
    </row>
    <row r="5619" spans="1:40" x14ac:dyDescent="0.25">
      <c r="A5619" t="str">
        <f>"20190303170405864"</f>
        <v>20190303170405864</v>
      </c>
      <c r="B5619" t="str">
        <f>"1551603845861033"</f>
        <v>1551603845861033</v>
      </c>
      <c r="C5619" t="s">
        <v>40</v>
      </c>
      <c r="D5619">
        <v>4.7467639999999998</v>
      </c>
      <c r="E5619">
        <v>0.39633160000000001</v>
      </c>
      <c r="F5619" t="s">
        <v>95</v>
      </c>
      <c r="G5619">
        <v>-403.20330000000001</v>
      </c>
      <c r="H5619">
        <v>2.0731090000000001</v>
      </c>
      <c r="I5619">
        <v>0.64821819999999997</v>
      </c>
      <c r="J5619">
        <v>-423.20979999999997</v>
      </c>
      <c r="K5619">
        <v>1.1238859999999999</v>
      </c>
      <c r="L5619">
        <v>74.232819999999904</v>
      </c>
      <c r="M5619">
        <v>-2.6046409999999999E-2</v>
      </c>
      <c r="N5619">
        <v>-1.399719E-2</v>
      </c>
      <c r="O5619">
        <v>-0.99956270000000003</v>
      </c>
      <c r="P5619">
        <v>-9.7516789999999992E-3</v>
      </c>
      <c r="Q5619">
        <v>0.17685490000000001</v>
      </c>
      <c r="R5619">
        <v>-0.98418870000000003</v>
      </c>
      <c r="S5619">
        <v>0.82531739999999998</v>
      </c>
      <c r="T5619">
        <v>3.91711E-2</v>
      </c>
      <c r="U5619">
        <v>-3.051758</v>
      </c>
      <c r="V5619">
        <v>-1.6961170000000001E-2</v>
      </c>
      <c r="W5619">
        <v>0.19051989999999999</v>
      </c>
      <c r="X5619">
        <v>0.98153679999999999</v>
      </c>
      <c r="Y5619">
        <v>-0.28602470000000002</v>
      </c>
      <c r="Z5619">
        <v>-2.6381600000000002E-2</v>
      </c>
      <c r="AA5619">
        <v>0.95785900000000002</v>
      </c>
      <c r="AB5619">
        <v>36</v>
      </c>
      <c r="AC5619">
        <v>20.0064999999999</v>
      </c>
      <c r="AD5619">
        <v>0.94922300000000004</v>
      </c>
      <c r="AE5619">
        <v>-73.584601799999902</v>
      </c>
      <c r="AF5619">
        <v>-21.913118288579501</v>
      </c>
      <c r="AG5619">
        <v>0.94922300000000004</v>
      </c>
      <c r="AH5619">
        <v>73.027168104282694</v>
      </c>
      <c r="AI5619">
        <v>89.286715793864104</v>
      </c>
      <c r="AJ5619">
        <v>106.70282002934</v>
      </c>
      <c r="AK5619">
        <v>76.249938090231694</v>
      </c>
      <c r="AL5619">
        <v>79.016873503102602</v>
      </c>
      <c r="AM5619">
        <v>90.989985036902794</v>
      </c>
      <c r="AN5619">
        <v>1.000000001669</v>
      </c>
    </row>
    <row r="5620" spans="1:40" x14ac:dyDescent="0.25">
      <c r="A5620" t="str">
        <f>"20190303170405881"</f>
        <v>20190303170405881</v>
      </c>
      <c r="B5620" t="str">
        <f>"1551603845871770"</f>
        <v>1551603845871770</v>
      </c>
      <c r="C5620" t="s">
        <v>40</v>
      </c>
      <c r="D5620">
        <v>4.741733</v>
      </c>
      <c r="E5620">
        <v>0.42180509999999899</v>
      </c>
      <c r="F5620" t="s">
        <v>95</v>
      </c>
      <c r="G5620">
        <v>-403.10140000000001</v>
      </c>
      <c r="H5620">
        <v>2.0566749999999998</v>
      </c>
      <c r="I5620">
        <v>0.64925379999999999</v>
      </c>
      <c r="J5620">
        <v>-423.21510000000001</v>
      </c>
      <c r="K5620">
        <v>1.1238589999999999</v>
      </c>
      <c r="L5620">
        <v>73.964969999999994</v>
      </c>
      <c r="M5620">
        <v>-2.4282669999999999E-2</v>
      </c>
      <c r="N5620">
        <v>-1.3994120000000001E-2</v>
      </c>
      <c r="O5620">
        <v>-0.99960749999999998</v>
      </c>
      <c r="P5620">
        <v>-7.8736969999999903E-3</v>
      </c>
      <c r="Q5620">
        <v>0.17751</v>
      </c>
      <c r="R5620">
        <v>-0.98408790000000002</v>
      </c>
      <c r="S5620">
        <v>0.83334349999999902</v>
      </c>
      <c r="T5620">
        <v>3.865623E-2</v>
      </c>
      <c r="U5620">
        <v>-3.0495000000000001</v>
      </c>
      <c r="V5620">
        <v>-1.7090009999999999E-2</v>
      </c>
      <c r="W5620">
        <v>0.19117100000000001</v>
      </c>
      <c r="X5620">
        <v>0.9814079</v>
      </c>
      <c r="Y5620">
        <v>-0.28686089999999997</v>
      </c>
      <c r="Z5620">
        <v>-2.621741E-2</v>
      </c>
      <c r="AA5620">
        <v>0.95761339999999995</v>
      </c>
      <c r="AB5620">
        <v>35</v>
      </c>
      <c r="AC5620">
        <v>20.113699999999898</v>
      </c>
      <c r="AD5620">
        <v>0.93281599999999998</v>
      </c>
      <c r="AE5620">
        <v>-73.315716199999997</v>
      </c>
      <c r="AF5620">
        <v>-21.8849482962422</v>
      </c>
      <c r="AG5620">
        <v>0.93281599999999998</v>
      </c>
      <c r="AH5620">
        <v>72.794672258511198</v>
      </c>
      <c r="AI5620">
        <v>89.296915575906198</v>
      </c>
      <c r="AJ5620">
        <v>106.732849567009</v>
      </c>
      <c r="AK5620">
        <v>76.018980635385503</v>
      </c>
      <c r="AL5620">
        <v>78.978869058957301</v>
      </c>
      <c r="AM5620">
        <v>90.997634609414703</v>
      </c>
      <c r="AN5620">
        <v>0.99999994293260297</v>
      </c>
    </row>
    <row r="5621" spans="1:40" x14ac:dyDescent="0.25">
      <c r="A5621" t="str">
        <f>"20190303170405899"</f>
        <v>20190303170405899</v>
      </c>
      <c r="B5621" t="str">
        <f>"1551603845891290"</f>
        <v>1551603845891290</v>
      </c>
      <c r="C5621" t="s">
        <v>40</v>
      </c>
      <c r="D5621">
        <v>4.6368980000000004</v>
      </c>
      <c r="E5621">
        <v>0.44200850000000003</v>
      </c>
      <c r="F5621" t="s">
        <v>95</v>
      </c>
      <c r="G5621">
        <v>-407.88709999999998</v>
      </c>
      <c r="H5621">
        <v>1.0952999999999999</v>
      </c>
      <c r="I5621">
        <v>0.60057830000000001</v>
      </c>
      <c r="J5621">
        <v>-423.22</v>
      </c>
      <c r="K5621">
        <v>1.1238269999999999</v>
      </c>
      <c r="L5621">
        <v>73.697140000000005</v>
      </c>
      <c r="M5621">
        <v>-2.2544379999999999E-2</v>
      </c>
      <c r="N5621">
        <v>-1.399101E-2</v>
      </c>
      <c r="O5621">
        <v>-0.99964799999999998</v>
      </c>
      <c r="P5621">
        <v>-6.5635240000000003E-3</v>
      </c>
      <c r="Q5621">
        <v>0.17841370000000001</v>
      </c>
      <c r="R5621">
        <v>-0.98393390000000003</v>
      </c>
      <c r="S5621">
        <v>0.63803100000000001</v>
      </c>
      <c r="T5621">
        <v>-1.189828E-3</v>
      </c>
      <c r="U5621">
        <v>-3.053833</v>
      </c>
      <c r="V5621">
        <v>-1.6675200000000001E-2</v>
      </c>
      <c r="W5621">
        <v>0.19207279999999999</v>
      </c>
      <c r="X5621">
        <v>0.98123899999999997</v>
      </c>
      <c r="Y5621">
        <v>-0.22648850000000001</v>
      </c>
      <c r="Z5621">
        <v>-1.364337E-2</v>
      </c>
      <c r="AA5621">
        <v>0.97391830000000001</v>
      </c>
      <c r="AB5621">
        <v>35</v>
      </c>
      <c r="AC5621">
        <v>15.3329</v>
      </c>
      <c r="AD5621">
        <v>-2.8527000000000101E-2</v>
      </c>
      <c r="AE5621">
        <v>-73.096561699999995</v>
      </c>
      <c r="AF5621">
        <v>-16.977077675192501</v>
      </c>
      <c r="AG5621">
        <v>-2.8527000000000101E-2</v>
      </c>
      <c r="AH5621">
        <v>72.732264922820093</v>
      </c>
      <c r="AI5621">
        <v>90.021884243349902</v>
      </c>
      <c r="AJ5621">
        <v>103.13866601349</v>
      </c>
      <c r="AK5621">
        <v>74.6873773872301</v>
      </c>
      <c r="AL5621">
        <v>78.926224775908196</v>
      </c>
      <c r="AM5621">
        <v>90.973592187531295</v>
      </c>
      <c r="AN5621">
        <v>0.99999999895793901</v>
      </c>
    </row>
    <row r="5622" spans="1:40" x14ac:dyDescent="0.25">
      <c r="A5622" t="str">
        <f>"20190303170405920"</f>
        <v>20190303170405920</v>
      </c>
      <c r="B5622" t="str">
        <f>"1551603845911785"</f>
        <v>1551603845911785</v>
      </c>
      <c r="C5622" t="s">
        <v>40</v>
      </c>
      <c r="D5622">
        <v>4.6160829999999997</v>
      </c>
      <c r="E5622">
        <v>0.4542465</v>
      </c>
      <c r="F5622" t="s">
        <v>95</v>
      </c>
      <c r="G5622">
        <v>-411.66030000000001</v>
      </c>
      <c r="H5622">
        <v>0.3665117</v>
      </c>
      <c r="I5622">
        <v>0.56220249999999905</v>
      </c>
      <c r="J5622">
        <v>-423.22550000000001</v>
      </c>
      <c r="K5622">
        <v>1.123786</v>
      </c>
      <c r="L5622">
        <v>73.356480000000005</v>
      </c>
      <c r="M5622">
        <v>-2.03787E-2</v>
      </c>
      <c r="N5622">
        <v>-1.3986999999999999E-2</v>
      </c>
      <c r="O5622">
        <v>-0.99969450000000004</v>
      </c>
      <c r="P5622">
        <v>-4.8677870000000002E-3</v>
      </c>
      <c r="Q5622">
        <v>0.1781055</v>
      </c>
      <c r="R5622">
        <v>-0.98399950000000003</v>
      </c>
      <c r="S5622">
        <v>0.48333739999999997</v>
      </c>
      <c r="T5622">
        <v>-3.1666279999999998E-2</v>
      </c>
      <c r="U5622">
        <v>-3.0579529999999999</v>
      </c>
      <c r="V5622">
        <v>-1.6218130000000001E-2</v>
      </c>
      <c r="W5622">
        <v>0.1917653</v>
      </c>
      <c r="X5622">
        <v>0.98130680000000003</v>
      </c>
      <c r="Y5622">
        <v>-0.1761886</v>
      </c>
      <c r="Z5622">
        <v>-3.8024040000000001E-3</v>
      </c>
      <c r="AA5622">
        <v>0.98434909999999998</v>
      </c>
      <c r="AB5622">
        <v>35</v>
      </c>
      <c r="AC5622">
        <v>11.565200000000001</v>
      </c>
      <c r="AD5622">
        <v>-0.75727429999999996</v>
      </c>
      <c r="AE5622">
        <v>-72.794277500000007</v>
      </c>
      <c r="AF5622">
        <v>-13.0450186844089</v>
      </c>
      <c r="AG5622">
        <v>-0.75727429999999996</v>
      </c>
      <c r="AH5622">
        <v>72.535794116787798</v>
      </c>
      <c r="AI5622">
        <v>90.588702825241498</v>
      </c>
      <c r="AJ5622">
        <v>100.195232701232</v>
      </c>
      <c r="AK5622">
        <v>73.7033744478165</v>
      </c>
      <c r="AL5622">
        <v>78.944176922096801</v>
      </c>
      <c r="AM5622">
        <v>90.946845379889993</v>
      </c>
      <c r="AN5622">
        <v>0.999999996875513</v>
      </c>
    </row>
    <row r="5623" spans="1:40" x14ac:dyDescent="0.25">
      <c r="A5623" t="str">
        <f>"20190303170405936"</f>
        <v>20190303170405936</v>
      </c>
      <c r="B5623" t="str">
        <f>"1551603845931306"</f>
        <v>1551603845931306</v>
      </c>
      <c r="C5623" t="s">
        <v>40</v>
      </c>
      <c r="D5623">
        <v>4.5445599999999997</v>
      </c>
      <c r="E5623">
        <v>0.46075470000000002</v>
      </c>
      <c r="F5623" t="s">
        <v>75</v>
      </c>
      <c r="G5623">
        <v>-414.9083</v>
      </c>
      <c r="H5623">
        <v>7.9986559999999998E-2</v>
      </c>
      <c r="I5623">
        <v>8.4340879999999991</v>
      </c>
      <c r="J5623">
        <v>-423.22919999999999</v>
      </c>
      <c r="K5623">
        <v>1.123753</v>
      </c>
      <c r="L5623">
        <v>73.103059999999999</v>
      </c>
      <c r="M5623">
        <v>-1.8797330000000001E-2</v>
      </c>
      <c r="N5623">
        <v>-1.398401E-2</v>
      </c>
      <c r="O5623">
        <v>-0.99972570000000005</v>
      </c>
      <c r="P5623">
        <v>-3.275774E-3</v>
      </c>
      <c r="Q5623">
        <v>0.17792859999999999</v>
      </c>
      <c r="R5623">
        <v>-0.98403839999999998</v>
      </c>
      <c r="S5623">
        <v>0.39196779999999998</v>
      </c>
      <c r="T5623">
        <v>-4.919171E-2</v>
      </c>
      <c r="U5623">
        <v>-3.059631</v>
      </c>
      <c r="V5623">
        <v>-1.6236489999999999E-2</v>
      </c>
      <c r="W5623">
        <v>0.19158749999999999</v>
      </c>
      <c r="X5623">
        <v>0.98134120000000002</v>
      </c>
      <c r="Y5623">
        <v>-0.14566470000000001</v>
      </c>
      <c r="Z5623">
        <v>1.919996E-3</v>
      </c>
      <c r="AA5623">
        <v>0.98933210000000005</v>
      </c>
      <c r="AB5623">
        <v>35</v>
      </c>
      <c r="AC5623">
        <v>8.3208999999999893</v>
      </c>
      <c r="AD5623">
        <v>-1.04376644</v>
      </c>
      <c r="AE5623">
        <v>-64.668971999999997</v>
      </c>
      <c r="AF5623">
        <v>-9.5327093226077597</v>
      </c>
      <c r="AG5623">
        <v>-1.04376644</v>
      </c>
      <c r="AH5623">
        <v>64.484592809602205</v>
      </c>
      <c r="AI5623">
        <v>90.917357405070206</v>
      </c>
      <c r="AJ5623">
        <v>98.409089373754298</v>
      </c>
      <c r="AK5623">
        <v>65.1937474396955</v>
      </c>
      <c r="AL5623">
        <v>78.954556294334395</v>
      </c>
      <c r="AM5623">
        <v>90.9478838539696</v>
      </c>
      <c r="AN5623">
        <v>0.999999972290604</v>
      </c>
    </row>
    <row r="5624" spans="1:40" x14ac:dyDescent="0.25">
      <c r="A5624" t="str">
        <f>"20190303170405953"</f>
        <v>20190303170405953</v>
      </c>
      <c r="B5624" t="str">
        <f>"1551603845941066"</f>
        <v>1551603845941066</v>
      </c>
      <c r="C5624" t="s">
        <v>40</v>
      </c>
      <c r="D5624">
        <v>4.5411299999999999</v>
      </c>
      <c r="E5624">
        <v>0.4629568</v>
      </c>
      <c r="F5624" t="s">
        <v>75</v>
      </c>
      <c r="G5624">
        <v>-416.13630000000001</v>
      </c>
      <c r="H5624" s="1">
        <v>-1.36666899999999E-5</v>
      </c>
      <c r="I5624">
        <v>10.226190000000001</v>
      </c>
      <c r="J5624">
        <v>-423.2328</v>
      </c>
      <c r="K5624">
        <v>1.123715</v>
      </c>
      <c r="L5624">
        <v>72.822479999999999</v>
      </c>
      <c r="M5624">
        <v>-1.7082980000000001E-2</v>
      </c>
      <c r="N5624">
        <v>-1.3980660000000001E-2</v>
      </c>
      <c r="O5624">
        <v>-0.9997566</v>
      </c>
      <c r="P5624">
        <v>-1.5440629999999901E-3</v>
      </c>
      <c r="Q5624">
        <v>0.17708499999999999</v>
      </c>
      <c r="R5624">
        <v>-0.98419460000000003</v>
      </c>
      <c r="S5624">
        <v>0.34515380000000001</v>
      </c>
      <c r="T5624">
        <v>-5.4684879999999998E-2</v>
      </c>
      <c r="U5624">
        <v>-3.059723</v>
      </c>
      <c r="V5624">
        <v>-1.6259329999999999E-2</v>
      </c>
      <c r="W5624">
        <v>0.1907441</v>
      </c>
      <c r="X5624">
        <v>0.98150519999999997</v>
      </c>
      <c r="Y5624">
        <v>-0.1290259</v>
      </c>
      <c r="Z5624">
        <v>3.7412169999999998E-3</v>
      </c>
      <c r="AA5624">
        <v>0.99163420000000002</v>
      </c>
      <c r="AB5624">
        <v>35</v>
      </c>
      <c r="AC5624">
        <v>7.09649999999999</v>
      </c>
      <c r="AD5624">
        <v>-1.1237286666899999</v>
      </c>
      <c r="AE5624">
        <v>-62.596290000000003</v>
      </c>
      <c r="AF5624">
        <v>-8.1623025206190505</v>
      </c>
      <c r="AG5624">
        <v>-1.1237286666899999</v>
      </c>
      <c r="AH5624">
        <v>62.4460433030887</v>
      </c>
      <c r="AI5624">
        <v>91.022243722758006</v>
      </c>
      <c r="AJ5624">
        <v>97.446894566856599</v>
      </c>
      <c r="AK5624">
        <v>62.987254843862502</v>
      </c>
      <c r="AL5624">
        <v>79.003788552033498</v>
      </c>
      <c r="AM5624">
        <v>90.949058430009401</v>
      </c>
      <c r="AN5624">
        <v>1.00000006756194</v>
      </c>
    </row>
    <row r="5625" spans="1:40" x14ac:dyDescent="0.25">
      <c r="A5625" t="str">
        <f>"20190303170405977"</f>
        <v>20190303170405977</v>
      </c>
      <c r="B5625" t="str">
        <f>"1551603845971322"</f>
        <v>1551603845971322</v>
      </c>
      <c r="C5625" t="s">
        <v>40</v>
      </c>
      <c r="D5625">
        <v>4.569115</v>
      </c>
      <c r="E5625">
        <v>0.46703790000000001</v>
      </c>
      <c r="F5625" t="s">
        <v>75</v>
      </c>
      <c r="G5625">
        <v>-416.8501</v>
      </c>
      <c r="H5625" s="1">
        <v>-1.3138109999999999E-5</v>
      </c>
      <c r="I5625">
        <v>14.09998</v>
      </c>
      <c r="J5625">
        <v>-423.23680000000002</v>
      </c>
      <c r="K5625">
        <v>1.1236619999999999</v>
      </c>
      <c r="L5625">
        <v>72.464510000000004</v>
      </c>
      <c r="M5625">
        <v>-1.4953960000000001E-2</v>
      </c>
      <c r="N5625">
        <v>-1.39764E-2</v>
      </c>
      <c r="O5625">
        <v>-0.99979050000000003</v>
      </c>
      <c r="P5625">
        <v>1.14629E-4</v>
      </c>
      <c r="Q5625">
        <v>0.17708180000000001</v>
      </c>
      <c r="R5625">
        <v>-0.98419639999999997</v>
      </c>
      <c r="S5625">
        <v>0.33251950000000002</v>
      </c>
      <c r="T5625">
        <v>-5.8542249999999997E-2</v>
      </c>
      <c r="U5625">
        <v>-3.0592350000000001</v>
      </c>
      <c r="V5625">
        <v>-1.5796000000000001E-2</v>
      </c>
      <c r="W5625">
        <v>0.1907413</v>
      </c>
      <c r="X5625">
        <v>0.98151330000000003</v>
      </c>
      <c r="Y5625">
        <v>-0.1228834</v>
      </c>
      <c r="Z5625">
        <v>5.0140469999999998E-3</v>
      </c>
      <c r="AA5625">
        <v>0.99240850000000003</v>
      </c>
      <c r="AB5625">
        <v>35</v>
      </c>
      <c r="AC5625">
        <v>6.38670000000001</v>
      </c>
      <c r="AD5625">
        <v>-1.1236751381100001</v>
      </c>
      <c r="AE5625">
        <v>-58.364530000000002</v>
      </c>
      <c r="AF5625">
        <v>-7.2561940188999303</v>
      </c>
      <c r="AG5625">
        <v>-1.1236751381100001</v>
      </c>
      <c r="AH5625">
        <v>58.241154199672302</v>
      </c>
      <c r="AI5625">
        <v>91.096820680973195</v>
      </c>
      <c r="AJ5625">
        <v>97.101816166726096</v>
      </c>
      <c r="AK5625">
        <v>58.702189396699097</v>
      </c>
      <c r="AL5625">
        <v>79.003951869941304</v>
      </c>
      <c r="AM5625">
        <v>90.922010949288804</v>
      </c>
      <c r="AN5625">
        <v>1.00000005760928</v>
      </c>
    </row>
    <row r="5626" spans="1:40" x14ac:dyDescent="0.25">
      <c r="A5626" t="str">
        <f>"20190303170405992"</f>
        <v>20190303170405992</v>
      </c>
      <c r="B5626" t="str">
        <f>"1551603845981589"</f>
        <v>1551603845981589</v>
      </c>
      <c r="C5626" t="s">
        <v>40</v>
      </c>
      <c r="D5626">
        <v>4.5650839999999997</v>
      </c>
      <c r="E5626">
        <v>0.4678445</v>
      </c>
      <c r="F5626" t="s">
        <v>75</v>
      </c>
      <c r="G5626">
        <v>-417.71260000000001</v>
      </c>
      <c r="H5626" s="1">
        <v>-1.27380399999999E-5</v>
      </c>
      <c r="I5626">
        <v>17.10886</v>
      </c>
      <c r="J5626">
        <v>-423.23919999999998</v>
      </c>
      <c r="K5626">
        <v>1.1236159999999999</v>
      </c>
      <c r="L5626">
        <v>72.213380000000001</v>
      </c>
      <c r="M5626">
        <v>-1.350697E-2</v>
      </c>
      <c r="N5626">
        <v>-1.397343E-2</v>
      </c>
      <c r="O5626">
        <v>-0.99981140000000002</v>
      </c>
      <c r="P5626">
        <v>1.0860069999999999E-3</v>
      </c>
      <c r="Q5626">
        <v>0.17758679999999999</v>
      </c>
      <c r="R5626">
        <v>-0.98410489999999995</v>
      </c>
      <c r="S5626">
        <v>0.30529790000000001</v>
      </c>
      <c r="T5626">
        <v>-6.2101240000000002E-2</v>
      </c>
      <c r="U5626">
        <v>-3.0592959999999998</v>
      </c>
      <c r="V5626">
        <v>-1.5323639999999999E-2</v>
      </c>
      <c r="W5626">
        <v>0.19124630000000001</v>
      </c>
      <c r="X5626">
        <v>0.98142240000000003</v>
      </c>
      <c r="Y5626">
        <v>-0.112704</v>
      </c>
      <c r="Z5626">
        <v>6.1955689999999997E-3</v>
      </c>
      <c r="AA5626">
        <v>0.99360930000000003</v>
      </c>
      <c r="AB5626">
        <v>35</v>
      </c>
      <c r="AC5626">
        <v>5.52659999999997</v>
      </c>
      <c r="AD5626">
        <v>-1.1236287380400001</v>
      </c>
      <c r="AE5626">
        <v>-55.104519999999901</v>
      </c>
      <c r="AF5626">
        <v>-6.2678831698879804</v>
      </c>
      <c r="AG5626">
        <v>-1.1236287380400001</v>
      </c>
      <c r="AH5626">
        <v>55.002195845119701</v>
      </c>
      <c r="AI5626">
        <v>91.162797394426505</v>
      </c>
      <c r="AJ5626">
        <v>96.501207823920396</v>
      </c>
      <c r="AK5626">
        <v>55.369580536222401</v>
      </c>
      <c r="AL5626">
        <v>78.974473601785604</v>
      </c>
      <c r="AM5626">
        <v>90.894526721915</v>
      </c>
      <c r="AN5626">
        <v>0.99999994421414795</v>
      </c>
    </row>
    <row r="5627" spans="1:40" x14ac:dyDescent="0.25">
      <c r="A5627" t="str">
        <f>"20190303170406008"</f>
        <v>20190303170406008</v>
      </c>
      <c r="B5627" t="str">
        <f>"1551603846001108"</f>
        <v>1551603846001108</v>
      </c>
      <c r="C5627" t="s">
        <v>40</v>
      </c>
      <c r="D5627">
        <v>4.5638180000000004</v>
      </c>
      <c r="E5627">
        <v>0.46917639999999999</v>
      </c>
      <c r="F5627" t="s">
        <v>75</v>
      </c>
      <c r="G5627">
        <v>-417.73099999999999</v>
      </c>
      <c r="H5627" s="1">
        <v>-1.2914349999999999E-5</v>
      </c>
      <c r="I5627">
        <v>16.33691</v>
      </c>
      <c r="J5627">
        <v>-423.24119999999999</v>
      </c>
      <c r="K5627">
        <v>1.123575</v>
      </c>
      <c r="L5627">
        <v>71.95496</v>
      </c>
      <c r="M5627">
        <v>-1.205443E-2</v>
      </c>
      <c r="N5627">
        <v>-1.397022E-2</v>
      </c>
      <c r="O5627">
        <v>-0.99982990000000005</v>
      </c>
      <c r="P5627">
        <v>1.799787E-3</v>
      </c>
      <c r="Q5627">
        <v>0.17817279999999999</v>
      </c>
      <c r="R5627">
        <v>-0.98399769999999998</v>
      </c>
      <c r="S5627">
        <v>0.30157469999999997</v>
      </c>
      <c r="T5627">
        <v>-6.1518669999999998E-2</v>
      </c>
      <c r="U5627">
        <v>-3.0592350000000001</v>
      </c>
      <c r="V5627">
        <v>-1.458767E-2</v>
      </c>
      <c r="W5627">
        <v>0.1918328</v>
      </c>
      <c r="X5627">
        <v>0.98131919999999995</v>
      </c>
      <c r="Y5627">
        <v>-0.1100655</v>
      </c>
      <c r="Z5627">
        <v>6.0157650000000002E-3</v>
      </c>
      <c r="AA5627">
        <v>0.99390610000000001</v>
      </c>
      <c r="AB5627">
        <v>35</v>
      </c>
      <c r="AC5627">
        <v>5.5101999999999904</v>
      </c>
      <c r="AD5627">
        <v>-1.12358791435</v>
      </c>
      <c r="AE5627">
        <v>-55.618049999999997</v>
      </c>
      <c r="AF5627">
        <v>-6.1778120361020497</v>
      </c>
      <c r="AG5627">
        <v>-1.12358791435</v>
      </c>
      <c r="AH5627">
        <v>55.525138977877603</v>
      </c>
      <c r="AI5627">
        <v>91.152152329622297</v>
      </c>
      <c r="AJ5627">
        <v>96.348704993023006</v>
      </c>
      <c r="AK5627">
        <v>55.879055735286997</v>
      </c>
      <c r="AL5627">
        <v>78.940236306296995</v>
      </c>
      <c r="AM5627">
        <v>90.851660057630497</v>
      </c>
      <c r="AN5627">
        <v>0.99999999778025395</v>
      </c>
    </row>
    <row r="5628" spans="1:40" x14ac:dyDescent="0.25">
      <c r="A5628" t="str">
        <f>"20190303170406031"</f>
        <v>20190303170406031</v>
      </c>
      <c r="B5628" t="str">
        <f>"1551603846021605"</f>
        <v>1551603846021605</v>
      </c>
      <c r="C5628" t="s">
        <v>40</v>
      </c>
      <c r="D5628">
        <v>4.4980699999999896</v>
      </c>
      <c r="E5628">
        <v>0.47044010000000003</v>
      </c>
      <c r="F5628" t="s">
        <v>75</v>
      </c>
      <c r="G5628">
        <v>-417.9597</v>
      </c>
      <c r="H5628" s="1">
        <v>-1.2871190000000001E-5</v>
      </c>
      <c r="I5628">
        <v>16.85012</v>
      </c>
      <c r="J5628">
        <v>-423.24360000000001</v>
      </c>
      <c r="K5628">
        <v>1.1234999999999999</v>
      </c>
      <c r="L5628">
        <v>71.599180000000004</v>
      </c>
      <c r="M5628">
        <v>-1.011308E-2</v>
      </c>
      <c r="N5628">
        <v>-1.396587E-2</v>
      </c>
      <c r="O5628">
        <v>-0.9998515</v>
      </c>
      <c r="P5628">
        <v>3.525982E-3</v>
      </c>
      <c r="Q5628">
        <v>0.1787185</v>
      </c>
      <c r="R5628">
        <v>-0.98389389999999999</v>
      </c>
      <c r="S5628">
        <v>0.29324339999999999</v>
      </c>
      <c r="T5628">
        <v>-6.2384009999999997E-2</v>
      </c>
      <c r="U5628">
        <v>-3.0595400000000001</v>
      </c>
      <c r="V5628">
        <v>-1.4373199999999999E-2</v>
      </c>
      <c r="W5628">
        <v>0.19237560000000001</v>
      </c>
      <c r="X5628">
        <v>0.98121610000000004</v>
      </c>
      <c r="Y5628">
        <v>-0.1054443</v>
      </c>
      <c r="Z5628">
        <v>6.3092080000000002E-3</v>
      </c>
      <c r="AA5628">
        <v>0.99440519999999999</v>
      </c>
      <c r="AB5628">
        <v>35</v>
      </c>
      <c r="AC5628">
        <v>5.2839000000000098</v>
      </c>
      <c r="AD5628">
        <v>-1.12351287119</v>
      </c>
      <c r="AE5628">
        <v>-54.74906</v>
      </c>
      <c r="AF5628">
        <v>-5.8349307576776397</v>
      </c>
      <c r="AG5628">
        <v>-1.12351287119</v>
      </c>
      <c r="AH5628">
        <v>54.670007956028698</v>
      </c>
      <c r="AI5628">
        <v>91.170661947376004</v>
      </c>
      <c r="AJ5628">
        <v>96.092116878301994</v>
      </c>
      <c r="AK5628">
        <v>54.991985489077102</v>
      </c>
      <c r="AL5628">
        <v>78.908545906509801</v>
      </c>
      <c r="AM5628">
        <v>90.839228793078902</v>
      </c>
      <c r="AN5628">
        <v>0.99999999762640501</v>
      </c>
    </row>
    <row r="5629" spans="1:40" x14ac:dyDescent="0.25">
      <c r="A5629" t="str">
        <f>"20190303170406046"</f>
        <v>20190303170406046</v>
      </c>
      <c r="B5629" t="str">
        <f>"1551603846041124"</f>
        <v>1551603846041124</v>
      </c>
      <c r="C5629" t="s">
        <v>40</v>
      </c>
      <c r="D5629">
        <v>4.5064209999999996</v>
      </c>
      <c r="E5629">
        <v>0.47193800000000002</v>
      </c>
      <c r="F5629" t="s">
        <v>75</v>
      </c>
      <c r="G5629">
        <v>-418.12689999999998</v>
      </c>
      <c r="H5629" s="1">
        <v>-1.282466E-5</v>
      </c>
      <c r="I5629">
        <v>17.293199999999999</v>
      </c>
      <c r="J5629">
        <v>-423.2448</v>
      </c>
      <c r="K5629">
        <v>1.123454</v>
      </c>
      <c r="L5629">
        <v>71.360500000000002</v>
      </c>
      <c r="M5629">
        <v>-8.8572249999999998E-3</v>
      </c>
      <c r="N5629">
        <v>-1.396296E-2</v>
      </c>
      <c r="O5629">
        <v>-0.99986330000000001</v>
      </c>
      <c r="P5629">
        <v>4.6174179999999999E-3</v>
      </c>
      <c r="Q5629">
        <v>0.17838670000000001</v>
      </c>
      <c r="R5629">
        <v>-0.98394970000000004</v>
      </c>
      <c r="S5629">
        <v>0.288269</v>
      </c>
      <c r="T5629">
        <v>-6.3298110000000005E-2</v>
      </c>
      <c r="U5629">
        <v>-3.0595699999999999</v>
      </c>
      <c r="V5629">
        <v>-1.420664E-2</v>
      </c>
      <c r="W5629">
        <v>0.1920442</v>
      </c>
      <c r="X5629">
        <v>0.98128340000000003</v>
      </c>
      <c r="Y5629">
        <v>-0.102592</v>
      </c>
      <c r="Z5629">
        <v>6.6149800000000003E-3</v>
      </c>
      <c r="AA5629">
        <v>0.99470150000000002</v>
      </c>
      <c r="AB5629">
        <v>35</v>
      </c>
      <c r="AC5629">
        <v>5.1179000000000201</v>
      </c>
      <c r="AD5629">
        <v>-1.1234668246599999</v>
      </c>
      <c r="AE5629">
        <v>-54.067300000000003</v>
      </c>
      <c r="AF5629">
        <v>-5.59423816250382</v>
      </c>
      <c r="AG5629">
        <v>-1.1234668246599999</v>
      </c>
      <c r="AH5629">
        <v>53.996736874855998</v>
      </c>
      <c r="AI5629">
        <v>91.185591340877906</v>
      </c>
      <c r="AJ5629">
        <v>95.914927090983497</v>
      </c>
      <c r="AK5629">
        <v>54.297378126916598</v>
      </c>
      <c r="AL5629">
        <v>78.927894052340505</v>
      </c>
      <c r="AM5629">
        <v>90.829448098043002</v>
      </c>
      <c r="AN5629">
        <v>0.99999995724464397</v>
      </c>
    </row>
    <row r="5630" spans="1:40" x14ac:dyDescent="0.25">
      <c r="A5630" t="str">
        <f>"20190303170406060"</f>
        <v>20190303170406060</v>
      </c>
      <c r="B5630" t="str">
        <f>"1551603846051860"</f>
        <v>1551603846051860</v>
      </c>
      <c r="C5630" t="s">
        <v>40</v>
      </c>
      <c r="D5630">
        <v>4.536734</v>
      </c>
      <c r="E5630">
        <v>0.47256130000000002</v>
      </c>
      <c r="F5630" t="s">
        <v>75</v>
      </c>
      <c r="G5630">
        <v>-418.37650000000002</v>
      </c>
      <c r="H5630" s="1">
        <v>-1.269508E-5</v>
      </c>
      <c r="I5630">
        <v>18.226320000000001</v>
      </c>
      <c r="J5630">
        <v>-423.24549999999999</v>
      </c>
      <c r="K5630">
        <v>1.1234150000000001</v>
      </c>
      <c r="L5630">
        <v>71.157349999999994</v>
      </c>
      <c r="M5630">
        <v>-7.8107979999999999E-3</v>
      </c>
      <c r="N5630">
        <v>-1.3960510000000001E-2</v>
      </c>
      <c r="O5630">
        <v>-0.99987210000000004</v>
      </c>
      <c r="P5630">
        <v>5.6085800000000002E-3</v>
      </c>
      <c r="Q5630">
        <v>0.17776320000000001</v>
      </c>
      <c r="R5630">
        <v>-0.98405770000000004</v>
      </c>
      <c r="S5630">
        <v>0.280304</v>
      </c>
      <c r="T5630">
        <v>-6.4686889999999997E-2</v>
      </c>
      <c r="U5630">
        <v>-3.0593569999999999</v>
      </c>
      <c r="V5630">
        <v>-1.414757E-2</v>
      </c>
      <c r="W5630">
        <v>0.19142190000000001</v>
      </c>
      <c r="X5630">
        <v>0.98140590000000005</v>
      </c>
      <c r="Y5630">
        <v>-9.8989460000000001E-2</v>
      </c>
      <c r="Z5630">
        <v>7.0778569999999999E-3</v>
      </c>
      <c r="AA5630">
        <v>0.99506329999999998</v>
      </c>
      <c r="AB5630">
        <v>35</v>
      </c>
      <c r="AC5630">
        <v>4.8689999999999696</v>
      </c>
      <c r="AD5630">
        <v>-1.12342769508</v>
      </c>
      <c r="AE5630">
        <v>-52.9310299999999</v>
      </c>
      <c r="AF5630">
        <v>-5.2799667662681102</v>
      </c>
      <c r="AG5630">
        <v>-1.12342769508</v>
      </c>
      <c r="AH5630">
        <v>52.867764843361599</v>
      </c>
      <c r="AI5630">
        <v>91.211314584491504</v>
      </c>
      <c r="AJ5630">
        <v>95.703286038738398</v>
      </c>
      <c r="AK5630">
        <v>53.142644819127597</v>
      </c>
      <c r="AL5630">
        <v>78.9642239198418</v>
      </c>
      <c r="AM5630">
        <v>90.825896714485097</v>
      </c>
      <c r="AN5630">
        <v>1.0000000190456599</v>
      </c>
    </row>
    <row r="5631" spans="1:40" x14ac:dyDescent="0.25">
      <c r="A5631" t="str">
        <f>"20190303170406078"</f>
        <v>20190303170406078</v>
      </c>
      <c r="B5631" t="str">
        <f>"1551603846071381"</f>
        <v>1551603846071381</v>
      </c>
      <c r="C5631" t="s">
        <v>40</v>
      </c>
      <c r="D5631">
        <v>4.4985460000000002</v>
      </c>
      <c r="E5631">
        <v>0.47363129999999998</v>
      </c>
      <c r="F5631" t="s">
        <v>75</v>
      </c>
      <c r="G5631">
        <v>-418.56979999999999</v>
      </c>
      <c r="H5631" s="1">
        <v>-6.6833260000000003E-6</v>
      </c>
      <c r="I5631">
        <v>19.78153</v>
      </c>
      <c r="J5631">
        <v>-423.24639999999999</v>
      </c>
      <c r="K5631">
        <v>1.123364</v>
      </c>
      <c r="L5631">
        <v>70.877659999999906</v>
      </c>
      <c r="M5631">
        <v>-6.4093750000000001E-3</v>
      </c>
      <c r="N5631">
        <v>-1.395711E-2</v>
      </c>
      <c r="O5631">
        <v>-0.99988220000000005</v>
      </c>
      <c r="P5631">
        <v>6.7922520000000004E-3</v>
      </c>
      <c r="Q5631">
        <v>0.17760979999999901</v>
      </c>
      <c r="R5631">
        <v>-0.9840778</v>
      </c>
      <c r="S5631">
        <v>0.27841189999999999</v>
      </c>
      <c r="T5631">
        <v>-6.6892149999999997E-2</v>
      </c>
      <c r="U5631">
        <v>-3.0590820000000001</v>
      </c>
      <c r="V5631">
        <v>-1.3926640000000001E-2</v>
      </c>
      <c r="W5631">
        <v>0.19126789999999999</v>
      </c>
      <c r="X5631">
        <v>0.98143910000000001</v>
      </c>
      <c r="Y5631">
        <v>-9.6991830000000001E-2</v>
      </c>
      <c r="Z5631">
        <v>7.804381E-3</v>
      </c>
      <c r="AA5631">
        <v>0.99525459999999999</v>
      </c>
      <c r="AB5631">
        <v>35</v>
      </c>
      <c r="AC5631">
        <v>4.6765999999999996</v>
      </c>
      <c r="AD5631">
        <v>-1.123370683326</v>
      </c>
      <c r="AE5631">
        <v>-51.096129999999903</v>
      </c>
      <c r="AF5631">
        <v>-5.0016325330887597</v>
      </c>
      <c r="AG5631">
        <v>-1.123370683326</v>
      </c>
      <c r="AH5631">
        <v>51.040637248554397</v>
      </c>
      <c r="AI5631">
        <v>91.2548301464698</v>
      </c>
      <c r="AJ5631">
        <v>95.596724761477702</v>
      </c>
      <c r="AK5631">
        <v>51.297416508307002</v>
      </c>
      <c r="AL5631">
        <v>78.973213739077394</v>
      </c>
      <c r="AM5631">
        <v>90.812973667524901</v>
      </c>
      <c r="AN5631">
        <v>1.00000003394045</v>
      </c>
    </row>
    <row r="5632" spans="1:40" x14ac:dyDescent="0.25">
      <c r="A5632" t="str">
        <f>"20190303170406100"</f>
        <v>20190303170406100</v>
      </c>
      <c r="B5632" t="str">
        <f>"1551603846091407"</f>
        <v>1551603846091407</v>
      </c>
      <c r="C5632" t="s">
        <v>40</v>
      </c>
      <c r="D5632">
        <v>4.5321049999999996</v>
      </c>
      <c r="E5632">
        <v>0.47452060000000001</v>
      </c>
      <c r="F5632" t="s">
        <v>75</v>
      </c>
      <c r="G5632">
        <v>-418.73939999999999</v>
      </c>
      <c r="H5632" s="1">
        <v>-6.688647E-6</v>
      </c>
      <c r="I5632">
        <v>20.452279999999998</v>
      </c>
      <c r="J5632">
        <v>-423.24689999999998</v>
      </c>
      <c r="K5632">
        <v>1.1232930000000001</v>
      </c>
      <c r="L5632">
        <v>70.529750000000007</v>
      </c>
      <c r="M5632">
        <v>-4.7280600000000001E-3</v>
      </c>
      <c r="N5632">
        <v>-1.395273E-2</v>
      </c>
      <c r="O5632">
        <v>-0.9998918</v>
      </c>
      <c r="P5632">
        <v>7.3440850000000002E-3</v>
      </c>
      <c r="Q5632">
        <v>0.1775225</v>
      </c>
      <c r="R5632">
        <v>-0.98408980000000001</v>
      </c>
      <c r="S5632">
        <v>0.27340700000000001</v>
      </c>
      <c r="T5632">
        <v>-6.8147180000000002E-2</v>
      </c>
      <c r="U5632">
        <v>-3.0589599999999999</v>
      </c>
      <c r="V5632">
        <v>-1.279338E-2</v>
      </c>
      <c r="W5632">
        <v>0.1911841</v>
      </c>
      <c r="X5632">
        <v>0.98147079999999998</v>
      </c>
      <c r="Y5632">
        <v>-9.3706339999999999E-2</v>
      </c>
      <c r="Z5632">
        <v>8.2244299999999996E-3</v>
      </c>
      <c r="AA5632">
        <v>0.9955659</v>
      </c>
      <c r="AB5632">
        <v>35</v>
      </c>
      <c r="AC5632">
        <v>4.5074999999999896</v>
      </c>
      <c r="AD5632">
        <v>-1.1232996886469999</v>
      </c>
      <c r="AE5632">
        <v>-50.077469999999998</v>
      </c>
      <c r="AF5632">
        <v>-4.7418751161591501</v>
      </c>
      <c r="AG5632">
        <v>-1.1232996886469999</v>
      </c>
      <c r="AH5632">
        <v>50.030625240502701</v>
      </c>
      <c r="AI5632">
        <v>91.280466067230904</v>
      </c>
      <c r="AJ5632">
        <v>95.414288648689194</v>
      </c>
      <c r="AK5632">
        <v>50.267391455727903</v>
      </c>
      <c r="AL5632">
        <v>78.978104804426394</v>
      </c>
      <c r="AM5632">
        <v>90.746802828143998</v>
      </c>
      <c r="AN5632">
        <v>0.99999998095863696</v>
      </c>
    </row>
    <row r="5633" spans="1:40" x14ac:dyDescent="0.25">
      <c r="A5633" t="str">
        <f>"20190303170406122"</f>
        <v>20190303170406122</v>
      </c>
      <c r="B5633" t="str">
        <f>"1551603846110928"</f>
        <v>1551603846110928</v>
      </c>
      <c r="C5633" t="s">
        <v>40</v>
      </c>
      <c r="D5633">
        <v>4.5464699999999896</v>
      </c>
      <c r="E5633">
        <v>0.47476669999999999</v>
      </c>
      <c r="F5633" t="s">
        <v>75</v>
      </c>
      <c r="G5633">
        <v>-418.85019999999997</v>
      </c>
      <c r="H5633" s="1">
        <v>-6.6448359999999996E-6</v>
      </c>
      <c r="I5633">
        <v>20.41686</v>
      </c>
      <c r="J5633">
        <v>-423.24680000000001</v>
      </c>
      <c r="K5633">
        <v>1.123243</v>
      </c>
      <c r="L5633">
        <v>70.186769999999996</v>
      </c>
      <c r="M5633">
        <v>-3.1253050000000001E-3</v>
      </c>
      <c r="N5633">
        <v>-1.3948820000000001E-2</v>
      </c>
      <c r="O5633">
        <v>-0.99989799999999995</v>
      </c>
      <c r="P5633">
        <v>8.6567169999999995E-3</v>
      </c>
      <c r="Q5633">
        <v>0.178034</v>
      </c>
      <c r="R5633">
        <v>-0.98398640000000004</v>
      </c>
      <c r="S5633">
        <v>0.26837159999999999</v>
      </c>
      <c r="T5633">
        <v>-6.8565730000000005E-2</v>
      </c>
      <c r="U5633">
        <v>-3.0588679999999999</v>
      </c>
      <c r="V5633">
        <v>-1.250336E-2</v>
      </c>
      <c r="W5633">
        <v>0.19169330000000001</v>
      </c>
      <c r="X5633">
        <v>0.9813752</v>
      </c>
      <c r="Y5633">
        <v>-9.0487139999999994E-2</v>
      </c>
      <c r="Z5633">
        <v>8.3713739999999991E-3</v>
      </c>
      <c r="AA5633">
        <v>0.99586240000000004</v>
      </c>
      <c r="AB5633">
        <v>35</v>
      </c>
      <c r="AC5633">
        <v>4.3966000000000296</v>
      </c>
      <c r="AD5633">
        <v>-1.1232496448360001</v>
      </c>
      <c r="AE5633">
        <v>-49.769910000000003</v>
      </c>
      <c r="AF5633">
        <v>-4.5498402498750803</v>
      </c>
      <c r="AG5633">
        <v>-1.1232496448360001</v>
      </c>
      <c r="AH5633">
        <v>49.730790450776297</v>
      </c>
      <c r="AI5633">
        <v>91.288517471331801</v>
      </c>
      <c r="AJ5633">
        <v>95.2274039855225</v>
      </c>
      <c r="AK5633">
        <v>49.951118655371701</v>
      </c>
      <c r="AL5633">
        <v>78.948379888633497</v>
      </c>
      <c r="AM5633">
        <v>90.729946099146304</v>
      </c>
      <c r="AN5633">
        <v>0.99999996922560896</v>
      </c>
    </row>
    <row r="5634" spans="1:40" x14ac:dyDescent="0.25">
      <c r="A5634" t="str">
        <f>"20190303170406145"</f>
        <v>20190303170406145</v>
      </c>
      <c r="B5634" t="str">
        <f>"1551603846131424"</f>
        <v>1551603846131424</v>
      </c>
      <c r="C5634" t="s">
        <v>40</v>
      </c>
      <c r="D5634">
        <v>4.5287680000000003</v>
      </c>
      <c r="E5634">
        <v>0.51015959999999905</v>
      </c>
      <c r="F5634" t="s">
        <v>75</v>
      </c>
      <c r="G5634">
        <v>-418.66370000000001</v>
      </c>
      <c r="H5634" s="1">
        <v>-1.276742E-5</v>
      </c>
      <c r="I5634">
        <v>18.298390000000001</v>
      </c>
      <c r="J5634">
        <v>-423.24630000000002</v>
      </c>
      <c r="K5634">
        <v>1.1231990000000001</v>
      </c>
      <c r="L5634">
        <v>69.836640000000003</v>
      </c>
      <c r="M5634">
        <v>-1.5397129999999901E-3</v>
      </c>
      <c r="N5634">
        <v>-1.394508E-2</v>
      </c>
      <c r="O5634">
        <v>-0.9999017</v>
      </c>
      <c r="P5634">
        <v>1.100988E-2</v>
      </c>
      <c r="Q5634">
        <v>0.178154799999999</v>
      </c>
      <c r="R5634">
        <v>-0.98394099999999995</v>
      </c>
      <c r="S5634">
        <v>0.27014159999999998</v>
      </c>
      <c r="T5634">
        <v>-6.6207050000000003E-2</v>
      </c>
      <c r="U5634">
        <v>-3.058411</v>
      </c>
      <c r="V5634">
        <v>-1.327097E-2</v>
      </c>
      <c r="W5634">
        <v>0.19180800000000001</v>
      </c>
      <c r="X5634">
        <v>0.98134270000000001</v>
      </c>
      <c r="Y5634">
        <v>-8.9494019999999994E-2</v>
      </c>
      <c r="Z5634">
        <v>7.6121909999999999E-3</v>
      </c>
      <c r="AA5634">
        <v>0.99595829999999996</v>
      </c>
      <c r="AB5634">
        <v>35</v>
      </c>
      <c r="AC5634">
        <v>4.58260000000001</v>
      </c>
      <c r="AD5634">
        <v>-1.12321176742</v>
      </c>
      <c r="AE5634">
        <v>-51.538249999999998</v>
      </c>
      <c r="AF5634">
        <v>-4.6597605134114302</v>
      </c>
      <c r="AG5634">
        <v>-1.12321176742</v>
      </c>
      <c r="AH5634">
        <v>51.506860134102702</v>
      </c>
      <c r="AI5634">
        <v>91.244173375662697</v>
      </c>
      <c r="AJ5634">
        <v>95.169404225023698</v>
      </c>
      <c r="AK5634">
        <v>51.729407628454801</v>
      </c>
      <c r="AL5634">
        <v>78.9416837177248</v>
      </c>
      <c r="AM5634">
        <v>90.774779518085197</v>
      </c>
      <c r="AN5634">
        <v>0.99999996117601397</v>
      </c>
    </row>
    <row r="5635" spans="1:40" x14ac:dyDescent="0.25">
      <c r="A5635" t="str">
        <f>"20190303170406166"</f>
        <v>20190303170406166</v>
      </c>
      <c r="B5635" t="str">
        <f>"1551603846161680"</f>
        <v>1551603846161680</v>
      </c>
      <c r="C5635" t="s">
        <v>40</v>
      </c>
      <c r="D5635">
        <v>4.435467</v>
      </c>
      <c r="E5635">
        <v>0.52679279999999995</v>
      </c>
      <c r="F5635" t="s">
        <v>75</v>
      </c>
      <c r="G5635">
        <v>-423.39440000000002</v>
      </c>
      <c r="H5635">
        <v>7.9986299999999996E-2</v>
      </c>
      <c r="I5635">
        <v>6.9177929999999996</v>
      </c>
      <c r="J5635">
        <v>-423.24520000000001</v>
      </c>
      <c r="K5635">
        <v>1.123146</v>
      </c>
      <c r="L5635">
        <v>69.48227</v>
      </c>
      <c r="M5635" s="1">
        <v>1.7297119999999999E-5</v>
      </c>
      <c r="N5635">
        <v>-1.394141E-2</v>
      </c>
      <c r="O5635">
        <v>-0.99990310000000004</v>
      </c>
      <c r="P5635">
        <v>1.379097E-2</v>
      </c>
      <c r="Q5635">
        <v>0.1776856</v>
      </c>
      <c r="R5635">
        <v>-0.98399110000000001</v>
      </c>
      <c r="S5635">
        <v>-7.2021480000000002E-3</v>
      </c>
      <c r="T5635">
        <v>-5.0706269999999998E-2</v>
      </c>
      <c r="U5635">
        <v>-3.0582280000000002</v>
      </c>
      <c r="V5635">
        <v>-1.449318E-2</v>
      </c>
      <c r="W5635">
        <v>0.19133339999999999</v>
      </c>
      <c r="X5635">
        <v>0.98141809999999996</v>
      </c>
      <c r="Y5635">
        <v>2.3717870000000002E-3</v>
      </c>
      <c r="Z5635">
        <v>2.6368530000000002E-3</v>
      </c>
      <c r="AA5635">
        <v>0.99999369999999999</v>
      </c>
      <c r="AB5635">
        <v>35</v>
      </c>
      <c r="AC5635">
        <v>-0.14920000000000699</v>
      </c>
      <c r="AD5635">
        <v>-1.0431596999999999</v>
      </c>
      <c r="AE5635">
        <v>-62.564476999999997</v>
      </c>
      <c r="AF5635">
        <v>0.15024052337747801</v>
      </c>
      <c r="AG5635">
        <v>-1.0431596999999999</v>
      </c>
      <c r="AH5635">
        <v>62.547086371742203</v>
      </c>
      <c r="AI5635">
        <v>90.955487114194398</v>
      </c>
      <c r="AJ5635">
        <v>89.862373583726495</v>
      </c>
      <c r="AK5635">
        <v>62.555965087022201</v>
      </c>
      <c r="AL5635">
        <v>78.969389923987706</v>
      </c>
      <c r="AM5635">
        <v>90.846059073849702</v>
      </c>
      <c r="AN5635">
        <v>1.0000000046148401</v>
      </c>
    </row>
    <row r="5636" spans="1:40" x14ac:dyDescent="0.25">
      <c r="A5636" t="str">
        <f>"20190303170406188"</f>
        <v>20190303170406188</v>
      </c>
      <c r="B5636" t="str">
        <f>"1551603846181707"</f>
        <v>1551603846181707</v>
      </c>
      <c r="C5636" t="s">
        <v>40</v>
      </c>
      <c r="D5636">
        <v>4.4901650000000002</v>
      </c>
      <c r="E5636">
        <v>0.53201379999999998</v>
      </c>
      <c r="F5636" t="s">
        <v>75</v>
      </c>
      <c r="G5636">
        <v>-425.78300000000002</v>
      </c>
      <c r="H5636" s="1">
        <v>-8.1852010000000002E-6</v>
      </c>
      <c r="I5636">
        <v>10.297079999999999</v>
      </c>
      <c r="J5636">
        <v>-423.24369999999999</v>
      </c>
      <c r="K5636">
        <v>1.1230960000000001</v>
      </c>
      <c r="L5636">
        <v>69.140929999999997</v>
      </c>
      <c r="M5636">
        <v>1.4747009999999999E-3</v>
      </c>
      <c r="N5636">
        <v>-1.393787E-2</v>
      </c>
      <c r="O5636">
        <v>-0.9999017</v>
      </c>
      <c r="P5636">
        <v>1.5824830000000002E-2</v>
      </c>
      <c r="Q5636">
        <v>0.17731189999999999</v>
      </c>
      <c r="R5636">
        <v>-0.9840274</v>
      </c>
      <c r="S5636">
        <v>-0.13125609999999999</v>
      </c>
      <c r="T5636">
        <v>-5.8091400000000001E-2</v>
      </c>
      <c r="U5636">
        <v>-3.0611570000000001</v>
      </c>
      <c r="V5636">
        <v>-1.506945E-2</v>
      </c>
      <c r="W5636">
        <v>0.1909566</v>
      </c>
      <c r="X5636">
        <v>0.98148279999999999</v>
      </c>
      <c r="Y5636">
        <v>4.430133E-2</v>
      </c>
      <c r="Z5636">
        <v>5.0178239999999997E-3</v>
      </c>
      <c r="AA5636">
        <v>0.99900560000000005</v>
      </c>
      <c r="AB5636">
        <v>35</v>
      </c>
      <c r="AC5636">
        <v>-2.5393000000000199</v>
      </c>
      <c r="AD5636">
        <v>-1.123104185201</v>
      </c>
      <c r="AE5636">
        <v>-58.843850000000003</v>
      </c>
      <c r="AF5636">
        <v>2.6251282494117101</v>
      </c>
      <c r="AG5636">
        <v>-1.123104185201</v>
      </c>
      <c r="AH5636">
        <v>58.818654168658497</v>
      </c>
      <c r="AI5636">
        <v>91.092805366206704</v>
      </c>
      <c r="AJ5636">
        <v>87.444534841834297</v>
      </c>
      <c r="AK5636">
        <v>58.887916753345301</v>
      </c>
      <c r="AL5636">
        <v>78.991384452150001</v>
      </c>
      <c r="AM5636">
        <v>90.879636451663998</v>
      </c>
      <c r="AN5636">
        <v>0.99999999905135095</v>
      </c>
    </row>
    <row r="5637" spans="1:40" x14ac:dyDescent="0.25">
      <c r="A5637" t="str">
        <f>"20190303170406210"</f>
        <v>20190303170406210</v>
      </c>
      <c r="B5637" t="str">
        <f>"1551603846201227"</f>
        <v>1551603846201227</v>
      </c>
      <c r="C5637" t="s">
        <v>40</v>
      </c>
      <c r="D5637">
        <v>4.4426160000000001</v>
      </c>
      <c r="E5637">
        <v>0.53511390000000003</v>
      </c>
      <c r="F5637" t="s">
        <v>75</v>
      </c>
      <c r="G5637">
        <v>-426.42239999999998</v>
      </c>
      <c r="H5637" s="1">
        <v>-7.9861910000000003E-6</v>
      </c>
      <c r="I5637">
        <v>10.63218</v>
      </c>
      <c r="J5637">
        <v>-423.24180000000001</v>
      </c>
      <c r="K5637">
        <v>1.123054</v>
      </c>
      <c r="L5637">
        <v>68.800079999999994</v>
      </c>
      <c r="M5637">
        <v>2.8915310000000001E-3</v>
      </c>
      <c r="N5637">
        <v>-1.3934469999999999E-2</v>
      </c>
      <c r="O5637">
        <v>-0.99989890000000003</v>
      </c>
      <c r="P5637">
        <v>1.69185E-2</v>
      </c>
      <c r="Q5637">
        <v>0.1771335</v>
      </c>
      <c r="R5637">
        <v>-0.98404150000000001</v>
      </c>
      <c r="S5637">
        <v>-0.16635129999999901</v>
      </c>
      <c r="T5637">
        <v>-5.877566E-2</v>
      </c>
      <c r="U5637">
        <v>-3.0619510000000001</v>
      </c>
      <c r="V5637">
        <v>-1.4747049999999999E-2</v>
      </c>
      <c r="W5637">
        <v>0.19077830000000001</v>
      </c>
      <c r="X5637">
        <v>0.98152240000000002</v>
      </c>
      <c r="Y5637">
        <v>5.7121959999999999E-2</v>
      </c>
      <c r="Z5637">
        <v>5.2271879999999998E-3</v>
      </c>
      <c r="AA5637">
        <v>0.9983535</v>
      </c>
      <c r="AB5637">
        <v>35</v>
      </c>
      <c r="AC5637">
        <v>-3.1805999999999699</v>
      </c>
      <c r="AD5637">
        <v>-1.1230619861910001</v>
      </c>
      <c r="AE5637">
        <v>-58.167900000000003</v>
      </c>
      <c r="AF5637">
        <v>3.3475531430654999</v>
      </c>
      <c r="AG5637">
        <v>-1.1230619861910001</v>
      </c>
      <c r="AH5637">
        <v>58.136852029169397</v>
      </c>
      <c r="AI5637">
        <v>91.104847271911098</v>
      </c>
      <c r="AJ5637">
        <v>86.704515162583505</v>
      </c>
      <c r="AK5637">
        <v>58.243977749910002</v>
      </c>
      <c r="AL5637">
        <v>79.001791944425904</v>
      </c>
      <c r="AM5637">
        <v>90.860785402840904</v>
      </c>
      <c r="AN5637">
        <v>1.00000002846817</v>
      </c>
    </row>
    <row r="5638" spans="1:40" x14ac:dyDescent="0.25">
      <c r="A5638" t="str">
        <f>"20190303170406233"</f>
        <v>20190303170406233</v>
      </c>
      <c r="B5638" t="str">
        <f>"1551603846221723"</f>
        <v>1551603846221723</v>
      </c>
      <c r="C5638" t="s">
        <v>40</v>
      </c>
      <c r="D5638">
        <v>4.4438810000000002</v>
      </c>
      <c r="E5638">
        <v>0.53728419999999999</v>
      </c>
      <c r="F5638" t="s">
        <v>75</v>
      </c>
      <c r="G5638">
        <v>-426.7407</v>
      </c>
      <c r="H5638" s="1">
        <v>-7.9626459999999998E-6</v>
      </c>
      <c r="I5638">
        <v>11.554959999999999</v>
      </c>
      <c r="J5638">
        <v>-423.23930000000001</v>
      </c>
      <c r="K5638">
        <v>1.12301299999999</v>
      </c>
      <c r="L5638">
        <v>68.452330000000003</v>
      </c>
      <c r="M5638">
        <v>4.2998289999999998E-3</v>
      </c>
      <c r="N5638">
        <v>-1.393112E-2</v>
      </c>
      <c r="O5638">
        <v>-0.9998937</v>
      </c>
      <c r="P5638">
        <v>1.8714990000000001E-2</v>
      </c>
      <c r="Q5638">
        <v>0.17804229999999999</v>
      </c>
      <c r="R5638">
        <v>-0.98384459999999996</v>
      </c>
      <c r="S5638">
        <v>-0.18719479999999999</v>
      </c>
      <c r="T5638">
        <v>-6.0085180000000002E-2</v>
      </c>
      <c r="U5638">
        <v>-3.0626829999999998</v>
      </c>
      <c r="V5638">
        <v>-1.513981E-2</v>
      </c>
      <c r="W5638">
        <v>0.19168160000000001</v>
      </c>
      <c r="X5638">
        <v>0.9813404</v>
      </c>
      <c r="Y5638">
        <v>6.5282809999999997E-2</v>
      </c>
      <c r="Z5638">
        <v>5.6430780000000002E-3</v>
      </c>
      <c r="AA5638">
        <v>0.99785080000000004</v>
      </c>
      <c r="AB5638">
        <v>35</v>
      </c>
      <c r="AC5638">
        <v>-3.5013999999999799</v>
      </c>
      <c r="AD5638">
        <v>-1.1230209626459899</v>
      </c>
      <c r="AE5638">
        <v>-56.897369999999903</v>
      </c>
      <c r="AF5638">
        <v>3.7445870392054101</v>
      </c>
      <c r="AG5638">
        <v>-1.1230209626459899</v>
      </c>
      <c r="AH5638">
        <v>56.859719470519103</v>
      </c>
      <c r="AI5638">
        <v>91.129041261725206</v>
      </c>
      <c r="AJ5638">
        <v>86.232136436918495</v>
      </c>
      <c r="AK5638">
        <v>56.993954121843998</v>
      </c>
      <c r="AL5638">
        <v>78.949063429189593</v>
      </c>
      <c r="AM5638">
        <v>90.883871084986694</v>
      </c>
      <c r="AN5638">
        <v>1.00000001514877</v>
      </c>
    </row>
    <row r="5639" spans="1:40" x14ac:dyDescent="0.25">
      <c r="A5639" t="str">
        <f>"20190303170406255"</f>
        <v>20190303170406255</v>
      </c>
      <c r="B5639" t="str">
        <f>"1551603846241243"</f>
        <v>1551603846241243</v>
      </c>
      <c r="C5639" t="s">
        <v>40</v>
      </c>
      <c r="D5639">
        <v>4.4420809999999999</v>
      </c>
      <c r="E5639">
        <v>0.539105099999999</v>
      </c>
      <c r="F5639" t="s">
        <v>75</v>
      </c>
      <c r="G5639">
        <v>-427.0575</v>
      </c>
      <c r="H5639" s="1">
        <v>-7.6842500000000002E-6</v>
      </c>
      <c r="I5639">
        <v>9.9213679999999993</v>
      </c>
      <c r="J5639">
        <v>-423.23630000000003</v>
      </c>
      <c r="K5639">
        <v>1.12297</v>
      </c>
      <c r="L5639">
        <v>68.099459999999993</v>
      </c>
      <c r="M5639">
        <v>5.6871530000000003E-3</v>
      </c>
      <c r="N5639">
        <v>-1.392766E-2</v>
      </c>
      <c r="O5639">
        <v>-0.99988690000000002</v>
      </c>
      <c r="P5639">
        <v>2.1054260000000002E-2</v>
      </c>
      <c r="Q5639">
        <v>0.17871999999999999</v>
      </c>
      <c r="R5639">
        <v>-0.98367490000000002</v>
      </c>
      <c r="S5639">
        <v>-0.1998596</v>
      </c>
      <c r="T5639">
        <v>-5.8782340000000002E-2</v>
      </c>
      <c r="U5639">
        <v>-3.0636899999999998</v>
      </c>
      <c r="V5639">
        <v>-1.6095990000000001E-2</v>
      </c>
      <c r="W5639">
        <v>0.1923522</v>
      </c>
      <c r="X5639">
        <v>0.98119400000000001</v>
      </c>
      <c r="Y5639">
        <v>7.0753979999999994E-2</v>
      </c>
      <c r="Z5639">
        <v>5.2088689999999997E-3</v>
      </c>
      <c r="AA5639">
        <v>0.99748020000000004</v>
      </c>
      <c r="AB5639">
        <v>35</v>
      </c>
      <c r="AC5639">
        <v>-3.82119999999997</v>
      </c>
      <c r="AD5639">
        <v>-1.1229776842499899</v>
      </c>
      <c r="AE5639">
        <v>-58.1780919999999</v>
      </c>
      <c r="AF5639">
        <v>4.1504982115351901</v>
      </c>
      <c r="AG5639">
        <v>-1.1229776842499899</v>
      </c>
      <c r="AH5639">
        <v>58.133850447563603</v>
      </c>
      <c r="AI5639">
        <v>91.103841898364394</v>
      </c>
      <c r="AJ5639">
        <v>85.916265623429297</v>
      </c>
      <c r="AK5639">
        <v>58.292643465045998</v>
      </c>
      <c r="AL5639">
        <v>78.909912818595004</v>
      </c>
      <c r="AM5639">
        <v>90.939823909371597</v>
      </c>
      <c r="AN5639">
        <v>1.0000000576874499</v>
      </c>
    </row>
    <row r="5640" spans="1:40" x14ac:dyDescent="0.25">
      <c r="A5640" t="str">
        <f>"20190303170406278"</f>
        <v>20190303170406278</v>
      </c>
      <c r="B5640" t="str">
        <f>"1551603846271498"</f>
        <v>1551603846271498</v>
      </c>
      <c r="C5640" t="s">
        <v>40</v>
      </c>
      <c r="D5640">
        <v>4.4217009999999997</v>
      </c>
      <c r="E5640">
        <v>0.54140699999999997</v>
      </c>
      <c r="F5640" t="s">
        <v>75</v>
      </c>
      <c r="G5640">
        <v>-427.20299999999997</v>
      </c>
      <c r="H5640">
        <v>1.9922039999999998E-2</v>
      </c>
      <c r="I5640">
        <v>9.6972140000000007</v>
      </c>
      <c r="J5640">
        <v>-423.233</v>
      </c>
      <c r="K5640">
        <v>1.122924</v>
      </c>
      <c r="L5640">
        <v>67.748750000000001</v>
      </c>
      <c r="M5640">
        <v>7.0165669999999996E-3</v>
      </c>
      <c r="N5640">
        <v>-1.392416E-2</v>
      </c>
      <c r="O5640">
        <v>-0.99987859999999995</v>
      </c>
      <c r="P5640">
        <v>2.3797909999999999E-2</v>
      </c>
      <c r="Q5640">
        <v>0.17824609999999999</v>
      </c>
      <c r="R5640">
        <v>-0.98369830000000003</v>
      </c>
      <c r="S5640">
        <v>-0.2081604</v>
      </c>
      <c r="T5640">
        <v>-5.7884339999999999E-2</v>
      </c>
      <c r="U5640">
        <v>-3.0647579999999999</v>
      </c>
      <c r="V5640">
        <v>-1.7507809999999999E-2</v>
      </c>
      <c r="W5640">
        <v>0.19187299999999999</v>
      </c>
      <c r="X5640">
        <v>0.98126360000000001</v>
      </c>
      <c r="Y5640">
        <v>7.4746129999999994E-2</v>
      </c>
      <c r="Z5640">
        <v>4.9080879999999997E-3</v>
      </c>
      <c r="AA5640">
        <v>0.99719049999999998</v>
      </c>
      <c r="AB5640">
        <v>35</v>
      </c>
      <c r="AC5640">
        <v>-3.9700000000000202</v>
      </c>
      <c r="AD5640">
        <v>-1.1030019600000001</v>
      </c>
      <c r="AE5640">
        <v>-58.051535999999999</v>
      </c>
      <c r="AF5640">
        <v>4.3756918343055498</v>
      </c>
      <c r="AG5640">
        <v>-1.1030019600000001</v>
      </c>
      <c r="AH5640">
        <v>58.001406337844699</v>
      </c>
      <c r="AI5640">
        <v>91.086365546966206</v>
      </c>
      <c r="AJ5640">
        <v>85.685713793371093</v>
      </c>
      <c r="AK5640">
        <v>58.176682867969902</v>
      </c>
      <c r="AL5640">
        <v>78.937889580008701</v>
      </c>
      <c r="AM5640">
        <v>91.022168963357799</v>
      </c>
      <c r="AN5640">
        <v>1.0000000121124699</v>
      </c>
    </row>
    <row r="5641" spans="1:40" x14ac:dyDescent="0.25">
      <c r="A5641" t="str">
        <f>"20190303170406300"</f>
        <v>20190303170406300</v>
      </c>
      <c r="B5641" t="str">
        <f>"1551603846291018"</f>
        <v>1551603846291018</v>
      </c>
      <c r="C5641" t="s">
        <v>40</v>
      </c>
      <c r="D5641">
        <v>4.4530459999999996</v>
      </c>
      <c r="E5641">
        <v>0.54256190000000004</v>
      </c>
      <c r="F5641" t="s">
        <v>75</v>
      </c>
      <c r="G5641">
        <v>-427.24849999999998</v>
      </c>
      <c r="H5641" s="1">
        <v>-7.7557109999999994E-6</v>
      </c>
      <c r="I5641">
        <v>11.331899999999999</v>
      </c>
      <c r="J5641">
        <v>-423.22910000000002</v>
      </c>
      <c r="K5641">
        <v>1.1228750000000001</v>
      </c>
      <c r="L5641">
        <v>67.395659999999907</v>
      </c>
      <c r="M5641">
        <v>8.3151930000000002E-3</v>
      </c>
      <c r="N5641">
        <v>-1.3920719999999999E-2</v>
      </c>
      <c r="O5641">
        <v>-0.99986889999999995</v>
      </c>
      <c r="P5641">
        <v>2.608984E-2</v>
      </c>
      <c r="Q5641">
        <v>0.17698329999999901</v>
      </c>
      <c r="R5641">
        <v>-0.98386850000000003</v>
      </c>
      <c r="S5641">
        <v>-0.21823119999999999</v>
      </c>
      <c r="T5641">
        <v>-6.1027650000000003E-2</v>
      </c>
      <c r="U5641">
        <v>-3.066071</v>
      </c>
      <c r="V5641">
        <v>-1.8495040000000001E-2</v>
      </c>
      <c r="W5641">
        <v>0.19060879999999999</v>
      </c>
      <c r="X5641">
        <v>0.98149180000000003</v>
      </c>
      <c r="Y5641">
        <v>7.9269279999999998E-2</v>
      </c>
      <c r="Z5641">
        <v>5.9188069999999999E-3</v>
      </c>
      <c r="AA5641">
        <v>0.99683560000000004</v>
      </c>
      <c r="AB5641">
        <v>35</v>
      </c>
      <c r="AC5641">
        <v>-4.0193999999999601</v>
      </c>
      <c r="AD5641">
        <v>-1.1228827557109999</v>
      </c>
      <c r="AE5641">
        <v>-56.063760000000002</v>
      </c>
      <c r="AF5641">
        <v>4.4836975745803196</v>
      </c>
      <c r="AG5641">
        <v>-1.1228827557109999</v>
      </c>
      <c r="AH5641">
        <v>56.006044273892897</v>
      </c>
      <c r="AI5641">
        <v>91.144924999254698</v>
      </c>
      <c r="AJ5641">
        <v>85.422811617662504</v>
      </c>
      <c r="AK5641">
        <v>56.1964536677593</v>
      </c>
      <c r="AL5641">
        <v>79.011684441940304</v>
      </c>
      <c r="AM5641">
        <v>91.079542725500303</v>
      </c>
      <c r="AN5641">
        <v>0.99999996730464003</v>
      </c>
    </row>
    <row r="5642" spans="1:40" x14ac:dyDescent="0.25">
      <c r="A5642" t="str">
        <f>"20190303170406323"</f>
        <v>20190303170406323</v>
      </c>
      <c r="B5642" t="str">
        <f>"1551603846311514"</f>
        <v>1551603846311514</v>
      </c>
      <c r="C5642" t="s">
        <v>40</v>
      </c>
      <c r="D5642">
        <v>4.4307819999999998</v>
      </c>
      <c r="E5642">
        <v>0.54357889999999998</v>
      </c>
      <c r="F5642" t="s">
        <v>75</v>
      </c>
      <c r="G5642">
        <v>-426.93770000000001</v>
      </c>
      <c r="H5642" s="1">
        <v>-8.3421870000000006E-6</v>
      </c>
      <c r="I5642">
        <v>15.68723</v>
      </c>
      <c r="J5642">
        <v>-423.22489999999999</v>
      </c>
      <c r="K5642">
        <v>1.1228359999999999</v>
      </c>
      <c r="L5642">
        <v>67.051940000000002</v>
      </c>
      <c r="M5642">
        <v>9.5379060000000005E-3</v>
      </c>
      <c r="N5642">
        <v>-1.391744E-2</v>
      </c>
      <c r="O5642">
        <v>-0.99985780000000002</v>
      </c>
      <c r="P5642">
        <v>2.736475E-2</v>
      </c>
      <c r="Q5642">
        <v>0.1763062</v>
      </c>
      <c r="R5642">
        <v>-0.98395509999999997</v>
      </c>
      <c r="S5642">
        <v>-0.21997069999999999</v>
      </c>
      <c r="T5642">
        <v>-6.6602350000000005E-2</v>
      </c>
      <c r="U5642">
        <v>-3.0670169999999999</v>
      </c>
      <c r="V5642">
        <v>-1.854337E-2</v>
      </c>
      <c r="W5642">
        <v>0.1899324</v>
      </c>
      <c r="X5642">
        <v>0.98162199999999999</v>
      </c>
      <c r="Y5642">
        <v>8.1026609999999999E-2</v>
      </c>
      <c r="Z5642">
        <v>7.72458E-3</v>
      </c>
      <c r="AA5642">
        <v>0.99668199999999996</v>
      </c>
      <c r="AB5642">
        <v>35</v>
      </c>
      <c r="AC5642">
        <v>-3.7128000000000099</v>
      </c>
      <c r="AD5642">
        <v>-1.122844342187</v>
      </c>
      <c r="AE5642">
        <v>-51.364709999999903</v>
      </c>
      <c r="AF5642">
        <v>4.2005933402749802</v>
      </c>
      <c r="AG5642">
        <v>-1.122844342187</v>
      </c>
      <c r="AH5642">
        <v>51.302568852944198</v>
      </c>
      <c r="AI5642">
        <v>91.249635280153598</v>
      </c>
      <c r="AJ5642">
        <v>85.319131460098404</v>
      </c>
      <c r="AK5642">
        <v>51.4864966252145</v>
      </c>
      <c r="AL5642">
        <v>79.0511604112763</v>
      </c>
      <c r="AM5642">
        <v>91.082219516137997</v>
      </c>
      <c r="AN5642">
        <v>0.99999996201235697</v>
      </c>
    </row>
    <row r="5643" spans="1:40" x14ac:dyDescent="0.25">
      <c r="A5643" t="str">
        <f>"20190303170406344"</f>
        <v>20190303170406344</v>
      </c>
      <c r="B5643" t="str">
        <f>"1551603846331034"</f>
        <v>1551603846331034</v>
      </c>
      <c r="C5643" t="s">
        <v>40</v>
      </c>
      <c r="D5643">
        <v>4.4391080000000001</v>
      </c>
      <c r="E5643">
        <v>0.54401949999999999</v>
      </c>
      <c r="F5643" t="s">
        <v>75</v>
      </c>
      <c r="G5643">
        <v>-426.78890000000001</v>
      </c>
      <c r="H5643" s="1">
        <v>-8.648849E-6</v>
      </c>
      <c r="I5643">
        <v>17.949249999999999</v>
      </c>
      <c r="J5643">
        <v>-423.22050000000002</v>
      </c>
      <c r="K5643">
        <v>1.122795</v>
      </c>
      <c r="L5643">
        <v>66.710049999999995</v>
      </c>
      <c r="M5643">
        <v>1.070782E-2</v>
      </c>
      <c r="N5643">
        <v>-1.3914279999999999E-2</v>
      </c>
      <c r="O5643">
        <v>-0.99984609999999996</v>
      </c>
      <c r="P5643">
        <v>2.848498E-2</v>
      </c>
      <c r="Q5643">
        <v>0.17677579999999901</v>
      </c>
      <c r="R5643">
        <v>-0.98383920000000002</v>
      </c>
      <c r="S5643">
        <v>-0.2226563</v>
      </c>
      <c r="T5643">
        <v>-7.0148940000000007E-2</v>
      </c>
      <c r="U5643">
        <v>-3.0676570000000001</v>
      </c>
      <c r="V5643">
        <v>-1.8493929999999999E-2</v>
      </c>
      <c r="W5643">
        <v>0.19039909999999999</v>
      </c>
      <c r="X5643">
        <v>0.98153259999999998</v>
      </c>
      <c r="Y5643">
        <v>8.3043989999999998E-2</v>
      </c>
      <c r="Z5643">
        <v>8.8716309999999996E-3</v>
      </c>
      <c r="AA5643">
        <v>0.99650640000000001</v>
      </c>
      <c r="AB5643">
        <v>35</v>
      </c>
      <c r="AC5643">
        <v>-3.5683999999999898</v>
      </c>
      <c r="AD5643">
        <v>-1.1228036488490001</v>
      </c>
      <c r="AE5643">
        <v>-48.760800000000003</v>
      </c>
      <c r="AF5643">
        <v>4.08821152202405</v>
      </c>
      <c r="AG5643">
        <v>-1.1228036488490001</v>
      </c>
      <c r="AH5643">
        <v>48.694108873360101</v>
      </c>
      <c r="AI5643">
        <v>91.316280230638895</v>
      </c>
      <c r="AJ5643">
        <v>85.200872854265796</v>
      </c>
      <c r="AK5643">
        <v>48.8783223981074</v>
      </c>
      <c r="AL5643">
        <v>79.023924358337595</v>
      </c>
      <c r="AM5643">
        <v>91.079433090156797</v>
      </c>
      <c r="AN5643">
        <v>1.0000000437951999</v>
      </c>
    </row>
    <row r="5644" spans="1:40" x14ac:dyDescent="0.25">
      <c r="A5644" t="str">
        <f>"20190303170406367"</f>
        <v>20190303170406367</v>
      </c>
      <c r="B5644" t="str">
        <f>"1551603846361291"</f>
        <v>1551603846361291</v>
      </c>
      <c r="C5644" t="s">
        <v>40</v>
      </c>
      <c r="D5644">
        <v>4.4450320000000003</v>
      </c>
      <c r="E5644">
        <v>0.55532530000000002</v>
      </c>
      <c r="F5644" t="s">
        <v>75</v>
      </c>
      <c r="G5644">
        <v>-426.86430000000001</v>
      </c>
      <c r="H5644" s="1">
        <v>-8.4784679999999993E-6</v>
      </c>
      <c r="I5644">
        <v>16.670000000000002</v>
      </c>
      <c r="J5644">
        <v>-423.21539999999999</v>
      </c>
      <c r="K5644">
        <v>1.1227370000000001</v>
      </c>
      <c r="L5644">
        <v>66.358639999999994</v>
      </c>
      <c r="M5644">
        <v>1.185422E-2</v>
      </c>
      <c r="N5644">
        <v>-1.391095E-2</v>
      </c>
      <c r="O5644">
        <v>-0.99983310000000003</v>
      </c>
      <c r="P5644">
        <v>2.972607E-2</v>
      </c>
      <c r="Q5644">
        <v>0.17758640000000001</v>
      </c>
      <c r="R5644">
        <v>-0.98365630000000004</v>
      </c>
      <c r="S5644">
        <v>-0.22341920000000001</v>
      </c>
      <c r="T5644">
        <v>-6.8842650000000005E-2</v>
      </c>
      <c r="U5644">
        <v>-3.0681150000000001</v>
      </c>
      <c r="V5644">
        <v>-1.8587840000000001E-2</v>
      </c>
      <c r="W5644">
        <v>0.1912065</v>
      </c>
      <c r="X5644">
        <v>0.98137379999999996</v>
      </c>
      <c r="Y5644">
        <v>8.4422460000000005E-2</v>
      </c>
      <c r="Z5644">
        <v>8.4448349999999995E-3</v>
      </c>
      <c r="AA5644">
        <v>0.99639429999999996</v>
      </c>
      <c r="AB5644">
        <v>35</v>
      </c>
      <c r="AC5644">
        <v>-3.6489000000000198</v>
      </c>
      <c r="AD5644">
        <v>-1.122745478468</v>
      </c>
      <c r="AE5644">
        <v>-49.688639999999999</v>
      </c>
      <c r="AF5644">
        <v>4.2355696362151098</v>
      </c>
      <c r="AG5644">
        <v>-1.122745478468</v>
      </c>
      <c r="AH5644">
        <v>49.616692457473299</v>
      </c>
      <c r="AI5644">
        <v>91.291593585591002</v>
      </c>
      <c r="AJ5644">
        <v>85.120728132800096</v>
      </c>
      <c r="AK5644">
        <v>49.809806042305901</v>
      </c>
      <c r="AL5644">
        <v>78.976797295542198</v>
      </c>
      <c r="AM5644">
        <v>91.085088529693607</v>
      </c>
      <c r="AN5644">
        <v>0.999999984382277</v>
      </c>
    </row>
    <row r="5645" spans="1:40" x14ac:dyDescent="0.25">
      <c r="A5645" t="str">
        <f>"20190303170406389"</f>
        <v>20190303170406389</v>
      </c>
      <c r="B5645" t="str">
        <f>"1551603846381787"</f>
        <v>1551603846381787</v>
      </c>
      <c r="C5645" t="s">
        <v>40</v>
      </c>
      <c r="D5645">
        <v>4.4576209999999996</v>
      </c>
      <c r="E5645">
        <v>0.55627530000000003</v>
      </c>
      <c r="F5645" t="s">
        <v>75</v>
      </c>
      <c r="G5645">
        <v>-427.79169999999999</v>
      </c>
      <c r="H5645" s="1">
        <v>-9.9140239999999993E-6</v>
      </c>
      <c r="I5645">
        <v>20.92353</v>
      </c>
      <c r="J5645">
        <v>-423.21019999999999</v>
      </c>
      <c r="K5645">
        <v>1.122673</v>
      </c>
      <c r="L5645">
        <v>66.012360000000001</v>
      </c>
      <c r="M5645">
        <v>1.291688E-2</v>
      </c>
      <c r="N5645">
        <v>-1.3907569999999999E-2</v>
      </c>
      <c r="O5645">
        <v>-0.99982009999999999</v>
      </c>
      <c r="P5645">
        <v>3.0485499999999999E-2</v>
      </c>
      <c r="Q5645">
        <v>0.17622019999999999</v>
      </c>
      <c r="R5645">
        <v>-0.9838789</v>
      </c>
      <c r="S5645">
        <v>-0.30950929999999999</v>
      </c>
      <c r="T5645">
        <v>-7.5935359999999993E-2</v>
      </c>
      <c r="U5645">
        <v>-3.072937</v>
      </c>
      <c r="V5645">
        <v>-1.8268E-2</v>
      </c>
      <c r="W5645">
        <v>0.18984390000000001</v>
      </c>
      <c r="X5645">
        <v>0.98164430000000003</v>
      </c>
      <c r="Y5645">
        <v>0.11302280000000001</v>
      </c>
      <c r="Z5645">
        <v>1.064439E-2</v>
      </c>
      <c r="AA5645">
        <v>0.99353539999999996</v>
      </c>
      <c r="AB5645">
        <v>35</v>
      </c>
      <c r="AC5645">
        <v>-4.5815000000000001</v>
      </c>
      <c r="AD5645">
        <v>-1.122682914024</v>
      </c>
      <c r="AE5645">
        <v>-45.088830000000002</v>
      </c>
      <c r="AF5645">
        <v>5.1604142536838404</v>
      </c>
      <c r="AG5645">
        <v>-1.122682914024</v>
      </c>
      <c r="AH5645">
        <v>44.998270437173197</v>
      </c>
      <c r="AI5645">
        <v>91.419900116418503</v>
      </c>
      <c r="AJ5645">
        <v>83.457883759545197</v>
      </c>
      <c r="AK5645">
        <v>45.307114612740897</v>
      </c>
      <c r="AL5645">
        <v>79.056325242611194</v>
      </c>
      <c r="AM5645">
        <v>91.066128023829506</v>
      </c>
      <c r="AN5645">
        <v>0.999999978956849</v>
      </c>
    </row>
    <row r="5646" spans="1:40" x14ac:dyDescent="0.25">
      <c r="A5646" t="str">
        <f>"20190303170406412"</f>
        <v>20190303170406412</v>
      </c>
      <c r="B5646" t="str">
        <f>"1551603846401307"</f>
        <v>1551603846401307</v>
      </c>
      <c r="C5646" t="s">
        <v>40</v>
      </c>
      <c r="D5646">
        <v>4.4465640000000004</v>
      </c>
      <c r="E5646">
        <v>0.55686380000000002</v>
      </c>
      <c r="F5646" t="s">
        <v>75</v>
      </c>
      <c r="G5646">
        <v>-427.6755</v>
      </c>
      <c r="H5646" s="1">
        <v>-9.2510699999999998E-6</v>
      </c>
      <c r="I5646">
        <v>22.41686</v>
      </c>
      <c r="J5646">
        <v>-423.20479999999998</v>
      </c>
      <c r="K5646">
        <v>1.1225959999999999</v>
      </c>
      <c r="L5646">
        <v>65.672150000000002</v>
      </c>
      <c r="M5646">
        <v>1.388174E-2</v>
      </c>
      <c r="N5646">
        <v>-1.3904150000000001E-2</v>
      </c>
      <c r="O5646">
        <v>-0.999807</v>
      </c>
      <c r="P5646">
        <v>3.163411E-2</v>
      </c>
      <c r="Q5646">
        <v>0.1744917</v>
      </c>
      <c r="R5646">
        <v>-0.98415030000000003</v>
      </c>
      <c r="S5646">
        <v>-0.31475829999999999</v>
      </c>
      <c r="T5646">
        <v>-7.9138990000000006E-2</v>
      </c>
      <c r="U5646">
        <v>-3.0730900000000001</v>
      </c>
      <c r="V5646">
        <v>-1.842682E-2</v>
      </c>
      <c r="W5646">
        <v>0.18811890000000001</v>
      </c>
      <c r="X5646">
        <v>0.9819734</v>
      </c>
      <c r="Y5646">
        <v>0.1156534</v>
      </c>
      <c r="Z5646">
        <v>1.1674840000000001E-2</v>
      </c>
      <c r="AA5646">
        <v>0.99322100000000002</v>
      </c>
      <c r="AB5646">
        <v>35</v>
      </c>
      <c r="AC5646">
        <v>-4.4707000000000203</v>
      </c>
      <c r="AD5646">
        <v>-1.12260525107</v>
      </c>
      <c r="AE5646">
        <v>-43.255290000000002</v>
      </c>
      <c r="AF5646">
        <v>5.0674087351574597</v>
      </c>
      <c r="AG5646">
        <v>-1.12260525107</v>
      </c>
      <c r="AH5646">
        <v>43.1602904586601</v>
      </c>
      <c r="AI5646">
        <v>91.479775590918393</v>
      </c>
      <c r="AJ5646">
        <v>83.303614249861099</v>
      </c>
      <c r="AK5646">
        <v>43.471249652095203</v>
      </c>
      <c r="AL5646">
        <v>79.156974480455801</v>
      </c>
      <c r="AM5646">
        <v>91.075034332582305</v>
      </c>
      <c r="AN5646">
        <v>1.00000001327004</v>
      </c>
    </row>
    <row r="5647" spans="1:40" x14ac:dyDescent="0.25">
      <c r="A5647" t="str">
        <f>"20190303170406434"</f>
        <v>20190303170406434</v>
      </c>
      <c r="B5647" t="str">
        <f>"1551603846421803"</f>
        <v>1551603846421803</v>
      </c>
      <c r="C5647" t="s">
        <v>40</v>
      </c>
      <c r="D5647">
        <v>4.4406829999999999</v>
      </c>
      <c r="E5647">
        <v>0.5572471</v>
      </c>
      <c r="F5647" t="s">
        <v>75</v>
      </c>
      <c r="G5647">
        <v>-427.41480000000001</v>
      </c>
      <c r="H5647" s="1">
        <v>-8.1928769999999995E-6</v>
      </c>
      <c r="I5647">
        <v>24.785399999999999</v>
      </c>
      <c r="J5647">
        <v>-423.19900000000001</v>
      </c>
      <c r="K5647">
        <v>1.122514</v>
      </c>
      <c r="L5647">
        <v>65.321869999999905</v>
      </c>
      <c r="M5647">
        <v>1.47756E-2</v>
      </c>
      <c r="N5647">
        <v>-1.3900620000000001E-2</v>
      </c>
      <c r="O5647">
        <v>-0.99979439999999997</v>
      </c>
      <c r="P5647">
        <v>3.314566E-2</v>
      </c>
      <c r="Q5647">
        <v>0.17403160000000001</v>
      </c>
      <c r="R5647">
        <v>-0.98418220000000001</v>
      </c>
      <c r="S5647">
        <v>-0.31646729999999901</v>
      </c>
      <c r="T5647">
        <v>-8.438611E-2</v>
      </c>
      <c r="U5647">
        <v>-3.0734560000000002</v>
      </c>
      <c r="V5647">
        <v>-1.901804E-2</v>
      </c>
      <c r="W5647">
        <v>0.18765899999999999</v>
      </c>
      <c r="X5647">
        <v>0.98205010000000004</v>
      </c>
      <c r="Y5647">
        <v>0.1170718</v>
      </c>
      <c r="Z5647">
        <v>1.3366579999999999E-2</v>
      </c>
      <c r="AA5647">
        <v>0.99303350000000001</v>
      </c>
      <c r="AB5647">
        <v>35</v>
      </c>
      <c r="AC5647">
        <v>-4.2157999999999998</v>
      </c>
      <c r="AD5647">
        <v>-1.1225221928769999</v>
      </c>
      <c r="AE5647">
        <v>-40.536470000000001</v>
      </c>
      <c r="AF5647">
        <v>4.8106986122841899</v>
      </c>
      <c r="AG5647">
        <v>-1.1225221928769999</v>
      </c>
      <c r="AH5647">
        <v>40.439068995706897</v>
      </c>
      <c r="AI5647">
        <v>91.578901249366496</v>
      </c>
      <c r="AJ5647">
        <v>83.215881970097001</v>
      </c>
      <c r="AK5647">
        <v>40.739675728352097</v>
      </c>
      <c r="AL5647">
        <v>79.183802383739206</v>
      </c>
      <c r="AM5647">
        <v>91.109431423344901</v>
      </c>
      <c r="AN5647">
        <v>0.99999999251822502</v>
      </c>
    </row>
    <row r="5648" spans="1:40" x14ac:dyDescent="0.25">
      <c r="A5648" t="str">
        <f>"20190303170406456"</f>
        <v>20190303170406456</v>
      </c>
      <c r="B5648" t="str">
        <f>"1551603846451082"</f>
        <v>1551603846451082</v>
      </c>
      <c r="C5648" t="s">
        <v>40</v>
      </c>
      <c r="D5648">
        <v>4.4319519999999999</v>
      </c>
      <c r="E5648">
        <v>0.55767080000000002</v>
      </c>
      <c r="F5648" t="s">
        <v>75</v>
      </c>
      <c r="G5648">
        <v>-427.2996</v>
      </c>
      <c r="H5648" s="1">
        <v>-7.9423319999999994E-6</v>
      </c>
      <c r="I5648">
        <v>25.335429999999999</v>
      </c>
      <c r="J5648">
        <v>-423.19290000000001</v>
      </c>
      <c r="K5648">
        <v>1.12242</v>
      </c>
      <c r="L5648">
        <v>64.968599999999995</v>
      </c>
      <c r="M5648">
        <v>1.554055E-2</v>
      </c>
      <c r="N5648">
        <v>-1.3897059999999999E-2</v>
      </c>
      <c r="O5648">
        <v>-0.99978259999999997</v>
      </c>
      <c r="P5648">
        <v>3.4860769999999999E-2</v>
      </c>
      <c r="Q5648">
        <v>0.17494970000000001</v>
      </c>
      <c r="R5648">
        <v>-0.98396030000000001</v>
      </c>
      <c r="S5648">
        <v>-0.31524659999999999</v>
      </c>
      <c r="T5648">
        <v>-8.6297750000000006E-2</v>
      </c>
      <c r="U5648">
        <v>-3.0740970000000001</v>
      </c>
      <c r="V5648">
        <v>-1.9937920000000001E-2</v>
      </c>
      <c r="W5648">
        <v>0.18857409999999999</v>
      </c>
      <c r="X5648">
        <v>0.98185659999999997</v>
      </c>
      <c r="Y5648">
        <v>0.117419</v>
      </c>
      <c r="Z5648">
        <v>1.3980940000000001E-2</v>
      </c>
      <c r="AA5648">
        <v>0.99298410000000004</v>
      </c>
      <c r="AB5648">
        <v>35</v>
      </c>
      <c r="AC5648">
        <v>-4.1066999999999796</v>
      </c>
      <c r="AD5648">
        <v>-1.1224279423320001</v>
      </c>
      <c r="AE5648">
        <v>-39.6331699999999</v>
      </c>
      <c r="AF5648">
        <v>4.7184405460055903</v>
      </c>
      <c r="AG5648">
        <v>-1.1224279423320001</v>
      </c>
      <c r="AH5648">
        <v>39.533185742743697</v>
      </c>
      <c r="AI5648">
        <v>91.614852118157202</v>
      </c>
      <c r="AJ5648">
        <v>83.193721745283398</v>
      </c>
      <c r="AK5648">
        <v>39.829590766692498</v>
      </c>
      <c r="AL5648">
        <v>79.130418529124199</v>
      </c>
      <c r="AM5648">
        <v>91.163308054133495</v>
      </c>
      <c r="AN5648">
        <v>1.0000000474041399</v>
      </c>
    </row>
    <row r="5649" spans="1:40" x14ac:dyDescent="0.25">
      <c r="A5649" t="str">
        <f>"20190303170406478"</f>
        <v>20190303170406478</v>
      </c>
      <c r="B5649" t="str">
        <f>"1551603846471579"</f>
        <v>1551603846471579</v>
      </c>
      <c r="C5649" t="s">
        <v>40</v>
      </c>
      <c r="D5649">
        <v>4.4315129999999998</v>
      </c>
      <c r="E5649">
        <v>0.56143120000000002</v>
      </c>
      <c r="F5649" t="s">
        <v>75</v>
      </c>
      <c r="G5649">
        <v>-427.43290000000002</v>
      </c>
      <c r="H5649" s="1">
        <v>-8.7682799999999905E-6</v>
      </c>
      <c r="I5649">
        <v>23.472629999999999</v>
      </c>
      <c r="J5649">
        <v>-423.18700000000001</v>
      </c>
      <c r="K5649">
        <v>1.1223179999999999</v>
      </c>
      <c r="L5649">
        <v>64.637630000000001</v>
      </c>
      <c r="M5649">
        <v>1.6123990000000001E-2</v>
      </c>
      <c r="N5649">
        <v>-1.389369E-2</v>
      </c>
      <c r="O5649">
        <v>-0.99977360000000004</v>
      </c>
      <c r="P5649">
        <v>3.697056E-2</v>
      </c>
      <c r="Q5649">
        <v>0.1763825</v>
      </c>
      <c r="R5649">
        <v>-0.98362740000000004</v>
      </c>
      <c r="S5649">
        <v>-0.31417850000000003</v>
      </c>
      <c r="T5649">
        <v>-8.3171369999999994E-2</v>
      </c>
      <c r="U5649">
        <v>-3.0748289999999998</v>
      </c>
      <c r="V5649">
        <v>-2.1430080000000001E-2</v>
      </c>
      <c r="W5649">
        <v>0.1900017</v>
      </c>
      <c r="X5649">
        <v>0.98154989999999998</v>
      </c>
      <c r="Y5649">
        <v>0.1176353</v>
      </c>
      <c r="Z5649">
        <v>1.296753E-2</v>
      </c>
      <c r="AA5649">
        <v>0.99297219999999997</v>
      </c>
      <c r="AB5649">
        <v>35</v>
      </c>
      <c r="AC5649">
        <v>-4.2459000000000602</v>
      </c>
      <c r="AD5649">
        <v>-1.12232676828</v>
      </c>
      <c r="AE5649">
        <v>-41.164999999999999</v>
      </c>
      <c r="AF5649">
        <v>4.9055478952902298</v>
      </c>
      <c r="AG5649">
        <v>-1.12232676828</v>
      </c>
      <c r="AH5649">
        <v>41.060979451964897</v>
      </c>
      <c r="AI5649">
        <v>91.554635606592697</v>
      </c>
      <c r="AJ5649">
        <v>83.187174221101401</v>
      </c>
      <c r="AK5649">
        <v>41.368200965022197</v>
      </c>
      <c r="AL5649">
        <v>79.047117148372607</v>
      </c>
      <c r="AM5649">
        <v>91.250734270948897</v>
      </c>
      <c r="AN5649">
        <v>1.0000000502608499</v>
      </c>
    </row>
    <row r="5650" spans="1:40" x14ac:dyDescent="0.25">
      <c r="A5650" t="str">
        <f>"20190303170406501"</f>
        <v>20190303170406501</v>
      </c>
      <c r="B5650" t="str">
        <f>"1551603846491098"</f>
        <v>1551603846491098</v>
      </c>
      <c r="C5650" t="s">
        <v>40</v>
      </c>
      <c r="D5650">
        <v>4.4156360000000001</v>
      </c>
      <c r="E5650">
        <v>0.56137609999999905</v>
      </c>
      <c r="F5650" t="s">
        <v>75</v>
      </c>
      <c r="G5650">
        <v>-428.7747</v>
      </c>
      <c r="H5650" s="1">
        <v>-7.5049159999999902E-6</v>
      </c>
      <c r="I5650">
        <v>13.97602</v>
      </c>
      <c r="J5650">
        <v>-423.1807</v>
      </c>
      <c r="K5650">
        <v>1.122198</v>
      </c>
      <c r="L5650">
        <v>64.282929999999993</v>
      </c>
      <c r="M5650">
        <v>1.6620030000000001E-2</v>
      </c>
      <c r="N5650">
        <v>-1.38903E-2</v>
      </c>
      <c r="O5650">
        <v>-0.99976549999999997</v>
      </c>
      <c r="P5650">
        <v>3.9479019999999997E-2</v>
      </c>
      <c r="Q5650">
        <v>0.17625569999999999</v>
      </c>
      <c r="R5650">
        <v>-0.9835528</v>
      </c>
      <c r="S5650">
        <v>-0.33914179999999999</v>
      </c>
      <c r="T5650">
        <v>-6.8119170000000007E-2</v>
      </c>
      <c r="U5650">
        <v>-3.0748899999999999</v>
      </c>
      <c r="V5650">
        <v>-2.3396380000000001E-2</v>
      </c>
      <c r="W5650">
        <v>0.18987480000000001</v>
      </c>
      <c r="X5650">
        <v>0.98152950000000005</v>
      </c>
      <c r="Y5650">
        <v>0.1261005</v>
      </c>
      <c r="Z5650">
        <v>8.0865820000000001E-3</v>
      </c>
      <c r="AA5650">
        <v>0.99198450000000005</v>
      </c>
      <c r="AB5650">
        <v>35</v>
      </c>
      <c r="AC5650">
        <v>-5.5939999999999896</v>
      </c>
      <c r="AD5650">
        <v>-1.122205504916</v>
      </c>
      <c r="AE5650">
        <v>-50.306909999999903</v>
      </c>
      <c r="AF5650">
        <v>6.4262514141054696</v>
      </c>
      <c r="AG5650">
        <v>-1.122205504916</v>
      </c>
      <c r="AH5650">
        <v>50.182312500841299</v>
      </c>
      <c r="AI5650">
        <v>91.270694227714003</v>
      </c>
      <c r="AJ5650">
        <v>82.702528692255299</v>
      </c>
      <c r="AK5650">
        <v>50.604550589493897</v>
      </c>
      <c r="AL5650">
        <v>79.054522180212203</v>
      </c>
      <c r="AM5650">
        <v>91.365481148845404</v>
      </c>
      <c r="AN5650">
        <v>0.99999999482119695</v>
      </c>
    </row>
    <row r="5651" spans="1:40" x14ac:dyDescent="0.25">
      <c r="A5651" t="str">
        <f>"20190303170406524"</f>
        <v>20190303170406524</v>
      </c>
      <c r="B5651" t="str">
        <f>"1551603846511595"</f>
        <v>1551603846511595</v>
      </c>
      <c r="C5651" t="s">
        <v>40</v>
      </c>
      <c r="D5651">
        <v>4.4262689999999996</v>
      </c>
      <c r="E5651">
        <v>0.5619305</v>
      </c>
      <c r="F5651" t="s">
        <v>75</v>
      </c>
      <c r="G5651">
        <v>-428.6354</v>
      </c>
      <c r="H5651" s="1">
        <v>-7.5309709999999901E-6</v>
      </c>
      <c r="I5651">
        <v>13.77291</v>
      </c>
      <c r="J5651">
        <v>-423.17439999999999</v>
      </c>
      <c r="K5651">
        <v>1.1220840000000001</v>
      </c>
      <c r="L5651">
        <v>63.934690000000003</v>
      </c>
      <c r="M5651">
        <v>1.6967759999999998E-2</v>
      </c>
      <c r="N5651">
        <v>-1.3887139999999999E-2</v>
      </c>
      <c r="O5651">
        <v>-0.99975950000000002</v>
      </c>
      <c r="P5651">
        <v>4.1855110000000001E-2</v>
      </c>
      <c r="Q5651">
        <v>0.17664289999999999</v>
      </c>
      <c r="R5651">
        <v>-0.9833847</v>
      </c>
      <c r="S5651">
        <v>-0.33215329999999998</v>
      </c>
      <c r="T5651">
        <v>-6.8335290000000007E-2</v>
      </c>
      <c r="U5651">
        <v>-3.075745</v>
      </c>
      <c r="V5651">
        <v>-2.537932E-2</v>
      </c>
      <c r="W5651">
        <v>0.19026100000000001</v>
      </c>
      <c r="X5651">
        <v>0.98140539999999998</v>
      </c>
      <c r="Y5651">
        <v>0.1241883</v>
      </c>
      <c r="Z5651">
        <v>8.1585890000000008E-3</v>
      </c>
      <c r="AA5651">
        <v>0.99222509999999997</v>
      </c>
      <c r="AB5651">
        <v>35</v>
      </c>
      <c r="AC5651">
        <v>-5.4610000000000101</v>
      </c>
      <c r="AD5651">
        <v>-1.122091530971</v>
      </c>
      <c r="AE5651">
        <v>-50.16178</v>
      </c>
      <c r="AF5651">
        <v>6.3083092184937799</v>
      </c>
      <c r="AG5651">
        <v>-1.122091530971</v>
      </c>
      <c r="AH5651">
        <v>50.037142369545897</v>
      </c>
      <c r="AI5651">
        <v>91.274566540868804</v>
      </c>
      <c r="AJ5651">
        <v>82.814485527023095</v>
      </c>
      <c r="AK5651">
        <v>50.445708153520997</v>
      </c>
      <c r="AL5651">
        <v>79.031983292194496</v>
      </c>
      <c r="AM5651">
        <v>91.481348996144604</v>
      </c>
      <c r="AN5651">
        <v>0.99999995857691004</v>
      </c>
    </row>
    <row r="5652" spans="1:40" x14ac:dyDescent="0.25">
      <c r="A5652" t="str">
        <f>"20190303170406546"</f>
        <v>20190303170406546</v>
      </c>
      <c r="B5652" t="str">
        <f>"1551603846540874"</f>
        <v>1551603846540874</v>
      </c>
      <c r="C5652" t="s">
        <v>40</v>
      </c>
      <c r="D5652">
        <v>4.4179399999999998</v>
      </c>
      <c r="E5652">
        <v>0.52539219999999998</v>
      </c>
      <c r="F5652" t="s">
        <v>75</v>
      </c>
      <c r="G5652">
        <v>-428.73450000000003</v>
      </c>
      <c r="H5652" s="1">
        <v>-7.3111360000000003E-6</v>
      </c>
      <c r="I5652">
        <v>12.12771</v>
      </c>
      <c r="J5652">
        <v>-423.16829999999999</v>
      </c>
      <c r="K5652">
        <v>1.12198</v>
      </c>
      <c r="L5652">
        <v>63.590119999999999</v>
      </c>
      <c r="M5652">
        <v>1.7175909999999999E-2</v>
      </c>
      <c r="N5652">
        <v>-1.3884199999999999E-2</v>
      </c>
      <c r="O5652">
        <v>-0.99975619999999998</v>
      </c>
      <c r="P5652">
        <v>4.2774739999999999E-2</v>
      </c>
      <c r="Q5652">
        <v>0.17762790000000001</v>
      </c>
      <c r="R5652">
        <v>-0.98316760000000003</v>
      </c>
      <c r="S5652">
        <v>-0.3302002</v>
      </c>
      <c r="T5652">
        <v>-6.6638950000000002E-2</v>
      </c>
      <c r="U5652">
        <v>-3.076721</v>
      </c>
      <c r="V5652">
        <v>-2.6044830000000001E-2</v>
      </c>
      <c r="W5652">
        <v>0.19124730000000001</v>
      </c>
      <c r="X5652">
        <v>0.98119630000000002</v>
      </c>
      <c r="Y5652">
        <v>0.12373960000000001</v>
      </c>
      <c r="Z5652">
        <v>7.6084880000000001E-3</v>
      </c>
      <c r="AA5652">
        <v>0.99228550000000004</v>
      </c>
      <c r="AB5652">
        <v>35</v>
      </c>
      <c r="AC5652">
        <v>-5.5662000000000296</v>
      </c>
      <c r="AD5652">
        <v>-1.1219873111359999</v>
      </c>
      <c r="AE5652">
        <v>-51.462409999999998</v>
      </c>
      <c r="AF5652">
        <v>6.4463488439398198</v>
      </c>
      <c r="AG5652">
        <v>-1.1219873111359999</v>
      </c>
      <c r="AH5652">
        <v>51.335084242905502</v>
      </c>
      <c r="AI5652">
        <v>91.242312329852496</v>
      </c>
      <c r="AJ5652">
        <v>82.842607453987597</v>
      </c>
      <c r="AK5652">
        <v>51.750412009667301</v>
      </c>
      <c r="AL5652">
        <v>78.974416086103403</v>
      </c>
      <c r="AM5652">
        <v>91.520499529558705</v>
      </c>
      <c r="AN5652">
        <v>1.0000000210303499</v>
      </c>
    </row>
    <row r="5653" spans="1:40" x14ac:dyDescent="0.25">
      <c r="A5653" t="str">
        <f>"20190303170406568"</f>
        <v>20190303170406568</v>
      </c>
      <c r="B5653" t="str">
        <f>"1551603846561371"</f>
        <v>1551603846561371</v>
      </c>
      <c r="C5653" t="s">
        <v>40</v>
      </c>
      <c r="D5653">
        <v>4.5526010000000001</v>
      </c>
      <c r="E5653">
        <v>0.50929279999999999</v>
      </c>
      <c r="F5653" t="s">
        <v>75</v>
      </c>
      <c r="G5653">
        <v>-423.79750000000001</v>
      </c>
      <c r="H5653">
        <v>6.6378530000000005E-2</v>
      </c>
      <c r="I5653">
        <v>9.5999049999999997</v>
      </c>
      <c r="J5653">
        <v>-423.16230000000002</v>
      </c>
      <c r="K5653">
        <v>1.1218870000000001</v>
      </c>
      <c r="L5653">
        <v>63.252499999999998</v>
      </c>
      <c r="M5653">
        <v>1.7260930000000001E-2</v>
      </c>
      <c r="N5653">
        <v>-1.388143E-2</v>
      </c>
      <c r="O5653">
        <v>-0.99975480000000005</v>
      </c>
      <c r="P5653">
        <v>4.3335209999999999E-2</v>
      </c>
      <c r="Q5653">
        <v>0.1802762</v>
      </c>
      <c r="R5653">
        <v>-0.98266100000000001</v>
      </c>
      <c r="S5653">
        <v>-3.5705569999999999E-2</v>
      </c>
      <c r="T5653">
        <v>-5.9901000000000003E-2</v>
      </c>
      <c r="U5653">
        <v>-3.0637210000000001</v>
      </c>
      <c r="V5653">
        <v>-2.648091E-2</v>
      </c>
      <c r="W5653">
        <v>0.19389239999999999</v>
      </c>
      <c r="X5653">
        <v>0.98066529999999996</v>
      </c>
      <c r="Y5653">
        <v>2.8906310000000001E-2</v>
      </c>
      <c r="Z5653">
        <v>5.6568110000000003E-3</v>
      </c>
      <c r="AA5653">
        <v>0.99956610000000001</v>
      </c>
      <c r="AB5653">
        <v>35</v>
      </c>
      <c r="AC5653">
        <v>-0.63519999999999699</v>
      </c>
      <c r="AD5653">
        <v>-1.0555084699999999</v>
      </c>
      <c r="AE5653">
        <v>-53.652594999999998</v>
      </c>
      <c r="AF5653">
        <v>1.5606841955838799</v>
      </c>
      <c r="AG5653">
        <v>-1.0555084699999999</v>
      </c>
      <c r="AH5653">
        <v>53.612888287865999</v>
      </c>
      <c r="AI5653">
        <v>91.127392554626397</v>
      </c>
      <c r="AJ5653">
        <v>88.332576835165995</v>
      </c>
      <c r="AK5653">
        <v>53.6459842286054</v>
      </c>
      <c r="AL5653">
        <v>78.819971665548096</v>
      </c>
      <c r="AM5653">
        <v>91.546782342009905</v>
      </c>
      <c r="AN5653">
        <v>0.99999996599813801</v>
      </c>
    </row>
    <row r="5654" spans="1:40" x14ac:dyDescent="0.25">
      <c r="A5654" t="str">
        <f>"20190303170406590"</f>
        <v>20190303170406590</v>
      </c>
      <c r="B5654" t="str">
        <f>"1551603846580891"</f>
        <v>1551603846580891</v>
      </c>
      <c r="C5654" t="s">
        <v>40</v>
      </c>
      <c r="D5654">
        <v>4.3660649999999999</v>
      </c>
      <c r="E5654">
        <v>0.50188239999999995</v>
      </c>
      <c r="F5654" t="s">
        <v>44</v>
      </c>
      <c r="G5654">
        <v>-421.01159999999999</v>
      </c>
      <c r="H5654">
        <v>-0.05</v>
      </c>
      <c r="I5654">
        <v>-5.8936310000000001</v>
      </c>
      <c r="J5654">
        <v>-423.15629999999999</v>
      </c>
      <c r="K5654">
        <v>1.1217950000000001</v>
      </c>
      <c r="L5654">
        <v>62.908290000000001</v>
      </c>
      <c r="M5654">
        <v>1.72339E-2</v>
      </c>
      <c r="N5654">
        <v>-1.3878690000000001E-2</v>
      </c>
      <c r="O5654">
        <v>-0.99975510000000001</v>
      </c>
      <c r="P5654">
        <v>4.3340499999999997E-2</v>
      </c>
      <c r="Q5654">
        <v>0.1818564</v>
      </c>
      <c r="R5654">
        <v>-0.98236970000000001</v>
      </c>
      <c r="S5654">
        <v>9.5123289999999999E-2</v>
      </c>
      <c r="T5654">
        <v>-5.1830769999999998E-2</v>
      </c>
      <c r="U5654">
        <v>-3.0582280000000002</v>
      </c>
      <c r="V5654">
        <v>-2.6467299999999999E-2</v>
      </c>
      <c r="W5654">
        <v>0.19547229999999999</v>
      </c>
      <c r="X5654">
        <v>0.980352</v>
      </c>
      <c r="Y5654">
        <v>-1.385407E-2</v>
      </c>
      <c r="Z5654">
        <v>3.0622549999999998E-3</v>
      </c>
      <c r="AA5654">
        <v>0.99989930000000005</v>
      </c>
      <c r="AB5654">
        <v>35</v>
      </c>
      <c r="AC5654">
        <v>2.1446999999999998</v>
      </c>
      <c r="AD5654">
        <v>-1.1717949999999999</v>
      </c>
      <c r="AE5654">
        <v>-68.801920999999993</v>
      </c>
      <c r="AF5654">
        <v>-0.95826401888692903</v>
      </c>
      <c r="AG5654">
        <v>-1.1717949999999999</v>
      </c>
      <c r="AH5654">
        <v>68.808726101213907</v>
      </c>
      <c r="AI5654">
        <v>90.975543577903906</v>
      </c>
      <c r="AJ5654">
        <v>90.797877506867096</v>
      </c>
      <c r="AK5654">
        <v>68.825374398718594</v>
      </c>
      <c r="AL5654">
        <v>78.727684538841899</v>
      </c>
      <c r="AM5654">
        <v>91.546481576639295</v>
      </c>
      <c r="AN5654">
        <v>0.99999999097029002</v>
      </c>
    </row>
    <row r="5655" spans="1:40" x14ac:dyDescent="0.25">
      <c r="A5655" t="str">
        <f>"20190303170406613"</f>
        <v>20190303170406613</v>
      </c>
      <c r="B5655" t="str">
        <f>"1551603846601387"</f>
        <v>1551603846601387</v>
      </c>
      <c r="C5655" t="s">
        <v>40</v>
      </c>
      <c r="D5655">
        <v>4.5502589999999996</v>
      </c>
      <c r="E5655">
        <v>0.4984169</v>
      </c>
      <c r="F5655" t="s">
        <v>95</v>
      </c>
      <c r="G5655">
        <v>-419.99669999999998</v>
      </c>
      <c r="H5655">
        <v>0.1288494</v>
      </c>
      <c r="I5655">
        <v>0.47742079999999998</v>
      </c>
      <c r="J5655">
        <v>-423.15030000000002</v>
      </c>
      <c r="K5655">
        <v>1.121685</v>
      </c>
      <c r="L5655">
        <v>62.562379999999997</v>
      </c>
      <c r="M5655">
        <v>1.710236E-2</v>
      </c>
      <c r="N5655">
        <v>-1.3876070000000001E-2</v>
      </c>
      <c r="O5655">
        <v>-0.99975780000000003</v>
      </c>
      <c r="P5655">
        <v>4.3317939999999999E-2</v>
      </c>
      <c r="Q5655">
        <v>0.18067849999999999</v>
      </c>
      <c r="R5655">
        <v>-0.98258809999999996</v>
      </c>
      <c r="S5655">
        <v>0.1546631</v>
      </c>
      <c r="T5655">
        <v>-4.8606509999999999E-2</v>
      </c>
      <c r="U5655">
        <v>-3.0560299999999998</v>
      </c>
      <c r="V5655">
        <v>-2.6520800000000001E-2</v>
      </c>
      <c r="W5655">
        <v>0.19430210000000001</v>
      </c>
      <c r="X5655">
        <v>0.98058310000000004</v>
      </c>
      <c r="Y5655">
        <v>-3.3447930000000001E-2</v>
      </c>
      <c r="Z5655">
        <v>2.0151589999999999E-3</v>
      </c>
      <c r="AA5655">
        <v>0.99943839999999995</v>
      </c>
      <c r="AB5655">
        <v>34</v>
      </c>
      <c r="AC5655">
        <v>3.1536000000000399</v>
      </c>
      <c r="AD5655">
        <v>-0.99283559999999904</v>
      </c>
      <c r="AE5655">
        <v>-62.0849592</v>
      </c>
      <c r="AF5655">
        <v>-2.09070420737517</v>
      </c>
      <c r="AG5655">
        <v>-0.99283559999999904</v>
      </c>
      <c r="AH5655">
        <v>62.113972797751998</v>
      </c>
      <c r="AI5655">
        <v>90.915224949177201</v>
      </c>
      <c r="AJ5655">
        <v>91.927800057260598</v>
      </c>
      <c r="AK5655">
        <v>62.157078304335101</v>
      </c>
      <c r="AL5655">
        <v>78.796042181917301</v>
      </c>
      <c r="AM5655">
        <v>91.549241026320999</v>
      </c>
      <c r="AN5655">
        <v>0.99999993745132798</v>
      </c>
    </row>
    <row r="5656" spans="1:40" x14ac:dyDescent="0.25">
      <c r="A5656" t="str">
        <f>"20190303170406635"</f>
        <v>20190303170406635</v>
      </c>
      <c r="B5656" t="str">
        <f>"1551603846631643"</f>
        <v>1551603846631643</v>
      </c>
      <c r="C5656" t="s">
        <v>40</v>
      </c>
      <c r="D5656">
        <v>4.4386099999999997</v>
      </c>
      <c r="E5656">
        <v>0.49557119999999999</v>
      </c>
      <c r="F5656" t="s">
        <v>44</v>
      </c>
      <c r="G5656">
        <v>-419.09320000000002</v>
      </c>
      <c r="H5656">
        <v>-0.05</v>
      </c>
      <c r="I5656">
        <v>-5.7388309999999896</v>
      </c>
      <c r="J5656">
        <v>-423.14449999999999</v>
      </c>
      <c r="K5656">
        <v>1.1215790000000001</v>
      </c>
      <c r="L5656">
        <v>62.2179</v>
      </c>
      <c r="M5656">
        <v>1.688187E-2</v>
      </c>
      <c r="N5656">
        <v>-1.387353E-2</v>
      </c>
      <c r="O5656">
        <v>-0.99976140000000002</v>
      </c>
      <c r="P5656">
        <v>4.3673400000000001E-2</v>
      </c>
      <c r="Q5656">
        <v>0.17930479999999999</v>
      </c>
      <c r="R5656">
        <v>-0.98282400000000003</v>
      </c>
      <c r="S5656">
        <v>0.18145749999999999</v>
      </c>
      <c r="T5656">
        <v>-5.2404279999999998E-2</v>
      </c>
      <c r="U5656">
        <v>-3.0548099999999998</v>
      </c>
      <c r="V5656">
        <v>-2.704256E-2</v>
      </c>
      <c r="W5656">
        <v>0.19293569999999999</v>
      </c>
      <c r="X5656">
        <v>0.98083869999999895</v>
      </c>
      <c r="Y5656">
        <v>-4.2424410000000003E-2</v>
      </c>
      <c r="Z5656">
        <v>3.2594949999999998E-3</v>
      </c>
      <c r="AA5656">
        <v>0.99909440000000005</v>
      </c>
      <c r="AB5656">
        <v>34</v>
      </c>
      <c r="AC5656">
        <v>4.0512999999999604</v>
      </c>
      <c r="AD5656">
        <v>-1.1715789999999999</v>
      </c>
      <c r="AE5656">
        <v>-67.956731000000005</v>
      </c>
      <c r="AF5656">
        <v>-2.9025159792231898</v>
      </c>
      <c r="AG5656">
        <v>-1.1715789999999999</v>
      </c>
      <c r="AH5656">
        <v>67.995306788447394</v>
      </c>
      <c r="AI5656">
        <v>90.986227384634006</v>
      </c>
      <c r="AJ5656">
        <v>92.444301276452407</v>
      </c>
      <c r="AK5656">
        <v>68.067311843629895</v>
      </c>
      <c r="AL5656">
        <v>78.875842127457801</v>
      </c>
      <c r="AM5656">
        <v>91.579293450415406</v>
      </c>
      <c r="AN5656">
        <v>1.00000001990176</v>
      </c>
    </row>
    <row r="5657" spans="1:40" x14ac:dyDescent="0.25">
      <c r="A5657" t="str">
        <f>"20190303170406649"</f>
        <v>20190303170406649</v>
      </c>
      <c r="B5657" t="str">
        <f>"1551603846641402"</f>
        <v>1551603846641402</v>
      </c>
      <c r="C5657" t="s">
        <v>40</v>
      </c>
      <c r="D5657">
        <v>4.4603099999999998</v>
      </c>
      <c r="E5657">
        <v>0.49490339999999999</v>
      </c>
      <c r="F5657" t="s">
        <v>75</v>
      </c>
      <c r="G5657">
        <v>-419.45030000000003</v>
      </c>
      <c r="H5657">
        <v>7.9986559999999998E-2</v>
      </c>
      <c r="I5657">
        <v>6.9186209999999999</v>
      </c>
      <c r="J5657">
        <v>-423.14089999999999</v>
      </c>
      <c r="K5657">
        <v>1.121526</v>
      </c>
      <c r="L5657">
        <v>61.998350000000002</v>
      </c>
      <c r="M5657">
        <v>1.6697420000000001E-2</v>
      </c>
      <c r="N5657">
        <v>-1.3871970000000001E-2</v>
      </c>
      <c r="O5657">
        <v>-0.99976430000000005</v>
      </c>
      <c r="P5657">
        <v>4.3203220000000001E-2</v>
      </c>
      <c r="Q5657">
        <v>0.17912040000000001</v>
      </c>
      <c r="R5657">
        <v>-0.98287809999999998</v>
      </c>
      <c r="S5657">
        <v>0.20401</v>
      </c>
      <c r="T5657">
        <v>-5.7521219999999998E-2</v>
      </c>
      <c r="U5657">
        <v>-3.0538639999999999</v>
      </c>
      <c r="V5657">
        <v>-2.672691E-2</v>
      </c>
      <c r="W5657">
        <v>0.1927537</v>
      </c>
      <c r="X5657">
        <v>0.98088310000000001</v>
      </c>
      <c r="Y5657">
        <v>-4.9972030000000001E-2</v>
      </c>
      <c r="Z5657">
        <v>4.9319709999999899E-3</v>
      </c>
      <c r="AA5657">
        <v>0.99873849999999997</v>
      </c>
      <c r="AB5657">
        <v>34</v>
      </c>
      <c r="AC5657">
        <v>3.6905999999999599</v>
      </c>
      <c r="AD5657">
        <v>-1.04153944</v>
      </c>
      <c r="AE5657">
        <v>-55.079729</v>
      </c>
      <c r="AF5657">
        <v>-2.7693216523190598</v>
      </c>
      <c r="AG5657">
        <v>-1.04153944</v>
      </c>
      <c r="AH5657">
        <v>55.1140588398017</v>
      </c>
      <c r="AI5657">
        <v>91.081276685968902</v>
      </c>
      <c r="AJ5657">
        <v>92.876527560060296</v>
      </c>
      <c r="AK5657">
        <v>55.193418345090798</v>
      </c>
      <c r="AL5657">
        <v>78.886469062298303</v>
      </c>
      <c r="AM5657">
        <v>91.5607979522931</v>
      </c>
      <c r="AN5657">
        <v>0.99999998622372399</v>
      </c>
    </row>
    <row r="5658" spans="1:40" x14ac:dyDescent="0.25">
      <c r="A5658" t="str">
        <f>"20190303170406662"</f>
        <v>20190303170406662</v>
      </c>
      <c r="B5658" t="str">
        <f>"1551603846651163"</f>
        <v>1551603846651163</v>
      </c>
      <c r="C5658" t="s">
        <v>40</v>
      </c>
      <c r="D5658">
        <v>4.3973680000000002</v>
      </c>
      <c r="E5658">
        <v>0.49428820000000001</v>
      </c>
      <c r="F5658" t="s">
        <v>75</v>
      </c>
      <c r="G5658">
        <v>-419.45650000000001</v>
      </c>
      <c r="H5658">
        <v>7.9986570000000007E-2</v>
      </c>
      <c r="I5658">
        <v>8.0959129999999995</v>
      </c>
      <c r="J5658">
        <v>-423.13780000000003</v>
      </c>
      <c r="K5658">
        <v>1.1214839999999999</v>
      </c>
      <c r="L5658">
        <v>61.800629999999998</v>
      </c>
      <c r="M5658">
        <v>1.6516380000000001E-2</v>
      </c>
      <c r="N5658">
        <v>-1.38706E-2</v>
      </c>
      <c r="O5658">
        <v>-0.99976739999999997</v>
      </c>
      <c r="P5658">
        <v>4.28254E-2</v>
      </c>
      <c r="Q5658">
        <v>0.17950150000000001</v>
      </c>
      <c r="R5658">
        <v>-0.98282519999999995</v>
      </c>
      <c r="S5658">
        <v>0.20874019999999999</v>
      </c>
      <c r="T5658">
        <v>-5.9008240000000003E-2</v>
      </c>
      <c r="U5658">
        <v>-3.053833</v>
      </c>
      <c r="V5658">
        <v>-2.6506450000000001E-2</v>
      </c>
      <c r="W5658">
        <v>0.1931359</v>
      </c>
      <c r="X5658">
        <v>0.98081390000000002</v>
      </c>
      <c r="Y5658">
        <v>-5.1692710000000003E-2</v>
      </c>
      <c r="Z5658">
        <v>5.4176650000000003E-3</v>
      </c>
      <c r="AA5658">
        <v>0.99864830000000004</v>
      </c>
      <c r="AB5658">
        <v>34</v>
      </c>
      <c r="AC5658">
        <v>3.6813000000000198</v>
      </c>
      <c r="AD5658">
        <v>-1.0414974299999999</v>
      </c>
      <c r="AE5658">
        <v>-53.704717000000002</v>
      </c>
      <c r="AF5658">
        <v>-2.7926595416433599</v>
      </c>
      <c r="AG5658">
        <v>-1.0414974299999999</v>
      </c>
      <c r="AH5658">
        <v>53.7380817870594</v>
      </c>
      <c r="AI5658">
        <v>91.108814254841107</v>
      </c>
      <c r="AJ5658">
        <v>92.974869782585202</v>
      </c>
      <c r="AK5658">
        <v>53.820675380051803</v>
      </c>
      <c r="AL5658">
        <v>78.8641512644991</v>
      </c>
      <c r="AM5658">
        <v>91.548038979027694</v>
      </c>
      <c r="AN5658">
        <v>0.99999998709681104</v>
      </c>
    </row>
    <row r="5659" spans="1:40" x14ac:dyDescent="0.25">
      <c r="A5659" t="str">
        <f>"20190303170406679"</f>
        <v>20190303170406679</v>
      </c>
      <c r="B5659" t="str">
        <f>"1551603846671659"</f>
        <v>1551603846671659</v>
      </c>
      <c r="C5659" t="s">
        <v>40</v>
      </c>
      <c r="D5659">
        <v>4.4451099999999997</v>
      </c>
      <c r="E5659">
        <v>0.49313059999999997</v>
      </c>
      <c r="F5659" t="s">
        <v>75</v>
      </c>
      <c r="G5659">
        <v>-419.37110000000001</v>
      </c>
      <c r="H5659">
        <v>7.9986559999999998E-2</v>
      </c>
      <c r="I5659">
        <v>7.580864</v>
      </c>
      <c r="J5659">
        <v>-423.13369999999998</v>
      </c>
      <c r="K5659">
        <v>1.121443</v>
      </c>
      <c r="L5659">
        <v>61.545380000000002</v>
      </c>
      <c r="M5659">
        <v>1.6262639999999998E-2</v>
      </c>
      <c r="N5659">
        <v>-1.386883E-2</v>
      </c>
      <c r="O5659">
        <v>-0.99977179999999999</v>
      </c>
      <c r="P5659">
        <v>4.1930439999999999E-2</v>
      </c>
      <c r="Q5659">
        <v>0.1810156</v>
      </c>
      <c r="R5659">
        <v>-0.98258599999999996</v>
      </c>
      <c r="S5659">
        <v>0.21215819999999999</v>
      </c>
      <c r="T5659">
        <v>-5.8661699999999997E-2</v>
      </c>
      <c r="U5659">
        <v>-3.0538940000000001</v>
      </c>
      <c r="V5659">
        <v>-2.5840999999999999E-2</v>
      </c>
      <c r="W5659">
        <v>0.19464690000000001</v>
      </c>
      <c r="X5659">
        <v>0.98053290000000004</v>
      </c>
      <c r="Y5659">
        <v>-5.305696E-2</v>
      </c>
      <c r="Z5659">
        <v>5.3045559999999898E-3</v>
      </c>
      <c r="AA5659">
        <v>0.99857739999999995</v>
      </c>
      <c r="AB5659">
        <v>34</v>
      </c>
      <c r="AC5659">
        <v>3.76259999999996</v>
      </c>
      <c r="AD5659">
        <v>-1.0414564399999999</v>
      </c>
      <c r="AE5659">
        <v>-53.964516000000003</v>
      </c>
      <c r="AF5659">
        <v>-2.88334391371896</v>
      </c>
      <c r="AG5659">
        <v>-1.0414564399999999</v>
      </c>
      <c r="AH5659">
        <v>53.998559389713101</v>
      </c>
      <c r="AI5659">
        <v>91.103340679170699</v>
      </c>
      <c r="AJ5659">
        <v>93.056501828969203</v>
      </c>
      <c r="AK5659">
        <v>54.085513030806801</v>
      </c>
      <c r="AL5659">
        <v>78.775902447626507</v>
      </c>
      <c r="AM5659">
        <v>91.509625642796493</v>
      </c>
      <c r="AN5659">
        <v>0.99999997047150901</v>
      </c>
    </row>
    <row r="5660" spans="1:40" x14ac:dyDescent="0.25">
      <c r="A5660" t="str">
        <f>"20190303170406702"</f>
        <v>20190303170406702</v>
      </c>
      <c r="B5660" t="str">
        <f>"1551603846691179"</f>
        <v>1551603846691179</v>
      </c>
      <c r="C5660" t="s">
        <v>40</v>
      </c>
      <c r="D5660">
        <v>4.4287960000000002</v>
      </c>
      <c r="E5660">
        <v>0.49228050000000001</v>
      </c>
      <c r="F5660" t="s">
        <v>75</v>
      </c>
      <c r="G5660">
        <v>-419.08109999999999</v>
      </c>
      <c r="H5660">
        <v>7.9986570000000007E-2</v>
      </c>
      <c r="I5660">
        <v>5.127033</v>
      </c>
      <c r="J5660">
        <v>-423.12830000000002</v>
      </c>
      <c r="K5660">
        <v>1.1214010000000001</v>
      </c>
      <c r="L5660">
        <v>61.188780000000001</v>
      </c>
      <c r="M5660">
        <v>1.5874719999999998E-2</v>
      </c>
      <c r="N5660">
        <v>-1.386628E-2</v>
      </c>
      <c r="O5660">
        <v>-0.9997781</v>
      </c>
      <c r="P5660">
        <v>4.2107369999999998E-2</v>
      </c>
      <c r="Q5660">
        <v>0.18135509999999999</v>
      </c>
      <c r="R5660">
        <v>-0.98251619999999995</v>
      </c>
      <c r="S5660">
        <v>0.2193909</v>
      </c>
      <c r="T5660">
        <v>-5.6379079999999998E-2</v>
      </c>
      <c r="U5660">
        <v>-3.0541990000000001</v>
      </c>
      <c r="V5660">
        <v>-2.6375470000000002E-2</v>
      </c>
      <c r="W5660">
        <v>0.1949864</v>
      </c>
      <c r="X5660">
        <v>0.98045119999999997</v>
      </c>
      <c r="Y5660">
        <v>-5.5790230000000003E-2</v>
      </c>
      <c r="Z5660">
        <v>4.557012E-3</v>
      </c>
      <c r="AA5660">
        <v>0.99843210000000004</v>
      </c>
      <c r="AB5660">
        <v>34</v>
      </c>
      <c r="AC5660">
        <v>4.0472000000000303</v>
      </c>
      <c r="AD5660">
        <v>-1.0414144299999999</v>
      </c>
      <c r="AE5660">
        <v>-56.061746999999997</v>
      </c>
      <c r="AF5660">
        <v>-3.1555567786689398</v>
      </c>
      <c r="AG5660">
        <v>-1.0414144299999999</v>
      </c>
      <c r="AH5660">
        <v>56.099677310433002</v>
      </c>
      <c r="AI5660">
        <v>91.061818228573003</v>
      </c>
      <c r="AJ5660">
        <v>93.219443920555193</v>
      </c>
      <c r="AK5660">
        <v>56.198005987162297</v>
      </c>
      <c r="AL5660">
        <v>78.756070408794997</v>
      </c>
      <c r="AM5660">
        <v>91.540962699432001</v>
      </c>
      <c r="AN5660">
        <v>0.99999995859205904</v>
      </c>
    </row>
    <row r="5661" spans="1:40" x14ac:dyDescent="0.25">
      <c r="A5661" t="str">
        <f>"20190303170406725"</f>
        <v>20190303170406725</v>
      </c>
      <c r="B5661" t="str">
        <f>"1551603846711677"</f>
        <v>1551603846711677</v>
      </c>
      <c r="C5661" t="s">
        <v>40</v>
      </c>
      <c r="D5661">
        <v>4.4395949999999997</v>
      </c>
      <c r="E5661">
        <v>0.49191469999999998</v>
      </c>
      <c r="F5661" t="s">
        <v>75</v>
      </c>
      <c r="G5661">
        <v>-419.03449999999998</v>
      </c>
      <c r="H5661">
        <v>7.9986559999999998E-2</v>
      </c>
      <c r="I5661">
        <v>6.0367579999999998</v>
      </c>
      <c r="J5661">
        <v>-423.1232</v>
      </c>
      <c r="K5661">
        <v>1.1213610000000001</v>
      </c>
      <c r="L5661">
        <v>60.8444199999999</v>
      </c>
      <c r="M5661">
        <v>1.547948E-2</v>
      </c>
      <c r="N5661">
        <v>-1.386372E-2</v>
      </c>
      <c r="O5661">
        <v>-0.99978409999999995</v>
      </c>
      <c r="P5661">
        <v>4.2646389999999999E-2</v>
      </c>
      <c r="Q5661">
        <v>0.1806441</v>
      </c>
      <c r="R5661">
        <v>-0.98262380000000005</v>
      </c>
      <c r="S5661">
        <v>0.2267151</v>
      </c>
      <c r="T5661">
        <v>-5.767357E-2</v>
      </c>
      <c r="U5661">
        <v>-3.0543209999999998</v>
      </c>
      <c r="V5661">
        <v>-2.728589E-2</v>
      </c>
      <c r="W5661">
        <v>0.19427739999999999</v>
      </c>
      <c r="X5661">
        <v>0.98056710000000002</v>
      </c>
      <c r="Y5661">
        <v>-5.8562459999999997E-2</v>
      </c>
      <c r="Z5661">
        <v>4.9786479999999996E-3</v>
      </c>
      <c r="AA5661">
        <v>0.99827129999999997</v>
      </c>
      <c r="AB5661">
        <v>34</v>
      </c>
      <c r="AC5661">
        <v>4.08870000000001</v>
      </c>
      <c r="AD5661">
        <v>-1.04137444</v>
      </c>
      <c r="AE5661">
        <v>-54.807661999999901</v>
      </c>
      <c r="AF5661">
        <v>-3.23857167833203</v>
      </c>
      <c r="AG5661">
        <v>-1.04137444</v>
      </c>
      <c r="AH5661">
        <v>54.8447005745195</v>
      </c>
      <c r="AI5661">
        <v>91.085892973708496</v>
      </c>
      <c r="AJ5661">
        <v>93.379383341672096</v>
      </c>
      <c r="AK5661">
        <v>54.950104534465503</v>
      </c>
      <c r="AL5661">
        <v>78.797485961205695</v>
      </c>
      <c r="AM5661">
        <v>91.593937843005506</v>
      </c>
      <c r="AN5661">
        <v>1.00000003277313</v>
      </c>
    </row>
    <row r="5662" spans="1:40" x14ac:dyDescent="0.25">
      <c r="A5662" t="str">
        <f>"20190303170406746"</f>
        <v>20190303170406746</v>
      </c>
      <c r="B5662" t="str">
        <f>"1551603846740954"</f>
        <v>1551603846740954</v>
      </c>
      <c r="C5662" t="s">
        <v>40</v>
      </c>
      <c r="D5662">
        <v>4.4612449999999999</v>
      </c>
      <c r="E5662">
        <v>0.49162689999999998</v>
      </c>
      <c r="F5662" t="s">
        <v>75</v>
      </c>
      <c r="G5662">
        <v>-419.08550000000002</v>
      </c>
      <c r="H5662">
        <v>7.9986559999999998E-2</v>
      </c>
      <c r="I5662">
        <v>7.5872419999999998</v>
      </c>
      <c r="J5662">
        <v>-423.11829999999998</v>
      </c>
      <c r="K5662">
        <v>1.121337</v>
      </c>
      <c r="L5662">
        <v>60.504730000000002</v>
      </c>
      <c r="M5662">
        <v>1.508083E-2</v>
      </c>
      <c r="N5662">
        <v>-1.386127E-2</v>
      </c>
      <c r="O5662">
        <v>-0.99979039999999997</v>
      </c>
      <c r="P5662">
        <v>4.2454720000000001E-2</v>
      </c>
      <c r="Q5662">
        <v>0.17957960000000001</v>
      </c>
      <c r="R5662">
        <v>-0.98282709999999995</v>
      </c>
      <c r="S5662">
        <v>0.23153689999999999</v>
      </c>
      <c r="T5662">
        <v>-5.97166999999999E-2</v>
      </c>
      <c r="U5662">
        <v>-3.0539860000000001</v>
      </c>
      <c r="V5662">
        <v>-2.7474120000000001E-2</v>
      </c>
      <c r="W5662">
        <v>0.19321450000000001</v>
      </c>
      <c r="X5662">
        <v>0.98077179999999997</v>
      </c>
      <c r="Y5662">
        <v>-6.0534810000000001E-2</v>
      </c>
      <c r="Z5662">
        <v>5.6481419999999897E-3</v>
      </c>
      <c r="AA5662">
        <v>0.99815010000000004</v>
      </c>
      <c r="AB5662">
        <v>34</v>
      </c>
      <c r="AC5662">
        <v>4.0327999999999502</v>
      </c>
      <c r="AD5662">
        <v>-1.04135044</v>
      </c>
      <c r="AE5662">
        <v>-52.917487999999999</v>
      </c>
      <c r="AF5662">
        <v>-3.2329803860558299</v>
      </c>
      <c r="AG5662">
        <v>-1.04135044</v>
      </c>
      <c r="AH5662">
        <v>52.951905351215103</v>
      </c>
      <c r="AI5662">
        <v>91.124538209263903</v>
      </c>
      <c r="AJ5662">
        <v>93.493858705854194</v>
      </c>
      <c r="AK5662">
        <v>53.060727975024498</v>
      </c>
      <c r="AL5662">
        <v>78.859561473530206</v>
      </c>
      <c r="AM5662">
        <v>91.604592997633802</v>
      </c>
      <c r="AN5662">
        <v>0.99999999697763198</v>
      </c>
    </row>
    <row r="5663" spans="1:40" x14ac:dyDescent="0.25">
      <c r="A5663" t="str">
        <f>"20190303170406763"</f>
        <v>20190303170406763</v>
      </c>
      <c r="B5663" t="str">
        <f>"1551603846751691"</f>
        <v>1551603846751691</v>
      </c>
      <c r="C5663" t="s">
        <v>40</v>
      </c>
      <c r="D5663">
        <v>4.4528400000000001</v>
      </c>
      <c r="E5663">
        <v>0.49153669999999999</v>
      </c>
      <c r="F5663" t="s">
        <v>75</v>
      </c>
      <c r="G5663">
        <v>-419.22770000000003</v>
      </c>
      <c r="H5663">
        <v>5.1338979999999999E-2</v>
      </c>
      <c r="I5663">
        <v>9.6149269999999998</v>
      </c>
      <c r="J5663">
        <v>-423.1148</v>
      </c>
      <c r="K5663">
        <v>1.121326</v>
      </c>
      <c r="L5663">
        <v>60.253749999999997</v>
      </c>
      <c r="M5663">
        <v>1.4785690000000001E-2</v>
      </c>
      <c r="N5663">
        <v>-1.3859639999999999E-2</v>
      </c>
      <c r="O5663">
        <v>-0.99979490000000004</v>
      </c>
      <c r="P5663">
        <v>4.2645639999999999E-2</v>
      </c>
      <c r="Q5663">
        <v>0.17890539999999999</v>
      </c>
      <c r="R5663">
        <v>-0.98294219999999999</v>
      </c>
      <c r="S5663">
        <v>0.23349</v>
      </c>
      <c r="T5663">
        <v>-6.421375E-2</v>
      </c>
      <c r="U5663">
        <v>-3.0540470000000002</v>
      </c>
      <c r="V5663">
        <v>-2.7948359999999998E-2</v>
      </c>
      <c r="W5663">
        <v>0.19254170000000001</v>
      </c>
      <c r="X5663">
        <v>0.9808907</v>
      </c>
      <c r="Y5663">
        <v>-6.1461040000000002E-2</v>
      </c>
      <c r="Z5663">
        <v>7.1164679999999999E-3</v>
      </c>
      <c r="AA5663">
        <v>0.99808410000000003</v>
      </c>
      <c r="AB5663">
        <v>34</v>
      </c>
      <c r="AC5663">
        <v>3.88709999999997</v>
      </c>
      <c r="AD5663">
        <v>-1.0699870199999999</v>
      </c>
      <c r="AE5663">
        <v>-50.638823000000002</v>
      </c>
      <c r="AF5663">
        <v>-3.13648121357078</v>
      </c>
      <c r="AG5663">
        <v>-1.0699870199999999</v>
      </c>
      <c r="AH5663">
        <v>50.668276129612202</v>
      </c>
      <c r="AI5663">
        <v>91.2074529581391</v>
      </c>
      <c r="AJ5663">
        <v>93.542218853640705</v>
      </c>
      <c r="AK5663">
        <v>50.776535846517604</v>
      </c>
      <c r="AL5663">
        <v>78.898847699502397</v>
      </c>
      <c r="AM5663">
        <v>91.632077807366301</v>
      </c>
      <c r="AN5663">
        <v>0.999999991206034</v>
      </c>
    </row>
    <row r="5664" spans="1:40" x14ac:dyDescent="0.25">
      <c r="A5664" t="str">
        <f>"20190303170406777"</f>
        <v>20190303170406777</v>
      </c>
      <c r="B5664" t="str">
        <f>"1551603846771211"</f>
        <v>1551603846771211</v>
      </c>
      <c r="C5664" t="s">
        <v>40</v>
      </c>
      <c r="D5664">
        <v>4.5402060000000004</v>
      </c>
      <c r="E5664">
        <v>0.49141259999999998</v>
      </c>
      <c r="F5664" t="s">
        <v>75</v>
      </c>
      <c r="G5664">
        <v>-419.2328</v>
      </c>
      <c r="H5664">
        <v>1.334104E-2</v>
      </c>
      <c r="I5664">
        <v>9.6162799999999997</v>
      </c>
      <c r="J5664">
        <v>-423.11189999999999</v>
      </c>
      <c r="K5664">
        <v>1.1213200000000001</v>
      </c>
      <c r="L5664">
        <v>60.0409199999999</v>
      </c>
      <c r="M5664">
        <v>1.4536510000000001E-2</v>
      </c>
      <c r="N5664">
        <v>-1.385833E-2</v>
      </c>
      <c r="O5664">
        <v>-0.99979819999999997</v>
      </c>
      <c r="P5664">
        <v>4.2775840000000002E-2</v>
      </c>
      <c r="Q5664">
        <v>0.17835390000000001</v>
      </c>
      <c r="R5664">
        <v>-0.98303600000000002</v>
      </c>
      <c r="S5664">
        <v>0.2341309</v>
      </c>
      <c r="T5664">
        <v>-6.6824789999999995E-2</v>
      </c>
      <c r="U5664">
        <v>-3.0540470000000002</v>
      </c>
      <c r="V5664">
        <v>-2.8319569999999999E-2</v>
      </c>
      <c r="W5664">
        <v>0.19199089999999999</v>
      </c>
      <c r="X5664">
        <v>0.98098799999999997</v>
      </c>
      <c r="Y5664">
        <v>-6.1917050000000001E-2</v>
      </c>
      <c r="Z5664">
        <v>7.9696379999999994E-3</v>
      </c>
      <c r="AA5664">
        <v>0.99804950000000003</v>
      </c>
      <c r="AB5664">
        <v>34</v>
      </c>
      <c r="AC5664">
        <v>3.87909999999999</v>
      </c>
      <c r="AD5664">
        <v>-1.1079789600000001</v>
      </c>
      <c r="AE5664">
        <v>-50.424639999999997</v>
      </c>
      <c r="AF5664">
        <v>-3.14411221797425</v>
      </c>
      <c r="AG5664">
        <v>-1.1079789600000001</v>
      </c>
      <c r="AH5664">
        <v>50.451489830130299</v>
      </c>
      <c r="AI5664">
        <v>91.2556508912444</v>
      </c>
      <c r="AJ5664">
        <v>93.566033287890093</v>
      </c>
      <c r="AK5664">
        <v>50.561505961499599</v>
      </c>
      <c r="AL5664">
        <v>78.931006077274105</v>
      </c>
      <c r="AM5664">
        <v>91.653579162772601</v>
      </c>
      <c r="AN5664">
        <v>0.99999997993589695</v>
      </c>
    </row>
    <row r="5665" spans="1:40" x14ac:dyDescent="0.25">
      <c r="A5665" t="str">
        <f>"20190303170406790"</f>
        <v>20190303170406790</v>
      </c>
      <c r="B5665" t="str">
        <f>"1551603846781947"</f>
        <v>1551603846781947</v>
      </c>
      <c r="C5665" t="s">
        <v>40</v>
      </c>
      <c r="D5665">
        <v>4.6568170000000002</v>
      </c>
      <c r="E5665">
        <v>0.49135669999999998</v>
      </c>
      <c r="F5665" t="s">
        <v>75</v>
      </c>
      <c r="G5665">
        <v>-419.2749</v>
      </c>
      <c r="H5665" s="1">
        <v>-1.4729269999999999E-5</v>
      </c>
      <c r="I5665">
        <v>10.27064</v>
      </c>
      <c r="J5665">
        <v>-423.10910000000001</v>
      </c>
      <c r="K5665">
        <v>1.121308</v>
      </c>
      <c r="L5665">
        <v>59.830629999999999</v>
      </c>
      <c r="M5665">
        <v>1.429295E-2</v>
      </c>
      <c r="N5665">
        <v>-1.3857009999999999E-2</v>
      </c>
      <c r="O5665">
        <v>-0.99980210000000003</v>
      </c>
      <c r="P5665">
        <v>4.341105E-2</v>
      </c>
      <c r="Q5665">
        <v>0.1772841</v>
      </c>
      <c r="R5665">
        <v>-0.98320200000000002</v>
      </c>
      <c r="S5665">
        <v>0.23544309999999999</v>
      </c>
      <c r="T5665">
        <v>-6.8807599999999997E-2</v>
      </c>
      <c r="U5665">
        <v>-3.0540159999999998</v>
      </c>
      <c r="V5665">
        <v>-2.9189730000000001E-2</v>
      </c>
      <c r="W5665">
        <v>0.19092339999999999</v>
      </c>
      <c r="X5665">
        <v>0.98117080000000001</v>
      </c>
      <c r="Y5665">
        <v>-6.2586429999999998E-2</v>
      </c>
      <c r="Z5665">
        <v>8.6176059999999999E-3</v>
      </c>
      <c r="AA5665">
        <v>0.99800239999999996</v>
      </c>
      <c r="AB5665">
        <v>34</v>
      </c>
      <c r="AC5665">
        <v>3.8342000000000001</v>
      </c>
      <c r="AD5665">
        <v>-1.1213227292700001</v>
      </c>
      <c r="AE5665">
        <v>-49.559989999999999</v>
      </c>
      <c r="AF5665">
        <v>-3.1237923738197901</v>
      </c>
      <c r="AG5665">
        <v>-1.1213227292700001</v>
      </c>
      <c r="AH5665">
        <v>49.584501696845102</v>
      </c>
      <c r="AI5665">
        <v>91.292925333450697</v>
      </c>
      <c r="AJ5665">
        <v>93.604833956031001</v>
      </c>
      <c r="AK5665">
        <v>49.695455043518301</v>
      </c>
      <c r="AL5665">
        <v>78.993321911447197</v>
      </c>
      <c r="AM5665">
        <v>91.704040919581203</v>
      </c>
      <c r="AN5665">
        <v>0.999999961888835</v>
      </c>
    </row>
    <row r="5666" spans="1:40" x14ac:dyDescent="0.25">
      <c r="A5666" t="str">
        <f>"20190303170406807"</f>
        <v>20190303170406807</v>
      </c>
      <c r="B5666" t="str">
        <f>"1551603846801466"</f>
        <v>1551603846801466</v>
      </c>
      <c r="C5666" t="s">
        <v>40</v>
      </c>
      <c r="D5666">
        <v>4.6006260000000001</v>
      </c>
      <c r="E5666">
        <v>0.491255</v>
      </c>
      <c r="F5666" t="s">
        <v>75</v>
      </c>
      <c r="G5666">
        <v>-419.44799999999998</v>
      </c>
      <c r="H5666" s="1">
        <v>-1.4258860000000001E-5</v>
      </c>
      <c r="I5666">
        <v>12.64329</v>
      </c>
      <c r="J5666">
        <v>-423.10579999999999</v>
      </c>
      <c r="K5666">
        <v>1.1213</v>
      </c>
      <c r="L5666">
        <v>59.586300000000001</v>
      </c>
      <c r="M5666">
        <v>1.401265E-2</v>
      </c>
      <c r="N5666">
        <v>-1.385552E-2</v>
      </c>
      <c r="O5666">
        <v>-0.99980619999999998</v>
      </c>
      <c r="P5666">
        <v>4.3643050000000003E-2</v>
      </c>
      <c r="Q5666">
        <v>0.1772408</v>
      </c>
      <c r="R5666">
        <v>-0.98319979999999996</v>
      </c>
      <c r="S5666">
        <v>0.2369385</v>
      </c>
      <c r="T5666">
        <v>-7.2570319999999994E-2</v>
      </c>
      <c r="U5666">
        <v>-3.0538940000000001</v>
      </c>
      <c r="V5666">
        <v>-2.9695260000000001E-2</v>
      </c>
      <c r="W5666">
        <v>0.19087989999999999</v>
      </c>
      <c r="X5666">
        <v>0.98116420000000004</v>
      </c>
      <c r="Y5666">
        <v>-6.3353430000000002E-2</v>
      </c>
      <c r="Z5666">
        <v>9.8471909999999999E-3</v>
      </c>
      <c r="AA5666">
        <v>0.99794260000000001</v>
      </c>
      <c r="AB5666">
        <v>34</v>
      </c>
      <c r="AC5666">
        <v>3.6577999999999502</v>
      </c>
      <c r="AD5666">
        <v>-1.12131425886</v>
      </c>
      <c r="AE5666">
        <v>-46.943010000000001</v>
      </c>
      <c r="AF5666">
        <v>-2.99788174121699</v>
      </c>
      <c r="AG5666">
        <v>-1.12131425886</v>
      </c>
      <c r="AH5666">
        <v>46.963026308543903</v>
      </c>
      <c r="AI5666">
        <v>91.364987496609302</v>
      </c>
      <c r="AJ5666">
        <v>93.652516540102297</v>
      </c>
      <c r="AK5666">
        <v>47.071971285027303</v>
      </c>
      <c r="AL5666">
        <v>78.995862133656502</v>
      </c>
      <c r="AM5666">
        <v>91.733546599276195</v>
      </c>
      <c r="AN5666">
        <v>1.00000006602605</v>
      </c>
    </row>
    <row r="5667" spans="1:40" x14ac:dyDescent="0.25">
      <c r="A5667" t="str">
        <f>"20190303170406822"</f>
        <v>20190303170406822</v>
      </c>
      <c r="B5667" t="str">
        <f>"1551603846811227"</f>
        <v>1551603846811227</v>
      </c>
      <c r="C5667" t="s">
        <v>40</v>
      </c>
      <c r="D5667">
        <v>4.487336</v>
      </c>
      <c r="E5667">
        <v>0.49114970000000002</v>
      </c>
      <c r="F5667" t="s">
        <v>75</v>
      </c>
      <c r="G5667">
        <v>-419.44479999999999</v>
      </c>
      <c r="H5667" s="1">
        <v>-1.4248889999999999E-5</v>
      </c>
      <c r="I5667">
        <v>12.68399</v>
      </c>
      <c r="J5667">
        <v>-423.1028</v>
      </c>
      <c r="K5667">
        <v>1.121297</v>
      </c>
      <c r="L5667">
        <v>59.347200000000001</v>
      </c>
      <c r="M5667">
        <v>1.374016E-2</v>
      </c>
      <c r="N5667">
        <v>-1.3854099999999999E-2</v>
      </c>
      <c r="O5667">
        <v>-0.99980999999999998</v>
      </c>
      <c r="P5667">
        <v>4.3545599999999997E-2</v>
      </c>
      <c r="Q5667">
        <v>0.1774473</v>
      </c>
      <c r="R5667">
        <v>-0.98316700000000001</v>
      </c>
      <c r="S5667">
        <v>0.2383728</v>
      </c>
      <c r="T5667">
        <v>-7.301009E-2</v>
      </c>
      <c r="U5667">
        <v>-3.0538639999999999</v>
      </c>
      <c r="V5667">
        <v>-2.986434E-2</v>
      </c>
      <c r="W5667">
        <v>0.19108439999999999</v>
      </c>
      <c r="X5667">
        <v>0.98111919999999997</v>
      </c>
      <c r="Y5667">
        <v>-6.4091679999999998E-2</v>
      </c>
      <c r="Z5667">
        <v>9.9914159999999995E-3</v>
      </c>
      <c r="AA5667">
        <v>0.99789399999999995</v>
      </c>
      <c r="AB5667">
        <v>34</v>
      </c>
      <c r="AC5667">
        <v>3.6580000000000101</v>
      </c>
      <c r="AD5667">
        <v>-1.1213112488899999</v>
      </c>
      <c r="AE5667">
        <v>-46.663209999999999</v>
      </c>
      <c r="AF5667">
        <v>-3.0147031879076298</v>
      </c>
      <c r="AG5667">
        <v>-1.1213112488899999</v>
      </c>
      <c r="AH5667">
        <v>46.682279094912602</v>
      </c>
      <c r="AI5667">
        <v>91.373124389849295</v>
      </c>
      <c r="AJ5667">
        <v>93.694983409417901</v>
      </c>
      <c r="AK5667">
        <v>46.792958398923503</v>
      </c>
      <c r="AL5667">
        <v>78.983924761567096</v>
      </c>
      <c r="AM5667">
        <v>91.743490972445898</v>
      </c>
      <c r="AN5667">
        <v>1.00000000566781</v>
      </c>
    </row>
    <row r="5668" spans="1:40" x14ac:dyDescent="0.25">
      <c r="A5668" t="str">
        <f>"20190303170406836"</f>
        <v>20190303170406836</v>
      </c>
      <c r="B5668" t="str">
        <f>"1551603846831723"</f>
        <v>1551603846831723</v>
      </c>
      <c r="C5668" t="s">
        <v>40</v>
      </c>
      <c r="D5668">
        <v>4.5341009999999997</v>
      </c>
      <c r="E5668">
        <v>0.4911257</v>
      </c>
      <c r="F5668" t="s">
        <v>75</v>
      </c>
      <c r="G5668">
        <v>-419.40940000000001</v>
      </c>
      <c r="H5668" s="1">
        <v>-1.4358589999999999E-5</v>
      </c>
      <c r="I5668">
        <v>12.13846</v>
      </c>
      <c r="J5668">
        <v>-423.1001</v>
      </c>
      <c r="K5668">
        <v>1.121291</v>
      </c>
      <c r="L5668">
        <v>59.136569999999899</v>
      </c>
      <c r="M5668">
        <v>1.3501269999999999E-2</v>
      </c>
      <c r="N5668">
        <v>-1.385286E-2</v>
      </c>
      <c r="O5668">
        <v>-0.99981310000000001</v>
      </c>
      <c r="P5668">
        <v>4.4155529999999998E-2</v>
      </c>
      <c r="Q5668">
        <v>0.1774618</v>
      </c>
      <c r="R5668">
        <v>-0.98313700000000004</v>
      </c>
      <c r="S5668">
        <v>0.2389221</v>
      </c>
      <c r="T5668">
        <v>-7.2535989999999995E-2</v>
      </c>
      <c r="U5668">
        <v>-3.0538639999999999</v>
      </c>
      <c r="V5668">
        <v>-3.070823E-2</v>
      </c>
      <c r="W5668">
        <v>0.19109799999999999</v>
      </c>
      <c r="X5668">
        <v>0.98109049999999998</v>
      </c>
      <c r="Y5668">
        <v>-6.4508620000000003E-2</v>
      </c>
      <c r="Z5668">
        <v>9.8374420000000001E-3</v>
      </c>
      <c r="AA5668">
        <v>0.99786870000000005</v>
      </c>
      <c r="AB5668">
        <v>34</v>
      </c>
      <c r="AC5668">
        <v>3.6906999999999899</v>
      </c>
      <c r="AD5668">
        <v>-1.1213053585899999</v>
      </c>
      <c r="AE5668">
        <v>-46.998109999999897</v>
      </c>
      <c r="AF5668">
        <v>-3.0540408163675701</v>
      </c>
      <c r="AG5668">
        <v>-1.1213053585899999</v>
      </c>
      <c r="AH5668">
        <v>47.017059943069803</v>
      </c>
      <c r="AI5668">
        <v>91.3633105995373</v>
      </c>
      <c r="AJ5668">
        <v>93.716484372083499</v>
      </c>
      <c r="AK5668">
        <v>47.129485640153703</v>
      </c>
      <c r="AL5668">
        <v>78.983130903679694</v>
      </c>
      <c r="AM5668">
        <v>91.792778277520796</v>
      </c>
      <c r="AN5668">
        <v>1.0000000050919899</v>
      </c>
    </row>
    <row r="5669" spans="1:40" x14ac:dyDescent="0.25">
      <c r="A5669" t="str">
        <f>"20190303170406851"</f>
        <v>20190303170406851</v>
      </c>
      <c r="B5669" t="str">
        <f>"1551603846841483"</f>
        <v>1551603846841483</v>
      </c>
      <c r="C5669" t="s">
        <v>40</v>
      </c>
      <c r="D5669">
        <v>4.4423250000000003</v>
      </c>
      <c r="E5669">
        <v>0.49110589999999998</v>
      </c>
      <c r="F5669" t="s">
        <v>75</v>
      </c>
      <c r="G5669">
        <v>-419.39030000000002</v>
      </c>
      <c r="H5669" s="1">
        <v>-1.435749E-5</v>
      </c>
      <c r="I5669">
        <v>12.11698</v>
      </c>
      <c r="J5669">
        <v>-423.09710000000001</v>
      </c>
      <c r="K5669">
        <v>1.1212899999999999</v>
      </c>
      <c r="L5669">
        <v>58.898829999999997</v>
      </c>
      <c r="M5669">
        <v>1.323335E-2</v>
      </c>
      <c r="N5669">
        <v>-1.3851469999999999E-2</v>
      </c>
      <c r="O5669">
        <v>-0.9998167</v>
      </c>
      <c r="P5669">
        <v>4.4604449999999997E-2</v>
      </c>
      <c r="Q5669">
        <v>0.17688429999999999</v>
      </c>
      <c r="R5669">
        <v>-0.98322069999999995</v>
      </c>
      <c r="S5669">
        <v>0.24093629999999999</v>
      </c>
      <c r="T5669">
        <v>-7.2825189999999998E-2</v>
      </c>
      <c r="U5669">
        <v>-3.0537719999999999</v>
      </c>
      <c r="V5669">
        <v>-3.141915E-2</v>
      </c>
      <c r="W5669">
        <v>0.1905213</v>
      </c>
      <c r="X5669">
        <v>0.9811801</v>
      </c>
      <c r="Y5669">
        <v>-6.5432110000000002E-2</v>
      </c>
      <c r="Z5669">
        <v>9.9326350000000004E-3</v>
      </c>
      <c r="AA5669">
        <v>0.99780760000000002</v>
      </c>
      <c r="AB5669">
        <v>34</v>
      </c>
      <c r="AC5669">
        <v>3.7067999999999799</v>
      </c>
      <c r="AD5669">
        <v>-1.1213043574899999</v>
      </c>
      <c r="AE5669">
        <v>-46.781849999999999</v>
      </c>
      <c r="AF5669">
        <v>-3.0855738790237401</v>
      </c>
      <c r="AG5669">
        <v>-1.1213043574899999</v>
      </c>
      <c r="AH5669">
        <v>46.800091820688799</v>
      </c>
      <c r="AI5669">
        <v>91.369540390805895</v>
      </c>
      <c r="AJ5669">
        <v>93.772105078433398</v>
      </c>
      <c r="AK5669">
        <v>46.915100810399402</v>
      </c>
      <c r="AL5669">
        <v>79.016791314395803</v>
      </c>
      <c r="AM5669">
        <v>91.834087104650294</v>
      </c>
      <c r="AN5669">
        <v>0.99999995868821001</v>
      </c>
    </row>
    <row r="5670" spans="1:40" x14ac:dyDescent="0.25">
      <c r="A5670" t="str">
        <f>"20190303170406869"</f>
        <v>20190303170406869</v>
      </c>
      <c r="B5670" t="str">
        <f>"1551603846861003"</f>
        <v>1551603846861003</v>
      </c>
      <c r="C5670" t="s">
        <v>40</v>
      </c>
      <c r="D5670">
        <v>4.6589210000000003</v>
      </c>
      <c r="E5670">
        <v>0.49110730000000002</v>
      </c>
      <c r="F5670" t="s">
        <v>75</v>
      </c>
      <c r="G5670">
        <v>-419.49470000000002</v>
      </c>
      <c r="H5670" s="1">
        <v>-1.408157E-5</v>
      </c>
      <c r="I5670">
        <v>13.510149999999999</v>
      </c>
      <c r="J5670">
        <v>-423.09390000000002</v>
      </c>
      <c r="K5670">
        <v>1.1212899999999999</v>
      </c>
      <c r="L5670">
        <v>58.635770000000001</v>
      </c>
      <c r="M5670">
        <v>1.2936919999999999E-2</v>
      </c>
      <c r="N5670">
        <v>-1.3849999999999999E-2</v>
      </c>
      <c r="O5670">
        <v>-0.9998205</v>
      </c>
      <c r="P5670">
        <v>4.7631979999999997E-2</v>
      </c>
      <c r="Q5670">
        <v>0.17568059999999999</v>
      </c>
      <c r="R5670">
        <v>-0.98329420000000001</v>
      </c>
      <c r="S5670">
        <v>0.24237059999999999</v>
      </c>
      <c r="T5670">
        <v>-7.5441839999999996E-2</v>
      </c>
      <c r="U5670">
        <v>-3.0537719999999999</v>
      </c>
      <c r="V5670">
        <v>-3.4737320000000002E-2</v>
      </c>
      <c r="W5670">
        <v>0.18932089999999999</v>
      </c>
      <c r="X5670">
        <v>0.98130070000000003</v>
      </c>
      <c r="Y5670">
        <v>-6.6192390000000004E-2</v>
      </c>
      <c r="Z5670">
        <v>1.078701E-2</v>
      </c>
      <c r="AA5670">
        <v>0.99774859999999999</v>
      </c>
      <c r="AB5670">
        <v>34</v>
      </c>
      <c r="AC5670">
        <v>3.59919999999999</v>
      </c>
      <c r="AD5670">
        <v>-1.1213040815699999</v>
      </c>
      <c r="AE5670">
        <v>-45.125619999999998</v>
      </c>
      <c r="AF5670">
        <v>-3.0132075315056901</v>
      </c>
      <c r="AG5670">
        <v>-1.1213040815699999</v>
      </c>
      <c r="AH5670">
        <v>45.140714084851197</v>
      </c>
      <c r="AI5670">
        <v>91.419787341642007</v>
      </c>
      <c r="AJ5670">
        <v>93.8189102972364</v>
      </c>
      <c r="AK5670">
        <v>45.255063921748601</v>
      </c>
      <c r="AL5670">
        <v>79.086845459205605</v>
      </c>
      <c r="AM5670">
        <v>92.027381716852801</v>
      </c>
      <c r="AN5670">
        <v>1.00000007419903</v>
      </c>
    </row>
    <row r="5671" spans="1:40" x14ac:dyDescent="0.25">
      <c r="A5671" t="str">
        <f>"20190303170406885"</f>
        <v>20190303170406885</v>
      </c>
      <c r="B5671" t="str">
        <f>"1551603846871741"</f>
        <v>1551603846871741</v>
      </c>
      <c r="C5671" t="s">
        <v>40</v>
      </c>
      <c r="D5671">
        <v>4.5085419999999896</v>
      </c>
      <c r="E5671">
        <v>0.49108279999999899</v>
      </c>
      <c r="F5671" t="s">
        <v>75</v>
      </c>
      <c r="G5671">
        <v>-419.5874</v>
      </c>
      <c r="H5671" s="1">
        <v>-1.3602309999999999E-5</v>
      </c>
      <c r="I5671">
        <v>15.806649999999999</v>
      </c>
      <c r="J5671">
        <v>-423.09109999999998</v>
      </c>
      <c r="K5671">
        <v>1.1212879999999901</v>
      </c>
      <c r="L5671">
        <v>58.3940699999999</v>
      </c>
      <c r="M5671">
        <v>1.266462E-2</v>
      </c>
      <c r="N5671">
        <v>-1.3848640000000001E-2</v>
      </c>
      <c r="O5671">
        <v>-0.99982380000000004</v>
      </c>
      <c r="P5671">
        <v>4.844159E-2</v>
      </c>
      <c r="Q5671">
        <v>0.17562510000000001</v>
      </c>
      <c r="R5671">
        <v>-0.98326469999999999</v>
      </c>
      <c r="S5671">
        <v>0.24996950000000001</v>
      </c>
      <c r="T5671">
        <v>-7.993364E-2</v>
      </c>
      <c r="U5671">
        <v>-3.053131</v>
      </c>
      <c r="V5671">
        <v>-3.5814840000000001E-2</v>
      </c>
      <c r="W5671">
        <v>0.18926470000000001</v>
      </c>
      <c r="X5671">
        <v>0.9812727</v>
      </c>
      <c r="Y5671">
        <v>-6.8944829999999999E-2</v>
      </c>
      <c r="Z5671">
        <v>1.225475E-2</v>
      </c>
      <c r="AA5671">
        <v>0.99754520000000002</v>
      </c>
      <c r="AB5671">
        <v>34</v>
      </c>
      <c r="AC5671">
        <v>3.5036999999999798</v>
      </c>
      <c r="AD5671">
        <v>-1.12130160230999</v>
      </c>
      <c r="AE5671">
        <v>-42.587420000000002</v>
      </c>
      <c r="AF5671">
        <v>-2.9619741331658598</v>
      </c>
      <c r="AG5671">
        <v>-1.12130160230999</v>
      </c>
      <c r="AH5671">
        <v>42.599048410868797</v>
      </c>
      <c r="AI5671">
        <v>91.504174051362497</v>
      </c>
      <c r="AJ5671">
        <v>93.977457744315402</v>
      </c>
      <c r="AK5671">
        <v>42.716618938773998</v>
      </c>
      <c r="AL5671">
        <v>79.090123625304798</v>
      </c>
      <c r="AM5671">
        <v>92.090273895573802</v>
      </c>
      <c r="AN5671">
        <v>0.99999997059780199</v>
      </c>
    </row>
    <row r="5672" spans="1:40" x14ac:dyDescent="0.25">
      <c r="A5672" t="str">
        <f>"20190303170406899"</f>
        <v>20190303170406899</v>
      </c>
      <c r="B5672" t="str">
        <f>"1551603846891259"</f>
        <v>1551603846891259</v>
      </c>
      <c r="C5672" t="s">
        <v>40</v>
      </c>
      <c r="D5672">
        <v>4.7726379999999997</v>
      </c>
      <c r="E5672">
        <v>0.49104560000000003</v>
      </c>
      <c r="F5672" t="s">
        <v>75</v>
      </c>
      <c r="G5672">
        <v>-419.54950000000002</v>
      </c>
      <c r="H5672" s="1">
        <v>-1.3627030000000001E-5</v>
      </c>
      <c r="I5672">
        <v>15.6421799999999</v>
      </c>
      <c r="J5672">
        <v>-423.08870000000002</v>
      </c>
      <c r="K5672">
        <v>1.1212869999999999</v>
      </c>
      <c r="L5672">
        <v>58.184420000000003</v>
      </c>
      <c r="M5672">
        <v>1.2428349999999999E-2</v>
      </c>
      <c r="N5672">
        <v>-1.3847419999999999E-2</v>
      </c>
      <c r="O5672">
        <v>-0.99982709999999997</v>
      </c>
      <c r="P5672">
        <v>4.9205440000000003E-2</v>
      </c>
      <c r="Q5672">
        <v>0.1756762</v>
      </c>
      <c r="R5672">
        <v>-0.98321789999999998</v>
      </c>
      <c r="S5672">
        <v>0.25289919999999999</v>
      </c>
      <c r="T5672">
        <v>-8.0071450000000002E-2</v>
      </c>
      <c r="U5672">
        <v>-3.0528870000000001</v>
      </c>
      <c r="V5672">
        <v>-3.6811580000000003E-2</v>
      </c>
      <c r="W5672">
        <v>0.18931439999999999</v>
      </c>
      <c r="X5672">
        <v>0.9812263</v>
      </c>
      <c r="Y5672">
        <v>-7.0137450000000004E-2</v>
      </c>
      <c r="Z5672">
        <v>1.230096E-2</v>
      </c>
      <c r="AA5672">
        <v>0.9974615</v>
      </c>
      <c r="AB5672">
        <v>34</v>
      </c>
      <c r="AC5672">
        <v>3.5391999999999899</v>
      </c>
      <c r="AD5672">
        <v>-1.1213006270299899</v>
      </c>
      <c r="AE5672">
        <v>-42.54224</v>
      </c>
      <c r="AF5672">
        <v>-3.0080707948576402</v>
      </c>
      <c r="AG5672">
        <v>-1.1213006270299899</v>
      </c>
      <c r="AH5672">
        <v>42.553585051821301</v>
      </c>
      <c r="AI5672">
        <v>91.505657486639095</v>
      </c>
      <c r="AJ5672">
        <v>94.043455912426595</v>
      </c>
      <c r="AK5672">
        <v>42.674505337093699</v>
      </c>
      <c r="AL5672">
        <v>79.087224397617007</v>
      </c>
      <c r="AM5672">
        <v>92.148494699556807</v>
      </c>
      <c r="AN5672">
        <v>1.00000004314057</v>
      </c>
    </row>
    <row r="5673" spans="1:40" x14ac:dyDescent="0.25">
      <c r="A5673" t="str">
        <f>"20190303170406914"</f>
        <v>20190303170406914</v>
      </c>
      <c r="B5673" t="str">
        <f>"1551603846901020"</f>
        <v>1551603846901020</v>
      </c>
      <c r="C5673" t="s">
        <v>40</v>
      </c>
      <c r="D5673">
        <v>4.5567950000000002</v>
      </c>
      <c r="E5673">
        <v>0.49099920000000002</v>
      </c>
      <c r="F5673" t="s">
        <v>75</v>
      </c>
      <c r="G5673">
        <v>-419.48509999999999</v>
      </c>
      <c r="H5673" s="1">
        <v>-1.370243E-5</v>
      </c>
      <c r="I5673">
        <v>15.21157</v>
      </c>
      <c r="J5673">
        <v>-423.08589999999998</v>
      </c>
      <c r="K5673">
        <v>1.121286</v>
      </c>
      <c r="L5673">
        <v>57.9428699999999</v>
      </c>
      <c r="M5673">
        <v>1.215596E-2</v>
      </c>
      <c r="N5673">
        <v>-1.3845959999999999E-2</v>
      </c>
      <c r="O5673">
        <v>-0.9998302</v>
      </c>
      <c r="P5673">
        <v>4.9878449999999998E-2</v>
      </c>
      <c r="Q5673">
        <v>0.17692149999999901</v>
      </c>
      <c r="R5673">
        <v>-0.98296030000000001</v>
      </c>
      <c r="S5673">
        <v>0.25598140000000003</v>
      </c>
      <c r="T5673">
        <v>-7.9652550000000003E-2</v>
      </c>
      <c r="U5673">
        <v>-3.0526119999999999</v>
      </c>
      <c r="V5673">
        <v>-3.7754459999999997E-2</v>
      </c>
      <c r="W5673">
        <v>0.1905559</v>
      </c>
      <c r="X5673">
        <v>0.98095010000000005</v>
      </c>
      <c r="Y5673">
        <v>-7.1416599999999997E-2</v>
      </c>
      <c r="Z5673">
        <v>1.2165860000000001E-2</v>
      </c>
      <c r="AA5673">
        <v>0.99737240000000005</v>
      </c>
      <c r="AB5673">
        <v>34</v>
      </c>
      <c r="AC5673">
        <v>3.6007999999999898</v>
      </c>
      <c r="AD5673">
        <v>-1.12129970242999</v>
      </c>
      <c r="AE5673">
        <v>-42.731299999999898</v>
      </c>
      <c r="AF5673">
        <v>-3.0789389706743999</v>
      </c>
      <c r="AG5673">
        <v>-1.12129970242999</v>
      </c>
      <c r="AH5673">
        <v>42.7426934773722</v>
      </c>
      <c r="AI5673">
        <v>91.4988546459453</v>
      </c>
      <c r="AJ5673">
        <v>94.1201434301191</v>
      </c>
      <c r="AK5673">
        <v>42.868111970419299</v>
      </c>
      <c r="AL5673">
        <v>79.014772615525501</v>
      </c>
      <c r="AM5673">
        <v>92.204091791280305</v>
      </c>
      <c r="AN5673">
        <v>1.0000000244823499</v>
      </c>
    </row>
    <row r="5674" spans="1:40" x14ac:dyDescent="0.25">
      <c r="A5674" t="str">
        <f>"20190303170406940"</f>
        <v>20190303170406940</v>
      </c>
      <c r="B5674" t="str">
        <f>"1551603846931477"</f>
        <v>1551603846931477</v>
      </c>
      <c r="C5674" t="s">
        <v>40</v>
      </c>
      <c r="D5674">
        <v>4.5800190000000001</v>
      </c>
      <c r="E5674">
        <v>0.49101820000000002</v>
      </c>
      <c r="F5674" t="s">
        <v>75</v>
      </c>
      <c r="G5674">
        <v>-419.24770000000001</v>
      </c>
      <c r="H5674" s="1">
        <v>-1.417007E-5</v>
      </c>
      <c r="I5674">
        <v>12.76641</v>
      </c>
      <c r="J5674">
        <v>-423.08190000000002</v>
      </c>
      <c r="K5674">
        <v>1.1213</v>
      </c>
      <c r="L5674">
        <v>57.575499999999998</v>
      </c>
      <c r="M5674">
        <v>1.1741969999999999E-2</v>
      </c>
      <c r="N5674">
        <v>-1.384372E-2</v>
      </c>
      <c r="O5674">
        <v>-0.99983549999999999</v>
      </c>
      <c r="P5674">
        <v>5.0242170000000003E-2</v>
      </c>
      <c r="Q5674">
        <v>0.17721199999999901</v>
      </c>
      <c r="R5674">
        <v>-0.98289000000000004</v>
      </c>
      <c r="S5674">
        <v>0.25933840000000002</v>
      </c>
      <c r="T5674">
        <v>-7.576418E-2</v>
      </c>
      <c r="U5674">
        <v>-3.0524900000000001</v>
      </c>
      <c r="V5674">
        <v>-3.8525919999999998E-2</v>
      </c>
      <c r="W5674">
        <v>0.19084329999999999</v>
      </c>
      <c r="X5674">
        <v>0.98086419999999996</v>
      </c>
      <c r="Y5674">
        <v>-7.2923399999999902E-2</v>
      </c>
      <c r="Z5674">
        <v>1.089774E-2</v>
      </c>
      <c r="AA5674">
        <v>0.997278</v>
      </c>
      <c r="AB5674">
        <v>34</v>
      </c>
      <c r="AC5674">
        <v>3.8342000000000001</v>
      </c>
      <c r="AD5674">
        <v>-1.12131417007</v>
      </c>
      <c r="AE5674">
        <v>-44.809089999999998</v>
      </c>
      <c r="AF5674">
        <v>-3.3056833346986698</v>
      </c>
      <c r="AG5674">
        <v>-1.12131417007</v>
      </c>
      <c r="AH5674">
        <v>44.823160821291602</v>
      </c>
      <c r="AI5674">
        <v>91.4291556227152</v>
      </c>
      <c r="AJ5674">
        <v>94.217896109832495</v>
      </c>
      <c r="AK5674">
        <v>44.958877141101603</v>
      </c>
      <c r="AL5674">
        <v>78.997997642338404</v>
      </c>
      <c r="AM5674">
        <v>92.249280323498994</v>
      </c>
      <c r="AN5674">
        <v>0.99999999525418803</v>
      </c>
    </row>
    <row r="5675" spans="1:40" x14ac:dyDescent="0.25">
      <c r="A5675" t="str">
        <f>"20190303170406958"</f>
        <v>20190303170406958</v>
      </c>
      <c r="B5675" t="str">
        <f>"1551603846950997"</f>
        <v>1551603846950997</v>
      </c>
      <c r="C5675" t="s">
        <v>40</v>
      </c>
      <c r="D5675">
        <v>4.7109969999999999</v>
      </c>
      <c r="E5675">
        <v>0.49103210000000003</v>
      </c>
      <c r="F5675" t="s">
        <v>75</v>
      </c>
      <c r="G5675">
        <v>-419.15269999999998</v>
      </c>
      <c r="H5675" s="1">
        <v>-1.438437E-5</v>
      </c>
      <c r="I5675">
        <v>11.66499</v>
      </c>
      <c r="J5675">
        <v>-423.07870000000003</v>
      </c>
      <c r="K5675">
        <v>1.1212959999999901</v>
      </c>
      <c r="L5675">
        <v>57.277070000000002</v>
      </c>
      <c r="M5675">
        <v>1.1405179999999999E-2</v>
      </c>
      <c r="N5675">
        <v>-1.384198E-2</v>
      </c>
      <c r="O5675">
        <v>-0.99983929999999999</v>
      </c>
      <c r="P5675">
        <v>5.0904449999999997E-2</v>
      </c>
      <c r="Q5675">
        <v>0.1761499</v>
      </c>
      <c r="R5675">
        <v>-0.98304659999999999</v>
      </c>
      <c r="S5675">
        <v>0.26123049999999998</v>
      </c>
      <c r="T5675">
        <v>-7.4549320000000002E-2</v>
      </c>
      <c r="U5675">
        <v>-3.0523069999999999</v>
      </c>
      <c r="V5675">
        <v>-3.951872E-2</v>
      </c>
      <c r="W5675">
        <v>0.18978310000000001</v>
      </c>
      <c r="X5675">
        <v>0.98103039999999997</v>
      </c>
      <c r="Y5675">
        <v>-7.3878399999999997E-2</v>
      </c>
      <c r="Z5675">
        <v>1.050299E-2</v>
      </c>
      <c r="AA5675">
        <v>0.99721190000000004</v>
      </c>
      <c r="AB5675">
        <v>34</v>
      </c>
      <c r="AC5675">
        <v>3.9260000000000401</v>
      </c>
      <c r="AD5675">
        <v>-1.1213103843700001</v>
      </c>
      <c r="AE5675">
        <v>-45.612079999999899</v>
      </c>
      <c r="AF5675">
        <v>-3.40343909449046</v>
      </c>
      <c r="AG5675">
        <v>-1.1213103843700001</v>
      </c>
      <c r="AH5675">
        <v>45.626521973074603</v>
      </c>
      <c r="AI5675">
        <v>91.403910063008496</v>
      </c>
      <c r="AJ5675">
        <v>94.265988584142306</v>
      </c>
      <c r="AK5675">
        <v>45.7670213364106</v>
      </c>
      <c r="AL5675">
        <v>79.059873562777696</v>
      </c>
      <c r="AM5675">
        <v>92.306791222339797</v>
      </c>
      <c r="AN5675">
        <v>1.0000000000000999</v>
      </c>
    </row>
    <row r="5676" spans="1:40" x14ac:dyDescent="0.25">
      <c r="A5676" t="str">
        <f>"20190303170406973"</f>
        <v>20190303170406973</v>
      </c>
      <c r="B5676" t="str">
        <f>"1551603846961734"</f>
        <v>1551603846961734</v>
      </c>
      <c r="C5676" t="s">
        <v>40</v>
      </c>
      <c r="D5676">
        <v>4.8294189999999997</v>
      </c>
      <c r="E5676">
        <v>0.4910699</v>
      </c>
      <c r="F5676" t="s">
        <v>75</v>
      </c>
      <c r="G5676">
        <v>-419.30630000000002</v>
      </c>
      <c r="H5676" s="1">
        <v>-1.4055640000000001E-5</v>
      </c>
      <c r="I5676">
        <v>13.365379999999901</v>
      </c>
      <c r="J5676">
        <v>-423.07639999999998</v>
      </c>
      <c r="K5676">
        <v>1.121291</v>
      </c>
      <c r="L5676">
        <v>57.046109999999999</v>
      </c>
      <c r="M5676">
        <v>1.114504E-2</v>
      </c>
      <c r="N5676">
        <v>-1.3840649999999999E-2</v>
      </c>
      <c r="O5676">
        <v>-0.99984220000000001</v>
      </c>
      <c r="P5676">
        <v>5.127963E-2</v>
      </c>
      <c r="Q5676">
        <v>0.17569770000000001</v>
      </c>
      <c r="R5676">
        <v>-0.98310779999999998</v>
      </c>
      <c r="S5676">
        <v>0.26220700000000002</v>
      </c>
      <c r="T5676">
        <v>-7.7937720000000002E-2</v>
      </c>
      <c r="U5676">
        <v>-3.0521240000000001</v>
      </c>
      <c r="V5676">
        <v>-4.0149589999999999E-2</v>
      </c>
      <c r="W5676">
        <v>0.18933079999999999</v>
      </c>
      <c r="X5676">
        <v>0.98109219999999997</v>
      </c>
      <c r="Y5676">
        <v>-7.4457910000000002E-2</v>
      </c>
      <c r="Z5676">
        <v>1.161064E-2</v>
      </c>
      <c r="AA5676">
        <v>0.99715659999999895</v>
      </c>
      <c r="AB5676">
        <v>34</v>
      </c>
      <c r="AC5676">
        <v>3.77009999999995</v>
      </c>
      <c r="AD5676">
        <v>-1.1213050556399999</v>
      </c>
      <c r="AE5676">
        <v>-43.680729999999997</v>
      </c>
      <c r="AF5676">
        <v>-3.2808497268466401</v>
      </c>
      <c r="AG5676">
        <v>-1.1213050556399999</v>
      </c>
      <c r="AH5676">
        <v>43.6914598915859</v>
      </c>
      <c r="AI5676">
        <v>91.466000363511597</v>
      </c>
      <c r="AJ5676">
        <v>94.294356708618693</v>
      </c>
      <c r="AK5676">
        <v>43.828814351018202</v>
      </c>
      <c r="AL5676">
        <v>79.086267219432898</v>
      </c>
      <c r="AM5676">
        <v>92.343428239940295</v>
      </c>
      <c r="AN5676">
        <v>1.0000000231533199</v>
      </c>
    </row>
    <row r="5677" spans="1:40" x14ac:dyDescent="0.25">
      <c r="A5677" t="str">
        <f>"20190303170406989"</f>
        <v>20190303170406989</v>
      </c>
      <c r="B5677" t="str">
        <f>"1551603846981254"</f>
        <v>1551603846981254</v>
      </c>
      <c r="C5677" t="s">
        <v>40</v>
      </c>
      <c r="D5677">
        <v>4.7109880000000004</v>
      </c>
      <c r="E5677">
        <v>0.49110930000000003</v>
      </c>
      <c r="F5677" t="s">
        <v>75</v>
      </c>
      <c r="G5677">
        <v>-419.37380000000002</v>
      </c>
      <c r="H5677" s="1">
        <v>-1.395395E-5</v>
      </c>
      <c r="I5677">
        <v>13.919280000000001</v>
      </c>
      <c r="J5677">
        <v>-423.07409999999999</v>
      </c>
      <c r="K5677">
        <v>1.1212899999999999</v>
      </c>
      <c r="L5677">
        <v>56.819580000000002</v>
      </c>
      <c r="M5677">
        <v>1.088948E-2</v>
      </c>
      <c r="N5677">
        <v>-1.383934E-2</v>
      </c>
      <c r="O5677">
        <v>-0.99984499999999998</v>
      </c>
      <c r="P5677">
        <v>5.1173379999999997E-2</v>
      </c>
      <c r="Q5677">
        <v>0.17567539999999901</v>
      </c>
      <c r="R5677">
        <v>-0.98311720000000002</v>
      </c>
      <c r="S5677">
        <v>0.26202389999999998</v>
      </c>
      <c r="T5677">
        <v>-7.9354170000000002E-2</v>
      </c>
      <c r="U5677">
        <v>-3.052063</v>
      </c>
      <c r="V5677">
        <v>-4.0294320000000002E-2</v>
      </c>
      <c r="W5677">
        <v>0.18930730000000001</v>
      </c>
      <c r="X5677">
        <v>0.98109080000000004</v>
      </c>
      <c r="Y5677">
        <v>-7.4654360000000003E-2</v>
      </c>
      <c r="Z5677">
        <v>1.207449E-2</v>
      </c>
      <c r="AA5677">
        <v>0.99713640000000003</v>
      </c>
      <c r="AB5677">
        <v>34</v>
      </c>
      <c r="AC5677">
        <v>3.7002999999999702</v>
      </c>
      <c r="AD5677">
        <v>-1.1213039539499901</v>
      </c>
      <c r="AE5677">
        <v>-42.900300000000001</v>
      </c>
      <c r="AF5677">
        <v>-3.23068309463982</v>
      </c>
      <c r="AG5677">
        <v>-1.1213039539499901</v>
      </c>
      <c r="AH5677">
        <v>42.908956609854101</v>
      </c>
      <c r="AI5677">
        <v>91.492699084299005</v>
      </c>
      <c r="AJ5677">
        <v>94.305765763862397</v>
      </c>
      <c r="AK5677">
        <v>43.045013569070598</v>
      </c>
      <c r="AL5677">
        <v>79.087638455117599</v>
      </c>
      <c r="AM5677">
        <v>92.351869641129497</v>
      </c>
      <c r="AN5677">
        <v>1.0000000219510901</v>
      </c>
    </row>
    <row r="5678" spans="1:40" x14ac:dyDescent="0.25">
      <c r="A5678" t="str">
        <f>"20190303170407002"</f>
        <v>20190303170407002</v>
      </c>
      <c r="B5678" t="str">
        <f>"1551603846991014"</f>
        <v>1551603846991014</v>
      </c>
      <c r="C5678" t="s">
        <v>40</v>
      </c>
      <c r="D5678">
        <v>4.6530490000000002</v>
      </c>
      <c r="E5678">
        <v>0.49113810000000002</v>
      </c>
      <c r="F5678" t="s">
        <v>75</v>
      </c>
      <c r="G5678">
        <v>-419.38499999999999</v>
      </c>
      <c r="H5678" s="1">
        <v>-1.39874799999999E-5</v>
      </c>
      <c r="I5678">
        <v>13.78312</v>
      </c>
      <c r="J5678">
        <v>-423.07209999999998</v>
      </c>
      <c r="K5678">
        <v>1.121292</v>
      </c>
      <c r="L5678">
        <v>56.617159999999998</v>
      </c>
      <c r="M5678">
        <v>1.066109E-2</v>
      </c>
      <c r="N5678">
        <v>-1.383817E-2</v>
      </c>
      <c r="O5678">
        <v>-0.99984770000000001</v>
      </c>
      <c r="P5678">
        <v>5.1279999999999902E-2</v>
      </c>
      <c r="Q5678">
        <v>0.17572950000000001</v>
      </c>
      <c r="R5678">
        <v>-0.98310220000000004</v>
      </c>
      <c r="S5678">
        <v>0.2616272</v>
      </c>
      <c r="T5678">
        <v>-7.9521540000000002E-2</v>
      </c>
      <c r="U5678">
        <v>-3.0520939999999999</v>
      </c>
      <c r="V5678">
        <v>-4.0625580000000001E-2</v>
      </c>
      <c r="W5678">
        <v>0.18936030000000001</v>
      </c>
      <c r="X5678">
        <v>0.98106689999999996</v>
      </c>
      <c r="Y5678">
        <v>-7.4752540000000006E-2</v>
      </c>
      <c r="Z5678">
        <v>1.213003E-2</v>
      </c>
      <c r="AA5678">
        <v>0.99712829999999997</v>
      </c>
      <c r="AB5678">
        <v>34</v>
      </c>
      <c r="AC5678">
        <v>3.6870999999999801</v>
      </c>
      <c r="AD5678">
        <v>-1.12130598748</v>
      </c>
      <c r="AE5678">
        <v>-42.834040000000002</v>
      </c>
      <c r="AF5678">
        <v>-3.2279934442064402</v>
      </c>
      <c r="AG5678">
        <v>-1.12130598748</v>
      </c>
      <c r="AH5678">
        <v>42.8417746686535</v>
      </c>
      <c r="AI5678">
        <v>91.495035307776604</v>
      </c>
      <c r="AJ5678">
        <v>94.308915594379002</v>
      </c>
      <c r="AK5678">
        <v>42.977842262648302</v>
      </c>
      <c r="AL5678">
        <v>79.084545727965903</v>
      </c>
      <c r="AM5678">
        <v>92.371240104305102</v>
      </c>
      <c r="AN5678">
        <v>1.0000000116210099</v>
      </c>
    </row>
    <row r="5679" spans="1:40" x14ac:dyDescent="0.25">
      <c r="A5679" t="str">
        <f>"20190303170407015"</f>
        <v>20190303170407015</v>
      </c>
      <c r="B5679" t="str">
        <f>"1551603847001750"</f>
        <v>1551603847001750</v>
      </c>
      <c r="C5679" t="s">
        <v>40</v>
      </c>
      <c r="D5679">
        <v>4.7164979999999996</v>
      </c>
      <c r="E5679">
        <v>0.49115249999999999</v>
      </c>
      <c r="F5679" t="s">
        <v>75</v>
      </c>
      <c r="G5679">
        <v>-419.3723</v>
      </c>
      <c r="H5679" s="1">
        <v>-1.4051470000000001E-5</v>
      </c>
      <c r="I5679">
        <v>13.476000000000001</v>
      </c>
      <c r="J5679">
        <v>-423.0702</v>
      </c>
      <c r="K5679">
        <v>1.1212979999999999</v>
      </c>
      <c r="L5679">
        <v>56.421750000000003</v>
      </c>
      <c r="M5679">
        <v>1.044052E-2</v>
      </c>
      <c r="N5679">
        <v>-1.383702E-2</v>
      </c>
      <c r="O5679">
        <v>-0.99984980000000001</v>
      </c>
      <c r="P5679">
        <v>5.154632E-2</v>
      </c>
      <c r="Q5679">
        <v>0.17651849999999999</v>
      </c>
      <c r="R5679">
        <v>-0.98294680000000001</v>
      </c>
      <c r="S5679">
        <v>0.26174930000000002</v>
      </c>
      <c r="T5679">
        <v>-7.9328659999999995E-2</v>
      </c>
      <c r="U5679">
        <v>-3.0520939999999999</v>
      </c>
      <c r="V5679">
        <v>-4.1109960000000001E-2</v>
      </c>
      <c r="W5679">
        <v>0.19014590000000001</v>
      </c>
      <c r="X5679">
        <v>0.98089470000000001</v>
      </c>
      <c r="Y5679">
        <v>-7.5012120000000002E-2</v>
      </c>
      <c r="Z5679">
        <v>1.2067899999999999E-2</v>
      </c>
      <c r="AA5679">
        <v>0.99710960000000004</v>
      </c>
      <c r="AB5679">
        <v>34</v>
      </c>
      <c r="AC5679">
        <v>3.6979000000000002</v>
      </c>
      <c r="AD5679">
        <v>-1.1213120514699999</v>
      </c>
      <c r="AE5679">
        <v>-42.945749999999997</v>
      </c>
      <c r="AF5679">
        <v>-3.2470821980949398</v>
      </c>
      <c r="AG5679">
        <v>-1.1213120514699999</v>
      </c>
      <c r="AH5679">
        <v>42.952953722797702</v>
      </c>
      <c r="AI5679">
        <v>91.491147487167694</v>
      </c>
      <c r="AJ5679">
        <v>94.323123293493296</v>
      </c>
      <c r="AK5679">
        <v>43.0901046300743</v>
      </c>
      <c r="AL5679">
        <v>79.038700594644993</v>
      </c>
      <c r="AM5679">
        <v>92.399900365660798</v>
      </c>
      <c r="AN5679">
        <v>0.99999995229304905</v>
      </c>
    </row>
    <row r="5680" spans="1:40" x14ac:dyDescent="0.25">
      <c r="A5680" t="str">
        <f>"20190303170407030"</f>
        <v>20190303170407030</v>
      </c>
      <c r="B5680" t="str">
        <f>"1551603847021270"</f>
        <v>1551603847021270</v>
      </c>
      <c r="C5680" t="s">
        <v>40</v>
      </c>
      <c r="D5680">
        <v>4.6072860000000002</v>
      </c>
      <c r="E5680">
        <v>0.49101919999999999</v>
      </c>
      <c r="F5680" t="s">
        <v>75</v>
      </c>
      <c r="G5680">
        <v>-419.23750000000001</v>
      </c>
      <c r="H5680" s="1">
        <v>-1.434538E-5</v>
      </c>
      <c r="I5680">
        <v>11.95918</v>
      </c>
      <c r="J5680">
        <v>-423.06810000000002</v>
      </c>
      <c r="K5680">
        <v>1.1213040000000001</v>
      </c>
      <c r="L5680">
        <v>56.188839999999999</v>
      </c>
      <c r="M5680">
        <v>1.0177429999999999E-2</v>
      </c>
      <c r="N5680">
        <v>-1.383562E-2</v>
      </c>
      <c r="O5680">
        <v>-0.99985270000000004</v>
      </c>
      <c r="P5680">
        <v>5.2260399999999999E-2</v>
      </c>
      <c r="Q5680">
        <v>0.17748929999999999</v>
      </c>
      <c r="R5680">
        <v>-0.98273440000000001</v>
      </c>
      <c r="S5680">
        <v>0.26309199999999999</v>
      </c>
      <c r="T5680">
        <v>-7.6970700000000003E-2</v>
      </c>
      <c r="U5680">
        <v>-3.052063</v>
      </c>
      <c r="V5680">
        <v>-4.2084580000000003E-2</v>
      </c>
      <c r="W5680">
        <v>0.19111339999999999</v>
      </c>
      <c r="X5680">
        <v>0.98066540000000002</v>
      </c>
      <c r="Y5680">
        <v>-7.5711819999999999E-2</v>
      </c>
      <c r="Z5680">
        <v>1.129893E-2</v>
      </c>
      <c r="AA5680">
        <v>0.99706570000000005</v>
      </c>
      <c r="AB5680">
        <v>34</v>
      </c>
      <c r="AC5680">
        <v>3.8306</v>
      </c>
      <c r="AD5680">
        <v>-1.12131834538</v>
      </c>
      <c r="AE5680">
        <v>-44.229660000000003</v>
      </c>
      <c r="AF5680">
        <v>-3.3780592808484502</v>
      </c>
      <c r="AG5680">
        <v>-1.12131834538</v>
      </c>
      <c r="AH5680">
        <v>44.238136604551599</v>
      </c>
      <c r="AI5680">
        <v>91.447770715623193</v>
      </c>
      <c r="AJ5680">
        <v>94.366677108738301</v>
      </c>
      <c r="AK5680">
        <v>44.381092478436997</v>
      </c>
      <c r="AL5680">
        <v>78.982232316315901</v>
      </c>
      <c r="AM5680">
        <v>92.457301156838398</v>
      </c>
      <c r="AN5680">
        <v>1.0000000351452401</v>
      </c>
    </row>
    <row r="5681" spans="1:40" x14ac:dyDescent="0.25">
      <c r="A5681" t="str">
        <f>"20190303170407044"</f>
        <v>20190303170407044</v>
      </c>
      <c r="B5681" t="str">
        <f>"1551603847031030"</f>
        <v>1551603847031030</v>
      </c>
      <c r="C5681" t="s">
        <v>40</v>
      </c>
      <c r="D5681">
        <v>4.8291329999999997</v>
      </c>
      <c r="E5681">
        <v>0.49102469999999998</v>
      </c>
      <c r="F5681" t="s">
        <v>75</v>
      </c>
      <c r="G5681">
        <v>-419.05470000000003</v>
      </c>
      <c r="H5681" s="1">
        <v>-1.465406E-5</v>
      </c>
      <c r="I5681">
        <v>10.27101</v>
      </c>
      <c r="J5681">
        <v>-423.06619999999998</v>
      </c>
      <c r="K5681">
        <v>1.1213109999999999</v>
      </c>
      <c r="L5681">
        <v>55.984830000000002</v>
      </c>
      <c r="M5681">
        <v>9.9469339999999993E-3</v>
      </c>
      <c r="N5681">
        <v>-1.38344E-2</v>
      </c>
      <c r="O5681">
        <v>-0.99985500000000005</v>
      </c>
      <c r="P5681">
        <v>5.2485160000000003E-2</v>
      </c>
      <c r="Q5681">
        <v>0.17751339999999999</v>
      </c>
      <c r="R5681">
        <v>-0.98271810000000004</v>
      </c>
      <c r="S5681">
        <v>0.2667542</v>
      </c>
      <c r="T5681">
        <v>-7.4530239999999998E-2</v>
      </c>
      <c r="U5681">
        <v>-3.0520019999999999</v>
      </c>
      <c r="V5681">
        <v>-4.2536560000000001E-2</v>
      </c>
      <c r="W5681">
        <v>0.19113630000000001</v>
      </c>
      <c r="X5681">
        <v>0.9806414</v>
      </c>
      <c r="Y5681">
        <v>-7.7131530000000004E-2</v>
      </c>
      <c r="Z5681">
        <v>1.0501699999999999E-2</v>
      </c>
      <c r="AA5681">
        <v>0.99696560000000001</v>
      </c>
      <c r="AB5681">
        <v>34</v>
      </c>
      <c r="AC5681">
        <v>4.0114999999999501</v>
      </c>
      <c r="AD5681">
        <v>-1.1213256540600001</v>
      </c>
      <c r="AE5681">
        <v>-45.713819999999998</v>
      </c>
      <c r="AF5681">
        <v>-3.5544234179707401</v>
      </c>
      <c r="AG5681">
        <v>-1.1213256540600001</v>
      </c>
      <c r="AH5681">
        <v>45.724162687232102</v>
      </c>
      <c r="AI5681">
        <v>91.400599145268799</v>
      </c>
      <c r="AJ5681">
        <v>94.445017885376402</v>
      </c>
      <c r="AK5681">
        <v>45.875814439692903</v>
      </c>
      <c r="AL5681">
        <v>78.980895206801904</v>
      </c>
      <c r="AM5681">
        <v>92.483719917534302</v>
      </c>
      <c r="AN5681">
        <v>0.999999999754141</v>
      </c>
    </row>
    <row r="5682" spans="1:40" x14ac:dyDescent="0.25">
      <c r="A5682" t="str">
        <f>"20190303170407059"</f>
        <v>20190303170407059</v>
      </c>
      <c r="B5682" t="str">
        <f>"1551603847051527"</f>
        <v>1551603847051527</v>
      </c>
      <c r="C5682" t="s">
        <v>40</v>
      </c>
      <c r="D5682">
        <v>4.7136610000000001</v>
      </c>
      <c r="E5682">
        <v>0.49106660000000002</v>
      </c>
      <c r="F5682" t="s">
        <v>75</v>
      </c>
      <c r="G5682">
        <v>-419.03789999999998</v>
      </c>
      <c r="H5682" s="1">
        <v>-1.469651E-5</v>
      </c>
      <c r="I5682">
        <v>10.013820000000001</v>
      </c>
      <c r="J5682">
        <v>-423.0641</v>
      </c>
      <c r="K5682">
        <v>1.1213040000000001</v>
      </c>
      <c r="L5682">
        <v>55.752659999999999</v>
      </c>
      <c r="M5682">
        <v>9.6845509999999996E-3</v>
      </c>
      <c r="N5682">
        <v>-1.3833E-2</v>
      </c>
      <c r="O5682">
        <v>-0.99985769999999996</v>
      </c>
      <c r="P5682">
        <v>5.3013129999999999E-2</v>
      </c>
      <c r="Q5682">
        <v>0.17819960000000001</v>
      </c>
      <c r="R5682">
        <v>-0.98256569999999999</v>
      </c>
      <c r="S5682">
        <v>0.26742549999999998</v>
      </c>
      <c r="T5682">
        <v>-7.4442270000000005E-2</v>
      </c>
      <c r="U5682">
        <v>-3.0519099999999999</v>
      </c>
      <c r="V5682">
        <v>-4.3322800000000002E-2</v>
      </c>
      <c r="W5682">
        <v>0.19181970000000001</v>
      </c>
      <c r="X5682">
        <v>0.9804735</v>
      </c>
      <c r="Y5682">
        <v>-7.7613340000000003E-2</v>
      </c>
      <c r="Z5682">
        <v>1.047438E-2</v>
      </c>
      <c r="AA5682">
        <v>0.9969285</v>
      </c>
      <c r="AB5682">
        <v>34</v>
      </c>
      <c r="AC5682">
        <v>4.02620000000001</v>
      </c>
      <c r="AD5682">
        <v>-1.1213186965099999</v>
      </c>
      <c r="AE5682">
        <v>-45.738840000000003</v>
      </c>
      <c r="AF5682">
        <v>-3.5808731361176398</v>
      </c>
      <c r="AG5682">
        <v>-1.1213186965099999</v>
      </c>
      <c r="AH5682">
        <v>45.748406039917597</v>
      </c>
      <c r="AI5682">
        <v>91.399790287559597</v>
      </c>
      <c r="AJ5682">
        <v>94.475597442557401</v>
      </c>
      <c r="AK5682">
        <v>45.902033323473603</v>
      </c>
      <c r="AL5682">
        <v>78.941000809124802</v>
      </c>
      <c r="AM5682">
        <v>92.530002177101196</v>
      </c>
      <c r="AN5682">
        <v>0.99999997325508905</v>
      </c>
    </row>
    <row r="5683" spans="1:40" x14ac:dyDescent="0.25">
      <c r="A5683" t="str">
        <f>"20190303170407082"</f>
        <v>20190303170407082</v>
      </c>
      <c r="B5683" t="str">
        <f>"1551603847071046"</f>
        <v>1551603847071046</v>
      </c>
      <c r="C5683" t="s">
        <v>40</v>
      </c>
      <c r="D5683">
        <v>4.7554309999999997</v>
      </c>
      <c r="E5683">
        <v>0.49110579999999998</v>
      </c>
      <c r="F5683" t="s">
        <v>75</v>
      </c>
      <c r="G5683">
        <v>-418.99419999999998</v>
      </c>
      <c r="H5683">
        <v>2.403077E-2</v>
      </c>
      <c r="I5683">
        <v>9.616282</v>
      </c>
      <c r="J5683">
        <v>-423.06119999999999</v>
      </c>
      <c r="K5683">
        <v>1.1213</v>
      </c>
      <c r="L5683">
        <v>55.40784</v>
      </c>
      <c r="M5683">
        <v>9.2949079999999993E-3</v>
      </c>
      <c r="N5683">
        <v>-1.383096E-2</v>
      </c>
      <c r="O5683">
        <v>-0.99986149999999996</v>
      </c>
      <c r="P5683">
        <v>5.2715959999999999E-2</v>
      </c>
      <c r="Q5683">
        <v>0.1773342</v>
      </c>
      <c r="R5683">
        <v>-0.98273820000000001</v>
      </c>
      <c r="S5683">
        <v>0.26922610000000002</v>
      </c>
      <c r="T5683">
        <v>-7.2583679999999998E-2</v>
      </c>
      <c r="U5683">
        <v>-3.0518800000000001</v>
      </c>
      <c r="V5683">
        <v>-4.340786E-2</v>
      </c>
      <c r="W5683">
        <v>0.19095429999999999</v>
      </c>
      <c r="X5683">
        <v>0.98063869999999997</v>
      </c>
      <c r="Y5683">
        <v>-7.8586959999999997E-2</v>
      </c>
      <c r="Z5683">
        <v>9.8685879999999993E-3</v>
      </c>
      <c r="AA5683">
        <v>0.99685840000000003</v>
      </c>
      <c r="AB5683">
        <v>34</v>
      </c>
      <c r="AC5683">
        <v>4.0670000000000002</v>
      </c>
      <c r="AD5683">
        <v>-1.09726923</v>
      </c>
      <c r="AE5683">
        <v>-45.791558000000002</v>
      </c>
      <c r="AF5683">
        <v>-3.6390822232163802</v>
      </c>
      <c r="AG5683">
        <v>-1.09726923</v>
      </c>
      <c r="AH5683">
        <v>45.8012926705523</v>
      </c>
      <c r="AI5683">
        <v>91.368072251308305</v>
      </c>
      <c r="AJ5683">
        <v>94.542818347698301</v>
      </c>
      <c r="AK5683">
        <v>45.9587350727152</v>
      </c>
      <c r="AL5683">
        <v>78.9915189749766</v>
      </c>
      <c r="AM5683">
        <v>92.534536623579399</v>
      </c>
      <c r="AN5683">
        <v>1.00000002346797</v>
      </c>
    </row>
    <row r="5684" spans="1:40" x14ac:dyDescent="0.25">
      <c r="A5684" t="str">
        <f>"20190303170407104"</f>
        <v>20190303170407104</v>
      </c>
      <c r="B5684" t="str">
        <f>"1551603847091543"</f>
        <v>1551603847091543</v>
      </c>
      <c r="C5684" t="s">
        <v>40</v>
      </c>
      <c r="D5684">
        <v>4.5651970000000004</v>
      </c>
      <c r="E5684">
        <v>0.49113849999999998</v>
      </c>
      <c r="F5684" t="s">
        <v>75</v>
      </c>
      <c r="G5684">
        <v>-419.10719999999998</v>
      </c>
      <c r="H5684" s="1">
        <v>-1.46708E-5</v>
      </c>
      <c r="I5684">
        <v>10.27732</v>
      </c>
      <c r="J5684">
        <v>-423.05849999999998</v>
      </c>
      <c r="K5684">
        <v>1.121299</v>
      </c>
      <c r="L5684">
        <v>55.074010000000001</v>
      </c>
      <c r="M5684">
        <v>8.9175969999999993E-3</v>
      </c>
      <c r="N5684">
        <v>-1.3828999999999999E-2</v>
      </c>
      <c r="O5684">
        <v>-0.99986459999999999</v>
      </c>
      <c r="P5684">
        <v>5.2711050000000002E-2</v>
      </c>
      <c r="Q5684">
        <v>0.17646110000000001</v>
      </c>
      <c r="R5684">
        <v>-0.98289499999999996</v>
      </c>
      <c r="S5684">
        <v>0.26739499999999999</v>
      </c>
      <c r="T5684">
        <v>-7.5830939999999999E-2</v>
      </c>
      <c r="U5684">
        <v>-3.0520320000000001</v>
      </c>
      <c r="V5684">
        <v>-4.3774059999999997E-2</v>
      </c>
      <c r="W5684">
        <v>0.19008169999999999</v>
      </c>
      <c r="X5684">
        <v>0.98079190000000005</v>
      </c>
      <c r="Y5684">
        <v>-7.8363840000000004E-2</v>
      </c>
      <c r="Z5684">
        <v>1.0929609999999999E-2</v>
      </c>
      <c r="AA5684">
        <v>0.99686490000000005</v>
      </c>
      <c r="AB5684">
        <v>34</v>
      </c>
      <c r="AC5684">
        <v>3.9512999999999998</v>
      </c>
      <c r="AD5684">
        <v>-1.1213136708</v>
      </c>
      <c r="AE5684">
        <v>-44.796689999999998</v>
      </c>
      <c r="AF5684">
        <v>-3.54941906684367</v>
      </c>
      <c r="AG5684">
        <v>-1.1213136708</v>
      </c>
      <c r="AH5684">
        <v>44.802293305729698</v>
      </c>
      <c r="AI5684">
        <v>91.429225508693904</v>
      </c>
      <c r="AJ5684">
        <v>94.529742535658002</v>
      </c>
      <c r="AK5684">
        <v>44.956659189857902</v>
      </c>
      <c r="AL5684">
        <v>79.042447690879399</v>
      </c>
      <c r="AM5684">
        <v>92.555491696090499</v>
      </c>
      <c r="AN5684">
        <v>0.99999998605469098</v>
      </c>
    </row>
    <row r="5685" spans="1:40" x14ac:dyDescent="0.25">
      <c r="A5685" t="str">
        <f>"20190303170407127"</f>
        <v>20190303170407127</v>
      </c>
      <c r="B5685" t="str">
        <f>"1551603847121797"</f>
        <v>1551603847121797</v>
      </c>
      <c r="C5685" t="s">
        <v>40</v>
      </c>
      <c r="D5685">
        <v>4.6451599999999997</v>
      </c>
      <c r="E5685">
        <v>0.49114819999999998</v>
      </c>
      <c r="F5685" t="s">
        <v>75</v>
      </c>
      <c r="G5685">
        <v>-419.27769999999998</v>
      </c>
      <c r="H5685" s="1">
        <v>-1.438291E-5</v>
      </c>
      <c r="I5685">
        <v>11.845420000000001</v>
      </c>
      <c r="J5685">
        <v>-423.05579999999998</v>
      </c>
      <c r="K5685">
        <v>1.1213089999999999</v>
      </c>
      <c r="L5685">
        <v>54.720089999999999</v>
      </c>
      <c r="M5685">
        <v>8.5174699999999992E-3</v>
      </c>
      <c r="N5685">
        <v>-1.38269E-2</v>
      </c>
      <c r="O5685">
        <v>-0.99986819999999998</v>
      </c>
      <c r="P5685">
        <v>5.2818259999999999E-2</v>
      </c>
      <c r="Q5685">
        <v>0.17620949999999999</v>
      </c>
      <c r="R5685">
        <v>-0.98293470000000005</v>
      </c>
      <c r="S5685">
        <v>0.26693729999999999</v>
      </c>
      <c r="T5685">
        <v>-7.9168799999999998E-2</v>
      </c>
      <c r="U5685">
        <v>-3.0520939999999999</v>
      </c>
      <c r="V5685">
        <v>-4.4274340000000002E-2</v>
      </c>
      <c r="W5685">
        <v>0.18982840000000001</v>
      </c>
      <c r="X5685">
        <v>0.98081850000000004</v>
      </c>
      <c r="Y5685">
        <v>-7.8610920000000001E-2</v>
      </c>
      <c r="Z5685">
        <v>1.2020039999999999E-2</v>
      </c>
      <c r="AA5685">
        <v>0.99683290000000002</v>
      </c>
      <c r="AB5685">
        <v>34</v>
      </c>
      <c r="AC5685">
        <v>3.77809999999999</v>
      </c>
      <c r="AD5685">
        <v>-1.12132338291</v>
      </c>
      <c r="AE5685">
        <v>-42.874670000000002</v>
      </c>
      <c r="AF5685">
        <v>-3.4104295426223499</v>
      </c>
      <c r="AG5685">
        <v>-1.12132338291</v>
      </c>
      <c r="AH5685">
        <v>42.876195764543702</v>
      </c>
      <c r="AI5685">
        <v>91.493376730502305</v>
      </c>
      <c r="AJ5685">
        <v>94.547807451306596</v>
      </c>
      <c r="AK5685">
        <v>43.026231057736503</v>
      </c>
      <c r="AL5685">
        <v>79.0572298344632</v>
      </c>
      <c r="AM5685">
        <v>92.584588224662099</v>
      </c>
      <c r="AN5685">
        <v>0.99999998428562198</v>
      </c>
    </row>
    <row r="5686" spans="1:40" x14ac:dyDescent="0.25">
      <c r="A5686" t="str">
        <f>"20190303170407149"</f>
        <v>20190303170407149</v>
      </c>
      <c r="B5686" t="str">
        <f>"1551603847141318"</f>
        <v>1551603847141318</v>
      </c>
      <c r="C5686" t="s">
        <v>40</v>
      </c>
      <c r="D5686">
        <v>4.7830940000000002</v>
      </c>
      <c r="E5686">
        <v>0.45363019999999998</v>
      </c>
      <c r="F5686" t="s">
        <v>75</v>
      </c>
      <c r="G5686">
        <v>-419.34690000000001</v>
      </c>
      <c r="H5686" s="1">
        <v>-1.4318170000000001E-5</v>
      </c>
      <c r="I5686">
        <v>12.23443</v>
      </c>
      <c r="J5686">
        <v>-423.05340000000001</v>
      </c>
      <c r="K5686">
        <v>1.1213010000000001</v>
      </c>
      <c r="L5686">
        <v>54.3940699999999</v>
      </c>
      <c r="M5686">
        <v>8.1488569999999903E-3</v>
      </c>
      <c r="N5686">
        <v>-1.3825E-2</v>
      </c>
      <c r="O5686">
        <v>-0.99987119999999996</v>
      </c>
      <c r="P5686">
        <v>5.2963669999999997E-2</v>
      </c>
      <c r="Q5686">
        <v>0.17696149999999999</v>
      </c>
      <c r="R5686">
        <v>-0.98279170000000005</v>
      </c>
      <c r="S5686">
        <v>0.26644899999999999</v>
      </c>
      <c r="T5686">
        <v>-8.0556269999999999E-2</v>
      </c>
      <c r="U5686">
        <v>-3.0521850000000001</v>
      </c>
      <c r="V5686">
        <v>-4.4783580000000003E-2</v>
      </c>
      <c r="W5686">
        <v>0.190577</v>
      </c>
      <c r="X5686">
        <v>0.98065020000000003</v>
      </c>
      <c r="Y5686">
        <v>-7.8816800000000006E-2</v>
      </c>
      <c r="Z5686">
        <v>1.2473669999999999E-2</v>
      </c>
      <c r="AA5686">
        <v>0.99681109999999995</v>
      </c>
      <c r="AB5686">
        <v>34</v>
      </c>
      <c r="AC5686">
        <v>3.7065000000000001</v>
      </c>
      <c r="AD5686">
        <v>-1.12131531817</v>
      </c>
      <c r="AE5686">
        <v>-42.159640000000003</v>
      </c>
      <c r="AF5686">
        <v>-3.36043227006888</v>
      </c>
      <c r="AG5686">
        <v>-1.12131531817</v>
      </c>
      <c r="AH5686">
        <v>42.158852349583398</v>
      </c>
      <c r="AI5686">
        <v>91.518744071304397</v>
      </c>
      <c r="AJ5686">
        <v>94.557343446768897</v>
      </c>
      <c r="AK5686">
        <v>42.307430606436697</v>
      </c>
      <c r="AL5686">
        <v>79.013540704582397</v>
      </c>
      <c r="AM5686">
        <v>92.614722989223907</v>
      </c>
      <c r="AN5686">
        <v>0.99999998836332804</v>
      </c>
    </row>
    <row r="5687" spans="1:40" x14ac:dyDescent="0.25">
      <c r="A5687" t="str">
        <f>"20190303170407171"</f>
        <v>20190303170407171</v>
      </c>
      <c r="B5687" t="str">
        <f>"1551603847161814"</f>
        <v>1551603847161814</v>
      </c>
      <c r="C5687" t="s">
        <v>40</v>
      </c>
      <c r="D5687">
        <v>4.6688739999999997</v>
      </c>
      <c r="E5687">
        <v>0.43380049999999998</v>
      </c>
      <c r="F5687" t="s">
        <v>75</v>
      </c>
      <c r="G5687">
        <v>-414.69490000000002</v>
      </c>
      <c r="H5687">
        <v>6.9347370000000005E-2</v>
      </c>
      <c r="I5687">
        <v>9.5969069999999999</v>
      </c>
      <c r="J5687">
        <v>-423.05110000000002</v>
      </c>
      <c r="K5687">
        <v>1.121299</v>
      </c>
      <c r="L5687">
        <v>54.063319999999997</v>
      </c>
      <c r="M5687">
        <v>7.7743530000000003E-3</v>
      </c>
      <c r="N5687">
        <v>-1.382312E-2</v>
      </c>
      <c r="O5687">
        <v>-0.9998745</v>
      </c>
      <c r="P5687">
        <v>5.3537370000000001E-2</v>
      </c>
      <c r="Q5687">
        <v>0.1774415</v>
      </c>
      <c r="R5687">
        <v>-0.98267450000000001</v>
      </c>
      <c r="S5687">
        <v>0.56625369999999997</v>
      </c>
      <c r="T5687">
        <v>-7.1266170000000004E-2</v>
      </c>
      <c r="U5687">
        <v>-3.0348510000000002</v>
      </c>
      <c r="V5687">
        <v>-4.572615E-2</v>
      </c>
      <c r="W5687">
        <v>0.19105440000000001</v>
      </c>
      <c r="X5687">
        <v>0.98051379999999999</v>
      </c>
      <c r="Y5687">
        <v>-0.17571719999999999</v>
      </c>
      <c r="Z5687">
        <v>9.2816249999999999E-3</v>
      </c>
      <c r="AA5687">
        <v>0.98439690000000002</v>
      </c>
      <c r="AB5687">
        <v>34</v>
      </c>
      <c r="AC5687">
        <v>8.3561999999999994</v>
      </c>
      <c r="AD5687">
        <v>-1.05195163</v>
      </c>
      <c r="AE5687">
        <v>-44.466413000000003</v>
      </c>
      <c r="AF5687">
        <v>-8.00588911573203</v>
      </c>
      <c r="AG5687">
        <v>-1.05195163</v>
      </c>
      <c r="AH5687">
        <v>44.505980405306701</v>
      </c>
      <c r="AI5687">
        <v>91.332620633696095</v>
      </c>
      <c r="AJ5687">
        <v>100.19750510761401</v>
      </c>
      <c r="AK5687">
        <v>45.232545303164102</v>
      </c>
      <c r="AL5687">
        <v>78.985675702931303</v>
      </c>
      <c r="AM5687">
        <v>92.6700476911317</v>
      </c>
      <c r="AN5687">
        <v>0.99999998827181102</v>
      </c>
    </row>
    <row r="5688" spans="1:40" x14ac:dyDescent="0.25">
      <c r="A5688" t="str">
        <f>"20190303170407193"</f>
        <v>20190303170407193</v>
      </c>
      <c r="B5688" t="str">
        <f>"1551603847181334"</f>
        <v>1551603847181334</v>
      </c>
      <c r="C5688" t="s">
        <v>40</v>
      </c>
      <c r="D5688">
        <v>4.5951029999999999</v>
      </c>
      <c r="E5688">
        <v>0.42150209999999999</v>
      </c>
      <c r="F5688" t="s">
        <v>95</v>
      </c>
      <c r="G5688">
        <v>-410.20740000000001</v>
      </c>
      <c r="H5688">
        <v>0.63545059999999998</v>
      </c>
      <c r="I5688">
        <v>0.57697679999999996</v>
      </c>
      <c r="J5688">
        <v>-423.0489</v>
      </c>
      <c r="K5688">
        <v>1.1212949999999999</v>
      </c>
      <c r="L5688">
        <v>53.730930000000001</v>
      </c>
      <c r="M5688">
        <v>7.3984849999999998E-3</v>
      </c>
      <c r="N5688">
        <v>-1.38212E-2</v>
      </c>
      <c r="O5688">
        <v>-0.99987720000000002</v>
      </c>
      <c r="P5688">
        <v>5.413258E-2</v>
      </c>
      <c r="Q5688">
        <v>0.17593619999999999</v>
      </c>
      <c r="R5688">
        <v>-0.98291220000000001</v>
      </c>
      <c r="S5688">
        <v>0.72479249999999995</v>
      </c>
      <c r="T5688">
        <v>-2.7418850000000002E-2</v>
      </c>
      <c r="U5688">
        <v>-3.0183409999999999</v>
      </c>
      <c r="V5688">
        <v>-4.6690509999999998E-2</v>
      </c>
      <c r="W5688">
        <v>0.18955079999999999</v>
      </c>
      <c r="X5688">
        <v>0.98076019999999997</v>
      </c>
      <c r="Y5688">
        <v>-0.22625310000000001</v>
      </c>
      <c r="Z5688">
        <v>-4.9694680000000003E-3</v>
      </c>
      <c r="AA5688">
        <v>0.97405589999999997</v>
      </c>
      <c r="AB5688">
        <v>34</v>
      </c>
      <c r="AC5688">
        <v>12.8414999999999</v>
      </c>
      <c r="AD5688">
        <v>-0.48584440000000001</v>
      </c>
      <c r="AE5688">
        <v>-53.153953199999997</v>
      </c>
      <c r="AF5688">
        <v>-12.4468696809737</v>
      </c>
      <c r="AG5688">
        <v>-0.48584440000000001</v>
      </c>
      <c r="AH5688">
        <v>53.243311922847298</v>
      </c>
      <c r="AI5688">
        <v>90.509083667489705</v>
      </c>
      <c r="AJ5688">
        <v>103.157931677204</v>
      </c>
      <c r="AK5688">
        <v>54.6809918906905</v>
      </c>
      <c r="AL5688">
        <v>79.073429871120098</v>
      </c>
      <c r="AM5688">
        <v>92.725590753121594</v>
      </c>
      <c r="AN5688">
        <v>1.00000003970436</v>
      </c>
    </row>
    <row r="5689" spans="1:40" x14ac:dyDescent="0.25">
      <c r="A5689" t="str">
        <f>"20190303170407216"</f>
        <v>20190303170407216</v>
      </c>
      <c r="B5689" t="str">
        <f>"1551603847211590"</f>
        <v>1551603847211590</v>
      </c>
      <c r="C5689" t="s">
        <v>40</v>
      </c>
      <c r="D5689">
        <v>4.5749659999999999</v>
      </c>
      <c r="E5689">
        <v>0.41192319999999999</v>
      </c>
      <c r="F5689" t="s">
        <v>95</v>
      </c>
      <c r="G5689">
        <v>-408.50360000000001</v>
      </c>
      <c r="H5689">
        <v>0.9806724</v>
      </c>
      <c r="I5689">
        <v>0.59430890000000003</v>
      </c>
      <c r="J5689">
        <v>-423.04680000000002</v>
      </c>
      <c r="K5689">
        <v>1.121286</v>
      </c>
      <c r="L5689">
        <v>53.3893699999999</v>
      </c>
      <c r="M5689">
        <v>7.011499E-3</v>
      </c>
      <c r="N5689">
        <v>-1.38192E-2</v>
      </c>
      <c r="O5689">
        <v>-0.99987999999999999</v>
      </c>
      <c r="P5689">
        <v>5.5221060000000002E-2</v>
      </c>
      <c r="Q5689">
        <v>0.1725236</v>
      </c>
      <c r="R5689">
        <v>-0.98345669999999996</v>
      </c>
      <c r="S5689">
        <v>0.82345579999999996</v>
      </c>
      <c r="T5689">
        <v>-7.9627039999999993E-3</v>
      </c>
      <c r="U5689">
        <v>-3.0082399999999998</v>
      </c>
      <c r="V5689">
        <v>-4.815904E-2</v>
      </c>
      <c r="W5689">
        <v>0.186145</v>
      </c>
      <c r="X5689">
        <v>0.98134129999999997</v>
      </c>
      <c r="Y5689">
        <v>-0.25720549999999998</v>
      </c>
      <c r="Z5689">
        <v>-1.125103E-2</v>
      </c>
      <c r="AA5689">
        <v>0.96629120000000002</v>
      </c>
      <c r="AB5689">
        <v>34</v>
      </c>
      <c r="AC5689">
        <v>14.543200000000001</v>
      </c>
      <c r="AD5689">
        <v>-0.14061360000000001</v>
      </c>
      <c r="AE5689">
        <v>-52.795061099999899</v>
      </c>
      <c r="AF5689">
        <v>-14.172541161212701</v>
      </c>
      <c r="AG5689">
        <v>-0.14061360000000001</v>
      </c>
      <c r="AH5689">
        <v>52.8953937110646</v>
      </c>
      <c r="AI5689">
        <v>90.147121600788196</v>
      </c>
      <c r="AJ5689">
        <v>104.999255297262</v>
      </c>
      <c r="AK5689">
        <v>54.761330982722797</v>
      </c>
      <c r="AL5689">
        <v>79.272104297072403</v>
      </c>
      <c r="AM5689">
        <v>92.809519813175797</v>
      </c>
      <c r="AN5689">
        <v>1.0000000006222001</v>
      </c>
    </row>
    <row r="5690" spans="1:40" x14ac:dyDescent="0.25">
      <c r="A5690" t="str">
        <f>"20190303170407238"</f>
        <v>20190303170407238</v>
      </c>
      <c r="B5690" t="str">
        <f>"1551603847231109"</f>
        <v>1551603847231109</v>
      </c>
      <c r="C5690" t="s">
        <v>40</v>
      </c>
      <c r="D5690">
        <v>4.5778930000000004</v>
      </c>
      <c r="E5690">
        <v>0.40811969999999997</v>
      </c>
      <c r="F5690" t="s">
        <v>95</v>
      </c>
      <c r="G5690">
        <v>-407.1902</v>
      </c>
      <c r="H5690">
        <v>1.0781019999999999</v>
      </c>
      <c r="I5690">
        <v>0.60766790000000004</v>
      </c>
      <c r="J5690">
        <v>-423.04480000000001</v>
      </c>
      <c r="K5690">
        <v>1.121281</v>
      </c>
      <c r="L5690">
        <v>53.050420000000003</v>
      </c>
      <c r="M5690">
        <v>6.6282049999999999E-3</v>
      </c>
      <c r="N5690">
        <v>-1.381719E-2</v>
      </c>
      <c r="O5690">
        <v>-0.99988290000000002</v>
      </c>
      <c r="P5690">
        <v>5.5776399999999997E-2</v>
      </c>
      <c r="Q5690">
        <v>0.1722815</v>
      </c>
      <c r="R5690">
        <v>-0.98346789999999995</v>
      </c>
      <c r="S5690">
        <v>0.90133669999999999</v>
      </c>
      <c r="T5690">
        <v>-2.456307E-3</v>
      </c>
      <c r="U5690">
        <v>-3.0002749999999998</v>
      </c>
      <c r="V5690">
        <v>-4.909206E-2</v>
      </c>
      <c r="W5690">
        <v>0.18590180000000001</v>
      </c>
      <c r="X5690">
        <v>0.98134120000000002</v>
      </c>
      <c r="Y5690">
        <v>-0.28130820000000001</v>
      </c>
      <c r="Z5690">
        <v>-1.301897E-2</v>
      </c>
      <c r="AA5690">
        <v>0.95952919999999997</v>
      </c>
      <c r="AB5690">
        <v>34</v>
      </c>
      <c r="AC5690">
        <v>15.8546</v>
      </c>
      <c r="AD5690">
        <v>-4.3178999999999801E-2</v>
      </c>
      <c r="AE5690">
        <v>-52.4427520999999</v>
      </c>
      <c r="AF5690">
        <v>-15.506607644691501</v>
      </c>
      <c r="AG5690">
        <v>-4.3178999999999801E-2</v>
      </c>
      <c r="AH5690">
        <v>52.5466647798605</v>
      </c>
      <c r="AI5690">
        <v>90.045156286307602</v>
      </c>
      <c r="AJ5690">
        <v>106.441417092647</v>
      </c>
      <c r="AK5690">
        <v>54.786939361123999</v>
      </c>
      <c r="AL5690">
        <v>79.286286491548395</v>
      </c>
      <c r="AM5690">
        <v>92.8638612137091</v>
      </c>
      <c r="AN5690">
        <v>1.00000003020786</v>
      </c>
    </row>
    <row r="5691" spans="1:40" x14ac:dyDescent="0.25">
      <c r="A5691" t="str">
        <f>"20190303170407260"</f>
        <v>20190303170407260</v>
      </c>
      <c r="B5691" t="str">
        <f>"1551603847251606"</f>
        <v>1551603847251606</v>
      </c>
      <c r="C5691" t="s">
        <v>40</v>
      </c>
      <c r="D5691">
        <v>4.5570370000000002</v>
      </c>
      <c r="E5691">
        <v>0.40545949999999997</v>
      </c>
      <c r="F5691" t="s">
        <v>95</v>
      </c>
      <c r="G5691">
        <v>-406.7296</v>
      </c>
      <c r="H5691">
        <v>1.1771640000000001</v>
      </c>
      <c r="I5691">
        <v>0.61235050000000002</v>
      </c>
      <c r="J5691">
        <v>-423.04300000000001</v>
      </c>
      <c r="K5691">
        <v>1.121294</v>
      </c>
      <c r="L5691">
        <v>52.724670000000003</v>
      </c>
      <c r="M5691">
        <v>6.2594540000000002E-3</v>
      </c>
      <c r="N5691">
        <v>-1.3815249999999999E-2</v>
      </c>
      <c r="O5691">
        <v>-0.99988529999999998</v>
      </c>
      <c r="P5691">
        <v>5.5105500000000002E-2</v>
      </c>
      <c r="Q5691">
        <v>0.1747157</v>
      </c>
      <c r="R5691">
        <v>-0.98307630000000001</v>
      </c>
      <c r="S5691">
        <v>0.93246459999999998</v>
      </c>
      <c r="T5691">
        <v>3.1925439999999999E-3</v>
      </c>
      <c r="U5691">
        <v>-2.9970089999999998</v>
      </c>
      <c r="V5691">
        <v>-4.8784130000000002E-2</v>
      </c>
      <c r="W5691">
        <v>0.1883282</v>
      </c>
      <c r="X5691">
        <v>0.98089380000000004</v>
      </c>
      <c r="Y5691">
        <v>-0.29104350000000001</v>
      </c>
      <c r="Z5691">
        <v>-1.4820059999999999E-2</v>
      </c>
      <c r="AA5691">
        <v>0.95659499999999997</v>
      </c>
      <c r="AB5691">
        <v>34</v>
      </c>
      <c r="AC5691">
        <v>16.313400000000001</v>
      </c>
      <c r="AD5691">
        <v>5.5869999999999802E-2</v>
      </c>
      <c r="AE5691">
        <v>-52.112319499999998</v>
      </c>
      <c r="AF5691">
        <v>-15.9868379215673</v>
      </c>
      <c r="AG5691">
        <v>5.5869999999999802E-2</v>
      </c>
      <c r="AH5691">
        <v>52.213366426573302</v>
      </c>
      <c r="AI5691">
        <v>89.941377972844293</v>
      </c>
      <c r="AJ5691">
        <v>107.02369034397699</v>
      </c>
      <c r="AK5691">
        <v>54.606022944204398</v>
      </c>
      <c r="AL5691">
        <v>79.1447643546352</v>
      </c>
      <c r="AM5691">
        <v>92.847223199410806</v>
      </c>
      <c r="AN5691">
        <v>1.00000002456676</v>
      </c>
    </row>
    <row r="5692" spans="1:40" x14ac:dyDescent="0.25">
      <c r="A5692" t="str">
        <f>"20190303170407282"</f>
        <v>20190303170407282</v>
      </c>
      <c r="B5692" t="str">
        <f>"1551603847271126"</f>
        <v>1551603847271126</v>
      </c>
      <c r="C5692" t="s">
        <v>40</v>
      </c>
      <c r="D5692">
        <v>4.581734</v>
      </c>
      <c r="E5692">
        <v>0.40319890000000003</v>
      </c>
      <c r="F5692" t="s">
        <v>95</v>
      </c>
      <c r="G5692">
        <v>-406.46469999999999</v>
      </c>
      <c r="H5692">
        <v>1.4159200000000001</v>
      </c>
      <c r="I5692">
        <v>0.61504360000000002</v>
      </c>
      <c r="J5692">
        <v>-423.04129999999998</v>
      </c>
      <c r="K5692">
        <v>1.1213010000000001</v>
      </c>
      <c r="L5692">
        <v>52.389560000000003</v>
      </c>
      <c r="M5692">
        <v>5.8800689999999999E-3</v>
      </c>
      <c r="N5692">
        <v>-1.381333E-2</v>
      </c>
      <c r="O5692">
        <v>-0.99988739999999998</v>
      </c>
      <c r="P5692">
        <v>5.4519970000000001E-2</v>
      </c>
      <c r="Q5692">
        <v>0.1757851</v>
      </c>
      <c r="R5692">
        <v>-0.98291819999999996</v>
      </c>
      <c r="S5692">
        <v>0.95291139999999996</v>
      </c>
      <c r="T5692">
        <v>1.693356E-2</v>
      </c>
      <c r="U5692">
        <v>-2.9952390000000002</v>
      </c>
      <c r="V5692">
        <v>-4.8571940000000001E-2</v>
      </c>
      <c r="W5692">
        <v>0.18939259999999999</v>
      </c>
      <c r="X5692">
        <v>0.9806994</v>
      </c>
      <c r="Y5692">
        <v>-0.29748730000000001</v>
      </c>
      <c r="Z5692">
        <v>-1.919206E-2</v>
      </c>
      <c r="AA5692">
        <v>0.95453290000000002</v>
      </c>
      <c r="AB5692">
        <v>34</v>
      </c>
      <c r="AC5692">
        <v>16.5765999999999</v>
      </c>
      <c r="AD5692">
        <v>0.29461900000000002</v>
      </c>
      <c r="AE5692">
        <v>-51.774516400000003</v>
      </c>
      <c r="AF5692">
        <v>-16.271368731313899</v>
      </c>
      <c r="AG5692">
        <v>0.29461900000000002</v>
      </c>
      <c r="AH5692">
        <v>51.869578584762998</v>
      </c>
      <c r="AI5692">
        <v>89.689483335867806</v>
      </c>
      <c r="AJ5692">
        <v>107.41652242971401</v>
      </c>
      <c r="AK5692">
        <v>54.362647316944098</v>
      </c>
      <c r="AL5692">
        <v>79.082661411966299</v>
      </c>
      <c r="AM5692">
        <v>92.835420273076807</v>
      </c>
      <c r="AN5692">
        <v>1.0000000517252401</v>
      </c>
    </row>
    <row r="5693" spans="1:40" x14ac:dyDescent="0.25">
      <c r="A5693" t="str">
        <f>"20190303170407305"</f>
        <v>20190303170407305</v>
      </c>
      <c r="B5693" t="str">
        <f>"1551603847291622"</f>
        <v>1551603847291622</v>
      </c>
      <c r="C5693" t="s">
        <v>40</v>
      </c>
      <c r="D5693">
        <v>4.5807099999999998</v>
      </c>
      <c r="E5693">
        <v>0.40130510000000003</v>
      </c>
      <c r="F5693" t="s">
        <v>95</v>
      </c>
      <c r="G5693">
        <v>-406.28660000000002</v>
      </c>
      <c r="H5693">
        <v>1.560438</v>
      </c>
      <c r="I5693">
        <v>0.61685559999999995</v>
      </c>
      <c r="J5693">
        <v>-423.03969999999998</v>
      </c>
      <c r="K5693">
        <v>1.1212899999999999</v>
      </c>
      <c r="L5693">
        <v>52.047759999999997</v>
      </c>
      <c r="M5693">
        <v>5.4927519999999896E-3</v>
      </c>
      <c r="N5693">
        <v>-1.381139E-2</v>
      </c>
      <c r="O5693">
        <v>-0.99988960000000005</v>
      </c>
      <c r="P5693">
        <v>5.5264689999999998E-2</v>
      </c>
      <c r="Q5693">
        <v>0.17239769999999999</v>
      </c>
      <c r="R5693">
        <v>-0.98347589999999996</v>
      </c>
      <c r="S5693">
        <v>0.96887210000000001</v>
      </c>
      <c r="T5693">
        <v>2.539253E-2</v>
      </c>
      <c r="U5693">
        <v>-2.9938660000000001</v>
      </c>
      <c r="V5693">
        <v>-4.9697909999999998E-2</v>
      </c>
      <c r="W5693">
        <v>0.18601239999999999</v>
      </c>
      <c r="X5693">
        <v>0.98128970000000004</v>
      </c>
      <c r="Y5693">
        <v>-0.30258099999999999</v>
      </c>
      <c r="Z5693">
        <v>-2.1874169999999998E-2</v>
      </c>
      <c r="AA5693">
        <v>0.95287259999999996</v>
      </c>
      <c r="AB5693">
        <v>34</v>
      </c>
      <c r="AC5693">
        <v>16.7530999999999</v>
      </c>
      <c r="AD5693">
        <v>0.43914799999999998</v>
      </c>
      <c r="AE5693">
        <v>-51.430904400000003</v>
      </c>
      <c r="AF5693">
        <v>-16.469237544849101</v>
      </c>
      <c r="AG5693">
        <v>0.43914799999999998</v>
      </c>
      <c r="AH5693">
        <v>51.5187619989334</v>
      </c>
      <c r="AI5693">
        <v>89.534810409796407</v>
      </c>
      <c r="AJ5693">
        <v>107.727755685532</v>
      </c>
      <c r="AK5693">
        <v>54.088921917314202</v>
      </c>
      <c r="AL5693">
        <v>79.279836599690697</v>
      </c>
      <c r="AM5693">
        <v>92.899296374032005</v>
      </c>
      <c r="AN5693">
        <v>0.99999998526910805</v>
      </c>
    </row>
    <row r="5694" spans="1:40" x14ac:dyDescent="0.25">
      <c r="A5694" t="str">
        <f>"20190303170407327"</f>
        <v>20190303170407327</v>
      </c>
      <c r="B5694" t="str">
        <f>"1551603847321877"</f>
        <v>1551603847321877</v>
      </c>
      <c r="C5694" t="s">
        <v>40</v>
      </c>
      <c r="D5694">
        <v>4.5739150000000004</v>
      </c>
      <c r="E5694">
        <v>0.3991305</v>
      </c>
      <c r="F5694" t="s">
        <v>95</v>
      </c>
      <c r="G5694">
        <v>-406.10599999999999</v>
      </c>
      <c r="H5694">
        <v>1.425589</v>
      </c>
      <c r="I5694">
        <v>0.61869430000000003</v>
      </c>
      <c r="J5694">
        <v>-423.03829999999999</v>
      </c>
      <c r="K5694">
        <v>1.1212709999999999</v>
      </c>
      <c r="L5694">
        <v>51.711550000000003</v>
      </c>
      <c r="M5694">
        <v>5.1118259999999999E-3</v>
      </c>
      <c r="N5694">
        <v>-1.3809480000000001E-2</v>
      </c>
      <c r="O5694">
        <v>-0.99989150000000004</v>
      </c>
      <c r="P5694">
        <v>5.64348E-2</v>
      </c>
      <c r="Q5694">
        <v>0.16904939999999999</v>
      </c>
      <c r="R5694">
        <v>-0.98399040000000004</v>
      </c>
      <c r="S5694">
        <v>0.98513790000000001</v>
      </c>
      <c r="T5694">
        <v>1.7701390000000001E-2</v>
      </c>
      <c r="U5694">
        <v>-2.991943</v>
      </c>
      <c r="V5694">
        <v>-5.1243749999999998E-2</v>
      </c>
      <c r="W5694">
        <v>0.18267079999999999</v>
      </c>
      <c r="X5694">
        <v>0.98183779999999998</v>
      </c>
      <c r="Y5694">
        <v>-0.30781069999999999</v>
      </c>
      <c r="Z5694">
        <v>-1.9421339999999999E-2</v>
      </c>
      <c r="AA5694">
        <v>0.95124940000000002</v>
      </c>
      <c r="AB5694">
        <v>34</v>
      </c>
      <c r="AC5694">
        <v>16.932299999999898</v>
      </c>
      <c r="AD5694">
        <v>0.30431799999999998</v>
      </c>
      <c r="AE5694">
        <v>-51.092855700000001</v>
      </c>
      <c r="AF5694">
        <v>-16.670343140456399</v>
      </c>
      <c r="AG5694">
        <v>0.30431799999999998</v>
      </c>
      <c r="AH5694">
        <v>51.177115358729502</v>
      </c>
      <c r="AI5694">
        <v>89.676054771621295</v>
      </c>
      <c r="AJ5694">
        <v>108.042410078221</v>
      </c>
      <c r="AK5694">
        <v>53.824623420014703</v>
      </c>
      <c r="AL5694">
        <v>79.474634887600999</v>
      </c>
      <c r="AM5694">
        <v>92.987651367200499</v>
      </c>
      <c r="AN5694">
        <v>1.0000000042977699</v>
      </c>
    </row>
    <row r="5695" spans="1:40" x14ac:dyDescent="0.25">
      <c r="A5695" t="str">
        <f>"20190303170407350"</f>
        <v>20190303170407350</v>
      </c>
      <c r="B5695" t="str">
        <f>"1551603847341398"</f>
        <v>1551603847341398</v>
      </c>
      <c r="C5695" t="s">
        <v>40</v>
      </c>
      <c r="D5695">
        <v>4.5668259999999998</v>
      </c>
      <c r="E5695">
        <v>0.3979627</v>
      </c>
      <c r="F5695" t="s">
        <v>95</v>
      </c>
      <c r="G5695">
        <v>-405.86610000000002</v>
      </c>
      <c r="H5695">
        <v>1.2945169999999999</v>
      </c>
      <c r="I5695">
        <v>0.62113189999999996</v>
      </c>
      <c r="J5695">
        <v>-423.03699999999998</v>
      </c>
      <c r="K5695">
        <v>1.121264</v>
      </c>
      <c r="L5695">
        <v>51.379300000000001</v>
      </c>
      <c r="M5695">
        <v>4.7354720000000001E-3</v>
      </c>
      <c r="N5695">
        <v>-1.380756E-2</v>
      </c>
      <c r="O5695">
        <v>-0.99989360000000005</v>
      </c>
      <c r="P5695">
        <v>5.6288409999999997E-2</v>
      </c>
      <c r="Q5695">
        <v>0.1680797</v>
      </c>
      <c r="R5695">
        <v>-0.98416539999999997</v>
      </c>
      <c r="S5695">
        <v>1.004791</v>
      </c>
      <c r="T5695">
        <v>1.0135770000000001E-2</v>
      </c>
      <c r="U5695">
        <v>-2.9894409999999998</v>
      </c>
      <c r="V5695">
        <v>-5.146804E-2</v>
      </c>
      <c r="W5695">
        <v>0.18170120000000001</v>
      </c>
      <c r="X5695">
        <v>0.98200600000000005</v>
      </c>
      <c r="Y5695">
        <v>-0.31403730000000002</v>
      </c>
      <c r="Z5695">
        <v>-1.7012719999999999E-2</v>
      </c>
      <c r="AA5695">
        <v>0.94925820000000005</v>
      </c>
      <c r="AB5695">
        <v>33</v>
      </c>
      <c r="AC5695">
        <v>17.1708999999999</v>
      </c>
      <c r="AD5695">
        <v>0.17325299999999899</v>
      </c>
      <c r="AE5695">
        <v>-50.758168099999999</v>
      </c>
      <c r="AF5695">
        <v>-16.930143678639901</v>
      </c>
      <c r="AG5695">
        <v>0.17325299999999899</v>
      </c>
      <c r="AH5695">
        <v>50.838387449208398</v>
      </c>
      <c r="AI5695">
        <v>89.814743982982094</v>
      </c>
      <c r="AJ5695">
        <v>108.41873297089801</v>
      </c>
      <c r="AK5695">
        <v>53.583592824830603</v>
      </c>
      <c r="AL5695">
        <v>79.531134770621904</v>
      </c>
      <c r="AM5695">
        <v>93.000191215937903</v>
      </c>
      <c r="AN5695">
        <v>1.00000003462944</v>
      </c>
    </row>
    <row r="5696" spans="1:40" x14ac:dyDescent="0.25">
      <c r="A5696" t="str">
        <f>"20190303170407371"</f>
        <v>20190303170407371</v>
      </c>
      <c r="B5696" t="str">
        <f>"1551603847361895"</f>
        <v>1551603847361895</v>
      </c>
      <c r="C5696" t="s">
        <v>40</v>
      </c>
      <c r="D5696">
        <v>4.5343970000000002</v>
      </c>
      <c r="E5696">
        <v>0.39675120000000003</v>
      </c>
      <c r="F5696" t="s">
        <v>95</v>
      </c>
      <c r="G5696">
        <v>-405.81900000000002</v>
      </c>
      <c r="H5696">
        <v>1.2966359999999999</v>
      </c>
      <c r="I5696">
        <v>0.62161250000000001</v>
      </c>
      <c r="J5696">
        <v>-423.03579999999999</v>
      </c>
      <c r="K5696">
        <v>1.1212740000000001</v>
      </c>
      <c r="L5696">
        <v>51.052399999999999</v>
      </c>
      <c r="M5696">
        <v>4.364621E-3</v>
      </c>
      <c r="N5696">
        <v>-1.3805670000000001E-2</v>
      </c>
      <c r="O5696">
        <v>-0.99989530000000004</v>
      </c>
      <c r="P5696">
        <v>5.547444E-2</v>
      </c>
      <c r="Q5696">
        <v>0.16967449999999901</v>
      </c>
      <c r="R5696">
        <v>-0.98393779999999997</v>
      </c>
      <c r="S5696">
        <v>1.013763</v>
      </c>
      <c r="T5696">
        <v>1.0323880000000001E-2</v>
      </c>
      <c r="U5696">
        <v>-2.9885250000000001</v>
      </c>
      <c r="V5696">
        <v>-5.1019120000000001E-2</v>
      </c>
      <c r="W5696">
        <v>0.18329010000000001</v>
      </c>
      <c r="X5696">
        <v>0.98173410000000005</v>
      </c>
      <c r="Y5696">
        <v>-0.31703340000000002</v>
      </c>
      <c r="Z5696">
        <v>-1.7069020000000001E-2</v>
      </c>
      <c r="AA5696">
        <v>0.94826080000000001</v>
      </c>
      <c r="AB5696">
        <v>33</v>
      </c>
      <c r="AC5696">
        <v>17.2167999999999</v>
      </c>
      <c r="AD5696">
        <v>0.17536199999999999</v>
      </c>
      <c r="AE5696">
        <v>-50.430787500000001</v>
      </c>
      <c r="AF5696">
        <v>-16.996319695058801</v>
      </c>
      <c r="AG5696">
        <v>0.17536199999999999</v>
      </c>
      <c r="AH5696">
        <v>50.504912080613202</v>
      </c>
      <c r="AI5696">
        <v>89.8114500754765</v>
      </c>
      <c r="AJ5696">
        <v>108.599530155667</v>
      </c>
      <c r="AK5696">
        <v>53.288383155038197</v>
      </c>
      <c r="AL5696">
        <v>79.438542487577706</v>
      </c>
      <c r="AM5696">
        <v>92.974892031473999</v>
      </c>
      <c r="AN5696">
        <v>1.0000000272331899</v>
      </c>
    </row>
    <row r="5697" spans="1:40" x14ac:dyDescent="0.25">
      <c r="A5697" t="str">
        <f>"20190303170407395"</f>
        <v>20190303170407395</v>
      </c>
      <c r="B5697" t="str">
        <f>"1551603847381414"</f>
        <v>1551603847381414</v>
      </c>
      <c r="C5697" t="s">
        <v>40</v>
      </c>
      <c r="D5697">
        <v>4.5471539999999999</v>
      </c>
      <c r="E5697">
        <v>0.39575369999999999</v>
      </c>
      <c r="F5697" t="s">
        <v>95</v>
      </c>
      <c r="G5697">
        <v>-405.82040000000001</v>
      </c>
      <c r="H5697">
        <v>1.4099980000000001</v>
      </c>
      <c r="I5697">
        <v>0.62159730000000002</v>
      </c>
      <c r="J5697">
        <v>-423.03480000000002</v>
      </c>
      <c r="K5697">
        <v>1.121283</v>
      </c>
      <c r="L5697">
        <v>50.711550000000003</v>
      </c>
      <c r="M5697">
        <v>3.9786580000000004E-3</v>
      </c>
      <c r="N5697">
        <v>-1.380348E-2</v>
      </c>
      <c r="O5697">
        <v>-0.99989689999999998</v>
      </c>
      <c r="P5697">
        <v>5.5857850000000001E-2</v>
      </c>
      <c r="Q5697">
        <v>0.16962550000000001</v>
      </c>
      <c r="R5697">
        <v>-0.98392449999999998</v>
      </c>
      <c r="S5697">
        <v>1.0201720000000001</v>
      </c>
      <c r="T5697">
        <v>1.7108080000000001E-2</v>
      </c>
      <c r="U5697">
        <v>-2.9884949999999999</v>
      </c>
      <c r="V5697">
        <v>-5.1782660000000001E-2</v>
      </c>
      <c r="W5697">
        <v>0.18323900000000001</v>
      </c>
      <c r="X5697">
        <v>0.98170360000000001</v>
      </c>
      <c r="Y5697">
        <v>-0.3192159</v>
      </c>
      <c r="Z5697">
        <v>-1.9214720000000001E-2</v>
      </c>
      <c r="AA5697">
        <v>0.94748719999999997</v>
      </c>
      <c r="AB5697">
        <v>33</v>
      </c>
      <c r="AC5697">
        <v>17.214400000000001</v>
      </c>
      <c r="AD5697">
        <v>0.288714999999999</v>
      </c>
      <c r="AE5697">
        <v>-50.089952699999998</v>
      </c>
      <c r="AF5697">
        <v>-17.014448403472201</v>
      </c>
      <c r="AG5697">
        <v>0.288714999999999</v>
      </c>
      <c r="AH5697">
        <v>50.1565625726234</v>
      </c>
      <c r="AI5697">
        <v>89.687674162120004</v>
      </c>
      <c r="AJ5697">
        <v>108.73831145105601</v>
      </c>
      <c r="AK5697">
        <v>52.964663502444097</v>
      </c>
      <c r="AL5697">
        <v>79.441520095381804</v>
      </c>
      <c r="AM5697">
        <v>93.019425416564602</v>
      </c>
      <c r="AN5697">
        <v>0.99999996662531698</v>
      </c>
    </row>
    <row r="5698" spans="1:40" x14ac:dyDescent="0.25">
      <c r="A5698" t="str">
        <f>"20190303170407417"</f>
        <v>20190303170407417</v>
      </c>
      <c r="B5698" t="str">
        <f>"1551603847411670"</f>
        <v>1551603847411670</v>
      </c>
      <c r="C5698" t="s">
        <v>40</v>
      </c>
      <c r="D5698">
        <v>4.5739409999999996</v>
      </c>
      <c r="E5698">
        <v>0.39451380000000003</v>
      </c>
      <c r="F5698" t="s">
        <v>95</v>
      </c>
      <c r="G5698">
        <v>-405.80220000000003</v>
      </c>
      <c r="H5698">
        <v>1.417459</v>
      </c>
      <c r="I5698">
        <v>0.62178040000000001</v>
      </c>
      <c r="J5698">
        <v>-423.03379999999999</v>
      </c>
      <c r="K5698">
        <v>1.1212709999999999</v>
      </c>
      <c r="L5698">
        <v>50.375399999999999</v>
      </c>
      <c r="M5698">
        <v>3.5971369999999998E-3</v>
      </c>
      <c r="N5698">
        <v>-1.3801539999999999E-2</v>
      </c>
      <c r="O5698">
        <v>-0.99989839999999997</v>
      </c>
      <c r="P5698">
        <v>5.6173889999999997E-2</v>
      </c>
      <c r="Q5698">
        <v>0.1685565</v>
      </c>
      <c r="R5698">
        <v>-0.98409040000000003</v>
      </c>
      <c r="S5698">
        <v>1.0278320000000001</v>
      </c>
      <c r="T5698">
        <v>1.766384E-2</v>
      </c>
      <c r="U5698">
        <v>-2.9876100000000001</v>
      </c>
      <c r="V5698">
        <v>-5.247483E-2</v>
      </c>
      <c r="W5698">
        <v>0.18217059999999999</v>
      </c>
      <c r="X5698">
        <v>0.98186569999999995</v>
      </c>
      <c r="Y5698">
        <v>-0.32183509999999999</v>
      </c>
      <c r="Z5698">
        <v>-1.9386440000000001E-2</v>
      </c>
      <c r="AA5698">
        <v>0.94659720000000003</v>
      </c>
      <c r="AB5698">
        <v>33</v>
      </c>
      <c r="AC5698">
        <v>17.231599999999901</v>
      </c>
      <c r="AD5698">
        <v>0.29618800000000001</v>
      </c>
      <c r="AE5698">
        <v>-49.7536196</v>
      </c>
      <c r="AF5698">
        <v>-17.051961295693602</v>
      </c>
      <c r="AG5698">
        <v>0.29618800000000001</v>
      </c>
      <c r="AH5698">
        <v>49.813711681590902</v>
      </c>
      <c r="AI5698">
        <v>89.677688969173602</v>
      </c>
      <c r="AJ5698">
        <v>108.896824652419</v>
      </c>
      <c r="AK5698">
        <v>52.652283738294201</v>
      </c>
      <c r="AL5698">
        <v>79.503783222355395</v>
      </c>
      <c r="AM5698">
        <v>93.059205198386394</v>
      </c>
      <c r="AN5698">
        <v>0.99999999406218898</v>
      </c>
    </row>
    <row r="5699" spans="1:40" x14ac:dyDescent="0.25">
      <c r="A5699" t="str">
        <f>"20190303170407438"</f>
        <v>20190303170407438</v>
      </c>
      <c r="B5699" t="str">
        <f>"1551603847431190"</f>
        <v>1551603847431190</v>
      </c>
      <c r="C5699" t="s">
        <v>40</v>
      </c>
      <c r="D5699">
        <v>4.5688259999999996</v>
      </c>
      <c r="E5699">
        <v>0.39410020000000001</v>
      </c>
      <c r="F5699" t="s">
        <v>95</v>
      </c>
      <c r="G5699">
        <v>-405.74979999999999</v>
      </c>
      <c r="H5699">
        <v>1.3962540000000001</v>
      </c>
      <c r="I5699">
        <v>0.62231449999999999</v>
      </c>
      <c r="J5699">
        <v>-423.03300000000002</v>
      </c>
      <c r="K5699">
        <v>1.121251</v>
      </c>
      <c r="L5699">
        <v>50.048220000000001</v>
      </c>
      <c r="M5699">
        <v>3.2261189999999999E-3</v>
      </c>
      <c r="N5699">
        <v>-1.3799789999999999E-2</v>
      </c>
      <c r="O5699">
        <v>-0.99989980000000001</v>
      </c>
      <c r="P5699">
        <v>5.5763630000000002E-2</v>
      </c>
      <c r="Q5699">
        <v>0.16711329999999999</v>
      </c>
      <c r="R5699">
        <v>-0.98435969999999995</v>
      </c>
      <c r="S5699">
        <v>1.0374760000000001</v>
      </c>
      <c r="T5699">
        <v>1.6504410000000001E-2</v>
      </c>
      <c r="U5699">
        <v>-2.98645</v>
      </c>
      <c r="V5699">
        <v>-5.243047E-2</v>
      </c>
      <c r="W5699">
        <v>0.18072959999999999</v>
      </c>
      <c r="X5699">
        <v>0.98213430000000002</v>
      </c>
      <c r="Y5699">
        <v>-0.32502920000000002</v>
      </c>
      <c r="Z5699">
        <v>-1.9014690000000001E-2</v>
      </c>
      <c r="AA5699">
        <v>0.94551280000000004</v>
      </c>
      <c r="AB5699">
        <v>33</v>
      </c>
      <c r="AC5699">
        <v>17.283200000000001</v>
      </c>
      <c r="AD5699">
        <v>0.275003</v>
      </c>
      <c r="AE5699">
        <v>-49.425905499999999</v>
      </c>
      <c r="AF5699">
        <v>-17.123168705399902</v>
      </c>
      <c r="AG5699">
        <v>0.275003</v>
      </c>
      <c r="AH5699">
        <v>49.480046313433</v>
      </c>
      <c r="AI5699">
        <v>89.699071239216096</v>
      </c>
      <c r="AJ5699">
        <v>109.088797639373</v>
      </c>
      <c r="AK5699">
        <v>52.359846412523702</v>
      </c>
      <c r="AL5699">
        <v>79.587739792520594</v>
      </c>
      <c r="AM5699">
        <v>93.055789622467799</v>
      </c>
      <c r="AN5699">
        <v>0.99999996286853399</v>
      </c>
    </row>
    <row r="5700" spans="1:40" x14ac:dyDescent="0.25">
      <c r="A5700" t="str">
        <f>"20190303170407461"</f>
        <v>20190303170407461</v>
      </c>
      <c r="B5700" t="str">
        <f>"1551603847451686"</f>
        <v>1551603847451686</v>
      </c>
      <c r="C5700" t="s">
        <v>40</v>
      </c>
      <c r="D5700">
        <v>4.5402620000000002</v>
      </c>
      <c r="E5700">
        <v>0.38124439999999998</v>
      </c>
      <c r="F5700" t="s">
        <v>95</v>
      </c>
      <c r="G5700">
        <v>-405.79590000000002</v>
      </c>
      <c r="H5700">
        <v>1.388765</v>
      </c>
      <c r="I5700">
        <v>0.62184719999999905</v>
      </c>
      <c r="J5700">
        <v>-423.0324</v>
      </c>
      <c r="K5700">
        <v>1.1212420000000001</v>
      </c>
      <c r="L5700">
        <v>49.722110000000001</v>
      </c>
      <c r="M5700">
        <v>2.8570470000000001E-3</v>
      </c>
      <c r="N5700">
        <v>-1.3798059999999999E-2</v>
      </c>
      <c r="O5700">
        <v>-0.99990100000000004</v>
      </c>
      <c r="P5700">
        <v>5.4912629999999997E-2</v>
      </c>
      <c r="Q5700">
        <v>0.16562969999999999</v>
      </c>
      <c r="R5700">
        <v>-0.98465829999999999</v>
      </c>
      <c r="S5700">
        <v>1.0413209999999999</v>
      </c>
      <c r="T5700">
        <v>1.6159529999999998E-2</v>
      </c>
      <c r="U5700">
        <v>-2.9859309999999999</v>
      </c>
      <c r="V5700">
        <v>-5.1943690000000001E-2</v>
      </c>
      <c r="W5700">
        <v>0.1792474</v>
      </c>
      <c r="X5700">
        <v>0.98243179999999997</v>
      </c>
      <c r="Y5700">
        <v>-0.32651520000000001</v>
      </c>
      <c r="Z5700">
        <v>-1.8903119999999999E-2</v>
      </c>
      <c r="AA5700">
        <v>0.94500289999999998</v>
      </c>
      <c r="AB5700">
        <v>33</v>
      </c>
      <c r="AC5700">
        <v>17.2364999999999</v>
      </c>
      <c r="AD5700">
        <v>0.26752300000000001</v>
      </c>
      <c r="AE5700">
        <v>-49.100262799999904</v>
      </c>
      <c r="AF5700">
        <v>-17.095682737470501</v>
      </c>
      <c r="AG5700">
        <v>0.26752300000000001</v>
      </c>
      <c r="AH5700">
        <v>49.148013587347101</v>
      </c>
      <c r="AI5700">
        <v>89.705440880054894</v>
      </c>
      <c r="AJ5700">
        <v>109.179758344557</v>
      </c>
      <c r="AK5700">
        <v>52.0371134518223</v>
      </c>
      <c r="AL5700">
        <v>79.674074036997993</v>
      </c>
      <c r="AM5700">
        <v>93.026556717595597</v>
      </c>
      <c r="AN5700">
        <v>1.0000000094943999</v>
      </c>
    </row>
    <row r="5701" spans="1:40" x14ac:dyDescent="0.25">
      <c r="A5701" t="str">
        <f>"20190303170407483"</f>
        <v>20190303170407483</v>
      </c>
      <c r="B5701" t="str">
        <f>"1551603847471206"</f>
        <v>1551603847471206</v>
      </c>
      <c r="C5701" t="s">
        <v>40</v>
      </c>
      <c r="D5701">
        <v>4.657095</v>
      </c>
      <c r="E5701">
        <v>0.38119510000000001</v>
      </c>
      <c r="F5701" t="s">
        <v>95</v>
      </c>
      <c r="G5701">
        <v>-404.23259999999999</v>
      </c>
      <c r="H5701">
        <v>1.9996449999999999</v>
      </c>
      <c r="I5701">
        <v>0.63774489999999995</v>
      </c>
      <c r="J5701">
        <v>-423.03179999999998</v>
      </c>
      <c r="K5701">
        <v>1.1212340000000001</v>
      </c>
      <c r="L5701">
        <v>49.385649999999998</v>
      </c>
      <c r="M5701">
        <v>2.4818399999999999E-3</v>
      </c>
      <c r="N5701">
        <v>-1.3796259999999999E-2</v>
      </c>
      <c r="O5701">
        <v>-0.99990190000000001</v>
      </c>
      <c r="P5701">
        <v>5.5153960000000002E-2</v>
      </c>
      <c r="Q5701">
        <v>0.1630914</v>
      </c>
      <c r="R5701">
        <v>-0.98506839999999996</v>
      </c>
      <c r="S5701">
        <v>1.13916</v>
      </c>
      <c r="T5701">
        <v>5.3224800000000003E-2</v>
      </c>
      <c r="U5701">
        <v>-2.974243</v>
      </c>
      <c r="V5701">
        <v>-5.2557E-2</v>
      </c>
      <c r="W5701">
        <v>0.17671310000000001</v>
      </c>
      <c r="X5701">
        <v>0.98285820000000002</v>
      </c>
      <c r="Y5701">
        <v>-0.35519289999999998</v>
      </c>
      <c r="Z5701">
        <v>-3.050307E-2</v>
      </c>
      <c r="AA5701">
        <v>0.93429519999999999</v>
      </c>
      <c r="AB5701">
        <v>33</v>
      </c>
      <c r="AC5701">
        <v>18.7991999999999</v>
      </c>
      <c r="AD5701">
        <v>0.87841100000000005</v>
      </c>
      <c r="AE5701">
        <v>-48.747905099999997</v>
      </c>
      <c r="AF5701">
        <v>-18.6728679553487</v>
      </c>
      <c r="AG5701">
        <v>0.87841100000000005</v>
      </c>
      <c r="AH5701">
        <v>48.780627475452398</v>
      </c>
      <c r="AI5701">
        <v>89.036527509151298</v>
      </c>
      <c r="AJ5701">
        <v>110.94648097705</v>
      </c>
      <c r="AK5701">
        <v>52.239804942798898</v>
      </c>
      <c r="AL5701">
        <v>79.821634617267094</v>
      </c>
      <c r="AM5701">
        <v>93.060898310118006</v>
      </c>
      <c r="AN5701">
        <v>0.99999999963392405</v>
      </c>
    </row>
    <row r="5702" spans="1:40" x14ac:dyDescent="0.25">
      <c r="A5702" t="str">
        <f>"20190303170407506"</f>
        <v>20190303170407506</v>
      </c>
      <c r="B5702" t="str">
        <f>"1551603847501462"</f>
        <v>1551603847501462</v>
      </c>
      <c r="C5702" t="s">
        <v>40</v>
      </c>
      <c r="D5702">
        <v>4.5664179999999996</v>
      </c>
      <c r="E5702">
        <v>0.4599819</v>
      </c>
      <c r="F5702" t="s">
        <v>95</v>
      </c>
      <c r="G5702">
        <v>-404.33940000000001</v>
      </c>
      <c r="H5702">
        <v>1.902201</v>
      </c>
      <c r="I5702">
        <v>0.63665959999999999</v>
      </c>
      <c r="J5702">
        <v>-423.03140000000002</v>
      </c>
      <c r="K5702">
        <v>1.1212230000000001</v>
      </c>
      <c r="L5702">
        <v>49.048189999999998</v>
      </c>
      <c r="M5702">
        <v>2.1189619999999998E-3</v>
      </c>
      <c r="N5702">
        <v>-1.379443E-2</v>
      </c>
      <c r="O5702">
        <v>-0.99990279999999998</v>
      </c>
      <c r="P5702">
        <v>5.5578929999999999E-2</v>
      </c>
      <c r="Q5702">
        <v>0.16032969999999999</v>
      </c>
      <c r="R5702">
        <v>-0.98549779999999998</v>
      </c>
      <c r="S5702">
        <v>1.1402589999999999</v>
      </c>
      <c r="T5702">
        <v>4.763854E-2</v>
      </c>
      <c r="U5702">
        <v>-2.9737550000000001</v>
      </c>
      <c r="V5702">
        <v>-5.3344709999999997E-2</v>
      </c>
      <c r="W5702">
        <v>0.1739551</v>
      </c>
      <c r="X5702">
        <v>0.98330770000000001</v>
      </c>
      <c r="Y5702">
        <v>-0.35589880000000002</v>
      </c>
      <c r="Z5702">
        <v>-2.874794E-2</v>
      </c>
      <c r="AA5702">
        <v>0.93408219999999997</v>
      </c>
      <c r="AB5702">
        <v>33</v>
      </c>
      <c r="AC5702">
        <v>18.692</v>
      </c>
      <c r="AD5702">
        <v>0.78097799999999995</v>
      </c>
      <c r="AE5702">
        <v>-48.411530399999997</v>
      </c>
      <c r="AF5702">
        <v>-18.585156921772001</v>
      </c>
      <c r="AG5702">
        <v>0.78097799999999995</v>
      </c>
      <c r="AH5702">
        <v>48.440062374797201</v>
      </c>
      <c r="AI5702">
        <v>89.137610635129704</v>
      </c>
      <c r="AJ5702">
        <v>110.990472863157</v>
      </c>
      <c r="AK5702">
        <v>51.888896956069701</v>
      </c>
      <c r="AL5702">
        <v>79.982143215290904</v>
      </c>
      <c r="AM5702">
        <v>93.105267636685099</v>
      </c>
      <c r="AN5702">
        <v>1.00000003389014</v>
      </c>
    </row>
    <row r="5703" spans="1:40" x14ac:dyDescent="0.25">
      <c r="A5703" t="str">
        <f>"20190303170407528"</f>
        <v>20190303170407528</v>
      </c>
      <c r="B5703" t="str">
        <f>"1551603847520982"</f>
        <v>1551603847520982</v>
      </c>
      <c r="C5703" t="s">
        <v>40</v>
      </c>
      <c r="D5703">
        <v>4.6637849999999998</v>
      </c>
      <c r="E5703">
        <v>0.46940569999999998</v>
      </c>
      <c r="F5703" t="s">
        <v>75</v>
      </c>
      <c r="G5703">
        <v>-417.60509999999999</v>
      </c>
      <c r="H5703" s="1">
        <v>-1.2630020000000001E-5</v>
      </c>
      <c r="I5703">
        <v>17.447979999999902</v>
      </c>
      <c r="J5703">
        <v>-423.03100000000001</v>
      </c>
      <c r="K5703">
        <v>1.121232</v>
      </c>
      <c r="L5703">
        <v>48.715879999999999</v>
      </c>
      <c r="M5703">
        <v>1.782612E-3</v>
      </c>
      <c r="N5703">
        <v>-1.379258E-2</v>
      </c>
      <c r="O5703">
        <v>-0.99990330000000005</v>
      </c>
      <c r="P5703">
        <v>5.5465050000000002E-2</v>
      </c>
      <c r="Q5703">
        <v>0.15880239999999901</v>
      </c>
      <c r="R5703">
        <v>-0.98575140000000006</v>
      </c>
      <c r="S5703">
        <v>0.52069089999999996</v>
      </c>
      <c r="T5703">
        <v>-0.1075914</v>
      </c>
      <c r="U5703">
        <v>-3.0322879999999999</v>
      </c>
      <c r="V5703">
        <v>-5.3569840000000001E-2</v>
      </c>
      <c r="W5703">
        <v>0.17242739999999901</v>
      </c>
      <c r="X5703">
        <v>0.98356449999999995</v>
      </c>
      <c r="Y5703">
        <v>-0.16738749999999999</v>
      </c>
      <c r="Z5703">
        <v>2.1168670000000001E-2</v>
      </c>
      <c r="AA5703">
        <v>0.98566390000000004</v>
      </c>
      <c r="AB5703">
        <v>33</v>
      </c>
      <c r="AC5703">
        <v>5.4259000000000102</v>
      </c>
      <c r="AD5703">
        <v>-1.1212446300200001</v>
      </c>
      <c r="AE5703">
        <v>-31.267900000000001</v>
      </c>
      <c r="AF5703">
        <v>-5.3634523486109398</v>
      </c>
      <c r="AG5703">
        <v>-1.1212446300200001</v>
      </c>
      <c r="AH5703">
        <v>31.2385284753551</v>
      </c>
      <c r="AI5703">
        <v>92.026015220253399</v>
      </c>
      <c r="AJ5703">
        <v>99.742323946079594</v>
      </c>
      <c r="AK5703">
        <v>31.715445321195499</v>
      </c>
      <c r="AL5703">
        <v>80.071016995791496</v>
      </c>
      <c r="AM5703">
        <v>93.117534381657904</v>
      </c>
      <c r="AN5703">
        <v>1.00000003084431</v>
      </c>
    </row>
    <row r="5704" spans="1:40" x14ac:dyDescent="0.25">
      <c r="A5704" t="str">
        <f>"20190303170407551"</f>
        <v>20190303170407551</v>
      </c>
      <c r="B5704" t="str">
        <f>"1551603847541478"</f>
        <v>1551603847541478</v>
      </c>
      <c r="C5704" t="s">
        <v>40</v>
      </c>
      <c r="D5704">
        <v>4.5679879999999997</v>
      </c>
      <c r="E5704">
        <v>0.4732537</v>
      </c>
      <c r="F5704" t="s">
        <v>75</v>
      </c>
      <c r="G5704">
        <v>-418.89249999999998</v>
      </c>
      <c r="H5704" s="1">
        <v>-6.6387270000000002E-6</v>
      </c>
      <c r="I5704">
        <v>20.509789999999999</v>
      </c>
      <c r="J5704">
        <v>-423.0308</v>
      </c>
      <c r="K5704">
        <v>1.121264</v>
      </c>
      <c r="L5704">
        <v>48.383670000000002</v>
      </c>
      <c r="M5704">
        <v>1.4739849999999999E-3</v>
      </c>
      <c r="N5704">
        <v>-1.3790709999999999E-2</v>
      </c>
      <c r="O5704">
        <v>-0.99990400000000002</v>
      </c>
      <c r="P5704">
        <v>5.4631880000000001E-2</v>
      </c>
      <c r="Q5704">
        <v>0.1600645</v>
      </c>
      <c r="R5704">
        <v>-0.98559390000000002</v>
      </c>
      <c r="S5704">
        <v>0.44570920000000003</v>
      </c>
      <c r="T5704">
        <v>-0.1207556</v>
      </c>
      <c r="U5704">
        <v>-3.03775</v>
      </c>
      <c r="V5704">
        <v>-5.3048619999999998E-2</v>
      </c>
      <c r="W5704">
        <v>0.17368229999999901</v>
      </c>
      <c r="X5704">
        <v>0.98337189999999997</v>
      </c>
      <c r="Y5704">
        <v>-0.14361090000000001</v>
      </c>
      <c r="Z5704">
        <v>2.5522099999999999E-2</v>
      </c>
      <c r="AA5704">
        <v>0.98930510000000005</v>
      </c>
      <c r="AB5704">
        <v>33</v>
      </c>
      <c r="AC5704">
        <v>4.1383000000000099</v>
      </c>
      <c r="AD5704">
        <v>-1.1212706387269999</v>
      </c>
      <c r="AE5704">
        <v>-27.87388</v>
      </c>
      <c r="AF5704">
        <v>-4.0907291586746597</v>
      </c>
      <c r="AG5704">
        <v>-1.1212706387269999</v>
      </c>
      <c r="AH5704">
        <v>27.835878134944402</v>
      </c>
      <c r="AI5704">
        <v>92.282225741168901</v>
      </c>
      <c r="AJ5704">
        <v>98.360280282683206</v>
      </c>
      <c r="AK5704">
        <v>28.15719134499</v>
      </c>
      <c r="AL5704">
        <v>79.9980147233927</v>
      </c>
      <c r="AM5704">
        <v>93.087864073817101</v>
      </c>
      <c r="AN5704">
        <v>0.99999999556340202</v>
      </c>
    </row>
    <row r="5705" spans="1:40" x14ac:dyDescent="0.25">
      <c r="A5705" t="str">
        <f>"20190303170407573"</f>
        <v>20190303170407573</v>
      </c>
      <c r="B5705" t="str">
        <f>"1551603847560998"</f>
        <v>1551603847560998</v>
      </c>
      <c r="C5705" t="s">
        <v>40</v>
      </c>
      <c r="D5705">
        <v>4.6143879999999999</v>
      </c>
      <c r="E5705">
        <v>0.47409069999999998</v>
      </c>
      <c r="F5705" t="s">
        <v>75</v>
      </c>
      <c r="G5705">
        <v>-419.19740000000002</v>
      </c>
      <c r="H5705" s="1">
        <v>-6.5021690000000004E-6</v>
      </c>
      <c r="I5705">
        <v>20.25244</v>
      </c>
      <c r="J5705">
        <v>-423.03059999999999</v>
      </c>
      <c r="K5705">
        <v>1.121292</v>
      </c>
      <c r="L5705">
        <v>48.060420000000001</v>
      </c>
      <c r="M5705">
        <v>1.208888E-3</v>
      </c>
      <c r="N5705">
        <v>-1.378879E-2</v>
      </c>
      <c r="O5705">
        <v>-0.99990440000000003</v>
      </c>
      <c r="P5705">
        <v>5.456565E-2</v>
      </c>
      <c r="Q5705">
        <v>0.161027</v>
      </c>
      <c r="R5705">
        <v>-0.98544089999999995</v>
      </c>
      <c r="S5705">
        <v>0.41433720000000002</v>
      </c>
      <c r="T5705">
        <v>-0.1211935</v>
      </c>
      <c r="U5705">
        <v>-3.0405880000000001</v>
      </c>
      <c r="V5705">
        <v>-5.3254709999999997E-2</v>
      </c>
      <c r="W5705">
        <v>0.1746373</v>
      </c>
      <c r="X5705">
        <v>0.98319160000000005</v>
      </c>
      <c r="Y5705">
        <v>-0.1337294</v>
      </c>
      <c r="Z5705">
        <v>2.568542E-2</v>
      </c>
      <c r="AA5705">
        <v>0.99068500000000004</v>
      </c>
      <c r="AB5705">
        <v>33</v>
      </c>
      <c r="AC5705">
        <v>3.83319999999997</v>
      </c>
      <c r="AD5705">
        <v>-1.1212985021689901</v>
      </c>
      <c r="AE5705">
        <v>-27.807980000000001</v>
      </c>
      <c r="AF5705">
        <v>-3.7935242612254001</v>
      </c>
      <c r="AG5705">
        <v>-1.1212985021689901</v>
      </c>
      <c r="AH5705">
        <v>27.768286456295801</v>
      </c>
      <c r="AI5705">
        <v>92.291120362315198</v>
      </c>
      <c r="AJ5705">
        <v>97.779223286721901</v>
      </c>
      <c r="AK5705">
        <v>28.048634001861402</v>
      </c>
      <c r="AL5705">
        <v>79.942447956158901</v>
      </c>
      <c r="AM5705">
        <v>93.100404195739998</v>
      </c>
      <c r="AN5705">
        <v>0.99999998649951705</v>
      </c>
    </row>
    <row r="5706" spans="1:40" x14ac:dyDescent="0.25">
      <c r="A5706" t="str">
        <f>"20190303170407589"</f>
        <v>20190303170407589</v>
      </c>
      <c r="B5706" t="str">
        <f>"1551603847581495"</f>
        <v>1551603847581495</v>
      </c>
      <c r="C5706" t="s">
        <v>40</v>
      </c>
      <c r="D5706">
        <v>4.5149949999999999</v>
      </c>
      <c r="E5706">
        <v>0.47517229999999999</v>
      </c>
      <c r="F5706" t="s">
        <v>75</v>
      </c>
      <c r="G5706">
        <v>-419.16129999999998</v>
      </c>
      <c r="H5706" s="1">
        <v>-1.272285E-5</v>
      </c>
      <c r="I5706">
        <v>19.191980000000001</v>
      </c>
      <c r="J5706">
        <v>-423.03050000000002</v>
      </c>
      <c r="K5706">
        <v>1.1213120000000001</v>
      </c>
      <c r="L5706">
        <v>47.818730000000002</v>
      </c>
      <c r="M5706">
        <v>1.042128E-3</v>
      </c>
      <c r="N5706">
        <v>-1.378735E-2</v>
      </c>
      <c r="O5706">
        <v>-0.99990460000000003</v>
      </c>
      <c r="P5706">
        <v>5.4932639999999998E-2</v>
      </c>
      <c r="Q5706">
        <v>0.16223129999999999</v>
      </c>
      <c r="R5706">
        <v>-0.98522290000000001</v>
      </c>
      <c r="S5706">
        <v>0.40759279999999998</v>
      </c>
      <c r="T5706">
        <v>-0.11812</v>
      </c>
      <c r="U5706">
        <v>-3.0410460000000001</v>
      </c>
      <c r="V5706">
        <v>-5.3795809999999999E-2</v>
      </c>
      <c r="W5706">
        <v>0.17583399999999999</v>
      </c>
      <c r="X5706">
        <v>0.98294879999999996</v>
      </c>
      <c r="Y5706">
        <v>-0.1317217</v>
      </c>
      <c r="Z5706">
        <v>2.469201E-2</v>
      </c>
      <c r="AA5706">
        <v>0.9909791</v>
      </c>
      <c r="AB5706">
        <v>33</v>
      </c>
      <c r="AC5706">
        <v>3.8692000000000299</v>
      </c>
      <c r="AD5706">
        <v>-1.1213247228500001</v>
      </c>
      <c r="AE5706">
        <v>-28.626750000000001</v>
      </c>
      <c r="AF5706">
        <v>-3.8335858720108602</v>
      </c>
      <c r="AG5706">
        <v>-1.1213247228500001</v>
      </c>
      <c r="AH5706">
        <v>28.587691017661999</v>
      </c>
      <c r="AI5706">
        <v>92.226312519163599</v>
      </c>
      <c r="AJ5706">
        <v>97.637752256553298</v>
      </c>
      <c r="AK5706">
        <v>28.865374196318101</v>
      </c>
      <c r="AL5706">
        <v>79.872804234511094</v>
      </c>
      <c r="AM5706">
        <v>93.132615839473402</v>
      </c>
      <c r="AN5706">
        <v>0.99999996407549696</v>
      </c>
    </row>
    <row r="5707" spans="1:40" x14ac:dyDescent="0.25">
      <c r="A5707" t="str">
        <f>"20190303170407603"</f>
        <v>20190303170407603</v>
      </c>
      <c r="B5707" t="str">
        <f>"1551603847591254"</f>
        <v>1551603847591254</v>
      </c>
      <c r="C5707" t="s">
        <v>40</v>
      </c>
      <c r="D5707">
        <v>4.5385540000000004</v>
      </c>
      <c r="E5707">
        <v>0.47548400000000002</v>
      </c>
      <c r="F5707" t="s">
        <v>75</v>
      </c>
      <c r="G5707">
        <v>-419.18119999999999</v>
      </c>
      <c r="H5707" s="1">
        <v>-1.2869810000000001E-5</v>
      </c>
      <c r="I5707">
        <v>18.55499</v>
      </c>
      <c r="J5707">
        <v>-423.03039999999999</v>
      </c>
      <c r="K5707">
        <v>1.1213379999999999</v>
      </c>
      <c r="L5707">
        <v>47.607059999999997</v>
      </c>
      <c r="M5707">
        <v>9.1986759999999998E-4</v>
      </c>
      <c r="N5707">
        <v>-1.3786090000000001E-2</v>
      </c>
      <c r="O5707">
        <v>-0.99990460000000003</v>
      </c>
      <c r="P5707">
        <v>5.5189349999999998E-2</v>
      </c>
      <c r="Q5707">
        <v>0.16280799999999901</v>
      </c>
      <c r="R5707">
        <v>-0.98511320000000002</v>
      </c>
      <c r="S5707">
        <v>0.40011600000000003</v>
      </c>
      <c r="T5707">
        <v>-0.1165581</v>
      </c>
      <c r="U5707">
        <v>-3.0418699999999999</v>
      </c>
      <c r="V5707">
        <v>-5.4182950000000001E-2</v>
      </c>
      <c r="W5707">
        <v>0.17640520000000001</v>
      </c>
      <c r="X5707">
        <v>0.98282519999999995</v>
      </c>
      <c r="Y5707">
        <v>-0.12941649999999999</v>
      </c>
      <c r="Z5707">
        <v>2.4186679999999999E-2</v>
      </c>
      <c r="AA5707">
        <v>0.99129529999999999</v>
      </c>
      <c r="AB5707">
        <v>33</v>
      </c>
      <c r="AC5707">
        <v>3.84919999999999</v>
      </c>
      <c r="AD5707">
        <v>-1.1213508698100001</v>
      </c>
      <c r="AE5707">
        <v>-29.052070000000001</v>
      </c>
      <c r="AF5707">
        <v>-3.81688346942253</v>
      </c>
      <c r="AG5707">
        <v>-1.1213508698100001</v>
      </c>
      <c r="AH5707">
        <v>29.013120638835598</v>
      </c>
      <c r="AI5707">
        <v>92.194477838953702</v>
      </c>
      <c r="AJ5707">
        <v>97.494630004076001</v>
      </c>
      <c r="AK5707">
        <v>29.284589742661598</v>
      </c>
      <c r="AL5707">
        <v>79.839557357186393</v>
      </c>
      <c r="AM5707">
        <v>93.155510219832607</v>
      </c>
      <c r="AN5707">
        <v>0.99999998020639103</v>
      </c>
    </row>
    <row r="5708" spans="1:40" x14ac:dyDescent="0.25">
      <c r="A5708" t="str">
        <f>"20190303170407618"</f>
        <v>20190303170407618</v>
      </c>
      <c r="B5708" t="str">
        <f>"1551603847611750"</f>
        <v>1551603847611750</v>
      </c>
      <c r="C5708" t="s">
        <v>40</v>
      </c>
      <c r="D5708">
        <v>4.5670010000000003</v>
      </c>
      <c r="E5708">
        <v>0.47567310000000002</v>
      </c>
      <c r="F5708" t="s">
        <v>75</v>
      </c>
      <c r="G5708">
        <v>-419.15519999999998</v>
      </c>
      <c r="H5708" s="1">
        <v>-1.298815E-5</v>
      </c>
      <c r="I5708">
        <v>17.983450000000001</v>
      </c>
      <c r="J5708">
        <v>-423.03030000000001</v>
      </c>
      <c r="K5708">
        <v>1.1213709999999999</v>
      </c>
      <c r="L5708">
        <v>47.389279999999999</v>
      </c>
      <c r="M5708">
        <v>8.1616969999999997E-4</v>
      </c>
      <c r="N5708">
        <v>-1.378479E-2</v>
      </c>
      <c r="O5708">
        <v>-0.99990500000000004</v>
      </c>
      <c r="P5708">
        <v>5.5184950000000003E-2</v>
      </c>
      <c r="Q5708">
        <v>0.1644273</v>
      </c>
      <c r="R5708">
        <v>-0.98484490000000002</v>
      </c>
      <c r="S5708">
        <v>0.3979492</v>
      </c>
      <c r="T5708">
        <v>-0.1151518</v>
      </c>
      <c r="U5708">
        <v>-3.0420530000000001</v>
      </c>
      <c r="V5708">
        <v>-5.4292090000000001E-2</v>
      </c>
      <c r="W5708">
        <v>0.17801539999999999</v>
      </c>
      <c r="X5708">
        <v>0.98252879999999998</v>
      </c>
      <c r="Y5708">
        <v>-0.12881960000000001</v>
      </c>
      <c r="Z5708">
        <v>2.3731240000000001E-2</v>
      </c>
      <c r="AA5708">
        <v>0.99138400000000004</v>
      </c>
      <c r="AB5708">
        <v>33</v>
      </c>
      <c r="AC5708">
        <v>3.87510000000003</v>
      </c>
      <c r="AD5708">
        <v>-1.1213839881499901</v>
      </c>
      <c r="AE5708">
        <v>-29.405830000000002</v>
      </c>
      <c r="AF5708">
        <v>-3.84559925270259</v>
      </c>
      <c r="AG5708">
        <v>-1.1213839881499901</v>
      </c>
      <c r="AH5708">
        <v>29.367004998537901</v>
      </c>
      <c r="AI5708">
        <v>92.168292641314295</v>
      </c>
      <c r="AJ5708">
        <v>97.460412726736493</v>
      </c>
      <c r="AK5708">
        <v>29.638945970553898</v>
      </c>
      <c r="AL5708">
        <v>79.745816016442504</v>
      </c>
      <c r="AM5708">
        <v>93.162805340578302</v>
      </c>
      <c r="AN5708">
        <v>0.99999997825158304</v>
      </c>
    </row>
    <row r="5709" spans="1:40" x14ac:dyDescent="0.25">
      <c r="A5709" t="str">
        <f>"20190303170407636"</f>
        <v>20190303170407636</v>
      </c>
      <c r="B5709" t="str">
        <f>"1551603847621510"</f>
        <v>1551603847621510</v>
      </c>
      <c r="C5709" t="s">
        <v>40</v>
      </c>
      <c r="D5709">
        <v>4.5490240000000002</v>
      </c>
      <c r="E5709">
        <v>0.47569549999999999</v>
      </c>
      <c r="F5709" t="s">
        <v>75</v>
      </c>
      <c r="G5709">
        <v>-418.94130000000001</v>
      </c>
      <c r="H5709" s="1">
        <v>-1.3359129999999899E-5</v>
      </c>
      <c r="I5709">
        <v>16.00816</v>
      </c>
      <c r="J5709">
        <v>-423.03019999999998</v>
      </c>
      <c r="K5709">
        <v>1.1214120000000001</v>
      </c>
      <c r="L5709">
        <v>47.136719999999997</v>
      </c>
      <c r="M5709">
        <v>7.2922799999999995E-4</v>
      </c>
      <c r="N5709">
        <v>-1.37833E-2</v>
      </c>
      <c r="O5709">
        <v>-0.99990469999999998</v>
      </c>
      <c r="P5709">
        <v>5.4950909999999999E-2</v>
      </c>
      <c r="Q5709">
        <v>0.165045</v>
      </c>
      <c r="R5709">
        <v>-0.98475409999999997</v>
      </c>
      <c r="S5709">
        <v>0.39639279999999999</v>
      </c>
      <c r="T5709">
        <v>-0.108708</v>
      </c>
      <c r="U5709">
        <v>-3.0421140000000002</v>
      </c>
      <c r="V5709">
        <v>-5.4159499999999999E-2</v>
      </c>
      <c r="W5709">
        <v>0.17862529999999999</v>
      </c>
      <c r="X5709">
        <v>0.98242549999999995</v>
      </c>
      <c r="Y5709">
        <v>-0.12841259999999999</v>
      </c>
      <c r="Z5709">
        <v>2.163694E-2</v>
      </c>
      <c r="AA5709">
        <v>0.99148480000000005</v>
      </c>
      <c r="AB5709">
        <v>33</v>
      </c>
      <c r="AC5709">
        <v>4.0888999999999598</v>
      </c>
      <c r="AD5709">
        <v>-1.1214253591299901</v>
      </c>
      <c r="AE5709">
        <v>-31.12856</v>
      </c>
      <c r="AF5709">
        <v>-4.0610157673072997</v>
      </c>
      <c r="AG5709">
        <v>-1.1214253591299901</v>
      </c>
      <c r="AH5709">
        <v>31.091865775630499</v>
      </c>
      <c r="AI5709">
        <v>92.048273265403793</v>
      </c>
      <c r="AJ5709">
        <v>97.441473218330998</v>
      </c>
      <c r="AK5709">
        <v>31.3760029530251</v>
      </c>
      <c r="AL5709">
        <v>79.710302929864</v>
      </c>
      <c r="AM5709">
        <v>93.155427968034701</v>
      </c>
      <c r="AN5709">
        <v>1.00000005614529</v>
      </c>
    </row>
    <row r="5710" spans="1:40" x14ac:dyDescent="0.25">
      <c r="A5710" t="str">
        <f>"20190303170407650"</f>
        <v>20190303170407650</v>
      </c>
      <c r="B5710" t="str">
        <f>"1551603847641030"</f>
        <v>1551603847641030</v>
      </c>
      <c r="C5710" t="s">
        <v>40</v>
      </c>
      <c r="D5710">
        <v>4.5795190000000003</v>
      </c>
      <c r="E5710">
        <v>0.47601349999999998</v>
      </c>
      <c r="F5710" t="s">
        <v>75</v>
      </c>
      <c r="G5710">
        <v>-418.89</v>
      </c>
      <c r="H5710" s="1">
        <v>-1.3505059999999999E-5</v>
      </c>
      <c r="I5710">
        <v>15.276879999999901</v>
      </c>
      <c r="J5710">
        <v>-423.0301</v>
      </c>
      <c r="K5710">
        <v>1.121462</v>
      </c>
      <c r="L5710">
        <v>46.90213</v>
      </c>
      <c r="M5710">
        <v>6.7931679999999996E-4</v>
      </c>
      <c r="N5710">
        <v>-1.3781949999999999E-2</v>
      </c>
      <c r="O5710">
        <v>-0.99990520000000005</v>
      </c>
      <c r="P5710">
        <v>5.5050830000000002E-2</v>
      </c>
      <c r="Q5710">
        <v>0.16518139999999901</v>
      </c>
      <c r="R5710">
        <v>-0.98472610000000005</v>
      </c>
      <c r="S5710">
        <v>0.39535520000000002</v>
      </c>
      <c r="T5710">
        <v>-0.1070871</v>
      </c>
      <c r="U5710">
        <v>-3.0423580000000001</v>
      </c>
      <c r="V5710">
        <v>-5.4323099999999999E-2</v>
      </c>
      <c r="W5710">
        <v>0.17875529999999901</v>
      </c>
      <c r="X5710">
        <v>0.98239279999999995</v>
      </c>
      <c r="Y5710">
        <v>-0.1281215</v>
      </c>
      <c r="Z5710">
        <v>2.1109320000000001E-2</v>
      </c>
      <c r="AA5710">
        <v>0.99153380000000002</v>
      </c>
      <c r="AB5710">
        <v>33</v>
      </c>
      <c r="AC5710">
        <v>4.1401000000000101</v>
      </c>
      <c r="AD5710">
        <v>-1.12147550506</v>
      </c>
      <c r="AE5710">
        <v>-31.625250000000001</v>
      </c>
      <c r="AF5710">
        <v>-4.1135278008395399</v>
      </c>
      <c r="AG5710">
        <v>-1.12147550506</v>
      </c>
      <c r="AH5710">
        <v>31.589001204632201</v>
      </c>
      <c r="AI5710">
        <v>92.016256801671403</v>
      </c>
      <c r="AJ5710">
        <v>97.419321748233699</v>
      </c>
      <c r="AK5710">
        <v>31.8754421990187</v>
      </c>
      <c r="AL5710">
        <v>79.702732417600103</v>
      </c>
      <c r="AM5710">
        <v>93.165045378407598</v>
      </c>
      <c r="AN5710">
        <v>1.0000000349817599</v>
      </c>
    </row>
    <row r="5711" spans="1:40" x14ac:dyDescent="0.25">
      <c r="A5711" t="str">
        <f>"20190303170407667"</f>
        <v>20190303170407667</v>
      </c>
      <c r="B5711" t="str">
        <f>"1551603847661527"</f>
        <v>1551603847661527</v>
      </c>
      <c r="C5711" t="s">
        <v>40</v>
      </c>
      <c r="D5711">
        <v>4.5573110000000003</v>
      </c>
      <c r="E5711">
        <v>0.47572809999999999</v>
      </c>
      <c r="F5711" t="s">
        <v>75</v>
      </c>
      <c r="G5711">
        <v>-418.9495</v>
      </c>
      <c r="H5711" s="1">
        <v>-1.352914E-5</v>
      </c>
      <c r="I5711">
        <v>15.25067</v>
      </c>
      <c r="J5711">
        <v>-423.03</v>
      </c>
      <c r="K5711">
        <v>1.1215010000000001</v>
      </c>
      <c r="L5711">
        <v>46.665680000000002</v>
      </c>
      <c r="M5711">
        <v>6.5454670000000001E-4</v>
      </c>
      <c r="N5711">
        <v>-1.378062E-2</v>
      </c>
      <c r="O5711">
        <v>-0.99990489999999999</v>
      </c>
      <c r="P5711">
        <v>5.5282190000000002E-2</v>
      </c>
      <c r="Q5711">
        <v>0.16497989999999901</v>
      </c>
      <c r="R5711">
        <v>-0.98474640000000002</v>
      </c>
      <c r="S5711">
        <v>0.39227289999999998</v>
      </c>
      <c r="T5711">
        <v>-0.1078088</v>
      </c>
      <c r="U5711">
        <v>-3.042694</v>
      </c>
      <c r="V5711">
        <v>-5.459265E-2</v>
      </c>
      <c r="W5711">
        <v>0.17854879999999901</v>
      </c>
      <c r="X5711">
        <v>0.98241540000000005</v>
      </c>
      <c r="Y5711">
        <v>-0.1271436</v>
      </c>
      <c r="Z5711">
        <v>2.1346159999999999E-2</v>
      </c>
      <c r="AA5711">
        <v>0.99165460000000005</v>
      </c>
      <c r="AB5711">
        <v>33</v>
      </c>
      <c r="AC5711">
        <v>4.0804999999999696</v>
      </c>
      <c r="AD5711">
        <v>-1.1215145291399999</v>
      </c>
      <c r="AE5711">
        <v>-31.415009999999999</v>
      </c>
      <c r="AF5711">
        <v>-4.0548524692559296</v>
      </c>
      <c r="AG5711">
        <v>-1.1215145291399999</v>
      </c>
      <c r="AH5711">
        <v>31.378346622666999</v>
      </c>
      <c r="AI5711">
        <v>92.030109624696706</v>
      </c>
      <c r="AJ5711">
        <v>97.363215727441002</v>
      </c>
      <c r="AK5711">
        <v>31.659126016975598</v>
      </c>
      <c r="AL5711">
        <v>79.714757344596293</v>
      </c>
      <c r="AM5711">
        <v>93.180645074664397</v>
      </c>
      <c r="AN5711">
        <v>1.0000000247863099</v>
      </c>
    </row>
    <row r="5712" spans="1:40" x14ac:dyDescent="0.25">
      <c r="A5712" t="str">
        <f>"20190303170407685"</f>
        <v>20190303170407685</v>
      </c>
      <c r="B5712" t="str">
        <f>"1551603847671286"</f>
        <v>1551603847671286</v>
      </c>
      <c r="C5712" t="s">
        <v>40</v>
      </c>
      <c r="D5712">
        <v>4.5915269999999904</v>
      </c>
      <c r="E5712">
        <v>0.47586440000000002</v>
      </c>
      <c r="F5712" t="s">
        <v>75</v>
      </c>
      <c r="G5712">
        <v>-418.92669999999998</v>
      </c>
      <c r="H5712" s="1">
        <v>-1.3570100000000001E-5</v>
      </c>
      <c r="I5712">
        <v>15.0337</v>
      </c>
      <c r="J5712">
        <v>-423.02980000000002</v>
      </c>
      <c r="K5712">
        <v>1.1215489999999999</v>
      </c>
      <c r="L5712">
        <v>46.401699999999998</v>
      </c>
      <c r="M5712">
        <v>6.7449589999999998E-4</v>
      </c>
      <c r="N5712">
        <v>-1.377915E-2</v>
      </c>
      <c r="O5712">
        <v>-0.99990489999999999</v>
      </c>
      <c r="P5712">
        <v>5.4932300000000003E-2</v>
      </c>
      <c r="Q5712">
        <v>0.1663753</v>
      </c>
      <c r="R5712">
        <v>-0.9845315</v>
      </c>
      <c r="S5712">
        <v>0.39465329999999998</v>
      </c>
      <c r="T5712">
        <v>-0.1078682</v>
      </c>
      <c r="U5712">
        <v>-3.042389</v>
      </c>
      <c r="V5712">
        <v>-5.4240990000000003E-2</v>
      </c>
      <c r="W5712">
        <v>0.1799337</v>
      </c>
      <c r="X5712">
        <v>0.98218209999999995</v>
      </c>
      <c r="Y5712">
        <v>-0.12789909999999999</v>
      </c>
      <c r="Z5712">
        <v>2.1367009999999999E-2</v>
      </c>
      <c r="AA5712">
        <v>0.99155700000000002</v>
      </c>
      <c r="AB5712">
        <v>33</v>
      </c>
      <c r="AC5712">
        <v>4.1031000000000297</v>
      </c>
      <c r="AD5712">
        <v>-1.1215625700999901</v>
      </c>
      <c r="AE5712">
        <v>-31.367999999999999</v>
      </c>
      <c r="AF5712">
        <v>-4.0768152671060998</v>
      </c>
      <c r="AG5712">
        <v>-1.1215625700999901</v>
      </c>
      <c r="AH5712">
        <v>31.3313798128742</v>
      </c>
      <c r="AI5712">
        <v>92.033005513688593</v>
      </c>
      <c r="AJ5712">
        <v>97.413630321688103</v>
      </c>
      <c r="AK5712">
        <v>31.615402674951699</v>
      </c>
      <c r="AL5712">
        <v>79.6341014274375</v>
      </c>
      <c r="AM5712">
        <v>93.160947653832807</v>
      </c>
      <c r="AN5712">
        <v>0.99999994947613802</v>
      </c>
    </row>
    <row r="5713" spans="1:40" x14ac:dyDescent="0.25">
      <c r="A5713" t="str">
        <f>"20190303170407707"</f>
        <v>20190303170407707</v>
      </c>
      <c r="B5713" t="str">
        <f>"1551603847701058"</f>
        <v>1551603847701058</v>
      </c>
      <c r="C5713" t="s">
        <v>40</v>
      </c>
      <c r="D5713">
        <v>4.654496</v>
      </c>
      <c r="E5713">
        <v>0.47591549999999999</v>
      </c>
      <c r="F5713" t="s">
        <v>75</v>
      </c>
      <c r="G5713">
        <v>-418.81700000000001</v>
      </c>
      <c r="H5713" s="1">
        <v>-1.382867E-5</v>
      </c>
      <c r="I5713">
        <v>13.71158</v>
      </c>
      <c r="J5713">
        <v>-423.02949999999998</v>
      </c>
      <c r="K5713">
        <v>1.121631</v>
      </c>
      <c r="L5713">
        <v>46.065249999999999</v>
      </c>
      <c r="M5713">
        <v>7.9726690000000002E-4</v>
      </c>
      <c r="N5713">
        <v>-1.3777340000000001E-2</v>
      </c>
      <c r="O5713">
        <v>-0.99990489999999999</v>
      </c>
      <c r="P5713">
        <v>5.3414370000000003E-2</v>
      </c>
      <c r="Q5713">
        <v>0.1698307</v>
      </c>
      <c r="R5713">
        <v>-0.98402480000000003</v>
      </c>
      <c r="S5713">
        <v>0.39215090000000002</v>
      </c>
      <c r="T5713">
        <v>-0.1043988</v>
      </c>
      <c r="U5713">
        <v>-3.0429080000000002</v>
      </c>
      <c r="V5713">
        <v>-5.2635170000000002E-2</v>
      </c>
      <c r="W5713">
        <v>0.1833707</v>
      </c>
      <c r="X5713">
        <v>0.98163370000000005</v>
      </c>
      <c r="Y5713">
        <v>-0.12695799999999999</v>
      </c>
      <c r="Z5713">
        <v>2.0237709999999999E-2</v>
      </c>
      <c r="AA5713">
        <v>0.99170159999999996</v>
      </c>
      <c r="AB5713">
        <v>33</v>
      </c>
      <c r="AC5713">
        <v>4.2125000000000297</v>
      </c>
      <c r="AD5713">
        <v>-1.12164482867</v>
      </c>
      <c r="AE5713">
        <v>-32.353670000000001</v>
      </c>
      <c r="AF5713">
        <v>-4.1817594863530498</v>
      </c>
      <c r="AG5713">
        <v>-1.12164482867</v>
      </c>
      <c r="AH5713">
        <v>32.318822467288904</v>
      </c>
      <c r="AI5713">
        <v>91.971268014135006</v>
      </c>
      <c r="AJ5713">
        <v>97.372587033315398</v>
      </c>
      <c r="AK5713">
        <v>32.607537245175799</v>
      </c>
      <c r="AL5713">
        <v>79.433844514968996</v>
      </c>
      <c r="AM5713">
        <v>93.069258780429905</v>
      </c>
      <c r="AN5713">
        <v>0.999999997857554</v>
      </c>
    </row>
    <row r="5714" spans="1:40" x14ac:dyDescent="0.25">
      <c r="A5714" t="str">
        <f>"20190303170407725"</f>
        <v>20190303170407725</v>
      </c>
      <c r="B5714" t="str">
        <f>"1551603847711794"</f>
        <v>1551603847711794</v>
      </c>
      <c r="C5714" t="s">
        <v>40</v>
      </c>
      <c r="D5714">
        <v>4.4959769999999999</v>
      </c>
      <c r="E5714">
        <v>0.47598990000000002</v>
      </c>
      <c r="F5714" t="s">
        <v>75</v>
      </c>
      <c r="G5714">
        <v>-418.459</v>
      </c>
      <c r="H5714" s="1">
        <v>-1.445806E-5</v>
      </c>
      <c r="I5714">
        <v>10.232229999999999</v>
      </c>
      <c r="J5714">
        <v>-423.02929999999998</v>
      </c>
      <c r="K5714">
        <v>1.1216999999999999</v>
      </c>
      <c r="L5714">
        <v>45.825530000000001</v>
      </c>
      <c r="M5714">
        <v>9.6514449999999998E-4</v>
      </c>
      <c r="N5714">
        <v>-1.3776180000000001E-2</v>
      </c>
      <c r="O5714">
        <v>-0.99990489999999999</v>
      </c>
      <c r="P5714">
        <v>5.255058E-2</v>
      </c>
      <c r="Q5714">
        <v>0.17044570000000001</v>
      </c>
      <c r="R5714">
        <v>-0.98396510000000004</v>
      </c>
      <c r="S5714">
        <v>0.38827509999999998</v>
      </c>
      <c r="T5714">
        <v>-9.5285419999999996E-2</v>
      </c>
      <c r="U5714">
        <v>-3.0440670000000001</v>
      </c>
      <c r="V5714">
        <v>-5.1635929999999997E-2</v>
      </c>
      <c r="W5714">
        <v>0.18397540000000001</v>
      </c>
      <c r="X5714">
        <v>0.98157360000000005</v>
      </c>
      <c r="Y5714">
        <v>-0.12551129999999999</v>
      </c>
      <c r="Z5714">
        <v>1.7265760000000002E-2</v>
      </c>
      <c r="AA5714">
        <v>0.99194190000000004</v>
      </c>
      <c r="AB5714">
        <v>33</v>
      </c>
      <c r="AC5714">
        <v>4.5702999999999703</v>
      </c>
      <c r="AD5714">
        <v>-1.12171445806</v>
      </c>
      <c r="AE5714">
        <v>-35.593299999999999</v>
      </c>
      <c r="AF5714">
        <v>-4.5315143308536996</v>
      </c>
      <c r="AG5714">
        <v>-1.12171445806</v>
      </c>
      <c r="AH5714">
        <v>35.562947312878499</v>
      </c>
      <c r="AI5714">
        <v>91.792124415480004</v>
      </c>
      <c r="AJ5714">
        <v>97.261630572444801</v>
      </c>
      <c r="AK5714">
        <v>35.868037122690801</v>
      </c>
      <c r="AL5714">
        <v>79.398597874396799</v>
      </c>
      <c r="AM5714">
        <v>93.011283444862102</v>
      </c>
      <c r="AN5714">
        <v>0.99999997464454204</v>
      </c>
    </row>
    <row r="5715" spans="1:40" x14ac:dyDescent="0.25">
      <c r="A5715" t="str">
        <f>"20190303170407742"</f>
        <v>20190303170407742</v>
      </c>
      <c r="B5715" t="str">
        <f>"1551603847731313"</f>
        <v>1551603847731313</v>
      </c>
      <c r="C5715" t="s">
        <v>40</v>
      </c>
      <c r="D5715">
        <v>4.762022</v>
      </c>
      <c r="E5715">
        <v>0.47600809999999999</v>
      </c>
      <c r="F5715" t="s">
        <v>75</v>
      </c>
      <c r="G5715">
        <v>-418.44049999999999</v>
      </c>
      <c r="H5715">
        <v>3.6709350000000002E-3</v>
      </c>
      <c r="I5715">
        <v>9.6162779999999994</v>
      </c>
      <c r="J5715">
        <v>-423.02879999999999</v>
      </c>
      <c r="K5715">
        <v>1.1217790000000001</v>
      </c>
      <c r="L5715">
        <v>45.578000000000003</v>
      </c>
      <c r="M5715">
        <v>1.213228E-3</v>
      </c>
      <c r="N5715">
        <v>-1.377511E-2</v>
      </c>
      <c r="O5715">
        <v>-0.99990449999999997</v>
      </c>
      <c r="P5715">
        <v>5.1972020000000001E-2</v>
      </c>
      <c r="Q5715">
        <v>0.16916779999999901</v>
      </c>
      <c r="R5715">
        <v>-0.98421619999999999</v>
      </c>
      <c r="S5715">
        <v>0.3858337</v>
      </c>
      <c r="T5715">
        <v>-9.4006419999999993E-2</v>
      </c>
      <c r="U5715">
        <v>-3.044556</v>
      </c>
      <c r="V5715">
        <v>-5.0849829999999999E-2</v>
      </c>
      <c r="W5715">
        <v>0.18268999999999999</v>
      </c>
      <c r="X5715">
        <v>0.98185469999999997</v>
      </c>
      <c r="Y5715">
        <v>-0.12446400000000001</v>
      </c>
      <c r="Z5715">
        <v>1.6849380000000001E-2</v>
      </c>
      <c r="AA5715">
        <v>0.99208099999999999</v>
      </c>
      <c r="AB5715">
        <v>33</v>
      </c>
      <c r="AC5715">
        <v>4.5883000000000003</v>
      </c>
      <c r="AD5715">
        <v>-1.1181080649999999</v>
      </c>
      <c r="AE5715">
        <v>-35.961721999999902</v>
      </c>
      <c r="AF5715">
        <v>-4.5403439256375098</v>
      </c>
      <c r="AG5715">
        <v>-1.1181080649999999</v>
      </c>
      <c r="AH5715">
        <v>35.933083012889398</v>
      </c>
      <c r="AI5715">
        <v>91.768212670203198</v>
      </c>
      <c r="AJ5715">
        <v>97.201475109596601</v>
      </c>
      <c r="AK5715">
        <v>36.236050328634001</v>
      </c>
      <c r="AL5715">
        <v>79.473515898223994</v>
      </c>
      <c r="AM5715">
        <v>92.964674941685999</v>
      </c>
      <c r="AN5715">
        <v>0.99999999661155903</v>
      </c>
    </row>
    <row r="5716" spans="1:40" x14ac:dyDescent="0.25">
      <c r="A5716" t="str">
        <f>"20190303170407763"</f>
        <v>20190303170407763</v>
      </c>
      <c r="B5716" t="str">
        <f>"1551603847751810"</f>
        <v>1551603847751810</v>
      </c>
      <c r="C5716" t="s">
        <v>40</v>
      </c>
      <c r="D5716">
        <v>4.7050809999999998</v>
      </c>
      <c r="E5716">
        <v>0.47604410000000003</v>
      </c>
      <c r="F5716" t="s">
        <v>75</v>
      </c>
      <c r="G5716">
        <v>-418.67059999999998</v>
      </c>
      <c r="H5716" s="1">
        <v>-1.43766899999999E-5</v>
      </c>
      <c r="I5716">
        <v>11.02942</v>
      </c>
      <c r="J5716">
        <v>-423.02800000000002</v>
      </c>
      <c r="K5716">
        <v>1.1218980000000001</v>
      </c>
      <c r="L5716">
        <v>45.254849999999998</v>
      </c>
      <c r="M5716">
        <v>1.6760099999999999E-3</v>
      </c>
      <c r="N5716">
        <v>-1.377402E-2</v>
      </c>
      <c r="O5716">
        <v>-0.99990369999999995</v>
      </c>
      <c r="P5716">
        <v>5.3426620000000001E-2</v>
      </c>
      <c r="Q5716">
        <v>0.166577799999999</v>
      </c>
      <c r="R5716">
        <v>-0.98457969999999895</v>
      </c>
      <c r="S5716">
        <v>0.3840942</v>
      </c>
      <c r="T5716">
        <v>-9.8865750000000002E-2</v>
      </c>
      <c r="U5716">
        <v>-3.0448300000000001</v>
      </c>
      <c r="V5716">
        <v>-5.190372E-2</v>
      </c>
      <c r="W5716">
        <v>0.18008840000000001</v>
      </c>
      <c r="X5716">
        <v>0.98228009999999999</v>
      </c>
      <c r="Y5716">
        <v>-0.1234311</v>
      </c>
      <c r="Z5716">
        <v>1.8432899999999999E-2</v>
      </c>
      <c r="AA5716">
        <v>0.99218200000000001</v>
      </c>
      <c r="AB5716">
        <v>33</v>
      </c>
      <c r="AC5716">
        <v>4.3574000000000401</v>
      </c>
      <c r="AD5716">
        <v>-1.1219123766900001</v>
      </c>
      <c r="AE5716">
        <v>-34.225430000000003</v>
      </c>
      <c r="AF5716">
        <v>-4.2954842510413496</v>
      </c>
      <c r="AG5716">
        <v>-1.1219123766900001</v>
      </c>
      <c r="AH5716">
        <v>34.196526444905203</v>
      </c>
      <c r="AI5716">
        <v>91.864433013166206</v>
      </c>
      <c r="AJ5716">
        <v>97.159523087473403</v>
      </c>
      <c r="AK5716">
        <v>34.483507554032499</v>
      </c>
      <c r="AL5716">
        <v>79.625091223545795</v>
      </c>
      <c r="AM5716">
        <v>93.024698330970693</v>
      </c>
      <c r="AN5716">
        <v>1.0000000114101999</v>
      </c>
    </row>
    <row r="5717" spans="1:40" x14ac:dyDescent="0.25">
      <c r="A5717" t="str">
        <f>"20190303170407785"</f>
        <v>20190303170407785</v>
      </c>
      <c r="B5717" t="str">
        <f>"1551603847781089"</f>
        <v>1551603847781089</v>
      </c>
      <c r="C5717" t="s">
        <v>40</v>
      </c>
      <c r="D5717">
        <v>4.6435199999999996</v>
      </c>
      <c r="E5717">
        <v>0.47596240000000001</v>
      </c>
      <c r="F5717" t="s">
        <v>75</v>
      </c>
      <c r="G5717">
        <v>-419.03219999999999</v>
      </c>
      <c r="H5717" s="1">
        <v>-1.386361E-5</v>
      </c>
      <c r="I5717">
        <v>13.85277</v>
      </c>
      <c r="J5717">
        <v>-423.02679999999998</v>
      </c>
      <c r="K5717">
        <v>1.122037</v>
      </c>
      <c r="L5717">
        <v>44.923580000000001</v>
      </c>
      <c r="M5717">
        <v>2.3226280000000002E-3</v>
      </c>
      <c r="N5717">
        <v>-1.377336E-2</v>
      </c>
      <c r="O5717">
        <v>-0.99990250000000003</v>
      </c>
      <c r="P5717">
        <v>5.4789549999999999E-2</v>
      </c>
      <c r="Q5717">
        <v>0.16571649999999999</v>
      </c>
      <c r="R5717">
        <v>-0.98465060000000004</v>
      </c>
      <c r="S5717">
        <v>0.38739010000000001</v>
      </c>
      <c r="T5717">
        <v>-0.1087673</v>
      </c>
      <c r="U5717">
        <v>-3.0443730000000002</v>
      </c>
      <c r="V5717">
        <v>-5.2692170000000003E-2</v>
      </c>
      <c r="W5717">
        <v>0.1792089</v>
      </c>
      <c r="X5717">
        <v>0.98239889999999996</v>
      </c>
      <c r="Y5717">
        <v>-0.12385409999999999</v>
      </c>
      <c r="Z5717">
        <v>2.165833E-2</v>
      </c>
      <c r="AA5717">
        <v>0.9920641</v>
      </c>
      <c r="AB5717">
        <v>33</v>
      </c>
      <c r="AC5717">
        <v>3.9945999999999899</v>
      </c>
      <c r="AD5717">
        <v>-1.1220508636099999</v>
      </c>
      <c r="AE5717">
        <v>-31.070809999999899</v>
      </c>
      <c r="AF5717">
        <v>-3.9173907411420701</v>
      </c>
      <c r="AG5717">
        <v>-1.1220508636099999</v>
      </c>
      <c r="AH5717">
        <v>31.040182892986302</v>
      </c>
      <c r="AI5717">
        <v>92.053967041595897</v>
      </c>
      <c r="AJ5717">
        <v>97.192920900492496</v>
      </c>
      <c r="AK5717">
        <v>31.3065153345011</v>
      </c>
      <c r="AL5717">
        <v>79.676315575440896</v>
      </c>
      <c r="AM5717">
        <v>93.070187516721404</v>
      </c>
      <c r="AN5717">
        <v>0.99999994666986303</v>
      </c>
    </row>
    <row r="5718" spans="1:40" x14ac:dyDescent="0.25">
      <c r="A5718" t="str">
        <f>"20190303170407802"</f>
        <v>20190303170407802</v>
      </c>
      <c r="B5718" t="str">
        <f>"1551603847791825"</f>
        <v>1551603847791825</v>
      </c>
      <c r="C5718" t="s">
        <v>40</v>
      </c>
      <c r="D5718">
        <v>4.6448410000000004</v>
      </c>
      <c r="E5718">
        <v>0.47596149999999998</v>
      </c>
      <c r="F5718" t="s">
        <v>75</v>
      </c>
      <c r="G5718">
        <v>-419.13740000000001</v>
      </c>
      <c r="H5718" s="1">
        <v>-1.3706609999999999E-5</v>
      </c>
      <c r="I5718">
        <v>14.709239999999999</v>
      </c>
      <c r="J5718">
        <v>-423.02569999999997</v>
      </c>
      <c r="K5718">
        <v>1.1221449999999999</v>
      </c>
      <c r="L5718">
        <v>44.683839999999996</v>
      </c>
      <c r="M5718">
        <v>2.912928E-3</v>
      </c>
      <c r="N5718">
        <v>-1.377311E-2</v>
      </c>
      <c r="O5718">
        <v>-0.99990089999999998</v>
      </c>
      <c r="P5718">
        <v>5.5437E-2</v>
      </c>
      <c r="Q5718">
        <v>0.1663192</v>
      </c>
      <c r="R5718">
        <v>-0.98451259999999996</v>
      </c>
      <c r="S5718">
        <v>0.39184570000000002</v>
      </c>
      <c r="T5718">
        <v>-0.1130433</v>
      </c>
      <c r="U5718">
        <v>-3.044006</v>
      </c>
      <c r="V5718">
        <v>-5.2807750000000001E-2</v>
      </c>
      <c r="W5718">
        <v>0.17979579999999901</v>
      </c>
      <c r="X5718">
        <v>0.98228550000000003</v>
      </c>
      <c r="Y5718">
        <v>-0.124706399999999</v>
      </c>
      <c r="Z5718">
        <v>2.3049409999999999E-2</v>
      </c>
      <c r="AA5718">
        <v>0.99192599999999997</v>
      </c>
      <c r="AB5718">
        <v>33</v>
      </c>
      <c r="AC5718">
        <v>3.8882999999999499</v>
      </c>
      <c r="AD5718">
        <v>-1.1221587066100001</v>
      </c>
      <c r="AE5718">
        <v>-29.974599999999999</v>
      </c>
      <c r="AF5718">
        <v>-3.79572958091866</v>
      </c>
      <c r="AG5718">
        <v>-1.1221587066100001</v>
      </c>
      <c r="AH5718">
        <v>29.9445266464895</v>
      </c>
      <c r="AI5718">
        <v>92.129110298082693</v>
      </c>
      <c r="AJ5718">
        <v>97.2242112044066</v>
      </c>
      <c r="AK5718">
        <v>30.204990966669801</v>
      </c>
      <c r="AL5718">
        <v>79.642133993716499</v>
      </c>
      <c r="AM5718">
        <v>93.077263562112805</v>
      </c>
      <c r="AN5718">
        <v>0.99999999583397603</v>
      </c>
    </row>
    <row r="5719" spans="1:40" x14ac:dyDescent="0.25">
      <c r="A5719" t="str">
        <f>"20190303170407819"</f>
        <v>20190303170407819</v>
      </c>
      <c r="B5719" t="str">
        <f>"1551603847811346"</f>
        <v>1551603847811346</v>
      </c>
      <c r="C5719" t="s">
        <v>40</v>
      </c>
      <c r="D5719">
        <v>4.6612099999999996</v>
      </c>
      <c r="E5719">
        <v>0.47587780000000002</v>
      </c>
      <c r="F5719" t="s">
        <v>75</v>
      </c>
      <c r="G5719">
        <v>-419.05340000000001</v>
      </c>
      <c r="H5719" s="1">
        <v>-1.3830980000000001E-5</v>
      </c>
      <c r="I5719">
        <v>14.029870000000001</v>
      </c>
      <c r="J5719">
        <v>-423.02440000000001</v>
      </c>
      <c r="K5719">
        <v>1.1222650000000001</v>
      </c>
      <c r="L5719">
        <v>44.444209999999998</v>
      </c>
      <c r="M5719">
        <v>3.6153589999999998E-3</v>
      </c>
      <c r="N5719">
        <v>-1.377306E-2</v>
      </c>
      <c r="O5719">
        <v>-0.99989870000000003</v>
      </c>
      <c r="P5719">
        <v>5.5762899999999997E-2</v>
      </c>
      <c r="Q5719">
        <v>0.167263</v>
      </c>
      <c r="R5719">
        <v>-0.98433409999999999</v>
      </c>
      <c r="S5719">
        <v>0.3944397</v>
      </c>
      <c r="T5719">
        <v>-0.1114261</v>
      </c>
      <c r="U5719">
        <v>-3.0438230000000002</v>
      </c>
      <c r="V5719">
        <v>-5.2495159999999999E-2</v>
      </c>
      <c r="W5719">
        <v>0.18072299999999999</v>
      </c>
      <c r="X5719">
        <v>0.98213209999999995</v>
      </c>
      <c r="Y5719">
        <v>-0.1248503</v>
      </c>
      <c r="Z5719">
        <v>2.2523669999999999E-2</v>
      </c>
      <c r="AA5719">
        <v>0.99191989999999997</v>
      </c>
      <c r="AB5719">
        <v>33</v>
      </c>
      <c r="AC5719">
        <v>3.9710000000000001</v>
      </c>
      <c r="AD5719">
        <v>-1.12227883097999</v>
      </c>
      <c r="AE5719">
        <v>-30.414339999999999</v>
      </c>
      <c r="AF5719">
        <v>-3.8558428029533198</v>
      </c>
      <c r="AG5719">
        <v>-1.12227883097999</v>
      </c>
      <c r="AH5719">
        <v>30.387817047421599</v>
      </c>
      <c r="AI5719">
        <v>92.098269914379102</v>
      </c>
      <c r="AJ5719">
        <v>97.231489581303805</v>
      </c>
      <c r="AK5719">
        <v>30.652022093217901</v>
      </c>
      <c r="AL5719">
        <v>79.588124700426803</v>
      </c>
      <c r="AM5719">
        <v>93.059559612290499</v>
      </c>
      <c r="AN5719">
        <v>1.00000000320141</v>
      </c>
    </row>
    <row r="5720" spans="1:40" x14ac:dyDescent="0.25">
      <c r="A5720" t="str">
        <f>"20190303170407832"</f>
        <v>20190303170407832</v>
      </c>
      <c r="B5720" t="str">
        <f>"1551603847821105"</f>
        <v>1551603847821105</v>
      </c>
      <c r="C5720" t="s">
        <v>40</v>
      </c>
      <c r="D5720">
        <v>4.6425269999999896</v>
      </c>
      <c r="E5720">
        <v>0.47570119999999999</v>
      </c>
      <c r="F5720" t="s">
        <v>75</v>
      </c>
      <c r="G5720">
        <v>-418.9538</v>
      </c>
      <c r="H5720" s="1">
        <v>-1.397942E-5</v>
      </c>
      <c r="I5720">
        <v>13.21996</v>
      </c>
      <c r="J5720">
        <v>-423.02289999999999</v>
      </c>
      <c r="K5720">
        <v>1.122385</v>
      </c>
      <c r="L5720">
        <v>44.227049999999998</v>
      </c>
      <c r="M5720">
        <v>4.3679189999999996E-3</v>
      </c>
      <c r="N5720">
        <v>-1.377331E-2</v>
      </c>
      <c r="O5720">
        <v>-0.9998956</v>
      </c>
      <c r="P5720">
        <v>5.6620709999999998E-2</v>
      </c>
      <c r="Q5720">
        <v>0.16777700000000001</v>
      </c>
      <c r="R5720">
        <v>-0.98419760000000001</v>
      </c>
      <c r="S5720">
        <v>0.39682010000000001</v>
      </c>
      <c r="T5720">
        <v>-0.1094038</v>
      </c>
      <c r="U5720">
        <v>-3.0438540000000001</v>
      </c>
      <c r="V5720">
        <v>-5.2664000000000002E-2</v>
      </c>
      <c r="W5720">
        <v>0.18122060000000001</v>
      </c>
      <c r="X5720">
        <v>0.98203130000000005</v>
      </c>
      <c r="Y5720">
        <v>-0.1248676</v>
      </c>
      <c r="Z5720">
        <v>2.1863770000000001E-2</v>
      </c>
      <c r="AA5720">
        <v>0.99193249999999999</v>
      </c>
      <c r="AB5720">
        <v>33</v>
      </c>
      <c r="AC5720">
        <v>4.0690999999999899</v>
      </c>
      <c r="AD5720">
        <v>-1.12239897942</v>
      </c>
      <c r="AE5720">
        <v>-31.007090000000002</v>
      </c>
      <c r="AF5720">
        <v>-3.9285514171048099</v>
      </c>
      <c r="AG5720">
        <v>-1.12239897942</v>
      </c>
      <c r="AH5720">
        <v>30.984657329128201</v>
      </c>
      <c r="AI5720">
        <v>92.058132364073799</v>
      </c>
      <c r="AJ5720">
        <v>97.225987829496802</v>
      </c>
      <c r="AK5720">
        <v>31.252876435767199</v>
      </c>
      <c r="AL5720">
        <v>79.559134978132107</v>
      </c>
      <c r="AM5720">
        <v>93.0696957293558</v>
      </c>
      <c r="AN5720">
        <v>0.999999938470023</v>
      </c>
    </row>
    <row r="5721" spans="1:40" x14ac:dyDescent="0.25">
      <c r="A5721" t="str">
        <f>"20190303170407848"</f>
        <v>20190303170407848</v>
      </c>
      <c r="B5721" t="str">
        <f>"1551603847841602"</f>
        <v>1551603847841602</v>
      </c>
      <c r="C5721" t="s">
        <v>40</v>
      </c>
      <c r="D5721">
        <v>4.7595689999999999</v>
      </c>
      <c r="E5721">
        <v>0.4755298</v>
      </c>
      <c r="F5721" t="s">
        <v>75</v>
      </c>
      <c r="G5721">
        <v>-418.8492</v>
      </c>
      <c r="H5721" s="1">
        <v>-1.408892E-5</v>
      </c>
      <c r="I5721">
        <v>12.57935</v>
      </c>
      <c r="J5721">
        <v>-423.02120000000002</v>
      </c>
      <c r="K5721">
        <v>1.122512</v>
      </c>
      <c r="L5721">
        <v>44.011600000000001</v>
      </c>
      <c r="M5721">
        <v>5.2488190000000001E-3</v>
      </c>
      <c r="N5721">
        <v>-1.37742E-2</v>
      </c>
      <c r="O5721">
        <v>-0.99989170000000005</v>
      </c>
      <c r="P5721">
        <v>5.8329369999999998E-2</v>
      </c>
      <c r="Q5721">
        <v>0.16722770000000001</v>
      </c>
      <c r="R5721">
        <v>-0.9841915</v>
      </c>
      <c r="S5721">
        <v>0.40136719999999998</v>
      </c>
      <c r="T5721">
        <v>-0.10793750000000001</v>
      </c>
      <c r="U5721">
        <v>-3.0434570000000001</v>
      </c>
      <c r="V5721">
        <v>-5.3559820000000001E-2</v>
      </c>
      <c r="W5721">
        <v>0.18065500000000001</v>
      </c>
      <c r="X5721">
        <v>0.98208709999999999</v>
      </c>
      <c r="Y5721">
        <v>-0.12546860000000001</v>
      </c>
      <c r="Z5721">
        <v>2.1386180000000001E-2</v>
      </c>
      <c r="AA5721">
        <v>0.9918671</v>
      </c>
      <c r="AB5721">
        <v>33</v>
      </c>
      <c r="AC5721">
        <v>4.1720000000000201</v>
      </c>
      <c r="AD5721">
        <v>-1.1225260889199999</v>
      </c>
      <c r="AE5721">
        <v>-31.43225</v>
      </c>
      <c r="AF5721">
        <v>-4.0019290859660099</v>
      </c>
      <c r="AG5721">
        <v>-1.1225260889199999</v>
      </c>
      <c r="AH5721">
        <v>31.4143452558307</v>
      </c>
      <c r="AI5721">
        <v>92.0300818678014</v>
      </c>
      <c r="AJ5721">
        <v>97.259906508978602</v>
      </c>
      <c r="AK5721">
        <v>31.6881143188095</v>
      </c>
      <c r="AL5721">
        <v>79.592085746809502</v>
      </c>
      <c r="AM5721">
        <v>93.121632122713606</v>
      </c>
      <c r="AN5721">
        <v>0.99999997766491999</v>
      </c>
    </row>
    <row r="5722" spans="1:40" x14ac:dyDescent="0.25">
      <c r="A5722" t="str">
        <f>"20190303170407863"</f>
        <v>20190303170407863</v>
      </c>
      <c r="B5722" t="str">
        <f>"1551603847851361"</f>
        <v>1551603847851361</v>
      </c>
      <c r="C5722" t="s">
        <v>40</v>
      </c>
      <c r="D5722">
        <v>4.6658999999999997</v>
      </c>
      <c r="E5722">
        <v>0.47539769999999998</v>
      </c>
      <c r="F5722" t="s">
        <v>75</v>
      </c>
      <c r="G5722">
        <v>-418.88400000000001</v>
      </c>
      <c r="H5722" s="1">
        <v>-1.3976189999999999E-5</v>
      </c>
      <c r="I5722">
        <v>13.137560000000001</v>
      </c>
      <c r="J5722">
        <v>-423.01929999999999</v>
      </c>
      <c r="K5722">
        <v>1.1226449999999999</v>
      </c>
      <c r="L5722">
        <v>43.804259999999999</v>
      </c>
      <c r="M5722">
        <v>6.2044819999999999E-3</v>
      </c>
      <c r="N5722">
        <v>-1.377544E-2</v>
      </c>
      <c r="O5722">
        <v>-0.99988600000000005</v>
      </c>
      <c r="P5722">
        <v>6.0649149999999999E-2</v>
      </c>
      <c r="Q5722">
        <v>0.166455399999999</v>
      </c>
      <c r="R5722">
        <v>-0.98418220000000001</v>
      </c>
      <c r="S5722">
        <v>0.40774539999999998</v>
      </c>
      <c r="T5722">
        <v>-0.11063149999999999</v>
      </c>
      <c r="U5722">
        <v>-3.0428160000000002</v>
      </c>
      <c r="V5722">
        <v>-5.4995710000000003E-2</v>
      </c>
      <c r="W5722">
        <v>0.17986369999999999</v>
      </c>
      <c r="X5722">
        <v>0.98215300000000005</v>
      </c>
      <c r="Y5722">
        <v>-0.1265867</v>
      </c>
      <c r="Z5722">
        <v>2.226212E-2</v>
      </c>
      <c r="AA5722">
        <v>0.99170570000000002</v>
      </c>
      <c r="AB5722">
        <v>33</v>
      </c>
      <c r="AC5722">
        <v>4.1352999999999698</v>
      </c>
      <c r="AD5722">
        <v>-1.1226589761900001</v>
      </c>
      <c r="AE5722">
        <v>-30.666699999999999</v>
      </c>
      <c r="AF5722">
        <v>-3.9397457145859902</v>
      </c>
      <c r="AG5722">
        <v>-1.1226589761900001</v>
      </c>
      <c r="AH5722">
        <v>30.651424770099698</v>
      </c>
      <c r="AI5722">
        <v>92.080514340138393</v>
      </c>
      <c r="AJ5722">
        <v>97.324288718491303</v>
      </c>
      <c r="AK5722">
        <v>30.923968049225198</v>
      </c>
      <c r="AL5722">
        <v>79.638179149971805</v>
      </c>
      <c r="AM5722">
        <v>93.204933416151704</v>
      </c>
      <c r="AN5722">
        <v>0.99999999705254705</v>
      </c>
    </row>
    <row r="5723" spans="1:40" x14ac:dyDescent="0.25">
      <c r="A5723" t="str">
        <f>"20190303170407875"</f>
        <v>20190303170407875</v>
      </c>
      <c r="B5723" t="str">
        <f>"1551603847861121"</f>
        <v>1551603847861121</v>
      </c>
      <c r="C5723" t="s">
        <v>40</v>
      </c>
      <c r="D5723">
        <v>4.6429720000000003</v>
      </c>
      <c r="E5723">
        <v>0.47536709999999899</v>
      </c>
      <c r="F5723" t="s">
        <v>75</v>
      </c>
      <c r="G5723">
        <v>-418.91629999999998</v>
      </c>
      <c r="H5723" s="1">
        <v>-1.384175E-5</v>
      </c>
      <c r="I5723">
        <v>13.7905</v>
      </c>
      <c r="J5723">
        <v>-423.0172</v>
      </c>
      <c r="K5723">
        <v>1.122784</v>
      </c>
      <c r="L5723">
        <v>43.606479999999998</v>
      </c>
      <c r="M5723">
        <v>7.2099260000000002E-3</v>
      </c>
      <c r="N5723">
        <v>-1.37769E-2</v>
      </c>
      <c r="O5723">
        <v>-0.99987930000000003</v>
      </c>
      <c r="P5723">
        <v>6.5254960000000001E-2</v>
      </c>
      <c r="Q5723">
        <v>0.1656724</v>
      </c>
      <c r="R5723">
        <v>-0.9840198</v>
      </c>
      <c r="S5723">
        <v>0.41583249999999999</v>
      </c>
      <c r="T5723">
        <v>-0.1137794</v>
      </c>
      <c r="U5723">
        <v>-3.0418400000000001</v>
      </c>
      <c r="V5723">
        <v>-5.8671620000000001E-2</v>
      </c>
      <c r="W5723">
        <v>0.17905219999999999</v>
      </c>
      <c r="X5723">
        <v>0.98208859999999998</v>
      </c>
      <c r="Y5723">
        <v>-0.12821550000000001</v>
      </c>
      <c r="Z5723">
        <v>2.32868E-2</v>
      </c>
      <c r="AA5723">
        <v>0.99147289999999999</v>
      </c>
      <c r="AB5723">
        <v>33</v>
      </c>
      <c r="AC5723">
        <v>4.1009000000000198</v>
      </c>
      <c r="AD5723">
        <v>-1.12279784175</v>
      </c>
      <c r="AE5723">
        <v>-29.81598</v>
      </c>
      <c r="AF5723">
        <v>-3.8804014114318299</v>
      </c>
      <c r="AG5723">
        <v>-1.12279784175</v>
      </c>
      <c r="AH5723">
        <v>29.803295673633698</v>
      </c>
      <c r="AI5723">
        <v>92.139477549003502</v>
      </c>
      <c r="AJ5723">
        <v>97.4182038348427</v>
      </c>
      <c r="AK5723">
        <v>30.07581458776</v>
      </c>
      <c r="AL5723">
        <v>79.685442340858302</v>
      </c>
      <c r="AM5723">
        <v>93.418882413441906</v>
      </c>
      <c r="AN5723">
        <v>1.00000003378411</v>
      </c>
    </row>
    <row r="5724" spans="1:40" x14ac:dyDescent="0.25">
      <c r="A5724" t="str">
        <f>"20190303170407892"</f>
        <v>20190303170407892</v>
      </c>
      <c r="B5724" t="str">
        <f>"1551603847881619"</f>
        <v>1551603847881619</v>
      </c>
      <c r="C5724" t="s">
        <v>40</v>
      </c>
      <c r="D5724">
        <v>4.6986299999999996</v>
      </c>
      <c r="E5724">
        <v>0.47521390000000002</v>
      </c>
      <c r="F5724" t="s">
        <v>75</v>
      </c>
      <c r="G5724">
        <v>-418.90350000000001</v>
      </c>
      <c r="H5724" s="1">
        <v>-1.3690310000000001E-5</v>
      </c>
      <c r="I5724">
        <v>14.457750000000001</v>
      </c>
      <c r="J5724">
        <v>-423.01409999999998</v>
      </c>
      <c r="K5724">
        <v>1.1229769999999999</v>
      </c>
      <c r="L5724">
        <v>43.360869999999998</v>
      </c>
      <c r="M5724">
        <v>8.6616690000000003E-3</v>
      </c>
      <c r="N5724">
        <v>-1.3780280000000001E-2</v>
      </c>
      <c r="O5724">
        <v>-0.99986779999999997</v>
      </c>
      <c r="P5724">
        <v>6.7930879999999999E-2</v>
      </c>
      <c r="Q5724">
        <v>0.16605220000000001</v>
      </c>
      <c r="R5724">
        <v>-0.98377499999999996</v>
      </c>
      <c r="S5724">
        <v>0.42901610000000001</v>
      </c>
      <c r="T5724">
        <v>-0.1170988</v>
      </c>
      <c r="U5724">
        <v>-3.0399780000000001</v>
      </c>
      <c r="V5724">
        <v>-6.0004660000000001E-2</v>
      </c>
      <c r="W5724">
        <v>0.1794017</v>
      </c>
      <c r="X5724">
        <v>0.98194420000000004</v>
      </c>
      <c r="Y5724">
        <v>-0.1310692</v>
      </c>
      <c r="Z5724">
        <v>2.4368839999999999E-2</v>
      </c>
      <c r="AA5724">
        <v>0.99107369999999995</v>
      </c>
      <c r="AB5724">
        <v>33</v>
      </c>
      <c r="AC5724">
        <v>4.1105999999999696</v>
      </c>
      <c r="AD5724">
        <v>-1.12299069031</v>
      </c>
      <c r="AE5724">
        <v>-28.903120000000001</v>
      </c>
      <c r="AF5724">
        <v>-3.8543695920737799</v>
      </c>
      <c r="AG5724">
        <v>-1.12299069031</v>
      </c>
      <c r="AH5724">
        <v>28.894888544970499</v>
      </c>
      <c r="AI5724">
        <v>92.206140657121693</v>
      </c>
      <c r="AJ5724">
        <v>97.597990049762302</v>
      </c>
      <c r="AK5724">
        <v>29.172450309651602</v>
      </c>
      <c r="AL5724">
        <v>79.665087221426305</v>
      </c>
      <c r="AM5724">
        <v>93.496882952711104</v>
      </c>
      <c r="AN5724">
        <v>0.99999997054912204</v>
      </c>
    </row>
    <row r="5725" spans="1:40" x14ac:dyDescent="0.25">
      <c r="A5725" t="str">
        <f>"20190303170407908"</f>
        <v>20190303170407908</v>
      </c>
      <c r="B5725" t="str">
        <f>"1551603847901138"</f>
        <v>1551603847901138</v>
      </c>
      <c r="C5725" t="s">
        <v>40</v>
      </c>
      <c r="D5725">
        <v>4.7667310000000001</v>
      </c>
      <c r="E5725">
        <v>0.47509430000000002</v>
      </c>
      <c r="F5725" t="s">
        <v>75</v>
      </c>
      <c r="G5725">
        <v>-418.78960000000001</v>
      </c>
      <c r="H5725" s="1">
        <v>-1.3741840000000001E-5</v>
      </c>
      <c r="I5725">
        <v>14.06621</v>
      </c>
      <c r="J5725">
        <v>-423.01060000000001</v>
      </c>
      <c r="K5725">
        <v>1.123176</v>
      </c>
      <c r="L5725">
        <v>43.126649999999998</v>
      </c>
      <c r="M5725">
        <v>1.021503E-2</v>
      </c>
      <c r="N5725">
        <v>-1.3784350000000001E-2</v>
      </c>
      <c r="O5725">
        <v>-0.99985290000000004</v>
      </c>
      <c r="P5725">
        <v>6.9348560000000004E-2</v>
      </c>
      <c r="Q5725">
        <v>0.16826250000000001</v>
      </c>
      <c r="R5725">
        <v>-0.98329979999999995</v>
      </c>
      <c r="S5725">
        <v>0.43823240000000002</v>
      </c>
      <c r="T5725">
        <v>-0.11649329999999999</v>
      </c>
      <c r="U5725">
        <v>-3.0388790000000001</v>
      </c>
      <c r="V5725">
        <v>-5.9988199999999901E-2</v>
      </c>
      <c r="W5725">
        <v>0.18158350000000001</v>
      </c>
      <c r="X5725">
        <v>0.98154410000000003</v>
      </c>
      <c r="Y5725">
        <v>-0.13252449999999999</v>
      </c>
      <c r="Z5725">
        <v>2.4170480000000001E-2</v>
      </c>
      <c r="AA5725">
        <v>0.99088500000000002</v>
      </c>
      <c r="AB5725">
        <v>33</v>
      </c>
      <c r="AC5725">
        <v>4.2210000000000001</v>
      </c>
      <c r="AD5725">
        <v>-1.1231897418400001</v>
      </c>
      <c r="AE5725">
        <v>-29.06044</v>
      </c>
      <c r="AF5725">
        <v>-3.9181661310528302</v>
      </c>
      <c r="AG5725">
        <v>-1.1231897418400001</v>
      </c>
      <c r="AH5725">
        <v>29.059532064953199</v>
      </c>
      <c r="AI5725">
        <v>92.193626277788297</v>
      </c>
      <c r="AJ5725">
        <v>97.6790160458836</v>
      </c>
      <c r="AK5725">
        <v>29.343994016846999</v>
      </c>
      <c r="AL5725">
        <v>79.537992050120906</v>
      </c>
      <c r="AM5725">
        <v>93.497347578707604</v>
      </c>
      <c r="AN5725">
        <v>0.99999998592814898</v>
      </c>
    </row>
    <row r="5726" spans="1:40" x14ac:dyDescent="0.25">
      <c r="A5726" t="str">
        <f>"20190303170407926"</f>
        <v>20190303170407926</v>
      </c>
      <c r="B5726" t="str">
        <f>"1551603847911874"</f>
        <v>1551603847911874</v>
      </c>
      <c r="C5726" t="s">
        <v>40</v>
      </c>
      <c r="D5726">
        <v>4.7054029999999996</v>
      </c>
      <c r="E5726">
        <v>0.4750182</v>
      </c>
      <c r="F5726" t="s">
        <v>75</v>
      </c>
      <c r="G5726">
        <v>-418.4753</v>
      </c>
      <c r="H5726" s="1">
        <v>-1.406894E-5</v>
      </c>
      <c r="I5726">
        <v>12.149760000000001</v>
      </c>
      <c r="J5726">
        <v>-423.00630000000001</v>
      </c>
      <c r="K5726">
        <v>1.123394</v>
      </c>
      <c r="L5726">
        <v>42.874360000000003</v>
      </c>
      <c r="M5726">
        <v>1.207954E-2</v>
      </c>
      <c r="N5726">
        <v>-1.378908E-2</v>
      </c>
      <c r="O5726">
        <v>-0.99983200000000005</v>
      </c>
      <c r="P5726">
        <v>7.0634009999999997E-2</v>
      </c>
      <c r="Q5726">
        <v>0.16906379999999999</v>
      </c>
      <c r="R5726">
        <v>-0.98307100000000003</v>
      </c>
      <c r="S5726">
        <v>0.44485469999999999</v>
      </c>
      <c r="T5726">
        <v>-0.11017</v>
      </c>
      <c r="U5726">
        <v>-3.0384220000000002</v>
      </c>
      <c r="V5726">
        <v>-5.9538609999999999E-2</v>
      </c>
      <c r="W5726">
        <v>0.18235950000000001</v>
      </c>
      <c r="X5726">
        <v>0.98142759999999996</v>
      </c>
      <c r="Y5726">
        <v>-0.13282089999999999</v>
      </c>
      <c r="Z5726">
        <v>2.2108260000000001E-2</v>
      </c>
      <c r="AA5726">
        <v>0.99089340000000004</v>
      </c>
      <c r="AB5726">
        <v>33</v>
      </c>
      <c r="AC5726">
        <v>4.5309999999999997</v>
      </c>
      <c r="AD5726">
        <v>-1.1234080689399999</v>
      </c>
      <c r="AE5726">
        <v>-30.724599999999899</v>
      </c>
      <c r="AF5726">
        <v>-4.1540596443296103</v>
      </c>
      <c r="AG5726">
        <v>-1.1234080689399999</v>
      </c>
      <c r="AH5726">
        <v>30.736877665355301</v>
      </c>
      <c r="AI5726">
        <v>92.074341001586305</v>
      </c>
      <c r="AJ5726">
        <v>97.696834370412802</v>
      </c>
      <c r="AK5726">
        <v>31.036654230651699</v>
      </c>
      <c r="AL5726">
        <v>79.492775556432505</v>
      </c>
      <c r="AM5726">
        <v>93.471611586921398</v>
      </c>
      <c r="AN5726">
        <v>0.99999998368137</v>
      </c>
    </row>
    <row r="5727" spans="1:40" x14ac:dyDescent="0.25">
      <c r="A5727" t="str">
        <f>"20190303170407943"</f>
        <v>20190303170407943</v>
      </c>
      <c r="B5727" t="str">
        <f>"1551603847931393"</f>
        <v>1551603847931393</v>
      </c>
      <c r="C5727" t="s">
        <v>40</v>
      </c>
      <c r="D5727">
        <v>4.7584439999999999</v>
      </c>
      <c r="E5727">
        <v>0.47499279999999999</v>
      </c>
      <c r="F5727" t="s">
        <v>75</v>
      </c>
      <c r="G5727">
        <v>-418.32420000000002</v>
      </c>
      <c r="H5727" s="1">
        <v>-1.4219999999999999E-5</v>
      </c>
      <c r="I5727">
        <v>11.256500000000001</v>
      </c>
      <c r="J5727">
        <v>-423.00170000000003</v>
      </c>
      <c r="K5727">
        <v>1.1235980000000001</v>
      </c>
      <c r="L5727">
        <v>42.639189999999999</v>
      </c>
      <c r="M5727">
        <v>1.400882E-2</v>
      </c>
      <c r="N5727">
        <v>-1.3794229999999999E-2</v>
      </c>
      <c r="O5727">
        <v>-0.9998068</v>
      </c>
      <c r="P5727">
        <v>7.1815160000000003E-2</v>
      </c>
      <c r="Q5727">
        <v>0.1686317</v>
      </c>
      <c r="R5727">
        <v>-0.98305960000000003</v>
      </c>
      <c r="S5727">
        <v>0.44985960000000003</v>
      </c>
      <c r="T5727">
        <v>-0.1079391</v>
      </c>
      <c r="U5727">
        <v>-3.037903</v>
      </c>
      <c r="V5727">
        <v>-5.8910900000000002E-2</v>
      </c>
      <c r="W5727">
        <v>0.1819075</v>
      </c>
      <c r="X5727">
        <v>0.98154940000000002</v>
      </c>
      <c r="Y5727">
        <v>-0.1325336</v>
      </c>
      <c r="Z5727">
        <v>2.1380380000000001E-2</v>
      </c>
      <c r="AA5727">
        <v>0.99094789999999999</v>
      </c>
      <c r="AB5727">
        <v>33</v>
      </c>
      <c r="AC5727">
        <v>4.6775000000000002</v>
      </c>
      <c r="AD5727">
        <v>-1.1236122199999901</v>
      </c>
      <c r="AE5727">
        <v>-31.38269</v>
      </c>
      <c r="AF5727">
        <v>-4.2320575093250703</v>
      </c>
      <c r="AG5727">
        <v>-1.1236122199999901</v>
      </c>
      <c r="AH5727">
        <v>31.405758389728302</v>
      </c>
      <c r="AI5727">
        <v>92.030673809149107</v>
      </c>
      <c r="AJ5727">
        <v>97.674615485526601</v>
      </c>
      <c r="AK5727">
        <v>31.709532876047799</v>
      </c>
      <c r="AL5727">
        <v>79.519114264511501</v>
      </c>
      <c r="AM5727">
        <v>93.434673580130294</v>
      </c>
      <c r="AN5727">
        <v>1.0000000286677</v>
      </c>
    </row>
    <row r="5728" spans="1:40" x14ac:dyDescent="0.25">
      <c r="A5728" t="str">
        <f>"20190303170407964"</f>
        <v>20190303170407964</v>
      </c>
      <c r="B5728" t="str">
        <f>"1551603847951890"</f>
        <v>1551603847951890</v>
      </c>
      <c r="C5728" t="s">
        <v>40</v>
      </c>
      <c r="D5728">
        <v>4.756634</v>
      </c>
      <c r="E5728">
        <v>0.47494170000000002</v>
      </c>
      <c r="F5728" t="s">
        <v>75</v>
      </c>
      <c r="G5728">
        <v>-418.39609999999999</v>
      </c>
      <c r="H5728" s="1">
        <v>-1.4126789999999999E-5</v>
      </c>
      <c r="I5728">
        <v>11.77807</v>
      </c>
      <c r="J5728">
        <v>-422.99419999999998</v>
      </c>
      <c r="K5728">
        <v>1.123874</v>
      </c>
      <c r="L5728">
        <v>42.314909999999998</v>
      </c>
      <c r="M5728">
        <v>1.698937E-2</v>
      </c>
      <c r="N5728">
        <v>-1.380322E-2</v>
      </c>
      <c r="O5728">
        <v>-0.99976039999999999</v>
      </c>
      <c r="P5728">
        <v>7.6943109999999995E-2</v>
      </c>
      <c r="Q5728">
        <v>0.16574079999999999</v>
      </c>
      <c r="R5728">
        <v>-0.98316320000000001</v>
      </c>
      <c r="S5728">
        <v>0.45330809999999999</v>
      </c>
      <c r="T5728">
        <v>-0.11059380000000001</v>
      </c>
      <c r="U5728">
        <v>-3.0375670000000001</v>
      </c>
      <c r="V5728">
        <v>-6.1215579999999999E-2</v>
      </c>
      <c r="W5728">
        <v>0.1789772</v>
      </c>
      <c r="X5728">
        <v>0.98194689999999996</v>
      </c>
      <c r="Y5728">
        <v>-0.130692</v>
      </c>
      <c r="Z5728">
        <v>2.2241259999999999E-2</v>
      </c>
      <c r="AA5728">
        <v>0.99117350000000004</v>
      </c>
      <c r="AB5728">
        <v>33</v>
      </c>
      <c r="AC5728">
        <v>4.5980999999999801</v>
      </c>
      <c r="AD5728">
        <v>-1.1238881267899901</v>
      </c>
      <c r="AE5728">
        <v>-30.536840000000002</v>
      </c>
      <c r="AF5728">
        <v>-4.0731900785673396</v>
      </c>
      <c r="AG5728">
        <v>-1.1238881267899901</v>
      </c>
      <c r="AH5728">
        <v>30.570067134683601</v>
      </c>
      <c r="AI5728">
        <v>92.087064844470802</v>
      </c>
      <c r="AJ5728">
        <v>97.589452333220706</v>
      </c>
      <c r="AK5728">
        <v>30.860703273852</v>
      </c>
      <c r="AL5728">
        <v>79.689809204415994</v>
      </c>
      <c r="AM5728">
        <v>93.567261349186694</v>
      </c>
      <c r="AN5728">
        <v>0.99999994988709195</v>
      </c>
    </row>
    <row r="5729" spans="1:40" x14ac:dyDescent="0.25">
      <c r="A5729" t="str">
        <f>"20190303170407987"</f>
        <v>20190303170407987</v>
      </c>
      <c r="B5729" t="str">
        <f>"1551603847981170"</f>
        <v>1551603847981170</v>
      </c>
      <c r="C5729" t="s">
        <v>40</v>
      </c>
      <c r="D5729">
        <v>4.7207919999999897</v>
      </c>
      <c r="E5729">
        <v>0.4746746</v>
      </c>
      <c r="F5729" t="s">
        <v>75</v>
      </c>
      <c r="G5729">
        <v>-418.65390000000002</v>
      </c>
      <c r="H5729" s="1">
        <v>-1.3681109999999999E-5</v>
      </c>
      <c r="I5729">
        <v>14.15222</v>
      </c>
      <c r="J5729">
        <v>-422.98559999999998</v>
      </c>
      <c r="K5729">
        <v>1.124147</v>
      </c>
      <c r="L5729">
        <v>41.992829999999998</v>
      </c>
      <c r="M5729">
        <v>2.0297590000000001E-2</v>
      </c>
      <c r="N5729">
        <v>-1.3813570000000001E-2</v>
      </c>
      <c r="O5729">
        <v>-0.99969850000000005</v>
      </c>
      <c r="P5729">
        <v>8.2211049999999994E-2</v>
      </c>
      <c r="Q5729">
        <v>0.16454440000000001</v>
      </c>
      <c r="R5729">
        <v>-0.98293759999999997</v>
      </c>
      <c r="S5729">
        <v>0.46777340000000001</v>
      </c>
      <c r="T5729">
        <v>-0.1211251</v>
      </c>
      <c r="U5729">
        <v>-3.0351870000000001</v>
      </c>
      <c r="V5729">
        <v>-6.3348189999999999E-2</v>
      </c>
      <c r="W5729">
        <v>0.17773610000000001</v>
      </c>
      <c r="X5729">
        <v>0.9820371</v>
      </c>
      <c r="Y5729">
        <v>-0.13212599999999999</v>
      </c>
      <c r="Z5729">
        <v>2.5670579999999998E-2</v>
      </c>
      <c r="AA5729">
        <v>0.99090049999999996</v>
      </c>
      <c r="AB5729">
        <v>33</v>
      </c>
      <c r="AC5729">
        <v>4.3316999999999499</v>
      </c>
      <c r="AD5729">
        <v>-1.12416068111</v>
      </c>
      <c r="AE5729">
        <v>-27.840610000000002</v>
      </c>
      <c r="AF5729">
        <v>-3.75967122991347</v>
      </c>
      <c r="AG5729">
        <v>-1.12416068111</v>
      </c>
      <c r="AH5729">
        <v>27.878425533232399</v>
      </c>
      <c r="AI5729">
        <v>92.2884317485602</v>
      </c>
      <c r="AJ5729">
        <v>97.680543068376707</v>
      </c>
      <c r="AK5729">
        <v>28.153249816068701</v>
      </c>
      <c r="AL5729">
        <v>79.762078182208498</v>
      </c>
      <c r="AM5729">
        <v>93.6908606131895</v>
      </c>
      <c r="AN5729">
        <v>0.99999999009794804</v>
      </c>
    </row>
    <row r="5730" spans="1:40" x14ac:dyDescent="0.25">
      <c r="A5730" t="str">
        <f>"20190303170408003"</f>
        <v>20190303170408003</v>
      </c>
      <c r="B5730" t="str">
        <f>"1551603847991906"</f>
        <v>1551603847991906</v>
      </c>
      <c r="C5730" t="s">
        <v>40</v>
      </c>
      <c r="D5730">
        <v>4.744656</v>
      </c>
      <c r="E5730">
        <v>0.4746187</v>
      </c>
      <c r="F5730" t="s">
        <v>75</v>
      </c>
      <c r="G5730">
        <v>-418.65839999999997</v>
      </c>
      <c r="H5730" s="1">
        <v>-1.35048E-5</v>
      </c>
      <c r="I5730">
        <v>14.95604</v>
      </c>
      <c r="J5730">
        <v>-422.97809999999998</v>
      </c>
      <c r="K5730">
        <v>1.1243639999999999</v>
      </c>
      <c r="L5730">
        <v>41.748289999999997</v>
      </c>
      <c r="M5730">
        <v>2.3038630000000001E-2</v>
      </c>
      <c r="N5730">
        <v>-1.3821999999999999E-2</v>
      </c>
      <c r="O5730">
        <v>-0.9996391</v>
      </c>
      <c r="P5730">
        <v>8.4931339999999994E-2</v>
      </c>
      <c r="Q5730">
        <v>0.1643425</v>
      </c>
      <c r="R5730">
        <v>-0.98274039999999996</v>
      </c>
      <c r="S5730">
        <v>0.48535159999999999</v>
      </c>
      <c r="T5730">
        <v>-0.12609200000000001</v>
      </c>
      <c r="U5730">
        <v>-3.0325929999999999</v>
      </c>
      <c r="V5730">
        <v>-6.3466030000000007E-2</v>
      </c>
      <c r="W5730">
        <v>0.177509</v>
      </c>
      <c r="X5730">
        <v>0.98207060000000002</v>
      </c>
      <c r="Y5730">
        <v>-0.135131</v>
      </c>
      <c r="Z5730">
        <v>2.7286250000000001E-2</v>
      </c>
      <c r="AA5730">
        <v>0.99045190000000005</v>
      </c>
      <c r="AB5730">
        <v>33</v>
      </c>
      <c r="AC5730">
        <v>4.3197000000000099</v>
      </c>
      <c r="AD5730">
        <v>-1.1243775048</v>
      </c>
      <c r="AE5730">
        <v>-26.792249999999999</v>
      </c>
      <c r="AF5730">
        <v>-3.69489503541979</v>
      </c>
      <c r="AG5730">
        <v>-1.1243775048</v>
      </c>
      <c r="AH5730">
        <v>26.838596550362301</v>
      </c>
      <c r="AI5730">
        <v>92.3765594041827</v>
      </c>
      <c r="AJ5730">
        <v>97.838689155265598</v>
      </c>
      <c r="AK5730">
        <v>27.115064795961501</v>
      </c>
      <c r="AL5730">
        <v>79.775300640036306</v>
      </c>
      <c r="AM5730">
        <v>93.697581519110201</v>
      </c>
      <c r="AN5730">
        <v>1.0000000227146599</v>
      </c>
    </row>
    <row r="5731" spans="1:40" x14ac:dyDescent="0.25">
      <c r="A5731" t="str">
        <f>"20190303170408020"</f>
        <v>20190303170408020</v>
      </c>
      <c r="B5731" t="str">
        <f>"1551603848011426"</f>
        <v>1551603848011426</v>
      </c>
      <c r="C5731" t="s">
        <v>40</v>
      </c>
      <c r="D5731">
        <v>4.7628529999999998</v>
      </c>
      <c r="E5731">
        <v>0.47450179999999997</v>
      </c>
      <c r="F5731" t="s">
        <v>75</v>
      </c>
      <c r="G5731">
        <v>-418.59219999999999</v>
      </c>
      <c r="H5731" s="1">
        <v>-1.350287E-5</v>
      </c>
      <c r="I5731">
        <v>14.87256</v>
      </c>
      <c r="J5731">
        <v>-422.97</v>
      </c>
      <c r="K5731">
        <v>1.1245799999999999</v>
      </c>
      <c r="L5731">
        <v>41.509610000000002</v>
      </c>
      <c r="M5731">
        <v>2.5896410000000002E-2</v>
      </c>
      <c r="N5731">
        <v>-1.383069E-2</v>
      </c>
      <c r="O5731">
        <v>-0.99956909999999999</v>
      </c>
      <c r="P5731">
        <v>8.5883929999999997E-2</v>
      </c>
      <c r="Q5731">
        <v>0.16550889999999999</v>
      </c>
      <c r="R5731">
        <v>-0.98246180000000005</v>
      </c>
      <c r="S5731">
        <v>0.49465940000000003</v>
      </c>
      <c r="T5731">
        <v>-0.12681210000000001</v>
      </c>
      <c r="U5731">
        <v>-3.031158</v>
      </c>
      <c r="V5731">
        <v>-6.1710790000000001E-2</v>
      </c>
      <c r="W5731">
        <v>0.17866379999999901</v>
      </c>
      <c r="X5731">
        <v>0.98197310000000004</v>
      </c>
      <c r="Y5731">
        <v>-0.13533399999999901</v>
      </c>
      <c r="Z5731">
        <v>2.7519869999999998E-2</v>
      </c>
      <c r="AA5731">
        <v>0.99041780000000001</v>
      </c>
      <c r="AB5731">
        <v>33</v>
      </c>
      <c r="AC5731">
        <v>4.3778000000000299</v>
      </c>
      <c r="AD5731">
        <v>-1.12459350286999</v>
      </c>
      <c r="AE5731">
        <v>-26.637049999999899</v>
      </c>
      <c r="AF5731">
        <v>-3.6800746420077801</v>
      </c>
      <c r="AG5731">
        <v>-1.12459350286999</v>
      </c>
      <c r="AH5731">
        <v>26.695163698310498</v>
      </c>
      <c r="AI5731">
        <v>92.389712790182998</v>
      </c>
      <c r="AJ5731">
        <v>97.849065203445207</v>
      </c>
      <c r="AK5731">
        <v>26.971084976267498</v>
      </c>
      <c r="AL5731">
        <v>79.708061143482794</v>
      </c>
      <c r="AM5731">
        <v>93.595947976833997</v>
      </c>
      <c r="AN5731">
        <v>1.0000000720782301</v>
      </c>
    </row>
    <row r="5732" spans="1:40" x14ac:dyDescent="0.25">
      <c r="A5732" t="str">
        <f>"20190303170408037"</f>
        <v>20190303170408037</v>
      </c>
      <c r="B5732" t="str">
        <f>"1551603848031922"</f>
        <v>1551603848031922</v>
      </c>
      <c r="C5732" t="s">
        <v>40</v>
      </c>
      <c r="D5732">
        <v>4.739255</v>
      </c>
      <c r="E5732">
        <v>0.47451290000000002</v>
      </c>
      <c r="F5732" t="s">
        <v>75</v>
      </c>
      <c r="G5732">
        <v>-418.43009999999998</v>
      </c>
      <c r="H5732" s="1">
        <v>-1.365202E-5</v>
      </c>
      <c r="I5732">
        <v>13.972569999999999</v>
      </c>
      <c r="J5732">
        <v>-422.96120000000002</v>
      </c>
      <c r="K5732">
        <v>1.124792</v>
      </c>
      <c r="L5732">
        <v>41.273989999999998</v>
      </c>
      <c r="M5732">
        <v>2.8892370000000001E-2</v>
      </c>
      <c r="N5732">
        <v>-1.3839860000000001E-2</v>
      </c>
      <c r="O5732">
        <v>-0.99948700000000001</v>
      </c>
      <c r="P5732">
        <v>8.7413850000000001E-2</v>
      </c>
      <c r="Q5732">
        <v>0.1656724</v>
      </c>
      <c r="R5732">
        <v>-0.98229940000000004</v>
      </c>
      <c r="S5732">
        <v>0.49966430000000001</v>
      </c>
      <c r="T5732">
        <v>-0.12377299999999999</v>
      </c>
      <c r="U5732">
        <v>-3.0307309999999998</v>
      </c>
      <c r="V5732">
        <v>-6.0385769999999998E-2</v>
      </c>
      <c r="W5732">
        <v>0.1788167</v>
      </c>
      <c r="X5732">
        <v>0.9820276</v>
      </c>
      <c r="Y5732">
        <v>-0.13398479999999999</v>
      </c>
      <c r="Z5732">
        <v>2.6524470000000001E-2</v>
      </c>
      <c r="AA5732">
        <v>0.99062839999999996</v>
      </c>
      <c r="AB5732">
        <v>33</v>
      </c>
      <c r="AC5732">
        <v>4.5311000000000297</v>
      </c>
      <c r="AD5732">
        <v>-1.12480565202</v>
      </c>
      <c r="AE5732">
        <v>-27.30142</v>
      </c>
      <c r="AF5732">
        <v>-3.7341615135452999</v>
      </c>
      <c r="AG5732">
        <v>-1.12480565202</v>
      </c>
      <c r="AH5732">
        <v>27.375725006257099</v>
      </c>
      <c r="AI5732">
        <v>92.331264790639295</v>
      </c>
      <c r="AJ5732">
        <v>97.767442863380495</v>
      </c>
      <c r="AK5732">
        <v>27.6521151014216</v>
      </c>
      <c r="AL5732">
        <v>79.699156798358203</v>
      </c>
      <c r="AM5732">
        <v>93.518739100561106</v>
      </c>
      <c r="AN5732">
        <v>1.00000003028957</v>
      </c>
    </row>
    <row r="5733" spans="1:40" x14ac:dyDescent="0.25">
      <c r="A5733" t="str">
        <f>"20190303170408050"</f>
        <v>20190303170408050</v>
      </c>
      <c r="B5733" t="str">
        <f>"1551603848041682"</f>
        <v>1551603848041682</v>
      </c>
      <c r="C5733" t="s">
        <v>40</v>
      </c>
      <c r="D5733">
        <v>4.7249569999999999</v>
      </c>
      <c r="E5733">
        <v>0.47452040000000001</v>
      </c>
      <c r="F5733" t="s">
        <v>75</v>
      </c>
      <c r="G5733">
        <v>-418.40719999999999</v>
      </c>
      <c r="H5733" s="1">
        <v>-1.36679E-5</v>
      </c>
      <c r="I5733">
        <v>13.868930000000001</v>
      </c>
      <c r="J5733">
        <v>-422.95249999999999</v>
      </c>
      <c r="K5733">
        <v>1.1249709999999999</v>
      </c>
      <c r="L5733">
        <v>41.066740000000003</v>
      </c>
      <c r="M5733">
        <v>3.169922E-2</v>
      </c>
      <c r="N5733">
        <v>-1.384901E-2</v>
      </c>
      <c r="O5733">
        <v>-0.9994016</v>
      </c>
      <c r="P5733">
        <v>8.9526939999999999E-2</v>
      </c>
      <c r="Q5733">
        <v>0.1652874</v>
      </c>
      <c r="R5733">
        <v>-0.98217339999999997</v>
      </c>
      <c r="S5733">
        <v>0.50353999999999999</v>
      </c>
      <c r="T5733">
        <v>-0.1243712</v>
      </c>
      <c r="U5733">
        <v>-3.0302120000000001</v>
      </c>
      <c r="V5733">
        <v>-5.9812289999999997E-2</v>
      </c>
      <c r="W5733">
        <v>0.1784212</v>
      </c>
      <c r="X5733">
        <v>0.98213459999999997</v>
      </c>
      <c r="Y5733">
        <v>-0.13246150000000001</v>
      </c>
      <c r="Z5733">
        <v>2.671507E-2</v>
      </c>
      <c r="AA5733">
        <v>0.99082800000000004</v>
      </c>
      <c r="AB5733">
        <v>33</v>
      </c>
      <c r="AC5733">
        <v>4.5452999999999903</v>
      </c>
      <c r="AD5733">
        <v>-1.1249846679</v>
      </c>
      <c r="AE5733">
        <v>-27.19781</v>
      </c>
      <c r="AF5733">
        <v>-3.6746671893468998</v>
      </c>
      <c r="AG5733">
        <v>-1.1249846679</v>
      </c>
      <c r="AH5733">
        <v>27.282825483148802</v>
      </c>
      <c r="AI5733">
        <v>92.340099831381494</v>
      </c>
      <c r="AJ5733">
        <v>97.670886580358598</v>
      </c>
      <c r="AK5733">
        <v>27.552156645159801</v>
      </c>
      <c r="AL5733">
        <v>79.722187375843703</v>
      </c>
      <c r="AM5733">
        <v>93.485025835070402</v>
      </c>
      <c r="AN5733">
        <v>1.0000000035808201</v>
      </c>
    </row>
    <row r="5734" spans="1:40" x14ac:dyDescent="0.25">
      <c r="A5734" t="str">
        <f>"20190303170408066"</f>
        <v>20190303170408066</v>
      </c>
      <c r="B5734" t="str">
        <f>"1551603848061203"</f>
        <v>1551603848061203</v>
      </c>
      <c r="C5734" t="s">
        <v>40</v>
      </c>
      <c r="D5734">
        <v>4.7628430000000002</v>
      </c>
      <c r="E5734">
        <v>0.47455360000000002</v>
      </c>
      <c r="F5734" t="s">
        <v>75</v>
      </c>
      <c r="G5734">
        <v>-418.41609999999997</v>
      </c>
      <c r="H5734" s="1">
        <v>-1.361791E-5</v>
      </c>
      <c r="I5734">
        <v>14.107430000000001</v>
      </c>
      <c r="J5734">
        <v>-422.94279999999998</v>
      </c>
      <c r="K5734">
        <v>1.1251439999999999</v>
      </c>
      <c r="L5734">
        <v>40.849789999999999</v>
      </c>
      <c r="M5734">
        <v>3.4766470000000001E-2</v>
      </c>
      <c r="N5734">
        <v>-1.3858850000000001E-2</v>
      </c>
      <c r="O5734">
        <v>-0.99929950000000001</v>
      </c>
      <c r="P5734">
        <v>9.3362150000000005E-2</v>
      </c>
      <c r="Q5734">
        <v>0.16136010000000001</v>
      </c>
      <c r="R5734">
        <v>-0.9824697</v>
      </c>
      <c r="S5734">
        <v>0.5097351</v>
      </c>
      <c r="T5734">
        <v>-0.1264082</v>
      </c>
      <c r="U5734">
        <v>-3.0292659999999998</v>
      </c>
      <c r="V5734">
        <v>-6.0657570000000001E-2</v>
      </c>
      <c r="W5734">
        <v>0.1744791</v>
      </c>
      <c r="X5734">
        <v>0.98279079999999996</v>
      </c>
      <c r="Y5734">
        <v>-0.13143729999999901</v>
      </c>
      <c r="Z5734">
        <v>2.7374389999999998E-2</v>
      </c>
      <c r="AA5734">
        <v>0.99094649999999995</v>
      </c>
      <c r="AB5734">
        <v>33</v>
      </c>
      <c r="AC5734">
        <v>4.5266999999999999</v>
      </c>
      <c r="AD5734">
        <v>-1.12515761791</v>
      </c>
      <c r="AE5734">
        <v>-26.742360000000001</v>
      </c>
      <c r="AF5734">
        <v>-3.5879617228646499</v>
      </c>
      <c r="AG5734">
        <v>-1.12515761791</v>
      </c>
      <c r="AH5734">
        <v>26.837397853681001</v>
      </c>
      <c r="AI5734">
        <v>92.379571970470195</v>
      </c>
      <c r="AJ5734">
        <v>97.614867800888106</v>
      </c>
      <c r="AK5734">
        <v>27.099545615132399</v>
      </c>
      <c r="AL5734">
        <v>79.951653892029597</v>
      </c>
      <c r="AM5734">
        <v>93.531799252030396</v>
      </c>
      <c r="AN5734">
        <v>1.0000000268498701</v>
      </c>
    </row>
    <row r="5735" spans="1:40" x14ac:dyDescent="0.25">
      <c r="A5735" t="str">
        <f>"20190303170408087"</f>
        <v>20190303170408087</v>
      </c>
      <c r="B5735" t="str">
        <f>"1551603848081698"</f>
        <v>1551603848081698</v>
      </c>
      <c r="C5735" t="s">
        <v>40</v>
      </c>
      <c r="D5735">
        <v>4.7908869999999997</v>
      </c>
      <c r="E5735">
        <v>0.47450999999999999</v>
      </c>
      <c r="F5735" t="s">
        <v>75</v>
      </c>
      <c r="G5735">
        <v>-418.75310000000002</v>
      </c>
      <c r="H5735" s="1">
        <v>-1.31988E-5</v>
      </c>
      <c r="I5735">
        <v>16.47166</v>
      </c>
      <c r="J5735">
        <v>-422.92739999999998</v>
      </c>
      <c r="K5735">
        <v>1.125389</v>
      </c>
      <c r="L5735">
        <v>40.537410000000001</v>
      </c>
      <c r="M5735">
        <v>3.9407440000000002E-2</v>
      </c>
      <c r="N5735">
        <v>-1.387303E-2</v>
      </c>
      <c r="O5735">
        <v>-0.99912699999999999</v>
      </c>
      <c r="P5735">
        <v>0.1006132</v>
      </c>
      <c r="Q5735">
        <v>0.15786220000000001</v>
      </c>
      <c r="R5735">
        <v>-0.98232209999999998</v>
      </c>
      <c r="S5735">
        <v>0.52023319999999995</v>
      </c>
      <c r="T5735">
        <v>-0.139711</v>
      </c>
      <c r="U5735">
        <v>-3.0270389999999998</v>
      </c>
      <c r="V5735">
        <v>-6.3408790000000007E-2</v>
      </c>
      <c r="W5735">
        <v>0.17093820000000001</v>
      </c>
      <c r="X5735">
        <v>0.98323919999999998</v>
      </c>
      <c r="Y5735">
        <v>-0.1302671</v>
      </c>
      <c r="Z5735">
        <v>3.170593E-2</v>
      </c>
      <c r="AA5735">
        <v>0.99097190000000002</v>
      </c>
      <c r="AB5735">
        <v>32</v>
      </c>
      <c r="AC5735">
        <v>4.1742999999999597</v>
      </c>
      <c r="AD5735">
        <v>-1.1254021988</v>
      </c>
      <c r="AE5735">
        <v>-24.065749999999898</v>
      </c>
      <c r="AF5735">
        <v>-3.21576912112097</v>
      </c>
      <c r="AG5735">
        <v>-1.1254021988</v>
      </c>
      <c r="AH5735">
        <v>24.1602755763254</v>
      </c>
      <c r="AI5735">
        <v>92.6436676221863</v>
      </c>
      <c r="AJ5735">
        <v>97.581592389129099</v>
      </c>
      <c r="AK5735">
        <v>24.399315914045701</v>
      </c>
      <c r="AL5735">
        <v>80.157626884233693</v>
      </c>
      <c r="AM5735">
        <v>93.689877348215703</v>
      </c>
      <c r="AN5735">
        <v>0.99999993364256901</v>
      </c>
    </row>
    <row r="5736" spans="1:40" x14ac:dyDescent="0.25">
      <c r="A5736" t="str">
        <f>"20190303170408110"</f>
        <v>20190303170408110</v>
      </c>
      <c r="B5736" t="str">
        <f>"1551603848101218"</f>
        <v>1551603848101218</v>
      </c>
      <c r="C5736" t="s">
        <v>40</v>
      </c>
      <c r="D5736">
        <v>4.8254570000000001</v>
      </c>
      <c r="E5736">
        <v>0.47450999999999999</v>
      </c>
      <c r="F5736" t="s">
        <v>75</v>
      </c>
      <c r="G5736">
        <v>-418.88709999999998</v>
      </c>
      <c r="H5736" s="1">
        <v>-1.289574E-5</v>
      </c>
      <c r="I5736">
        <v>18.028659999999999</v>
      </c>
      <c r="J5736">
        <v>-422.90989999999999</v>
      </c>
      <c r="K5736">
        <v>1.1256330000000001</v>
      </c>
      <c r="L5736">
        <v>40.216889999999999</v>
      </c>
      <c r="M5736">
        <v>4.4451039999999997E-2</v>
      </c>
      <c r="N5736">
        <v>-1.38882E-2</v>
      </c>
      <c r="O5736">
        <v>-0.99891509999999994</v>
      </c>
      <c r="P5736">
        <v>0.108116</v>
      </c>
      <c r="Q5736">
        <v>0.15761889999999901</v>
      </c>
      <c r="R5736">
        <v>-0.98156359999999998</v>
      </c>
      <c r="S5736">
        <v>0.54257200000000005</v>
      </c>
      <c r="T5736">
        <v>-0.1511304</v>
      </c>
      <c r="U5736">
        <v>-3.0227050000000002</v>
      </c>
      <c r="V5736">
        <v>-6.6063750000000004E-2</v>
      </c>
      <c r="W5736">
        <v>0.17064460000000001</v>
      </c>
      <c r="X5736">
        <v>0.98311539999999997</v>
      </c>
      <c r="Y5736">
        <v>-0.132576</v>
      </c>
      <c r="Z5736">
        <v>3.5428170000000002E-2</v>
      </c>
      <c r="AA5736">
        <v>0.99053950000000002</v>
      </c>
      <c r="AB5736">
        <v>32</v>
      </c>
      <c r="AC5736">
        <v>4.0228000000000099</v>
      </c>
      <c r="AD5736">
        <v>-1.12564589574</v>
      </c>
      <c r="AE5736">
        <v>-22.188230000000001</v>
      </c>
      <c r="AF5736">
        <v>-3.0249005663722901</v>
      </c>
      <c r="AG5736">
        <v>-1.12564589574</v>
      </c>
      <c r="AH5736">
        <v>22.289587930214299</v>
      </c>
      <c r="AI5736">
        <v>92.864820662265501</v>
      </c>
      <c r="AJ5736">
        <v>97.728346887770797</v>
      </c>
      <c r="AK5736">
        <v>22.5220521315841</v>
      </c>
      <c r="AL5736">
        <v>80.174699878929303</v>
      </c>
      <c r="AM5736">
        <v>93.844403180724498</v>
      </c>
      <c r="AN5736">
        <v>0.999999944145189</v>
      </c>
    </row>
    <row r="5737" spans="1:40" x14ac:dyDescent="0.25">
      <c r="A5737" t="str">
        <f>"20190303170408132"</f>
        <v>20190303170408132</v>
      </c>
      <c r="B5737" t="str">
        <f>"1551603848121715"</f>
        <v>1551603848121715</v>
      </c>
      <c r="C5737" t="s">
        <v>40</v>
      </c>
      <c r="D5737">
        <v>4.819121</v>
      </c>
      <c r="E5737">
        <v>0.47443279999999899</v>
      </c>
      <c r="F5737" t="s">
        <v>75</v>
      </c>
      <c r="G5737">
        <v>-418.73149999999998</v>
      </c>
      <c r="H5737" s="1">
        <v>-1.28635E-5</v>
      </c>
      <c r="I5737">
        <v>17.95815</v>
      </c>
      <c r="J5737">
        <v>-422.89069999999998</v>
      </c>
      <c r="K5737">
        <v>1.1258790000000001</v>
      </c>
      <c r="L5737">
        <v>39.901400000000002</v>
      </c>
      <c r="M5737">
        <v>4.9678849999999997E-2</v>
      </c>
      <c r="N5737">
        <v>-1.390391E-2</v>
      </c>
      <c r="O5737">
        <v>-0.99866849999999996</v>
      </c>
      <c r="P5737">
        <v>0.11288380000000001</v>
      </c>
      <c r="Q5737">
        <v>0.15941729999999901</v>
      </c>
      <c r="R5737">
        <v>-0.98073639999999995</v>
      </c>
      <c r="S5737">
        <v>0.56661989999999995</v>
      </c>
      <c r="T5737">
        <v>-0.15264649999999999</v>
      </c>
      <c r="U5737">
        <v>-3.0184630000000001</v>
      </c>
      <c r="V5737">
        <v>-6.5825099999999998E-2</v>
      </c>
      <c r="W5737">
        <v>0.1724203</v>
      </c>
      <c r="X5737">
        <v>0.98282159999999996</v>
      </c>
      <c r="Y5737">
        <v>-0.13525860000000001</v>
      </c>
      <c r="Z5737">
        <v>3.5920540000000001E-2</v>
      </c>
      <c r="AA5737">
        <v>0.99015900000000001</v>
      </c>
      <c r="AB5737">
        <v>32</v>
      </c>
      <c r="AC5737">
        <v>4.1591999999999896</v>
      </c>
      <c r="AD5737">
        <v>-1.1258918634999999</v>
      </c>
      <c r="AE5737">
        <v>-21.943249999999999</v>
      </c>
      <c r="AF5737">
        <v>-3.0560761189665202</v>
      </c>
      <c r="AG5737">
        <v>-1.1258918634999999</v>
      </c>
      <c r="AH5737">
        <v>22.066715450759499</v>
      </c>
      <c r="AI5737">
        <v>92.893255391098606</v>
      </c>
      <c r="AJ5737">
        <v>97.884883801222003</v>
      </c>
      <c r="AK5737">
        <v>22.305765275327399</v>
      </c>
      <c r="AL5737">
        <v>80.071429677173001</v>
      </c>
      <c r="AM5737">
        <v>93.831698680195103</v>
      </c>
      <c r="AN5737">
        <v>1.0000000005343299</v>
      </c>
    </row>
    <row r="5738" spans="1:40" x14ac:dyDescent="0.25">
      <c r="A5738" t="str">
        <f>"20190303170408154"</f>
        <v>20190303170408154</v>
      </c>
      <c r="B5738" t="str">
        <f>"1551603848141234"</f>
        <v>1551603848141234</v>
      </c>
      <c r="C5738" t="s">
        <v>40</v>
      </c>
      <c r="D5738">
        <v>4.8275930000000002</v>
      </c>
      <c r="E5738">
        <v>0.47443299999999999</v>
      </c>
      <c r="F5738" t="s">
        <v>75</v>
      </c>
      <c r="G5738">
        <v>-418.43630000000002</v>
      </c>
      <c r="H5738" s="1">
        <v>-1.3018060000000001E-5</v>
      </c>
      <c r="I5738">
        <v>16.848649999999999</v>
      </c>
      <c r="J5738">
        <v>-422.86919999999998</v>
      </c>
      <c r="K5738">
        <v>1.126117</v>
      </c>
      <c r="L5738">
        <v>39.578159999999997</v>
      </c>
      <c r="M5738">
        <v>5.5299960000000002E-2</v>
      </c>
      <c r="N5738">
        <v>-1.392058E-2</v>
      </c>
      <c r="O5738">
        <v>-0.99837279999999995</v>
      </c>
      <c r="P5738">
        <v>0.11654589999999899</v>
      </c>
      <c r="Q5738">
        <v>0.16213449999999999</v>
      </c>
      <c r="R5738">
        <v>-0.97986229999999996</v>
      </c>
      <c r="S5738">
        <v>0.58273319999999995</v>
      </c>
      <c r="T5738">
        <v>-0.14729149999999999</v>
      </c>
      <c r="U5738">
        <v>-3.0158079999999998</v>
      </c>
      <c r="V5738">
        <v>-6.4111420000000002E-2</v>
      </c>
      <c r="W5738">
        <v>0.17513119999999999</v>
      </c>
      <c r="X5738">
        <v>0.98245550000000004</v>
      </c>
      <c r="Y5738">
        <v>-0.13495739999999901</v>
      </c>
      <c r="Z5738">
        <v>3.4168509999999999E-2</v>
      </c>
      <c r="AA5738">
        <v>0.99026210000000003</v>
      </c>
      <c r="AB5738">
        <v>32</v>
      </c>
      <c r="AC5738">
        <v>4.4328999999999601</v>
      </c>
      <c r="AD5738">
        <v>-1.12613001806</v>
      </c>
      <c r="AE5738">
        <v>-22.729510000000001</v>
      </c>
      <c r="AF5738">
        <v>-3.1615763514364899</v>
      </c>
      <c r="AG5738">
        <v>-1.12613001806</v>
      </c>
      <c r="AH5738">
        <v>22.885766165829001</v>
      </c>
      <c r="AI5738">
        <v>92.790596560382795</v>
      </c>
      <c r="AJ5738">
        <v>97.865397895613896</v>
      </c>
      <c r="AK5738">
        <v>23.13054315922</v>
      </c>
      <c r="AL5738">
        <v>79.913706881414797</v>
      </c>
      <c r="AM5738">
        <v>93.733617387505504</v>
      </c>
      <c r="AN5738">
        <v>1.0000000104340501</v>
      </c>
    </row>
    <row r="5739" spans="1:40" x14ac:dyDescent="0.25">
      <c r="A5739" t="str">
        <f>"20190303170408178"</f>
        <v>20190303170408178</v>
      </c>
      <c r="B5739" t="str">
        <f>"1551603848171490"</f>
        <v>1551603848171490</v>
      </c>
      <c r="C5739" t="s">
        <v>40</v>
      </c>
      <c r="D5739">
        <v>4.8837270000000004</v>
      </c>
      <c r="E5739">
        <v>0.4744698</v>
      </c>
      <c r="F5739" t="s">
        <v>75</v>
      </c>
      <c r="G5739">
        <v>-418.07170000000002</v>
      </c>
      <c r="H5739" s="1">
        <v>-1.3258360000000001E-5</v>
      </c>
      <c r="I5739">
        <v>15.254879999999901</v>
      </c>
      <c r="J5739">
        <v>-422.84480000000002</v>
      </c>
      <c r="K5739">
        <v>1.1263430000000001</v>
      </c>
      <c r="L5739">
        <v>39.247439999999997</v>
      </c>
      <c r="M5739">
        <v>6.1348989999999999E-2</v>
      </c>
      <c r="N5739">
        <v>-1.393925E-2</v>
      </c>
      <c r="O5739">
        <v>-0.99801910000000005</v>
      </c>
      <c r="P5739">
        <v>0.121571</v>
      </c>
      <c r="Q5739">
        <v>0.15935750000000001</v>
      </c>
      <c r="R5739">
        <v>-0.97970699999999999</v>
      </c>
      <c r="S5739">
        <v>0.59448239999999997</v>
      </c>
      <c r="T5739">
        <v>-0.13954530000000001</v>
      </c>
      <c r="U5739">
        <v>-3.0140380000000002</v>
      </c>
      <c r="V5739">
        <v>-6.3235890000000003E-2</v>
      </c>
      <c r="W5739">
        <v>0.1723546</v>
      </c>
      <c r="X5739">
        <v>0.98300310000000002</v>
      </c>
      <c r="Y5739">
        <v>-0.13279869999999999</v>
      </c>
      <c r="Z5739">
        <v>3.1630930000000002E-2</v>
      </c>
      <c r="AA5739">
        <v>0.99063820000000002</v>
      </c>
      <c r="AB5739">
        <v>32</v>
      </c>
      <c r="AC5739">
        <v>4.7731000000000003</v>
      </c>
      <c r="AD5739">
        <v>-1.12635625836</v>
      </c>
      <c r="AE5739">
        <v>-23.992560000000001</v>
      </c>
      <c r="AF5739">
        <v>-3.2850808166226999</v>
      </c>
      <c r="AG5739">
        <v>-1.12635625836</v>
      </c>
      <c r="AH5739">
        <v>24.188930367053601</v>
      </c>
      <c r="AI5739">
        <v>92.641832083806904</v>
      </c>
      <c r="AJ5739">
        <v>97.733980334489999</v>
      </c>
      <c r="AK5739">
        <v>24.436955348296902</v>
      </c>
      <c r="AL5739">
        <v>80.075251118449899</v>
      </c>
      <c r="AM5739">
        <v>93.680725057489497</v>
      </c>
      <c r="AN5739">
        <v>0.99999999026743103</v>
      </c>
    </row>
    <row r="5740" spans="1:40" x14ac:dyDescent="0.25">
      <c r="A5740" t="str">
        <f>"20190303170408198"</f>
        <v>20190303170408198</v>
      </c>
      <c r="B5740" t="str">
        <f>"1551603848191010"</f>
        <v>1551603848191010</v>
      </c>
      <c r="C5740" t="s">
        <v>40</v>
      </c>
      <c r="D5740">
        <v>4.8193910000000004</v>
      </c>
      <c r="E5740">
        <v>0.474574</v>
      </c>
      <c r="F5740" t="s">
        <v>75</v>
      </c>
      <c r="G5740">
        <v>-418.23090000000002</v>
      </c>
      <c r="H5740" s="1">
        <v>-1.3039399999999999E-5</v>
      </c>
      <c r="I5740">
        <v>16.466479999999901</v>
      </c>
      <c r="J5740">
        <v>-422.82040000000001</v>
      </c>
      <c r="K5740">
        <v>1.1265430000000001</v>
      </c>
      <c r="L5740">
        <v>38.942570000000003</v>
      </c>
      <c r="M5740">
        <v>6.7163650000000005E-2</v>
      </c>
      <c r="N5740">
        <v>-1.3957570000000001E-2</v>
      </c>
      <c r="O5740">
        <v>-0.99764450000000005</v>
      </c>
      <c r="P5740">
        <v>0.12762570000000001</v>
      </c>
      <c r="Q5740">
        <v>0.1568039</v>
      </c>
      <c r="R5740">
        <v>-0.97934889999999997</v>
      </c>
      <c r="S5740">
        <v>0.60977169999999903</v>
      </c>
      <c r="T5740">
        <v>-0.14885660000000001</v>
      </c>
      <c r="U5740">
        <v>-3.0106809999999999</v>
      </c>
      <c r="V5740">
        <v>-6.3616660000000005E-2</v>
      </c>
      <c r="W5740">
        <v>0.16978850000000001</v>
      </c>
      <c r="X5740">
        <v>0.98342499999999999</v>
      </c>
      <c r="Y5740">
        <v>-0.13204759999999999</v>
      </c>
      <c r="Z5740">
        <v>3.4656409999999999E-2</v>
      </c>
      <c r="AA5740">
        <v>0.9906374</v>
      </c>
      <c r="AB5740">
        <v>32</v>
      </c>
      <c r="AC5740">
        <v>4.5894999999999797</v>
      </c>
      <c r="AD5740">
        <v>-1.1265560394</v>
      </c>
      <c r="AE5740">
        <v>-22.476089999999999</v>
      </c>
      <c r="AF5740">
        <v>-3.0620270083069698</v>
      </c>
      <c r="AG5740">
        <v>-1.1265560394</v>
      </c>
      <c r="AH5740">
        <v>22.678911313214599</v>
      </c>
      <c r="AI5740">
        <v>92.818252849952202</v>
      </c>
      <c r="AJ5740">
        <v>97.689375678694503</v>
      </c>
      <c r="AK5740">
        <v>22.912401800382298</v>
      </c>
      <c r="AL5740">
        <v>80.224477495717693</v>
      </c>
      <c r="AM5740">
        <v>93.701242645495697</v>
      </c>
      <c r="AN5740">
        <v>0.99999997239340199</v>
      </c>
    </row>
    <row r="5741" spans="1:40" x14ac:dyDescent="0.25">
      <c r="A5741" t="str">
        <f>"20190303170408221"</f>
        <v>20190303170408221</v>
      </c>
      <c r="B5741" t="str">
        <f>"1551603848211507"</f>
        <v>1551603848211507</v>
      </c>
      <c r="C5741" t="s">
        <v>40</v>
      </c>
      <c r="D5741">
        <v>4.8061199999999999</v>
      </c>
      <c r="E5741">
        <v>0.4747306</v>
      </c>
      <c r="F5741" t="s">
        <v>75</v>
      </c>
      <c r="G5741">
        <v>-418.32440000000003</v>
      </c>
      <c r="H5741" s="1">
        <v>-1.28600399999999E-5</v>
      </c>
      <c r="I5741">
        <v>17.407779999999999</v>
      </c>
      <c r="J5741">
        <v>-422.7928</v>
      </c>
      <c r="K5741">
        <v>1.1267450000000001</v>
      </c>
      <c r="L5741">
        <v>38.625430000000001</v>
      </c>
      <c r="M5741">
        <v>7.3421070000000005E-2</v>
      </c>
      <c r="N5741">
        <v>-1.397664E-2</v>
      </c>
      <c r="O5741">
        <v>-0.99720330000000001</v>
      </c>
      <c r="P5741">
        <v>0.13350970000000001</v>
      </c>
      <c r="Q5741">
        <v>0.15650819999999999</v>
      </c>
      <c r="R5741">
        <v>-0.97861149999999997</v>
      </c>
      <c r="S5741">
        <v>0.6277161</v>
      </c>
      <c r="T5741">
        <v>-0.15728800000000001</v>
      </c>
      <c r="U5741">
        <v>-3.006653</v>
      </c>
      <c r="V5741">
        <v>-6.34329E-2</v>
      </c>
      <c r="W5741">
        <v>0.16948440000000001</v>
      </c>
      <c r="X5741">
        <v>0.98348930000000001</v>
      </c>
      <c r="Y5741">
        <v>-0.13173670000000001</v>
      </c>
      <c r="Z5741">
        <v>3.7395110000000002E-2</v>
      </c>
      <c r="AA5741">
        <v>0.99057910000000005</v>
      </c>
      <c r="AB5741">
        <v>32</v>
      </c>
      <c r="AC5741">
        <v>4.4683999999999697</v>
      </c>
      <c r="AD5741">
        <v>-1.1267578600399999</v>
      </c>
      <c r="AE5741">
        <v>-21.217649999999999</v>
      </c>
      <c r="AF5741">
        <v>-2.8905576410465601</v>
      </c>
      <c r="AG5741">
        <v>-1.1267578600399999</v>
      </c>
      <c r="AH5741">
        <v>21.430609606434601</v>
      </c>
      <c r="AI5741">
        <v>92.982710976930093</v>
      </c>
      <c r="AJ5741">
        <v>97.681687400174596</v>
      </c>
      <c r="AK5741">
        <v>21.654005053448699</v>
      </c>
      <c r="AL5741">
        <v>80.242157151380596</v>
      </c>
      <c r="AM5741">
        <v>93.690340384087804</v>
      </c>
      <c r="AN5741">
        <v>0.999999948930128</v>
      </c>
    </row>
    <row r="5742" spans="1:40" x14ac:dyDescent="0.25">
      <c r="A5742" t="str">
        <f>"20190303170408243"</f>
        <v>20190303170408243</v>
      </c>
      <c r="B5742" t="str">
        <f>"1551603848231026"</f>
        <v>1551603848231026</v>
      </c>
      <c r="C5742" t="s">
        <v>40</v>
      </c>
      <c r="D5742">
        <v>4.8657430000000002</v>
      </c>
      <c r="E5742">
        <v>0.47485149999999998</v>
      </c>
      <c r="F5742" t="s">
        <v>75</v>
      </c>
      <c r="G5742">
        <v>-418.2063</v>
      </c>
      <c r="H5742" s="1">
        <v>-1.2851770000000001E-5</v>
      </c>
      <c r="I5742">
        <v>17.280919999999998</v>
      </c>
      <c r="J5742">
        <v>-422.76319999999998</v>
      </c>
      <c r="K5742">
        <v>1.1269309999999999</v>
      </c>
      <c r="L5742">
        <v>38.310639999999999</v>
      </c>
      <c r="M5742">
        <v>7.9846539999999994E-2</v>
      </c>
      <c r="N5742">
        <v>-1.3994339999999999E-2</v>
      </c>
      <c r="O5742">
        <v>-0.99670919999999996</v>
      </c>
      <c r="P5742">
        <v>0.13900789999999999</v>
      </c>
      <c r="Q5742">
        <v>0.15774440000000001</v>
      </c>
      <c r="R5742">
        <v>-0.97764709999999999</v>
      </c>
      <c r="S5742">
        <v>0.6452637</v>
      </c>
      <c r="T5742">
        <v>-0.15852049999999901</v>
      </c>
      <c r="U5742">
        <v>-3.0028990000000002</v>
      </c>
      <c r="V5742">
        <v>-6.2729519999999997E-2</v>
      </c>
      <c r="W5742">
        <v>0.17071739999999999</v>
      </c>
      <c r="X5742">
        <v>0.98332120000000001</v>
      </c>
      <c r="Y5742">
        <v>-0.1311319</v>
      </c>
      <c r="Z5742">
        <v>3.7786689999999998E-2</v>
      </c>
      <c r="AA5742">
        <v>0.99064450000000004</v>
      </c>
      <c r="AB5742">
        <v>32</v>
      </c>
      <c r="AC5742">
        <v>4.5568999999999802</v>
      </c>
      <c r="AD5742">
        <v>-1.1269438517699999</v>
      </c>
      <c r="AE5742">
        <v>-21.029720000000001</v>
      </c>
      <c r="AF5742">
        <v>-2.8552018305559899</v>
      </c>
      <c r="AG5742">
        <v>-1.1269438517699999</v>
      </c>
      <c r="AH5742">
        <v>21.2681144177389</v>
      </c>
      <c r="AI5742">
        <v>93.006204002437897</v>
      </c>
      <c r="AJ5742">
        <v>97.646128343535096</v>
      </c>
      <c r="AK5742">
        <v>21.488482282941401</v>
      </c>
      <c r="AL5742">
        <v>80.170467211491797</v>
      </c>
      <c r="AM5742">
        <v>93.650153210786399</v>
      </c>
      <c r="AN5742">
        <v>1.00000000285581</v>
      </c>
    </row>
    <row r="5743" spans="1:40" x14ac:dyDescent="0.25">
      <c r="A5743" t="str">
        <f>"20190303170408266"</f>
        <v>20190303170408266</v>
      </c>
      <c r="B5743" t="str">
        <f>"1551603848261282"</f>
        <v>1551603848261282</v>
      </c>
      <c r="C5743" t="s">
        <v>40</v>
      </c>
      <c r="D5743">
        <v>4.9184299999999999</v>
      </c>
      <c r="E5743">
        <v>0.47513660000000002</v>
      </c>
      <c r="F5743" t="s">
        <v>75</v>
      </c>
      <c r="G5743">
        <v>-417.95850000000002</v>
      </c>
      <c r="H5743" s="1">
        <v>-1.2942820000000001E-5</v>
      </c>
      <c r="I5743">
        <v>16.524519999999999</v>
      </c>
      <c r="J5743">
        <v>-422.73039999999997</v>
      </c>
      <c r="K5743">
        <v>1.127116</v>
      </c>
      <c r="L5743">
        <v>37.9863</v>
      </c>
      <c r="M5743">
        <v>8.6702890000000005E-2</v>
      </c>
      <c r="N5743">
        <v>-1.401354E-2</v>
      </c>
      <c r="O5743">
        <v>-0.99613549999999995</v>
      </c>
      <c r="P5743">
        <v>0.14589189999999999</v>
      </c>
      <c r="Q5743">
        <v>0.15731779999999901</v>
      </c>
      <c r="R5743">
        <v>-0.97671209999999997</v>
      </c>
      <c r="S5743">
        <v>0.66152949999999999</v>
      </c>
      <c r="T5743">
        <v>-0.15515909999999999</v>
      </c>
      <c r="U5743">
        <v>-2.9995419999999999</v>
      </c>
      <c r="V5743">
        <v>-6.2959420000000002E-2</v>
      </c>
      <c r="W5743">
        <v>0.17027909999999999</v>
      </c>
      <c r="X5743">
        <v>0.98338250000000005</v>
      </c>
      <c r="Y5743">
        <v>-0.12967709999999999</v>
      </c>
      <c r="Z5743">
        <v>3.6675760000000002E-2</v>
      </c>
      <c r="AA5743">
        <v>0.99087769999999997</v>
      </c>
      <c r="AB5743">
        <v>32</v>
      </c>
      <c r="AC5743">
        <v>4.7718999999999596</v>
      </c>
      <c r="AD5743">
        <v>-1.12712894282</v>
      </c>
      <c r="AE5743">
        <v>-21.461780000000001</v>
      </c>
      <c r="AF5743">
        <v>-2.8853618150223102</v>
      </c>
      <c r="AG5743">
        <v>-1.12712894282</v>
      </c>
      <c r="AH5743">
        <v>21.7375909441297</v>
      </c>
      <c r="AI5743">
        <v>92.942457590448896</v>
      </c>
      <c r="AJ5743">
        <v>97.561016316573998</v>
      </c>
      <c r="AK5743">
        <v>21.9571991044314</v>
      </c>
      <c r="AL5743">
        <v>80.195953097453895</v>
      </c>
      <c r="AM5743">
        <v>93.663266696987904</v>
      </c>
      <c r="AN5743">
        <v>1.0000000008848899</v>
      </c>
    </row>
    <row r="5744" spans="1:40" x14ac:dyDescent="0.25">
      <c r="A5744" t="str">
        <f>"20190303170408288"</f>
        <v>20190303170408288</v>
      </c>
      <c r="B5744" t="str">
        <f>"1551603848281779"</f>
        <v>1551603848281779</v>
      </c>
      <c r="C5744" t="s">
        <v>40</v>
      </c>
      <c r="D5744">
        <v>4.870355</v>
      </c>
      <c r="E5744">
        <v>0.47532669999999999</v>
      </c>
      <c r="F5744" t="s">
        <v>75</v>
      </c>
      <c r="G5744">
        <v>-417.85840000000002</v>
      </c>
      <c r="H5744" s="1">
        <v>-1.291509E-5</v>
      </c>
      <c r="I5744">
        <v>16.510750000000002</v>
      </c>
      <c r="J5744">
        <v>-422.69639999999998</v>
      </c>
      <c r="K5744">
        <v>1.1273</v>
      </c>
      <c r="L5744">
        <v>37.673160000000003</v>
      </c>
      <c r="M5744">
        <v>9.3567860000000003E-2</v>
      </c>
      <c r="N5744">
        <v>-1.403449E-2</v>
      </c>
      <c r="O5744">
        <v>-0.99551400000000001</v>
      </c>
      <c r="P5744">
        <v>0.15383459999999999</v>
      </c>
      <c r="Q5744">
        <v>0.1553464</v>
      </c>
      <c r="R5744">
        <v>-0.97580860000000003</v>
      </c>
      <c r="S5744">
        <v>0.67953490000000005</v>
      </c>
      <c r="T5744">
        <v>-0.15720780000000001</v>
      </c>
      <c r="U5744">
        <v>-2.9953310000000002</v>
      </c>
      <c r="V5744">
        <v>-6.4208810000000005E-2</v>
      </c>
      <c r="W5744">
        <v>0.1682855</v>
      </c>
      <c r="X5744">
        <v>0.98364479999999999</v>
      </c>
      <c r="Y5744">
        <v>-0.128801</v>
      </c>
      <c r="Z5744">
        <v>3.7327489999999998E-2</v>
      </c>
      <c r="AA5744">
        <v>0.99096770000000001</v>
      </c>
      <c r="AB5744">
        <v>32</v>
      </c>
      <c r="AC5744">
        <v>4.8379999999999601</v>
      </c>
      <c r="AD5744">
        <v>-1.1273129150900001</v>
      </c>
      <c r="AE5744">
        <v>-21.162409999999898</v>
      </c>
      <c r="AF5744">
        <v>-2.8288261026538901</v>
      </c>
      <c r="AG5744">
        <v>-1.1273129150900001</v>
      </c>
      <c r="AH5744">
        <v>21.464392827195901</v>
      </c>
      <c r="AI5744">
        <v>92.980692784926404</v>
      </c>
      <c r="AJ5744">
        <v>97.507832556472394</v>
      </c>
      <c r="AK5744">
        <v>21.6793277332985</v>
      </c>
      <c r="AL5744">
        <v>80.311850036083101</v>
      </c>
      <c r="AM5744">
        <v>93.734764693662896</v>
      </c>
      <c r="AN5744">
        <v>0.99999993667945097</v>
      </c>
    </row>
    <row r="5745" spans="1:40" x14ac:dyDescent="0.25">
      <c r="A5745" t="str">
        <f>"20190303170408310"</f>
        <v>20190303170408310</v>
      </c>
      <c r="B5745" t="str">
        <f>"1551603848301299"</f>
        <v>1551603848301299</v>
      </c>
      <c r="C5745" t="s">
        <v>40</v>
      </c>
      <c r="D5745">
        <v>4.8054079999999999</v>
      </c>
      <c r="E5745">
        <v>0.47550189999999998</v>
      </c>
      <c r="F5745" t="s">
        <v>75</v>
      </c>
      <c r="G5745">
        <v>-417.86059999999998</v>
      </c>
      <c r="H5745" s="1">
        <v>-1.278843E-5</v>
      </c>
      <c r="I5745">
        <v>17.086749999999999</v>
      </c>
      <c r="J5745">
        <v>-422.66050000000001</v>
      </c>
      <c r="K5745">
        <v>1.1274959999999901</v>
      </c>
      <c r="L5745">
        <v>37.364069999999998</v>
      </c>
      <c r="M5745">
        <v>0.1005979</v>
      </c>
      <c r="N5745">
        <v>-1.4057750000000001E-2</v>
      </c>
      <c r="O5745">
        <v>-0.99482800000000005</v>
      </c>
      <c r="P5745">
        <v>0.16118650000000001</v>
      </c>
      <c r="Q5745">
        <v>0.15370059999999999</v>
      </c>
      <c r="R5745">
        <v>-0.97488249999999999</v>
      </c>
      <c r="S5745">
        <v>0.70230099999999995</v>
      </c>
      <c r="T5745">
        <v>-0.16371859999999999</v>
      </c>
      <c r="U5745">
        <v>-2.9897459999999998</v>
      </c>
      <c r="V5745">
        <v>-6.4713220000000002E-2</v>
      </c>
      <c r="W5745">
        <v>0.166627</v>
      </c>
      <c r="X5745">
        <v>0.98389409999999999</v>
      </c>
      <c r="Y5745">
        <v>-0.1293377</v>
      </c>
      <c r="Z5745">
        <v>3.9431639999999997E-2</v>
      </c>
      <c r="AA5745">
        <v>0.99081629999999998</v>
      </c>
      <c r="AB5745">
        <v>32</v>
      </c>
      <c r="AC5745">
        <v>4.7999000000000303</v>
      </c>
      <c r="AD5745">
        <v>-1.1275087884299999</v>
      </c>
      <c r="AE5745">
        <v>-20.27732</v>
      </c>
      <c r="AF5745">
        <v>-2.7275034119552202</v>
      </c>
      <c r="AG5745">
        <v>-1.1275087884299999</v>
      </c>
      <c r="AH5745">
        <v>20.597039643773801</v>
      </c>
      <c r="AI5745">
        <v>93.106255456718699</v>
      </c>
      <c r="AJ5745">
        <v>97.543339856469501</v>
      </c>
      <c r="AK5745">
        <v>20.807416779057501</v>
      </c>
      <c r="AL5745">
        <v>80.408236533447507</v>
      </c>
      <c r="AM5745">
        <v>93.763069161609494</v>
      </c>
      <c r="AN5745">
        <v>0.99999997899328896</v>
      </c>
    </row>
    <row r="5746" spans="1:40" x14ac:dyDescent="0.25">
      <c r="A5746" t="str">
        <f>"20190303170408333"</f>
        <v>20190303170408333</v>
      </c>
      <c r="B5746" t="str">
        <f>"1551603848321794"</f>
        <v>1551603848321794</v>
      </c>
      <c r="C5746" t="s">
        <v>40</v>
      </c>
      <c r="D5746">
        <v>4.8838229999999996</v>
      </c>
      <c r="E5746">
        <v>0.47558879999999998</v>
      </c>
      <c r="F5746" t="s">
        <v>75</v>
      </c>
      <c r="G5746">
        <v>-417.82060000000001</v>
      </c>
      <c r="H5746" s="1">
        <v>-1.269915E-5</v>
      </c>
      <c r="I5746">
        <v>17.434920000000002</v>
      </c>
      <c r="J5746">
        <v>-422.62049999999999</v>
      </c>
      <c r="K5746">
        <v>1.12771</v>
      </c>
      <c r="L5746">
        <v>37.043059999999997</v>
      </c>
      <c r="M5746">
        <v>0.10818319999999999</v>
      </c>
      <c r="N5746">
        <v>-1.408472E-2</v>
      </c>
      <c r="O5746">
        <v>-0.99403129999999995</v>
      </c>
      <c r="P5746">
        <v>0.1684542</v>
      </c>
      <c r="Q5746">
        <v>0.15229509999999999</v>
      </c>
      <c r="R5746">
        <v>-0.97387369999999995</v>
      </c>
      <c r="S5746">
        <v>0.72470089999999998</v>
      </c>
      <c r="T5746">
        <v>-0.16882800000000001</v>
      </c>
      <c r="U5746">
        <v>-2.9841000000000002</v>
      </c>
      <c r="V5746">
        <v>-6.4597860000000007E-2</v>
      </c>
      <c r="W5746">
        <v>0.16521729999999901</v>
      </c>
      <c r="X5746">
        <v>0.9841394</v>
      </c>
      <c r="Y5746">
        <v>-0.1292094</v>
      </c>
      <c r="Z5746">
        <v>4.1071129999999997E-2</v>
      </c>
      <c r="AA5746">
        <v>0.99076640000000005</v>
      </c>
      <c r="AB5746">
        <v>32</v>
      </c>
      <c r="AC5746">
        <v>4.7998999999999796</v>
      </c>
      <c r="AD5746">
        <v>-1.12772269915</v>
      </c>
      <c r="AE5746">
        <v>-19.608139999999899</v>
      </c>
      <c r="AF5746">
        <v>-2.64199713054483</v>
      </c>
      <c r="AG5746">
        <v>-1.12772269915</v>
      </c>
      <c r="AH5746">
        <v>19.9500973830568</v>
      </c>
      <c r="AI5746">
        <v>93.207381963703796</v>
      </c>
      <c r="AJ5746">
        <v>97.543800415689802</v>
      </c>
      <c r="AK5746">
        <v>20.155850091659101</v>
      </c>
      <c r="AL5746">
        <v>80.490141896302404</v>
      </c>
      <c r="AM5746">
        <v>93.755446598161299</v>
      </c>
      <c r="AN5746">
        <v>0.99999999918411397</v>
      </c>
    </row>
    <row r="5747" spans="1:40" x14ac:dyDescent="0.25">
      <c r="A5747" t="str">
        <f>"20190303170408356"</f>
        <v>20190303170408356</v>
      </c>
      <c r="B5747" t="str">
        <f>"1551603848341314"</f>
        <v>1551603848341314</v>
      </c>
      <c r="C5747" t="s">
        <v>40</v>
      </c>
      <c r="D5747">
        <v>4.9285589999999999</v>
      </c>
      <c r="E5747">
        <v>0.440716</v>
      </c>
      <c r="F5747" t="s">
        <v>75</v>
      </c>
      <c r="G5747">
        <v>-417.74799999999999</v>
      </c>
      <c r="H5747" s="1">
        <v>-1.263527E-5</v>
      </c>
      <c r="I5747">
        <v>17.62285</v>
      </c>
      <c r="J5747">
        <v>-422.5772</v>
      </c>
      <c r="K5747">
        <v>1.1279459999999999</v>
      </c>
      <c r="L5747">
        <v>36.718380000000003</v>
      </c>
      <c r="M5747">
        <v>0.1161831</v>
      </c>
      <c r="N5747">
        <v>-1.411486E-2</v>
      </c>
      <c r="O5747">
        <v>-0.99312780000000001</v>
      </c>
      <c r="P5747">
        <v>0.17776800000000001</v>
      </c>
      <c r="Q5747">
        <v>0.15091399999999999</v>
      </c>
      <c r="R5747">
        <v>-0.97243219999999997</v>
      </c>
      <c r="S5747">
        <v>0.74725339999999996</v>
      </c>
      <c r="T5747">
        <v>-0.17294689999999999</v>
      </c>
      <c r="U5747">
        <v>-2.9782709999999999</v>
      </c>
      <c r="V5747">
        <v>-6.6151390000000004E-2</v>
      </c>
      <c r="W5747">
        <v>0.16380529999999999</v>
      </c>
      <c r="X5747">
        <v>0.98427220000000004</v>
      </c>
      <c r="Y5747">
        <v>-0.12872620000000001</v>
      </c>
      <c r="Z5747">
        <v>4.2380149999999998E-2</v>
      </c>
      <c r="AA5747">
        <v>0.99077420000000005</v>
      </c>
      <c r="AB5747">
        <v>32</v>
      </c>
      <c r="AC5747">
        <v>4.8291999999999504</v>
      </c>
      <c r="AD5747">
        <v>-1.12795863527</v>
      </c>
      <c r="AE5747">
        <v>-19.09553</v>
      </c>
      <c r="AF5747">
        <v>-2.5692652192471299</v>
      </c>
      <c r="AG5747">
        <v>-1.12795863527</v>
      </c>
      <c r="AH5747">
        <v>19.463483659399099</v>
      </c>
      <c r="AI5747">
        <v>93.288265011355094</v>
      </c>
      <c r="AJ5747">
        <v>97.519817347788106</v>
      </c>
      <c r="AK5747">
        <v>19.664704691640001</v>
      </c>
      <c r="AL5747">
        <v>80.572160791858195</v>
      </c>
      <c r="AM5747">
        <v>93.844977167342705</v>
      </c>
      <c r="AN5747">
        <v>0.99999997319992995</v>
      </c>
    </row>
    <row r="5748" spans="1:40" x14ac:dyDescent="0.25">
      <c r="A5748" t="str">
        <f>"20190303170408378"</f>
        <v>20190303170408378</v>
      </c>
      <c r="B5748" t="str">
        <f>"1551603848361812"</f>
        <v>1551603848361812</v>
      </c>
      <c r="C5748" t="s">
        <v>40</v>
      </c>
      <c r="D5748">
        <v>4.7734079999999999</v>
      </c>
      <c r="E5748">
        <v>0.43055529999999997</v>
      </c>
      <c r="F5748" t="s">
        <v>75</v>
      </c>
      <c r="G5748">
        <v>-414.49400000000003</v>
      </c>
      <c r="H5748" s="1">
        <v>-1.236087E-5</v>
      </c>
      <c r="I5748">
        <v>14.20579</v>
      </c>
      <c r="J5748">
        <v>-422.5326</v>
      </c>
      <c r="K5748">
        <v>1.1281909999999999</v>
      </c>
      <c r="L5748">
        <v>36.406190000000002</v>
      </c>
      <c r="M5748">
        <v>0.1242196</v>
      </c>
      <c r="N5748">
        <v>-1.4147079999999999E-2</v>
      </c>
      <c r="O5748">
        <v>-0.99215399999999998</v>
      </c>
      <c r="P5748">
        <v>0.1884064</v>
      </c>
      <c r="Q5748">
        <v>0.14884629999999999</v>
      </c>
      <c r="R5748">
        <v>-0.970746</v>
      </c>
      <c r="S5748">
        <v>1.0471189999999999</v>
      </c>
      <c r="T5748">
        <v>-0.14611779999999999</v>
      </c>
      <c r="U5748">
        <v>-2.9163209999999999</v>
      </c>
      <c r="V5748">
        <v>-6.8994860000000005E-2</v>
      </c>
      <c r="W5748">
        <v>0.16168579999999999</v>
      </c>
      <c r="X5748">
        <v>0.98442750000000001</v>
      </c>
      <c r="Y5748">
        <v>-0.2181081</v>
      </c>
      <c r="Z5748">
        <v>3.3552749999999999E-2</v>
      </c>
      <c r="AA5748">
        <v>0.97534770000000004</v>
      </c>
      <c r="AB5748">
        <v>32</v>
      </c>
      <c r="AC5748">
        <v>8.0385999999999704</v>
      </c>
      <c r="AD5748">
        <v>-1.1282033608699999</v>
      </c>
      <c r="AE5748">
        <v>-22.200399999999998</v>
      </c>
      <c r="AF5748">
        <v>-5.2064385662728299</v>
      </c>
      <c r="AG5748">
        <v>-1.1282033608699999</v>
      </c>
      <c r="AH5748">
        <v>22.974613250424898</v>
      </c>
      <c r="AI5748">
        <v>92.741923609924498</v>
      </c>
      <c r="AJ5748">
        <v>102.768537413131</v>
      </c>
      <c r="AK5748">
        <v>23.584162045204199</v>
      </c>
      <c r="AL5748">
        <v>80.695240790149697</v>
      </c>
      <c r="AM5748">
        <v>94.009092204693602</v>
      </c>
      <c r="AN5748">
        <v>1.0000000456921501</v>
      </c>
    </row>
    <row r="5749" spans="1:40" x14ac:dyDescent="0.25">
      <c r="A5749" t="str">
        <f>"20190303170408399"</f>
        <v>20190303170408399</v>
      </c>
      <c r="B5749" t="str">
        <f>"1551603848391090"</f>
        <v>1551603848391090</v>
      </c>
      <c r="C5749" t="s">
        <v>40</v>
      </c>
      <c r="D5749">
        <v>4.744529</v>
      </c>
      <c r="E5749">
        <v>0.36202279999999998</v>
      </c>
      <c r="F5749" t="s">
        <v>75</v>
      </c>
      <c r="G5749">
        <v>-411.80650000000003</v>
      </c>
      <c r="H5749">
        <v>1.5037210000000001E-2</v>
      </c>
      <c r="I5749">
        <v>9.6162569999999992</v>
      </c>
      <c r="J5749">
        <v>-422.48689999999999</v>
      </c>
      <c r="K5749">
        <v>1.128417</v>
      </c>
      <c r="L5749">
        <v>36.105350000000001</v>
      </c>
      <c r="M5749">
        <v>0.1322304</v>
      </c>
      <c r="N5749">
        <v>-1.4179249999999999E-2</v>
      </c>
      <c r="O5749">
        <v>-0.99111769999999999</v>
      </c>
      <c r="P5749">
        <v>0.2011281</v>
      </c>
      <c r="Q5749">
        <v>0.14746500000000001</v>
      </c>
      <c r="R5749">
        <v>-0.96840179999999998</v>
      </c>
      <c r="S5749">
        <v>1.154938</v>
      </c>
      <c r="T5749">
        <v>-0.11986040000000001</v>
      </c>
      <c r="U5749">
        <v>-2.8846440000000002</v>
      </c>
      <c r="V5749">
        <v>-7.4008850000000001E-2</v>
      </c>
      <c r="W5749">
        <v>0.16021270000000001</v>
      </c>
      <c r="X5749">
        <v>0.98430410000000002</v>
      </c>
      <c r="Y5749">
        <v>-0.24545149999999999</v>
      </c>
      <c r="Z5749">
        <v>2.502855E-2</v>
      </c>
      <c r="AA5749">
        <v>0.9690858</v>
      </c>
      <c r="AB5749">
        <v>32</v>
      </c>
      <c r="AC5749">
        <v>10.680399999999899</v>
      </c>
      <c r="AD5749">
        <v>-1.11337979</v>
      </c>
      <c r="AE5749">
        <v>-26.489093</v>
      </c>
      <c r="AF5749">
        <v>-7.0728334621615598</v>
      </c>
      <c r="AG5749">
        <v>-1.11337979</v>
      </c>
      <c r="AH5749">
        <v>27.6268787524833</v>
      </c>
      <c r="AI5749">
        <v>92.235775739613601</v>
      </c>
      <c r="AJ5749">
        <v>104.360022636241</v>
      </c>
      <c r="AK5749">
        <v>28.539604365594599</v>
      </c>
      <c r="AL5749">
        <v>80.780757607911497</v>
      </c>
      <c r="AM5749">
        <v>94.299922029768794</v>
      </c>
      <c r="AN5749">
        <v>0.99999999019821095</v>
      </c>
    </row>
    <row r="5750" spans="1:40" x14ac:dyDescent="0.25">
      <c r="A5750" t="str">
        <f>"20190303170408422"</f>
        <v>20190303170408422</v>
      </c>
      <c r="B5750" t="str">
        <f>"1551603848411587"</f>
        <v>1551603848411587</v>
      </c>
      <c r="C5750" t="s">
        <v>40</v>
      </c>
      <c r="D5750">
        <v>4.7524319999999998</v>
      </c>
      <c r="E5750">
        <v>0.35260249999999999</v>
      </c>
      <c r="F5750" t="s">
        <v>95</v>
      </c>
      <c r="G5750">
        <v>-400.26799999999997</v>
      </c>
      <c r="H5750">
        <v>1.816049</v>
      </c>
      <c r="I5750">
        <v>0.67806429999999995</v>
      </c>
      <c r="J5750">
        <v>-422.43680000000001</v>
      </c>
      <c r="K5750">
        <v>1.128649</v>
      </c>
      <c r="L5750">
        <v>35.794829999999997</v>
      </c>
      <c r="M5750">
        <v>0.14079929999999999</v>
      </c>
      <c r="N5750">
        <v>-1.4211390000000001E-2</v>
      </c>
      <c r="O5750">
        <v>-0.98993620000000004</v>
      </c>
      <c r="P5750">
        <v>0.21378059999999999</v>
      </c>
      <c r="Q5750">
        <v>0.14763809999999999</v>
      </c>
      <c r="R5750">
        <v>-0.96566090000000004</v>
      </c>
      <c r="S5750">
        <v>1.7145079999999999</v>
      </c>
      <c r="T5750">
        <v>5.3058979999999999E-2</v>
      </c>
      <c r="U5750">
        <v>-2.7337340000000001</v>
      </c>
      <c r="V5750">
        <v>-7.8478080000000006E-2</v>
      </c>
      <c r="W5750">
        <v>0.16029409999999999</v>
      </c>
      <c r="X5750">
        <v>0.98394459999999995</v>
      </c>
      <c r="Y5750">
        <v>-0.40648919999999999</v>
      </c>
      <c r="Z5750">
        <v>-3.0409680000000001E-2</v>
      </c>
      <c r="AA5750">
        <v>0.9131494</v>
      </c>
      <c r="AB5750">
        <v>32</v>
      </c>
      <c r="AC5750">
        <v>22.168799999999901</v>
      </c>
      <c r="AD5750">
        <v>0.68740000000000001</v>
      </c>
      <c r="AE5750">
        <v>-35.116765699999902</v>
      </c>
      <c r="AF5750">
        <v>-16.998340729742502</v>
      </c>
      <c r="AG5750">
        <v>0.68740000000000001</v>
      </c>
      <c r="AH5750">
        <v>37.878155839816202</v>
      </c>
      <c r="AI5750">
        <v>89.051446443702105</v>
      </c>
      <c r="AJ5750">
        <v>114.168811019356</v>
      </c>
      <c r="AK5750">
        <v>41.523135673378803</v>
      </c>
      <c r="AL5750">
        <v>80.776032679817803</v>
      </c>
      <c r="AM5750">
        <v>94.560179848183694</v>
      </c>
      <c r="AN5750">
        <v>0.99999999170222797</v>
      </c>
    </row>
    <row r="5751" spans="1:40" x14ac:dyDescent="0.25">
      <c r="A5751" t="str">
        <f>"20190303170408444"</f>
        <v>20190303170408444</v>
      </c>
      <c r="B5751" t="str">
        <f>"1551603848431106"</f>
        <v>1551603848431106</v>
      </c>
      <c r="C5751" t="s">
        <v>40</v>
      </c>
      <c r="D5751">
        <v>4.7573410000000003</v>
      </c>
      <c r="E5751">
        <v>0.3467886</v>
      </c>
      <c r="F5751" t="s">
        <v>95</v>
      </c>
      <c r="G5751">
        <v>-398.67110000000002</v>
      </c>
      <c r="H5751">
        <v>2.200939</v>
      </c>
      <c r="I5751">
        <v>0.69430919999999996</v>
      </c>
      <c r="J5751">
        <v>-422.38220000000001</v>
      </c>
      <c r="K5751">
        <v>1.128895</v>
      </c>
      <c r="L5751">
        <v>35.475490000000001</v>
      </c>
      <c r="M5751">
        <v>0.149950799999999</v>
      </c>
      <c r="N5751">
        <v>-1.4247040000000001E-2</v>
      </c>
      <c r="O5751">
        <v>-0.98859079999999999</v>
      </c>
      <c r="P5751">
        <v>0.2231861</v>
      </c>
      <c r="Q5751">
        <v>0.14916209999999999</v>
      </c>
      <c r="R5751">
        <v>-0.96329580000000004</v>
      </c>
      <c r="S5751">
        <v>1.821869</v>
      </c>
      <c r="T5751">
        <v>8.2199449999999993E-2</v>
      </c>
      <c r="U5751">
        <v>-2.6907960000000002</v>
      </c>
      <c r="V5751">
        <v>-7.9130309999999995E-2</v>
      </c>
      <c r="W5751">
        <v>0.16179250000000001</v>
      </c>
      <c r="X5751">
        <v>0.98364700000000005</v>
      </c>
      <c r="Y5751">
        <v>-0.42972339999999998</v>
      </c>
      <c r="Z5751">
        <v>-3.9454709999999997E-2</v>
      </c>
      <c r="AA5751">
        <v>0.90209819999999996</v>
      </c>
      <c r="AB5751">
        <v>32</v>
      </c>
      <c r="AC5751">
        <v>23.711099999999899</v>
      </c>
      <c r="AD5751">
        <v>1.072044</v>
      </c>
      <c r="AE5751">
        <v>-34.781180799999902</v>
      </c>
      <c r="AF5751">
        <v>-18.215145172659302</v>
      </c>
      <c r="AG5751">
        <v>1.072044</v>
      </c>
      <c r="AH5751">
        <v>37.919110815477197</v>
      </c>
      <c r="AI5751">
        <v>88.540186066235293</v>
      </c>
      <c r="AJ5751">
        <v>115.658161732843</v>
      </c>
      <c r="AK5751">
        <v>42.080871628751197</v>
      </c>
      <c r="AL5751">
        <v>80.6890445817521</v>
      </c>
      <c r="AM5751">
        <v>94.599302709853504</v>
      </c>
      <c r="AN5751">
        <v>0.99999991981296998</v>
      </c>
    </row>
    <row r="5752" spans="1:40" x14ac:dyDescent="0.25">
      <c r="A5752" t="str">
        <f>"20190303170408467"</f>
        <v>20190303170408467</v>
      </c>
      <c r="B5752" t="str">
        <f>"1551603848461363"</f>
        <v>1551603848461363</v>
      </c>
      <c r="C5752" t="s">
        <v>40</v>
      </c>
      <c r="D5752">
        <v>4.8557959999999998</v>
      </c>
      <c r="E5752">
        <v>0.34580680000000003</v>
      </c>
      <c r="F5752" t="s">
        <v>95</v>
      </c>
      <c r="G5752">
        <v>-397.64159999999998</v>
      </c>
      <c r="H5752">
        <v>2.6127729999999998</v>
      </c>
      <c r="I5752">
        <v>0.70478059999999998</v>
      </c>
      <c r="J5752">
        <v>-422.32650000000001</v>
      </c>
      <c r="K5752">
        <v>1.129151</v>
      </c>
      <c r="L5752">
        <v>35.168209999999902</v>
      </c>
      <c r="M5752">
        <v>0.1590975</v>
      </c>
      <c r="N5752">
        <v>-1.4285880000000001E-2</v>
      </c>
      <c r="O5752">
        <v>-0.98715960000000003</v>
      </c>
      <c r="P5752">
        <v>0.2316213</v>
      </c>
      <c r="Q5752">
        <v>0.1504095</v>
      </c>
      <c r="R5752">
        <v>-0.96110819999999997</v>
      </c>
      <c r="S5752">
        <v>1.891602</v>
      </c>
      <c r="T5752">
        <v>0.11345139999999999</v>
      </c>
      <c r="U5752">
        <v>-2.6584780000000001</v>
      </c>
      <c r="V5752">
        <v>-7.8798789999999994E-2</v>
      </c>
      <c r="W5752">
        <v>0.16303519999999999</v>
      </c>
      <c r="X5752">
        <v>0.98346849999999997</v>
      </c>
      <c r="Y5752">
        <v>-0.44207590000000002</v>
      </c>
      <c r="Z5752">
        <v>-4.9159550000000003E-2</v>
      </c>
      <c r="AA5752">
        <v>0.89562949999999997</v>
      </c>
      <c r="AB5752">
        <v>32</v>
      </c>
      <c r="AC5752">
        <v>24.684899999999999</v>
      </c>
      <c r="AD5752">
        <v>1.48362199999999</v>
      </c>
      <c r="AE5752">
        <v>-34.463429399999903</v>
      </c>
      <c r="AF5752">
        <v>-18.863711136377901</v>
      </c>
      <c r="AG5752">
        <v>1.48362199999999</v>
      </c>
      <c r="AH5752">
        <v>37.905652120200699</v>
      </c>
      <c r="AI5752">
        <v>87.993139935464498</v>
      </c>
      <c r="AJ5752">
        <v>116.45718949955101</v>
      </c>
      <c r="AK5752">
        <v>42.366014619424199</v>
      </c>
      <c r="AL5752">
        <v>80.616885859561194</v>
      </c>
      <c r="AM5752">
        <v>94.580943632878103</v>
      </c>
      <c r="AN5752">
        <v>1.00000000811837</v>
      </c>
    </row>
    <row r="5753" spans="1:40" x14ac:dyDescent="0.25">
      <c r="A5753" t="str">
        <f>"20190303170408489"</f>
        <v>20190303170408489</v>
      </c>
      <c r="B5753" t="str">
        <f>"1551603848481859"</f>
        <v>1551603848481859</v>
      </c>
      <c r="C5753" t="s">
        <v>40</v>
      </c>
      <c r="D5753">
        <v>4.8727960000000001</v>
      </c>
      <c r="E5753">
        <v>0.34648519999999999</v>
      </c>
      <c r="F5753" t="s">
        <v>95</v>
      </c>
      <c r="G5753">
        <v>-397.22489999999999</v>
      </c>
      <c r="H5753">
        <v>2.645543</v>
      </c>
      <c r="I5753">
        <v>0.7090168</v>
      </c>
      <c r="J5753">
        <v>-422.26780000000002</v>
      </c>
      <c r="K5753">
        <v>1.129421</v>
      </c>
      <c r="L5753">
        <v>34.862459999999999</v>
      </c>
      <c r="M5753">
        <v>0.168545899999999</v>
      </c>
      <c r="N5753">
        <v>-1.432873E-2</v>
      </c>
      <c r="O5753">
        <v>-0.98558959999999995</v>
      </c>
      <c r="P5753">
        <v>0.24190510000000001</v>
      </c>
      <c r="Q5753">
        <v>0.1512307</v>
      </c>
      <c r="R5753">
        <v>-0.95844200000000002</v>
      </c>
      <c r="S5753">
        <v>1.9229430000000001</v>
      </c>
      <c r="T5753">
        <v>0.11616369999999999</v>
      </c>
      <c r="U5753">
        <v>-2.6398009999999998</v>
      </c>
      <c r="V5753">
        <v>-8.0062289999999994E-2</v>
      </c>
      <c r="W5753">
        <v>0.1638213</v>
      </c>
      <c r="X5753">
        <v>0.98323579999999999</v>
      </c>
      <c r="Y5753">
        <v>-0.44343670000000002</v>
      </c>
      <c r="Z5753">
        <v>-4.9986059999999999E-2</v>
      </c>
      <c r="AA5753">
        <v>0.89491080000000001</v>
      </c>
      <c r="AB5753">
        <v>32</v>
      </c>
      <c r="AC5753">
        <v>25.042899999999999</v>
      </c>
      <c r="AD5753">
        <v>1.516122</v>
      </c>
      <c r="AE5753">
        <v>-34.153443199999998</v>
      </c>
      <c r="AF5753">
        <v>-18.9033172351572</v>
      </c>
      <c r="AG5753">
        <v>1.516122</v>
      </c>
      <c r="AH5753">
        <v>37.8375566197548</v>
      </c>
      <c r="AI5753">
        <v>87.947119071302197</v>
      </c>
      <c r="AJ5753">
        <v>116.54631848523201</v>
      </c>
      <c r="AK5753">
        <v>42.323926086376098</v>
      </c>
      <c r="AL5753">
        <v>80.571231889492793</v>
      </c>
      <c r="AM5753">
        <v>94.655173300157003</v>
      </c>
      <c r="AN5753">
        <v>1.0000000135076801</v>
      </c>
    </row>
    <row r="5754" spans="1:40" x14ac:dyDescent="0.25">
      <c r="A5754" t="str">
        <f>"20190303170408511"</f>
        <v>20190303170408511</v>
      </c>
      <c r="B5754" t="str">
        <f>"1551603848501378"</f>
        <v>1551603848501378</v>
      </c>
      <c r="C5754" t="s">
        <v>40</v>
      </c>
      <c r="D5754">
        <v>4.8813849999999999</v>
      </c>
      <c r="E5754">
        <v>0.3468774</v>
      </c>
      <c r="F5754" t="s">
        <v>95</v>
      </c>
      <c r="G5754">
        <v>-396.90730000000002</v>
      </c>
      <c r="H5754">
        <v>2.6060729999999999</v>
      </c>
      <c r="I5754">
        <v>0.71224589999999999</v>
      </c>
      <c r="J5754">
        <v>-422.20620000000002</v>
      </c>
      <c r="K5754">
        <v>1.129697</v>
      </c>
      <c r="L5754">
        <v>34.55865</v>
      </c>
      <c r="M5754">
        <v>0.17828729999999901</v>
      </c>
      <c r="N5754">
        <v>-1.437484E-2</v>
      </c>
      <c r="O5754">
        <v>-0.98387360000000001</v>
      </c>
      <c r="P5754">
        <v>0.25447959999999997</v>
      </c>
      <c r="Q5754">
        <v>0.1510379</v>
      </c>
      <c r="R5754">
        <v>-0.95521080000000003</v>
      </c>
      <c r="S5754">
        <v>1.94635</v>
      </c>
      <c r="T5754">
        <v>0.11332730000000001</v>
      </c>
      <c r="U5754">
        <v>-2.6209410000000002</v>
      </c>
      <c r="V5754">
        <v>-8.3367209999999997E-2</v>
      </c>
      <c r="W5754">
        <v>0.16355220000000001</v>
      </c>
      <c r="X5754">
        <v>0.98300589999999999</v>
      </c>
      <c r="Y5754">
        <v>-0.4428261</v>
      </c>
      <c r="Z5754">
        <v>-4.9116720000000003E-2</v>
      </c>
      <c r="AA5754">
        <v>0.89526119999999898</v>
      </c>
      <c r="AB5754">
        <v>32</v>
      </c>
      <c r="AC5754">
        <v>25.2989</v>
      </c>
      <c r="AD5754">
        <v>1.4763759999999999</v>
      </c>
      <c r="AE5754">
        <v>-33.846404100000001</v>
      </c>
      <c r="AF5754">
        <v>-18.835489551107099</v>
      </c>
      <c r="AG5754">
        <v>1.4763759999999999</v>
      </c>
      <c r="AH5754">
        <v>37.768854127517699</v>
      </c>
      <c r="AI5754">
        <v>87.996549322029907</v>
      </c>
      <c r="AJ5754">
        <v>116.505629392191</v>
      </c>
      <c r="AK5754">
        <v>42.230814517706797</v>
      </c>
      <c r="AL5754">
        <v>80.586860917778907</v>
      </c>
      <c r="AM5754">
        <v>94.847566651911094</v>
      </c>
      <c r="AN5754">
        <v>1.0000000066314101</v>
      </c>
    </row>
    <row r="5755" spans="1:40" x14ac:dyDescent="0.25">
      <c r="A5755" t="str">
        <f>"20190303170408533"</f>
        <v>20190303170408533</v>
      </c>
      <c r="B5755" t="str">
        <f>"1551603848521876"</f>
        <v>1551603848521876</v>
      </c>
      <c r="C5755" t="s">
        <v>40</v>
      </c>
      <c r="D5755">
        <v>4.8237880000000004</v>
      </c>
      <c r="E5755">
        <v>0.34761259999999999</v>
      </c>
      <c r="F5755" t="s">
        <v>95</v>
      </c>
      <c r="G5755">
        <v>-396.4119</v>
      </c>
      <c r="H5755">
        <v>2.5821079999999998</v>
      </c>
      <c r="I5755">
        <v>0.71728709999999996</v>
      </c>
      <c r="J5755">
        <v>-422.14080000000001</v>
      </c>
      <c r="K5755">
        <v>1.1299939999999999</v>
      </c>
      <c r="L5755">
        <v>34.253509999999999</v>
      </c>
      <c r="M5755">
        <v>0.1884391</v>
      </c>
      <c r="N5755">
        <v>-1.4424090000000001E-2</v>
      </c>
      <c r="O5755">
        <v>-0.98197900000000005</v>
      </c>
      <c r="P5755">
        <v>0.26714080000000001</v>
      </c>
      <c r="Q5755">
        <v>0.15046399999999999</v>
      </c>
      <c r="R5755">
        <v>-0.95183810000000002</v>
      </c>
      <c r="S5755">
        <v>1.9786379999999999</v>
      </c>
      <c r="T5755">
        <v>0.1114101</v>
      </c>
      <c r="U5755">
        <v>-2.595917</v>
      </c>
      <c r="V5755">
        <v>-8.6360599999999996E-2</v>
      </c>
      <c r="W5755">
        <v>0.16290579999999999</v>
      </c>
      <c r="X5755">
        <v>0.98285480000000003</v>
      </c>
      <c r="Y5755">
        <v>-0.44478570000000001</v>
      </c>
      <c r="Z5755">
        <v>-4.8527550000000003E-2</v>
      </c>
      <c r="AA5755">
        <v>0.89432140000000004</v>
      </c>
      <c r="AB5755">
        <v>32</v>
      </c>
      <c r="AC5755">
        <v>25.728899999999999</v>
      </c>
      <c r="AD5755">
        <v>1.4521139999999999</v>
      </c>
      <c r="AE5755">
        <v>-33.536222899999999</v>
      </c>
      <c r="AF5755">
        <v>-18.9253380584022</v>
      </c>
      <c r="AG5755">
        <v>1.4521139999999999</v>
      </c>
      <c r="AH5755">
        <v>37.739585385078797</v>
      </c>
      <c r="AI5755">
        <v>88.030100181914094</v>
      </c>
      <c r="AJ5755">
        <v>116.632474091638</v>
      </c>
      <c r="AK5755">
        <v>42.243974253512803</v>
      </c>
      <c r="AL5755">
        <v>80.624400369873001</v>
      </c>
      <c r="AM5755">
        <v>95.021517341757601</v>
      </c>
      <c r="AN5755">
        <v>1.0000000053945199</v>
      </c>
    </row>
    <row r="5756" spans="1:40" x14ac:dyDescent="0.25">
      <c r="A5756" t="str">
        <f>"20190303170408557"</f>
        <v>20190303170408557</v>
      </c>
      <c r="B5756" t="str">
        <f>"1551603848551154"</f>
        <v>1551603848551154</v>
      </c>
      <c r="C5756" t="s">
        <v>40</v>
      </c>
      <c r="D5756">
        <v>4.8810969999999996</v>
      </c>
      <c r="E5756">
        <v>0.34881790000000001</v>
      </c>
      <c r="F5756" t="s">
        <v>95</v>
      </c>
      <c r="G5756">
        <v>-396.03309999999999</v>
      </c>
      <c r="H5756">
        <v>2.5183179999999998</v>
      </c>
      <c r="I5756">
        <v>0.82112879999999999</v>
      </c>
      <c r="J5756">
        <v>-422.06909999999999</v>
      </c>
      <c r="K5756">
        <v>1.130293</v>
      </c>
      <c r="L5756">
        <v>33.937440000000002</v>
      </c>
      <c r="M5756">
        <v>0.19936870000000001</v>
      </c>
      <c r="N5756">
        <v>-1.4478639999999999E-2</v>
      </c>
      <c r="O5756">
        <v>-0.97981770000000001</v>
      </c>
      <c r="P5756">
        <v>0.27798479999999998</v>
      </c>
      <c r="Q5756">
        <v>0.15137729999999999</v>
      </c>
      <c r="R5756">
        <v>-0.94858310000000001</v>
      </c>
      <c r="S5756">
        <v>2.0079959999999999</v>
      </c>
      <c r="T5756">
        <v>0.1067767</v>
      </c>
      <c r="U5756">
        <v>-2.5713499999999998</v>
      </c>
      <c r="V5756">
        <v>-8.6794679999999999E-2</v>
      </c>
      <c r="W5756">
        <v>0.16380059999999999</v>
      </c>
      <c r="X5756">
        <v>0.98266779999999998</v>
      </c>
      <c r="Y5756">
        <v>-0.44533040000000002</v>
      </c>
      <c r="Z5756">
        <v>-4.7086540000000003E-2</v>
      </c>
      <c r="AA5756">
        <v>0.89412729999999996</v>
      </c>
      <c r="AB5756">
        <v>32</v>
      </c>
      <c r="AC5756">
        <v>26.035999999999898</v>
      </c>
      <c r="AD5756">
        <v>1.3880249999999901</v>
      </c>
      <c r="AE5756">
        <v>-33.116311199999998</v>
      </c>
      <c r="AF5756">
        <v>-18.8896495132736</v>
      </c>
      <c r="AG5756">
        <v>1.3880249999999901</v>
      </c>
      <c r="AH5756">
        <v>37.601828997576497</v>
      </c>
      <c r="AI5756">
        <v>88.110756313136093</v>
      </c>
      <c r="AJ5756">
        <v>116.67311700940699</v>
      </c>
      <c r="AK5756">
        <v>42.102767321138501</v>
      </c>
      <c r="AL5756">
        <v>80.572433825211604</v>
      </c>
      <c r="AM5756">
        <v>95.047582712715297</v>
      </c>
      <c r="AN5756">
        <v>0.99999997909675098</v>
      </c>
    </row>
    <row r="5757" spans="1:40" x14ac:dyDescent="0.25">
      <c r="A5757" t="str">
        <f>"20190303170408579"</f>
        <v>20190303170408579</v>
      </c>
      <c r="B5757" t="str">
        <f>"1551603848571650"</f>
        <v>1551603848571650</v>
      </c>
      <c r="C5757" t="s">
        <v>40</v>
      </c>
      <c r="D5757">
        <v>4.8398960000000004</v>
      </c>
      <c r="E5757">
        <v>0.34943590000000002</v>
      </c>
      <c r="F5757" t="s">
        <v>95</v>
      </c>
      <c r="G5757">
        <v>-395.97910000000002</v>
      </c>
      <c r="H5757">
        <v>2.4501970000000002</v>
      </c>
      <c r="I5757">
        <v>1.1218570000000001</v>
      </c>
      <c r="J5757">
        <v>-421.9957</v>
      </c>
      <c r="K5757">
        <v>1.130585</v>
      </c>
      <c r="L5757">
        <v>33.631590000000003</v>
      </c>
      <c r="M5757">
        <v>0.21033089999999999</v>
      </c>
      <c r="N5757">
        <v>-1.453396E-2</v>
      </c>
      <c r="O5757">
        <v>-0.97752240000000001</v>
      </c>
      <c r="P5757">
        <v>0.28932629999999998</v>
      </c>
      <c r="Q5757">
        <v>0.15278639999999999</v>
      </c>
      <c r="R5757">
        <v>-0.94495870000000004</v>
      </c>
      <c r="S5757">
        <v>2.0287169999999999</v>
      </c>
      <c r="T5757">
        <v>0.1026318</v>
      </c>
      <c r="U5757">
        <v>-2.5516969999999999</v>
      </c>
      <c r="V5757">
        <v>-8.7752540000000004E-2</v>
      </c>
      <c r="W5757">
        <v>0.16518099999999999</v>
      </c>
      <c r="X5757">
        <v>0.98235159999999999</v>
      </c>
      <c r="Y5757">
        <v>-0.44313350000000001</v>
      </c>
      <c r="Z5757">
        <v>-4.5795599999999999E-2</v>
      </c>
      <c r="AA5757">
        <v>0.89528509999999994</v>
      </c>
      <c r="AB5757">
        <v>32</v>
      </c>
      <c r="AC5757">
        <v>26.016599999999901</v>
      </c>
      <c r="AD5757">
        <v>1.319612</v>
      </c>
      <c r="AE5757">
        <v>-32.509732999999997</v>
      </c>
      <c r="AF5757">
        <v>-18.577309578678701</v>
      </c>
      <c r="AG5757">
        <v>1.319612</v>
      </c>
      <c r="AH5757">
        <v>37.217633892377698</v>
      </c>
      <c r="AI5757">
        <v>88.182951658104798</v>
      </c>
      <c r="AJ5757">
        <v>116.526234084661</v>
      </c>
      <c r="AK5757">
        <v>41.6174251913747</v>
      </c>
      <c r="AL5757">
        <v>80.492250413527898</v>
      </c>
      <c r="AM5757">
        <v>95.104628837118895</v>
      </c>
      <c r="AN5757">
        <v>0.99999996853000495</v>
      </c>
    </row>
    <row r="5758" spans="1:40" x14ac:dyDescent="0.25">
      <c r="A5758" t="str">
        <f>"20190303170408600"</f>
        <v>20190303170408600</v>
      </c>
      <c r="B5758" t="str">
        <f>"1551603848591171"</f>
        <v>1551603848591171</v>
      </c>
      <c r="C5758" t="s">
        <v>40</v>
      </c>
      <c r="D5758">
        <v>4.8358569999999999</v>
      </c>
      <c r="E5758">
        <v>0.3500549</v>
      </c>
      <c r="F5758" t="s">
        <v>95</v>
      </c>
      <c r="G5758">
        <v>-395.75139999999999</v>
      </c>
      <c r="H5758">
        <v>2.4457040000000001</v>
      </c>
      <c r="I5758">
        <v>1.32646</v>
      </c>
      <c r="J5758">
        <v>-421.92239999999998</v>
      </c>
      <c r="K5758">
        <v>1.130836</v>
      </c>
      <c r="L5758">
        <v>33.34158</v>
      </c>
      <c r="M5758">
        <v>0.2210165</v>
      </c>
      <c r="N5758">
        <v>-1.4585819999999999E-2</v>
      </c>
      <c r="O5758">
        <v>-0.97516139999999996</v>
      </c>
      <c r="P5758">
        <v>0.30016189999999998</v>
      </c>
      <c r="Q5758">
        <v>0.15402189999999999</v>
      </c>
      <c r="R5758">
        <v>-0.94137179999999998</v>
      </c>
      <c r="S5758">
        <v>2.0545650000000002</v>
      </c>
      <c r="T5758">
        <v>0.1029539</v>
      </c>
      <c r="U5758">
        <v>-2.5290530000000002</v>
      </c>
      <c r="V5758">
        <v>-8.8459280000000001E-2</v>
      </c>
      <c r="W5758">
        <v>0.16639760000000001</v>
      </c>
      <c r="X5758">
        <v>0.98208289999999998</v>
      </c>
      <c r="Y5758">
        <v>-0.44275310000000001</v>
      </c>
      <c r="Z5758">
        <v>-4.5892170000000003E-2</v>
      </c>
      <c r="AA5758">
        <v>0.89546840000000005</v>
      </c>
      <c r="AB5758">
        <v>32</v>
      </c>
      <c r="AC5758">
        <v>26.1709999999999</v>
      </c>
      <c r="AD5758">
        <v>1.3148679999999999</v>
      </c>
      <c r="AE5758">
        <v>-32.015120000000003</v>
      </c>
      <c r="AF5758">
        <v>-18.428401211428699</v>
      </c>
      <c r="AG5758">
        <v>1.3148679999999999</v>
      </c>
      <c r="AH5758">
        <v>36.9706729700913</v>
      </c>
      <c r="AI5758">
        <v>88.176889041536199</v>
      </c>
      <c r="AJ5758">
        <v>116.494418760475</v>
      </c>
      <c r="AK5758">
        <v>41.329958975642</v>
      </c>
      <c r="AL5758">
        <v>80.421566615457195</v>
      </c>
      <c r="AM5758">
        <v>95.146920862658604</v>
      </c>
      <c r="AN5758">
        <v>1.00000001398814</v>
      </c>
    </row>
    <row r="5759" spans="1:40" x14ac:dyDescent="0.25">
      <c r="A5759" t="str">
        <f>"20190303170408612"</f>
        <v>20190303170408612</v>
      </c>
      <c r="B5759" t="str">
        <f>"1551603848601907"</f>
        <v>1551603848601907</v>
      </c>
      <c r="C5759" t="s">
        <v>40</v>
      </c>
      <c r="D5759">
        <v>4.8592420000000001</v>
      </c>
      <c r="E5759">
        <v>0.35046650000000001</v>
      </c>
      <c r="F5759" t="s">
        <v>95</v>
      </c>
      <c r="G5759">
        <v>-395.3811</v>
      </c>
      <c r="H5759">
        <v>2.4589669999999999</v>
      </c>
      <c r="I5759">
        <v>1.3417950000000001</v>
      </c>
      <c r="J5759">
        <v>-421.87920000000003</v>
      </c>
      <c r="K5759">
        <v>1.130965</v>
      </c>
      <c r="L5759">
        <v>33.176029999999997</v>
      </c>
      <c r="M5759">
        <v>0.2272246</v>
      </c>
      <c r="N5759">
        <v>-1.461352E-2</v>
      </c>
      <c r="O5759">
        <v>-0.97373279999999995</v>
      </c>
      <c r="P5759">
        <v>0.30635780000000001</v>
      </c>
      <c r="Q5759">
        <v>0.15454679999999901</v>
      </c>
      <c r="R5759">
        <v>-0.93928739999999999</v>
      </c>
      <c r="S5759">
        <v>2.079224</v>
      </c>
      <c r="T5759">
        <v>0.1040426</v>
      </c>
      <c r="U5759">
        <v>-2.5068359999999998</v>
      </c>
      <c r="V5759">
        <v>-8.8759530000000003E-2</v>
      </c>
      <c r="W5759">
        <v>0.16691420000000001</v>
      </c>
      <c r="X5759">
        <v>0.98196810000000001</v>
      </c>
      <c r="Y5759">
        <v>-0.44614340000000002</v>
      </c>
      <c r="Z5759">
        <v>-4.6242079999999998E-2</v>
      </c>
      <c r="AA5759">
        <v>0.89376599999999995</v>
      </c>
      <c r="AB5759">
        <v>32</v>
      </c>
      <c r="AC5759">
        <v>26.498100000000001</v>
      </c>
      <c r="AD5759">
        <v>1.3280019999999999</v>
      </c>
      <c r="AE5759">
        <v>-31.834235</v>
      </c>
      <c r="AF5759">
        <v>-18.551458773539199</v>
      </c>
      <c r="AG5759">
        <v>1.3280019999999999</v>
      </c>
      <c r="AH5759">
        <v>36.984989547310199</v>
      </c>
      <c r="AI5759">
        <v>88.161707646288406</v>
      </c>
      <c r="AJ5759">
        <v>116.638080446507</v>
      </c>
      <c r="AK5759">
        <v>41.398184305026902</v>
      </c>
      <c r="AL5759">
        <v>80.391547446280995</v>
      </c>
      <c r="AM5759">
        <v>95.164896806349702</v>
      </c>
      <c r="AN5759">
        <v>0.99999997687253495</v>
      </c>
    </row>
    <row r="5760" spans="1:40" x14ac:dyDescent="0.25">
      <c r="A5760" t="str">
        <f>"20190303170408625"</f>
        <v>20190303170408625</v>
      </c>
      <c r="B5760" t="str">
        <f>"1551603848611667"</f>
        <v>1551603848611667</v>
      </c>
      <c r="C5760" t="s">
        <v>40</v>
      </c>
      <c r="D5760">
        <v>4.8508699999999996</v>
      </c>
      <c r="E5760">
        <v>0.3508945</v>
      </c>
      <c r="F5760" t="s">
        <v>95</v>
      </c>
      <c r="G5760">
        <v>-395.17140000000001</v>
      </c>
      <c r="H5760">
        <v>2.4664869999999999</v>
      </c>
      <c r="I5760">
        <v>1.3504830000000001</v>
      </c>
      <c r="J5760">
        <v>-421.8372</v>
      </c>
      <c r="K5760">
        <v>1.1310800000000001</v>
      </c>
      <c r="L5760">
        <v>33.021059999999999</v>
      </c>
      <c r="M5760">
        <v>0.23315350000000001</v>
      </c>
      <c r="N5760">
        <v>-1.4639360000000001E-2</v>
      </c>
      <c r="O5760">
        <v>-0.97233000000000003</v>
      </c>
      <c r="P5760">
        <v>0.31223119999999999</v>
      </c>
      <c r="Q5760">
        <v>0.1545434</v>
      </c>
      <c r="R5760">
        <v>-0.93735179999999996</v>
      </c>
      <c r="S5760">
        <v>2.0929869999999999</v>
      </c>
      <c r="T5760">
        <v>0.1046578</v>
      </c>
      <c r="U5760">
        <v>-2.494049</v>
      </c>
      <c r="V5760">
        <v>-8.8971289999999995E-2</v>
      </c>
      <c r="W5760">
        <v>0.16690720000000001</v>
      </c>
      <c r="X5760">
        <v>0.9819502</v>
      </c>
      <c r="Y5760">
        <v>-0.44583519999999999</v>
      </c>
      <c r="Z5760">
        <v>-4.642777E-2</v>
      </c>
      <c r="AA5760">
        <v>0.89391019999999899</v>
      </c>
      <c r="AB5760">
        <v>32</v>
      </c>
      <c r="AC5760">
        <v>26.665799999999901</v>
      </c>
      <c r="AD5760">
        <v>1.335407</v>
      </c>
      <c r="AE5760">
        <v>-31.670577000000002</v>
      </c>
      <c r="AF5760">
        <v>-18.526559515668598</v>
      </c>
      <c r="AG5760">
        <v>1.335407</v>
      </c>
      <c r="AH5760">
        <v>36.976963967170697</v>
      </c>
      <c r="AI5760">
        <v>88.150645496745497</v>
      </c>
      <c r="AJ5760">
        <v>116.61223261934001</v>
      </c>
      <c r="AK5760">
        <v>41.380098883070602</v>
      </c>
      <c r="AL5760">
        <v>80.3919549280876</v>
      </c>
      <c r="AM5760">
        <v>95.177246051309595</v>
      </c>
      <c r="AN5760">
        <v>1.0000000495680701</v>
      </c>
    </row>
    <row r="5761" spans="1:40" x14ac:dyDescent="0.25">
      <c r="A5761" t="str">
        <f>"20190303170408637"</f>
        <v>20190303170408637</v>
      </c>
      <c r="B5761" t="str">
        <f>"1551603848631188"</f>
        <v>1551603848631188</v>
      </c>
      <c r="C5761" t="s">
        <v>40</v>
      </c>
      <c r="D5761">
        <v>4.8161170000000002</v>
      </c>
      <c r="E5761">
        <v>0.35186050000000002</v>
      </c>
      <c r="F5761" t="s">
        <v>95</v>
      </c>
      <c r="G5761">
        <v>-394.97390000000001</v>
      </c>
      <c r="H5761">
        <v>2.4605959999999998</v>
      </c>
      <c r="I5761">
        <v>1.35866</v>
      </c>
      <c r="J5761">
        <v>-421.79219999999998</v>
      </c>
      <c r="K5761">
        <v>1.1311929999999999</v>
      </c>
      <c r="L5761">
        <v>32.85736</v>
      </c>
      <c r="M5761">
        <v>0.23945640000000001</v>
      </c>
      <c r="N5761">
        <v>-1.466571E-2</v>
      </c>
      <c r="O5761">
        <v>-0.9707964</v>
      </c>
      <c r="P5761">
        <v>0.31875179999999997</v>
      </c>
      <c r="Q5761">
        <v>0.154583</v>
      </c>
      <c r="R5761">
        <v>-0.93514799999999998</v>
      </c>
      <c r="S5761">
        <v>2.1057130000000002</v>
      </c>
      <c r="T5761">
        <v>0.1042141</v>
      </c>
      <c r="U5761">
        <v>-2.481903</v>
      </c>
      <c r="V5761">
        <v>-8.9493400000000001E-2</v>
      </c>
      <c r="W5761">
        <v>0.166934</v>
      </c>
      <c r="X5761">
        <v>0.9818981</v>
      </c>
      <c r="Y5761">
        <v>-0.4448549</v>
      </c>
      <c r="Z5761">
        <v>-4.6274879999999997E-2</v>
      </c>
      <c r="AA5761">
        <v>0.89440640000000005</v>
      </c>
      <c r="AB5761">
        <v>32</v>
      </c>
      <c r="AC5761">
        <v>26.818299999999901</v>
      </c>
      <c r="AD5761">
        <v>1.3294029999999899</v>
      </c>
      <c r="AE5761">
        <v>-31.498699999999999</v>
      </c>
      <c r="AF5761">
        <v>-18.475452717742002</v>
      </c>
      <c r="AG5761">
        <v>1.3294029999999899</v>
      </c>
      <c r="AH5761">
        <v>36.9664416253556</v>
      </c>
      <c r="AI5761">
        <v>88.157517396356894</v>
      </c>
      <c r="AJ5761">
        <v>116.555418300437</v>
      </c>
      <c r="AK5761">
        <v>41.347641672805899</v>
      </c>
      <c r="AL5761">
        <v>80.390396623684794</v>
      </c>
      <c r="AM5761">
        <v>95.207735910090904</v>
      </c>
      <c r="AN5761">
        <v>0.99999995389158303</v>
      </c>
    </row>
    <row r="5762" spans="1:40" x14ac:dyDescent="0.25">
      <c r="A5762" t="str">
        <f>"20190303170408648"</f>
        <v>20190303170408648</v>
      </c>
      <c r="B5762" t="str">
        <f>"1551603848641922"</f>
        <v>1551603848641922</v>
      </c>
      <c r="C5762" t="s">
        <v>40</v>
      </c>
      <c r="D5762">
        <v>4.8147949999999904</v>
      </c>
      <c r="E5762">
        <v>0.35240949999999999</v>
      </c>
      <c r="F5762" t="s">
        <v>95</v>
      </c>
      <c r="G5762">
        <v>-394.80630000000002</v>
      </c>
      <c r="H5762">
        <v>2.4209260000000001</v>
      </c>
      <c r="I5762">
        <v>1.3656010000000001</v>
      </c>
      <c r="J5762">
        <v>-421.74599999999998</v>
      </c>
      <c r="K5762">
        <v>1.1313059999999999</v>
      </c>
      <c r="L5762">
        <v>32.695250000000001</v>
      </c>
      <c r="M5762">
        <v>0.2458244</v>
      </c>
      <c r="N5762">
        <v>-1.4693049999999999E-2</v>
      </c>
      <c r="O5762">
        <v>-0.96920320000000004</v>
      </c>
      <c r="P5762">
        <v>0.32503720000000003</v>
      </c>
      <c r="Q5762">
        <v>0.15456819999999999</v>
      </c>
      <c r="R5762">
        <v>-0.93298460000000005</v>
      </c>
      <c r="S5762">
        <v>2.1164860000000001</v>
      </c>
      <c r="T5762">
        <v>0.101151</v>
      </c>
      <c r="U5762">
        <v>-2.4698790000000002</v>
      </c>
      <c r="V5762">
        <v>-8.9703450000000004E-2</v>
      </c>
      <c r="W5762">
        <v>0.16691610000000001</v>
      </c>
      <c r="X5762">
        <v>0.98188200000000003</v>
      </c>
      <c r="Y5762">
        <v>-0.44340030000000002</v>
      </c>
      <c r="Z5762">
        <v>-4.5304440000000001E-2</v>
      </c>
      <c r="AA5762">
        <v>0.89517800000000003</v>
      </c>
      <c r="AB5762">
        <v>32</v>
      </c>
      <c r="AC5762">
        <v>26.939699999999899</v>
      </c>
      <c r="AD5762">
        <v>1.28961999999999</v>
      </c>
      <c r="AE5762">
        <v>-31.329649</v>
      </c>
      <c r="AF5762">
        <v>-18.3925186784342</v>
      </c>
      <c r="AG5762">
        <v>1.28961999999999</v>
      </c>
      <c r="AH5762">
        <v>36.955219031784999</v>
      </c>
      <c r="AI5762">
        <v>88.210581970450207</v>
      </c>
      <c r="AJ5762">
        <v>116.459413383677</v>
      </c>
      <c r="AK5762">
        <v>41.2993471712103</v>
      </c>
      <c r="AL5762">
        <v>80.391437042937696</v>
      </c>
      <c r="AM5762">
        <v>95.219976663818301</v>
      </c>
      <c r="AN5762">
        <v>0.99999997765255599</v>
      </c>
    </row>
    <row r="5763" spans="1:40" x14ac:dyDescent="0.25">
      <c r="A5763" t="str">
        <f>"20190303170408661"</f>
        <v>20190303170408661</v>
      </c>
      <c r="B5763" t="str">
        <f>"1551603848651682"</f>
        <v>1551603848651682</v>
      </c>
      <c r="C5763" t="s">
        <v>40</v>
      </c>
      <c r="D5763">
        <v>4.8351829999999998</v>
      </c>
      <c r="E5763">
        <v>0.35283009999999998</v>
      </c>
      <c r="F5763" t="s">
        <v>95</v>
      </c>
      <c r="G5763">
        <v>-394.60230000000001</v>
      </c>
      <c r="H5763">
        <v>2.3961420000000002</v>
      </c>
      <c r="I5763">
        <v>1.3740559999999999</v>
      </c>
      <c r="J5763">
        <v>-421.69819999999999</v>
      </c>
      <c r="K5763">
        <v>1.131418</v>
      </c>
      <c r="L5763">
        <v>32.53116</v>
      </c>
      <c r="M5763">
        <v>0.25233909999999998</v>
      </c>
      <c r="N5763">
        <v>-1.472102E-2</v>
      </c>
      <c r="O5763">
        <v>-0.96752700000000003</v>
      </c>
      <c r="P5763">
        <v>0.33171889999999998</v>
      </c>
      <c r="Q5763">
        <v>0.1538216</v>
      </c>
      <c r="R5763">
        <v>-0.93075330000000001</v>
      </c>
      <c r="S5763">
        <v>2.1294559999999998</v>
      </c>
      <c r="T5763">
        <v>9.9225759999999996E-2</v>
      </c>
      <c r="U5763">
        <v>-2.4571839999999998</v>
      </c>
      <c r="V5763">
        <v>-9.0139250000000004E-2</v>
      </c>
      <c r="W5763">
        <v>0.16616239999999999</v>
      </c>
      <c r="X5763">
        <v>0.98197000000000001</v>
      </c>
      <c r="Y5763">
        <v>-0.44237369999999998</v>
      </c>
      <c r="Z5763">
        <v>-4.4680230000000001E-2</v>
      </c>
      <c r="AA5763">
        <v>0.89571710000000004</v>
      </c>
      <c r="AB5763">
        <v>32</v>
      </c>
      <c r="AC5763">
        <v>27.095899999999901</v>
      </c>
      <c r="AD5763">
        <v>1.26472399999999</v>
      </c>
      <c r="AE5763">
        <v>-31.157103999999901</v>
      </c>
      <c r="AF5763">
        <v>-18.338641560402099</v>
      </c>
      <c r="AG5763">
        <v>1.26472399999999</v>
      </c>
      <c r="AH5763">
        <v>36.952030997469798</v>
      </c>
      <c r="AI5763">
        <v>88.243963931125705</v>
      </c>
      <c r="AJ5763">
        <v>116.394394348901</v>
      </c>
      <c r="AK5763">
        <v>41.271756637136903</v>
      </c>
      <c r="AL5763">
        <v>80.4352332244042</v>
      </c>
      <c r="AM5763">
        <v>95.244727968840706</v>
      </c>
      <c r="AN5763">
        <v>1.0000000542321501</v>
      </c>
    </row>
    <row r="5764" spans="1:40" x14ac:dyDescent="0.25">
      <c r="A5764" t="str">
        <f>"20190303170408674"</f>
        <v>20190303170408674</v>
      </c>
      <c r="B5764" t="str">
        <f>"1551603848661443"</f>
        <v>1551603848661443</v>
      </c>
      <c r="C5764" t="s">
        <v>40</v>
      </c>
      <c r="D5764">
        <v>4.6697389999999999</v>
      </c>
      <c r="E5764">
        <v>0.35294999999999999</v>
      </c>
      <c r="F5764" t="s">
        <v>95</v>
      </c>
      <c r="G5764">
        <v>-393.80599999999998</v>
      </c>
      <c r="H5764">
        <v>2.3730690000000001</v>
      </c>
      <c r="I5764">
        <v>0.7437859</v>
      </c>
      <c r="J5764">
        <v>-421.6463</v>
      </c>
      <c r="K5764">
        <v>1.1315390000000001</v>
      </c>
      <c r="L5764">
        <v>32.3566</v>
      </c>
      <c r="M5764">
        <v>0.25933270000000003</v>
      </c>
      <c r="N5764">
        <v>-1.4750910000000001E-2</v>
      </c>
      <c r="O5764">
        <v>-0.96567539999999996</v>
      </c>
      <c r="P5764">
        <v>0.33839259999999999</v>
      </c>
      <c r="Q5764">
        <v>0.15352199999999999</v>
      </c>
      <c r="R5764">
        <v>-0.92839740000000004</v>
      </c>
      <c r="S5764">
        <v>2.1439210000000002</v>
      </c>
      <c r="T5764">
        <v>9.5437289999999994E-2</v>
      </c>
      <c r="U5764">
        <v>-2.4433289999999999</v>
      </c>
      <c r="V5764">
        <v>-9.0114769999999997E-2</v>
      </c>
      <c r="W5764">
        <v>0.1658676</v>
      </c>
      <c r="X5764">
        <v>0.98202199999999995</v>
      </c>
      <c r="Y5764">
        <v>-0.44143120000000002</v>
      </c>
      <c r="Z5764">
        <v>-4.3462239999999999E-2</v>
      </c>
      <c r="AA5764">
        <v>0.89624190000000004</v>
      </c>
      <c r="AB5764">
        <v>32</v>
      </c>
      <c r="AC5764">
        <v>27.840299999999999</v>
      </c>
      <c r="AD5764">
        <v>1.24152999999999</v>
      </c>
      <c r="AE5764">
        <v>-31.612814100000001</v>
      </c>
      <c r="AF5764">
        <v>-18.672269700981701</v>
      </c>
      <c r="AG5764">
        <v>1.24152999999999</v>
      </c>
      <c r="AH5764">
        <v>37.718959189610203</v>
      </c>
      <c r="AI5764">
        <v>88.310341833512396</v>
      </c>
      <c r="AJ5764">
        <v>116.337099657184</v>
      </c>
      <c r="AK5764">
        <v>42.105996424198104</v>
      </c>
      <c r="AL5764">
        <v>80.452360900397906</v>
      </c>
      <c r="AM5764">
        <v>95.243035450458805</v>
      </c>
      <c r="AN5764">
        <v>0.99999997049295597</v>
      </c>
    </row>
    <row r="5765" spans="1:40" x14ac:dyDescent="0.25">
      <c r="A5765" t="str">
        <f>"20190303170408686"</f>
        <v>20190303170408686</v>
      </c>
      <c r="B5765" t="str">
        <f>"1551603848680962"</f>
        <v>1551603848680962</v>
      </c>
      <c r="C5765" t="s">
        <v>40</v>
      </c>
      <c r="D5765">
        <v>4.6707380000000001</v>
      </c>
      <c r="E5765">
        <v>0.3532978</v>
      </c>
      <c r="F5765" t="s">
        <v>95</v>
      </c>
      <c r="G5765">
        <v>-393.51929999999999</v>
      </c>
      <c r="H5765">
        <v>2.3758849999999998</v>
      </c>
      <c r="I5765">
        <v>0.74670219999999998</v>
      </c>
      <c r="J5765">
        <v>-421.59449999999998</v>
      </c>
      <c r="K5765">
        <v>1.131651</v>
      </c>
      <c r="L5765">
        <v>32.189480000000003</v>
      </c>
      <c r="M5765">
        <v>0.2661597</v>
      </c>
      <c r="N5765">
        <v>-1.478028E-2</v>
      </c>
      <c r="O5765">
        <v>-0.96381570000000005</v>
      </c>
      <c r="P5765">
        <v>0.34486790000000001</v>
      </c>
      <c r="Q5765">
        <v>0.1528842</v>
      </c>
      <c r="R5765">
        <v>-0.92611710000000003</v>
      </c>
      <c r="S5765">
        <v>2.1605530000000002</v>
      </c>
      <c r="T5765">
        <v>9.5581890000000003E-2</v>
      </c>
      <c r="U5765">
        <v>-2.4281009999999998</v>
      </c>
      <c r="V5765">
        <v>-9.0027490000000002E-2</v>
      </c>
      <c r="W5765">
        <v>0.16523789999999999</v>
      </c>
      <c r="X5765">
        <v>0.98213620000000001</v>
      </c>
      <c r="Y5765">
        <v>-0.4412991</v>
      </c>
      <c r="Z5765">
        <v>-4.3478900000000001E-2</v>
      </c>
      <c r="AA5765">
        <v>0.89630619999999905</v>
      </c>
      <c r="AB5765">
        <v>32</v>
      </c>
      <c r="AC5765">
        <v>28.075199999999899</v>
      </c>
      <c r="AD5765">
        <v>1.2442339999999901</v>
      </c>
      <c r="AE5765">
        <v>-31.442777799999899</v>
      </c>
      <c r="AF5765">
        <v>-18.6762867644198</v>
      </c>
      <c r="AG5765">
        <v>1.2442339999999901</v>
      </c>
      <c r="AH5765">
        <v>37.748764864328002</v>
      </c>
      <c r="AI5765">
        <v>88.307808985800506</v>
      </c>
      <c r="AJ5765">
        <v>116.324007983474</v>
      </c>
      <c r="AK5765">
        <v>42.134558907575197</v>
      </c>
      <c r="AL5765">
        <v>80.488945296339494</v>
      </c>
      <c r="AM5765">
        <v>95.237379936389104</v>
      </c>
      <c r="AN5765">
        <v>1.0000000139512699</v>
      </c>
    </row>
    <row r="5766" spans="1:40" x14ac:dyDescent="0.25">
      <c r="A5766" t="str">
        <f>"20190303170408699"</f>
        <v>20190303170408699</v>
      </c>
      <c r="B5766" t="str">
        <f>"1551603848691699"</f>
        <v>1551603848691699</v>
      </c>
      <c r="C5766" t="s">
        <v>40</v>
      </c>
      <c r="D5766">
        <v>4.6992320000000003</v>
      </c>
      <c r="E5766">
        <v>0.35352099999999997</v>
      </c>
      <c r="F5766" t="s">
        <v>95</v>
      </c>
      <c r="G5766">
        <v>-393.27620000000002</v>
      </c>
      <c r="H5766">
        <v>2.3681100000000002</v>
      </c>
      <c r="I5766">
        <v>0.74917599999999995</v>
      </c>
      <c r="J5766">
        <v>-421.54199999999997</v>
      </c>
      <c r="K5766">
        <v>1.1317619999999999</v>
      </c>
      <c r="L5766">
        <v>32.022770000000001</v>
      </c>
      <c r="M5766">
        <v>0.27301819999999999</v>
      </c>
      <c r="N5766">
        <v>-1.4808719999999999E-2</v>
      </c>
      <c r="O5766">
        <v>-0.96189480000000005</v>
      </c>
      <c r="P5766">
        <v>0.35151019999999999</v>
      </c>
      <c r="Q5766">
        <v>0.152190299999999</v>
      </c>
      <c r="R5766">
        <v>-0.92373079999999996</v>
      </c>
      <c r="S5766">
        <v>2.1742859999999999</v>
      </c>
      <c r="T5766">
        <v>9.4933870000000004E-2</v>
      </c>
      <c r="U5766">
        <v>-2.4140009999999998</v>
      </c>
      <c r="V5766">
        <v>-9.0083910000000003E-2</v>
      </c>
      <c r="W5766">
        <v>0.16454750000000001</v>
      </c>
      <c r="X5766">
        <v>0.98224690000000003</v>
      </c>
      <c r="Y5766">
        <v>-0.4403301</v>
      </c>
      <c r="Z5766">
        <v>-4.3248979999999999E-2</v>
      </c>
      <c r="AA5766">
        <v>0.89679370000000003</v>
      </c>
      <c r="AB5766">
        <v>31</v>
      </c>
      <c r="AC5766">
        <v>28.265799999999899</v>
      </c>
      <c r="AD5766">
        <v>1.23634799999999</v>
      </c>
      <c r="AE5766">
        <v>-31.273593999999999</v>
      </c>
      <c r="AF5766">
        <v>-18.636481549617201</v>
      </c>
      <c r="AG5766">
        <v>1.23634799999999</v>
      </c>
      <c r="AH5766">
        <v>37.770643548302097</v>
      </c>
      <c r="AI5766">
        <v>88.318607091458503</v>
      </c>
      <c r="AJ5766">
        <v>116.26227564673501</v>
      </c>
      <c r="AK5766">
        <v>42.136308748859598</v>
      </c>
      <c r="AL5766">
        <v>80.529050983880794</v>
      </c>
      <c r="AM5766">
        <v>95.240056582329601</v>
      </c>
      <c r="AN5766">
        <v>0.999999981578373</v>
      </c>
    </row>
    <row r="5767" spans="1:40" x14ac:dyDescent="0.25">
      <c r="A5767" t="str">
        <f>"20190303170408712"</f>
        <v>20190303170408712</v>
      </c>
      <c r="B5767" t="str">
        <f>"1551603848701459"</f>
        <v>1551603848701459</v>
      </c>
      <c r="C5767" t="s">
        <v>40</v>
      </c>
      <c r="D5767">
        <v>4.6910730000000003</v>
      </c>
      <c r="E5767">
        <v>0.35378209999999999</v>
      </c>
      <c r="F5767" t="s">
        <v>95</v>
      </c>
      <c r="G5767">
        <v>-392.99799999999999</v>
      </c>
      <c r="H5767">
        <v>2.3481510000000001</v>
      </c>
      <c r="I5767">
        <v>0.75200459999999902</v>
      </c>
      <c r="J5767">
        <v>-421.48669999999998</v>
      </c>
      <c r="K5767">
        <v>1.1318760000000001</v>
      </c>
      <c r="L5767">
        <v>31.851780000000002</v>
      </c>
      <c r="M5767">
        <v>0.28013440000000001</v>
      </c>
      <c r="N5767">
        <v>-1.483758E-2</v>
      </c>
      <c r="O5767">
        <v>-0.95984619999999998</v>
      </c>
      <c r="P5767">
        <v>0.35831400000000002</v>
      </c>
      <c r="Q5767">
        <v>0.1514691</v>
      </c>
      <c r="R5767">
        <v>-0.92123180000000005</v>
      </c>
      <c r="S5767">
        <v>2.189819</v>
      </c>
      <c r="T5767">
        <v>9.3316560000000007E-2</v>
      </c>
      <c r="U5767">
        <v>-2.3990170000000002</v>
      </c>
      <c r="V5767">
        <v>-9.0049799999999999E-2</v>
      </c>
      <c r="W5767">
        <v>0.16383300000000001</v>
      </c>
      <c r="X5767">
        <v>0.98236950000000001</v>
      </c>
      <c r="Y5767">
        <v>-0.43965179999999998</v>
      </c>
      <c r="Z5767">
        <v>-4.2703520000000002E-2</v>
      </c>
      <c r="AA5767">
        <v>0.89715249999999902</v>
      </c>
      <c r="AB5767">
        <v>31</v>
      </c>
      <c r="AC5767">
        <v>28.488699999999898</v>
      </c>
      <c r="AD5767">
        <v>1.21627499999999</v>
      </c>
      <c r="AE5767">
        <v>-31.099775399999899</v>
      </c>
      <c r="AF5767">
        <v>-18.619218848303198</v>
      </c>
      <c r="AG5767">
        <v>1.21627499999999</v>
      </c>
      <c r="AH5767">
        <v>37.804388423328597</v>
      </c>
      <c r="AI5767">
        <v>88.346778369949007</v>
      </c>
      <c r="AJ5767">
        <v>116.220926292523</v>
      </c>
      <c r="AK5767">
        <v>42.158349344566801</v>
      </c>
      <c r="AL5767">
        <v>80.570552470781607</v>
      </c>
      <c r="AM5767">
        <v>95.237433411239195</v>
      </c>
      <c r="AN5767">
        <v>1.00000002644964</v>
      </c>
    </row>
    <row r="5768" spans="1:40" x14ac:dyDescent="0.25">
      <c r="A5768" t="str">
        <f>"20190303170408724"</f>
        <v>20190303170408724</v>
      </c>
      <c r="B5768" t="str">
        <f>"1551603848711219"</f>
        <v>1551603848711219</v>
      </c>
      <c r="C5768" t="s">
        <v>40</v>
      </c>
      <c r="D5768">
        <v>4.7650800000000002</v>
      </c>
      <c r="E5768">
        <v>0.35408040000000002</v>
      </c>
      <c r="F5768" t="s">
        <v>95</v>
      </c>
      <c r="G5768">
        <v>-392.71859999999998</v>
      </c>
      <c r="H5768">
        <v>2.3210310000000001</v>
      </c>
      <c r="I5768">
        <v>0.75484659999999904</v>
      </c>
      <c r="J5768">
        <v>-421.43520000000001</v>
      </c>
      <c r="K5768">
        <v>1.1319729999999999</v>
      </c>
      <c r="L5768">
        <v>31.69745</v>
      </c>
      <c r="M5768">
        <v>0.286647599999999</v>
      </c>
      <c r="N5768">
        <v>-1.4863950000000001E-2</v>
      </c>
      <c r="O5768">
        <v>-0.95792100000000002</v>
      </c>
      <c r="P5768">
        <v>0.36514469999999999</v>
      </c>
      <c r="Q5768">
        <v>0.15100250000000001</v>
      </c>
      <c r="R5768">
        <v>-0.91862270000000001</v>
      </c>
      <c r="S5768">
        <v>2.2052610000000001</v>
      </c>
      <c r="T5768">
        <v>9.1154810000000003E-2</v>
      </c>
      <c r="U5768">
        <v>-2.3837890000000002</v>
      </c>
      <c r="V5768">
        <v>-9.0679140000000005E-2</v>
      </c>
      <c r="W5768">
        <v>0.163356</v>
      </c>
      <c r="X5768">
        <v>0.98239100000000001</v>
      </c>
      <c r="Y5768">
        <v>-0.43955820000000001</v>
      </c>
      <c r="Z5768">
        <v>-4.199E-2</v>
      </c>
      <c r="AA5768">
        <v>0.89723209999999998</v>
      </c>
      <c r="AB5768">
        <v>31</v>
      </c>
      <c r="AC5768">
        <v>28.7166</v>
      </c>
      <c r="AD5768">
        <v>1.1890579999999999</v>
      </c>
      <c r="AE5768">
        <v>-30.942603399999999</v>
      </c>
      <c r="AF5768">
        <v>-18.625889274503798</v>
      </c>
      <c r="AG5768">
        <v>1.1890579999999999</v>
      </c>
      <c r="AH5768">
        <v>37.846264190825302</v>
      </c>
      <c r="AI5768">
        <v>88.385304830705707</v>
      </c>
      <c r="AJ5768">
        <v>116.203922692775</v>
      </c>
      <c r="AK5768">
        <v>42.198072508056399</v>
      </c>
      <c r="AL5768">
        <v>80.598255373428699</v>
      </c>
      <c r="AM5768">
        <v>95.273716328321896</v>
      </c>
      <c r="AN5768">
        <v>0.99999998302406901</v>
      </c>
    </row>
    <row r="5769" spans="1:40" x14ac:dyDescent="0.25">
      <c r="A5769" t="str">
        <f>"20190303170408737"</f>
        <v>20190303170408737</v>
      </c>
      <c r="B5769" t="str">
        <f>"1551603848721955"</f>
        <v>1551603848721955</v>
      </c>
      <c r="C5769" t="s">
        <v>40</v>
      </c>
      <c r="D5769">
        <v>4.7501449999999998</v>
      </c>
      <c r="E5769">
        <v>0.35441479999999997</v>
      </c>
      <c r="F5769" t="s">
        <v>95</v>
      </c>
      <c r="G5769">
        <v>-392.4282</v>
      </c>
      <c r="H5769">
        <v>2.2997559999999999</v>
      </c>
      <c r="I5769">
        <v>0.75779909999999995</v>
      </c>
      <c r="J5769">
        <v>-421.38049999999998</v>
      </c>
      <c r="K5769">
        <v>1.132072</v>
      </c>
      <c r="L5769">
        <v>31.536159999999999</v>
      </c>
      <c r="M5769">
        <v>0.2934869</v>
      </c>
      <c r="N5769">
        <v>-1.489061E-2</v>
      </c>
      <c r="O5769">
        <v>-0.95584729999999996</v>
      </c>
      <c r="P5769">
        <v>0.37249759999999998</v>
      </c>
      <c r="Q5769">
        <v>0.15015120000000001</v>
      </c>
      <c r="R5769">
        <v>-0.91580609999999996</v>
      </c>
      <c r="S5769">
        <v>2.2204899999999999</v>
      </c>
      <c r="T5769">
        <v>8.9392189999999996E-2</v>
      </c>
      <c r="U5769">
        <v>-2.368439</v>
      </c>
      <c r="V5769">
        <v>-9.151405E-2</v>
      </c>
      <c r="W5769">
        <v>0.16248750000000001</v>
      </c>
      <c r="X5769">
        <v>0.98245760000000004</v>
      </c>
      <c r="Y5769">
        <v>-0.43912519999999999</v>
      </c>
      <c r="Z5769">
        <v>-4.1397139999999999E-2</v>
      </c>
      <c r="AA5769">
        <v>0.89747169999999898</v>
      </c>
      <c r="AB5769">
        <v>31</v>
      </c>
      <c r="AC5769">
        <v>28.952299999999902</v>
      </c>
      <c r="AD5769">
        <v>1.1676839999999999</v>
      </c>
      <c r="AE5769">
        <v>-30.778360899999999</v>
      </c>
      <c r="AF5769">
        <v>-18.6287703504902</v>
      </c>
      <c r="AG5769">
        <v>1.1676839999999999</v>
      </c>
      <c r="AH5769">
        <v>37.891796457298497</v>
      </c>
      <c r="AI5769">
        <v>88.415896267808293</v>
      </c>
      <c r="AJ5769">
        <v>116.180147865241</v>
      </c>
      <c r="AK5769">
        <v>42.239588178112001</v>
      </c>
      <c r="AL5769">
        <v>80.648690526051894</v>
      </c>
      <c r="AM5769">
        <v>95.321636759520104</v>
      </c>
      <c r="AN5769">
        <v>0.99999997240070504</v>
      </c>
    </row>
    <row r="5770" spans="1:40" x14ac:dyDescent="0.25">
      <c r="A5770" t="str">
        <f>"20190303170408749"</f>
        <v>20190303170408749</v>
      </c>
      <c r="B5770" t="str">
        <f>"1551603848741475"</f>
        <v>1551603848741475</v>
      </c>
      <c r="C5770" t="s">
        <v>40</v>
      </c>
      <c r="D5770">
        <v>4.7080919999999997</v>
      </c>
      <c r="E5770">
        <v>0.35502309999999998</v>
      </c>
      <c r="F5770" t="s">
        <v>95</v>
      </c>
      <c r="G5770">
        <v>-392.10770000000002</v>
      </c>
      <c r="H5770">
        <v>2.2599840000000002</v>
      </c>
      <c r="I5770">
        <v>0.76105880000000004</v>
      </c>
      <c r="J5770">
        <v>-421.32159999999999</v>
      </c>
      <c r="K5770">
        <v>1.1321650000000001</v>
      </c>
      <c r="L5770">
        <v>31.367979999999999</v>
      </c>
      <c r="M5770">
        <v>0.30072389999999999</v>
      </c>
      <c r="N5770">
        <v>-1.491842E-2</v>
      </c>
      <c r="O5770">
        <v>-0.95359459999999996</v>
      </c>
      <c r="P5770">
        <v>0.38035540000000001</v>
      </c>
      <c r="Q5770">
        <v>0.14976709999999999</v>
      </c>
      <c r="R5770">
        <v>-0.91263369999999999</v>
      </c>
      <c r="S5770">
        <v>2.2370000000000001</v>
      </c>
      <c r="T5770">
        <v>8.6192130000000006E-2</v>
      </c>
      <c r="U5770">
        <v>-2.351807</v>
      </c>
      <c r="V5770">
        <v>-9.2525109999999994E-2</v>
      </c>
      <c r="W5770">
        <v>0.16208239999999999</v>
      </c>
      <c r="X5770">
        <v>0.98242989999999997</v>
      </c>
      <c r="Y5770">
        <v>-0.43881920000000002</v>
      </c>
      <c r="Z5770">
        <v>-4.0345909999999999E-2</v>
      </c>
      <c r="AA5770">
        <v>0.897669099999999</v>
      </c>
      <c r="AB5770">
        <v>31</v>
      </c>
      <c r="AC5770">
        <v>29.213899999999899</v>
      </c>
      <c r="AD5770">
        <v>1.1278189999999999</v>
      </c>
      <c r="AE5770">
        <v>-30.606921199999999</v>
      </c>
      <c r="AF5770">
        <v>-18.642814083807099</v>
      </c>
      <c r="AG5770">
        <v>1.1278189999999999</v>
      </c>
      <c r="AH5770">
        <v>37.9491741527331</v>
      </c>
      <c r="AI5770">
        <v>88.472038413262595</v>
      </c>
      <c r="AJ5770">
        <v>116.162921996013</v>
      </c>
      <c r="AK5770">
        <v>42.296173722154002</v>
      </c>
      <c r="AL5770">
        <v>80.672213632371395</v>
      </c>
      <c r="AM5770">
        <v>95.380238623046196</v>
      </c>
      <c r="AN5770">
        <v>1.0000000543921299</v>
      </c>
    </row>
    <row r="5771" spans="1:40" x14ac:dyDescent="0.25">
      <c r="A5771" t="str">
        <f>"20190303170408763"</f>
        <v>20190303170408763</v>
      </c>
      <c r="B5771" t="str">
        <f>"1551603848751234"</f>
        <v>1551603848751234</v>
      </c>
      <c r="C5771" t="s">
        <v>40</v>
      </c>
      <c r="D5771">
        <v>4.7200329999999999</v>
      </c>
      <c r="E5771">
        <v>0.35534860000000001</v>
      </c>
      <c r="F5771" t="s">
        <v>95</v>
      </c>
      <c r="G5771">
        <v>-391.78969999999998</v>
      </c>
      <c r="H5771">
        <v>2.2474959999999999</v>
      </c>
      <c r="I5771">
        <v>0.76429559999999996</v>
      </c>
      <c r="J5771">
        <v>-421.25869999999998</v>
      </c>
      <c r="K5771">
        <v>1.1322639999999999</v>
      </c>
      <c r="L5771">
        <v>31.19266</v>
      </c>
      <c r="M5771">
        <v>0.30833650000000001</v>
      </c>
      <c r="N5771">
        <v>-1.494705E-2</v>
      </c>
      <c r="O5771">
        <v>-0.95116009999999995</v>
      </c>
      <c r="P5771">
        <v>0.38853280000000001</v>
      </c>
      <c r="Q5771">
        <v>0.14922189999999999</v>
      </c>
      <c r="R5771">
        <v>-0.90927199999999997</v>
      </c>
      <c r="S5771">
        <v>2.2526549999999999</v>
      </c>
      <c r="T5771">
        <v>8.5074070000000002E-2</v>
      </c>
      <c r="U5771">
        <v>-2.3344119999999999</v>
      </c>
      <c r="V5771">
        <v>-9.3493259999999995E-2</v>
      </c>
      <c r="W5771">
        <v>0.161517299999999</v>
      </c>
      <c r="X5771">
        <v>0.98243119999999995</v>
      </c>
      <c r="Y5771">
        <v>-0.43810399999999999</v>
      </c>
      <c r="Z5771">
        <v>-3.9951739999999999E-2</v>
      </c>
      <c r="AA5771">
        <v>0.898036099999999</v>
      </c>
      <c r="AB5771">
        <v>31</v>
      </c>
      <c r="AC5771">
        <v>29.468999999999902</v>
      </c>
      <c r="AD5771">
        <v>1.115232</v>
      </c>
      <c r="AE5771">
        <v>-30.4283644</v>
      </c>
      <c r="AF5771">
        <v>-18.636723547371499</v>
      </c>
      <c r="AG5771">
        <v>1.115232</v>
      </c>
      <c r="AH5771">
        <v>38.0065120157103</v>
      </c>
      <c r="AI5771">
        <v>88.490823905057496</v>
      </c>
      <c r="AJ5771">
        <v>116.12130264780799</v>
      </c>
      <c r="AK5771">
        <v>42.344611966521903</v>
      </c>
      <c r="AL5771">
        <v>80.705022773025803</v>
      </c>
      <c r="AM5771">
        <v>95.436192860969697</v>
      </c>
      <c r="AN5771">
        <v>0.99999994529907699</v>
      </c>
    </row>
    <row r="5772" spans="1:40" x14ac:dyDescent="0.25">
      <c r="A5772" t="str">
        <f>"20190303170408778"</f>
        <v>20190303170408778</v>
      </c>
      <c r="B5772" t="str">
        <f>"1551603848771732"</f>
        <v>1551603848771732</v>
      </c>
      <c r="C5772" t="s">
        <v>40</v>
      </c>
      <c r="D5772">
        <v>4.7376719999999999</v>
      </c>
      <c r="E5772">
        <v>0.35608649999999997</v>
      </c>
      <c r="F5772" t="s">
        <v>95</v>
      </c>
      <c r="G5772">
        <v>-391.41129999999998</v>
      </c>
      <c r="H5772">
        <v>2.2315849999999999</v>
      </c>
      <c r="I5772">
        <v>0.76814079999999996</v>
      </c>
      <c r="J5772">
        <v>-421.18619999999999</v>
      </c>
      <c r="K5772">
        <v>1.132366</v>
      </c>
      <c r="L5772">
        <v>30.995239999999999</v>
      </c>
      <c r="M5772">
        <v>0.31698680000000001</v>
      </c>
      <c r="N5772">
        <v>-1.4978760000000001E-2</v>
      </c>
      <c r="O5772">
        <v>-0.94831169999999998</v>
      </c>
      <c r="P5772">
        <v>0.3972889</v>
      </c>
      <c r="Q5772">
        <v>0.14932479999999901</v>
      </c>
      <c r="R5772">
        <v>-0.90546329999999997</v>
      </c>
      <c r="S5772">
        <v>2.27121</v>
      </c>
      <c r="T5772">
        <v>8.3649870000000001E-2</v>
      </c>
      <c r="U5772">
        <v>-2.3151250000000001</v>
      </c>
      <c r="V5772">
        <v>-9.4080650000000002E-2</v>
      </c>
      <c r="W5772">
        <v>0.16161</v>
      </c>
      <c r="X5772">
        <v>0.98235989999999995</v>
      </c>
      <c r="Y5772">
        <v>-0.43733610000000001</v>
      </c>
      <c r="Z5772">
        <v>-3.9442539999999998E-2</v>
      </c>
      <c r="AA5772">
        <v>0.89843269999999997</v>
      </c>
      <c r="AB5772">
        <v>31</v>
      </c>
      <c r="AC5772">
        <v>29.774899999999999</v>
      </c>
      <c r="AD5772">
        <v>1.0992189999999999</v>
      </c>
      <c r="AE5772">
        <v>-30.227099199999898</v>
      </c>
      <c r="AF5772">
        <v>-18.643873418297002</v>
      </c>
      <c r="AG5772">
        <v>1.0992189999999999</v>
      </c>
      <c r="AH5772">
        <v>38.081675986850001</v>
      </c>
      <c r="AI5772">
        <v>88.514960754528801</v>
      </c>
      <c r="AJ5772">
        <v>116.085259409316</v>
      </c>
      <c r="AK5772">
        <v>42.414812794763897</v>
      </c>
      <c r="AL5772">
        <v>80.699640949782093</v>
      </c>
      <c r="AM5772">
        <v>95.470534918542299</v>
      </c>
      <c r="AN5772">
        <v>0.99999996696621496</v>
      </c>
    </row>
    <row r="5773" spans="1:40" x14ac:dyDescent="0.25">
      <c r="A5773" t="str">
        <f>"20190303170408792"</f>
        <v>20190303170408792</v>
      </c>
      <c r="B5773" t="str">
        <f>"1551603848781490"</f>
        <v>1551603848781490</v>
      </c>
      <c r="C5773" t="s">
        <v>40</v>
      </c>
      <c r="D5773">
        <v>4.7453890000000003</v>
      </c>
      <c r="E5773">
        <v>0.35608649999999997</v>
      </c>
      <c r="F5773" t="s">
        <v>95</v>
      </c>
      <c r="G5773">
        <v>-391.06189999999998</v>
      </c>
      <c r="H5773">
        <v>2.2309899999999998</v>
      </c>
      <c r="I5773">
        <v>0.771696099999999</v>
      </c>
      <c r="J5773">
        <v>-421.1207</v>
      </c>
      <c r="K5773">
        <v>1.1324620000000001</v>
      </c>
      <c r="L5773">
        <v>30.821870000000001</v>
      </c>
      <c r="M5773">
        <v>0.32467200000000002</v>
      </c>
      <c r="N5773">
        <v>-1.500641E-2</v>
      </c>
      <c r="O5773">
        <v>-0.94570759999999998</v>
      </c>
      <c r="P5773">
        <v>0.40379140000000002</v>
      </c>
      <c r="Q5773">
        <v>0.15155750000000001</v>
      </c>
      <c r="R5773">
        <v>-0.90220999999999996</v>
      </c>
      <c r="S5773">
        <v>2.2880250000000002</v>
      </c>
      <c r="T5773">
        <v>8.3441500000000002E-2</v>
      </c>
      <c r="U5773">
        <v>-2.295563</v>
      </c>
      <c r="V5773">
        <v>-9.3391520000000006E-2</v>
      </c>
      <c r="W5773">
        <v>0.16386410000000001</v>
      </c>
      <c r="X5773">
        <v>0.98205229999999999</v>
      </c>
      <c r="Y5773">
        <v>-0.43716680000000002</v>
      </c>
      <c r="Z5773">
        <v>-3.933068E-2</v>
      </c>
      <c r="AA5773">
        <v>0.89852009999999904</v>
      </c>
      <c r="AB5773">
        <v>31</v>
      </c>
      <c r="AC5773">
        <v>30.058800000000002</v>
      </c>
      <c r="AD5773">
        <v>1.0985279999999999</v>
      </c>
      <c r="AE5773">
        <v>-30.050173900000001</v>
      </c>
      <c r="AF5773">
        <v>-18.6600236316139</v>
      </c>
      <c r="AG5773">
        <v>1.0985279999999999</v>
      </c>
      <c r="AH5773">
        <v>38.156740106839798</v>
      </c>
      <c r="AI5773">
        <v>88.518496612236206</v>
      </c>
      <c r="AJ5773">
        <v>116.06030273044399</v>
      </c>
      <c r="AK5773">
        <v>42.489293490008698</v>
      </c>
      <c r="AL5773">
        <v>80.568746571454696</v>
      </c>
      <c r="AM5773">
        <v>95.432395157462906</v>
      </c>
      <c r="AN5773">
        <v>1.0000000696060001</v>
      </c>
    </row>
    <row r="5774" spans="1:40" x14ac:dyDescent="0.25">
      <c r="A5774" t="str">
        <f>"20190303170408806"</f>
        <v>20190303170408806</v>
      </c>
      <c r="B5774" t="str">
        <f>"1551603848791251"</f>
        <v>1551603848791251</v>
      </c>
      <c r="C5774" t="s">
        <v>40</v>
      </c>
      <c r="D5774">
        <v>4.7457750000000001</v>
      </c>
      <c r="E5774">
        <v>0.37435590000000002</v>
      </c>
      <c r="F5774" t="s">
        <v>95</v>
      </c>
      <c r="G5774">
        <v>-390.7294</v>
      </c>
      <c r="H5774">
        <v>2.3201809999999998</v>
      </c>
      <c r="I5774">
        <v>0.77507780000000004</v>
      </c>
      <c r="J5774">
        <v>-421.04770000000002</v>
      </c>
      <c r="K5774">
        <v>1.132571</v>
      </c>
      <c r="L5774">
        <v>30.634550000000001</v>
      </c>
      <c r="M5774">
        <v>0.33307530000000002</v>
      </c>
      <c r="N5774">
        <v>-1.503676E-2</v>
      </c>
      <c r="O5774">
        <v>-0.94278050000000002</v>
      </c>
      <c r="P5774">
        <v>0.41155999999999998</v>
      </c>
      <c r="Q5774">
        <v>0.1521516</v>
      </c>
      <c r="R5774">
        <v>-0.89859259999999996</v>
      </c>
      <c r="S5774">
        <v>2.3046570000000002</v>
      </c>
      <c r="T5774">
        <v>9.0066190000000004E-2</v>
      </c>
      <c r="U5774">
        <v>-2.2785340000000001</v>
      </c>
      <c r="V5774">
        <v>-9.3215270000000003E-2</v>
      </c>
      <c r="W5774">
        <v>0.16446939999999999</v>
      </c>
      <c r="X5774">
        <v>0.98196779999999995</v>
      </c>
      <c r="Y5774">
        <v>-0.43570730000000002</v>
      </c>
      <c r="Z5774">
        <v>-4.133796E-2</v>
      </c>
      <c r="AA5774">
        <v>0.89913869999999896</v>
      </c>
      <c r="AB5774">
        <v>31</v>
      </c>
      <c r="AC5774">
        <v>30.318300000000001</v>
      </c>
      <c r="AD5774">
        <v>1.1876100000000001</v>
      </c>
      <c r="AE5774">
        <v>-29.859472199999999</v>
      </c>
      <c r="AF5774">
        <v>-18.625646249451702</v>
      </c>
      <c r="AG5774">
        <v>1.1876100000000001</v>
      </c>
      <c r="AH5774">
        <v>38.223751176600899</v>
      </c>
      <c r="AI5774">
        <v>88.400117855287405</v>
      </c>
      <c r="AJ5774">
        <v>115.979019938961</v>
      </c>
      <c r="AK5774">
        <v>42.536810761180902</v>
      </c>
      <c r="AL5774">
        <v>80.533587913474307</v>
      </c>
      <c r="AM5774">
        <v>95.4226680199247</v>
      </c>
      <c r="AN5774">
        <v>1.00000001516718</v>
      </c>
    </row>
    <row r="5775" spans="1:40" x14ac:dyDescent="0.25">
      <c r="A5775" t="str">
        <f>"20190303170408820"</f>
        <v>20190303170408820</v>
      </c>
      <c r="B5775" t="str">
        <f>"1551603848811746"</f>
        <v>1551603848811746</v>
      </c>
      <c r="C5775" t="s">
        <v>40</v>
      </c>
      <c r="D5775">
        <v>4.7222229999999996</v>
      </c>
      <c r="E5775">
        <v>0.37632500000000002</v>
      </c>
      <c r="F5775" t="s">
        <v>95</v>
      </c>
      <c r="G5775">
        <v>-392.80380000000002</v>
      </c>
      <c r="H5775">
        <v>2.0944250000000002</v>
      </c>
      <c r="I5775">
        <v>0.7539768</v>
      </c>
      <c r="J5775">
        <v>-420.9787</v>
      </c>
      <c r="K5775">
        <v>1.132666</v>
      </c>
      <c r="L5775">
        <v>30.461300000000001</v>
      </c>
      <c r="M5775">
        <v>0.34090939999999997</v>
      </c>
      <c r="N5775">
        <v>-1.5064610000000001E-2</v>
      </c>
      <c r="O5775">
        <v>-0.93997540000000002</v>
      </c>
      <c r="P5775">
        <v>0.41897499999999999</v>
      </c>
      <c r="Q5775">
        <v>0.15302779999999999</v>
      </c>
      <c r="R5775">
        <v>-0.89500990000000002</v>
      </c>
      <c r="S5775">
        <v>2.1939389999999999</v>
      </c>
      <c r="T5775">
        <v>7.4713349999999998E-2</v>
      </c>
      <c r="U5775">
        <v>-2.321075</v>
      </c>
      <c r="V5775">
        <v>-9.3275350000000007E-2</v>
      </c>
      <c r="W5775">
        <v>0.16534939999999901</v>
      </c>
      <c r="X5775">
        <v>0.98181430000000003</v>
      </c>
      <c r="Y5775">
        <v>-0.3975186</v>
      </c>
      <c r="Z5775">
        <v>-3.6729690000000002E-2</v>
      </c>
      <c r="AA5775">
        <v>0.91685870000000003</v>
      </c>
      <c r="AB5775">
        <v>31</v>
      </c>
      <c r="AC5775">
        <v>28.174899999999901</v>
      </c>
      <c r="AD5775">
        <v>0.96175900000000003</v>
      </c>
      <c r="AE5775">
        <v>-29.707323200000001</v>
      </c>
      <c r="AF5775">
        <v>-16.349043034129298</v>
      </c>
      <c r="AG5775">
        <v>0.96175900000000003</v>
      </c>
      <c r="AH5775">
        <v>37.512803186073803</v>
      </c>
      <c r="AI5775">
        <v>88.653624627972505</v>
      </c>
      <c r="AJ5775">
        <v>113.548808817402</v>
      </c>
      <c r="AK5775">
        <v>40.9319751708002</v>
      </c>
      <c r="AL5775">
        <v>80.482467746519802</v>
      </c>
      <c r="AM5775">
        <v>95.426985512169693</v>
      </c>
      <c r="AN5775">
        <v>1.00000001734123</v>
      </c>
    </row>
    <row r="5776" spans="1:40" x14ac:dyDescent="0.25">
      <c r="A5776" t="str">
        <f>"20190303170408834"</f>
        <v>20190303170408834</v>
      </c>
      <c r="B5776" t="str">
        <f>"1551603848821509"</f>
        <v>1551603848821509</v>
      </c>
      <c r="C5776" t="s">
        <v>40</v>
      </c>
      <c r="D5776">
        <v>4.7188639999999999</v>
      </c>
      <c r="E5776">
        <v>0.37689650000000002</v>
      </c>
      <c r="F5776" t="s">
        <v>95</v>
      </c>
      <c r="G5776">
        <v>-392.68299999999999</v>
      </c>
      <c r="H5776">
        <v>1.8942209999999999</v>
      </c>
      <c r="I5776">
        <v>0.75520710000000002</v>
      </c>
      <c r="J5776">
        <v>-420.90730000000002</v>
      </c>
      <c r="K5776">
        <v>1.1327609999999999</v>
      </c>
      <c r="L5776">
        <v>30.286190000000001</v>
      </c>
      <c r="M5776">
        <v>0.34889740000000002</v>
      </c>
      <c r="N5776">
        <v>-1.5092670000000001E-2</v>
      </c>
      <c r="O5776">
        <v>-0.93703939999999997</v>
      </c>
      <c r="P5776">
        <v>0.42660959999999998</v>
      </c>
      <c r="Q5776">
        <v>0.15358540000000001</v>
      </c>
      <c r="R5776">
        <v>-0.89130010000000004</v>
      </c>
      <c r="S5776">
        <v>2.2014770000000001</v>
      </c>
      <c r="T5776">
        <v>5.9249040000000003E-2</v>
      </c>
      <c r="U5776">
        <v>-2.3112180000000002</v>
      </c>
      <c r="V5776">
        <v>-9.3398469999999997E-2</v>
      </c>
      <c r="W5776">
        <v>0.165909</v>
      </c>
      <c r="X5776">
        <v>0.98170820000000003</v>
      </c>
      <c r="Y5776">
        <v>-0.3933333</v>
      </c>
      <c r="Z5776">
        <v>-3.1780370000000002E-2</v>
      </c>
      <c r="AA5776">
        <v>0.91884650000000001</v>
      </c>
      <c r="AB5776">
        <v>31</v>
      </c>
      <c r="AC5776">
        <v>28.2242999999999</v>
      </c>
      <c r="AD5776">
        <v>0.76145999999999903</v>
      </c>
      <c r="AE5776">
        <v>-29.530982899999898</v>
      </c>
      <c r="AF5776">
        <v>-16.140228573605</v>
      </c>
      <c r="AG5776">
        <v>0.76145999999999903</v>
      </c>
      <c r="AH5776">
        <v>37.510319174754997</v>
      </c>
      <c r="AI5776">
        <v>88.9317265454454</v>
      </c>
      <c r="AJ5776">
        <v>113.281614573279</v>
      </c>
      <c r="AK5776">
        <v>40.842512708350903</v>
      </c>
      <c r="AL5776">
        <v>80.449956103201302</v>
      </c>
      <c r="AM5776">
        <v>95.434689864510602</v>
      </c>
      <c r="AN5776">
        <v>1.0000000302132801</v>
      </c>
    </row>
    <row r="5777" spans="1:40" x14ac:dyDescent="0.25">
      <c r="A5777" t="str">
        <f>"20190303170408847"</f>
        <v>20190303170408847</v>
      </c>
      <c r="B5777" t="str">
        <f>"1551603848842003"</f>
        <v>1551603848842003</v>
      </c>
      <c r="C5777" t="s">
        <v>40</v>
      </c>
      <c r="D5777">
        <v>4.752389</v>
      </c>
      <c r="E5777">
        <v>0.37847720000000001</v>
      </c>
      <c r="F5777" t="s">
        <v>95</v>
      </c>
      <c r="G5777">
        <v>-392.36759999999998</v>
      </c>
      <c r="H5777">
        <v>1.872662</v>
      </c>
      <c r="I5777">
        <v>0.75841519999999996</v>
      </c>
      <c r="J5777">
        <v>-420.83659999999998</v>
      </c>
      <c r="K5777">
        <v>1.132844</v>
      </c>
      <c r="L5777">
        <v>30.118189999999998</v>
      </c>
      <c r="M5777">
        <v>0.35667300000000002</v>
      </c>
      <c r="N5777">
        <v>-1.5121000000000001E-2</v>
      </c>
      <c r="O5777">
        <v>-0.93410700000000002</v>
      </c>
      <c r="P5777">
        <v>0.43436350000000001</v>
      </c>
      <c r="Q5777">
        <v>0.15395410000000001</v>
      </c>
      <c r="R5777">
        <v>-0.88748309999999997</v>
      </c>
      <c r="S5777">
        <v>2.2176819999999999</v>
      </c>
      <c r="T5777">
        <v>5.7492139999999997E-2</v>
      </c>
      <c r="U5777">
        <v>-2.2944640000000001</v>
      </c>
      <c r="V5777">
        <v>-9.3869190000000005E-2</v>
      </c>
      <c r="W5777">
        <v>0.166271</v>
      </c>
      <c r="X5777">
        <v>0.98160199999999997</v>
      </c>
      <c r="Y5777">
        <v>-0.39241100000000001</v>
      </c>
      <c r="Z5777">
        <v>-3.1161990000000001E-2</v>
      </c>
      <c r="AA5777">
        <v>0.91926200000000002</v>
      </c>
      <c r="AB5777">
        <v>31</v>
      </c>
      <c r="AC5777">
        <v>28.468999999999902</v>
      </c>
      <c r="AD5777">
        <v>0.73981799999999898</v>
      </c>
      <c r="AE5777">
        <v>-29.3597748</v>
      </c>
      <c r="AF5777">
        <v>-16.117820595136301</v>
      </c>
      <c r="AG5777">
        <v>0.73981799999999898</v>
      </c>
      <c r="AH5777">
        <v>37.571293194968</v>
      </c>
      <c r="AI5777">
        <v>88.9632794225802</v>
      </c>
      <c r="AJ5777">
        <v>113.218992058631</v>
      </c>
      <c r="AK5777">
        <v>40.889283972116402</v>
      </c>
      <c r="AL5777">
        <v>80.428922391654197</v>
      </c>
      <c r="AM5777">
        <v>95.462502344941399</v>
      </c>
      <c r="AN5777">
        <v>0.99999997833812704</v>
      </c>
    </row>
    <row r="5778" spans="1:40" x14ac:dyDescent="0.25">
      <c r="A5778" t="str">
        <f>"20190303170408870"</f>
        <v>20190303170408870</v>
      </c>
      <c r="B5778" t="str">
        <f>"1551603848861523"</f>
        <v>1551603848861523</v>
      </c>
      <c r="C5778" t="s">
        <v>40</v>
      </c>
      <c r="D5778">
        <v>4.7583699999999904</v>
      </c>
      <c r="E5778">
        <v>0.37916509999999998</v>
      </c>
      <c r="F5778" t="s">
        <v>95</v>
      </c>
      <c r="G5778">
        <v>-392.1669</v>
      </c>
      <c r="H5778">
        <v>1.812114</v>
      </c>
      <c r="I5778">
        <v>0.76045609999999997</v>
      </c>
      <c r="J5778">
        <v>-420.71519999999998</v>
      </c>
      <c r="K5778">
        <v>1.1329940000000001</v>
      </c>
      <c r="L5778">
        <v>29.837710000000001</v>
      </c>
      <c r="M5778">
        <v>0.36978509999999998</v>
      </c>
      <c r="N5778">
        <v>-1.51681E-2</v>
      </c>
      <c r="O5778">
        <v>-0.92899359999999997</v>
      </c>
      <c r="P5778">
        <v>0.44567279999999998</v>
      </c>
      <c r="Q5778">
        <v>0.15391050000000001</v>
      </c>
      <c r="R5778">
        <v>-0.88186600000000004</v>
      </c>
      <c r="S5778">
        <v>2.227509</v>
      </c>
      <c r="T5778">
        <v>5.2774429999999997E-2</v>
      </c>
      <c r="U5778">
        <v>-2.2809750000000002</v>
      </c>
      <c r="V5778">
        <v>-9.2658149999999995E-2</v>
      </c>
      <c r="W5778">
        <v>0.16627620000000001</v>
      </c>
      <c r="X5778">
        <v>0.98171620000000004</v>
      </c>
      <c r="Y5778">
        <v>-0.38422129999999999</v>
      </c>
      <c r="Z5778">
        <v>-2.9568569999999999E-2</v>
      </c>
      <c r="AA5778">
        <v>0.92276749999999996</v>
      </c>
      <c r="AB5778">
        <v>31</v>
      </c>
      <c r="AC5778">
        <v>28.548299999999902</v>
      </c>
      <c r="AD5778">
        <v>0.67911999999999995</v>
      </c>
      <c r="AE5778">
        <v>-29.077253899999999</v>
      </c>
      <c r="AF5778">
        <v>-15.7662863553196</v>
      </c>
      <c r="AG5778">
        <v>0.67911999999999995</v>
      </c>
      <c r="AH5778">
        <v>37.563204309885101</v>
      </c>
      <c r="AI5778">
        <v>89.044938967899597</v>
      </c>
      <c r="AJ5778">
        <v>112.76910205596801</v>
      </c>
      <c r="AK5778">
        <v>40.743481778543497</v>
      </c>
      <c r="AL5778">
        <v>80.428620480070904</v>
      </c>
      <c r="AM5778">
        <v>95.391823172659898</v>
      </c>
      <c r="AN5778">
        <v>1.0000000023951501</v>
      </c>
    </row>
    <row r="5779" spans="1:40" x14ac:dyDescent="0.25">
      <c r="A5779" t="str">
        <f>"20190303170408883"</f>
        <v>20190303170408883</v>
      </c>
      <c r="B5779" t="str">
        <f>"1551603848871283"</f>
        <v>1551603848871283</v>
      </c>
      <c r="C5779" t="s">
        <v>40</v>
      </c>
      <c r="D5779">
        <v>4.747363</v>
      </c>
      <c r="E5779">
        <v>0.38685720000000001</v>
      </c>
      <c r="F5779" t="s">
        <v>95</v>
      </c>
      <c r="G5779">
        <v>-391.66629999999998</v>
      </c>
      <c r="H5779">
        <v>1.790408</v>
      </c>
      <c r="I5779">
        <v>0.76554869999999997</v>
      </c>
      <c r="J5779">
        <v>-420.63929999999999</v>
      </c>
      <c r="K5779">
        <v>1.1330819999999999</v>
      </c>
      <c r="L5779">
        <v>29.668119999999998</v>
      </c>
      <c r="M5779">
        <v>0.37782680000000002</v>
      </c>
      <c r="N5779">
        <v>-1.5197469999999999E-2</v>
      </c>
      <c r="O5779">
        <v>-0.92575169999999996</v>
      </c>
      <c r="P5779">
        <v>0.45242209999999999</v>
      </c>
      <c r="Q5779">
        <v>0.15384289999999901</v>
      </c>
      <c r="R5779">
        <v>-0.8784343</v>
      </c>
      <c r="S5779">
        <v>2.2527159999999999</v>
      </c>
      <c r="T5779">
        <v>5.097985E-2</v>
      </c>
      <c r="U5779">
        <v>-2.2545169999999999</v>
      </c>
      <c r="V5779">
        <v>-9.1703629999999994E-2</v>
      </c>
      <c r="W5779">
        <v>0.1662457</v>
      </c>
      <c r="X5779">
        <v>0.98181099999999999</v>
      </c>
      <c r="Y5779">
        <v>-0.38680039999999999</v>
      </c>
      <c r="Z5779">
        <v>-2.893567E-2</v>
      </c>
      <c r="AA5779">
        <v>0.92170940000000001</v>
      </c>
      <c r="AB5779">
        <v>31</v>
      </c>
      <c r="AC5779">
        <v>28.972999999999999</v>
      </c>
      <c r="AD5779">
        <v>0.65732599999999997</v>
      </c>
      <c r="AE5779">
        <v>-28.902571299999899</v>
      </c>
      <c r="AF5779">
        <v>-15.8993706874375</v>
      </c>
      <c r="AG5779">
        <v>0.65732599999999997</v>
      </c>
      <c r="AH5779">
        <v>37.698004560620603</v>
      </c>
      <c r="AI5779">
        <v>89.079555739039805</v>
      </c>
      <c r="AJ5779">
        <v>112.867891186382</v>
      </c>
      <c r="AK5779">
        <v>40.9189639846783</v>
      </c>
      <c r="AL5779">
        <v>80.430392780291697</v>
      </c>
      <c r="AM5779">
        <v>95.336089215016301</v>
      </c>
      <c r="AN5779">
        <v>1.00000001412233</v>
      </c>
    </row>
    <row r="5780" spans="1:40" x14ac:dyDescent="0.25">
      <c r="A5780" t="str">
        <f>"20190303170408896"</f>
        <v>20190303170408896</v>
      </c>
      <c r="B5780" t="str">
        <f>"1551603848891779"</f>
        <v>1551603848891779</v>
      </c>
      <c r="C5780" t="s">
        <v>40</v>
      </c>
      <c r="D5780">
        <v>4.7584819999999999</v>
      </c>
      <c r="E5780">
        <v>0.38669199999999998</v>
      </c>
      <c r="F5780" t="s">
        <v>95</v>
      </c>
      <c r="G5780">
        <v>-392.34820000000002</v>
      </c>
      <c r="H5780">
        <v>1.2526489999999999</v>
      </c>
      <c r="I5780">
        <v>0.7586098</v>
      </c>
      <c r="J5780">
        <v>-420.57249999999999</v>
      </c>
      <c r="K5780">
        <v>1.1331610000000001</v>
      </c>
      <c r="L5780">
        <v>29.520779999999998</v>
      </c>
      <c r="M5780">
        <v>0.38484350000000001</v>
      </c>
      <c r="N5780">
        <v>-1.522273E-2</v>
      </c>
      <c r="O5780">
        <v>-0.92285660000000003</v>
      </c>
      <c r="P5780">
        <v>0.45832230000000002</v>
      </c>
      <c r="Q5780">
        <v>0.153639</v>
      </c>
      <c r="R5780">
        <v>-0.87540620000000002</v>
      </c>
      <c r="S5780">
        <v>2.221069</v>
      </c>
      <c r="T5780">
        <v>9.3848709999999995E-3</v>
      </c>
      <c r="U5780">
        <v>-2.2696230000000002</v>
      </c>
      <c r="V5780">
        <v>-9.0868699999999997E-2</v>
      </c>
      <c r="W5780">
        <v>0.16607450000000001</v>
      </c>
      <c r="X5780">
        <v>0.98191759999999995</v>
      </c>
      <c r="Y5780">
        <v>-0.3703285</v>
      </c>
      <c r="Z5780">
        <v>-1.587034E-2</v>
      </c>
      <c r="AA5780">
        <v>0.92876530000000002</v>
      </c>
      <c r="AB5780">
        <v>31</v>
      </c>
      <c r="AC5780">
        <v>28.2242999999999</v>
      </c>
      <c r="AD5780">
        <v>0.119487999999999</v>
      </c>
      <c r="AE5780">
        <v>-28.7621702</v>
      </c>
      <c r="AF5780">
        <v>-14.9796471696602</v>
      </c>
      <c r="AG5780">
        <v>0.119487999999999</v>
      </c>
      <c r="AH5780">
        <v>37.409292447045097</v>
      </c>
      <c r="AI5780">
        <v>89.830107828817205</v>
      </c>
      <c r="AJ5780">
        <v>111.82243963494101</v>
      </c>
      <c r="AK5780">
        <v>40.297137219636397</v>
      </c>
      <c r="AL5780">
        <v>80.440340122146296</v>
      </c>
      <c r="AM5780">
        <v>95.287211803729306</v>
      </c>
      <c r="AN5780">
        <v>1.00000001668984</v>
      </c>
    </row>
    <row r="5781" spans="1:40" x14ac:dyDescent="0.25">
      <c r="A5781" t="str">
        <f>"20190303170408908"</f>
        <v>20190303170408908</v>
      </c>
      <c r="B5781" t="str">
        <f>"1551603848901539"</f>
        <v>1551603848901539</v>
      </c>
      <c r="C5781" t="s">
        <v>40</v>
      </c>
      <c r="D5781">
        <v>4.7636180000000001</v>
      </c>
      <c r="E5781">
        <v>0.38697100000000001</v>
      </c>
      <c r="F5781" t="s">
        <v>95</v>
      </c>
      <c r="G5781">
        <v>-392.02879999999999</v>
      </c>
      <c r="H5781">
        <v>1.215983</v>
      </c>
      <c r="I5781">
        <v>0.76185609999999904</v>
      </c>
      <c r="J5781">
        <v>-420.49329999999998</v>
      </c>
      <c r="K5781">
        <v>1.1332519999999999</v>
      </c>
      <c r="L5781">
        <v>29.352419999999999</v>
      </c>
      <c r="M5781">
        <v>0.39299410000000001</v>
      </c>
      <c r="N5781">
        <v>-1.525308E-2</v>
      </c>
      <c r="O5781">
        <v>-0.91941439999999997</v>
      </c>
      <c r="P5781">
        <v>0.46528190000000003</v>
      </c>
      <c r="Q5781">
        <v>0.1535455</v>
      </c>
      <c r="R5781">
        <v>-0.8717433</v>
      </c>
      <c r="S5781">
        <v>2.2375180000000001</v>
      </c>
      <c r="T5781">
        <v>6.4903499999999998E-3</v>
      </c>
      <c r="U5781">
        <v>-2.2543950000000001</v>
      </c>
      <c r="V5781">
        <v>-9.0031E-2</v>
      </c>
      <c r="W5781">
        <v>0.16601669999999999</v>
      </c>
      <c r="X5781">
        <v>0.98200449999999995</v>
      </c>
      <c r="Y5781">
        <v>-0.36866939999999998</v>
      </c>
      <c r="Z5781">
        <v>-1.491176E-2</v>
      </c>
      <c r="AA5781">
        <v>0.92944099999999996</v>
      </c>
      <c r="AB5781">
        <v>31</v>
      </c>
      <c r="AC5781">
        <v>28.464499999999902</v>
      </c>
      <c r="AD5781">
        <v>8.2730999999999805E-2</v>
      </c>
      <c r="AE5781">
        <v>-28.590563899999999</v>
      </c>
      <c r="AF5781">
        <v>-14.9364241479252</v>
      </c>
      <c r="AG5781">
        <v>8.2730999999999805E-2</v>
      </c>
      <c r="AH5781">
        <v>37.477161702734101</v>
      </c>
      <c r="AI5781">
        <v>89.882507034522206</v>
      </c>
      <c r="AJ5781">
        <v>111.729623827757</v>
      </c>
      <c r="AK5781">
        <v>40.344036238804399</v>
      </c>
      <c r="AL5781">
        <v>80.443698101779205</v>
      </c>
      <c r="AM5781">
        <v>95.238281519055704</v>
      </c>
      <c r="AN5781">
        <v>0.999999981830069</v>
      </c>
    </row>
    <row r="5782" spans="1:40" x14ac:dyDescent="0.25">
      <c r="A5782" t="str">
        <f>"20190303170408920"</f>
        <v>20190303170408920</v>
      </c>
      <c r="B5782" t="str">
        <f>"1551603848911299"</f>
        <v>1551603848911299</v>
      </c>
      <c r="C5782" t="s">
        <v>40</v>
      </c>
      <c r="D5782">
        <v>4.75901</v>
      </c>
      <c r="E5782">
        <v>0.38745469999999999</v>
      </c>
      <c r="F5782" t="s">
        <v>95</v>
      </c>
      <c r="G5782">
        <v>-391.6925</v>
      </c>
      <c r="H5782">
        <v>1.1935960000000001</v>
      </c>
      <c r="I5782">
        <v>0.76527400000000001</v>
      </c>
      <c r="J5782">
        <v>-420.42869999999999</v>
      </c>
      <c r="K5782">
        <v>1.133327</v>
      </c>
      <c r="L5782">
        <v>29.216889999999999</v>
      </c>
      <c r="M5782">
        <v>0.39958870000000002</v>
      </c>
      <c r="N5782">
        <v>-1.5277229999999999E-2</v>
      </c>
      <c r="O5782">
        <v>-0.91656729999999997</v>
      </c>
      <c r="P5782">
        <v>0.47115899999999999</v>
      </c>
      <c r="Q5782">
        <v>0.15331800000000001</v>
      </c>
      <c r="R5782">
        <v>-0.86862150000000005</v>
      </c>
      <c r="S5782">
        <v>2.2541199999999999</v>
      </c>
      <c r="T5782">
        <v>4.7208069999999996E-3</v>
      </c>
      <c r="U5782">
        <v>-2.2373959999999999</v>
      </c>
      <c r="V5782">
        <v>-8.9616440000000006E-2</v>
      </c>
      <c r="W5782">
        <v>0.16581070000000001</v>
      </c>
      <c r="X5782">
        <v>0.98207719999999998</v>
      </c>
      <c r="Y5782">
        <v>-0.36894939999999998</v>
      </c>
      <c r="Z5782">
        <v>-1.431226E-2</v>
      </c>
      <c r="AA5782">
        <v>0.92933929999999998</v>
      </c>
      <c r="AB5782">
        <v>31</v>
      </c>
      <c r="AC5782">
        <v>28.7362</v>
      </c>
      <c r="AD5782">
        <v>6.0268999999999899E-2</v>
      </c>
      <c r="AE5782">
        <v>-28.451615999999898</v>
      </c>
      <c r="AF5782">
        <v>-14.971429929594001</v>
      </c>
      <c r="AG5782">
        <v>6.0268999999999899E-2</v>
      </c>
      <c r="AH5782">
        <v>37.564779576542101</v>
      </c>
      <c r="AI5782">
        <v>89.914606783875399</v>
      </c>
      <c r="AJ5782">
        <v>111.729736899759</v>
      </c>
      <c r="AK5782">
        <v>40.438348273925499</v>
      </c>
      <c r="AL5782">
        <v>80.455666713098395</v>
      </c>
      <c r="AM5782">
        <v>95.213910532894005</v>
      </c>
      <c r="AN5782">
        <v>0.99999996065630103</v>
      </c>
    </row>
    <row r="5783" spans="1:40" x14ac:dyDescent="0.25">
      <c r="A5783" t="str">
        <f>"20190303170408931"</f>
        <v>20190303170408931</v>
      </c>
      <c r="B5783" t="str">
        <f>"1551603848922036"</f>
        <v>1551603848922036</v>
      </c>
      <c r="C5783" t="s">
        <v>40</v>
      </c>
      <c r="D5783">
        <v>4.7991409999999997</v>
      </c>
      <c r="E5783">
        <v>0.38745469999999999</v>
      </c>
      <c r="F5783" t="s">
        <v>95</v>
      </c>
      <c r="G5783">
        <v>-391.43700000000001</v>
      </c>
      <c r="H5783">
        <v>1.1716279999999999</v>
      </c>
      <c r="I5783">
        <v>0.76787569999999905</v>
      </c>
      <c r="J5783">
        <v>-420.35969999999998</v>
      </c>
      <c r="K5783">
        <v>1.1334029999999999</v>
      </c>
      <c r="L5783">
        <v>29.075230000000001</v>
      </c>
      <c r="M5783">
        <v>0.40653650000000002</v>
      </c>
      <c r="N5783">
        <v>-1.5302690000000001E-2</v>
      </c>
      <c r="O5783">
        <v>-0.91350640000000005</v>
      </c>
      <c r="P5783">
        <v>0.47779660000000002</v>
      </c>
      <c r="Q5783">
        <v>0.15290029999999999</v>
      </c>
      <c r="R5783">
        <v>-0.86506179999999999</v>
      </c>
      <c r="S5783">
        <v>2.266327</v>
      </c>
      <c r="T5783">
        <v>2.9920340000000002E-3</v>
      </c>
      <c r="U5783">
        <v>-2.2239070000000001</v>
      </c>
      <c r="V5783">
        <v>-8.967E-2</v>
      </c>
      <c r="W5783">
        <v>0.1654011</v>
      </c>
      <c r="X5783">
        <v>0.98214140000000005</v>
      </c>
      <c r="Y5783">
        <v>-0.36721549999999997</v>
      </c>
      <c r="Z5783">
        <v>-1.373022E-2</v>
      </c>
      <c r="AA5783">
        <v>0.93003460000000004</v>
      </c>
      <c r="AB5783">
        <v>31</v>
      </c>
      <c r="AC5783">
        <v>28.922699999999999</v>
      </c>
      <c r="AD5783">
        <v>3.8224999999999898E-2</v>
      </c>
      <c r="AE5783">
        <v>-28.3073543</v>
      </c>
      <c r="AF5783">
        <v>-14.9148316264085</v>
      </c>
      <c r="AG5783">
        <v>3.8224999999999898E-2</v>
      </c>
      <c r="AH5783">
        <v>37.621453427722201</v>
      </c>
      <c r="AI5783">
        <v>89.945882699848596</v>
      </c>
      <c r="AJ5783">
        <v>111.62559550624501</v>
      </c>
      <c r="AK5783">
        <v>40.470080573295299</v>
      </c>
      <c r="AL5783">
        <v>80.4794638506566</v>
      </c>
      <c r="AM5783">
        <v>95.216670338732698</v>
      </c>
      <c r="AN5783">
        <v>0.99999998118758404</v>
      </c>
    </row>
    <row r="5784" spans="1:40" x14ac:dyDescent="0.25">
      <c r="A5784" t="str">
        <f>"20190303170408948"</f>
        <v>20190303170408948</v>
      </c>
      <c r="B5784" t="str">
        <f>"1551603848941555"</f>
        <v>1551603848941555</v>
      </c>
      <c r="C5784" t="s">
        <v>40</v>
      </c>
      <c r="D5784">
        <v>4.8040120000000002</v>
      </c>
      <c r="E5784">
        <v>0.39433210000000002</v>
      </c>
      <c r="F5784" t="s">
        <v>95</v>
      </c>
      <c r="G5784">
        <v>-391.07229999999998</v>
      </c>
      <c r="H5784">
        <v>1.163292</v>
      </c>
      <c r="I5784">
        <v>0.77158359999999904</v>
      </c>
      <c r="J5784">
        <v>-420.25799999999998</v>
      </c>
      <c r="K5784">
        <v>1.1335109999999999</v>
      </c>
      <c r="L5784">
        <v>28.871729999999999</v>
      </c>
      <c r="M5784">
        <v>0.41663440000000002</v>
      </c>
      <c r="N5784">
        <v>-1.5339729999999999E-2</v>
      </c>
      <c r="O5784">
        <v>-0.9089448</v>
      </c>
      <c r="P5784">
        <v>0.48807879999999998</v>
      </c>
      <c r="Q5784">
        <v>0.15194489999999999</v>
      </c>
      <c r="R5784">
        <v>-0.85947199999999901</v>
      </c>
      <c r="S5784">
        <v>2.2831730000000001</v>
      </c>
      <c r="T5784">
        <v>2.3280380000000002E-3</v>
      </c>
      <c r="U5784">
        <v>-2.2064819999999998</v>
      </c>
      <c r="V5784">
        <v>-9.0448109999999998E-2</v>
      </c>
      <c r="W5784">
        <v>0.164437</v>
      </c>
      <c r="X5784">
        <v>0.98223199999999999</v>
      </c>
      <c r="Y5784">
        <v>-0.36400739999999998</v>
      </c>
      <c r="Z5784">
        <v>-1.346348E-2</v>
      </c>
      <c r="AA5784">
        <v>0.93129870000000003</v>
      </c>
      <c r="AB5784">
        <v>31</v>
      </c>
      <c r="AC5784">
        <v>29.185700000000001</v>
      </c>
      <c r="AD5784">
        <v>2.9780999999999801E-2</v>
      </c>
      <c r="AE5784">
        <v>-28.1001463999999</v>
      </c>
      <c r="AF5784">
        <v>-14.822437288235101</v>
      </c>
      <c r="AG5784">
        <v>2.9780999999999801E-2</v>
      </c>
      <c r="AH5784">
        <v>37.705661262113999</v>
      </c>
      <c r="AI5784">
        <v>89.957883549075007</v>
      </c>
      <c r="AJ5784">
        <v>111.460239528928</v>
      </c>
      <c r="AK5784">
        <v>40.514471800640699</v>
      </c>
      <c r="AL5784">
        <v>80.535470202502907</v>
      </c>
      <c r="AM5784">
        <v>95.261202309101094</v>
      </c>
      <c r="AN5784">
        <v>1.0000000446977799</v>
      </c>
    </row>
    <row r="5785" spans="1:40" x14ac:dyDescent="0.25">
      <c r="A5785" t="str">
        <f>"20190303170408960"</f>
        <v>20190303170408960</v>
      </c>
      <c r="B5785" t="str">
        <f>"1551603848951315"</f>
        <v>1551603848951315</v>
      </c>
      <c r="C5785" t="s">
        <v>40</v>
      </c>
      <c r="D5785">
        <v>4.8214389999999998</v>
      </c>
      <c r="E5785">
        <v>0.39449919999999999</v>
      </c>
      <c r="F5785" t="s">
        <v>95</v>
      </c>
      <c r="G5785">
        <v>-391.42169999999999</v>
      </c>
      <c r="H5785">
        <v>0.82752389999999998</v>
      </c>
      <c r="I5785">
        <v>0.7680302</v>
      </c>
      <c r="J5785">
        <v>-420.18360000000001</v>
      </c>
      <c r="K5785">
        <v>1.133586</v>
      </c>
      <c r="L5785">
        <v>28.72598</v>
      </c>
      <c r="M5785">
        <v>0.42393209999999998</v>
      </c>
      <c r="N5785">
        <v>-1.5366380000000001E-2</v>
      </c>
      <c r="O5785">
        <v>-0.90556369999999997</v>
      </c>
      <c r="P5785">
        <v>0.49508370000000002</v>
      </c>
      <c r="Q5785">
        <v>0.15188660000000001</v>
      </c>
      <c r="R5785">
        <v>-0.85546639999999996</v>
      </c>
      <c r="S5785">
        <v>2.2656860000000001</v>
      </c>
      <c r="T5785">
        <v>-2.4043680000000001E-2</v>
      </c>
      <c r="U5785">
        <v>-2.2081300000000001</v>
      </c>
      <c r="V5785">
        <v>-9.0597869999999997E-2</v>
      </c>
      <c r="W5785">
        <v>0.1643838</v>
      </c>
      <c r="X5785">
        <v>0.98222699999999996</v>
      </c>
      <c r="Y5785">
        <v>-0.35260459999999999</v>
      </c>
      <c r="Z5785">
        <v>-5.2604840000000002E-3</v>
      </c>
      <c r="AA5785">
        <v>0.93575759999999997</v>
      </c>
      <c r="AB5785">
        <v>31</v>
      </c>
      <c r="AC5785">
        <v>28.761900000000001</v>
      </c>
      <c r="AD5785">
        <v>-0.306062099999999</v>
      </c>
      <c r="AE5785">
        <v>-27.957949800000002</v>
      </c>
      <c r="AF5785">
        <v>-14.194308622483099</v>
      </c>
      <c r="AG5785">
        <v>-0.306062099999999</v>
      </c>
      <c r="AH5785">
        <v>37.513039329031599</v>
      </c>
      <c r="AI5785">
        <v>90.437205227734196</v>
      </c>
      <c r="AJ5785">
        <v>110.725806884153</v>
      </c>
      <c r="AK5785">
        <v>40.1098515452355</v>
      </c>
      <c r="AL5785">
        <v>80.538559424085406</v>
      </c>
      <c r="AM5785">
        <v>95.269891244983</v>
      </c>
      <c r="AN5785">
        <v>0.99999994363998601</v>
      </c>
    </row>
    <row r="5786" spans="1:40" x14ac:dyDescent="0.25">
      <c r="A5786" t="str">
        <f>"20190303170408981"</f>
        <v>20190303170408981</v>
      </c>
      <c r="B5786" t="str">
        <f>"1551603848971811"</f>
        <v>1551603848971811</v>
      </c>
      <c r="C5786" t="s">
        <v>40</v>
      </c>
      <c r="D5786">
        <v>4.8297249999999998</v>
      </c>
      <c r="E5786">
        <v>0.39515869999999997</v>
      </c>
      <c r="F5786" t="s">
        <v>95</v>
      </c>
      <c r="G5786">
        <v>-391.04849999999999</v>
      </c>
      <c r="H5786">
        <v>0.86723109999999903</v>
      </c>
      <c r="I5786">
        <v>0.77182390000000001</v>
      </c>
      <c r="J5786">
        <v>-420.05009999999999</v>
      </c>
      <c r="K5786">
        <v>1.133721</v>
      </c>
      <c r="L5786">
        <v>28.472529999999999</v>
      </c>
      <c r="M5786">
        <v>0.43678400000000001</v>
      </c>
      <c r="N5786">
        <v>-1.5414010000000001E-2</v>
      </c>
      <c r="O5786">
        <v>-0.89943439999999997</v>
      </c>
      <c r="P5786">
        <v>0.50638539999999999</v>
      </c>
      <c r="Q5786">
        <v>0.15325839999999999</v>
      </c>
      <c r="R5786">
        <v>-0.84857919999999998</v>
      </c>
      <c r="S5786">
        <v>2.2822269999999998</v>
      </c>
      <c r="T5786">
        <v>-2.0866269999999999E-2</v>
      </c>
      <c r="U5786">
        <v>-2.1897280000000001</v>
      </c>
      <c r="V5786">
        <v>-8.9841950000000004E-2</v>
      </c>
      <c r="W5786">
        <v>0.16579430000000001</v>
      </c>
      <c r="X5786">
        <v>0.98205940000000003</v>
      </c>
      <c r="Y5786">
        <v>-0.34658489999999997</v>
      </c>
      <c r="Z5786">
        <v>-6.2114750000000002E-3</v>
      </c>
      <c r="AA5786">
        <v>0.93799809999999995</v>
      </c>
      <c r="AB5786">
        <v>31</v>
      </c>
      <c r="AC5786">
        <v>29.0016</v>
      </c>
      <c r="AD5786">
        <v>-0.2664899</v>
      </c>
      <c r="AE5786">
        <v>-27.700706100000001</v>
      </c>
      <c r="AF5786">
        <v>-13.9868550114907</v>
      </c>
      <c r="AG5786">
        <v>-0.2664899</v>
      </c>
      <c r="AH5786">
        <v>37.585206977730003</v>
      </c>
      <c r="AI5786">
        <v>90.380729192160302</v>
      </c>
      <c r="AJ5786">
        <v>110.412107892142</v>
      </c>
      <c r="AK5786">
        <v>40.104250566966897</v>
      </c>
      <c r="AL5786">
        <v>80.4566198879224</v>
      </c>
      <c r="AM5786">
        <v>95.227052401205199</v>
      </c>
      <c r="AN5786">
        <v>0.99999999551032603</v>
      </c>
    </row>
    <row r="5787" spans="1:40" x14ac:dyDescent="0.25">
      <c r="A5787" t="str">
        <f>"20190303170408995"</f>
        <v>20190303170408995</v>
      </c>
      <c r="B5787" t="str">
        <f>"1551603848981571"</f>
        <v>1551603848981571</v>
      </c>
      <c r="C5787" t="s">
        <v>40</v>
      </c>
      <c r="D5787">
        <v>4.814076</v>
      </c>
      <c r="E5787">
        <v>0.3954434</v>
      </c>
      <c r="F5787" t="s">
        <v>95</v>
      </c>
      <c r="G5787">
        <v>-390.48509999999999</v>
      </c>
      <c r="H5787">
        <v>0.93319439999999998</v>
      </c>
      <c r="I5787">
        <v>0.77755739999999995</v>
      </c>
      <c r="J5787">
        <v>-419.9633</v>
      </c>
      <c r="K5787">
        <v>1.1338079999999999</v>
      </c>
      <c r="L5787">
        <v>28.311489999999999</v>
      </c>
      <c r="M5787">
        <v>0.44501859999999999</v>
      </c>
      <c r="N5787">
        <v>-1.544453E-2</v>
      </c>
      <c r="O5787">
        <v>-0.89538819999999997</v>
      </c>
      <c r="P5787">
        <v>0.51319939999999997</v>
      </c>
      <c r="Q5787">
        <v>0.15435499999999999</v>
      </c>
      <c r="R5787">
        <v>-0.84427559999999902</v>
      </c>
      <c r="S5787">
        <v>2.30722</v>
      </c>
      <c r="T5787">
        <v>-1.5650870000000001E-2</v>
      </c>
      <c r="U5787">
        <v>-2.1612849999999999</v>
      </c>
      <c r="V5787">
        <v>-8.8891819999999996E-2</v>
      </c>
      <c r="W5787">
        <v>0.1669302</v>
      </c>
      <c r="X5787">
        <v>0.98195339999999998</v>
      </c>
      <c r="Y5787">
        <v>-0.34919440000000002</v>
      </c>
      <c r="Z5787">
        <v>-7.7608E-3</v>
      </c>
      <c r="AA5787">
        <v>0.93701820000000002</v>
      </c>
      <c r="AB5787">
        <v>31</v>
      </c>
      <c r="AC5787">
        <v>29.478200000000001</v>
      </c>
      <c r="AD5787">
        <v>-0.200613599999999</v>
      </c>
      <c r="AE5787">
        <v>-27.5339326</v>
      </c>
      <c r="AF5787">
        <v>-14.1426565476745</v>
      </c>
      <c r="AG5787">
        <v>-0.200613599999999</v>
      </c>
      <c r="AH5787">
        <v>37.775474805608802</v>
      </c>
      <c r="AI5787">
        <v>90.2849610367184</v>
      </c>
      <c r="AJ5787">
        <v>110.52525996971499</v>
      </c>
      <c r="AK5787">
        <v>40.336602197398499</v>
      </c>
      <c r="AL5787">
        <v>80.390617539874199</v>
      </c>
      <c r="AM5787">
        <v>95.172630018029594</v>
      </c>
      <c r="AN5787">
        <v>0.99999996355325504</v>
      </c>
    </row>
    <row r="5788" spans="1:40" x14ac:dyDescent="0.25">
      <c r="A5788" t="str">
        <f>"20190303170409007"</f>
        <v>20190303170409007</v>
      </c>
      <c r="B5788" t="str">
        <f>"1551603849002066"</f>
        <v>1551603849002066</v>
      </c>
      <c r="C5788" t="s">
        <v>40</v>
      </c>
      <c r="D5788">
        <v>4.8469720000000001</v>
      </c>
      <c r="E5788">
        <v>0.39596130000000002</v>
      </c>
      <c r="F5788" t="s">
        <v>95</v>
      </c>
      <c r="G5788">
        <v>-390.12920000000003</v>
      </c>
      <c r="H5788">
        <v>0.96879170000000003</v>
      </c>
      <c r="I5788">
        <v>0.78117749999999997</v>
      </c>
      <c r="J5788">
        <v>-419.87720000000002</v>
      </c>
      <c r="K5788">
        <v>1.133883</v>
      </c>
      <c r="L5788">
        <v>28.156980000000001</v>
      </c>
      <c r="M5788">
        <v>0.45304359999999999</v>
      </c>
      <c r="N5788">
        <v>-1.547489E-2</v>
      </c>
      <c r="O5788">
        <v>-0.89135409999999904</v>
      </c>
      <c r="P5788">
        <v>0.52011859999999999</v>
      </c>
      <c r="Q5788">
        <v>0.15522529999999901</v>
      </c>
      <c r="R5788">
        <v>-0.83987019999999901</v>
      </c>
      <c r="S5788">
        <v>2.3229980000000001</v>
      </c>
      <c r="T5788">
        <v>-1.2850759999999999E-2</v>
      </c>
      <c r="U5788">
        <v>-2.1436160000000002</v>
      </c>
      <c r="V5788">
        <v>-8.8270319999999999E-2</v>
      </c>
      <c r="W5788">
        <v>0.16783139999999999</v>
      </c>
      <c r="X5788">
        <v>0.9818559</v>
      </c>
      <c r="Y5788">
        <v>-0.34779330000000003</v>
      </c>
      <c r="Z5788">
        <v>-8.5816219999999901E-3</v>
      </c>
      <c r="AA5788">
        <v>0.93753189999999997</v>
      </c>
      <c r="AB5788">
        <v>31</v>
      </c>
      <c r="AC5788">
        <v>29.747999999999902</v>
      </c>
      <c r="AD5788">
        <v>-0.1650913</v>
      </c>
      <c r="AE5788">
        <v>-27.375802499999999</v>
      </c>
      <c r="AF5788">
        <v>-14.1150237150101</v>
      </c>
      <c r="AG5788">
        <v>-0.1650913</v>
      </c>
      <c r="AH5788">
        <v>37.8825773031948</v>
      </c>
      <c r="AI5788">
        <v>90.233978194386907</v>
      </c>
      <c r="AJ5788">
        <v>110.435360944577</v>
      </c>
      <c r="AK5788">
        <v>40.427104926585699</v>
      </c>
      <c r="AL5788">
        <v>80.338244240174504</v>
      </c>
      <c r="AM5788">
        <v>95.137166325075597</v>
      </c>
      <c r="AN5788">
        <v>1.0000000182918301</v>
      </c>
    </row>
    <row r="5789" spans="1:40" x14ac:dyDescent="0.25">
      <c r="A5789" t="str">
        <f>"20190303170409019"</f>
        <v>20190303170409019</v>
      </c>
      <c r="B5789" t="str">
        <f>"1551603849011826"</f>
        <v>1551603849011826</v>
      </c>
      <c r="C5789" t="s">
        <v>40</v>
      </c>
      <c r="D5789">
        <v>4.8717360000000003</v>
      </c>
      <c r="E5789">
        <v>0.400675</v>
      </c>
      <c r="F5789" t="s">
        <v>95</v>
      </c>
      <c r="G5789">
        <v>-389.79680000000002</v>
      </c>
      <c r="H5789">
        <v>0.99801139999999999</v>
      </c>
      <c r="I5789">
        <v>0.78455730000000001</v>
      </c>
      <c r="J5789">
        <v>-419.79849999999999</v>
      </c>
      <c r="K5789">
        <v>1.133956</v>
      </c>
      <c r="L5789">
        <v>28.017520000000001</v>
      </c>
      <c r="M5789">
        <v>0.46031480000000002</v>
      </c>
      <c r="N5789">
        <v>-1.5501539999999999E-2</v>
      </c>
      <c r="O5789">
        <v>-0.88762059999999998</v>
      </c>
      <c r="P5789">
        <v>0.52640430000000005</v>
      </c>
      <c r="Q5789">
        <v>0.1557326</v>
      </c>
      <c r="R5789">
        <v>-0.83585100000000001</v>
      </c>
      <c r="S5789">
        <v>2.3370359999999999</v>
      </c>
      <c r="T5789">
        <v>-1.0558369999999999E-2</v>
      </c>
      <c r="U5789">
        <v>-2.1266479999999999</v>
      </c>
      <c r="V5789">
        <v>-8.7698020000000002E-2</v>
      </c>
      <c r="W5789">
        <v>0.168367299999999</v>
      </c>
      <c r="X5789">
        <v>0.9818154</v>
      </c>
      <c r="Y5789">
        <v>-0.34665010000000002</v>
      </c>
      <c r="Z5789">
        <v>-9.2429569999999996E-3</v>
      </c>
      <c r="AA5789">
        <v>0.93794900000000003</v>
      </c>
      <c r="AB5789">
        <v>31</v>
      </c>
      <c r="AC5789">
        <v>30.0016999999999</v>
      </c>
      <c r="AD5789">
        <v>-0.135944599999999</v>
      </c>
      <c r="AE5789">
        <v>-27.232962699999899</v>
      </c>
      <c r="AF5789">
        <v>-14.095923816044101</v>
      </c>
      <c r="AG5789">
        <v>-0.135944599999999</v>
      </c>
      <c r="AH5789">
        <v>37.986895514603901</v>
      </c>
      <c r="AI5789">
        <v>90.192236635803198</v>
      </c>
      <c r="AJ5789">
        <v>110.358546881039</v>
      </c>
      <c r="AK5789">
        <v>40.518116688703898</v>
      </c>
      <c r="AL5789">
        <v>80.307095871949301</v>
      </c>
      <c r="AM5789">
        <v>95.104245470088003</v>
      </c>
      <c r="AN5789">
        <v>0.99999998504918497</v>
      </c>
    </row>
    <row r="5790" spans="1:40" x14ac:dyDescent="0.25">
      <c r="A5790" t="str">
        <f>"20190303170409031"</f>
        <v>20190303170409031</v>
      </c>
      <c r="B5790" t="str">
        <f>"1551603849021587"</f>
        <v>1551603849021587</v>
      </c>
      <c r="C5790" t="s">
        <v>40</v>
      </c>
      <c r="D5790">
        <v>4.876493</v>
      </c>
      <c r="E5790">
        <v>0.400675</v>
      </c>
      <c r="F5790" t="s">
        <v>95</v>
      </c>
      <c r="G5790">
        <v>-390.1001</v>
      </c>
      <c r="H5790">
        <v>0.88410499999999903</v>
      </c>
      <c r="I5790">
        <v>0.78147129999999998</v>
      </c>
      <c r="J5790">
        <v>-419.71809999999999</v>
      </c>
      <c r="K5790">
        <v>1.1340269999999999</v>
      </c>
      <c r="L5790">
        <v>27.878170000000001</v>
      </c>
      <c r="M5790">
        <v>0.46763860000000002</v>
      </c>
      <c r="N5790">
        <v>-1.5527859999999999E-2</v>
      </c>
      <c r="O5790">
        <v>-0.883783599999999</v>
      </c>
      <c r="P5790">
        <v>0.53315000000000001</v>
      </c>
      <c r="Q5790">
        <v>0.15597259999999999</v>
      </c>
      <c r="R5790">
        <v>-0.83151909999999896</v>
      </c>
      <c r="S5790">
        <v>2.3226010000000001</v>
      </c>
      <c r="T5790">
        <v>-1.954198E-2</v>
      </c>
      <c r="U5790">
        <v>-2.1300349999999999</v>
      </c>
      <c r="V5790">
        <v>-8.7582259999999995E-2</v>
      </c>
      <c r="W5790">
        <v>0.16862160000000001</v>
      </c>
      <c r="X5790">
        <v>0.98178209999999999</v>
      </c>
      <c r="Y5790">
        <v>-0.3352444</v>
      </c>
      <c r="Z5790">
        <v>-6.4897549999999998E-3</v>
      </c>
      <c r="AA5790">
        <v>0.94210890000000003</v>
      </c>
      <c r="AB5790">
        <v>31</v>
      </c>
      <c r="AC5790">
        <v>29.617999999999899</v>
      </c>
      <c r="AD5790">
        <v>-0.24992200000000001</v>
      </c>
      <c r="AE5790">
        <v>-27.096698699999902</v>
      </c>
      <c r="AF5790">
        <v>-13.5055424103658</v>
      </c>
      <c r="AG5790">
        <v>-0.24992200000000001</v>
      </c>
      <c r="AH5790">
        <v>37.801222386199598</v>
      </c>
      <c r="AI5790">
        <v>90.356721249425405</v>
      </c>
      <c r="AJ5790">
        <v>109.660687303559</v>
      </c>
      <c r="AK5790">
        <v>40.142179197138702</v>
      </c>
      <c r="AL5790">
        <v>80.292314304122399</v>
      </c>
      <c r="AM5790">
        <v>95.097715454600802</v>
      </c>
      <c r="AN5790">
        <v>0.99999999406683804</v>
      </c>
    </row>
    <row r="5791" spans="1:40" x14ac:dyDescent="0.25">
      <c r="A5791" t="str">
        <f>"20190303170409043"</f>
        <v>20190303170409043</v>
      </c>
      <c r="B5791" t="str">
        <f>"1551603849031347"</f>
        <v>1551603849031347</v>
      </c>
      <c r="C5791" t="s">
        <v>40</v>
      </c>
      <c r="D5791">
        <v>4.8252179999999996</v>
      </c>
      <c r="E5791">
        <v>0.38298300000000002</v>
      </c>
      <c r="F5791" t="s">
        <v>95</v>
      </c>
      <c r="G5791">
        <v>-389.68900000000002</v>
      </c>
      <c r="H5791">
        <v>0.89334269999999905</v>
      </c>
      <c r="I5791">
        <v>0.78565220000000002</v>
      </c>
      <c r="J5791">
        <v>-419.63850000000002</v>
      </c>
      <c r="K5791">
        <v>1.134091</v>
      </c>
      <c r="L5791">
        <v>27.74316</v>
      </c>
      <c r="M5791">
        <v>0.474804</v>
      </c>
      <c r="N5791">
        <v>-1.555381E-2</v>
      </c>
      <c r="O5791">
        <v>-0.87995419999999902</v>
      </c>
      <c r="P5791">
        <v>0.54011480000000001</v>
      </c>
      <c r="Q5791">
        <v>0.1556186</v>
      </c>
      <c r="R5791">
        <v>-0.82707869999999994</v>
      </c>
      <c r="S5791">
        <v>2.3399049999999999</v>
      </c>
      <c r="T5791">
        <v>-1.8756390000000001E-2</v>
      </c>
      <c r="U5791">
        <v>-2.111084</v>
      </c>
      <c r="V5791">
        <v>-8.7837570000000004E-2</v>
      </c>
      <c r="W5791">
        <v>0.1682719</v>
      </c>
      <c r="X5791">
        <v>0.98181929999999995</v>
      </c>
      <c r="Y5791">
        <v>-0.33526020000000001</v>
      </c>
      <c r="Z5791">
        <v>-6.6876549999999998E-3</v>
      </c>
      <c r="AA5791">
        <v>0.94210179999999999</v>
      </c>
      <c r="AB5791">
        <v>31</v>
      </c>
      <c r="AC5791">
        <v>29.9495</v>
      </c>
      <c r="AD5791">
        <v>-0.2407483</v>
      </c>
      <c r="AE5791">
        <v>-26.957507799999899</v>
      </c>
      <c r="AF5791">
        <v>-13.5558107186374</v>
      </c>
      <c r="AG5791">
        <v>-0.2407483</v>
      </c>
      <c r="AH5791">
        <v>37.9447474562187</v>
      </c>
      <c r="AI5791">
        <v>90.342330823946497</v>
      </c>
      <c r="AJ5791">
        <v>109.65933480715501</v>
      </c>
      <c r="AK5791">
        <v>40.294190939882299</v>
      </c>
      <c r="AL5791">
        <v>80.3126411944057</v>
      </c>
      <c r="AM5791">
        <v>95.112304424729501</v>
      </c>
      <c r="AN5791">
        <v>1.0000000044427999</v>
      </c>
    </row>
    <row r="5792" spans="1:40" x14ac:dyDescent="0.25">
      <c r="A5792" t="str">
        <f>"20190303170409053"</f>
        <v>20190303170409053</v>
      </c>
      <c r="B5792" t="str">
        <f>"1551603849041107"</f>
        <v>1551603849041107</v>
      </c>
      <c r="C5792" t="s">
        <v>40</v>
      </c>
      <c r="D5792">
        <v>4.7912410000000003</v>
      </c>
      <c r="E5792">
        <v>0.37395129999999999</v>
      </c>
      <c r="F5792" t="s">
        <v>95</v>
      </c>
      <c r="G5792">
        <v>-386.54880000000003</v>
      </c>
      <c r="H5792">
        <v>1.276885</v>
      </c>
      <c r="I5792">
        <v>0.8175888</v>
      </c>
      <c r="J5792">
        <v>-419.5659</v>
      </c>
      <c r="K5792">
        <v>1.1341460000000001</v>
      </c>
      <c r="L5792">
        <v>27.621279999999999</v>
      </c>
      <c r="M5792">
        <v>0.48128549999999998</v>
      </c>
      <c r="N5792">
        <v>-1.557676E-2</v>
      </c>
      <c r="O5792">
        <v>-0.87642540000000002</v>
      </c>
      <c r="P5792">
        <v>0.54666110000000001</v>
      </c>
      <c r="Q5792">
        <v>0.1552491</v>
      </c>
      <c r="R5792">
        <v>-0.82283619999999902</v>
      </c>
      <c r="S5792">
        <v>2.4715880000000001</v>
      </c>
      <c r="T5792">
        <v>1.0663870000000001E-2</v>
      </c>
      <c r="U5792">
        <v>-2.0111690000000002</v>
      </c>
      <c r="V5792">
        <v>-8.8364860000000003E-2</v>
      </c>
      <c r="W5792">
        <v>0.16789579999999901</v>
      </c>
      <c r="X5792">
        <v>0.98183640000000005</v>
      </c>
      <c r="Y5792">
        <v>-0.37594040000000001</v>
      </c>
      <c r="Z5792">
        <v>-1.543721E-2</v>
      </c>
      <c r="AA5792">
        <v>0.92651530000000004</v>
      </c>
      <c r="AB5792">
        <v>31</v>
      </c>
      <c r="AC5792">
        <v>33.0170999999999</v>
      </c>
      <c r="AD5792">
        <v>0.142739</v>
      </c>
      <c r="AE5792">
        <v>-26.803691199999999</v>
      </c>
      <c r="AF5792">
        <v>-16.038563578009001</v>
      </c>
      <c r="AG5792">
        <v>0.142739</v>
      </c>
      <c r="AH5792">
        <v>39.3864251304107</v>
      </c>
      <c r="AI5792">
        <v>89.807690263729796</v>
      </c>
      <c r="AJ5792">
        <v>112.156666353029</v>
      </c>
      <c r="AK5792">
        <v>42.527007661266303</v>
      </c>
      <c r="AL5792">
        <v>80.334501416540704</v>
      </c>
      <c r="AM5792">
        <v>95.142740476955296</v>
      </c>
      <c r="AN5792">
        <v>1.0000000322527001</v>
      </c>
    </row>
    <row r="5793" spans="1:40" x14ac:dyDescent="0.25">
      <c r="A5793" t="str">
        <f>"20190303170409071"</f>
        <v>20190303170409071</v>
      </c>
      <c r="B5793" t="str">
        <f>"1551603849061603"</f>
        <v>1551603849061603</v>
      </c>
      <c r="C5793" t="s">
        <v>40</v>
      </c>
      <c r="D5793">
        <v>4.8844669999999999</v>
      </c>
      <c r="E5793">
        <v>0.36057489999999998</v>
      </c>
      <c r="F5793" t="s">
        <v>95</v>
      </c>
      <c r="G5793">
        <v>-384.73099999999999</v>
      </c>
      <c r="H5793">
        <v>1.6351089999999999</v>
      </c>
      <c r="I5793">
        <v>0.93584630000000002</v>
      </c>
      <c r="J5793">
        <v>-419.447</v>
      </c>
      <c r="K5793">
        <v>1.1342299999999901</v>
      </c>
      <c r="L5793">
        <v>27.427669999999999</v>
      </c>
      <c r="M5793">
        <v>0.49171320000000002</v>
      </c>
      <c r="N5793">
        <v>-1.561393E-2</v>
      </c>
      <c r="O5793">
        <v>-0.87061730000000004</v>
      </c>
      <c r="P5793">
        <v>0.55759709999999996</v>
      </c>
      <c r="Q5793">
        <v>0.1543612</v>
      </c>
      <c r="R5793">
        <v>-0.81563369999999902</v>
      </c>
      <c r="S5793">
        <v>2.544006</v>
      </c>
      <c r="T5793">
        <v>3.6583659999999997E-2</v>
      </c>
      <c r="U5793">
        <v>-1.9488529999999999</v>
      </c>
      <c r="V5793">
        <v>-8.9684139999999996E-2</v>
      </c>
      <c r="W5793">
        <v>0.166984299999999</v>
      </c>
      <c r="X5793">
        <v>0.98187219999999997</v>
      </c>
      <c r="Y5793">
        <v>-0.39189930000000001</v>
      </c>
      <c r="Z5793">
        <v>-2.3110740000000001E-2</v>
      </c>
      <c r="AA5793">
        <v>0.91971780000000003</v>
      </c>
      <c r="AB5793">
        <v>31</v>
      </c>
      <c r="AC5793">
        <v>34.715999999999902</v>
      </c>
      <c r="AD5793">
        <v>0.50087899999999996</v>
      </c>
      <c r="AE5793">
        <v>-26.491823699999902</v>
      </c>
      <c r="AF5793">
        <v>-17.197803795752598</v>
      </c>
      <c r="AG5793">
        <v>0.50087899999999996</v>
      </c>
      <c r="AH5793">
        <v>40.134165781866201</v>
      </c>
      <c r="AI5793">
        <v>89.342771765553294</v>
      </c>
      <c r="AJ5793">
        <v>113.195511356631</v>
      </c>
      <c r="AK5793">
        <v>43.6665386557735</v>
      </c>
      <c r="AL5793">
        <v>80.3874741553972</v>
      </c>
      <c r="AM5793">
        <v>95.2189109933243</v>
      </c>
      <c r="AN5793">
        <v>1.00000000927343</v>
      </c>
    </row>
    <row r="5794" spans="1:40" x14ac:dyDescent="0.25">
      <c r="A5794" t="str">
        <f>"20190303170409084"</f>
        <v>20190303170409084</v>
      </c>
      <c r="B5794" t="str">
        <f>"1551603849071364"</f>
        <v>1551603849071364</v>
      </c>
      <c r="C5794" t="s">
        <v>40</v>
      </c>
      <c r="D5794">
        <v>4.9232870000000002</v>
      </c>
      <c r="E5794">
        <v>0.35781350000000001</v>
      </c>
      <c r="F5794" t="s">
        <v>96</v>
      </c>
      <c r="G5794">
        <v>-334.60930000000002</v>
      </c>
      <c r="H5794">
        <v>3.4681839999999902</v>
      </c>
      <c r="I5794">
        <v>-31.766369999999998</v>
      </c>
      <c r="J5794">
        <v>-419.35419999999999</v>
      </c>
      <c r="K5794">
        <v>1.1342950000000001</v>
      </c>
      <c r="L5794">
        <v>27.280090000000001</v>
      </c>
      <c r="M5794">
        <v>0.49972680000000003</v>
      </c>
      <c r="N5794">
        <v>-1.5641760000000001E-2</v>
      </c>
      <c r="O5794">
        <v>-0.86604199999999998</v>
      </c>
      <c r="P5794">
        <v>0.56522569999999905</v>
      </c>
      <c r="Q5794">
        <v>0.1548099</v>
      </c>
      <c r="R5794">
        <v>-0.81028059999999902</v>
      </c>
      <c r="S5794">
        <v>2.652679</v>
      </c>
      <c r="T5794">
        <v>7.2977299999999995E-2</v>
      </c>
      <c r="U5794">
        <v>-1.8508610000000001</v>
      </c>
      <c r="V5794">
        <v>-8.9921059999999997E-2</v>
      </c>
      <c r="W5794">
        <v>0.167437</v>
      </c>
      <c r="X5794">
        <v>0.98177340000000002</v>
      </c>
      <c r="Y5794">
        <v>-0.42382629999999999</v>
      </c>
      <c r="Z5794">
        <v>-3.3848679999999999E-2</v>
      </c>
      <c r="AA5794">
        <v>0.90511079999999999</v>
      </c>
      <c r="AB5794">
        <v>31</v>
      </c>
      <c r="AC5794">
        <v>84.744899999999902</v>
      </c>
      <c r="AD5794">
        <v>2.3338889999999899</v>
      </c>
      <c r="AE5794">
        <v>-59.046459999999897</v>
      </c>
      <c r="AF5794">
        <v>-43.868508826690501</v>
      </c>
      <c r="AG5794">
        <v>2.3338889999999899</v>
      </c>
      <c r="AH5794">
        <v>93.449722899659093</v>
      </c>
      <c r="AI5794">
        <v>88.704893970163099</v>
      </c>
      <c r="AJ5794">
        <v>115.146972727396</v>
      </c>
      <c r="AK5794">
        <v>103.260562726361</v>
      </c>
      <c r="AL5794">
        <v>80.361165658682907</v>
      </c>
      <c r="AM5794">
        <v>95.233145097472402</v>
      </c>
      <c r="AN5794">
        <v>0.99999997747404101</v>
      </c>
    </row>
    <row r="5795" spans="1:40" x14ac:dyDescent="0.25">
      <c r="A5795" t="str">
        <f>"20190303170409097"</f>
        <v>20190303170409097</v>
      </c>
      <c r="B5795" t="str">
        <f>"1551603849091860"</f>
        <v>1551603849091860</v>
      </c>
      <c r="C5795" t="s">
        <v>40</v>
      </c>
      <c r="D5795">
        <v>4.9478999999999997</v>
      </c>
      <c r="E5795">
        <v>0.3548752</v>
      </c>
      <c r="F5795" t="s">
        <v>96</v>
      </c>
      <c r="G5795">
        <v>-334.60930000000002</v>
      </c>
      <c r="H5795">
        <v>3.667411</v>
      </c>
      <c r="I5795">
        <v>-29.870239999999999</v>
      </c>
      <c r="J5795">
        <v>-419.25850000000003</v>
      </c>
      <c r="K5795">
        <v>1.134363</v>
      </c>
      <c r="L5795">
        <v>27.130310000000001</v>
      </c>
      <c r="M5795">
        <v>0.50788889999999998</v>
      </c>
      <c r="N5795">
        <v>-1.566917E-2</v>
      </c>
      <c r="O5795">
        <v>-0.8612805</v>
      </c>
      <c r="P5795">
        <v>0.57262939999999996</v>
      </c>
      <c r="Q5795">
        <v>0.15551419999999999</v>
      </c>
      <c r="R5795">
        <v>-0.80492969999999997</v>
      </c>
      <c r="S5795">
        <v>2.6874690000000001</v>
      </c>
      <c r="T5795">
        <v>8.0331330000000006E-2</v>
      </c>
      <c r="U5795">
        <v>-1.812378</v>
      </c>
      <c r="V5795">
        <v>-8.9761480000000005E-2</v>
      </c>
      <c r="W5795">
        <v>0.1681581</v>
      </c>
      <c r="X5795">
        <v>0.9816648</v>
      </c>
      <c r="Y5795">
        <v>-0.42956850000000002</v>
      </c>
      <c r="Z5795">
        <v>-3.5876680000000001E-2</v>
      </c>
      <c r="AA5795">
        <v>0.90232129999999999</v>
      </c>
      <c r="AB5795">
        <v>31</v>
      </c>
      <c r="AC5795">
        <v>84.649199999999993</v>
      </c>
      <c r="AD5795">
        <v>2.533048</v>
      </c>
      <c r="AE5795">
        <v>-57.000549999999997</v>
      </c>
      <c r="AF5795">
        <v>-43.935071106309699</v>
      </c>
      <c r="AG5795">
        <v>2.533048</v>
      </c>
      <c r="AH5795">
        <v>92.040417605119998</v>
      </c>
      <c r="AI5795">
        <v>88.577265014725597</v>
      </c>
      <c r="AJ5795">
        <v>115.51726224561</v>
      </c>
      <c r="AK5795">
        <v>102.020317967607</v>
      </c>
      <c r="AL5795">
        <v>80.319255906951895</v>
      </c>
      <c r="AM5795">
        <v>95.224484146185802</v>
      </c>
      <c r="AN5795">
        <v>1.0000000247232199</v>
      </c>
    </row>
    <row r="5796" spans="1:40" x14ac:dyDescent="0.25">
      <c r="A5796" t="str">
        <f>"20190303170409109"</f>
        <v>20190303170409109</v>
      </c>
      <c r="B5796" t="str">
        <f>"1551603849101619"</f>
        <v>1551603849101619</v>
      </c>
      <c r="C5796" t="s">
        <v>40</v>
      </c>
      <c r="D5796">
        <v>4.9235239999999996</v>
      </c>
      <c r="E5796">
        <v>0.35411379999999998</v>
      </c>
      <c r="F5796" t="s">
        <v>97</v>
      </c>
      <c r="G5796">
        <v>-364.55130000000003</v>
      </c>
      <c r="H5796">
        <v>2.8856259999999998</v>
      </c>
      <c r="I5796">
        <v>-8.5032940000000004</v>
      </c>
      <c r="J5796">
        <v>-419.16340000000002</v>
      </c>
      <c r="K5796">
        <v>1.1344350000000001</v>
      </c>
      <c r="L5796">
        <v>26.985440000000001</v>
      </c>
      <c r="M5796">
        <v>0.51586709999999902</v>
      </c>
      <c r="N5796">
        <v>-1.569518E-2</v>
      </c>
      <c r="O5796">
        <v>-0.85652499999999998</v>
      </c>
      <c r="P5796">
        <v>0.57962130000000001</v>
      </c>
      <c r="Q5796">
        <v>0.15641529999999901</v>
      </c>
      <c r="R5796">
        <v>-0.79973380000000005</v>
      </c>
      <c r="S5796">
        <v>2.7225649999999999</v>
      </c>
      <c r="T5796">
        <v>8.7153549999999996E-2</v>
      </c>
      <c r="U5796">
        <v>-1.7733460000000001</v>
      </c>
      <c r="V5796">
        <v>-8.9340340000000004E-2</v>
      </c>
      <c r="W5796">
        <v>0.1690845</v>
      </c>
      <c r="X5796">
        <v>0.98154410000000003</v>
      </c>
      <c r="Y5796">
        <v>-0.43554769999999998</v>
      </c>
      <c r="Z5796">
        <v>-3.772387E-2</v>
      </c>
      <c r="AA5796">
        <v>0.89937479999999903</v>
      </c>
      <c r="AB5796">
        <v>31</v>
      </c>
      <c r="AC5796">
        <v>54.612099999999998</v>
      </c>
      <c r="AD5796">
        <v>1.75119099999999</v>
      </c>
      <c r="AE5796">
        <v>-35.488734000000001</v>
      </c>
      <c r="AF5796">
        <v>-28.4520926531637</v>
      </c>
      <c r="AG5796">
        <v>1.75119099999999</v>
      </c>
      <c r="AH5796">
        <v>58.534463658756103</v>
      </c>
      <c r="AI5796">
        <v>88.458713430845506</v>
      </c>
      <c r="AJ5796">
        <v>115.92319090484401</v>
      </c>
      <c r="AK5796">
        <v>65.106617805572796</v>
      </c>
      <c r="AL5796">
        <v>80.265406188043301</v>
      </c>
      <c r="AM5796">
        <v>95.200742728595202</v>
      </c>
      <c r="AN5796">
        <v>1.0000000423681801</v>
      </c>
    </row>
    <row r="5797" spans="1:40" x14ac:dyDescent="0.25">
      <c r="A5797" t="str">
        <f>"20190303170409124"</f>
        <v>20190303170409124</v>
      </c>
      <c r="B5797" t="str">
        <f>"1551603849111379"</f>
        <v>1551603849111379</v>
      </c>
      <c r="C5797" t="s">
        <v>40</v>
      </c>
      <c r="D5797">
        <v>4.9682230000000001</v>
      </c>
      <c r="E5797">
        <v>0.35376469999999999</v>
      </c>
      <c r="F5797" t="s">
        <v>97</v>
      </c>
      <c r="G5797">
        <v>-364.4</v>
      </c>
      <c r="H5797">
        <v>2.9427210000000001</v>
      </c>
      <c r="I5797">
        <v>-7.8655970000000002</v>
      </c>
      <c r="J5797">
        <v>-419.06369999999998</v>
      </c>
      <c r="K5797">
        <v>1.1344959999999999</v>
      </c>
      <c r="L5797">
        <v>26.83643</v>
      </c>
      <c r="M5797">
        <v>0.52411529999999995</v>
      </c>
      <c r="N5797">
        <v>-1.5720810000000002E-2</v>
      </c>
      <c r="O5797">
        <v>-0.85150239999999999</v>
      </c>
      <c r="P5797">
        <v>0.58693119999999999</v>
      </c>
      <c r="Q5797">
        <v>0.15738469999999999</v>
      </c>
      <c r="R5797">
        <v>-0.79419280000000003</v>
      </c>
      <c r="S5797">
        <v>2.7429199999999998</v>
      </c>
      <c r="T5797">
        <v>9.0571170000000006E-2</v>
      </c>
      <c r="U5797">
        <v>-1.7455750000000001</v>
      </c>
      <c r="V5797">
        <v>-8.9016940000000003E-2</v>
      </c>
      <c r="W5797">
        <v>0.17007610000000001</v>
      </c>
      <c r="X5797">
        <v>0.98140210000000005</v>
      </c>
      <c r="Y5797">
        <v>-0.43633519999999998</v>
      </c>
      <c r="Z5797">
        <v>-3.8556630000000001E-2</v>
      </c>
      <c r="AA5797">
        <v>0.89895769999999997</v>
      </c>
      <c r="AB5797">
        <v>31</v>
      </c>
      <c r="AC5797">
        <v>54.663699999999999</v>
      </c>
      <c r="AD5797">
        <v>1.808225</v>
      </c>
      <c r="AE5797">
        <v>-34.702027000000001</v>
      </c>
      <c r="AF5797">
        <v>-28.339806098287902</v>
      </c>
      <c r="AG5797">
        <v>1.808225</v>
      </c>
      <c r="AH5797">
        <v>58.1607638608209</v>
      </c>
      <c r="AI5797">
        <v>88.399071876790998</v>
      </c>
      <c r="AJ5797">
        <v>115.978434341428</v>
      </c>
      <c r="AK5797">
        <v>64.723170041441506</v>
      </c>
      <c r="AL5797">
        <v>80.207756188270693</v>
      </c>
      <c r="AM5797">
        <v>95.182765129516198</v>
      </c>
      <c r="AN5797">
        <v>0.99999998864129103</v>
      </c>
    </row>
    <row r="5798" spans="1:40" x14ac:dyDescent="0.25">
      <c r="A5798" t="str">
        <f>"20190303170409136"</f>
        <v>20190303170409136</v>
      </c>
      <c r="B5798" t="str">
        <f>"1551603849131876"</f>
        <v>1551603849131876</v>
      </c>
      <c r="C5798" t="s">
        <v>40</v>
      </c>
      <c r="D5798">
        <v>4.9556430000000002</v>
      </c>
      <c r="E5798">
        <v>0.35373670000000002</v>
      </c>
      <c r="F5798" t="s">
        <v>97</v>
      </c>
      <c r="G5798">
        <v>-364.4</v>
      </c>
      <c r="H5798">
        <v>2.9529100000000001</v>
      </c>
      <c r="I5798">
        <v>-7.189692</v>
      </c>
      <c r="J5798">
        <v>-418.96050000000002</v>
      </c>
      <c r="K5798">
        <v>1.1345529999999999</v>
      </c>
      <c r="L5798">
        <v>26.684840000000001</v>
      </c>
      <c r="M5798">
        <v>0.53252949999999999</v>
      </c>
      <c r="N5798">
        <v>-1.574567E-2</v>
      </c>
      <c r="O5798">
        <v>-0.84626509999999999</v>
      </c>
      <c r="P5798">
        <v>0.59489320000000001</v>
      </c>
      <c r="Q5798">
        <v>0.15783069999999999</v>
      </c>
      <c r="R5798">
        <v>-0.78815729999999995</v>
      </c>
      <c r="S5798">
        <v>2.7611080000000001</v>
      </c>
      <c r="T5798">
        <v>9.1849680000000003E-2</v>
      </c>
      <c r="U5798">
        <v>-1.7186889999999999</v>
      </c>
      <c r="V5798">
        <v>-8.9250430000000006E-2</v>
      </c>
      <c r="W5798">
        <v>0.17052619999999999</v>
      </c>
      <c r="X5798">
        <v>0.98130280000000003</v>
      </c>
      <c r="Y5798">
        <v>-0.4363784</v>
      </c>
      <c r="Z5798">
        <v>-3.8741539999999998E-2</v>
      </c>
      <c r="AA5798">
        <v>0.89892879999999997</v>
      </c>
      <c r="AB5798">
        <v>31</v>
      </c>
      <c r="AC5798">
        <v>54.560499999999998</v>
      </c>
      <c r="AD5798">
        <v>1.818357</v>
      </c>
      <c r="AE5798">
        <v>-33.874532000000002</v>
      </c>
      <c r="AF5798">
        <v>-28.1144056021474</v>
      </c>
      <c r="AG5798">
        <v>1.818357</v>
      </c>
      <c r="AH5798">
        <v>57.682816985654199</v>
      </c>
      <c r="AI5798">
        <v>88.376856940774005</v>
      </c>
      <c r="AJ5798">
        <v>115.984443983926</v>
      </c>
      <c r="AK5798">
        <v>64.195277084392899</v>
      </c>
      <c r="AL5798">
        <v>80.1815852104275</v>
      </c>
      <c r="AM5798">
        <v>95.196808058592694</v>
      </c>
      <c r="AN5798">
        <v>1.0000000047147299</v>
      </c>
    </row>
    <row r="5799" spans="1:40" x14ac:dyDescent="0.25">
      <c r="A5799" t="str">
        <f>"20190303170409148"</f>
        <v>20190303170409148</v>
      </c>
      <c r="B5799" t="str">
        <f>"1551603849141636"</f>
        <v>1551603849141636</v>
      </c>
      <c r="C5799" t="s">
        <v>40</v>
      </c>
      <c r="D5799">
        <v>5.013693</v>
      </c>
      <c r="E5799">
        <v>0.35371419999999998</v>
      </c>
      <c r="F5799" t="s">
        <v>97</v>
      </c>
      <c r="G5799">
        <v>-364.55130000000003</v>
      </c>
      <c r="H5799">
        <v>2.8819919999999999</v>
      </c>
      <c r="I5799">
        <v>-6.4215530000000003</v>
      </c>
      <c r="J5799">
        <v>-418.86470000000003</v>
      </c>
      <c r="K5799">
        <v>1.1345970000000001</v>
      </c>
      <c r="L5799">
        <v>26.547999999999998</v>
      </c>
      <c r="M5799">
        <v>0.54019119999999998</v>
      </c>
      <c r="N5799">
        <v>-1.5766720000000001E-2</v>
      </c>
      <c r="O5799">
        <v>-0.84139470000000005</v>
      </c>
      <c r="P5799">
        <v>0.60286419999999996</v>
      </c>
      <c r="Q5799">
        <v>0.1577115</v>
      </c>
      <c r="R5799">
        <v>-0.7821013</v>
      </c>
      <c r="S5799">
        <v>2.7789609999999998</v>
      </c>
      <c r="T5799">
        <v>8.9250919999999997E-2</v>
      </c>
      <c r="U5799">
        <v>-1.6909179999999999</v>
      </c>
      <c r="V5799">
        <v>-9.030734E-2</v>
      </c>
      <c r="W5799">
        <v>0.17038329999999999</v>
      </c>
      <c r="X5799">
        <v>0.98123090000000002</v>
      </c>
      <c r="Y5799">
        <v>-0.43736390000000003</v>
      </c>
      <c r="Z5799">
        <v>-3.7792310000000003E-2</v>
      </c>
      <c r="AA5799">
        <v>0.89849009999999996</v>
      </c>
      <c r="AB5799">
        <v>31</v>
      </c>
      <c r="AC5799">
        <v>54.313400000000001</v>
      </c>
      <c r="AD5799">
        <v>1.747395</v>
      </c>
      <c r="AE5799">
        <v>-32.969552999999998</v>
      </c>
      <c r="AF5799">
        <v>-27.871528353682201</v>
      </c>
      <c r="AG5799">
        <v>1.747395</v>
      </c>
      <c r="AH5799">
        <v>57.043973342222898</v>
      </c>
      <c r="AI5799">
        <v>88.423454609418599</v>
      </c>
      <c r="AJ5799">
        <v>116.04000734856</v>
      </c>
      <c r="AK5799">
        <v>63.512915038788599</v>
      </c>
      <c r="AL5799">
        <v>80.189894151191595</v>
      </c>
      <c r="AM5799">
        <v>95.258389219676204</v>
      </c>
      <c r="AN5799">
        <v>0.99999998184578698</v>
      </c>
    </row>
    <row r="5800" spans="1:40" x14ac:dyDescent="0.25">
      <c r="A5800" t="str">
        <f>"20190303170409160"</f>
        <v>20190303170409160</v>
      </c>
      <c r="B5800" t="str">
        <f>"1551603849151395"</f>
        <v>1551603849151395</v>
      </c>
      <c r="C5800" t="s">
        <v>40</v>
      </c>
      <c r="D5800">
        <v>4.955762</v>
      </c>
      <c r="E5800">
        <v>0.35375759999999901</v>
      </c>
      <c r="F5800" t="s">
        <v>97</v>
      </c>
      <c r="G5800">
        <v>-364.76560000000001</v>
      </c>
      <c r="H5800">
        <v>2.8181250000000002</v>
      </c>
      <c r="I5800">
        <v>-5.6329960000000003</v>
      </c>
      <c r="J5800">
        <v>-418.78149999999999</v>
      </c>
      <c r="K5800">
        <v>1.1346290000000001</v>
      </c>
      <c r="L5800">
        <v>26.430759999999999</v>
      </c>
      <c r="M5800">
        <v>0.54676939999999996</v>
      </c>
      <c r="N5800">
        <v>-1.5783780000000001E-2</v>
      </c>
      <c r="O5800">
        <v>-0.83713470000000001</v>
      </c>
      <c r="P5800">
        <v>0.60919299999999998</v>
      </c>
      <c r="Q5800">
        <v>0.15763179999999999</v>
      </c>
      <c r="R5800">
        <v>-0.7771981</v>
      </c>
      <c r="S5800">
        <v>2.7958980000000002</v>
      </c>
      <c r="T5800">
        <v>8.7006449999999999E-2</v>
      </c>
      <c r="U5800">
        <v>-1.6631469999999999</v>
      </c>
      <c r="V5800">
        <v>-9.0585109999999996E-2</v>
      </c>
      <c r="W5800">
        <v>0.17030490000000001</v>
      </c>
      <c r="X5800">
        <v>0.9812189</v>
      </c>
      <c r="Y5800">
        <v>-0.4393263</v>
      </c>
      <c r="Z5800">
        <v>-3.6979749999999999E-2</v>
      </c>
      <c r="AA5800">
        <v>0.89756610000000003</v>
      </c>
      <c r="AB5800">
        <v>31</v>
      </c>
      <c r="AC5800">
        <v>54.015899999999903</v>
      </c>
      <c r="AD5800">
        <v>1.6834959999999899</v>
      </c>
      <c r="AE5800">
        <v>-32.063755999999998</v>
      </c>
      <c r="AF5800">
        <v>-27.670672317362399</v>
      </c>
      <c r="AG5800">
        <v>1.6834959999999899</v>
      </c>
      <c r="AH5800">
        <v>56.342466921722</v>
      </c>
      <c r="AI5800">
        <v>88.463704302001005</v>
      </c>
      <c r="AJ5800">
        <v>116.156381294444</v>
      </c>
      <c r="AK5800">
        <v>62.793103475638098</v>
      </c>
      <c r="AL5800">
        <v>80.194452702536907</v>
      </c>
      <c r="AM5800">
        <v>95.274536187262001</v>
      </c>
      <c r="AN5800">
        <v>0.99999997541746499</v>
      </c>
    </row>
    <row r="5801" spans="1:40" x14ac:dyDescent="0.25">
      <c r="A5801" t="str">
        <f>"20190303170409172"</f>
        <v>20190303170409172</v>
      </c>
      <c r="B5801" t="str">
        <f>"1551603849161155"</f>
        <v>1551603849161155</v>
      </c>
      <c r="C5801" t="s">
        <v>40</v>
      </c>
      <c r="D5801">
        <v>4.9992070000000002</v>
      </c>
      <c r="E5801">
        <v>0.35383890000000001</v>
      </c>
      <c r="F5801" t="s">
        <v>97</v>
      </c>
      <c r="G5801">
        <v>-364.76560000000001</v>
      </c>
      <c r="H5801">
        <v>2.7771409999999999</v>
      </c>
      <c r="I5801">
        <v>-5.1137569999999997</v>
      </c>
      <c r="J5801">
        <v>-418.6823</v>
      </c>
      <c r="K5801">
        <v>1.134671</v>
      </c>
      <c r="L5801">
        <v>26.293399999999998</v>
      </c>
      <c r="M5801">
        <v>0.55449890000000002</v>
      </c>
      <c r="N5801">
        <v>-1.580268E-2</v>
      </c>
      <c r="O5801">
        <v>-0.83203459999999996</v>
      </c>
      <c r="P5801">
        <v>0.61663059999999903</v>
      </c>
      <c r="Q5801">
        <v>0.1577597</v>
      </c>
      <c r="R5801">
        <v>-0.77128399999999997</v>
      </c>
      <c r="S5801">
        <v>2.8093569999999999</v>
      </c>
      <c r="T5801">
        <v>8.5426810000000006E-2</v>
      </c>
      <c r="U5801">
        <v>-1.640625</v>
      </c>
      <c r="V5801">
        <v>-9.0957860000000001E-2</v>
      </c>
      <c r="W5801">
        <v>0.17043079999999999</v>
      </c>
      <c r="X5801">
        <v>0.9811626</v>
      </c>
      <c r="Y5801">
        <v>-0.4382665</v>
      </c>
      <c r="Z5801">
        <v>-3.632519E-2</v>
      </c>
      <c r="AA5801">
        <v>0.89811070000000004</v>
      </c>
      <c r="AB5801">
        <v>31</v>
      </c>
      <c r="AC5801">
        <v>53.916699999999899</v>
      </c>
      <c r="AD5801">
        <v>1.6424700000000001</v>
      </c>
      <c r="AE5801">
        <v>-31.407157000000002</v>
      </c>
      <c r="AF5801">
        <v>-27.429743137691101</v>
      </c>
      <c r="AG5801">
        <v>1.6424700000000001</v>
      </c>
      <c r="AH5801">
        <v>55.996780516119799</v>
      </c>
      <c r="AI5801">
        <v>88.4911194979112</v>
      </c>
      <c r="AJ5801">
        <v>116.0976923289</v>
      </c>
      <c r="AK5801">
        <v>62.3756999517529</v>
      </c>
      <c r="AL5801">
        <v>80.187132570541806</v>
      </c>
      <c r="AM5801">
        <v>95.296419453224999</v>
      </c>
      <c r="AN5801">
        <v>1.0000000187615801</v>
      </c>
    </row>
    <row r="5802" spans="1:40" x14ac:dyDescent="0.25">
      <c r="A5802" t="str">
        <f>"20190303170409184"</f>
        <v>20190303170409184</v>
      </c>
      <c r="B5802" t="str">
        <f>"1551603849171893"</f>
        <v>1551603849171893</v>
      </c>
      <c r="C5802" t="s">
        <v>40</v>
      </c>
      <c r="D5802">
        <v>4.9844339999999896</v>
      </c>
      <c r="E5802">
        <v>0.35410520000000001</v>
      </c>
      <c r="F5802" t="s">
        <v>97</v>
      </c>
      <c r="G5802">
        <v>-364.76560000000001</v>
      </c>
      <c r="H5802">
        <v>2.7793580000000002</v>
      </c>
      <c r="I5802">
        <v>-4.5053109999999998</v>
      </c>
      <c r="J5802">
        <v>-418.58839999999998</v>
      </c>
      <c r="K5802">
        <v>1.1346969999999901</v>
      </c>
      <c r="L5802">
        <v>26.16666</v>
      </c>
      <c r="M5802">
        <v>0.56167880000000003</v>
      </c>
      <c r="N5802">
        <v>-1.5818579999999999E-2</v>
      </c>
      <c r="O5802">
        <v>-0.82720419999999995</v>
      </c>
      <c r="P5802">
        <v>0.62327580000000005</v>
      </c>
      <c r="Q5802">
        <v>0.15830159999999999</v>
      </c>
      <c r="R5802">
        <v>-0.76581219999999905</v>
      </c>
      <c r="S5802">
        <v>2.8247680000000002</v>
      </c>
      <c r="T5802">
        <v>8.6167450000000007E-2</v>
      </c>
      <c r="U5802">
        <v>-1.613586</v>
      </c>
      <c r="V5802">
        <v>-9.1041730000000001E-2</v>
      </c>
      <c r="W5802">
        <v>0.17097870000000001</v>
      </c>
      <c r="X5802">
        <v>0.98105949999999997</v>
      </c>
      <c r="Y5802">
        <v>-0.43907689999999999</v>
      </c>
      <c r="Z5802">
        <v>-3.6372359999999999E-2</v>
      </c>
      <c r="AA5802">
        <v>0.89771290000000004</v>
      </c>
      <c r="AB5802">
        <v>31</v>
      </c>
      <c r="AC5802">
        <v>53.822799999999901</v>
      </c>
      <c r="AD5802">
        <v>1.6446609999999999</v>
      </c>
      <c r="AE5802">
        <v>-30.671970999999999</v>
      </c>
      <c r="AF5802">
        <v>-27.278837684447801</v>
      </c>
      <c r="AG5802">
        <v>1.6446609999999999</v>
      </c>
      <c r="AH5802">
        <v>55.570896285688399</v>
      </c>
      <c r="AI5802">
        <v>88.478158495714695</v>
      </c>
      <c r="AJ5802">
        <v>116.14566105198099</v>
      </c>
      <c r="AK5802">
        <v>61.927089461834903</v>
      </c>
      <c r="AL5802">
        <v>80.155272666211204</v>
      </c>
      <c r="AM5802">
        <v>95.301829277955306</v>
      </c>
      <c r="AN5802">
        <v>1.0000000274976599</v>
      </c>
    </row>
    <row r="5803" spans="1:40" x14ac:dyDescent="0.25">
      <c r="A5803" t="str">
        <f>"20190303170409198"</f>
        <v>20190303170409198</v>
      </c>
      <c r="B5803" t="str">
        <f>"1551603849191411"</f>
        <v>1551603849191411</v>
      </c>
      <c r="C5803" t="s">
        <v>40</v>
      </c>
      <c r="D5803">
        <v>4.9541329999999997</v>
      </c>
      <c r="E5803">
        <v>0.35453259999999998</v>
      </c>
      <c r="F5803" t="s">
        <v>97</v>
      </c>
      <c r="G5803">
        <v>-364.76560000000001</v>
      </c>
      <c r="H5803">
        <v>2.7954240000000001</v>
      </c>
      <c r="I5803">
        <v>-3.9889019999999999</v>
      </c>
      <c r="J5803">
        <v>-418.48520000000002</v>
      </c>
      <c r="K5803">
        <v>1.134725</v>
      </c>
      <c r="L5803">
        <v>26.02881</v>
      </c>
      <c r="M5803">
        <v>0.56948140000000003</v>
      </c>
      <c r="N5803">
        <v>-1.5834819999999999E-2</v>
      </c>
      <c r="O5803">
        <v>-0.82185169999999996</v>
      </c>
      <c r="P5803">
        <v>0.63048740000000003</v>
      </c>
      <c r="Q5803">
        <v>0.158683399999999</v>
      </c>
      <c r="R5803">
        <v>-0.75980649999999905</v>
      </c>
      <c r="S5803">
        <v>2.8376160000000001</v>
      </c>
      <c r="T5803">
        <v>8.7555889999999997E-2</v>
      </c>
      <c r="U5803">
        <v>-1.589844</v>
      </c>
      <c r="V5803">
        <v>-9.1101879999999996E-2</v>
      </c>
      <c r="W5803">
        <v>0.1713681</v>
      </c>
      <c r="X5803">
        <v>0.98098589999999997</v>
      </c>
      <c r="Y5803">
        <v>-0.43801519999999999</v>
      </c>
      <c r="Z5803">
        <v>-3.6583089999999999E-2</v>
      </c>
      <c r="AA5803">
        <v>0.89822289999999905</v>
      </c>
      <c r="AB5803">
        <v>31</v>
      </c>
      <c r="AC5803">
        <v>53.7196</v>
      </c>
      <c r="AD5803">
        <v>1.6606989999999999</v>
      </c>
      <c r="AE5803">
        <v>-30.017712</v>
      </c>
      <c r="AF5803">
        <v>-27.038716204539199</v>
      </c>
      <c r="AG5803">
        <v>1.6606989999999999</v>
      </c>
      <c r="AH5803">
        <v>55.229126929362501</v>
      </c>
      <c r="AI5803">
        <v>88.453020190184503</v>
      </c>
      <c r="AJ5803">
        <v>116.085144659006</v>
      </c>
      <c r="AK5803">
        <v>61.5150921037907</v>
      </c>
      <c r="AL5803">
        <v>80.132626766398801</v>
      </c>
      <c r="AM5803">
        <v>95.305707909262495</v>
      </c>
      <c r="AN5803">
        <v>0.99999995711797596</v>
      </c>
    </row>
    <row r="5804" spans="1:40" x14ac:dyDescent="0.25">
      <c r="A5804" t="str">
        <f>"20190303170409216"</f>
        <v>20190303170409216</v>
      </c>
      <c r="B5804" t="str">
        <f>"1551603849211909"</f>
        <v>1551603849211909</v>
      </c>
      <c r="C5804" t="s">
        <v>40</v>
      </c>
      <c r="D5804">
        <v>5.009747</v>
      </c>
      <c r="E5804">
        <v>0.35485100000000003</v>
      </c>
      <c r="F5804" t="s">
        <v>97</v>
      </c>
      <c r="G5804">
        <v>-364.76560000000001</v>
      </c>
      <c r="H5804">
        <v>2.7767590000000002</v>
      </c>
      <c r="I5804">
        <v>-3.4622229999999998</v>
      </c>
      <c r="J5804">
        <v>-418.32979999999998</v>
      </c>
      <c r="K5804">
        <v>1.134752</v>
      </c>
      <c r="L5804">
        <v>25.826969999999999</v>
      </c>
      <c r="M5804">
        <v>0.58096719999999902</v>
      </c>
      <c r="N5804">
        <v>-1.5856269999999999E-2</v>
      </c>
      <c r="O5804">
        <v>-0.81377259999999996</v>
      </c>
      <c r="P5804">
        <v>0.64088179999999995</v>
      </c>
      <c r="Q5804">
        <v>0.159171799999999</v>
      </c>
      <c r="R5804">
        <v>-0.75095599999999996</v>
      </c>
      <c r="S5804">
        <v>2.8504640000000001</v>
      </c>
      <c r="T5804">
        <v>8.7129470000000001E-2</v>
      </c>
      <c r="U5804">
        <v>-1.5648500000000001</v>
      </c>
      <c r="V5804">
        <v>-9.09113E-2</v>
      </c>
      <c r="W5804">
        <v>0.1718759</v>
      </c>
      <c r="X5804">
        <v>0.98091479999999998</v>
      </c>
      <c r="Y5804">
        <v>-0.43315510000000002</v>
      </c>
      <c r="Z5804">
        <v>-3.614651E-2</v>
      </c>
      <c r="AA5804">
        <v>0.90059429999999996</v>
      </c>
      <c r="AB5804">
        <v>30</v>
      </c>
      <c r="AC5804">
        <v>53.5641999999999</v>
      </c>
      <c r="AD5804">
        <v>1.642007</v>
      </c>
      <c r="AE5804">
        <v>-29.289193000000001</v>
      </c>
      <c r="AF5804">
        <v>-26.557144881754301</v>
      </c>
      <c r="AG5804">
        <v>1.642007</v>
      </c>
      <c r="AH5804">
        <v>54.920960259309702</v>
      </c>
      <c r="AI5804">
        <v>88.458199061570895</v>
      </c>
      <c r="AJ5804">
        <v>115.80618570326</v>
      </c>
      <c r="AK5804">
        <v>61.026961312711698</v>
      </c>
      <c r="AL5804">
        <v>80.103094383595803</v>
      </c>
      <c r="AM5804">
        <v>95.295053407238896</v>
      </c>
      <c r="AN5804">
        <v>1.00000001716377</v>
      </c>
    </row>
    <row r="5805" spans="1:40" x14ac:dyDescent="0.25">
      <c r="A5805" t="str">
        <f>"20190303170409227"</f>
        <v>20190303170409227</v>
      </c>
      <c r="B5805" t="str">
        <f>"1551603849221667"</f>
        <v>1551603849221667</v>
      </c>
      <c r="C5805" t="s">
        <v>40</v>
      </c>
      <c r="D5805">
        <v>4.9396979999999999</v>
      </c>
      <c r="E5805">
        <v>0.35515360000000001</v>
      </c>
      <c r="F5805" t="s">
        <v>97</v>
      </c>
      <c r="G5805">
        <v>-364.76560000000001</v>
      </c>
      <c r="H5805">
        <v>2.7720180000000001</v>
      </c>
      <c r="I5805">
        <v>-2.6721059999999999</v>
      </c>
      <c r="J5805">
        <v>-418.2355</v>
      </c>
      <c r="K5805">
        <v>1.1347640000000001</v>
      </c>
      <c r="L5805">
        <v>25.70795</v>
      </c>
      <c r="M5805">
        <v>0.58777669999999904</v>
      </c>
      <c r="N5805">
        <v>-1.5867590000000001E-2</v>
      </c>
      <c r="O5805">
        <v>-0.80886759999999902</v>
      </c>
      <c r="P5805">
        <v>0.64729550000000002</v>
      </c>
      <c r="Q5805">
        <v>0.1588388</v>
      </c>
      <c r="R5805">
        <v>-0.74550590000000005</v>
      </c>
      <c r="S5805">
        <v>2.8699650000000001</v>
      </c>
      <c r="T5805">
        <v>8.7724570000000002E-2</v>
      </c>
      <c r="U5805">
        <v>-1.5269779999999999</v>
      </c>
      <c r="V5805">
        <v>-9.1041010000000006E-2</v>
      </c>
      <c r="W5805">
        <v>0.17154759999999999</v>
      </c>
      <c r="X5805">
        <v>0.98096019999999995</v>
      </c>
      <c r="Y5805">
        <v>-0.43738169999999998</v>
      </c>
      <c r="Z5805">
        <v>-3.6157160000000001E-2</v>
      </c>
      <c r="AA5805">
        <v>0.89854880000000004</v>
      </c>
      <c r="AB5805">
        <v>30</v>
      </c>
      <c r="AC5805">
        <v>53.469900000000003</v>
      </c>
      <c r="AD5805">
        <v>1.637254</v>
      </c>
      <c r="AE5805">
        <v>-28.380056</v>
      </c>
      <c r="AF5805">
        <v>-26.552855333248399</v>
      </c>
      <c r="AG5805">
        <v>1.637254</v>
      </c>
      <c r="AH5805">
        <v>54.351157612866501</v>
      </c>
      <c r="AI5805">
        <v>88.449594185311994</v>
      </c>
      <c r="AJ5805">
        <v>116.03747920617199</v>
      </c>
      <c r="AK5805">
        <v>60.512668598133999</v>
      </c>
      <c r="AL5805">
        <v>80.122187805489801</v>
      </c>
      <c r="AM5805">
        <v>95.302321214687694</v>
      </c>
      <c r="AN5805">
        <v>0.99999997927580897</v>
      </c>
    </row>
    <row r="5806" spans="1:40" x14ac:dyDescent="0.25">
      <c r="A5806" t="str">
        <f>"20190303170409239"</f>
        <v>20190303170409239</v>
      </c>
      <c r="B5806" t="str">
        <f>"1551603849231427"</f>
        <v>1551603849231427</v>
      </c>
      <c r="C5806" t="s">
        <v>40</v>
      </c>
      <c r="D5806">
        <v>4.9862679999999999</v>
      </c>
      <c r="E5806">
        <v>0.35537000000000002</v>
      </c>
      <c r="F5806" t="s">
        <v>97</v>
      </c>
      <c r="G5806">
        <v>-364.76560000000001</v>
      </c>
      <c r="H5806">
        <v>2.7168619999999999</v>
      </c>
      <c r="I5806">
        <v>-2.2095370000000001</v>
      </c>
      <c r="J5806">
        <v>-418.14210000000003</v>
      </c>
      <c r="K5806">
        <v>1.1347750000000001</v>
      </c>
      <c r="L5806">
        <v>25.5914</v>
      </c>
      <c r="M5806">
        <v>0.59443780000000002</v>
      </c>
      <c r="N5806">
        <v>-1.587802E-2</v>
      </c>
      <c r="O5806">
        <v>-0.8039849</v>
      </c>
      <c r="P5806">
        <v>0.65368930000000003</v>
      </c>
      <c r="Q5806">
        <v>0.15861059999999999</v>
      </c>
      <c r="R5806">
        <v>-0.73995519999999904</v>
      </c>
      <c r="S5806">
        <v>2.8812259999999998</v>
      </c>
      <c r="T5806">
        <v>8.525133E-2</v>
      </c>
      <c r="U5806">
        <v>-1.5043329999999999</v>
      </c>
      <c r="V5806">
        <v>-9.1352489999999995E-2</v>
      </c>
      <c r="W5806">
        <v>0.17131740000000001</v>
      </c>
      <c r="X5806">
        <v>0.9809715</v>
      </c>
      <c r="Y5806">
        <v>-0.43697340000000001</v>
      </c>
      <c r="Z5806">
        <v>-3.5259989999999998E-2</v>
      </c>
      <c r="AA5806">
        <v>0.89878309999999995</v>
      </c>
      <c r="AB5806">
        <v>30</v>
      </c>
      <c r="AC5806">
        <v>53.3765</v>
      </c>
      <c r="AD5806">
        <v>1.58208699999999</v>
      </c>
      <c r="AE5806">
        <v>-27.800937000000001</v>
      </c>
      <c r="AF5806">
        <v>-26.373071951998</v>
      </c>
      <c r="AG5806">
        <v>1.58208699999999</v>
      </c>
      <c r="AH5806">
        <v>54.050005661633399</v>
      </c>
      <c r="AI5806">
        <v>88.493108199897407</v>
      </c>
      <c r="AJ5806">
        <v>116.009524130587</v>
      </c>
      <c r="AK5806">
        <v>60.161823738010497</v>
      </c>
      <c r="AL5806">
        <v>80.13557575742</v>
      </c>
      <c r="AM5806">
        <v>95.320297267548398</v>
      </c>
      <c r="AN5806">
        <v>1.0000000063921</v>
      </c>
    </row>
    <row r="5807" spans="1:40" x14ac:dyDescent="0.25">
      <c r="A5807" t="str">
        <f>"20190303170409249"</f>
        <v>20190303170409249</v>
      </c>
      <c r="B5807" t="str">
        <f>"1551603849241187"</f>
        <v>1551603849241187</v>
      </c>
      <c r="C5807" t="s">
        <v>40</v>
      </c>
      <c r="D5807">
        <v>4.85764</v>
      </c>
      <c r="E5807">
        <v>0.355186</v>
      </c>
      <c r="F5807" t="s">
        <v>97</v>
      </c>
      <c r="G5807">
        <v>-364.76560000000001</v>
      </c>
      <c r="H5807">
        <v>2.6654849999999999</v>
      </c>
      <c r="I5807">
        <v>-1.7325710000000001</v>
      </c>
      <c r="J5807">
        <v>-418.04649999999998</v>
      </c>
      <c r="K5807">
        <v>1.1347799999999999</v>
      </c>
      <c r="L5807">
        <v>25.474329999999998</v>
      </c>
      <c r="M5807">
        <v>0.60114899999999905</v>
      </c>
      <c r="N5807">
        <v>-1.5887600000000002E-2</v>
      </c>
      <c r="O5807">
        <v>-0.79897929999999995</v>
      </c>
      <c r="P5807">
        <v>0.66019589999999995</v>
      </c>
      <c r="Q5807">
        <v>0.15833120000000001</v>
      </c>
      <c r="R5807">
        <v>-0.73421559999999997</v>
      </c>
      <c r="S5807">
        <v>2.8928829999999999</v>
      </c>
      <c r="T5807">
        <v>8.296096E-2</v>
      </c>
      <c r="U5807">
        <v>-1.480896</v>
      </c>
      <c r="V5807">
        <v>-9.1757989999999998E-2</v>
      </c>
      <c r="W5807">
        <v>0.17103170000000001</v>
      </c>
      <c r="X5807">
        <v>0.98098350000000001</v>
      </c>
      <c r="Y5807">
        <v>-0.4367086</v>
      </c>
      <c r="Z5807">
        <v>-3.4413890000000003E-2</v>
      </c>
      <c r="AA5807">
        <v>0.89894459999999998</v>
      </c>
      <c r="AB5807">
        <v>30</v>
      </c>
      <c r="AC5807">
        <v>53.280899999999903</v>
      </c>
      <c r="AD5807">
        <v>1.530705</v>
      </c>
      <c r="AE5807">
        <v>-27.206900999999998</v>
      </c>
      <c r="AF5807">
        <v>-26.201085325949698</v>
      </c>
      <c r="AG5807">
        <v>1.530705</v>
      </c>
      <c r="AH5807">
        <v>53.7391047251053</v>
      </c>
      <c r="AI5807">
        <v>88.5333772982829</v>
      </c>
      <c r="AJ5807">
        <v>115.992051998197</v>
      </c>
      <c r="AK5807">
        <v>59.805779877120202</v>
      </c>
      <c r="AL5807">
        <v>80.152190309992505</v>
      </c>
      <c r="AM5807">
        <v>95.343711865036099</v>
      </c>
      <c r="AN5807">
        <v>0.99999999920298999</v>
      </c>
    </row>
    <row r="5808" spans="1:40" x14ac:dyDescent="0.25">
      <c r="A5808" t="str">
        <f>"20190303170409260"</f>
        <v>20190303170409260</v>
      </c>
      <c r="B5808" t="str">
        <f>"1551603849251923"</f>
        <v>1551603849251923</v>
      </c>
      <c r="C5808" t="s">
        <v>40</v>
      </c>
      <c r="D5808">
        <v>4.8328490000000004</v>
      </c>
      <c r="E5808">
        <v>0.35513650000000002</v>
      </c>
      <c r="F5808" t="s">
        <v>97</v>
      </c>
      <c r="G5808">
        <v>-364.76560000000001</v>
      </c>
      <c r="H5808">
        <v>2.690261</v>
      </c>
      <c r="I5808">
        <v>-1.1904699999999999</v>
      </c>
      <c r="J5808">
        <v>-417.95760000000001</v>
      </c>
      <c r="K5808">
        <v>1.134784</v>
      </c>
      <c r="L5808">
        <v>25.3674</v>
      </c>
      <c r="M5808">
        <v>0.60729469999999997</v>
      </c>
      <c r="N5808">
        <v>-1.5895659999999999E-2</v>
      </c>
      <c r="O5808">
        <v>-0.79431779999999996</v>
      </c>
      <c r="P5808">
        <v>0.66631249999999997</v>
      </c>
      <c r="Q5808">
        <v>0.157581</v>
      </c>
      <c r="R5808">
        <v>-0.72883189999999998</v>
      </c>
      <c r="S5808">
        <v>2.9062190000000001</v>
      </c>
      <c r="T5808">
        <v>8.4843989999999994E-2</v>
      </c>
      <c r="U5808">
        <v>-1.454437</v>
      </c>
      <c r="V5808">
        <v>-9.2275019999999999E-2</v>
      </c>
      <c r="W5808">
        <v>0.17027200000000001</v>
      </c>
      <c r="X5808">
        <v>0.98106720000000003</v>
      </c>
      <c r="Y5808">
        <v>-0.43795030000000001</v>
      </c>
      <c r="Z5808">
        <v>-3.4785299999999998E-2</v>
      </c>
      <c r="AA5808">
        <v>0.89832599999999996</v>
      </c>
      <c r="AB5808">
        <v>30</v>
      </c>
      <c r="AC5808">
        <v>53.192</v>
      </c>
      <c r="AD5808">
        <v>1.555477</v>
      </c>
      <c r="AE5808">
        <v>-26.557870000000001</v>
      </c>
      <c r="AF5808">
        <v>-26.108324645967201</v>
      </c>
      <c r="AG5808">
        <v>1.555477</v>
      </c>
      <c r="AH5808">
        <v>53.368817240532799</v>
      </c>
      <c r="AI5808">
        <v>88.500289788227803</v>
      </c>
      <c r="AJ5808">
        <v>116.06813952054399</v>
      </c>
      <c r="AK5808">
        <v>59.433111799485502</v>
      </c>
      <c r="AL5808">
        <v>80.196366334364598</v>
      </c>
      <c r="AM5808">
        <v>95.373190610367601</v>
      </c>
      <c r="AN5808">
        <v>1.00000004210791</v>
      </c>
    </row>
    <row r="5809" spans="1:40" x14ac:dyDescent="0.25">
      <c r="A5809" t="str">
        <f>"20190303170409271"</f>
        <v>20190303170409271</v>
      </c>
      <c r="B5809" t="str">
        <f>"1551603849261684"</f>
        <v>1551603849261684</v>
      </c>
      <c r="C5809" t="s">
        <v>40</v>
      </c>
      <c r="D5809">
        <v>4.8529410000000004</v>
      </c>
      <c r="E5809">
        <v>0.35505779999999998</v>
      </c>
      <c r="F5809" t="s">
        <v>97</v>
      </c>
      <c r="G5809">
        <v>-364.76560000000001</v>
      </c>
      <c r="H5809">
        <v>2.684418</v>
      </c>
      <c r="I5809">
        <v>-0.69848129999999997</v>
      </c>
      <c r="J5809">
        <v>-417.86829999999998</v>
      </c>
      <c r="K5809">
        <v>1.134792</v>
      </c>
      <c r="L5809">
        <v>25.261289999999999</v>
      </c>
      <c r="M5809">
        <v>0.61339119999999903</v>
      </c>
      <c r="N5809">
        <v>-1.5903110000000002E-2</v>
      </c>
      <c r="O5809">
        <v>-0.78961910000000002</v>
      </c>
      <c r="P5809">
        <v>0.67198769999999997</v>
      </c>
      <c r="Q5809">
        <v>0.1576079</v>
      </c>
      <c r="R5809">
        <v>-0.72359669999999998</v>
      </c>
      <c r="S5809">
        <v>2.9181520000000001</v>
      </c>
      <c r="T5809">
        <v>8.5013989999999998E-2</v>
      </c>
      <c r="U5809">
        <v>-1.4299930000000001</v>
      </c>
      <c r="V5809">
        <v>-9.2397119999999999E-2</v>
      </c>
      <c r="W5809">
        <v>0.1703007</v>
      </c>
      <c r="X5809">
        <v>0.98105070000000005</v>
      </c>
      <c r="Y5809">
        <v>-0.43855260000000001</v>
      </c>
      <c r="Z5809">
        <v>-3.4659250000000003E-2</v>
      </c>
      <c r="AA5809">
        <v>0.89803699999999997</v>
      </c>
      <c r="AB5809">
        <v>30</v>
      </c>
      <c r="AC5809">
        <v>53.102699999999899</v>
      </c>
      <c r="AD5809">
        <v>1.5496259999999999</v>
      </c>
      <c r="AE5809">
        <v>-25.9597713</v>
      </c>
      <c r="AF5809">
        <v>-25.992835108737701</v>
      </c>
      <c r="AG5809">
        <v>1.5496259999999999</v>
      </c>
      <c r="AH5809">
        <v>53.041316552828498</v>
      </c>
      <c r="AI5809">
        <v>88.497207938179002</v>
      </c>
      <c r="AJ5809">
        <v>116.10711002758499</v>
      </c>
      <c r="AK5809">
        <v>59.088155153019102</v>
      </c>
      <c r="AL5809">
        <v>80.194697315009705</v>
      </c>
      <c r="AM5809">
        <v>95.380348777819194</v>
      </c>
      <c r="AN5809">
        <v>1.0000000160876299</v>
      </c>
    </row>
    <row r="5810" spans="1:40" x14ac:dyDescent="0.25">
      <c r="A5810" t="str">
        <f>"20190303170409283"</f>
        <v>20190303170409283</v>
      </c>
      <c r="B5810" t="str">
        <f>"1551603849271444"</f>
        <v>1551603849271444</v>
      </c>
      <c r="C5810" t="s">
        <v>40</v>
      </c>
      <c r="D5810">
        <v>4.8722919999999998</v>
      </c>
      <c r="E5810">
        <v>0.35508610000000002</v>
      </c>
      <c r="F5810" t="s">
        <v>97</v>
      </c>
      <c r="G5810">
        <v>-364.76560000000001</v>
      </c>
      <c r="H5810">
        <v>2.730159</v>
      </c>
      <c r="I5810">
        <v>-0.23834420000000001</v>
      </c>
      <c r="J5810">
        <v>-417.76850000000002</v>
      </c>
      <c r="K5810">
        <v>1.134795</v>
      </c>
      <c r="L5810">
        <v>25.145050000000001</v>
      </c>
      <c r="M5810">
        <v>0.62009159999999997</v>
      </c>
      <c r="N5810">
        <v>-1.5910460000000001E-2</v>
      </c>
      <c r="O5810">
        <v>-0.78436830000000002</v>
      </c>
      <c r="P5810">
        <v>0.67828239999999995</v>
      </c>
      <c r="Q5810">
        <v>0.15758420000000001</v>
      </c>
      <c r="R5810">
        <v>-0.7177055</v>
      </c>
      <c r="S5810">
        <v>2.9291990000000001</v>
      </c>
      <c r="T5810">
        <v>8.8002090000000005E-2</v>
      </c>
      <c r="U5810">
        <v>-1.4065859999999999</v>
      </c>
      <c r="V5810">
        <v>-9.2612260000000002E-2</v>
      </c>
      <c r="W5810">
        <v>0.17027529999999999</v>
      </c>
      <c r="X5810">
        <v>0.98103479999999998</v>
      </c>
      <c r="Y5810">
        <v>-0.4380291</v>
      </c>
      <c r="Z5810">
        <v>-3.531111E-2</v>
      </c>
      <c r="AA5810">
        <v>0.89826700000000004</v>
      </c>
      <c r="AB5810">
        <v>30</v>
      </c>
      <c r="AC5810">
        <v>53.002899999999997</v>
      </c>
      <c r="AD5810">
        <v>1.595364</v>
      </c>
      <c r="AE5810">
        <v>-25.383394199999898</v>
      </c>
      <c r="AF5810">
        <v>-25.818003900319599</v>
      </c>
      <c r="AG5810">
        <v>1.595364</v>
      </c>
      <c r="AH5810">
        <v>52.744383901280202</v>
      </c>
      <c r="AI5810">
        <v>88.443826492588698</v>
      </c>
      <c r="AJ5810">
        <v>116.081422163754</v>
      </c>
      <c r="AK5810">
        <v>58.745932155469703</v>
      </c>
      <c r="AL5810">
        <v>80.196173976521806</v>
      </c>
      <c r="AM5810">
        <v>95.392889645248502</v>
      </c>
      <c r="AN5810">
        <v>0.99999999365171799</v>
      </c>
    </row>
    <row r="5811" spans="1:40" x14ac:dyDescent="0.25">
      <c r="A5811" t="str">
        <f>"20190303170409293"</f>
        <v>20190303170409293</v>
      </c>
      <c r="B5811" t="str">
        <f>"1551603849281203"</f>
        <v>1551603849281203</v>
      </c>
      <c r="C5811" t="s">
        <v>40</v>
      </c>
      <c r="D5811">
        <v>4.8848399999999996</v>
      </c>
      <c r="E5811">
        <v>0.35518519999999998</v>
      </c>
      <c r="F5811" t="s">
        <v>97</v>
      </c>
      <c r="G5811">
        <v>-364.76560000000001</v>
      </c>
      <c r="H5811">
        <v>2.7524220000000001</v>
      </c>
      <c r="I5811">
        <v>0.25893969999999999</v>
      </c>
      <c r="J5811">
        <v>-417.67489999999998</v>
      </c>
      <c r="K5811">
        <v>1.134798</v>
      </c>
      <c r="L5811">
        <v>25.037109999999998</v>
      </c>
      <c r="M5811">
        <v>0.62630050000000004</v>
      </c>
      <c r="N5811">
        <v>-1.5916899999999901E-2</v>
      </c>
      <c r="O5811">
        <v>-0.77941930000000004</v>
      </c>
      <c r="P5811">
        <v>0.68380479999999999</v>
      </c>
      <c r="Q5811">
        <v>0.15773119999999999</v>
      </c>
      <c r="R5811">
        <v>-0.71241319999999997</v>
      </c>
      <c r="S5811">
        <v>2.940979</v>
      </c>
      <c r="T5811">
        <v>8.975756E-2</v>
      </c>
      <c r="U5811">
        <v>-1.3808590000000001</v>
      </c>
      <c r="V5811">
        <v>-9.2425370000000007E-2</v>
      </c>
      <c r="W5811">
        <v>0.17043459999999999</v>
      </c>
      <c r="X5811">
        <v>0.98102480000000003</v>
      </c>
      <c r="Y5811">
        <v>-0.43869950000000002</v>
      </c>
      <c r="Z5811">
        <v>-3.5623099999999998E-2</v>
      </c>
      <c r="AA5811">
        <v>0.89792749999999999</v>
      </c>
      <c r="AB5811">
        <v>30</v>
      </c>
      <c r="AC5811">
        <v>52.909299999999902</v>
      </c>
      <c r="AD5811">
        <v>1.617624</v>
      </c>
      <c r="AE5811">
        <v>-24.778170299999999</v>
      </c>
      <c r="AF5811">
        <v>-25.703501835550298</v>
      </c>
      <c r="AG5811">
        <v>1.617624</v>
      </c>
      <c r="AH5811">
        <v>52.416164876083002</v>
      </c>
      <c r="AI5811">
        <v>88.412800979072699</v>
      </c>
      <c r="AJ5811">
        <v>116.122111293762</v>
      </c>
      <c r="AK5811">
        <v>58.401550102135403</v>
      </c>
      <c r="AL5811">
        <v>80.186911725765597</v>
      </c>
      <c r="AM5811">
        <v>95.382125392240198</v>
      </c>
      <c r="AN5811">
        <v>1.00000003005591</v>
      </c>
    </row>
    <row r="5812" spans="1:40" x14ac:dyDescent="0.25">
      <c r="A5812" t="str">
        <f>"20190303170409306"</f>
        <v>20190303170409306</v>
      </c>
      <c r="B5812" t="str">
        <f>"1551603849291939"</f>
        <v>1551603849291939</v>
      </c>
      <c r="C5812" t="s">
        <v>40</v>
      </c>
      <c r="D5812">
        <v>4.9077250000000001</v>
      </c>
      <c r="E5812">
        <v>0.355377</v>
      </c>
      <c r="F5812" t="s">
        <v>97</v>
      </c>
      <c r="G5812">
        <v>-364.66989999999998</v>
      </c>
      <c r="H5812">
        <v>2.780564</v>
      </c>
      <c r="I5812">
        <v>0.63553999999999999</v>
      </c>
      <c r="J5812">
        <v>-417.5745</v>
      </c>
      <c r="K5812">
        <v>1.1347969999999901</v>
      </c>
      <c r="L5812">
        <v>24.924440000000001</v>
      </c>
      <c r="M5812">
        <v>0.63282360000000004</v>
      </c>
      <c r="N5812">
        <v>-1.5922840000000001E-2</v>
      </c>
      <c r="O5812">
        <v>-0.77413240000000005</v>
      </c>
      <c r="P5812">
        <v>0.68956669999999998</v>
      </c>
      <c r="Q5812">
        <v>0.15779580000000001</v>
      </c>
      <c r="R5812">
        <v>-0.70682290000000003</v>
      </c>
      <c r="S5812">
        <v>2.9507750000000001</v>
      </c>
      <c r="T5812">
        <v>9.1619370000000006E-2</v>
      </c>
      <c r="U5812">
        <v>-1.3584290000000001</v>
      </c>
      <c r="V5812">
        <v>-9.2163519999999999E-2</v>
      </c>
      <c r="W5812">
        <v>0.170513</v>
      </c>
      <c r="X5812">
        <v>0.98103580000000001</v>
      </c>
      <c r="Y5812">
        <v>-0.43790279999999998</v>
      </c>
      <c r="Z5812">
        <v>-3.5942130000000003E-2</v>
      </c>
      <c r="AA5812">
        <v>0.89830359999999998</v>
      </c>
      <c r="AB5812">
        <v>30</v>
      </c>
      <c r="AC5812">
        <v>52.904600000000002</v>
      </c>
      <c r="AD5812">
        <v>1.645767</v>
      </c>
      <c r="AE5812">
        <v>-24.288900000000002</v>
      </c>
      <c r="AF5812">
        <v>-25.5673821441966</v>
      </c>
      <c r="AG5812">
        <v>1.645767</v>
      </c>
      <c r="AH5812">
        <v>52.2469685643674</v>
      </c>
      <c r="AI5812">
        <v>88.379324368052394</v>
      </c>
      <c r="AJ5812">
        <v>116.07510491110099</v>
      </c>
      <c r="AK5812">
        <v>58.190594625692498</v>
      </c>
      <c r="AL5812">
        <v>80.182352899930805</v>
      </c>
      <c r="AM5812">
        <v>95.366906647782798</v>
      </c>
      <c r="AN5812">
        <v>1.00000001923471</v>
      </c>
    </row>
    <row r="5813" spans="1:40" x14ac:dyDescent="0.25">
      <c r="A5813" t="str">
        <f>"20190303170409316"</f>
        <v>20190303170409316</v>
      </c>
      <c r="B5813" t="str">
        <f>"1551603849311898"</f>
        <v>1551603849311898</v>
      </c>
      <c r="C5813" t="s">
        <v>40</v>
      </c>
      <c r="D5813">
        <v>4.919594</v>
      </c>
      <c r="E5813">
        <v>0.3558827</v>
      </c>
      <c r="F5813" t="s">
        <v>97</v>
      </c>
      <c r="G5813">
        <v>-363.72879999999998</v>
      </c>
      <c r="H5813">
        <v>2.812602</v>
      </c>
      <c r="I5813">
        <v>0.6355305</v>
      </c>
      <c r="J5813">
        <v>-417.46820000000002</v>
      </c>
      <c r="K5813">
        <v>1.1347989999999999</v>
      </c>
      <c r="L5813">
        <v>24.80603</v>
      </c>
      <c r="M5813">
        <v>0.63965689999999997</v>
      </c>
      <c r="N5813">
        <v>-1.5928769999999998E-2</v>
      </c>
      <c r="O5813">
        <v>-0.76849579999999995</v>
      </c>
      <c r="P5813">
        <v>0.69550959999999995</v>
      </c>
      <c r="Q5813">
        <v>0.1576622</v>
      </c>
      <c r="R5813">
        <v>-0.70100609999999997</v>
      </c>
      <c r="S5813">
        <v>2.9606020000000002</v>
      </c>
      <c r="T5813">
        <v>9.2250940000000003E-2</v>
      </c>
      <c r="U5813">
        <v>-1.33548</v>
      </c>
      <c r="V5813">
        <v>-9.1731220000000002E-2</v>
      </c>
      <c r="W5813">
        <v>0.17039979999999999</v>
      </c>
      <c r="X5813">
        <v>0.98109599999999997</v>
      </c>
      <c r="Y5813">
        <v>-0.43684070000000003</v>
      </c>
      <c r="Z5813">
        <v>-3.589407E-2</v>
      </c>
      <c r="AA5813">
        <v>0.89882249999999997</v>
      </c>
      <c r="AB5813">
        <v>30</v>
      </c>
      <c r="AC5813">
        <v>53.739400000000003</v>
      </c>
      <c r="AD5813">
        <v>1.6778029999999999</v>
      </c>
      <c r="AE5813">
        <v>-24.170499499999998</v>
      </c>
      <c r="AF5813">
        <v>-25.820015311415599</v>
      </c>
      <c r="AG5813">
        <v>1.6778029999999999</v>
      </c>
      <c r="AH5813">
        <v>52.913512086817697</v>
      </c>
      <c r="AI5813">
        <v>88.3677011721376</v>
      </c>
      <c r="AJ5813">
        <v>116.010820427436</v>
      </c>
      <c r="AK5813">
        <v>58.901001476633198</v>
      </c>
      <c r="AL5813">
        <v>80.188935266373207</v>
      </c>
      <c r="AM5813">
        <v>95.341552851132803</v>
      </c>
      <c r="AN5813">
        <v>1.0000000348893601</v>
      </c>
    </row>
    <row r="5814" spans="1:40" x14ac:dyDescent="0.25">
      <c r="A5814" t="str">
        <f>"20190303170409327"</f>
        <v>20190303170409327</v>
      </c>
      <c r="B5814" t="str">
        <f>"1551603849321658"</f>
        <v>1551603849321658</v>
      </c>
      <c r="C5814" t="s">
        <v>40</v>
      </c>
      <c r="D5814">
        <v>4.8952559999999998</v>
      </c>
      <c r="E5814">
        <v>0.35611300000000001</v>
      </c>
      <c r="F5814" t="s">
        <v>97</v>
      </c>
      <c r="G5814">
        <v>-362.85320000000002</v>
      </c>
      <c r="H5814">
        <v>2.826047</v>
      </c>
      <c r="I5814">
        <v>0.63552569999999997</v>
      </c>
      <c r="J5814">
        <v>-417.36930000000001</v>
      </c>
      <c r="K5814">
        <v>1.1347989999999999</v>
      </c>
      <c r="L5814">
        <v>24.698640000000001</v>
      </c>
      <c r="M5814">
        <v>0.64588570000000001</v>
      </c>
      <c r="N5814">
        <v>-1.593344E-2</v>
      </c>
      <c r="O5814">
        <v>-0.7632679</v>
      </c>
      <c r="P5814">
        <v>0.70097889999999996</v>
      </c>
      <c r="Q5814">
        <v>0.15767490000000001</v>
      </c>
      <c r="R5814">
        <v>-0.69553399999999999</v>
      </c>
      <c r="S5814">
        <v>2.968445</v>
      </c>
      <c r="T5814">
        <v>9.1923119999999997E-2</v>
      </c>
      <c r="U5814">
        <v>-1.3137209999999999</v>
      </c>
      <c r="V5814">
        <v>-9.1438859999999997E-2</v>
      </c>
      <c r="W5814">
        <v>0.17042750000000001</v>
      </c>
      <c r="X5814">
        <v>0.98111839999999995</v>
      </c>
      <c r="Y5814">
        <v>-0.43591940000000001</v>
      </c>
      <c r="Z5814">
        <v>-3.5600529999999998E-2</v>
      </c>
      <c r="AA5814">
        <v>0.89928129999999995</v>
      </c>
      <c r="AB5814">
        <v>30</v>
      </c>
      <c r="AC5814">
        <v>54.516100000000002</v>
      </c>
      <c r="AD5814">
        <v>1.6912479999999901</v>
      </c>
      <c r="AE5814">
        <v>-24.063114299999999</v>
      </c>
      <c r="AF5814">
        <v>-26.050692597721799</v>
      </c>
      <c r="AG5814">
        <v>1.6912479999999901</v>
      </c>
      <c r="AH5814">
        <v>53.541444779300001</v>
      </c>
      <c r="AI5814">
        <v>88.373008983769907</v>
      </c>
      <c r="AJ5814">
        <v>115.94532685636899</v>
      </c>
      <c r="AK5814">
        <v>59.566645143682003</v>
      </c>
      <c r="AL5814">
        <v>80.187323835358001</v>
      </c>
      <c r="AM5814">
        <v>95.3245057248552</v>
      </c>
      <c r="AN5814">
        <v>0.999999956346453</v>
      </c>
    </row>
    <row r="5815" spans="1:40" x14ac:dyDescent="0.25">
      <c r="A5815" t="str">
        <f>"20190303170409339"</f>
        <v>20190303170409339</v>
      </c>
      <c r="B5815" t="str">
        <f>"1551603849331418"</f>
        <v>1551603849331418</v>
      </c>
      <c r="C5815" t="s">
        <v>40</v>
      </c>
      <c r="D5815">
        <v>4.9694520000000004</v>
      </c>
      <c r="E5815">
        <v>0.35583809999999999</v>
      </c>
      <c r="F5815" t="s">
        <v>97</v>
      </c>
      <c r="G5815">
        <v>-360.83699999999999</v>
      </c>
      <c r="H5815">
        <v>2.869831</v>
      </c>
      <c r="I5815">
        <v>0.1660509</v>
      </c>
      <c r="J5815">
        <v>-417.27319999999997</v>
      </c>
      <c r="K5815">
        <v>1.1347989999999999</v>
      </c>
      <c r="L5815">
        <v>24.595400000000001</v>
      </c>
      <c r="M5815">
        <v>0.65186239999999995</v>
      </c>
      <c r="N5815">
        <v>-1.5937670000000001E-2</v>
      </c>
      <c r="O5815">
        <v>-0.7581698</v>
      </c>
      <c r="P5815">
        <v>0.70655469999999998</v>
      </c>
      <c r="Q5815">
        <v>0.15758720000000001</v>
      </c>
      <c r="R5815">
        <v>-0.68988879999999997</v>
      </c>
      <c r="S5815">
        <v>2.9772340000000002</v>
      </c>
      <c r="T5815">
        <v>9.1374280000000002E-2</v>
      </c>
      <c r="U5815">
        <v>-1.291992</v>
      </c>
      <c r="V5815">
        <v>-9.1611529999999997E-2</v>
      </c>
      <c r="W5815">
        <v>0.1703382</v>
      </c>
      <c r="X5815">
        <v>0.98111780000000004</v>
      </c>
      <c r="Y5815">
        <v>-0.43535190000000001</v>
      </c>
      <c r="Z5815">
        <v>-3.5243919999999998E-2</v>
      </c>
      <c r="AA5815">
        <v>0.89957019999999999</v>
      </c>
      <c r="AB5815">
        <v>30</v>
      </c>
      <c r="AC5815">
        <v>56.4361999999999</v>
      </c>
      <c r="AD5815">
        <v>1.7350319999999999</v>
      </c>
      <c r="AE5815">
        <v>-24.4293491</v>
      </c>
      <c r="AF5815">
        <v>-26.8456910846383</v>
      </c>
      <c r="AG5815">
        <v>1.7350319999999999</v>
      </c>
      <c r="AH5815">
        <v>55.2732588784123</v>
      </c>
      <c r="AI5815">
        <v>88.382631955969401</v>
      </c>
      <c r="AJ5815">
        <v>115.905400565918</v>
      </c>
      <c r="AK5815">
        <v>61.472226353800203</v>
      </c>
      <c r="AL5815">
        <v>80.1925162708134</v>
      </c>
      <c r="AM5815">
        <v>95.334505631305106</v>
      </c>
      <c r="AN5815">
        <v>0.99999995614250903</v>
      </c>
    </row>
    <row r="5816" spans="1:40" x14ac:dyDescent="0.25">
      <c r="A5816" t="str">
        <f>"20190303170409348"</f>
        <v>20190303170409348</v>
      </c>
      <c r="B5816" t="str">
        <f>"1551603849341178"</f>
        <v>1551603849341178</v>
      </c>
      <c r="C5816" t="s">
        <v>40</v>
      </c>
      <c r="D5816">
        <v>5.0003960000000003</v>
      </c>
      <c r="E5816">
        <v>0.35581190000000001</v>
      </c>
      <c r="F5816" t="s">
        <v>97</v>
      </c>
      <c r="G5816">
        <v>-359.9966</v>
      </c>
      <c r="H5816">
        <v>2.9032640000000001</v>
      </c>
      <c r="I5816">
        <v>0.32276059999999901</v>
      </c>
      <c r="J5816">
        <v>-417.1746</v>
      </c>
      <c r="K5816">
        <v>1.134795</v>
      </c>
      <c r="L5816">
        <v>24.491489999999999</v>
      </c>
      <c r="M5816">
        <v>0.65789809999999904</v>
      </c>
      <c r="N5816">
        <v>-1.5941520000000001E-2</v>
      </c>
      <c r="O5816">
        <v>-0.75293829999999995</v>
      </c>
      <c r="P5816">
        <v>0.71228459999999905</v>
      </c>
      <c r="Q5816">
        <v>0.1572963</v>
      </c>
      <c r="R5816">
        <v>-0.68403840000000005</v>
      </c>
      <c r="S5816">
        <v>2.9886780000000002</v>
      </c>
      <c r="T5816">
        <v>9.2278120000000005E-2</v>
      </c>
      <c r="U5816">
        <v>-1.2665409999999999</v>
      </c>
      <c r="V5816">
        <v>-9.1904459999999993E-2</v>
      </c>
      <c r="W5816">
        <v>0.1700422</v>
      </c>
      <c r="X5816">
        <v>0.98114179999999995</v>
      </c>
      <c r="Y5816">
        <v>-0.43589070000000002</v>
      </c>
      <c r="Z5816">
        <v>-3.5282689999999998E-2</v>
      </c>
      <c r="AA5816">
        <v>0.89930779999999999</v>
      </c>
      <c r="AB5816">
        <v>30</v>
      </c>
      <c r="AC5816">
        <v>57.177999999999997</v>
      </c>
      <c r="AD5816">
        <v>1.7684689999999901</v>
      </c>
      <c r="AE5816">
        <v>-24.1687294</v>
      </c>
      <c r="AF5816">
        <v>-27.132373093435799</v>
      </c>
      <c r="AG5816">
        <v>1.7684689999999901</v>
      </c>
      <c r="AH5816">
        <v>55.776680938690099</v>
      </c>
      <c r="AI5816">
        <v>88.366835821658398</v>
      </c>
      <c r="AJ5816">
        <v>115.94044441039701</v>
      </c>
      <c r="AK5816">
        <v>62.051037773930901</v>
      </c>
      <c r="AL5816">
        <v>80.209727393574198</v>
      </c>
      <c r="AM5816">
        <v>95.351333821638207</v>
      </c>
      <c r="AN5816">
        <v>1.0000000056279801</v>
      </c>
    </row>
    <row r="5817" spans="1:40" x14ac:dyDescent="0.25">
      <c r="A5817" t="str">
        <f>"20190303170409360"</f>
        <v>20190303170409360</v>
      </c>
      <c r="B5817" t="str">
        <f>"1551603849351914"</f>
        <v>1551603849351914</v>
      </c>
      <c r="C5817" t="s">
        <v>40</v>
      </c>
      <c r="D5817">
        <v>5.0122030000000004</v>
      </c>
      <c r="E5817">
        <v>0.35575709999999999</v>
      </c>
      <c r="F5817" t="s">
        <v>97</v>
      </c>
      <c r="G5817">
        <v>-358.40289999999999</v>
      </c>
      <c r="H5817">
        <v>2.9060280000000001</v>
      </c>
      <c r="I5817">
        <v>0.16603989999999999</v>
      </c>
      <c r="J5817">
        <v>-417.07679999999999</v>
      </c>
      <c r="K5817">
        <v>1.1347879999999999</v>
      </c>
      <c r="L5817">
        <v>24.38992</v>
      </c>
      <c r="M5817">
        <v>0.66379790000000005</v>
      </c>
      <c r="N5817">
        <v>-1.5944899999999901E-2</v>
      </c>
      <c r="O5817">
        <v>-0.74774219999999902</v>
      </c>
      <c r="P5817">
        <v>0.71777639999999998</v>
      </c>
      <c r="Q5817">
        <v>0.1574731</v>
      </c>
      <c r="R5817">
        <v>-0.67823269999999902</v>
      </c>
      <c r="S5817">
        <v>2.9995729999999998</v>
      </c>
      <c r="T5817">
        <v>9.0399740000000006E-2</v>
      </c>
      <c r="U5817">
        <v>-1.2415160000000001</v>
      </c>
      <c r="V5817">
        <v>-9.2132320000000004E-2</v>
      </c>
      <c r="W5817">
        <v>0.17021520000000001</v>
      </c>
      <c r="X5817">
        <v>0.98109040000000003</v>
      </c>
      <c r="Y5817">
        <v>-0.4364017</v>
      </c>
      <c r="Z5817">
        <v>-3.4550289999999997E-2</v>
      </c>
      <c r="AA5817">
        <v>0.89908829999999995</v>
      </c>
      <c r="AB5817">
        <v>30</v>
      </c>
      <c r="AC5817">
        <v>58.673900000000003</v>
      </c>
      <c r="AD5817">
        <v>1.7712399999999999</v>
      </c>
      <c r="AE5817">
        <v>-24.223880099999999</v>
      </c>
      <c r="AF5817">
        <v>-27.775094477415902</v>
      </c>
      <c r="AG5817">
        <v>1.7712399999999999</v>
      </c>
      <c r="AH5817">
        <v>57.0236773038026</v>
      </c>
      <c r="AI5817">
        <v>88.4004280651165</v>
      </c>
      <c r="AJ5817">
        <v>115.969788392148</v>
      </c>
      <c r="AK5817">
        <v>63.453076659963401</v>
      </c>
      <c r="AL5817">
        <v>80.199668290102807</v>
      </c>
      <c r="AM5817">
        <v>95.364803560793106</v>
      </c>
      <c r="AN5817">
        <v>0.99999997583589095</v>
      </c>
    </row>
    <row r="5818" spans="1:40" x14ac:dyDescent="0.25">
      <c r="A5818" t="str">
        <f>"20190303170409384"</f>
        <v>20190303170409384</v>
      </c>
      <c r="B5818" t="str">
        <f>"1551603849371434"</f>
        <v>1551603849371434</v>
      </c>
      <c r="C5818" t="s">
        <v>40</v>
      </c>
      <c r="D5818">
        <v>5.022627</v>
      </c>
      <c r="E5818">
        <v>0.35585679999999997</v>
      </c>
      <c r="F5818" t="s">
        <v>97</v>
      </c>
      <c r="G5818">
        <v>-357.55430000000001</v>
      </c>
      <c r="H5818">
        <v>2.910765</v>
      </c>
      <c r="I5818">
        <v>0.32275769999999998</v>
      </c>
      <c r="J5818">
        <v>-416.86110000000002</v>
      </c>
      <c r="K5818">
        <v>1.134773</v>
      </c>
      <c r="L5818">
        <v>24.171690000000002</v>
      </c>
      <c r="M5818">
        <v>0.6765023</v>
      </c>
      <c r="N5818">
        <v>-1.5950990000000002E-2</v>
      </c>
      <c r="O5818">
        <v>-0.73626789999999998</v>
      </c>
      <c r="P5818">
        <v>0.72894720000000002</v>
      </c>
      <c r="Q5818">
        <v>0.1577355</v>
      </c>
      <c r="R5818">
        <v>-0.66614989999999996</v>
      </c>
      <c r="S5818">
        <v>3.0098880000000001</v>
      </c>
      <c r="T5818">
        <v>8.9806319999999995E-2</v>
      </c>
      <c r="U5818">
        <v>-1.2170099999999999</v>
      </c>
      <c r="V5818">
        <v>-9.1683749999999994E-2</v>
      </c>
      <c r="W5818">
        <v>0.17049990000000001</v>
      </c>
      <c r="X5818">
        <v>0.98108300000000004</v>
      </c>
      <c r="Y5818">
        <v>-0.42836419999999997</v>
      </c>
      <c r="Z5818">
        <v>-3.3884270000000001E-2</v>
      </c>
      <c r="AA5818">
        <v>0.90297070000000001</v>
      </c>
      <c r="AB5818">
        <v>30</v>
      </c>
      <c r="AC5818">
        <v>59.306800000000003</v>
      </c>
      <c r="AD5818">
        <v>1.77599199999999</v>
      </c>
      <c r="AE5818">
        <v>-23.848932300000001</v>
      </c>
      <c r="AF5818">
        <v>-27.514096860165701</v>
      </c>
      <c r="AG5818">
        <v>1.77599199999999</v>
      </c>
      <c r="AH5818">
        <v>57.6432266072839</v>
      </c>
      <c r="AI5818">
        <v>88.407299674412798</v>
      </c>
      <c r="AJ5818">
        <v>115.515940353552</v>
      </c>
      <c r="AK5818">
        <v>63.897740549360101</v>
      </c>
      <c r="AL5818">
        <v>80.183114333191995</v>
      </c>
      <c r="AM5818">
        <v>95.338874960609004</v>
      </c>
      <c r="AN5818">
        <v>0.999999989401536</v>
      </c>
    </row>
    <row r="5819" spans="1:40" x14ac:dyDescent="0.25">
      <c r="A5819" t="str">
        <f>"20190303170409397"</f>
        <v>20190303170409397</v>
      </c>
      <c r="B5819" t="str">
        <f>"1551603849391930"</f>
        <v>1551603849391930</v>
      </c>
      <c r="C5819" t="s">
        <v>40</v>
      </c>
      <c r="D5819">
        <v>5.0140630000000002</v>
      </c>
      <c r="E5819">
        <v>0.35610190000000003</v>
      </c>
      <c r="F5819" t="s">
        <v>98</v>
      </c>
      <c r="G5819">
        <v>-350.39</v>
      </c>
      <c r="H5819">
        <v>3.0906570000000002</v>
      </c>
      <c r="I5819">
        <v>-1.4374420000000001</v>
      </c>
      <c r="J5819">
        <v>-416.74849999999998</v>
      </c>
      <c r="K5819">
        <v>1.1347670000000001</v>
      </c>
      <c r="L5819">
        <v>24.059909999999999</v>
      </c>
      <c r="M5819">
        <v>0.6830001</v>
      </c>
      <c r="N5819">
        <v>-1.5953729999999999E-2</v>
      </c>
      <c r="O5819">
        <v>-0.73024429999999996</v>
      </c>
      <c r="P5819">
        <v>0.73457689999999998</v>
      </c>
      <c r="Q5819">
        <v>0.158001799999999</v>
      </c>
      <c r="R5819">
        <v>-0.65987309999999999</v>
      </c>
      <c r="S5819">
        <v>3.0296020000000001</v>
      </c>
      <c r="T5819">
        <v>8.9144710000000002E-2</v>
      </c>
      <c r="U5819">
        <v>-1.167206</v>
      </c>
      <c r="V5819">
        <v>-9.136814E-2</v>
      </c>
      <c r="W5819">
        <v>0.17078090000000001</v>
      </c>
      <c r="X5819">
        <v>0.98106360000000004</v>
      </c>
      <c r="Y5819">
        <v>-0.43525619999999998</v>
      </c>
      <c r="Z5819">
        <v>-3.349162E-2</v>
      </c>
      <c r="AA5819">
        <v>0.89968349999999897</v>
      </c>
      <c r="AB5819">
        <v>30</v>
      </c>
      <c r="AC5819">
        <v>66.358499999999907</v>
      </c>
      <c r="AD5819">
        <v>1.9558899999999999</v>
      </c>
      <c r="AE5819">
        <v>-25.497351999999999</v>
      </c>
      <c r="AF5819">
        <v>-31.0236829466476</v>
      </c>
      <c r="AG5819">
        <v>1.9558899999999999</v>
      </c>
      <c r="AH5819">
        <v>63.901911122971697</v>
      </c>
      <c r="AI5819">
        <v>88.4227990604616</v>
      </c>
      <c r="AJ5819">
        <v>115.896068901074</v>
      </c>
      <c r="AK5819">
        <v>71.061583534525795</v>
      </c>
      <c r="AL5819">
        <v>80.166774873832907</v>
      </c>
      <c r="AM5819">
        <v>95.320706804490797</v>
      </c>
      <c r="AN5819">
        <v>1.00000002002841</v>
      </c>
    </row>
    <row r="5820" spans="1:40" x14ac:dyDescent="0.25">
      <c r="A5820" t="str">
        <f>"20190303170409409"</f>
        <v>20190303170409409</v>
      </c>
      <c r="B5820" t="str">
        <f>"1551603849401220"</f>
        <v>1551603849401220</v>
      </c>
      <c r="C5820" t="s">
        <v>40</v>
      </c>
      <c r="D5820">
        <v>5.0576299999999996</v>
      </c>
      <c r="E5820">
        <v>0.35621380000000002</v>
      </c>
      <c r="F5820" t="s">
        <v>98</v>
      </c>
      <c r="G5820">
        <v>-350.39</v>
      </c>
      <c r="H5820">
        <v>3.0675119999999998</v>
      </c>
      <c r="I5820">
        <v>-0.89066579999999995</v>
      </c>
      <c r="J5820">
        <v>-416.61849999999998</v>
      </c>
      <c r="K5820">
        <v>1.13476</v>
      </c>
      <c r="L5820">
        <v>23.9346</v>
      </c>
      <c r="M5820">
        <v>0.69032720000000003</v>
      </c>
      <c r="N5820">
        <v>-1.5956049999999999E-2</v>
      </c>
      <c r="O5820">
        <v>-0.7233214</v>
      </c>
      <c r="P5820">
        <v>0.74080480000000004</v>
      </c>
      <c r="Q5820">
        <v>0.15824070000000001</v>
      </c>
      <c r="R5820">
        <v>-0.65281540000000005</v>
      </c>
      <c r="S5820">
        <v>3.0386350000000002</v>
      </c>
      <c r="T5820">
        <v>8.850276E-2</v>
      </c>
      <c r="U5820">
        <v>-1.142517</v>
      </c>
      <c r="V5820">
        <v>-9.082925E-2</v>
      </c>
      <c r="W5820">
        <v>0.17104159999999999</v>
      </c>
      <c r="X5820">
        <v>0.98106819999999895</v>
      </c>
      <c r="Y5820">
        <v>-0.43347920000000001</v>
      </c>
      <c r="Z5820">
        <v>-3.3032119999999998E-2</v>
      </c>
      <c r="AA5820">
        <v>0.90055790000000002</v>
      </c>
      <c r="AB5820">
        <v>30</v>
      </c>
      <c r="AC5820">
        <v>66.228499999999997</v>
      </c>
      <c r="AD5820">
        <v>1.932752</v>
      </c>
      <c r="AE5820">
        <v>-24.8252658</v>
      </c>
      <c r="AF5820">
        <v>-30.7478906747941</v>
      </c>
      <c r="AG5820">
        <v>1.932752</v>
      </c>
      <c r="AH5820">
        <v>63.6365661608545</v>
      </c>
      <c r="AI5820">
        <v>88.433534552555301</v>
      </c>
      <c r="AJ5820">
        <v>115.788885898125</v>
      </c>
      <c r="AK5820">
        <v>70.702056999689901</v>
      </c>
      <c r="AL5820">
        <v>80.1516145797316</v>
      </c>
      <c r="AM5820">
        <v>95.289479100207203</v>
      </c>
      <c r="AN5820">
        <v>0.99999999731868106</v>
      </c>
    </row>
    <row r="5821" spans="1:40" x14ac:dyDescent="0.25">
      <c r="A5821" t="str">
        <f>"20190303170409417"</f>
        <v>20190303170409417</v>
      </c>
      <c r="B5821" t="str">
        <f>"1551603849411956"</f>
        <v>1551603849411956</v>
      </c>
      <c r="C5821" t="s">
        <v>40</v>
      </c>
      <c r="D5821">
        <v>5.0433219999999999</v>
      </c>
      <c r="E5821">
        <v>0.35628949999999998</v>
      </c>
      <c r="F5821" t="s">
        <v>98</v>
      </c>
      <c r="G5821">
        <v>-350.54129999999998</v>
      </c>
      <c r="H5821">
        <v>3.0608420000000001</v>
      </c>
      <c r="I5821">
        <v>-0.20909449999999999</v>
      </c>
      <c r="J5821">
        <v>-416.53379999999999</v>
      </c>
      <c r="K5821">
        <v>1.1347560000000001</v>
      </c>
      <c r="L5821">
        <v>23.8537</v>
      </c>
      <c r="M5821">
        <v>0.69504869999999996</v>
      </c>
      <c r="N5821">
        <v>-1.5957430000000002E-2</v>
      </c>
      <c r="O5821">
        <v>-0.71878580000000003</v>
      </c>
      <c r="P5821">
        <v>0.74463230000000002</v>
      </c>
      <c r="Q5821">
        <v>0.15879689999999999</v>
      </c>
      <c r="R5821">
        <v>-0.64831079999999996</v>
      </c>
      <c r="S5821">
        <v>3.04895</v>
      </c>
      <c r="T5821">
        <v>8.8873740000000007E-2</v>
      </c>
      <c r="U5821">
        <v>-1.114044</v>
      </c>
      <c r="V5821">
        <v>-9.0285820000000003E-2</v>
      </c>
      <c r="W5821">
        <v>0.17161760000000001</v>
      </c>
      <c r="X5821">
        <v>0.98101780000000005</v>
      </c>
      <c r="Y5821">
        <v>-0.43597930000000001</v>
      </c>
      <c r="Z5821">
        <v>-3.2962499999999999E-2</v>
      </c>
      <c r="AA5821">
        <v>0.89935279999999995</v>
      </c>
      <c r="AB5821">
        <v>30</v>
      </c>
      <c r="AC5821">
        <v>65.992500000000007</v>
      </c>
      <c r="AD5821">
        <v>1.926086</v>
      </c>
      <c r="AE5821">
        <v>-24.062794499999999</v>
      </c>
      <c r="AF5821">
        <v>-30.690487389049501</v>
      </c>
      <c r="AG5821">
        <v>1.926086</v>
      </c>
      <c r="AH5821">
        <v>63.124566250348202</v>
      </c>
      <c r="AI5821">
        <v>88.428136109090701</v>
      </c>
      <c r="AJ5821">
        <v>115.92852406774099</v>
      </c>
      <c r="AK5821">
        <v>70.216285060884601</v>
      </c>
      <c r="AL5821">
        <v>80.118117201191296</v>
      </c>
      <c r="AM5821">
        <v>95.258278755035093</v>
      </c>
      <c r="AN5821">
        <v>1.0000000269198299</v>
      </c>
    </row>
    <row r="5822" spans="1:40" x14ac:dyDescent="0.25">
      <c r="A5822" t="str">
        <f>"20190303170409428"</f>
        <v>20190303170409428</v>
      </c>
      <c r="B5822" t="str">
        <f>"1551603849421716"</f>
        <v>1551603849421716</v>
      </c>
      <c r="C5822" t="s">
        <v>40</v>
      </c>
      <c r="D5822">
        <v>4.8804970000000001</v>
      </c>
      <c r="E5822">
        <v>0.35615770000000002</v>
      </c>
      <c r="F5822" t="s">
        <v>98</v>
      </c>
      <c r="G5822">
        <v>-350.54129999999998</v>
      </c>
      <c r="H5822">
        <v>3.069861</v>
      </c>
      <c r="I5822">
        <v>0.17644689999999999</v>
      </c>
      <c r="J5822">
        <v>-416.4316</v>
      </c>
      <c r="K5822">
        <v>1.134749</v>
      </c>
      <c r="L5822">
        <v>23.758089999999999</v>
      </c>
      <c r="M5822">
        <v>0.70065010000000005</v>
      </c>
      <c r="N5822">
        <v>-1.5958710000000001E-2</v>
      </c>
      <c r="O5822">
        <v>-0.71332680000000004</v>
      </c>
      <c r="P5822">
        <v>0.74970230000000004</v>
      </c>
      <c r="Q5822">
        <v>0.15835969999999999</v>
      </c>
      <c r="R5822">
        <v>-0.64254909999999998</v>
      </c>
      <c r="S5822">
        <v>3.0552670000000002</v>
      </c>
      <c r="T5822">
        <v>8.9590069999999994E-2</v>
      </c>
      <c r="U5822">
        <v>-1.0961909999999999</v>
      </c>
      <c r="V5822">
        <v>-9.0225349999999996E-2</v>
      </c>
      <c r="W5822">
        <v>0.1711858</v>
      </c>
      <c r="X5822">
        <v>0.98109880000000005</v>
      </c>
      <c r="Y5822">
        <v>-0.43418469999999998</v>
      </c>
      <c r="Z5822">
        <v>-3.2926589999999999E-2</v>
      </c>
      <c r="AA5822">
        <v>0.90022190000000002</v>
      </c>
      <c r="AB5822">
        <v>30</v>
      </c>
      <c r="AC5822">
        <v>65.890299999999996</v>
      </c>
      <c r="AD5822">
        <v>1.9351119999999999</v>
      </c>
      <c r="AE5822">
        <v>-23.581643100000001</v>
      </c>
      <c r="AF5822">
        <v>-30.459423722374002</v>
      </c>
      <c r="AG5822">
        <v>1.9351119999999999</v>
      </c>
      <c r="AH5822">
        <v>62.947345421229898</v>
      </c>
      <c r="AI5822">
        <v>88.414898555739001</v>
      </c>
      <c r="AJ5822">
        <v>115.82175220537501</v>
      </c>
      <c r="AK5822">
        <v>69.956339580707805</v>
      </c>
      <c r="AL5822">
        <v>80.143229111543206</v>
      </c>
      <c r="AM5822">
        <v>95.254345273758901</v>
      </c>
      <c r="AN5822">
        <v>1.0000000236328499</v>
      </c>
    </row>
    <row r="5823" spans="1:40" x14ac:dyDescent="0.25">
      <c r="A5823" t="str">
        <f>"20190303170409440"</f>
        <v>20190303170409440</v>
      </c>
      <c r="B5823" t="str">
        <f>"1551603849431476"</f>
        <v>1551603849431476</v>
      </c>
      <c r="C5823" t="s">
        <v>40</v>
      </c>
      <c r="D5823">
        <v>4.8845859999999997</v>
      </c>
      <c r="E5823">
        <v>0.35606719999999997</v>
      </c>
      <c r="F5823" t="s">
        <v>98</v>
      </c>
      <c r="G5823">
        <v>-348.99020000000002</v>
      </c>
      <c r="H5823">
        <v>3.0978669999999999</v>
      </c>
      <c r="I5823">
        <v>0.1659756</v>
      </c>
      <c r="J5823">
        <v>-416.32429999999999</v>
      </c>
      <c r="K5823">
        <v>1.134736</v>
      </c>
      <c r="L5823">
        <v>23.659030000000001</v>
      </c>
      <c r="M5823">
        <v>0.70644779999999996</v>
      </c>
      <c r="N5823">
        <v>-1.5959890000000001E-2</v>
      </c>
      <c r="O5823">
        <v>-0.70758520000000003</v>
      </c>
      <c r="P5823">
        <v>0.75508249999999999</v>
      </c>
      <c r="Q5823">
        <v>0.15741060000000001</v>
      </c>
      <c r="R5823">
        <v>-0.63645289999999999</v>
      </c>
      <c r="S5823">
        <v>3.0640869999999998</v>
      </c>
      <c r="T5823">
        <v>8.9191080000000006E-2</v>
      </c>
      <c r="U5823">
        <v>-1.071869</v>
      </c>
      <c r="V5823">
        <v>-9.0274510000000002E-2</v>
      </c>
      <c r="W5823">
        <v>0.17024049999999999</v>
      </c>
      <c r="X5823">
        <v>0.98125870000000004</v>
      </c>
      <c r="Y5823">
        <v>-0.43401980000000001</v>
      </c>
      <c r="Z5823">
        <v>-3.2583750000000002E-2</v>
      </c>
      <c r="AA5823">
        <v>0.9003139</v>
      </c>
      <c r="AB5823">
        <v>30</v>
      </c>
      <c r="AC5823">
        <v>67.334099999999907</v>
      </c>
      <c r="AD5823">
        <v>1.963131</v>
      </c>
      <c r="AE5823">
        <v>-23.493054399999998</v>
      </c>
      <c r="AF5823">
        <v>-31.028438091425201</v>
      </c>
      <c r="AG5823">
        <v>1.963131</v>
      </c>
      <c r="AH5823">
        <v>64.150928622035494</v>
      </c>
      <c r="AI5823">
        <v>88.421984662607201</v>
      </c>
      <c r="AJ5823">
        <v>115.81206531792699</v>
      </c>
      <c r="AK5823">
        <v>71.287863600938806</v>
      </c>
      <c r="AL5823">
        <v>80.1981972346844</v>
      </c>
      <c r="AM5823">
        <v>95.256340227250604</v>
      </c>
      <c r="AN5823">
        <v>0.99999997566083898</v>
      </c>
    </row>
    <row r="5824" spans="1:40" x14ac:dyDescent="0.25">
      <c r="A5824" t="str">
        <f>"20190303170409450"</f>
        <v>20190303170409450</v>
      </c>
      <c r="B5824" t="str">
        <f>"1551603849441237"</f>
        <v>1551603849441237</v>
      </c>
      <c r="C5824" t="s">
        <v>40</v>
      </c>
      <c r="D5824">
        <v>4.8957059999999997</v>
      </c>
      <c r="E5824">
        <v>0.35600890000000002</v>
      </c>
      <c r="F5824" t="s">
        <v>98</v>
      </c>
      <c r="G5824">
        <v>-347.78750000000002</v>
      </c>
      <c r="H5824">
        <v>3.063285</v>
      </c>
      <c r="I5824">
        <v>0.32270720000000003</v>
      </c>
      <c r="J5824">
        <v>-416.22269999999997</v>
      </c>
      <c r="K5824">
        <v>1.134722</v>
      </c>
      <c r="L5824">
        <v>23.56662</v>
      </c>
      <c r="M5824">
        <v>0.71186269999999996</v>
      </c>
      <c r="N5824">
        <v>-1.5960829999999999E-2</v>
      </c>
      <c r="O5824">
        <v>-0.70213740000000002</v>
      </c>
      <c r="P5824">
        <v>0.76037519999999903</v>
      </c>
      <c r="Q5824">
        <v>0.15634479999999901</v>
      </c>
      <c r="R5824">
        <v>-0.63038559999999999</v>
      </c>
      <c r="S5824">
        <v>3.0730590000000002</v>
      </c>
      <c r="T5824">
        <v>8.6472510000000002E-2</v>
      </c>
      <c r="U5824">
        <v>-1.0463559999999901</v>
      </c>
      <c r="V5824">
        <v>-9.0711239999999999E-2</v>
      </c>
      <c r="W5824">
        <v>0.16916489999999901</v>
      </c>
      <c r="X5824">
        <v>0.98140450000000001</v>
      </c>
      <c r="Y5824">
        <v>-0.43463420000000003</v>
      </c>
      <c r="Z5824">
        <v>-3.1640090000000003E-2</v>
      </c>
      <c r="AA5824">
        <v>0.90005109999999999</v>
      </c>
      <c r="AB5824">
        <v>30</v>
      </c>
      <c r="AC5824">
        <v>68.435199999999895</v>
      </c>
      <c r="AD5824">
        <v>1.928563</v>
      </c>
      <c r="AE5824">
        <v>-23.2439128</v>
      </c>
      <c r="AF5824">
        <v>-31.486030917037102</v>
      </c>
      <c r="AG5824">
        <v>1.928563</v>
      </c>
      <c r="AH5824">
        <v>64.998885876159093</v>
      </c>
      <c r="AI5824">
        <v>88.470409768862297</v>
      </c>
      <c r="AJ5824">
        <v>115.84595511898701</v>
      </c>
      <c r="AK5824">
        <v>72.249184516474301</v>
      </c>
      <c r="AL5824">
        <v>80.260732279979095</v>
      </c>
      <c r="AM5824">
        <v>95.280845665152995</v>
      </c>
      <c r="AN5824">
        <v>1.0000000425372899</v>
      </c>
    </row>
    <row r="5825" spans="1:40" x14ac:dyDescent="0.25">
      <c r="A5825" t="str">
        <f>"20190303170409461"</f>
        <v>20190303170409461</v>
      </c>
      <c r="B5825" t="str">
        <f>"1551603849451973"</f>
        <v>1551603849451973</v>
      </c>
      <c r="C5825" t="s">
        <v>40</v>
      </c>
      <c r="D5825">
        <v>4.9241650000000003</v>
      </c>
      <c r="E5825">
        <v>0.35601719999999998</v>
      </c>
      <c r="F5825" t="s">
        <v>98</v>
      </c>
      <c r="G5825">
        <v>-346.06779999999998</v>
      </c>
      <c r="H5825">
        <v>3.049506</v>
      </c>
      <c r="I5825">
        <v>0.32271290000000002</v>
      </c>
      <c r="J5825">
        <v>-416.11509999999998</v>
      </c>
      <c r="K5825">
        <v>1.1347069999999999</v>
      </c>
      <c r="L5825">
        <v>23.470580000000002</v>
      </c>
      <c r="M5825">
        <v>0.71750269999999905</v>
      </c>
      <c r="N5825">
        <v>-1.596154E-2</v>
      </c>
      <c r="O5825">
        <v>-0.69637299999999902</v>
      </c>
      <c r="P5825">
        <v>0.76594510000000005</v>
      </c>
      <c r="Q5825">
        <v>0.15524070000000001</v>
      </c>
      <c r="R5825">
        <v>-0.62388219999999905</v>
      </c>
      <c r="S5825">
        <v>3.0816650000000001</v>
      </c>
      <c r="T5825">
        <v>8.4110019999999994E-2</v>
      </c>
      <c r="U5825">
        <v>-1.0210269999999999</v>
      </c>
      <c r="V5825">
        <v>-9.1277869999999997E-2</v>
      </c>
      <c r="W5825">
        <v>0.16804669999999999</v>
      </c>
      <c r="X5825">
        <v>0.98154399999999997</v>
      </c>
      <c r="Y5825">
        <v>-0.43481789999999998</v>
      </c>
      <c r="Z5825">
        <v>-3.0783250000000002E-2</v>
      </c>
      <c r="AA5825">
        <v>0.89999209999999996</v>
      </c>
      <c r="AB5825">
        <v>30</v>
      </c>
      <c r="AC5825">
        <v>70.047300000000007</v>
      </c>
      <c r="AD5825">
        <v>1.9147989999999999</v>
      </c>
      <c r="AE5825">
        <v>-23.147867099999999</v>
      </c>
      <c r="AF5825">
        <v>-32.152825453167601</v>
      </c>
      <c r="AG5825">
        <v>1.9147989999999999</v>
      </c>
      <c r="AH5825">
        <v>66.342432099692402</v>
      </c>
      <c r="AI5825">
        <v>88.512203512839093</v>
      </c>
      <c r="AJ5825">
        <v>115.857124319758</v>
      </c>
      <c r="AK5825">
        <v>73.748145310472495</v>
      </c>
      <c r="AL5825">
        <v>80.325730394028795</v>
      </c>
      <c r="AM5825">
        <v>95.312893491369806</v>
      </c>
      <c r="AN5825">
        <v>0.99999998343431296</v>
      </c>
    </row>
    <row r="5826" spans="1:40" x14ac:dyDescent="0.25">
      <c r="A5826" t="str">
        <f>"20190303170409472"</f>
        <v>20190303170409472</v>
      </c>
      <c r="B5826" t="str">
        <f>"1551603849461733"</f>
        <v>1551603849461733</v>
      </c>
      <c r="C5826" t="s">
        <v>40</v>
      </c>
      <c r="D5826">
        <v>4.95235</v>
      </c>
      <c r="E5826">
        <v>0.35609359999999901</v>
      </c>
      <c r="F5826" t="s">
        <v>98</v>
      </c>
      <c r="G5826">
        <v>-344.19699999999898</v>
      </c>
      <c r="H5826">
        <v>3.0166759999999999</v>
      </c>
      <c r="I5826">
        <v>0.32245829999999998</v>
      </c>
      <c r="J5826">
        <v>-416.00409999999999</v>
      </c>
      <c r="K5826">
        <v>1.1346959999999999</v>
      </c>
      <c r="L5826">
        <v>23.37265</v>
      </c>
      <c r="M5826">
        <v>0.72324759999999999</v>
      </c>
      <c r="N5826">
        <v>-1.596214E-2</v>
      </c>
      <c r="O5826">
        <v>-0.69040429999999997</v>
      </c>
      <c r="P5826">
        <v>0.77154619999999996</v>
      </c>
      <c r="Q5826">
        <v>0.15431420000000001</v>
      </c>
      <c r="R5826">
        <v>-0.617174</v>
      </c>
      <c r="S5826">
        <v>3.090179</v>
      </c>
      <c r="T5826">
        <v>8.0864430000000001E-2</v>
      </c>
      <c r="U5826">
        <v>-0.99462890000000004</v>
      </c>
      <c r="V5826">
        <v>-9.1806180000000001E-2</v>
      </c>
      <c r="W5826">
        <v>0.16710649999999999</v>
      </c>
      <c r="X5826">
        <v>0.98165519999999995</v>
      </c>
      <c r="Y5826">
        <v>-0.4350851</v>
      </c>
      <c r="Z5826">
        <v>-2.9693529999999999E-2</v>
      </c>
      <c r="AA5826">
        <v>0.89989959999999902</v>
      </c>
      <c r="AB5826">
        <v>30</v>
      </c>
      <c r="AC5826">
        <v>71.807100000000005</v>
      </c>
      <c r="AD5826">
        <v>1.88198</v>
      </c>
      <c r="AE5826">
        <v>-23.050191699999999</v>
      </c>
      <c r="AF5826">
        <v>-32.8886469583557</v>
      </c>
      <c r="AG5826">
        <v>1.88198</v>
      </c>
      <c r="AH5826">
        <v>67.814679554155603</v>
      </c>
      <c r="AI5826">
        <v>88.569610377179401</v>
      </c>
      <c r="AJ5826">
        <v>115.872377949469</v>
      </c>
      <c r="AK5826">
        <v>75.392544130733299</v>
      </c>
      <c r="AL5826">
        <v>80.380372201561698</v>
      </c>
      <c r="AM5826">
        <v>95.3428648691512</v>
      </c>
      <c r="AN5826">
        <v>0.99999994435773898</v>
      </c>
    </row>
    <row r="5827" spans="1:40" x14ac:dyDescent="0.25">
      <c r="A5827" t="str">
        <f>"20190303170409484"</f>
        <v>20190303170409484</v>
      </c>
      <c r="B5827" t="str">
        <f>"1551603849471493"</f>
        <v>1551603849471493</v>
      </c>
      <c r="C5827" t="s">
        <v>40</v>
      </c>
      <c r="D5827">
        <v>4.9429179999999997</v>
      </c>
      <c r="E5827">
        <v>0.35617900000000002</v>
      </c>
      <c r="F5827" t="s">
        <v>98</v>
      </c>
      <c r="G5827">
        <v>-342.0591</v>
      </c>
      <c r="H5827">
        <v>2.9892889999999999</v>
      </c>
      <c r="I5827">
        <v>0.26979589999999998</v>
      </c>
      <c r="J5827">
        <v>-415.89339999999999</v>
      </c>
      <c r="K5827">
        <v>1.1346810000000001</v>
      </c>
      <c r="L5827">
        <v>23.277339999999999</v>
      </c>
      <c r="M5827">
        <v>0.72886619999999902</v>
      </c>
      <c r="N5827">
        <v>-1.5962380000000002E-2</v>
      </c>
      <c r="O5827">
        <v>-0.68447019999999903</v>
      </c>
      <c r="P5827">
        <v>0.77671899999999905</v>
      </c>
      <c r="Q5827">
        <v>0.1540907</v>
      </c>
      <c r="R5827">
        <v>-0.61070740000000001</v>
      </c>
      <c r="S5827">
        <v>3.0984189999999998</v>
      </c>
      <c r="T5827">
        <v>7.7710509999999997E-2</v>
      </c>
      <c r="U5827">
        <v>-0.96804809999999997</v>
      </c>
      <c r="V5827">
        <v>-9.2002169999999994E-2</v>
      </c>
      <c r="W5827">
        <v>0.166879</v>
      </c>
      <c r="X5827">
        <v>0.98167559999999998</v>
      </c>
      <c r="Y5827">
        <v>-0.435477</v>
      </c>
      <c r="Z5827">
        <v>-2.863868E-2</v>
      </c>
      <c r="AA5827">
        <v>0.89974419999999899</v>
      </c>
      <c r="AB5827">
        <v>30</v>
      </c>
      <c r="AC5827">
        <v>73.834299999999899</v>
      </c>
      <c r="AD5827">
        <v>1.854608</v>
      </c>
      <c r="AE5827">
        <v>-23.0075441</v>
      </c>
      <c r="AF5827">
        <v>-33.752845294208903</v>
      </c>
      <c r="AG5827">
        <v>1.854608</v>
      </c>
      <c r="AH5827">
        <v>69.532173593216697</v>
      </c>
      <c r="AI5827">
        <v>88.625452878382703</v>
      </c>
      <c r="AJ5827">
        <v>115.89322217425099</v>
      </c>
      <c r="AK5827">
        <v>77.313758807121005</v>
      </c>
      <c r="AL5827">
        <v>80.393593091706506</v>
      </c>
      <c r="AM5827">
        <v>95.354094107691694</v>
      </c>
      <c r="AN5827">
        <v>0.999999991780534</v>
      </c>
    </row>
    <row r="5828" spans="1:40" x14ac:dyDescent="0.25">
      <c r="A5828" t="str">
        <f>"20190303170409495"</f>
        <v>20190303170409495</v>
      </c>
      <c r="B5828" t="str">
        <f>"1551603849481253"</f>
        <v>1551603849481253</v>
      </c>
      <c r="C5828" t="s">
        <v>40</v>
      </c>
      <c r="D5828">
        <v>4.967854</v>
      </c>
      <c r="E5828">
        <v>0.35632320000000001</v>
      </c>
      <c r="F5828" t="s">
        <v>99</v>
      </c>
      <c r="G5828">
        <v>-282.38499999999999</v>
      </c>
      <c r="H5828">
        <v>4.4191589999999996</v>
      </c>
      <c r="I5828">
        <v>-17.25919</v>
      </c>
      <c r="J5828">
        <v>-415.77780000000001</v>
      </c>
      <c r="K5828">
        <v>1.134668</v>
      </c>
      <c r="L5828">
        <v>23.178439999999998</v>
      </c>
      <c r="M5828">
        <v>0.73467069999999901</v>
      </c>
      <c r="N5828">
        <v>-1.5962690000000002E-2</v>
      </c>
      <c r="O5828">
        <v>-0.6782359</v>
      </c>
      <c r="P5828">
        <v>0.78171859999999904</v>
      </c>
      <c r="Q5828">
        <v>0.1542666</v>
      </c>
      <c r="R5828">
        <v>-0.60424999999999995</v>
      </c>
      <c r="S5828">
        <v>3.1057739999999998</v>
      </c>
      <c r="T5828">
        <v>7.6405999999999905E-2</v>
      </c>
      <c r="U5828">
        <v>-0.94299319999999998</v>
      </c>
      <c r="V5828">
        <v>-9.1751589999999994E-2</v>
      </c>
      <c r="W5828">
        <v>0.1670661</v>
      </c>
      <c r="X5828">
        <v>0.98166719999999996</v>
      </c>
      <c r="Y5828">
        <v>-0.43506400000000001</v>
      </c>
      <c r="Z5828">
        <v>-2.8061559999999999E-2</v>
      </c>
      <c r="AA5828">
        <v>0.89996209999999899</v>
      </c>
      <c r="AB5828">
        <v>30</v>
      </c>
      <c r="AC5828">
        <v>133.39279999999999</v>
      </c>
      <c r="AD5828">
        <v>3.284491</v>
      </c>
      <c r="AE5828">
        <v>-40.437629999999999</v>
      </c>
      <c r="AF5828">
        <v>-60.737468916717503</v>
      </c>
      <c r="AG5828">
        <v>3.284491</v>
      </c>
      <c r="AH5828">
        <v>125.372417524097</v>
      </c>
      <c r="AI5828">
        <v>88.649396452399003</v>
      </c>
      <c r="AJ5828">
        <v>115.848164596476</v>
      </c>
      <c r="AK5828">
        <v>139.34873909503</v>
      </c>
      <c r="AL5828">
        <v>80.382720143985907</v>
      </c>
      <c r="AM5828">
        <v>95.339641355904803</v>
      </c>
      <c r="AN5828">
        <v>0.99999996379628797</v>
      </c>
    </row>
    <row r="5829" spans="1:40" x14ac:dyDescent="0.25">
      <c r="A5829" t="str">
        <f>"20190303170409507"</f>
        <v>20190303170409507</v>
      </c>
      <c r="B5829" t="str">
        <f>"1551603849501164"</f>
        <v>1551603849501164</v>
      </c>
      <c r="C5829" t="s">
        <v>40</v>
      </c>
      <c r="D5829">
        <v>4.9810660000000002</v>
      </c>
      <c r="E5829">
        <v>0.35673690000000002</v>
      </c>
      <c r="F5829" t="s">
        <v>100</v>
      </c>
      <c r="G5829">
        <v>-279.55990000000003</v>
      </c>
      <c r="H5829">
        <v>4.5298189999999998</v>
      </c>
      <c r="I5829">
        <v>-16.98865</v>
      </c>
      <c r="J5829">
        <v>-415.66370000000001</v>
      </c>
      <c r="K5829">
        <v>1.1346579999999999</v>
      </c>
      <c r="L5829">
        <v>23.083680000000001</v>
      </c>
      <c r="M5829">
        <v>0.74027940000000003</v>
      </c>
      <c r="N5829">
        <v>-1.596245E-2</v>
      </c>
      <c r="O5829">
        <v>-0.67210999999999999</v>
      </c>
      <c r="P5829">
        <v>0.78649290000000005</v>
      </c>
      <c r="Q5829">
        <v>0.15478329999999901</v>
      </c>
      <c r="R5829">
        <v>-0.59788889999999995</v>
      </c>
      <c r="S5829">
        <v>3.1128849999999999</v>
      </c>
      <c r="T5829">
        <v>7.7586769999999999E-2</v>
      </c>
      <c r="U5829">
        <v>-0.91790769999999999</v>
      </c>
      <c r="V5829">
        <v>-9.150316E-2</v>
      </c>
      <c r="W5829">
        <v>0.1675922</v>
      </c>
      <c r="X5829">
        <v>0.98160080000000005</v>
      </c>
      <c r="Y5829">
        <v>-0.4348091</v>
      </c>
      <c r="Z5829">
        <v>-2.8136629999999999E-2</v>
      </c>
      <c r="AA5829">
        <v>0.90008290000000002</v>
      </c>
      <c r="AB5829">
        <v>30</v>
      </c>
      <c r="AC5829">
        <v>136.10379999999901</v>
      </c>
      <c r="AD5829">
        <v>3.3951609999999999</v>
      </c>
      <c r="AE5829">
        <v>-40.072330000000001</v>
      </c>
      <c r="AF5829">
        <v>-61.784493650845398</v>
      </c>
      <c r="AG5829">
        <v>3.3951609999999999</v>
      </c>
      <c r="AH5829">
        <v>127.63102248769199</v>
      </c>
      <c r="AI5829">
        <v>88.628403466823102</v>
      </c>
      <c r="AJ5829">
        <v>115.831011499425</v>
      </c>
      <c r="AK5829">
        <v>141.839799334182</v>
      </c>
      <c r="AL5829">
        <v>80.352146628255298</v>
      </c>
      <c r="AM5829">
        <v>95.325624930235605</v>
      </c>
      <c r="AN5829">
        <v>1.00000005217573</v>
      </c>
    </row>
    <row r="5830" spans="1:40" x14ac:dyDescent="0.25">
      <c r="A5830" t="str">
        <f>"20190303170409518"</f>
        <v>20190303170409518</v>
      </c>
      <c r="B5830" t="str">
        <f>"1551603849511900"</f>
        <v>1551603849511900</v>
      </c>
      <c r="C5830" t="s">
        <v>40</v>
      </c>
      <c r="D5830">
        <v>4.9821960000000001</v>
      </c>
      <c r="E5830">
        <v>0.35694320000000002</v>
      </c>
      <c r="F5830" t="s">
        <v>100</v>
      </c>
      <c r="G5830">
        <v>-279.55990000000003</v>
      </c>
      <c r="H5830">
        <v>4.6241019999999997</v>
      </c>
      <c r="I5830">
        <v>-15.986370000000001</v>
      </c>
      <c r="J5830">
        <v>-415.54849999999999</v>
      </c>
      <c r="K5830">
        <v>1.134652</v>
      </c>
      <c r="L5830">
        <v>22.988769999999999</v>
      </c>
      <c r="M5830">
        <v>0.7458728</v>
      </c>
      <c r="N5830">
        <v>-1.5962250000000001E-2</v>
      </c>
      <c r="O5830">
        <v>-0.66589730000000003</v>
      </c>
      <c r="P5830">
        <v>0.79130959999999995</v>
      </c>
      <c r="Q5830">
        <v>0.15518100000000001</v>
      </c>
      <c r="R5830">
        <v>-0.59139540000000002</v>
      </c>
      <c r="S5830">
        <v>3.1181950000000001</v>
      </c>
      <c r="T5830">
        <v>7.9944609999999999E-2</v>
      </c>
      <c r="U5830">
        <v>-0.89511109999999905</v>
      </c>
      <c r="V5830">
        <v>-9.1331540000000003E-2</v>
      </c>
      <c r="W5830">
        <v>0.167997799999999</v>
      </c>
      <c r="X5830">
        <v>0.98154739999999996</v>
      </c>
      <c r="Y5830">
        <v>-0.43374770000000001</v>
      </c>
      <c r="Z5830">
        <v>-2.8510420000000002E-2</v>
      </c>
      <c r="AA5830">
        <v>0.90058320000000003</v>
      </c>
      <c r="AB5830">
        <v>30</v>
      </c>
      <c r="AC5830">
        <v>135.988599999999</v>
      </c>
      <c r="AD5830">
        <v>3.4894500000000002</v>
      </c>
      <c r="AE5830">
        <v>-38.975140000000003</v>
      </c>
      <c r="AF5830">
        <v>-61.454379828295401</v>
      </c>
      <c r="AG5830">
        <v>3.4894500000000002</v>
      </c>
      <c r="AH5830">
        <v>127.32238512212</v>
      </c>
      <c r="AI5830">
        <v>88.586125735613706</v>
      </c>
      <c r="AJ5830">
        <v>115.765094329769</v>
      </c>
      <c r="AK5830">
        <v>141.420673222017</v>
      </c>
      <c r="AL5830">
        <v>80.328572772143303</v>
      </c>
      <c r="AM5830">
        <v>95.315981191391799</v>
      </c>
      <c r="AN5830">
        <v>1.00000000472518</v>
      </c>
    </row>
    <row r="5831" spans="1:40" x14ac:dyDescent="0.25">
      <c r="A5831" t="str">
        <f>"20190303170409528"</f>
        <v>20190303170409528</v>
      </c>
      <c r="B5831" t="str">
        <f>"1551603849521660"</f>
        <v>1551603849521660</v>
      </c>
      <c r="C5831" t="s">
        <v>40</v>
      </c>
      <c r="D5831">
        <v>5.0085259999999998</v>
      </c>
      <c r="E5831">
        <v>0.35716379999999998</v>
      </c>
      <c r="F5831" t="s">
        <v>100</v>
      </c>
      <c r="G5831">
        <v>-279.55990000000003</v>
      </c>
      <c r="H5831">
        <v>4.6797069999999996</v>
      </c>
      <c r="I5831">
        <v>-14.903689999999999</v>
      </c>
      <c r="J5831">
        <v>-415.4357</v>
      </c>
      <c r="K5831">
        <v>1.1346400000000001</v>
      </c>
      <c r="L5831">
        <v>22.897860000000001</v>
      </c>
      <c r="M5831">
        <v>0.7512529</v>
      </c>
      <c r="N5831">
        <v>-1.596177E-2</v>
      </c>
      <c r="O5831">
        <v>-0.6598214</v>
      </c>
      <c r="P5831">
        <v>0.79569519999999905</v>
      </c>
      <c r="Q5831">
        <v>0.15551960000000001</v>
      </c>
      <c r="R5831">
        <v>-0.58539140000000001</v>
      </c>
      <c r="S5831">
        <v>3.1245419999999999</v>
      </c>
      <c r="T5831">
        <v>8.145297E-2</v>
      </c>
      <c r="U5831">
        <v>-0.87063599999999997</v>
      </c>
      <c r="V5831">
        <v>-9.0752050000000001E-2</v>
      </c>
      <c r="W5831">
        <v>0.16835739999999999</v>
      </c>
      <c r="X5831">
        <v>0.98153950000000001</v>
      </c>
      <c r="Y5831">
        <v>-0.43344480000000002</v>
      </c>
      <c r="Z5831">
        <v>-2.8662719999999999E-2</v>
      </c>
      <c r="AA5831">
        <v>0.90072419999999997</v>
      </c>
      <c r="AB5831">
        <v>30</v>
      </c>
      <c r="AC5831">
        <v>135.875799999999</v>
      </c>
      <c r="AD5831">
        <v>3.5450669999999902</v>
      </c>
      <c r="AE5831">
        <v>-37.801549999999999</v>
      </c>
      <c r="AF5831">
        <v>-61.2243596316493</v>
      </c>
      <c r="AG5831">
        <v>3.5450669999999902</v>
      </c>
      <c r="AH5831">
        <v>126.955333864011</v>
      </c>
      <c r="AI5831">
        <v>88.559214112063003</v>
      </c>
      <c r="AJ5831">
        <v>115.74574397741</v>
      </c>
      <c r="AK5831">
        <v>140.991654039743</v>
      </c>
      <c r="AL5831">
        <v>80.307671161250894</v>
      </c>
      <c r="AM5831">
        <v>95.282485482851897</v>
      </c>
      <c r="AN5831">
        <v>0.999999969387105</v>
      </c>
    </row>
    <row r="5832" spans="1:40" x14ac:dyDescent="0.25">
      <c r="A5832" t="str">
        <f>"20190303170409540"</f>
        <v>20190303170409540</v>
      </c>
      <c r="B5832" t="str">
        <f>"1551603849531420"</f>
        <v>1551603849531420</v>
      </c>
      <c r="C5832" t="s">
        <v>40</v>
      </c>
      <c r="D5832">
        <v>5.0351710000000001</v>
      </c>
      <c r="E5832">
        <v>0.35716379999999998</v>
      </c>
      <c r="F5832" t="s">
        <v>100</v>
      </c>
      <c r="G5832">
        <v>-279.55990000000003</v>
      </c>
      <c r="H5832">
        <v>4.6983119999999996</v>
      </c>
      <c r="I5832">
        <v>-13.94637</v>
      </c>
      <c r="J5832">
        <v>-415.32470000000001</v>
      </c>
      <c r="K5832">
        <v>1.13463</v>
      </c>
      <c r="L5832">
        <v>22.80969</v>
      </c>
      <c r="M5832">
        <v>0.75647209999999998</v>
      </c>
      <c r="N5832">
        <v>-1.596117E-2</v>
      </c>
      <c r="O5832">
        <v>-0.65383119999999995</v>
      </c>
      <c r="P5832">
        <v>0.80009300000000005</v>
      </c>
      <c r="Q5832">
        <v>0.15543609999999999</v>
      </c>
      <c r="R5832">
        <v>-0.57938829999999997</v>
      </c>
      <c r="S5832">
        <v>3.1298520000000001</v>
      </c>
      <c r="T5832">
        <v>8.208799E-2</v>
      </c>
      <c r="U5832">
        <v>-0.84869380000000005</v>
      </c>
      <c r="V5832">
        <v>-9.0339370000000002E-2</v>
      </c>
      <c r="W5832">
        <v>0.16828969999999999</v>
      </c>
      <c r="X5832">
        <v>0.98158920000000005</v>
      </c>
      <c r="Y5832">
        <v>-0.43255120000000002</v>
      </c>
      <c r="Z5832">
        <v>-2.8589779999999999E-2</v>
      </c>
      <c r="AA5832">
        <v>0.90115599999999996</v>
      </c>
      <c r="AB5832">
        <v>30</v>
      </c>
      <c r="AC5832">
        <v>135.76479999999901</v>
      </c>
      <c r="AD5832">
        <v>3.563682</v>
      </c>
      <c r="AE5832">
        <v>-36.756059999999998</v>
      </c>
      <c r="AF5832">
        <v>-60.930979093700898</v>
      </c>
      <c r="AG5832">
        <v>3.563682</v>
      </c>
      <c r="AH5832">
        <v>126.669370531499</v>
      </c>
      <c r="AI5832">
        <v>88.547687060670896</v>
      </c>
      <c r="AJ5832">
        <v>115.68866080826101</v>
      </c>
      <c r="AK5832">
        <v>140.607302347923</v>
      </c>
      <c r="AL5832">
        <v>80.311606445658796</v>
      </c>
      <c r="AM5832">
        <v>95.258334462106504</v>
      </c>
      <c r="AN5832">
        <v>0.99999999122736305</v>
      </c>
    </row>
    <row r="5833" spans="1:40" x14ac:dyDescent="0.25">
      <c r="A5833" t="str">
        <f>"20190303170409550"</f>
        <v>20190303170409550</v>
      </c>
      <c r="B5833" t="str">
        <f>"1551603849541180"</f>
        <v>1551603849541180</v>
      </c>
      <c r="C5833" t="s">
        <v>40</v>
      </c>
      <c r="D5833">
        <v>5.0245139999999999</v>
      </c>
      <c r="E5833">
        <v>0.37270189999999997</v>
      </c>
      <c r="F5833" t="s">
        <v>45</v>
      </c>
      <c r="G5833">
        <v>-351.11189999999999</v>
      </c>
      <c r="H5833">
        <v>2.7945959999999999</v>
      </c>
      <c r="I5833">
        <v>5.9098319999999998</v>
      </c>
      <c r="J5833">
        <v>-415.21050000000002</v>
      </c>
      <c r="K5833">
        <v>1.1346149999999999</v>
      </c>
      <c r="L5833">
        <v>22.720400000000001</v>
      </c>
      <c r="M5833">
        <v>0.76176119999999903</v>
      </c>
      <c r="N5833">
        <v>-1.5960390000000001E-2</v>
      </c>
      <c r="O5833">
        <v>-0.6476613</v>
      </c>
      <c r="P5833">
        <v>0.80480890000000005</v>
      </c>
      <c r="Q5833">
        <v>0.1551276</v>
      </c>
      <c r="R5833">
        <v>-0.57290319999999995</v>
      </c>
      <c r="S5833">
        <v>3.1361080000000001</v>
      </c>
      <c r="T5833">
        <v>8.1071729999999995E-2</v>
      </c>
      <c r="U5833">
        <v>-0.82537839999999996</v>
      </c>
      <c r="V5833">
        <v>-9.0317449999999994E-2</v>
      </c>
      <c r="W5833">
        <v>0.16798469999999999</v>
      </c>
      <c r="X5833">
        <v>0.9816435</v>
      </c>
      <c r="Y5833">
        <v>-0.4319481</v>
      </c>
      <c r="Z5833">
        <v>-2.8086420000000001E-2</v>
      </c>
      <c r="AA5833">
        <v>0.90146110000000002</v>
      </c>
      <c r="AB5833">
        <v>30</v>
      </c>
      <c r="AC5833">
        <v>64.098600000000005</v>
      </c>
      <c r="AD5833">
        <v>1.6599809999999999</v>
      </c>
      <c r="AE5833">
        <v>-16.810568</v>
      </c>
      <c r="AF5833">
        <v>-28.694195206878302</v>
      </c>
      <c r="AG5833">
        <v>1.6599809999999999</v>
      </c>
      <c r="AH5833">
        <v>59.685534169290001</v>
      </c>
      <c r="AI5833">
        <v>88.564132462953495</v>
      </c>
      <c r="AJ5833">
        <v>115.67621283237099</v>
      </c>
      <c r="AK5833">
        <v>66.245568640960997</v>
      </c>
      <c r="AL5833">
        <v>80.329334425435107</v>
      </c>
      <c r="AM5833">
        <v>95.256776558751199</v>
      </c>
      <c r="AN5833">
        <v>1.00000003115042</v>
      </c>
    </row>
    <row r="5834" spans="1:40" x14ac:dyDescent="0.25">
      <c r="A5834" t="str">
        <f>"20190303170409562"</f>
        <v>20190303170409562</v>
      </c>
      <c r="B5834" t="str">
        <f>"1551603849551915"</f>
        <v>1551603849551915</v>
      </c>
      <c r="C5834" t="s">
        <v>40</v>
      </c>
      <c r="D5834">
        <v>5.0277320000000003</v>
      </c>
      <c r="E5834">
        <v>0.37377850000000001</v>
      </c>
      <c r="F5834" t="s">
        <v>100</v>
      </c>
      <c r="G5834">
        <v>-279.02</v>
      </c>
      <c r="H5834">
        <v>3.756688</v>
      </c>
      <c r="I5834">
        <v>-17.22945</v>
      </c>
      <c r="J5834">
        <v>-415.09519999999998</v>
      </c>
      <c r="K5834">
        <v>1.1345989999999999</v>
      </c>
      <c r="L5834">
        <v>22.631959999999999</v>
      </c>
      <c r="M5834">
        <v>0.76701409999999903</v>
      </c>
      <c r="N5834">
        <v>-1.595947E-2</v>
      </c>
      <c r="O5834">
        <v>-0.641432</v>
      </c>
      <c r="P5834">
        <v>0.8095</v>
      </c>
      <c r="Q5834">
        <v>0.15463250000000001</v>
      </c>
      <c r="R5834">
        <v>-0.56639119999999998</v>
      </c>
      <c r="S5834">
        <v>3.074249</v>
      </c>
      <c r="T5834">
        <v>5.9188490000000003E-2</v>
      </c>
      <c r="U5834">
        <v>-0.9017944</v>
      </c>
      <c r="V5834">
        <v>-9.0276899999999993E-2</v>
      </c>
      <c r="W5834">
        <v>0.16749339999999999</v>
      </c>
      <c r="X5834">
        <v>0.98173109999999997</v>
      </c>
      <c r="Y5834">
        <v>-0.39928049999999998</v>
      </c>
      <c r="Z5834">
        <v>-2.248646E-2</v>
      </c>
      <c r="AA5834">
        <v>0.91655299999999995</v>
      </c>
      <c r="AB5834">
        <v>30</v>
      </c>
      <c r="AC5834">
        <v>136.0752</v>
      </c>
      <c r="AD5834">
        <v>2.6220889999999999</v>
      </c>
      <c r="AE5834">
        <v>-39.861409999999999</v>
      </c>
      <c r="AF5834">
        <v>-56.696549491235402</v>
      </c>
      <c r="AG5834">
        <v>2.6220889999999999</v>
      </c>
      <c r="AH5834">
        <v>129.91208445234</v>
      </c>
      <c r="AI5834">
        <v>88.940227257878206</v>
      </c>
      <c r="AJ5834">
        <v>113.57753664439799</v>
      </c>
      <c r="AK5834">
        <v>141.769262400874</v>
      </c>
      <c r="AL5834">
        <v>80.357887671223494</v>
      </c>
      <c r="AM5834">
        <v>95.253963397698797</v>
      </c>
      <c r="AN5834">
        <v>0.99999995521218898</v>
      </c>
    </row>
    <row r="5835" spans="1:40" x14ac:dyDescent="0.25">
      <c r="A5835" t="str">
        <f>"20190303170409574"</f>
        <v>20190303170409574</v>
      </c>
      <c r="B5835" t="str">
        <f>"1551603849561675"</f>
        <v>1551603849561675</v>
      </c>
      <c r="C5835" t="s">
        <v>40</v>
      </c>
      <c r="D5835">
        <v>5.0342190000000002</v>
      </c>
      <c r="E5835">
        <v>0.37468499999999999</v>
      </c>
      <c r="F5835" t="s">
        <v>100</v>
      </c>
      <c r="G5835">
        <v>-279.02</v>
      </c>
      <c r="H5835">
        <v>3.4426339999999902</v>
      </c>
      <c r="I5835">
        <v>-16.467759999999998</v>
      </c>
      <c r="J5835">
        <v>-414.96719999999999</v>
      </c>
      <c r="K5835">
        <v>1.134584</v>
      </c>
      <c r="L5835">
        <v>22.53491</v>
      </c>
      <c r="M5835">
        <v>0.77276160000000005</v>
      </c>
      <c r="N5835">
        <v>-1.5958529999999999E-2</v>
      </c>
      <c r="O5835">
        <v>-0.6344957</v>
      </c>
      <c r="P5835">
        <v>0.81468109999999905</v>
      </c>
      <c r="Q5835">
        <v>0.15424019999999999</v>
      </c>
      <c r="R5835">
        <v>-0.5590214</v>
      </c>
      <c r="S5835">
        <v>3.0773619999999999</v>
      </c>
      <c r="T5835">
        <v>5.2196619999999999E-2</v>
      </c>
      <c r="U5835">
        <v>-0.8842468</v>
      </c>
      <c r="V5835">
        <v>-9.0370549999999994E-2</v>
      </c>
      <c r="W5835">
        <v>0.16710139999999901</v>
      </c>
      <c r="X5835">
        <v>0.98178940000000003</v>
      </c>
      <c r="Y5835">
        <v>-0.39614339999999998</v>
      </c>
      <c r="Z5835">
        <v>-2.0522149999999999E-2</v>
      </c>
      <c r="AA5835">
        <v>0.91795930000000003</v>
      </c>
      <c r="AB5835">
        <v>30</v>
      </c>
      <c r="AC5835">
        <v>135.94720000000001</v>
      </c>
      <c r="AD5835">
        <v>2.3080500000000002</v>
      </c>
      <c r="AE5835">
        <v>-39.002670000000002</v>
      </c>
      <c r="AF5835">
        <v>-56.110353491627997</v>
      </c>
      <c r="AG5835">
        <v>2.3080500000000002</v>
      </c>
      <c r="AH5835">
        <v>129.78377306497899</v>
      </c>
      <c r="AI5835">
        <v>89.064811867120497</v>
      </c>
      <c r="AJ5835">
        <v>113.38062424012701</v>
      </c>
      <c r="AK5835">
        <v>141.41261122948001</v>
      </c>
      <c r="AL5835">
        <v>80.380669798076497</v>
      </c>
      <c r="AM5835">
        <v>95.259072562750802</v>
      </c>
      <c r="AN5835">
        <v>1.0000000700708001</v>
      </c>
    </row>
    <row r="5836" spans="1:40" x14ac:dyDescent="0.25">
      <c r="A5836" t="str">
        <f>"20190303170409587"</f>
        <v>20190303170409587</v>
      </c>
      <c r="B5836" t="str">
        <f>"1551603849571437"</f>
        <v>1551603849571437</v>
      </c>
      <c r="C5836" t="s">
        <v>40</v>
      </c>
      <c r="D5836">
        <v>5.0164049999999998</v>
      </c>
      <c r="E5836">
        <v>0.3757064</v>
      </c>
      <c r="F5836" t="s">
        <v>100</v>
      </c>
      <c r="G5836">
        <v>-279.02</v>
      </c>
      <c r="H5836">
        <v>3.0053109999999998</v>
      </c>
      <c r="I5836">
        <v>-15.504020000000001</v>
      </c>
      <c r="J5836">
        <v>-414.84769999999997</v>
      </c>
      <c r="K5836">
        <v>1.1345719999999999</v>
      </c>
      <c r="L5836">
        <v>22.446929999999998</v>
      </c>
      <c r="M5836">
        <v>0.77801619999999905</v>
      </c>
      <c r="N5836">
        <v>-1.5957160000000001E-2</v>
      </c>
      <c r="O5836">
        <v>-0.62804139999999997</v>
      </c>
      <c r="P5836">
        <v>0.81907790000000003</v>
      </c>
      <c r="Q5836">
        <v>0.15447939999999999</v>
      </c>
      <c r="R5836">
        <v>-0.55249209999999904</v>
      </c>
      <c r="S5836">
        <v>3.0825499999999999</v>
      </c>
      <c r="T5836">
        <v>4.2417999999999997E-2</v>
      </c>
      <c r="U5836">
        <v>-0.86251829999999996</v>
      </c>
      <c r="V5836">
        <v>-9.0018319999999999E-2</v>
      </c>
      <c r="W5836">
        <v>0.16735329999999901</v>
      </c>
      <c r="X5836">
        <v>0.98177879999999995</v>
      </c>
      <c r="Y5836">
        <v>-0.39496579999999998</v>
      </c>
      <c r="Z5836">
        <v>-1.7910160000000001E-2</v>
      </c>
      <c r="AA5836">
        <v>0.91852120000000004</v>
      </c>
      <c r="AB5836">
        <v>30</v>
      </c>
      <c r="AC5836">
        <v>135.82769999999999</v>
      </c>
      <c r="AD5836">
        <v>1.8707389999999999</v>
      </c>
      <c r="AE5836">
        <v>-37.950949999999999</v>
      </c>
      <c r="AF5836">
        <v>-55.776258185828098</v>
      </c>
      <c r="AG5836">
        <v>1.8707389999999999</v>
      </c>
      <c r="AH5836">
        <v>129.50463402556099</v>
      </c>
      <c r="AI5836">
        <v>89.239891656133196</v>
      </c>
      <c r="AJ5836">
        <v>113.301026794889</v>
      </c>
      <c r="AK5836">
        <v>141.017519747416</v>
      </c>
      <c r="AL5836">
        <v>80.366030350700896</v>
      </c>
      <c r="AM5836">
        <v>95.238745216066704</v>
      </c>
      <c r="AN5836">
        <v>1.00000001854297</v>
      </c>
    </row>
    <row r="5837" spans="1:40" x14ac:dyDescent="0.25">
      <c r="A5837" t="str">
        <f>"20190303170409599"</f>
        <v>20190303170409599</v>
      </c>
      <c r="B5837" t="str">
        <f>"1551603849591933"</f>
        <v>1551603849591933</v>
      </c>
      <c r="C5837" t="s">
        <v>40</v>
      </c>
      <c r="D5837">
        <v>5.0288909999999998</v>
      </c>
      <c r="E5837">
        <v>0.37673990000000002</v>
      </c>
      <c r="F5837" t="s">
        <v>100</v>
      </c>
      <c r="G5837">
        <v>-279.02</v>
      </c>
      <c r="H5837">
        <v>2.7122250000000001</v>
      </c>
      <c r="I5837">
        <v>-14.748889999999999</v>
      </c>
      <c r="J5837">
        <v>-414.71660000000003</v>
      </c>
      <c r="K5837">
        <v>1.134558</v>
      </c>
      <c r="L5837">
        <v>22.351379999999999</v>
      </c>
      <c r="M5837">
        <v>0.78370030000000002</v>
      </c>
      <c r="N5837">
        <v>-1.595566E-2</v>
      </c>
      <c r="O5837">
        <v>-0.62093430000000005</v>
      </c>
      <c r="P5837">
        <v>0.82372409999999996</v>
      </c>
      <c r="Q5837">
        <v>0.15533139999999901</v>
      </c>
      <c r="R5837">
        <v>-0.54529879999999997</v>
      </c>
      <c r="S5837">
        <v>3.0859070000000002</v>
      </c>
      <c r="T5837">
        <v>3.5843130000000001E-2</v>
      </c>
      <c r="U5837">
        <v>-0.84506229999999904</v>
      </c>
      <c r="V5837">
        <v>-8.9599479999999995E-2</v>
      </c>
      <c r="W5837">
        <v>0.1682197</v>
      </c>
      <c r="X5837">
        <v>0.98166900000000001</v>
      </c>
      <c r="Y5837">
        <v>-0.39172750000000001</v>
      </c>
      <c r="Z5837">
        <v>-1.6103019999999999E-2</v>
      </c>
      <c r="AA5837">
        <v>0.91994039999999999</v>
      </c>
      <c r="AB5837">
        <v>30</v>
      </c>
      <c r="AC5837">
        <v>135.69659999999999</v>
      </c>
      <c r="AD5837">
        <v>1.5776669999999999</v>
      </c>
      <c r="AE5837">
        <v>-37.100270000000002</v>
      </c>
      <c r="AF5837">
        <v>-55.183261681871599</v>
      </c>
      <c r="AG5837">
        <v>1.5776669999999999</v>
      </c>
      <c r="AH5837">
        <v>129.38248640544001</v>
      </c>
      <c r="AI5837">
        <v>89.357384029790097</v>
      </c>
      <c r="AJ5837">
        <v>113.098858938524</v>
      </c>
      <c r="AK5837">
        <v>140.66808163711701</v>
      </c>
      <c r="AL5837">
        <v>80.315675045069199</v>
      </c>
      <c r="AM5837">
        <v>95.215084935040196</v>
      </c>
      <c r="AN5837">
        <v>0.99999997992267997</v>
      </c>
    </row>
    <row r="5838" spans="1:40" x14ac:dyDescent="0.25">
      <c r="A5838" t="str">
        <f>"20190303170409610"</f>
        <v>20190303170409610</v>
      </c>
      <c r="B5838" t="str">
        <f>"1551603849601222"</f>
        <v>1551603849601222</v>
      </c>
      <c r="C5838" t="s">
        <v>40</v>
      </c>
      <c r="D5838">
        <v>5.0604060000000004</v>
      </c>
      <c r="E5838">
        <v>0.38555489999999998</v>
      </c>
      <c r="F5838" t="s">
        <v>100</v>
      </c>
      <c r="G5838">
        <v>-279.02</v>
      </c>
      <c r="H5838">
        <v>2.5952419999999998</v>
      </c>
      <c r="I5838">
        <v>-13.8903</v>
      </c>
      <c r="J5838">
        <v>-414.58249999999998</v>
      </c>
      <c r="K5838">
        <v>1.1345479999999999</v>
      </c>
      <c r="L5838">
        <v>22.255769999999998</v>
      </c>
      <c r="M5838">
        <v>0.78940189999999999</v>
      </c>
      <c r="N5838">
        <v>-1.595369E-2</v>
      </c>
      <c r="O5838">
        <v>-0.61366960000000004</v>
      </c>
      <c r="P5838">
        <v>0.828157699999999</v>
      </c>
      <c r="Q5838">
        <v>0.15624070000000001</v>
      </c>
      <c r="R5838">
        <v>-0.53827879999999995</v>
      </c>
      <c r="S5838">
        <v>3.0894780000000002</v>
      </c>
      <c r="T5838">
        <v>3.3256170000000002E-2</v>
      </c>
      <c r="U5838">
        <v>-0.82513429999999999</v>
      </c>
      <c r="V5838">
        <v>-8.8790190000000005E-2</v>
      </c>
      <c r="W5838">
        <v>0.1691559</v>
      </c>
      <c r="X5838">
        <v>0.9815817</v>
      </c>
      <c r="Y5838">
        <v>-0.38904499999999997</v>
      </c>
      <c r="Z5838">
        <v>-1.52841E-2</v>
      </c>
      <c r="AA5838">
        <v>0.92109189999999996</v>
      </c>
      <c r="AB5838">
        <v>30</v>
      </c>
      <c r="AC5838">
        <v>135.5625</v>
      </c>
      <c r="AD5838">
        <v>1.4606939999999999</v>
      </c>
      <c r="AE5838">
        <v>-36.146070000000002</v>
      </c>
      <c r="AF5838">
        <v>-54.657834062000198</v>
      </c>
      <c r="AG5838">
        <v>1.4606939999999999</v>
      </c>
      <c r="AH5838">
        <v>129.19746281622</v>
      </c>
      <c r="AI5838">
        <v>89.403432542594999</v>
      </c>
      <c r="AJ5838">
        <v>112.93111079809</v>
      </c>
      <c r="AK5838">
        <v>140.291114649002</v>
      </c>
      <c r="AL5838">
        <v>80.261255310215702</v>
      </c>
      <c r="AM5838">
        <v>95.168694098201698</v>
      </c>
      <c r="AN5838">
        <v>1.0000000250599601</v>
      </c>
    </row>
    <row r="5839" spans="1:40" x14ac:dyDescent="0.25">
      <c r="A5839" t="str">
        <f>"20190303170409631"</f>
        <v>20190303170409631</v>
      </c>
      <c r="B5839" t="str">
        <f>"1551603849621718"</f>
        <v>1551603849621718</v>
      </c>
      <c r="C5839" t="s">
        <v>40</v>
      </c>
      <c r="D5839">
        <v>5.0467599999999999</v>
      </c>
      <c r="E5839">
        <v>0.38715810000000001</v>
      </c>
      <c r="F5839" t="s">
        <v>100</v>
      </c>
      <c r="G5839">
        <v>-279.02</v>
      </c>
      <c r="H5839">
        <v>0.99834639999999997</v>
      </c>
      <c r="I5839">
        <v>-15.74396</v>
      </c>
      <c r="J5839">
        <v>-414.3723</v>
      </c>
      <c r="K5839">
        <v>1.1345289999999999</v>
      </c>
      <c r="L5839">
        <v>22.109649999999998</v>
      </c>
      <c r="M5839">
        <v>0.79813269999999903</v>
      </c>
      <c r="N5839">
        <v>-1.5949930000000001E-2</v>
      </c>
      <c r="O5839">
        <v>-0.60227050000000004</v>
      </c>
      <c r="P5839">
        <v>0.83504069999999997</v>
      </c>
      <c r="Q5839">
        <v>0.15806879999999901</v>
      </c>
      <c r="R5839">
        <v>-0.52699269999999998</v>
      </c>
      <c r="S5839">
        <v>3.0646969999999998</v>
      </c>
      <c r="T5839">
        <v>-3.0791759999999999E-3</v>
      </c>
      <c r="U5839">
        <v>-0.85906979999999999</v>
      </c>
      <c r="V5839">
        <v>-8.7850280000000003E-2</v>
      </c>
      <c r="W5839">
        <v>0.1710139</v>
      </c>
      <c r="X5839">
        <v>0.98134429999999995</v>
      </c>
      <c r="Y5839">
        <v>-0.36446729999999999</v>
      </c>
      <c r="Z5839">
        <v>-6.4754540000000003E-3</v>
      </c>
      <c r="AA5839">
        <v>0.93119370000000001</v>
      </c>
      <c r="AB5839">
        <v>30</v>
      </c>
      <c r="AC5839">
        <v>135.35230000000001</v>
      </c>
      <c r="AD5839">
        <v>-0.13618259999999999</v>
      </c>
      <c r="AE5839">
        <v>-37.853609999999897</v>
      </c>
      <c r="AF5839">
        <v>-51.3129736738586</v>
      </c>
      <c r="AG5839">
        <v>-0.13618259999999999</v>
      </c>
      <c r="AH5839">
        <v>130.84373331084299</v>
      </c>
      <c r="AI5839">
        <v>90.055517058160504</v>
      </c>
      <c r="AJ5839">
        <v>111.413616836619</v>
      </c>
      <c r="AK5839">
        <v>140.545801643712</v>
      </c>
      <c r="AL5839">
        <v>80.153225735554798</v>
      </c>
      <c r="AM5839">
        <v>95.115501985273795</v>
      </c>
      <c r="AN5839">
        <v>1.00000003041588</v>
      </c>
    </row>
    <row r="5840" spans="1:40" x14ac:dyDescent="0.25">
      <c r="A5840" t="str">
        <f>"20190303170409644"</f>
        <v>20190303170409644</v>
      </c>
      <c r="B5840" t="str">
        <f>"1551603849631478"</f>
        <v>1551603849631478</v>
      </c>
      <c r="C5840" t="s">
        <v>40</v>
      </c>
      <c r="D5840">
        <v>5.0886329999999997</v>
      </c>
      <c r="E5840">
        <v>0.38806580000000002</v>
      </c>
      <c r="F5840" t="s">
        <v>100</v>
      </c>
      <c r="G5840">
        <v>-279.02</v>
      </c>
      <c r="H5840">
        <v>0.93060480000000001</v>
      </c>
      <c r="I5840">
        <v>-14.43183</v>
      </c>
      <c r="J5840">
        <v>-414.23680000000002</v>
      </c>
      <c r="K5840">
        <v>1.134511</v>
      </c>
      <c r="L5840">
        <v>22.017910000000001</v>
      </c>
      <c r="M5840">
        <v>0.8036259</v>
      </c>
      <c r="N5840">
        <v>-1.594688E-2</v>
      </c>
      <c r="O5840">
        <v>-0.59492089999999997</v>
      </c>
      <c r="P5840">
        <v>0.83994480000000005</v>
      </c>
      <c r="Q5840">
        <v>0.15790670000000001</v>
      </c>
      <c r="R5840">
        <v>-0.51918959999999903</v>
      </c>
      <c r="S5840">
        <v>3.0703740000000002</v>
      </c>
      <c r="T5840">
        <v>-4.6259159999999999E-3</v>
      </c>
      <c r="U5840">
        <v>-0.8289185</v>
      </c>
      <c r="V5840">
        <v>-8.7992749999999995E-2</v>
      </c>
      <c r="W5840">
        <v>0.17084849999999999</v>
      </c>
      <c r="X5840">
        <v>0.98136029999999996</v>
      </c>
      <c r="Y5840">
        <v>-0.3648749</v>
      </c>
      <c r="Z5840">
        <v>-5.9795839999999996E-3</v>
      </c>
      <c r="AA5840">
        <v>0.93103740000000001</v>
      </c>
      <c r="AB5840">
        <v>30</v>
      </c>
      <c r="AC5840">
        <v>135.21680000000001</v>
      </c>
      <c r="AD5840">
        <v>-0.20390619999999901</v>
      </c>
      <c r="AE5840">
        <v>-36.449739999999998</v>
      </c>
      <c r="AF5840">
        <v>-51.157747946569899</v>
      </c>
      <c r="AG5840">
        <v>-0.20390619999999901</v>
      </c>
      <c r="AH5840">
        <v>130.36475067337199</v>
      </c>
      <c r="AI5840">
        <v>90.083423977254199</v>
      </c>
      <c r="AJ5840">
        <v>111.42604016536001</v>
      </c>
      <c r="AK5840">
        <v>140.04329677222501</v>
      </c>
      <c r="AL5840">
        <v>80.162843570480206</v>
      </c>
      <c r="AM5840">
        <v>95.123670765698094</v>
      </c>
      <c r="AN5840">
        <v>0.99999998621045105</v>
      </c>
    </row>
    <row r="5841" spans="1:40" x14ac:dyDescent="0.25">
      <c r="A5841" t="str">
        <f>"20190303170409653"</f>
        <v>20190303170409653</v>
      </c>
      <c r="B5841" t="str">
        <f>"1551603849641237"</f>
        <v>1551603849641237</v>
      </c>
      <c r="C5841" t="s">
        <v>40</v>
      </c>
      <c r="D5841">
        <v>5.0770790000000003</v>
      </c>
      <c r="E5841">
        <v>0.38852969999999998</v>
      </c>
      <c r="F5841" t="s">
        <v>100</v>
      </c>
      <c r="G5841">
        <v>-279.02</v>
      </c>
      <c r="H5841">
        <v>0.79541799999999996</v>
      </c>
      <c r="I5841">
        <v>-13.457940000000001</v>
      </c>
      <c r="J5841">
        <v>-414.1225</v>
      </c>
      <c r="K5841">
        <v>1.1344909999999999</v>
      </c>
      <c r="L5841">
        <v>21.941410000000001</v>
      </c>
      <c r="M5841">
        <v>0.8081893</v>
      </c>
      <c r="N5841">
        <v>-1.5944299999999901E-2</v>
      </c>
      <c r="O5841">
        <v>-0.58870679999999997</v>
      </c>
      <c r="P5841">
        <v>0.84404040000000002</v>
      </c>
      <c r="Q5841">
        <v>0.15751709999999999</v>
      </c>
      <c r="R5841">
        <v>-0.51262479999999999</v>
      </c>
      <c r="S5841">
        <v>3.0745239999999998</v>
      </c>
      <c r="T5841">
        <v>-7.7102179999999996E-3</v>
      </c>
      <c r="U5841">
        <v>-0.80664060000000004</v>
      </c>
      <c r="V5841">
        <v>-8.8099869999999997E-2</v>
      </c>
      <c r="W5841">
        <v>0.17045759999999999</v>
      </c>
      <c r="X5841">
        <v>0.98141869999999998</v>
      </c>
      <c r="Y5841">
        <v>-0.36431799999999998</v>
      </c>
      <c r="Z5841">
        <v>-5.1579629999999998E-3</v>
      </c>
      <c r="AA5841">
        <v>0.93126030000000004</v>
      </c>
      <c r="AB5841">
        <v>30</v>
      </c>
      <c r="AC5841">
        <v>135.10249999999999</v>
      </c>
      <c r="AD5841">
        <v>-0.33907299999999901</v>
      </c>
      <c r="AE5841">
        <v>-35.399349999999998</v>
      </c>
      <c r="AF5841">
        <v>-50.932562372800703</v>
      </c>
      <c r="AG5841">
        <v>-0.33907299999999901</v>
      </c>
      <c r="AH5841">
        <v>130.044006543352</v>
      </c>
      <c r="AI5841">
        <v>90.139102735289299</v>
      </c>
      <c r="AJ5841">
        <v>111.388110887664</v>
      </c>
      <c r="AK5841">
        <v>139.66275279474499</v>
      </c>
      <c r="AL5841">
        <v>80.185574279212503</v>
      </c>
      <c r="AM5841">
        <v>95.1295712959583</v>
      </c>
      <c r="AN5841">
        <v>1.00000002260073</v>
      </c>
    </row>
    <row r="5842" spans="1:40" x14ac:dyDescent="0.25">
      <c r="A5842" t="str">
        <f>"20190303170409665"</f>
        <v>20190303170409665</v>
      </c>
      <c r="B5842" t="str">
        <f>"1551603849651974"</f>
        <v>1551603849651974</v>
      </c>
      <c r="C5842" t="s">
        <v>40</v>
      </c>
      <c r="D5842">
        <v>5.0709999999999997</v>
      </c>
      <c r="E5842">
        <v>0.38910939999999999</v>
      </c>
      <c r="F5842" t="s">
        <v>45</v>
      </c>
      <c r="G5842">
        <v>-351.19659999999999</v>
      </c>
      <c r="H5842">
        <v>0.92263890000000004</v>
      </c>
      <c r="I5842">
        <v>5.8771979999999999</v>
      </c>
      <c r="J5842">
        <v>-414.00639999999999</v>
      </c>
      <c r="K5842">
        <v>1.13446</v>
      </c>
      <c r="L5842">
        <v>21.86591</v>
      </c>
      <c r="M5842">
        <v>0.8127297</v>
      </c>
      <c r="N5842">
        <v>-1.594054E-2</v>
      </c>
      <c r="O5842">
        <v>-0.58242269999999996</v>
      </c>
      <c r="P5842">
        <v>0.8485703</v>
      </c>
      <c r="Q5842">
        <v>0.15654779999999999</v>
      </c>
      <c r="R5842">
        <v>-0.50539239999999996</v>
      </c>
      <c r="S5842">
        <v>3.0789179999999998</v>
      </c>
      <c r="T5842">
        <v>-1.036572E-2</v>
      </c>
      <c r="U5842">
        <v>-0.78601069999999995</v>
      </c>
      <c r="V5842">
        <v>-8.8944110000000007E-2</v>
      </c>
      <c r="W5842">
        <v>0.1694628</v>
      </c>
      <c r="X5842">
        <v>0.98151480000000002</v>
      </c>
      <c r="Y5842">
        <v>-0.36327579999999998</v>
      </c>
      <c r="Z5842">
        <v>-4.4493270000000003E-3</v>
      </c>
      <c r="AA5842">
        <v>0.93167100000000003</v>
      </c>
      <c r="AB5842">
        <v>30</v>
      </c>
      <c r="AC5842">
        <v>62.809800000000003</v>
      </c>
      <c r="AD5842">
        <v>-0.21182109999999901</v>
      </c>
      <c r="AE5842">
        <v>-15.988712</v>
      </c>
      <c r="AF5842">
        <v>-23.590099143823199</v>
      </c>
      <c r="AG5842">
        <v>-0.21182109999999901</v>
      </c>
      <c r="AH5842">
        <v>60.366608111806499</v>
      </c>
      <c r="AI5842">
        <v>90.1872550761056</v>
      </c>
      <c r="AJ5842">
        <v>111.34459368587</v>
      </c>
      <c r="AK5842">
        <v>64.812537527227207</v>
      </c>
      <c r="AL5842">
        <v>80.243413397931107</v>
      </c>
      <c r="AM5842">
        <v>95.177956487304002</v>
      </c>
      <c r="AN5842">
        <v>0.99999999895328595</v>
      </c>
    </row>
    <row r="5843" spans="1:40" x14ac:dyDescent="0.25">
      <c r="A5843" t="str">
        <f>"20190303170409676"</f>
        <v>20190303170409676</v>
      </c>
      <c r="B5843" t="str">
        <f>"1551603849661734"</f>
        <v>1551603849661734</v>
      </c>
      <c r="C5843" t="s">
        <v>40</v>
      </c>
      <c r="D5843">
        <v>5.0788489999999999</v>
      </c>
      <c r="E5843">
        <v>0.38910939999999999</v>
      </c>
      <c r="F5843" t="s">
        <v>100</v>
      </c>
      <c r="G5843">
        <v>-279.02</v>
      </c>
      <c r="H5843">
        <v>0.32757700000000001</v>
      </c>
      <c r="I5843">
        <v>-11.569459999999999</v>
      </c>
      <c r="J5843">
        <v>-413.88900000000001</v>
      </c>
      <c r="K5843">
        <v>1.1344369999999999</v>
      </c>
      <c r="L5843">
        <v>21.78979</v>
      </c>
      <c r="M5843">
        <v>0.81726719999999997</v>
      </c>
      <c r="N5843">
        <v>-1.593692E-2</v>
      </c>
      <c r="O5843">
        <v>-0.57603839999999995</v>
      </c>
      <c r="P5843">
        <v>0.8532071</v>
      </c>
      <c r="Q5843">
        <v>0.1555058</v>
      </c>
      <c r="R5843">
        <v>-0.49785089999999999</v>
      </c>
      <c r="S5843">
        <v>3.0838619999999999</v>
      </c>
      <c r="T5843">
        <v>-1.8433809999999998E-2</v>
      </c>
      <c r="U5843">
        <v>-0.76385499999999995</v>
      </c>
      <c r="V5843">
        <v>-9.0025160000000007E-2</v>
      </c>
      <c r="W5843">
        <v>0.16838839999999999</v>
      </c>
      <c r="X5843">
        <v>0.9816011</v>
      </c>
      <c r="Y5843">
        <v>-0.36263830000000002</v>
      </c>
      <c r="Z5843">
        <v>-2.503098E-3</v>
      </c>
      <c r="AA5843">
        <v>0.93192660000000005</v>
      </c>
      <c r="AB5843">
        <v>30</v>
      </c>
      <c r="AC5843">
        <v>134.869</v>
      </c>
      <c r="AD5843">
        <v>-0.80686000000000002</v>
      </c>
      <c r="AE5843">
        <v>-33.359250000000003</v>
      </c>
      <c r="AF5843">
        <v>-50.431008738141898</v>
      </c>
      <c r="AG5843">
        <v>-0.80686000000000002</v>
      </c>
      <c r="AH5843">
        <v>129.452300477688</v>
      </c>
      <c r="AI5843">
        <v>90.332754510989801</v>
      </c>
      <c r="AJ5843">
        <v>111.284501993736</v>
      </c>
      <c r="AK5843">
        <v>138.93104679794101</v>
      </c>
      <c r="AL5843">
        <v>80.305869088111393</v>
      </c>
      <c r="AM5843">
        <v>95.240084230869996</v>
      </c>
      <c r="AN5843">
        <v>0.99999995110439599</v>
      </c>
    </row>
    <row r="5844" spans="1:40" x14ac:dyDescent="0.25">
      <c r="A5844" t="str">
        <f>"20190303170409686"</f>
        <v>20190303170409686</v>
      </c>
      <c r="B5844" t="str">
        <f>"1551603849681254"</f>
        <v>1551603849681254</v>
      </c>
      <c r="C5844" t="s">
        <v>40</v>
      </c>
      <c r="D5844">
        <v>5.1071929999999996</v>
      </c>
      <c r="E5844">
        <v>0.3954048</v>
      </c>
      <c r="F5844" t="s">
        <v>100</v>
      </c>
      <c r="G5844">
        <v>-279.33690000000001</v>
      </c>
      <c r="H5844">
        <v>0.14765919999999999</v>
      </c>
      <c r="I5844">
        <v>-10.28336</v>
      </c>
      <c r="J5844">
        <v>-413.77229999999997</v>
      </c>
      <c r="K5844">
        <v>1.1344099999999999</v>
      </c>
      <c r="L5844">
        <v>21.716519999999999</v>
      </c>
      <c r="M5844">
        <v>0.82167819999999903</v>
      </c>
      <c r="N5844">
        <v>-1.5932060000000001E-2</v>
      </c>
      <c r="O5844">
        <v>-0.56972909999999999</v>
      </c>
      <c r="P5844">
        <v>0.85771969999999997</v>
      </c>
      <c r="Q5844">
        <v>0.15503059999999999</v>
      </c>
      <c r="R5844">
        <v>-0.49018689999999998</v>
      </c>
      <c r="S5844">
        <v>3.0904240000000001</v>
      </c>
      <c r="T5844">
        <v>-2.2664549999999999E-2</v>
      </c>
      <c r="U5844">
        <v>-0.73666379999999998</v>
      </c>
      <c r="V5844">
        <v>-9.1288110000000006E-2</v>
      </c>
      <c r="W5844">
        <v>0.16787279999999999</v>
      </c>
      <c r="X5844">
        <v>0.98157280000000002</v>
      </c>
      <c r="Y5844">
        <v>-0.36366910000000002</v>
      </c>
      <c r="Z5844">
        <v>-1.4440970000000001E-3</v>
      </c>
      <c r="AA5844">
        <v>0.93152710000000005</v>
      </c>
      <c r="AB5844">
        <v>30</v>
      </c>
      <c r="AC5844">
        <v>134.43539999999899</v>
      </c>
      <c r="AD5844">
        <v>-0.98675080000000004</v>
      </c>
      <c r="AE5844">
        <v>-31.999880000000001</v>
      </c>
      <c r="AF5844">
        <v>-50.301972184078998</v>
      </c>
      <c r="AG5844">
        <v>-0.98675080000000004</v>
      </c>
      <c r="AH5844">
        <v>128.703665379841</v>
      </c>
      <c r="AI5844">
        <v>90.409132325969097</v>
      </c>
      <c r="AJ5844">
        <v>111.347326776857</v>
      </c>
      <c r="AK5844">
        <v>138.187899488179</v>
      </c>
      <c r="AL5844">
        <v>80.335837671673801</v>
      </c>
      <c r="AM5844">
        <v>95.313331097659798</v>
      </c>
      <c r="AN5844">
        <v>0.99999997885352498</v>
      </c>
    </row>
    <row r="5845" spans="1:40" x14ac:dyDescent="0.25">
      <c r="A5845" t="str">
        <f>"20190303170409698"</f>
        <v>20190303170409698</v>
      </c>
      <c r="B5845" t="str">
        <f>"1551603849691990"</f>
        <v>1551603849691990</v>
      </c>
      <c r="C5845" t="s">
        <v>40</v>
      </c>
      <c r="D5845">
        <v>5.1348399999999996</v>
      </c>
      <c r="E5845">
        <v>0.39588570000000001</v>
      </c>
      <c r="F5845" t="s">
        <v>45</v>
      </c>
      <c r="G5845">
        <v>-351.5806</v>
      </c>
      <c r="H5845">
        <v>0.18077470000000001</v>
      </c>
      <c r="I5845">
        <v>6.4837939999999996</v>
      </c>
      <c r="J5845">
        <v>-413.64659999999998</v>
      </c>
      <c r="K5845">
        <v>1.134385</v>
      </c>
      <c r="L5845">
        <v>21.638089999999998</v>
      </c>
      <c r="M5845">
        <v>0.82636529999999997</v>
      </c>
      <c r="N5845">
        <v>-1.592681E-2</v>
      </c>
      <c r="O5845">
        <v>-0.5629094</v>
      </c>
      <c r="P5845">
        <v>0.86211090000000001</v>
      </c>
      <c r="Q5845">
        <v>0.15559539999999999</v>
      </c>
      <c r="R5845">
        <v>-0.4822401</v>
      </c>
      <c r="S5845">
        <v>3.075653</v>
      </c>
      <c r="T5845">
        <v>-4.7161460000000002E-2</v>
      </c>
      <c r="U5845">
        <v>-0.75332639999999995</v>
      </c>
      <c r="V5845">
        <v>-9.2185699999999995E-2</v>
      </c>
      <c r="W5845">
        <v>0.16840720000000001</v>
      </c>
      <c r="X5845">
        <v>0.98139739999999998</v>
      </c>
      <c r="Y5845">
        <v>-0.3501244</v>
      </c>
      <c r="Z5845">
        <v>4.0226560000000003E-3</v>
      </c>
      <c r="AA5845">
        <v>0.93669460000000004</v>
      </c>
      <c r="AB5845">
        <v>30</v>
      </c>
      <c r="AC5845">
        <v>62.065999999999903</v>
      </c>
      <c r="AD5845">
        <v>-0.95361030000000002</v>
      </c>
      <c r="AE5845">
        <v>-15.154296</v>
      </c>
      <c r="AF5845">
        <v>-22.4123977608301</v>
      </c>
      <c r="AG5845">
        <v>-0.95361030000000002</v>
      </c>
      <c r="AH5845">
        <v>59.813939280575802</v>
      </c>
      <c r="AI5845">
        <v>90.855322708148194</v>
      </c>
      <c r="AJ5845">
        <v>110.541070513321</v>
      </c>
      <c r="AK5845">
        <v>63.882174964964499</v>
      </c>
      <c r="AL5845">
        <v>80.304777020727997</v>
      </c>
      <c r="AM5845">
        <v>95.366224314954394</v>
      </c>
      <c r="AN5845">
        <v>1.00000002251154</v>
      </c>
    </row>
    <row r="5846" spans="1:40" x14ac:dyDescent="0.25">
      <c r="A5846" t="str">
        <f>"20190303170409709"</f>
        <v>20190303170409709</v>
      </c>
      <c r="B5846" t="str">
        <f>"1551603849701262"</f>
        <v>1551603849701262</v>
      </c>
      <c r="C5846" t="s">
        <v>40</v>
      </c>
      <c r="D5846">
        <v>5.1241450000000004</v>
      </c>
      <c r="E5846">
        <v>0.39588570000000001</v>
      </c>
      <c r="F5846" t="s">
        <v>42</v>
      </c>
      <c r="G5846">
        <v>-342.83260000000001</v>
      </c>
      <c r="H5846">
        <v>7.9986199999999993E-2</v>
      </c>
      <c r="I5846">
        <v>4.8798409999999999</v>
      </c>
      <c r="J5846">
        <v>-413.51710000000003</v>
      </c>
      <c r="K5846">
        <v>1.134355</v>
      </c>
      <c r="L5846">
        <v>21.5593</v>
      </c>
      <c r="M5846">
        <v>0.83109219999999895</v>
      </c>
      <c r="N5846">
        <v>-1.5920210000000001E-2</v>
      </c>
      <c r="O5846">
        <v>-0.55590699999999904</v>
      </c>
      <c r="P5846">
        <v>0.86634840000000002</v>
      </c>
      <c r="Q5846">
        <v>0.15605869999999999</v>
      </c>
      <c r="R5846">
        <v>-0.47443289999999999</v>
      </c>
      <c r="S5846">
        <v>3.0803829999999999</v>
      </c>
      <c r="T5846">
        <v>-4.5865889999999999E-2</v>
      </c>
      <c r="U5846">
        <v>-0.72897339999999999</v>
      </c>
      <c r="V5846">
        <v>-9.2714350000000001E-2</v>
      </c>
      <c r="W5846">
        <v>0.16885229999999901</v>
      </c>
      <c r="X5846">
        <v>0.98127109999999995</v>
      </c>
      <c r="Y5846">
        <v>-0.34954469999999999</v>
      </c>
      <c r="Z5846">
        <v>3.7655119999999999E-3</v>
      </c>
      <c r="AA5846">
        <v>0.93691210000000003</v>
      </c>
      <c r="AB5846">
        <v>30</v>
      </c>
      <c r="AC5846">
        <v>70.6845</v>
      </c>
      <c r="AD5846">
        <v>-1.0543688</v>
      </c>
      <c r="AE5846">
        <v>-16.679459000000001</v>
      </c>
      <c r="AF5846">
        <v>-25.429700117965901</v>
      </c>
      <c r="AG5846">
        <v>-1.0543688</v>
      </c>
      <c r="AH5846">
        <v>68.011841324060399</v>
      </c>
      <c r="AI5846">
        <v>90.831927374304499</v>
      </c>
      <c r="AJ5846">
        <v>110.50082383293901</v>
      </c>
      <c r="AK5846">
        <v>72.618123784254195</v>
      </c>
      <c r="AL5846">
        <v>80.278904041435396</v>
      </c>
      <c r="AM5846">
        <v>95.397506918792601</v>
      </c>
      <c r="AN5846">
        <v>1.0000000108032101</v>
      </c>
    </row>
    <row r="5847" spans="1:40" x14ac:dyDescent="0.25">
      <c r="A5847" t="str">
        <f>"20190303170409721"</f>
        <v>20190303170409721</v>
      </c>
      <c r="B5847" t="str">
        <f>"1551603849711998"</f>
        <v>1551603849711998</v>
      </c>
      <c r="C5847" t="s">
        <v>40</v>
      </c>
      <c r="D5847">
        <v>5.129753</v>
      </c>
      <c r="E5847">
        <v>0.40138629999999997</v>
      </c>
      <c r="F5847" t="s">
        <v>42</v>
      </c>
      <c r="G5847">
        <v>-340.94229999999999</v>
      </c>
      <c r="H5847">
        <v>7.9986749999999995E-2</v>
      </c>
      <c r="I5847">
        <v>5.0660100000000003</v>
      </c>
      <c r="J5847">
        <v>-413.3886</v>
      </c>
      <c r="K5847">
        <v>1.1343270000000001</v>
      </c>
      <c r="L5847">
        <v>21.482420000000001</v>
      </c>
      <c r="M5847">
        <v>0.83569699999999902</v>
      </c>
      <c r="N5847">
        <v>-1.5913139999999999E-2</v>
      </c>
      <c r="O5847">
        <v>-0.54896040000000002</v>
      </c>
      <c r="P5847">
        <v>0.8703303</v>
      </c>
      <c r="Q5847">
        <v>0.1572942</v>
      </c>
      <c r="R5847">
        <v>-0.46667350000000002</v>
      </c>
      <c r="S5847">
        <v>3.0867</v>
      </c>
      <c r="T5847">
        <v>-4.4843670000000002E-2</v>
      </c>
      <c r="U5847">
        <v>-0.70147709999999996</v>
      </c>
      <c r="V5847">
        <v>-9.3206430000000007E-2</v>
      </c>
      <c r="W5847">
        <v>0.170069</v>
      </c>
      <c r="X5847">
        <v>0.98101430000000001</v>
      </c>
      <c r="Y5847">
        <v>-0.35008739999999999</v>
      </c>
      <c r="Z5847">
        <v>3.585291E-3</v>
      </c>
      <c r="AA5847">
        <v>0.93671020000000005</v>
      </c>
      <c r="AB5847">
        <v>30</v>
      </c>
      <c r="AC5847">
        <v>72.446299999999994</v>
      </c>
      <c r="AD5847">
        <v>-1.0543402500000001</v>
      </c>
      <c r="AE5847">
        <v>-16.416409999999999</v>
      </c>
      <c r="AF5847">
        <v>-26.049053593427001</v>
      </c>
      <c r="AG5847">
        <v>-1.0543402500000001</v>
      </c>
      <c r="AH5847">
        <v>69.549903758368401</v>
      </c>
      <c r="AI5847">
        <v>90.813340243904406</v>
      </c>
      <c r="AJ5847">
        <v>110.53281413296099</v>
      </c>
      <c r="AK5847">
        <v>74.275527189474104</v>
      </c>
      <c r="AL5847">
        <v>80.208168917711902</v>
      </c>
      <c r="AM5847">
        <v>95.427395459040596</v>
      </c>
      <c r="AN5847">
        <v>0.99999998007941704</v>
      </c>
    </row>
    <row r="5848" spans="1:40" x14ac:dyDescent="0.25">
      <c r="A5848" t="str">
        <f>"20190303170409731"</f>
        <v>20190303170409731</v>
      </c>
      <c r="B5848" t="str">
        <f>"1551603849721757"</f>
        <v>1551603849721757</v>
      </c>
      <c r="C5848" t="s">
        <v>40</v>
      </c>
      <c r="D5848">
        <v>5.133356</v>
      </c>
      <c r="E5848">
        <v>0.40126200000000001</v>
      </c>
      <c r="F5848" t="s">
        <v>42</v>
      </c>
      <c r="G5848">
        <v>-350.70859999999999</v>
      </c>
      <c r="H5848">
        <v>7.9986740000000001E-2</v>
      </c>
      <c r="I5848">
        <v>6.9470270000000003</v>
      </c>
      <c r="J5848">
        <v>-413.26740000000001</v>
      </c>
      <c r="K5848">
        <v>1.1343000000000001</v>
      </c>
      <c r="L5848">
        <v>21.41104</v>
      </c>
      <c r="M5848">
        <v>0.83996130000000002</v>
      </c>
      <c r="N5848">
        <v>-1.5906090000000001E-2</v>
      </c>
      <c r="O5848">
        <v>-0.54241309999999998</v>
      </c>
      <c r="P5848">
        <v>0.87387209999999904</v>
      </c>
      <c r="Q5848">
        <v>0.15828709999999999</v>
      </c>
      <c r="R5848">
        <v>-0.45966590000000002</v>
      </c>
      <c r="S5848">
        <v>3.074036</v>
      </c>
      <c r="T5848">
        <v>-5.1708339999999998E-2</v>
      </c>
      <c r="U5848">
        <v>-0.7128601</v>
      </c>
      <c r="V5848">
        <v>-9.3341800000000003E-2</v>
      </c>
      <c r="W5848">
        <v>0.1710557</v>
      </c>
      <c r="X5848">
        <v>0.98082990000000003</v>
      </c>
      <c r="Y5848">
        <v>-0.3386015</v>
      </c>
      <c r="Z5848">
        <v>4.9921729999999999E-3</v>
      </c>
      <c r="AA5848">
        <v>0.94091670000000005</v>
      </c>
      <c r="AB5848">
        <v>30</v>
      </c>
      <c r="AC5848">
        <v>62.558799999999998</v>
      </c>
      <c r="AD5848">
        <v>-1.05431326</v>
      </c>
      <c r="AE5848">
        <v>-14.464013</v>
      </c>
      <c r="AF5848">
        <v>-21.7803857432644</v>
      </c>
      <c r="AG5848">
        <v>-1.05431326</v>
      </c>
      <c r="AH5848">
        <v>60.383803062179801</v>
      </c>
      <c r="AI5848">
        <v>90.940965305492995</v>
      </c>
      <c r="AJ5848">
        <v>109.834330281802</v>
      </c>
      <c r="AK5848">
        <v>64.200470806900796</v>
      </c>
      <c r="AL5848">
        <v>80.150794835248504</v>
      </c>
      <c r="AM5848">
        <v>95.436246585972398</v>
      </c>
      <c r="AN5848">
        <v>1.00000001843186</v>
      </c>
    </row>
    <row r="5849" spans="1:40" x14ac:dyDescent="0.25">
      <c r="A5849" t="str">
        <f>"20190303170409742"</f>
        <v>20190303170409742</v>
      </c>
      <c r="B5849" t="str">
        <f>"1551603849731518"</f>
        <v>1551603849731518</v>
      </c>
      <c r="C5849" t="s">
        <v>40</v>
      </c>
      <c r="D5849">
        <v>5.1355380000000004</v>
      </c>
      <c r="E5849">
        <v>0.40217890000000001</v>
      </c>
      <c r="F5849" t="s">
        <v>42</v>
      </c>
      <c r="G5849">
        <v>-345.51510000000002</v>
      </c>
      <c r="H5849">
        <v>7.9986829999999995E-2</v>
      </c>
      <c r="I5849">
        <v>6.296862</v>
      </c>
      <c r="J5849">
        <v>-413.15429999999998</v>
      </c>
      <c r="K5849">
        <v>1.1342749999999999</v>
      </c>
      <c r="L5849">
        <v>21.345949999999998</v>
      </c>
      <c r="M5849">
        <v>0.84386079999999997</v>
      </c>
      <c r="N5849">
        <v>-1.5898470000000001E-2</v>
      </c>
      <c r="O5849">
        <v>-0.53632669999999905</v>
      </c>
      <c r="P5849">
        <v>0.87714009999999998</v>
      </c>
      <c r="Q5849">
        <v>0.15891520000000001</v>
      </c>
      <c r="R5849">
        <v>-0.4531792</v>
      </c>
      <c r="S5849">
        <v>3.0802309999999999</v>
      </c>
      <c r="T5849">
        <v>-4.7932389999999998E-2</v>
      </c>
      <c r="U5849">
        <v>-0.68713380000000002</v>
      </c>
      <c r="V5849">
        <v>-9.3462009999999998E-2</v>
      </c>
      <c r="W5849">
        <v>0.17167859999999999</v>
      </c>
      <c r="X5849">
        <v>0.98070959999999996</v>
      </c>
      <c r="Y5849">
        <v>-0.3396962</v>
      </c>
      <c r="Z5849">
        <v>4.2109790000000001E-3</v>
      </c>
      <c r="AA5849">
        <v>0.94052579999999997</v>
      </c>
      <c r="AB5849">
        <v>30</v>
      </c>
      <c r="AC5849">
        <v>67.639199999999903</v>
      </c>
      <c r="AD5849">
        <v>-1.05428817</v>
      </c>
      <c r="AE5849">
        <v>-15.0490879999999</v>
      </c>
      <c r="AF5849">
        <v>-23.5748946926198</v>
      </c>
      <c r="AG5849">
        <v>-1.05428817</v>
      </c>
      <c r="AH5849">
        <v>65.142447690468302</v>
      </c>
      <c r="AI5849">
        <v>90.871884289607806</v>
      </c>
      <c r="AJ5849">
        <v>109.895067897902</v>
      </c>
      <c r="AK5849">
        <v>69.285104275153699</v>
      </c>
      <c r="AL5849">
        <v>80.114569278856294</v>
      </c>
      <c r="AM5849">
        <v>95.443869307244995</v>
      </c>
      <c r="AN5849">
        <v>1.0000000042716799</v>
      </c>
    </row>
    <row r="5850" spans="1:40" x14ac:dyDescent="0.25">
      <c r="A5850" t="str">
        <f>"20190303170409752"</f>
        <v>20190303170409752</v>
      </c>
      <c r="B5850" t="str">
        <f>"1551603849741278"</f>
        <v>1551603849741278</v>
      </c>
      <c r="C5850" t="s">
        <v>40</v>
      </c>
      <c r="D5850">
        <v>5.1417330000000003</v>
      </c>
      <c r="E5850">
        <v>0.4030165</v>
      </c>
      <c r="F5850" t="s">
        <v>42</v>
      </c>
      <c r="G5850">
        <v>-347.86290000000002</v>
      </c>
      <c r="H5850">
        <v>7.9986089999999996E-2</v>
      </c>
      <c r="I5850">
        <v>7.1329849999999997</v>
      </c>
      <c r="J5850">
        <v>-413.02839999999998</v>
      </c>
      <c r="K5850">
        <v>1.1342410000000001</v>
      </c>
      <c r="L5850">
        <v>21.274170000000002</v>
      </c>
      <c r="M5850">
        <v>0.84813400000000005</v>
      </c>
      <c r="N5850">
        <v>-1.588993E-2</v>
      </c>
      <c r="O5850">
        <v>-0.52954380000000001</v>
      </c>
      <c r="P5850">
        <v>0.88065749999999998</v>
      </c>
      <c r="Q5850">
        <v>0.15899669999999999</v>
      </c>
      <c r="R5850">
        <v>-0.44627650000000002</v>
      </c>
      <c r="S5850">
        <v>3.0825499999999999</v>
      </c>
      <c r="T5850">
        <v>-4.9775239999999998E-2</v>
      </c>
      <c r="U5850">
        <v>-0.67102050000000002</v>
      </c>
      <c r="V5850">
        <v>-9.327771E-2</v>
      </c>
      <c r="W5850">
        <v>0.17176649999999999</v>
      </c>
      <c r="X5850">
        <v>0.98071180000000002</v>
      </c>
      <c r="Y5850">
        <v>-0.3369897</v>
      </c>
      <c r="Z5850">
        <v>4.6024780000000001E-3</v>
      </c>
      <c r="AA5850">
        <v>0.94149709999999998</v>
      </c>
      <c r="AB5850">
        <v>30</v>
      </c>
      <c r="AC5850">
        <v>65.165499999999895</v>
      </c>
      <c r="AD5850">
        <v>-1.05425491</v>
      </c>
      <c r="AE5850">
        <v>-14.141185</v>
      </c>
      <c r="AF5850">
        <v>-22.511577963005401</v>
      </c>
      <c r="AG5850">
        <v>-1.05425491</v>
      </c>
      <c r="AH5850">
        <v>62.749679580217901</v>
      </c>
      <c r="AI5850">
        <v>90.906005225553599</v>
      </c>
      <c r="AJ5850">
        <v>109.735553882556</v>
      </c>
      <c r="AK5850">
        <v>66.673869568368005</v>
      </c>
      <c r="AL5850">
        <v>80.109457478006604</v>
      </c>
      <c r="AM5850">
        <v>95.433186595159697</v>
      </c>
      <c r="AN5850">
        <v>1.00000004818216</v>
      </c>
    </row>
    <row r="5851" spans="1:40" x14ac:dyDescent="0.25">
      <c r="A5851" t="str">
        <f>"20190303170409763"</f>
        <v>20190303170409763</v>
      </c>
      <c r="B5851" t="str">
        <f>"1551603849752013"</f>
        <v>1551603849752013</v>
      </c>
      <c r="C5851" t="s">
        <v>40</v>
      </c>
      <c r="D5851">
        <v>5.1772479999999996</v>
      </c>
      <c r="E5851">
        <v>0.4030165</v>
      </c>
      <c r="F5851" t="s">
        <v>42</v>
      </c>
      <c r="G5851">
        <v>-351.95089999999999</v>
      </c>
      <c r="H5851">
        <v>7.9986299999999996E-2</v>
      </c>
      <c r="I5851">
        <v>8.3493429999999993</v>
      </c>
      <c r="J5851">
        <v>-412.91289999999998</v>
      </c>
      <c r="K5851">
        <v>1.134201</v>
      </c>
      <c r="L5851">
        <v>21.210080000000001</v>
      </c>
      <c r="M5851">
        <v>0.85196179999999999</v>
      </c>
      <c r="N5851">
        <v>-1.5880040000000002E-2</v>
      </c>
      <c r="O5851">
        <v>-0.52336340000000003</v>
      </c>
      <c r="P5851">
        <v>0.88415779999999999</v>
      </c>
      <c r="Q5851">
        <v>0.15843309999999999</v>
      </c>
      <c r="R5851">
        <v>-0.43950450000000002</v>
      </c>
      <c r="S5851">
        <v>3.0853269999999999</v>
      </c>
      <c r="T5851">
        <v>-5.325568E-2</v>
      </c>
      <c r="U5851">
        <v>-0.6528931</v>
      </c>
      <c r="V5851">
        <v>-9.3692220000000007E-2</v>
      </c>
      <c r="W5851">
        <v>0.17119010000000001</v>
      </c>
      <c r="X5851">
        <v>0.98077300000000001</v>
      </c>
      <c r="Y5851">
        <v>-0.33560050000000002</v>
      </c>
      <c r="Z5851">
        <v>5.351115E-3</v>
      </c>
      <c r="AA5851">
        <v>0.94198919999999997</v>
      </c>
      <c r="AB5851">
        <v>30</v>
      </c>
      <c r="AC5851">
        <v>60.961999999999897</v>
      </c>
      <c r="AD5851">
        <v>-1.0542146999999999</v>
      </c>
      <c r="AE5851">
        <v>-12.860737</v>
      </c>
      <c r="AF5851">
        <v>-20.945064623136702</v>
      </c>
      <c r="AG5851">
        <v>-1.0542146999999999</v>
      </c>
      <c r="AH5851">
        <v>58.658728975792499</v>
      </c>
      <c r="AI5851">
        <v>90.969661145159506</v>
      </c>
      <c r="AJ5851">
        <v>109.649941822858</v>
      </c>
      <c r="AK5851">
        <v>62.294892132152803</v>
      </c>
      <c r="AL5851">
        <v>80.142978613756995</v>
      </c>
      <c r="AM5851">
        <v>95.456846828496893</v>
      </c>
      <c r="AN5851">
        <v>0.99999997997776902</v>
      </c>
    </row>
    <row r="5852" spans="1:40" x14ac:dyDescent="0.25">
      <c r="A5852" t="str">
        <f>"20190303170409776"</f>
        <v>20190303170409776</v>
      </c>
      <c r="B5852" t="str">
        <f>"1551603849771533"</f>
        <v>1551603849771533</v>
      </c>
      <c r="C5852" t="s">
        <v>40</v>
      </c>
      <c r="D5852">
        <v>5.1466830000000003</v>
      </c>
      <c r="E5852">
        <v>0.41120790000000002</v>
      </c>
      <c r="F5852" t="s">
        <v>42</v>
      </c>
      <c r="G5852">
        <v>-354.52429999999998</v>
      </c>
      <c r="H5852">
        <v>7.9985509999999996E-2</v>
      </c>
      <c r="I5852">
        <v>9.3132760000000001</v>
      </c>
      <c r="J5852">
        <v>-412.76859999999999</v>
      </c>
      <c r="K5852">
        <v>1.134145</v>
      </c>
      <c r="L5852">
        <v>21.130800000000001</v>
      </c>
      <c r="M5852">
        <v>0.85666019999999898</v>
      </c>
      <c r="N5852">
        <v>-1.5867579999999999E-2</v>
      </c>
      <c r="O5852">
        <v>-0.51563700000000001</v>
      </c>
      <c r="P5852">
        <v>0.88839480000000004</v>
      </c>
      <c r="Q5852">
        <v>0.15785109999999999</v>
      </c>
      <c r="R5852">
        <v>-0.43108849999999999</v>
      </c>
      <c r="S5852">
        <v>3.0900880000000002</v>
      </c>
      <c r="T5852">
        <v>-5.5792090000000003E-2</v>
      </c>
      <c r="U5852">
        <v>-0.62960819999999995</v>
      </c>
      <c r="V5852">
        <v>-9.4147759999999997E-2</v>
      </c>
      <c r="W5852">
        <v>0.17059479999999999</v>
      </c>
      <c r="X5852">
        <v>0.98083310000000001</v>
      </c>
      <c r="Y5852">
        <v>-0.33417360000000002</v>
      </c>
      <c r="Z5852">
        <v>5.886123E-3</v>
      </c>
      <c r="AA5852">
        <v>0.94249309999999997</v>
      </c>
      <c r="AB5852">
        <v>29</v>
      </c>
      <c r="AC5852">
        <v>58.244300000000003</v>
      </c>
      <c r="AD5852">
        <v>-1.05415949</v>
      </c>
      <c r="AE5852">
        <v>-11.817524000000001</v>
      </c>
      <c r="AF5852">
        <v>-19.905557887174101</v>
      </c>
      <c r="AG5852">
        <v>-1.05415949</v>
      </c>
      <c r="AH5852">
        <v>55.978564336225702</v>
      </c>
      <c r="AI5852">
        <v>91.016497785096306</v>
      </c>
      <c r="AJ5852">
        <v>109.575005227799</v>
      </c>
      <c r="AK5852">
        <v>59.421731312500199</v>
      </c>
      <c r="AL5852">
        <v>80.177596008612198</v>
      </c>
      <c r="AM5852">
        <v>95.482883264726595</v>
      </c>
      <c r="AN5852">
        <v>0.99999997827783305</v>
      </c>
    </row>
    <row r="5853" spans="1:40" x14ac:dyDescent="0.25">
      <c r="A5853" t="str">
        <f>"20190303170409788"</f>
        <v>20190303170409788</v>
      </c>
      <c r="B5853" t="str">
        <f>"1551603849781293"</f>
        <v>1551603849781293</v>
      </c>
      <c r="C5853" t="s">
        <v>40</v>
      </c>
      <c r="D5853">
        <v>5.194979</v>
      </c>
      <c r="E5853">
        <v>0.41245589999999999</v>
      </c>
      <c r="F5853" t="s">
        <v>101</v>
      </c>
      <c r="G5853">
        <v>-373.22129999999999</v>
      </c>
      <c r="H5853" s="1">
        <v>-4.44476099999999E-6</v>
      </c>
      <c r="I5853">
        <v>12.635479999999999</v>
      </c>
      <c r="J5853">
        <v>-412.62779999999998</v>
      </c>
      <c r="K5853">
        <v>1.1340790000000001</v>
      </c>
      <c r="L5853">
        <v>21.055759999999999</v>
      </c>
      <c r="M5853">
        <v>0.8611143</v>
      </c>
      <c r="N5853">
        <v>-1.5852370000000001E-2</v>
      </c>
      <c r="O5853">
        <v>-0.50816459999999997</v>
      </c>
      <c r="P5853">
        <v>0.8923915</v>
      </c>
      <c r="Q5853">
        <v>0.15732260000000001</v>
      </c>
      <c r="R5853">
        <v>-0.42295070000000001</v>
      </c>
      <c r="S5853">
        <v>3.0722960000000001</v>
      </c>
      <c r="T5853">
        <v>-8.8108300000000001E-2</v>
      </c>
      <c r="U5853">
        <v>-0.65997309999999998</v>
      </c>
      <c r="V5853">
        <v>-9.4584230000000005E-2</v>
      </c>
      <c r="W5853">
        <v>0.1700526</v>
      </c>
      <c r="X5853">
        <v>0.98088529999999996</v>
      </c>
      <c r="Y5853">
        <v>-0.31580419999999998</v>
      </c>
      <c r="Z5853">
        <v>1.2315390000000001E-2</v>
      </c>
      <c r="AA5853">
        <v>0.94874449999999999</v>
      </c>
      <c r="AB5853">
        <v>29</v>
      </c>
      <c r="AC5853">
        <v>39.406500000000001</v>
      </c>
      <c r="AD5853">
        <v>-1.134083444761</v>
      </c>
      <c r="AE5853">
        <v>-8.4202799999999893</v>
      </c>
      <c r="AF5853">
        <v>-12.765656305247299</v>
      </c>
      <c r="AG5853">
        <v>-1.134083444761</v>
      </c>
      <c r="AH5853">
        <v>38.186936759047803</v>
      </c>
      <c r="AI5853">
        <v>91.613370037859198</v>
      </c>
      <c r="AJ5853">
        <v>108.484462304204</v>
      </c>
      <c r="AK5853">
        <v>40.280147283778597</v>
      </c>
      <c r="AL5853">
        <v>80.209122828615804</v>
      </c>
      <c r="AM5853">
        <v>95.507854676587797</v>
      </c>
      <c r="AN5853">
        <v>1.00000001754377</v>
      </c>
    </row>
    <row r="5854" spans="1:40" x14ac:dyDescent="0.25">
      <c r="A5854" t="str">
        <f>"20190303170409801"</f>
        <v>20190303170409801</v>
      </c>
      <c r="B5854" t="str">
        <f>"1551603849792029"</f>
        <v>1551603849792029</v>
      </c>
      <c r="C5854" t="s">
        <v>40</v>
      </c>
      <c r="D5854">
        <v>5.1837359999999997</v>
      </c>
      <c r="E5854">
        <v>0.41360730000000001</v>
      </c>
      <c r="F5854" t="s">
        <v>101</v>
      </c>
      <c r="G5854">
        <v>-375.24</v>
      </c>
      <c r="H5854" s="1">
        <v>-3.5058430000000001E-6</v>
      </c>
      <c r="I5854">
        <v>13.25081</v>
      </c>
      <c r="J5854">
        <v>-412.48540000000003</v>
      </c>
      <c r="K5854">
        <v>1.13401</v>
      </c>
      <c r="L5854">
        <v>20.980989999999998</v>
      </c>
      <c r="M5854">
        <v>0.86552189999999996</v>
      </c>
      <c r="N5854">
        <v>-1.583586E-2</v>
      </c>
      <c r="O5854">
        <v>-0.50062099999999998</v>
      </c>
      <c r="P5854">
        <v>0.89623199999999903</v>
      </c>
      <c r="Q5854">
        <v>0.15734229999999999</v>
      </c>
      <c r="R5854">
        <v>-0.41474329999999998</v>
      </c>
      <c r="S5854">
        <v>3.074036</v>
      </c>
      <c r="T5854">
        <v>-9.3244430000000003E-2</v>
      </c>
      <c r="U5854">
        <v>-0.64172359999999995</v>
      </c>
      <c r="V5854">
        <v>-9.4985449999999999E-2</v>
      </c>
      <c r="W5854">
        <v>0.17005770000000001</v>
      </c>
      <c r="X5854">
        <v>0.98084559999999998</v>
      </c>
      <c r="Y5854">
        <v>-0.31298789999999999</v>
      </c>
      <c r="Z5854">
        <v>1.326044E-2</v>
      </c>
      <c r="AA5854">
        <v>0.94966450000000002</v>
      </c>
      <c r="AB5854">
        <v>29</v>
      </c>
      <c r="AC5854">
        <v>37.245399999999997</v>
      </c>
      <c r="AD5854">
        <v>-1.1340135058430001</v>
      </c>
      <c r="AE5854">
        <v>-7.7301799999999901</v>
      </c>
      <c r="AF5854">
        <v>-11.946069748664</v>
      </c>
      <c r="AG5854">
        <v>-1.1340135058430001</v>
      </c>
      <c r="AH5854">
        <v>36.07905726261</v>
      </c>
      <c r="AI5854">
        <v>91.709099063748695</v>
      </c>
      <c r="AJ5854">
        <v>108.32012785281999</v>
      </c>
      <c r="AK5854">
        <v>38.022269027900897</v>
      </c>
      <c r="AL5854">
        <v>80.208825870941098</v>
      </c>
      <c r="AM5854">
        <v>95.531296531838805</v>
      </c>
      <c r="AN5854">
        <v>0.99999997404017504</v>
      </c>
    </row>
    <row r="5855" spans="1:40" x14ac:dyDescent="0.25">
      <c r="A5855" t="str">
        <f>"20190303170409814"</f>
        <v>20190303170409814</v>
      </c>
      <c r="B5855" t="str">
        <f>"1551603849801320"</f>
        <v>1551603849801320</v>
      </c>
      <c r="C5855" t="s">
        <v>40</v>
      </c>
      <c r="D5855">
        <v>5.2254779999999998</v>
      </c>
      <c r="E5855">
        <v>0.41360730000000001</v>
      </c>
      <c r="F5855" t="s">
        <v>101</v>
      </c>
      <c r="G5855">
        <v>-376.26900000000001</v>
      </c>
      <c r="H5855" s="1">
        <v>-3.0038590000000001E-6</v>
      </c>
      <c r="I5855">
        <v>13.65227</v>
      </c>
      <c r="J5855">
        <v>-412.34100000000001</v>
      </c>
      <c r="K5855">
        <v>1.1339360000000001</v>
      </c>
      <c r="L5855">
        <v>20.90652</v>
      </c>
      <c r="M5855">
        <v>0.86988709999999903</v>
      </c>
      <c r="N5855">
        <v>-1.581801E-2</v>
      </c>
      <c r="O5855">
        <v>-0.49299739999999997</v>
      </c>
      <c r="P5855">
        <v>0.89991239999999995</v>
      </c>
      <c r="Q5855">
        <v>0.15759139999999999</v>
      </c>
      <c r="R5855">
        <v>-0.40659899999999999</v>
      </c>
      <c r="S5855">
        <v>3.0762019999999999</v>
      </c>
      <c r="T5855">
        <v>-9.6322539999999998E-2</v>
      </c>
      <c r="U5855">
        <v>-0.62249759999999998</v>
      </c>
      <c r="V5855">
        <v>-9.5217179999999998E-2</v>
      </c>
      <c r="W5855">
        <v>0.170297799999999</v>
      </c>
      <c r="X5855">
        <v>0.98078149999999997</v>
      </c>
      <c r="Y5855">
        <v>-0.3104558</v>
      </c>
      <c r="Z5855">
        <v>1.376838E-2</v>
      </c>
      <c r="AA5855">
        <v>0.95048809999999995</v>
      </c>
      <c r="AB5855">
        <v>29</v>
      </c>
      <c r="AC5855">
        <v>36.071999999999903</v>
      </c>
      <c r="AD5855">
        <v>-1.133939003859</v>
      </c>
      <c r="AE5855">
        <v>-7.2542499999999901</v>
      </c>
      <c r="AF5855">
        <v>-11.463570287267601</v>
      </c>
      <c r="AG5855">
        <v>-1.133939003859</v>
      </c>
      <c r="AH5855">
        <v>34.926092067101301</v>
      </c>
      <c r="AI5855">
        <v>91.766881898398694</v>
      </c>
      <c r="AJ5855">
        <v>108.17106049423001</v>
      </c>
      <c r="AK5855">
        <v>36.7767748514635</v>
      </c>
      <c r="AL5855">
        <v>80.194865790450393</v>
      </c>
      <c r="AM5855">
        <v>95.545067016515304</v>
      </c>
      <c r="AN5855">
        <v>1.00000000139712</v>
      </c>
    </row>
    <row r="5856" spans="1:40" x14ac:dyDescent="0.25">
      <c r="A5856" t="str">
        <f>"20190303170409827"</f>
        <v>20190303170409827</v>
      </c>
      <c r="B5856" t="str">
        <f>"1551603849821816"</f>
        <v>1551603849821816</v>
      </c>
      <c r="C5856" t="s">
        <v>40</v>
      </c>
      <c r="D5856">
        <v>5.1736690000000003</v>
      </c>
      <c r="E5856">
        <v>0.4125395</v>
      </c>
      <c r="F5856" t="s">
        <v>101</v>
      </c>
      <c r="G5856">
        <v>-375.95979999999997</v>
      </c>
      <c r="H5856" s="1">
        <v>-3.0615330000000001E-6</v>
      </c>
      <c r="I5856">
        <v>13.8817</v>
      </c>
      <c r="J5856">
        <v>-412.19450000000001</v>
      </c>
      <c r="K5856">
        <v>1.133853</v>
      </c>
      <c r="L5856">
        <v>20.833130000000001</v>
      </c>
      <c r="M5856">
        <v>0.87418059999999997</v>
      </c>
      <c r="N5856">
        <v>-1.5797249999999999E-2</v>
      </c>
      <c r="O5856">
        <v>-0.48534440000000001</v>
      </c>
      <c r="P5856">
        <v>0.90330639999999995</v>
      </c>
      <c r="Q5856">
        <v>0.1581671</v>
      </c>
      <c r="R5856">
        <v>-0.39877469999999998</v>
      </c>
      <c r="S5856">
        <v>3.0816349999999999</v>
      </c>
      <c r="T5856">
        <v>-9.6049309999999999E-2</v>
      </c>
      <c r="U5856">
        <v>-0.59503169999999905</v>
      </c>
      <c r="V5856">
        <v>-9.5052709999999999E-2</v>
      </c>
      <c r="W5856">
        <v>0.17087579999999999</v>
      </c>
      <c r="X5856">
        <v>0.98069689999999998</v>
      </c>
      <c r="Y5856">
        <v>-0.31059439999999999</v>
      </c>
      <c r="Z5856">
        <v>1.364229E-2</v>
      </c>
      <c r="AA5856">
        <v>0.95044459999999997</v>
      </c>
      <c r="AB5856">
        <v>29</v>
      </c>
      <c r="AC5856">
        <v>36.234699999999997</v>
      </c>
      <c r="AD5856">
        <v>-1.133856061533</v>
      </c>
      <c r="AE5856">
        <v>-6.9514300000000002</v>
      </c>
      <c r="AF5856">
        <v>-11.500076197422199</v>
      </c>
      <c r="AG5856">
        <v>-1.133856061533</v>
      </c>
      <c r="AH5856">
        <v>35.020800810821399</v>
      </c>
      <c r="AI5856">
        <v>91.761897061066904</v>
      </c>
      <c r="AJ5856">
        <v>108.179065513764</v>
      </c>
      <c r="AK5856">
        <v>36.8780947385575</v>
      </c>
      <c r="AL5856">
        <v>80.1612560210704</v>
      </c>
      <c r="AM5856">
        <v>95.536023043590504</v>
      </c>
      <c r="AN5856">
        <v>0.99999998318679695</v>
      </c>
    </row>
    <row r="5857" spans="1:40" x14ac:dyDescent="0.25">
      <c r="A5857" t="str">
        <f>"20190303170409842"</f>
        <v>20190303170409842</v>
      </c>
      <c r="B5857" t="str">
        <f>"1551603849831576"</f>
        <v>1551603849831576</v>
      </c>
      <c r="C5857" t="s">
        <v>40</v>
      </c>
      <c r="D5857">
        <v>5.1371820000000001</v>
      </c>
      <c r="E5857">
        <v>0.3912311</v>
      </c>
      <c r="F5857" t="s">
        <v>101</v>
      </c>
      <c r="G5857">
        <v>-373.98910000000001</v>
      </c>
      <c r="H5857" s="1">
        <v>-3.835649E-6</v>
      </c>
      <c r="I5857">
        <v>13.900980000000001</v>
      </c>
      <c r="J5857">
        <v>-412.0145</v>
      </c>
      <c r="K5857">
        <v>1.133748</v>
      </c>
      <c r="L5857">
        <v>20.74466</v>
      </c>
      <c r="M5857">
        <v>0.87930359999999996</v>
      </c>
      <c r="N5857">
        <v>-1.5770180000000002E-2</v>
      </c>
      <c r="O5857">
        <v>-0.4760008</v>
      </c>
      <c r="P5857">
        <v>0.9071958</v>
      </c>
      <c r="Q5857">
        <v>0.1596013</v>
      </c>
      <c r="R5857">
        <v>-0.3892603</v>
      </c>
      <c r="S5857">
        <v>3.0896910000000002</v>
      </c>
      <c r="T5857">
        <v>-9.1695789999999999E-2</v>
      </c>
      <c r="U5857">
        <v>-0.56060790000000005</v>
      </c>
      <c r="V5857">
        <v>-9.4781219999999999E-2</v>
      </c>
      <c r="W5857">
        <v>0.1723142</v>
      </c>
      <c r="X5857">
        <v>0.98047150000000005</v>
      </c>
      <c r="Y5857">
        <v>-0.3111814</v>
      </c>
      <c r="Z5857">
        <v>1.2700370000000001E-2</v>
      </c>
      <c r="AA5857">
        <v>0.95026560000000004</v>
      </c>
      <c r="AB5857">
        <v>29</v>
      </c>
      <c r="AC5857">
        <v>38.025399999999898</v>
      </c>
      <c r="AD5857">
        <v>-1.133751835649</v>
      </c>
      <c r="AE5857">
        <v>-6.84368</v>
      </c>
      <c r="AF5857">
        <v>-12.0735530775684</v>
      </c>
      <c r="AG5857">
        <v>-1.133751835649</v>
      </c>
      <c r="AH5857">
        <v>36.666453979223803</v>
      </c>
      <c r="AI5857">
        <v>91.682261872684705</v>
      </c>
      <c r="AJ5857">
        <v>108.225712859666</v>
      </c>
      <c r="AK5857">
        <v>38.619747857180997</v>
      </c>
      <c r="AL5857">
        <v>80.077601251430394</v>
      </c>
      <c r="AM5857">
        <v>95.521570057792601</v>
      </c>
      <c r="AN5857">
        <v>1.0000000127492801</v>
      </c>
    </row>
    <row r="5858" spans="1:40" x14ac:dyDescent="0.25">
      <c r="A5858" t="str">
        <f>"20190303170409853"</f>
        <v>20190303170409853</v>
      </c>
      <c r="B5858" t="str">
        <f>"1551603849841336"</f>
        <v>1551603849841336</v>
      </c>
      <c r="C5858" t="s">
        <v>40</v>
      </c>
      <c r="D5858">
        <v>5.1556139999999999</v>
      </c>
      <c r="E5858">
        <v>0.38744689999999998</v>
      </c>
      <c r="F5858" t="s">
        <v>100</v>
      </c>
      <c r="G5858">
        <v>-278.8929</v>
      </c>
      <c r="H5858">
        <v>0.55775369999999902</v>
      </c>
      <c r="I5858">
        <v>5.047256</v>
      </c>
      <c r="J5858">
        <v>-411.88510000000002</v>
      </c>
      <c r="K5858">
        <v>1.1336580000000001</v>
      </c>
      <c r="L5858">
        <v>20.68225</v>
      </c>
      <c r="M5858">
        <v>0.882884</v>
      </c>
      <c r="N5858">
        <v>-1.5749590000000001E-2</v>
      </c>
      <c r="O5858">
        <v>-0.46932740000000001</v>
      </c>
      <c r="P5858">
        <v>0.91005270000000005</v>
      </c>
      <c r="Q5858">
        <v>0.15987419999999999</v>
      </c>
      <c r="R5858">
        <v>-0.38242009999999899</v>
      </c>
      <c r="S5858">
        <v>3.149902</v>
      </c>
      <c r="T5858">
        <v>-1.362908E-2</v>
      </c>
      <c r="U5858">
        <v>-0.37142940000000002</v>
      </c>
      <c r="V5858">
        <v>-9.4682619999999995E-2</v>
      </c>
      <c r="W5858">
        <v>0.17258899999999999</v>
      </c>
      <c r="X5858">
        <v>0.98043270000000005</v>
      </c>
      <c r="Y5858">
        <v>-0.36270439999999998</v>
      </c>
      <c r="Z5858">
        <v>-2.0520019999999998E-3</v>
      </c>
      <c r="AA5858">
        <v>0.93190200000000001</v>
      </c>
      <c r="AB5858">
        <v>29</v>
      </c>
      <c r="AC5858">
        <v>132.9922</v>
      </c>
      <c r="AD5858">
        <v>-0.57590430000000004</v>
      </c>
      <c r="AE5858">
        <v>-15.634994000000001</v>
      </c>
      <c r="AF5858">
        <v>-48.6181183812744</v>
      </c>
      <c r="AG5858">
        <v>-0.57590430000000004</v>
      </c>
      <c r="AH5858">
        <v>124.76775845611</v>
      </c>
      <c r="AI5858">
        <v>90.246417457482195</v>
      </c>
      <c r="AJ5858">
        <v>111.289316909948</v>
      </c>
      <c r="AK5858">
        <v>133.90685811735199</v>
      </c>
      <c r="AL5858">
        <v>80.061616969810302</v>
      </c>
      <c r="AM5858">
        <v>95.516078404144807</v>
      </c>
      <c r="AN5858">
        <v>1.00000002034017</v>
      </c>
    </row>
    <row r="5859" spans="1:40" x14ac:dyDescent="0.25">
      <c r="A5859" t="str">
        <f>"20190303170409864"</f>
        <v>20190303170409864</v>
      </c>
      <c r="B5859" t="str">
        <f>"1551603849852072"</f>
        <v>1551603849852072</v>
      </c>
      <c r="C5859" t="s">
        <v>40</v>
      </c>
      <c r="D5859">
        <v>5.1279029999999999</v>
      </c>
      <c r="E5859">
        <v>0.38599250000000002</v>
      </c>
      <c r="F5859" t="s">
        <v>100</v>
      </c>
      <c r="G5859">
        <v>-253.05840000000001</v>
      </c>
      <c r="H5859">
        <v>1.9415800000000001</v>
      </c>
      <c r="I5859">
        <v>4.6005919999999998</v>
      </c>
      <c r="J5859">
        <v>-411.75659999999999</v>
      </c>
      <c r="K5859">
        <v>1.1335599999999999</v>
      </c>
      <c r="L5859">
        <v>20.621980000000001</v>
      </c>
      <c r="M5859">
        <v>0.88632919999999904</v>
      </c>
      <c r="N5859">
        <v>-1.57255E-2</v>
      </c>
      <c r="O5859">
        <v>-0.4627889</v>
      </c>
      <c r="P5859">
        <v>0.91297899999999998</v>
      </c>
      <c r="Q5859">
        <v>0.15869929999999999</v>
      </c>
      <c r="R5859">
        <v>-0.3758782</v>
      </c>
      <c r="S5859">
        <v>3.1592709999999999</v>
      </c>
      <c r="T5859">
        <v>1.6070600000000001E-2</v>
      </c>
      <c r="U5859">
        <v>-0.31988529999999998</v>
      </c>
      <c r="V5859">
        <v>-9.4491329999999998E-2</v>
      </c>
      <c r="W5859">
        <v>0.17142070000000001</v>
      </c>
      <c r="X5859">
        <v>0.98065610000000003</v>
      </c>
      <c r="Y5859">
        <v>-0.37110199999999999</v>
      </c>
      <c r="Z5859">
        <v>-7.8007709999999997E-3</v>
      </c>
      <c r="AA5859">
        <v>0.92855940000000003</v>
      </c>
      <c r="AB5859">
        <v>29</v>
      </c>
      <c r="AC5859">
        <v>158.69820000000001</v>
      </c>
      <c r="AD5859">
        <v>0.80801999999999896</v>
      </c>
      <c r="AE5859">
        <v>-16.021387999999899</v>
      </c>
      <c r="AF5859">
        <v>-59.249338361243403</v>
      </c>
      <c r="AG5859">
        <v>0.80801999999999896</v>
      </c>
      <c r="AH5859">
        <v>148.08785810478599</v>
      </c>
      <c r="AI5859">
        <v>89.709745992207104</v>
      </c>
      <c r="AJ5859">
        <v>111.80614394015601</v>
      </c>
      <c r="AK5859">
        <v>159.50282351929999</v>
      </c>
      <c r="AL5859">
        <v>80.129568440515499</v>
      </c>
      <c r="AM5859">
        <v>95.503756265660499</v>
      </c>
      <c r="AN5859">
        <v>1.0000000271504299</v>
      </c>
    </row>
    <row r="5860" spans="1:40" x14ac:dyDescent="0.25">
      <c r="A5860" t="str">
        <f>"20190303170409888"</f>
        <v>20190303170409888</v>
      </c>
      <c r="B5860" t="str">
        <f>"1551603849881352"</f>
        <v>1551603849881352</v>
      </c>
      <c r="C5860" t="s">
        <v>40</v>
      </c>
      <c r="D5860">
        <v>5.2177850000000001</v>
      </c>
      <c r="E5860">
        <v>0.38645089999999999</v>
      </c>
      <c r="F5860" t="s">
        <v>102</v>
      </c>
      <c r="G5860">
        <v>-241.07</v>
      </c>
      <c r="H5860">
        <v>2.2982589999999998</v>
      </c>
      <c r="I5860">
        <v>5.1726559999999999</v>
      </c>
      <c r="J5860">
        <v>-411.47719999999998</v>
      </c>
      <c r="K5860">
        <v>1.1333219999999999</v>
      </c>
      <c r="L5860">
        <v>20.493929999999999</v>
      </c>
      <c r="M5860">
        <v>0.89353470000000002</v>
      </c>
      <c r="N5860">
        <v>-1.567025E-2</v>
      </c>
      <c r="O5860">
        <v>-0.44872079999999998</v>
      </c>
      <c r="P5860">
        <v>0.91885749999999999</v>
      </c>
      <c r="Q5860">
        <v>0.15662499999999999</v>
      </c>
      <c r="R5860">
        <v>-0.36217369999999999</v>
      </c>
      <c r="S5860">
        <v>3.1642760000000001</v>
      </c>
      <c r="T5860">
        <v>2.1591659999999999E-2</v>
      </c>
      <c r="U5860">
        <v>-0.28640749999999998</v>
      </c>
      <c r="V5860">
        <v>-9.36641E-2</v>
      </c>
      <c r="W5860">
        <v>0.16937160000000001</v>
      </c>
      <c r="X5860">
        <v>0.98109139999999995</v>
      </c>
      <c r="Y5860">
        <v>-0.36628830000000001</v>
      </c>
      <c r="Z5860">
        <v>-8.5762269999999901E-3</v>
      </c>
      <c r="AA5860">
        <v>0.93046189999999995</v>
      </c>
      <c r="AB5860">
        <v>29</v>
      </c>
      <c r="AC5860">
        <v>170.40719999999999</v>
      </c>
      <c r="AD5860">
        <v>1.1649369999999999</v>
      </c>
      <c r="AE5860">
        <v>-15.321274000000001</v>
      </c>
      <c r="AF5860">
        <v>-62.779958151730398</v>
      </c>
      <c r="AG5860">
        <v>1.1649369999999999</v>
      </c>
      <c r="AH5860">
        <v>159.15187129150499</v>
      </c>
      <c r="AI5860">
        <v>89.609876383626997</v>
      </c>
      <c r="AJ5860">
        <v>111.52753490411</v>
      </c>
      <c r="AK5860">
        <v>171.09061446886801</v>
      </c>
      <c r="AL5860">
        <v>80.248715612527604</v>
      </c>
      <c r="AM5860">
        <v>95.453459194617494</v>
      </c>
      <c r="AN5860">
        <v>1.0000000188346601</v>
      </c>
    </row>
    <row r="5861" spans="1:40" x14ac:dyDescent="0.25">
      <c r="A5861" t="str">
        <f>"20190303170409898"</f>
        <v>20190303170409898</v>
      </c>
      <c r="B5861" t="str">
        <f>"1551603849892089"</f>
        <v>1551603849892089</v>
      </c>
      <c r="C5861" t="s">
        <v>40</v>
      </c>
      <c r="D5861">
        <v>5.2077229999999997</v>
      </c>
      <c r="E5861">
        <v>0.38709569999999999</v>
      </c>
      <c r="F5861" t="s">
        <v>102</v>
      </c>
      <c r="G5861">
        <v>-241.07</v>
      </c>
      <c r="H5861">
        <v>2.1515550000000001</v>
      </c>
      <c r="I5861">
        <v>7.4170229999999897</v>
      </c>
      <c r="J5861">
        <v>-411.35270000000003</v>
      </c>
      <c r="K5861">
        <v>1.1331990000000001</v>
      </c>
      <c r="L5861">
        <v>20.438420000000001</v>
      </c>
      <c r="M5861">
        <v>0.89661119999999905</v>
      </c>
      <c r="N5861">
        <v>-1.5644020000000002E-2</v>
      </c>
      <c r="O5861">
        <v>-0.4425424</v>
      </c>
      <c r="P5861">
        <v>0.92127590000000004</v>
      </c>
      <c r="Q5861">
        <v>0.1557924</v>
      </c>
      <c r="R5861">
        <v>-0.35634189999999999</v>
      </c>
      <c r="S5861">
        <v>3.165924</v>
      </c>
      <c r="T5861">
        <v>1.8917199999999999E-2</v>
      </c>
      <c r="U5861">
        <v>-0.24295040000000001</v>
      </c>
      <c r="V5861">
        <v>-9.3101400000000001E-2</v>
      </c>
      <c r="W5861">
        <v>0.16855619999999999</v>
      </c>
      <c r="X5861">
        <v>0.98128530000000003</v>
      </c>
      <c r="Y5861">
        <v>-0.37259330000000002</v>
      </c>
      <c r="Z5861">
        <v>-7.8811339999999997E-3</v>
      </c>
      <c r="AA5861">
        <v>0.92796129999999999</v>
      </c>
      <c r="AB5861">
        <v>29</v>
      </c>
      <c r="AC5861">
        <v>170.28270000000001</v>
      </c>
      <c r="AD5861">
        <v>1.018356</v>
      </c>
      <c r="AE5861">
        <v>-13.021397</v>
      </c>
      <c r="AF5861">
        <v>-63.687708928650302</v>
      </c>
      <c r="AG5861">
        <v>1.018356</v>
      </c>
      <c r="AH5861">
        <v>158.453641306451</v>
      </c>
      <c r="AI5861">
        <v>89.658338578225397</v>
      </c>
      <c r="AJ5861">
        <v>111.896810322351</v>
      </c>
      <c r="AK5861">
        <v>170.77680685853301</v>
      </c>
      <c r="AL5861">
        <v>80.296115446003299</v>
      </c>
      <c r="AM5861">
        <v>95.419827757623395</v>
      </c>
      <c r="AN5861">
        <v>0.99999995161824295</v>
      </c>
    </row>
    <row r="5862" spans="1:40" x14ac:dyDescent="0.25">
      <c r="A5862" t="str">
        <f>"20190303170409910"</f>
        <v>20190303170409910</v>
      </c>
      <c r="B5862" t="str">
        <f>"1551603849901848"</f>
        <v>1551603849901848</v>
      </c>
      <c r="C5862" t="s">
        <v>40</v>
      </c>
      <c r="D5862">
        <v>5.172275</v>
      </c>
      <c r="E5862">
        <v>0.38780789999999998</v>
      </c>
      <c r="F5862" t="s">
        <v>102</v>
      </c>
      <c r="G5862">
        <v>-241.07</v>
      </c>
      <c r="H5862">
        <v>1.980532</v>
      </c>
      <c r="I5862">
        <v>8.1839009999999899</v>
      </c>
      <c r="J5862">
        <v>-411.21690000000001</v>
      </c>
      <c r="K5862">
        <v>1.1330709999999999</v>
      </c>
      <c r="L5862">
        <v>20.379149999999999</v>
      </c>
      <c r="M5862">
        <v>0.899868</v>
      </c>
      <c r="N5862">
        <v>-1.561357E-2</v>
      </c>
      <c r="O5862">
        <v>-0.43588260000000001</v>
      </c>
      <c r="P5862">
        <v>0.92379900000000004</v>
      </c>
      <c r="Q5862">
        <v>0.15542839999999999</v>
      </c>
      <c r="R5862">
        <v>-0.34991050000000001</v>
      </c>
      <c r="S5862">
        <v>3.1655880000000001</v>
      </c>
      <c r="T5862">
        <v>1.5751959999999999E-2</v>
      </c>
      <c r="U5862">
        <v>-0.22781370000000001</v>
      </c>
      <c r="V5862">
        <v>-9.2630710000000005E-2</v>
      </c>
      <c r="W5862">
        <v>0.1682042</v>
      </c>
      <c r="X5862">
        <v>0.98139030000000005</v>
      </c>
      <c r="Y5862">
        <v>-0.37012709999999999</v>
      </c>
      <c r="Z5862">
        <v>-7.1299519999999898E-3</v>
      </c>
      <c r="AA5862">
        <v>0.92895380000000005</v>
      </c>
      <c r="AB5862">
        <v>29</v>
      </c>
      <c r="AC5862">
        <v>170.14689999999999</v>
      </c>
      <c r="AD5862">
        <v>0.84746100000000002</v>
      </c>
      <c r="AE5862">
        <v>-12.195249</v>
      </c>
      <c r="AF5862">
        <v>-63.196107812086701</v>
      </c>
      <c r="AG5862">
        <v>0.84746100000000002</v>
      </c>
      <c r="AH5862">
        <v>158.44086375700999</v>
      </c>
      <c r="AI5862">
        <v>89.715348964632497</v>
      </c>
      <c r="AJ5862">
        <v>111.745199522088</v>
      </c>
      <c r="AK5862">
        <v>170.58128133183601</v>
      </c>
      <c r="AL5862">
        <v>80.316576272179205</v>
      </c>
      <c r="AM5862">
        <v>95.392015272606898</v>
      </c>
      <c r="AN5862">
        <v>1.00000001113341</v>
      </c>
    </row>
    <row r="5863" spans="1:40" x14ac:dyDescent="0.25">
      <c r="A5863" t="str">
        <f>"20190303170409921"</f>
        <v>20190303170409921</v>
      </c>
      <c r="B5863" t="str">
        <f>"1551603849911608"</f>
        <v>1551603849911608</v>
      </c>
      <c r="C5863" t="s">
        <v>40</v>
      </c>
      <c r="D5863">
        <v>5.1770870000000002</v>
      </c>
      <c r="E5863">
        <v>0.38856230000000003</v>
      </c>
      <c r="F5863" t="s">
        <v>102</v>
      </c>
      <c r="G5863">
        <v>-241.07</v>
      </c>
      <c r="H5863">
        <v>1.8103959999999999</v>
      </c>
      <c r="I5863">
        <v>9.0393030000000003</v>
      </c>
      <c r="J5863">
        <v>-411.09190000000001</v>
      </c>
      <c r="K5863">
        <v>1.1329499999999999</v>
      </c>
      <c r="L5863">
        <v>20.325559999999999</v>
      </c>
      <c r="M5863">
        <v>0.90277909999999995</v>
      </c>
      <c r="N5863">
        <v>-1.558467E-2</v>
      </c>
      <c r="O5863">
        <v>-0.4298225</v>
      </c>
      <c r="P5863">
        <v>0.92607539999999999</v>
      </c>
      <c r="Q5863">
        <v>0.155169</v>
      </c>
      <c r="R5863">
        <v>-0.34395870000000001</v>
      </c>
      <c r="S5863">
        <v>3.1654360000000001</v>
      </c>
      <c r="T5863">
        <v>1.26009E-2</v>
      </c>
      <c r="U5863">
        <v>-0.21096799999999999</v>
      </c>
      <c r="V5863">
        <v>-9.2307609999999998E-2</v>
      </c>
      <c r="W5863">
        <v>0.1679523</v>
      </c>
      <c r="X5863">
        <v>0.98146389999999994</v>
      </c>
      <c r="Y5863">
        <v>-0.36880619999999997</v>
      </c>
      <c r="Z5863">
        <v>-6.4018959999999998E-3</v>
      </c>
      <c r="AA5863">
        <v>0.92948419999999998</v>
      </c>
      <c r="AB5863">
        <v>29</v>
      </c>
      <c r="AC5863">
        <v>170.02189999999999</v>
      </c>
      <c r="AD5863">
        <v>0.67744599999999999</v>
      </c>
      <c r="AE5863">
        <v>-11.286257000000001</v>
      </c>
      <c r="AF5863">
        <v>-62.896874313046503</v>
      </c>
      <c r="AG5863">
        <v>0.67744599999999999</v>
      </c>
      <c r="AH5863">
        <v>158.36000579036499</v>
      </c>
      <c r="AI5863">
        <v>89.772206001937704</v>
      </c>
      <c r="AJ5863">
        <v>111.66181341773</v>
      </c>
      <c r="AK5863">
        <v>170.39473925376501</v>
      </c>
      <c r="AL5863">
        <v>80.331217537421495</v>
      </c>
      <c r="AM5863">
        <v>95.372917371803396</v>
      </c>
      <c r="AN5863">
        <v>1.0000000284712001</v>
      </c>
    </row>
    <row r="5864" spans="1:40" x14ac:dyDescent="0.25">
      <c r="A5864" t="str">
        <f>"20190303170409931"</f>
        <v>20190303170409931</v>
      </c>
      <c r="B5864" t="str">
        <f>"1551603849921369"</f>
        <v>1551603849921369</v>
      </c>
      <c r="C5864" t="s">
        <v>40</v>
      </c>
      <c r="D5864">
        <v>5.1835740000000001</v>
      </c>
      <c r="E5864">
        <v>0.3894106</v>
      </c>
      <c r="F5864" t="s">
        <v>102</v>
      </c>
      <c r="G5864">
        <v>-241.07</v>
      </c>
      <c r="H5864">
        <v>1.6486019999999999</v>
      </c>
      <c r="I5864">
        <v>9.7791169999999994</v>
      </c>
      <c r="J5864">
        <v>-410.96640000000002</v>
      </c>
      <c r="K5864">
        <v>1.1328260000000001</v>
      </c>
      <c r="L5864">
        <v>20.272549999999999</v>
      </c>
      <c r="M5864">
        <v>0.9056265</v>
      </c>
      <c r="N5864">
        <v>-1.555545E-2</v>
      </c>
      <c r="O5864">
        <v>-0.42379090000000003</v>
      </c>
      <c r="P5864">
        <v>0.92827249999999994</v>
      </c>
      <c r="Q5864">
        <v>0.15493889999999999</v>
      </c>
      <c r="R5864">
        <v>-0.33808919999999998</v>
      </c>
      <c r="S5864">
        <v>3.164917</v>
      </c>
      <c r="T5864">
        <v>9.5986130000000006E-3</v>
      </c>
      <c r="U5864">
        <v>-0.19631960000000001</v>
      </c>
      <c r="V5864">
        <v>-9.1931100000000002E-2</v>
      </c>
      <c r="W5864">
        <v>0.1677313</v>
      </c>
      <c r="X5864">
        <v>0.98153699999999999</v>
      </c>
      <c r="Y5864">
        <v>-0.36688680000000001</v>
      </c>
      <c r="Z5864">
        <v>-5.7183919999999897E-3</v>
      </c>
      <c r="AA5864">
        <v>0.93024799999999996</v>
      </c>
      <c r="AB5864">
        <v>29</v>
      </c>
      <c r="AC5864">
        <v>169.8964</v>
      </c>
      <c r="AD5864">
        <v>0.51577600000000001</v>
      </c>
      <c r="AE5864">
        <v>-10.493433</v>
      </c>
      <c r="AF5864">
        <v>-62.5044043165529</v>
      </c>
      <c r="AG5864">
        <v>0.51577600000000001</v>
      </c>
      <c r="AH5864">
        <v>158.32740213772601</v>
      </c>
      <c r="AI5864">
        <v>89.826389712630899</v>
      </c>
      <c r="AJ5864">
        <v>111.543087900724</v>
      </c>
      <c r="AK5864">
        <v>170.21936685210201</v>
      </c>
      <c r="AL5864">
        <v>80.344061833525998</v>
      </c>
      <c r="AM5864">
        <v>95.350733246386397</v>
      </c>
      <c r="AN5864">
        <v>0.99999999925794902</v>
      </c>
    </row>
    <row r="5865" spans="1:40" x14ac:dyDescent="0.25">
      <c r="A5865" t="str">
        <f>"20190303170409948"</f>
        <v>20190303170409948</v>
      </c>
      <c r="B5865" t="str">
        <f>"1551603849941864"</f>
        <v>1551603849941864</v>
      </c>
      <c r="C5865" t="s">
        <v>40</v>
      </c>
      <c r="D5865">
        <v>5.1160350000000001</v>
      </c>
      <c r="E5865">
        <v>0.39042779999999999</v>
      </c>
      <c r="F5865" t="s">
        <v>88</v>
      </c>
      <c r="G5865">
        <v>-274.49669999999998</v>
      </c>
      <c r="H5865">
        <v>1.409394</v>
      </c>
      <c r="I5865">
        <v>12.404640000000001</v>
      </c>
      <c r="J5865">
        <v>-410.77030000000002</v>
      </c>
      <c r="K5865">
        <v>1.132622</v>
      </c>
      <c r="L5865">
        <v>20.19183</v>
      </c>
      <c r="M5865">
        <v>0.90989600000000004</v>
      </c>
      <c r="N5865">
        <v>-1.5506600000000001E-2</v>
      </c>
      <c r="O5865">
        <v>-0.41454649999999998</v>
      </c>
      <c r="P5865">
        <v>0.93170419999999998</v>
      </c>
      <c r="Q5865">
        <v>0.15436839999999999</v>
      </c>
      <c r="R5865">
        <v>-0.32878190000000002</v>
      </c>
      <c r="S5865">
        <v>3.1643370000000002</v>
      </c>
      <c r="T5865">
        <v>6.4128639999999999E-3</v>
      </c>
      <c r="U5865">
        <v>-0.18243409999999999</v>
      </c>
      <c r="V5865">
        <v>-9.1696669999999994E-2</v>
      </c>
      <c r="W5865">
        <v>0.16716439999999999</v>
      </c>
      <c r="X5865">
        <v>0.98165570000000002</v>
      </c>
      <c r="Y5865">
        <v>-0.3614716</v>
      </c>
      <c r="Z5865">
        <v>-4.971886E-3</v>
      </c>
      <c r="AA5865">
        <v>0.93236989999999997</v>
      </c>
      <c r="AB5865">
        <v>29</v>
      </c>
      <c r="AC5865">
        <v>136.27359999999999</v>
      </c>
      <c r="AD5865">
        <v>0.27677199999999902</v>
      </c>
      <c r="AE5865">
        <v>-7.7871899999999998</v>
      </c>
      <c r="AF5865">
        <v>-49.411949121535997</v>
      </c>
      <c r="AG5865">
        <v>0.27677199999999902</v>
      </c>
      <c r="AH5865">
        <v>127.237732078702</v>
      </c>
      <c r="AI5865">
        <v>89.883821349996893</v>
      </c>
      <c r="AJ5865">
        <v>111.22335819463601</v>
      </c>
      <c r="AK5865">
        <v>136.49563283585599</v>
      </c>
      <c r="AL5865">
        <v>80.377008615289697</v>
      </c>
      <c r="AM5865">
        <v>95.336525804993101</v>
      </c>
      <c r="AN5865">
        <v>1.00000006462946</v>
      </c>
    </row>
    <row r="5866" spans="1:40" x14ac:dyDescent="0.25">
      <c r="A5866" t="str">
        <f>"20190303170409959"</f>
        <v>20190303170409959</v>
      </c>
      <c r="B5866" t="str">
        <f>"1551603849951624"</f>
        <v>1551603849951624</v>
      </c>
      <c r="C5866" t="s">
        <v>40</v>
      </c>
      <c r="D5866">
        <v>5.1309889999999996</v>
      </c>
      <c r="E5866">
        <v>0.3908123</v>
      </c>
      <c r="F5866" t="s">
        <v>103</v>
      </c>
      <c r="G5866">
        <v>-279.68</v>
      </c>
      <c r="H5866">
        <v>1.2713319999999999</v>
      </c>
      <c r="I5866">
        <v>13.628410000000001</v>
      </c>
      <c r="J5866">
        <v>-410.63130000000001</v>
      </c>
      <c r="K5866">
        <v>1.1324719999999999</v>
      </c>
      <c r="L5866">
        <v>20.135770000000001</v>
      </c>
      <c r="M5866">
        <v>0.91281000000000001</v>
      </c>
      <c r="N5866">
        <v>-1.54708E-2</v>
      </c>
      <c r="O5866">
        <v>-0.40809190000000001</v>
      </c>
      <c r="P5866">
        <v>0.93409140000000002</v>
      </c>
      <c r="Q5866">
        <v>0.15342020000000001</v>
      </c>
      <c r="R5866">
        <v>-0.322391599999999</v>
      </c>
      <c r="S5866">
        <v>3.1634220000000002</v>
      </c>
      <c r="T5866">
        <v>3.347039E-3</v>
      </c>
      <c r="U5866">
        <v>-0.1583862</v>
      </c>
      <c r="V5866">
        <v>-9.1443689999999994E-2</v>
      </c>
      <c r="W5866">
        <v>0.1662226</v>
      </c>
      <c r="X5866">
        <v>0.98183909999999996</v>
      </c>
      <c r="Y5866">
        <v>-0.36192540000000001</v>
      </c>
      <c r="Z5866">
        <v>-4.2801009999999997E-3</v>
      </c>
      <c r="AA5866">
        <v>0.93219719999999995</v>
      </c>
      <c r="AB5866">
        <v>29</v>
      </c>
      <c r="AC5866">
        <v>130.9513</v>
      </c>
      <c r="AD5866">
        <v>0.13885999999999901</v>
      </c>
      <c r="AE5866">
        <v>-6.5073600000000003</v>
      </c>
      <c r="AF5866">
        <v>-47.505803290816999</v>
      </c>
      <c r="AG5866">
        <v>0.13885999999999901</v>
      </c>
      <c r="AH5866">
        <v>122.20371841895501</v>
      </c>
      <c r="AI5866">
        <v>89.939318718590599</v>
      </c>
      <c r="AJ5866">
        <v>111.24322941067599</v>
      </c>
      <c r="AK5866">
        <v>131.11281182182299</v>
      </c>
      <c r="AL5866">
        <v>80.431734462606897</v>
      </c>
      <c r="AM5866">
        <v>95.320899246418705</v>
      </c>
      <c r="AN5866">
        <v>0.99999995974019196</v>
      </c>
    </row>
    <row r="5867" spans="1:40" x14ac:dyDescent="0.25">
      <c r="A5867" t="str">
        <f>"20190303170409970"</f>
        <v>20190303170409970</v>
      </c>
      <c r="B5867" t="str">
        <f>"1551603849961384"</f>
        <v>1551603849961384</v>
      </c>
      <c r="C5867" t="s">
        <v>40</v>
      </c>
      <c r="D5867">
        <v>5.181057</v>
      </c>
      <c r="E5867">
        <v>0.39119779999999998</v>
      </c>
      <c r="F5867" t="s">
        <v>104</v>
      </c>
      <c r="G5867">
        <v>-279.68</v>
      </c>
      <c r="H5867">
        <v>1.1616280000000001</v>
      </c>
      <c r="I5867">
        <v>14.363910000000001</v>
      </c>
      <c r="J5867">
        <v>-410.50850000000003</v>
      </c>
      <c r="K5867">
        <v>1.1323299999999901</v>
      </c>
      <c r="L5867">
        <v>20.087160000000001</v>
      </c>
      <c r="M5867">
        <v>0.91529850000000001</v>
      </c>
      <c r="N5867">
        <v>-1.543773E-2</v>
      </c>
      <c r="O5867">
        <v>-0.40248050000000002</v>
      </c>
      <c r="P5867">
        <v>0.93621710000000002</v>
      </c>
      <c r="Q5867">
        <v>0.1523631</v>
      </c>
      <c r="R5867">
        <v>-0.31667610000000002</v>
      </c>
      <c r="S5867">
        <v>3.1634829999999998</v>
      </c>
      <c r="T5867">
        <v>7.0440770000000002E-4</v>
      </c>
      <c r="U5867">
        <v>-0.1394348</v>
      </c>
      <c r="V5867">
        <v>-9.140115E-2</v>
      </c>
      <c r="W5867">
        <v>0.16516600000000001</v>
      </c>
      <c r="X5867">
        <v>0.98202140000000004</v>
      </c>
      <c r="Y5867">
        <v>-0.36177999999999999</v>
      </c>
      <c r="Z5867">
        <v>-3.6953089999999999E-3</v>
      </c>
      <c r="AA5867">
        <v>0.93225619999999998</v>
      </c>
      <c r="AB5867">
        <v>29</v>
      </c>
      <c r="AC5867">
        <v>130.82849999999999</v>
      </c>
      <c r="AD5867">
        <v>2.9298000000000199E-2</v>
      </c>
      <c r="AE5867">
        <v>-5.7232500000000002</v>
      </c>
      <c r="AF5867">
        <v>-47.423081706217701</v>
      </c>
      <c r="AG5867">
        <v>2.9298000000000199E-2</v>
      </c>
      <c r="AH5867">
        <v>122.06515312550199</v>
      </c>
      <c r="AI5867">
        <v>89.987181326219897</v>
      </c>
      <c r="AJ5867">
        <v>111.231462272936</v>
      </c>
      <c r="AK5867">
        <v>130.95362211271501</v>
      </c>
      <c r="AL5867">
        <v>80.4931221589693</v>
      </c>
      <c r="AM5867">
        <v>95.317456496973094</v>
      </c>
      <c r="AN5867">
        <v>1.00000000391764</v>
      </c>
    </row>
    <row r="5868" spans="1:40" x14ac:dyDescent="0.25">
      <c r="A5868" t="str">
        <f>"20190303170409982"</f>
        <v>20190303170409982</v>
      </c>
      <c r="B5868" t="str">
        <f>"1551603849971144"</f>
        <v>1551603849971144</v>
      </c>
      <c r="C5868" t="s">
        <v>40</v>
      </c>
      <c r="D5868">
        <v>5.2210460000000003</v>
      </c>
      <c r="E5868">
        <v>0.39173160000000001</v>
      </c>
      <c r="F5868" t="s">
        <v>104</v>
      </c>
      <c r="G5868">
        <v>-279.68</v>
      </c>
      <c r="H5868">
        <v>1.026327</v>
      </c>
      <c r="I5868">
        <v>14.996700000000001</v>
      </c>
      <c r="J5868">
        <v>-410.3571</v>
      </c>
      <c r="K5868">
        <v>1.13215</v>
      </c>
      <c r="L5868">
        <v>20.02844</v>
      </c>
      <c r="M5868">
        <v>0.91826140000000001</v>
      </c>
      <c r="N5868">
        <v>-1.5395519999999999E-2</v>
      </c>
      <c r="O5868">
        <v>-0.39567540000000001</v>
      </c>
      <c r="P5868">
        <v>0.93878729999999999</v>
      </c>
      <c r="Q5868">
        <v>0.15119340000000001</v>
      </c>
      <c r="R5868">
        <v>-0.3095464</v>
      </c>
      <c r="S5868">
        <v>3.1631770000000001</v>
      </c>
      <c r="T5868">
        <v>-2.5628809999999999E-3</v>
      </c>
      <c r="U5868">
        <v>-0.1230774</v>
      </c>
      <c r="V5868">
        <v>-9.1552339999999996E-2</v>
      </c>
      <c r="W5868">
        <v>0.16399059999999999</v>
      </c>
      <c r="X5868">
        <v>0.98220430000000003</v>
      </c>
      <c r="Y5868">
        <v>-0.35967199999999999</v>
      </c>
      <c r="Z5868">
        <v>-3.0024399999999999E-3</v>
      </c>
      <c r="AA5868">
        <v>0.93307390000000001</v>
      </c>
      <c r="AB5868">
        <v>29</v>
      </c>
      <c r="AC5868">
        <v>130.6771</v>
      </c>
      <c r="AD5868">
        <v>-0.105823</v>
      </c>
      <c r="AE5868">
        <v>-5.0317399999999903</v>
      </c>
      <c r="AF5868">
        <v>-47.090810464118903</v>
      </c>
      <c r="AG5868">
        <v>-0.105823</v>
      </c>
      <c r="AH5868">
        <v>122.001049358918</v>
      </c>
      <c r="AI5868">
        <v>90.046364084563706</v>
      </c>
      <c r="AJ5868">
        <v>111.105936523041</v>
      </c>
      <c r="AK5868">
        <v>130.77389522894899</v>
      </c>
      <c r="AL5868">
        <v>80.561398767211401</v>
      </c>
      <c r="AM5868">
        <v>95.325215643398295</v>
      </c>
      <c r="AN5868">
        <v>1.00000001739316</v>
      </c>
    </row>
    <row r="5869" spans="1:40" x14ac:dyDescent="0.25">
      <c r="A5869" t="str">
        <f>"20190303170410003"</f>
        <v>20190303170410003</v>
      </c>
      <c r="B5869" t="str">
        <f>"1551603849991640"</f>
        <v>1551603849991640</v>
      </c>
      <c r="C5869" t="s">
        <v>40</v>
      </c>
      <c r="D5869">
        <v>5.1535219999999997</v>
      </c>
      <c r="E5869">
        <v>0.39287509999999998</v>
      </c>
      <c r="F5869" t="s">
        <v>104</v>
      </c>
      <c r="G5869">
        <v>-279.68</v>
      </c>
      <c r="H5869">
        <v>0.89677240000000003</v>
      </c>
      <c r="I5869">
        <v>15.762359999999999</v>
      </c>
      <c r="J5869">
        <v>-410.12029999999999</v>
      </c>
      <c r="K5869">
        <v>1.131864</v>
      </c>
      <c r="L5869">
        <v>19.938749999999999</v>
      </c>
      <c r="M5869">
        <v>0.92268190000000005</v>
      </c>
      <c r="N5869">
        <v>-1.5328339999999999E-2</v>
      </c>
      <c r="O5869">
        <v>-0.38525720000000002</v>
      </c>
      <c r="P5869">
        <v>0.94221719999999998</v>
      </c>
      <c r="Q5869">
        <v>0.15048819999999999</v>
      </c>
      <c r="R5869">
        <v>-0.2992995</v>
      </c>
      <c r="S5869">
        <v>3.162445</v>
      </c>
      <c r="T5869">
        <v>-5.6961769999999898E-3</v>
      </c>
      <c r="U5869">
        <v>-0.103241</v>
      </c>
      <c r="V5869">
        <v>-9.1046390000000005E-2</v>
      </c>
      <c r="W5869">
        <v>0.16329489999999999</v>
      </c>
      <c r="X5869">
        <v>0.9823672</v>
      </c>
      <c r="Y5869">
        <v>-0.35494710000000002</v>
      </c>
      <c r="Z5869">
        <v>-2.3124170000000002E-3</v>
      </c>
      <c r="AA5869">
        <v>0.93488349999999998</v>
      </c>
      <c r="AB5869">
        <v>29</v>
      </c>
      <c r="AC5869">
        <v>130.44029999999901</v>
      </c>
      <c r="AD5869">
        <v>-0.23509160000000001</v>
      </c>
      <c r="AE5869">
        <v>-4.1763899999999898</v>
      </c>
      <c r="AF5869">
        <v>-46.404887645711803</v>
      </c>
      <c r="AG5869">
        <v>-0.23509160000000001</v>
      </c>
      <c r="AH5869">
        <v>121.977825708315</v>
      </c>
      <c r="AI5869">
        <v>90.103211099542406</v>
      </c>
      <c r="AJ5869">
        <v>110.828670700008</v>
      </c>
      <c r="AK5869">
        <v>130.506930199126</v>
      </c>
      <c r="AL5869">
        <v>80.601803883420104</v>
      </c>
      <c r="AM5869">
        <v>95.2950812451421</v>
      </c>
      <c r="AN5869">
        <v>0.99999999256694005</v>
      </c>
    </row>
    <row r="5870" spans="1:40" x14ac:dyDescent="0.25">
      <c r="A5870" t="str">
        <f>"20190303170410016"</f>
        <v>20190303170410016</v>
      </c>
      <c r="B5870" t="str">
        <f>"1551603850011160"</f>
        <v>1551603850011160</v>
      </c>
      <c r="C5870" t="s">
        <v>40</v>
      </c>
      <c r="D5870">
        <v>5.1938649999999997</v>
      </c>
      <c r="E5870">
        <v>0.40624179999999999</v>
      </c>
      <c r="F5870" t="s">
        <v>104</v>
      </c>
      <c r="G5870">
        <v>-279.68</v>
      </c>
      <c r="H5870">
        <v>0.68299319999999997</v>
      </c>
      <c r="I5870">
        <v>16.70205</v>
      </c>
      <c r="J5870">
        <v>-409.96690000000001</v>
      </c>
      <c r="K5870">
        <v>1.131683</v>
      </c>
      <c r="L5870">
        <v>19.881869999999999</v>
      </c>
      <c r="M5870">
        <v>0.92542020000000003</v>
      </c>
      <c r="N5870">
        <v>-1.528535E-2</v>
      </c>
      <c r="O5870">
        <v>-0.37863400000000003</v>
      </c>
      <c r="P5870">
        <v>0.94423749999999995</v>
      </c>
      <c r="Q5870">
        <v>0.1509345</v>
      </c>
      <c r="R5870">
        <v>-0.29263299999999998</v>
      </c>
      <c r="S5870">
        <v>3.1607669999999999</v>
      </c>
      <c r="T5870">
        <v>-1.0876769999999999E-2</v>
      </c>
      <c r="U5870">
        <v>-7.8430180000000002E-2</v>
      </c>
      <c r="V5870">
        <v>-9.0855450000000004E-2</v>
      </c>
      <c r="W5870">
        <v>0.16374269999999999</v>
      </c>
      <c r="X5870">
        <v>0.98231040000000003</v>
      </c>
      <c r="Y5870">
        <v>-0.35556520000000003</v>
      </c>
      <c r="Z5870">
        <v>-1.29996E-3</v>
      </c>
      <c r="AA5870">
        <v>0.93465050000000005</v>
      </c>
      <c r="AB5870">
        <v>29</v>
      </c>
      <c r="AC5870">
        <v>130.2869</v>
      </c>
      <c r="AD5870">
        <v>-0.44868980000000003</v>
      </c>
      <c r="AE5870">
        <v>-3.1798199999999999</v>
      </c>
      <c r="AF5870">
        <v>-46.3932530640217</v>
      </c>
      <c r="AG5870">
        <v>-0.44868980000000003</v>
      </c>
      <c r="AH5870">
        <v>121.78690815956099</v>
      </c>
      <c r="AI5870">
        <v>90.197261441013893</v>
      </c>
      <c r="AJ5870">
        <v>110.853735140903</v>
      </c>
      <c r="AK5870">
        <v>130.32492567220001</v>
      </c>
      <c r="AL5870">
        <v>80.575797360344893</v>
      </c>
      <c r="AM5870">
        <v>95.284343278046407</v>
      </c>
      <c r="AN5870">
        <v>1.00000005327307</v>
      </c>
    </row>
    <row r="5871" spans="1:40" x14ac:dyDescent="0.25">
      <c r="A5871" t="str">
        <f>"20190303170410031"</f>
        <v>20190303170410031</v>
      </c>
      <c r="B5871" t="str">
        <f>"1551603850021897"</f>
        <v>1551603850021897</v>
      </c>
      <c r="C5871" t="s">
        <v>40</v>
      </c>
      <c r="D5871">
        <v>5.1777499999999996</v>
      </c>
      <c r="E5871">
        <v>0.40709869999999998</v>
      </c>
      <c r="F5871" t="s">
        <v>103</v>
      </c>
      <c r="G5871">
        <v>-279.68</v>
      </c>
      <c r="H5871">
        <v>0.20854690000000001</v>
      </c>
      <c r="I5871">
        <v>13.30017</v>
      </c>
      <c r="J5871">
        <v>-409.76530000000002</v>
      </c>
      <c r="K5871">
        <v>1.131454</v>
      </c>
      <c r="L5871">
        <v>19.809329999999999</v>
      </c>
      <c r="M5871">
        <v>0.92883800000000005</v>
      </c>
      <c r="N5871">
        <v>-1.52269E-2</v>
      </c>
      <c r="O5871">
        <v>-0.37017319999999998</v>
      </c>
      <c r="P5871">
        <v>0.94645020000000002</v>
      </c>
      <c r="Q5871">
        <v>0.15257219999999999</v>
      </c>
      <c r="R5871">
        <v>-0.28452379999999999</v>
      </c>
      <c r="S5871">
        <v>3.1316830000000002</v>
      </c>
      <c r="T5871">
        <v>-2.2189500000000001E-2</v>
      </c>
      <c r="U5871">
        <v>-0.15820310000000001</v>
      </c>
      <c r="V5871">
        <v>-9.0158169999999996E-2</v>
      </c>
      <c r="W5871">
        <v>0.16538889999999901</v>
      </c>
      <c r="X5871">
        <v>0.98209880000000005</v>
      </c>
      <c r="Y5871">
        <v>-0.32283959999999901</v>
      </c>
      <c r="Z5871">
        <v>4.1913490000000002E-4</v>
      </c>
      <c r="AA5871">
        <v>0.94645360000000001</v>
      </c>
      <c r="AB5871">
        <v>29</v>
      </c>
      <c r="AC5871">
        <v>130.08529999999999</v>
      </c>
      <c r="AD5871">
        <v>-0.92290709999999998</v>
      </c>
      <c r="AE5871">
        <v>-6.5091599999999898</v>
      </c>
      <c r="AF5871">
        <v>-42.110902897596198</v>
      </c>
      <c r="AG5871">
        <v>-0.92290709999999998</v>
      </c>
      <c r="AH5871">
        <v>123.24578252581701</v>
      </c>
      <c r="AI5871">
        <v>90.405998029928895</v>
      </c>
      <c r="AJ5871">
        <v>108.864389833844</v>
      </c>
      <c r="AK5871">
        <v>130.244780359011</v>
      </c>
      <c r="AL5871">
        <v>80.480172978443903</v>
      </c>
      <c r="AM5871">
        <v>95.245138542768203</v>
      </c>
      <c r="AN5871">
        <v>1.0000000184111899</v>
      </c>
    </row>
    <row r="5872" spans="1:40" x14ac:dyDescent="0.25">
      <c r="A5872" t="str">
        <f>"20190303170410044"</f>
        <v>20190303170410044</v>
      </c>
      <c r="B5872" t="str">
        <f>"1551603850031656"</f>
        <v>1551603850031656</v>
      </c>
      <c r="C5872" t="s">
        <v>40</v>
      </c>
      <c r="D5872">
        <v>5.1557810000000002</v>
      </c>
      <c r="E5872">
        <v>0.40791460000000002</v>
      </c>
      <c r="F5872" t="s">
        <v>104</v>
      </c>
      <c r="G5872">
        <v>-279.68</v>
      </c>
      <c r="H5872">
        <v>0.29598930000000001</v>
      </c>
      <c r="I5872">
        <v>14.07793</v>
      </c>
      <c r="J5872">
        <v>-409.62240000000003</v>
      </c>
      <c r="K5872">
        <v>1.1312899999999999</v>
      </c>
      <c r="L5872">
        <v>19.759060000000002</v>
      </c>
      <c r="M5872">
        <v>0.93115380000000003</v>
      </c>
      <c r="N5872">
        <v>-1.5185789999999999E-2</v>
      </c>
      <c r="O5872">
        <v>-0.36431069999999999</v>
      </c>
      <c r="P5872">
        <v>0.94803769999999998</v>
      </c>
      <c r="Q5872">
        <v>0.15309429999999999</v>
      </c>
      <c r="R5872">
        <v>-0.27890379999999998</v>
      </c>
      <c r="S5872">
        <v>3.1315</v>
      </c>
      <c r="T5872">
        <v>-2.0111799999999999E-2</v>
      </c>
      <c r="U5872">
        <v>-0.13797000000000001</v>
      </c>
      <c r="V5872">
        <v>-8.9704740000000005E-2</v>
      </c>
      <c r="W5872">
        <v>0.16591700000000001</v>
      </c>
      <c r="X5872">
        <v>0.98205129999999996</v>
      </c>
      <c r="Y5872">
        <v>-0.32297310000000001</v>
      </c>
      <c r="Z5872">
        <v>1.4304930000000001E-4</v>
      </c>
      <c r="AA5872">
        <v>0.94640820000000003</v>
      </c>
      <c r="AB5872">
        <v>29</v>
      </c>
      <c r="AC5872">
        <v>129.94239999999999</v>
      </c>
      <c r="AD5872">
        <v>-0.83530069999999901</v>
      </c>
      <c r="AE5872">
        <v>-5.6811299999999996</v>
      </c>
      <c r="AF5872">
        <v>-42.052509659261702</v>
      </c>
      <c r="AG5872">
        <v>-0.83530069999999901</v>
      </c>
      <c r="AH5872">
        <v>123.075154352943</v>
      </c>
      <c r="AI5872">
        <v>90.3679695315994</v>
      </c>
      <c r="AJ5872">
        <v>108.864351227303</v>
      </c>
      <c r="AK5872">
        <v>130.063849377537</v>
      </c>
      <c r="AL5872">
        <v>80.449491712679603</v>
      </c>
      <c r="AM5872">
        <v>95.219156379527405</v>
      </c>
      <c r="AN5872">
        <v>1.00000007354957</v>
      </c>
    </row>
    <row r="5873" spans="1:40" x14ac:dyDescent="0.25">
      <c r="A5873" t="str">
        <f>"20190303170410057"</f>
        <v>20190303170410057</v>
      </c>
      <c r="B5873" t="str">
        <f>"1551603850051176"</f>
        <v>1551603850051176</v>
      </c>
      <c r="C5873" t="s">
        <v>40</v>
      </c>
      <c r="D5873">
        <v>5.2065010000000003</v>
      </c>
      <c r="E5873">
        <v>0.40989569999999997</v>
      </c>
      <c r="F5873" t="s">
        <v>104</v>
      </c>
      <c r="G5873">
        <v>-279.68</v>
      </c>
      <c r="H5873">
        <v>0.32113829999999999</v>
      </c>
      <c r="I5873">
        <v>14.541550000000001</v>
      </c>
      <c r="J5873">
        <v>-409.47449999999998</v>
      </c>
      <c r="K5873">
        <v>1.1311180000000001</v>
      </c>
      <c r="L5873">
        <v>19.707640000000001</v>
      </c>
      <c r="M5873">
        <v>0.93348379999999997</v>
      </c>
      <c r="N5873">
        <v>-1.514451E-2</v>
      </c>
      <c r="O5873">
        <v>-0.35829949999999999</v>
      </c>
      <c r="P5873">
        <v>0.94974510000000001</v>
      </c>
      <c r="Q5873">
        <v>0.15278699999999901</v>
      </c>
      <c r="R5873">
        <v>-0.27320359999999899</v>
      </c>
      <c r="S5873">
        <v>3.1306150000000001</v>
      </c>
      <c r="T5873">
        <v>-1.9518379999999998E-2</v>
      </c>
      <c r="U5873">
        <v>-0.12570190000000001</v>
      </c>
      <c r="V5873">
        <v>-8.9208190000000007E-2</v>
      </c>
      <c r="W5873">
        <v>0.16561979999999901</v>
      </c>
      <c r="X5873">
        <v>0.98214659999999998</v>
      </c>
      <c r="Y5873">
        <v>-0.32056109999999999</v>
      </c>
      <c r="Z5873" s="1">
        <v>9.067217E-5</v>
      </c>
      <c r="AA5873">
        <v>0.94722779999999995</v>
      </c>
      <c r="AB5873">
        <v>29</v>
      </c>
      <c r="AC5873">
        <v>129.794499999999</v>
      </c>
      <c r="AD5873">
        <v>-0.80997969999999997</v>
      </c>
      <c r="AE5873">
        <v>-5.1660899999999899</v>
      </c>
      <c r="AF5873">
        <v>-41.686005461954899</v>
      </c>
      <c r="AG5873">
        <v>-0.80997969999999997</v>
      </c>
      <c r="AH5873">
        <v>123.021403044587</v>
      </c>
      <c r="AI5873">
        <v>90.357279419833105</v>
      </c>
      <c r="AJ5873">
        <v>108.719034840586</v>
      </c>
      <c r="AK5873">
        <v>129.89474479572701</v>
      </c>
      <c r="AL5873">
        <v>80.466758029123298</v>
      </c>
      <c r="AM5873">
        <v>95.189923701144494</v>
      </c>
      <c r="AN5873">
        <v>0.99999998160333703</v>
      </c>
    </row>
    <row r="5874" spans="1:40" x14ac:dyDescent="0.25">
      <c r="A5874" t="str">
        <f>"20190303170410067"</f>
        <v>20190303170410067</v>
      </c>
      <c r="B5874" t="str">
        <f>"1551603850061913"</f>
        <v>1551603850061913</v>
      </c>
      <c r="C5874" t="s">
        <v>40</v>
      </c>
      <c r="D5874">
        <v>5.2014100000000001</v>
      </c>
      <c r="E5874">
        <v>0.40989569999999997</v>
      </c>
      <c r="F5874" t="s">
        <v>104</v>
      </c>
      <c r="G5874">
        <v>-279.68</v>
      </c>
      <c r="H5874">
        <v>0.14955089999999999</v>
      </c>
      <c r="I5874">
        <v>14.644080000000001</v>
      </c>
      <c r="J5874">
        <v>-409.3322</v>
      </c>
      <c r="K5874">
        <v>1.130943</v>
      </c>
      <c r="L5874">
        <v>19.659549999999999</v>
      </c>
      <c r="M5874">
        <v>0.93561190000000005</v>
      </c>
      <c r="N5874">
        <v>-1.5103200000000001E-2</v>
      </c>
      <c r="O5874">
        <v>-0.35270689999999999</v>
      </c>
      <c r="P5874">
        <v>0.95146759999999997</v>
      </c>
      <c r="Q5874">
        <v>0.152145899999999</v>
      </c>
      <c r="R5874">
        <v>-0.26750869999999999</v>
      </c>
      <c r="S5874">
        <v>3.127472</v>
      </c>
      <c r="T5874">
        <v>-2.365136E-2</v>
      </c>
      <c r="U5874">
        <v>-0.1220093</v>
      </c>
      <c r="V5874">
        <v>-8.9162649999999996E-2</v>
      </c>
      <c r="W5874">
        <v>0.16497779999999901</v>
      </c>
      <c r="X5874">
        <v>0.98225879999999999</v>
      </c>
      <c r="Y5874">
        <v>-0.31596600000000002</v>
      </c>
      <c r="Z5874">
        <v>7.7594579999999995E-4</v>
      </c>
      <c r="AA5874">
        <v>0.94877020000000001</v>
      </c>
      <c r="AB5874">
        <v>29</v>
      </c>
      <c r="AC5874">
        <v>129.65219999999999</v>
      </c>
      <c r="AD5874">
        <v>-0.98139209999999999</v>
      </c>
      <c r="AE5874">
        <v>-5.0154699999999997</v>
      </c>
      <c r="AF5874">
        <v>-41.0390276613848</v>
      </c>
      <c r="AG5874">
        <v>-0.98139209999999999</v>
      </c>
      <c r="AH5874">
        <v>123.08013656619001</v>
      </c>
      <c r="AI5874">
        <v>90.433388271623897</v>
      </c>
      <c r="AJ5874">
        <v>108.440108413237</v>
      </c>
      <c r="AK5874">
        <v>129.74546211331599</v>
      </c>
      <c r="AL5874">
        <v>80.504055185300302</v>
      </c>
      <c r="AM5874">
        <v>95.186699454016505</v>
      </c>
      <c r="AN5874">
        <v>1.00000000141265</v>
      </c>
    </row>
    <row r="5875" spans="1:40" x14ac:dyDescent="0.25">
      <c r="A5875" t="str">
        <f>"20190303170410081"</f>
        <v>20190303170410081</v>
      </c>
      <c r="B5875" t="str">
        <f>"1551603850071673"</f>
        <v>1551603850071673</v>
      </c>
      <c r="C5875" t="s">
        <v>40</v>
      </c>
      <c r="D5875">
        <v>5.1960100000000002</v>
      </c>
      <c r="E5875">
        <v>0.41660789999999998</v>
      </c>
      <c r="F5875" t="s">
        <v>104</v>
      </c>
      <c r="G5875">
        <v>-279.68</v>
      </c>
      <c r="H5875">
        <v>4.5463799999999999E-2</v>
      </c>
      <c r="I5875">
        <v>15.36774</v>
      </c>
      <c r="J5875">
        <v>-409.17770000000002</v>
      </c>
      <c r="K5875">
        <v>1.130749</v>
      </c>
      <c r="L5875">
        <v>19.608000000000001</v>
      </c>
      <c r="M5875">
        <v>0.93784829999999997</v>
      </c>
      <c r="N5875">
        <v>-1.5058419999999999E-2</v>
      </c>
      <c r="O5875">
        <v>-0.3467189</v>
      </c>
      <c r="P5875">
        <v>0.95323429999999998</v>
      </c>
      <c r="Q5875">
        <v>0.1513765</v>
      </c>
      <c r="R5875">
        <v>-0.26159159999999998</v>
      </c>
      <c r="S5875">
        <v>3.1280519999999998</v>
      </c>
      <c r="T5875">
        <v>-2.618873E-2</v>
      </c>
      <c r="U5875">
        <v>-0.1035461</v>
      </c>
      <c r="V5875">
        <v>-8.8932479999999994E-2</v>
      </c>
      <c r="W5875">
        <v>0.16421169999999999</v>
      </c>
      <c r="X5875">
        <v>0.98240799999999995</v>
      </c>
      <c r="Y5875">
        <v>-0.31549880000000002</v>
      </c>
      <c r="Z5875">
        <v>1.23701E-3</v>
      </c>
      <c r="AA5875">
        <v>0.94892520000000002</v>
      </c>
      <c r="AB5875">
        <v>29</v>
      </c>
      <c r="AC5875">
        <v>129.49770000000001</v>
      </c>
      <c r="AD5875">
        <v>-1.0852851999999999</v>
      </c>
      <c r="AE5875">
        <v>-4.2402600000000001</v>
      </c>
      <c r="AF5875">
        <v>-40.924344868509102</v>
      </c>
      <c r="AG5875">
        <v>-1.0852851999999999</v>
      </c>
      <c r="AH5875">
        <v>122.924678837101</v>
      </c>
      <c r="AI5875">
        <v>90.479945669094306</v>
      </c>
      <c r="AJ5875">
        <v>108.413741577653</v>
      </c>
      <c r="AK5875">
        <v>129.56255830326299</v>
      </c>
      <c r="AL5875">
        <v>80.5485561563777</v>
      </c>
      <c r="AM5875">
        <v>95.172601505398902</v>
      </c>
      <c r="AN5875">
        <v>0.99999997343991898</v>
      </c>
    </row>
    <row r="5876" spans="1:40" x14ac:dyDescent="0.25">
      <c r="A5876" t="str">
        <f>"20190303170410094"</f>
        <v>20190303170410094</v>
      </c>
      <c r="B5876" t="str">
        <f>"1551603850081432"</f>
        <v>1551603850081432</v>
      </c>
      <c r="C5876" t="s">
        <v>40</v>
      </c>
      <c r="D5876">
        <v>5.193962</v>
      </c>
      <c r="E5876">
        <v>0.41660789999999998</v>
      </c>
      <c r="F5876" t="s">
        <v>42</v>
      </c>
      <c r="G5876">
        <v>-340.17270000000002</v>
      </c>
      <c r="H5876" s="1">
        <v>-4.7342299999999999E-6</v>
      </c>
      <c r="I5876">
        <v>16.59422</v>
      </c>
      <c r="J5876">
        <v>-409.01889999999997</v>
      </c>
      <c r="K5876">
        <v>1.1305480000000001</v>
      </c>
      <c r="L5876">
        <v>19.555879999999998</v>
      </c>
      <c r="M5876">
        <v>0.94006089999999998</v>
      </c>
      <c r="N5876">
        <v>-1.501192E-2</v>
      </c>
      <c r="O5876">
        <v>-0.34067619999999998</v>
      </c>
      <c r="P5876">
        <v>0.95490260000000005</v>
      </c>
      <c r="Q5876">
        <v>0.1509963</v>
      </c>
      <c r="R5876">
        <v>-0.25565919999999998</v>
      </c>
      <c r="S5876">
        <v>3.1178889999999999</v>
      </c>
      <c r="T5876">
        <v>-5.109143E-2</v>
      </c>
      <c r="U5876">
        <v>-0.1361694</v>
      </c>
      <c r="V5876">
        <v>-8.8647669999999998E-2</v>
      </c>
      <c r="W5876">
        <v>0.16383539999999999</v>
      </c>
      <c r="X5876">
        <v>0.98249660000000005</v>
      </c>
      <c r="Y5876">
        <v>-0.2992939</v>
      </c>
      <c r="Z5876">
        <v>4.9815670000000001E-3</v>
      </c>
      <c r="AA5876">
        <v>0.95414790000000005</v>
      </c>
      <c r="AB5876">
        <v>29</v>
      </c>
      <c r="AC5876">
        <v>68.846199999999897</v>
      </c>
      <c r="AD5876">
        <v>-1.1305527342299999</v>
      </c>
      <c r="AE5876">
        <v>-2.96165999999999</v>
      </c>
      <c r="AF5876">
        <v>-20.666886400648</v>
      </c>
      <c r="AG5876">
        <v>-1.1305527342299999</v>
      </c>
      <c r="AH5876">
        <v>65.718302044848599</v>
      </c>
      <c r="AI5876">
        <v>90.940177606252902</v>
      </c>
      <c r="AJ5876">
        <v>107.457156090003</v>
      </c>
      <c r="AK5876">
        <v>68.900606431584606</v>
      </c>
      <c r="AL5876">
        <v>80.570412905191304</v>
      </c>
      <c r="AM5876">
        <v>95.155663000481795</v>
      </c>
      <c r="AN5876">
        <v>1.00000000835057</v>
      </c>
    </row>
    <row r="5877" spans="1:40" x14ac:dyDescent="0.25">
      <c r="A5877" t="str">
        <f>"20190303170410109"</f>
        <v>20190303170410109</v>
      </c>
      <c r="B5877" t="str">
        <f>"1551603850101928"</f>
        <v>1551603850101928</v>
      </c>
      <c r="C5877" t="s">
        <v>40</v>
      </c>
      <c r="D5877">
        <v>5.1837980000000003</v>
      </c>
      <c r="E5877">
        <v>0.42335390000000001</v>
      </c>
      <c r="F5877" t="s">
        <v>42</v>
      </c>
      <c r="G5877">
        <v>-342.4119</v>
      </c>
      <c r="H5877" s="1">
        <v>-3.6925109999999999E-6</v>
      </c>
      <c r="I5877">
        <v>17.051639999999999</v>
      </c>
      <c r="J5877">
        <v>-408.83390000000003</v>
      </c>
      <c r="K5877">
        <v>1.1303099999999999</v>
      </c>
      <c r="L5877">
        <v>19.496770000000001</v>
      </c>
      <c r="M5877">
        <v>0.94250049999999996</v>
      </c>
      <c r="N5877">
        <v>-1.495695E-2</v>
      </c>
      <c r="O5877">
        <v>-0.33387</v>
      </c>
      <c r="P5877">
        <v>0.95658790000000005</v>
      </c>
      <c r="Q5877">
        <v>0.15098049999999999</v>
      </c>
      <c r="R5877">
        <v>-0.24928810000000001</v>
      </c>
      <c r="S5877">
        <v>3.118652</v>
      </c>
      <c r="T5877">
        <v>-5.2934290000000002E-2</v>
      </c>
      <c r="U5877">
        <v>-0.11724850000000001</v>
      </c>
      <c r="V5877">
        <v>-8.7994169999999997E-2</v>
      </c>
      <c r="W5877">
        <v>0.1638307</v>
      </c>
      <c r="X5877">
        <v>0.98255610000000004</v>
      </c>
      <c r="Y5877">
        <v>-0.29817949999999999</v>
      </c>
      <c r="Z5877">
        <v>5.258881E-3</v>
      </c>
      <c r="AA5877">
        <v>0.95449530000000005</v>
      </c>
      <c r="AB5877">
        <v>29</v>
      </c>
      <c r="AC5877">
        <v>66.421999999999997</v>
      </c>
      <c r="AD5877">
        <v>-1.130313692511</v>
      </c>
      <c r="AE5877">
        <v>-2.4451299999999998</v>
      </c>
      <c r="AF5877">
        <v>-19.868253498138198</v>
      </c>
      <c r="AG5877">
        <v>-1.130313692511</v>
      </c>
      <c r="AH5877">
        <v>63.407879144145397</v>
      </c>
      <c r="AI5877">
        <v>90.974539176235595</v>
      </c>
      <c r="AJ5877">
        <v>107.39788427971099</v>
      </c>
      <c r="AK5877">
        <v>66.457386674983695</v>
      </c>
      <c r="AL5877">
        <v>80.570685622918603</v>
      </c>
      <c r="AM5877">
        <v>95.117550381897402</v>
      </c>
      <c r="AN5877">
        <v>0.99999998093184395</v>
      </c>
    </row>
    <row r="5878" spans="1:40" x14ac:dyDescent="0.25">
      <c r="A5878" t="str">
        <f>"20190303170410125"</f>
        <v>20190303170410125</v>
      </c>
      <c r="B5878" t="str">
        <f>"1551603850121448"</f>
        <v>1551603850121448</v>
      </c>
      <c r="C5878" t="s">
        <v>40</v>
      </c>
      <c r="D5878">
        <v>5.1467269999999896</v>
      </c>
      <c r="E5878">
        <v>0.42485279999999997</v>
      </c>
      <c r="F5878" t="s">
        <v>42</v>
      </c>
      <c r="G5878">
        <v>-359.20549999999997</v>
      </c>
      <c r="H5878" s="1">
        <v>-9.1826400000000002E-7</v>
      </c>
      <c r="I5878">
        <v>17.128879999999999</v>
      </c>
      <c r="J5878">
        <v>-408.64299999999997</v>
      </c>
      <c r="K5878">
        <v>1.130058</v>
      </c>
      <c r="L5878">
        <v>19.436979999999998</v>
      </c>
      <c r="M5878">
        <v>0.94489310000000004</v>
      </c>
      <c r="N5878">
        <v>-1.490089E-2</v>
      </c>
      <c r="O5878">
        <v>-0.32703969999999999</v>
      </c>
      <c r="P5878">
        <v>0.95780799999999999</v>
      </c>
      <c r="Q5878">
        <v>0.1514527</v>
      </c>
      <c r="R5878">
        <v>-0.2442667</v>
      </c>
      <c r="S5878">
        <v>3.1086429999999998</v>
      </c>
      <c r="T5878">
        <v>-7.0800899999999903E-2</v>
      </c>
      <c r="U5878">
        <v>-0.14831539999999999</v>
      </c>
      <c r="V5878">
        <v>-8.5913779999999995E-2</v>
      </c>
      <c r="W5878">
        <v>0.1643462</v>
      </c>
      <c r="X5878">
        <v>0.98265420000000003</v>
      </c>
      <c r="Y5878">
        <v>-0.28154240000000003</v>
      </c>
      <c r="Z5878">
        <v>7.678018E-3</v>
      </c>
      <c r="AA5878">
        <v>0.95951810000000004</v>
      </c>
      <c r="AB5878">
        <v>29</v>
      </c>
      <c r="AC5878">
        <v>49.4375</v>
      </c>
      <c r="AD5878">
        <v>-1.130058918264</v>
      </c>
      <c r="AE5878">
        <v>-2.3081</v>
      </c>
      <c r="AF5878">
        <v>-13.9813812509807</v>
      </c>
      <c r="AG5878">
        <v>-1.130058918264</v>
      </c>
      <c r="AH5878">
        <v>47.448526213978603</v>
      </c>
      <c r="AI5878">
        <v>91.308715508642806</v>
      </c>
      <c r="AJ5878">
        <v>106.41835714598299</v>
      </c>
      <c r="AK5878">
        <v>49.478466980320199</v>
      </c>
      <c r="AL5878">
        <v>80.540744597304794</v>
      </c>
      <c r="AM5878">
        <v>94.996683049804602</v>
      </c>
      <c r="AN5878">
        <v>1.00000006391298</v>
      </c>
    </row>
    <row r="5879" spans="1:40" x14ac:dyDescent="0.25">
      <c r="A5879" t="str">
        <f>"20190303170410137"</f>
        <v>20190303170410137</v>
      </c>
      <c r="B5879" t="str">
        <f>"1551603850131210"</f>
        <v>1551603850131210</v>
      </c>
      <c r="C5879" t="s">
        <v>40</v>
      </c>
      <c r="D5879">
        <v>5.1755789999999999</v>
      </c>
      <c r="E5879">
        <v>0.42563800000000002</v>
      </c>
      <c r="F5879" t="s">
        <v>42</v>
      </c>
      <c r="G5879">
        <v>-358.7602</v>
      </c>
      <c r="H5879" s="1">
        <v>-1.0656800000000001E-6</v>
      </c>
      <c r="I5879">
        <v>17.144289999999899</v>
      </c>
      <c r="J5879">
        <v>-408.4941</v>
      </c>
      <c r="K5879">
        <v>1.1298569999999999</v>
      </c>
      <c r="L5879">
        <v>19.391079999999999</v>
      </c>
      <c r="M5879">
        <v>0.94668419999999998</v>
      </c>
      <c r="N5879">
        <v>-1.485794E-2</v>
      </c>
      <c r="O5879">
        <v>-0.3218202</v>
      </c>
      <c r="P5879">
        <v>0.95881649999999996</v>
      </c>
      <c r="Q5879">
        <v>0.15156169999999999</v>
      </c>
      <c r="R5879">
        <v>-0.24020820000000001</v>
      </c>
      <c r="S5879">
        <v>3.1068730000000002</v>
      </c>
      <c r="T5879">
        <v>-7.038403E-2</v>
      </c>
      <c r="U5879">
        <v>-0.14279169999999999</v>
      </c>
      <c r="V5879">
        <v>-8.4562730000000003E-2</v>
      </c>
      <c r="W5879">
        <v>0.1644835</v>
      </c>
      <c r="X5879">
        <v>0.98274830000000002</v>
      </c>
      <c r="Y5879">
        <v>-0.2779238</v>
      </c>
      <c r="Z5879">
        <v>7.5319109999999996E-3</v>
      </c>
      <c r="AA5879">
        <v>0.96057360000000003</v>
      </c>
      <c r="AB5879">
        <v>29</v>
      </c>
      <c r="AC5879">
        <v>49.733899999999998</v>
      </c>
      <c r="AD5879">
        <v>-1.1298580656799999</v>
      </c>
      <c r="AE5879">
        <v>-2.2467899999999998</v>
      </c>
      <c r="AF5879">
        <v>-13.8727600733071</v>
      </c>
      <c r="AG5879">
        <v>-1.1298580656799999</v>
      </c>
      <c r="AH5879">
        <v>47.786025312364899</v>
      </c>
      <c r="AI5879">
        <v>91.3007693369305</v>
      </c>
      <c r="AJ5879">
        <v>106.188540435712</v>
      </c>
      <c r="AK5879">
        <v>49.771822012601703</v>
      </c>
      <c r="AL5879">
        <v>80.532768257621498</v>
      </c>
      <c r="AM5879">
        <v>94.918026831586502</v>
      </c>
      <c r="AN5879">
        <v>0.99999994911509504</v>
      </c>
    </row>
    <row r="5880" spans="1:40" x14ac:dyDescent="0.25">
      <c r="A5880" t="str">
        <f>"20190303170410148"</f>
        <v>20190303170410148</v>
      </c>
      <c r="B5880" t="str">
        <f>"1551603850141945"</f>
        <v>1551603850141945</v>
      </c>
      <c r="C5880" t="s">
        <v>40</v>
      </c>
      <c r="D5880">
        <v>5.1517600000000003</v>
      </c>
      <c r="E5880">
        <v>0.42563800000000002</v>
      </c>
      <c r="F5880" t="s">
        <v>42</v>
      </c>
      <c r="G5880">
        <v>-359.44639999999998</v>
      </c>
      <c r="H5880" s="1">
        <v>-8.037741E-7</v>
      </c>
      <c r="I5880">
        <v>17.250959999999999</v>
      </c>
      <c r="J5880">
        <v>-408.34030000000001</v>
      </c>
      <c r="K5880">
        <v>1.1296469999999901</v>
      </c>
      <c r="L5880">
        <v>19.344760000000001</v>
      </c>
      <c r="M5880">
        <v>0.94843949999999999</v>
      </c>
      <c r="N5880">
        <v>-1.4812280000000001E-2</v>
      </c>
      <c r="O5880">
        <v>-0.31661220000000001</v>
      </c>
      <c r="P5880">
        <v>0.96002569999999998</v>
      </c>
      <c r="Q5880">
        <v>0.15105460000000001</v>
      </c>
      <c r="R5880">
        <v>-0.23565510000000001</v>
      </c>
      <c r="S5880">
        <v>3.106201</v>
      </c>
      <c r="T5880">
        <v>-7.1554179999999995E-2</v>
      </c>
      <c r="U5880">
        <v>-0.1355286</v>
      </c>
      <c r="V5880">
        <v>-8.3752880000000002E-2</v>
      </c>
      <c r="W5880">
        <v>0.16399159999999999</v>
      </c>
      <c r="X5880">
        <v>0.98289990000000005</v>
      </c>
      <c r="Y5880">
        <v>-0.27487209999999901</v>
      </c>
      <c r="Z5880">
        <v>7.6239819999999996E-3</v>
      </c>
      <c r="AA5880">
        <v>0.96145060000000004</v>
      </c>
      <c r="AB5880">
        <v>29</v>
      </c>
      <c r="AC5880">
        <v>48.893900000000002</v>
      </c>
      <c r="AD5880">
        <v>-1.12964780377409</v>
      </c>
      <c r="AE5880">
        <v>-2.0937999999999999</v>
      </c>
      <c r="AF5880">
        <v>-13.488854927079499</v>
      </c>
      <c r="AG5880">
        <v>-1.12964780377409</v>
      </c>
      <c r="AH5880">
        <v>47.015934303605299</v>
      </c>
      <c r="AI5880">
        <v>91.323022737117697</v>
      </c>
      <c r="AJ5880">
        <v>106.00816663786</v>
      </c>
      <c r="AK5880">
        <v>48.925692533118998</v>
      </c>
      <c r="AL5880">
        <v>80.561340534671899</v>
      </c>
      <c r="AM5880">
        <v>94.870407327247904</v>
      </c>
      <c r="AN5880">
        <v>1.0000000015994299</v>
      </c>
    </row>
    <row r="5881" spans="1:40" x14ac:dyDescent="0.25">
      <c r="A5881" t="str">
        <f>"20190303170410162"</f>
        <v>20190303170410162</v>
      </c>
      <c r="B5881" t="str">
        <f>"1551603850151704"</f>
        <v>1551603850151704</v>
      </c>
      <c r="C5881" t="s">
        <v>40</v>
      </c>
      <c r="D5881">
        <v>5.1405909999999997</v>
      </c>
      <c r="E5881">
        <v>0.43239549999999999</v>
      </c>
      <c r="F5881" t="s">
        <v>105</v>
      </c>
      <c r="G5881">
        <v>-360.2518</v>
      </c>
      <c r="H5881" s="1">
        <v>-4.9876929999999997E-6</v>
      </c>
      <c r="I5881">
        <v>17.478429999999999</v>
      </c>
      <c r="J5881">
        <v>-408.19009999999997</v>
      </c>
      <c r="K5881">
        <v>1.1294439999999999</v>
      </c>
      <c r="L5881">
        <v>19.3002</v>
      </c>
      <c r="M5881">
        <v>0.95008700000000001</v>
      </c>
      <c r="N5881">
        <v>-1.476892E-2</v>
      </c>
      <c r="O5881">
        <v>-0.31163540000000001</v>
      </c>
      <c r="P5881">
        <v>0.96118309999999996</v>
      </c>
      <c r="Q5881">
        <v>0.15038750000000001</v>
      </c>
      <c r="R5881">
        <v>-0.2313239</v>
      </c>
      <c r="S5881">
        <v>3.1067809999999998</v>
      </c>
      <c r="T5881">
        <v>-7.2981829999999998E-2</v>
      </c>
      <c r="U5881">
        <v>-0.120575</v>
      </c>
      <c r="V5881">
        <v>-8.2966579999999998E-2</v>
      </c>
      <c r="W5881">
        <v>0.1633396</v>
      </c>
      <c r="X5881">
        <v>0.98307509999999998</v>
      </c>
      <c r="Y5881">
        <v>-0.27445409999999998</v>
      </c>
      <c r="Z5881">
        <v>7.795906E-3</v>
      </c>
      <c r="AA5881">
        <v>0.9615686</v>
      </c>
      <c r="AB5881">
        <v>29</v>
      </c>
      <c r="AC5881">
        <v>47.938299999999899</v>
      </c>
      <c r="AD5881">
        <v>-1.1294489876930001</v>
      </c>
      <c r="AE5881">
        <v>-1.8217699999999999</v>
      </c>
      <c r="AF5881">
        <v>-13.202553603975799</v>
      </c>
      <c r="AG5881">
        <v>-1.1294489876930001</v>
      </c>
      <c r="AH5881">
        <v>46.092763432318797</v>
      </c>
      <c r="AI5881">
        <v>91.349440060296601</v>
      </c>
      <c r="AJ5881">
        <v>105.98353487486899</v>
      </c>
      <c r="AK5881">
        <v>47.959627995944302</v>
      </c>
      <c r="AL5881">
        <v>80.5992076486326</v>
      </c>
      <c r="AM5881">
        <v>94.824043377737993</v>
      </c>
      <c r="AN5881">
        <v>0.99999996528253199</v>
      </c>
    </row>
    <row r="5882" spans="1:40" x14ac:dyDescent="0.25">
      <c r="A5882" t="str">
        <f>"20190303170410180"</f>
        <v>20190303170410180</v>
      </c>
      <c r="B5882" t="str">
        <f>"1551603850171224"</f>
        <v>1551603850171224</v>
      </c>
      <c r="C5882" t="s">
        <v>40</v>
      </c>
      <c r="D5882">
        <v>5.1495870000000004</v>
      </c>
      <c r="E5882">
        <v>0.43391610000000003</v>
      </c>
      <c r="F5882" t="s">
        <v>105</v>
      </c>
      <c r="G5882">
        <v>-367.28750000000002</v>
      </c>
      <c r="H5882" s="1">
        <v>-1.710586E-6</v>
      </c>
      <c r="I5882">
        <v>17.203900000000001</v>
      </c>
      <c r="J5882">
        <v>-407.96960000000001</v>
      </c>
      <c r="K5882">
        <v>1.129149</v>
      </c>
      <c r="L5882">
        <v>19.235990000000001</v>
      </c>
      <c r="M5882">
        <v>0.95238840000000002</v>
      </c>
      <c r="N5882">
        <v>-1.4707029999999999E-2</v>
      </c>
      <c r="O5882">
        <v>-0.30453259999999899</v>
      </c>
      <c r="P5882">
        <v>0.96283189999999996</v>
      </c>
      <c r="Q5882">
        <v>0.14940829999999999</v>
      </c>
      <c r="R5882">
        <v>-0.2250153</v>
      </c>
      <c r="S5882">
        <v>3.0963750000000001</v>
      </c>
      <c r="T5882">
        <v>-8.5500240000000005E-2</v>
      </c>
      <c r="U5882">
        <v>-0.15869140000000001</v>
      </c>
      <c r="V5882">
        <v>-8.1979839999999998E-2</v>
      </c>
      <c r="W5882">
        <v>0.16237889999999999</v>
      </c>
      <c r="X5882">
        <v>0.98331710000000006</v>
      </c>
      <c r="Y5882">
        <v>-0.2552449</v>
      </c>
      <c r="Z5882">
        <v>9.1444079999999997E-3</v>
      </c>
      <c r="AA5882">
        <v>0.96683319999999995</v>
      </c>
      <c r="AB5882">
        <v>29</v>
      </c>
      <c r="AC5882">
        <v>40.682099999999899</v>
      </c>
      <c r="AD5882">
        <v>-1.1291507105859999</v>
      </c>
      <c r="AE5882">
        <v>-2.0320900000000002</v>
      </c>
      <c r="AF5882">
        <v>-10.446789310705</v>
      </c>
      <c r="AG5882">
        <v>-1.1291507105859999</v>
      </c>
      <c r="AH5882">
        <v>39.338025076073897</v>
      </c>
      <c r="AI5882">
        <v>91.589103886710006</v>
      </c>
      <c r="AJ5882">
        <v>104.87245265631501</v>
      </c>
      <c r="AK5882">
        <v>40.717202815459899</v>
      </c>
      <c r="AL5882">
        <v>80.654997423607099</v>
      </c>
      <c r="AM5882">
        <v>94.765768163537501</v>
      </c>
      <c r="AN5882">
        <v>1.00000006024202</v>
      </c>
    </row>
    <row r="5883" spans="1:40" x14ac:dyDescent="0.25">
      <c r="A5883" t="str">
        <f>"20190303170410193"</f>
        <v>20190303170410193</v>
      </c>
      <c r="B5883" t="str">
        <f>"1551603850181960"</f>
        <v>1551603850181960</v>
      </c>
      <c r="C5883" t="s">
        <v>40</v>
      </c>
      <c r="D5883">
        <v>5.1587339999999999</v>
      </c>
      <c r="E5883">
        <v>0.43464740000000002</v>
      </c>
      <c r="F5883" t="s">
        <v>105</v>
      </c>
      <c r="G5883">
        <v>-368.80189999999999</v>
      </c>
      <c r="H5883" s="1">
        <v>-1.0674459999999999E-6</v>
      </c>
      <c r="I5883">
        <v>17.33522</v>
      </c>
      <c r="J5883">
        <v>-407.8032</v>
      </c>
      <c r="K5883">
        <v>1.128935</v>
      </c>
      <c r="L5883">
        <v>19.188510000000001</v>
      </c>
      <c r="M5883">
        <v>0.95403389999999999</v>
      </c>
      <c r="N5883">
        <v>-1.4661840000000001E-2</v>
      </c>
      <c r="O5883">
        <v>-0.29934050000000001</v>
      </c>
      <c r="P5883">
        <v>0.96392699999999998</v>
      </c>
      <c r="Q5883">
        <v>0.14914459999999999</v>
      </c>
      <c r="R5883">
        <v>-0.22045600000000001</v>
      </c>
      <c r="S5883">
        <v>3.0945740000000002</v>
      </c>
      <c r="T5883">
        <v>-8.9212299999999994E-2</v>
      </c>
      <c r="U5883">
        <v>-0.150177</v>
      </c>
      <c r="V5883">
        <v>-8.119548E-2</v>
      </c>
      <c r="W5883">
        <v>0.16212860000000001</v>
      </c>
      <c r="X5883">
        <v>0.98342339999999995</v>
      </c>
      <c r="Y5883">
        <v>-0.25258839999999999</v>
      </c>
      <c r="Z5883">
        <v>9.5518410000000002E-3</v>
      </c>
      <c r="AA5883">
        <v>0.96752669999999996</v>
      </c>
      <c r="AB5883">
        <v>29</v>
      </c>
      <c r="AC5883">
        <v>39.001300000000001</v>
      </c>
      <c r="AD5883">
        <v>-1.1289360674460001</v>
      </c>
      <c r="AE5883">
        <v>-1.8532900000000001</v>
      </c>
      <c r="AF5883">
        <v>-9.8993544566953204</v>
      </c>
      <c r="AG5883">
        <v>-1.1289360674460001</v>
      </c>
      <c r="AH5883">
        <v>37.735832658171702</v>
      </c>
      <c r="AI5883">
        <v>91.657543215041997</v>
      </c>
      <c r="AJ5883">
        <v>104.699352337639</v>
      </c>
      <c r="AK5883">
        <v>39.029024862391999</v>
      </c>
      <c r="AL5883">
        <v>80.669530445521104</v>
      </c>
      <c r="AM5883">
        <v>94.719869744467999</v>
      </c>
      <c r="AN5883">
        <v>0.99999998628897502</v>
      </c>
    </row>
    <row r="5884" spans="1:40" x14ac:dyDescent="0.25">
      <c r="A5884" t="str">
        <f>"20190303170410207"</f>
        <v>20190303170410207</v>
      </c>
      <c r="B5884" t="str">
        <f>"1551603850201480"</f>
        <v>1551603850201480</v>
      </c>
      <c r="C5884" t="s">
        <v>40</v>
      </c>
      <c r="D5884">
        <v>5.1168040000000001</v>
      </c>
      <c r="E5884">
        <v>0.4353648</v>
      </c>
      <c r="F5884" t="s">
        <v>101</v>
      </c>
      <c r="G5884">
        <v>-370.0582</v>
      </c>
      <c r="H5884" s="1">
        <v>-5.06123299999999E-6</v>
      </c>
      <c r="I5884">
        <v>17.467189999999999</v>
      </c>
      <c r="J5884">
        <v>-407.63900000000001</v>
      </c>
      <c r="K5884">
        <v>1.128735</v>
      </c>
      <c r="L5884">
        <v>19.14273</v>
      </c>
      <c r="M5884">
        <v>0.95557210000000004</v>
      </c>
      <c r="N5884">
        <v>-1.4617430000000001E-2</v>
      </c>
      <c r="O5884">
        <v>-0.29439530000000003</v>
      </c>
      <c r="P5884">
        <v>0.96483010000000002</v>
      </c>
      <c r="Q5884">
        <v>0.14915580000000001</v>
      </c>
      <c r="R5884">
        <v>-0.21646099999999999</v>
      </c>
      <c r="S5884">
        <v>3.0943299999999998</v>
      </c>
      <c r="T5884">
        <v>-9.2550400000000005E-2</v>
      </c>
      <c r="U5884">
        <v>-0.141113299999999</v>
      </c>
      <c r="V5884">
        <v>-8.0090720000000004E-2</v>
      </c>
      <c r="W5884">
        <v>0.16215679999999999</v>
      </c>
      <c r="X5884">
        <v>0.98350939999999998</v>
      </c>
      <c r="Y5884">
        <v>-0.25038779999999999</v>
      </c>
      <c r="Z5884">
        <v>9.9009149999999997E-3</v>
      </c>
      <c r="AA5884">
        <v>0.96809500000000004</v>
      </c>
      <c r="AB5884">
        <v>29</v>
      </c>
      <c r="AC5884">
        <v>37.580800000000004</v>
      </c>
      <c r="AD5884">
        <v>-1.1287400612330001</v>
      </c>
      <c r="AE5884">
        <v>-1.67554</v>
      </c>
      <c r="AF5884">
        <v>-9.4550088140419692</v>
      </c>
      <c r="AG5884">
        <v>-1.1287400612330001</v>
      </c>
      <c r="AH5884">
        <v>36.375570098922502</v>
      </c>
      <c r="AI5884">
        <v>91.720202746305503</v>
      </c>
      <c r="AJ5884">
        <v>104.570321990739</v>
      </c>
      <c r="AK5884">
        <v>37.601241280323002</v>
      </c>
      <c r="AL5884">
        <v>80.667893595212007</v>
      </c>
      <c r="AM5884">
        <v>94.655529302757998</v>
      </c>
      <c r="AN5884">
        <v>1.0000000455523499</v>
      </c>
    </row>
    <row r="5885" spans="1:40" x14ac:dyDescent="0.25">
      <c r="A5885" t="str">
        <f>"20190303170410226"</f>
        <v>20190303170410226</v>
      </c>
      <c r="B5885" t="str">
        <f>"1551603850211240"</f>
        <v>1551603850211240</v>
      </c>
      <c r="C5885" t="s">
        <v>40</v>
      </c>
      <c r="D5885">
        <v>5.1553329999999997</v>
      </c>
      <c r="E5885">
        <v>0.44152789999999997</v>
      </c>
      <c r="F5885" t="s">
        <v>101</v>
      </c>
      <c r="G5885">
        <v>-370.26560000000001</v>
      </c>
      <c r="H5885" s="1">
        <v>-4.952445E-6</v>
      </c>
      <c r="I5885">
        <v>17.527989999999999</v>
      </c>
      <c r="J5885">
        <v>-407.3972</v>
      </c>
      <c r="K5885">
        <v>1.12845</v>
      </c>
      <c r="L5885">
        <v>19.076450000000001</v>
      </c>
      <c r="M5885">
        <v>0.9577213</v>
      </c>
      <c r="N5885">
        <v>-1.455421E-2</v>
      </c>
      <c r="O5885">
        <v>-0.28732929999999901</v>
      </c>
      <c r="P5885">
        <v>0.96578220000000004</v>
      </c>
      <c r="Q5885">
        <v>0.1505097</v>
      </c>
      <c r="R5885">
        <v>-0.21121470000000001</v>
      </c>
      <c r="S5885">
        <v>3.09375</v>
      </c>
      <c r="T5885">
        <v>-9.3436359999999996E-2</v>
      </c>
      <c r="U5885">
        <v>-0.13366700000000001</v>
      </c>
      <c r="V5885">
        <v>-7.8009490000000001E-2</v>
      </c>
      <c r="W5885">
        <v>0.16353899999999999</v>
      </c>
      <c r="X5885">
        <v>0.98344779999999998</v>
      </c>
      <c r="Y5885">
        <v>-0.24555089999999999</v>
      </c>
      <c r="Z5885">
        <v>9.8277020000000007E-3</v>
      </c>
      <c r="AA5885">
        <v>0.96933389999999997</v>
      </c>
      <c r="AB5885">
        <v>29</v>
      </c>
      <c r="AC5885">
        <v>37.131599999999899</v>
      </c>
      <c r="AD5885">
        <v>-1.128454952445</v>
      </c>
      <c r="AE5885">
        <v>-1.5484599999999999</v>
      </c>
      <c r="AF5885">
        <v>-9.1785138904874195</v>
      </c>
      <c r="AG5885">
        <v>-1.128454952445</v>
      </c>
      <c r="AH5885">
        <v>35.977284867362698</v>
      </c>
      <c r="AI5885">
        <v>91.740814357396403</v>
      </c>
      <c r="AJ5885">
        <v>104.31199088727401</v>
      </c>
      <c r="AK5885">
        <v>37.146783901771798</v>
      </c>
      <c r="AL5885">
        <v>80.587627767831094</v>
      </c>
      <c r="AM5885">
        <v>94.535345366684297</v>
      </c>
      <c r="AN5885">
        <v>1.0000000301879399</v>
      </c>
    </row>
    <row r="5886" spans="1:40" x14ac:dyDescent="0.25">
      <c r="A5886" t="str">
        <f>"20190303170410239"</f>
        <v>20190303170410239</v>
      </c>
      <c r="B5886" t="str">
        <f>"1551603850231737"</f>
        <v>1551603850231737</v>
      </c>
      <c r="C5886" t="s">
        <v>40</v>
      </c>
      <c r="D5886">
        <v>5.1339689999999996</v>
      </c>
      <c r="E5886">
        <v>0.44190879999999999</v>
      </c>
      <c r="F5886" t="s">
        <v>101</v>
      </c>
      <c r="G5886">
        <v>-373.56939999999997</v>
      </c>
      <c r="H5886" s="1">
        <v>-3.434881E-6</v>
      </c>
      <c r="I5886">
        <v>17.279</v>
      </c>
      <c r="J5886">
        <v>-407.23649999999998</v>
      </c>
      <c r="K5886">
        <v>1.128261</v>
      </c>
      <c r="L5886">
        <v>19.03323</v>
      </c>
      <c r="M5886">
        <v>0.95907350000000002</v>
      </c>
      <c r="N5886">
        <v>-1.4513399999999999E-2</v>
      </c>
      <c r="O5886">
        <v>-0.28278490000000001</v>
      </c>
      <c r="P5886">
        <v>0.96649309999999999</v>
      </c>
      <c r="Q5886">
        <v>0.1510618</v>
      </c>
      <c r="R5886">
        <v>-0.2075371</v>
      </c>
      <c r="S5886">
        <v>3.086487</v>
      </c>
      <c r="T5886">
        <v>-0.1029612</v>
      </c>
      <c r="U5886">
        <v>-0.16400149999999999</v>
      </c>
      <c r="V5886">
        <v>-7.6993880000000001E-2</v>
      </c>
      <c r="W5886">
        <v>0.16410350000000001</v>
      </c>
      <c r="X5886">
        <v>0.98343380000000002</v>
      </c>
      <c r="Y5886">
        <v>-0.2312929</v>
      </c>
      <c r="Z5886">
        <v>1.0691330000000001E-2</v>
      </c>
      <c r="AA5886">
        <v>0.97282539999999995</v>
      </c>
      <c r="AB5886">
        <v>29</v>
      </c>
      <c r="AC5886">
        <v>33.667099999999998</v>
      </c>
      <c r="AD5886">
        <v>-1.128264434881</v>
      </c>
      <c r="AE5886">
        <v>-1.75422999999999</v>
      </c>
      <c r="AF5886">
        <v>-7.83016787423254</v>
      </c>
      <c r="AG5886">
        <v>-1.128264434881</v>
      </c>
      <c r="AH5886">
        <v>32.752064455187202</v>
      </c>
      <c r="AI5886">
        <v>91.918946226280198</v>
      </c>
      <c r="AJ5886">
        <v>103.445557788835</v>
      </c>
      <c r="AK5886">
        <v>33.693949540687903</v>
      </c>
      <c r="AL5886">
        <v>80.554841333297205</v>
      </c>
      <c r="AM5886">
        <v>94.476604485744105</v>
      </c>
      <c r="AN5886">
        <v>1.0000000276260701</v>
      </c>
    </row>
    <row r="5887" spans="1:40" x14ac:dyDescent="0.25">
      <c r="A5887" t="str">
        <f>"20190303170410257"</f>
        <v>20190303170410257</v>
      </c>
      <c r="B5887" t="str">
        <f>"1551603850251256"</f>
        <v>1551603850251256</v>
      </c>
      <c r="C5887" t="s">
        <v>40</v>
      </c>
      <c r="D5887">
        <v>5.1680070000000002</v>
      </c>
      <c r="E5887">
        <v>0.44287460000000001</v>
      </c>
      <c r="F5887" t="s">
        <v>101</v>
      </c>
      <c r="G5887">
        <v>-372.50459999999998</v>
      </c>
      <c r="H5887" s="1">
        <v>-3.9367510000000003E-6</v>
      </c>
      <c r="I5887">
        <v>17.287269999999999</v>
      </c>
      <c r="J5887">
        <v>-407.02370000000002</v>
      </c>
      <c r="K5887">
        <v>1.128023</v>
      </c>
      <c r="L5887">
        <v>18.97711</v>
      </c>
      <c r="M5887">
        <v>0.9607734</v>
      </c>
      <c r="N5887">
        <v>-1.446042E-2</v>
      </c>
      <c r="O5887">
        <v>-0.27695750000000002</v>
      </c>
      <c r="P5887">
        <v>0.9674237</v>
      </c>
      <c r="Q5887">
        <v>0.15194779999999999</v>
      </c>
      <c r="R5887">
        <v>-0.2024927</v>
      </c>
      <c r="S5887">
        <v>3.0863649999999998</v>
      </c>
      <c r="T5887">
        <v>-0.1002604</v>
      </c>
      <c r="U5887">
        <v>-0.15515139999999999</v>
      </c>
      <c r="V5887">
        <v>-7.6025270000000006E-2</v>
      </c>
      <c r="W5887">
        <v>0.16499710000000001</v>
      </c>
      <c r="X5887">
        <v>0.9833596</v>
      </c>
      <c r="Y5887">
        <v>-0.2281811</v>
      </c>
      <c r="Z5887">
        <v>1.0189170000000001E-2</v>
      </c>
      <c r="AA5887">
        <v>0.97356540000000003</v>
      </c>
      <c r="AB5887">
        <v>29</v>
      </c>
      <c r="AC5887">
        <v>34.519100000000002</v>
      </c>
      <c r="AD5887">
        <v>-1.1280269367510001</v>
      </c>
      <c r="AE5887">
        <v>-1.68984</v>
      </c>
      <c r="AF5887">
        <v>-7.9291528132685301</v>
      </c>
      <c r="AG5887">
        <v>-1.1280269367510001</v>
      </c>
      <c r="AH5887">
        <v>33.600766822752298</v>
      </c>
      <c r="AI5887">
        <v>91.871418044667905</v>
      </c>
      <c r="AJ5887">
        <v>103.277821679805</v>
      </c>
      <c r="AK5887">
        <v>34.542082163401403</v>
      </c>
      <c r="AL5887">
        <v>80.502933938850404</v>
      </c>
      <c r="AM5887">
        <v>94.420844095095404</v>
      </c>
      <c r="AN5887">
        <v>0.99999999379957105</v>
      </c>
    </row>
    <row r="5888" spans="1:40" x14ac:dyDescent="0.25">
      <c r="A5888" t="str">
        <f>"20190303170410267"</f>
        <v>20190303170410267</v>
      </c>
      <c r="B5888" t="str">
        <f>"1551603850261992"</f>
        <v>1551603850261992</v>
      </c>
      <c r="C5888" t="s">
        <v>40</v>
      </c>
      <c r="D5888">
        <v>5.1427940000000003</v>
      </c>
      <c r="E5888">
        <v>0.4434206</v>
      </c>
      <c r="F5888" t="s">
        <v>101</v>
      </c>
      <c r="G5888">
        <v>-371.42559999999997</v>
      </c>
      <c r="H5888" s="1">
        <v>-4.4470589999999997E-6</v>
      </c>
      <c r="I5888">
        <v>17.285779999999999</v>
      </c>
      <c r="J5888">
        <v>-406.88170000000002</v>
      </c>
      <c r="K5888">
        <v>1.1278649999999999</v>
      </c>
      <c r="L5888">
        <v>18.94049</v>
      </c>
      <c r="M5888">
        <v>0.96184440000000004</v>
      </c>
      <c r="N5888">
        <v>-1.442599E-2</v>
      </c>
      <c r="O5888">
        <v>-0.27321669999999998</v>
      </c>
      <c r="P5888">
        <v>0.96812480000000001</v>
      </c>
      <c r="Q5888">
        <v>0.15209639999999999</v>
      </c>
      <c r="R5888">
        <v>-0.1990006</v>
      </c>
      <c r="S5888">
        <v>3.085693</v>
      </c>
      <c r="T5888">
        <v>-9.7778799999999999E-2</v>
      </c>
      <c r="U5888">
        <v>-0.1466064</v>
      </c>
      <c r="V5888">
        <v>-7.5676359999999998E-2</v>
      </c>
      <c r="W5888">
        <v>0.16514619999999999</v>
      </c>
      <c r="X5888">
        <v>0.9833615</v>
      </c>
      <c r="Y5888">
        <v>-0.22708310000000001</v>
      </c>
      <c r="Z5888">
        <v>9.8037249999999992E-3</v>
      </c>
      <c r="AA5888">
        <v>0.97382610000000003</v>
      </c>
      <c r="AB5888">
        <v>29</v>
      </c>
      <c r="AC5888">
        <v>35.456099999999999</v>
      </c>
      <c r="AD5888">
        <v>-1.1278694470589901</v>
      </c>
      <c r="AE5888">
        <v>-1.6547099999999999</v>
      </c>
      <c r="AF5888">
        <v>-8.08830037668206</v>
      </c>
      <c r="AG5888">
        <v>-1.1278694470589901</v>
      </c>
      <c r="AH5888">
        <v>34.524080849799603</v>
      </c>
      <c r="AI5888">
        <v>91.821838807983497</v>
      </c>
      <c r="AJ5888">
        <v>103.185448912086</v>
      </c>
      <c r="AK5888">
        <v>35.476821320357097</v>
      </c>
      <c r="AL5888">
        <v>80.494272462560602</v>
      </c>
      <c r="AM5888">
        <v>94.400626505327395</v>
      </c>
      <c r="AN5888">
        <v>1.0000000092597601</v>
      </c>
    </row>
    <row r="5889" spans="1:40" x14ac:dyDescent="0.25">
      <c r="A5889" t="str">
        <f>"20190303170410280"</f>
        <v>20190303170410280</v>
      </c>
      <c r="B5889" t="str">
        <f>"1551603850271752"</f>
        <v>1551603850271752</v>
      </c>
      <c r="C5889" t="s">
        <v>40</v>
      </c>
      <c r="D5889">
        <v>5.1215210000000004</v>
      </c>
      <c r="E5889">
        <v>0.44392159999999897</v>
      </c>
      <c r="F5889" t="s">
        <v>101</v>
      </c>
      <c r="G5889">
        <v>-371.74459999999999</v>
      </c>
      <c r="H5889" s="1">
        <v>-4.2849280000000002E-6</v>
      </c>
      <c r="I5889">
        <v>17.34957</v>
      </c>
      <c r="J5889">
        <v>-406.73910000000001</v>
      </c>
      <c r="K5889">
        <v>1.127712</v>
      </c>
      <c r="L5889">
        <v>18.904019999999999</v>
      </c>
      <c r="M5889">
        <v>0.96288839999999998</v>
      </c>
      <c r="N5889">
        <v>-1.439266E-2</v>
      </c>
      <c r="O5889">
        <v>-0.26951560000000002</v>
      </c>
      <c r="P5889">
        <v>0.96880189999999999</v>
      </c>
      <c r="Q5889">
        <v>0.1521448</v>
      </c>
      <c r="R5889">
        <v>-0.1956398</v>
      </c>
      <c r="S5889">
        <v>3.0856319999999999</v>
      </c>
      <c r="T5889">
        <v>-9.904599E-2</v>
      </c>
      <c r="U5889">
        <v>-0.13970949999999999</v>
      </c>
      <c r="V5889">
        <v>-7.5240080000000001E-2</v>
      </c>
      <c r="W5889">
        <v>0.1651975</v>
      </c>
      <c r="X5889">
        <v>0.98338630000000005</v>
      </c>
      <c r="Y5889">
        <v>-0.2255047</v>
      </c>
      <c r="Z5889">
        <v>9.87151E-3</v>
      </c>
      <c r="AA5889">
        <v>0.97419210000000001</v>
      </c>
      <c r="AB5889">
        <v>29</v>
      </c>
      <c r="AC5889">
        <v>34.994500000000002</v>
      </c>
      <c r="AD5889">
        <v>-1.127716284928</v>
      </c>
      <c r="AE5889">
        <v>-1.5544500000000001</v>
      </c>
      <c r="AF5889">
        <v>-7.9274079633890002</v>
      </c>
      <c r="AG5889">
        <v>-1.127716284928</v>
      </c>
      <c r="AH5889">
        <v>34.082957747187201</v>
      </c>
      <c r="AI5889">
        <v>91.845840876093703</v>
      </c>
      <c r="AJ5889">
        <v>103.093709098956</v>
      </c>
      <c r="AK5889">
        <v>35.010906155565898</v>
      </c>
      <c r="AL5889">
        <v>80.491291680278295</v>
      </c>
      <c r="AM5889">
        <v>94.375245442626493</v>
      </c>
      <c r="AN5889">
        <v>0.99999994933617198</v>
      </c>
    </row>
    <row r="5890" spans="1:40" x14ac:dyDescent="0.25">
      <c r="A5890" t="str">
        <f>"20190303170410291"</f>
        <v>20190303170410291</v>
      </c>
      <c r="B5890" t="str">
        <f>"1551603850281512"</f>
        <v>1551603850281512</v>
      </c>
      <c r="C5890" t="s">
        <v>40</v>
      </c>
      <c r="D5890">
        <v>5.1413589999999996</v>
      </c>
      <c r="E5890">
        <v>0.44392159999999897</v>
      </c>
      <c r="F5890" t="s">
        <v>101</v>
      </c>
      <c r="G5890">
        <v>-372.048</v>
      </c>
      <c r="H5890" s="1">
        <v>-4.130066E-6</v>
      </c>
      <c r="I5890">
        <v>17.414249999999999</v>
      </c>
      <c r="J5890">
        <v>-406.5856</v>
      </c>
      <c r="K5890">
        <v>1.1275520000000001</v>
      </c>
      <c r="L5890">
        <v>18.86533</v>
      </c>
      <c r="M5890">
        <v>0.96396950000000003</v>
      </c>
      <c r="N5890">
        <v>-1.435786E-2</v>
      </c>
      <c r="O5890">
        <v>-0.26562580000000002</v>
      </c>
      <c r="P5890">
        <v>0.96944799999999998</v>
      </c>
      <c r="Q5890">
        <v>0.152479799999999</v>
      </c>
      <c r="R5890">
        <v>-0.19214819999999999</v>
      </c>
      <c r="S5890">
        <v>3.0856020000000002</v>
      </c>
      <c r="T5890">
        <v>-0.10030459999999999</v>
      </c>
      <c r="U5890">
        <v>-0.13250729999999999</v>
      </c>
      <c r="V5890">
        <v>-7.4735460000000004E-2</v>
      </c>
      <c r="W5890">
        <v>0.16553470000000001</v>
      </c>
      <c r="X5890">
        <v>0.98336820000000003</v>
      </c>
      <c r="Y5890">
        <v>-0.22383600000000001</v>
      </c>
      <c r="Z5890">
        <v>9.9291710000000005E-3</v>
      </c>
      <c r="AA5890">
        <v>0.9745762</v>
      </c>
      <c r="AB5890">
        <v>29</v>
      </c>
      <c r="AC5890">
        <v>34.537599999999998</v>
      </c>
      <c r="AD5890">
        <v>-1.127556130066</v>
      </c>
      <c r="AE5890">
        <v>-1.4510799999999999</v>
      </c>
      <c r="AF5890">
        <v>-7.7678160642208596</v>
      </c>
      <c r="AG5890">
        <v>-1.127556130066</v>
      </c>
      <c r="AH5890">
        <v>33.646303916260798</v>
      </c>
      <c r="AI5890">
        <v>91.870222249199202</v>
      </c>
      <c r="AJ5890">
        <v>102.99992682915099</v>
      </c>
      <c r="AK5890">
        <v>34.549733956420098</v>
      </c>
      <c r="AL5890">
        <v>80.471703007448696</v>
      </c>
      <c r="AM5890">
        <v>94.346094045508195</v>
      </c>
      <c r="AN5890">
        <v>1.0000000713283601</v>
      </c>
    </row>
    <row r="5891" spans="1:40" x14ac:dyDescent="0.25">
      <c r="A5891" t="str">
        <f>"20190303170410302"</f>
        <v>20190303170410302</v>
      </c>
      <c r="B5891" t="str">
        <f>"1551603850291271"</f>
        <v>1551603850291271</v>
      </c>
      <c r="C5891" t="s">
        <v>40</v>
      </c>
      <c r="D5891">
        <v>5.1288980000000004</v>
      </c>
      <c r="E5891">
        <v>0.44938420000000001</v>
      </c>
      <c r="F5891" t="s">
        <v>101</v>
      </c>
      <c r="G5891">
        <v>-371.41160000000002</v>
      </c>
      <c r="H5891" s="1">
        <v>-4.418121E-6</v>
      </c>
      <c r="I5891">
        <v>17.486219999999999</v>
      </c>
      <c r="J5891">
        <v>-406.45350000000002</v>
      </c>
      <c r="K5891">
        <v>1.127413</v>
      </c>
      <c r="L5891">
        <v>18.832609999999999</v>
      </c>
      <c r="M5891">
        <v>0.96485710000000002</v>
      </c>
      <c r="N5891">
        <v>-1.4328560000000001E-2</v>
      </c>
      <c r="O5891">
        <v>-0.26238460000000002</v>
      </c>
      <c r="P5891">
        <v>0.96994020000000003</v>
      </c>
      <c r="Q5891">
        <v>0.1525917</v>
      </c>
      <c r="R5891">
        <v>-0.18955720000000001</v>
      </c>
      <c r="S5891">
        <v>3.0861510000000001</v>
      </c>
      <c r="T5891">
        <v>-9.8931309999999995E-2</v>
      </c>
      <c r="U5891">
        <v>-0.1210022</v>
      </c>
      <c r="V5891">
        <v>-7.3995870000000005E-2</v>
      </c>
      <c r="W5891">
        <v>0.16565360000000001</v>
      </c>
      <c r="X5891">
        <v>0.98340399999999994</v>
      </c>
      <c r="Y5891">
        <v>-0.22420109999999999</v>
      </c>
      <c r="Z5891">
        <v>9.7226389999999999E-3</v>
      </c>
      <c r="AA5891">
        <v>0.97449439999999998</v>
      </c>
      <c r="AB5891">
        <v>29</v>
      </c>
      <c r="AC5891">
        <v>35.041899999999998</v>
      </c>
      <c r="AD5891">
        <v>-1.1274174181209999</v>
      </c>
      <c r="AE5891">
        <v>-1.34638999999999</v>
      </c>
      <c r="AF5891">
        <v>-7.8880376579536398</v>
      </c>
      <c r="AG5891">
        <v>-1.1274174181209999</v>
      </c>
      <c r="AH5891">
        <v>34.131923171687703</v>
      </c>
      <c r="AI5891">
        <v>91.843309151027995</v>
      </c>
      <c r="AJ5891">
        <v>103.01284830885599</v>
      </c>
      <c r="AK5891">
        <v>35.049684556725602</v>
      </c>
      <c r="AL5891">
        <v>80.464794152437804</v>
      </c>
      <c r="AM5891">
        <v>94.303090933321101</v>
      </c>
      <c r="AN5891">
        <v>0.99999996559300697</v>
      </c>
    </row>
    <row r="5892" spans="1:40" x14ac:dyDescent="0.25">
      <c r="A5892" t="str">
        <f>"20190303170410314"</f>
        <v>20190303170410314</v>
      </c>
      <c r="B5892" t="str">
        <f>"1551603850302008"</f>
        <v>1551603850302008</v>
      </c>
      <c r="C5892" t="s">
        <v>40</v>
      </c>
      <c r="D5892">
        <v>5.1346160000000003</v>
      </c>
      <c r="E5892">
        <v>0.44938420000000001</v>
      </c>
      <c r="F5892" t="s">
        <v>101</v>
      </c>
      <c r="G5892">
        <v>-376.58109999999999</v>
      </c>
      <c r="H5892" s="1">
        <v>-2.0017069999999998E-6</v>
      </c>
      <c r="I5892">
        <v>17.332470000000001</v>
      </c>
      <c r="J5892">
        <v>-406.30059999999997</v>
      </c>
      <c r="K5892">
        <v>1.127259</v>
      </c>
      <c r="L5892">
        <v>18.794979999999999</v>
      </c>
      <c r="M5892">
        <v>0.96585779999999999</v>
      </c>
      <c r="N5892">
        <v>-1.4295759999999999E-2</v>
      </c>
      <c r="O5892">
        <v>-0.25867839999999998</v>
      </c>
      <c r="P5892">
        <v>0.97039489999999995</v>
      </c>
      <c r="Q5892">
        <v>0.15299969999999999</v>
      </c>
      <c r="R5892">
        <v>-0.18688279999999999</v>
      </c>
      <c r="S5892">
        <v>3.0810240000000002</v>
      </c>
      <c r="T5892">
        <v>-0.116281</v>
      </c>
      <c r="U5892">
        <v>-0.1547241</v>
      </c>
      <c r="V5892">
        <v>-7.2852070000000005E-2</v>
      </c>
      <c r="W5892">
        <v>0.166074</v>
      </c>
      <c r="X5892">
        <v>0.98341849999999997</v>
      </c>
      <c r="Y5892">
        <v>-0.20966009999999999</v>
      </c>
      <c r="Z5892">
        <v>1.1372749999999999E-2</v>
      </c>
      <c r="AA5892">
        <v>0.97770820000000003</v>
      </c>
      <c r="AB5892">
        <v>29</v>
      </c>
      <c r="AC5892">
        <v>29.719499999999901</v>
      </c>
      <c r="AD5892">
        <v>-1.1272610017069999</v>
      </c>
      <c r="AE5892">
        <v>-1.46250999999999</v>
      </c>
      <c r="AF5892">
        <v>-6.2668625362202901</v>
      </c>
      <c r="AG5892">
        <v>-1.1272610017069999</v>
      </c>
      <c r="AH5892">
        <v>29.044415569243</v>
      </c>
      <c r="AI5892">
        <v>92.172676242709997</v>
      </c>
      <c r="AJ5892">
        <v>102.175945849398</v>
      </c>
      <c r="AK5892">
        <v>29.734195115602802</v>
      </c>
      <c r="AL5892">
        <v>80.440368740893007</v>
      </c>
      <c r="AM5892">
        <v>94.236757248788507</v>
      </c>
      <c r="AN5892">
        <v>0.99999997186076695</v>
      </c>
    </row>
    <row r="5893" spans="1:40" x14ac:dyDescent="0.25">
      <c r="A5893" t="str">
        <f>"20190303170410327"</f>
        <v>20190303170410327</v>
      </c>
      <c r="B5893" t="str">
        <f>"1551603850321528"</f>
        <v>1551603850321528</v>
      </c>
      <c r="C5893" t="s">
        <v>40</v>
      </c>
      <c r="D5893">
        <v>5.1361869999999996</v>
      </c>
      <c r="E5893">
        <v>0.45011659999999998</v>
      </c>
      <c r="F5893" t="s">
        <v>101</v>
      </c>
      <c r="G5893">
        <v>-376.08839999999998</v>
      </c>
      <c r="H5893" s="1">
        <v>-2.229493E-6</v>
      </c>
      <c r="I5893">
        <v>17.361460000000001</v>
      </c>
      <c r="J5893">
        <v>-406.1558</v>
      </c>
      <c r="K5893">
        <v>1.1271089999999999</v>
      </c>
      <c r="L5893">
        <v>18.760100000000001</v>
      </c>
      <c r="M5893">
        <v>0.96674729999999998</v>
      </c>
      <c r="N5893">
        <v>-1.426443E-2</v>
      </c>
      <c r="O5893">
        <v>-0.255335799999999</v>
      </c>
      <c r="P5893">
        <v>0.9707865</v>
      </c>
      <c r="Q5893">
        <v>0.1535937</v>
      </c>
      <c r="R5893">
        <v>-0.18434490000000001</v>
      </c>
      <c r="S5893">
        <v>3.0814509999999999</v>
      </c>
      <c r="T5893">
        <v>-0.1149733</v>
      </c>
      <c r="U5893">
        <v>-0.1462097</v>
      </c>
      <c r="V5893">
        <v>-7.1939100000000006E-2</v>
      </c>
      <c r="W5893">
        <v>0.1666763</v>
      </c>
      <c r="X5893">
        <v>0.98338380000000003</v>
      </c>
      <c r="Y5893">
        <v>-0.20898739999999999</v>
      </c>
      <c r="Z5893">
        <v>1.1135330000000001E-2</v>
      </c>
      <c r="AA5893">
        <v>0.97785489999999997</v>
      </c>
      <c r="AB5893">
        <v>29</v>
      </c>
      <c r="AC5893">
        <v>30.067399999999999</v>
      </c>
      <c r="AD5893">
        <v>-1.1271112294929999</v>
      </c>
      <c r="AE5893">
        <v>-1.3986400000000001</v>
      </c>
      <c r="AF5893">
        <v>-6.3169377286513102</v>
      </c>
      <c r="AG5893">
        <v>-1.1271112294929999</v>
      </c>
      <c r="AH5893">
        <v>29.386486840315801</v>
      </c>
      <c r="AI5893">
        <v>92.147480726851498</v>
      </c>
      <c r="AJ5893">
        <v>102.13172409010799</v>
      </c>
      <c r="AK5893">
        <v>30.078891116651299</v>
      </c>
      <c r="AL5893">
        <v>80.405371612238696</v>
      </c>
      <c r="AM5893">
        <v>94.183999750050305</v>
      </c>
      <c r="AN5893">
        <v>0.99999996059646901</v>
      </c>
    </row>
    <row r="5894" spans="1:40" x14ac:dyDescent="0.25">
      <c r="A5894" t="str">
        <f>"20190303170410340"</f>
        <v>20190303170410340</v>
      </c>
      <c r="B5894" t="str">
        <f>"1551603850331289"</f>
        <v>1551603850331289</v>
      </c>
      <c r="C5894" t="s">
        <v>40</v>
      </c>
      <c r="D5894">
        <v>5.152882</v>
      </c>
      <c r="E5894">
        <v>0.45011659999999998</v>
      </c>
      <c r="F5894" t="s">
        <v>101</v>
      </c>
      <c r="G5894">
        <v>-376.14690000000002</v>
      </c>
      <c r="H5894" s="1">
        <v>-2.2020849999999999E-6</v>
      </c>
      <c r="I5894">
        <v>17.359939999999899</v>
      </c>
      <c r="J5894">
        <v>-405.98309999999998</v>
      </c>
      <c r="K5894">
        <v>1.1269290000000001</v>
      </c>
      <c r="L5894">
        <v>18.71884</v>
      </c>
      <c r="M5894">
        <v>0.96777089999999999</v>
      </c>
      <c r="N5894">
        <v>-1.4227979999999999E-2</v>
      </c>
      <c r="O5894">
        <v>-0.2514306</v>
      </c>
      <c r="P5894">
        <v>0.97125099999999998</v>
      </c>
      <c r="Q5894">
        <v>0.15440519999999999</v>
      </c>
      <c r="R5894">
        <v>-0.1811923</v>
      </c>
      <c r="S5894">
        <v>3.081299</v>
      </c>
      <c r="T5894">
        <v>-0.1157315</v>
      </c>
      <c r="U5894">
        <v>-0.14376829999999999</v>
      </c>
      <c r="V5894">
        <v>-7.1058769999999993E-2</v>
      </c>
      <c r="W5894">
        <v>0.16749530000000001</v>
      </c>
      <c r="X5894">
        <v>0.98330870000000004</v>
      </c>
      <c r="Y5894">
        <v>-0.2058092</v>
      </c>
      <c r="Z5894">
        <v>1.1062300000000001E-2</v>
      </c>
      <c r="AA5894">
        <v>0.9785296</v>
      </c>
      <c r="AB5894">
        <v>29</v>
      </c>
      <c r="AC5894">
        <v>29.836199999999899</v>
      </c>
      <c r="AD5894">
        <v>-1.126931202085</v>
      </c>
      <c r="AE5894">
        <v>-1.3589</v>
      </c>
      <c r="AF5894">
        <v>-6.1784591081185596</v>
      </c>
      <c r="AG5894">
        <v>-1.126931202085</v>
      </c>
      <c r="AH5894">
        <v>29.177689226627901</v>
      </c>
      <c r="AI5894">
        <v>92.1639032613501</v>
      </c>
      <c r="AJ5894">
        <v>101.95593458932601</v>
      </c>
      <c r="AK5894">
        <v>29.8459524808742</v>
      </c>
      <c r="AL5894">
        <v>80.357777801183602</v>
      </c>
      <c r="AM5894">
        <v>94.133292569000105</v>
      </c>
      <c r="AN5894">
        <v>1.0000000119058401</v>
      </c>
    </row>
    <row r="5895" spans="1:40" x14ac:dyDescent="0.25">
      <c r="A5895" t="str">
        <f>"20190303170410358"</f>
        <v>20190303170410358</v>
      </c>
      <c r="B5895" t="str">
        <f>"1551603850351785"</f>
        <v>1551603850351785</v>
      </c>
      <c r="C5895" t="s">
        <v>40</v>
      </c>
      <c r="D5895">
        <v>5.1425479999999997</v>
      </c>
      <c r="E5895">
        <v>0.45523560000000002</v>
      </c>
      <c r="F5895" t="s">
        <v>101</v>
      </c>
      <c r="G5895">
        <v>-375.39389999999997</v>
      </c>
      <c r="H5895" s="1">
        <v>-2.5534640000000001E-6</v>
      </c>
      <c r="I5895">
        <v>17.385739999999998</v>
      </c>
      <c r="J5895">
        <v>-405.75940000000003</v>
      </c>
      <c r="K5895">
        <v>1.1266879999999999</v>
      </c>
      <c r="L5895">
        <v>18.666319999999999</v>
      </c>
      <c r="M5895">
        <v>0.96901910000000002</v>
      </c>
      <c r="N5895">
        <v>-1.418168E-2</v>
      </c>
      <c r="O5895">
        <v>-0.24657879999999999</v>
      </c>
      <c r="P5895">
        <v>0.97177829999999998</v>
      </c>
      <c r="Q5895">
        <v>0.1554458</v>
      </c>
      <c r="R5895">
        <v>-0.1774374</v>
      </c>
      <c r="S5895">
        <v>3.0818180000000002</v>
      </c>
      <c r="T5895">
        <v>-0.113537</v>
      </c>
      <c r="U5895">
        <v>-0.13430790000000001</v>
      </c>
      <c r="V5895">
        <v>-6.9798810000000003E-2</v>
      </c>
      <c r="W5895">
        <v>0.16854729999999901</v>
      </c>
      <c r="X5895">
        <v>0.98321910000000001</v>
      </c>
      <c r="Y5895">
        <v>-0.20392450000000001</v>
      </c>
      <c r="Z5895">
        <v>1.066741E-2</v>
      </c>
      <c r="AA5895">
        <v>0.97892849999999998</v>
      </c>
      <c r="AB5895">
        <v>29</v>
      </c>
      <c r="AC5895">
        <v>30.365500000000001</v>
      </c>
      <c r="AD5895">
        <v>-1.1266905534639999</v>
      </c>
      <c r="AE5895">
        <v>-1.2805800000000001</v>
      </c>
      <c r="AF5895">
        <v>-6.2386359089331096</v>
      </c>
      <c r="AG5895">
        <v>-1.1266905534639999</v>
      </c>
      <c r="AH5895">
        <v>29.702680994878101</v>
      </c>
      <c r="AI5895">
        <v>92.125974518922504</v>
      </c>
      <c r="AJ5895">
        <v>101.861761291314</v>
      </c>
      <c r="AK5895">
        <v>30.371685298827</v>
      </c>
      <c r="AL5895">
        <v>80.296632591875493</v>
      </c>
      <c r="AM5895">
        <v>94.060620256917503</v>
      </c>
      <c r="AN5895">
        <v>0.99999993240975504</v>
      </c>
    </row>
    <row r="5896" spans="1:40" x14ac:dyDescent="0.25">
      <c r="A5896" t="str">
        <f>"20190303170410371"</f>
        <v>20190303170410371</v>
      </c>
      <c r="B5896" t="str">
        <f>"1551603850361544"</f>
        <v>1551603850361544</v>
      </c>
      <c r="C5896" t="s">
        <v>40</v>
      </c>
      <c r="D5896">
        <v>5.129035</v>
      </c>
      <c r="E5896">
        <v>0.45541989999999999</v>
      </c>
      <c r="F5896" t="s">
        <v>101</v>
      </c>
      <c r="G5896">
        <v>-379.12990000000002</v>
      </c>
      <c r="H5896" s="1">
        <v>-9.4603100000000004E-7</v>
      </c>
      <c r="I5896">
        <v>17.25732</v>
      </c>
      <c r="J5896">
        <v>-405.5994</v>
      </c>
      <c r="K5896">
        <v>1.1265160000000001</v>
      </c>
      <c r="L5896">
        <v>18.629300000000001</v>
      </c>
      <c r="M5896">
        <v>0.96986249999999996</v>
      </c>
      <c r="N5896">
        <v>-1.414966E-2</v>
      </c>
      <c r="O5896">
        <v>-0.24324219999999999</v>
      </c>
      <c r="P5896">
        <v>0.97223689999999996</v>
      </c>
      <c r="Q5896">
        <v>0.1557501</v>
      </c>
      <c r="R5896">
        <v>-0.17463670000000001</v>
      </c>
      <c r="S5896">
        <v>3.078217</v>
      </c>
      <c r="T5896">
        <v>-0.1302384</v>
      </c>
      <c r="U5896">
        <v>-0.1628723</v>
      </c>
      <c r="V5896">
        <v>-6.9164489999999995E-2</v>
      </c>
      <c r="W5896">
        <v>0.16885700000000001</v>
      </c>
      <c r="X5896">
        <v>0.9832109</v>
      </c>
      <c r="Y5896">
        <v>-0.19135779999999999</v>
      </c>
      <c r="Z5896">
        <v>1.21137E-2</v>
      </c>
      <c r="AA5896">
        <v>0.98144560000000003</v>
      </c>
      <c r="AB5896">
        <v>29</v>
      </c>
      <c r="AC5896">
        <v>26.469499999999901</v>
      </c>
      <c r="AD5896">
        <v>-1.1265169460310001</v>
      </c>
      <c r="AE5896">
        <v>-1.37198</v>
      </c>
      <c r="AF5896">
        <v>-5.0991669915971203</v>
      </c>
      <c r="AG5896">
        <v>-1.1265169460310001</v>
      </c>
      <c r="AH5896">
        <v>25.961202499815901</v>
      </c>
      <c r="AI5896">
        <v>92.438111605217301</v>
      </c>
      <c r="AJ5896">
        <v>101.11228631685999</v>
      </c>
      <c r="AK5896">
        <v>26.481211824128</v>
      </c>
      <c r="AL5896">
        <v>80.278631149162194</v>
      </c>
      <c r="AM5896">
        <v>94.023873234173394</v>
      </c>
      <c r="AN5896">
        <v>1.0000000435023799</v>
      </c>
    </row>
    <row r="5897" spans="1:40" x14ac:dyDescent="0.25">
      <c r="A5897" t="str">
        <f>"20190303170410384"</f>
        <v>20190303170410384</v>
      </c>
      <c r="B5897" t="str">
        <f>"1551603850371305"</f>
        <v>1551603850371305</v>
      </c>
      <c r="C5897" t="s">
        <v>40</v>
      </c>
      <c r="D5897">
        <v>5.1199789999999998</v>
      </c>
      <c r="E5897">
        <v>0.45567999999999997</v>
      </c>
      <c r="F5897" t="s">
        <v>101</v>
      </c>
      <c r="G5897">
        <v>-378.57830000000001</v>
      </c>
      <c r="H5897" s="1">
        <v>-1.15636E-6</v>
      </c>
      <c r="I5897">
        <v>17.262829999999902</v>
      </c>
      <c r="J5897">
        <v>-405.43959999999998</v>
      </c>
      <c r="K5897">
        <v>1.1263529999999999</v>
      </c>
      <c r="L5897">
        <v>18.592929999999999</v>
      </c>
      <c r="M5897">
        <v>0.97066330000000001</v>
      </c>
      <c r="N5897">
        <v>-1.411928E-2</v>
      </c>
      <c r="O5897">
        <v>-0.2400282</v>
      </c>
      <c r="P5897">
        <v>0.97264379999999995</v>
      </c>
      <c r="Q5897">
        <v>0.15607299999999999</v>
      </c>
      <c r="R5897">
        <v>-0.17206250000000001</v>
      </c>
      <c r="S5897">
        <v>3.0782780000000001</v>
      </c>
      <c r="T5897">
        <v>-0.12833449999999999</v>
      </c>
      <c r="U5897">
        <v>-0.15567020000000001</v>
      </c>
      <c r="V5897">
        <v>-6.8430099999999994E-2</v>
      </c>
      <c r="W5897">
        <v>0.16918649999999999</v>
      </c>
      <c r="X5897">
        <v>0.98320560000000001</v>
      </c>
      <c r="Y5897">
        <v>-0.19040940000000001</v>
      </c>
      <c r="Z5897">
        <v>1.1801310000000001E-2</v>
      </c>
      <c r="AA5897">
        <v>0.9816338</v>
      </c>
      <c r="AB5897">
        <v>29</v>
      </c>
      <c r="AC5897">
        <v>26.8612999999999</v>
      </c>
      <c r="AD5897">
        <v>-1.1263541563599999</v>
      </c>
      <c r="AE5897">
        <v>-1.3301000000000001</v>
      </c>
      <c r="AF5897">
        <v>-5.1478745129416197</v>
      </c>
      <c r="AG5897">
        <v>-1.1263541563599999</v>
      </c>
      <c r="AH5897">
        <v>26.3489526272331</v>
      </c>
      <c r="AI5897">
        <v>92.402399664531202</v>
      </c>
      <c r="AJ5897">
        <v>101.054797248279</v>
      </c>
      <c r="AK5897">
        <v>26.870738550302601</v>
      </c>
      <c r="AL5897">
        <v>80.259476184228106</v>
      </c>
      <c r="AM5897">
        <v>93.981307187208202</v>
      </c>
      <c r="AN5897">
        <v>1.00000000111981</v>
      </c>
    </row>
    <row r="5898" spans="1:40" x14ac:dyDescent="0.25">
      <c r="A5898" t="str">
        <f>"20190303170410402"</f>
        <v>20190303170410402</v>
      </c>
      <c r="B5898" t="str">
        <f>"1551603850391800"</f>
        <v>1551603850391800</v>
      </c>
      <c r="C5898" t="s">
        <v>40</v>
      </c>
      <c r="D5898">
        <v>5.1250650000000002</v>
      </c>
      <c r="E5898">
        <v>0.45619189999999998</v>
      </c>
      <c r="F5898" t="s">
        <v>101</v>
      </c>
      <c r="G5898">
        <v>-378.59179999999998</v>
      </c>
      <c r="H5898" s="1">
        <v>-1.1440589999999999E-6</v>
      </c>
      <c r="I5898">
        <v>17.289680000000001</v>
      </c>
      <c r="J5898">
        <v>-405.21879999999999</v>
      </c>
      <c r="K5898">
        <v>1.126131</v>
      </c>
      <c r="L5898">
        <v>18.543209999999998</v>
      </c>
      <c r="M5898">
        <v>0.97171249999999998</v>
      </c>
      <c r="N5898">
        <v>-1.4079299999999999E-2</v>
      </c>
      <c r="O5898">
        <v>-0.23574690000000001</v>
      </c>
      <c r="P5898">
        <v>0.97302940000000004</v>
      </c>
      <c r="Q5898">
        <v>0.15682470000000001</v>
      </c>
      <c r="R5898">
        <v>-0.1691733</v>
      </c>
      <c r="S5898">
        <v>3.0786739999999999</v>
      </c>
      <c r="T5898">
        <v>-0.12916050000000001</v>
      </c>
      <c r="U5898">
        <v>-0.14944460000000001</v>
      </c>
      <c r="V5898">
        <v>-6.6896919999999999E-2</v>
      </c>
      <c r="W5898">
        <v>0.16995199999999999</v>
      </c>
      <c r="X5898">
        <v>0.98317909999999997</v>
      </c>
      <c r="Y5898">
        <v>-0.1880677</v>
      </c>
      <c r="Z5898">
        <v>1.1717139999999999E-2</v>
      </c>
      <c r="AA5898">
        <v>0.98208620000000002</v>
      </c>
      <c r="AB5898">
        <v>29</v>
      </c>
      <c r="AC5898">
        <v>26.626999999999999</v>
      </c>
      <c r="AD5898">
        <v>-1.126132144059</v>
      </c>
      <c r="AE5898">
        <v>-1.25353</v>
      </c>
      <c r="AF5898">
        <v>-5.0506493646249</v>
      </c>
      <c r="AG5898">
        <v>-1.126132144059</v>
      </c>
      <c r="AH5898">
        <v>26.125271944408102</v>
      </c>
      <c r="AI5898">
        <v>92.423395749909005</v>
      </c>
      <c r="AJ5898">
        <v>100.941685329922</v>
      </c>
      <c r="AK5898">
        <v>26.6328193546899</v>
      </c>
      <c r="AL5898">
        <v>80.214971865059496</v>
      </c>
      <c r="AM5898">
        <v>93.892487705088897</v>
      </c>
      <c r="AN5898">
        <v>1.00000001144314</v>
      </c>
    </row>
    <row r="5899" spans="1:40" x14ac:dyDescent="0.25">
      <c r="A5899" t="str">
        <f>"20190303170410424"</f>
        <v>20190303170410424</v>
      </c>
      <c r="B5899" t="str">
        <f>"1551603850411320"</f>
        <v>1551603850411320</v>
      </c>
      <c r="C5899" t="s">
        <v>40</v>
      </c>
      <c r="D5899">
        <v>5.1172339999999998</v>
      </c>
      <c r="E5899">
        <v>0.456482</v>
      </c>
      <c r="F5899" t="s">
        <v>101</v>
      </c>
      <c r="G5899">
        <v>-377.92739999999998</v>
      </c>
      <c r="H5899" s="1">
        <v>-1.404453E-6</v>
      </c>
      <c r="I5899">
        <v>17.269829999999999</v>
      </c>
      <c r="J5899">
        <v>-404.95010000000002</v>
      </c>
      <c r="K5899">
        <v>1.125869</v>
      </c>
      <c r="L5899">
        <v>18.48386</v>
      </c>
      <c r="M5899">
        <v>0.97289190000000003</v>
      </c>
      <c r="N5899">
        <v>-1.4032660000000001E-2</v>
      </c>
      <c r="O5899">
        <v>-0.23083400000000001</v>
      </c>
      <c r="P5899">
        <v>0.97356390000000004</v>
      </c>
      <c r="Q5899">
        <v>0.15699099999999999</v>
      </c>
      <c r="R5899">
        <v>-0.165913</v>
      </c>
      <c r="S5899">
        <v>3.0786739999999999</v>
      </c>
      <c r="T5899">
        <v>-0.12703610000000001</v>
      </c>
      <c r="U5899">
        <v>-0.1436462</v>
      </c>
      <c r="V5899">
        <v>-6.5101030000000004E-2</v>
      </c>
      <c r="W5899">
        <v>0.1701357</v>
      </c>
      <c r="X5899">
        <v>0.98326780000000003</v>
      </c>
      <c r="Y5899">
        <v>-0.1849653</v>
      </c>
      <c r="Z5899">
        <v>1.1286300000000001E-2</v>
      </c>
      <c r="AA5899">
        <v>0.98268029999999995</v>
      </c>
      <c r="AB5899">
        <v>29</v>
      </c>
      <c r="AC5899">
        <v>27.0227</v>
      </c>
      <c r="AD5899">
        <v>-1.1258704044529999</v>
      </c>
      <c r="AE5899">
        <v>-1.2140299999999999</v>
      </c>
      <c r="AF5899">
        <v>-5.0483904294397997</v>
      </c>
      <c r="AG5899">
        <v>-1.1258704044529999</v>
      </c>
      <c r="AH5899">
        <v>26.5270681098255</v>
      </c>
      <c r="AI5899">
        <v>92.387507244259396</v>
      </c>
      <c r="AJ5899">
        <v>100.775159177573</v>
      </c>
      <c r="AK5899">
        <v>27.0266382037982</v>
      </c>
      <c r="AL5899">
        <v>80.204290309988593</v>
      </c>
      <c r="AM5899">
        <v>93.787959129715901</v>
      </c>
      <c r="AN5899">
        <v>0.99999993351919303</v>
      </c>
    </row>
    <row r="5900" spans="1:40" x14ac:dyDescent="0.25">
      <c r="A5900" t="str">
        <f>"20190303170410438"</f>
        <v>20190303170410438</v>
      </c>
      <c r="B5900" t="str">
        <f>"1551603850431817"</f>
        <v>1551603850431817</v>
      </c>
      <c r="C5900" t="s">
        <v>40</v>
      </c>
      <c r="D5900">
        <v>5.1291169999999999</v>
      </c>
      <c r="E5900">
        <v>0.46066550000000001</v>
      </c>
      <c r="F5900" t="s">
        <v>101</v>
      </c>
      <c r="G5900">
        <v>-377.71390000000002</v>
      </c>
      <c r="H5900" s="1">
        <v>-1.481287E-6</v>
      </c>
      <c r="I5900">
        <v>17.289300000000001</v>
      </c>
      <c r="J5900">
        <v>-404.78140000000002</v>
      </c>
      <c r="K5900">
        <v>1.125707</v>
      </c>
      <c r="L5900">
        <v>18.447050000000001</v>
      </c>
      <c r="M5900">
        <v>0.97358789999999995</v>
      </c>
      <c r="N5900">
        <v>-1.4004330000000001E-2</v>
      </c>
      <c r="O5900">
        <v>-0.22788330000000001</v>
      </c>
      <c r="P5900">
        <v>0.97396859999999996</v>
      </c>
      <c r="Q5900">
        <v>0.1567741</v>
      </c>
      <c r="R5900">
        <v>-0.16372879999999901</v>
      </c>
      <c r="S5900">
        <v>3.0789490000000002</v>
      </c>
      <c r="T5900">
        <v>-0.1272751</v>
      </c>
      <c r="U5900">
        <v>-0.135040299999999</v>
      </c>
      <c r="V5900">
        <v>-6.4261299999999993E-2</v>
      </c>
      <c r="W5900">
        <v>0.16992570000000001</v>
      </c>
      <c r="X5900">
        <v>0.98335939999999999</v>
      </c>
      <c r="Y5900">
        <v>-0.1847309</v>
      </c>
      <c r="Z5900">
        <v>1.1232300000000001E-2</v>
      </c>
      <c r="AA5900">
        <v>0.98272499999999996</v>
      </c>
      <c r="AB5900">
        <v>29</v>
      </c>
      <c r="AC5900">
        <v>27.0674999999999</v>
      </c>
      <c r="AD5900">
        <v>-1.125708481287</v>
      </c>
      <c r="AE5900">
        <v>-1.1577500000000001</v>
      </c>
      <c r="AF5900">
        <v>-5.0328642863492696</v>
      </c>
      <c r="AG5900">
        <v>-1.125708481287</v>
      </c>
      <c r="AH5900">
        <v>26.573150502577398</v>
      </c>
      <c r="AI5900">
        <v>92.383428134870698</v>
      </c>
      <c r="AJ5900">
        <v>100.724595554191</v>
      </c>
      <c r="AK5900">
        <v>27.068972461884901</v>
      </c>
      <c r="AL5900">
        <v>80.216500713416394</v>
      </c>
      <c r="AM5900">
        <v>93.738890917563296</v>
      </c>
      <c r="AN5900">
        <v>0.99999998388326905</v>
      </c>
    </row>
    <row r="5901" spans="1:40" x14ac:dyDescent="0.25">
      <c r="A5901" t="str">
        <f>"20190303170410449"</f>
        <v>20190303170410449</v>
      </c>
      <c r="B5901" t="str">
        <f>"1551603850441576"</f>
        <v>1551603850441576</v>
      </c>
      <c r="C5901" t="s">
        <v>40</v>
      </c>
      <c r="D5901">
        <v>5.1048460000000002</v>
      </c>
      <c r="E5901">
        <v>0.46066550000000001</v>
      </c>
      <c r="F5901" t="s">
        <v>101</v>
      </c>
      <c r="G5901">
        <v>-379.7756</v>
      </c>
      <c r="H5901" s="1">
        <v>-7.2982699999999999E-7</v>
      </c>
      <c r="I5901">
        <v>17.137899999999998</v>
      </c>
      <c r="J5901">
        <v>-404.62689999999998</v>
      </c>
      <c r="K5901">
        <v>1.1255660000000001</v>
      </c>
      <c r="L5901">
        <v>18.41385</v>
      </c>
      <c r="M5901">
        <v>0.97418769999999999</v>
      </c>
      <c r="N5901">
        <v>-1.397926E-2</v>
      </c>
      <c r="O5901">
        <v>-0.22530649999999999</v>
      </c>
      <c r="P5901">
        <v>0.97428859999999995</v>
      </c>
      <c r="Q5901">
        <v>0.15682349999999901</v>
      </c>
      <c r="R5901">
        <v>-0.16176579999999999</v>
      </c>
      <c r="S5901">
        <v>3.0754389999999998</v>
      </c>
      <c r="T5901">
        <v>-0.13844979999999901</v>
      </c>
      <c r="U5901">
        <v>-0.16101070000000001</v>
      </c>
      <c r="V5901">
        <v>-6.3577939999999999E-2</v>
      </c>
      <c r="W5901">
        <v>0.1699802</v>
      </c>
      <c r="X5901">
        <v>0.9833944</v>
      </c>
      <c r="Y5901">
        <v>-0.17374909999999999</v>
      </c>
      <c r="Z5901">
        <v>1.20006E-2</v>
      </c>
      <c r="AA5901">
        <v>0.98471679999999995</v>
      </c>
      <c r="AB5901">
        <v>29</v>
      </c>
      <c r="AC5901">
        <v>24.851299999999899</v>
      </c>
      <c r="AD5901">
        <v>-1.125566729827</v>
      </c>
      <c r="AE5901">
        <v>-1.2759499999999999</v>
      </c>
      <c r="AF5901">
        <v>-4.34767483490094</v>
      </c>
      <c r="AG5901">
        <v>-1.125566729827</v>
      </c>
      <c r="AH5901">
        <v>24.4496797052131</v>
      </c>
      <c r="AI5901">
        <v>92.595156806971602</v>
      </c>
      <c r="AJ5901">
        <v>100.083017495504</v>
      </c>
      <c r="AK5901">
        <v>24.858721097852801</v>
      </c>
      <c r="AL5901">
        <v>80.213332000532105</v>
      </c>
      <c r="AM5901">
        <v>93.699110937715005</v>
      </c>
      <c r="AN5901">
        <v>0.99999998439902105</v>
      </c>
    </row>
    <row r="5902" spans="1:40" x14ac:dyDescent="0.25">
      <c r="A5902" t="str">
        <f>"20190303170410461"</f>
        <v>20190303170410461</v>
      </c>
      <c r="B5902" t="str">
        <f>"1551603850451337"</f>
        <v>1551603850451337</v>
      </c>
      <c r="C5902" t="s">
        <v>40</v>
      </c>
      <c r="D5902">
        <v>5.0950379999999997</v>
      </c>
      <c r="E5902">
        <v>0.4608486</v>
      </c>
      <c r="F5902" t="s">
        <v>101</v>
      </c>
      <c r="G5902">
        <v>-379.63440000000003</v>
      </c>
      <c r="H5902" s="1">
        <v>-7.8013599999999999E-7</v>
      </c>
      <c r="I5902">
        <v>17.152619999999999</v>
      </c>
      <c r="J5902">
        <v>-404.4821</v>
      </c>
      <c r="K5902">
        <v>1.125435</v>
      </c>
      <c r="L5902">
        <v>18.38297</v>
      </c>
      <c r="M5902">
        <v>0.97472630000000005</v>
      </c>
      <c r="N5902">
        <v>-1.3956720000000001E-2</v>
      </c>
      <c r="O5902">
        <v>-0.22296659999999999</v>
      </c>
      <c r="P5902">
        <v>0.97452039999999995</v>
      </c>
      <c r="Q5902">
        <v>0.15700069999999999</v>
      </c>
      <c r="R5902">
        <v>-0.1601909</v>
      </c>
      <c r="S5902">
        <v>3.0756839999999999</v>
      </c>
      <c r="T5902">
        <v>-0.1385171</v>
      </c>
      <c r="U5902">
        <v>-0.1552124</v>
      </c>
      <c r="V5902">
        <v>-6.2744060000000004E-2</v>
      </c>
      <c r="W5902">
        <v>0.17016300000000001</v>
      </c>
      <c r="X5902">
        <v>0.98341639999999997</v>
      </c>
      <c r="Y5902">
        <v>-0.17324120000000001</v>
      </c>
      <c r="Z5902">
        <v>1.192609E-2</v>
      </c>
      <c r="AA5902">
        <v>0.98480719999999999</v>
      </c>
      <c r="AB5902">
        <v>29</v>
      </c>
      <c r="AC5902">
        <v>24.8476999999999</v>
      </c>
      <c r="AD5902">
        <v>-1.125435780136</v>
      </c>
      <c r="AE5902">
        <v>-1.2303499999999901</v>
      </c>
      <c r="AF5902">
        <v>-4.3325086273696396</v>
      </c>
      <c r="AG5902">
        <v>-1.125435780136</v>
      </c>
      <c r="AH5902">
        <v>24.4463876486119</v>
      </c>
      <c r="AI5902">
        <v>92.595470292465905</v>
      </c>
      <c r="AJ5902">
        <v>100.04988804391699</v>
      </c>
      <c r="AK5902">
        <v>24.8528289288694</v>
      </c>
      <c r="AL5902">
        <v>80.202704039902798</v>
      </c>
      <c r="AM5902">
        <v>93.650644506920798</v>
      </c>
      <c r="AN5902">
        <v>1.00000003971162</v>
      </c>
    </row>
    <row r="5903" spans="1:40" x14ac:dyDescent="0.25">
      <c r="A5903" t="str">
        <f>"20190303170410471"</f>
        <v>20190303170410471</v>
      </c>
      <c r="B5903" t="str">
        <f>"1551603850461096"</f>
        <v>1551603850461096</v>
      </c>
      <c r="C5903" t="s">
        <v>40</v>
      </c>
      <c r="D5903">
        <v>5.1176190000000004</v>
      </c>
      <c r="E5903">
        <v>0.4608486</v>
      </c>
      <c r="F5903" t="s">
        <v>101</v>
      </c>
      <c r="G5903">
        <v>-379.63150000000002</v>
      </c>
      <c r="H5903" s="1">
        <v>-7.8065889999999998E-7</v>
      </c>
      <c r="I5903">
        <v>17.154869999999999</v>
      </c>
      <c r="J5903">
        <v>-404.3467</v>
      </c>
      <c r="K5903">
        <v>1.125321</v>
      </c>
      <c r="L5903">
        <v>18.354310000000002</v>
      </c>
      <c r="M5903">
        <v>0.97521230000000003</v>
      </c>
      <c r="N5903">
        <v>-1.39364E-2</v>
      </c>
      <c r="O5903">
        <v>-0.22083220000000001</v>
      </c>
      <c r="P5903">
        <v>0.9747053</v>
      </c>
      <c r="Q5903">
        <v>0.15746749999999901</v>
      </c>
      <c r="R5903">
        <v>-0.1586004</v>
      </c>
      <c r="S5903">
        <v>3.0758969999999999</v>
      </c>
      <c r="T5903">
        <v>-0.13930109999999901</v>
      </c>
      <c r="U5903">
        <v>-0.15200810000000001</v>
      </c>
      <c r="V5903">
        <v>-6.2132119999999999E-2</v>
      </c>
      <c r="W5903">
        <v>0.1706329</v>
      </c>
      <c r="X5903">
        <v>0.98337379999999996</v>
      </c>
      <c r="Y5903">
        <v>-0.1721104</v>
      </c>
      <c r="Z5903">
        <v>1.1909350000000001E-2</v>
      </c>
      <c r="AA5903">
        <v>0.98500569999999998</v>
      </c>
      <c r="AB5903">
        <v>29</v>
      </c>
      <c r="AC5903">
        <v>24.7151999999999</v>
      </c>
      <c r="AD5903">
        <v>-1.12532178065889</v>
      </c>
      <c r="AE5903">
        <v>-1.1994399999999901</v>
      </c>
      <c r="AF5903">
        <v>-4.2797679587227799</v>
      </c>
      <c r="AG5903">
        <v>-1.12532178065889</v>
      </c>
      <c r="AH5903">
        <v>24.3195084475337</v>
      </c>
      <c r="AI5903">
        <v>92.609283849381498</v>
      </c>
      <c r="AJ5903">
        <v>99.980765471651594</v>
      </c>
      <c r="AK5903">
        <v>24.718844107688302</v>
      </c>
      <c r="AL5903">
        <v>80.175380858307193</v>
      </c>
      <c r="AM5903">
        <v>93.615291012984997</v>
      </c>
      <c r="AN5903">
        <v>1.00000000871227</v>
      </c>
    </row>
    <row r="5904" spans="1:40" x14ac:dyDescent="0.25">
      <c r="A5904" t="str">
        <f>"20190303170410483"</f>
        <v>20190303170410483</v>
      </c>
      <c r="B5904" t="str">
        <f>"1551603850471834"</f>
        <v>1551603850471834</v>
      </c>
      <c r="C5904" t="s">
        <v>40</v>
      </c>
      <c r="D5904">
        <v>5.0920969999999999</v>
      </c>
      <c r="E5904">
        <v>0.46518369999999998</v>
      </c>
      <c r="F5904" t="s">
        <v>101</v>
      </c>
      <c r="G5904">
        <v>-379.2602</v>
      </c>
      <c r="H5904" s="1">
        <v>-9.2368129999999997E-7</v>
      </c>
      <c r="I5904">
        <v>17.15324</v>
      </c>
      <c r="J5904">
        <v>-404.209</v>
      </c>
      <c r="K5904">
        <v>1.125205</v>
      </c>
      <c r="L5904">
        <v>18.325500000000002</v>
      </c>
      <c r="M5904">
        <v>0.97567979999999999</v>
      </c>
      <c r="N5904">
        <v>-1.391645E-2</v>
      </c>
      <c r="O5904">
        <v>-0.21875900000000001</v>
      </c>
      <c r="P5904">
        <v>0.97490980000000005</v>
      </c>
      <c r="Q5904">
        <v>0.1578398</v>
      </c>
      <c r="R5904">
        <v>-0.15696470000000001</v>
      </c>
      <c r="S5904">
        <v>3.0761720000000001</v>
      </c>
      <c r="T5904">
        <v>-0.1379899</v>
      </c>
      <c r="U5904">
        <v>-0.14727779999999999</v>
      </c>
      <c r="V5904">
        <v>-6.1630539999999998E-2</v>
      </c>
      <c r="W5904">
        <v>0.171007299999999</v>
      </c>
      <c r="X5904">
        <v>0.98334029999999994</v>
      </c>
      <c r="Y5904">
        <v>-0.17154029999999901</v>
      </c>
      <c r="Z5904">
        <v>1.1703679999999999E-2</v>
      </c>
      <c r="AA5904">
        <v>0.98510759999999997</v>
      </c>
      <c r="AB5904">
        <v>29</v>
      </c>
      <c r="AC5904">
        <v>24.948799999999999</v>
      </c>
      <c r="AD5904">
        <v>-1.1252059236812999</v>
      </c>
      <c r="AE5904">
        <v>-1.1722600000000001</v>
      </c>
      <c r="AF5904">
        <v>-4.3057026400475698</v>
      </c>
      <c r="AG5904">
        <v>-1.1252059236812999</v>
      </c>
      <c r="AH5904">
        <v>24.5510336049201</v>
      </c>
      <c r="AI5904">
        <v>92.584710466720097</v>
      </c>
      <c r="AJ5904">
        <v>99.947239084219902</v>
      </c>
      <c r="AK5904">
        <v>24.9511205092099</v>
      </c>
      <c r="AL5904">
        <v>80.153609068531793</v>
      </c>
      <c r="AM5904">
        <v>93.586303829253694</v>
      </c>
      <c r="AN5904">
        <v>0.99999998285903502</v>
      </c>
    </row>
    <row r="5905" spans="1:40" x14ac:dyDescent="0.25">
      <c r="A5905" t="str">
        <f>"20190303170410503"</f>
        <v>20190303170410503</v>
      </c>
      <c r="B5905" t="str">
        <f>"1551603850491353"</f>
        <v>1551603850491353</v>
      </c>
      <c r="C5905" t="s">
        <v>40</v>
      </c>
      <c r="D5905">
        <v>5.0443339999999903</v>
      </c>
      <c r="E5905">
        <v>0.4646035</v>
      </c>
      <c r="F5905" t="s">
        <v>106</v>
      </c>
      <c r="G5905">
        <v>-381.32310000000001</v>
      </c>
      <c r="H5905" s="1">
        <v>-4.5632989999999998E-6</v>
      </c>
      <c r="I5905">
        <v>17.016089999999998</v>
      </c>
      <c r="J5905">
        <v>-403.97629999999998</v>
      </c>
      <c r="K5905">
        <v>1.125027</v>
      </c>
      <c r="L5905">
        <v>18.277249999999999</v>
      </c>
      <c r="M5905">
        <v>0.97643139999999995</v>
      </c>
      <c r="N5905">
        <v>-1.3884219999999999E-2</v>
      </c>
      <c r="O5905">
        <v>-0.2153815</v>
      </c>
      <c r="P5905">
        <v>0.97520910000000005</v>
      </c>
      <c r="Q5905">
        <v>0.15906579999999901</v>
      </c>
      <c r="R5905">
        <v>-0.15383529999999901</v>
      </c>
      <c r="S5905">
        <v>3.0733640000000002</v>
      </c>
      <c r="T5905">
        <v>-0.15110560000000001</v>
      </c>
      <c r="U5905">
        <v>-0.17584229999999901</v>
      </c>
      <c r="V5905">
        <v>-6.1267500000000003E-2</v>
      </c>
      <c r="W5905">
        <v>0.17223060000000001</v>
      </c>
      <c r="X5905">
        <v>0.98314950000000001</v>
      </c>
      <c r="Y5905">
        <v>-0.158895799999999</v>
      </c>
      <c r="Z5905">
        <v>1.2491739999999999E-2</v>
      </c>
      <c r="AA5905">
        <v>0.98721639999999999</v>
      </c>
      <c r="AB5905">
        <v>29</v>
      </c>
      <c r="AC5905">
        <v>22.653199999999899</v>
      </c>
      <c r="AD5905">
        <v>-1.125031563299</v>
      </c>
      <c r="AE5905">
        <v>-1.2611600000000001</v>
      </c>
      <c r="AF5905">
        <v>-3.6390474097154701</v>
      </c>
      <c r="AG5905">
        <v>-1.125031563299</v>
      </c>
      <c r="AH5905">
        <v>22.338156650244201</v>
      </c>
      <c r="AI5905">
        <v>92.845738627362095</v>
      </c>
      <c r="AJ5905">
        <v>99.252617528929605</v>
      </c>
      <c r="AK5905">
        <v>22.660573792369501</v>
      </c>
      <c r="AL5905">
        <v>80.082463877889296</v>
      </c>
      <c r="AM5905">
        <v>93.565923167897594</v>
      </c>
      <c r="AN5905">
        <v>1.0000000127414299</v>
      </c>
    </row>
    <row r="5906" spans="1:40" x14ac:dyDescent="0.25">
      <c r="A5906" t="str">
        <f>"20190303170410514"</f>
        <v>20190303170410514</v>
      </c>
      <c r="B5906" t="str">
        <f>"1551603850501112"</f>
        <v>1551603850501112</v>
      </c>
      <c r="C5906" t="s">
        <v>40</v>
      </c>
      <c r="D5906">
        <v>5.0976309999999998</v>
      </c>
      <c r="E5906">
        <v>0.46490419999999999</v>
      </c>
      <c r="F5906" t="s">
        <v>106</v>
      </c>
      <c r="G5906">
        <v>-380.91860000000003</v>
      </c>
      <c r="H5906" s="1">
        <v>-4.7452720000000002E-6</v>
      </c>
      <c r="I5906">
        <v>17.06822</v>
      </c>
      <c r="J5906">
        <v>-403.82170000000002</v>
      </c>
      <c r="K5906">
        <v>1.1249070000000001</v>
      </c>
      <c r="L5906">
        <v>18.245509999999999</v>
      </c>
      <c r="M5906">
        <v>0.97690619999999995</v>
      </c>
      <c r="N5906">
        <v>-1.3863749999999999E-2</v>
      </c>
      <c r="O5906">
        <v>-0.2132182</v>
      </c>
      <c r="P5906">
        <v>0.97548900000000005</v>
      </c>
      <c r="Q5906">
        <v>0.15963139999999901</v>
      </c>
      <c r="R5906">
        <v>-0.15145729999999999</v>
      </c>
      <c r="S5906">
        <v>3.0753170000000001</v>
      </c>
      <c r="T5906">
        <v>-0.15005109999999999</v>
      </c>
      <c r="U5906">
        <v>-0.16125490000000001</v>
      </c>
      <c r="V5906">
        <v>-6.141887E-2</v>
      </c>
      <c r="W5906">
        <v>0.17279229999999901</v>
      </c>
      <c r="X5906">
        <v>0.98304150000000001</v>
      </c>
      <c r="Y5906">
        <v>-0.16141620000000001</v>
      </c>
      <c r="Z5906">
        <v>1.239441E-2</v>
      </c>
      <c r="AA5906">
        <v>0.98680860000000004</v>
      </c>
      <c r="AB5906">
        <v>29</v>
      </c>
      <c r="AC5906">
        <v>22.903099999999899</v>
      </c>
      <c r="AD5906">
        <v>-1.1249117452720001</v>
      </c>
      <c r="AE5906">
        <v>-1.17728999999999</v>
      </c>
      <c r="AF5906">
        <v>-3.7246531606396198</v>
      </c>
      <c r="AG5906">
        <v>-1.1249117452720001</v>
      </c>
      <c r="AH5906">
        <v>22.573063861443799</v>
      </c>
      <c r="AI5906">
        <v>92.814931688007505</v>
      </c>
      <c r="AJ5906">
        <v>99.369626320546004</v>
      </c>
      <c r="AK5906">
        <v>22.905931102981501</v>
      </c>
      <c r="AL5906">
        <v>80.049791100042299</v>
      </c>
      <c r="AM5906">
        <v>93.575102177486698</v>
      </c>
      <c r="AN5906">
        <v>1.0000000236268001</v>
      </c>
    </row>
    <row r="5907" spans="1:40" x14ac:dyDescent="0.25">
      <c r="A5907" t="str">
        <f>"20190303170410527"</f>
        <v>20190303170410527</v>
      </c>
      <c r="B5907" t="str">
        <f>"1551603850511849"</f>
        <v>1551603850511849</v>
      </c>
      <c r="C5907" t="s">
        <v>40</v>
      </c>
      <c r="D5907">
        <v>5.0739150000000004</v>
      </c>
      <c r="E5907">
        <v>0.46496090000000001</v>
      </c>
      <c r="F5907" t="s">
        <v>106</v>
      </c>
      <c r="G5907">
        <v>-380.50400000000002</v>
      </c>
      <c r="H5907" s="1">
        <v>-4.9421730000000002E-6</v>
      </c>
      <c r="I5907">
        <v>17.062940000000001</v>
      </c>
      <c r="J5907">
        <v>-403.67189999999999</v>
      </c>
      <c r="K5907">
        <v>1.1248020000000001</v>
      </c>
      <c r="L5907">
        <v>18.21518</v>
      </c>
      <c r="M5907">
        <v>0.97733939999999997</v>
      </c>
      <c r="N5907">
        <v>-1.384501E-2</v>
      </c>
      <c r="O5907">
        <v>-0.21122489999999999</v>
      </c>
      <c r="P5907">
        <v>0.97570650000000003</v>
      </c>
      <c r="Q5907">
        <v>0.1601766</v>
      </c>
      <c r="R5907">
        <v>-0.149466299999999</v>
      </c>
      <c r="S5907">
        <v>3.0754700000000001</v>
      </c>
      <c r="T5907">
        <v>-0.14836939999999901</v>
      </c>
      <c r="U5907">
        <v>-0.15597529999999901</v>
      </c>
      <c r="V5907">
        <v>-6.135761E-2</v>
      </c>
      <c r="W5907">
        <v>0.17333479999999901</v>
      </c>
      <c r="X5907">
        <v>0.98294979999999998</v>
      </c>
      <c r="Y5907">
        <v>-0.16110529999999901</v>
      </c>
      <c r="Z5907">
        <v>1.216209E-2</v>
      </c>
      <c r="AA5907">
        <v>0.98686229999999997</v>
      </c>
      <c r="AB5907">
        <v>29</v>
      </c>
      <c r="AC5907">
        <v>23.1678999999999</v>
      </c>
      <c r="AD5907">
        <v>-1.124806942173</v>
      </c>
      <c r="AE5907">
        <v>-1.1522399999999899</v>
      </c>
      <c r="AF5907">
        <v>-3.7590304085784099</v>
      </c>
      <c r="AG5907">
        <v>-1.124806942173</v>
      </c>
      <c r="AH5907">
        <v>22.834786032861199</v>
      </c>
      <c r="AI5907">
        <v>92.782632295567495</v>
      </c>
      <c r="AJ5907">
        <v>99.348110110277304</v>
      </c>
      <c r="AK5907">
        <v>23.1694400760211</v>
      </c>
      <c r="AL5907">
        <v>80.018231788078793</v>
      </c>
      <c r="AM5907">
        <v>93.571877886638404</v>
      </c>
      <c r="AN5907">
        <v>1.0000000092579899</v>
      </c>
    </row>
    <row r="5908" spans="1:40" x14ac:dyDescent="0.25">
      <c r="A5908" t="str">
        <f>"20190303170410542"</f>
        <v>20190303170410542</v>
      </c>
      <c r="B5908" t="str">
        <f>"1551603850531368"</f>
        <v>1551603850531368</v>
      </c>
      <c r="C5908" t="s">
        <v>40</v>
      </c>
      <c r="D5908">
        <v>5.0870860000000002</v>
      </c>
      <c r="E5908">
        <v>0.46523229999999999</v>
      </c>
      <c r="F5908" t="s">
        <v>44</v>
      </c>
      <c r="G5908">
        <v>-378.92689999999999</v>
      </c>
      <c r="H5908">
        <v>-0.05</v>
      </c>
      <c r="I5908">
        <v>17.009899999999998</v>
      </c>
      <c r="J5908">
        <v>-403.48430000000002</v>
      </c>
      <c r="K5908">
        <v>1.124673</v>
      </c>
      <c r="L5908">
        <v>18.177399999999999</v>
      </c>
      <c r="M5908">
        <v>0.97786430000000002</v>
      </c>
      <c r="N5908">
        <v>-1.3822799999999901E-2</v>
      </c>
      <c r="O5908">
        <v>-0.2087832</v>
      </c>
      <c r="P5908">
        <v>0.97606499999999996</v>
      </c>
      <c r="Q5908">
        <v>0.16037860000000001</v>
      </c>
      <c r="R5908">
        <v>-0.14688699999999999</v>
      </c>
      <c r="S5908">
        <v>3.0757140000000001</v>
      </c>
      <c r="T5908">
        <v>-0.1460234</v>
      </c>
      <c r="U5908">
        <v>-0.14981079999999999</v>
      </c>
      <c r="V5908">
        <v>-6.1439809999999997E-2</v>
      </c>
      <c r="W5908">
        <v>0.17353289999999999</v>
      </c>
      <c r="X5908">
        <v>0.9829097</v>
      </c>
      <c r="Y5908">
        <v>-0.16063129999999901</v>
      </c>
      <c r="Z5908">
        <v>1.185047E-2</v>
      </c>
      <c r="AA5908">
        <v>0.98694329999999997</v>
      </c>
      <c r="AB5908">
        <v>29</v>
      </c>
      <c r="AC5908">
        <v>24.557400000000001</v>
      </c>
      <c r="AD5908">
        <v>-1.1746729999999901</v>
      </c>
      <c r="AE5908">
        <v>-1.1675</v>
      </c>
      <c r="AF5908">
        <v>-3.9768179133912702</v>
      </c>
      <c r="AG5908">
        <v>-1.1746729999999901</v>
      </c>
      <c r="AH5908">
        <v>24.204618950942201</v>
      </c>
      <c r="AI5908">
        <v>92.741736090071498</v>
      </c>
      <c r="AJ5908">
        <v>99.330334381741594</v>
      </c>
      <c r="AK5908">
        <v>24.557249763226899</v>
      </c>
      <c r="AL5908">
        <v>80.006706725939395</v>
      </c>
      <c r="AM5908">
        <v>93.576796210771704</v>
      </c>
      <c r="AN5908">
        <v>0.99999999799466699</v>
      </c>
    </row>
    <row r="5909" spans="1:40" x14ac:dyDescent="0.25">
      <c r="A5909" t="str">
        <f>"20190303170410559"</f>
        <v>20190303170410559</v>
      </c>
      <c r="B5909" t="str">
        <f>"1551603850551865"</f>
        <v>1551603850551865</v>
      </c>
      <c r="C5909" t="s">
        <v>40</v>
      </c>
      <c r="D5909">
        <v>5.0724229999999997</v>
      </c>
      <c r="E5909">
        <v>0.4690667</v>
      </c>
      <c r="F5909" t="s">
        <v>101</v>
      </c>
      <c r="G5909">
        <v>-379.75369999999998</v>
      </c>
      <c r="H5909" s="1">
        <v>-7.5667299999999999E-7</v>
      </c>
      <c r="I5909">
        <v>17.068680000000001</v>
      </c>
      <c r="J5909">
        <v>-403.26859999999999</v>
      </c>
      <c r="K5909">
        <v>1.124547</v>
      </c>
      <c r="L5909">
        <v>18.134460000000001</v>
      </c>
      <c r="M5909">
        <v>0.97843979999999997</v>
      </c>
      <c r="N5909">
        <v>-1.379915E-2</v>
      </c>
      <c r="O5909">
        <v>-0.2060707</v>
      </c>
      <c r="P5909">
        <v>0.97639520000000002</v>
      </c>
      <c r="Q5909">
        <v>0.16077939999999999</v>
      </c>
      <c r="R5909">
        <v>-0.1442309</v>
      </c>
      <c r="S5909">
        <v>3.0758670000000001</v>
      </c>
      <c r="T5909">
        <v>-0.1457754</v>
      </c>
      <c r="U5909">
        <v>-0.14370729999999901</v>
      </c>
      <c r="V5909">
        <v>-6.1321580000000001E-2</v>
      </c>
      <c r="W5909">
        <v>0.17392929999999901</v>
      </c>
      <c r="X5909">
        <v>0.98284700000000003</v>
      </c>
      <c r="Y5909">
        <v>-0.1598542</v>
      </c>
      <c r="Z5909">
        <v>1.1719230000000001E-2</v>
      </c>
      <c r="AA5909">
        <v>0.98707100000000003</v>
      </c>
      <c r="AB5909">
        <v>29</v>
      </c>
      <c r="AC5909">
        <v>23.514900000000001</v>
      </c>
      <c r="AD5909">
        <v>-1.124547756673</v>
      </c>
      <c r="AE5909">
        <v>-1.0657799999999999</v>
      </c>
      <c r="AF5909">
        <v>-3.7946318708503401</v>
      </c>
      <c r="AG5909">
        <v>-1.124547756673</v>
      </c>
      <c r="AH5909">
        <v>23.176854729404401</v>
      </c>
      <c r="AI5909">
        <v>92.741386559328006</v>
      </c>
      <c r="AJ5909">
        <v>99.298257782129099</v>
      </c>
      <c r="AK5909">
        <v>23.5123464129003</v>
      </c>
      <c r="AL5909">
        <v>79.983643799275498</v>
      </c>
      <c r="AM5909">
        <v>93.570158270967497</v>
      </c>
      <c r="AN5909">
        <v>0.99999998149059299</v>
      </c>
    </row>
    <row r="5910" spans="1:40" x14ac:dyDescent="0.25">
      <c r="A5910" t="str">
        <f>"20190303170410570"</f>
        <v>20190303170410570</v>
      </c>
      <c r="B5910" t="str">
        <f>"1551603850561624"</f>
        <v>1551603850561624</v>
      </c>
      <c r="C5910" t="s">
        <v>40</v>
      </c>
      <c r="D5910">
        <v>5.0750219999999997</v>
      </c>
      <c r="E5910">
        <v>0.46907569999999998</v>
      </c>
      <c r="F5910" t="s">
        <v>106</v>
      </c>
      <c r="G5910">
        <v>-382.53250000000003</v>
      </c>
      <c r="H5910" s="1">
        <v>-3.9899469999999999E-6</v>
      </c>
      <c r="I5910">
        <v>17.025459999999999</v>
      </c>
      <c r="J5910">
        <v>-403.12139999999999</v>
      </c>
      <c r="K5910">
        <v>1.1244719999999999</v>
      </c>
      <c r="L5910">
        <v>18.105409999999999</v>
      </c>
      <c r="M5910">
        <v>0.97881750000000001</v>
      </c>
      <c r="N5910">
        <v>-1.378419E-2</v>
      </c>
      <c r="O5910">
        <v>-0.20427129999999999</v>
      </c>
      <c r="P5910">
        <v>0.97657660000000002</v>
      </c>
      <c r="Q5910">
        <v>0.1611031</v>
      </c>
      <c r="R5910">
        <v>-0.14263410000000001</v>
      </c>
      <c r="S5910">
        <v>3.0756230000000002</v>
      </c>
      <c r="T5910">
        <v>-0.16679569999999999</v>
      </c>
      <c r="U5910">
        <v>-0.16448969999999999</v>
      </c>
      <c r="V5910">
        <v>-6.1080429999999998E-2</v>
      </c>
      <c r="W5910">
        <v>0.1742504</v>
      </c>
      <c r="X5910">
        <v>0.98280509999999999</v>
      </c>
      <c r="Y5910">
        <v>-0.15128039999999901</v>
      </c>
      <c r="Z5910">
        <v>1.3297299999999901E-2</v>
      </c>
      <c r="AA5910">
        <v>0.98840150000000004</v>
      </c>
      <c r="AB5910">
        <v>29</v>
      </c>
      <c r="AC5910">
        <v>20.588899999999899</v>
      </c>
      <c r="AD5910">
        <v>-1.1244759899469901</v>
      </c>
      <c r="AE5910">
        <v>-1.07995</v>
      </c>
      <c r="AF5910">
        <v>-3.1396065081867199</v>
      </c>
      <c r="AG5910">
        <v>-1.1244759899469901</v>
      </c>
      <c r="AH5910">
        <v>20.314879105653802</v>
      </c>
      <c r="AI5910">
        <v>93.131124888634602</v>
      </c>
      <c r="AJ5910">
        <v>98.785393152946696</v>
      </c>
      <c r="AK5910">
        <v>20.586789170619699</v>
      </c>
      <c r="AL5910">
        <v>79.964960437630296</v>
      </c>
      <c r="AM5910">
        <v>93.556305775983503</v>
      </c>
      <c r="AN5910">
        <v>0.99999994270757497</v>
      </c>
    </row>
    <row r="5911" spans="1:40" x14ac:dyDescent="0.25">
      <c r="A5911" t="str">
        <f>"20190303170410582"</f>
        <v>20190303170410582</v>
      </c>
      <c r="B5911" t="str">
        <f>"1551603850571385"</f>
        <v>1551603850571385</v>
      </c>
      <c r="C5911" t="s">
        <v>40</v>
      </c>
      <c r="D5911">
        <v>5.0803060000000002</v>
      </c>
      <c r="E5911">
        <v>0.46916180000000002</v>
      </c>
      <c r="F5911" t="s">
        <v>106</v>
      </c>
      <c r="G5911">
        <v>-381.59449999999998</v>
      </c>
      <c r="H5911" s="1">
        <v>-4.439937E-6</v>
      </c>
      <c r="I5911">
        <v>16.988309999999998</v>
      </c>
      <c r="J5911">
        <v>-402.9864</v>
      </c>
      <c r="K5911">
        <v>1.1244179999999999</v>
      </c>
      <c r="L5911">
        <v>18.0791</v>
      </c>
      <c r="M5911">
        <v>0.97915479999999999</v>
      </c>
      <c r="N5911">
        <v>-1.377134E-2</v>
      </c>
      <c r="O5911">
        <v>-0.2026482</v>
      </c>
      <c r="P5911">
        <v>0.97674099999999997</v>
      </c>
      <c r="Q5911">
        <v>0.16148189999999901</v>
      </c>
      <c r="R5911">
        <v>-0.14107030000000001</v>
      </c>
      <c r="S5911">
        <v>3.0751040000000001</v>
      </c>
      <c r="T5911">
        <v>-0.1606311</v>
      </c>
      <c r="U5911">
        <v>-0.15957639999999901</v>
      </c>
      <c r="V5911">
        <v>-6.0989630000000003E-2</v>
      </c>
      <c r="W5911">
        <v>0.17462469999999999</v>
      </c>
      <c r="X5911">
        <v>0.98274439999999996</v>
      </c>
      <c r="Y5911">
        <v>-0.1512424</v>
      </c>
      <c r="Z5911">
        <v>1.268389E-2</v>
      </c>
      <c r="AA5911">
        <v>0.9884153</v>
      </c>
      <c r="AB5911">
        <v>29</v>
      </c>
      <c r="AC5911">
        <v>21.3919</v>
      </c>
      <c r="AD5911">
        <v>-1.124422439937</v>
      </c>
      <c r="AE5911">
        <v>-1.0907899999999899</v>
      </c>
      <c r="AF5911">
        <v>-3.2583085599476602</v>
      </c>
      <c r="AG5911">
        <v>-1.124422439937</v>
      </c>
      <c r="AH5911">
        <v>21.110859673771099</v>
      </c>
      <c r="AI5911">
        <v>93.013237784503701</v>
      </c>
      <c r="AJ5911">
        <v>98.773956301581407</v>
      </c>
      <c r="AK5911">
        <v>21.390401975206501</v>
      </c>
      <c r="AL5911">
        <v>79.943181675379094</v>
      </c>
      <c r="AM5911">
        <v>93.551251406778405</v>
      </c>
      <c r="AN5911">
        <v>1.00000003827449</v>
      </c>
    </row>
    <row r="5912" spans="1:40" x14ac:dyDescent="0.25">
      <c r="A5912" t="str">
        <f>"20190303170410596"</f>
        <v>20190303170410596</v>
      </c>
      <c r="B5912" t="str">
        <f>"1551603850582121"</f>
        <v>1551603850582121</v>
      </c>
      <c r="C5912" t="s">
        <v>40</v>
      </c>
      <c r="D5912">
        <v>5.0484530000000003</v>
      </c>
      <c r="E5912">
        <v>0.4690725</v>
      </c>
      <c r="F5912" t="s">
        <v>106</v>
      </c>
      <c r="G5912">
        <v>-380.84269999999998</v>
      </c>
      <c r="H5912" s="1">
        <v>-4.800185E-6</v>
      </c>
      <c r="I5912">
        <v>16.96087</v>
      </c>
      <c r="J5912">
        <v>-402.81040000000002</v>
      </c>
      <c r="K5912">
        <v>1.1243570000000001</v>
      </c>
      <c r="L5912">
        <v>18.044920000000001</v>
      </c>
      <c r="M5912">
        <v>0.97958619999999996</v>
      </c>
      <c r="N5912">
        <v>-1.3755470000000001E-2</v>
      </c>
      <c r="O5912">
        <v>-0.20055419999999999</v>
      </c>
      <c r="P5912">
        <v>0.97692100000000004</v>
      </c>
      <c r="Q5912">
        <v>0.1620866</v>
      </c>
      <c r="R5912">
        <v>-0.13911699999999999</v>
      </c>
      <c r="S5912">
        <v>3.0747990000000001</v>
      </c>
      <c r="T5912">
        <v>-0.15613369999999999</v>
      </c>
      <c r="U5912">
        <v>-0.15527340000000001</v>
      </c>
      <c r="V5912">
        <v>-6.0809200000000001E-2</v>
      </c>
      <c r="W5912">
        <v>0.17522370000000001</v>
      </c>
      <c r="X5912">
        <v>0.98264890000000005</v>
      </c>
      <c r="Y5912">
        <v>-0.15052950000000001</v>
      </c>
      <c r="Z5912">
        <v>1.218611E-2</v>
      </c>
      <c r="AA5912">
        <v>0.98853040000000003</v>
      </c>
      <c r="AB5912">
        <v>28</v>
      </c>
      <c r="AC5912">
        <v>21.967700000000001</v>
      </c>
      <c r="AD5912">
        <v>-1.124361800185</v>
      </c>
      <c r="AE5912">
        <v>-1.08405</v>
      </c>
      <c r="AF5912">
        <v>-3.3353935956468401</v>
      </c>
      <c r="AG5912">
        <v>-1.124361800185</v>
      </c>
      <c r="AH5912">
        <v>21.682058365797499</v>
      </c>
      <c r="AI5912">
        <v>92.934063934340799</v>
      </c>
      <c r="AJ5912">
        <v>98.7453679727153</v>
      </c>
      <c r="AK5912">
        <v>21.965898453590501</v>
      </c>
      <c r="AL5912">
        <v>79.9083234950254</v>
      </c>
      <c r="AM5912">
        <v>93.541115490998394</v>
      </c>
      <c r="AN5912">
        <v>0.99999998225876996</v>
      </c>
    </row>
    <row r="5913" spans="1:40" x14ac:dyDescent="0.25">
      <c r="A5913" t="str">
        <f>"20190303170410615"</f>
        <v>20190303170410615</v>
      </c>
      <c r="B5913" t="str">
        <f>"1551603850601641"</f>
        <v>1551603850601641</v>
      </c>
      <c r="C5913" t="s">
        <v>40</v>
      </c>
      <c r="D5913">
        <v>5.1196419999999998</v>
      </c>
      <c r="E5913">
        <v>0.46952319999999997</v>
      </c>
      <c r="F5913" t="s">
        <v>106</v>
      </c>
      <c r="G5913">
        <v>-380.1712</v>
      </c>
      <c r="H5913" s="1">
        <v>-5.1188839999999998E-6</v>
      </c>
      <c r="I5913">
        <v>16.953669999999999</v>
      </c>
      <c r="J5913">
        <v>-402.57240000000002</v>
      </c>
      <c r="K5913">
        <v>1.1243080000000001</v>
      </c>
      <c r="L5913">
        <v>17.999359999999999</v>
      </c>
      <c r="M5913">
        <v>0.98015339999999995</v>
      </c>
      <c r="N5913">
        <v>-1.3736369999999999E-2</v>
      </c>
      <c r="O5913">
        <v>-0.197764</v>
      </c>
      <c r="P5913">
        <v>0.97711190000000003</v>
      </c>
      <c r="Q5913">
        <v>0.16317699999999999</v>
      </c>
      <c r="R5913">
        <v>-0.1364755</v>
      </c>
      <c r="S5913">
        <v>3.0750730000000002</v>
      </c>
      <c r="T5913">
        <v>-0.15272179999999999</v>
      </c>
      <c r="U5913">
        <v>-0.14822389999999999</v>
      </c>
      <c r="V5913">
        <v>-6.061271E-2</v>
      </c>
      <c r="W5913">
        <v>0.17630290000000001</v>
      </c>
      <c r="X5913">
        <v>0.98246800000000001</v>
      </c>
      <c r="Y5913">
        <v>-0.14999949999999901</v>
      </c>
      <c r="Z5913">
        <v>1.1770869999999999E-2</v>
      </c>
      <c r="AA5913">
        <v>0.98861600000000005</v>
      </c>
      <c r="AB5913">
        <v>28</v>
      </c>
      <c r="AC5913">
        <v>22.401199999999999</v>
      </c>
      <c r="AD5913">
        <v>-1.1243131188840001</v>
      </c>
      <c r="AE5913">
        <v>-1.04568999999999</v>
      </c>
      <c r="AF5913">
        <v>-3.3969971516885402</v>
      </c>
      <c r="AG5913">
        <v>-1.1243131188840001</v>
      </c>
      <c r="AH5913">
        <v>22.109929432490901</v>
      </c>
      <c r="AI5913">
        <v>92.877338228453198</v>
      </c>
      <c r="AJ5913">
        <v>98.7346931212101</v>
      </c>
      <c r="AK5913">
        <v>22.397603647435201</v>
      </c>
      <c r="AL5913">
        <v>79.845512166541795</v>
      </c>
      <c r="AM5913">
        <v>93.530350494501803</v>
      </c>
      <c r="AN5913">
        <v>0.99999999209297696</v>
      </c>
    </row>
    <row r="5914" spans="1:40" x14ac:dyDescent="0.25">
      <c r="A5914" t="str">
        <f>"20190303170410628"</f>
        <v>20190303170410628</v>
      </c>
      <c r="B5914" t="str">
        <f>"1551603850621161"</f>
        <v>1551603850621161</v>
      </c>
      <c r="C5914" t="s">
        <v>40</v>
      </c>
      <c r="D5914">
        <v>5.0448890000000004</v>
      </c>
      <c r="E5914">
        <v>0.47037830000000003</v>
      </c>
      <c r="F5914" t="s">
        <v>101</v>
      </c>
      <c r="G5914">
        <v>-379.7296</v>
      </c>
      <c r="H5914" s="1">
        <v>-8.0069130000000001E-7</v>
      </c>
      <c r="I5914">
        <v>16.937919999999998</v>
      </c>
      <c r="J5914">
        <v>-402.40469999999999</v>
      </c>
      <c r="K5914">
        <v>1.124287</v>
      </c>
      <c r="L5914">
        <v>17.967770000000002</v>
      </c>
      <c r="M5914">
        <v>0.98054549999999996</v>
      </c>
      <c r="N5914">
        <v>-1.372435E-2</v>
      </c>
      <c r="O5914">
        <v>-0.19581119999999999</v>
      </c>
      <c r="P5914">
        <v>0.97726630000000003</v>
      </c>
      <c r="Q5914">
        <v>0.1638182</v>
      </c>
      <c r="R5914">
        <v>-0.13458870000000001</v>
      </c>
      <c r="S5914">
        <v>3.0755919999999999</v>
      </c>
      <c r="T5914">
        <v>-0.15137909999999999</v>
      </c>
      <c r="U5914">
        <v>-0.14291379999999901</v>
      </c>
      <c r="V5914">
        <v>-6.0523760000000003E-2</v>
      </c>
      <c r="W5914">
        <v>0.17693510000000001</v>
      </c>
      <c r="X5914">
        <v>0.98235980000000001</v>
      </c>
      <c r="Y5914">
        <v>-0.14974949999999901</v>
      </c>
      <c r="Z5914">
        <v>1.157774E-2</v>
      </c>
      <c r="AA5914">
        <v>0.98865619999999999</v>
      </c>
      <c r="AB5914">
        <v>28</v>
      </c>
      <c r="AC5914">
        <v>22.675099999999901</v>
      </c>
      <c r="AD5914">
        <v>-1.1242878006913</v>
      </c>
      <c r="AE5914">
        <v>-1.0298499999999899</v>
      </c>
      <c r="AF5914">
        <v>-3.4221513197291098</v>
      </c>
      <c r="AG5914">
        <v>-1.1242878006913</v>
      </c>
      <c r="AH5914">
        <v>22.3828250727891</v>
      </c>
      <c r="AI5914">
        <v>92.842569616364898</v>
      </c>
      <c r="AJ5914">
        <v>98.692740720150496</v>
      </c>
      <c r="AK5914">
        <v>22.670818268271301</v>
      </c>
      <c r="AL5914">
        <v>79.808710967338897</v>
      </c>
      <c r="AM5914">
        <v>93.525570024694602</v>
      </c>
      <c r="AN5914">
        <v>0.99999996589629303</v>
      </c>
    </row>
    <row r="5915" spans="1:40" x14ac:dyDescent="0.25">
      <c r="A5915" t="str">
        <f>"20190303170410642"</f>
        <v>20190303170410642</v>
      </c>
      <c r="B5915" t="str">
        <f>"1551603850631896"</f>
        <v>1551603850631896</v>
      </c>
      <c r="C5915" t="s">
        <v>40</v>
      </c>
      <c r="D5915">
        <v>5.069096</v>
      </c>
      <c r="E5915">
        <v>0.47037830000000003</v>
      </c>
      <c r="F5915" t="s">
        <v>101</v>
      </c>
      <c r="G5915">
        <v>-379.30239999999998</v>
      </c>
      <c r="H5915" s="1">
        <v>-9.776812999999999E-7</v>
      </c>
      <c r="I5915">
        <v>16.889289999999999</v>
      </c>
      <c r="J5915">
        <v>-402.23590000000002</v>
      </c>
      <c r="K5915">
        <v>1.1242760000000001</v>
      </c>
      <c r="L5915">
        <v>17.936250000000001</v>
      </c>
      <c r="M5915">
        <v>0.98093620000000004</v>
      </c>
      <c r="N5915">
        <v>-1.3713080000000001E-2</v>
      </c>
      <c r="O5915">
        <v>-0.19384589999999999</v>
      </c>
      <c r="P5915">
        <v>0.97741400000000001</v>
      </c>
      <c r="Q5915">
        <v>0.16447059999999999</v>
      </c>
      <c r="R5915">
        <v>-0.132708299999999</v>
      </c>
      <c r="S5915">
        <v>3.0751040000000001</v>
      </c>
      <c r="T5915">
        <v>-0.14965239999999999</v>
      </c>
      <c r="U5915">
        <v>-0.14355470000000001</v>
      </c>
      <c r="V5915">
        <v>-6.0418270000000003E-2</v>
      </c>
      <c r="W5915">
        <v>0.17757899999999999</v>
      </c>
      <c r="X5915">
        <v>0.98225019999999996</v>
      </c>
      <c r="Y5915">
        <v>-0.1475677</v>
      </c>
      <c r="Z5915">
        <v>1.129554E-2</v>
      </c>
      <c r="AA5915">
        <v>0.98898739999999996</v>
      </c>
      <c r="AB5915">
        <v>28</v>
      </c>
      <c r="AC5915">
        <v>22.933499999999999</v>
      </c>
      <c r="AD5915">
        <v>-1.1242769776813</v>
      </c>
      <c r="AE5915">
        <v>-1.0469599999999999</v>
      </c>
      <c r="AF5915">
        <v>-3.41070540673496</v>
      </c>
      <c r="AG5915">
        <v>-1.1242769776813</v>
      </c>
      <c r="AH5915">
        <v>22.6470683310034</v>
      </c>
      <c r="AI5915">
        <v>92.810381961437599</v>
      </c>
      <c r="AJ5915">
        <v>98.564524443310802</v>
      </c>
      <c r="AK5915">
        <v>22.930037376402499</v>
      </c>
      <c r="AL5915">
        <v>79.7712255944232</v>
      </c>
      <c r="AM5915">
        <v>93.519832298470803</v>
      </c>
      <c r="AN5915">
        <v>1.0000000619954099</v>
      </c>
    </row>
    <row r="5916" spans="1:40" x14ac:dyDescent="0.25">
      <c r="A5916" t="str">
        <f>"20190303170410662"</f>
        <v>20190303170410662</v>
      </c>
      <c r="B5916" t="str">
        <f>"1551603850651417"</f>
        <v>1551603850651417</v>
      </c>
      <c r="C5916" t="s">
        <v>40</v>
      </c>
      <c r="D5916">
        <v>4.7985629999999997</v>
      </c>
      <c r="E5916">
        <v>0.47133799999999998</v>
      </c>
      <c r="F5916" t="s">
        <v>101</v>
      </c>
      <c r="G5916">
        <v>-378.80220000000003</v>
      </c>
      <c r="H5916" s="1">
        <v>-1.1700579999999999E-6</v>
      </c>
      <c r="I5916">
        <v>16.88824</v>
      </c>
      <c r="J5916">
        <v>-401.99489999999997</v>
      </c>
      <c r="K5916">
        <v>1.1242620000000001</v>
      </c>
      <c r="L5916">
        <v>17.891819999999999</v>
      </c>
      <c r="M5916">
        <v>0.9814872</v>
      </c>
      <c r="N5916">
        <v>-1.3698470000000001E-2</v>
      </c>
      <c r="O5916">
        <v>-0.19103719999999999</v>
      </c>
      <c r="P5916">
        <v>0.97752269999999997</v>
      </c>
      <c r="Q5916">
        <v>0.165648499999999</v>
      </c>
      <c r="R5916">
        <v>-0.13042300000000001</v>
      </c>
      <c r="S5916">
        <v>3.0754700000000001</v>
      </c>
      <c r="T5916">
        <v>-0.14755190000000001</v>
      </c>
      <c r="U5916">
        <v>-0.13754269999999999</v>
      </c>
      <c r="V5916">
        <v>-5.9863020000000003E-2</v>
      </c>
      <c r="W5916">
        <v>0.1787463</v>
      </c>
      <c r="X5916">
        <v>0.98207239999999996</v>
      </c>
      <c r="Y5916">
        <v>-0.14668410000000001</v>
      </c>
      <c r="Z5916">
        <v>1.0994550000000001E-2</v>
      </c>
      <c r="AA5916">
        <v>0.98912230000000001</v>
      </c>
      <c r="AB5916">
        <v>28</v>
      </c>
      <c r="AC5916">
        <v>23.192699999999899</v>
      </c>
      <c r="AD5916">
        <v>-1.1242631700579999</v>
      </c>
      <c r="AE5916">
        <v>-1.0035799999999999</v>
      </c>
      <c r="AF5916">
        <v>-3.4379275148220199</v>
      </c>
      <c r="AG5916">
        <v>-1.1242631700579999</v>
      </c>
      <c r="AH5916">
        <v>22.903495170792599</v>
      </c>
      <c r="AI5916">
        <v>92.779135530689402</v>
      </c>
      <c r="AJ5916">
        <v>98.536645211101799</v>
      </c>
      <c r="AK5916">
        <v>23.187354405176102</v>
      </c>
      <c r="AL5916">
        <v>79.703256259362007</v>
      </c>
      <c r="AM5916">
        <v>93.488194744414599</v>
      </c>
      <c r="AN5916">
        <v>1.0000000098844799</v>
      </c>
    </row>
    <row r="5917" spans="1:40" x14ac:dyDescent="0.25">
      <c r="A5917" t="str">
        <f>"20190303170410672"</f>
        <v>20190303170410672</v>
      </c>
      <c r="B5917" t="str">
        <f>"1551603850661177"</f>
        <v>1551603850661177</v>
      </c>
      <c r="C5917" t="s">
        <v>40</v>
      </c>
      <c r="D5917">
        <v>5.0848610000000001</v>
      </c>
      <c r="E5917">
        <v>0.47139189999999997</v>
      </c>
      <c r="F5917" t="s">
        <v>101</v>
      </c>
      <c r="G5917">
        <v>-378.7149</v>
      </c>
      <c r="H5917" s="1">
        <v>-1.213421E-6</v>
      </c>
      <c r="I5917">
        <v>16.851240000000001</v>
      </c>
      <c r="J5917">
        <v>-401.84870000000001</v>
      </c>
      <c r="K5917">
        <v>1.124247</v>
      </c>
      <c r="L5917">
        <v>17.865169999999999</v>
      </c>
      <c r="M5917">
        <v>0.98181830000000003</v>
      </c>
      <c r="N5917">
        <v>-1.369017E-2</v>
      </c>
      <c r="O5917">
        <v>-0.1893292</v>
      </c>
      <c r="P5917">
        <v>0.97763639999999996</v>
      </c>
      <c r="Q5917">
        <v>0.16598199999999999</v>
      </c>
      <c r="R5917">
        <v>-0.1291397</v>
      </c>
      <c r="S5917">
        <v>3.0757750000000001</v>
      </c>
      <c r="T5917">
        <v>-0.1485388</v>
      </c>
      <c r="U5917">
        <v>-0.13748170000000001</v>
      </c>
      <c r="V5917">
        <v>-5.942998E-2</v>
      </c>
      <c r="W5917">
        <v>0.17907519999999999</v>
      </c>
      <c r="X5917">
        <v>0.98203879999999999</v>
      </c>
      <c r="Y5917">
        <v>-0.1449858</v>
      </c>
      <c r="Z5917">
        <v>1.096868E-2</v>
      </c>
      <c r="AA5917">
        <v>0.98937299999999995</v>
      </c>
      <c r="AB5917">
        <v>28</v>
      </c>
      <c r="AC5917">
        <v>23.133800000000001</v>
      </c>
      <c r="AD5917">
        <v>-1.1242482134209999</v>
      </c>
      <c r="AE5917">
        <v>-1.01393</v>
      </c>
      <c r="AF5917">
        <v>-3.3767660551252301</v>
      </c>
      <c r="AG5917">
        <v>-1.1242482134209999</v>
      </c>
      <c r="AH5917">
        <v>22.853429708500499</v>
      </c>
      <c r="AI5917">
        <v>92.786128504766793</v>
      </c>
      <c r="AJ5917">
        <v>98.405067007917097</v>
      </c>
      <c r="AK5917">
        <v>23.128893887901299</v>
      </c>
      <c r="AL5917">
        <v>79.684102820831598</v>
      </c>
      <c r="AM5917">
        <v>93.463141501628002</v>
      </c>
      <c r="AN5917">
        <v>1.0000000272416301</v>
      </c>
    </row>
    <row r="5918" spans="1:40" x14ac:dyDescent="0.25">
      <c r="A5918" t="str">
        <f>"20190303170410685"</f>
        <v>20190303170410685</v>
      </c>
      <c r="B5918" t="str">
        <f>"1551603850671913"</f>
        <v>1551603850671913</v>
      </c>
      <c r="C5918" t="s">
        <v>40</v>
      </c>
      <c r="D5918">
        <v>5.0826520000000004</v>
      </c>
      <c r="E5918">
        <v>0.47139189999999997</v>
      </c>
      <c r="F5918" t="s">
        <v>101</v>
      </c>
      <c r="G5918">
        <v>-378.53440000000001</v>
      </c>
      <c r="H5918" s="1">
        <v>-1.2825659999999999E-6</v>
      </c>
      <c r="I5918">
        <v>16.851870000000002</v>
      </c>
      <c r="J5918">
        <v>-401.70710000000003</v>
      </c>
      <c r="K5918">
        <v>1.1242430000000001</v>
      </c>
      <c r="L5918">
        <v>17.83972</v>
      </c>
      <c r="M5918">
        <v>0.9821377</v>
      </c>
      <c r="N5918">
        <v>-1.3683010000000001E-2</v>
      </c>
      <c r="O5918">
        <v>-0.187666</v>
      </c>
      <c r="P5918">
        <v>0.97774399999999995</v>
      </c>
      <c r="Q5918">
        <v>0.16661189999999901</v>
      </c>
      <c r="R5918">
        <v>-0.1275046</v>
      </c>
      <c r="S5918">
        <v>3.0761409999999998</v>
      </c>
      <c r="T5918">
        <v>-0.14833589999999999</v>
      </c>
      <c r="U5918">
        <v>-0.1336975</v>
      </c>
      <c r="V5918">
        <v>-5.9389890000000001E-2</v>
      </c>
      <c r="W5918">
        <v>0.17969769999999999</v>
      </c>
      <c r="X5918">
        <v>0.98192749999999995</v>
      </c>
      <c r="Y5918">
        <v>-0.14453250000000001</v>
      </c>
      <c r="Z5918">
        <v>1.088166E-2</v>
      </c>
      <c r="AA5918">
        <v>0.98944019999999999</v>
      </c>
      <c r="AB5918">
        <v>28</v>
      </c>
      <c r="AC5918">
        <v>23.172699999999999</v>
      </c>
      <c r="AD5918">
        <v>-1.124244282566</v>
      </c>
      <c r="AE5918">
        <v>-0.98784999999999801</v>
      </c>
      <c r="AF5918">
        <v>-3.3709190960464799</v>
      </c>
      <c r="AG5918">
        <v>-1.124244282566</v>
      </c>
      <c r="AH5918">
        <v>22.892527339306302</v>
      </c>
      <c r="AI5918">
        <v>92.781571473826702</v>
      </c>
      <c r="AJ5918">
        <v>98.376593955104198</v>
      </c>
      <c r="AK5918">
        <v>23.166674960810798</v>
      </c>
      <c r="AL5918">
        <v>79.647848011226998</v>
      </c>
      <c r="AM5918">
        <v>93.461202355820305</v>
      </c>
      <c r="AN5918">
        <v>1.0000000188378699</v>
      </c>
    </row>
    <row r="5919" spans="1:40" x14ac:dyDescent="0.25">
      <c r="A5919" t="str">
        <f>"20190303170410698"</f>
        <v>20190303170410698</v>
      </c>
      <c r="B5919" t="str">
        <f>"1551603850691433"</f>
        <v>1551603850691433</v>
      </c>
      <c r="C5919" t="s">
        <v>40</v>
      </c>
      <c r="D5919">
        <v>5.0914419999999998</v>
      </c>
      <c r="E5919">
        <v>0.45480199999999998</v>
      </c>
      <c r="F5919" t="s">
        <v>101</v>
      </c>
      <c r="G5919">
        <v>-378.04930000000002</v>
      </c>
      <c r="H5919" s="1">
        <v>-1.46821499999999E-6</v>
      </c>
      <c r="I5919">
        <v>16.854310000000002</v>
      </c>
      <c r="J5919">
        <v>-401.5496</v>
      </c>
      <c r="K5919">
        <v>1.124239</v>
      </c>
      <c r="L5919">
        <v>17.81155</v>
      </c>
      <c r="M5919">
        <v>0.98249019999999998</v>
      </c>
      <c r="N5919">
        <v>-1.3675369999999999E-2</v>
      </c>
      <c r="O5919">
        <v>-0.18581259999999999</v>
      </c>
      <c r="P5919">
        <v>0.9778133</v>
      </c>
      <c r="Q5919">
        <v>0.1671802</v>
      </c>
      <c r="R5919">
        <v>-0.12622329999999901</v>
      </c>
      <c r="S5919">
        <v>3.0764770000000001</v>
      </c>
      <c r="T5919">
        <v>-0.14619760000000001</v>
      </c>
      <c r="U5919">
        <v>-0.12814329999999999</v>
      </c>
      <c r="V5919">
        <v>-5.8805919999999998E-2</v>
      </c>
      <c r="W5919">
        <v>0.18026200000000001</v>
      </c>
      <c r="X5919">
        <v>0.98185919999999904</v>
      </c>
      <c r="Y5919">
        <v>-0.14446429999999999</v>
      </c>
      <c r="Z5919">
        <v>1.063939E-2</v>
      </c>
      <c r="AA5919">
        <v>0.98945280000000002</v>
      </c>
      <c r="AB5919">
        <v>28</v>
      </c>
      <c r="AC5919">
        <v>23.5002999999999</v>
      </c>
      <c r="AD5919">
        <v>-1.124240468215</v>
      </c>
      <c r="AE5919">
        <v>-0.95723999999999798</v>
      </c>
      <c r="AF5919">
        <v>-3.4186817103754699</v>
      </c>
      <c r="AG5919">
        <v>-1.124240468215</v>
      </c>
      <c r="AH5919">
        <v>23.2158098663717</v>
      </c>
      <c r="AI5919">
        <v>92.742885374446999</v>
      </c>
      <c r="AJ5919">
        <v>98.376978856092293</v>
      </c>
      <c r="AK5919">
        <v>23.493086834614701</v>
      </c>
      <c r="AL5919">
        <v>79.614979139202404</v>
      </c>
      <c r="AM5919">
        <v>93.427488344798206</v>
      </c>
      <c r="AN5919">
        <v>1.0000000067478401</v>
      </c>
    </row>
    <row r="5920" spans="1:40" x14ac:dyDescent="0.25">
      <c r="A5920" t="str">
        <f>"20190303170410709"</f>
        <v>20190303170410709</v>
      </c>
      <c r="B5920" t="str">
        <f>"1551603850701192"</f>
        <v>1551603850701192</v>
      </c>
      <c r="C5920" t="s">
        <v>40</v>
      </c>
      <c r="D5920">
        <v>5.0945799999999997</v>
      </c>
      <c r="E5920">
        <v>0.45397280000000001</v>
      </c>
      <c r="F5920" t="s">
        <v>105</v>
      </c>
      <c r="G5920">
        <v>-367.76060000000001</v>
      </c>
      <c r="H5920" s="1">
        <v>-1.367262E-6</v>
      </c>
      <c r="I5920">
        <v>17.878710000000002</v>
      </c>
      <c r="J5920">
        <v>-401.39400000000001</v>
      </c>
      <c r="K5920">
        <v>1.1242449999999999</v>
      </c>
      <c r="L5920">
        <v>17.78415</v>
      </c>
      <c r="M5920">
        <v>0.98283600000000004</v>
      </c>
      <c r="N5920">
        <v>-1.3668430000000001E-2</v>
      </c>
      <c r="O5920">
        <v>-0.1839741</v>
      </c>
      <c r="P5920">
        <v>0.9779023</v>
      </c>
      <c r="Q5920">
        <v>0.16777800000000001</v>
      </c>
      <c r="R5920">
        <v>-0.12473040000000001</v>
      </c>
      <c r="S5920">
        <v>3.0864560000000001</v>
      </c>
      <c r="T5920">
        <v>-0.1026936</v>
      </c>
      <c r="U5920">
        <v>6.1340329999999997E-3</v>
      </c>
      <c r="V5920">
        <v>-5.8450179999999997E-2</v>
      </c>
      <c r="W5920">
        <v>0.1808543</v>
      </c>
      <c r="X5920">
        <v>0.98177150000000002</v>
      </c>
      <c r="Y5920">
        <v>-0.18576519999999999</v>
      </c>
      <c r="Z5920">
        <v>7.9281019999999994E-3</v>
      </c>
      <c r="AA5920">
        <v>0.98256220000000005</v>
      </c>
      <c r="AB5920">
        <v>28</v>
      </c>
      <c r="AC5920">
        <v>33.633399999999902</v>
      </c>
      <c r="AD5920">
        <v>-1.124246367262</v>
      </c>
      <c r="AE5920">
        <v>9.4560000000001296E-2</v>
      </c>
      <c r="AF5920">
        <v>-6.2741882762516301</v>
      </c>
      <c r="AG5920">
        <v>-1.124246367262</v>
      </c>
      <c r="AH5920">
        <v>33.004930982855399</v>
      </c>
      <c r="AI5920">
        <v>91.916613664885105</v>
      </c>
      <c r="AJ5920">
        <v>100.76341466420401</v>
      </c>
      <c r="AK5920">
        <v>33.614800871092498</v>
      </c>
      <c r="AL5920">
        <v>79.580475583248599</v>
      </c>
      <c r="AM5920">
        <v>93.407106718789905</v>
      </c>
      <c r="AN5920">
        <v>0.99999998979138605</v>
      </c>
    </row>
    <row r="5921" spans="1:40" x14ac:dyDescent="0.25">
      <c r="A5921" t="str">
        <f>"20190303170410726"</f>
        <v>20190303170410726</v>
      </c>
      <c r="B5921" t="str">
        <f>"1551603850711929"</f>
        <v>1551603850711929</v>
      </c>
      <c r="C5921" t="s">
        <v>40</v>
      </c>
      <c r="D5921">
        <v>5.0927490000000004</v>
      </c>
      <c r="E5921">
        <v>0.45360660000000003</v>
      </c>
      <c r="F5921" t="s">
        <v>105</v>
      </c>
      <c r="G5921">
        <v>-362.90379999999999</v>
      </c>
      <c r="H5921" s="1">
        <v>-3.6408700000000002E-6</v>
      </c>
      <c r="I5921">
        <v>18.003820000000001</v>
      </c>
      <c r="J5921">
        <v>-401.19029999999998</v>
      </c>
      <c r="K5921">
        <v>1.124247</v>
      </c>
      <c r="L5921">
        <v>17.748660000000001</v>
      </c>
      <c r="M5921">
        <v>0.98328519999999997</v>
      </c>
      <c r="N5921">
        <v>-1.366009E-2</v>
      </c>
      <c r="O5921">
        <v>-0.1815591</v>
      </c>
      <c r="P5921">
        <v>0.97795639999999995</v>
      </c>
      <c r="Q5921">
        <v>0.16878019999999999</v>
      </c>
      <c r="R5921">
        <v>-0.1229423</v>
      </c>
      <c r="S5921">
        <v>3.08548</v>
      </c>
      <c r="T5921">
        <v>-9.0122939999999999E-2</v>
      </c>
      <c r="U5921">
        <v>1.7608639999999998E-2</v>
      </c>
      <c r="V5921">
        <v>-5.7805040000000002E-2</v>
      </c>
      <c r="W5921">
        <v>0.18185129999999999</v>
      </c>
      <c r="X5921">
        <v>0.98162559999999999</v>
      </c>
      <c r="Y5921">
        <v>-0.18704689999999999</v>
      </c>
      <c r="Z5921">
        <v>6.7995080000000001E-3</v>
      </c>
      <c r="AA5921">
        <v>0.98232750000000002</v>
      </c>
      <c r="AB5921">
        <v>28</v>
      </c>
      <c r="AC5921">
        <v>38.286499999999897</v>
      </c>
      <c r="AD5921">
        <v>-1.1242506408699999</v>
      </c>
      <c r="AE5921">
        <v>0.25516</v>
      </c>
      <c r="AF5921">
        <v>-7.19662422149307</v>
      </c>
      <c r="AG5921">
        <v>-1.1242506408699999</v>
      </c>
      <c r="AH5921">
        <v>37.571334489105197</v>
      </c>
      <c r="AI5921">
        <v>91.683370731991005</v>
      </c>
      <c r="AJ5921">
        <v>100.843414274501</v>
      </c>
      <c r="AK5921">
        <v>38.270883383861197</v>
      </c>
      <c r="AL5921">
        <v>79.522389325076404</v>
      </c>
      <c r="AM5921">
        <v>93.370087806639802</v>
      </c>
      <c r="AN5921">
        <v>1.00000006826822</v>
      </c>
    </row>
    <row r="5922" spans="1:40" x14ac:dyDescent="0.25">
      <c r="A5922" t="str">
        <f>"20190303170410739"</f>
        <v>20190303170410739</v>
      </c>
      <c r="B5922" t="str">
        <f>"1551603850731449"</f>
        <v>1551603850731449</v>
      </c>
      <c r="C5922" t="s">
        <v>40</v>
      </c>
      <c r="D5922">
        <v>5.1075429999999997</v>
      </c>
      <c r="E5922">
        <v>0.45320529999999998</v>
      </c>
      <c r="F5922" t="s">
        <v>42</v>
      </c>
      <c r="G5922">
        <v>-358.93369999999999</v>
      </c>
      <c r="H5922" s="1">
        <v>-7.495559E-7</v>
      </c>
      <c r="I5922">
        <v>18.11056</v>
      </c>
      <c r="J5922">
        <v>-401.0317</v>
      </c>
      <c r="K5922">
        <v>1.124247</v>
      </c>
      <c r="L5922">
        <v>17.721339999999898</v>
      </c>
      <c r="M5922">
        <v>0.98363149999999999</v>
      </c>
      <c r="N5922">
        <v>-1.3654049999999999E-2</v>
      </c>
      <c r="O5922">
        <v>-0.17967420000000001</v>
      </c>
      <c r="P5922">
        <v>0.97814950000000001</v>
      </c>
      <c r="Q5922">
        <v>0.16891210000000001</v>
      </c>
      <c r="R5922">
        <v>-0.121213</v>
      </c>
      <c r="S5922">
        <v>3.085083</v>
      </c>
      <c r="T5922">
        <v>-8.2079410000000005E-2</v>
      </c>
      <c r="U5922">
        <v>2.6428219999999999E-2</v>
      </c>
      <c r="V5922">
        <v>-5.7654810000000001E-2</v>
      </c>
      <c r="W5922">
        <v>0.1819779</v>
      </c>
      <c r="X5922">
        <v>0.98161089999999995</v>
      </c>
      <c r="Y5922">
        <v>-0.1879961</v>
      </c>
      <c r="Z5922">
        <v>6.0821579999999998E-3</v>
      </c>
      <c r="AA5922">
        <v>0.98215090000000005</v>
      </c>
      <c r="AB5922">
        <v>28</v>
      </c>
      <c r="AC5922">
        <v>42.097999999999999</v>
      </c>
      <c r="AD5922">
        <v>-1.1242477495559</v>
      </c>
      <c r="AE5922">
        <v>0.38922000000000101</v>
      </c>
      <c r="AF5922">
        <v>-7.9418501765602096</v>
      </c>
      <c r="AG5922">
        <v>-1.1242477495559</v>
      </c>
      <c r="AH5922">
        <v>41.313374921740298</v>
      </c>
      <c r="AI5922">
        <v>91.530773300812001</v>
      </c>
      <c r="AJ5922">
        <v>100.881475197383</v>
      </c>
      <c r="AK5922">
        <v>42.0848175076665</v>
      </c>
      <c r="AL5922">
        <v>79.515011828998794</v>
      </c>
      <c r="AM5922">
        <v>93.361399588295001</v>
      </c>
      <c r="AN5922">
        <v>0.999999996101678</v>
      </c>
    </row>
    <row r="5923" spans="1:40" x14ac:dyDescent="0.25">
      <c r="A5923" t="str">
        <f>"20190303170410750"</f>
        <v>20190303170410750</v>
      </c>
      <c r="B5923" t="str">
        <f>"1551603850741208"</f>
        <v>1551603850741208</v>
      </c>
      <c r="C5923" t="s">
        <v>40</v>
      </c>
      <c r="D5923">
        <v>5.0991679999999997</v>
      </c>
      <c r="E5923">
        <v>0.4531635</v>
      </c>
      <c r="F5923" t="s">
        <v>42</v>
      </c>
      <c r="G5923">
        <v>-355.64490000000001</v>
      </c>
      <c r="H5923" s="1">
        <v>-2.095167E-6</v>
      </c>
      <c r="I5923">
        <v>18.237649999999999</v>
      </c>
      <c r="J5923">
        <v>-400.8852</v>
      </c>
      <c r="K5923">
        <v>1.1242449999999999</v>
      </c>
      <c r="L5923">
        <v>17.696439999999999</v>
      </c>
      <c r="M5923">
        <v>0.9839483</v>
      </c>
      <c r="N5923">
        <v>-1.3648850000000001E-2</v>
      </c>
      <c r="O5923">
        <v>-0.1779308</v>
      </c>
      <c r="P5923">
        <v>0.97825790000000001</v>
      </c>
      <c r="Q5923">
        <v>0.16926329999999901</v>
      </c>
      <c r="R5923">
        <v>-0.1198398</v>
      </c>
      <c r="S5923">
        <v>3.0845639999999999</v>
      </c>
      <c r="T5923">
        <v>-7.6405999999999905E-2</v>
      </c>
      <c r="U5923">
        <v>3.5095210000000002E-2</v>
      </c>
      <c r="V5923">
        <v>-5.728221E-2</v>
      </c>
      <c r="W5923">
        <v>0.18232619999999999</v>
      </c>
      <c r="X5923">
        <v>0.98156810000000005</v>
      </c>
      <c r="Y5923">
        <v>-0.189031</v>
      </c>
      <c r="Z5923">
        <v>5.5836169999999999E-3</v>
      </c>
      <c r="AA5923">
        <v>0.98195520000000003</v>
      </c>
      <c r="AB5923">
        <v>28</v>
      </c>
      <c r="AC5923">
        <v>45.240299999999898</v>
      </c>
      <c r="AD5923">
        <v>-1.1242470951670001</v>
      </c>
      <c r="AE5923">
        <v>0.54120999999999897</v>
      </c>
      <c r="AF5923">
        <v>-8.5776688987257508</v>
      </c>
      <c r="AG5923">
        <v>-1.1242470951670001</v>
      </c>
      <c r="AH5923">
        <v>44.394546116838498</v>
      </c>
      <c r="AI5923">
        <v>91.424316352056493</v>
      </c>
      <c r="AJ5923">
        <v>100.935620529407</v>
      </c>
      <c r="AK5923">
        <v>45.2295927484126</v>
      </c>
      <c r="AL5923">
        <v>79.494716369373293</v>
      </c>
      <c r="AM5923">
        <v>93.339870831884099</v>
      </c>
      <c r="AN5923">
        <v>1.00000001486326</v>
      </c>
    </row>
    <row r="5924" spans="1:40" x14ac:dyDescent="0.25">
      <c r="A5924" t="str">
        <f>"20190303170410762"</f>
        <v>20190303170410762</v>
      </c>
      <c r="B5924" t="str">
        <f>"1551603850751945"</f>
        <v>1551603850751945</v>
      </c>
      <c r="C5924" t="s">
        <v>40</v>
      </c>
      <c r="D5924">
        <v>5.1201220000000003</v>
      </c>
      <c r="E5924">
        <v>0.452961</v>
      </c>
      <c r="F5924" t="s">
        <v>42</v>
      </c>
      <c r="G5924">
        <v>-353.83420000000001</v>
      </c>
      <c r="H5924" s="1">
        <v>-2.859879E-6</v>
      </c>
      <c r="I5924">
        <v>18.305759999999999</v>
      </c>
      <c r="J5924">
        <v>-400.75040000000001</v>
      </c>
      <c r="K5924">
        <v>1.1242449999999999</v>
      </c>
      <c r="L5924">
        <v>17.6738</v>
      </c>
      <c r="M5924">
        <v>0.98423740000000004</v>
      </c>
      <c r="N5924">
        <v>-1.364426E-2</v>
      </c>
      <c r="O5924">
        <v>-0.1763255</v>
      </c>
      <c r="P5924">
        <v>0.97841880000000003</v>
      </c>
      <c r="Q5924">
        <v>0.169256399999999</v>
      </c>
      <c r="R5924">
        <v>-0.1185286</v>
      </c>
      <c r="S5924">
        <v>3.0842900000000002</v>
      </c>
      <c r="T5924">
        <v>-7.3696730000000002E-2</v>
      </c>
      <c r="U5924">
        <v>3.9947509999999999E-2</v>
      </c>
      <c r="V5924">
        <v>-5.6995860000000002E-2</v>
      </c>
      <c r="W5924">
        <v>0.1823169</v>
      </c>
      <c r="X5924">
        <v>0.98158650000000003</v>
      </c>
      <c r="Y5924">
        <v>-0.1889816</v>
      </c>
      <c r="Z5924">
        <v>5.3294730000000004E-3</v>
      </c>
      <c r="AA5924">
        <v>0.98196620000000001</v>
      </c>
      <c r="AB5924">
        <v>28</v>
      </c>
      <c r="AC5924">
        <v>46.916200000000003</v>
      </c>
      <c r="AD5924">
        <v>-1.124247859879</v>
      </c>
      <c r="AE5924">
        <v>0.63195999999999897</v>
      </c>
      <c r="AF5924">
        <v>-8.8902446243280409</v>
      </c>
      <c r="AG5924">
        <v>-1.124247859879</v>
      </c>
      <c r="AH5924">
        <v>46.0430999734835</v>
      </c>
      <c r="AI5924">
        <v>91.373373156661202</v>
      </c>
      <c r="AJ5924">
        <v>100.92848418309801</v>
      </c>
      <c r="AK5924">
        <v>46.9070084091816</v>
      </c>
      <c r="AL5924">
        <v>79.495258342476106</v>
      </c>
      <c r="AM5924">
        <v>93.323150395594197</v>
      </c>
      <c r="AN5924">
        <v>1.00000001853249</v>
      </c>
    </row>
    <row r="5925" spans="1:40" x14ac:dyDescent="0.25">
      <c r="A5925" t="str">
        <f>"20190303170410774"</f>
        <v>20190303170410774</v>
      </c>
      <c r="B5925" t="str">
        <f>"1551603850761705"</f>
        <v>1551603850761705</v>
      </c>
      <c r="C5925" t="s">
        <v>40</v>
      </c>
      <c r="D5925">
        <v>5.1283960000000004</v>
      </c>
      <c r="E5925">
        <v>0.45291409999999999</v>
      </c>
      <c r="F5925" t="s">
        <v>42</v>
      </c>
      <c r="G5925">
        <v>-353.19299999999998</v>
      </c>
      <c r="H5925" s="1">
        <v>-3.1215979999999998E-6</v>
      </c>
      <c r="I5925">
        <v>18.380949999999999</v>
      </c>
      <c r="J5925">
        <v>-400.6019</v>
      </c>
      <c r="K5925">
        <v>1.124247</v>
      </c>
      <c r="L5925">
        <v>17.648989999999898</v>
      </c>
      <c r="M5925">
        <v>0.98455320000000002</v>
      </c>
      <c r="N5925">
        <v>-1.363931E-2</v>
      </c>
      <c r="O5925">
        <v>-0.17455479999999901</v>
      </c>
      <c r="P5925">
        <v>0.97861810000000005</v>
      </c>
      <c r="Q5925">
        <v>0.16915839999999999</v>
      </c>
      <c r="R5925">
        <v>-0.1170152</v>
      </c>
      <c r="S5925">
        <v>3.0843509999999998</v>
      </c>
      <c r="T5925">
        <v>-7.2913530000000004E-2</v>
      </c>
      <c r="U5925">
        <v>4.586792E-2</v>
      </c>
      <c r="V5925">
        <v>-5.6749809999999998E-2</v>
      </c>
      <c r="W5925">
        <v>0.18221609999999999</v>
      </c>
      <c r="X5925">
        <v>0.98161949999999998</v>
      </c>
      <c r="Y5925">
        <v>-0.18910150000000001</v>
      </c>
      <c r="Z5925">
        <v>5.2466869999999999E-3</v>
      </c>
      <c r="AA5925">
        <v>0.98194349999999997</v>
      </c>
      <c r="AB5925">
        <v>28</v>
      </c>
      <c r="AC5925">
        <v>47.408899999999903</v>
      </c>
      <c r="AD5925">
        <v>-1.1242501215979901</v>
      </c>
      <c r="AE5925">
        <v>0.73196000000000006</v>
      </c>
      <c r="AF5925">
        <v>-8.9918842800430099</v>
      </c>
      <c r="AG5925">
        <v>-1.1242501215979901</v>
      </c>
      <c r="AH5925">
        <v>46.526979649375001</v>
      </c>
      <c r="AI5925">
        <v>91.359053580088698</v>
      </c>
      <c r="AJ5925">
        <v>100.938230252618</v>
      </c>
      <c r="AK5925">
        <v>47.401242141266202</v>
      </c>
      <c r="AL5925">
        <v>79.501132433439594</v>
      </c>
      <c r="AM5925">
        <v>93.3087253762139</v>
      </c>
      <c r="AN5925">
        <v>1.00000004540724</v>
      </c>
    </row>
    <row r="5926" spans="1:40" x14ac:dyDescent="0.25">
      <c r="A5926" t="str">
        <f>"20190303170410786"</f>
        <v>20190303170410786</v>
      </c>
      <c r="B5926" t="str">
        <f>"1551603850771464"</f>
        <v>1551603850771464</v>
      </c>
      <c r="C5926" t="s">
        <v>40</v>
      </c>
      <c r="D5926">
        <v>5.0980790000000002</v>
      </c>
      <c r="E5926">
        <v>0.45293610000000001</v>
      </c>
      <c r="F5926" t="s">
        <v>42</v>
      </c>
      <c r="G5926">
        <v>-352.86419999999998</v>
      </c>
      <c r="H5926" s="1">
        <v>-3.2513539999999999E-6</v>
      </c>
      <c r="I5926">
        <v>18.44481</v>
      </c>
      <c r="J5926">
        <v>-400.45940000000002</v>
      </c>
      <c r="K5926">
        <v>1.1242479999999999</v>
      </c>
      <c r="L5926">
        <v>17.625579999999999</v>
      </c>
      <c r="M5926">
        <v>0.98485290000000003</v>
      </c>
      <c r="N5926">
        <v>-1.363492E-2</v>
      </c>
      <c r="O5926">
        <v>-0.17285510000000001</v>
      </c>
      <c r="P5926">
        <v>0.97873650000000001</v>
      </c>
      <c r="Q5926">
        <v>0.16935420000000001</v>
      </c>
      <c r="R5926">
        <v>-0.1157328</v>
      </c>
      <c r="S5926">
        <v>3.0842589999999999</v>
      </c>
      <c r="T5926">
        <v>-7.2636010000000001E-2</v>
      </c>
      <c r="U5926">
        <v>5.1422120000000002E-2</v>
      </c>
      <c r="V5926">
        <v>-5.6335839999999998E-2</v>
      </c>
      <c r="W5926">
        <v>0.18241019999999999</v>
      </c>
      <c r="X5926">
        <v>0.98160729999999996</v>
      </c>
      <c r="Y5926">
        <v>-0.1891756</v>
      </c>
      <c r="Z5926">
        <v>5.2085159999999998E-3</v>
      </c>
      <c r="AA5926">
        <v>0.98192950000000001</v>
      </c>
      <c r="AB5926">
        <v>28</v>
      </c>
      <c r="AC5926">
        <v>47.595199999999998</v>
      </c>
      <c r="AD5926">
        <v>-1.1242512513539999</v>
      </c>
      <c r="AE5926">
        <v>0.81923000000000101</v>
      </c>
      <c r="AF5926">
        <v>-9.0296971356884992</v>
      </c>
      <c r="AG5926">
        <v>-1.1242512513539999</v>
      </c>
      <c r="AH5926">
        <v>46.710951630130197</v>
      </c>
      <c r="AI5926">
        <v>91.353692088216505</v>
      </c>
      <c r="AJ5926">
        <v>100.940900309002</v>
      </c>
      <c r="AK5926">
        <v>47.588994246892803</v>
      </c>
      <c r="AL5926">
        <v>79.489821807484006</v>
      </c>
      <c r="AM5926">
        <v>93.284683157207496</v>
      </c>
      <c r="AN5926">
        <v>1.00000004967291</v>
      </c>
    </row>
    <row r="5927" spans="1:40" x14ac:dyDescent="0.25">
      <c r="A5927" t="str">
        <f>"20190303170410805"</f>
        <v>20190303170410805</v>
      </c>
      <c r="B5927" t="str">
        <f>"1551603850791962"</f>
        <v>1551603850791962</v>
      </c>
      <c r="C5927" t="s">
        <v>40</v>
      </c>
      <c r="D5927">
        <v>5.122458</v>
      </c>
      <c r="E5927">
        <v>0.45306970000000002</v>
      </c>
      <c r="F5927" t="s">
        <v>42</v>
      </c>
      <c r="G5927">
        <v>-351.54239999999999</v>
      </c>
      <c r="H5927" s="1">
        <v>-3.807247E-6</v>
      </c>
      <c r="I5927">
        <v>18.507439999999999</v>
      </c>
      <c r="J5927">
        <v>-400.22070000000002</v>
      </c>
      <c r="K5927">
        <v>1.124255</v>
      </c>
      <c r="L5927">
        <v>17.586819999999999</v>
      </c>
      <c r="M5927">
        <v>0.98534880000000002</v>
      </c>
      <c r="N5927">
        <v>-1.362797E-2</v>
      </c>
      <c r="O5927">
        <v>-0.17000660000000001</v>
      </c>
      <c r="P5927">
        <v>0.97865400000000002</v>
      </c>
      <c r="Q5927">
        <v>0.17124120000000001</v>
      </c>
      <c r="R5927">
        <v>-0.1136363</v>
      </c>
      <c r="S5927">
        <v>3.084015</v>
      </c>
      <c r="T5927">
        <v>-7.0879579999999998E-2</v>
      </c>
      <c r="U5927">
        <v>5.5603029999999998E-2</v>
      </c>
      <c r="V5927">
        <v>-5.5553030000000003E-2</v>
      </c>
      <c r="W5927">
        <v>0.18429129999999999</v>
      </c>
      <c r="X5927">
        <v>0.98130050000000002</v>
      </c>
      <c r="Y5927">
        <v>-0.1876729</v>
      </c>
      <c r="Z5927">
        <v>5.0047429999999999E-3</v>
      </c>
      <c r="AA5927">
        <v>0.98221879999999995</v>
      </c>
      <c r="AB5927">
        <v>28</v>
      </c>
      <c r="AC5927">
        <v>48.6783</v>
      </c>
      <c r="AD5927">
        <v>-1.1242588072469999</v>
      </c>
      <c r="AE5927">
        <v>0.92061999999999899</v>
      </c>
      <c r="AF5927">
        <v>-9.1787216225616302</v>
      </c>
      <c r="AG5927">
        <v>-1.1242588072469999</v>
      </c>
      <c r="AH5927">
        <v>47.787546559591398</v>
      </c>
      <c r="AI5927">
        <v>91.323518847668097</v>
      </c>
      <c r="AJ5927">
        <v>100.87258714604801</v>
      </c>
      <c r="AK5927">
        <v>48.6740433360048</v>
      </c>
      <c r="AL5927">
        <v>79.380184046481006</v>
      </c>
      <c r="AM5927">
        <v>93.240149531700993</v>
      </c>
      <c r="AN5927">
        <v>1.00000004684905</v>
      </c>
    </row>
    <row r="5928" spans="1:40" x14ac:dyDescent="0.25">
      <c r="A5928" t="str">
        <f>"20190303170410819"</f>
        <v>20190303170410819</v>
      </c>
      <c r="B5928" t="str">
        <f>"1551603850801721"</f>
        <v>1551603850801721</v>
      </c>
      <c r="C5928" t="s">
        <v>40</v>
      </c>
      <c r="D5928">
        <v>5.118862</v>
      </c>
      <c r="E5928">
        <v>0.45315369999999999</v>
      </c>
      <c r="F5928" t="s">
        <v>42</v>
      </c>
      <c r="G5928">
        <v>-346.64819999999997</v>
      </c>
      <c r="H5928" s="1">
        <v>-1.5904689999999901E-6</v>
      </c>
      <c r="I5928">
        <v>18.65654</v>
      </c>
      <c r="J5928">
        <v>-400.04329999999999</v>
      </c>
      <c r="K5928">
        <v>1.1242589999999999</v>
      </c>
      <c r="L5928">
        <v>17.558440000000001</v>
      </c>
      <c r="M5928">
        <v>0.98571200000000003</v>
      </c>
      <c r="N5928">
        <v>-1.362321E-2</v>
      </c>
      <c r="O5928">
        <v>-0.16788789999999901</v>
      </c>
      <c r="P5928">
        <v>0.97867689999999996</v>
      </c>
      <c r="Q5928">
        <v>0.17236409999999999</v>
      </c>
      <c r="R5928">
        <v>-0.1117252</v>
      </c>
      <c r="S5928">
        <v>3.0839539999999999</v>
      </c>
      <c r="T5928">
        <v>-6.4718960000000006E-2</v>
      </c>
      <c r="U5928">
        <v>6.1584470000000002E-2</v>
      </c>
      <c r="V5928">
        <v>-5.53325E-2</v>
      </c>
      <c r="W5928">
        <v>0.1854085</v>
      </c>
      <c r="X5928">
        <v>0.98110249999999999</v>
      </c>
      <c r="Y5928">
        <v>-0.1874798</v>
      </c>
      <c r="Z5928">
        <v>4.4614570000000003E-3</v>
      </c>
      <c r="AA5928">
        <v>0.98225830000000003</v>
      </c>
      <c r="AB5928">
        <v>28</v>
      </c>
      <c r="AC5928">
        <v>53.395099999999999</v>
      </c>
      <c r="AD5928">
        <v>-1.124260590469</v>
      </c>
      <c r="AE5928">
        <v>1.0980999999999901</v>
      </c>
      <c r="AF5928">
        <v>-10.0432829098763</v>
      </c>
      <c r="AG5928">
        <v>-1.124260590469</v>
      </c>
      <c r="AH5928">
        <v>52.429464536946398</v>
      </c>
      <c r="AI5928">
        <v>91.206492457252494</v>
      </c>
      <c r="AJ5928">
        <v>100.84409850463101</v>
      </c>
      <c r="AK5928">
        <v>53.394571307521701</v>
      </c>
      <c r="AL5928">
        <v>79.315050847364901</v>
      </c>
      <c r="AM5928">
        <v>93.227964226225794</v>
      </c>
      <c r="AN5928">
        <v>1.0000000564673699</v>
      </c>
    </row>
    <row r="5929" spans="1:40" x14ac:dyDescent="0.25">
      <c r="A5929" t="str">
        <f>"20190303170410839"</f>
        <v>20190303170410839</v>
      </c>
      <c r="B5929" t="str">
        <f>"1551603850831977"</f>
        <v>1551603850831977</v>
      </c>
      <c r="C5929" t="s">
        <v>40</v>
      </c>
      <c r="D5929">
        <v>5.1231540000000004</v>
      </c>
      <c r="E5929">
        <v>0.4534145</v>
      </c>
      <c r="F5929" t="s">
        <v>42</v>
      </c>
      <c r="G5929">
        <v>-343.90469999999999</v>
      </c>
      <c r="H5929" s="1">
        <v>-2.7453319999999998E-6</v>
      </c>
      <c r="I5929">
        <v>18.781089999999999</v>
      </c>
      <c r="J5929">
        <v>-399.80090000000001</v>
      </c>
      <c r="K5929">
        <v>1.1242669999999999</v>
      </c>
      <c r="L5929">
        <v>17.52036</v>
      </c>
      <c r="M5929">
        <v>0.98620090000000005</v>
      </c>
      <c r="N5929">
        <v>-1.361732E-2</v>
      </c>
      <c r="O5929">
        <v>-0.16499220000000001</v>
      </c>
      <c r="P5929">
        <v>0.97855309999999995</v>
      </c>
      <c r="Q5929">
        <v>0.17464879999999999</v>
      </c>
      <c r="R5929">
        <v>-0.1092336</v>
      </c>
      <c r="S5929">
        <v>3.083923</v>
      </c>
      <c r="T5929">
        <v>-6.1760309999999999E-2</v>
      </c>
      <c r="U5929">
        <v>6.7169190000000004E-2</v>
      </c>
      <c r="V5929">
        <v>-5.4894320000000003E-2</v>
      </c>
      <c r="W5929">
        <v>0.18768470000000001</v>
      </c>
      <c r="X5929">
        <v>0.98069419999999996</v>
      </c>
      <c r="Y5929">
        <v>-0.1863794</v>
      </c>
      <c r="Z5929">
        <v>4.1755999999999998E-3</v>
      </c>
      <c r="AA5929">
        <v>0.98246900000000004</v>
      </c>
      <c r="AB5929">
        <v>28</v>
      </c>
      <c r="AC5929">
        <v>55.8962</v>
      </c>
      <c r="AD5929">
        <v>-1.1242697453320001</v>
      </c>
      <c r="AE5929">
        <v>1.2607299999999899</v>
      </c>
      <c r="AF5929">
        <v>-10.462509668544101</v>
      </c>
      <c r="AG5929">
        <v>-1.1242697453320001</v>
      </c>
      <c r="AH5929">
        <v>54.899763874985503</v>
      </c>
      <c r="AI5929">
        <v>91.152437630805807</v>
      </c>
      <c r="AJ5929">
        <v>100.78974800454399</v>
      </c>
      <c r="AK5929">
        <v>55.899124899713897</v>
      </c>
      <c r="AL5929">
        <v>79.182303583797903</v>
      </c>
      <c r="AM5929">
        <v>93.203785808340598</v>
      </c>
      <c r="AN5929">
        <v>1.00000002344799</v>
      </c>
    </row>
    <row r="5930" spans="1:40" x14ac:dyDescent="0.25">
      <c r="A5930" t="str">
        <f>"20190303170410862"</f>
        <v>20190303170410862</v>
      </c>
      <c r="B5930" t="str">
        <f>"1551603850851496"</f>
        <v>1551603850851496</v>
      </c>
      <c r="C5930" t="s">
        <v>40</v>
      </c>
      <c r="D5930">
        <v>5.1237849999999998</v>
      </c>
      <c r="E5930">
        <v>0.45354339999999999</v>
      </c>
      <c r="F5930" t="s">
        <v>42</v>
      </c>
      <c r="G5930">
        <v>-336.8587</v>
      </c>
      <c r="H5930" s="1">
        <v>-1.4348849999999901E-6</v>
      </c>
      <c r="I5930">
        <v>19.024539999999998</v>
      </c>
      <c r="J5930">
        <v>-399.51949999999999</v>
      </c>
      <c r="K5930">
        <v>1.1242669999999999</v>
      </c>
      <c r="L5930">
        <v>17.477079999999901</v>
      </c>
      <c r="M5930">
        <v>0.98675829999999998</v>
      </c>
      <c r="N5930">
        <v>-1.361094E-2</v>
      </c>
      <c r="O5930">
        <v>-0.1616263</v>
      </c>
      <c r="P5930">
        <v>0.97884499999999997</v>
      </c>
      <c r="Q5930">
        <v>0.17482239999999999</v>
      </c>
      <c r="R5930">
        <v>-0.10630100000000001</v>
      </c>
      <c r="S5930">
        <v>3.0838009999999998</v>
      </c>
      <c r="T5930">
        <v>-5.5082560000000003E-2</v>
      </c>
      <c r="U5930">
        <v>7.369995E-2</v>
      </c>
      <c r="V5930">
        <v>-5.4481460000000002E-2</v>
      </c>
      <c r="W5930">
        <v>0.18785479999999999</v>
      </c>
      <c r="X5930">
        <v>0.98068460000000002</v>
      </c>
      <c r="Y5930">
        <v>-0.18512000000000001</v>
      </c>
      <c r="Z5930">
        <v>3.585478E-3</v>
      </c>
      <c r="AA5930">
        <v>0.98270939999999996</v>
      </c>
      <c r="AB5930">
        <v>28</v>
      </c>
      <c r="AC5930">
        <v>62.660800000000002</v>
      </c>
      <c r="AD5930">
        <v>-1.1242684348849901</v>
      </c>
      <c r="AE5930">
        <v>1.5474600000000001</v>
      </c>
      <c r="AF5930">
        <v>-11.6519317326761</v>
      </c>
      <c r="AG5930">
        <v>-1.1242684348849901</v>
      </c>
      <c r="AH5930">
        <v>61.566843644900203</v>
      </c>
      <c r="AI5930">
        <v>91.027915519594501</v>
      </c>
      <c r="AJ5930">
        <v>100.71685207357901</v>
      </c>
      <c r="AK5930">
        <v>62.669831091301099</v>
      </c>
      <c r="AL5930">
        <v>79.172380495633206</v>
      </c>
      <c r="AM5930">
        <v>93.179770839902403</v>
      </c>
      <c r="AN5930">
        <v>0.99999997002196495</v>
      </c>
    </row>
    <row r="5931" spans="1:40" x14ac:dyDescent="0.25">
      <c r="A5931" t="str">
        <f>"20190303170410874"</f>
        <v>20190303170410874</v>
      </c>
      <c r="B5931" t="str">
        <f>"1551603850861257"</f>
        <v>1551603850861257</v>
      </c>
      <c r="C5931" t="s">
        <v>40</v>
      </c>
      <c r="D5931">
        <v>5.1148989999999896</v>
      </c>
      <c r="E5931">
        <v>0.45354339999999999</v>
      </c>
      <c r="F5931" t="s">
        <v>42</v>
      </c>
      <c r="G5931">
        <v>-336.279</v>
      </c>
      <c r="H5931" s="1">
        <v>-1.657001E-6</v>
      </c>
      <c r="I5931">
        <v>19.17435</v>
      </c>
      <c r="J5931">
        <v>-399.3535</v>
      </c>
      <c r="K5931">
        <v>1.1242639999999999</v>
      </c>
      <c r="L5931">
        <v>17.451929999999901</v>
      </c>
      <c r="M5931">
        <v>0.98708180000000001</v>
      </c>
      <c r="N5931">
        <v>-1.3607340000000001E-2</v>
      </c>
      <c r="O5931">
        <v>-0.15963869999999999</v>
      </c>
      <c r="P5931">
        <v>0.97909650000000004</v>
      </c>
      <c r="Q5931">
        <v>0.17430129999999999</v>
      </c>
      <c r="R5931">
        <v>-0.1048298</v>
      </c>
      <c r="S5931">
        <v>3.0836489999999999</v>
      </c>
      <c r="T5931">
        <v>-5.4820059999999997E-2</v>
      </c>
      <c r="U5931">
        <v>8.2763669999999998E-2</v>
      </c>
      <c r="V5931">
        <v>-5.399077E-2</v>
      </c>
      <c r="W5931">
        <v>0.18733440000000001</v>
      </c>
      <c r="X5931">
        <v>0.98081130000000005</v>
      </c>
      <c r="Y5931">
        <v>-0.18602879999999999</v>
      </c>
      <c r="Z5931">
        <v>3.571149E-3</v>
      </c>
      <c r="AA5931">
        <v>0.98253780000000002</v>
      </c>
      <c r="AB5931">
        <v>28</v>
      </c>
      <c r="AC5931">
        <v>63.0745</v>
      </c>
      <c r="AD5931">
        <v>-1.1242656570009999</v>
      </c>
      <c r="AE5931">
        <v>1.7224200000000001</v>
      </c>
      <c r="AF5931">
        <v>-11.7666538687636</v>
      </c>
      <c r="AG5931">
        <v>-1.1242656570009999</v>
      </c>
      <c r="AH5931">
        <v>61.970786621004599</v>
      </c>
      <c r="AI5931">
        <v>91.021098797401805</v>
      </c>
      <c r="AJ5931">
        <v>100.751010554375</v>
      </c>
      <c r="AK5931">
        <v>63.0880060785003</v>
      </c>
      <c r="AL5931">
        <v>79.202736394148104</v>
      </c>
      <c r="AM5931">
        <v>93.150783806315602</v>
      </c>
      <c r="AN5931">
        <v>0.99999999343812096</v>
      </c>
    </row>
    <row r="5932" spans="1:40" x14ac:dyDescent="0.25">
      <c r="A5932" t="str">
        <f>"20190303170410893"</f>
        <v>20190303170410893</v>
      </c>
      <c r="B5932" t="str">
        <f>"1551603850881753"</f>
        <v>1551603850881753</v>
      </c>
      <c r="C5932" t="s">
        <v>40</v>
      </c>
      <c r="D5932">
        <v>5.1198810000000003</v>
      </c>
      <c r="E5932">
        <v>0.45698230000000001</v>
      </c>
      <c r="F5932" t="s">
        <v>42</v>
      </c>
      <c r="G5932">
        <v>-337.5419</v>
      </c>
      <c r="H5932" s="1">
        <v>-1.1080250000000001E-6</v>
      </c>
      <c r="I5932">
        <v>19.214939999999999</v>
      </c>
      <c r="J5932">
        <v>-399.12240000000003</v>
      </c>
      <c r="K5932">
        <v>1.124261</v>
      </c>
      <c r="L5932">
        <v>17.4176</v>
      </c>
      <c r="M5932">
        <v>0.98752680000000004</v>
      </c>
      <c r="N5932">
        <v>-1.3602940000000001E-2</v>
      </c>
      <c r="O5932">
        <v>-0.15686149999999999</v>
      </c>
      <c r="P5932">
        <v>0.97935530000000004</v>
      </c>
      <c r="Q5932">
        <v>0.173628799999999</v>
      </c>
      <c r="R5932">
        <v>-0.1035165</v>
      </c>
      <c r="S5932">
        <v>3.083466</v>
      </c>
      <c r="T5932">
        <v>-5.6083800000000003E-2</v>
      </c>
      <c r="U5932">
        <v>8.7951660000000001E-2</v>
      </c>
      <c r="V5932">
        <v>-5.2559349999999998E-2</v>
      </c>
      <c r="W5932">
        <v>0.18666920000000001</v>
      </c>
      <c r="X5932">
        <v>0.98101590000000005</v>
      </c>
      <c r="Y5932">
        <v>-0.18491640000000001</v>
      </c>
      <c r="Z5932">
        <v>3.645531E-3</v>
      </c>
      <c r="AA5932">
        <v>0.9827475</v>
      </c>
      <c r="AB5932">
        <v>28</v>
      </c>
      <c r="AC5932">
        <v>61.580500000000001</v>
      </c>
      <c r="AD5932">
        <v>-1.1242621080249999</v>
      </c>
      <c r="AE5932">
        <v>1.7973399999999899</v>
      </c>
      <c r="AF5932">
        <v>-11.4317834257429</v>
      </c>
      <c r="AG5932">
        <v>-1.1242621080249999</v>
      </c>
      <c r="AH5932">
        <v>60.515915846156602</v>
      </c>
      <c r="AI5932">
        <v>91.045823663315105</v>
      </c>
      <c r="AJ5932">
        <v>100.697424284588</v>
      </c>
      <c r="AK5932">
        <v>61.596474803999399</v>
      </c>
      <c r="AL5932">
        <v>79.241534414264294</v>
      </c>
      <c r="AM5932">
        <v>93.066772424247503</v>
      </c>
      <c r="AN5932">
        <v>1.0000000357769301</v>
      </c>
    </row>
    <row r="5933" spans="1:40" x14ac:dyDescent="0.25">
      <c r="A5933" t="str">
        <f>"20190303170410905"</f>
        <v>20190303170410905</v>
      </c>
      <c r="B5933" t="str">
        <f>"1551603850891513"</f>
        <v>1551603850891513</v>
      </c>
      <c r="C5933" t="s">
        <v>40</v>
      </c>
      <c r="D5933">
        <v>5.1032580000000003</v>
      </c>
      <c r="E5933">
        <v>0.45693840000000002</v>
      </c>
      <c r="F5933" t="s">
        <v>105</v>
      </c>
      <c r="G5933">
        <v>-363.16370000000001</v>
      </c>
      <c r="H5933" s="1">
        <v>-3.4818639999999999E-6</v>
      </c>
      <c r="I5933">
        <v>18.207709999999999</v>
      </c>
      <c r="J5933">
        <v>-398.97820000000002</v>
      </c>
      <c r="K5933">
        <v>1.124255</v>
      </c>
      <c r="L5933">
        <v>17.39658</v>
      </c>
      <c r="M5933">
        <v>0.98780219999999996</v>
      </c>
      <c r="N5933">
        <v>-1.3600650000000001E-2</v>
      </c>
      <c r="O5933">
        <v>-0.15511949999999999</v>
      </c>
      <c r="P5933">
        <v>0.97941840000000002</v>
      </c>
      <c r="Q5933">
        <v>0.17357539999999999</v>
      </c>
      <c r="R5933">
        <v>-0.1030123</v>
      </c>
      <c r="S5933">
        <v>3.087494</v>
      </c>
      <c r="T5933">
        <v>-9.6531870000000006E-2</v>
      </c>
      <c r="U5933">
        <v>6.7840579999999998E-2</v>
      </c>
      <c r="V5933">
        <v>-5.1334659999999997E-2</v>
      </c>
      <c r="W5933">
        <v>0.18662139999999999</v>
      </c>
      <c r="X5933">
        <v>0.98108980000000001</v>
      </c>
      <c r="Y5933">
        <v>-0.17665040000000001</v>
      </c>
      <c r="Z5933">
        <v>6.6830290000000001E-3</v>
      </c>
      <c r="AA5933">
        <v>0.98425099999999999</v>
      </c>
      <c r="AB5933">
        <v>28</v>
      </c>
      <c r="AC5933">
        <v>35.814500000000002</v>
      </c>
      <c r="AD5933">
        <v>-1.124258481864</v>
      </c>
      <c r="AE5933">
        <v>0.81113000000000202</v>
      </c>
      <c r="AF5933">
        <v>-6.3510954428011503</v>
      </c>
      <c r="AG5933">
        <v>-1.124258481864</v>
      </c>
      <c r="AH5933">
        <v>35.2203881899203</v>
      </c>
      <c r="AI5933">
        <v>91.799298781262706</v>
      </c>
      <c r="AJ5933">
        <v>100.22197626003999</v>
      </c>
      <c r="AK5933">
        <v>35.806090469447902</v>
      </c>
      <c r="AL5933">
        <v>79.244321695857906</v>
      </c>
      <c r="AM5933">
        <v>92.995219759630402</v>
      </c>
      <c r="AN5933">
        <v>0.99999999495965697</v>
      </c>
    </row>
    <row r="5934" spans="1:40" x14ac:dyDescent="0.25">
      <c r="A5934" t="str">
        <f>"20190303170410916"</f>
        <v>20190303170410916</v>
      </c>
      <c r="B5934" t="str">
        <f>"1551603850912009"</f>
        <v>1551603850912009</v>
      </c>
      <c r="C5934" t="s">
        <v>40</v>
      </c>
      <c r="D5934">
        <v>5.1064109999999996</v>
      </c>
      <c r="E5934">
        <v>0.45740419999999998</v>
      </c>
      <c r="F5934" t="s">
        <v>105</v>
      </c>
      <c r="G5934">
        <v>-362.57909999999998</v>
      </c>
      <c r="H5934" s="1">
        <v>-3.756086E-6</v>
      </c>
      <c r="I5934">
        <v>18.219809999999999</v>
      </c>
      <c r="J5934">
        <v>-398.83479999999997</v>
      </c>
      <c r="K5934">
        <v>1.124258</v>
      </c>
      <c r="L5934">
        <v>17.375820000000001</v>
      </c>
      <c r="M5934">
        <v>0.98807330000000004</v>
      </c>
      <c r="N5934">
        <v>-1.359848E-2</v>
      </c>
      <c r="O5934">
        <v>-0.15338270000000001</v>
      </c>
      <c r="P5934">
        <v>0.97939310000000002</v>
      </c>
      <c r="Q5934">
        <v>0.174009</v>
      </c>
      <c r="R5934">
        <v>-0.1025204</v>
      </c>
      <c r="S5934">
        <v>3.0872799999999998</v>
      </c>
      <c r="T5934">
        <v>-9.5356700000000003E-2</v>
      </c>
      <c r="U5934">
        <v>6.9824220000000006E-2</v>
      </c>
      <c r="V5934">
        <v>-5.0092980000000002E-2</v>
      </c>
      <c r="W5934">
        <v>0.18705939999999999</v>
      </c>
      <c r="X5934">
        <v>0.98107060000000001</v>
      </c>
      <c r="Y5934">
        <v>-0.17555809999999999</v>
      </c>
      <c r="Z5934">
        <v>6.537635E-3</v>
      </c>
      <c r="AA5934">
        <v>0.98444739999999997</v>
      </c>
      <c r="AB5934">
        <v>28</v>
      </c>
      <c r="AC5934">
        <v>36.255699999999898</v>
      </c>
      <c r="AD5934">
        <v>-1.124261756086</v>
      </c>
      <c r="AE5934">
        <v>0.84398999999999702</v>
      </c>
      <c r="AF5934">
        <v>-6.3893719167354801</v>
      </c>
      <c r="AG5934">
        <v>-1.124261756086</v>
      </c>
      <c r="AH5934">
        <v>35.662862177215104</v>
      </c>
      <c r="AI5934">
        <v>91.777354170751806</v>
      </c>
      <c r="AJ5934">
        <v>100.157369932733</v>
      </c>
      <c r="AK5934">
        <v>36.248141699370002</v>
      </c>
      <c r="AL5934">
        <v>79.218776613389196</v>
      </c>
      <c r="AM5934">
        <v>92.922955830555907</v>
      </c>
      <c r="AN5934">
        <v>1.0000000239789999</v>
      </c>
    </row>
    <row r="5935" spans="1:40" x14ac:dyDescent="0.25">
      <c r="A5935" t="str">
        <f>"20190303170410929"</f>
        <v>20190303170410929</v>
      </c>
      <c r="B5935" t="str">
        <f>"1551603850921768"</f>
        <v>1551603850921768</v>
      </c>
      <c r="C5935" t="s">
        <v>40</v>
      </c>
      <c r="D5935">
        <v>5.0895460000000003</v>
      </c>
      <c r="E5935">
        <v>0.45774740000000003</v>
      </c>
      <c r="F5935" t="s">
        <v>42</v>
      </c>
      <c r="G5935">
        <v>-359.83640000000003</v>
      </c>
      <c r="H5935" s="1">
        <v>-4.1079910000000002E-7</v>
      </c>
      <c r="I5935">
        <v>18.229209999999998</v>
      </c>
      <c r="J5935">
        <v>-398.66609999999997</v>
      </c>
      <c r="K5935">
        <v>1.124268</v>
      </c>
      <c r="L5935">
        <v>17.351839999999999</v>
      </c>
      <c r="M5935">
        <v>0.98839069999999996</v>
      </c>
      <c r="N5935">
        <v>-1.3596260000000001E-2</v>
      </c>
      <c r="O5935">
        <v>-0.15132490000000001</v>
      </c>
      <c r="P5935">
        <v>0.97942680000000004</v>
      </c>
      <c r="Q5935">
        <v>0.174350799999999</v>
      </c>
      <c r="R5935">
        <v>-0.1016123</v>
      </c>
      <c r="S5935">
        <v>3.0859679999999998</v>
      </c>
      <c r="T5935">
        <v>-8.8963150000000005E-2</v>
      </c>
      <c r="U5935">
        <v>6.7535399999999995E-2</v>
      </c>
      <c r="V5935">
        <v>-4.8953820000000002E-2</v>
      </c>
      <c r="W5935">
        <v>0.18740509999999999</v>
      </c>
      <c r="X5935">
        <v>0.98106210000000005</v>
      </c>
      <c r="Y5935">
        <v>-0.172807399999999</v>
      </c>
      <c r="Z5935">
        <v>5.9533769999999897E-3</v>
      </c>
      <c r="AA5935">
        <v>0.98493770000000003</v>
      </c>
      <c r="AB5935">
        <v>28</v>
      </c>
      <c r="AC5935">
        <v>38.829699999999903</v>
      </c>
      <c r="AD5935">
        <v>-1.1242684107990999</v>
      </c>
      <c r="AE5935">
        <v>0.87737000000000198</v>
      </c>
      <c r="AF5935">
        <v>-6.7380614900221802</v>
      </c>
      <c r="AG5935">
        <v>-1.1242684107990999</v>
      </c>
      <c r="AH5935">
        <v>38.217654589859201</v>
      </c>
      <c r="AI5935">
        <v>91.659434266016703</v>
      </c>
      <c r="AJ5935">
        <v>99.9989209123043</v>
      </c>
      <c r="AK5935">
        <v>38.823376649289798</v>
      </c>
      <c r="AL5935">
        <v>79.198612575238499</v>
      </c>
      <c r="AM5935">
        <v>92.856621235447193</v>
      </c>
      <c r="AN5935">
        <v>0.999999996027506</v>
      </c>
    </row>
    <row r="5936" spans="1:40" x14ac:dyDescent="0.25">
      <c r="A5936" t="str">
        <f>"20190303170410942"</f>
        <v>20190303170410942</v>
      </c>
      <c r="B5936" t="str">
        <f>"1551603850931531"</f>
        <v>1551603850931531</v>
      </c>
      <c r="C5936" t="s">
        <v>40</v>
      </c>
      <c r="D5936">
        <v>5.0714769999999998</v>
      </c>
      <c r="E5936">
        <v>0.45772550000000001</v>
      </c>
      <c r="F5936" t="s">
        <v>42</v>
      </c>
      <c r="G5936">
        <v>-358.96600000000001</v>
      </c>
      <c r="H5936" s="1">
        <v>-7.0851339999999998E-7</v>
      </c>
      <c r="I5936">
        <v>18.22343</v>
      </c>
      <c r="J5936">
        <v>-398.52390000000003</v>
      </c>
      <c r="K5936">
        <v>1.1242799999999999</v>
      </c>
      <c r="L5936">
        <v>17.331910000000001</v>
      </c>
      <c r="M5936">
        <v>0.98865579999999997</v>
      </c>
      <c r="N5936">
        <v>-1.359466E-2</v>
      </c>
      <c r="O5936">
        <v>-0.14958199999999999</v>
      </c>
      <c r="P5936">
        <v>0.97940329999999998</v>
      </c>
      <c r="Q5936">
        <v>0.17497889999999999</v>
      </c>
      <c r="R5936">
        <v>-0.1007567</v>
      </c>
      <c r="S5936">
        <v>3.0856020000000002</v>
      </c>
      <c r="T5936">
        <v>-8.7381479999999997E-2</v>
      </c>
      <c r="U5936">
        <v>6.7749019999999993E-2</v>
      </c>
      <c r="V5936">
        <v>-4.8071250000000003E-2</v>
      </c>
      <c r="W5936">
        <v>0.18803510000000001</v>
      </c>
      <c r="X5936">
        <v>0.9809852</v>
      </c>
      <c r="Y5936">
        <v>-0.17114670000000001</v>
      </c>
      <c r="Z5936">
        <v>5.7728190000000002E-3</v>
      </c>
      <c r="AA5936">
        <v>0.98522869999999996</v>
      </c>
      <c r="AB5936">
        <v>28</v>
      </c>
      <c r="AC5936">
        <v>39.557899999999997</v>
      </c>
      <c r="AD5936">
        <v>-1.1242807085133999</v>
      </c>
      <c r="AE5936">
        <v>0.89151999999999898</v>
      </c>
      <c r="AF5936">
        <v>-6.7937000449665499</v>
      </c>
      <c r="AG5936">
        <v>-1.1242807085133999</v>
      </c>
      <c r="AH5936">
        <v>38.947951730447798</v>
      </c>
      <c r="AI5936">
        <v>91.6288735087075</v>
      </c>
      <c r="AJ5936">
        <v>99.894566896195698</v>
      </c>
      <c r="AK5936">
        <v>39.552007678622402</v>
      </c>
      <c r="AL5936">
        <v>79.161862997996593</v>
      </c>
      <c r="AM5936">
        <v>92.805422851507103</v>
      </c>
      <c r="AN5936">
        <v>1.0000000032637999</v>
      </c>
    </row>
    <row r="5937" spans="1:40" x14ac:dyDescent="0.25">
      <c r="A5937" t="str">
        <f>"20190303170410961"</f>
        <v>20190303170410961</v>
      </c>
      <c r="B5937" t="str">
        <f>"1551603850952025"</f>
        <v>1551603850952025</v>
      </c>
      <c r="C5937" t="s">
        <v>40</v>
      </c>
      <c r="D5937">
        <v>5.0825680000000002</v>
      </c>
      <c r="E5937">
        <v>0.45833459999999998</v>
      </c>
      <c r="F5937" t="s">
        <v>42</v>
      </c>
      <c r="G5937">
        <v>-356.89659999999998</v>
      </c>
      <c r="H5937" s="1">
        <v>-1.5500049999999999E-6</v>
      </c>
      <c r="I5937">
        <v>18.28379</v>
      </c>
      <c r="J5937">
        <v>-398.28379999999999</v>
      </c>
      <c r="K5937">
        <v>1.1242970000000001</v>
      </c>
      <c r="L5937">
        <v>17.298829999999999</v>
      </c>
      <c r="M5937">
        <v>0.98909930000000001</v>
      </c>
      <c r="N5937">
        <v>-1.359231E-2</v>
      </c>
      <c r="O5937">
        <v>-0.14662229999999901</v>
      </c>
      <c r="P5937">
        <v>0.97956189999999999</v>
      </c>
      <c r="Q5937">
        <v>0.17499129999999999</v>
      </c>
      <c r="R5937">
        <v>-9.9181420000000006E-2</v>
      </c>
      <c r="S5937">
        <v>3.0852360000000001</v>
      </c>
      <c r="T5937">
        <v>-8.332705E-2</v>
      </c>
      <c r="U5937">
        <v>7.0556640000000004E-2</v>
      </c>
      <c r="V5937">
        <v>-4.6716840000000003E-2</v>
      </c>
      <c r="W5937">
        <v>0.18805240000000001</v>
      </c>
      <c r="X5937">
        <v>0.98104729999999996</v>
      </c>
      <c r="Y5937">
        <v>-0.16910799999999901</v>
      </c>
      <c r="Z5937">
        <v>5.3852689999999998E-3</v>
      </c>
      <c r="AA5937">
        <v>0.98558279999999998</v>
      </c>
      <c r="AB5937">
        <v>28</v>
      </c>
      <c r="AC5937">
        <v>41.3872</v>
      </c>
      <c r="AD5937">
        <v>-1.12429855000499</v>
      </c>
      <c r="AE5937">
        <v>0.98496000000000095</v>
      </c>
      <c r="AF5937">
        <v>-7.0379685974848796</v>
      </c>
      <c r="AG5937">
        <v>-1.12429855000499</v>
      </c>
      <c r="AH5937">
        <v>40.765330462414902</v>
      </c>
      <c r="AI5937">
        <v>91.556784801910496</v>
      </c>
      <c r="AJ5937">
        <v>99.795323315352206</v>
      </c>
      <c r="AK5937">
        <v>41.383682979147899</v>
      </c>
      <c r="AL5937">
        <v>79.160853593941994</v>
      </c>
      <c r="AM5937">
        <v>92.726328586058003</v>
      </c>
      <c r="AN5937">
        <v>0.99999998656131694</v>
      </c>
    </row>
    <row r="5938" spans="1:40" x14ac:dyDescent="0.25">
      <c r="A5938" t="str">
        <f>"20190303170410973"</f>
        <v>20190303170410973</v>
      </c>
      <c r="B5938" t="str">
        <f>"1551603850961955"</f>
        <v>1551603850961955</v>
      </c>
      <c r="C5938" t="s">
        <v>40</v>
      </c>
      <c r="D5938">
        <v>5.0416049999999997</v>
      </c>
      <c r="E5938">
        <v>0.45843430000000002</v>
      </c>
      <c r="F5938" t="s">
        <v>42</v>
      </c>
      <c r="G5938">
        <v>-356.83620000000002</v>
      </c>
      <c r="H5938" s="1">
        <v>-1.579604E-6</v>
      </c>
      <c r="I5938">
        <v>18.26315</v>
      </c>
      <c r="J5938">
        <v>-398.13400000000001</v>
      </c>
      <c r="K5938">
        <v>1.124309</v>
      </c>
      <c r="L5938">
        <v>17.278469999999999</v>
      </c>
      <c r="M5938">
        <v>0.98937280000000005</v>
      </c>
      <c r="N5938">
        <v>-1.3590919999999999E-2</v>
      </c>
      <c r="O5938">
        <v>-0.1447637</v>
      </c>
      <c r="P5938">
        <v>0.97968739999999999</v>
      </c>
      <c r="Q5938">
        <v>0.1750534</v>
      </c>
      <c r="R5938">
        <v>-9.7821119999999998E-2</v>
      </c>
      <c r="S5938">
        <v>3.084778</v>
      </c>
      <c r="T5938">
        <v>-8.3677050000000003E-2</v>
      </c>
      <c r="U5938">
        <v>7.1777339999999995E-2</v>
      </c>
      <c r="V5938">
        <v>-4.623911E-2</v>
      </c>
      <c r="W5938">
        <v>0.18811510000000001</v>
      </c>
      <c r="X5938">
        <v>0.98105790000000004</v>
      </c>
      <c r="Y5938">
        <v>-0.1676494</v>
      </c>
      <c r="Z5938">
        <v>5.3582009999999999E-3</v>
      </c>
      <c r="AA5938">
        <v>0.98583209999999999</v>
      </c>
      <c r="AB5938">
        <v>28</v>
      </c>
      <c r="AC5938">
        <v>41.297800000000002</v>
      </c>
      <c r="AD5938">
        <v>-1.124310579604</v>
      </c>
      <c r="AE5938">
        <v>0.984679999999997</v>
      </c>
      <c r="AF5938">
        <v>-6.9481340830235503</v>
      </c>
      <c r="AG5938">
        <v>-1.124310579604</v>
      </c>
      <c r="AH5938">
        <v>40.689998403377302</v>
      </c>
      <c r="AI5938">
        <v>91.560173237472995</v>
      </c>
      <c r="AJ5938">
        <v>99.690238490593799</v>
      </c>
      <c r="AK5938">
        <v>41.294268507650401</v>
      </c>
      <c r="AL5938">
        <v>79.1571957383278</v>
      </c>
      <c r="AM5938">
        <v>92.698461249112398</v>
      </c>
      <c r="AN5938">
        <v>0.99999997464700496</v>
      </c>
    </row>
    <row r="5939" spans="1:40" x14ac:dyDescent="0.25">
      <c r="A5939" t="str">
        <f>"20190303170410986"</f>
        <v>20190303170410986</v>
      </c>
      <c r="B5939" t="str">
        <f>"1551603850971714"</f>
        <v>1551603850971714</v>
      </c>
      <c r="C5939" t="s">
        <v>40</v>
      </c>
      <c r="D5939">
        <v>5.0883629999999904</v>
      </c>
      <c r="E5939">
        <v>0.45864060000000001</v>
      </c>
      <c r="F5939" t="s">
        <v>42</v>
      </c>
      <c r="G5939">
        <v>-356.57929999999999</v>
      </c>
      <c r="H5939" s="1">
        <v>-1.6826110000000001E-6</v>
      </c>
      <c r="I5939">
        <v>18.30369</v>
      </c>
      <c r="J5939">
        <v>-397.98829999999998</v>
      </c>
      <c r="K5939">
        <v>1.12432</v>
      </c>
      <c r="L5939">
        <v>17.259160000000001</v>
      </c>
      <c r="M5939">
        <v>0.98963769999999995</v>
      </c>
      <c r="N5939">
        <v>-1.358972E-2</v>
      </c>
      <c r="O5939">
        <v>-0.14294309999999999</v>
      </c>
      <c r="P5939">
        <v>0.9797477</v>
      </c>
      <c r="Q5939">
        <v>0.1753779</v>
      </c>
      <c r="R5939">
        <v>-9.6630199999999999E-2</v>
      </c>
      <c r="S5939">
        <v>3.0847169999999999</v>
      </c>
      <c r="T5939">
        <v>-8.3460690000000004E-2</v>
      </c>
      <c r="U5939">
        <v>7.6110839999999999E-2</v>
      </c>
      <c r="V5939">
        <v>-4.5623839999999999E-2</v>
      </c>
      <c r="W5939">
        <v>0.18844060000000001</v>
      </c>
      <c r="X5939">
        <v>0.98102429999999996</v>
      </c>
      <c r="Y5939">
        <v>-0.16722100000000001</v>
      </c>
      <c r="Z5939">
        <v>5.3098009999999899E-3</v>
      </c>
      <c r="AA5939">
        <v>0.98590509999999998</v>
      </c>
      <c r="AB5939">
        <v>28</v>
      </c>
      <c r="AC5939">
        <v>41.408999999999899</v>
      </c>
      <c r="AD5939">
        <v>-1.1243216826109901</v>
      </c>
      <c r="AE5939">
        <v>1.04452999999999</v>
      </c>
      <c r="AF5939">
        <v>-6.9483594096521104</v>
      </c>
      <c r="AG5939">
        <v>-1.1243216826109901</v>
      </c>
      <c r="AH5939">
        <v>40.804303916943297</v>
      </c>
      <c r="AI5939">
        <v>91.555942056680493</v>
      </c>
      <c r="AJ5939">
        <v>99.663913180703503</v>
      </c>
      <c r="AK5939">
        <v>41.406944053841599</v>
      </c>
      <c r="AL5939">
        <v>79.138207024412296</v>
      </c>
      <c r="AM5939">
        <v>92.662697883224098</v>
      </c>
      <c r="AN5939">
        <v>1.00000003584759</v>
      </c>
    </row>
    <row r="5940" spans="1:40" x14ac:dyDescent="0.25">
      <c r="A5940" t="str">
        <f>"20190303170410998"</f>
        <v>20190303170410998</v>
      </c>
      <c r="B5940" t="str">
        <f>"1551603850992210"</f>
        <v>1551603850992210</v>
      </c>
      <c r="C5940" t="s">
        <v>40</v>
      </c>
      <c r="D5940">
        <v>5.0387240000000002</v>
      </c>
      <c r="E5940">
        <v>0.4588566</v>
      </c>
      <c r="F5940" t="s">
        <v>42</v>
      </c>
      <c r="G5940">
        <v>-355.733</v>
      </c>
      <c r="H5940" s="1">
        <v>-2.0392680000000001E-6</v>
      </c>
      <c r="I5940">
        <v>18.339790000000001</v>
      </c>
      <c r="J5940">
        <v>-397.83100000000002</v>
      </c>
      <c r="K5940">
        <v>1.1243339999999999</v>
      </c>
      <c r="L5940">
        <v>17.23846</v>
      </c>
      <c r="M5940">
        <v>0.98992119999999995</v>
      </c>
      <c r="N5940">
        <v>-1.358849E-2</v>
      </c>
      <c r="O5940">
        <v>-0.14096700000000001</v>
      </c>
      <c r="P5940">
        <v>0.97978010000000004</v>
      </c>
      <c r="Q5940">
        <v>0.1756105</v>
      </c>
      <c r="R5940">
        <v>-9.5875580000000002E-2</v>
      </c>
      <c r="S5940">
        <v>3.084473</v>
      </c>
      <c r="T5940">
        <v>-8.2071069999999996E-2</v>
      </c>
      <c r="U5940">
        <v>7.8887940000000004E-2</v>
      </c>
      <c r="V5940">
        <v>-4.441813E-2</v>
      </c>
      <c r="W5940">
        <v>0.1886785</v>
      </c>
      <c r="X5940">
        <v>0.98103390000000001</v>
      </c>
      <c r="Y5940">
        <v>-0.1661456</v>
      </c>
      <c r="Z5940">
        <v>5.161751E-3</v>
      </c>
      <c r="AA5940">
        <v>0.98608770000000001</v>
      </c>
      <c r="AB5940">
        <v>28</v>
      </c>
      <c r="AC5940">
        <v>42.0979999999999</v>
      </c>
      <c r="AD5940">
        <v>-1.124336039268</v>
      </c>
      <c r="AE5940">
        <v>1.1013299999999999</v>
      </c>
      <c r="AF5940">
        <v>-7.02030204942875</v>
      </c>
      <c r="AG5940">
        <v>-1.124336039268</v>
      </c>
      <c r="AH5940">
        <v>41.492702111640497</v>
      </c>
      <c r="AI5940">
        <v>91.530434996945303</v>
      </c>
      <c r="AJ5940">
        <v>99.603137024224793</v>
      </c>
      <c r="AK5940">
        <v>42.097423922607803</v>
      </c>
      <c r="AL5940">
        <v>79.124327315898</v>
      </c>
      <c r="AM5940">
        <v>92.592402220142802</v>
      </c>
      <c r="AN5940">
        <v>1.0000000297920699</v>
      </c>
    </row>
    <row r="5941" spans="1:40" x14ac:dyDescent="0.25">
      <c r="A5941" t="str">
        <f>"20190303170411018"</f>
        <v>20190303170411018</v>
      </c>
      <c r="B5941" t="str">
        <f>"1551603851011730"</f>
        <v>1551603851011730</v>
      </c>
      <c r="C5941" t="s">
        <v>40</v>
      </c>
      <c r="D5941">
        <v>5.0527939999999996</v>
      </c>
      <c r="E5941">
        <v>0.45914969999999999</v>
      </c>
      <c r="F5941" t="s">
        <v>42</v>
      </c>
      <c r="G5941">
        <v>-354.9633</v>
      </c>
      <c r="H5941" s="1">
        <v>-2.3668989999999999E-6</v>
      </c>
      <c r="I5941">
        <v>18.35435</v>
      </c>
      <c r="J5941">
        <v>-397.58010000000002</v>
      </c>
      <c r="K5941">
        <v>1.1243559999999999</v>
      </c>
      <c r="L5941">
        <v>17.206240000000001</v>
      </c>
      <c r="M5941">
        <v>0.99036869999999999</v>
      </c>
      <c r="N5941">
        <v>-1.358556E-2</v>
      </c>
      <c r="O5941">
        <v>-0.13778779999999999</v>
      </c>
      <c r="P5941">
        <v>0.97970900000000005</v>
      </c>
      <c r="Q5941">
        <v>0.17590810000000001</v>
      </c>
      <c r="R5941">
        <v>-9.6056299999999997E-2</v>
      </c>
      <c r="S5941">
        <v>3.0842589999999999</v>
      </c>
      <c r="T5941">
        <v>-8.0894110000000005E-2</v>
      </c>
      <c r="U5941">
        <v>8.0291749999999995E-2</v>
      </c>
      <c r="V5941">
        <v>-4.1082309999999997E-2</v>
      </c>
      <c r="W5941">
        <v>0.1889941</v>
      </c>
      <c r="X5941">
        <v>0.9811185</v>
      </c>
      <c r="Y5941">
        <v>-0.16343360000000001</v>
      </c>
      <c r="Z5941">
        <v>4.9836890000000003E-3</v>
      </c>
      <c r="AA5941">
        <v>0.98654169999999997</v>
      </c>
      <c r="AB5941">
        <v>28</v>
      </c>
      <c r="AC5941">
        <v>42.616799999999998</v>
      </c>
      <c r="AD5941">
        <v>-1.12435836689899</v>
      </c>
      <c r="AE5941">
        <v>1.14810999999999</v>
      </c>
      <c r="AF5941">
        <v>-7.0049012063613203</v>
      </c>
      <c r="AG5941">
        <v>-1.12435836689899</v>
      </c>
      <c r="AH5941">
        <v>42.022796550372398</v>
      </c>
      <c r="AI5941">
        <v>91.511785507210902</v>
      </c>
      <c r="AJ5941">
        <v>99.463783819718202</v>
      </c>
      <c r="AK5941">
        <v>42.617464173295097</v>
      </c>
      <c r="AL5941">
        <v>79.105913353132607</v>
      </c>
      <c r="AM5941">
        <v>92.397741682957204</v>
      </c>
      <c r="AN5941">
        <v>1.0000000185359901</v>
      </c>
    </row>
    <row r="5942" spans="1:40" x14ac:dyDescent="0.25">
      <c r="A5942" t="str">
        <f>"20190303170411032"</f>
        <v>20190303170411032</v>
      </c>
      <c r="B5942" t="str">
        <f>"1551603851021490"</f>
        <v>1551603851021490</v>
      </c>
      <c r="C5942" t="s">
        <v>40</v>
      </c>
      <c r="D5942">
        <v>5.0538730000000003</v>
      </c>
      <c r="E5942">
        <v>0.45932119999999999</v>
      </c>
      <c r="F5942" t="s">
        <v>42</v>
      </c>
      <c r="G5942">
        <v>-353.77379999999999</v>
      </c>
      <c r="H5942" s="1">
        <v>-2.881982E-6</v>
      </c>
      <c r="I5942">
        <v>18.327110000000001</v>
      </c>
      <c r="J5942">
        <v>-397.41309999999999</v>
      </c>
      <c r="K5942">
        <v>1.1243669999999999</v>
      </c>
      <c r="L5942">
        <v>17.185210000000001</v>
      </c>
      <c r="M5942">
        <v>0.99066310000000002</v>
      </c>
      <c r="N5942">
        <v>-1.357918E-2</v>
      </c>
      <c r="O5942">
        <v>-0.1356541</v>
      </c>
      <c r="P5942">
        <v>0.97967020000000005</v>
      </c>
      <c r="Q5942">
        <v>0.17629629999999999</v>
      </c>
      <c r="R5942">
        <v>-9.5739450000000004E-2</v>
      </c>
      <c r="S5942">
        <v>3.084076</v>
      </c>
      <c r="T5942">
        <v>-7.9157829999999998E-2</v>
      </c>
      <c r="U5942">
        <v>7.8918459999999996E-2</v>
      </c>
      <c r="V5942">
        <v>-3.9279920000000003E-2</v>
      </c>
      <c r="W5942">
        <v>0.18938650000000001</v>
      </c>
      <c r="X5942">
        <v>0.98111669999999995</v>
      </c>
      <c r="Y5942">
        <v>-0.16087570000000001</v>
      </c>
      <c r="Z5942">
        <v>4.785554E-3</v>
      </c>
      <c r="AA5942">
        <v>0.98696309999999998</v>
      </c>
      <c r="AB5942">
        <v>28</v>
      </c>
      <c r="AC5942">
        <v>43.639299999999899</v>
      </c>
      <c r="AD5942">
        <v>-1.1243698819820001</v>
      </c>
      <c r="AE5942">
        <v>1.1418999999999899</v>
      </c>
      <c r="AF5942">
        <v>-7.0470641052495004</v>
      </c>
      <c r="AG5942">
        <v>-1.1243698819820001</v>
      </c>
      <c r="AH5942">
        <v>43.052356800513998</v>
      </c>
      <c r="AI5942">
        <v>91.476377116026896</v>
      </c>
      <c r="AJ5942">
        <v>99.296073219842697</v>
      </c>
      <c r="AK5942">
        <v>43.639783984499402</v>
      </c>
      <c r="AL5942">
        <v>79.083017546336393</v>
      </c>
      <c r="AM5942">
        <v>92.292665416297893</v>
      </c>
      <c r="AN5942">
        <v>1.00000006875817</v>
      </c>
    </row>
    <row r="5943" spans="1:40" x14ac:dyDescent="0.25">
      <c r="A5943" t="str">
        <f>"20190303170411050"</f>
        <v>20190303170411050</v>
      </c>
      <c r="B5943" t="str">
        <f>"1551603851041986"</f>
        <v>1551603851041986</v>
      </c>
      <c r="C5943" t="s">
        <v>40</v>
      </c>
      <c r="D5943">
        <v>5.0491859999999997</v>
      </c>
      <c r="E5943">
        <v>0.45963480000000001</v>
      </c>
      <c r="F5943" t="s">
        <v>42</v>
      </c>
      <c r="G5943">
        <v>-352.68950000000001</v>
      </c>
      <c r="H5943" s="1">
        <v>-3.3457660000000001E-6</v>
      </c>
      <c r="I5943">
        <v>18.33492</v>
      </c>
      <c r="J5943">
        <v>-397.17970000000003</v>
      </c>
      <c r="K5943">
        <v>1.124382</v>
      </c>
      <c r="L5943">
        <v>17.15652</v>
      </c>
      <c r="M5943">
        <v>0.99106930000000004</v>
      </c>
      <c r="N5943">
        <v>-1.355933E-2</v>
      </c>
      <c r="O5943">
        <v>-0.13265729999999901</v>
      </c>
      <c r="P5943">
        <v>0.97958769999999995</v>
      </c>
      <c r="Q5943">
        <v>0.176640299999999</v>
      </c>
      <c r="R5943">
        <v>-9.5950649999999998E-2</v>
      </c>
      <c r="S5943">
        <v>3.0839539999999999</v>
      </c>
      <c r="T5943">
        <v>-7.7532050000000005E-2</v>
      </c>
      <c r="U5943">
        <v>7.9284670000000002E-2</v>
      </c>
      <c r="V5943">
        <v>-3.6093680000000003E-2</v>
      </c>
      <c r="W5943">
        <v>0.1897306</v>
      </c>
      <c r="X5943">
        <v>0.98117259999999995</v>
      </c>
      <c r="Y5943">
        <v>-0.158013299999999</v>
      </c>
      <c r="Z5943">
        <v>4.5837739999999997E-3</v>
      </c>
      <c r="AA5943">
        <v>0.98742629999999998</v>
      </c>
      <c r="AB5943">
        <v>28</v>
      </c>
      <c r="AC5943">
        <v>44.490200000000002</v>
      </c>
      <c r="AD5943">
        <v>-1.124385345766</v>
      </c>
      <c r="AE5943">
        <v>1.1783999999999999</v>
      </c>
      <c r="AF5943">
        <v>-7.0659653484974303</v>
      </c>
      <c r="AG5943">
        <v>-1.124385345766</v>
      </c>
      <c r="AH5943">
        <v>43.9125561789198</v>
      </c>
      <c r="AI5943">
        <v>91.448124094895803</v>
      </c>
      <c r="AJ5943">
        <v>99.141102233562194</v>
      </c>
      <c r="AK5943">
        <v>44.491625042009098</v>
      </c>
      <c r="AL5943">
        <v>79.062937948744803</v>
      </c>
      <c r="AM5943">
        <v>92.106748042554301</v>
      </c>
      <c r="AN5943">
        <v>1.00000006265152</v>
      </c>
    </row>
    <row r="5944" spans="1:40" x14ac:dyDescent="0.25">
      <c r="A5944" t="str">
        <f>"20190303170411064"</f>
        <v>20190303170411064</v>
      </c>
      <c r="B5944" t="str">
        <f>"1551603851051746"</f>
        <v>1551603851051746</v>
      </c>
      <c r="C5944" t="s">
        <v>40</v>
      </c>
      <c r="D5944">
        <v>5.0280959999999997</v>
      </c>
      <c r="E5944">
        <v>0.45975120000000003</v>
      </c>
      <c r="F5944" t="s">
        <v>42</v>
      </c>
      <c r="G5944">
        <v>-352.34649999999999</v>
      </c>
      <c r="H5944" s="1">
        <v>-3.50396E-6</v>
      </c>
      <c r="I5944">
        <v>18.272659999999998</v>
      </c>
      <c r="J5944">
        <v>-397.02749999999997</v>
      </c>
      <c r="K5944">
        <v>1.1243829999999999</v>
      </c>
      <c r="L5944">
        <v>17.138210000000001</v>
      </c>
      <c r="M5944">
        <v>0.99133090000000001</v>
      </c>
      <c r="N5944">
        <v>-1.3527529999999999E-2</v>
      </c>
      <c r="O5944">
        <v>-0.1306908</v>
      </c>
      <c r="P5944">
        <v>0.97956730000000003</v>
      </c>
      <c r="Q5944">
        <v>0.1771296</v>
      </c>
      <c r="R5944">
        <v>-9.5251989999999995E-2</v>
      </c>
      <c r="S5944">
        <v>3.0839840000000001</v>
      </c>
      <c r="T5944">
        <v>-7.7344179999999998E-2</v>
      </c>
      <c r="U5944">
        <v>7.6782230000000007E-2</v>
      </c>
      <c r="V5944">
        <v>-3.4838460000000002E-2</v>
      </c>
      <c r="W5944">
        <v>0.19019639999999999</v>
      </c>
      <c r="X5944">
        <v>0.98112770000000005</v>
      </c>
      <c r="Y5944">
        <v>-0.15525449999999999</v>
      </c>
      <c r="Z5944">
        <v>4.4969950000000002E-3</v>
      </c>
      <c r="AA5944">
        <v>0.98786430000000003</v>
      </c>
      <c r="AB5944">
        <v>28</v>
      </c>
      <c r="AC5944">
        <v>44.680999999999898</v>
      </c>
      <c r="AD5944">
        <v>-1.1243865039599901</v>
      </c>
      <c r="AE5944">
        <v>1.13445</v>
      </c>
      <c r="AF5944">
        <v>-6.9602432958655296</v>
      </c>
      <c r="AG5944">
        <v>-1.1243865039599901</v>
      </c>
      <c r="AH5944">
        <v>44.1215101654454</v>
      </c>
      <c r="AI5944">
        <v>91.441977507102294</v>
      </c>
      <c r="AJ5944">
        <v>98.964630456036801</v>
      </c>
      <c r="AK5944">
        <v>44.681281215151301</v>
      </c>
      <c r="AL5944">
        <v>79.035753640004302</v>
      </c>
      <c r="AM5944">
        <v>92.033637847627801</v>
      </c>
      <c r="AN5944">
        <v>0.99999997628770998</v>
      </c>
    </row>
    <row r="5945" spans="1:40" x14ac:dyDescent="0.25">
      <c r="A5945" t="str">
        <f>"20190303170411078"</f>
        <v>20190303170411078</v>
      </c>
      <c r="B5945" t="str">
        <f>"1551603851071266"</f>
        <v>1551603851071266</v>
      </c>
      <c r="C5945" t="s">
        <v>40</v>
      </c>
      <c r="D5945">
        <v>5.0174949999999896</v>
      </c>
      <c r="E5945">
        <v>0.4599319</v>
      </c>
      <c r="F5945" t="s">
        <v>42</v>
      </c>
      <c r="G5945">
        <v>-351.4735</v>
      </c>
      <c r="H5945" s="1">
        <v>-3.8749230000000004E-6</v>
      </c>
      <c r="I5945">
        <v>18.292580000000001</v>
      </c>
      <c r="J5945">
        <v>-396.85730000000001</v>
      </c>
      <c r="K5945">
        <v>1.1243879999999999</v>
      </c>
      <c r="L5945">
        <v>17.118040000000001</v>
      </c>
      <c r="M5945">
        <v>0.99161960000000005</v>
      </c>
      <c r="N5945">
        <v>-1.347888E-2</v>
      </c>
      <c r="O5945">
        <v>-0.12848789999999999</v>
      </c>
      <c r="P5945">
        <v>0.97955239999999999</v>
      </c>
      <c r="Q5945">
        <v>0.17778459999999999</v>
      </c>
      <c r="R5945">
        <v>-9.4181870000000001E-2</v>
      </c>
      <c r="S5945">
        <v>3.0839539999999999</v>
      </c>
      <c r="T5945">
        <v>-7.6119899999999893E-2</v>
      </c>
      <c r="U5945">
        <v>7.8155520000000006E-2</v>
      </c>
      <c r="V5945">
        <v>-3.3719970000000002E-2</v>
      </c>
      <c r="W5945">
        <v>0.19080920000000001</v>
      </c>
      <c r="X5945">
        <v>0.98104780000000003</v>
      </c>
      <c r="Y5945">
        <v>-0.15350269999999999</v>
      </c>
      <c r="Z5945">
        <v>4.3594659999999898E-3</v>
      </c>
      <c r="AA5945">
        <v>0.98813859999999998</v>
      </c>
      <c r="AB5945">
        <v>28</v>
      </c>
      <c r="AC5945">
        <v>45.383800000000001</v>
      </c>
      <c r="AD5945">
        <v>-1.124391874923</v>
      </c>
      <c r="AE5945">
        <v>1.1745399999999899</v>
      </c>
      <c r="AF5945">
        <v>-6.9923116856444496</v>
      </c>
      <c r="AG5945">
        <v>-1.124391874923</v>
      </c>
      <c r="AH5945">
        <v>44.8291226140501</v>
      </c>
      <c r="AI5945">
        <v>91.419618047097799</v>
      </c>
      <c r="AJ5945">
        <v>98.865389080280195</v>
      </c>
      <c r="AK5945">
        <v>45.385095726935802</v>
      </c>
      <c r="AL5945">
        <v>78.999987906520801</v>
      </c>
      <c r="AM5945">
        <v>91.968560231208599</v>
      </c>
      <c r="AN5945">
        <v>0.99999998653314004</v>
      </c>
    </row>
    <row r="5946" spans="1:40" x14ac:dyDescent="0.25">
      <c r="A5946" t="str">
        <f>"20190303170411089"</f>
        <v>20190303170411089</v>
      </c>
      <c r="B5946" t="str">
        <f>"1551603851082003"</f>
        <v>1551603851082003</v>
      </c>
      <c r="C5946" t="s">
        <v>40</v>
      </c>
      <c r="D5946">
        <v>5.0539610000000001</v>
      </c>
      <c r="E5946">
        <v>0.4600844</v>
      </c>
      <c r="F5946" t="s">
        <v>42</v>
      </c>
      <c r="G5946">
        <v>-350.19199999999898</v>
      </c>
      <c r="H5946" s="1">
        <v>-4.4174780000000003E-6</v>
      </c>
      <c r="I5946">
        <v>18.33343</v>
      </c>
      <c r="J5946">
        <v>-396.69619999999998</v>
      </c>
      <c r="K5946">
        <v>1.1243829999999999</v>
      </c>
      <c r="L5946">
        <v>17.099429999999899</v>
      </c>
      <c r="M5946">
        <v>0.99188900000000002</v>
      </c>
      <c r="N5946">
        <v>-1.341442E-2</v>
      </c>
      <c r="O5946">
        <v>-0.1263978</v>
      </c>
      <c r="P5946">
        <v>0.97959620000000003</v>
      </c>
      <c r="Q5946">
        <v>0.178118</v>
      </c>
      <c r="R5946">
        <v>-9.3088889999999994E-2</v>
      </c>
      <c r="S5946">
        <v>3.0838009999999998</v>
      </c>
      <c r="T5946">
        <v>-7.4303629999999996E-2</v>
      </c>
      <c r="U5946">
        <v>8.0322270000000001E-2</v>
      </c>
      <c r="V5946">
        <v>-3.2741399999999997E-2</v>
      </c>
      <c r="W5946">
        <v>0.19108439999999999</v>
      </c>
      <c r="X5946">
        <v>0.98102739999999999</v>
      </c>
      <c r="Y5946">
        <v>-0.15211939999999999</v>
      </c>
      <c r="Z5946">
        <v>4.1945609999999899E-3</v>
      </c>
      <c r="AA5946">
        <v>0.98835320000000004</v>
      </c>
      <c r="AB5946">
        <v>28</v>
      </c>
      <c r="AC5946">
        <v>46.504199999999997</v>
      </c>
      <c r="AD5946">
        <v>-1.124387417478</v>
      </c>
      <c r="AE5946">
        <v>1.234</v>
      </c>
      <c r="AF5946">
        <v>-7.0985114194342804</v>
      </c>
      <c r="AG5946">
        <v>-1.124387417478</v>
      </c>
      <c r="AH5946">
        <v>45.948321286350698</v>
      </c>
      <c r="AI5946">
        <v>91.385359770883596</v>
      </c>
      <c r="AJ5946">
        <v>98.782141014293998</v>
      </c>
      <c r="AK5946">
        <v>46.507003133615598</v>
      </c>
      <c r="AL5946">
        <v>78.983924735982697</v>
      </c>
      <c r="AM5946">
        <v>91.911514382663199</v>
      </c>
      <c r="AN5946">
        <v>1.0000000033740399</v>
      </c>
    </row>
    <row r="5947" spans="1:40" x14ac:dyDescent="0.25">
      <c r="A5947" t="str">
        <f>"20190303170411107"</f>
        <v>20190303170411107</v>
      </c>
      <c r="B5947" t="str">
        <f>"1551603851091762"</f>
        <v>1551603851091762</v>
      </c>
      <c r="C5947" t="s">
        <v>40</v>
      </c>
      <c r="D5947">
        <v>5.0463079999999998</v>
      </c>
      <c r="E5947">
        <v>0.46018039999999999</v>
      </c>
      <c r="F5947" t="s">
        <v>42</v>
      </c>
      <c r="G5947">
        <v>-349.78269999999998</v>
      </c>
      <c r="H5947" s="1">
        <v>-3.9443200000000002E-7</v>
      </c>
      <c r="I5947">
        <v>18.359349999999999</v>
      </c>
      <c r="J5947">
        <v>-396.49590000000001</v>
      </c>
      <c r="K5947">
        <v>1.1243749999999999</v>
      </c>
      <c r="L5947">
        <v>17.076689999999999</v>
      </c>
      <c r="M5947">
        <v>0.99221809999999999</v>
      </c>
      <c r="N5947">
        <v>-1.332855E-2</v>
      </c>
      <c r="O5947">
        <v>-0.123797</v>
      </c>
      <c r="P5947">
        <v>0.97940490000000002</v>
      </c>
      <c r="Q5947">
        <v>0.17939050000000001</v>
      </c>
      <c r="R5947">
        <v>-9.2657069999999994E-2</v>
      </c>
      <c r="S5947">
        <v>3.083771</v>
      </c>
      <c r="T5947">
        <v>-7.3909279999999994E-2</v>
      </c>
      <c r="U5947">
        <v>8.2824709999999996E-2</v>
      </c>
      <c r="V5947">
        <v>-3.0577500000000001E-2</v>
      </c>
      <c r="W5947">
        <v>0.19228429999999999</v>
      </c>
      <c r="X5947">
        <v>0.98086269999999998</v>
      </c>
      <c r="Y5947">
        <v>-0.15033150000000001</v>
      </c>
      <c r="Z5947">
        <v>4.1126309999999899E-3</v>
      </c>
      <c r="AA5947">
        <v>0.98862709999999998</v>
      </c>
      <c r="AB5947">
        <v>28</v>
      </c>
      <c r="AC5947">
        <v>46.713200000000001</v>
      </c>
      <c r="AD5947">
        <v>-1.1243753944320001</v>
      </c>
      <c r="AE5947">
        <v>1.2826599999999999</v>
      </c>
      <c r="AF5947">
        <v>-7.05217629450107</v>
      </c>
      <c r="AG5947">
        <v>-1.1243753944320001</v>
      </c>
      <c r="AH5947">
        <v>46.168266529214101</v>
      </c>
      <c r="AI5947">
        <v>91.379107608489207</v>
      </c>
      <c r="AJ5947">
        <v>98.684767288914898</v>
      </c>
      <c r="AK5947">
        <v>46.717301343601598</v>
      </c>
      <c r="AL5947">
        <v>78.913875839224005</v>
      </c>
      <c r="AM5947">
        <v>91.785565396758997</v>
      </c>
      <c r="AN5947">
        <v>0.99999993589201297</v>
      </c>
    </row>
    <row r="5948" spans="1:40" x14ac:dyDescent="0.25">
      <c r="A5948" t="str">
        <f>"20190303170411120"</f>
        <v>20190303170411120</v>
      </c>
      <c r="B5948" t="str">
        <f>"1551603851111282"</f>
        <v>1551603851111282</v>
      </c>
      <c r="C5948" t="s">
        <v>40</v>
      </c>
      <c r="D5948">
        <v>5.0349870000000001</v>
      </c>
      <c r="E5948">
        <v>0.46038580000000001</v>
      </c>
      <c r="F5948" t="s">
        <v>42</v>
      </c>
      <c r="G5948">
        <v>-346.8175</v>
      </c>
      <c r="H5948" s="1">
        <v>-1.55722E-6</v>
      </c>
      <c r="I5948">
        <v>18.434439999999999</v>
      </c>
      <c r="J5948">
        <v>-396.32690000000002</v>
      </c>
      <c r="K5948">
        <v>1.1243609999999999</v>
      </c>
      <c r="L5948">
        <v>17.05789</v>
      </c>
      <c r="M5948">
        <v>0.9924906</v>
      </c>
      <c r="N5948">
        <v>-1.3250720000000001E-2</v>
      </c>
      <c r="O5948">
        <v>-0.1216006</v>
      </c>
      <c r="P5948">
        <v>0.9794737</v>
      </c>
      <c r="Q5948">
        <v>0.17956929999999999</v>
      </c>
      <c r="R5948">
        <v>-9.1576309999999994E-2</v>
      </c>
      <c r="S5948">
        <v>3.0838619999999999</v>
      </c>
      <c r="T5948">
        <v>-6.9797399999999996E-2</v>
      </c>
      <c r="U5948">
        <v>8.4289550000000005E-2</v>
      </c>
      <c r="V5948">
        <v>-2.948286E-2</v>
      </c>
      <c r="W5948">
        <v>0.19239429999999999</v>
      </c>
      <c r="X5948">
        <v>0.98087469999999999</v>
      </c>
      <c r="Y5948">
        <v>-0.1486198</v>
      </c>
      <c r="Z5948">
        <v>3.800463E-3</v>
      </c>
      <c r="AA5948">
        <v>0.98888710000000002</v>
      </c>
      <c r="AB5948">
        <v>28</v>
      </c>
      <c r="AC5948">
        <v>49.509399999999999</v>
      </c>
      <c r="AD5948">
        <v>-1.12436255722</v>
      </c>
      <c r="AE5948">
        <v>1.3765499999999899</v>
      </c>
      <c r="AF5948">
        <v>-7.38342964275986</v>
      </c>
      <c r="AG5948">
        <v>-1.12436255722</v>
      </c>
      <c r="AH5948">
        <v>48.949301484406199</v>
      </c>
      <c r="AI5948">
        <v>91.301135821724202</v>
      </c>
      <c r="AJ5948">
        <v>98.577734209849396</v>
      </c>
      <c r="AK5948">
        <v>49.515788797725499</v>
      </c>
      <c r="AL5948">
        <v>78.907454009689502</v>
      </c>
      <c r="AM5948">
        <v>91.721662304567602</v>
      </c>
      <c r="AN5948">
        <v>0.99999999140317897</v>
      </c>
    </row>
    <row r="5949" spans="1:40" x14ac:dyDescent="0.25">
      <c r="A5949" t="str">
        <f>"20190303170411140"</f>
        <v>20190303170411140</v>
      </c>
      <c r="B5949" t="str">
        <f>"1551603851131778"</f>
        <v>1551603851131778</v>
      </c>
      <c r="C5949" t="s">
        <v>40</v>
      </c>
      <c r="D5949">
        <v>4.9966100000000004</v>
      </c>
      <c r="E5949">
        <v>0.46394150000000001</v>
      </c>
      <c r="F5949" t="s">
        <v>42</v>
      </c>
      <c r="G5949">
        <v>-347.10820000000001</v>
      </c>
      <c r="H5949" s="1">
        <v>-1.4314200000000001E-6</v>
      </c>
      <c r="I5949">
        <v>18.440550000000002</v>
      </c>
      <c r="J5949">
        <v>-396.0736</v>
      </c>
      <c r="K5949">
        <v>1.124341</v>
      </c>
      <c r="L5949">
        <v>17.030460000000001</v>
      </c>
      <c r="M5949">
        <v>0.99289079999999996</v>
      </c>
      <c r="N5949">
        <v>-1.312202E-2</v>
      </c>
      <c r="O5949">
        <v>-0.11830300000000001</v>
      </c>
      <c r="P5949">
        <v>0.97975049999999997</v>
      </c>
      <c r="Q5949">
        <v>0.179117</v>
      </c>
      <c r="R5949">
        <v>-8.9476059999999996E-2</v>
      </c>
      <c r="S5949">
        <v>3.083923</v>
      </c>
      <c r="T5949">
        <v>-7.0449830000000005E-2</v>
      </c>
      <c r="U5949">
        <v>8.6639399999999894E-2</v>
      </c>
      <c r="V5949">
        <v>-2.8329389999999999E-2</v>
      </c>
      <c r="W5949">
        <v>0.19182479999999999</v>
      </c>
      <c r="X5949">
        <v>0.98102020000000001</v>
      </c>
      <c r="Y5949">
        <v>-0.14608670000000001</v>
      </c>
      <c r="Z5949">
        <v>3.7708529999999998E-3</v>
      </c>
      <c r="AA5949">
        <v>0.98926460000000005</v>
      </c>
      <c r="AB5949">
        <v>28</v>
      </c>
      <c r="AC5949">
        <v>48.965399999999903</v>
      </c>
      <c r="AD5949">
        <v>-1.1243424314199999</v>
      </c>
      <c r="AE5949">
        <v>1.4100900000000001</v>
      </c>
      <c r="AF5949">
        <v>-7.18965108012166</v>
      </c>
      <c r="AG5949">
        <v>-1.1243424314199999</v>
      </c>
      <c r="AH5949">
        <v>48.429137644817402</v>
      </c>
      <c r="AI5949">
        <v>91.315540810074907</v>
      </c>
      <c r="AJ5949">
        <v>98.4442917385974</v>
      </c>
      <c r="AK5949">
        <v>48.9728149239724</v>
      </c>
      <c r="AL5949">
        <v>78.940703040935702</v>
      </c>
      <c r="AM5949">
        <v>91.654097969851705</v>
      </c>
      <c r="AN5949">
        <v>0.999999970520425</v>
      </c>
    </row>
    <row r="5950" spans="1:40" x14ac:dyDescent="0.25">
      <c r="A5950" t="str">
        <f>"20190303170411153"</f>
        <v>20190303170411153</v>
      </c>
      <c r="B5950" t="str">
        <f>"1551603851141538"</f>
        <v>1551603851141538</v>
      </c>
      <c r="C5950" t="s">
        <v>40</v>
      </c>
      <c r="D5950">
        <v>5.0540839999999996</v>
      </c>
      <c r="E5950">
        <v>0.46387669999999998</v>
      </c>
      <c r="F5950" t="s">
        <v>105</v>
      </c>
      <c r="G5950">
        <v>-363.80160000000001</v>
      </c>
      <c r="H5950" s="1">
        <v>-3.263669E-6</v>
      </c>
      <c r="I5950">
        <v>17.737880000000001</v>
      </c>
      <c r="J5950">
        <v>-395.91460000000001</v>
      </c>
      <c r="K5950">
        <v>1.124322</v>
      </c>
      <c r="L5950">
        <v>17.01361</v>
      </c>
      <c r="M5950">
        <v>0.99313669999999998</v>
      </c>
      <c r="N5950">
        <v>-1.303521E-2</v>
      </c>
      <c r="O5950">
        <v>-0.1162308</v>
      </c>
      <c r="P5950">
        <v>0.97991039999999996</v>
      </c>
      <c r="Q5950">
        <v>0.1790638</v>
      </c>
      <c r="R5950">
        <v>-8.7817900000000004E-2</v>
      </c>
      <c r="S5950">
        <v>3.08786</v>
      </c>
      <c r="T5950">
        <v>-0.1075798</v>
      </c>
      <c r="U5950">
        <v>6.7687990000000003E-2</v>
      </c>
      <c r="V5950">
        <v>-2.794048E-2</v>
      </c>
      <c r="W5950">
        <v>0.19168959999999999</v>
      </c>
      <c r="X5950">
        <v>0.98105779999999998</v>
      </c>
      <c r="Y5950">
        <v>-0.1378374</v>
      </c>
      <c r="Z5950">
        <v>5.8243180000000002E-3</v>
      </c>
      <c r="AA5950">
        <v>0.99043769999999998</v>
      </c>
      <c r="AB5950">
        <v>28</v>
      </c>
      <c r="AC5950">
        <v>32.113</v>
      </c>
      <c r="AD5950">
        <v>-1.124325263669</v>
      </c>
      <c r="AE5950">
        <v>0.72426999999999997</v>
      </c>
      <c r="AF5950">
        <v>-4.4467489342343596</v>
      </c>
      <c r="AG5950">
        <v>-1.124325263669</v>
      </c>
      <c r="AH5950">
        <v>31.7721919933993</v>
      </c>
      <c r="AI5950">
        <v>92.007138560844496</v>
      </c>
      <c r="AJ5950">
        <v>97.967208630461897</v>
      </c>
      <c r="AK5950">
        <v>32.101555530037302</v>
      </c>
      <c r="AL5950">
        <v>78.948596121794793</v>
      </c>
      <c r="AM5950">
        <v>91.631340136794904</v>
      </c>
      <c r="AN5950">
        <v>0.99999999005581497</v>
      </c>
    </row>
    <row r="5951" spans="1:40" x14ac:dyDescent="0.25">
      <c r="A5951" t="str">
        <f>"20190303170411172"</f>
        <v>20190303170411172</v>
      </c>
      <c r="B5951" t="str">
        <f>"1551603851162034"</f>
        <v>1551603851162034</v>
      </c>
      <c r="C5951" t="s">
        <v>40</v>
      </c>
      <c r="D5951">
        <v>5.009207</v>
      </c>
      <c r="E5951">
        <v>0.46270109999999998</v>
      </c>
      <c r="F5951" t="s">
        <v>105</v>
      </c>
      <c r="G5951">
        <v>-363.07190000000003</v>
      </c>
      <c r="H5951" s="1">
        <v>-3.5991599999999999E-6</v>
      </c>
      <c r="I5951">
        <v>17.791119999999999</v>
      </c>
      <c r="J5951">
        <v>-395.67860000000002</v>
      </c>
      <c r="K5951">
        <v>1.1242909999999999</v>
      </c>
      <c r="L5951">
        <v>16.989319999999999</v>
      </c>
      <c r="M5951">
        <v>0.99349310000000002</v>
      </c>
      <c r="N5951">
        <v>-1.290436E-2</v>
      </c>
      <c r="O5951">
        <v>-0.1131588</v>
      </c>
      <c r="P5951">
        <v>0.98025819999999997</v>
      </c>
      <c r="Q5951">
        <v>0.17867049999999901</v>
      </c>
      <c r="R5951">
        <v>-8.4681590000000001E-2</v>
      </c>
      <c r="S5951">
        <v>3.0873719999999998</v>
      </c>
      <c r="T5951">
        <v>-0.1056921</v>
      </c>
      <c r="U5951">
        <v>7.3089600000000005E-2</v>
      </c>
      <c r="V5951">
        <v>-2.80491E-2</v>
      </c>
      <c r="W5951">
        <v>0.19116820000000001</v>
      </c>
      <c r="X5951">
        <v>0.98115649999999999</v>
      </c>
      <c r="Y5951">
        <v>-0.136516</v>
      </c>
      <c r="Z5951">
        <v>5.6225809999999998E-3</v>
      </c>
      <c r="AA5951">
        <v>0.99062190000000006</v>
      </c>
      <c r="AB5951">
        <v>28</v>
      </c>
      <c r="AC5951">
        <v>32.606699999999897</v>
      </c>
      <c r="AD5951">
        <v>-1.12429459916</v>
      </c>
      <c r="AE5951">
        <v>0.80179999999999996</v>
      </c>
      <c r="AF5951">
        <v>-4.4813667555830801</v>
      </c>
      <c r="AG5951">
        <v>-1.12429459916</v>
      </c>
      <c r="AH5951">
        <v>32.268150582993798</v>
      </c>
      <c r="AI5951">
        <v>91.976551045536496</v>
      </c>
      <c r="AJ5951">
        <v>97.906603821041003</v>
      </c>
      <c r="AK5951">
        <v>32.597242650115497</v>
      </c>
      <c r="AL5951">
        <v>78.9790337531538</v>
      </c>
      <c r="AM5951">
        <v>91.637513951960798</v>
      </c>
      <c r="AN5951">
        <v>1.00000005509714</v>
      </c>
    </row>
    <row r="5952" spans="1:40" x14ac:dyDescent="0.25">
      <c r="A5952" t="str">
        <f>"20190303170411184"</f>
        <v>20190303170411184</v>
      </c>
      <c r="B5952" t="str">
        <f>"1551603851171794"</f>
        <v>1551603851171794</v>
      </c>
      <c r="C5952" t="s">
        <v>40</v>
      </c>
      <c r="D5952">
        <v>5.0191919999999897</v>
      </c>
      <c r="E5952">
        <v>0.46278459999999899</v>
      </c>
      <c r="F5952" t="s">
        <v>42</v>
      </c>
      <c r="G5952">
        <v>-342.34120000000001</v>
      </c>
      <c r="H5952" s="1">
        <v>-3.4602360000000001E-6</v>
      </c>
      <c r="I5952">
        <v>18.531880000000001</v>
      </c>
      <c r="J5952">
        <v>-395.53570000000002</v>
      </c>
      <c r="K5952">
        <v>1.1242760000000001</v>
      </c>
      <c r="L5952">
        <v>16.975010000000001</v>
      </c>
      <c r="M5952">
        <v>0.99370429999999998</v>
      </c>
      <c r="N5952">
        <v>-1.2820730000000001E-2</v>
      </c>
      <c r="O5952">
        <v>-0.1112996</v>
      </c>
      <c r="P5952">
        <v>0.98035969999999995</v>
      </c>
      <c r="Q5952">
        <v>0.17892130000000001</v>
      </c>
      <c r="R5952">
        <v>-8.2959260000000007E-2</v>
      </c>
      <c r="S5952">
        <v>3.079987</v>
      </c>
      <c r="T5952">
        <v>-6.4922809999999997E-2</v>
      </c>
      <c r="U5952">
        <v>8.9080809999999996E-2</v>
      </c>
      <c r="V5952">
        <v>-2.793261E-2</v>
      </c>
      <c r="W5952">
        <v>0.19133710000000001</v>
      </c>
      <c r="X5952">
        <v>0.98112679999999997</v>
      </c>
      <c r="Y5952">
        <v>-0.13993929999999999</v>
      </c>
      <c r="Z5952">
        <v>3.2861829999999998E-3</v>
      </c>
      <c r="AA5952">
        <v>0.9901546</v>
      </c>
      <c r="AB5952">
        <v>28</v>
      </c>
      <c r="AC5952">
        <v>53.194499999999998</v>
      </c>
      <c r="AD5952">
        <v>-1.124279460236</v>
      </c>
      <c r="AE5952">
        <v>1.55686999999999</v>
      </c>
      <c r="AF5952">
        <v>-7.4648763136251199</v>
      </c>
      <c r="AG5952">
        <v>-1.124279460236</v>
      </c>
      <c r="AH5952">
        <v>52.667143257369197</v>
      </c>
      <c r="AI5952">
        <v>91.210802713436095</v>
      </c>
      <c r="AJ5952">
        <v>98.067189638647406</v>
      </c>
      <c r="AK5952">
        <v>53.205416656339501</v>
      </c>
      <c r="AL5952">
        <v>78.969173408619298</v>
      </c>
      <c r="AM5952">
        <v>91.630766251600605</v>
      </c>
      <c r="AN5952">
        <v>0.99999995710803002</v>
      </c>
    </row>
    <row r="5953" spans="1:40" x14ac:dyDescent="0.25">
      <c r="A5953" t="str">
        <f>"20190303170411196"</f>
        <v>20190303170411196</v>
      </c>
      <c r="B5953" t="str">
        <f>"1551603851181554"</f>
        <v>1551603851181554</v>
      </c>
      <c r="C5953" t="s">
        <v>40</v>
      </c>
      <c r="D5953">
        <v>5.0318290000000001</v>
      </c>
      <c r="E5953">
        <v>0.46284419999999998</v>
      </c>
      <c r="F5953" t="s">
        <v>42</v>
      </c>
      <c r="G5953">
        <v>-340.96800000000002</v>
      </c>
      <c r="H5953" s="1">
        <v>-4.029648E-6</v>
      </c>
      <c r="I5953">
        <v>18.643090000000001</v>
      </c>
      <c r="J5953">
        <v>-395.38799999999998</v>
      </c>
      <c r="K5953">
        <v>1.124263</v>
      </c>
      <c r="L5953">
        <v>16.960360000000001</v>
      </c>
      <c r="M5953">
        <v>0.99391890000000005</v>
      </c>
      <c r="N5953">
        <v>-1.273257E-2</v>
      </c>
      <c r="O5953">
        <v>-0.10937620000000001</v>
      </c>
      <c r="P5953">
        <v>0.98048749999999996</v>
      </c>
      <c r="Q5953">
        <v>0.17896979999999901</v>
      </c>
      <c r="R5953">
        <v>-8.1329700000000005E-2</v>
      </c>
      <c r="S5953">
        <v>3.0796510000000001</v>
      </c>
      <c r="T5953">
        <v>-6.3451170000000001E-2</v>
      </c>
      <c r="U5953">
        <v>9.4146729999999998E-2</v>
      </c>
      <c r="V5953">
        <v>-2.76624E-2</v>
      </c>
      <c r="W5953">
        <v>0.1913011</v>
      </c>
      <c r="X5953">
        <v>0.9811415</v>
      </c>
      <c r="Y5953">
        <v>-0.13965569999999999</v>
      </c>
      <c r="Z5953">
        <v>3.1841619999999999E-3</v>
      </c>
      <c r="AA5953">
        <v>0.99019500000000005</v>
      </c>
      <c r="AB5953">
        <v>28</v>
      </c>
      <c r="AC5953">
        <v>54.42</v>
      </c>
      <c r="AD5953">
        <v>-1.124267029648</v>
      </c>
      <c r="AE5953">
        <v>1.6827299999999901</v>
      </c>
      <c r="AF5953">
        <v>-7.6221178967102201</v>
      </c>
      <c r="AG5953">
        <v>-1.124267029648</v>
      </c>
      <c r="AH5953">
        <v>53.886407954463799</v>
      </c>
      <c r="AI5953">
        <v>91.183448659658197</v>
      </c>
      <c r="AJ5953">
        <v>98.050956590991206</v>
      </c>
      <c r="AK5953">
        <v>54.434415766316498</v>
      </c>
      <c r="AL5953">
        <v>78.9712751435314</v>
      </c>
      <c r="AM5953">
        <v>91.614975018024893</v>
      </c>
      <c r="AN5953">
        <v>0.99999998112860899</v>
      </c>
    </row>
    <row r="5954" spans="1:40" x14ac:dyDescent="0.25">
      <c r="A5954" t="str">
        <f>"20190303170411209"</f>
        <v>20190303170411209</v>
      </c>
      <c r="B5954" t="str">
        <f>"1551603851202051"</f>
        <v>1551603851202051</v>
      </c>
      <c r="C5954" t="s">
        <v>40</v>
      </c>
      <c r="D5954">
        <v>5.0229699999999999</v>
      </c>
      <c r="E5954">
        <v>0.46325739999999999</v>
      </c>
      <c r="F5954" t="s">
        <v>42</v>
      </c>
      <c r="G5954">
        <v>-343.57429999999999</v>
      </c>
      <c r="H5954" s="1">
        <v>-2.913558E-6</v>
      </c>
      <c r="I5954">
        <v>18.63175</v>
      </c>
      <c r="J5954">
        <v>-395.22280000000001</v>
      </c>
      <c r="K5954">
        <v>1.124244</v>
      </c>
      <c r="L5954">
        <v>16.944459999999999</v>
      </c>
      <c r="M5954">
        <v>0.99415390000000003</v>
      </c>
      <c r="N5954">
        <v>-1.2629E-2</v>
      </c>
      <c r="O5954">
        <v>-0.10723149999999999</v>
      </c>
      <c r="P5954">
        <v>0.98059269999999998</v>
      </c>
      <c r="Q5954">
        <v>0.17903129999999901</v>
      </c>
      <c r="R5954">
        <v>-7.9913049999999999E-2</v>
      </c>
      <c r="S5954">
        <v>3.0802</v>
      </c>
      <c r="T5954">
        <v>-6.6834930000000001E-2</v>
      </c>
      <c r="U5954">
        <v>9.9365229999999999E-2</v>
      </c>
      <c r="V5954">
        <v>-2.6959400000000001E-2</v>
      </c>
      <c r="W5954">
        <v>0.1912655</v>
      </c>
      <c r="X5954">
        <v>0.98116800000000004</v>
      </c>
      <c r="Y5954">
        <v>-0.1391849</v>
      </c>
      <c r="Z5954">
        <v>3.357039E-3</v>
      </c>
      <c r="AA5954">
        <v>0.99026069999999999</v>
      </c>
      <c r="AB5954">
        <v>28</v>
      </c>
      <c r="AC5954">
        <v>51.648499999999999</v>
      </c>
      <c r="AD5954">
        <v>-1.124246913558</v>
      </c>
      <c r="AE5954">
        <v>1.68729</v>
      </c>
      <c r="AF5954">
        <v>-7.21293338437322</v>
      </c>
      <c r="AG5954">
        <v>-1.124246913558</v>
      </c>
      <c r="AH5954">
        <v>51.145498561449898</v>
      </c>
      <c r="AI5954">
        <v>91.246900890731197</v>
      </c>
      <c r="AJ5954">
        <v>98.027354670890603</v>
      </c>
      <c r="AK5954">
        <v>51.663839987261198</v>
      </c>
      <c r="AL5954">
        <v>78.973353149206105</v>
      </c>
      <c r="AM5954">
        <v>91.573911182053095</v>
      </c>
      <c r="AN5954">
        <v>0.99999997248130401</v>
      </c>
    </row>
    <row r="5955" spans="1:40" x14ac:dyDescent="0.25">
      <c r="A5955" t="str">
        <f>"20190303170411223"</f>
        <v>20190303170411223</v>
      </c>
      <c r="B5955" t="str">
        <f>"1551603851211810"</f>
        <v>1551603851211810</v>
      </c>
      <c r="C5955" t="s">
        <v>40</v>
      </c>
      <c r="D5955">
        <v>5.0069480000000004</v>
      </c>
      <c r="E5955">
        <v>0.46351500000000001</v>
      </c>
      <c r="F5955" t="s">
        <v>42</v>
      </c>
      <c r="G5955">
        <v>-343.26799999999997</v>
      </c>
      <c r="H5955" s="1">
        <v>-3.0421719999999999E-6</v>
      </c>
      <c r="I5955">
        <v>18.647379999999998</v>
      </c>
      <c r="J5955">
        <v>-395.05270000000002</v>
      </c>
      <c r="K5955">
        <v>1.124231</v>
      </c>
      <c r="L5955">
        <v>16.92841</v>
      </c>
      <c r="M5955">
        <v>0.99439069999999996</v>
      </c>
      <c r="N5955">
        <v>-1.252314E-2</v>
      </c>
      <c r="O5955">
        <v>-0.1050249</v>
      </c>
      <c r="P5955">
        <v>0.98072700000000002</v>
      </c>
      <c r="Q5955">
        <v>0.17913889999999999</v>
      </c>
      <c r="R5955">
        <v>-7.7999680000000002E-2</v>
      </c>
      <c r="S5955">
        <v>3.0798030000000001</v>
      </c>
      <c r="T5955">
        <v>-6.6643709999999995E-2</v>
      </c>
      <c r="U5955">
        <v>0.1009521</v>
      </c>
      <c r="V5955">
        <v>-2.6693640000000001E-2</v>
      </c>
      <c r="W5955">
        <v>0.19127069999999999</v>
      </c>
      <c r="X5955">
        <v>0.98117430000000005</v>
      </c>
      <c r="Y5955">
        <v>-0.1375017</v>
      </c>
      <c r="Z5955">
        <v>3.3019709999999999E-3</v>
      </c>
      <c r="AA5955">
        <v>0.99049600000000004</v>
      </c>
      <c r="AB5955">
        <v>28</v>
      </c>
      <c r="AC5955">
        <v>51.784700000000001</v>
      </c>
      <c r="AD5955">
        <v>-1.1242340421720001</v>
      </c>
      <c r="AE5955">
        <v>1.7189699999999899</v>
      </c>
      <c r="AF5955">
        <v>-7.1452076387191701</v>
      </c>
      <c r="AG5955">
        <v>-1.1242340421720001</v>
      </c>
      <c r="AH5955">
        <v>51.293566842106102</v>
      </c>
      <c r="AI5955">
        <v>91.243583560456301</v>
      </c>
      <c r="AJ5955">
        <v>97.930285657284998</v>
      </c>
      <c r="AK5955">
        <v>51.801041435164201</v>
      </c>
      <c r="AL5955">
        <v>78.973050126907495</v>
      </c>
      <c r="AM5955">
        <v>91.558393589878307</v>
      </c>
      <c r="AN5955">
        <v>1.0000000190377101</v>
      </c>
    </row>
    <row r="5956" spans="1:40" x14ac:dyDescent="0.25">
      <c r="A5956" t="str">
        <f>"20190303170411243"</f>
        <v>20190303170411243</v>
      </c>
      <c r="B5956" t="str">
        <f>"1551603851231330"</f>
        <v>1551603851231330</v>
      </c>
      <c r="C5956" t="s">
        <v>40</v>
      </c>
      <c r="D5956">
        <v>5.007816</v>
      </c>
      <c r="E5956">
        <v>0.46411239999999998</v>
      </c>
      <c r="F5956" t="s">
        <v>42</v>
      </c>
      <c r="G5956">
        <v>-344.21929999999998</v>
      </c>
      <c r="H5956" s="1">
        <v>-2.6307469999999999E-6</v>
      </c>
      <c r="I5956">
        <v>18.666139999999999</v>
      </c>
      <c r="J5956">
        <v>-394.80970000000002</v>
      </c>
      <c r="K5956">
        <v>1.124212</v>
      </c>
      <c r="L5956">
        <v>16.906129999999902</v>
      </c>
      <c r="M5956">
        <v>0.99471940000000003</v>
      </c>
      <c r="N5956">
        <v>-1.237045E-2</v>
      </c>
      <c r="O5956">
        <v>-0.1018826</v>
      </c>
      <c r="P5956">
        <v>0.98101850000000002</v>
      </c>
      <c r="Q5956">
        <v>0.1787099</v>
      </c>
      <c r="R5956">
        <v>-7.5269420000000004E-2</v>
      </c>
      <c r="S5956">
        <v>3.079742</v>
      </c>
      <c r="T5956">
        <v>-6.8111779999999997E-2</v>
      </c>
      <c r="U5956">
        <v>0.10528559999999999</v>
      </c>
      <c r="V5956">
        <v>-2.6326559999999999E-2</v>
      </c>
      <c r="W5956">
        <v>0.19069539999999999</v>
      </c>
      <c r="X5956">
        <v>0.98129619999999995</v>
      </c>
      <c r="Y5956">
        <v>-0.1357632</v>
      </c>
      <c r="Z5956">
        <v>3.3301260000000001E-3</v>
      </c>
      <c r="AA5956">
        <v>0.9907357</v>
      </c>
      <c r="AB5956">
        <v>28</v>
      </c>
      <c r="AC5956">
        <v>50.590400000000002</v>
      </c>
      <c r="AD5956">
        <v>-1.124214630747</v>
      </c>
      <c r="AE5956">
        <v>1.7600100000000001</v>
      </c>
      <c r="AF5956">
        <v>-6.9021225027555104</v>
      </c>
      <c r="AG5956">
        <v>-1.124214630747</v>
      </c>
      <c r="AH5956">
        <v>50.123059205128598</v>
      </c>
      <c r="AI5956">
        <v>91.272869234922695</v>
      </c>
      <c r="AJ5956">
        <v>97.840521577305196</v>
      </c>
      <c r="AK5956">
        <v>50.608538979700398</v>
      </c>
      <c r="AL5956">
        <v>79.0066305881072</v>
      </c>
      <c r="AM5956">
        <v>91.536782714077304</v>
      </c>
      <c r="AN5956">
        <v>1.0000000277385099</v>
      </c>
    </row>
    <row r="5957" spans="1:40" x14ac:dyDescent="0.25">
      <c r="A5957" t="str">
        <f>"20190303170411272"</f>
        <v>20190303170411272</v>
      </c>
      <c r="B5957" t="str">
        <f>"1551603851261586"</f>
        <v>1551603851261586</v>
      </c>
      <c r="C5957" t="s">
        <v>40</v>
      </c>
      <c r="D5957">
        <v>5.0239690000000001</v>
      </c>
      <c r="E5957">
        <v>0.46921210000000002</v>
      </c>
      <c r="F5957" t="s">
        <v>42</v>
      </c>
      <c r="G5957">
        <v>-347.45100000000002</v>
      </c>
      <c r="H5957" s="1">
        <v>-1.2585399999999999E-6</v>
      </c>
      <c r="I5957">
        <v>18.586069999999999</v>
      </c>
      <c r="J5957">
        <v>-394.43560000000002</v>
      </c>
      <c r="K5957">
        <v>1.124169</v>
      </c>
      <c r="L5957">
        <v>16.87323</v>
      </c>
      <c r="M5957">
        <v>0.99520330000000001</v>
      </c>
      <c r="N5957">
        <v>-1.21295E-2</v>
      </c>
      <c r="O5957">
        <v>-9.7074090000000002E-2</v>
      </c>
      <c r="P5957">
        <v>0.98136710000000005</v>
      </c>
      <c r="Q5957">
        <v>0.1791296</v>
      </c>
      <c r="R5957">
        <v>-6.9508059999999997E-2</v>
      </c>
      <c r="S5957">
        <v>3.079742</v>
      </c>
      <c r="T5957">
        <v>-7.3107839999999993E-2</v>
      </c>
      <c r="U5957">
        <v>0.1092529</v>
      </c>
      <c r="V5957">
        <v>-2.7335829999999998E-2</v>
      </c>
      <c r="W5957">
        <v>0.19087190000000001</v>
      </c>
      <c r="X5957">
        <v>0.9812343</v>
      </c>
      <c r="Y5957">
        <v>-0.13224240000000001</v>
      </c>
      <c r="Z5957">
        <v>3.495012E-3</v>
      </c>
      <c r="AA5957">
        <v>0.99121119999999996</v>
      </c>
      <c r="AB5957">
        <v>28</v>
      </c>
      <c r="AC5957">
        <v>46.9846</v>
      </c>
      <c r="AD5957">
        <v>-1.12417025854</v>
      </c>
      <c r="AE5957">
        <v>1.7128399999999999</v>
      </c>
      <c r="AF5957">
        <v>-6.2624915889752497</v>
      </c>
      <c r="AG5957">
        <v>-1.12417025854</v>
      </c>
      <c r="AH5957">
        <v>46.569757412353098</v>
      </c>
      <c r="AI5957">
        <v>91.370490964011694</v>
      </c>
      <c r="AJ5957">
        <v>97.658932184464504</v>
      </c>
      <c r="AK5957">
        <v>47.002392121227103</v>
      </c>
      <c r="AL5957">
        <v>78.9963288024788</v>
      </c>
      <c r="AM5957">
        <v>91.595768403782799</v>
      </c>
      <c r="AN5957">
        <v>1.00000004065394</v>
      </c>
    </row>
    <row r="5958" spans="1:40" x14ac:dyDescent="0.25">
      <c r="A5958" t="str">
        <f>"20190303170411285"</f>
        <v>20190303170411285</v>
      </c>
      <c r="B5958" t="str">
        <f>"1551603851271346"</f>
        <v>1551603851271346</v>
      </c>
      <c r="C5958" t="s">
        <v>40</v>
      </c>
      <c r="D5958">
        <v>4.993042</v>
      </c>
      <c r="E5958">
        <v>0.46953349999999999</v>
      </c>
      <c r="F5958" t="s">
        <v>105</v>
      </c>
      <c r="G5958">
        <v>-361.5102</v>
      </c>
      <c r="H5958" s="1">
        <v>-4.332569E-6</v>
      </c>
      <c r="I5958">
        <v>17.818249999999999</v>
      </c>
      <c r="J5958">
        <v>-394.28629999999998</v>
      </c>
      <c r="K5958">
        <v>1.124147</v>
      </c>
      <c r="L5958">
        <v>16.860689999999899</v>
      </c>
      <c r="M5958">
        <v>0.99538789999999999</v>
      </c>
      <c r="N5958">
        <v>-1.2033459999999999E-2</v>
      </c>
      <c r="O5958">
        <v>-9.5173540000000001E-2</v>
      </c>
      <c r="P5958">
        <v>0.9814657</v>
      </c>
      <c r="Q5958">
        <v>0.1794114</v>
      </c>
      <c r="R5958">
        <v>-6.7355040000000005E-2</v>
      </c>
      <c r="S5958">
        <v>3.0823969999999998</v>
      </c>
      <c r="T5958">
        <v>-0.1052425</v>
      </c>
      <c r="U5958">
        <v>8.8470460000000001E-2</v>
      </c>
      <c r="V5958">
        <v>-2.7607119999999999E-2</v>
      </c>
      <c r="W5958">
        <v>0.19105720000000001</v>
      </c>
      <c r="X5958">
        <v>0.98119060000000002</v>
      </c>
      <c r="Y5958">
        <v>-0.1235806</v>
      </c>
      <c r="Z5958">
        <v>4.9522309999999996E-3</v>
      </c>
      <c r="AA5958">
        <v>0.99232220000000004</v>
      </c>
      <c r="AB5958">
        <v>28</v>
      </c>
      <c r="AC5958">
        <v>32.7760999999999</v>
      </c>
      <c r="AD5958">
        <v>-1.124151332569</v>
      </c>
      <c r="AE5958">
        <v>0.95755999999999997</v>
      </c>
      <c r="AF5958">
        <v>-4.0680748618725202</v>
      </c>
      <c r="AG5958">
        <v>-1.124151332569</v>
      </c>
      <c r="AH5958">
        <v>32.4979604863235</v>
      </c>
      <c r="AI5958">
        <v>91.965823659181098</v>
      </c>
      <c r="AJ5958">
        <v>97.135136273737999</v>
      </c>
      <c r="AK5958">
        <v>32.770877087300498</v>
      </c>
      <c r="AL5958">
        <v>78.985512396396402</v>
      </c>
      <c r="AM5958">
        <v>91.611668776069294</v>
      </c>
      <c r="AN5958">
        <v>1.0000000001374401</v>
      </c>
    </row>
    <row r="5959" spans="1:40" x14ac:dyDescent="0.25">
      <c r="A5959" t="str">
        <f>"20190303170411311"</f>
        <v>20190303170411311</v>
      </c>
      <c r="B5959" t="str">
        <f>"1551603851301602"</f>
        <v>1551603851301602</v>
      </c>
      <c r="C5959" t="s">
        <v>40</v>
      </c>
      <c r="D5959">
        <v>5.0121760000000002</v>
      </c>
      <c r="E5959">
        <v>0.4697829</v>
      </c>
      <c r="F5959" t="s">
        <v>42</v>
      </c>
      <c r="G5959">
        <v>-359.83109999999999</v>
      </c>
      <c r="H5959" s="1">
        <v>-5.0191200000000003E-7</v>
      </c>
      <c r="I5959">
        <v>17.893550000000001</v>
      </c>
      <c r="J5959">
        <v>-393.95319999999998</v>
      </c>
      <c r="K5959">
        <v>1.1240870000000001</v>
      </c>
      <c r="L5959">
        <v>16.833469999999998</v>
      </c>
      <c r="M5959">
        <v>0.99578299999999997</v>
      </c>
      <c r="N5959">
        <v>-1.1812690000000001E-2</v>
      </c>
      <c r="O5959">
        <v>-9.0976089999999996E-2</v>
      </c>
      <c r="P5959">
        <v>0.98172809999999999</v>
      </c>
      <c r="Q5959">
        <v>0.17960139999999999</v>
      </c>
      <c r="R5959">
        <v>-6.2875440000000005E-2</v>
      </c>
      <c r="S5959">
        <v>3.0813600000000001</v>
      </c>
      <c r="T5959">
        <v>-0.1005335</v>
      </c>
      <c r="U5959">
        <v>9.2376710000000001E-2</v>
      </c>
      <c r="V5959">
        <v>-2.7930099999999999E-2</v>
      </c>
      <c r="W5959">
        <v>0.19103010000000001</v>
      </c>
      <c r="X5959">
        <v>0.98118669999999997</v>
      </c>
      <c r="Y5959">
        <v>-0.12067600000000001</v>
      </c>
      <c r="Z5959">
        <v>4.5704939999999996E-3</v>
      </c>
      <c r="AA5959">
        <v>0.99268140000000005</v>
      </c>
      <c r="AB5959">
        <v>28</v>
      </c>
      <c r="AC5959">
        <v>34.122099999999897</v>
      </c>
      <c r="AD5959">
        <v>-1.124087501912</v>
      </c>
      <c r="AE5959">
        <v>1.0600799999999899</v>
      </c>
      <c r="AF5959">
        <v>-4.1556896058814301</v>
      </c>
      <c r="AG5959">
        <v>-1.124087501912</v>
      </c>
      <c r="AH5959">
        <v>33.847432405706599</v>
      </c>
      <c r="AI5959">
        <v>91.887951802619995</v>
      </c>
      <c r="AJ5959">
        <v>96.999578891454306</v>
      </c>
      <c r="AK5959">
        <v>34.1201115073099</v>
      </c>
      <c r="AL5959">
        <v>78.987093854630103</v>
      </c>
      <c r="AM5959">
        <v>91.630520298290193</v>
      </c>
      <c r="AN5959">
        <v>0.99999996492445398</v>
      </c>
    </row>
    <row r="5960" spans="1:40" x14ac:dyDescent="0.25">
      <c r="A5960" t="str">
        <f>"20190303170411330"</f>
        <v>20190303170411330</v>
      </c>
      <c r="B5960" t="str">
        <f>"1551603851322099"</f>
        <v>1551603851322099</v>
      </c>
      <c r="C5960" t="s">
        <v>40</v>
      </c>
      <c r="D5960">
        <v>5.0059069999999997</v>
      </c>
      <c r="E5960">
        <v>0.47014549999999999</v>
      </c>
      <c r="F5960" t="s">
        <v>42</v>
      </c>
      <c r="G5960">
        <v>-359.05099999999999</v>
      </c>
      <c r="H5960" s="1">
        <v>-7.3557940000000002E-7</v>
      </c>
      <c r="I5960">
        <v>18.013069999999999</v>
      </c>
      <c r="J5960">
        <v>-393.70940000000002</v>
      </c>
      <c r="K5960">
        <v>1.1240319999999999</v>
      </c>
      <c r="L5960">
        <v>16.814419999999998</v>
      </c>
      <c r="M5960">
        <v>0.99605569999999999</v>
      </c>
      <c r="N5960">
        <v>-1.1649049999999999E-2</v>
      </c>
      <c r="O5960">
        <v>-8.7963810000000003E-2</v>
      </c>
      <c r="P5960">
        <v>0.98195909999999997</v>
      </c>
      <c r="Q5960">
        <v>0.1794926</v>
      </c>
      <c r="R5960">
        <v>-5.9489729999999998E-2</v>
      </c>
      <c r="S5960">
        <v>3.0806580000000001</v>
      </c>
      <c r="T5960">
        <v>-9.9218130000000002E-2</v>
      </c>
      <c r="U5960">
        <v>0.104126</v>
      </c>
      <c r="V5960">
        <v>-2.833163E-2</v>
      </c>
      <c r="W5960">
        <v>0.1907605</v>
      </c>
      <c r="X5960">
        <v>0.98122770000000004</v>
      </c>
      <c r="Y5960">
        <v>-0.12146510000000001</v>
      </c>
      <c r="Z5960">
        <v>4.4677980000000003E-3</v>
      </c>
      <c r="AA5960">
        <v>0.99258570000000002</v>
      </c>
      <c r="AB5960">
        <v>28</v>
      </c>
      <c r="AC5960">
        <v>34.6584</v>
      </c>
      <c r="AD5960">
        <v>-1.1240327355794</v>
      </c>
      <c r="AE5960">
        <v>1.19865</v>
      </c>
      <c r="AF5960">
        <v>-4.23844160719824</v>
      </c>
      <c r="AG5960">
        <v>-1.1240327355794</v>
      </c>
      <c r="AH5960">
        <v>34.382468532233901</v>
      </c>
      <c r="AI5960">
        <v>91.858391398289498</v>
      </c>
      <c r="AJ5960">
        <v>97.027587205223995</v>
      </c>
      <c r="AK5960">
        <v>34.660957563494101</v>
      </c>
      <c r="AL5960">
        <v>79.002830844696604</v>
      </c>
      <c r="AM5960">
        <v>91.653879061367505</v>
      </c>
      <c r="AN5960">
        <v>1.0000000244329901</v>
      </c>
    </row>
    <row r="5961" spans="1:40" x14ac:dyDescent="0.25">
      <c r="A5961" t="str">
        <f>"20190303170411373"</f>
        <v>20190303170411373</v>
      </c>
      <c r="B5961" t="str">
        <f>"1551603851362115"</f>
        <v>1551603851362115</v>
      </c>
      <c r="C5961" t="s">
        <v>40</v>
      </c>
      <c r="D5961">
        <v>4.9877019999999996</v>
      </c>
      <c r="E5961">
        <v>0.4707673</v>
      </c>
      <c r="F5961" t="s">
        <v>42</v>
      </c>
      <c r="G5961">
        <v>-357.9794</v>
      </c>
      <c r="H5961" s="1">
        <v>-1.1177380000000001E-6</v>
      </c>
      <c r="I5961">
        <v>18.1021</v>
      </c>
      <c r="J5961">
        <v>-393.18520000000001</v>
      </c>
      <c r="K5961">
        <v>1.1238889999999999</v>
      </c>
      <c r="L5961">
        <v>16.775729999999999</v>
      </c>
      <c r="M5961">
        <v>0.99659489999999995</v>
      </c>
      <c r="N5961">
        <v>-1.1292719999999999E-2</v>
      </c>
      <c r="O5961">
        <v>-8.1679109999999999E-2</v>
      </c>
      <c r="P5961">
        <v>0.98263869999999998</v>
      </c>
      <c r="Q5961">
        <v>0.17821119999999999</v>
      </c>
      <c r="R5961">
        <v>-5.1598409999999997E-2</v>
      </c>
      <c r="S5961">
        <v>3.07959</v>
      </c>
      <c r="T5961">
        <v>-9.6881030000000007E-2</v>
      </c>
      <c r="U5961">
        <v>0.1109924</v>
      </c>
      <c r="V5961">
        <v>-2.9994750000000001E-2</v>
      </c>
      <c r="W5961">
        <v>0.18912709999999999</v>
      </c>
      <c r="X5961">
        <v>0.98149439999999999</v>
      </c>
      <c r="Y5961">
        <v>-0.11743339999999899</v>
      </c>
      <c r="Z5961">
        <v>4.154128E-3</v>
      </c>
      <c r="AA5961">
        <v>0.99307210000000001</v>
      </c>
      <c r="AB5961">
        <v>28</v>
      </c>
      <c r="AC5961">
        <v>35.205800000000004</v>
      </c>
      <c r="AD5961">
        <v>-1.1238901177379901</v>
      </c>
      <c r="AE5961">
        <v>1.32637</v>
      </c>
      <c r="AF5961">
        <v>-4.1934313270244497</v>
      </c>
      <c r="AG5961">
        <v>-1.1238901177379901</v>
      </c>
      <c r="AH5961">
        <v>34.944246133171198</v>
      </c>
      <c r="AI5961">
        <v>91.829019996190297</v>
      </c>
      <c r="AJ5961">
        <v>96.842970270549998</v>
      </c>
      <c r="AK5961">
        <v>35.212900095091101</v>
      </c>
      <c r="AL5961">
        <v>79.098152868663107</v>
      </c>
      <c r="AM5961">
        <v>91.750430641970496</v>
      </c>
      <c r="AN5961">
        <v>1.0000000011066601</v>
      </c>
    </row>
    <row r="5962" spans="1:40" x14ac:dyDescent="0.25">
      <c r="A5962" t="str">
        <f>"20190303170411384"</f>
        <v>20190303170411384</v>
      </c>
      <c r="B5962" t="str">
        <f>"1551603851371874"</f>
        <v>1551603851371874</v>
      </c>
      <c r="C5962" t="s">
        <v>40</v>
      </c>
      <c r="D5962">
        <v>5.0151919999999999</v>
      </c>
      <c r="E5962">
        <v>0.4711053</v>
      </c>
      <c r="F5962" t="s">
        <v>42</v>
      </c>
      <c r="G5962">
        <v>-359.69330000000002</v>
      </c>
      <c r="H5962" s="1">
        <v>-4.7371249999999999E-7</v>
      </c>
      <c r="I5962">
        <v>18.175730000000001</v>
      </c>
      <c r="J5962">
        <v>-393.04320000000001</v>
      </c>
      <c r="K5962">
        <v>1.1238509999999999</v>
      </c>
      <c r="L5962">
        <v>16.765809999999998</v>
      </c>
      <c r="M5962">
        <v>0.99672950000000005</v>
      </c>
      <c r="N5962">
        <v>-1.119468E-2</v>
      </c>
      <c r="O5962">
        <v>-8.0031489999999997E-2</v>
      </c>
      <c r="P5962">
        <v>0.98271810000000004</v>
      </c>
      <c r="Q5962">
        <v>0.1783043</v>
      </c>
      <c r="R5962">
        <v>-4.9727390000000003E-2</v>
      </c>
      <c r="S5962">
        <v>3.0784910000000001</v>
      </c>
      <c r="T5962">
        <v>-0.1033051</v>
      </c>
      <c r="U5962">
        <v>0.12869259999999999</v>
      </c>
      <c r="V5962">
        <v>-3.022737E-2</v>
      </c>
      <c r="W5962">
        <v>0.18912480000000001</v>
      </c>
      <c r="X5962">
        <v>0.98148769999999996</v>
      </c>
      <c r="Y5962">
        <v>-0.121489</v>
      </c>
      <c r="Z5962">
        <v>4.5044509999999996E-3</v>
      </c>
      <c r="AA5962">
        <v>0.99258259999999998</v>
      </c>
      <c r="AB5962">
        <v>28</v>
      </c>
      <c r="AC5962">
        <v>33.349899999999899</v>
      </c>
      <c r="AD5962">
        <v>-1.1238514737124901</v>
      </c>
      <c r="AE5962">
        <v>1.4099199999999901</v>
      </c>
      <c r="AF5962">
        <v>-4.0699925811021602</v>
      </c>
      <c r="AG5962">
        <v>-1.1238514737124901</v>
      </c>
      <c r="AH5962">
        <v>33.092553079836399</v>
      </c>
      <c r="AI5962">
        <v>91.930531483002994</v>
      </c>
      <c r="AJ5962">
        <v>97.011492457992702</v>
      </c>
      <c r="AK5962">
        <v>33.360829592307503</v>
      </c>
      <c r="AL5962">
        <v>79.098286998701099</v>
      </c>
      <c r="AM5962">
        <v>91.764009347124798</v>
      </c>
      <c r="AN5962">
        <v>0.99999999456172295</v>
      </c>
    </row>
    <row r="5963" spans="1:40" x14ac:dyDescent="0.25">
      <c r="A5963" t="str">
        <f>"20190303170411407"</f>
        <v>20190303170411407</v>
      </c>
      <c r="B5963" t="str">
        <f>"1551603851402130"</f>
        <v>1551603851402130</v>
      </c>
      <c r="C5963" t="s">
        <v>40</v>
      </c>
      <c r="D5963">
        <v>5.0519030000000003</v>
      </c>
      <c r="E5963">
        <v>0.47206480000000001</v>
      </c>
      <c r="F5963" t="s">
        <v>42</v>
      </c>
      <c r="G5963">
        <v>-359.01799999999997</v>
      </c>
      <c r="H5963" s="1">
        <v>-6.9180769999999997E-7</v>
      </c>
      <c r="I5963">
        <v>18.219760000000001</v>
      </c>
      <c r="J5963">
        <v>-392.74880000000002</v>
      </c>
      <c r="K5963">
        <v>1.1237760000000001</v>
      </c>
      <c r="L5963">
        <v>16.745819999999998</v>
      </c>
      <c r="M5963">
        <v>0.99699559999999998</v>
      </c>
      <c r="N5963">
        <v>-1.0988919999999999E-2</v>
      </c>
      <c r="O5963">
        <v>-7.6675090000000001E-2</v>
      </c>
      <c r="P5963">
        <v>0.98288699999999996</v>
      </c>
      <c r="Q5963">
        <v>0.17827399999999999</v>
      </c>
      <c r="R5963">
        <v>-4.6388779999999998E-2</v>
      </c>
      <c r="S5963">
        <v>3.0778810000000001</v>
      </c>
      <c r="T5963">
        <v>-0.1016625</v>
      </c>
      <c r="U5963">
        <v>0.1315308</v>
      </c>
      <c r="V5963">
        <v>-3.0231069999999999E-2</v>
      </c>
      <c r="W5963">
        <v>0.18889629999999999</v>
      </c>
      <c r="X5963">
        <v>0.98153159999999895</v>
      </c>
      <c r="Y5963">
        <v>-0.11907429999999999</v>
      </c>
      <c r="Z5963">
        <v>4.3074539999999996E-3</v>
      </c>
      <c r="AA5963">
        <v>0.99287599999999998</v>
      </c>
      <c r="AB5963">
        <v>28</v>
      </c>
      <c r="AC5963">
        <v>33.730799999999903</v>
      </c>
      <c r="AD5963">
        <v>-1.1237766918076999</v>
      </c>
      <c r="AE5963">
        <v>1.47393999999999</v>
      </c>
      <c r="AF5963">
        <v>-4.0515801046061801</v>
      </c>
      <c r="AG5963">
        <v>-1.1237766918076999</v>
      </c>
      <c r="AH5963">
        <v>33.481375558979998</v>
      </c>
      <c r="AI5963">
        <v>91.908455269284005</v>
      </c>
      <c r="AJ5963">
        <v>96.899811892859006</v>
      </c>
      <c r="AK5963">
        <v>33.744343003213899</v>
      </c>
      <c r="AL5963">
        <v>79.111619523769093</v>
      </c>
      <c r="AM5963">
        <v>91.764146278434794</v>
      </c>
      <c r="AN5963">
        <v>1.00000000577279</v>
      </c>
    </row>
    <row r="5964" spans="1:40" x14ac:dyDescent="0.25">
      <c r="A5964" t="str">
        <f>"20190303170411423"</f>
        <v>20190303170411423</v>
      </c>
      <c r="B5964" t="str">
        <f>"1551603851411889"</f>
        <v>1551603851411889</v>
      </c>
      <c r="C5964" t="s">
        <v>40</v>
      </c>
      <c r="D5964">
        <v>4.9957449999999897</v>
      </c>
      <c r="E5964">
        <v>0.47231119999999999</v>
      </c>
      <c r="F5964" t="s">
        <v>42</v>
      </c>
      <c r="G5964">
        <v>-358.19199999999898</v>
      </c>
      <c r="H5964" s="1">
        <v>-9.9910710000000002E-7</v>
      </c>
      <c r="I5964">
        <v>18.256630000000001</v>
      </c>
      <c r="J5964">
        <v>-392.5564</v>
      </c>
      <c r="K5964">
        <v>1.123726</v>
      </c>
      <c r="L5964">
        <v>16.733280000000001</v>
      </c>
      <c r="M5964">
        <v>0.99716009999999999</v>
      </c>
      <c r="N5964">
        <v>-1.085357E-2</v>
      </c>
      <c r="O5964">
        <v>-7.4525679999999997E-2</v>
      </c>
      <c r="P5964">
        <v>0.98303739999999995</v>
      </c>
      <c r="Q5964">
        <v>0.17799429999999999</v>
      </c>
      <c r="R5964">
        <v>-4.4226410000000001E-2</v>
      </c>
      <c r="S5964">
        <v>3.0767519999999999</v>
      </c>
      <c r="T5964">
        <v>-0.10005509999999999</v>
      </c>
      <c r="U5964">
        <v>0.13452149999999999</v>
      </c>
      <c r="V5964">
        <v>-3.026063E-2</v>
      </c>
      <c r="W5964">
        <v>0.1884865</v>
      </c>
      <c r="X5964">
        <v>0.98160950000000002</v>
      </c>
      <c r="Y5964">
        <v>-0.1179172</v>
      </c>
      <c r="Z5964">
        <v>4.1688150000000002E-3</v>
      </c>
      <c r="AA5964">
        <v>0.99301470000000003</v>
      </c>
      <c r="AB5964">
        <v>28</v>
      </c>
      <c r="AC5964">
        <v>34.364400000000003</v>
      </c>
      <c r="AD5964">
        <v>-1.1237269991070999</v>
      </c>
      <c r="AE5964">
        <v>1.52334999999999</v>
      </c>
      <c r="AF5964">
        <v>-4.07594425804509</v>
      </c>
      <c r="AG5964">
        <v>-1.1237269991070999</v>
      </c>
      <c r="AH5964">
        <v>34.1188770832008</v>
      </c>
      <c r="AI5964">
        <v>91.873082354208705</v>
      </c>
      <c r="AJ5964">
        <v>96.812441821441098</v>
      </c>
      <c r="AK5964">
        <v>34.379846674785803</v>
      </c>
      <c r="AL5964">
        <v>79.135529190041794</v>
      </c>
      <c r="AM5964">
        <v>91.765730122744202</v>
      </c>
      <c r="AN5964">
        <v>1.0000000384502401</v>
      </c>
    </row>
    <row r="5965" spans="1:40" x14ac:dyDescent="0.25">
      <c r="A5965" t="str">
        <f>"20190303170411442"</f>
        <v>20190303170411442</v>
      </c>
      <c r="B5965" t="str">
        <f>"1551603851431409"</f>
        <v>1551603851431409</v>
      </c>
      <c r="C5965" t="s">
        <v>40</v>
      </c>
      <c r="D5965">
        <v>4.9037160000000002</v>
      </c>
      <c r="E5965">
        <v>0.47751199999999999</v>
      </c>
      <c r="F5965" t="s">
        <v>42</v>
      </c>
      <c r="G5965">
        <v>-358.33100000000002</v>
      </c>
      <c r="H5965" s="1">
        <v>-9.3483940000000002E-7</v>
      </c>
      <c r="I5965">
        <v>18.282769999999999</v>
      </c>
      <c r="J5965">
        <v>-392.31939999999997</v>
      </c>
      <c r="K5965">
        <v>1.1236630000000001</v>
      </c>
      <c r="L5965">
        <v>16.718260000000001</v>
      </c>
      <c r="M5965">
        <v>0.99735359999999995</v>
      </c>
      <c r="N5965">
        <v>-1.068173E-2</v>
      </c>
      <c r="O5965">
        <v>-7.1916060000000004E-2</v>
      </c>
      <c r="P5965">
        <v>0.98316029999999999</v>
      </c>
      <c r="Q5965">
        <v>0.177843899999999</v>
      </c>
      <c r="R5965">
        <v>-4.2042290000000003E-2</v>
      </c>
      <c r="S5965">
        <v>3.0763240000000001</v>
      </c>
      <c r="T5965">
        <v>-0.1010054</v>
      </c>
      <c r="U5965">
        <v>0.13928219999999999</v>
      </c>
      <c r="V5965">
        <v>-2.985666E-2</v>
      </c>
      <c r="W5965">
        <v>0.18817229999999999</v>
      </c>
      <c r="X5965">
        <v>0.9816821</v>
      </c>
      <c r="Y5965">
        <v>-0.11685769999999999</v>
      </c>
      <c r="Z5965">
        <v>4.1325429999999998E-3</v>
      </c>
      <c r="AA5965">
        <v>0.99314000000000002</v>
      </c>
      <c r="AB5965">
        <v>28</v>
      </c>
      <c r="AC5965">
        <v>33.988399999999999</v>
      </c>
      <c r="AD5965">
        <v>-1.12366393483939</v>
      </c>
      <c r="AE5965">
        <v>1.5645100000000001</v>
      </c>
      <c r="AF5965">
        <v>-4.0005462699483703</v>
      </c>
      <c r="AG5965">
        <v>-1.12366393483939</v>
      </c>
      <c r="AH5965">
        <v>33.751052423028099</v>
      </c>
      <c r="AI5965">
        <v>91.893581473582799</v>
      </c>
      <c r="AJ5965">
        <v>96.759786816737204</v>
      </c>
      <c r="AK5965">
        <v>34.005889648095497</v>
      </c>
      <c r="AL5965">
        <v>79.153858996522999</v>
      </c>
      <c r="AM5965">
        <v>91.742044036929002</v>
      </c>
      <c r="AN5965">
        <v>0.999999990047027</v>
      </c>
    </row>
    <row r="5966" spans="1:40" x14ac:dyDescent="0.25">
      <c r="A5966" t="str">
        <f>"20190303170411454"</f>
        <v>20190303170411454</v>
      </c>
      <c r="B5966" t="str">
        <f>"1551603851442146"</f>
        <v>1551603851442146</v>
      </c>
      <c r="C5966" t="s">
        <v>40</v>
      </c>
      <c r="D5966">
        <v>4.9144680000000003</v>
      </c>
      <c r="E5966">
        <v>0.47805799999999998</v>
      </c>
      <c r="F5966" t="s">
        <v>105</v>
      </c>
      <c r="G5966">
        <v>-360.22300000000001</v>
      </c>
      <c r="H5966" s="1">
        <v>-4.9440849999999996E-6</v>
      </c>
      <c r="I5966">
        <v>17.801200000000001</v>
      </c>
      <c r="J5966">
        <v>-392.1567</v>
      </c>
      <c r="K5966">
        <v>1.1236250000000001</v>
      </c>
      <c r="L5966">
        <v>16.70825</v>
      </c>
      <c r="M5966">
        <v>0.99748119999999996</v>
      </c>
      <c r="N5966">
        <v>-1.0557560000000001E-2</v>
      </c>
      <c r="O5966">
        <v>-7.0142220000000005E-2</v>
      </c>
      <c r="P5966">
        <v>0.98319909999999999</v>
      </c>
      <c r="Q5966">
        <v>0.1780774</v>
      </c>
      <c r="R5966">
        <v>-4.0101280000000003E-2</v>
      </c>
      <c r="S5966">
        <v>3.0752869999999999</v>
      </c>
      <c r="T5966">
        <v>-0.1076632</v>
      </c>
      <c r="U5966">
        <v>0.1037598</v>
      </c>
      <c r="V5966">
        <v>-3.003809E-2</v>
      </c>
      <c r="W5966">
        <v>0.1882837</v>
      </c>
      <c r="X5966">
        <v>0.98165519999999995</v>
      </c>
      <c r="Y5966">
        <v>-0.10364039999999999</v>
      </c>
      <c r="Z5966">
        <v>4.0735550000000004E-3</v>
      </c>
      <c r="AA5966">
        <v>0.99460649999999995</v>
      </c>
      <c r="AB5966">
        <v>28</v>
      </c>
      <c r="AC5966">
        <v>31.933699999999899</v>
      </c>
      <c r="AD5966">
        <v>-1.1236299440849999</v>
      </c>
      <c r="AE5966">
        <v>1.0929500000000001</v>
      </c>
      <c r="AF5966">
        <v>-3.3261698241534199</v>
      </c>
      <c r="AG5966">
        <v>-1.1236299440849999</v>
      </c>
      <c r="AH5966">
        <v>31.739122819939801</v>
      </c>
      <c r="AI5966">
        <v>92.016507504895301</v>
      </c>
      <c r="AJ5966">
        <v>95.982597371802996</v>
      </c>
      <c r="AK5966">
        <v>31.932708424585201</v>
      </c>
      <c r="AL5966">
        <v>79.147360026617903</v>
      </c>
      <c r="AM5966">
        <v>91.752671332327793</v>
      </c>
      <c r="AN5966">
        <v>0.999999985111789</v>
      </c>
    </row>
    <row r="5967" spans="1:40" x14ac:dyDescent="0.25">
      <c r="A5967" t="str">
        <f>"20190303170411475"</f>
        <v>20190303170411475</v>
      </c>
      <c r="B5967" t="str">
        <f>"1551603851461666"</f>
        <v>1551603851461666</v>
      </c>
      <c r="C5967" t="s">
        <v>40</v>
      </c>
      <c r="D5967">
        <v>4.9701899999999997</v>
      </c>
      <c r="E5967">
        <v>0.47869879999999998</v>
      </c>
      <c r="F5967" t="s">
        <v>42</v>
      </c>
      <c r="G5967">
        <v>-359.3886</v>
      </c>
      <c r="H5967" s="1">
        <v>-6.7149259999999999E-7</v>
      </c>
      <c r="I5967">
        <v>17.822129999999898</v>
      </c>
      <c r="J5967">
        <v>-391.90480000000002</v>
      </c>
      <c r="K5967">
        <v>1.1235790000000001</v>
      </c>
      <c r="L5967">
        <v>16.69342</v>
      </c>
      <c r="M5967">
        <v>0.99767059999999996</v>
      </c>
      <c r="N5967">
        <v>-1.035439E-2</v>
      </c>
      <c r="O5967">
        <v>-6.7426260000000002E-2</v>
      </c>
      <c r="P5967">
        <v>0.98323119999999997</v>
      </c>
      <c r="Q5967">
        <v>0.17846500000000001</v>
      </c>
      <c r="R5967">
        <v>-3.7507760000000001E-2</v>
      </c>
      <c r="S5967">
        <v>3.0746150000000001</v>
      </c>
      <c r="T5967">
        <v>-0.1054292</v>
      </c>
      <c r="U5967">
        <v>0.104522699999999</v>
      </c>
      <c r="V5967">
        <v>-2.9941490000000001E-2</v>
      </c>
      <c r="W5967">
        <v>0.18847340000000001</v>
      </c>
      <c r="X5967">
        <v>0.98162169999999904</v>
      </c>
      <c r="Y5967">
        <v>-0.1011927</v>
      </c>
      <c r="Z5967">
        <v>3.8702379999999998E-3</v>
      </c>
      <c r="AA5967">
        <v>0.9948593</v>
      </c>
      <c r="AB5967">
        <v>28</v>
      </c>
      <c r="AC5967">
        <v>32.516199999999998</v>
      </c>
      <c r="AD5967">
        <v>-1.1235796714926001</v>
      </c>
      <c r="AE5967">
        <v>1.1287099999999901</v>
      </c>
      <c r="AF5967">
        <v>-3.3147511308142401</v>
      </c>
      <c r="AG5967">
        <v>-1.1235796714926001</v>
      </c>
      <c r="AH5967">
        <v>32.3275319278155</v>
      </c>
      <c r="AI5967">
        <v>91.980203765388893</v>
      </c>
      <c r="AJ5967">
        <v>95.854447048925195</v>
      </c>
      <c r="AK5967">
        <v>32.516447021182302</v>
      </c>
      <c r="AL5967">
        <v>79.136292365051702</v>
      </c>
      <c r="AM5967">
        <v>91.747097970206198</v>
      </c>
      <c r="AN5967">
        <v>0.99999993862093295</v>
      </c>
    </row>
    <row r="5968" spans="1:40" x14ac:dyDescent="0.25">
      <c r="A5968" t="str">
        <f>"20190303170411488"</f>
        <v>20190303170411488</v>
      </c>
      <c r="B5968" t="str">
        <f>"1551603851482162"</f>
        <v>1551603851482162</v>
      </c>
      <c r="C5968" t="s">
        <v>40</v>
      </c>
      <c r="D5968">
        <v>4.9842610000000001</v>
      </c>
      <c r="E5968">
        <v>0.47896230000000001</v>
      </c>
      <c r="F5968" t="s">
        <v>42</v>
      </c>
      <c r="G5968">
        <v>-359.21809999999999</v>
      </c>
      <c r="H5968" s="1">
        <v>-7.2931369999999999E-7</v>
      </c>
      <c r="I5968">
        <v>17.822800000000001</v>
      </c>
      <c r="J5968">
        <v>-391.73349999999999</v>
      </c>
      <c r="K5968">
        <v>1.123553</v>
      </c>
      <c r="L5968">
        <v>16.683779999999999</v>
      </c>
      <c r="M5968">
        <v>0.99779430000000002</v>
      </c>
      <c r="N5968">
        <v>-1.020647E-2</v>
      </c>
      <c r="O5968">
        <v>-6.5592360000000002E-2</v>
      </c>
      <c r="P5968">
        <v>0.98322710000000002</v>
      </c>
      <c r="Q5968">
        <v>0.178833399999999</v>
      </c>
      <c r="R5968">
        <v>-3.5820310000000001E-2</v>
      </c>
      <c r="S5968">
        <v>3.074341</v>
      </c>
      <c r="T5968">
        <v>-0.1056783</v>
      </c>
      <c r="U5968">
        <v>0.1062317</v>
      </c>
      <c r="V5968">
        <v>-2.9814750000000001E-2</v>
      </c>
      <c r="W5968">
        <v>0.1886968</v>
      </c>
      <c r="X5968">
        <v>0.98158270000000003</v>
      </c>
      <c r="Y5968">
        <v>-9.9920369999999994E-2</v>
      </c>
      <c r="Z5968">
        <v>3.810066E-3</v>
      </c>
      <c r="AA5968">
        <v>0.99498810000000004</v>
      </c>
      <c r="AB5968">
        <v>28</v>
      </c>
      <c r="AC5968">
        <v>32.5154</v>
      </c>
      <c r="AD5968">
        <v>-1.1235537293136999</v>
      </c>
      <c r="AE5968">
        <v>1.1390199999999999</v>
      </c>
      <c r="AF5968">
        <v>-3.2655454620539799</v>
      </c>
      <c r="AG5968">
        <v>-1.1235537293136999</v>
      </c>
      <c r="AH5968">
        <v>32.332098288720601</v>
      </c>
      <c r="AI5968">
        <v>91.980184806717205</v>
      </c>
      <c r="AJ5968">
        <v>95.7673221983449</v>
      </c>
      <c r="AK5968">
        <v>32.516007440934096</v>
      </c>
      <c r="AL5968">
        <v>79.123259288618797</v>
      </c>
      <c r="AM5968">
        <v>91.739776273649298</v>
      </c>
      <c r="AN5968">
        <v>0.99999999929354599</v>
      </c>
    </row>
    <row r="5969" spans="1:40" x14ac:dyDescent="0.25">
      <c r="A5969" t="str">
        <f>"20190303170411500"</f>
        <v>20190303170411500</v>
      </c>
      <c r="B5969" t="str">
        <f>"1551603851491923"</f>
        <v>1551603851491923</v>
      </c>
      <c r="C5969" t="s">
        <v>40</v>
      </c>
      <c r="D5969">
        <v>4.9633120000000002</v>
      </c>
      <c r="E5969">
        <v>0.47931210000000002</v>
      </c>
      <c r="F5969" t="s">
        <v>42</v>
      </c>
      <c r="G5969">
        <v>-357.58420000000001</v>
      </c>
      <c r="H5969" s="1">
        <v>-1.323948E-6</v>
      </c>
      <c r="I5969">
        <v>17.895189999999999</v>
      </c>
      <c r="J5969">
        <v>-391.5745</v>
      </c>
      <c r="K5969">
        <v>1.123529</v>
      </c>
      <c r="L5969">
        <v>16.674990000000001</v>
      </c>
      <c r="M5969">
        <v>0.99790599999999996</v>
      </c>
      <c r="N5969">
        <v>-1.006665E-2</v>
      </c>
      <c r="O5969">
        <v>-6.3894359999999997E-2</v>
      </c>
      <c r="P5969">
        <v>0.98316029999999999</v>
      </c>
      <c r="Q5969">
        <v>0.1794837</v>
      </c>
      <c r="R5969">
        <v>-3.43778E-2</v>
      </c>
      <c r="S5969">
        <v>3.073547</v>
      </c>
      <c r="T5969">
        <v>-0.1011238</v>
      </c>
      <c r="U5969">
        <v>0.10903930000000001</v>
      </c>
      <c r="V5969">
        <v>-2.9576330000000001E-2</v>
      </c>
      <c r="W5969">
        <v>0.1892104</v>
      </c>
      <c r="X5969">
        <v>0.981491</v>
      </c>
      <c r="Y5969">
        <v>-9.9152760000000006E-2</v>
      </c>
      <c r="Z5969">
        <v>3.5870490000000001E-3</v>
      </c>
      <c r="AA5969">
        <v>0.99506570000000005</v>
      </c>
      <c r="AB5969">
        <v>28</v>
      </c>
      <c r="AC5969">
        <v>33.990299999999898</v>
      </c>
      <c r="AD5969">
        <v>-1.1235303239479999</v>
      </c>
      <c r="AE5969">
        <v>1.22019999999999</v>
      </c>
      <c r="AF5969">
        <v>-3.3859100882435298</v>
      </c>
      <c r="AG5969">
        <v>-1.1235303239479999</v>
      </c>
      <c r="AH5969">
        <v>33.805982910070703</v>
      </c>
      <c r="AI5969">
        <v>91.894035780282493</v>
      </c>
      <c r="AJ5969">
        <v>95.719506517457006</v>
      </c>
      <c r="AK5969">
        <v>33.993693356716797</v>
      </c>
      <c r="AL5969">
        <v>79.093291906261598</v>
      </c>
      <c r="AM5969">
        <v>91.726033379477101</v>
      </c>
      <c r="AN5969">
        <v>0.99999995892271298</v>
      </c>
    </row>
    <row r="5970" spans="1:40" x14ac:dyDescent="0.25">
      <c r="A5970" t="str">
        <f>"20190303170411512"</f>
        <v>20190303170411512</v>
      </c>
      <c r="B5970" t="str">
        <f>"1551603851501683"</f>
        <v>1551603851501683</v>
      </c>
      <c r="C5970" t="s">
        <v>40</v>
      </c>
      <c r="D5970">
        <v>5.0068229999999998</v>
      </c>
      <c r="E5970">
        <v>0.47968149999999998</v>
      </c>
      <c r="F5970" t="s">
        <v>42</v>
      </c>
      <c r="G5970">
        <v>-356.70229999999998</v>
      </c>
      <c r="H5970" s="1">
        <v>-1.695281E-6</v>
      </c>
      <c r="I5970">
        <v>17.934650000000001</v>
      </c>
      <c r="J5970">
        <v>-391.42160000000001</v>
      </c>
      <c r="K5970">
        <v>1.1235139999999999</v>
      </c>
      <c r="L5970">
        <v>16.666779999999999</v>
      </c>
      <c r="M5970">
        <v>0.99801050000000002</v>
      </c>
      <c r="N5970">
        <v>-9.9294310000000007E-3</v>
      </c>
      <c r="O5970">
        <v>-6.2264189999999997E-2</v>
      </c>
      <c r="P5970">
        <v>0.98313609999999896</v>
      </c>
      <c r="Q5970">
        <v>0.17988709999999999</v>
      </c>
      <c r="R5970">
        <v>-3.2927520000000002E-2</v>
      </c>
      <c r="S5970">
        <v>3.073334</v>
      </c>
      <c r="T5970">
        <v>-9.9018339999999996E-2</v>
      </c>
      <c r="U5970">
        <v>0.11102289999999999</v>
      </c>
      <c r="V5970">
        <v>-2.941612E-2</v>
      </c>
      <c r="W5970">
        <v>0.1894796</v>
      </c>
      <c r="X5970">
        <v>0.98144390000000004</v>
      </c>
      <c r="Y5970">
        <v>-9.8175639999999995E-2</v>
      </c>
      <c r="Z5970">
        <v>3.454763E-3</v>
      </c>
      <c r="AA5970">
        <v>0.99516309999999997</v>
      </c>
      <c r="AB5970">
        <v>29</v>
      </c>
      <c r="AC5970">
        <v>34.719299999999997</v>
      </c>
      <c r="AD5970">
        <v>-1.1235156952809999</v>
      </c>
      <c r="AE5970">
        <v>1.2678700000000001</v>
      </c>
      <c r="AF5970">
        <v>-3.4237045505702701</v>
      </c>
      <c r="AG5970">
        <v>-1.1235156952809999</v>
      </c>
      <c r="AH5970">
        <v>34.5368631121543</v>
      </c>
      <c r="AI5970">
        <v>91.854145153380699</v>
      </c>
      <c r="AJ5970">
        <v>95.661342401501201</v>
      </c>
      <c r="AK5970">
        <v>34.724327984783599</v>
      </c>
      <c r="AL5970">
        <v>79.0775839403003</v>
      </c>
      <c r="AM5970">
        <v>91.716771692521306</v>
      </c>
      <c r="AN5970">
        <v>0.99999997788961104</v>
      </c>
    </row>
    <row r="5971" spans="1:40" x14ac:dyDescent="0.25">
      <c r="A5971" t="str">
        <f>"20190303170411531"</f>
        <v>20190303170411531</v>
      </c>
      <c r="B5971" t="str">
        <f>"1551603851521710"</f>
        <v>1551603851521710</v>
      </c>
      <c r="C5971" t="s">
        <v>40</v>
      </c>
      <c r="D5971">
        <v>4.989941</v>
      </c>
      <c r="E5971">
        <v>0.48005140000000002</v>
      </c>
      <c r="F5971" t="s">
        <v>42</v>
      </c>
      <c r="G5971">
        <v>-354.85750000000002</v>
      </c>
      <c r="H5971" s="1">
        <v>-2.4736150000000001E-6</v>
      </c>
      <c r="I5971">
        <v>18.008620000000001</v>
      </c>
      <c r="J5971">
        <v>-391.18329999999997</v>
      </c>
      <c r="K5971">
        <v>1.123494</v>
      </c>
      <c r="L5971">
        <v>16.654509999999998</v>
      </c>
      <c r="M5971">
        <v>0.99816760000000004</v>
      </c>
      <c r="N5971">
        <v>-9.716845E-3</v>
      </c>
      <c r="O5971">
        <v>-5.9727299999999997E-2</v>
      </c>
      <c r="P5971">
        <v>0.98316959999999998</v>
      </c>
      <c r="Q5971">
        <v>0.1801461</v>
      </c>
      <c r="R5971">
        <v>-3.0413079999999999E-2</v>
      </c>
      <c r="S5971">
        <v>3.0725099999999999</v>
      </c>
      <c r="T5971">
        <v>-9.4409939999999998E-2</v>
      </c>
      <c r="U5971">
        <v>0.1127625</v>
      </c>
      <c r="V5971">
        <v>-2.9428940000000001E-2</v>
      </c>
      <c r="W5971">
        <v>0.18952920000000001</v>
      </c>
      <c r="X5971">
        <v>0.98143389999999997</v>
      </c>
      <c r="Y5971">
        <v>-9.6227309999999996E-2</v>
      </c>
      <c r="Z5971">
        <v>3.199089E-3</v>
      </c>
      <c r="AA5971">
        <v>0.99535419999999997</v>
      </c>
      <c r="AB5971">
        <v>29</v>
      </c>
      <c r="AC5971">
        <v>36.325799999999902</v>
      </c>
      <c r="AD5971">
        <v>-1.1234964736149999</v>
      </c>
      <c r="AE5971">
        <v>1.3541099999999899</v>
      </c>
      <c r="AF5971">
        <v>-3.5180757691755198</v>
      </c>
      <c r="AG5971">
        <v>-1.1234964736149999</v>
      </c>
      <c r="AH5971">
        <v>36.1455339755598</v>
      </c>
      <c r="AI5971">
        <v>91.771959504475205</v>
      </c>
      <c r="AJ5971">
        <v>95.559136954303497</v>
      </c>
      <c r="AK5971">
        <v>36.333713377829099</v>
      </c>
      <c r="AL5971">
        <v>79.074689206423997</v>
      </c>
      <c r="AM5971">
        <v>91.717536929762701</v>
      </c>
      <c r="AN5971">
        <v>0.99999994011568405</v>
      </c>
    </row>
    <row r="5972" spans="1:40" x14ac:dyDescent="0.25">
      <c r="A5972" t="str">
        <f>"20190303170411544"</f>
        <v>20190303170411544</v>
      </c>
      <c r="B5972" t="str">
        <f>"1551603851531469"</f>
        <v>1551603851531469</v>
      </c>
      <c r="C5972" t="s">
        <v>40</v>
      </c>
      <c r="D5972">
        <v>4.92028</v>
      </c>
      <c r="E5972">
        <v>0.48040820000000001</v>
      </c>
      <c r="F5972" t="s">
        <v>42</v>
      </c>
      <c r="G5972">
        <v>-352.20749999999998</v>
      </c>
      <c r="H5972" s="1">
        <v>-3.585938E-6</v>
      </c>
      <c r="I5972">
        <v>18.146619999999999</v>
      </c>
      <c r="J5972">
        <v>-391.02300000000002</v>
      </c>
      <c r="K5972">
        <v>1.1234789999999999</v>
      </c>
      <c r="L5972">
        <v>16.646639999999898</v>
      </c>
      <c r="M5972">
        <v>0.99826939999999997</v>
      </c>
      <c r="N5972">
        <v>-9.5733529999999997E-3</v>
      </c>
      <c r="O5972">
        <v>-5.8021179999999999E-2</v>
      </c>
      <c r="P5972">
        <v>0.9832301</v>
      </c>
      <c r="Q5972">
        <v>0.1801036</v>
      </c>
      <c r="R5972">
        <v>-2.8658840000000001E-2</v>
      </c>
      <c r="S5972">
        <v>3.071259</v>
      </c>
      <c r="T5972">
        <v>-8.8530780000000003E-2</v>
      </c>
      <c r="U5972">
        <v>0.1175842</v>
      </c>
      <c r="V5972">
        <v>-2.9503479999999999E-2</v>
      </c>
      <c r="W5972">
        <v>0.18934570000000001</v>
      </c>
      <c r="X5972">
        <v>0.98146710000000004</v>
      </c>
      <c r="Y5972">
        <v>-9.6110399999999999E-2</v>
      </c>
      <c r="Z5972">
        <v>2.960804E-3</v>
      </c>
      <c r="AA5972">
        <v>0.99536630000000004</v>
      </c>
      <c r="AB5972">
        <v>29</v>
      </c>
      <c r="AC5972">
        <v>38.8155</v>
      </c>
      <c r="AD5972">
        <v>-1.123482585938</v>
      </c>
      <c r="AE5972">
        <v>1.4999800000000001</v>
      </c>
      <c r="AF5972">
        <v>-3.7465432196211501</v>
      </c>
      <c r="AG5972">
        <v>-1.123482585938</v>
      </c>
      <c r="AH5972">
        <v>38.630753706952497</v>
      </c>
      <c r="AI5972">
        <v>91.658065352501197</v>
      </c>
      <c r="AJ5972">
        <v>95.539417372224605</v>
      </c>
      <c r="AK5972">
        <v>38.828262016018897</v>
      </c>
      <c r="AL5972">
        <v>79.085397076179703</v>
      </c>
      <c r="AM5972">
        <v>91.7218264197043</v>
      </c>
      <c r="AN5972">
        <v>0.99999995891150395</v>
      </c>
    </row>
    <row r="5973" spans="1:40" x14ac:dyDescent="0.25">
      <c r="A5973" t="str">
        <f>"20190303170411557"</f>
        <v>20190303170411557</v>
      </c>
      <c r="B5973" t="str">
        <f>"1551603851551965"</f>
        <v>1551603851551965</v>
      </c>
      <c r="C5973" t="s">
        <v>40</v>
      </c>
      <c r="D5973">
        <v>4.9412560000000001</v>
      </c>
      <c r="E5973">
        <v>0.48071390000000003</v>
      </c>
      <c r="F5973" t="s">
        <v>42</v>
      </c>
      <c r="G5973">
        <v>-352.22129999999999</v>
      </c>
      <c r="H5973" s="1">
        <v>-3.5773769999999998E-6</v>
      </c>
      <c r="I5973">
        <v>18.161519999999999</v>
      </c>
      <c r="J5973">
        <v>-390.8612</v>
      </c>
      <c r="K5973">
        <v>1.123462</v>
      </c>
      <c r="L5973">
        <v>16.63889</v>
      </c>
      <c r="M5973">
        <v>0.99836959999999997</v>
      </c>
      <c r="N5973">
        <v>-9.4278390000000004E-3</v>
      </c>
      <c r="O5973">
        <v>-5.629849E-2</v>
      </c>
      <c r="P5973">
        <v>0.98324290000000003</v>
      </c>
      <c r="Q5973">
        <v>0.18032709999999999</v>
      </c>
      <c r="R5973">
        <v>-2.6757010000000001E-2</v>
      </c>
      <c r="S5973">
        <v>3.0709840000000002</v>
      </c>
      <c r="T5973">
        <v>-8.8918689999999995E-2</v>
      </c>
      <c r="U5973">
        <v>0.1199036</v>
      </c>
      <c r="V5973">
        <v>-2.9707999999999998E-2</v>
      </c>
      <c r="W5973">
        <v>0.18942439999999999</v>
      </c>
      <c r="X5973">
        <v>0.98144580000000003</v>
      </c>
      <c r="Y5973">
        <v>-9.5147040000000002E-2</v>
      </c>
      <c r="Z5973">
        <v>2.9238319999999999E-3</v>
      </c>
      <c r="AA5973">
        <v>0.99545899999999998</v>
      </c>
      <c r="AB5973">
        <v>29</v>
      </c>
      <c r="AC5973">
        <v>38.639899999999997</v>
      </c>
      <c r="AD5973">
        <v>-1.1234655773769999</v>
      </c>
      <c r="AE5973">
        <v>1.5226299999999899</v>
      </c>
      <c r="AF5973">
        <v>-3.6925625432562699</v>
      </c>
      <c r="AG5973">
        <v>-1.1234655773769999</v>
      </c>
      <c r="AH5973">
        <v>38.460422496999399</v>
      </c>
      <c r="AI5973">
        <v>91.665534172404506</v>
      </c>
      <c r="AJ5973">
        <v>95.484124778568102</v>
      </c>
      <c r="AK5973">
        <v>38.653606451237003</v>
      </c>
      <c r="AL5973">
        <v>79.080805394017204</v>
      </c>
      <c r="AM5973">
        <v>91.733792574480503</v>
      </c>
      <c r="AN5973">
        <v>1.0000000134584901</v>
      </c>
    </row>
    <row r="5974" spans="1:40" x14ac:dyDescent="0.25">
      <c r="A5974" t="str">
        <f>"20190303170411569"</f>
        <v>20190303170411569</v>
      </c>
      <c r="B5974" t="str">
        <f>"1551603851561726"</f>
        <v>1551603851561726</v>
      </c>
      <c r="C5974" t="s">
        <v>40</v>
      </c>
      <c r="D5974">
        <v>5.0494890000000003</v>
      </c>
      <c r="E5974">
        <v>0.4810238</v>
      </c>
      <c r="F5974" t="s">
        <v>42</v>
      </c>
      <c r="G5974">
        <v>-351.56459999999998</v>
      </c>
      <c r="H5974" s="1">
        <v>-3.8500959999999997E-6</v>
      </c>
      <c r="I5974">
        <v>18.212340000000001</v>
      </c>
      <c r="J5974">
        <v>-390.6875</v>
      </c>
      <c r="K5974">
        <v>1.123445</v>
      </c>
      <c r="L5974">
        <v>16.63092</v>
      </c>
      <c r="M5974">
        <v>0.99847359999999996</v>
      </c>
      <c r="N5974">
        <v>-9.2687169999999992E-3</v>
      </c>
      <c r="O5974">
        <v>-5.4447040000000002E-2</v>
      </c>
      <c r="P5974">
        <v>0.98326939999999996</v>
      </c>
      <c r="Q5974">
        <v>0.1803825</v>
      </c>
      <c r="R5974">
        <v>-2.5366989999999999E-2</v>
      </c>
      <c r="S5974">
        <v>3.0706180000000001</v>
      </c>
      <c r="T5974">
        <v>-8.7787030000000002E-2</v>
      </c>
      <c r="U5974">
        <v>0.1229553</v>
      </c>
      <c r="V5974">
        <v>-2.927567E-2</v>
      </c>
      <c r="W5974">
        <v>0.1893261</v>
      </c>
      <c r="X5974">
        <v>0.98147770000000001</v>
      </c>
      <c r="Y5974">
        <v>-9.4295779999999996E-2</v>
      </c>
      <c r="Z5974">
        <v>2.8354859999999999E-3</v>
      </c>
      <c r="AA5974">
        <v>0.99554019999999999</v>
      </c>
      <c r="AB5974">
        <v>29</v>
      </c>
      <c r="AC5974">
        <v>39.122900000000001</v>
      </c>
      <c r="AD5974">
        <v>-1.123448850096</v>
      </c>
      <c r="AE5974">
        <v>1.58142</v>
      </c>
      <c r="AF5974">
        <v>-3.7062405170912398</v>
      </c>
      <c r="AG5974">
        <v>-1.123448850096</v>
      </c>
      <c r="AH5974">
        <v>38.946691951830999</v>
      </c>
      <c r="AI5974">
        <v>91.644858110254901</v>
      </c>
      <c r="AJ5974">
        <v>95.436004573570003</v>
      </c>
      <c r="AK5974">
        <v>39.1387681216479</v>
      </c>
      <c r="AL5974">
        <v>79.086540731135798</v>
      </c>
      <c r="AM5974">
        <v>91.708520871666295</v>
      </c>
      <c r="AN5974">
        <v>0.99999995629622296</v>
      </c>
    </row>
    <row r="5975" spans="1:40" x14ac:dyDescent="0.25">
      <c r="A5975" t="str">
        <f>"20190303170411587"</f>
        <v>20190303170411587</v>
      </c>
      <c r="B5975" t="str">
        <f>"1551603851571486"</f>
        <v>1551603851571486</v>
      </c>
      <c r="C5975" t="s">
        <v>40</v>
      </c>
      <c r="D5975">
        <v>4.9741059999999999</v>
      </c>
      <c r="E5975">
        <v>0.48124549999999999</v>
      </c>
      <c r="F5975" t="s">
        <v>42</v>
      </c>
      <c r="G5975">
        <v>-351.55700000000002</v>
      </c>
      <c r="H5975" s="1">
        <v>-3.8524130000000003E-6</v>
      </c>
      <c r="I5975">
        <v>18.217659999999999</v>
      </c>
      <c r="J5975">
        <v>-390.47399999999999</v>
      </c>
      <c r="K5975">
        <v>1.1234219999999999</v>
      </c>
      <c r="L5975">
        <v>16.621549999999999</v>
      </c>
      <c r="M5975">
        <v>0.99859699999999996</v>
      </c>
      <c r="N5975">
        <v>-9.0771350000000001E-3</v>
      </c>
      <c r="O5975">
        <v>-5.2170439999999998E-2</v>
      </c>
      <c r="P5975">
        <v>0.98323130000000003</v>
      </c>
      <c r="Q5975">
        <v>0.18076900000000001</v>
      </c>
      <c r="R5975">
        <v>-2.4065989999999999E-2</v>
      </c>
      <c r="S5975">
        <v>3.0704039999999999</v>
      </c>
      <c r="T5975">
        <v>-8.8152170000000002E-2</v>
      </c>
      <c r="U5975">
        <v>0.1245117</v>
      </c>
      <c r="V5975">
        <v>-2.8336179999999999E-2</v>
      </c>
      <c r="W5975">
        <v>0.18952830000000001</v>
      </c>
      <c r="X5975">
        <v>0.98146630000000001</v>
      </c>
      <c r="Y5975">
        <v>-9.2533329999999997E-2</v>
      </c>
      <c r="Z5975">
        <v>2.7712219999999998E-3</v>
      </c>
      <c r="AA5975">
        <v>0.99570570000000003</v>
      </c>
      <c r="AB5975">
        <v>29</v>
      </c>
      <c r="AC5975">
        <v>38.917000000000002</v>
      </c>
      <c r="AD5975">
        <v>-1.1234258524130001</v>
      </c>
      <c r="AE5975">
        <v>1.5961099999999999</v>
      </c>
      <c r="AF5975">
        <v>-3.6213241310021398</v>
      </c>
      <c r="AG5975">
        <v>-1.1234258524130001</v>
      </c>
      <c r="AH5975">
        <v>38.7484895543219</v>
      </c>
      <c r="AI5975">
        <v>91.653496564666796</v>
      </c>
      <c r="AJ5975">
        <v>95.339192779778202</v>
      </c>
      <c r="AK5975">
        <v>38.933552584487302</v>
      </c>
      <c r="AL5975">
        <v>79.074742462199296</v>
      </c>
      <c r="AM5975">
        <v>91.6537426147584</v>
      </c>
      <c r="AN5975">
        <v>1.00000000681678</v>
      </c>
    </row>
    <row r="5976" spans="1:40" x14ac:dyDescent="0.25">
      <c r="A5976" t="str">
        <f>"20190303170411599"</f>
        <v>20190303170411599</v>
      </c>
      <c r="B5976" t="str">
        <f>"1551603851591982"</f>
        <v>1551603851591982</v>
      </c>
      <c r="C5976" t="s">
        <v>40</v>
      </c>
      <c r="D5976">
        <v>4.9870429999999999</v>
      </c>
      <c r="E5976">
        <v>0.48176730000000001</v>
      </c>
      <c r="F5976" t="s">
        <v>42</v>
      </c>
      <c r="G5976">
        <v>-350.84469999999999</v>
      </c>
      <c r="H5976" s="1">
        <v>-4.1507330000000002E-6</v>
      </c>
      <c r="I5976">
        <v>18.258520000000001</v>
      </c>
      <c r="J5976">
        <v>-390.30329999999998</v>
      </c>
      <c r="K5976">
        <v>1.123407</v>
      </c>
      <c r="L5976">
        <v>16.614380000000001</v>
      </c>
      <c r="M5976">
        <v>0.99869169999999996</v>
      </c>
      <c r="N5976">
        <v>-8.9247619999999993E-3</v>
      </c>
      <c r="O5976">
        <v>-5.0350730000000003E-2</v>
      </c>
      <c r="P5976">
        <v>0.98317030000000005</v>
      </c>
      <c r="Q5976">
        <v>0.1812658</v>
      </c>
      <c r="R5976">
        <v>-2.278225E-2</v>
      </c>
      <c r="S5976">
        <v>3.0702820000000002</v>
      </c>
      <c r="T5976">
        <v>-8.703756E-2</v>
      </c>
      <c r="U5976">
        <v>0.1268311</v>
      </c>
      <c r="V5976">
        <v>-2.7828820000000001E-2</v>
      </c>
      <c r="W5976">
        <v>0.18987760000000001</v>
      </c>
      <c r="X5976">
        <v>0.98141330000000004</v>
      </c>
      <c r="Y5976">
        <v>-9.1473769999999996E-2</v>
      </c>
      <c r="Z5976">
        <v>2.6814709999999999E-3</v>
      </c>
      <c r="AA5976">
        <v>0.99580389999999996</v>
      </c>
      <c r="AB5976">
        <v>29</v>
      </c>
      <c r="AC5976">
        <v>39.458599999999898</v>
      </c>
      <c r="AD5976">
        <v>-1.123411150733</v>
      </c>
      <c r="AE5976">
        <v>1.6441399999999999</v>
      </c>
      <c r="AF5976">
        <v>-3.6259688553094001</v>
      </c>
      <c r="AG5976">
        <v>-1.123411150733</v>
      </c>
      <c r="AH5976">
        <v>39.293964107519102</v>
      </c>
      <c r="AI5976">
        <v>91.630710995937093</v>
      </c>
      <c r="AJ5976">
        <v>95.272209711692199</v>
      </c>
      <c r="AK5976">
        <v>39.476896003058101</v>
      </c>
      <c r="AL5976">
        <v>79.054358901219899</v>
      </c>
      <c r="AM5976">
        <v>91.624235979563593</v>
      </c>
      <c r="AN5976">
        <v>1.00000000581062</v>
      </c>
    </row>
    <row r="5977" spans="1:40" x14ac:dyDescent="0.25">
      <c r="A5977" t="str">
        <f>"20190303170411613"</f>
        <v>20190303170411613</v>
      </c>
      <c r="B5977" t="str">
        <f>"1551603851601742"</f>
        <v>1551603851601742</v>
      </c>
      <c r="C5977" t="s">
        <v>40</v>
      </c>
      <c r="D5977">
        <v>5.1040839999999896</v>
      </c>
      <c r="E5977">
        <v>0.48200280000000001</v>
      </c>
      <c r="F5977" t="s">
        <v>42</v>
      </c>
      <c r="G5977">
        <v>-349.97</v>
      </c>
      <c r="H5977" s="1">
        <v>-4.5222020000000001E-6</v>
      </c>
      <c r="I5977">
        <v>18.27976</v>
      </c>
      <c r="J5977">
        <v>-390.12509999999997</v>
      </c>
      <c r="K5977">
        <v>1.1233959999999901</v>
      </c>
      <c r="L5977">
        <v>16.60718</v>
      </c>
      <c r="M5977">
        <v>0.99878730000000004</v>
      </c>
      <c r="N5977">
        <v>-8.7644509999999995E-3</v>
      </c>
      <c r="O5977">
        <v>-4.8449230000000003E-2</v>
      </c>
      <c r="P5977">
        <v>0.98316530000000002</v>
      </c>
      <c r="Q5977">
        <v>0.18150359999999999</v>
      </c>
      <c r="R5977">
        <v>-2.1034710000000002E-2</v>
      </c>
      <c r="S5977">
        <v>3.0700379999999998</v>
      </c>
      <c r="T5977">
        <v>-8.5510370000000002E-2</v>
      </c>
      <c r="U5977">
        <v>0.12676999999999999</v>
      </c>
      <c r="V5977">
        <v>-2.7705779999999999E-2</v>
      </c>
      <c r="W5977">
        <v>0.1899576</v>
      </c>
      <c r="X5977">
        <v>0.98140130000000003</v>
      </c>
      <c r="Y5977">
        <v>-8.9564439999999995E-2</v>
      </c>
      <c r="Z5977">
        <v>2.5634719999999998E-3</v>
      </c>
      <c r="AA5977">
        <v>0.99597780000000002</v>
      </c>
      <c r="AB5977">
        <v>29</v>
      </c>
      <c r="AC5977">
        <v>40.155099999999898</v>
      </c>
      <c r="AD5977">
        <v>-1.12340052220199</v>
      </c>
      <c r="AE5977">
        <v>1.67258</v>
      </c>
      <c r="AF5977">
        <v>-3.6133506201929602</v>
      </c>
      <c r="AG5977">
        <v>-1.12340052220199</v>
      </c>
      <c r="AH5977">
        <v>39.9956519487137</v>
      </c>
      <c r="AI5977">
        <v>91.602382051504804</v>
      </c>
      <c r="AJ5977">
        <v>95.1622918084487</v>
      </c>
      <c r="AK5977">
        <v>40.174251781960798</v>
      </c>
      <c r="AL5977">
        <v>79.0496902703036</v>
      </c>
      <c r="AM5977">
        <v>91.617078302681605</v>
      </c>
      <c r="AN5977">
        <v>1.0000000058424201</v>
      </c>
    </row>
    <row r="5978" spans="1:40" x14ac:dyDescent="0.25">
      <c r="A5978" t="str">
        <f>"20190303170411632"</f>
        <v>20190303170411632</v>
      </c>
      <c r="B5978" t="str">
        <f>"1551603851621768"</f>
        <v>1551603851621768</v>
      </c>
      <c r="C5978" t="s">
        <v>40</v>
      </c>
      <c r="D5978">
        <v>5.1005000000000003</v>
      </c>
      <c r="E5978">
        <v>0.48242459999999998</v>
      </c>
      <c r="F5978" t="s">
        <v>42</v>
      </c>
      <c r="G5978">
        <v>-349.3818</v>
      </c>
      <c r="H5978" s="1">
        <v>-5.3604830000000001E-7</v>
      </c>
      <c r="I5978">
        <v>18.339860000000002</v>
      </c>
      <c r="J5978">
        <v>-389.88459999999998</v>
      </c>
      <c r="K5978">
        <v>1.123378</v>
      </c>
      <c r="L5978">
        <v>16.59808</v>
      </c>
      <c r="M5978">
        <v>0.99891010000000002</v>
      </c>
      <c r="N5978">
        <v>-8.5484600000000008E-3</v>
      </c>
      <c r="O5978">
        <v>-4.5888100000000001E-2</v>
      </c>
      <c r="P5978">
        <v>0.98320289999999999</v>
      </c>
      <c r="Q5978">
        <v>0.1815619</v>
      </c>
      <c r="R5978">
        <v>-1.8646039999999999E-2</v>
      </c>
      <c r="S5978">
        <v>3.0697939999999999</v>
      </c>
      <c r="T5978">
        <v>-8.4642049999999996E-2</v>
      </c>
      <c r="U5978">
        <v>0.13055419999999901</v>
      </c>
      <c r="V5978">
        <v>-2.7576050000000001E-2</v>
      </c>
      <c r="W5978">
        <v>0.18980459999999999</v>
      </c>
      <c r="X5978">
        <v>0.98143449999999999</v>
      </c>
      <c r="Y5978">
        <v>-8.8241639999999996E-2</v>
      </c>
      <c r="Z5978">
        <v>2.4655359999999999E-3</v>
      </c>
      <c r="AA5978">
        <v>0.99609610000000004</v>
      </c>
      <c r="AB5978">
        <v>29</v>
      </c>
      <c r="AC5978">
        <v>40.502799999999901</v>
      </c>
      <c r="AD5978">
        <v>-1.1233785360483</v>
      </c>
      <c r="AE5978">
        <v>1.7417800000000001</v>
      </c>
      <c r="AF5978">
        <v>-3.5958482389458899</v>
      </c>
      <c r="AG5978">
        <v>-1.1233785360483</v>
      </c>
      <c r="AH5978">
        <v>40.349218409553202</v>
      </c>
      <c r="AI5978">
        <v>91.588490252122497</v>
      </c>
      <c r="AJ5978">
        <v>95.092641077022094</v>
      </c>
      <c r="AK5978">
        <v>40.524702715190998</v>
      </c>
      <c r="AL5978">
        <v>79.058618358752099</v>
      </c>
      <c r="AM5978">
        <v>91.609456042815793</v>
      </c>
      <c r="AN5978">
        <v>0.99999995125250496</v>
      </c>
    </row>
    <row r="5979" spans="1:40" x14ac:dyDescent="0.25">
      <c r="A5979" t="str">
        <f>"20190303170411649"</f>
        <v>20190303170411649</v>
      </c>
      <c r="B5979" t="str">
        <f>"1551603851641289"</f>
        <v>1551603851641289</v>
      </c>
      <c r="C5979" t="s">
        <v>40</v>
      </c>
      <c r="D5979">
        <v>4.9741730000000004</v>
      </c>
      <c r="E5979">
        <v>0.48273440000000001</v>
      </c>
      <c r="F5979" t="s">
        <v>42</v>
      </c>
      <c r="G5979">
        <v>-349.34339999999997</v>
      </c>
      <c r="H5979" s="1">
        <v>-5.3747359999999999E-7</v>
      </c>
      <c r="I5979">
        <v>18.383579999999998</v>
      </c>
      <c r="J5979">
        <v>-389.68009999999998</v>
      </c>
      <c r="K5979">
        <v>1.123359</v>
      </c>
      <c r="L5979">
        <v>16.590820000000001</v>
      </c>
      <c r="M5979">
        <v>0.99900889999999998</v>
      </c>
      <c r="N5979">
        <v>-8.364883E-3</v>
      </c>
      <c r="O5979">
        <v>-4.3719349999999997E-2</v>
      </c>
      <c r="P5979">
        <v>0.98325070000000003</v>
      </c>
      <c r="Q5979">
        <v>0.18152950000000001</v>
      </c>
      <c r="R5979">
        <v>-1.6293160000000001E-2</v>
      </c>
      <c r="S5979">
        <v>3.0695190000000001</v>
      </c>
      <c r="T5979">
        <v>-8.5054989999999997E-2</v>
      </c>
      <c r="U5979">
        <v>0.13519289999999901</v>
      </c>
      <c r="V5979">
        <v>-2.7795770000000001E-2</v>
      </c>
      <c r="W5979">
        <v>0.18959019999999999</v>
      </c>
      <c r="X5979">
        <v>0.98146979999999995</v>
      </c>
      <c r="Y5979">
        <v>-8.7585609999999994E-2</v>
      </c>
      <c r="Z5979">
        <v>2.4243950000000002E-3</v>
      </c>
      <c r="AA5979">
        <v>0.99615410000000004</v>
      </c>
      <c r="AB5979">
        <v>29</v>
      </c>
      <c r="AC5979">
        <v>40.3367</v>
      </c>
      <c r="AD5979">
        <v>-1.1233595374736001</v>
      </c>
      <c r="AE5979">
        <v>1.7927599999999899</v>
      </c>
      <c r="AF5979">
        <v>-3.5518522433106998</v>
      </c>
      <c r="AG5979">
        <v>-1.1233595374736001</v>
      </c>
      <c r="AH5979">
        <v>40.188639627458102</v>
      </c>
      <c r="AI5979">
        <v>91.594910716003298</v>
      </c>
      <c r="AJ5979">
        <v>95.050650044102198</v>
      </c>
      <c r="AK5979">
        <v>40.360925981875603</v>
      </c>
      <c r="AL5979">
        <v>79.071130382589899</v>
      </c>
      <c r="AM5979">
        <v>91.622214698505005</v>
      </c>
      <c r="AN5979">
        <v>1.00000000853898</v>
      </c>
    </row>
    <row r="5980" spans="1:40" x14ac:dyDescent="0.25">
      <c r="A5980" t="str">
        <f>"20190303170411666"</f>
        <v>20190303170411666</v>
      </c>
      <c r="B5980" t="str">
        <f>"1551603851661784"</f>
        <v>1551603851661784</v>
      </c>
      <c r="C5980" t="s">
        <v>40</v>
      </c>
      <c r="D5980">
        <v>4.9837280000000002</v>
      </c>
      <c r="E5980">
        <v>0.48305680000000001</v>
      </c>
      <c r="F5980" t="s">
        <v>42</v>
      </c>
      <c r="G5980">
        <v>-349.06760000000003</v>
      </c>
      <c r="H5980" s="1">
        <v>-6.1453189999999999E-7</v>
      </c>
      <c r="I5980">
        <v>18.446750000000002</v>
      </c>
      <c r="J5980">
        <v>-389.4556</v>
      </c>
      <c r="K5980">
        <v>1.1233340000000001</v>
      </c>
      <c r="L5980">
        <v>16.58334</v>
      </c>
      <c r="M5980">
        <v>0.99911139999999998</v>
      </c>
      <c r="N5980">
        <v>-8.1650530000000002E-3</v>
      </c>
      <c r="O5980">
        <v>-4.1350810000000002E-2</v>
      </c>
      <c r="P5980">
        <v>0.98341239999999996</v>
      </c>
      <c r="Q5980">
        <v>0.1808892</v>
      </c>
      <c r="R5980">
        <v>-1.3397620000000001E-2</v>
      </c>
      <c r="S5980">
        <v>3.0690919999999999</v>
      </c>
      <c r="T5980">
        <v>-8.4892389999999998E-2</v>
      </c>
      <c r="U5980">
        <v>0.14025879999999999</v>
      </c>
      <c r="V5980">
        <v>-2.83611E-2</v>
      </c>
      <c r="W5980">
        <v>0.1887511</v>
      </c>
      <c r="X5980">
        <v>0.98161540000000003</v>
      </c>
      <c r="Y5980">
        <v>-8.6871980000000001E-2</v>
      </c>
      <c r="Z5980">
        <v>2.3611209999999999E-3</v>
      </c>
      <c r="AA5980">
        <v>0.99621669999999996</v>
      </c>
      <c r="AB5980">
        <v>29</v>
      </c>
      <c r="AC5980">
        <v>40.387999999999899</v>
      </c>
      <c r="AD5980">
        <v>-1.1233346145318901</v>
      </c>
      <c r="AE5980">
        <v>1.86341</v>
      </c>
      <c r="AF5980">
        <v>-3.5292237742267498</v>
      </c>
      <c r="AG5980">
        <v>-1.1233346145318901</v>
      </c>
      <c r="AH5980">
        <v>40.2453298954632</v>
      </c>
      <c r="AI5980">
        <v>91.592725440780697</v>
      </c>
      <c r="AJ5980">
        <v>95.011604435135993</v>
      </c>
      <c r="AK5980">
        <v>40.415391616306799</v>
      </c>
      <c r="AL5980">
        <v>79.120091884254606</v>
      </c>
      <c r="AM5980">
        <v>91.654944903197702</v>
      </c>
      <c r="AN5980">
        <v>1.00000006163078</v>
      </c>
    </row>
    <row r="5981" spans="1:40" x14ac:dyDescent="0.25">
      <c r="A5981" t="str">
        <f>"20190303170411680"</f>
        <v>20190303170411680</v>
      </c>
      <c r="B5981" t="str">
        <f>"1551603851671544"</f>
        <v>1551603851671544</v>
      </c>
      <c r="C5981" t="s">
        <v>40</v>
      </c>
      <c r="D5981">
        <v>4.9410400000000001</v>
      </c>
      <c r="E5981">
        <v>0.48305680000000001</v>
      </c>
      <c r="F5981" t="s">
        <v>42</v>
      </c>
      <c r="G5981">
        <v>-349.43290000000002</v>
      </c>
      <c r="H5981" s="1">
        <v>-4.7746849999999996E-7</v>
      </c>
      <c r="I5981">
        <v>18.494689999999999</v>
      </c>
      <c r="J5981">
        <v>-389.25959999999998</v>
      </c>
      <c r="K5981">
        <v>1.1233109999999999</v>
      </c>
      <c r="L5981">
        <v>16.577179999999998</v>
      </c>
      <c r="M5981">
        <v>0.99919559999999996</v>
      </c>
      <c r="N5981">
        <v>-7.9942680000000006E-3</v>
      </c>
      <c r="O5981">
        <v>-3.9297390000000001E-2</v>
      </c>
      <c r="P5981">
        <v>0.98338119999999996</v>
      </c>
      <c r="Q5981">
        <v>0.18121090000000001</v>
      </c>
      <c r="R5981">
        <v>-1.114976E-2</v>
      </c>
      <c r="S5981">
        <v>3.068451</v>
      </c>
      <c r="T5981">
        <v>-8.612359E-2</v>
      </c>
      <c r="U5981">
        <v>0.14654539999999999</v>
      </c>
      <c r="V5981">
        <v>-2.8585389999999999E-2</v>
      </c>
      <c r="W5981">
        <v>0.1889033</v>
      </c>
      <c r="X5981">
        <v>0.98157950000000005</v>
      </c>
      <c r="Y5981">
        <v>-8.6869660000000001E-2</v>
      </c>
      <c r="Z5981">
        <v>2.3539469999999999E-3</v>
      </c>
      <c r="AA5981">
        <v>0.99621689999999996</v>
      </c>
      <c r="AB5981">
        <v>29</v>
      </c>
      <c r="AC5981">
        <v>39.826699999999903</v>
      </c>
      <c r="AD5981">
        <v>-1.1233114774685</v>
      </c>
      <c r="AE5981">
        <v>1.9175099999999901</v>
      </c>
      <c r="AF5981">
        <v>-3.4784033427413998</v>
      </c>
      <c r="AG5981">
        <v>-1.1233114774685</v>
      </c>
      <c r="AH5981">
        <v>39.6890782409709</v>
      </c>
      <c r="AI5981">
        <v>91.615010092606795</v>
      </c>
      <c r="AJ5981">
        <v>95.008680211533999</v>
      </c>
      <c r="AK5981">
        <v>39.857045175327798</v>
      </c>
      <c r="AL5981">
        <v>79.111210463957093</v>
      </c>
      <c r="AM5981">
        <v>91.668086422219901</v>
      </c>
      <c r="AN5981">
        <v>0.999999948046294</v>
      </c>
    </row>
    <row r="5982" spans="1:40" x14ac:dyDescent="0.25">
      <c r="A5982" t="str">
        <f>"20190303170411698"</f>
        <v>20190303170411698</v>
      </c>
      <c r="B5982" t="str">
        <f>"1551603851692040"</f>
        <v>1551603851692040</v>
      </c>
      <c r="C5982" t="s">
        <v>40</v>
      </c>
      <c r="D5982">
        <v>4.948283</v>
      </c>
      <c r="E5982">
        <v>0.48386699999999999</v>
      </c>
      <c r="F5982" t="s">
        <v>42</v>
      </c>
      <c r="G5982">
        <v>-348.779</v>
      </c>
      <c r="H5982" s="1">
        <v>-6.8604649999999999E-7</v>
      </c>
      <c r="I5982">
        <v>18.602</v>
      </c>
      <c r="J5982">
        <v>-389.01679999999999</v>
      </c>
      <c r="K5982">
        <v>1.1232819999999999</v>
      </c>
      <c r="L5982">
        <v>16.5701</v>
      </c>
      <c r="M5982">
        <v>0.99929330000000005</v>
      </c>
      <c r="N5982">
        <v>-7.7899060000000001E-3</v>
      </c>
      <c r="O5982">
        <v>-3.677333E-2</v>
      </c>
      <c r="P5982">
        <v>0.98327540000000002</v>
      </c>
      <c r="Q5982">
        <v>0.1819046</v>
      </c>
      <c r="R5982">
        <v>-8.9631269999999996E-3</v>
      </c>
      <c r="S5982">
        <v>3.068146</v>
      </c>
      <c r="T5982">
        <v>-8.5139039999999999E-2</v>
      </c>
      <c r="U5982">
        <v>0.1534729</v>
      </c>
      <c r="V5982">
        <v>-2.828402E-2</v>
      </c>
      <c r="W5982">
        <v>0.1893977</v>
      </c>
      <c r="X5982">
        <v>0.98149299999999995</v>
      </c>
      <c r="Y5982">
        <v>-8.6603730000000004E-2</v>
      </c>
      <c r="Z5982">
        <v>2.2716680000000001E-3</v>
      </c>
      <c r="AA5982">
        <v>0.99624029999999997</v>
      </c>
      <c r="AB5982">
        <v>29</v>
      </c>
      <c r="AC5982">
        <v>40.237799999999901</v>
      </c>
      <c r="AD5982">
        <v>-1.1232826860464999</v>
      </c>
      <c r="AE5982">
        <v>2.0318999999999998</v>
      </c>
      <c r="AF5982">
        <v>-3.5075218654962899</v>
      </c>
      <c r="AG5982">
        <v>-1.1232826860464999</v>
      </c>
      <c r="AH5982">
        <v>40.104686361942498</v>
      </c>
      <c r="AI5982">
        <v>91.598266677926603</v>
      </c>
      <c r="AJ5982">
        <v>94.9983219611631</v>
      </c>
      <c r="AK5982">
        <v>40.2734446232189</v>
      </c>
      <c r="AL5982">
        <v>79.082363155058601</v>
      </c>
      <c r="AM5982">
        <v>91.650655283571197</v>
      </c>
      <c r="AN5982">
        <v>0.99999999180082499</v>
      </c>
    </row>
    <row r="5983" spans="1:40" x14ac:dyDescent="0.25">
      <c r="A5983" t="str">
        <f>"20190303170411712"</f>
        <v>20190303170411712</v>
      </c>
      <c r="B5983" t="str">
        <f>"1551603851701800"</f>
        <v>1551603851701800</v>
      </c>
      <c r="C5983" t="s">
        <v>40</v>
      </c>
      <c r="D5983">
        <v>5.1072860000000002</v>
      </c>
      <c r="E5983">
        <v>0.4840643</v>
      </c>
      <c r="F5983" t="s">
        <v>42</v>
      </c>
      <c r="G5983">
        <v>-349.35579999999999</v>
      </c>
      <c r="H5983" s="1">
        <v>-4.8603019999999995E-7</v>
      </c>
      <c r="I5983">
        <v>18.561150000000001</v>
      </c>
      <c r="J5983">
        <v>-388.83960000000002</v>
      </c>
      <c r="K5983">
        <v>1.1232610000000001</v>
      </c>
      <c r="L5983">
        <v>16.565279999999898</v>
      </c>
      <c r="M5983">
        <v>0.99936009999999997</v>
      </c>
      <c r="N5983">
        <v>-7.6446839999999997E-3</v>
      </c>
      <c r="O5983">
        <v>-3.494705E-2</v>
      </c>
      <c r="P5983">
        <v>0.98321519999999996</v>
      </c>
      <c r="Q5983">
        <v>0.18230469999999999</v>
      </c>
      <c r="R5983">
        <v>-7.3058250000000002E-3</v>
      </c>
      <c r="S5983">
        <v>3.0685419999999999</v>
      </c>
      <c r="T5983">
        <v>-8.6907509999999993E-2</v>
      </c>
      <c r="U5983">
        <v>0.15405269999999999</v>
      </c>
      <c r="V5983">
        <v>-2.8141719999999999E-2</v>
      </c>
      <c r="W5983">
        <v>0.18965570000000001</v>
      </c>
      <c r="X5983">
        <v>0.98144730000000002</v>
      </c>
      <c r="Y5983">
        <v>-8.4963579999999997E-2</v>
      </c>
      <c r="Z5983">
        <v>2.2493069999999999E-3</v>
      </c>
      <c r="AA5983">
        <v>0.99638150000000003</v>
      </c>
      <c r="AB5983">
        <v>29</v>
      </c>
      <c r="AC5983">
        <v>39.483800000000002</v>
      </c>
      <c r="AD5983">
        <v>-1.1232614860301999</v>
      </c>
      <c r="AE5983">
        <v>1.99587</v>
      </c>
      <c r="AF5983">
        <v>-3.3718112558171698</v>
      </c>
      <c r="AG5983">
        <v>-1.1232614860301999</v>
      </c>
      <c r="AH5983">
        <v>39.3581563077948</v>
      </c>
      <c r="AI5983">
        <v>91.628785317421901</v>
      </c>
      <c r="AJ5983">
        <v>94.896570682650093</v>
      </c>
      <c r="AK5983">
        <v>39.518290644455497</v>
      </c>
      <c r="AL5983">
        <v>79.067308309361806</v>
      </c>
      <c r="AM5983">
        <v>91.642431648508904</v>
      </c>
      <c r="AN5983">
        <v>1.0000000218121601</v>
      </c>
    </row>
    <row r="5984" spans="1:40" x14ac:dyDescent="0.25">
      <c r="A5984" t="str">
        <f>"20190303170411724"</f>
        <v>20190303170411724</v>
      </c>
      <c r="B5984" t="str">
        <f>"1551603851712068"</f>
        <v>1551603851712068</v>
      </c>
      <c r="C5984" t="s">
        <v>40</v>
      </c>
      <c r="D5984">
        <v>5.1110040000000003</v>
      </c>
      <c r="E5984">
        <v>0.4842397</v>
      </c>
      <c r="F5984" t="s">
        <v>42</v>
      </c>
      <c r="G5984">
        <v>-348.50259999999997</v>
      </c>
      <c r="H5984" s="1">
        <v>-7.9805639999999995E-7</v>
      </c>
      <c r="I5984">
        <v>18.639040000000001</v>
      </c>
      <c r="J5984">
        <v>-388.67189999999999</v>
      </c>
      <c r="K5984">
        <v>1.12324</v>
      </c>
      <c r="L5984">
        <v>16.561070000000001</v>
      </c>
      <c r="M5984">
        <v>0.99941939999999996</v>
      </c>
      <c r="N5984">
        <v>-7.5120419999999896E-3</v>
      </c>
      <c r="O5984">
        <v>-3.3235000000000001E-2</v>
      </c>
      <c r="P5984">
        <v>0.98321060000000005</v>
      </c>
      <c r="Q5984">
        <v>0.18238370000000001</v>
      </c>
      <c r="R5984">
        <v>-5.7728160000000001E-3</v>
      </c>
      <c r="S5984">
        <v>3.0682070000000001</v>
      </c>
      <c r="T5984">
        <v>-8.5440039999999995E-2</v>
      </c>
      <c r="U5984">
        <v>0.15774540000000001</v>
      </c>
      <c r="V5984">
        <v>-2.7987100000000001E-2</v>
      </c>
      <c r="W5984">
        <v>0.1896061</v>
      </c>
      <c r="X5984">
        <v>0.98146129999999998</v>
      </c>
      <c r="Y5984">
        <v>-8.4460450000000006E-2</v>
      </c>
      <c r="Z5984">
        <v>2.167829E-3</v>
      </c>
      <c r="AA5984">
        <v>0.99642450000000005</v>
      </c>
      <c r="AB5984">
        <v>29</v>
      </c>
      <c r="AC5984">
        <v>40.1693</v>
      </c>
      <c r="AD5984">
        <v>-1.1232407980563901</v>
      </c>
      <c r="AE5984">
        <v>2.0779699999999899</v>
      </c>
      <c r="AF5984">
        <v>-3.40922766065317</v>
      </c>
      <c r="AG5984">
        <v>-1.1232407980563901</v>
      </c>
      <c r="AH5984">
        <v>40.046815071402897</v>
      </c>
      <c r="AI5984">
        <v>91.600834499920296</v>
      </c>
      <c r="AJ5984">
        <v>94.865917935125097</v>
      </c>
      <c r="AK5984">
        <v>40.20736127248</v>
      </c>
      <c r="AL5984">
        <v>79.070202645867298</v>
      </c>
      <c r="AM5984">
        <v>91.633389196006505</v>
      </c>
      <c r="AN5984">
        <v>1.00000001716065</v>
      </c>
    </row>
    <row r="5985" spans="1:40" x14ac:dyDescent="0.25">
      <c r="A5985" t="str">
        <f>"20190303170411742"</f>
        <v>20190303170411742</v>
      </c>
      <c r="B5985" t="str">
        <f>"1551603851731588"</f>
        <v>1551603851731588</v>
      </c>
      <c r="C5985" t="s">
        <v>40</v>
      </c>
      <c r="D5985">
        <v>5.0475469999999998</v>
      </c>
      <c r="E5985">
        <v>0.484657</v>
      </c>
      <c r="F5985" t="s">
        <v>42</v>
      </c>
      <c r="G5985">
        <v>-348.11189999999999</v>
      </c>
      <c r="H5985" s="1">
        <v>-9.5688230000000006E-7</v>
      </c>
      <c r="I5985">
        <v>18.688410000000001</v>
      </c>
      <c r="J5985">
        <v>-388.44330000000002</v>
      </c>
      <c r="K5985">
        <v>1.1232009999999999</v>
      </c>
      <c r="L5985">
        <v>16.555689999999998</v>
      </c>
      <c r="M5985">
        <v>0.99949489999999996</v>
      </c>
      <c r="N5985">
        <v>-7.3353430000000002E-3</v>
      </c>
      <c r="O5985">
        <v>-3.092116E-2</v>
      </c>
      <c r="P5985">
        <v>0.98327030000000004</v>
      </c>
      <c r="Q5985">
        <v>0.1821123</v>
      </c>
      <c r="R5985">
        <v>-3.8139039999999999E-3</v>
      </c>
      <c r="S5985">
        <v>3.0679630000000002</v>
      </c>
      <c r="T5985">
        <v>-8.4962010000000004E-2</v>
      </c>
      <c r="U5985">
        <v>0.16091920000000001</v>
      </c>
      <c r="V5985">
        <v>-2.7665639999999998E-2</v>
      </c>
      <c r="W5985">
        <v>0.1891641</v>
      </c>
      <c r="X5985">
        <v>0.98155570000000003</v>
      </c>
      <c r="Y5985">
        <v>-8.3187339999999999E-2</v>
      </c>
      <c r="Z5985">
        <v>2.0852610000000001E-3</v>
      </c>
      <c r="AA5985">
        <v>0.99653170000000002</v>
      </c>
      <c r="AB5985">
        <v>30</v>
      </c>
      <c r="AC5985">
        <v>40.331400000000002</v>
      </c>
      <c r="AD5985">
        <v>-1.1232019568823</v>
      </c>
      <c r="AE5985">
        <v>2.1327199999999999</v>
      </c>
      <c r="AF5985">
        <v>-3.3762161333473899</v>
      </c>
      <c r="AG5985">
        <v>-1.1232019568823</v>
      </c>
      <c r="AH5985">
        <v>40.215062403260703</v>
      </c>
      <c r="AI5985">
        <v>91.594242900019694</v>
      </c>
      <c r="AJ5985">
        <v>94.7989573101719</v>
      </c>
      <c r="AK5985">
        <v>40.372164446722103</v>
      </c>
      <c r="AL5985">
        <v>79.095994143970998</v>
      </c>
      <c r="AM5985">
        <v>91.614482862920198</v>
      </c>
      <c r="AN5985">
        <v>1.0000000182839499</v>
      </c>
    </row>
    <row r="5986" spans="1:40" x14ac:dyDescent="0.25">
      <c r="A5986" t="str">
        <f>"20190303170411755"</f>
        <v>20190303170411755</v>
      </c>
      <c r="B5986" t="str">
        <f>"1551603851741348"</f>
        <v>1551603851741348</v>
      </c>
      <c r="C5986" t="s">
        <v>40</v>
      </c>
      <c r="D5986">
        <v>5.1071150000000003</v>
      </c>
      <c r="E5986">
        <v>0.48488629999999999</v>
      </c>
      <c r="F5986" t="s">
        <v>42</v>
      </c>
      <c r="G5986">
        <v>-348.1617</v>
      </c>
      <c r="H5986" s="1">
        <v>-9.3341340000000004E-7</v>
      </c>
      <c r="I5986">
        <v>18.70044</v>
      </c>
      <c r="J5986">
        <v>-388.26479999999998</v>
      </c>
      <c r="K5986">
        <v>1.123173</v>
      </c>
      <c r="L5986">
        <v>16.551760000000002</v>
      </c>
      <c r="M5986">
        <v>0.99954960000000004</v>
      </c>
      <c r="N5986">
        <v>-7.2001540000000003E-3</v>
      </c>
      <c r="O5986">
        <v>-2.913176E-2</v>
      </c>
      <c r="P5986">
        <v>0.98335779999999995</v>
      </c>
      <c r="Q5986">
        <v>0.1816673</v>
      </c>
      <c r="R5986">
        <v>-2.1600970000000001E-3</v>
      </c>
      <c r="S5986">
        <v>3.0674739999999998</v>
      </c>
      <c r="T5986">
        <v>-8.5532430000000007E-2</v>
      </c>
      <c r="U5986">
        <v>0.16333010000000001</v>
      </c>
      <c r="V5986">
        <v>-2.7554550000000001E-2</v>
      </c>
      <c r="W5986">
        <v>0.1885877</v>
      </c>
      <c r="X5986">
        <v>0.98166969999999998</v>
      </c>
      <c r="Y5986">
        <v>-8.2192870000000001E-2</v>
      </c>
      <c r="Z5986">
        <v>2.0431519999999999E-3</v>
      </c>
      <c r="AA5986">
        <v>0.99661429999999995</v>
      </c>
      <c r="AB5986">
        <v>30</v>
      </c>
      <c r="AC5986">
        <v>40.103099999999898</v>
      </c>
      <c r="AD5986">
        <v>-1.1231739334134001</v>
      </c>
      <c r="AE5986">
        <v>2.1486800000000001</v>
      </c>
      <c r="AF5986">
        <v>-3.3134805770577098</v>
      </c>
      <c r="AG5986">
        <v>-1.1231739334134001</v>
      </c>
      <c r="AH5986">
        <v>39.992201983371402</v>
      </c>
      <c r="AI5986">
        <v>91.603228474142696</v>
      </c>
      <c r="AJ5986">
        <v>94.736318819309403</v>
      </c>
      <c r="AK5986">
        <v>40.1449485327608</v>
      </c>
      <c r="AL5986">
        <v>79.129624403870594</v>
      </c>
      <c r="AM5986">
        <v>91.607816760526703</v>
      </c>
      <c r="AN5986">
        <v>0.99999998685754099</v>
      </c>
    </row>
    <row r="5987" spans="1:40" x14ac:dyDescent="0.25">
      <c r="A5987" t="str">
        <f>"20190303170411769"</f>
        <v>20190303170411769</v>
      </c>
      <c r="B5987" t="str">
        <f>"1551603851761843"</f>
        <v>1551603851761843</v>
      </c>
      <c r="C5987" t="s">
        <v>40</v>
      </c>
      <c r="D5987">
        <v>5.1080170000000003</v>
      </c>
      <c r="E5987">
        <v>0.48526530000000001</v>
      </c>
      <c r="F5987" t="s">
        <v>42</v>
      </c>
      <c r="G5987">
        <v>-348.69729999999998</v>
      </c>
      <c r="H5987" s="1">
        <v>-7.0384909999999996E-7</v>
      </c>
      <c r="I5987">
        <v>18.699190000000002</v>
      </c>
      <c r="J5987">
        <v>-388.07580000000002</v>
      </c>
      <c r="K5987">
        <v>1.1231359999999999</v>
      </c>
      <c r="L5987">
        <v>16.548069999999999</v>
      </c>
      <c r="M5987">
        <v>0.99960340000000003</v>
      </c>
      <c r="N5987">
        <v>-7.0629550000000001E-3</v>
      </c>
      <c r="O5987">
        <v>-2.7267019999999999E-2</v>
      </c>
      <c r="P5987">
        <v>0.9833674</v>
      </c>
      <c r="Q5987">
        <v>0.18162529999999999</v>
      </c>
      <c r="R5987">
        <v>-8.8208359999999997E-4</v>
      </c>
      <c r="S5987">
        <v>3.0672299999999999</v>
      </c>
      <c r="T5987">
        <v>-8.706701E-2</v>
      </c>
      <c r="U5987">
        <v>0.16647339999999999</v>
      </c>
      <c r="V5987">
        <v>-2.699234E-2</v>
      </c>
      <c r="W5987">
        <v>0.18841479999999999</v>
      </c>
      <c r="X5987">
        <v>0.98171850000000005</v>
      </c>
      <c r="Y5987">
        <v>-8.1355540000000004E-2</v>
      </c>
      <c r="Z5987">
        <v>2.0221530000000001E-3</v>
      </c>
      <c r="AA5987">
        <v>0.99668310000000004</v>
      </c>
      <c r="AB5987">
        <v>30</v>
      </c>
      <c r="AC5987">
        <v>39.378500000000003</v>
      </c>
      <c r="AD5987">
        <v>-1.1231367038491</v>
      </c>
      <c r="AE5987">
        <v>2.1511199999999899</v>
      </c>
      <c r="AF5987">
        <v>-3.2214682908941699</v>
      </c>
      <c r="AG5987">
        <v>-1.1231367038491</v>
      </c>
      <c r="AH5987">
        <v>39.273348665836899</v>
      </c>
      <c r="AI5987">
        <v>91.632614302756494</v>
      </c>
      <c r="AJ5987">
        <v>94.689292817364404</v>
      </c>
      <c r="AK5987">
        <v>39.421253270706202</v>
      </c>
      <c r="AL5987">
        <v>79.139711474963207</v>
      </c>
      <c r="AM5987">
        <v>91.574950070860396</v>
      </c>
      <c r="AN5987">
        <v>0.99999996825998205</v>
      </c>
    </row>
    <row r="5988" spans="1:40" x14ac:dyDescent="0.25">
      <c r="A5988" t="str">
        <f>"20190303170411781"</f>
        <v>20190303170411781</v>
      </c>
      <c r="B5988" t="str">
        <f>"1551603851771604"</f>
        <v>1551603851771604</v>
      </c>
      <c r="C5988" t="s">
        <v>40</v>
      </c>
      <c r="D5988">
        <v>5.0472299999999999</v>
      </c>
      <c r="E5988">
        <v>0.48544140000000002</v>
      </c>
      <c r="F5988" t="s">
        <v>42</v>
      </c>
      <c r="G5988">
        <v>-348.45069999999998</v>
      </c>
      <c r="H5988" s="1">
        <v>-8.0702369999999996E-7</v>
      </c>
      <c r="I5988">
        <v>18.713799999999999</v>
      </c>
      <c r="J5988">
        <v>-387.92020000000002</v>
      </c>
      <c r="K5988">
        <v>1.1231059999999999</v>
      </c>
      <c r="L5988">
        <v>16.54523</v>
      </c>
      <c r="M5988">
        <v>0.99964430000000004</v>
      </c>
      <c r="N5988">
        <v>-6.9519730000000002E-3</v>
      </c>
      <c r="O5988">
        <v>-2.574634E-2</v>
      </c>
      <c r="P5988">
        <v>0.98346690000000003</v>
      </c>
      <c r="Q5988">
        <v>0.18108740000000001</v>
      </c>
      <c r="R5988">
        <v>-5.2081610000000004E-4</v>
      </c>
      <c r="S5988">
        <v>3.0669559999999998</v>
      </c>
      <c r="T5988">
        <v>-8.693004E-2</v>
      </c>
      <c r="U5988">
        <v>0.16763310000000001</v>
      </c>
      <c r="V5988">
        <v>-2.5852859999999998E-2</v>
      </c>
      <c r="W5988">
        <v>0.1877761</v>
      </c>
      <c r="X5988">
        <v>0.98187150000000001</v>
      </c>
      <c r="Y5988">
        <v>-8.0220929999999996E-2</v>
      </c>
      <c r="Z5988">
        <v>1.965268E-3</v>
      </c>
      <c r="AA5988">
        <v>0.99677519999999997</v>
      </c>
      <c r="AB5988">
        <v>30</v>
      </c>
      <c r="AC5988">
        <v>39.469499999999996</v>
      </c>
      <c r="AD5988">
        <v>-1.12310680702369</v>
      </c>
      <c r="AE5988">
        <v>2.1685699999999901</v>
      </c>
      <c r="AF5988">
        <v>-3.1815025824049998</v>
      </c>
      <c r="AG5988">
        <v>-1.12310680702369</v>
      </c>
      <c r="AH5988">
        <v>39.368800858815703</v>
      </c>
      <c r="AI5988">
        <v>91.6287745739576</v>
      </c>
      <c r="AJ5988">
        <v>94.620191469914403</v>
      </c>
      <c r="AK5988">
        <v>39.513109326436499</v>
      </c>
      <c r="AL5988">
        <v>79.176971023909601</v>
      </c>
      <c r="AM5988">
        <v>91.508260093126395</v>
      </c>
      <c r="AN5988">
        <v>0.99999993830681699</v>
      </c>
    </row>
    <row r="5989" spans="1:40" x14ac:dyDescent="0.25">
      <c r="A5989" t="str">
        <f>"20190303170411799"</f>
        <v>20190303170411799</v>
      </c>
      <c r="B5989" t="str">
        <f>"1551603851792099"</f>
        <v>1551603851792099</v>
      </c>
      <c r="C5989" t="s">
        <v>40</v>
      </c>
      <c r="D5989">
        <v>5.0490320000000004</v>
      </c>
      <c r="E5989">
        <v>0.48582160000000002</v>
      </c>
      <c r="F5989" t="s">
        <v>42</v>
      </c>
      <c r="G5989">
        <v>-348.93130000000002</v>
      </c>
      <c r="H5989" s="1">
        <v>-6.0681289999999995E-7</v>
      </c>
      <c r="I5989">
        <v>18.68018</v>
      </c>
      <c r="J5989">
        <v>-387.6739</v>
      </c>
      <c r="K5989">
        <v>1.1230579999999999</v>
      </c>
      <c r="L5989">
        <v>16.541170000000001</v>
      </c>
      <c r="M5989">
        <v>0.99970389999999998</v>
      </c>
      <c r="N5989">
        <v>-6.7774910000000001E-3</v>
      </c>
      <c r="O5989">
        <v>-2.3371989999999999E-2</v>
      </c>
      <c r="P5989">
        <v>0.98366399999999998</v>
      </c>
      <c r="Q5989">
        <v>0.18001429999999999</v>
      </c>
      <c r="R5989">
        <v>-1.900122E-4</v>
      </c>
      <c r="S5989">
        <v>3.0668030000000002</v>
      </c>
      <c r="T5989">
        <v>-8.8341710000000004E-2</v>
      </c>
      <c r="U5989">
        <v>0.16793820000000001</v>
      </c>
      <c r="V5989">
        <v>-2.3837770000000001E-2</v>
      </c>
      <c r="W5989">
        <v>0.18654560000000001</v>
      </c>
      <c r="X5989">
        <v>0.98215710000000001</v>
      </c>
      <c r="Y5989">
        <v>-7.7955250000000004E-2</v>
      </c>
      <c r="Z5989">
        <v>1.900568E-3</v>
      </c>
      <c r="AA5989">
        <v>0.99695500000000004</v>
      </c>
      <c r="AB5989">
        <v>30</v>
      </c>
      <c r="AC5989">
        <v>38.742599999999896</v>
      </c>
      <c r="AD5989">
        <v>-1.12305860681289</v>
      </c>
      <c r="AE5989">
        <v>2.1390099999999901</v>
      </c>
      <c r="AF5989">
        <v>-3.0413902286515002</v>
      </c>
      <c r="AG5989">
        <v>-1.12305860681289</v>
      </c>
      <c r="AH5989">
        <v>38.649644358126402</v>
      </c>
      <c r="AI5989">
        <v>91.659272130581599</v>
      </c>
      <c r="AJ5989">
        <v>94.499406621420505</v>
      </c>
      <c r="AK5989">
        <v>38.785388023931397</v>
      </c>
      <c r="AL5989">
        <v>79.248742778011405</v>
      </c>
      <c r="AM5989">
        <v>91.390343278698296</v>
      </c>
      <c r="AN5989">
        <v>1.00000003461917</v>
      </c>
    </row>
    <row r="5990" spans="1:40" x14ac:dyDescent="0.25">
      <c r="A5990" t="str">
        <f>"20190303170411823"</f>
        <v>20190303170411823</v>
      </c>
      <c r="B5990" t="str">
        <f>"1551603851811620"</f>
        <v>1551603851811620</v>
      </c>
      <c r="C5990" t="s">
        <v>40</v>
      </c>
      <c r="D5990">
        <v>5.0491769999999896</v>
      </c>
      <c r="E5990">
        <v>0.48620229999999998</v>
      </c>
      <c r="F5990" t="s">
        <v>42</v>
      </c>
      <c r="G5990">
        <v>-349.95139999999998</v>
      </c>
      <c r="H5990" s="1">
        <v>-2.7504340000000001E-7</v>
      </c>
      <c r="I5990">
        <v>18.592289999999998</v>
      </c>
      <c r="J5990">
        <v>-387.3725</v>
      </c>
      <c r="K5990">
        <v>1.122994</v>
      </c>
      <c r="L5990">
        <v>16.536960000000001</v>
      </c>
      <c r="M5990">
        <v>0.99976779999999998</v>
      </c>
      <c r="N5990">
        <v>-6.5587750000000002E-3</v>
      </c>
      <c r="O5990">
        <v>-2.0532120000000001E-2</v>
      </c>
      <c r="P5990">
        <v>0.9839348</v>
      </c>
      <c r="Q5990">
        <v>0.1785197</v>
      </c>
      <c r="R5990">
        <v>1.803886E-3</v>
      </c>
      <c r="S5990">
        <v>3.0665589999999998</v>
      </c>
      <c r="T5990">
        <v>-9.129632E-2</v>
      </c>
      <c r="U5990">
        <v>0.16674800000000001</v>
      </c>
      <c r="V5990">
        <v>-2.3020570000000001E-2</v>
      </c>
      <c r="W5990">
        <v>0.18484429999999999</v>
      </c>
      <c r="X5990">
        <v>0.98249819999999999</v>
      </c>
      <c r="Y5990">
        <v>-7.4741039999999995E-2</v>
      </c>
      <c r="Z5990">
        <v>1.833075E-3</v>
      </c>
      <c r="AA5990">
        <v>0.99720129999999996</v>
      </c>
      <c r="AB5990">
        <v>30</v>
      </c>
      <c r="AC5990">
        <v>37.421100000000003</v>
      </c>
      <c r="AD5990">
        <v>-1.1229942750433899</v>
      </c>
      <c r="AE5990">
        <v>2.0553299999999899</v>
      </c>
      <c r="AF5990">
        <v>-2.82071501784915</v>
      </c>
      <c r="AG5990">
        <v>-1.1229942750433899</v>
      </c>
      <c r="AH5990">
        <v>37.337485641365703</v>
      </c>
      <c r="AI5990">
        <v>91.717865464303401</v>
      </c>
      <c r="AJ5990">
        <v>94.320287008231901</v>
      </c>
      <c r="AK5990">
        <v>37.460717870495898</v>
      </c>
      <c r="AL5990">
        <v>79.347945516966305</v>
      </c>
      <c r="AM5990">
        <v>91.342231681357802</v>
      </c>
      <c r="AN5990">
        <v>1.00000003744442</v>
      </c>
    </row>
    <row r="5991" spans="1:40" x14ac:dyDescent="0.25">
      <c r="A5991" t="str">
        <f>"20190303170411836"</f>
        <v>20190303170411836</v>
      </c>
      <c r="B5991" t="str">
        <f>"1551603851821379"</f>
        <v>1551603851821379</v>
      </c>
      <c r="C5991" t="s">
        <v>40</v>
      </c>
      <c r="D5991">
        <v>5.0519030000000003</v>
      </c>
      <c r="E5991">
        <v>0.486373</v>
      </c>
      <c r="F5991" t="s">
        <v>42</v>
      </c>
      <c r="G5991">
        <v>-351.4563</v>
      </c>
      <c r="H5991" s="1">
        <v>-3.8417580000000003E-6</v>
      </c>
      <c r="I5991">
        <v>18.521229999999999</v>
      </c>
      <c r="J5991">
        <v>-387.1848</v>
      </c>
      <c r="K5991">
        <v>1.1229530000000001</v>
      </c>
      <c r="L5991">
        <v>16.53464</v>
      </c>
      <c r="M5991">
        <v>0.99980279999999999</v>
      </c>
      <c r="N5991">
        <v>-6.4220850000000001E-3</v>
      </c>
      <c r="O5991">
        <v>-1.8795800000000001E-2</v>
      </c>
      <c r="P5991">
        <v>0.98403050000000003</v>
      </c>
      <c r="Q5991">
        <v>0.17796439999999999</v>
      </c>
      <c r="R5991">
        <v>3.6206060000000002E-3</v>
      </c>
      <c r="S5991">
        <v>3.0661320000000001</v>
      </c>
      <c r="T5991">
        <v>-9.5869300000000005E-2</v>
      </c>
      <c r="U5991">
        <v>0.1694031</v>
      </c>
      <c r="V5991">
        <v>-2.31173E-2</v>
      </c>
      <c r="W5991">
        <v>0.18415580000000001</v>
      </c>
      <c r="X5991">
        <v>0.98262519999999998</v>
      </c>
      <c r="Y5991">
        <v>-7.3874259999999997E-2</v>
      </c>
      <c r="Z5991">
        <v>1.857792E-3</v>
      </c>
      <c r="AA5991">
        <v>0.99726579999999998</v>
      </c>
      <c r="AB5991">
        <v>30</v>
      </c>
      <c r="AC5991">
        <v>35.728499999999997</v>
      </c>
      <c r="AD5991">
        <v>-1.122956841758</v>
      </c>
      <c r="AE5991">
        <v>1.9865900000000001</v>
      </c>
      <c r="AF5991">
        <v>-2.6551837025939</v>
      </c>
      <c r="AG5991">
        <v>-1.122956841758</v>
      </c>
      <c r="AH5991">
        <v>35.649739244791697</v>
      </c>
      <c r="AI5991">
        <v>91.799224331902394</v>
      </c>
      <c r="AJ5991">
        <v>94.259510842543406</v>
      </c>
      <c r="AK5991">
        <v>35.766114421119497</v>
      </c>
      <c r="AL5991">
        <v>79.388082592360504</v>
      </c>
      <c r="AM5991">
        <v>91.347695378699001</v>
      </c>
      <c r="AN5991">
        <v>1.0000000259539801</v>
      </c>
    </row>
    <row r="5992" spans="1:40" x14ac:dyDescent="0.25">
      <c r="A5992" t="str">
        <f>"20190303170411854"</f>
        <v>20190303170411854</v>
      </c>
      <c r="B5992" t="str">
        <f>"1551603851841874"</f>
        <v>1551603851841874</v>
      </c>
      <c r="C5992" t="s">
        <v>40</v>
      </c>
      <c r="D5992">
        <v>5.051952</v>
      </c>
      <c r="E5992">
        <v>0.48668909999999999</v>
      </c>
      <c r="F5992" t="s">
        <v>42</v>
      </c>
      <c r="G5992">
        <v>-351.82499999999999</v>
      </c>
      <c r="H5992" s="1">
        <v>-3.6813019999999999E-6</v>
      </c>
      <c r="I5992">
        <v>18.534269999999999</v>
      </c>
      <c r="J5992">
        <v>-386.93549999999999</v>
      </c>
      <c r="K5992">
        <v>1.1228910000000001</v>
      </c>
      <c r="L5992">
        <v>16.5321</v>
      </c>
      <c r="M5992">
        <v>0.99984379999999995</v>
      </c>
      <c r="N5992">
        <v>-6.2430219999999896E-3</v>
      </c>
      <c r="O5992">
        <v>-1.654653E-2</v>
      </c>
      <c r="P5992">
        <v>0.98414840000000003</v>
      </c>
      <c r="Q5992">
        <v>0.17724860000000001</v>
      </c>
      <c r="R5992">
        <v>5.9068280000000003E-3</v>
      </c>
      <c r="S5992">
        <v>3.0656129999999999</v>
      </c>
      <c r="T5992">
        <v>-9.7357509999999994E-2</v>
      </c>
      <c r="U5992">
        <v>0.17337040000000001</v>
      </c>
      <c r="V5992">
        <v>-2.317135E-2</v>
      </c>
      <c r="W5992">
        <v>0.1832666</v>
      </c>
      <c r="X5992">
        <v>0.9827901</v>
      </c>
      <c r="Y5992">
        <v>-7.292651E-2</v>
      </c>
      <c r="Z5992">
        <v>1.8064610000000001E-3</v>
      </c>
      <c r="AA5992">
        <v>0.99733570000000005</v>
      </c>
      <c r="AB5992">
        <v>30</v>
      </c>
      <c r="AC5992">
        <v>35.110500000000002</v>
      </c>
      <c r="AD5992">
        <v>-1.122894681302</v>
      </c>
      <c r="AE5992">
        <v>2.00217</v>
      </c>
      <c r="AF5992">
        <v>-2.5802334474297899</v>
      </c>
      <c r="AG5992">
        <v>-1.122894681302</v>
      </c>
      <c r="AH5992">
        <v>35.036842846490103</v>
      </c>
      <c r="AI5992">
        <v>91.830688197052794</v>
      </c>
      <c r="AJ5992">
        <v>94.211854847717404</v>
      </c>
      <c r="AK5992">
        <v>35.149663636486999</v>
      </c>
      <c r="AL5992">
        <v>79.439911521034901</v>
      </c>
      <c r="AM5992">
        <v>91.3506186553481</v>
      </c>
      <c r="AN5992">
        <v>0.99999996939719504</v>
      </c>
    </row>
    <row r="5993" spans="1:40" x14ac:dyDescent="0.25">
      <c r="A5993" t="str">
        <f>"20190303170411868"</f>
        <v>20190303170411868</v>
      </c>
      <c r="B5993" t="str">
        <f>"1551603851861395"</f>
        <v>1551603851861395</v>
      </c>
      <c r="C5993" t="s">
        <v>40</v>
      </c>
      <c r="D5993">
        <v>4.9933889999999996</v>
      </c>
      <c r="E5993">
        <v>0.48703869999999999</v>
      </c>
      <c r="F5993" t="s">
        <v>42</v>
      </c>
      <c r="G5993">
        <v>-352.35419999999999</v>
      </c>
      <c r="H5993" s="1">
        <v>-3.4557560000000001E-6</v>
      </c>
      <c r="I5993">
        <v>18.525870000000001</v>
      </c>
      <c r="J5993">
        <v>-386.76519999999999</v>
      </c>
      <c r="K5993">
        <v>1.122846</v>
      </c>
      <c r="L5993">
        <v>16.530729999999998</v>
      </c>
      <c r="M5993">
        <v>0.99986790000000003</v>
      </c>
      <c r="N5993">
        <v>-6.1224069999999998E-3</v>
      </c>
      <c r="O5993">
        <v>-1.5063190000000001E-2</v>
      </c>
      <c r="P5993">
        <v>0.98404590000000003</v>
      </c>
      <c r="Q5993">
        <v>0.17776639999999999</v>
      </c>
      <c r="R5993">
        <v>7.2716940000000004E-3</v>
      </c>
      <c r="S5993">
        <v>3.0651549999999999</v>
      </c>
      <c r="T5993">
        <v>-9.9528909999999998E-2</v>
      </c>
      <c r="U5993">
        <v>0.1767273</v>
      </c>
      <c r="V5993">
        <v>-2.3063219999999999E-2</v>
      </c>
      <c r="W5993">
        <v>0.18366750000000001</v>
      </c>
      <c r="X5993">
        <v>0.98271790000000003</v>
      </c>
      <c r="Y5993">
        <v>-7.254273E-2</v>
      </c>
      <c r="Z5993">
        <v>1.795311E-3</v>
      </c>
      <c r="AA5993">
        <v>0.99736369999999996</v>
      </c>
      <c r="AB5993">
        <v>30</v>
      </c>
      <c r="AC5993">
        <v>34.411000000000001</v>
      </c>
      <c r="AD5993">
        <v>-1.122849455756</v>
      </c>
      <c r="AE5993">
        <v>1.9951399999999999</v>
      </c>
      <c r="AF5993">
        <v>-2.51059851559372</v>
      </c>
      <c r="AG5993">
        <v>-1.122849455756</v>
      </c>
      <c r="AH5993">
        <v>34.340600257376401</v>
      </c>
      <c r="AI5993">
        <v>91.867776333317806</v>
      </c>
      <c r="AJ5993">
        <v>94.181383990918505</v>
      </c>
      <c r="AK5993">
        <v>34.450554739273997</v>
      </c>
      <c r="AL5993">
        <v>79.416546058825901</v>
      </c>
      <c r="AM5993">
        <v>91.344416989906705</v>
      </c>
      <c r="AN5993">
        <v>1.0000000668267099</v>
      </c>
    </row>
    <row r="5994" spans="1:40" x14ac:dyDescent="0.25">
      <c r="A5994" t="str">
        <f>"20190303170411890"</f>
        <v>20190303170411890</v>
      </c>
      <c r="B5994" t="str">
        <f>"1551603851881891"</f>
        <v>1551603851881891</v>
      </c>
      <c r="C5994" t="s">
        <v>40</v>
      </c>
      <c r="D5994">
        <v>5.1157779999999997</v>
      </c>
      <c r="E5994">
        <v>0.4873788</v>
      </c>
      <c r="F5994" t="s">
        <v>42</v>
      </c>
      <c r="G5994">
        <v>-351.2509</v>
      </c>
      <c r="H5994" s="1">
        <v>-3.91665E-6</v>
      </c>
      <c r="I5994">
        <v>18.595839999999999</v>
      </c>
      <c r="J5994">
        <v>-386.45549999999997</v>
      </c>
      <c r="K5994">
        <v>1.122746</v>
      </c>
      <c r="L5994">
        <v>16.52863</v>
      </c>
      <c r="M5994">
        <v>0.99990489999999999</v>
      </c>
      <c r="N5994">
        <v>-5.9075259999999997E-3</v>
      </c>
      <c r="O5994">
        <v>-1.246323E-2</v>
      </c>
      <c r="P5994">
        <v>0.98402160000000005</v>
      </c>
      <c r="Q5994">
        <v>0.17781669999999999</v>
      </c>
      <c r="R5994">
        <v>9.1064549999999994E-3</v>
      </c>
      <c r="S5994">
        <v>3.064819</v>
      </c>
      <c r="T5994">
        <v>-9.6899869999999999E-2</v>
      </c>
      <c r="U5994">
        <v>0.17822270000000001</v>
      </c>
      <c r="V5994">
        <v>-2.230615E-2</v>
      </c>
      <c r="W5994">
        <v>0.18351410000000001</v>
      </c>
      <c r="X5994">
        <v>0.98276390000000002</v>
      </c>
      <c r="Y5994">
        <v>-7.0445190000000005E-2</v>
      </c>
      <c r="Z5994">
        <v>1.6408270000000001E-3</v>
      </c>
      <c r="AA5994">
        <v>0.99751429999999996</v>
      </c>
      <c r="AB5994">
        <v>30</v>
      </c>
      <c r="AC5994">
        <v>35.2045999999999</v>
      </c>
      <c r="AD5994">
        <v>-1.1227499166499999</v>
      </c>
      <c r="AE5994">
        <v>2.06720999999999</v>
      </c>
      <c r="AF5994">
        <v>-2.50328274958478</v>
      </c>
      <c r="AG5994">
        <v>-1.1227499166499999</v>
      </c>
      <c r="AH5994">
        <v>35.140482169132902</v>
      </c>
      <c r="AI5994">
        <v>91.825373846611498</v>
      </c>
      <c r="AJ5994">
        <v>94.074664028119798</v>
      </c>
      <c r="AK5994">
        <v>35.247418046984002</v>
      </c>
      <c r="AL5994">
        <v>79.425485808284705</v>
      </c>
      <c r="AM5994">
        <v>91.300239914338803</v>
      </c>
      <c r="AN5994">
        <v>0.999999936184919</v>
      </c>
    </row>
    <row r="5995" spans="1:40" x14ac:dyDescent="0.25">
      <c r="A5995" t="str">
        <f>"20190303170411903"</f>
        <v>20190303170411903</v>
      </c>
      <c r="B5995" t="str">
        <f>"1551603851891652"</f>
        <v>1551603851891652</v>
      </c>
      <c r="C5995" t="s">
        <v>40</v>
      </c>
      <c r="D5995">
        <v>5.0582269999999996</v>
      </c>
      <c r="E5995">
        <v>0.48752040000000002</v>
      </c>
      <c r="F5995" t="s">
        <v>42</v>
      </c>
      <c r="G5995">
        <v>-350.65640000000002</v>
      </c>
      <c r="H5995" s="1">
        <v>-4.1628689999999998E-6</v>
      </c>
      <c r="I5995">
        <v>18.64554</v>
      </c>
      <c r="J5995">
        <v>-386.27640000000002</v>
      </c>
      <c r="K5995">
        <v>1.1226769999999999</v>
      </c>
      <c r="L5995">
        <v>16.527709999999999</v>
      </c>
      <c r="M5995">
        <v>0.99992230000000004</v>
      </c>
      <c r="N5995">
        <v>-5.7894399999999999E-3</v>
      </c>
      <c r="O5995">
        <v>-1.104071E-2</v>
      </c>
      <c r="P5995">
        <v>0.98399309999999995</v>
      </c>
      <c r="Q5995">
        <v>0.17791889999999999</v>
      </c>
      <c r="R5995">
        <v>1.012938E-2</v>
      </c>
      <c r="S5995">
        <v>3.0643919999999998</v>
      </c>
      <c r="T5995">
        <v>-9.6107010000000007E-2</v>
      </c>
      <c r="U5995">
        <v>0.1812134</v>
      </c>
      <c r="V5995">
        <v>-2.1904110000000001E-2</v>
      </c>
      <c r="W5995">
        <v>0.18350520000000001</v>
      </c>
      <c r="X5995">
        <v>0.9827747</v>
      </c>
      <c r="Y5995">
        <v>-7.0005860000000003E-2</v>
      </c>
      <c r="Z5995">
        <v>1.581491E-3</v>
      </c>
      <c r="AA5995">
        <v>0.99754529999999997</v>
      </c>
      <c r="AB5995">
        <v>31</v>
      </c>
      <c r="AC5995">
        <v>35.619999999999997</v>
      </c>
      <c r="AD5995">
        <v>-1.1226811628689899</v>
      </c>
      <c r="AE5995">
        <v>2.1178300000000001</v>
      </c>
      <c r="AF5995">
        <v>-2.5084944245203999</v>
      </c>
      <c r="AG5995">
        <v>-1.1226811628689899</v>
      </c>
      <c r="AH5995">
        <v>35.559245939255803</v>
      </c>
      <c r="AI5995">
        <v>91.803869243671599</v>
      </c>
      <c r="AJ5995">
        <v>94.035193459695407</v>
      </c>
      <c r="AK5995">
        <v>35.665290255930799</v>
      </c>
      <c r="AL5995">
        <v>79.426005550403701</v>
      </c>
      <c r="AM5995">
        <v>91.276798545050298</v>
      </c>
      <c r="AN5995">
        <v>1.0000000297110101</v>
      </c>
    </row>
    <row r="5996" spans="1:40" x14ac:dyDescent="0.25">
      <c r="A5996" t="str">
        <f>"20190303170411916"</f>
        <v>20190303170411916</v>
      </c>
      <c r="B5996" t="str">
        <f>"1551603851901411"</f>
        <v>1551603851901411</v>
      </c>
      <c r="C5996" t="s">
        <v>40</v>
      </c>
      <c r="D5996">
        <v>4.9972940000000001</v>
      </c>
      <c r="E5996">
        <v>0.48765029999999998</v>
      </c>
      <c r="F5996" t="s">
        <v>42</v>
      </c>
      <c r="G5996">
        <v>-350.23430000000002</v>
      </c>
      <c r="H5996" s="1">
        <v>-4.3379530000000004E-6</v>
      </c>
      <c r="I5996">
        <v>18.67925</v>
      </c>
      <c r="J5996">
        <v>-386.09949999999998</v>
      </c>
      <c r="K5996">
        <v>1.122606</v>
      </c>
      <c r="L5996">
        <v>16.526979999999998</v>
      </c>
      <c r="M5996">
        <v>0.99993719999999997</v>
      </c>
      <c r="N5996">
        <v>-5.6766159999999998E-3</v>
      </c>
      <c r="O5996">
        <v>-9.6750680000000002E-3</v>
      </c>
      <c r="P5996">
        <v>0.98406349999999998</v>
      </c>
      <c r="Q5996">
        <v>0.1774741</v>
      </c>
      <c r="R5996">
        <v>1.106009E-2</v>
      </c>
      <c r="S5996">
        <v>3.0641479999999999</v>
      </c>
      <c r="T5996">
        <v>-9.5445749999999996E-2</v>
      </c>
      <c r="U5996">
        <v>0.18292240000000001</v>
      </c>
      <c r="V5996">
        <v>-2.1463490000000002E-2</v>
      </c>
      <c r="W5996">
        <v>0.1829549</v>
      </c>
      <c r="X5996">
        <v>0.98288699999999996</v>
      </c>
      <c r="Y5996">
        <v>-6.9204080000000001E-2</v>
      </c>
      <c r="Z5996">
        <v>1.519451E-3</v>
      </c>
      <c r="AA5996">
        <v>0.99760139999999997</v>
      </c>
      <c r="AB5996">
        <v>31</v>
      </c>
      <c r="AC5996">
        <v>35.865199999999902</v>
      </c>
      <c r="AD5996">
        <v>-1.1226103379529999</v>
      </c>
      <c r="AE5996">
        <v>2.1522700000000001</v>
      </c>
      <c r="AF5996">
        <v>-2.4967356813688699</v>
      </c>
      <c r="AG5996">
        <v>-1.1226103379529999</v>
      </c>
      <c r="AH5996">
        <v>35.807741150042403</v>
      </c>
      <c r="AI5996">
        <v>91.791348360825907</v>
      </c>
      <c r="AJ5996">
        <v>93.988558305482499</v>
      </c>
      <c r="AK5996">
        <v>35.912230079764498</v>
      </c>
      <c r="AL5996">
        <v>79.458078260532901</v>
      </c>
      <c r="AM5996">
        <v>91.250979990307499</v>
      </c>
      <c r="AN5996">
        <v>1.00000001580299</v>
      </c>
    </row>
    <row r="5997" spans="1:40" x14ac:dyDescent="0.25">
      <c r="A5997" t="str">
        <f>"20190303170411931"</f>
        <v>20190303170411931</v>
      </c>
      <c r="B5997" t="str">
        <f>"1551603851921911"</f>
        <v>1551603851921911</v>
      </c>
      <c r="C5997" t="s">
        <v>40</v>
      </c>
      <c r="D5997">
        <v>5.1078910000000004</v>
      </c>
      <c r="E5997">
        <v>0.4879116</v>
      </c>
      <c r="F5997" t="s">
        <v>42</v>
      </c>
      <c r="G5997">
        <v>-350.42079999999999</v>
      </c>
      <c r="H5997" s="1">
        <v>-4.2591779999999996E-6</v>
      </c>
      <c r="I5997">
        <v>18.67229</v>
      </c>
      <c r="J5997">
        <v>-385.8777</v>
      </c>
      <c r="K5997">
        <v>1.1225080000000001</v>
      </c>
      <c r="L5997">
        <v>16.52637</v>
      </c>
      <c r="M5997">
        <v>0.99995199999999995</v>
      </c>
      <c r="N5997">
        <v>-5.546914E-3</v>
      </c>
      <c r="O5997">
        <v>-8.0728099999999997E-3</v>
      </c>
      <c r="P5997">
        <v>0.98413790000000001</v>
      </c>
      <c r="Q5997">
        <v>0.17696479999999901</v>
      </c>
      <c r="R5997">
        <v>1.249487E-2</v>
      </c>
      <c r="S5997">
        <v>3.0638730000000001</v>
      </c>
      <c r="T5997">
        <v>-9.6403240000000001E-2</v>
      </c>
      <c r="U5997">
        <v>0.1842346</v>
      </c>
      <c r="V5997">
        <v>-2.1282309999999999E-2</v>
      </c>
      <c r="W5997">
        <v>0.18232390000000001</v>
      </c>
      <c r="X5997">
        <v>0.98300810000000005</v>
      </c>
      <c r="Y5997">
        <v>-6.8037089999999995E-2</v>
      </c>
      <c r="Z5997">
        <v>1.467072E-3</v>
      </c>
      <c r="AA5997">
        <v>0.9976817</v>
      </c>
      <c r="AB5997">
        <v>31</v>
      </c>
      <c r="AC5997">
        <v>35.456899999999997</v>
      </c>
      <c r="AD5997">
        <v>-1.1225122591779999</v>
      </c>
      <c r="AE5997">
        <v>2.1459199999999998</v>
      </c>
      <c r="AF5997">
        <v>-2.4296650302370502</v>
      </c>
      <c r="AG5997">
        <v>-1.1225122591779999</v>
      </c>
      <c r="AH5997">
        <v>35.403067103759099</v>
      </c>
      <c r="AI5997">
        <v>91.811789376924295</v>
      </c>
      <c r="AJ5997">
        <v>93.925976610433395</v>
      </c>
      <c r="AK5997">
        <v>35.504090838724899</v>
      </c>
      <c r="AL5997">
        <v>79.494849525871999</v>
      </c>
      <c r="AM5997">
        <v>91.240270628062902</v>
      </c>
      <c r="AN5997">
        <v>0.99999993294787504</v>
      </c>
    </row>
    <row r="5998" spans="1:40" x14ac:dyDescent="0.25">
      <c r="A5998" t="str">
        <f>"20190303170411944"</f>
        <v>20190303170411944</v>
      </c>
      <c r="B5998" t="str">
        <f>"1551603851931671"</f>
        <v>1551603851931671</v>
      </c>
      <c r="C5998" t="s">
        <v>40</v>
      </c>
      <c r="D5998">
        <v>4.9934649999999996</v>
      </c>
      <c r="E5998">
        <v>0.48805929999999997</v>
      </c>
      <c r="F5998" t="s">
        <v>42</v>
      </c>
      <c r="G5998">
        <v>-350.65769999999998</v>
      </c>
      <c r="H5998" s="1">
        <v>-4.1617829999999999E-6</v>
      </c>
      <c r="I5998">
        <v>18.648530000000001</v>
      </c>
      <c r="J5998">
        <v>-385.71179999999998</v>
      </c>
      <c r="K5998">
        <v>1.1224339999999999</v>
      </c>
      <c r="L5998">
        <v>16.52609</v>
      </c>
      <c r="M5998">
        <v>0.99996099999999999</v>
      </c>
      <c r="N5998">
        <v>-5.4566759999999997E-3</v>
      </c>
      <c r="O5998">
        <v>-6.9371349999999997E-3</v>
      </c>
      <c r="P5998">
        <v>0.98412129999999998</v>
      </c>
      <c r="Q5998">
        <v>0.17693829999999999</v>
      </c>
      <c r="R5998">
        <v>1.406543E-2</v>
      </c>
      <c r="S5998">
        <v>3.0635680000000001</v>
      </c>
      <c r="T5998">
        <v>-9.7640400000000002E-2</v>
      </c>
      <c r="U5998">
        <v>0.18460080000000001</v>
      </c>
      <c r="V5998">
        <v>-2.1706509999999998E-2</v>
      </c>
      <c r="W5998">
        <v>0.18221000000000001</v>
      </c>
      <c r="X5998">
        <v>0.98302</v>
      </c>
      <c r="Y5998">
        <v>-6.7028799999999999E-2</v>
      </c>
      <c r="Z5998">
        <v>1.433054E-3</v>
      </c>
      <c r="AA5998">
        <v>0.99775000000000003</v>
      </c>
      <c r="AB5998">
        <v>31</v>
      </c>
      <c r="AC5998">
        <v>35.054099999999998</v>
      </c>
      <c r="AD5998">
        <v>-1.1224381617829999</v>
      </c>
      <c r="AE5998">
        <v>2.1224399999999899</v>
      </c>
      <c r="AF5998">
        <v>-2.3631535139764202</v>
      </c>
      <c r="AG5998">
        <v>-1.1224381617829999</v>
      </c>
      <c r="AH5998">
        <v>35.002775672292202</v>
      </c>
      <c r="AI5998">
        <v>91.832512443432407</v>
      </c>
      <c r="AJ5998">
        <v>93.862366995528205</v>
      </c>
      <c r="AK5998">
        <v>35.100408355494302</v>
      </c>
      <c r="AL5998">
        <v>79.501487284509196</v>
      </c>
      <c r="AM5998">
        <v>91.264968497764897</v>
      </c>
      <c r="AN5998">
        <v>0.99999998853818906</v>
      </c>
    </row>
    <row r="5999" spans="1:40" x14ac:dyDescent="0.25">
      <c r="A5999" t="str">
        <f>"20190303170411957"</f>
        <v>20190303170411957</v>
      </c>
      <c r="B5999" t="str">
        <f>"1551603851952167"</f>
        <v>1551603851952167</v>
      </c>
      <c r="C5999" t="s">
        <v>40</v>
      </c>
      <c r="D5999">
        <v>5.0579519999999896</v>
      </c>
      <c r="E5999">
        <v>0.48835610000000002</v>
      </c>
      <c r="F5999" t="s">
        <v>42</v>
      </c>
      <c r="G5999">
        <v>-350.47480000000002</v>
      </c>
      <c r="H5999" s="1">
        <v>-4.234858E-6</v>
      </c>
      <c r="I5999">
        <v>18.67896</v>
      </c>
      <c r="J5999">
        <v>-385.53530000000001</v>
      </c>
      <c r="K5999">
        <v>1.122355</v>
      </c>
      <c r="L5999">
        <v>16.52591</v>
      </c>
      <c r="M5999">
        <v>0.99996910000000006</v>
      </c>
      <c r="N5999">
        <v>-5.3643900000000001E-3</v>
      </c>
      <c r="O5999">
        <v>-5.7646319999999996E-3</v>
      </c>
      <c r="P5999">
        <v>0.98392389999999996</v>
      </c>
      <c r="Q5999">
        <v>0.1779482</v>
      </c>
      <c r="R5999">
        <v>1.511474E-2</v>
      </c>
      <c r="S5999">
        <v>3.0632929999999998</v>
      </c>
      <c r="T5999">
        <v>-9.757805E-2</v>
      </c>
      <c r="U5999">
        <v>0.18716430000000001</v>
      </c>
      <c r="V5999">
        <v>-2.157479E-2</v>
      </c>
      <c r="W5999">
        <v>0.18313209999999999</v>
      </c>
      <c r="X5999">
        <v>0.98285160000000005</v>
      </c>
      <c r="Y5999">
        <v>-6.669688E-2</v>
      </c>
      <c r="Z5999">
        <v>1.3926660000000001E-3</v>
      </c>
      <c r="AA5999">
        <v>0.99777229999999995</v>
      </c>
      <c r="AB5999">
        <v>31</v>
      </c>
      <c r="AC5999">
        <v>35.060499999999898</v>
      </c>
      <c r="AD5999">
        <v>-1.122359234858</v>
      </c>
      <c r="AE5999">
        <v>2.1530499999999999</v>
      </c>
      <c r="AF5999">
        <v>-2.35272604055876</v>
      </c>
      <c r="AG5999">
        <v>-1.122359234858</v>
      </c>
      <c r="AH5999">
        <v>35.011761411279899</v>
      </c>
      <c r="AI5999">
        <v>91.831952399884202</v>
      </c>
      <c r="AJ5999">
        <v>93.844391497407102</v>
      </c>
      <c r="AK5999">
        <v>35.108666269090598</v>
      </c>
      <c r="AL5999">
        <v>79.447751359955205</v>
      </c>
      <c r="AM5999">
        <v>91.257510208462605</v>
      </c>
      <c r="AN5999">
        <v>1.00000005261825</v>
      </c>
    </row>
    <row r="6000" spans="1:40" x14ac:dyDescent="0.25">
      <c r="A6000" t="str">
        <f>"20190303170411968"</f>
        <v>20190303170411968</v>
      </c>
      <c r="B6000" t="str">
        <f>"1551603851961928"</f>
        <v>1551603851961928</v>
      </c>
      <c r="C6000" t="s">
        <v>40</v>
      </c>
      <c r="D6000">
        <v>5.062621</v>
      </c>
      <c r="E6000">
        <v>0.48848429999999998</v>
      </c>
      <c r="F6000" t="s">
        <v>42</v>
      </c>
      <c r="G6000">
        <v>-348.91059999999999</v>
      </c>
      <c r="H6000" s="1">
        <v>-6.010391E-7</v>
      </c>
      <c r="I6000">
        <v>18.762979999999999</v>
      </c>
      <c r="J6000">
        <v>-385.35570000000001</v>
      </c>
      <c r="K6000">
        <v>1.1222730000000001</v>
      </c>
      <c r="L6000">
        <v>16.52591</v>
      </c>
      <c r="M6000">
        <v>0.99997530000000001</v>
      </c>
      <c r="N6000">
        <v>-5.2783969999999998E-3</v>
      </c>
      <c r="O6000">
        <v>-4.6602099999999997E-3</v>
      </c>
      <c r="P6000">
        <v>0.98382740000000002</v>
      </c>
      <c r="Q6000">
        <v>0.17842069999999999</v>
      </c>
      <c r="R6000">
        <v>1.5812260000000002E-2</v>
      </c>
      <c r="S6000">
        <v>3.0630799999999998</v>
      </c>
      <c r="T6000">
        <v>-9.3867300000000001E-2</v>
      </c>
      <c r="U6000">
        <v>0.1871033</v>
      </c>
      <c r="V6000">
        <v>-2.1154220000000001E-2</v>
      </c>
      <c r="W6000">
        <v>0.18352540000000001</v>
      </c>
      <c r="X6000">
        <v>0.98278730000000003</v>
      </c>
      <c r="Y6000">
        <v>-6.5583230000000006E-2</v>
      </c>
      <c r="Z6000">
        <v>1.2950959999999999E-3</v>
      </c>
      <c r="AA6000">
        <v>0.99784620000000002</v>
      </c>
      <c r="AB6000">
        <v>31</v>
      </c>
      <c r="AC6000">
        <v>36.445099999999996</v>
      </c>
      <c r="AD6000">
        <v>-1.1222736010390999</v>
      </c>
      <c r="AE6000">
        <v>2.2370699999999899</v>
      </c>
      <c r="AF6000">
        <v>-2.4046182763151398</v>
      </c>
      <c r="AG6000">
        <v>-1.1222736010390999</v>
      </c>
      <c r="AH6000">
        <v>36.399892528086802</v>
      </c>
      <c r="AI6000">
        <v>91.762133202396598</v>
      </c>
      <c r="AJ6000">
        <v>93.779532653655096</v>
      </c>
      <c r="AK6000">
        <v>36.4964911073194</v>
      </c>
      <c r="AL6000">
        <v>79.424827597733298</v>
      </c>
      <c r="AM6000">
        <v>91.233085115072996</v>
      </c>
      <c r="AN6000">
        <v>0.99999997525512796</v>
      </c>
    </row>
    <row r="6001" spans="1:40" x14ac:dyDescent="0.25">
      <c r="A6001" t="str">
        <f>"20190303170411981"</f>
        <v>20190303170411981</v>
      </c>
      <c r="B6001" t="str">
        <f>"1551603851971687"</f>
        <v>1551603851971687</v>
      </c>
      <c r="C6001" t="s">
        <v>40</v>
      </c>
      <c r="D6001">
        <v>4.9434779999999998</v>
      </c>
      <c r="E6001">
        <v>0.48861749999999998</v>
      </c>
      <c r="F6001" t="s">
        <v>42</v>
      </c>
      <c r="G6001">
        <v>-348.00560000000002</v>
      </c>
      <c r="H6001" s="1">
        <v>-9.7943019999999996E-7</v>
      </c>
      <c r="I6001">
        <v>18.818529999999999</v>
      </c>
      <c r="J6001">
        <v>-385.19349999999997</v>
      </c>
      <c r="K6001">
        <v>1.122201</v>
      </c>
      <c r="L6001">
        <v>16.526029999999999</v>
      </c>
      <c r="M6001">
        <v>0.99997959999999997</v>
      </c>
      <c r="N6001">
        <v>-5.2051550000000004E-3</v>
      </c>
      <c r="O6001">
        <v>-3.708018E-3</v>
      </c>
      <c r="P6001">
        <v>0.9836357</v>
      </c>
      <c r="Q6001">
        <v>0.17943039999999999</v>
      </c>
      <c r="R6001">
        <v>1.630123E-2</v>
      </c>
      <c r="S6001">
        <v>3.0629879999999998</v>
      </c>
      <c r="T6001">
        <v>-9.2034820000000003E-2</v>
      </c>
      <c r="U6001">
        <v>0.18801880000000001</v>
      </c>
      <c r="V6001">
        <v>-2.0680939999999998E-2</v>
      </c>
      <c r="W6001">
        <v>0.18446699999999999</v>
      </c>
      <c r="X6001">
        <v>0.98262110000000003</v>
      </c>
      <c r="Y6001">
        <v>-6.4934049999999993E-2</v>
      </c>
      <c r="Z6001">
        <v>1.235625E-3</v>
      </c>
      <c r="AA6001">
        <v>0.99788880000000002</v>
      </c>
      <c r="AB6001">
        <v>31</v>
      </c>
      <c r="AC6001">
        <v>37.1878999999999</v>
      </c>
      <c r="AD6001">
        <v>-1.1222019794302001</v>
      </c>
      <c r="AE6001">
        <v>2.2925</v>
      </c>
      <c r="AF6001">
        <v>-2.4281767238335799</v>
      </c>
      <c r="AG6001">
        <v>-1.1222019794302001</v>
      </c>
      <c r="AH6001">
        <v>37.1454461417879</v>
      </c>
      <c r="AI6001">
        <v>91.726754679545607</v>
      </c>
      <c r="AJ6001">
        <v>93.740071321276105</v>
      </c>
      <c r="AK6001">
        <v>37.241637296945797</v>
      </c>
      <c r="AL6001">
        <v>79.3699410777037</v>
      </c>
      <c r="AM6001">
        <v>91.205709570394404</v>
      </c>
      <c r="AN6001">
        <v>1.00000000076674</v>
      </c>
    </row>
    <row r="6002" spans="1:40" x14ac:dyDescent="0.25">
      <c r="A6002" t="str">
        <f>"20190303170411993"</f>
        <v>20190303170411993</v>
      </c>
      <c r="B6002" t="str">
        <f>"1551603851981448"</f>
        <v>1551603851981448</v>
      </c>
      <c r="C6002" t="s">
        <v>40</v>
      </c>
      <c r="D6002">
        <v>5.0051079999999999</v>
      </c>
      <c r="E6002">
        <v>0.48873800000000001</v>
      </c>
      <c r="F6002" t="s">
        <v>42</v>
      </c>
      <c r="G6002">
        <v>-346.35489999999999</v>
      </c>
      <c r="H6002" s="1">
        <v>-1.668923E-6</v>
      </c>
      <c r="I6002">
        <v>18.92361</v>
      </c>
      <c r="J6002">
        <v>-385.029</v>
      </c>
      <c r="K6002">
        <v>1.122128</v>
      </c>
      <c r="L6002">
        <v>16.526250000000001</v>
      </c>
      <c r="M6002">
        <v>0.99998299999999996</v>
      </c>
      <c r="N6002">
        <v>-5.1348629999999999E-3</v>
      </c>
      <c r="O6002">
        <v>-2.78313E-3</v>
      </c>
      <c r="P6002">
        <v>0.98356379999999999</v>
      </c>
      <c r="Q6002">
        <v>0.179787</v>
      </c>
      <c r="R6002">
        <v>1.6689969999999998E-2</v>
      </c>
      <c r="S6002">
        <v>3.0629270000000002</v>
      </c>
      <c r="T6002">
        <v>-8.8500259999999997E-2</v>
      </c>
      <c r="U6002">
        <v>0.1890869</v>
      </c>
      <c r="V6002">
        <v>-2.013208E-2</v>
      </c>
      <c r="W6002">
        <v>0.18475949999999999</v>
      </c>
      <c r="X6002">
        <v>0.98257760000000005</v>
      </c>
      <c r="Y6002">
        <v>-6.4362080000000002E-2</v>
      </c>
      <c r="Z6002">
        <v>1.160255E-3</v>
      </c>
      <c r="AA6002">
        <v>0.99792590000000003</v>
      </c>
      <c r="AB6002">
        <v>31</v>
      </c>
      <c r="AC6002">
        <v>38.674100000000003</v>
      </c>
      <c r="AD6002">
        <v>-1.122129668923</v>
      </c>
      <c r="AE6002">
        <v>2.3973599999999902</v>
      </c>
      <c r="AF6002">
        <v>-2.5028881322061198</v>
      </c>
      <c r="AG6002">
        <v>-1.122129668923</v>
      </c>
      <c r="AH6002">
        <v>38.634876876558501</v>
      </c>
      <c r="AI6002">
        <v>91.660179896654995</v>
      </c>
      <c r="AJ6002">
        <v>93.706620166042399</v>
      </c>
      <c r="AK6002">
        <v>38.732122782814898</v>
      </c>
      <c r="AL6002">
        <v>79.3528895605195</v>
      </c>
      <c r="AM6002">
        <v>91.173771767530397</v>
      </c>
      <c r="AN6002">
        <v>1.0000000567535601</v>
      </c>
    </row>
    <row r="6003" spans="1:40" x14ac:dyDescent="0.25">
      <c r="A6003" t="str">
        <f>"20190303170412011"</f>
        <v>20190303170412011</v>
      </c>
      <c r="B6003" t="str">
        <f>"1551603852001943"</f>
        <v>1551603852001943</v>
      </c>
      <c r="C6003" t="s">
        <v>40</v>
      </c>
      <c r="D6003">
        <v>5.0061839999999904</v>
      </c>
      <c r="E6003">
        <v>0.48899340000000002</v>
      </c>
      <c r="F6003" t="s">
        <v>42</v>
      </c>
      <c r="G6003">
        <v>-345.44490000000002</v>
      </c>
      <c r="H6003" s="1">
        <v>-2.048281E-6</v>
      </c>
      <c r="I6003">
        <v>18.985749999999999</v>
      </c>
      <c r="J6003">
        <v>-384.7715</v>
      </c>
      <c r="K6003">
        <v>1.122023</v>
      </c>
      <c r="L6003">
        <v>16.526789999999998</v>
      </c>
      <c r="M6003">
        <v>0.99998629999999999</v>
      </c>
      <c r="N6003">
        <v>-5.0352940000000001E-3</v>
      </c>
      <c r="O6003">
        <v>-1.4490389999999901E-3</v>
      </c>
      <c r="P6003">
        <v>0.98380160000000005</v>
      </c>
      <c r="Q6003">
        <v>0.17843989999999901</v>
      </c>
      <c r="R6003">
        <v>1.7133099999999998E-2</v>
      </c>
      <c r="S6003">
        <v>3.0627749999999998</v>
      </c>
      <c r="T6003">
        <v>-8.6823460000000005E-2</v>
      </c>
      <c r="U6003">
        <v>0.19030759999999999</v>
      </c>
      <c r="V6003">
        <v>-1.9214789999999999E-2</v>
      </c>
      <c r="W6003">
        <v>0.18332380000000001</v>
      </c>
      <c r="X6003">
        <v>0.98286479999999998</v>
      </c>
      <c r="Y6003">
        <v>-6.3431989999999994E-2</v>
      </c>
      <c r="Z6003">
        <v>1.0916719999999999E-3</v>
      </c>
      <c r="AA6003">
        <v>0.99798549999999997</v>
      </c>
      <c r="AB6003">
        <v>31</v>
      </c>
      <c r="AC6003">
        <v>39.3265999999999</v>
      </c>
      <c r="AD6003">
        <v>-1.1220250482809999</v>
      </c>
      <c r="AE6003">
        <v>2.4589599999999998</v>
      </c>
      <c r="AF6003">
        <v>-2.5139055293238899</v>
      </c>
      <c r="AG6003">
        <v>-1.1220250482809999</v>
      </c>
      <c r="AH6003">
        <v>39.291136526205598</v>
      </c>
      <c r="AI6003">
        <v>91.632397632739398</v>
      </c>
      <c r="AJ6003">
        <v>93.660879458174705</v>
      </c>
      <c r="AK6003">
        <v>39.387460831338998</v>
      </c>
      <c r="AL6003">
        <v>79.436578255521596</v>
      </c>
      <c r="AM6003">
        <v>91.119977180597701</v>
      </c>
      <c r="AN6003">
        <v>1.00000001944011</v>
      </c>
    </row>
    <row r="6004" spans="1:40" x14ac:dyDescent="0.25">
      <c r="A6004" t="str">
        <f>"20190303170412023"</f>
        <v>20190303170412023</v>
      </c>
      <c r="B6004" t="str">
        <f>"1551603852011704"</f>
        <v>1551603852011704</v>
      </c>
      <c r="C6004" t="s">
        <v>40</v>
      </c>
      <c r="D6004">
        <v>5.0003919999999997</v>
      </c>
      <c r="E6004">
        <v>0.48914239999999998</v>
      </c>
      <c r="F6004" t="s">
        <v>42</v>
      </c>
      <c r="G6004">
        <v>-346.75470000000001</v>
      </c>
      <c r="H6004" s="1">
        <v>-1.505869E-6</v>
      </c>
      <c r="I6004">
        <v>18.875859999999999</v>
      </c>
      <c r="J6004">
        <v>-384.60250000000002</v>
      </c>
      <c r="K6004">
        <v>1.12195</v>
      </c>
      <c r="L6004">
        <v>16.527339999999999</v>
      </c>
      <c r="M6004">
        <v>0.99998750000000003</v>
      </c>
      <c r="N6004">
        <v>-4.9760969999999996E-3</v>
      </c>
      <c r="O6004">
        <v>-6.3645970000000005E-4</v>
      </c>
      <c r="P6004">
        <v>0.98397710000000005</v>
      </c>
      <c r="Q6004">
        <v>0.17739929999999901</v>
      </c>
      <c r="R6004">
        <v>1.7858909999999999E-2</v>
      </c>
      <c r="S6004">
        <v>3.0625</v>
      </c>
      <c r="T6004">
        <v>-9.0386389999999997E-2</v>
      </c>
      <c r="U6004">
        <v>0.1892395</v>
      </c>
      <c r="V6004">
        <v>-1.9109549999999999E-2</v>
      </c>
      <c r="W6004">
        <v>0.18222869999999999</v>
      </c>
      <c r="X6004">
        <v>0.98307040000000001</v>
      </c>
      <c r="Y6004">
        <v>-6.227833E-2</v>
      </c>
      <c r="Z6004">
        <v>1.0887029999999999E-3</v>
      </c>
      <c r="AA6004">
        <v>0.99805820000000001</v>
      </c>
      <c r="AB6004">
        <v>31</v>
      </c>
      <c r="AC6004">
        <v>37.847799999999999</v>
      </c>
      <c r="AD6004">
        <v>-1.1219515058689999</v>
      </c>
      <c r="AE6004">
        <v>2.3485200000000002</v>
      </c>
      <c r="AF6004">
        <v>-2.3705332964797399</v>
      </c>
      <c r="AG6004">
        <v>-1.1219515058689999</v>
      </c>
      <c r="AH6004">
        <v>37.813196564598996</v>
      </c>
      <c r="AI6004">
        <v>91.696190734037302</v>
      </c>
      <c r="AJ6004">
        <v>93.587214314980002</v>
      </c>
      <c r="AK6004">
        <v>37.904037221966803</v>
      </c>
      <c r="AL6004">
        <v>79.500397123035299</v>
      </c>
      <c r="AM6004">
        <v>91.113611688987902</v>
      </c>
      <c r="AN6004">
        <v>0.99999994268052395</v>
      </c>
    </row>
    <row r="6005" spans="1:40" x14ac:dyDescent="0.25">
      <c r="A6005" t="str">
        <f>"20190303170412037"</f>
        <v>20190303170412037</v>
      </c>
      <c r="B6005" t="str">
        <f>"1551603852032199"</f>
        <v>1551603852032199</v>
      </c>
      <c r="C6005" t="s">
        <v>40</v>
      </c>
      <c r="D6005">
        <v>5.0638740000000002</v>
      </c>
      <c r="E6005">
        <v>0.50681449999999995</v>
      </c>
      <c r="F6005" t="s">
        <v>42</v>
      </c>
      <c r="G6005">
        <v>-347.82119999999998</v>
      </c>
      <c r="H6005" s="1">
        <v>-1.061233E-6</v>
      </c>
      <c r="I6005">
        <v>18.8032</v>
      </c>
      <c r="J6005">
        <v>-384.41059999999999</v>
      </c>
      <c r="K6005">
        <v>1.1218699999999999</v>
      </c>
      <c r="L6005">
        <v>16.527979999999999</v>
      </c>
      <c r="M6005">
        <v>0.99998790000000004</v>
      </c>
      <c r="N6005">
        <v>-4.9126680000000002E-3</v>
      </c>
      <c r="O6005">
        <v>2.4852549999999999E-4</v>
      </c>
      <c r="P6005">
        <v>0.9841242</v>
      </c>
      <c r="Q6005">
        <v>0.17651229999999901</v>
      </c>
      <c r="R6005">
        <v>1.8525920000000001E-2</v>
      </c>
      <c r="S6005">
        <v>3.0622250000000002</v>
      </c>
      <c r="T6005">
        <v>-9.3407989999999996E-2</v>
      </c>
      <c r="U6005">
        <v>0.1894836</v>
      </c>
      <c r="V6005">
        <v>-1.8873359999999999E-2</v>
      </c>
      <c r="W6005">
        <v>0.18128440000000001</v>
      </c>
      <c r="X6005">
        <v>0.98324959999999995</v>
      </c>
      <c r="Y6005">
        <v>-6.1478579999999998E-2</v>
      </c>
      <c r="Z6005">
        <v>1.0813820000000001E-3</v>
      </c>
      <c r="AA6005">
        <v>0.99810779999999999</v>
      </c>
      <c r="AB6005">
        <v>31</v>
      </c>
      <c r="AC6005">
        <v>36.589399999999998</v>
      </c>
      <c r="AD6005">
        <v>-1.1218710612330001</v>
      </c>
      <c r="AE6005">
        <v>2.27522</v>
      </c>
      <c r="AF6005">
        <v>-2.2640062207163401</v>
      </c>
      <c r="AG6005">
        <v>-1.1218710612330001</v>
      </c>
      <c r="AH6005">
        <v>36.555730555242199</v>
      </c>
      <c r="AI6005">
        <v>91.754458194266604</v>
      </c>
      <c r="AJ6005">
        <v>93.543973186719398</v>
      </c>
      <c r="AK6005">
        <v>36.642949598428103</v>
      </c>
      <c r="AL6005">
        <v>79.555418660466003</v>
      </c>
      <c r="AM6005">
        <v>91.099650684242803</v>
      </c>
      <c r="AN6005">
        <v>1.0000000066506001</v>
      </c>
    </row>
    <row r="6006" spans="1:40" x14ac:dyDescent="0.25">
      <c r="A6006" t="str">
        <f>"20190303170412056"</f>
        <v>20190303170412056</v>
      </c>
      <c r="B6006" t="str">
        <f>"1551603852041959"</f>
        <v>1551603852041959</v>
      </c>
      <c r="C6006" t="s">
        <v>40</v>
      </c>
      <c r="D6006">
        <v>5.0004140000000001</v>
      </c>
      <c r="E6006">
        <v>0.51103229999999999</v>
      </c>
      <c r="F6006" t="s">
        <v>42</v>
      </c>
      <c r="G6006">
        <v>-331.53429999999997</v>
      </c>
      <c r="H6006" s="1">
        <v>-4.0166660000000003E-6</v>
      </c>
      <c r="I6006">
        <v>17.346550000000001</v>
      </c>
      <c r="J6006">
        <v>-384.14280000000002</v>
      </c>
      <c r="K6006">
        <v>1.1217629999999901</v>
      </c>
      <c r="L6006">
        <v>16.529139999999899</v>
      </c>
      <c r="M6006">
        <v>0.99998750000000003</v>
      </c>
      <c r="N6006">
        <v>-4.8335419999999997E-3</v>
      </c>
      <c r="O6006">
        <v>1.388584E-3</v>
      </c>
      <c r="P6006">
        <v>0.98425180000000001</v>
      </c>
      <c r="Q6006">
        <v>0.17581379999999999</v>
      </c>
      <c r="R6006">
        <v>1.8399100000000002E-2</v>
      </c>
      <c r="S6006">
        <v>3.0591740000000001</v>
      </c>
      <c r="T6006">
        <v>-6.4906359999999996E-2</v>
      </c>
      <c r="U6006">
        <v>4.7363280000000001E-2</v>
      </c>
      <c r="V6006">
        <v>-1.7583250000000002E-2</v>
      </c>
      <c r="W6006">
        <v>0.1805166</v>
      </c>
      <c r="X6006">
        <v>0.98341480000000003</v>
      </c>
      <c r="Y6006">
        <v>-1.4088369999999999E-2</v>
      </c>
      <c r="Z6006">
        <v>1.607402E-4</v>
      </c>
      <c r="AA6006">
        <v>0.99990080000000003</v>
      </c>
      <c r="AB6006">
        <v>32</v>
      </c>
      <c r="AC6006">
        <v>52.608499999999999</v>
      </c>
      <c r="AD6006">
        <v>-1.1217670166660001</v>
      </c>
      <c r="AE6006">
        <v>0.81741000000000197</v>
      </c>
      <c r="AF6006">
        <v>-0.74401884862594903</v>
      </c>
      <c r="AG6006">
        <v>-1.1217670166660001</v>
      </c>
      <c r="AH6006">
        <v>52.585681128841102</v>
      </c>
      <c r="AI6006">
        <v>91.221936053451103</v>
      </c>
      <c r="AJ6006">
        <v>90.810606513994102</v>
      </c>
      <c r="AK6006">
        <v>52.602906621886802</v>
      </c>
      <c r="AL6006">
        <v>79.600148701225805</v>
      </c>
      <c r="AM6006">
        <v>91.024327353982102</v>
      </c>
      <c r="AN6006">
        <v>1.00000004120758</v>
      </c>
    </row>
    <row r="6007" spans="1:40" x14ac:dyDescent="0.25">
      <c r="A6007" t="str">
        <f>"20190303170412070"</f>
        <v>20190303170412070</v>
      </c>
      <c r="B6007" t="str">
        <f>"1551603852061479"</f>
        <v>1551603852061479</v>
      </c>
      <c r="C6007" t="s">
        <v>40</v>
      </c>
      <c r="D6007">
        <v>4.948188</v>
      </c>
      <c r="E6007">
        <v>0.51559630000000001</v>
      </c>
      <c r="F6007" t="s">
        <v>42</v>
      </c>
      <c r="G6007">
        <v>-336.93509999999998</v>
      </c>
      <c r="H6007" s="1">
        <v>-1.806548E-6</v>
      </c>
      <c r="I6007">
        <v>16.744629999999901</v>
      </c>
      <c r="J6007">
        <v>-383.9348</v>
      </c>
      <c r="K6007">
        <v>1.1216900000000001</v>
      </c>
      <c r="L6007">
        <v>16.530239999999999</v>
      </c>
      <c r="M6007">
        <v>0.99998609999999999</v>
      </c>
      <c r="N6007">
        <v>-4.7794480000000004E-3</v>
      </c>
      <c r="O6007">
        <v>2.2114610000000001E-3</v>
      </c>
      <c r="P6007">
        <v>0.98433550000000003</v>
      </c>
      <c r="Q6007">
        <v>0.17536749999999901</v>
      </c>
      <c r="R6007">
        <v>1.8161489999999999E-2</v>
      </c>
      <c r="S6007">
        <v>3.06073</v>
      </c>
      <c r="T6007">
        <v>-7.2729950000000002E-2</v>
      </c>
      <c r="U6007">
        <v>1.397705E-2</v>
      </c>
      <c r="V6007">
        <v>-1.650809E-2</v>
      </c>
      <c r="W6007">
        <v>0.18002279999999901</v>
      </c>
      <c r="X6007">
        <v>0.98352390000000001</v>
      </c>
      <c r="Y6007">
        <v>-2.354652E-3</v>
      </c>
      <c r="Z6007" s="1">
        <v>-8.3733410000000004E-6</v>
      </c>
      <c r="AA6007">
        <v>0.99999720000000003</v>
      </c>
      <c r="AB6007">
        <v>32</v>
      </c>
      <c r="AC6007">
        <v>46.999699999999997</v>
      </c>
      <c r="AD6007">
        <v>-1.1216918065479999</v>
      </c>
      <c r="AE6007">
        <v>0.214389999999998</v>
      </c>
      <c r="AF6007">
        <v>-0.110387408121882</v>
      </c>
      <c r="AG6007">
        <v>-1.1216918065479999</v>
      </c>
      <c r="AH6007">
        <v>46.973304557194297</v>
      </c>
      <c r="AI6007">
        <v>91.367922016846094</v>
      </c>
      <c r="AJ6007">
        <v>90.134645007704293</v>
      </c>
      <c r="AK6007">
        <v>46.986824950316397</v>
      </c>
      <c r="AL6007">
        <v>79.628912090696403</v>
      </c>
      <c r="AM6007">
        <v>90.9615984700838</v>
      </c>
      <c r="AN6007">
        <v>0.99999999371324799</v>
      </c>
    </row>
    <row r="6008" spans="1:40" x14ac:dyDescent="0.25">
      <c r="A6008" t="str">
        <f>"20190303170412086"</f>
        <v>20190303170412086</v>
      </c>
      <c r="B6008" t="str">
        <f>"1551603852072216"</f>
        <v>1551603852072216</v>
      </c>
      <c r="C6008" t="s">
        <v>40</v>
      </c>
      <c r="D6008">
        <v>5.0107650000000001</v>
      </c>
      <c r="E6008">
        <v>0.51716169999999995</v>
      </c>
      <c r="F6008" t="s">
        <v>42</v>
      </c>
      <c r="G6008">
        <v>-340.00760000000002</v>
      </c>
      <c r="H6008" s="1">
        <v>-4.8739860000000003E-6</v>
      </c>
      <c r="I6008">
        <v>16.205770000000001</v>
      </c>
      <c r="J6008">
        <v>-383.7122</v>
      </c>
      <c r="K6008">
        <v>1.1216269999999999</v>
      </c>
      <c r="L6008">
        <v>16.53152</v>
      </c>
      <c r="M6008">
        <v>0.99998430000000005</v>
      </c>
      <c r="N6008">
        <v>-4.7267489999999997E-3</v>
      </c>
      <c r="O6008">
        <v>3.0538919999999999E-3</v>
      </c>
      <c r="P6008">
        <v>0.98441109999999998</v>
      </c>
      <c r="Q6008">
        <v>0.17495810000000001</v>
      </c>
      <c r="R6008">
        <v>1.80219E-2</v>
      </c>
      <c r="S6008">
        <v>3.062103</v>
      </c>
      <c r="T6008">
        <v>-7.8191640000000007E-2</v>
      </c>
      <c r="U6008">
        <v>-2.261353E-2</v>
      </c>
      <c r="V6008">
        <v>-1.551375E-2</v>
      </c>
      <c r="W6008">
        <v>0.17956730000000001</v>
      </c>
      <c r="X6008">
        <v>0.98362329999999998</v>
      </c>
      <c r="Y6008">
        <v>1.043388E-2</v>
      </c>
      <c r="Z6008">
        <v>-2.2139229999999999E-4</v>
      </c>
      <c r="AA6008">
        <v>0.99994550000000004</v>
      </c>
      <c r="AB6008">
        <v>32</v>
      </c>
      <c r="AC6008">
        <v>43.7045999999999</v>
      </c>
      <c r="AD6008">
        <v>-1.1216318739860001</v>
      </c>
      <c r="AE6008">
        <v>-0.32574999999999898</v>
      </c>
      <c r="AF6008">
        <v>0.45891683934058702</v>
      </c>
      <c r="AG6008">
        <v>-1.1216318739860001</v>
      </c>
      <c r="AH6008">
        <v>43.674637227214397</v>
      </c>
      <c r="AI6008">
        <v>91.471039227220302</v>
      </c>
      <c r="AJ6008">
        <v>89.397979420868694</v>
      </c>
      <c r="AK6008">
        <v>43.691447671769303</v>
      </c>
      <c r="AL6008">
        <v>79.655442138315706</v>
      </c>
      <c r="AM6008">
        <v>90.903596636943007</v>
      </c>
      <c r="AN6008">
        <v>0.99999994398561898</v>
      </c>
    </row>
    <row r="6009" spans="1:40" x14ac:dyDescent="0.25">
      <c r="A6009" t="str">
        <f>"20190303170412102"</f>
        <v>20190303170412102</v>
      </c>
      <c r="B6009" t="str">
        <f>"1551603852091735"</f>
        <v>1551603852091735</v>
      </c>
      <c r="C6009" t="s">
        <v>40</v>
      </c>
      <c r="D6009">
        <v>5.0061920000000004</v>
      </c>
      <c r="E6009">
        <v>0.51918509999999995</v>
      </c>
      <c r="F6009" t="s">
        <v>42</v>
      </c>
      <c r="G6009">
        <v>-341.27890000000002</v>
      </c>
      <c r="H6009" s="1">
        <v>-4.3568689999999999E-6</v>
      </c>
      <c r="I6009">
        <v>16.04644</v>
      </c>
      <c r="J6009">
        <v>-383.48320000000001</v>
      </c>
      <c r="K6009">
        <v>1.1215599999999999</v>
      </c>
      <c r="L6009">
        <v>16.53302</v>
      </c>
      <c r="M6009">
        <v>0.99998160000000003</v>
      </c>
      <c r="N6009">
        <v>-4.6762979999999997E-3</v>
      </c>
      <c r="O6009">
        <v>3.8838739999999998E-3</v>
      </c>
      <c r="P6009">
        <v>0.98466799999999999</v>
      </c>
      <c r="Q6009">
        <v>0.1735139</v>
      </c>
      <c r="R6009">
        <v>1.7944109999999999E-2</v>
      </c>
      <c r="S6009">
        <v>3.0625309999999999</v>
      </c>
      <c r="T6009">
        <v>-8.0951209999999996E-2</v>
      </c>
      <c r="U6009">
        <v>-3.5003659999999999E-2</v>
      </c>
      <c r="V6009">
        <v>-1.4591899999999901E-2</v>
      </c>
      <c r="W6009">
        <v>0.17807870000000001</v>
      </c>
      <c r="X6009">
        <v>0.98390809999999995</v>
      </c>
      <c r="Y6009">
        <v>1.5305279999999999E-2</v>
      </c>
      <c r="Z6009">
        <v>-3.2251509999999998E-4</v>
      </c>
      <c r="AA6009">
        <v>0.99988279999999996</v>
      </c>
      <c r="AB6009">
        <v>32</v>
      </c>
      <c r="AC6009">
        <v>42.204299999999897</v>
      </c>
      <c r="AD6009">
        <v>-1.1215643568689999</v>
      </c>
      <c r="AE6009">
        <v>-0.48658000000000001</v>
      </c>
      <c r="AF6009">
        <v>0.65003529161731799</v>
      </c>
      <c r="AG6009">
        <v>-1.1215643568689999</v>
      </c>
      <c r="AH6009">
        <v>42.172313212316297</v>
      </c>
      <c r="AI6009">
        <v>91.523230016270205</v>
      </c>
      <c r="AJ6009">
        <v>89.116924665326593</v>
      </c>
      <c r="AK6009">
        <v>42.1922321543273</v>
      </c>
      <c r="AL6009">
        <v>79.742131027270901</v>
      </c>
      <c r="AM6009">
        <v>90.849665733792406</v>
      </c>
      <c r="AN6009">
        <v>1.00000004809245</v>
      </c>
    </row>
    <row r="6010" spans="1:40" x14ac:dyDescent="0.25">
      <c r="A6010" t="str">
        <f>"20190303170412118"</f>
        <v>20190303170412118</v>
      </c>
      <c r="B6010" t="str">
        <f>"1551603852101495"</f>
        <v>1551603852101495</v>
      </c>
      <c r="C6010" t="s">
        <v>40</v>
      </c>
      <c r="D6010">
        <v>4.8898429999999999</v>
      </c>
      <c r="E6010">
        <v>0.51955030000000002</v>
      </c>
      <c r="F6010" t="s">
        <v>42</v>
      </c>
      <c r="G6010">
        <v>-343.34690000000001</v>
      </c>
      <c r="H6010" s="1">
        <v>-3.5028090000000002E-6</v>
      </c>
      <c r="I6010">
        <v>15.85985</v>
      </c>
      <c r="J6010">
        <v>-383.25720000000001</v>
      </c>
      <c r="K6010">
        <v>1.121505</v>
      </c>
      <c r="L6010">
        <v>16.534610000000001</v>
      </c>
      <c r="M6010">
        <v>0.99997840000000005</v>
      </c>
      <c r="N6010">
        <v>-4.6286130000000002E-3</v>
      </c>
      <c r="O6010">
        <v>4.6700589999999998E-3</v>
      </c>
      <c r="P6010">
        <v>0.98493019999999998</v>
      </c>
      <c r="Q6010">
        <v>0.17195289999999999</v>
      </c>
      <c r="R6010">
        <v>1.856739E-2</v>
      </c>
      <c r="S6010">
        <v>3.0626829999999998</v>
      </c>
      <c r="T6010">
        <v>-8.5583090000000001E-2</v>
      </c>
      <c r="U6010">
        <v>-5.1361080000000003E-2</v>
      </c>
      <c r="V6010">
        <v>-1.441738E-2</v>
      </c>
      <c r="W6010">
        <v>0.1764742</v>
      </c>
      <c r="X6010">
        <v>0.98419959999999995</v>
      </c>
      <c r="Y6010">
        <v>2.1425860000000001E-2</v>
      </c>
      <c r="Z6010">
        <v>-4.577367E-4</v>
      </c>
      <c r="AA6010">
        <v>0.9997703</v>
      </c>
      <c r="AB6010">
        <v>32</v>
      </c>
      <c r="AC6010">
        <v>39.910299999999999</v>
      </c>
      <c r="AD6010">
        <v>-1.1215085028089999</v>
      </c>
      <c r="AE6010">
        <v>-0.67476000000000003</v>
      </c>
      <c r="AF6010">
        <v>0.86045882289477404</v>
      </c>
      <c r="AG6010">
        <v>-1.1215085028089999</v>
      </c>
      <c r="AH6010">
        <v>39.8752350558442</v>
      </c>
      <c r="AI6010">
        <v>91.610669499833705</v>
      </c>
      <c r="AJ6010">
        <v>88.763818974722895</v>
      </c>
      <c r="AK6010">
        <v>39.900282473518899</v>
      </c>
      <c r="AL6010">
        <v>79.835540404079097</v>
      </c>
      <c r="AM6010">
        <v>90.839256534910604</v>
      </c>
      <c r="AN6010">
        <v>0.99999992837592899</v>
      </c>
    </row>
    <row r="6011" spans="1:40" x14ac:dyDescent="0.25">
      <c r="A6011" t="str">
        <f>"20190303170412132"</f>
        <v>20190303170412132</v>
      </c>
      <c r="B6011" t="str">
        <f>"1551603852121991"</f>
        <v>1551603852121991</v>
      </c>
      <c r="C6011" t="s">
        <v>40</v>
      </c>
      <c r="D6011">
        <v>4.7379519999999999</v>
      </c>
      <c r="E6011">
        <v>0.52035390000000004</v>
      </c>
      <c r="F6011" t="s">
        <v>42</v>
      </c>
      <c r="G6011">
        <v>-345.13459999999998</v>
      </c>
      <c r="H6011" s="1">
        <v>-2.7321090000000001E-6</v>
      </c>
      <c r="I6011">
        <v>15.88114</v>
      </c>
      <c r="J6011">
        <v>-383.0335</v>
      </c>
      <c r="K6011">
        <v>1.1214470000000001</v>
      </c>
      <c r="L6011">
        <v>16.536349999999999</v>
      </c>
      <c r="M6011">
        <v>0.99997480000000005</v>
      </c>
      <c r="N6011">
        <v>-4.5821459999999996E-3</v>
      </c>
      <c r="O6011">
        <v>5.4179909999999996E-3</v>
      </c>
      <c r="P6011">
        <v>0.98524109999999998</v>
      </c>
      <c r="Q6011">
        <v>0.170128799999999</v>
      </c>
      <c r="R6011">
        <v>1.8867640000000001E-2</v>
      </c>
      <c r="S6011">
        <v>3.0626530000000001</v>
      </c>
      <c r="T6011">
        <v>-9.0098259999999999E-2</v>
      </c>
      <c r="U6011">
        <v>-5.2490229999999999E-2</v>
      </c>
      <c r="V6011">
        <v>-1.3959360000000001E-2</v>
      </c>
      <c r="W6011">
        <v>0.17460819999999999</v>
      </c>
      <c r="X6011">
        <v>0.98453900000000005</v>
      </c>
      <c r="Y6011">
        <v>2.2540370000000001E-2</v>
      </c>
      <c r="Z6011">
        <v>-5.1763709999999997E-4</v>
      </c>
      <c r="AA6011">
        <v>0.99974580000000002</v>
      </c>
      <c r="AB6011">
        <v>32</v>
      </c>
      <c r="AC6011">
        <v>37.898899999999998</v>
      </c>
      <c r="AD6011">
        <v>-1.12144973210899</v>
      </c>
      <c r="AE6011">
        <v>-0.65520999999999796</v>
      </c>
      <c r="AF6011">
        <v>0.85978583808852505</v>
      </c>
      <c r="AG6011">
        <v>-1.12144973210899</v>
      </c>
      <c r="AH6011">
        <v>37.861651963757701</v>
      </c>
      <c r="AI6011">
        <v>91.696149164918793</v>
      </c>
      <c r="AJ6011">
        <v>88.699115542436601</v>
      </c>
      <c r="AK6011">
        <v>37.888013548004103</v>
      </c>
      <c r="AL6011">
        <v>79.9441410609342</v>
      </c>
      <c r="AM6011">
        <v>90.812318072933394</v>
      </c>
      <c r="AN6011">
        <v>0.99999996487992404</v>
      </c>
    </row>
    <row r="6012" spans="1:40" x14ac:dyDescent="0.25">
      <c r="A6012" t="str">
        <f>"20190303170412157"</f>
        <v>20190303170412157</v>
      </c>
      <c r="B6012" t="str">
        <f>"1551603852152248"</f>
        <v>1551603852152248</v>
      </c>
      <c r="C6012" t="s">
        <v>40</v>
      </c>
      <c r="D6012">
        <v>4.8862920000000001</v>
      </c>
      <c r="E6012">
        <v>0.52135549999999997</v>
      </c>
      <c r="F6012" t="s">
        <v>42</v>
      </c>
      <c r="G6012">
        <v>-346.87459999999999</v>
      </c>
      <c r="H6012" s="1">
        <v>-2.0516949999999998E-6</v>
      </c>
      <c r="I6012">
        <v>15.85019</v>
      </c>
      <c r="J6012">
        <v>-382.7004</v>
      </c>
      <c r="K6012">
        <v>1.1213799999999901</v>
      </c>
      <c r="L6012">
        <v>16.53922</v>
      </c>
      <c r="M6012">
        <v>0.99996879999999999</v>
      </c>
      <c r="N6012">
        <v>-4.5082159999999998E-3</v>
      </c>
      <c r="O6012">
        <v>6.494232E-3</v>
      </c>
      <c r="P6012">
        <v>0.98522080000000001</v>
      </c>
      <c r="Q6012">
        <v>0.17022470000000001</v>
      </c>
      <c r="R6012">
        <v>1.9066099999999999E-2</v>
      </c>
      <c r="S6012">
        <v>3.062408</v>
      </c>
      <c r="T6012">
        <v>-9.4978809999999997E-2</v>
      </c>
      <c r="U6012">
        <v>-5.8105469999999999E-2</v>
      </c>
      <c r="V6012">
        <v>-1.30781E-2</v>
      </c>
      <c r="W6012">
        <v>0.17463499999999901</v>
      </c>
      <c r="X6012">
        <v>0.98454640000000004</v>
      </c>
      <c r="Y6012">
        <v>2.544681E-2</v>
      </c>
      <c r="Z6012">
        <v>-6.2394139999999996E-4</v>
      </c>
      <c r="AA6012">
        <v>0.99967600000000001</v>
      </c>
      <c r="AB6012">
        <v>32</v>
      </c>
      <c r="AC6012">
        <v>35.825800000000001</v>
      </c>
      <c r="AD6012">
        <v>-1.1213820516949899</v>
      </c>
      <c r="AE6012">
        <v>-0.68903000000000003</v>
      </c>
      <c r="AF6012">
        <v>0.92077708105253298</v>
      </c>
      <c r="AG6012">
        <v>-1.1213820516949899</v>
      </c>
      <c r="AH6012">
        <v>35.785521821707498</v>
      </c>
      <c r="AI6012">
        <v>91.794250865227895</v>
      </c>
      <c r="AJ6012">
        <v>88.526079823653006</v>
      </c>
      <c r="AK6012">
        <v>35.814925662225797</v>
      </c>
      <c r="AL6012">
        <v>79.942582101429295</v>
      </c>
      <c r="AM6012">
        <v>90.761036622240098</v>
      </c>
      <c r="AN6012">
        <v>1.0000000168387799</v>
      </c>
    </row>
    <row r="6013" spans="1:40" x14ac:dyDescent="0.25">
      <c r="A6013" t="str">
        <f>"20190303170412169"</f>
        <v>20190303170412169</v>
      </c>
      <c r="B6013" t="str">
        <f>"1551603852162007"</f>
        <v>1551603852162007</v>
      </c>
      <c r="C6013" t="s">
        <v>40</v>
      </c>
      <c r="D6013">
        <v>4.8875320000000002</v>
      </c>
      <c r="E6013">
        <v>0.52166520000000005</v>
      </c>
      <c r="F6013" t="s">
        <v>42</v>
      </c>
      <c r="G6013">
        <v>-345.0179</v>
      </c>
      <c r="H6013" s="1">
        <v>-2.8078090000000001E-6</v>
      </c>
      <c r="I6013">
        <v>15.736560000000001</v>
      </c>
      <c r="J6013">
        <v>-382.49810000000002</v>
      </c>
      <c r="K6013">
        <v>1.121351</v>
      </c>
      <c r="L6013">
        <v>16.54111</v>
      </c>
      <c r="M6013">
        <v>0.99996470000000004</v>
      </c>
      <c r="N6013">
        <v>-4.4563820000000001E-3</v>
      </c>
      <c r="O6013">
        <v>7.130628E-3</v>
      </c>
      <c r="P6013">
        <v>0.98513459999999997</v>
      </c>
      <c r="Q6013">
        <v>0.17068759999999999</v>
      </c>
      <c r="R6013">
        <v>1.938757E-2</v>
      </c>
      <c r="S6013">
        <v>3.0620120000000002</v>
      </c>
      <c r="T6013">
        <v>-9.1121439999999998E-2</v>
      </c>
      <c r="U6013">
        <v>-6.5216060000000006E-2</v>
      </c>
      <c r="V6013">
        <v>-1.2765429999999999E-2</v>
      </c>
      <c r="W6013">
        <v>0.1750477</v>
      </c>
      <c r="X6013">
        <v>0.98447720000000005</v>
      </c>
      <c r="Y6013">
        <v>2.8405409999999999E-2</v>
      </c>
      <c r="Z6013">
        <v>-6.6619159999999999E-4</v>
      </c>
      <c r="AA6013">
        <v>0.99959620000000005</v>
      </c>
      <c r="AB6013">
        <v>32</v>
      </c>
      <c r="AC6013">
        <v>37.480200000000004</v>
      </c>
      <c r="AD6013">
        <v>-1.121353807809</v>
      </c>
      <c r="AE6013">
        <v>-0.80454999999999899</v>
      </c>
      <c r="AF6013">
        <v>1.07083146670623</v>
      </c>
      <c r="AG6013">
        <v>-1.121353807809</v>
      </c>
      <c r="AH6013">
        <v>37.4400122205748</v>
      </c>
      <c r="AI6013">
        <v>91.714833851852603</v>
      </c>
      <c r="AJ6013">
        <v>88.361715226514207</v>
      </c>
      <c r="AK6013">
        <v>37.472104684273702</v>
      </c>
      <c r="AL6013">
        <v>79.918566090949795</v>
      </c>
      <c r="AM6013">
        <v>90.742896102683005</v>
      </c>
      <c r="AN6013">
        <v>1.0000000053991001</v>
      </c>
    </row>
    <row r="6014" spans="1:40" x14ac:dyDescent="0.25">
      <c r="A6014" t="str">
        <f>"20190303170412181"</f>
        <v>20190303170412181</v>
      </c>
      <c r="B6014" t="str">
        <f>"1551603852171767"</f>
        <v>1551603852171767</v>
      </c>
      <c r="C6014" t="s">
        <v>40</v>
      </c>
      <c r="D6014">
        <v>4.9488599999999998</v>
      </c>
      <c r="E6014">
        <v>0.52187289999999997</v>
      </c>
      <c r="F6014" t="s">
        <v>42</v>
      </c>
      <c r="G6014">
        <v>-343.85210000000001</v>
      </c>
      <c r="H6014" s="1">
        <v>-3.3140910000000001E-6</v>
      </c>
      <c r="I6014">
        <v>15.70173</v>
      </c>
      <c r="J6014">
        <v>-382.34039999999999</v>
      </c>
      <c r="K6014">
        <v>1.1213299999999999</v>
      </c>
      <c r="L6014">
        <v>16.542660000000001</v>
      </c>
      <c r="M6014">
        <v>0.99996130000000005</v>
      </c>
      <c r="N6014">
        <v>-4.4155169999999999E-3</v>
      </c>
      <c r="O6014">
        <v>7.6226089999999998E-3</v>
      </c>
      <c r="P6014">
        <v>0.98503850000000004</v>
      </c>
      <c r="Q6014">
        <v>0.17124220000000001</v>
      </c>
      <c r="R6014">
        <v>1.9370970000000001E-2</v>
      </c>
      <c r="S6014">
        <v>3.0619510000000001</v>
      </c>
      <c r="T6014">
        <v>-8.8845610000000005E-2</v>
      </c>
      <c r="U6014">
        <v>-6.6497799999999996E-2</v>
      </c>
      <c r="V6014">
        <v>-1.225964E-2</v>
      </c>
      <c r="W6014">
        <v>0.17556359999999999</v>
      </c>
      <c r="X6014">
        <v>0.98439169999999998</v>
      </c>
      <c r="Y6014">
        <v>2.9316080000000001E-2</v>
      </c>
      <c r="Z6014">
        <v>-6.7738550000000003E-4</v>
      </c>
      <c r="AA6014">
        <v>0.99956999999999996</v>
      </c>
      <c r="AB6014">
        <v>32</v>
      </c>
      <c r="AC6014">
        <v>38.488299999999903</v>
      </c>
      <c r="AD6014">
        <v>-1.121333314091</v>
      </c>
      <c r="AE6014">
        <v>-0.84093000000000195</v>
      </c>
      <c r="AF6014">
        <v>1.13332813614146</v>
      </c>
      <c r="AG6014">
        <v>-1.121333314091</v>
      </c>
      <c r="AH6014">
        <v>38.4481519374676</v>
      </c>
      <c r="AI6014">
        <v>91.669822511361005</v>
      </c>
      <c r="AJ6014">
        <v>88.3115931814296</v>
      </c>
      <c r="AK6014">
        <v>38.481192919035898</v>
      </c>
      <c r="AL6014">
        <v>79.888541661306803</v>
      </c>
      <c r="AM6014">
        <v>90.713526249434807</v>
      </c>
      <c r="AN6014">
        <v>0.99999994772338796</v>
      </c>
    </row>
    <row r="6015" spans="1:40" x14ac:dyDescent="0.25">
      <c r="A6015" t="str">
        <f>"20190303170412193"</f>
        <v>20190303170412193</v>
      </c>
      <c r="B6015" t="str">
        <f>"1551603852181527"</f>
        <v>1551603852181527</v>
      </c>
      <c r="C6015" t="s">
        <v>40</v>
      </c>
      <c r="D6015">
        <v>4.6903519999999999</v>
      </c>
      <c r="E6015">
        <v>0.52212159999999996</v>
      </c>
      <c r="F6015" t="s">
        <v>42</v>
      </c>
      <c r="G6015">
        <v>-342.46539999999999</v>
      </c>
      <c r="H6015" s="1">
        <v>-3.9178110000000001E-6</v>
      </c>
      <c r="I6015">
        <v>15.651949999999999</v>
      </c>
      <c r="J6015">
        <v>-382.166</v>
      </c>
      <c r="K6015">
        <v>1.121308</v>
      </c>
      <c r="L6015">
        <v>16.544460000000001</v>
      </c>
      <c r="M6015">
        <v>0.99995710000000004</v>
      </c>
      <c r="N6015">
        <v>-4.3699780000000001E-3</v>
      </c>
      <c r="O6015">
        <v>8.1625199999999995E-3</v>
      </c>
      <c r="P6015">
        <v>0.98499199999999998</v>
      </c>
      <c r="Q6015">
        <v>0.1715237</v>
      </c>
      <c r="R6015">
        <v>1.9246590000000001E-2</v>
      </c>
      <c r="S6015">
        <v>3.0619200000000002</v>
      </c>
      <c r="T6015">
        <v>-8.6104990000000006E-2</v>
      </c>
      <c r="U6015">
        <v>-6.8389889999999995E-2</v>
      </c>
      <c r="V6015">
        <v>-1.15987E-2</v>
      </c>
      <c r="W6015">
        <v>0.1758016</v>
      </c>
      <c r="X6015">
        <v>0.98435729999999999</v>
      </c>
      <c r="Y6015">
        <v>3.047366E-2</v>
      </c>
      <c r="Z6015">
        <v>-6.8875909999999998E-4</v>
      </c>
      <c r="AA6015">
        <v>0.99953530000000002</v>
      </c>
      <c r="AB6015">
        <v>33</v>
      </c>
      <c r="AC6015">
        <v>39.700600000000001</v>
      </c>
      <c r="AD6015">
        <v>-1.121311917811</v>
      </c>
      <c r="AE6015">
        <v>-0.89251000000000102</v>
      </c>
      <c r="AF6015">
        <v>1.2155711003233101</v>
      </c>
      <c r="AG6015">
        <v>-1.121311917811</v>
      </c>
      <c r="AH6015">
        <v>39.660369701830902</v>
      </c>
      <c r="AI6015">
        <v>91.618724170642693</v>
      </c>
      <c r="AJ6015">
        <v>88.244461715938996</v>
      </c>
      <c r="AK6015">
        <v>39.694834404527697</v>
      </c>
      <c r="AL6015">
        <v>79.8746904958019</v>
      </c>
      <c r="AM6015">
        <v>90.675085972166201</v>
      </c>
      <c r="AN6015">
        <v>1.0000000132337601</v>
      </c>
    </row>
    <row r="6016" spans="1:40" x14ac:dyDescent="0.25">
      <c r="A6016" t="str">
        <f>"20190303170412204"</f>
        <v>20190303170412204</v>
      </c>
      <c r="B6016" t="str">
        <f>"1551603852191287"</f>
        <v>1551603852191287</v>
      </c>
      <c r="C6016" t="s">
        <v>40</v>
      </c>
      <c r="D6016">
        <v>4.8352879999999896</v>
      </c>
      <c r="E6016">
        <v>0.52235220000000004</v>
      </c>
      <c r="F6016" t="s">
        <v>42</v>
      </c>
      <c r="G6016">
        <v>-341.33609999999999</v>
      </c>
      <c r="H6016" s="1">
        <v>-4.4118400000000001E-6</v>
      </c>
      <c r="I6016">
        <v>15.598179999999999</v>
      </c>
      <c r="J6016">
        <v>-381.99680000000001</v>
      </c>
      <c r="K6016">
        <v>1.1212869999999999</v>
      </c>
      <c r="L6016">
        <v>16.546329999999902</v>
      </c>
      <c r="M6016">
        <v>0.99995299999999998</v>
      </c>
      <c r="N6016">
        <v>-4.3209449999999996E-3</v>
      </c>
      <c r="O6016">
        <v>8.6821180000000008E-3</v>
      </c>
      <c r="P6016">
        <v>0.98501079999999996</v>
      </c>
      <c r="Q6016">
        <v>0.17137149999999901</v>
      </c>
      <c r="R6016">
        <v>1.9634499999999999E-2</v>
      </c>
      <c r="S6016">
        <v>3.0617369999999999</v>
      </c>
      <c r="T6016">
        <v>-8.4084270000000003E-2</v>
      </c>
      <c r="U6016">
        <v>-7.0953370000000002E-2</v>
      </c>
      <c r="V6016">
        <v>-1.146957E-2</v>
      </c>
      <c r="W6016">
        <v>0.1756016</v>
      </c>
      <c r="X6016">
        <v>0.98439449999999995</v>
      </c>
      <c r="Y6016">
        <v>3.1830780000000003E-2</v>
      </c>
      <c r="Z6016">
        <v>-7.0659599999999998E-4</v>
      </c>
      <c r="AA6016">
        <v>0.99949299999999996</v>
      </c>
      <c r="AB6016">
        <v>33</v>
      </c>
      <c r="AC6016">
        <v>40.660699999999999</v>
      </c>
      <c r="AD6016">
        <v>-1.1212914118399999</v>
      </c>
      <c r="AE6016">
        <v>-0.94814999999999805</v>
      </c>
      <c r="AF6016">
        <v>1.3001503452302601</v>
      </c>
      <c r="AG6016">
        <v>-1.1212914118399999</v>
      </c>
      <c r="AH6016">
        <v>40.620061510400703</v>
      </c>
      <c r="AI6016">
        <v>91.580403705644002</v>
      </c>
      <c r="AJ6016">
        <v>88.166725964528695</v>
      </c>
      <c r="AK6016">
        <v>40.6563289348559</v>
      </c>
      <c r="AL6016">
        <v>79.886330621459393</v>
      </c>
      <c r="AM6016">
        <v>90.667545601640001</v>
      </c>
      <c r="AN6016">
        <v>1.00000000229439</v>
      </c>
    </row>
    <row r="6017" spans="1:40" x14ac:dyDescent="0.25">
      <c r="A6017" t="str">
        <f>"20190303170412223"</f>
        <v>20190303170412223</v>
      </c>
      <c r="B6017" t="str">
        <f>"1551603852211962"</f>
        <v>1551603852211962</v>
      </c>
      <c r="C6017" t="s">
        <v>40</v>
      </c>
      <c r="D6017">
        <v>4.6955090000000004</v>
      </c>
      <c r="E6017">
        <v>0.5227541</v>
      </c>
      <c r="F6017" t="s">
        <v>42</v>
      </c>
      <c r="G6017">
        <v>-341.19319999999999</v>
      </c>
      <c r="H6017" s="1">
        <v>-4.4742910000000001E-6</v>
      </c>
      <c r="I6017">
        <v>15.591679999999901</v>
      </c>
      <c r="J6017">
        <v>-381.73360000000002</v>
      </c>
      <c r="K6017">
        <v>1.121256</v>
      </c>
      <c r="L6017">
        <v>16.549320000000002</v>
      </c>
      <c r="M6017">
        <v>0.99994609999999995</v>
      </c>
      <c r="N6017">
        <v>-4.2391119999999997E-3</v>
      </c>
      <c r="O6017">
        <v>9.4855200000000008E-3</v>
      </c>
      <c r="P6017">
        <v>0.98514199999999996</v>
      </c>
      <c r="Q6017">
        <v>0.170603</v>
      </c>
      <c r="R6017">
        <v>1.9747509999999999E-2</v>
      </c>
      <c r="S6017">
        <v>3.0616759999999998</v>
      </c>
      <c r="T6017">
        <v>-8.4135290000000001E-2</v>
      </c>
      <c r="U6017">
        <v>-7.1624759999999996E-2</v>
      </c>
      <c r="V6017">
        <v>-1.0782140000000001E-2</v>
      </c>
      <c r="W6017">
        <v>0.17475560000000001</v>
      </c>
      <c r="X6017">
        <v>0.98455280000000001</v>
      </c>
      <c r="Y6017">
        <v>3.2852659999999999E-2</v>
      </c>
      <c r="Z6017">
        <v>-7.4129419999999896E-4</v>
      </c>
      <c r="AA6017">
        <v>0.99945989999999996</v>
      </c>
      <c r="AB6017">
        <v>33</v>
      </c>
      <c r="AC6017">
        <v>40.540399999999998</v>
      </c>
      <c r="AD6017">
        <v>-1.121260474291</v>
      </c>
      <c r="AE6017">
        <v>-0.95764000000000304</v>
      </c>
      <c r="AF6017">
        <v>1.34112178989838</v>
      </c>
      <c r="AG6017">
        <v>-1.121260474291</v>
      </c>
      <c r="AH6017">
        <v>40.498529965853798</v>
      </c>
      <c r="AI6017">
        <v>91.5850431077792</v>
      </c>
      <c r="AJ6017">
        <v>88.103325022594007</v>
      </c>
      <c r="AK6017">
        <v>40.536240108102099</v>
      </c>
      <c r="AL6017">
        <v>79.935564094072603</v>
      </c>
      <c r="AM6017">
        <v>90.627438590631598</v>
      </c>
      <c r="AN6017">
        <v>0.99999999513108895</v>
      </c>
    </row>
    <row r="6018" spans="1:40" x14ac:dyDescent="0.25">
      <c r="A6018" t="str">
        <f>"20190303170412235"</f>
        <v>20190303170412235</v>
      </c>
      <c r="B6018" t="str">
        <f>"1551603852222229"</f>
        <v>1551603852222229</v>
      </c>
      <c r="C6018" t="s">
        <v>40</v>
      </c>
      <c r="D6018">
        <v>4.6664580000000004</v>
      </c>
      <c r="E6018">
        <v>0.52299439999999997</v>
      </c>
      <c r="F6018" t="s">
        <v>42</v>
      </c>
      <c r="G6018">
        <v>-340.97750000000002</v>
      </c>
      <c r="H6018" s="1">
        <v>-4.5738920000000002E-6</v>
      </c>
      <c r="I6018">
        <v>15.5518</v>
      </c>
      <c r="J6018">
        <v>-381.54509999999999</v>
      </c>
      <c r="K6018">
        <v>1.121237</v>
      </c>
      <c r="L6018">
        <v>16.551539999999999</v>
      </c>
      <c r="M6018">
        <v>0.99994079999999996</v>
      </c>
      <c r="N6018">
        <v>-4.176389E-3</v>
      </c>
      <c r="O6018">
        <v>1.0058310000000001E-2</v>
      </c>
      <c r="P6018">
        <v>0.98519749999999995</v>
      </c>
      <c r="Q6018">
        <v>0.17027729999999999</v>
      </c>
      <c r="R6018">
        <v>1.9786910000000001E-2</v>
      </c>
      <c r="S6018">
        <v>3.06134</v>
      </c>
      <c r="T6018">
        <v>-8.4221840000000006E-2</v>
      </c>
      <c r="U6018">
        <v>-7.4920650000000005E-2</v>
      </c>
      <c r="V6018">
        <v>-1.0252819999999999E-2</v>
      </c>
      <c r="W6018">
        <v>0.1743692</v>
      </c>
      <c r="X6018">
        <v>0.98462689999999997</v>
      </c>
      <c r="Y6018">
        <v>3.4502209999999998E-2</v>
      </c>
      <c r="Z6018">
        <v>-7.8115170000000002E-4</v>
      </c>
      <c r="AA6018">
        <v>0.99940430000000002</v>
      </c>
      <c r="AB6018">
        <v>33</v>
      </c>
      <c r="AC6018">
        <v>40.567599999999899</v>
      </c>
      <c r="AD6018">
        <v>-1.1212415738920001</v>
      </c>
      <c r="AE6018">
        <v>-0.99973999999999896</v>
      </c>
      <c r="AF6018">
        <v>1.4066605338392</v>
      </c>
      <c r="AG6018">
        <v>-1.1212415738920001</v>
      </c>
      <c r="AH6018">
        <v>40.524553878682902</v>
      </c>
      <c r="AI6018">
        <v>91.583913471684994</v>
      </c>
      <c r="AJ6018">
        <v>88.011986358789002</v>
      </c>
      <c r="AK6018">
        <v>40.564459118676197</v>
      </c>
      <c r="AL6018">
        <v>79.958047797195505</v>
      </c>
      <c r="AM6018">
        <v>90.5965935763397</v>
      </c>
      <c r="AN6018">
        <v>0.999999935215099</v>
      </c>
    </row>
    <row r="6019" spans="1:40" x14ac:dyDescent="0.25">
      <c r="A6019" t="str">
        <f>"20190303170412249"</f>
        <v>20190303170412249</v>
      </c>
      <c r="B6019" t="str">
        <f>"1551603852241749"</f>
        <v>1551603852241749</v>
      </c>
      <c r="C6019" t="s">
        <v>40</v>
      </c>
      <c r="D6019">
        <v>4.640047</v>
      </c>
      <c r="E6019">
        <v>0.52336199999999999</v>
      </c>
      <c r="F6019" t="s">
        <v>42</v>
      </c>
      <c r="G6019">
        <v>-341.00299999999999</v>
      </c>
      <c r="H6019" s="1">
        <v>-4.5658730000000001E-6</v>
      </c>
      <c r="I6019">
        <v>15.53537</v>
      </c>
      <c r="J6019">
        <v>-381.3372</v>
      </c>
      <c r="K6019">
        <v>1.121211</v>
      </c>
      <c r="L6019">
        <v>16.554200000000002</v>
      </c>
      <c r="M6019">
        <v>0.99993460000000001</v>
      </c>
      <c r="N6019">
        <v>-4.1044929999999999E-3</v>
      </c>
      <c r="O6019">
        <v>1.0684569999999999E-2</v>
      </c>
      <c r="P6019">
        <v>0.9851993</v>
      </c>
      <c r="Q6019">
        <v>0.1702526</v>
      </c>
      <c r="R6019">
        <v>1.9923409999999999E-2</v>
      </c>
      <c r="S6019">
        <v>3.0612180000000002</v>
      </c>
      <c r="T6019">
        <v>-8.4661600000000004E-2</v>
      </c>
      <c r="U6019">
        <v>-7.6721189999999995E-2</v>
      </c>
      <c r="V6019">
        <v>-9.7693889999999999E-3</v>
      </c>
      <c r="W6019">
        <v>0.17427479999999901</v>
      </c>
      <c r="X6019">
        <v>0.98464859999999998</v>
      </c>
      <c r="Y6019">
        <v>3.5715669999999998E-2</v>
      </c>
      <c r="Z6019">
        <v>-8.1859000000000001E-4</v>
      </c>
      <c r="AA6019">
        <v>0.99936159999999996</v>
      </c>
      <c r="AB6019">
        <v>33</v>
      </c>
      <c r="AC6019">
        <v>40.334199999999903</v>
      </c>
      <c r="AD6019">
        <v>-1.1212155658730001</v>
      </c>
      <c r="AE6019">
        <v>-1.0188299999999999</v>
      </c>
      <c r="AF6019">
        <v>1.4486103303990501</v>
      </c>
      <c r="AG6019">
        <v>-1.1212155658730001</v>
      </c>
      <c r="AH6019">
        <v>40.289898151423699</v>
      </c>
      <c r="AI6019">
        <v>91.593026935186401</v>
      </c>
      <c r="AJ6019">
        <v>87.940835689425697</v>
      </c>
      <c r="AK6019">
        <v>40.331519798869301</v>
      </c>
      <c r="AL6019">
        <v>79.963541341016096</v>
      </c>
      <c r="AM6019">
        <v>90.568452940558501</v>
      </c>
      <c r="AN6019">
        <v>1.00000000617921</v>
      </c>
    </row>
    <row r="6020" spans="1:40" x14ac:dyDescent="0.25">
      <c r="A6020" t="str">
        <f>"20190303170412263"</f>
        <v>20190303170412263</v>
      </c>
      <c r="B6020" t="str">
        <f>"1551603852251508"</f>
        <v>1551603852251508</v>
      </c>
      <c r="C6020" t="s">
        <v>40</v>
      </c>
      <c r="D6020">
        <v>4.734712</v>
      </c>
      <c r="E6020">
        <v>0.52357109999999996</v>
      </c>
      <c r="F6020" t="s">
        <v>42</v>
      </c>
      <c r="G6020">
        <v>-340.24520000000001</v>
      </c>
      <c r="H6020" s="1">
        <v>-4.8993520000000004E-6</v>
      </c>
      <c r="I6020">
        <v>15.488149999999999</v>
      </c>
      <c r="J6020">
        <v>-381.13670000000002</v>
      </c>
      <c r="K6020">
        <v>1.1211880000000001</v>
      </c>
      <c r="L6020">
        <v>16.556850000000001</v>
      </c>
      <c r="M6020">
        <v>0.99992820000000004</v>
      </c>
      <c r="N6020">
        <v>-4.0369200000000003E-3</v>
      </c>
      <c r="O6020">
        <v>1.12852E-2</v>
      </c>
      <c r="P6020">
        <v>0.98513059999999997</v>
      </c>
      <c r="Q6020">
        <v>0.1706761</v>
      </c>
      <c r="R6020">
        <v>1.9680599999999999E-2</v>
      </c>
      <c r="S6020">
        <v>3.061096</v>
      </c>
      <c r="T6020">
        <v>-8.3523390000000003E-2</v>
      </c>
      <c r="U6020">
        <v>-7.9406740000000003E-2</v>
      </c>
      <c r="V6020">
        <v>-8.9340080000000002E-3</v>
      </c>
      <c r="W6020">
        <v>0.1746336</v>
      </c>
      <c r="X6020">
        <v>0.98459300000000005</v>
      </c>
      <c r="Y6020">
        <v>3.719281E-2</v>
      </c>
      <c r="Z6020">
        <v>-8.4460990000000005E-4</v>
      </c>
      <c r="AA6020">
        <v>0.99930779999999997</v>
      </c>
      <c r="AB6020">
        <v>33</v>
      </c>
      <c r="AC6020">
        <v>40.891500000000001</v>
      </c>
      <c r="AD6020">
        <v>-1.1211928993519999</v>
      </c>
      <c r="AE6020">
        <v>-1.0687</v>
      </c>
      <c r="AF6020">
        <v>1.5289557830321601</v>
      </c>
      <c r="AG6020">
        <v>-1.1211928993519999</v>
      </c>
      <c r="AH6020">
        <v>40.846148771959101</v>
      </c>
      <c r="AI6020">
        <v>91.571226970562407</v>
      </c>
      <c r="AJ6020">
        <v>87.8563013822329</v>
      </c>
      <c r="AK6020">
        <v>40.890128989831297</v>
      </c>
      <c r="AL6020">
        <v>79.942663835241603</v>
      </c>
      <c r="AM6020">
        <v>90.519876644287393</v>
      </c>
      <c r="AN6020">
        <v>1.0000000431984499</v>
      </c>
    </row>
    <row r="6021" spans="1:40" x14ac:dyDescent="0.25">
      <c r="A6021" t="str">
        <f>"20190303170412281"</f>
        <v>20190303170412281</v>
      </c>
      <c r="B6021" t="str">
        <f>"1551603852272005"</f>
        <v>1551603852272005</v>
      </c>
      <c r="C6021" t="s">
        <v>40</v>
      </c>
      <c r="D6021">
        <v>4.6455919999999997</v>
      </c>
      <c r="E6021">
        <v>0.52376619999999996</v>
      </c>
      <c r="F6021" t="s">
        <v>42</v>
      </c>
      <c r="G6021">
        <v>-339.23509999999999</v>
      </c>
      <c r="H6021" s="1">
        <v>-1.357526E-6</v>
      </c>
      <c r="I6021">
        <v>15.44017</v>
      </c>
      <c r="J6021">
        <v>-380.87</v>
      </c>
      <c r="K6021">
        <v>1.121167</v>
      </c>
      <c r="L6021">
        <v>16.560579999999899</v>
      </c>
      <c r="M6021">
        <v>0.99991940000000001</v>
      </c>
      <c r="N6021">
        <v>-3.9507350000000004E-3</v>
      </c>
      <c r="O6021">
        <v>1.2075799999999999E-2</v>
      </c>
      <c r="P6021">
        <v>0.98495639999999995</v>
      </c>
      <c r="Q6021">
        <v>0.1716316</v>
      </c>
      <c r="R6021">
        <v>2.0093489999999999E-2</v>
      </c>
      <c r="S6021">
        <v>3.0611269999999999</v>
      </c>
      <c r="T6021">
        <v>-8.1908460000000002E-2</v>
      </c>
      <c r="U6021">
        <v>-8.1573489999999999E-2</v>
      </c>
      <c r="V6021">
        <v>-8.5688039999999993E-3</v>
      </c>
      <c r="W6021">
        <v>0.17550489999999999</v>
      </c>
      <c r="X6021">
        <v>0.98444129999999996</v>
      </c>
      <c r="Y6021">
        <v>3.8689370000000001E-2</v>
      </c>
      <c r="Z6021">
        <v>-8.6920859999999999E-4</v>
      </c>
      <c r="AA6021">
        <v>0.99925090000000005</v>
      </c>
      <c r="AB6021">
        <v>33</v>
      </c>
      <c r="AC6021">
        <v>41.634900000000002</v>
      </c>
      <c r="AD6021">
        <v>-1.1211683575260001</v>
      </c>
      <c r="AE6021">
        <v>-1.1204099999999899</v>
      </c>
      <c r="AF6021">
        <v>1.6219316035860201</v>
      </c>
      <c r="AG6021">
        <v>-1.1211683575260001</v>
      </c>
      <c r="AH6021">
        <v>41.588198415367998</v>
      </c>
      <c r="AI6021">
        <v>91.543079535521599</v>
      </c>
      <c r="AJ6021">
        <v>87.766607665648706</v>
      </c>
      <c r="AK6021">
        <v>41.634912369892703</v>
      </c>
      <c r="AL6021">
        <v>79.891958846176095</v>
      </c>
      <c r="AM6021">
        <v>90.498703077939993</v>
      </c>
      <c r="AN6021">
        <v>1.0000000337358399</v>
      </c>
    </row>
    <row r="6022" spans="1:40" x14ac:dyDescent="0.25">
      <c r="A6022" t="str">
        <f>"20190303170412301"</f>
        <v>20190303170412301</v>
      </c>
      <c r="B6022" t="str">
        <f>"1551603852291524"</f>
        <v>1551603852291524</v>
      </c>
      <c r="C6022" t="s">
        <v>40</v>
      </c>
      <c r="D6022">
        <v>4.600104</v>
      </c>
      <c r="E6022">
        <v>0.52411169999999996</v>
      </c>
      <c r="F6022" t="s">
        <v>42</v>
      </c>
      <c r="G6022">
        <v>-336.5027</v>
      </c>
      <c r="H6022" s="1">
        <v>-2.3052859999999998E-6</v>
      </c>
      <c r="I6022">
        <v>15.372820000000001</v>
      </c>
      <c r="J6022">
        <v>-380.56630000000001</v>
      </c>
      <c r="K6022">
        <v>1.1211420000000001</v>
      </c>
      <c r="L6022">
        <v>16.56503</v>
      </c>
      <c r="M6022">
        <v>0.99990860000000004</v>
      </c>
      <c r="N6022">
        <v>-3.8595830000000002E-3</v>
      </c>
      <c r="O6022">
        <v>1.2960930000000001E-2</v>
      </c>
      <c r="P6022">
        <v>0.98487959999999997</v>
      </c>
      <c r="Q6022">
        <v>0.1719041</v>
      </c>
      <c r="R6022">
        <v>2.1481130000000001E-2</v>
      </c>
      <c r="S6022">
        <v>3.0609739999999999</v>
      </c>
      <c r="T6022">
        <v>-7.7351210000000004E-2</v>
      </c>
      <c r="U6022">
        <v>-8.1939699999999893E-2</v>
      </c>
      <c r="V6022">
        <v>-9.0815779999999999E-3</v>
      </c>
      <c r="W6022">
        <v>0.17568610000000001</v>
      </c>
      <c r="X6022">
        <v>0.98440430000000001</v>
      </c>
      <c r="Y6022">
        <v>3.9696139999999998E-2</v>
      </c>
      <c r="Z6022">
        <v>-8.5544059999999897E-4</v>
      </c>
      <c r="AA6022">
        <v>0.99921139999999997</v>
      </c>
      <c r="AB6022">
        <v>33</v>
      </c>
      <c r="AC6022">
        <v>44.063600000000001</v>
      </c>
      <c r="AD6022">
        <v>-1.121144305286</v>
      </c>
      <c r="AE6022">
        <v>-1.19220999999999</v>
      </c>
      <c r="AF6022">
        <v>1.7620794097927199</v>
      </c>
      <c r="AG6022">
        <v>-1.121144305286</v>
      </c>
      <c r="AH6022">
        <v>44.015972033176602</v>
      </c>
      <c r="AI6022">
        <v>91.457915589255194</v>
      </c>
      <c r="AJ6022">
        <v>87.707517813163605</v>
      </c>
      <c r="AK6022">
        <v>44.065493103164897</v>
      </c>
      <c r="AL6022">
        <v>79.881412171853398</v>
      </c>
      <c r="AM6022">
        <v>90.5285646656626</v>
      </c>
      <c r="AN6022">
        <v>0.99999995332533298</v>
      </c>
    </row>
    <row r="6023" spans="1:40" x14ac:dyDescent="0.25">
      <c r="A6023" t="str">
        <f>"20190303170412312"</f>
        <v>20190303170412312</v>
      </c>
      <c r="B6023" t="str">
        <f>"1551603852301285"</f>
        <v>1551603852301285</v>
      </c>
      <c r="C6023" t="s">
        <v>40</v>
      </c>
      <c r="D6023">
        <v>4.649305</v>
      </c>
      <c r="E6023">
        <v>0.52411169999999996</v>
      </c>
      <c r="F6023" t="s">
        <v>42</v>
      </c>
      <c r="G6023">
        <v>-334.59179999999998</v>
      </c>
      <c r="H6023" s="1">
        <v>-3.058169E-6</v>
      </c>
      <c r="I6023">
        <v>15.355740000000001</v>
      </c>
      <c r="J6023">
        <v>-380.3854</v>
      </c>
      <c r="K6023">
        <v>1.1211260000000001</v>
      </c>
      <c r="L6023">
        <v>16.567779999999999</v>
      </c>
      <c r="M6023">
        <v>0.99990190000000001</v>
      </c>
      <c r="N6023">
        <v>-3.808348E-3</v>
      </c>
      <c r="O6023">
        <v>1.348011E-2</v>
      </c>
      <c r="P6023">
        <v>0.98488500000000001</v>
      </c>
      <c r="Q6023">
        <v>0.171768</v>
      </c>
      <c r="R6023">
        <v>2.2301000000000001E-2</v>
      </c>
      <c r="S6023">
        <v>3.0608520000000001</v>
      </c>
      <c r="T6023">
        <v>-7.4642539999999993E-2</v>
      </c>
      <c r="U6023">
        <v>-8.0505370000000007E-2</v>
      </c>
      <c r="V6023">
        <v>-9.3865359999999991E-3</v>
      </c>
      <c r="W6023">
        <v>0.17549970000000001</v>
      </c>
      <c r="X6023">
        <v>0.9844347</v>
      </c>
      <c r="Y6023">
        <v>3.9749180000000002E-2</v>
      </c>
      <c r="Z6023">
        <v>-8.3753509999999996E-4</v>
      </c>
      <c r="AA6023">
        <v>0.99920929999999997</v>
      </c>
      <c r="AB6023">
        <v>33</v>
      </c>
      <c r="AC6023">
        <v>45.793599999999998</v>
      </c>
      <c r="AD6023">
        <v>-1.1211290581690001</v>
      </c>
      <c r="AE6023">
        <v>-1.21204</v>
      </c>
      <c r="AF6023">
        <v>1.82814212192063</v>
      </c>
      <c r="AG6023">
        <v>-1.1211290581690001</v>
      </c>
      <c r="AH6023">
        <v>45.745700719549802</v>
      </c>
      <c r="AI6023">
        <v>91.402796418525398</v>
      </c>
      <c r="AJ6023">
        <v>87.711498159498902</v>
      </c>
      <c r="AK6023">
        <v>45.795940522120802</v>
      </c>
      <c r="AL6023">
        <v>79.892260780997901</v>
      </c>
      <c r="AM6023">
        <v>90.546295858514597</v>
      </c>
      <c r="AN6023">
        <v>0.99999996516112899</v>
      </c>
    </row>
    <row r="6024" spans="1:40" x14ac:dyDescent="0.25">
      <c r="A6024" t="str">
        <f>"20190303170412324"</f>
        <v>20190303170412324</v>
      </c>
      <c r="B6024" t="str">
        <f>"1551603852312021"</f>
        <v>1551603852312021</v>
      </c>
      <c r="C6024" t="s">
        <v>40</v>
      </c>
      <c r="D6024">
        <v>4.8332040000000003</v>
      </c>
      <c r="E6024">
        <v>0.53096709999999903</v>
      </c>
      <c r="F6024" t="s">
        <v>42</v>
      </c>
      <c r="G6024">
        <v>-334.61349999999999</v>
      </c>
      <c r="H6024" s="1">
        <v>-3.0417419999999999E-6</v>
      </c>
      <c r="I6024">
        <v>15.39579</v>
      </c>
      <c r="J6024">
        <v>-380.21499999999997</v>
      </c>
      <c r="K6024">
        <v>1.1211100000000001</v>
      </c>
      <c r="L6024">
        <v>16.570499999999999</v>
      </c>
      <c r="M6024">
        <v>0.9998956</v>
      </c>
      <c r="N6024">
        <v>-3.7638260000000001E-3</v>
      </c>
      <c r="O6024">
        <v>1.395512E-2</v>
      </c>
      <c r="P6024">
        <v>0.98485959999999995</v>
      </c>
      <c r="Q6024">
        <v>0.17185799999999901</v>
      </c>
      <c r="R6024">
        <v>2.2731600000000001E-2</v>
      </c>
      <c r="S6024">
        <v>3.0609130000000002</v>
      </c>
      <c r="T6024">
        <v>-7.4973460000000006E-2</v>
      </c>
      <c r="U6024">
        <v>-7.8369140000000004E-2</v>
      </c>
      <c r="V6024">
        <v>-9.3456200000000007E-3</v>
      </c>
      <c r="W6024">
        <v>0.175545799999999</v>
      </c>
      <c r="X6024">
        <v>0.98442689999999999</v>
      </c>
      <c r="Y6024">
        <v>3.9526289999999999E-2</v>
      </c>
      <c r="Z6024">
        <v>-8.4753910000000005E-4</v>
      </c>
      <c r="AA6024">
        <v>0.99921819999999895</v>
      </c>
      <c r="AB6024">
        <v>33</v>
      </c>
      <c r="AC6024">
        <v>45.601499999999902</v>
      </c>
      <c r="AD6024">
        <v>-1.1211130417419899</v>
      </c>
      <c r="AE6024">
        <v>-1.1747099999999899</v>
      </c>
      <c r="AF6024">
        <v>1.80988127407542</v>
      </c>
      <c r="AG6024">
        <v>-1.1211130417419899</v>
      </c>
      <c r="AH6024">
        <v>45.553150960656197</v>
      </c>
      <c r="AI6024">
        <v>91.408716426820604</v>
      </c>
      <c r="AJ6024">
        <v>87.724766722350395</v>
      </c>
      <c r="AK6024">
        <v>45.602874110333701</v>
      </c>
      <c r="AL6024">
        <v>79.889578097707897</v>
      </c>
      <c r="AM6024">
        <v>90.5439190024223</v>
      </c>
      <c r="AN6024">
        <v>0.99999999497721703</v>
      </c>
    </row>
    <row r="6025" spans="1:40" x14ac:dyDescent="0.25">
      <c r="A6025" t="str">
        <f>"20190303170412337"</f>
        <v>20190303170412337</v>
      </c>
      <c r="B6025" t="str">
        <f>"1551603852331541"</f>
        <v>1551603852331541</v>
      </c>
      <c r="C6025" t="s">
        <v>40</v>
      </c>
      <c r="D6025">
        <v>4.6520260000000002</v>
      </c>
      <c r="E6025">
        <v>0.52881250000000002</v>
      </c>
      <c r="F6025" t="s">
        <v>42</v>
      </c>
      <c r="G6025">
        <v>-323.08199999999999</v>
      </c>
      <c r="H6025" s="1">
        <v>-4.2317499999999998E-6</v>
      </c>
      <c r="I6025">
        <v>14.08536</v>
      </c>
      <c r="J6025">
        <v>-380.02749999999997</v>
      </c>
      <c r="K6025">
        <v>1.1210899999999999</v>
      </c>
      <c r="L6025">
        <v>16.573519999999998</v>
      </c>
      <c r="M6025">
        <v>0.99988840000000001</v>
      </c>
      <c r="N6025">
        <v>-3.716366E-3</v>
      </c>
      <c r="O6025">
        <v>1.447054E-2</v>
      </c>
      <c r="P6025">
        <v>0.98485140000000004</v>
      </c>
      <c r="Q6025">
        <v>0.17178850000000001</v>
      </c>
      <c r="R6025">
        <v>2.3587480000000001E-2</v>
      </c>
      <c r="S6025">
        <v>3.0596619999999999</v>
      </c>
      <c r="T6025">
        <v>-6.00394E-2</v>
      </c>
      <c r="U6025">
        <v>-0.13308719999999999</v>
      </c>
      <c r="V6025">
        <v>-9.6884950000000001E-3</v>
      </c>
      <c r="W6025">
        <v>0.1754289</v>
      </c>
      <c r="X6025">
        <v>0.9844444</v>
      </c>
      <c r="Y6025">
        <v>5.7893609999999998E-2</v>
      </c>
      <c r="Z6025">
        <v>-9.0539899999999998E-4</v>
      </c>
      <c r="AA6025">
        <v>0.99832240000000005</v>
      </c>
      <c r="AB6025">
        <v>34</v>
      </c>
      <c r="AC6025">
        <v>56.945499999999903</v>
      </c>
      <c r="AD6025">
        <v>-1.1210942317499999</v>
      </c>
      <c r="AE6025">
        <v>-2.4881600000000001</v>
      </c>
      <c r="AF6025">
        <v>3.3106565832784201</v>
      </c>
      <c r="AG6025">
        <v>-1.1210942317499999</v>
      </c>
      <c r="AH6025">
        <v>56.881527904405203</v>
      </c>
      <c r="AI6025">
        <v>91.127205521196601</v>
      </c>
      <c r="AJ6025">
        <v>86.668990797316098</v>
      </c>
      <c r="AK6025">
        <v>56.988819219461803</v>
      </c>
      <c r="AL6025">
        <v>79.896381310691595</v>
      </c>
      <c r="AM6025">
        <v>90.563863182434702</v>
      </c>
      <c r="AN6025">
        <v>0.99999997129096696</v>
      </c>
    </row>
    <row r="6026" spans="1:40" x14ac:dyDescent="0.25">
      <c r="A6026" t="str">
        <f>"20190303170412349"</f>
        <v>20190303170412349</v>
      </c>
      <c r="B6026" t="str">
        <f>"1551603852342277"</f>
        <v>1551603852342277</v>
      </c>
      <c r="C6026" t="s">
        <v>40</v>
      </c>
      <c r="D6026">
        <v>4.6116099999999998</v>
      </c>
      <c r="E6026">
        <v>0.52869860000000002</v>
      </c>
      <c r="F6026" t="s">
        <v>44</v>
      </c>
      <c r="G6026">
        <v>-317.00880000000001</v>
      </c>
      <c r="H6026">
        <v>-0.05</v>
      </c>
      <c r="I6026">
        <v>14.232060000000001</v>
      </c>
      <c r="J6026">
        <v>-379.83359999999999</v>
      </c>
      <c r="K6026">
        <v>1.1210659999999999</v>
      </c>
      <c r="L6026">
        <v>16.576779999999999</v>
      </c>
      <c r="M6026">
        <v>0.99988109999999997</v>
      </c>
      <c r="N6026">
        <v>-3.6714780000000002E-3</v>
      </c>
      <c r="O6026">
        <v>1.497623E-2</v>
      </c>
      <c r="P6026">
        <v>0.98479360000000005</v>
      </c>
      <c r="Q6026">
        <v>0.17211470000000001</v>
      </c>
      <c r="R6026">
        <v>2.362705E-2</v>
      </c>
      <c r="S6026">
        <v>3.0587460000000002</v>
      </c>
      <c r="T6026">
        <v>-5.6841370000000002E-2</v>
      </c>
      <c r="U6026">
        <v>-0.113647499999999</v>
      </c>
      <c r="V6026">
        <v>-9.2237629999999994E-3</v>
      </c>
      <c r="W6026">
        <v>0.17571239999999999</v>
      </c>
      <c r="X6026">
        <v>0.98439829999999995</v>
      </c>
      <c r="Y6026">
        <v>5.207871E-2</v>
      </c>
      <c r="Z6026">
        <v>-8.0257089999999896E-4</v>
      </c>
      <c r="AA6026">
        <v>0.99864269999999999</v>
      </c>
      <c r="AB6026">
        <v>34</v>
      </c>
      <c r="AC6026">
        <v>62.824799999999897</v>
      </c>
      <c r="AD6026">
        <v>-1.1710659999999999</v>
      </c>
      <c r="AE6026">
        <v>-2.3447199999999899</v>
      </c>
      <c r="AF6026">
        <v>3.2842025103443699</v>
      </c>
      <c r="AG6026">
        <v>-1.1710659999999999</v>
      </c>
      <c r="AH6026">
        <v>62.760862458138597</v>
      </c>
      <c r="AI6026">
        <v>91.067507762263105</v>
      </c>
      <c r="AJ6026">
        <v>87.0045110819309</v>
      </c>
      <c r="AK6026">
        <v>62.857642639496902</v>
      </c>
      <c r="AL6026">
        <v>79.879881643331501</v>
      </c>
      <c r="AM6026">
        <v>90.536842887403907</v>
      </c>
      <c r="AN6026">
        <v>0.99999996918026401</v>
      </c>
    </row>
    <row r="6027" spans="1:40" x14ac:dyDescent="0.25">
      <c r="A6027" t="str">
        <f>"20190303170412370"</f>
        <v>20190303170412370</v>
      </c>
      <c r="B6027" t="str">
        <f>"1551603852361797"</f>
        <v>1551603852361797</v>
      </c>
      <c r="C6027" t="s">
        <v>40</v>
      </c>
      <c r="D6027">
        <v>4.8910429999999998</v>
      </c>
      <c r="E6027">
        <v>0.529026</v>
      </c>
      <c r="F6027" t="s">
        <v>44</v>
      </c>
      <c r="G6027">
        <v>-316.10500000000002</v>
      </c>
      <c r="H6027">
        <v>-0.05</v>
      </c>
      <c r="I6027">
        <v>14.22939</v>
      </c>
      <c r="J6027">
        <v>-379.51459999999997</v>
      </c>
      <c r="K6027">
        <v>1.1210230000000001</v>
      </c>
      <c r="L6027">
        <v>16.582239999999999</v>
      </c>
      <c r="M6027">
        <v>0.99986940000000002</v>
      </c>
      <c r="N6027">
        <v>-3.603818E-3</v>
      </c>
      <c r="O6027">
        <v>1.5762930000000001E-2</v>
      </c>
      <c r="P6027">
        <v>0.98455939999999997</v>
      </c>
      <c r="Q6027">
        <v>0.17335880000000001</v>
      </c>
      <c r="R6027">
        <v>2.4291380000000001E-2</v>
      </c>
      <c r="S6027">
        <v>3.0588679999999999</v>
      </c>
      <c r="T6027">
        <v>-5.6209210000000003E-2</v>
      </c>
      <c r="U6027">
        <v>-0.11267089999999901</v>
      </c>
      <c r="V6027">
        <v>-9.1025829999999992E-3</v>
      </c>
      <c r="W6027">
        <v>0.17688999999999999</v>
      </c>
      <c r="X6027">
        <v>0.98418859999999997</v>
      </c>
      <c r="Y6027">
        <v>5.2544680000000003E-2</v>
      </c>
      <c r="Z6027">
        <v>-8.1005869999999905E-4</v>
      </c>
      <c r="AA6027">
        <v>0.99861820000000001</v>
      </c>
      <c r="AB6027">
        <v>34</v>
      </c>
      <c r="AC6027">
        <v>63.409599999999898</v>
      </c>
      <c r="AD6027">
        <v>-1.1710229999999999</v>
      </c>
      <c r="AE6027">
        <v>-2.3528500000000001</v>
      </c>
      <c r="AF6027">
        <v>3.3509438361366102</v>
      </c>
      <c r="AG6027">
        <v>-1.1710229999999999</v>
      </c>
      <c r="AH6027">
        <v>63.343060089015999</v>
      </c>
      <c r="AI6027">
        <v>91.057627740706096</v>
      </c>
      <c r="AJ6027">
        <v>86.971789249042402</v>
      </c>
      <c r="AK6027">
        <v>63.442441479660602</v>
      </c>
      <c r="AL6027">
        <v>79.811337437333805</v>
      </c>
      <c r="AM6027">
        <v>90.529903230318396</v>
      </c>
      <c r="AN6027">
        <v>1.00000006474361</v>
      </c>
    </row>
    <row r="6028" spans="1:40" x14ac:dyDescent="0.25">
      <c r="A6028" t="str">
        <f>"20190303170412384"</f>
        <v>20190303170412384</v>
      </c>
      <c r="B6028" t="str">
        <f>"1551603852371556"</f>
        <v>1551603852371556</v>
      </c>
      <c r="C6028" t="s">
        <v>40</v>
      </c>
      <c r="D6028">
        <v>4.5992389999999999</v>
      </c>
      <c r="E6028">
        <v>0.52918909999999997</v>
      </c>
      <c r="F6028" t="s">
        <v>44</v>
      </c>
      <c r="G6028">
        <v>-310.68579999999997</v>
      </c>
      <c r="H6028">
        <v>-0.05</v>
      </c>
      <c r="I6028">
        <v>14.020339999999999</v>
      </c>
      <c r="J6028">
        <v>-379.31979999999999</v>
      </c>
      <c r="K6028">
        <v>1.120992</v>
      </c>
      <c r="L6028">
        <v>16.58569</v>
      </c>
      <c r="M6028">
        <v>0.99986240000000004</v>
      </c>
      <c r="N6028">
        <v>-3.5668900000000001E-3</v>
      </c>
      <c r="O6028">
        <v>1.6200929999999999E-2</v>
      </c>
      <c r="P6028">
        <v>0.98440850000000002</v>
      </c>
      <c r="Q6028">
        <v>0.174139299999999</v>
      </c>
      <c r="R6028">
        <v>2.4806999999999999E-2</v>
      </c>
      <c r="S6028">
        <v>3.059021</v>
      </c>
      <c r="T6028">
        <v>-5.204487E-2</v>
      </c>
      <c r="U6028">
        <v>-0.11386110000000001</v>
      </c>
      <c r="V6028">
        <v>-9.1768909999999995E-3</v>
      </c>
      <c r="W6028">
        <v>0.17763429999999999</v>
      </c>
      <c r="X6028">
        <v>0.98405379999999998</v>
      </c>
      <c r="Y6028">
        <v>5.3369809999999997E-2</v>
      </c>
      <c r="Z6028">
        <v>-7.6680990000000001E-4</v>
      </c>
      <c r="AA6028">
        <v>0.99857450000000003</v>
      </c>
      <c r="AB6028">
        <v>34</v>
      </c>
      <c r="AC6028">
        <v>68.634</v>
      </c>
      <c r="AD6028">
        <v>-1.170992</v>
      </c>
      <c r="AE6028">
        <v>-2.56535</v>
      </c>
      <c r="AF6028">
        <v>3.6758864804942699</v>
      </c>
      <c r="AG6028">
        <v>-1.170992</v>
      </c>
      <c r="AH6028">
        <v>68.563500391940707</v>
      </c>
      <c r="AI6028">
        <v>90.977053216666604</v>
      </c>
      <c r="AJ6028">
        <v>86.931146507335896</v>
      </c>
      <c r="AK6028">
        <v>68.671951695559102</v>
      </c>
      <c r="AL6028">
        <v>79.768005522373301</v>
      </c>
      <c r="AM6028">
        <v>90.534301967890499</v>
      </c>
      <c r="AN6028">
        <v>1.00000002057967</v>
      </c>
    </row>
    <row r="6029" spans="1:40" x14ac:dyDescent="0.25">
      <c r="A6029" t="str">
        <f>"20190303170412400"</f>
        <v>20190303170412400</v>
      </c>
      <c r="B6029" t="str">
        <f>"1551603852392054"</f>
        <v>1551603852392054</v>
      </c>
      <c r="C6029" t="s">
        <v>40</v>
      </c>
      <c r="D6029">
        <v>4.609699</v>
      </c>
      <c r="E6029">
        <v>0.52931649999999997</v>
      </c>
      <c r="F6029" t="s">
        <v>44</v>
      </c>
      <c r="G6029">
        <v>-308.27170000000001</v>
      </c>
      <c r="H6029">
        <v>-0.05</v>
      </c>
      <c r="I6029">
        <v>13.93643</v>
      </c>
      <c r="J6029">
        <v>-379.05149999999998</v>
      </c>
      <c r="K6029">
        <v>1.120946</v>
      </c>
      <c r="L6029">
        <v>16.590520000000001</v>
      </c>
      <c r="M6029">
        <v>0.9998534</v>
      </c>
      <c r="N6029">
        <v>-3.5202879999999999E-3</v>
      </c>
      <c r="O6029">
        <v>1.675339E-2</v>
      </c>
      <c r="P6029">
        <v>0.9841704</v>
      </c>
      <c r="Q6029">
        <v>0.17519289999999901</v>
      </c>
      <c r="R6029">
        <v>2.6756459999999999E-2</v>
      </c>
      <c r="S6029">
        <v>3.0592649999999999</v>
      </c>
      <c r="T6029">
        <v>-5.0421830000000001E-2</v>
      </c>
      <c r="U6029">
        <v>-0.1140747</v>
      </c>
      <c r="V6029">
        <v>-1.0566209999999999E-2</v>
      </c>
      <c r="W6029">
        <v>0.178640299999999</v>
      </c>
      <c r="X6029">
        <v>0.98385769999999995</v>
      </c>
      <c r="Y6029">
        <v>5.3988710000000002E-2</v>
      </c>
      <c r="Z6029">
        <v>-7.568672E-4</v>
      </c>
      <c r="AA6029">
        <v>0.99854120000000002</v>
      </c>
      <c r="AB6029">
        <v>34</v>
      </c>
      <c r="AC6029">
        <v>70.779799999999895</v>
      </c>
      <c r="AD6029">
        <v>-1.1709459999999901</v>
      </c>
      <c r="AE6029">
        <v>-2.6540900000000001</v>
      </c>
      <c r="AF6029">
        <v>3.83847743723594</v>
      </c>
      <c r="AG6029">
        <v>-1.1709459999999901</v>
      </c>
      <c r="AH6029">
        <v>70.706076594892906</v>
      </c>
      <c r="AI6029">
        <v>90.947379866866797</v>
      </c>
      <c r="AJ6029">
        <v>86.892588396030405</v>
      </c>
      <c r="AK6029">
        <v>70.819872147681494</v>
      </c>
      <c r="AL6029">
        <v>79.709428732035306</v>
      </c>
      <c r="AM6029">
        <v>90.615308458531103</v>
      </c>
      <c r="AN6029">
        <v>0.99999998771357101</v>
      </c>
    </row>
    <row r="6030" spans="1:40" x14ac:dyDescent="0.25">
      <c r="A6030" t="str">
        <f>"20190303170412413"</f>
        <v>20190303170412413</v>
      </c>
      <c r="B6030" t="str">
        <f>"1551603852401813"</f>
        <v>1551603852401813</v>
      </c>
      <c r="C6030" t="s">
        <v>40</v>
      </c>
      <c r="D6030">
        <v>4.635497</v>
      </c>
      <c r="E6030">
        <v>0.52939639999999999</v>
      </c>
      <c r="F6030" t="s">
        <v>44</v>
      </c>
      <c r="G6030">
        <v>-304.8723</v>
      </c>
      <c r="H6030">
        <v>-0.05</v>
      </c>
      <c r="I6030">
        <v>13.93741</v>
      </c>
      <c r="J6030">
        <v>-378.86790000000002</v>
      </c>
      <c r="K6030">
        <v>1.120903</v>
      </c>
      <c r="L6030">
        <v>16.593869999999999</v>
      </c>
      <c r="M6030">
        <v>0.99984779999999995</v>
      </c>
      <c r="N6030">
        <v>-3.491142E-3</v>
      </c>
      <c r="O6030">
        <v>1.7094979999999999E-2</v>
      </c>
      <c r="P6030">
        <v>0.98410719999999996</v>
      </c>
      <c r="Q6030">
        <v>0.17530490000000001</v>
      </c>
      <c r="R6030">
        <v>2.830804E-2</v>
      </c>
      <c r="S6030">
        <v>3.0597840000000001</v>
      </c>
      <c r="T6030">
        <v>-4.8299790000000002E-2</v>
      </c>
      <c r="U6030">
        <v>-0.10943600000000001</v>
      </c>
      <c r="V6030">
        <v>-1.176467E-2</v>
      </c>
      <c r="W6030">
        <v>0.1787224</v>
      </c>
      <c r="X6030">
        <v>0.98382919999999996</v>
      </c>
      <c r="Y6030">
        <v>5.2812699999999997E-2</v>
      </c>
      <c r="Z6030">
        <v>-7.190009E-4</v>
      </c>
      <c r="AA6030">
        <v>0.99860420000000005</v>
      </c>
      <c r="AB6030">
        <v>34</v>
      </c>
      <c r="AC6030">
        <v>73.995599999999996</v>
      </c>
      <c r="AD6030">
        <v>-1.170903</v>
      </c>
      <c r="AE6030">
        <v>-2.65646</v>
      </c>
      <c r="AF6030">
        <v>3.9200524786435098</v>
      </c>
      <c r="AG6030">
        <v>-1.170903</v>
      </c>
      <c r="AH6030">
        <v>73.920888713626894</v>
      </c>
      <c r="AI6030">
        <v>90.906213121791694</v>
      </c>
      <c r="AJ6030">
        <v>86.964426739894705</v>
      </c>
      <c r="AK6030">
        <v>74.034016596988295</v>
      </c>
      <c r="AL6030">
        <v>79.704647929098101</v>
      </c>
      <c r="AM6030">
        <v>90.685112631160393</v>
      </c>
      <c r="AN6030">
        <v>0.99999999924730398</v>
      </c>
    </row>
    <row r="6031" spans="1:40" x14ac:dyDescent="0.25">
      <c r="A6031" t="str">
        <f>"20190303170412425"</f>
        <v>20190303170412425</v>
      </c>
      <c r="B6031" t="str">
        <f>"1551603852411573"</f>
        <v>1551603852411573</v>
      </c>
      <c r="C6031" t="s">
        <v>40</v>
      </c>
      <c r="D6031">
        <v>4.8336230000000002</v>
      </c>
      <c r="E6031">
        <v>0.52944550000000001</v>
      </c>
      <c r="F6031" t="s">
        <v>44</v>
      </c>
      <c r="G6031">
        <v>-305.68290000000002</v>
      </c>
      <c r="H6031">
        <v>-0.05</v>
      </c>
      <c r="I6031">
        <v>14.07666</v>
      </c>
      <c r="J6031">
        <v>-378.68239999999997</v>
      </c>
      <c r="K6031">
        <v>1.120773</v>
      </c>
      <c r="L6031">
        <v>16.59732</v>
      </c>
      <c r="M6031">
        <v>0.99984360000000005</v>
      </c>
      <c r="N6031">
        <v>-3.1863569999999999E-3</v>
      </c>
      <c r="O6031">
        <v>1.7404849999999999E-2</v>
      </c>
      <c r="P6031">
        <v>0.98404020000000003</v>
      </c>
      <c r="Q6031">
        <v>0.1754626</v>
      </c>
      <c r="R6031">
        <v>2.9629269999999999E-2</v>
      </c>
      <c r="S6031">
        <v>3.060181</v>
      </c>
      <c r="T6031">
        <v>-4.8960450000000003E-2</v>
      </c>
      <c r="U6031">
        <v>-0.1052551</v>
      </c>
      <c r="V6031">
        <v>-1.275955E-2</v>
      </c>
      <c r="W6031">
        <v>0.17857979999999901</v>
      </c>
      <c r="X6031">
        <v>0.98384269999999996</v>
      </c>
      <c r="Y6031">
        <v>5.1754830000000002E-2</v>
      </c>
      <c r="Z6031">
        <v>-7.1929169999999996E-4</v>
      </c>
      <c r="AA6031">
        <v>0.99865959999999998</v>
      </c>
      <c r="AB6031">
        <v>34</v>
      </c>
      <c r="AC6031">
        <v>72.999499999999898</v>
      </c>
      <c r="AD6031">
        <v>-1.1707730000000001</v>
      </c>
      <c r="AE6031">
        <v>-2.5206599999999901</v>
      </c>
      <c r="AF6031">
        <v>3.7898561121680698</v>
      </c>
      <c r="AG6031">
        <v>-1.1707730000000001</v>
      </c>
      <c r="AH6031">
        <v>72.925834619851898</v>
      </c>
      <c r="AI6031">
        <v>90.918525140919101</v>
      </c>
      <c r="AJ6031">
        <v>87.025092746635906</v>
      </c>
      <c r="AK6031">
        <v>73.033629745278603</v>
      </c>
      <c r="AL6031">
        <v>79.712951954305694</v>
      </c>
      <c r="AM6031">
        <v>90.743032783268802</v>
      </c>
      <c r="AN6031">
        <v>1.00000000471376</v>
      </c>
    </row>
    <row r="6032" spans="1:40" x14ac:dyDescent="0.25">
      <c r="A6032" t="str">
        <f>"20190303170412437"</f>
        <v>20190303170412437</v>
      </c>
      <c r="B6032" t="str">
        <f>"1551603852432069"</f>
        <v>1551603852432069</v>
      </c>
      <c r="C6032" t="s">
        <v>40</v>
      </c>
      <c r="D6032">
        <v>4.6275000000000004</v>
      </c>
      <c r="E6032">
        <v>0.52921969999999996</v>
      </c>
      <c r="F6032" t="s">
        <v>44</v>
      </c>
      <c r="G6032">
        <v>-304.75830000000002</v>
      </c>
      <c r="H6032">
        <v>-0.05</v>
      </c>
      <c r="I6032">
        <v>14.142580000000001</v>
      </c>
      <c r="J6032">
        <v>-378.48869999999999</v>
      </c>
      <c r="K6032">
        <v>1.1206229999999999</v>
      </c>
      <c r="L6032">
        <v>16.60089</v>
      </c>
      <c r="M6032">
        <v>0.99983920000000004</v>
      </c>
      <c r="N6032">
        <v>-2.8879380000000001E-3</v>
      </c>
      <c r="O6032">
        <v>1.770594E-2</v>
      </c>
      <c r="P6032">
        <v>0.98394859999999995</v>
      </c>
      <c r="Q6032">
        <v>0.1757753</v>
      </c>
      <c r="R6032">
        <v>3.0799130000000001E-2</v>
      </c>
      <c r="S6032">
        <v>3.0603639999999999</v>
      </c>
      <c r="T6032">
        <v>-4.846847E-2</v>
      </c>
      <c r="U6032">
        <v>-0.10162350000000001</v>
      </c>
      <c r="V6032">
        <v>-1.361003E-2</v>
      </c>
      <c r="W6032">
        <v>0.17859900000000001</v>
      </c>
      <c r="X6032">
        <v>0.98382780000000003</v>
      </c>
      <c r="Y6032">
        <v>5.0870100000000001E-2</v>
      </c>
      <c r="Z6032">
        <v>-7.0538879999999999E-4</v>
      </c>
      <c r="AA6032">
        <v>0.99870499999999995</v>
      </c>
      <c r="AB6032">
        <v>34</v>
      </c>
      <c r="AC6032">
        <v>73.730399999999904</v>
      </c>
      <c r="AD6032">
        <v>-1.170623</v>
      </c>
      <c r="AE6032">
        <v>-2.45831</v>
      </c>
      <c r="AF6032">
        <v>3.7624485445020701</v>
      </c>
      <c r="AG6032">
        <v>-1.170623</v>
      </c>
      <c r="AH6032">
        <v>73.656767995733603</v>
      </c>
      <c r="AI6032">
        <v>90.909336673754197</v>
      </c>
      <c r="AJ6032">
        <v>87.075825794269207</v>
      </c>
      <c r="AK6032">
        <v>73.762089509689801</v>
      </c>
      <c r="AL6032">
        <v>79.711833726154794</v>
      </c>
      <c r="AM6032">
        <v>90.792565060457903</v>
      </c>
      <c r="AN6032">
        <v>0.99999998788522004</v>
      </c>
    </row>
    <row r="6033" spans="1:40" x14ac:dyDescent="0.25">
      <c r="A6033" t="str">
        <f>"20190303170412450"</f>
        <v>20190303170412450</v>
      </c>
      <c r="B6033" t="str">
        <f>"1551603852441829"</f>
        <v>1551603852441829</v>
      </c>
      <c r="C6033" t="s">
        <v>40</v>
      </c>
      <c r="D6033">
        <v>4.6395670000000004</v>
      </c>
      <c r="E6033">
        <v>0.52943790000000002</v>
      </c>
      <c r="F6033" t="s">
        <v>44</v>
      </c>
      <c r="G6033">
        <v>-302.4975</v>
      </c>
      <c r="H6033">
        <v>-0.05</v>
      </c>
      <c r="I6033">
        <v>14.20937</v>
      </c>
      <c r="J6033">
        <v>-378.27980000000002</v>
      </c>
      <c r="K6033">
        <v>1.120503</v>
      </c>
      <c r="L6033">
        <v>16.604800000000001</v>
      </c>
      <c r="M6033">
        <v>0.99983449999999996</v>
      </c>
      <c r="N6033">
        <v>-2.883858E-3</v>
      </c>
      <c r="O6033">
        <v>1.7964959999999999E-2</v>
      </c>
      <c r="P6033">
        <v>0.98392619999999997</v>
      </c>
      <c r="Q6033">
        <v>0.17576420000000001</v>
      </c>
      <c r="R6033">
        <v>3.156987E-2</v>
      </c>
      <c r="S6033">
        <v>3.0603639999999999</v>
      </c>
      <c r="T6033">
        <v>-4.7144060000000002E-2</v>
      </c>
      <c r="U6033">
        <v>-9.6313480000000007E-2</v>
      </c>
      <c r="V6033">
        <v>-1.409702E-2</v>
      </c>
      <c r="W6033">
        <v>0.17858540000000001</v>
      </c>
      <c r="X6033">
        <v>0.98382340000000001</v>
      </c>
      <c r="Y6033">
        <v>4.9398379999999999E-2</v>
      </c>
      <c r="Z6033">
        <v>-6.7649639999999998E-4</v>
      </c>
      <c r="AA6033">
        <v>0.99877890000000003</v>
      </c>
      <c r="AB6033">
        <v>35</v>
      </c>
      <c r="AC6033">
        <v>75.782300000000006</v>
      </c>
      <c r="AD6033">
        <v>-1.1705030000000001</v>
      </c>
      <c r="AE6033">
        <v>-2.39542999999999</v>
      </c>
      <c r="AF6033">
        <v>3.7555799464277402</v>
      </c>
      <c r="AG6033">
        <v>-1.1705030000000001</v>
      </c>
      <c r="AH6033">
        <v>75.708992346805303</v>
      </c>
      <c r="AI6033">
        <v>90.884666342646597</v>
      </c>
      <c r="AJ6033">
        <v>87.160143901605593</v>
      </c>
      <c r="AK6033">
        <v>75.811120425539499</v>
      </c>
      <c r="AL6033">
        <v>79.712625564838206</v>
      </c>
      <c r="AM6033">
        <v>90.820924242032703</v>
      </c>
      <c r="AN6033">
        <v>0.99999997672679897</v>
      </c>
    </row>
    <row r="6034" spans="1:40" x14ac:dyDescent="0.25">
      <c r="A6034" t="str">
        <f>"20190303170412471"</f>
        <v>20190303170412471</v>
      </c>
      <c r="B6034" t="str">
        <f>"1551603852461349"</f>
        <v>1551603852461349</v>
      </c>
      <c r="C6034" t="s">
        <v>40</v>
      </c>
      <c r="D6034">
        <v>4.8938649999999999</v>
      </c>
      <c r="E6034">
        <v>0.5295048</v>
      </c>
      <c r="F6034" t="s">
        <v>44</v>
      </c>
      <c r="G6034">
        <v>-302.17450000000002</v>
      </c>
      <c r="H6034">
        <v>-0.05</v>
      </c>
      <c r="I6034">
        <v>14.22269</v>
      </c>
      <c r="J6034">
        <v>-377.9778</v>
      </c>
      <c r="K6034">
        <v>1.1203529999999999</v>
      </c>
      <c r="L6034">
        <v>16.610379999999999</v>
      </c>
      <c r="M6034">
        <v>0.99982870000000001</v>
      </c>
      <c r="N6034">
        <v>-3.0526300000000002E-3</v>
      </c>
      <c r="O6034">
        <v>1.8255090000000002E-2</v>
      </c>
      <c r="P6034">
        <v>0.98382159999999996</v>
      </c>
      <c r="Q6034">
        <v>0.17616519999999999</v>
      </c>
      <c r="R6034">
        <v>3.2572450000000003E-2</v>
      </c>
      <c r="S6034">
        <v>3.0605159999999998</v>
      </c>
      <c r="T6034">
        <v>-4.7070859999999999E-2</v>
      </c>
      <c r="U6034">
        <v>-9.5794679999999993E-2</v>
      </c>
      <c r="V6034">
        <v>-1.4775689999999999E-2</v>
      </c>
      <c r="W6034">
        <v>0.17915539999999999</v>
      </c>
      <c r="X6034">
        <v>0.98370979999999997</v>
      </c>
      <c r="Y6034">
        <v>4.9517489999999997E-2</v>
      </c>
      <c r="Z6034">
        <v>-6.8125689999999997E-4</v>
      </c>
      <c r="AA6034">
        <v>0.99877300000000002</v>
      </c>
      <c r="AB6034">
        <v>35</v>
      </c>
      <c r="AC6034">
        <v>75.803299999999894</v>
      </c>
      <c r="AD6034">
        <v>-1.170353</v>
      </c>
      <c r="AE6034">
        <v>-2.3876899999999899</v>
      </c>
      <c r="AF6034">
        <v>3.77019680697284</v>
      </c>
      <c r="AG6034">
        <v>-1.170353</v>
      </c>
      <c r="AH6034">
        <v>75.729046583264903</v>
      </c>
      <c r="AI6034">
        <v>90.884310900066893</v>
      </c>
      <c r="AJ6034">
        <v>87.149862987525907</v>
      </c>
      <c r="AK6034">
        <v>75.831870651581696</v>
      </c>
      <c r="AL6034">
        <v>79.679431615638606</v>
      </c>
      <c r="AM6034">
        <v>90.860539377112801</v>
      </c>
      <c r="AN6034">
        <v>0.99999997449008704</v>
      </c>
    </row>
    <row r="6035" spans="1:40" x14ac:dyDescent="0.25">
      <c r="A6035" t="str">
        <f>"20190303170412491"</f>
        <v>20190303170412491</v>
      </c>
      <c r="B6035" t="str">
        <f>"1551603852481845"</f>
        <v>1551603852481845</v>
      </c>
      <c r="C6035" t="s">
        <v>40</v>
      </c>
      <c r="D6035">
        <v>4.728631</v>
      </c>
      <c r="E6035">
        <v>0.49409120000000001</v>
      </c>
      <c r="F6035" t="s">
        <v>44</v>
      </c>
      <c r="G6035">
        <v>-302.48309999999998</v>
      </c>
      <c r="H6035">
        <v>-0.05</v>
      </c>
      <c r="I6035">
        <v>14.29588</v>
      </c>
      <c r="J6035">
        <v>-377.65300000000002</v>
      </c>
      <c r="K6035">
        <v>1.120198</v>
      </c>
      <c r="L6035">
        <v>16.61646</v>
      </c>
      <c r="M6035">
        <v>0.99982459999999995</v>
      </c>
      <c r="N6035">
        <v>-3.1939920000000001E-3</v>
      </c>
      <c r="O6035">
        <v>1.8457950000000001E-2</v>
      </c>
      <c r="P6035">
        <v>0.98368330000000004</v>
      </c>
      <c r="Q6035">
        <v>0.17662229999999901</v>
      </c>
      <c r="R6035">
        <v>3.4231829999999998E-2</v>
      </c>
      <c r="S6035">
        <v>3.0609440000000001</v>
      </c>
      <c r="T6035">
        <v>-4.7452090000000002E-2</v>
      </c>
      <c r="U6035">
        <v>-9.3841549999999996E-2</v>
      </c>
      <c r="V6035">
        <v>-1.6201719999999999E-2</v>
      </c>
      <c r="W6035">
        <v>0.1797531</v>
      </c>
      <c r="X6035">
        <v>0.98357830000000002</v>
      </c>
      <c r="Y6035">
        <v>4.907897E-2</v>
      </c>
      <c r="Z6035">
        <v>-6.8584329999999999E-4</v>
      </c>
      <c r="AA6035">
        <v>0.99879470000000004</v>
      </c>
      <c r="AB6035">
        <v>35</v>
      </c>
      <c r="AC6035">
        <v>75.169899999999998</v>
      </c>
      <c r="AD6035">
        <v>-1.1701979999999901</v>
      </c>
      <c r="AE6035">
        <v>-2.3205800000000001</v>
      </c>
      <c r="AF6035">
        <v>3.7067764437076098</v>
      </c>
      <c r="AG6035">
        <v>-1.1701979999999901</v>
      </c>
      <c r="AH6035">
        <v>75.096078682731502</v>
      </c>
      <c r="AI6035">
        <v>90.891664005581404</v>
      </c>
      <c r="AJ6035">
        <v>87.174147913030097</v>
      </c>
      <c r="AK6035">
        <v>75.196612879077406</v>
      </c>
      <c r="AL6035">
        <v>79.644620798164894</v>
      </c>
      <c r="AM6035">
        <v>90.943703446480995</v>
      </c>
      <c r="AN6035">
        <v>0.99999997246072803</v>
      </c>
    </row>
    <row r="6036" spans="1:40" x14ac:dyDescent="0.25">
      <c r="A6036" t="str">
        <f>"20190303170412504"</f>
        <v>20190303170412504</v>
      </c>
      <c r="B6036" t="str">
        <f>"1551603852491605"</f>
        <v>1551603852491605</v>
      </c>
      <c r="C6036" t="s">
        <v>40</v>
      </c>
      <c r="D6036">
        <v>4.7255240000000001</v>
      </c>
      <c r="E6036">
        <v>0.48322520000000002</v>
      </c>
      <c r="F6036" t="s">
        <v>107</v>
      </c>
      <c r="G6036">
        <v>-279.68</v>
      </c>
      <c r="H6036">
        <v>0.3503116</v>
      </c>
      <c r="I6036">
        <v>22.79766</v>
      </c>
      <c r="J6036">
        <v>-377.46019999999999</v>
      </c>
      <c r="K6036">
        <v>1.120099</v>
      </c>
      <c r="L6036">
        <v>16.620059999999999</v>
      </c>
      <c r="M6036">
        <v>0.99982349999999998</v>
      </c>
      <c r="N6036">
        <v>-3.2087449999999998E-3</v>
      </c>
      <c r="O6036">
        <v>1.851794E-2</v>
      </c>
      <c r="P6036">
        <v>0.98360579999999997</v>
      </c>
      <c r="Q6036">
        <v>0.17699709999999999</v>
      </c>
      <c r="R6036">
        <v>3.452384E-2</v>
      </c>
      <c r="S6036">
        <v>3.0473629999999998</v>
      </c>
      <c r="T6036">
        <v>-2.3946519999999999E-2</v>
      </c>
      <c r="U6036">
        <v>0.19226070000000001</v>
      </c>
      <c r="V6036">
        <v>-1.641768E-2</v>
      </c>
      <c r="W6036">
        <v>0.18014330000000001</v>
      </c>
      <c r="X6036">
        <v>0.98350329999999997</v>
      </c>
      <c r="Y6036">
        <v>-4.4471860000000002E-2</v>
      </c>
      <c r="Z6036">
        <v>1.600075E-4</v>
      </c>
      <c r="AA6036">
        <v>0.99901059999999997</v>
      </c>
      <c r="AB6036">
        <v>35</v>
      </c>
      <c r="AC6036">
        <v>97.780199999999894</v>
      </c>
      <c r="AD6036">
        <v>-0.76978740000000001</v>
      </c>
      <c r="AE6036">
        <v>6.1775999999999902</v>
      </c>
      <c r="AF6036">
        <v>-4.3655742303580301</v>
      </c>
      <c r="AG6036">
        <v>-0.76978740000000001</v>
      </c>
      <c r="AH6036">
        <v>97.871788478037502</v>
      </c>
      <c r="AI6036">
        <v>90.450189498177593</v>
      </c>
      <c r="AJ6036">
        <v>92.553987148993897</v>
      </c>
      <c r="AK6036">
        <v>97.972127622562596</v>
      </c>
      <c r="AL6036">
        <v>79.621892688372796</v>
      </c>
      <c r="AM6036">
        <v>90.956353083333198</v>
      </c>
      <c r="AN6036">
        <v>0.99999994493117905</v>
      </c>
    </row>
    <row r="6037" spans="1:40" x14ac:dyDescent="0.25">
      <c r="A6037" t="str">
        <f>"20190303170412516"</f>
        <v>20190303170412516</v>
      </c>
      <c r="B6037" t="str">
        <f>"1551603852512101"</f>
        <v>1551603852512101</v>
      </c>
      <c r="C6037" t="s">
        <v>40</v>
      </c>
      <c r="D6037">
        <v>4.7174469999999999</v>
      </c>
      <c r="E6037">
        <v>0.46518369999999998</v>
      </c>
      <c r="F6037" t="s">
        <v>107</v>
      </c>
      <c r="G6037">
        <v>-279.68</v>
      </c>
      <c r="H6037">
        <v>0.45117190000000001</v>
      </c>
      <c r="I6037">
        <v>25.617439999999998</v>
      </c>
      <c r="J6037">
        <v>-377.25619999999998</v>
      </c>
      <c r="K6037">
        <v>1.1200000000000001</v>
      </c>
      <c r="L6037">
        <v>16.623839999999898</v>
      </c>
      <c r="M6037">
        <v>0.99982280000000001</v>
      </c>
      <c r="N6037">
        <v>-3.1974400000000002E-3</v>
      </c>
      <c r="O6037">
        <v>1.8552740000000002E-2</v>
      </c>
      <c r="P6037">
        <v>0.98352580000000001</v>
      </c>
      <c r="Q6037">
        <v>0.17740889999999901</v>
      </c>
      <c r="R6037">
        <v>3.4690060000000002E-2</v>
      </c>
      <c r="S6037">
        <v>3.0439150000000001</v>
      </c>
      <c r="T6037">
        <v>-2.082372E-2</v>
      </c>
      <c r="U6037">
        <v>0.28009030000000001</v>
      </c>
      <c r="V6037">
        <v>-1.6532749999999999E-2</v>
      </c>
      <c r="W6037">
        <v>0.1805457</v>
      </c>
      <c r="X6037">
        <v>0.98342759999999996</v>
      </c>
      <c r="Y6037">
        <v>-7.313646E-2</v>
      </c>
      <c r="Z6037">
        <v>2.9940160000000002E-4</v>
      </c>
      <c r="AA6037">
        <v>0.99732189999999998</v>
      </c>
      <c r="AB6037">
        <v>35</v>
      </c>
      <c r="AC6037">
        <v>97.576199999999901</v>
      </c>
      <c r="AD6037">
        <v>-0.66882810000000004</v>
      </c>
      <c r="AE6037">
        <v>8.9936000000000007</v>
      </c>
      <c r="AF6037">
        <v>-7.1814024025566701</v>
      </c>
      <c r="AG6037">
        <v>-0.66882810000000004</v>
      </c>
      <c r="AH6037">
        <v>97.721709498932498</v>
      </c>
      <c r="AI6037">
        <v>90.391083765580206</v>
      </c>
      <c r="AJ6037">
        <v>94.203014188302305</v>
      </c>
      <c r="AK6037">
        <v>97.987511341438605</v>
      </c>
      <c r="AL6037">
        <v>79.598452719137001</v>
      </c>
      <c r="AM6037">
        <v>90.963128933386599</v>
      </c>
      <c r="AN6037">
        <v>0.99999996302640504</v>
      </c>
    </row>
    <row r="6038" spans="1:40" x14ac:dyDescent="0.25">
      <c r="A6038" t="str">
        <f>"20190303170412530"</f>
        <v>20190303170412530</v>
      </c>
      <c r="B6038" t="str">
        <f>"1551603852521863"</f>
        <v>1551603852521863</v>
      </c>
      <c r="C6038" t="s">
        <v>40</v>
      </c>
      <c r="D6038">
        <v>4.7266589999999997</v>
      </c>
      <c r="E6038">
        <v>0.45846520000000002</v>
      </c>
      <c r="F6038" t="s">
        <v>108</v>
      </c>
      <c r="G6038">
        <v>-219.58680000000001</v>
      </c>
      <c r="H6038">
        <v>0.32684200000000002</v>
      </c>
      <c r="I6038">
        <v>38.650019999999998</v>
      </c>
      <c r="J6038">
        <v>-377.03550000000001</v>
      </c>
      <c r="K6038">
        <v>1.119901</v>
      </c>
      <c r="L6038">
        <v>16.627929999999999</v>
      </c>
      <c r="M6038">
        <v>0.99982329999999997</v>
      </c>
      <c r="N6038">
        <v>-3.1658799999999998E-3</v>
      </c>
      <c r="O6038">
        <v>1.8530580000000001E-2</v>
      </c>
      <c r="P6038">
        <v>0.98343270000000005</v>
      </c>
      <c r="Q6038">
        <v>0.1779075</v>
      </c>
      <c r="R6038">
        <v>3.4774989999999999E-2</v>
      </c>
      <c r="S6038">
        <v>3.0380250000000002</v>
      </c>
      <c r="T6038">
        <v>-1.528263E-2</v>
      </c>
      <c r="U6038">
        <v>0.42440800000000001</v>
      </c>
      <c r="V6038">
        <v>-1.6620380000000001E-2</v>
      </c>
      <c r="W6038">
        <v>0.1810147</v>
      </c>
      <c r="X6038">
        <v>0.98333999999999999</v>
      </c>
      <c r="Y6038">
        <v>-0.1199765</v>
      </c>
      <c r="Z6038">
        <v>4.568148E-4</v>
      </c>
      <c r="AA6038">
        <v>0.99277660000000001</v>
      </c>
      <c r="AB6038">
        <v>35</v>
      </c>
      <c r="AC6038">
        <v>157.4487</v>
      </c>
      <c r="AD6038">
        <v>-0.79305899999999996</v>
      </c>
      <c r="AE6038">
        <v>22.022089999999999</v>
      </c>
      <c r="AF6038">
        <v>-19.100203051199301</v>
      </c>
      <c r="AG6038">
        <v>-0.79305899999999996</v>
      </c>
      <c r="AH6038">
        <v>157.825821666976</v>
      </c>
      <c r="AI6038">
        <v>90.285817745529698</v>
      </c>
      <c r="AJ6038">
        <v>96.900422214598606</v>
      </c>
      <c r="AK6038">
        <v>158.97935930186199</v>
      </c>
      <c r="AL6038">
        <v>79.571131821036204</v>
      </c>
      <c r="AM6038">
        <v>90.968319159534502</v>
      </c>
      <c r="AN6038">
        <v>1.00000005712371</v>
      </c>
    </row>
    <row r="6039" spans="1:40" x14ac:dyDescent="0.25">
      <c r="A6039" t="str">
        <f>"20190303170412548"</f>
        <v>20190303170412548</v>
      </c>
      <c r="B6039" t="str">
        <f>"1551603852541388"</f>
        <v>1551603852541388</v>
      </c>
      <c r="C6039" t="s">
        <v>40</v>
      </c>
      <c r="D6039">
        <v>4.7132709999999998</v>
      </c>
      <c r="E6039">
        <v>0.4502313</v>
      </c>
      <c r="F6039" t="s">
        <v>108</v>
      </c>
      <c r="G6039">
        <v>-237.15899999999999</v>
      </c>
      <c r="H6039">
        <v>0.75061610000000001</v>
      </c>
      <c r="I6039">
        <v>38.650019999999998</v>
      </c>
      <c r="J6039">
        <v>-376.7645</v>
      </c>
      <c r="K6039">
        <v>1.119788</v>
      </c>
      <c r="L6039">
        <v>16.632899999999999</v>
      </c>
      <c r="M6039">
        <v>0.99982490000000002</v>
      </c>
      <c r="N6039">
        <v>-3.1353219999999998E-3</v>
      </c>
      <c r="O6039">
        <v>1.845138E-2</v>
      </c>
      <c r="P6039">
        <v>0.98348250000000004</v>
      </c>
      <c r="Q6039">
        <v>0.17777860000000001</v>
      </c>
      <c r="R6039">
        <v>3.4015610000000002E-2</v>
      </c>
      <c r="S6039">
        <v>3.0350950000000001</v>
      </c>
      <c r="T6039">
        <v>-8.0126520000000003E-3</v>
      </c>
      <c r="U6039">
        <v>0.4778442</v>
      </c>
      <c r="V6039">
        <v>-1.591188E-2</v>
      </c>
      <c r="W6039">
        <v>0.18085860000000001</v>
      </c>
      <c r="X6039">
        <v>0.98338040000000004</v>
      </c>
      <c r="Y6039">
        <v>-0.13726949999999999</v>
      </c>
      <c r="Z6039">
        <v>4.0572349999999999E-4</v>
      </c>
      <c r="AA6039">
        <v>0.99053360000000001</v>
      </c>
      <c r="AB6039">
        <v>35</v>
      </c>
      <c r="AC6039">
        <v>139.60549999999901</v>
      </c>
      <c r="AD6039">
        <v>-0.3691719</v>
      </c>
      <c r="AE6039">
        <v>22.017119999999998</v>
      </c>
      <c r="AF6039">
        <v>-19.437312475272002</v>
      </c>
      <c r="AG6039">
        <v>-0.3691719</v>
      </c>
      <c r="AH6039">
        <v>139.98702623489501</v>
      </c>
      <c r="AI6039">
        <v>90.149663479684506</v>
      </c>
      <c r="AJ6039">
        <v>97.905022420147404</v>
      </c>
      <c r="AK6039">
        <v>141.33050950959699</v>
      </c>
      <c r="AL6039">
        <v>79.580225357794106</v>
      </c>
      <c r="AM6039">
        <v>90.927010560193295</v>
      </c>
      <c r="AN6039">
        <v>1.00000001611162</v>
      </c>
    </row>
    <row r="6040" spans="1:40" x14ac:dyDescent="0.25">
      <c r="A6040" t="str">
        <f>"20190303170412561"</f>
        <v>20190303170412561</v>
      </c>
      <c r="B6040" t="str">
        <f>"1551603852552124"</f>
        <v>1551603852552124</v>
      </c>
      <c r="C6040" t="s">
        <v>40</v>
      </c>
      <c r="D6040">
        <v>4.696434</v>
      </c>
      <c r="E6040">
        <v>0.44757849999999999</v>
      </c>
      <c r="F6040" t="s">
        <v>109</v>
      </c>
      <c r="G6040">
        <v>-272.20119999999997</v>
      </c>
      <c r="H6040">
        <v>1.0754250000000001</v>
      </c>
      <c r="I6040">
        <v>35.28783</v>
      </c>
      <c r="J6040">
        <v>-376.55439999999999</v>
      </c>
      <c r="K6040">
        <v>1.119715</v>
      </c>
      <c r="L6040">
        <v>16.636779999999899</v>
      </c>
      <c r="M6040">
        <v>0.99982669999999996</v>
      </c>
      <c r="N6040">
        <v>-3.1181400000000001E-3</v>
      </c>
      <c r="O6040">
        <v>1.835587E-2</v>
      </c>
      <c r="P6040">
        <v>0.98356770000000004</v>
      </c>
      <c r="Q6040">
        <v>0.17745259999999999</v>
      </c>
      <c r="R6040">
        <v>3.324746E-2</v>
      </c>
      <c r="S6040">
        <v>3.031952</v>
      </c>
      <c r="T6040">
        <v>-1.2862679999999999E-3</v>
      </c>
      <c r="U6040">
        <v>0.54092410000000002</v>
      </c>
      <c r="V6040">
        <v>-1.52151E-2</v>
      </c>
      <c r="W6040">
        <v>0.18051809999999999</v>
      </c>
      <c r="X6040">
        <v>0.98345400000000005</v>
      </c>
      <c r="Y6040">
        <v>-0.15753429999999999</v>
      </c>
      <c r="Z6040">
        <v>3.297768E-4</v>
      </c>
      <c r="AA6040">
        <v>0.98751350000000004</v>
      </c>
      <c r="AB6040">
        <v>35</v>
      </c>
      <c r="AC6040">
        <v>104.3532</v>
      </c>
      <c r="AD6040">
        <v>-4.4289999999999899E-2</v>
      </c>
      <c r="AE6040">
        <v>18.651050000000001</v>
      </c>
      <c r="AF6040">
        <v>-16.7324016624362</v>
      </c>
      <c r="AG6040">
        <v>-4.4289999999999899E-2</v>
      </c>
      <c r="AH6040">
        <v>104.67795769760799</v>
      </c>
      <c r="AI6040">
        <v>90.0239383624358</v>
      </c>
      <c r="AJ6040">
        <v>99.081699473477897</v>
      </c>
      <c r="AK6040">
        <v>106.006839660181</v>
      </c>
      <c r="AL6040">
        <v>79.600061171685297</v>
      </c>
      <c r="AM6040">
        <v>90.886357136746099</v>
      </c>
      <c r="AN6040">
        <v>1.0000000269058</v>
      </c>
    </row>
    <row r="6041" spans="1:40" x14ac:dyDescent="0.25">
      <c r="A6041" t="str">
        <f>"20190303170412573"</f>
        <v>20190303170412573</v>
      </c>
      <c r="B6041" t="str">
        <f>"1551603852561884"</f>
        <v>1551603852561884</v>
      </c>
      <c r="C6041" t="s">
        <v>40</v>
      </c>
      <c r="D6041">
        <v>4.6911230000000002</v>
      </c>
      <c r="E6041">
        <v>0.44562269999999998</v>
      </c>
      <c r="F6041" t="s">
        <v>109</v>
      </c>
      <c r="G6041">
        <v>-275.54070000000002</v>
      </c>
      <c r="H6041">
        <v>1.10619</v>
      </c>
      <c r="I6041">
        <v>35.287820000000004</v>
      </c>
      <c r="J6041">
        <v>-376.35590000000002</v>
      </c>
      <c r="K6041">
        <v>1.1196619999999999</v>
      </c>
      <c r="L6041">
        <v>16.640350000000002</v>
      </c>
      <c r="M6041">
        <v>0.99982890000000002</v>
      </c>
      <c r="N6041">
        <v>-3.106709E-3</v>
      </c>
      <c r="O6041">
        <v>1.8242999999999999E-2</v>
      </c>
      <c r="P6041">
        <v>0.98361520000000002</v>
      </c>
      <c r="Q6041">
        <v>0.17729589999999901</v>
      </c>
      <c r="R6041">
        <v>3.2669080000000003E-2</v>
      </c>
      <c r="S6041">
        <v>3.0312809999999999</v>
      </c>
      <c r="T6041">
        <v>-4.057884E-4</v>
      </c>
      <c r="U6041">
        <v>0.55969239999999998</v>
      </c>
      <c r="V6041">
        <v>-1.472645E-2</v>
      </c>
      <c r="W6041">
        <v>0.1803516</v>
      </c>
      <c r="X6041">
        <v>0.98349200000000003</v>
      </c>
      <c r="Y6041">
        <v>-0.16359979999999999</v>
      </c>
      <c r="Z6041">
        <v>3.2092399999999999E-4</v>
      </c>
      <c r="AA6041">
        <v>0.98652669999999998</v>
      </c>
      <c r="AB6041">
        <v>35</v>
      </c>
      <c r="AC6041">
        <v>100.8152</v>
      </c>
      <c r="AD6041">
        <v>-1.34720000000001E-2</v>
      </c>
      <c r="AE6041">
        <v>18.647469999999998</v>
      </c>
      <c r="AF6041">
        <v>-16.805186113460302</v>
      </c>
      <c r="AG6041">
        <v>-1.34720000000001E-2</v>
      </c>
      <c r="AH6041">
        <v>101.138608083873</v>
      </c>
      <c r="AI6041">
        <v>90.007528765230902</v>
      </c>
      <c r="AJ6041">
        <v>99.434071859057795</v>
      </c>
      <c r="AK6041">
        <v>102.525277404872</v>
      </c>
      <c r="AL6041">
        <v>79.609760256116004</v>
      </c>
      <c r="AM6041">
        <v>90.857861966034804</v>
      </c>
      <c r="AN6041">
        <v>1.00000004100808</v>
      </c>
    </row>
    <row r="6042" spans="1:40" x14ac:dyDescent="0.25">
      <c r="A6042" t="str">
        <f>"20190303170412592"</f>
        <v>20190303170412592</v>
      </c>
      <c r="B6042" t="str">
        <f>"1551603852581404"</f>
        <v>1551603852581404</v>
      </c>
      <c r="C6042" t="s">
        <v>40</v>
      </c>
      <c r="D6042">
        <v>4.6838800000000003</v>
      </c>
      <c r="E6042">
        <v>0.44290740000000001</v>
      </c>
      <c r="F6042" t="s">
        <v>109</v>
      </c>
      <c r="G6042">
        <v>-277.78280000000001</v>
      </c>
      <c r="H6042">
        <v>1.1288480000000001</v>
      </c>
      <c r="I6042">
        <v>35.287820000000004</v>
      </c>
      <c r="J6042">
        <v>-376.07029999999997</v>
      </c>
      <c r="K6042">
        <v>1.1195900000000001</v>
      </c>
      <c r="L6042">
        <v>16.64545</v>
      </c>
      <c r="M6042">
        <v>0.99983270000000002</v>
      </c>
      <c r="N6042">
        <v>-3.1027089999999999E-3</v>
      </c>
      <c r="O6042">
        <v>1.8033420000000001E-2</v>
      </c>
      <c r="P6042">
        <v>0.98383860000000001</v>
      </c>
      <c r="Q6042">
        <v>0.17647289999999999</v>
      </c>
      <c r="R6042">
        <v>3.032286E-2</v>
      </c>
      <c r="S6042">
        <v>3.0308839999999999</v>
      </c>
      <c r="T6042">
        <v>2.8252600000000001E-4</v>
      </c>
      <c r="U6042">
        <v>0.57336430000000005</v>
      </c>
      <c r="V6042">
        <v>-1.2553750000000001E-2</v>
      </c>
      <c r="W6042">
        <v>0.17952750000000001</v>
      </c>
      <c r="X6042">
        <v>0.98367289999999996</v>
      </c>
      <c r="Y6042">
        <v>-0.1681279</v>
      </c>
      <c r="Z6042">
        <v>3.1250430000000001E-4</v>
      </c>
      <c r="AA6042">
        <v>0.98576520000000001</v>
      </c>
      <c r="AB6042">
        <v>35</v>
      </c>
      <c r="AC6042">
        <v>98.287499999999895</v>
      </c>
      <c r="AD6042">
        <v>9.2579999999999798E-3</v>
      </c>
      <c r="AE6042">
        <v>18.64237</v>
      </c>
      <c r="AF6042">
        <v>-16.8668702214955</v>
      </c>
      <c r="AG6042">
        <v>9.2579999999999798E-3</v>
      </c>
      <c r="AH6042">
        <v>98.607703213171902</v>
      </c>
      <c r="AI6042">
        <v>89.994697669423303</v>
      </c>
      <c r="AJ6042">
        <v>99.706518668108799</v>
      </c>
      <c r="AK6042">
        <v>100.03984471077599</v>
      </c>
      <c r="AL6042">
        <v>79.6577612578144</v>
      </c>
      <c r="AM6042">
        <v>90.731175826777502</v>
      </c>
      <c r="AN6042">
        <v>1.00000004704486</v>
      </c>
    </row>
    <row r="6043" spans="1:40" x14ac:dyDescent="0.25">
      <c r="A6043" t="str">
        <f>"20190303170412604"</f>
        <v>20190303170412604</v>
      </c>
      <c r="B6043" t="str">
        <f>"1551603852592140"</f>
        <v>1551603852592140</v>
      </c>
      <c r="C6043" t="s">
        <v>40</v>
      </c>
      <c r="D6043">
        <v>4.6609439999999998</v>
      </c>
      <c r="E6043">
        <v>0.44180770000000003</v>
      </c>
      <c r="F6043" t="s">
        <v>109</v>
      </c>
      <c r="G6043">
        <v>-279.84780000000001</v>
      </c>
      <c r="H6043">
        <v>1.0513319999999999</v>
      </c>
      <c r="I6043">
        <v>35.287840000000003</v>
      </c>
      <c r="J6043">
        <v>-375.8766</v>
      </c>
      <c r="K6043">
        <v>1.1195520000000001</v>
      </c>
      <c r="L6043">
        <v>16.64883</v>
      </c>
      <c r="M6043">
        <v>0.99983549999999999</v>
      </c>
      <c r="N6043">
        <v>-3.1077560000000001E-3</v>
      </c>
      <c r="O6043">
        <v>1.786718E-2</v>
      </c>
      <c r="P6043">
        <v>0.983927</v>
      </c>
      <c r="Q6043">
        <v>0.176148</v>
      </c>
      <c r="R6043">
        <v>2.9318440000000001E-2</v>
      </c>
      <c r="S6043">
        <v>3.031555</v>
      </c>
      <c r="T6043">
        <v>-2.150416E-3</v>
      </c>
      <c r="U6043">
        <v>0.58734129999999996</v>
      </c>
      <c r="V6043">
        <v>-1.169184E-2</v>
      </c>
      <c r="W6043">
        <v>0.1792089</v>
      </c>
      <c r="X6043">
        <v>0.98374159999999999</v>
      </c>
      <c r="Y6043">
        <v>-0.17263410000000001</v>
      </c>
      <c r="Z6043">
        <v>3.7387919999999999E-4</v>
      </c>
      <c r="AA6043">
        <v>0.98498589999999997</v>
      </c>
      <c r="AB6043">
        <v>36</v>
      </c>
      <c r="AC6043">
        <v>96.028800000000004</v>
      </c>
      <c r="AD6043">
        <v>-6.82200000000001E-2</v>
      </c>
      <c r="AE6043">
        <v>18.639009999999999</v>
      </c>
      <c r="AF6043">
        <v>-16.920254173669001</v>
      </c>
      <c r="AG6043">
        <v>-6.82200000000001E-2</v>
      </c>
      <c r="AH6043">
        <v>96.346452005190699</v>
      </c>
      <c r="AI6043">
        <v>90.0399578858339</v>
      </c>
      <c r="AJ6043">
        <v>99.9606463800272</v>
      </c>
      <c r="AK6043">
        <v>97.820951075209194</v>
      </c>
      <c r="AL6043">
        <v>79.676316468799001</v>
      </c>
      <c r="AM6043">
        <v>90.680932419155596</v>
      </c>
      <c r="AN6043">
        <v>1.00000003226617</v>
      </c>
    </row>
    <row r="6044" spans="1:40" x14ac:dyDescent="0.25">
      <c r="A6044" t="str">
        <f>"20190303170412616"</f>
        <v>20190303170412616</v>
      </c>
      <c r="B6044" t="str">
        <f>"1551603852611660"</f>
        <v>1551603852611660</v>
      </c>
      <c r="C6044" t="s">
        <v>40</v>
      </c>
      <c r="D6044">
        <v>4.6648350000000001</v>
      </c>
      <c r="E6044">
        <v>0.44001790000000002</v>
      </c>
      <c r="F6044" t="s">
        <v>109</v>
      </c>
      <c r="G6044">
        <v>-280.64850000000001</v>
      </c>
      <c r="H6044">
        <v>1.0368189999999999</v>
      </c>
      <c r="I6044">
        <v>35.287849999999999</v>
      </c>
      <c r="J6044">
        <v>-375.67099999999999</v>
      </c>
      <c r="K6044">
        <v>1.1195219999999999</v>
      </c>
      <c r="L6044">
        <v>16.6524</v>
      </c>
      <c r="M6044">
        <v>0.99983900000000003</v>
      </c>
      <c r="N6044">
        <v>-3.1178080000000001E-3</v>
      </c>
      <c r="O6044">
        <v>1.7677970000000001E-2</v>
      </c>
      <c r="P6044">
        <v>0.98404559999999996</v>
      </c>
      <c r="Q6044">
        <v>0.17564250000000001</v>
      </c>
      <c r="R6044">
        <v>2.8362020000000002E-2</v>
      </c>
      <c r="S6044">
        <v>3.0317989999999999</v>
      </c>
      <c r="T6044">
        <v>-2.6339290000000001E-3</v>
      </c>
      <c r="U6044">
        <v>0.59341429999999995</v>
      </c>
      <c r="V6044">
        <v>-1.0900079999999999E-2</v>
      </c>
      <c r="W6044">
        <v>0.1787145</v>
      </c>
      <c r="X6044">
        <v>0.98384059999999995</v>
      </c>
      <c r="Y6044">
        <v>-0.1747061</v>
      </c>
      <c r="Z6044">
        <v>3.8950490000000003E-4</v>
      </c>
      <c r="AA6044">
        <v>0.98462059999999996</v>
      </c>
      <c r="AB6044">
        <v>36</v>
      </c>
      <c r="AC6044">
        <v>95.022499999999894</v>
      </c>
      <c r="AD6044">
        <v>-8.2702999999999693E-2</v>
      </c>
      <c r="AE6044">
        <v>18.635449999999999</v>
      </c>
      <c r="AF6044">
        <v>-16.9527126378349</v>
      </c>
      <c r="AG6044">
        <v>-8.2702999999999693E-2</v>
      </c>
      <c r="AH6044">
        <v>95.337019869586996</v>
      </c>
      <c r="AI6044">
        <v>90.048935321153493</v>
      </c>
      <c r="AJ6044">
        <v>100.082875296561</v>
      </c>
      <c r="AK6044">
        <v>96.832580587224101</v>
      </c>
      <c r="AL6044">
        <v>79.705108034610902</v>
      </c>
      <c r="AM6044">
        <v>90.634760376113903</v>
      </c>
      <c r="AN6044">
        <v>1.0000000052313001</v>
      </c>
    </row>
    <row r="6045" spans="1:40" x14ac:dyDescent="0.25">
      <c r="A6045" t="str">
        <f>"20190303170412628"</f>
        <v>20190303170412628</v>
      </c>
      <c r="B6045" t="str">
        <f>"1551603852621420"</f>
        <v>1551603852621420</v>
      </c>
      <c r="C6045" t="s">
        <v>40</v>
      </c>
      <c r="D6045">
        <v>4.6707549999999998</v>
      </c>
      <c r="E6045">
        <v>0.4392392</v>
      </c>
      <c r="F6045" t="s">
        <v>109</v>
      </c>
      <c r="G6045">
        <v>-280.86259999999999</v>
      </c>
      <c r="H6045">
        <v>1.0332399999999999</v>
      </c>
      <c r="I6045">
        <v>35.57038</v>
      </c>
      <c r="J6045">
        <v>-375.47859999999997</v>
      </c>
      <c r="K6045">
        <v>1.1195010000000001</v>
      </c>
      <c r="L6045">
        <v>16.655670000000001</v>
      </c>
      <c r="M6045">
        <v>0.99984249999999997</v>
      </c>
      <c r="N6045">
        <v>-3.1393049999999998E-3</v>
      </c>
      <c r="O6045">
        <v>1.7478919999999998E-2</v>
      </c>
      <c r="P6045">
        <v>0.98405690000000001</v>
      </c>
      <c r="Q6045">
        <v>0.1757601</v>
      </c>
      <c r="R6045">
        <v>2.7220029999999999E-2</v>
      </c>
      <c r="S6045">
        <v>3.0317379999999998</v>
      </c>
      <c r="T6045">
        <v>-2.7589799999999999E-3</v>
      </c>
      <c r="U6045">
        <v>0.60494999999999999</v>
      </c>
      <c r="V6045">
        <v>-9.9371649999999995E-3</v>
      </c>
      <c r="W6045">
        <v>0.17885379999999901</v>
      </c>
      <c r="X6045">
        <v>0.98382550000000002</v>
      </c>
      <c r="Y6045">
        <v>-0.1785101</v>
      </c>
      <c r="Z6045">
        <v>4.0198540000000002E-4</v>
      </c>
      <c r="AA6045">
        <v>0.98393799999999998</v>
      </c>
      <c r="AB6045">
        <v>36</v>
      </c>
      <c r="AC6045">
        <v>94.616</v>
      </c>
      <c r="AD6045">
        <v>-8.6261000000000101E-2</v>
      </c>
      <c r="AE6045">
        <v>18.914709999999999</v>
      </c>
      <c r="AF6045">
        <v>-17.258013297685601</v>
      </c>
      <c r="AG6045">
        <v>-8.6261000000000101E-2</v>
      </c>
      <c r="AH6045">
        <v>94.932079959825003</v>
      </c>
      <c r="AI6045">
        <v>90.051222832646701</v>
      </c>
      <c r="AJ6045">
        <v>100.303464827095</v>
      </c>
      <c r="AK6045">
        <v>96.488062833916501</v>
      </c>
      <c r="AL6045">
        <v>79.696996206528198</v>
      </c>
      <c r="AM6045">
        <v>90.578698411352505</v>
      </c>
      <c r="AN6045">
        <v>1.00000002173646</v>
      </c>
    </row>
    <row r="6046" spans="1:40" x14ac:dyDescent="0.25">
      <c r="A6046" t="str">
        <f>"20190303170412639"</f>
        <v>20190303170412639</v>
      </c>
      <c r="B6046" t="str">
        <f>"1551603852632156"</f>
        <v>1551603852632156</v>
      </c>
      <c r="C6046" t="s">
        <v>40</v>
      </c>
      <c r="D6046">
        <v>4.6758059999999997</v>
      </c>
      <c r="E6046">
        <v>0.43857590000000002</v>
      </c>
      <c r="F6046" t="s">
        <v>109</v>
      </c>
      <c r="G6046">
        <v>-280.86259999999999</v>
      </c>
      <c r="H6046">
        <v>1.045166</v>
      </c>
      <c r="I6046">
        <v>35.614319999999999</v>
      </c>
      <c r="J6046">
        <v>-375.29750000000001</v>
      </c>
      <c r="K6046">
        <v>1.1194809999999999</v>
      </c>
      <c r="L6046">
        <v>16.658719999999999</v>
      </c>
      <c r="M6046">
        <v>0.9998456</v>
      </c>
      <c r="N6046">
        <v>-3.1646399999999998E-3</v>
      </c>
      <c r="O6046">
        <v>1.728387E-2</v>
      </c>
      <c r="P6046">
        <v>0.98408459999999998</v>
      </c>
      <c r="Q6046">
        <v>0.17573929999999999</v>
      </c>
      <c r="R6046">
        <v>2.6335029999999999E-2</v>
      </c>
      <c r="S6046">
        <v>3.0321959999999999</v>
      </c>
      <c r="T6046">
        <v>-2.382159E-3</v>
      </c>
      <c r="U6046">
        <v>0.60757450000000002</v>
      </c>
      <c r="V6046">
        <v>-9.2287749999999998E-3</v>
      </c>
      <c r="W6046">
        <v>0.1788585</v>
      </c>
      <c r="X6046">
        <v>0.98383149999999997</v>
      </c>
      <c r="Y6046">
        <v>-0.1794924</v>
      </c>
      <c r="Z6046">
        <v>3.9736909999999999E-4</v>
      </c>
      <c r="AA6046">
        <v>0.9837593</v>
      </c>
      <c r="AB6046">
        <v>36</v>
      </c>
      <c r="AC6046">
        <v>94.434899999999999</v>
      </c>
      <c r="AD6046">
        <v>-7.4314999999999895E-2</v>
      </c>
      <c r="AE6046">
        <v>18.9556</v>
      </c>
      <c r="AF6046">
        <v>-17.3205493934984</v>
      </c>
      <c r="AG6046">
        <v>-7.4314999999999895E-2</v>
      </c>
      <c r="AH6046">
        <v>94.748364801978497</v>
      </c>
      <c r="AI6046">
        <v>90.044206822852601</v>
      </c>
      <c r="AJ6046">
        <v>100.35961180148099</v>
      </c>
      <c r="AK6046">
        <v>96.318531896310802</v>
      </c>
      <c r="AL6046">
        <v>79.696722035449696</v>
      </c>
      <c r="AM6046">
        <v>90.537444012615893</v>
      </c>
      <c r="AN6046">
        <v>0.99999997685124997</v>
      </c>
    </row>
    <row r="6047" spans="1:40" x14ac:dyDescent="0.25">
      <c r="A6047" t="str">
        <f>"20190303170412651"</f>
        <v>20190303170412651</v>
      </c>
      <c r="B6047" t="str">
        <f>"1551603852641915"</f>
        <v>1551603852641915</v>
      </c>
      <c r="C6047" t="s">
        <v>40</v>
      </c>
      <c r="D6047">
        <v>4.6822839999999903</v>
      </c>
      <c r="E6047">
        <v>0.43800109999999998</v>
      </c>
      <c r="F6047" t="s">
        <v>109</v>
      </c>
      <c r="G6047">
        <v>-280.86259999999999</v>
      </c>
      <c r="H6047">
        <v>1.0199530000000001</v>
      </c>
      <c r="I6047">
        <v>35.655559999999902</v>
      </c>
      <c r="J6047">
        <v>-375.10120000000001</v>
      </c>
      <c r="K6047">
        <v>1.1194660000000001</v>
      </c>
      <c r="L6047">
        <v>16.661989999999999</v>
      </c>
      <c r="M6047">
        <v>0.9998494</v>
      </c>
      <c r="N6047">
        <v>-3.1996440000000002E-3</v>
      </c>
      <c r="O6047">
        <v>1.706102E-2</v>
      </c>
      <c r="P6047">
        <v>0.98420439999999998</v>
      </c>
      <c r="Q6047">
        <v>0.17522099999999999</v>
      </c>
      <c r="R6047">
        <v>2.5288129999999999E-2</v>
      </c>
      <c r="S6047">
        <v>3.0327449999999998</v>
      </c>
      <c r="T6047">
        <v>-3.196239E-3</v>
      </c>
      <c r="U6047">
        <v>0.61007690000000003</v>
      </c>
      <c r="V6047">
        <v>-8.3841499999999999E-3</v>
      </c>
      <c r="W6047">
        <v>0.1783757</v>
      </c>
      <c r="X6047">
        <v>0.98392670000000004</v>
      </c>
      <c r="Y6047">
        <v>-0.18045749999999999</v>
      </c>
      <c r="Z6047">
        <v>4.2199300000000001E-4</v>
      </c>
      <c r="AA6047">
        <v>0.98358270000000003</v>
      </c>
      <c r="AB6047">
        <v>36</v>
      </c>
      <c r="AC6047">
        <v>94.238600000000005</v>
      </c>
      <c r="AD6047">
        <v>-9.9512999999999893E-2</v>
      </c>
      <c r="AE6047">
        <v>18.993569999999899</v>
      </c>
      <c r="AF6047">
        <v>-17.382972077305698</v>
      </c>
      <c r="AG6047">
        <v>-9.9512999999999893E-2</v>
      </c>
      <c r="AH6047">
        <v>94.548833453522803</v>
      </c>
      <c r="AI6047">
        <v>90.059309948465298</v>
      </c>
      <c r="AJ6047">
        <v>100.41759447100399</v>
      </c>
      <c r="AK6047">
        <v>96.133550483166701</v>
      </c>
      <c r="AL6047">
        <v>79.724836462330899</v>
      </c>
      <c r="AM6047">
        <v>90.488211961016702</v>
      </c>
      <c r="AN6047">
        <v>0.99999996764730004</v>
      </c>
    </row>
    <row r="6048" spans="1:40" x14ac:dyDescent="0.25">
      <c r="A6048" t="str">
        <f>"20190303170412672"</f>
        <v>20190303170412672</v>
      </c>
      <c r="B6048" t="str">
        <f>"1551603852661436"</f>
        <v>1551603852661436</v>
      </c>
      <c r="C6048" t="s">
        <v>40</v>
      </c>
      <c r="D6048">
        <v>4.6609099999999897</v>
      </c>
      <c r="E6048">
        <v>0.43681639999999999</v>
      </c>
      <c r="F6048" t="s">
        <v>109</v>
      </c>
      <c r="G6048">
        <v>-280.86259999999999</v>
      </c>
      <c r="H6048">
        <v>0.99846460000000004</v>
      </c>
      <c r="I6048">
        <v>35.67604</v>
      </c>
      <c r="J6048">
        <v>-374.7867</v>
      </c>
      <c r="K6048">
        <v>1.119456</v>
      </c>
      <c r="L6048">
        <v>16.667079999999999</v>
      </c>
      <c r="M6048">
        <v>0.99985559999999996</v>
      </c>
      <c r="N6048">
        <v>-3.2729479999999999E-3</v>
      </c>
      <c r="O6048">
        <v>1.668306E-2</v>
      </c>
      <c r="P6048">
        <v>0.98455539999999997</v>
      </c>
      <c r="Q6048">
        <v>0.1734665</v>
      </c>
      <c r="R6048">
        <v>2.368E-2</v>
      </c>
      <c r="S6048">
        <v>3.0330810000000001</v>
      </c>
      <c r="T6048">
        <v>-3.8943290000000002E-3</v>
      </c>
      <c r="U6048">
        <v>0.61196899999999999</v>
      </c>
      <c r="V6048">
        <v>-7.1228569999999998E-3</v>
      </c>
      <c r="W6048">
        <v>0.17669389999999999</v>
      </c>
      <c r="X6048">
        <v>0.98424009999999995</v>
      </c>
      <c r="Y6048">
        <v>-0.1813977</v>
      </c>
      <c r="Z6048">
        <v>4.4799219999999999E-4</v>
      </c>
      <c r="AA6048">
        <v>0.98340970000000005</v>
      </c>
      <c r="AB6048">
        <v>36</v>
      </c>
      <c r="AC6048">
        <v>93.924099999999996</v>
      </c>
      <c r="AD6048">
        <v>-0.120991399999999</v>
      </c>
      <c r="AE6048">
        <v>19.008959999999998</v>
      </c>
      <c r="AF6048">
        <v>-17.439337071582401</v>
      </c>
      <c r="AG6048">
        <v>-0.120991399999999</v>
      </c>
      <c r="AH6048">
        <v>94.228007332361599</v>
      </c>
      <c r="AI6048">
        <v>90.072340828806901</v>
      </c>
      <c r="AJ6048">
        <v>100.485425165658</v>
      </c>
      <c r="AK6048">
        <v>95.828296876458793</v>
      </c>
      <c r="AL6048">
        <v>79.8227525129019</v>
      </c>
      <c r="AM6048">
        <v>90.414637159952306</v>
      </c>
      <c r="AN6048">
        <v>1.0000000219185301</v>
      </c>
    </row>
    <row r="6049" spans="1:40" x14ac:dyDescent="0.25">
      <c r="A6049" t="str">
        <f>"20190303170412685"</f>
        <v>20190303170412685</v>
      </c>
      <c r="B6049" t="str">
        <f>"1551603852681932"</f>
        <v>1551603852681932</v>
      </c>
      <c r="C6049" t="s">
        <v>40</v>
      </c>
      <c r="D6049">
        <v>4.6421070000000002</v>
      </c>
      <c r="E6049">
        <v>0.43570690000000001</v>
      </c>
      <c r="F6049" t="s">
        <v>109</v>
      </c>
      <c r="G6049">
        <v>-280.86259999999999</v>
      </c>
      <c r="H6049">
        <v>0.88603310000000002</v>
      </c>
      <c r="I6049">
        <v>35.771470000000001</v>
      </c>
      <c r="J6049">
        <v>-374.56509999999997</v>
      </c>
      <c r="K6049">
        <v>1.1194519999999999</v>
      </c>
      <c r="L6049">
        <v>16.670590000000001</v>
      </c>
      <c r="M6049">
        <v>0.99985990000000002</v>
      </c>
      <c r="N6049">
        <v>-3.336987E-3</v>
      </c>
      <c r="O6049">
        <v>1.6405260000000001E-2</v>
      </c>
      <c r="P6049">
        <v>0.98475060000000003</v>
      </c>
      <c r="Q6049">
        <v>0.172456</v>
      </c>
      <c r="R6049">
        <v>2.2918520000000001E-2</v>
      </c>
      <c r="S6049">
        <v>3.033569</v>
      </c>
      <c r="T6049">
        <v>-7.539034E-3</v>
      </c>
      <c r="U6049">
        <v>0.61703490000000005</v>
      </c>
      <c r="V6049">
        <v>-6.6204119999999896E-3</v>
      </c>
      <c r="W6049">
        <v>0.17574709999999999</v>
      </c>
      <c r="X6049">
        <v>0.98441310000000004</v>
      </c>
      <c r="Y6049">
        <v>-0.18321660000000001</v>
      </c>
      <c r="Z6049">
        <v>5.4802819999999995E-4</v>
      </c>
      <c r="AA6049">
        <v>0.98307239999999996</v>
      </c>
      <c r="AB6049">
        <v>36</v>
      </c>
      <c r="AC6049">
        <v>93.702500000000001</v>
      </c>
      <c r="AD6049">
        <v>-0.23341890000000001</v>
      </c>
      <c r="AE6049">
        <v>19.10088</v>
      </c>
      <c r="AF6049">
        <v>-17.560982472285399</v>
      </c>
      <c r="AG6049">
        <v>-0.23341890000000001</v>
      </c>
      <c r="AH6049">
        <v>94.002686396935204</v>
      </c>
      <c r="AI6049">
        <v>90.139851931928305</v>
      </c>
      <c r="AJ6049">
        <v>100.581659702069</v>
      </c>
      <c r="AK6049">
        <v>95.629219591165395</v>
      </c>
      <c r="AL6049">
        <v>79.877862492108306</v>
      </c>
      <c r="AM6049">
        <v>90.385321921900101</v>
      </c>
      <c r="AN6049">
        <v>1.0000000122325301</v>
      </c>
    </row>
    <row r="6050" spans="1:40" x14ac:dyDescent="0.25">
      <c r="A6050" t="str">
        <f>"20190303170412702"</f>
        <v>20190303170412702</v>
      </c>
      <c r="B6050" t="str">
        <f>"1551603852691692"</f>
        <v>1551603852691692</v>
      </c>
      <c r="C6050" t="s">
        <v>40</v>
      </c>
      <c r="D6050">
        <v>4.6441470000000002</v>
      </c>
      <c r="E6050">
        <v>0.4352606</v>
      </c>
      <c r="F6050" t="s">
        <v>109</v>
      </c>
      <c r="G6050">
        <v>-280.86259999999999</v>
      </c>
      <c r="H6050">
        <v>0.81603429999999999</v>
      </c>
      <c r="I6050">
        <v>35.915779999999998</v>
      </c>
      <c r="J6050">
        <v>-374.28429999999997</v>
      </c>
      <c r="K6050">
        <v>1.119464</v>
      </c>
      <c r="L6050">
        <v>16.674959999999999</v>
      </c>
      <c r="M6050">
        <v>0.99986549999999996</v>
      </c>
      <c r="N6050">
        <v>-3.4298559999999998E-3</v>
      </c>
      <c r="O6050">
        <v>1.6044180000000002E-2</v>
      </c>
      <c r="P6050">
        <v>0.98515830000000004</v>
      </c>
      <c r="Q6050">
        <v>0.17017209999999999</v>
      </c>
      <c r="R6050">
        <v>2.246664E-2</v>
      </c>
      <c r="S6050">
        <v>3.0336910000000001</v>
      </c>
      <c r="T6050">
        <v>-9.8233220000000007E-3</v>
      </c>
      <c r="U6050">
        <v>0.6230774</v>
      </c>
      <c r="V6050">
        <v>-6.5060980000000001E-3</v>
      </c>
      <c r="W6050">
        <v>0.173556399999999</v>
      </c>
      <c r="X6050">
        <v>0.98480239999999997</v>
      </c>
      <c r="Y6050">
        <v>-0.1854423</v>
      </c>
      <c r="Z6050">
        <v>6.215363E-4</v>
      </c>
      <c r="AA6050">
        <v>0.98265499999999995</v>
      </c>
      <c r="AB6050">
        <v>36</v>
      </c>
      <c r="AC6050">
        <v>93.421700000000001</v>
      </c>
      <c r="AD6050">
        <v>-0.30342969999999903</v>
      </c>
      <c r="AE6050">
        <v>19.240819999999999</v>
      </c>
      <c r="AF6050">
        <v>-17.73928060759</v>
      </c>
      <c r="AG6050">
        <v>-0.30342969999999903</v>
      </c>
      <c r="AH6050">
        <v>93.717431528595995</v>
      </c>
      <c r="AI6050">
        <v>90.182269878480696</v>
      </c>
      <c r="AJ6050">
        <v>100.71840896708299</v>
      </c>
      <c r="AK6050">
        <v>95.382027229319903</v>
      </c>
      <c r="AL6050">
        <v>80.005339147341701</v>
      </c>
      <c r="AM6050">
        <v>90.378519115432297</v>
      </c>
      <c r="AN6050">
        <v>0.99999996016895198</v>
      </c>
    </row>
    <row r="6051" spans="1:40" x14ac:dyDescent="0.25">
      <c r="A6051" t="str">
        <f>"20190303170412714"</f>
        <v>20190303170412714</v>
      </c>
      <c r="B6051" t="str">
        <f>"1551603852701452"</f>
        <v>1551603852701452</v>
      </c>
      <c r="C6051" t="s">
        <v>40</v>
      </c>
      <c r="D6051">
        <v>4.6480189999999997</v>
      </c>
      <c r="E6051">
        <v>0.4348051</v>
      </c>
      <c r="F6051" t="s">
        <v>109</v>
      </c>
      <c r="G6051">
        <v>-280.86259999999999</v>
      </c>
      <c r="H6051">
        <v>0.59440800000000005</v>
      </c>
      <c r="I6051">
        <v>35.912059999999997</v>
      </c>
      <c r="J6051">
        <v>-374.0883</v>
      </c>
      <c r="K6051">
        <v>1.1194740000000001</v>
      </c>
      <c r="L6051">
        <v>16.67792</v>
      </c>
      <c r="M6051">
        <v>0.99986929999999996</v>
      </c>
      <c r="N6051">
        <v>-3.50147E-3</v>
      </c>
      <c r="O6051">
        <v>1.578821E-2</v>
      </c>
      <c r="P6051">
        <v>0.98524460000000003</v>
      </c>
      <c r="Q6051">
        <v>0.1696907</v>
      </c>
      <c r="R6051">
        <v>2.2327719999999999E-2</v>
      </c>
      <c r="S6051">
        <v>3.0338750000000001</v>
      </c>
      <c r="T6051">
        <v>-1.70511E-2</v>
      </c>
      <c r="U6051">
        <v>0.62472530000000004</v>
      </c>
      <c r="V6051">
        <v>-6.6103610000000004E-3</v>
      </c>
      <c r="W6051">
        <v>0.17314640000000001</v>
      </c>
      <c r="X6051">
        <v>0.98487389999999997</v>
      </c>
      <c r="Y6051">
        <v>-0.18619160000000001</v>
      </c>
      <c r="Z6051">
        <v>8.1410469999999998E-4</v>
      </c>
      <c r="AA6051">
        <v>0.98251310000000003</v>
      </c>
      <c r="AB6051">
        <v>36</v>
      </c>
      <c r="AC6051">
        <v>93.225700000000003</v>
      </c>
      <c r="AD6051">
        <v>-0.52506600000000003</v>
      </c>
      <c r="AE6051">
        <v>19.23414</v>
      </c>
      <c r="AF6051">
        <v>-17.759326397939301</v>
      </c>
      <c r="AG6051">
        <v>-0.52506600000000003</v>
      </c>
      <c r="AH6051">
        <v>93.514909209583195</v>
      </c>
      <c r="AI6051">
        <v>90.3160513675262</v>
      </c>
      <c r="AJ6051">
        <v>100.752936825418</v>
      </c>
      <c r="AK6051">
        <v>95.187749279460704</v>
      </c>
      <c r="AL6051">
        <v>80.029191800683904</v>
      </c>
      <c r="AM6051">
        <v>90.384556945906397</v>
      </c>
      <c r="AN6051">
        <v>0.99999998580336003</v>
      </c>
    </row>
    <row r="6052" spans="1:40" x14ac:dyDescent="0.25">
      <c r="A6052" t="str">
        <f>"20190303170412728"</f>
        <v>20190303170412728</v>
      </c>
      <c r="B6052" t="str">
        <f>"1551603852722237"</f>
        <v>1551603852722237</v>
      </c>
      <c r="C6052" t="s">
        <v>40</v>
      </c>
      <c r="D6052">
        <v>4.6440669999999997</v>
      </c>
      <c r="E6052">
        <v>0.433946</v>
      </c>
      <c r="F6052" t="s">
        <v>109</v>
      </c>
      <c r="G6052">
        <v>-280.86259999999999</v>
      </c>
      <c r="H6052">
        <v>0.55646419999999996</v>
      </c>
      <c r="I6052">
        <v>35.961849999999998</v>
      </c>
      <c r="J6052">
        <v>-373.87619999999998</v>
      </c>
      <c r="K6052">
        <v>1.1194919999999999</v>
      </c>
      <c r="L6052">
        <v>16.681090000000001</v>
      </c>
      <c r="M6052">
        <v>0.99987329999999996</v>
      </c>
      <c r="N6052">
        <v>-3.5869890000000001E-3</v>
      </c>
      <c r="O6052">
        <v>1.550695E-2</v>
      </c>
      <c r="P6052">
        <v>0.98521769999999997</v>
      </c>
      <c r="Q6052">
        <v>0.1698499</v>
      </c>
      <c r="R6052">
        <v>2.2299570000000001E-2</v>
      </c>
      <c r="S6052">
        <v>3.0338750000000001</v>
      </c>
      <c r="T6052">
        <v>-1.8322109999999999E-2</v>
      </c>
      <c r="U6052">
        <v>0.62756350000000005</v>
      </c>
      <c r="V6052">
        <v>-6.8523880000000001E-3</v>
      </c>
      <c r="W6052">
        <v>0.17339019999999999</v>
      </c>
      <c r="X6052">
        <v>0.98482939999999997</v>
      </c>
      <c r="Y6052">
        <v>-0.18734870000000001</v>
      </c>
      <c r="Z6052">
        <v>8.617567E-4</v>
      </c>
      <c r="AA6052">
        <v>0.98229310000000003</v>
      </c>
      <c r="AB6052">
        <v>36</v>
      </c>
      <c r="AC6052">
        <v>93.013599999999997</v>
      </c>
      <c r="AD6052">
        <v>-0.56302779999999997</v>
      </c>
      <c r="AE6052">
        <v>19.280760000000001</v>
      </c>
      <c r="AF6052">
        <v>-17.835448506628801</v>
      </c>
      <c r="AG6052">
        <v>-0.56302779999999997</v>
      </c>
      <c r="AH6052">
        <v>93.298125921726097</v>
      </c>
      <c r="AI6052">
        <v>90.339610012534493</v>
      </c>
      <c r="AJ6052">
        <v>100.822443694691</v>
      </c>
      <c r="AK6052">
        <v>94.989265310573103</v>
      </c>
      <c r="AL6052">
        <v>80.015009028005807</v>
      </c>
      <c r="AM6052">
        <v>90.398654402798499</v>
      </c>
      <c r="AN6052">
        <v>1.00000003189085</v>
      </c>
    </row>
    <row r="6053" spans="1:40" x14ac:dyDescent="0.25">
      <c r="A6053" t="str">
        <f>"20190303170412739"</f>
        <v>20190303170412739</v>
      </c>
      <c r="B6053" t="str">
        <f>"1551603852731996"</f>
        <v>1551603852731996</v>
      </c>
      <c r="C6053" t="s">
        <v>40</v>
      </c>
      <c r="D6053">
        <v>4.622738</v>
      </c>
      <c r="E6053">
        <v>0.43353039999999998</v>
      </c>
      <c r="F6053" t="s">
        <v>109</v>
      </c>
      <c r="G6053">
        <v>-280.86250000000001</v>
      </c>
      <c r="H6053">
        <v>0.5878544</v>
      </c>
      <c r="I6053">
        <v>36.119019999999999</v>
      </c>
      <c r="J6053">
        <v>-373.66489999999999</v>
      </c>
      <c r="K6053">
        <v>1.1195059999999999</v>
      </c>
      <c r="L6053">
        <v>16.684170000000002</v>
      </c>
      <c r="M6053">
        <v>0.99987729999999997</v>
      </c>
      <c r="N6053">
        <v>-3.6811190000000001E-3</v>
      </c>
      <c r="O6053">
        <v>1.5225610000000001E-2</v>
      </c>
      <c r="P6053">
        <v>0.98517160000000004</v>
      </c>
      <c r="Q6053">
        <v>0.170115299999999</v>
      </c>
      <c r="R6053">
        <v>2.2316760000000001E-2</v>
      </c>
      <c r="S6053">
        <v>3.0336609999999999</v>
      </c>
      <c r="T6053">
        <v>-1.733935E-2</v>
      </c>
      <c r="U6053">
        <v>0.63397219999999999</v>
      </c>
      <c r="V6053">
        <v>-7.1407340000000001E-3</v>
      </c>
      <c r="W6053">
        <v>0.17374890000000001</v>
      </c>
      <c r="X6053">
        <v>0.98476410000000003</v>
      </c>
      <c r="Y6053">
        <v>-0.18962780000000001</v>
      </c>
      <c r="Z6053">
        <v>8.5829959999999996E-4</v>
      </c>
      <c r="AA6053">
        <v>0.9818557</v>
      </c>
      <c r="AB6053">
        <v>36</v>
      </c>
      <c r="AC6053">
        <v>92.802399999999906</v>
      </c>
      <c r="AD6053">
        <v>-0.531651599999999</v>
      </c>
      <c r="AE6053">
        <v>19.434850000000001</v>
      </c>
      <c r="AF6053">
        <v>-18.019047884980999</v>
      </c>
      <c r="AG6053">
        <v>-0.531651599999999</v>
      </c>
      <c r="AH6053">
        <v>93.084625333151493</v>
      </c>
      <c r="AI6053">
        <v>90.321276561007906</v>
      </c>
      <c r="AJ6053">
        <v>100.955646021736</v>
      </c>
      <c r="AK6053">
        <v>94.8141139995423</v>
      </c>
      <c r="AL6053">
        <v>79.994139971203296</v>
      </c>
      <c r="AM6053">
        <v>90.415456605583103</v>
      </c>
      <c r="AN6053">
        <v>1.00000000149103</v>
      </c>
    </row>
    <row r="6054" spans="1:40" x14ac:dyDescent="0.25">
      <c r="A6054" t="str">
        <f>"20190303170412751"</f>
        <v>20190303170412751</v>
      </c>
      <c r="B6054" t="str">
        <f>"1551603852741757"</f>
        <v>1551603852741757</v>
      </c>
      <c r="C6054" t="s">
        <v>40</v>
      </c>
      <c r="D6054">
        <v>4.6222719999999997</v>
      </c>
      <c r="E6054">
        <v>0.43320969999999998</v>
      </c>
      <c r="F6054" t="s">
        <v>109</v>
      </c>
      <c r="G6054">
        <v>-280.86259999999999</v>
      </c>
      <c r="H6054">
        <v>0.63660530000000004</v>
      </c>
      <c r="I6054">
        <v>36.17306</v>
      </c>
      <c r="J6054">
        <v>-373.47359999999998</v>
      </c>
      <c r="K6054">
        <v>1.119529</v>
      </c>
      <c r="L6054">
        <v>16.686920000000001</v>
      </c>
      <c r="M6054">
        <v>0.99988089999999996</v>
      </c>
      <c r="N6054">
        <v>-3.777996E-3</v>
      </c>
      <c r="O6054">
        <v>1.496948E-2</v>
      </c>
      <c r="P6054">
        <v>0.98510160000000002</v>
      </c>
      <c r="Q6054">
        <v>0.17052590000000001</v>
      </c>
      <c r="R6054">
        <v>2.2272989999999999E-2</v>
      </c>
      <c r="S6054">
        <v>3.0333860000000001</v>
      </c>
      <c r="T6054">
        <v>-1.5784260000000001E-2</v>
      </c>
      <c r="U6054">
        <v>0.63702389999999998</v>
      </c>
      <c r="V6054">
        <v>-7.3443319999999899E-3</v>
      </c>
      <c r="W6054">
        <v>0.1742551</v>
      </c>
      <c r="X6054">
        <v>0.98467309999999997</v>
      </c>
      <c r="Y6054">
        <v>-0.19084380000000001</v>
      </c>
      <c r="Z6054">
        <v>8.3451479999999904E-4</v>
      </c>
      <c r="AA6054">
        <v>0.9816201</v>
      </c>
      <c r="AB6054">
        <v>37</v>
      </c>
      <c r="AC6054">
        <v>92.611000000000004</v>
      </c>
      <c r="AD6054">
        <v>-0.48292370000000001</v>
      </c>
      <c r="AE6054">
        <v>19.486139999999999</v>
      </c>
      <c r="AF6054">
        <v>-18.097137056495001</v>
      </c>
      <c r="AG6054">
        <v>-0.48292370000000001</v>
      </c>
      <c r="AH6054">
        <v>92.889903601388198</v>
      </c>
      <c r="AI6054">
        <v>90.292374408553897</v>
      </c>
      <c r="AJ6054">
        <v>101.024466972535</v>
      </c>
      <c r="AK6054">
        <v>94.637591769955606</v>
      </c>
      <c r="AL6054">
        <v>79.964687001769306</v>
      </c>
      <c r="AM6054">
        <v>90.427341240436306</v>
      </c>
      <c r="AN6054">
        <v>0.99999994647607104</v>
      </c>
    </row>
    <row r="6055" spans="1:40" x14ac:dyDescent="0.25">
      <c r="A6055" t="str">
        <f>"20190303170412763"</f>
        <v>20190303170412763</v>
      </c>
      <c r="B6055" t="str">
        <f>"1551603852751516"</f>
        <v>1551603852751516</v>
      </c>
      <c r="C6055" t="s">
        <v>40</v>
      </c>
      <c r="D6055">
        <v>4.6302750000000001</v>
      </c>
      <c r="E6055">
        <v>0.4328611</v>
      </c>
      <c r="F6055" t="s">
        <v>109</v>
      </c>
      <c r="G6055">
        <v>-280.86259999999999</v>
      </c>
      <c r="H6055">
        <v>0.70133970000000001</v>
      </c>
      <c r="I6055">
        <v>36.206090000000003</v>
      </c>
      <c r="J6055">
        <v>-373.28750000000002</v>
      </c>
      <c r="K6055">
        <v>1.1195539999999999</v>
      </c>
      <c r="L6055">
        <v>16.689509999999999</v>
      </c>
      <c r="M6055">
        <v>0.99988410000000005</v>
      </c>
      <c r="N6055">
        <v>-3.886455E-3</v>
      </c>
      <c r="O6055">
        <v>1.4720179999999999E-2</v>
      </c>
      <c r="P6055">
        <v>0.98502730000000005</v>
      </c>
      <c r="Q6055">
        <v>0.17092839999999901</v>
      </c>
      <c r="R6055">
        <v>2.246401E-2</v>
      </c>
      <c r="S6055">
        <v>3.0332949999999999</v>
      </c>
      <c r="T6055">
        <v>-1.369691E-2</v>
      </c>
      <c r="U6055">
        <v>0.63931269999999996</v>
      </c>
      <c r="V6055">
        <v>-7.7769930000000003E-3</v>
      </c>
      <c r="W6055">
        <v>0.174765</v>
      </c>
      <c r="X6055">
        <v>0.98457939999999999</v>
      </c>
      <c r="Y6055">
        <v>-0.19180449999999999</v>
      </c>
      <c r="Z6055">
        <v>7.960078E-4</v>
      </c>
      <c r="AA6055">
        <v>0.98143290000000005</v>
      </c>
      <c r="AB6055">
        <v>37</v>
      </c>
      <c r="AC6055">
        <v>92.424899999999994</v>
      </c>
      <c r="AD6055">
        <v>-0.41821429999999998</v>
      </c>
      <c r="AE6055">
        <v>19.516579999999902</v>
      </c>
      <c r="AF6055">
        <v>-18.153588127496199</v>
      </c>
      <c r="AG6055">
        <v>-0.41821429999999998</v>
      </c>
      <c r="AH6055">
        <v>92.700358558565696</v>
      </c>
      <c r="AI6055">
        <v>90.253667854461597</v>
      </c>
      <c r="AJ6055">
        <v>101.080061073298</v>
      </c>
      <c r="AK6055">
        <v>94.462077798395597</v>
      </c>
      <c r="AL6055">
        <v>79.935016544216793</v>
      </c>
      <c r="AM6055">
        <v>90.452558330631504</v>
      </c>
      <c r="AN6055">
        <v>0.99999994087473898</v>
      </c>
    </row>
    <row r="6056" spans="1:40" x14ac:dyDescent="0.25">
      <c r="A6056" t="str">
        <f>"20190303170412780"</f>
        <v>20190303170412780</v>
      </c>
      <c r="B6056" t="str">
        <f>"1551603852772013"</f>
        <v>1551603852772013</v>
      </c>
      <c r="C6056" t="s">
        <v>40</v>
      </c>
      <c r="D6056">
        <v>4.6221230000000002</v>
      </c>
      <c r="E6056">
        <v>0.43230069999999998</v>
      </c>
      <c r="F6056" t="s">
        <v>109</v>
      </c>
      <c r="G6056">
        <v>-280.86250000000001</v>
      </c>
      <c r="H6056">
        <v>0.76673359999999902</v>
      </c>
      <c r="I6056">
        <v>36.280439999999999</v>
      </c>
      <c r="J6056">
        <v>-372.99259999999998</v>
      </c>
      <c r="K6056">
        <v>1.119599</v>
      </c>
      <c r="L6056">
        <v>16.693539999999999</v>
      </c>
      <c r="M6056">
        <v>0.99988909999999998</v>
      </c>
      <c r="N6056">
        <v>-4.0836249999999996E-3</v>
      </c>
      <c r="O6056">
        <v>1.432428E-2</v>
      </c>
      <c r="P6056">
        <v>0.98501439999999996</v>
      </c>
      <c r="Q6056">
        <v>0.17090640000000001</v>
      </c>
      <c r="R6056">
        <v>2.3190619999999999E-2</v>
      </c>
      <c r="S6056">
        <v>3.032959</v>
      </c>
      <c r="T6056">
        <v>-1.1577840000000001E-2</v>
      </c>
      <c r="U6056">
        <v>0.64288330000000005</v>
      </c>
      <c r="V6056">
        <v>-8.8870389999999994E-3</v>
      </c>
      <c r="W6056">
        <v>0.17493829999999999</v>
      </c>
      <c r="X6056">
        <v>0.98453930000000001</v>
      </c>
      <c r="Y6056">
        <v>-0.19332150000000001</v>
      </c>
      <c r="Z6056">
        <v>7.6781750000000002E-4</v>
      </c>
      <c r="AA6056">
        <v>0.98113519999999999</v>
      </c>
      <c r="AB6056">
        <v>37</v>
      </c>
      <c r="AC6056">
        <v>92.130099999999899</v>
      </c>
      <c r="AD6056">
        <v>-0.3528654</v>
      </c>
      <c r="AE6056">
        <v>19.5869</v>
      </c>
      <c r="AF6056">
        <v>-18.2649257398858</v>
      </c>
      <c r="AG6056">
        <v>-0.3528654</v>
      </c>
      <c r="AH6056">
        <v>92.399921226146205</v>
      </c>
      <c r="AI6056">
        <v>90.214651905109605</v>
      </c>
      <c r="AJ6056">
        <v>101.181649795441</v>
      </c>
      <c r="AK6056">
        <v>94.188520897570498</v>
      </c>
      <c r="AL6056">
        <v>79.924932539247905</v>
      </c>
      <c r="AM6056">
        <v>90.517171836860896</v>
      </c>
      <c r="AN6056">
        <v>1.0000000107567799</v>
      </c>
    </row>
    <row r="6057" spans="1:40" x14ac:dyDescent="0.25">
      <c r="A6057" t="str">
        <f>"20190303170412792"</f>
        <v>20190303170412792</v>
      </c>
      <c r="B6057" t="str">
        <f>"1551603852781772"</f>
        <v>1551603852781772</v>
      </c>
      <c r="C6057" t="s">
        <v>40</v>
      </c>
      <c r="D6057">
        <v>4.6394780000000004</v>
      </c>
      <c r="E6057">
        <v>0.4320099</v>
      </c>
      <c r="F6057" t="s">
        <v>109</v>
      </c>
      <c r="G6057">
        <v>-280.86259999999999</v>
      </c>
      <c r="H6057">
        <v>0.80376530000000002</v>
      </c>
      <c r="I6057">
        <v>36.427340000000001</v>
      </c>
      <c r="J6057">
        <v>-372.7946</v>
      </c>
      <c r="K6057">
        <v>1.119632</v>
      </c>
      <c r="L6057">
        <v>16.696200000000001</v>
      </c>
      <c r="M6057">
        <v>0.99989220000000001</v>
      </c>
      <c r="N6057">
        <v>-4.2374769999999999E-3</v>
      </c>
      <c r="O6057">
        <v>1.405845E-2</v>
      </c>
      <c r="P6057">
        <v>0.98509559999999996</v>
      </c>
      <c r="Q6057">
        <v>0.1703826</v>
      </c>
      <c r="R6057">
        <v>2.3595680000000001E-2</v>
      </c>
      <c r="S6057">
        <v>3.0321660000000001</v>
      </c>
      <c r="T6057">
        <v>-1.0394570000000001E-2</v>
      </c>
      <c r="U6057">
        <v>0.64947509999999997</v>
      </c>
      <c r="V6057">
        <v>-9.5491540000000007E-3</v>
      </c>
      <c r="W6057">
        <v>0.17456740000000001</v>
      </c>
      <c r="X6057">
        <v>0.98459890000000005</v>
      </c>
      <c r="Y6057">
        <v>-0.1956744</v>
      </c>
      <c r="Z6057">
        <v>7.6216490000000005E-4</v>
      </c>
      <c r="AA6057">
        <v>0.9806686</v>
      </c>
      <c r="AB6057">
        <v>37</v>
      </c>
      <c r="AC6057">
        <v>91.932000000000002</v>
      </c>
      <c r="AD6057">
        <v>-0.315866699999999</v>
      </c>
      <c r="AE6057">
        <v>19.73114</v>
      </c>
      <c r="AF6057">
        <v>-18.436548950070399</v>
      </c>
      <c r="AG6057">
        <v>-0.315866699999999</v>
      </c>
      <c r="AH6057">
        <v>92.199265899164004</v>
      </c>
      <c r="AI6057">
        <v>90.192479154318605</v>
      </c>
      <c r="AJ6057">
        <v>101.307958074387</v>
      </c>
      <c r="AK6057">
        <v>94.025053795811601</v>
      </c>
      <c r="AL6057">
        <v>79.946515331860098</v>
      </c>
      <c r="AM6057">
        <v>90.555666950893098</v>
      </c>
      <c r="AN6057">
        <v>0.99999997868304202</v>
      </c>
    </row>
    <row r="6058" spans="1:40" x14ac:dyDescent="0.25">
      <c r="A6058" t="str">
        <f>"20190303170412804"</f>
        <v>20190303170412804</v>
      </c>
      <c r="B6058" t="str">
        <f>"1551603852791532"</f>
        <v>1551603852791532</v>
      </c>
      <c r="C6058" t="s">
        <v>40</v>
      </c>
      <c r="D6058">
        <v>4.6401219999999999</v>
      </c>
      <c r="E6058">
        <v>0.43173549999999999</v>
      </c>
      <c r="F6058" t="s">
        <v>109</v>
      </c>
      <c r="G6058">
        <v>-280.86259999999999</v>
      </c>
      <c r="H6058">
        <v>0.76645850000000004</v>
      </c>
      <c r="I6058">
        <v>36.490110000000001</v>
      </c>
      <c r="J6058">
        <v>-372.61599999999999</v>
      </c>
      <c r="K6058">
        <v>1.1196600000000001</v>
      </c>
      <c r="L6058">
        <v>16.698550000000001</v>
      </c>
      <c r="M6058">
        <v>0.99989479999999997</v>
      </c>
      <c r="N6058">
        <v>-4.3936670000000004E-3</v>
      </c>
      <c r="O6058">
        <v>1.3818779999999999E-2</v>
      </c>
      <c r="P6058">
        <v>0.98520669999999999</v>
      </c>
      <c r="Q6058">
        <v>0.16969999999999999</v>
      </c>
      <c r="R6058">
        <v>2.3864670000000001E-2</v>
      </c>
      <c r="S6058">
        <v>3.0317690000000002</v>
      </c>
      <c r="T6058">
        <v>-1.1646989999999999E-2</v>
      </c>
      <c r="U6058">
        <v>0.65277099999999999</v>
      </c>
      <c r="V6058">
        <v>-1.0050109999999999E-2</v>
      </c>
      <c r="W6058">
        <v>0.17403959999999999</v>
      </c>
      <c r="X6058">
        <v>0.98468739999999999</v>
      </c>
      <c r="Y6058">
        <v>-0.1969542</v>
      </c>
      <c r="Z6058">
        <v>8.1919670000000003E-4</v>
      </c>
      <c r="AA6058">
        <v>0.98041239999999996</v>
      </c>
      <c r="AB6058">
        <v>37</v>
      </c>
      <c r="AC6058">
        <v>91.753399999999999</v>
      </c>
      <c r="AD6058">
        <v>-0.3532015</v>
      </c>
      <c r="AE6058">
        <v>19.79156</v>
      </c>
      <c r="AF6058">
        <v>-18.5214755649389</v>
      </c>
      <c r="AG6058">
        <v>-0.3532015</v>
      </c>
      <c r="AH6058">
        <v>92.016833809857502</v>
      </c>
      <c r="AI6058">
        <v>90.215601435903494</v>
      </c>
      <c r="AJ6058">
        <v>101.38062880381899</v>
      </c>
      <c r="AK6058">
        <v>93.863025269768301</v>
      </c>
      <c r="AL6058">
        <v>79.977226701337599</v>
      </c>
      <c r="AM6058">
        <v>90.584763137105199</v>
      </c>
      <c r="AN6058">
        <v>1.0000000313989601</v>
      </c>
    </row>
    <row r="6059" spans="1:40" x14ac:dyDescent="0.25">
      <c r="A6059" t="str">
        <f>"20190303170412817"</f>
        <v>20190303170412817</v>
      </c>
      <c r="B6059" t="str">
        <f>"1551603852812028"</f>
        <v>1551603852812028</v>
      </c>
      <c r="C6059" t="s">
        <v>40</v>
      </c>
      <c r="D6059">
        <v>4.6261409999999996</v>
      </c>
      <c r="E6059">
        <v>0.43114550000000001</v>
      </c>
      <c r="F6059" t="s">
        <v>109</v>
      </c>
      <c r="G6059">
        <v>-280.86250000000001</v>
      </c>
      <c r="H6059">
        <v>0.70429560000000002</v>
      </c>
      <c r="I6059">
        <v>36.532249999999998</v>
      </c>
      <c r="J6059">
        <v>-372.40010000000001</v>
      </c>
      <c r="K6059">
        <v>1.1196999999999999</v>
      </c>
      <c r="L6059">
        <v>16.701319999999999</v>
      </c>
      <c r="M6059">
        <v>0.99989810000000001</v>
      </c>
      <c r="N6059">
        <v>-4.5918799999999996E-3</v>
      </c>
      <c r="O6059">
        <v>1.3528480000000001E-2</v>
      </c>
      <c r="P6059">
        <v>0.98524259999999997</v>
      </c>
      <c r="Q6059">
        <v>0.1694727</v>
      </c>
      <c r="R6059">
        <v>2.4006469999999999E-2</v>
      </c>
      <c r="S6059">
        <v>3.0315249999999998</v>
      </c>
      <c r="T6059">
        <v>-1.372349E-2</v>
      </c>
      <c r="U6059">
        <v>0.655304</v>
      </c>
      <c r="V6059">
        <v>-1.0473700000000001E-2</v>
      </c>
      <c r="W6059">
        <v>0.17400860000000001</v>
      </c>
      <c r="X6059">
        <v>0.98468840000000002</v>
      </c>
      <c r="Y6059">
        <v>-0.19803670000000001</v>
      </c>
      <c r="Z6059">
        <v>9.0392429999999995E-4</v>
      </c>
      <c r="AA6059">
        <v>0.98019420000000002</v>
      </c>
      <c r="AB6059">
        <v>37</v>
      </c>
      <c r="AC6059">
        <v>91.537599999999998</v>
      </c>
      <c r="AD6059">
        <v>-0.41540439999999901</v>
      </c>
      <c r="AE6059">
        <v>19.830929999999899</v>
      </c>
      <c r="AF6059">
        <v>-18.590372012725599</v>
      </c>
      <c r="AG6059">
        <v>-0.41540439999999901</v>
      </c>
      <c r="AH6059">
        <v>91.795702270886807</v>
      </c>
      <c r="AI6059">
        <v>90.254120824816994</v>
      </c>
      <c r="AJ6059">
        <v>101.448640909324</v>
      </c>
      <c r="AK6059">
        <v>93.660159341057906</v>
      </c>
      <c r="AL6059">
        <v>79.979029752200503</v>
      </c>
      <c r="AM6059">
        <v>90.609407175307894</v>
      </c>
      <c r="AN6059">
        <v>0.99999996818010395</v>
      </c>
    </row>
    <row r="6060" spans="1:40" x14ac:dyDescent="0.25">
      <c r="A6060" t="str">
        <f>"20190303170412830"</f>
        <v>20190303170412830</v>
      </c>
      <c r="B6060" t="str">
        <f>"1551603852821789"</f>
        <v>1551603852821789</v>
      </c>
      <c r="C6060" t="s">
        <v>40</v>
      </c>
      <c r="D6060">
        <v>4.6157909999999998</v>
      </c>
      <c r="E6060">
        <v>0.43087769999999997</v>
      </c>
      <c r="F6060" t="s">
        <v>109</v>
      </c>
      <c r="G6060">
        <v>-280.86259999999999</v>
      </c>
      <c r="H6060">
        <v>0.71122879999999999</v>
      </c>
      <c r="I6060">
        <v>36.639659999999999</v>
      </c>
      <c r="J6060">
        <v>-372.16669999999999</v>
      </c>
      <c r="K6060">
        <v>1.1197509999999999</v>
      </c>
      <c r="L6060">
        <v>16.704219999999999</v>
      </c>
      <c r="M6060">
        <v>0.99990100000000004</v>
      </c>
      <c r="N6060">
        <v>-4.8362429999999996E-3</v>
      </c>
      <c r="O6060">
        <v>1.321554E-2</v>
      </c>
      <c r="P6060">
        <v>0.98525629999999997</v>
      </c>
      <c r="Q6060">
        <v>0.16942370000000001</v>
      </c>
      <c r="R6060">
        <v>2.377947E-2</v>
      </c>
      <c r="S6060">
        <v>3.0312190000000001</v>
      </c>
      <c r="T6060">
        <v>-1.35262E-2</v>
      </c>
      <c r="U6060">
        <v>0.66024780000000005</v>
      </c>
      <c r="V6060">
        <v>-1.0550800000000001E-2</v>
      </c>
      <c r="W6060">
        <v>0.17420060000000001</v>
      </c>
      <c r="X6060">
        <v>0.98465369999999997</v>
      </c>
      <c r="Y6060">
        <v>-0.19989019999999999</v>
      </c>
      <c r="Z6060">
        <v>9.3471389999999998E-4</v>
      </c>
      <c r="AA6060">
        <v>0.97981790000000002</v>
      </c>
      <c r="AB6060">
        <v>37</v>
      </c>
      <c r="AC6060">
        <v>91.304100000000005</v>
      </c>
      <c r="AD6060">
        <v>-0.4085222</v>
      </c>
      <c r="AE6060">
        <v>19.93544</v>
      </c>
      <c r="AF6060">
        <v>-18.726694111121098</v>
      </c>
      <c r="AG6060">
        <v>-0.4085222</v>
      </c>
      <c r="AH6060">
        <v>91.557837464976799</v>
      </c>
      <c r="AI6060">
        <v>90.250461341644694</v>
      </c>
      <c r="AJ6060">
        <v>101.559502883764</v>
      </c>
      <c r="AK6060">
        <v>93.454232456227004</v>
      </c>
      <c r="AL6060">
        <v>79.967859057563203</v>
      </c>
      <c r="AM6060">
        <v>90.613914491928497</v>
      </c>
      <c r="AN6060">
        <v>1.00000003867234</v>
      </c>
    </row>
    <row r="6061" spans="1:40" x14ac:dyDescent="0.25">
      <c r="A6061" t="str">
        <f>"20190303170412849"</f>
        <v>20190303170412849</v>
      </c>
      <c r="B6061" t="str">
        <f>"1551603852842285"</f>
        <v>1551603852842285</v>
      </c>
      <c r="C6061" t="s">
        <v>40</v>
      </c>
      <c r="D6061">
        <v>4.6148939999999996</v>
      </c>
      <c r="E6061">
        <v>0.4304365</v>
      </c>
      <c r="F6061" t="s">
        <v>109</v>
      </c>
      <c r="G6061">
        <v>-280.86259999999999</v>
      </c>
      <c r="H6061">
        <v>0.72653440000000002</v>
      </c>
      <c r="I6061">
        <v>36.629809999999999</v>
      </c>
      <c r="J6061">
        <v>-371.86810000000003</v>
      </c>
      <c r="K6061">
        <v>1.1198330000000001</v>
      </c>
      <c r="L6061">
        <v>16.70786</v>
      </c>
      <c r="M6061">
        <v>0.99990460000000003</v>
      </c>
      <c r="N6061">
        <v>-5.1722599999999997E-3</v>
      </c>
      <c r="O6061">
        <v>1.281448E-2</v>
      </c>
      <c r="P6061">
        <v>0.98506859999999996</v>
      </c>
      <c r="Q6061">
        <v>0.1706628</v>
      </c>
      <c r="R6061">
        <v>2.2672370000000001E-2</v>
      </c>
      <c r="S6061">
        <v>3.031158</v>
      </c>
      <c r="T6061">
        <v>-1.3054130000000001E-2</v>
      </c>
      <c r="U6061">
        <v>0.66149899999999995</v>
      </c>
      <c r="V6061">
        <v>-9.8357589999999995E-3</v>
      </c>
      <c r="W6061">
        <v>0.1757687</v>
      </c>
      <c r="X6061">
        <v>0.98438230000000004</v>
      </c>
      <c r="Y6061">
        <v>-0.2006734</v>
      </c>
      <c r="Z6061">
        <v>9.6310779999999999E-4</v>
      </c>
      <c r="AA6061">
        <v>0.97965769999999996</v>
      </c>
      <c r="AB6061">
        <v>37</v>
      </c>
      <c r="AC6061">
        <v>91.005499999999998</v>
      </c>
      <c r="AD6061">
        <v>-0.3932986</v>
      </c>
      <c r="AE6061">
        <v>19.921949999999999</v>
      </c>
      <c r="AF6061">
        <v>-18.753776281529898</v>
      </c>
      <c r="AG6061">
        <v>-0.3932986</v>
      </c>
      <c r="AH6061">
        <v>91.251693890732199</v>
      </c>
      <c r="AI6061">
        <v>90.241890171872001</v>
      </c>
      <c r="AJ6061">
        <v>101.613551743345</v>
      </c>
      <c r="AK6061">
        <v>93.159703984793396</v>
      </c>
      <c r="AL6061">
        <v>79.876604648946497</v>
      </c>
      <c r="AM6061">
        <v>90.572469381031695</v>
      </c>
      <c r="AN6061">
        <v>0.99999994530404102</v>
      </c>
    </row>
    <row r="6062" spans="1:40" x14ac:dyDescent="0.25">
      <c r="A6062" t="str">
        <f>"20190303170412861"</f>
        <v>20190303170412861</v>
      </c>
      <c r="B6062" t="str">
        <f>"1551603852852045"</f>
        <v>1551603852852045</v>
      </c>
      <c r="C6062" t="s">
        <v>40</v>
      </c>
      <c r="D6062">
        <v>4.6417699999999904</v>
      </c>
      <c r="E6062">
        <v>0.43018780000000001</v>
      </c>
      <c r="F6062" t="s">
        <v>109</v>
      </c>
      <c r="G6062">
        <v>-280.86250000000001</v>
      </c>
      <c r="H6062">
        <v>0.86518289999999998</v>
      </c>
      <c r="I6062">
        <v>36.566510000000001</v>
      </c>
      <c r="J6062">
        <v>-371.66120000000001</v>
      </c>
      <c r="K6062">
        <v>1.119882</v>
      </c>
      <c r="L6062">
        <v>16.710270000000001</v>
      </c>
      <c r="M6062">
        <v>0.99990679999999998</v>
      </c>
      <c r="N6062">
        <v>-5.4211190000000003E-3</v>
      </c>
      <c r="O6062">
        <v>1.2536749999999999E-2</v>
      </c>
      <c r="P6062">
        <v>0.98495189999999999</v>
      </c>
      <c r="Q6062">
        <v>0.17143069999999999</v>
      </c>
      <c r="R6062">
        <v>2.194078E-2</v>
      </c>
      <c r="S6062">
        <v>3.0317080000000001</v>
      </c>
      <c r="T6062">
        <v>-8.4831709999999994E-3</v>
      </c>
      <c r="U6062">
        <v>0.66156009999999998</v>
      </c>
      <c r="V6062">
        <v>-9.3759059999999998E-3</v>
      </c>
      <c r="W6062">
        <v>0.1767802</v>
      </c>
      <c r="X6062">
        <v>0.98420569999999996</v>
      </c>
      <c r="Y6062">
        <v>-0.200929</v>
      </c>
      <c r="Z6062">
        <v>8.6135490000000003E-4</v>
      </c>
      <c r="AA6062">
        <v>0.97960539999999996</v>
      </c>
      <c r="AB6062">
        <v>37</v>
      </c>
      <c r="AC6062">
        <v>90.798699999999997</v>
      </c>
      <c r="AD6062">
        <v>-0.25469910000000001</v>
      </c>
      <c r="AE6062">
        <v>19.85624</v>
      </c>
      <c r="AF6062">
        <v>-18.716201707068201</v>
      </c>
      <c r="AG6062">
        <v>-0.25469910000000001</v>
      </c>
      <c r="AH6062">
        <v>91.039816786317601</v>
      </c>
      <c r="AI6062">
        <v>90.157010490230704</v>
      </c>
      <c r="AJ6062">
        <v>101.617156509929</v>
      </c>
      <c r="AK6062">
        <v>92.9441193323036</v>
      </c>
      <c r="AL6062">
        <v>79.817728613139806</v>
      </c>
      <c r="AM6062">
        <v>90.545804188288798</v>
      </c>
      <c r="AN6062">
        <v>1.00000000331892</v>
      </c>
    </row>
    <row r="6063" spans="1:40" x14ac:dyDescent="0.25">
      <c r="A6063" t="str">
        <f>"20190303170412876"</f>
        <v>20190303170412876</v>
      </c>
      <c r="B6063" t="str">
        <f>"1551603852871564"</f>
        <v>1551603852871564</v>
      </c>
      <c r="C6063" t="s">
        <v>40</v>
      </c>
      <c r="D6063">
        <v>4.6349119999999999</v>
      </c>
      <c r="E6063">
        <v>0.42970320000000001</v>
      </c>
      <c r="F6063" t="s">
        <v>109</v>
      </c>
      <c r="G6063">
        <v>-280.86250000000001</v>
      </c>
      <c r="H6063">
        <v>0.96570780000000001</v>
      </c>
      <c r="I6063">
        <v>36.518120000000003</v>
      </c>
      <c r="J6063">
        <v>-371.43630000000002</v>
      </c>
      <c r="K6063">
        <v>1.119936</v>
      </c>
      <c r="L6063">
        <v>16.712859999999999</v>
      </c>
      <c r="M6063">
        <v>0.99990900000000005</v>
      </c>
      <c r="N6063">
        <v>-5.7032539999999996E-3</v>
      </c>
      <c r="O6063">
        <v>1.2234800000000001E-2</v>
      </c>
      <c r="P6063">
        <v>0.9849251</v>
      </c>
      <c r="Q6063">
        <v>0.17169219999999999</v>
      </c>
      <c r="R6063">
        <v>2.1084390000000001E-2</v>
      </c>
      <c r="S6063">
        <v>3.0320130000000001</v>
      </c>
      <c r="T6063">
        <v>-5.1481720000000003E-3</v>
      </c>
      <c r="U6063">
        <v>0.66143799999999997</v>
      </c>
      <c r="V6063">
        <v>-8.8146839999999997E-3</v>
      </c>
      <c r="W6063">
        <v>0.177319</v>
      </c>
      <c r="X6063">
        <v>0.98411389999999999</v>
      </c>
      <c r="Y6063">
        <v>-0.2011677</v>
      </c>
      <c r="Z6063">
        <v>7.9759649999999998E-4</v>
      </c>
      <c r="AA6063">
        <v>0.97955650000000005</v>
      </c>
      <c r="AB6063">
        <v>37</v>
      </c>
      <c r="AC6063">
        <v>90.573800000000006</v>
      </c>
      <c r="AD6063">
        <v>-0.15422819999999901</v>
      </c>
      <c r="AE6063">
        <v>19.805260000000001</v>
      </c>
      <c r="AF6063">
        <v>-18.695555608513601</v>
      </c>
      <c r="AG6063">
        <v>-0.15422819999999901</v>
      </c>
      <c r="AH6063">
        <v>90.809086539391402</v>
      </c>
      <c r="AI6063">
        <v>90.095310888277893</v>
      </c>
      <c r="AJ6063">
        <v>101.633372030836</v>
      </c>
      <c r="AK6063">
        <v>92.713741074165398</v>
      </c>
      <c r="AL6063">
        <v>79.786361538360495</v>
      </c>
      <c r="AM6063">
        <v>90.513183164532805</v>
      </c>
      <c r="AN6063">
        <v>0.99999994729411301</v>
      </c>
    </row>
    <row r="6064" spans="1:40" x14ac:dyDescent="0.25">
      <c r="A6064" t="str">
        <f>"20190303170412893"</f>
        <v>20190303170412893</v>
      </c>
      <c r="B6064" t="str">
        <f>"1551603852881324"</f>
        <v>1551603852881324</v>
      </c>
      <c r="C6064" t="s">
        <v>40</v>
      </c>
      <c r="D6064">
        <v>4.6531459999999996</v>
      </c>
      <c r="E6064">
        <v>0.42952069999999998</v>
      </c>
      <c r="F6064" t="s">
        <v>109</v>
      </c>
      <c r="G6064">
        <v>-280.86259999999999</v>
      </c>
      <c r="H6064">
        <v>1.0275160000000001</v>
      </c>
      <c r="I6064">
        <v>36.511989999999997</v>
      </c>
      <c r="J6064">
        <v>-371.12790000000001</v>
      </c>
      <c r="K6064">
        <v>1.1200060000000001</v>
      </c>
      <c r="L6064">
        <v>16.716279999999902</v>
      </c>
      <c r="M6064">
        <v>0.99991149999999995</v>
      </c>
      <c r="N6064">
        <v>-6.1192420000000004E-3</v>
      </c>
      <c r="O6064">
        <v>1.182072E-2</v>
      </c>
      <c r="P6064">
        <v>0.98505969999999998</v>
      </c>
      <c r="Q6064">
        <v>0.17110719999999999</v>
      </c>
      <c r="R6064">
        <v>1.9494279999999999E-2</v>
      </c>
      <c r="S6064">
        <v>3.032257</v>
      </c>
      <c r="T6064">
        <v>-3.093958E-3</v>
      </c>
      <c r="U6064">
        <v>0.66284180000000004</v>
      </c>
      <c r="V6064">
        <v>-7.6281600000000001E-3</v>
      </c>
      <c r="W6064">
        <v>0.17714250000000001</v>
      </c>
      <c r="X6064">
        <v>0.98415569999999997</v>
      </c>
      <c r="Y6064">
        <v>-0.20199030000000001</v>
      </c>
      <c r="Z6064">
        <v>7.8667880000000002E-4</v>
      </c>
      <c r="AA6064">
        <v>0.97938720000000001</v>
      </c>
      <c r="AB6064">
        <v>37</v>
      </c>
      <c r="AC6064">
        <v>90.265299999999996</v>
      </c>
      <c r="AD6064">
        <v>-9.2489999999999906E-2</v>
      </c>
      <c r="AE6064">
        <v>19.79571</v>
      </c>
      <c r="AF6064">
        <v>-18.7272874017935</v>
      </c>
      <c r="AG6064">
        <v>-9.2489999999999906E-2</v>
      </c>
      <c r="AH6064">
        <v>90.492906441832403</v>
      </c>
      <c r="AI6064">
        <v>90.057345129018699</v>
      </c>
      <c r="AJ6064">
        <v>101.692172476295</v>
      </c>
      <c r="AK6064">
        <v>92.410421296083797</v>
      </c>
      <c r="AL6064">
        <v>79.796637948479599</v>
      </c>
      <c r="AM6064">
        <v>90.444088898987701</v>
      </c>
      <c r="AN6064">
        <v>1.00000004798686</v>
      </c>
    </row>
    <row r="6065" spans="1:40" x14ac:dyDescent="0.25">
      <c r="A6065" t="str">
        <f>"20190303170412907"</f>
        <v>20190303170412907</v>
      </c>
      <c r="B6065" t="str">
        <f>"1551603852901821"</f>
        <v>1551603852901821</v>
      </c>
      <c r="C6065" t="s">
        <v>40</v>
      </c>
      <c r="D6065">
        <v>4.6714769999999897</v>
      </c>
      <c r="E6065">
        <v>0.4290815</v>
      </c>
      <c r="F6065" t="s">
        <v>109</v>
      </c>
      <c r="G6065">
        <v>-280.86259999999999</v>
      </c>
      <c r="H6065">
        <v>1.001309</v>
      </c>
      <c r="I6065">
        <v>36.355049999999999</v>
      </c>
      <c r="J6065">
        <v>-370.90890000000002</v>
      </c>
      <c r="K6065">
        <v>1.1200399999999999</v>
      </c>
      <c r="L6065">
        <v>16.71857</v>
      </c>
      <c r="M6065">
        <v>0.99991300000000005</v>
      </c>
      <c r="N6065">
        <v>-6.4238359999999996E-3</v>
      </c>
      <c r="O6065">
        <v>1.1526750000000001E-2</v>
      </c>
      <c r="P6065">
        <v>0.98517429999999995</v>
      </c>
      <c r="Q6065">
        <v>0.17049779999999901</v>
      </c>
      <c r="R6065">
        <v>1.9036540000000001E-2</v>
      </c>
      <c r="S6065">
        <v>3.0331419999999998</v>
      </c>
      <c r="T6065">
        <v>-3.9883849999999997E-3</v>
      </c>
      <c r="U6065">
        <v>0.6599121</v>
      </c>
      <c r="V6065">
        <v>-7.4572939999999997E-3</v>
      </c>
      <c r="W6065">
        <v>0.1768333</v>
      </c>
      <c r="X6065">
        <v>0.98421259999999999</v>
      </c>
      <c r="Y6065">
        <v>-0.2013152</v>
      </c>
      <c r="Z6065">
        <v>8.4315849999999995E-4</v>
      </c>
      <c r="AA6065">
        <v>0.97952620000000001</v>
      </c>
      <c r="AB6065">
        <v>37</v>
      </c>
      <c r="AC6065">
        <v>90.046300000000002</v>
      </c>
      <c r="AD6065">
        <v>-0.118730999999999</v>
      </c>
      <c r="AE6065">
        <v>19.636479999999999</v>
      </c>
      <c r="AF6065">
        <v>-18.597181995423</v>
      </c>
      <c r="AG6065">
        <v>-0.118730999999999</v>
      </c>
      <c r="AH6065">
        <v>90.266517149378203</v>
      </c>
      <c r="AI6065">
        <v>90.073813018202102</v>
      </c>
      <c r="AJ6065">
        <v>101.641488385968</v>
      </c>
      <c r="AK6065">
        <v>92.162429403202196</v>
      </c>
      <c r="AL6065">
        <v>79.814637830836901</v>
      </c>
      <c r="AM6065">
        <v>90.434116873297398</v>
      </c>
      <c r="AN6065">
        <v>1.0000000346107201</v>
      </c>
    </row>
    <row r="6066" spans="1:40" x14ac:dyDescent="0.25">
      <c r="A6066" t="str">
        <f>"20190303170412919"</f>
        <v>20190303170412919</v>
      </c>
      <c r="B6066" t="str">
        <f>"1551603852911580"</f>
        <v>1551603852911580</v>
      </c>
      <c r="C6066" t="s">
        <v>40</v>
      </c>
      <c r="D6066">
        <v>4.6432390000000003</v>
      </c>
      <c r="E6066">
        <v>0.4290815</v>
      </c>
      <c r="F6066" t="s">
        <v>109</v>
      </c>
      <c r="G6066">
        <v>-280.86259999999999</v>
      </c>
      <c r="H6066">
        <v>0.9687829</v>
      </c>
      <c r="I6066">
        <v>36.374519999999997</v>
      </c>
      <c r="J6066">
        <v>-370.70030000000003</v>
      </c>
      <c r="K6066">
        <v>1.1200870000000001</v>
      </c>
      <c r="L6066">
        <v>16.720759999999999</v>
      </c>
      <c r="M6066">
        <v>0.99991419999999998</v>
      </c>
      <c r="N6066">
        <v>-6.7237059999999899E-3</v>
      </c>
      <c r="O6066">
        <v>1.124592E-2</v>
      </c>
      <c r="P6066">
        <v>0.98530879999999998</v>
      </c>
      <c r="Q6066">
        <v>0.1698325</v>
      </c>
      <c r="R6066">
        <v>1.7999379999999999E-2</v>
      </c>
      <c r="S6066">
        <v>3.0332029999999999</v>
      </c>
      <c r="T6066">
        <v>-5.0950049999999997E-3</v>
      </c>
      <c r="U6066">
        <v>0.66210939999999996</v>
      </c>
      <c r="V6066">
        <v>-6.6937059999999998E-3</v>
      </c>
      <c r="W6066">
        <v>0.17646339999999999</v>
      </c>
      <c r="X6066">
        <v>0.98428450000000001</v>
      </c>
      <c r="Y6066">
        <v>-0.2022631</v>
      </c>
      <c r="Z6066">
        <v>9.1189519999999998E-4</v>
      </c>
      <c r="AA6066">
        <v>0.97933079999999995</v>
      </c>
      <c r="AB6066">
        <v>37</v>
      </c>
      <c r="AC6066">
        <v>89.837699999999998</v>
      </c>
      <c r="AD6066">
        <v>-0.1513041</v>
      </c>
      <c r="AE6066">
        <v>19.653759999999998</v>
      </c>
      <c r="AF6066">
        <v>-18.642136247198401</v>
      </c>
      <c r="AG6066">
        <v>-0.1513041</v>
      </c>
      <c r="AH6066">
        <v>90.052804475446806</v>
      </c>
      <c r="AI6066">
        <v>90.094267898593003</v>
      </c>
      <c r="AJ6066">
        <v>101.695788517889</v>
      </c>
      <c r="AK6066">
        <v>91.962273409713205</v>
      </c>
      <c r="AL6066">
        <v>79.836170386719004</v>
      </c>
      <c r="AM6066">
        <v>90.389638555638598</v>
      </c>
      <c r="AN6066">
        <v>1.0000000570899099</v>
      </c>
    </row>
    <row r="6067" spans="1:40" x14ac:dyDescent="0.25">
      <c r="A6067" t="str">
        <f>"20190303170412937"</f>
        <v>20190303170412937</v>
      </c>
      <c r="B6067" t="str">
        <f>"1551603852932076"</f>
        <v>1551603852932076</v>
      </c>
      <c r="C6067" t="s">
        <v>40</v>
      </c>
      <c r="D6067">
        <v>4.6661549999999998</v>
      </c>
      <c r="E6067">
        <v>0.41817159999999898</v>
      </c>
      <c r="F6067" t="s">
        <v>109</v>
      </c>
      <c r="G6067">
        <v>-280.86259999999999</v>
      </c>
      <c r="H6067">
        <v>0.9112401</v>
      </c>
      <c r="I6067">
        <v>36.232880000000002</v>
      </c>
      <c r="J6067">
        <v>-370.39640000000003</v>
      </c>
      <c r="K6067">
        <v>1.1201559999999999</v>
      </c>
      <c r="L6067">
        <v>16.723790000000001</v>
      </c>
      <c r="M6067">
        <v>0.99991549999999996</v>
      </c>
      <c r="N6067">
        <v>-7.1868210000000004E-3</v>
      </c>
      <c r="O6067">
        <v>1.083516E-2</v>
      </c>
      <c r="P6067">
        <v>0.98541129999999999</v>
      </c>
      <c r="Q6067">
        <v>0.16944339999999999</v>
      </c>
      <c r="R6067">
        <v>1.5917549999999999E-2</v>
      </c>
      <c r="S6067">
        <v>3.0338750000000001</v>
      </c>
      <c r="T6067">
        <v>-7.0527790000000003E-3</v>
      </c>
      <c r="U6067">
        <v>0.65893550000000001</v>
      </c>
      <c r="V6067">
        <v>-5.0124509999999898E-3</v>
      </c>
      <c r="W6067">
        <v>0.1765282</v>
      </c>
      <c r="X6067">
        <v>0.98428289999999996</v>
      </c>
      <c r="Y6067">
        <v>-0.20164119999999999</v>
      </c>
      <c r="Z6067">
        <v>1.016725E-3</v>
      </c>
      <c r="AA6067">
        <v>0.97945890000000002</v>
      </c>
      <c r="AB6067">
        <v>37</v>
      </c>
      <c r="AC6067">
        <v>89.533799999999999</v>
      </c>
      <c r="AD6067">
        <v>-0.20891589999999999</v>
      </c>
      <c r="AE6067">
        <v>19.50909</v>
      </c>
      <c r="AF6067">
        <v>-18.5377102862399</v>
      </c>
      <c r="AG6067">
        <v>-0.20891589999999999</v>
      </c>
      <c r="AH6067">
        <v>89.739467021960706</v>
      </c>
      <c r="AI6067">
        <v>90.130627912736003</v>
      </c>
      <c r="AJ6067">
        <v>101.67156597723</v>
      </c>
      <c r="AK6067">
        <v>91.634394688323297</v>
      </c>
      <c r="AL6067">
        <v>79.832398627082796</v>
      </c>
      <c r="AM6067">
        <v>90.291775672141796</v>
      </c>
      <c r="AN6067">
        <v>1.0000000786463299</v>
      </c>
    </row>
    <row r="6068" spans="1:40" x14ac:dyDescent="0.25">
      <c r="A6068" t="str">
        <f>"20190303170412948"</f>
        <v>20190303170412948</v>
      </c>
      <c r="B6068" t="str">
        <f>"1551603852941836"</f>
        <v>1551603852941836</v>
      </c>
      <c r="C6068" t="s">
        <v>40</v>
      </c>
      <c r="D6068">
        <v>4.6688289999999997</v>
      </c>
      <c r="E6068">
        <v>0.41825449999999997</v>
      </c>
      <c r="F6068" t="s">
        <v>109</v>
      </c>
      <c r="G6068">
        <v>-280.86259999999999</v>
      </c>
      <c r="H6068">
        <v>1.370574</v>
      </c>
      <c r="I6068">
        <v>38.558480000000003</v>
      </c>
      <c r="J6068">
        <v>-370.2029</v>
      </c>
      <c r="K6068">
        <v>1.120196</v>
      </c>
      <c r="L6068">
        <v>16.725619999999999</v>
      </c>
      <c r="M6068">
        <v>0.99991609999999997</v>
      </c>
      <c r="N6068">
        <v>-7.4902609999999998E-3</v>
      </c>
      <c r="O6068">
        <v>1.0574739999999999E-2</v>
      </c>
      <c r="P6068">
        <v>0.98537699999999995</v>
      </c>
      <c r="Q6068">
        <v>0.16976260000000001</v>
      </c>
      <c r="R6068">
        <v>1.459063E-2</v>
      </c>
      <c r="S6068">
        <v>3.0309750000000002</v>
      </c>
      <c r="T6068">
        <v>8.4774489999999997E-3</v>
      </c>
      <c r="U6068">
        <v>0.73916630000000005</v>
      </c>
      <c r="V6068">
        <v>-3.9395569999999998E-3</v>
      </c>
      <c r="W6068">
        <v>0.17714489999999999</v>
      </c>
      <c r="X6068">
        <v>0.98417690000000002</v>
      </c>
      <c r="Y6068">
        <v>-0.22664190000000001</v>
      </c>
      <c r="Z6068">
        <v>6.5592829999999995E-4</v>
      </c>
      <c r="AA6068">
        <v>0.97397789999999995</v>
      </c>
      <c r="AB6068">
        <v>37</v>
      </c>
      <c r="AC6068">
        <v>89.340299999999999</v>
      </c>
      <c r="AD6068">
        <v>0.25037799999999999</v>
      </c>
      <c r="AE6068">
        <v>21.83286</v>
      </c>
      <c r="AF6068">
        <v>-20.886707481633401</v>
      </c>
      <c r="AG6068">
        <v>0.25037799999999999</v>
      </c>
      <c r="AH6068">
        <v>89.565523799921706</v>
      </c>
      <c r="AI6068">
        <v>89.844016814593402</v>
      </c>
      <c r="AJ6068">
        <v>103.126793687126</v>
      </c>
      <c r="AK6068">
        <v>91.969018110016606</v>
      </c>
      <c r="AL6068">
        <v>79.796497766038499</v>
      </c>
      <c r="AM6068">
        <v>90.229347776481504</v>
      </c>
      <c r="AN6068">
        <v>1.00000000309948</v>
      </c>
    </row>
    <row r="6069" spans="1:40" x14ac:dyDescent="0.25">
      <c r="A6069" t="str">
        <f>"20190303170412961"</f>
        <v>20190303170412961</v>
      </c>
      <c r="B6069" t="str">
        <f>"1551603852951596"</f>
        <v>1551603852951596</v>
      </c>
      <c r="C6069" t="s">
        <v>40</v>
      </c>
      <c r="D6069">
        <v>4.6648670000000001</v>
      </c>
      <c r="E6069">
        <v>0.41802790000000001</v>
      </c>
      <c r="F6069" t="s">
        <v>109</v>
      </c>
      <c r="G6069">
        <v>-280.86259999999999</v>
      </c>
      <c r="H6069">
        <v>1.3338139999999901</v>
      </c>
      <c r="I6069">
        <v>38.371760000000002</v>
      </c>
      <c r="J6069">
        <v>-370.00540000000001</v>
      </c>
      <c r="K6069">
        <v>1.1202399999999999</v>
      </c>
      <c r="L6069">
        <v>16.72748</v>
      </c>
      <c r="M6069">
        <v>0.99991660000000004</v>
      </c>
      <c r="N6069">
        <v>-7.7998399999999997E-3</v>
      </c>
      <c r="O6069">
        <v>1.031116E-2</v>
      </c>
      <c r="P6069">
        <v>0.98536310000000005</v>
      </c>
      <c r="Q6069">
        <v>0.1699678</v>
      </c>
      <c r="R6069">
        <v>1.3073609999999999E-2</v>
      </c>
      <c r="S6069">
        <v>3.0323790000000002</v>
      </c>
      <c r="T6069">
        <v>7.2506669999999997E-3</v>
      </c>
      <c r="U6069">
        <v>0.73471070000000005</v>
      </c>
      <c r="V6069">
        <v>-2.680193E-3</v>
      </c>
      <c r="W6069">
        <v>0.17765259999999999</v>
      </c>
      <c r="X6069">
        <v>0.98408960000000001</v>
      </c>
      <c r="Y6069">
        <v>-0.22544330000000001</v>
      </c>
      <c r="Z6069">
        <v>7.296774E-4</v>
      </c>
      <c r="AA6069">
        <v>0.97425600000000001</v>
      </c>
      <c r="AB6069">
        <v>37</v>
      </c>
      <c r="AC6069">
        <v>89.142799999999994</v>
      </c>
      <c r="AD6069">
        <v>0.21357399999999899</v>
      </c>
      <c r="AE6069">
        <v>21.644279999999899</v>
      </c>
      <c r="AF6069">
        <v>-20.7238234869167</v>
      </c>
      <c r="AG6069">
        <v>0.21357399999999899</v>
      </c>
      <c r="AH6069">
        <v>89.360760749203095</v>
      </c>
      <c r="AI6069">
        <v>89.866602481268899</v>
      </c>
      <c r="AJ6069">
        <v>103.056760849155</v>
      </c>
      <c r="AK6069">
        <v>91.732589821974798</v>
      </c>
      <c r="AL6069">
        <v>79.766939698247995</v>
      </c>
      <c r="AM6069">
        <v>90.156046123738307</v>
      </c>
      <c r="AN6069">
        <v>0.99999998527471801</v>
      </c>
    </row>
    <row r="6070" spans="1:40" x14ac:dyDescent="0.25">
      <c r="A6070" t="str">
        <f>"20190303170412973"</f>
        <v>20190303170412973</v>
      </c>
      <c r="B6070" t="str">
        <f>"1551603852961356"</f>
        <v>1551603852961356</v>
      </c>
      <c r="C6070" t="s">
        <v>40</v>
      </c>
      <c r="D6070">
        <v>4.6899050000000004</v>
      </c>
      <c r="E6070">
        <v>0.41784710000000003</v>
      </c>
      <c r="F6070" t="s">
        <v>109</v>
      </c>
      <c r="G6070">
        <v>-280.86259999999999</v>
      </c>
      <c r="H6070">
        <v>1.3566020000000001</v>
      </c>
      <c r="I6070">
        <v>38.235660000000003</v>
      </c>
      <c r="J6070">
        <v>-369.81349999999998</v>
      </c>
      <c r="K6070">
        <v>1.120279</v>
      </c>
      <c r="L6070">
        <v>16.72925</v>
      </c>
      <c r="M6070">
        <v>0.99991669999999999</v>
      </c>
      <c r="N6070">
        <v>-8.1006069999999993E-3</v>
      </c>
      <c r="O6070">
        <v>1.0056819999999999E-2</v>
      </c>
      <c r="P6070">
        <v>0.98537209999999997</v>
      </c>
      <c r="Q6070">
        <v>0.17000470000000001</v>
      </c>
      <c r="R6070">
        <v>1.1844789999999999E-2</v>
      </c>
      <c r="S6070">
        <v>3.0334469999999998</v>
      </c>
      <c r="T6070">
        <v>8.0432890000000003E-3</v>
      </c>
      <c r="U6070">
        <v>0.73190310000000003</v>
      </c>
      <c r="V6070">
        <v>-1.6998229999999901E-3</v>
      </c>
      <c r="W6070">
        <v>0.17798439999999999</v>
      </c>
      <c r="X6070">
        <v>0.98403189999999996</v>
      </c>
      <c r="Y6070">
        <v>-0.22476070000000001</v>
      </c>
      <c r="Z6070">
        <v>7.360941E-4</v>
      </c>
      <c r="AA6070">
        <v>0.97441369999999905</v>
      </c>
      <c r="AB6070">
        <v>37</v>
      </c>
      <c r="AC6070">
        <v>88.950899999999905</v>
      </c>
      <c r="AD6070">
        <v>0.23632300000000001</v>
      </c>
      <c r="AE6070">
        <v>21.506409999999899</v>
      </c>
      <c r="AF6070">
        <v>-20.6105924135584</v>
      </c>
      <c r="AG6070">
        <v>0.23632300000000001</v>
      </c>
      <c r="AH6070">
        <v>89.162099943063794</v>
      </c>
      <c r="AI6070">
        <v>89.852040233946198</v>
      </c>
      <c r="AJ6070">
        <v>103.01579999657601</v>
      </c>
      <c r="AK6070">
        <v>91.513564210203597</v>
      </c>
      <c r="AL6070">
        <v>79.747621838283493</v>
      </c>
      <c r="AM6070">
        <v>90.098972997672405</v>
      </c>
      <c r="AN6070">
        <v>1.00000005812959</v>
      </c>
    </row>
    <row r="6071" spans="1:40" x14ac:dyDescent="0.25">
      <c r="A6071" t="str">
        <f>"20190303170412983"</f>
        <v>20190303170412983</v>
      </c>
      <c r="B6071" t="str">
        <f>"1551603852972092"</f>
        <v>1551603852972092</v>
      </c>
      <c r="C6071" t="s">
        <v>40</v>
      </c>
      <c r="D6071">
        <v>4.6982169999999996</v>
      </c>
      <c r="E6071">
        <v>0.41751379999999999</v>
      </c>
      <c r="F6071" t="s">
        <v>109</v>
      </c>
      <c r="G6071">
        <v>-280.86259999999999</v>
      </c>
      <c r="H6071">
        <v>1.3854879999999901</v>
      </c>
      <c r="I6071">
        <v>38.120640000000002</v>
      </c>
      <c r="J6071">
        <v>-369.63580000000002</v>
      </c>
      <c r="K6071">
        <v>1.1203179999999999</v>
      </c>
      <c r="L6071">
        <v>16.73077</v>
      </c>
      <c r="M6071">
        <v>0.99991660000000004</v>
      </c>
      <c r="N6071">
        <v>-8.3887690000000008E-3</v>
      </c>
      <c r="O6071">
        <v>9.8234470000000008E-3</v>
      </c>
      <c r="P6071">
        <v>0.98528839999999995</v>
      </c>
      <c r="Q6071">
        <v>0.1705721</v>
      </c>
      <c r="R6071">
        <v>1.058048E-2</v>
      </c>
      <c r="S6071">
        <v>3.0341800000000001</v>
      </c>
      <c r="T6071">
        <v>9.0465549999999995E-3</v>
      </c>
      <c r="U6071">
        <v>0.72967530000000003</v>
      </c>
      <c r="V6071">
        <v>-6.6555149999999997E-4</v>
      </c>
      <c r="W6071">
        <v>0.17883309999999999</v>
      </c>
      <c r="X6071">
        <v>0.98387919999999995</v>
      </c>
      <c r="Y6071">
        <v>-0.2242585</v>
      </c>
      <c r="Z6071">
        <v>7.3438369999999896E-4</v>
      </c>
      <c r="AA6071">
        <v>0.97452939999999999</v>
      </c>
      <c r="AB6071">
        <v>37</v>
      </c>
      <c r="AC6071">
        <v>88.773200000000003</v>
      </c>
      <c r="AD6071">
        <v>0.26516999999999902</v>
      </c>
      <c r="AE6071">
        <v>21.389869999999998</v>
      </c>
      <c r="AF6071">
        <v>-20.5165753496284</v>
      </c>
      <c r="AG6071">
        <v>0.26516999999999902</v>
      </c>
      <c r="AH6071">
        <v>88.978295579882698</v>
      </c>
      <c r="AI6071">
        <v>89.8336154060068</v>
      </c>
      <c r="AJ6071">
        <v>102.98429795357001</v>
      </c>
      <c r="AK6071">
        <v>91.313401335766997</v>
      </c>
      <c r="AL6071">
        <v>79.698201441907599</v>
      </c>
      <c r="AM6071">
        <v>90.0387580977238</v>
      </c>
      <c r="AN6071">
        <v>1.0000000004035201</v>
      </c>
    </row>
    <row r="6072" spans="1:40" x14ac:dyDescent="0.25">
      <c r="A6072" t="str">
        <f>"20190303170412995"</f>
        <v>20190303170412995</v>
      </c>
      <c r="B6072" t="str">
        <f>"1551603852991611"</f>
        <v>1551603852991611</v>
      </c>
      <c r="C6072" t="s">
        <v>40</v>
      </c>
      <c r="D6072">
        <v>4.7177800000000003</v>
      </c>
      <c r="E6072">
        <v>0.41673379999999999</v>
      </c>
      <c r="F6072" t="s">
        <v>109</v>
      </c>
      <c r="G6072">
        <v>-280.86250000000001</v>
      </c>
      <c r="H6072">
        <v>1.4489299999999901</v>
      </c>
      <c r="I6072">
        <v>38.050629999999998</v>
      </c>
      <c r="J6072">
        <v>-369.44529999999997</v>
      </c>
      <c r="K6072">
        <v>1.120363</v>
      </c>
      <c r="L6072">
        <v>16.732420000000001</v>
      </c>
      <c r="M6072">
        <v>0.99991640000000004</v>
      </c>
      <c r="N6072">
        <v>-8.700312E-3</v>
      </c>
      <c r="O6072">
        <v>9.5735990000000003E-3</v>
      </c>
      <c r="P6072">
        <v>0.9853613</v>
      </c>
      <c r="Q6072">
        <v>0.17016300000000001</v>
      </c>
      <c r="R6072">
        <v>1.0386609999999999E-2</v>
      </c>
      <c r="S6072">
        <v>3.0349729999999999</v>
      </c>
      <c r="T6072">
        <v>1.1234640000000001E-2</v>
      </c>
      <c r="U6072">
        <v>0.72888180000000002</v>
      </c>
      <c r="V6072">
        <v>-7.1764089999999995E-4</v>
      </c>
      <c r="W6072">
        <v>0.17873139999999901</v>
      </c>
      <c r="X6072">
        <v>0.98389760000000004</v>
      </c>
      <c r="Y6072">
        <v>-0.2242036</v>
      </c>
      <c r="Z6072">
        <v>6.969376E-4</v>
      </c>
      <c r="AA6072">
        <v>0.97454209999999997</v>
      </c>
      <c r="AB6072">
        <v>37</v>
      </c>
      <c r="AC6072">
        <v>88.582799999999907</v>
      </c>
      <c r="AD6072">
        <v>0.328566999999999</v>
      </c>
      <c r="AE6072">
        <v>21.318210000000001</v>
      </c>
      <c r="AF6072">
        <v>-20.468878528303499</v>
      </c>
      <c r="AG6072">
        <v>0.328566999999999</v>
      </c>
      <c r="AH6072">
        <v>88.781685256038998</v>
      </c>
      <c r="AI6072">
        <v>89.793378632682803</v>
      </c>
      <c r="AJ6072">
        <v>102.982850260058</v>
      </c>
      <c r="AK6072">
        <v>91.111308745853904</v>
      </c>
      <c r="AL6072">
        <v>79.704123397210395</v>
      </c>
      <c r="AM6072">
        <v>90.0417907183474</v>
      </c>
      <c r="AN6072">
        <v>0.99999995782008899</v>
      </c>
    </row>
    <row r="6073" spans="1:40" x14ac:dyDescent="0.25">
      <c r="A6073" t="str">
        <f>"20190303170413006"</f>
        <v>20190303170413006</v>
      </c>
      <c r="B6073" t="str">
        <f>"1551603853001372"</f>
        <v>1551603853001372</v>
      </c>
      <c r="C6073" t="s">
        <v>40</v>
      </c>
      <c r="D6073">
        <v>4.7246360000000003</v>
      </c>
      <c r="E6073">
        <v>0.41643039999999998</v>
      </c>
      <c r="F6073" t="s">
        <v>109</v>
      </c>
      <c r="G6073">
        <v>-280.86259999999999</v>
      </c>
      <c r="H6073">
        <v>1.4889220000000001</v>
      </c>
      <c r="I6073">
        <v>38.174590000000002</v>
      </c>
      <c r="J6073">
        <v>-369.25229999999999</v>
      </c>
      <c r="K6073">
        <v>1.120414</v>
      </c>
      <c r="L6073">
        <v>16.733979999999999</v>
      </c>
      <c r="M6073">
        <v>0.99991609999999997</v>
      </c>
      <c r="N6073">
        <v>-9.0155340000000004E-3</v>
      </c>
      <c r="O6073">
        <v>9.3166410000000005E-3</v>
      </c>
      <c r="P6073">
        <v>0.98536829999999997</v>
      </c>
      <c r="Q6073">
        <v>0.1701917</v>
      </c>
      <c r="R6073">
        <v>9.1897360000000004E-3</v>
      </c>
      <c r="S6073">
        <v>3.034637</v>
      </c>
      <c r="T6073">
        <v>1.262605E-2</v>
      </c>
      <c r="U6073">
        <v>0.73455809999999999</v>
      </c>
      <c r="V6073">
        <v>2.247281E-4</v>
      </c>
      <c r="W6073">
        <v>0.1790687</v>
      </c>
      <c r="X6073">
        <v>0.9838365</v>
      </c>
      <c r="Y6073">
        <v>-0.22620100000000001</v>
      </c>
      <c r="Z6073">
        <v>6.9134429999999998E-4</v>
      </c>
      <c r="AA6073">
        <v>0.97408039999999996</v>
      </c>
      <c r="AB6073">
        <v>37</v>
      </c>
      <c r="AC6073">
        <v>88.389700000000005</v>
      </c>
      <c r="AD6073">
        <v>0.368507999999999</v>
      </c>
      <c r="AE6073">
        <v>21.44061</v>
      </c>
      <c r="AF6073">
        <v>-20.615812506676001</v>
      </c>
      <c r="AG6073">
        <v>0.368507999999999</v>
      </c>
      <c r="AH6073">
        <v>88.584171883847702</v>
      </c>
      <c r="AI6073">
        <v>89.767855967835501</v>
      </c>
      <c r="AJ6073">
        <v>103.101000094111</v>
      </c>
      <c r="AK6073">
        <v>90.952201907395093</v>
      </c>
      <c r="AL6073">
        <v>79.684480601232906</v>
      </c>
      <c r="AM6073">
        <v>89.986912488564798</v>
      </c>
      <c r="AN6073">
        <v>0.99999995427732802</v>
      </c>
    </row>
    <row r="6074" spans="1:40" x14ac:dyDescent="0.25">
      <c r="A6074" t="str">
        <f>"20190303170413017"</f>
        <v>20190303170413017</v>
      </c>
      <c r="B6074" t="str">
        <f>"1551603853012108"</f>
        <v>1551603853012108</v>
      </c>
      <c r="C6074" t="s">
        <v>40</v>
      </c>
      <c r="D6074">
        <v>4.7338789999999999</v>
      </c>
      <c r="E6074">
        <v>0.41671859999999999</v>
      </c>
      <c r="F6074" t="s">
        <v>109</v>
      </c>
      <c r="G6074">
        <v>-280.86259999999999</v>
      </c>
      <c r="H6074">
        <v>1.506948</v>
      </c>
      <c r="I6074">
        <v>38.103819999999999</v>
      </c>
      <c r="J6074">
        <v>-369.0736</v>
      </c>
      <c r="K6074">
        <v>1.1204559999999999</v>
      </c>
      <c r="L6074">
        <v>16.735410000000002</v>
      </c>
      <c r="M6074">
        <v>0.99991549999999996</v>
      </c>
      <c r="N6074">
        <v>-9.3031599999999996E-3</v>
      </c>
      <c r="O6074">
        <v>9.0779610000000007E-3</v>
      </c>
      <c r="P6074">
        <v>0.98542989999999997</v>
      </c>
      <c r="Q6074">
        <v>0.16989509999999999</v>
      </c>
      <c r="R6074">
        <v>7.9636410000000005E-3</v>
      </c>
      <c r="S6074">
        <v>3.0353699999999999</v>
      </c>
      <c r="T6074">
        <v>1.327395E-2</v>
      </c>
      <c r="U6074">
        <v>0.73385619999999996</v>
      </c>
      <c r="V6074">
        <v>1.214112E-3</v>
      </c>
      <c r="W6074">
        <v>0.17905409999999999</v>
      </c>
      <c r="X6074">
        <v>0.98383849999999995</v>
      </c>
      <c r="Y6074">
        <v>-0.22616710000000001</v>
      </c>
      <c r="Z6074">
        <v>7.0189489999999998E-4</v>
      </c>
      <c r="AA6074">
        <v>0.97408830000000002</v>
      </c>
      <c r="AB6074">
        <v>37</v>
      </c>
      <c r="AC6074">
        <v>88.210999999999999</v>
      </c>
      <c r="AD6074">
        <v>0.386492</v>
      </c>
      <c r="AE6074">
        <v>21.368410000000001</v>
      </c>
      <c r="AF6074">
        <v>-20.566345809815399</v>
      </c>
      <c r="AG6074">
        <v>0.386492</v>
      </c>
      <c r="AH6074">
        <v>88.399751939430104</v>
      </c>
      <c r="AI6074">
        <v>89.756015045023901</v>
      </c>
      <c r="AJ6074">
        <v>103.09697437897501</v>
      </c>
      <c r="AK6074">
        <v>90.761446104542401</v>
      </c>
      <c r="AL6074">
        <v>79.6853315411187</v>
      </c>
      <c r="AM6074">
        <v>89.929293823992793</v>
      </c>
      <c r="AN6074">
        <v>1.0000000194384999</v>
      </c>
    </row>
    <row r="6075" spans="1:40" x14ac:dyDescent="0.25">
      <c r="A6075" t="str">
        <f>"20190303170413028"</f>
        <v>20190303170413028</v>
      </c>
      <c r="B6075" t="str">
        <f>"1551603853021868"</f>
        <v>1551603853021868</v>
      </c>
      <c r="C6075" t="s">
        <v>40</v>
      </c>
      <c r="D6075">
        <v>4.7755409999999996</v>
      </c>
      <c r="E6075">
        <v>0.41671859999999999</v>
      </c>
      <c r="F6075" t="s">
        <v>109</v>
      </c>
      <c r="G6075">
        <v>-280.86259999999999</v>
      </c>
      <c r="H6075">
        <v>1.4793860000000001</v>
      </c>
      <c r="I6075">
        <v>37.894039999999997</v>
      </c>
      <c r="J6075">
        <v>-368.88630000000001</v>
      </c>
      <c r="K6075">
        <v>1.120495</v>
      </c>
      <c r="L6075">
        <v>16.736879999999999</v>
      </c>
      <c r="M6075">
        <v>0.99991509999999995</v>
      </c>
      <c r="N6075">
        <v>-9.5895800000000003E-3</v>
      </c>
      <c r="O6075">
        <v>8.8242419999999995E-3</v>
      </c>
      <c r="P6075">
        <v>0.98549169999999997</v>
      </c>
      <c r="Q6075">
        <v>0.1695856</v>
      </c>
      <c r="R6075">
        <v>6.8549889999999997E-3</v>
      </c>
      <c r="S6075">
        <v>3.0363159999999998</v>
      </c>
      <c r="T6075">
        <v>1.2354850000000001E-2</v>
      </c>
      <c r="U6075">
        <v>0.728302</v>
      </c>
      <c r="V6075">
        <v>2.0707949999999998E-3</v>
      </c>
      <c r="W6075">
        <v>0.17902589999999999</v>
      </c>
      <c r="X6075">
        <v>0.9838422</v>
      </c>
      <c r="Y6075">
        <v>-0.22466050000000001</v>
      </c>
      <c r="Z6075">
        <v>7.6045759999999996E-4</v>
      </c>
      <c r="AA6075">
        <v>0.97443679999999999</v>
      </c>
      <c r="AB6075">
        <v>37</v>
      </c>
      <c r="AC6075">
        <v>88.023700000000005</v>
      </c>
      <c r="AD6075">
        <v>0.35889100000000002</v>
      </c>
      <c r="AE6075">
        <v>21.157160000000001</v>
      </c>
      <c r="AF6075">
        <v>-20.379237774963102</v>
      </c>
      <c r="AG6075">
        <v>0.35889100000000002</v>
      </c>
      <c r="AH6075">
        <v>88.205590804891202</v>
      </c>
      <c r="AI6075">
        <v>89.772859724205603</v>
      </c>
      <c r="AJ6075">
        <v>103.00947991657701</v>
      </c>
      <c r="AK6075">
        <v>90.529930875253996</v>
      </c>
      <c r="AL6075">
        <v>79.686973801046904</v>
      </c>
      <c r="AM6075">
        <v>89.879403792065304</v>
      </c>
      <c r="AN6075">
        <v>1.00000001778179</v>
      </c>
    </row>
    <row r="6076" spans="1:40" x14ac:dyDescent="0.25">
      <c r="A6076" t="str">
        <f>"20190303170413039"</f>
        <v>20190303170413039</v>
      </c>
      <c r="B6076" t="str">
        <f>"1551603853031628"</f>
        <v>1551603853031628</v>
      </c>
      <c r="C6076" t="s">
        <v>40</v>
      </c>
      <c r="D6076">
        <v>4.7802899999999999</v>
      </c>
      <c r="E6076">
        <v>0.42315700000000001</v>
      </c>
      <c r="F6076" t="s">
        <v>109</v>
      </c>
      <c r="G6076">
        <v>-280.86259999999999</v>
      </c>
      <c r="H6076">
        <v>1.460645</v>
      </c>
      <c r="I6076">
        <v>37.752189999999999</v>
      </c>
      <c r="J6076">
        <v>-368.70729999999998</v>
      </c>
      <c r="K6076">
        <v>1.1205309999999999</v>
      </c>
      <c r="L6076">
        <v>16.738219999999998</v>
      </c>
      <c r="M6076">
        <v>0.99991459999999999</v>
      </c>
      <c r="N6076">
        <v>-9.8532450000000001E-3</v>
      </c>
      <c r="O6076">
        <v>8.5816299999999998E-3</v>
      </c>
      <c r="P6076">
        <v>0.98553429999999997</v>
      </c>
      <c r="Q6076">
        <v>0.16937659999999999</v>
      </c>
      <c r="R6076">
        <v>5.7981380000000004E-3</v>
      </c>
      <c r="S6076">
        <v>3.0371090000000001</v>
      </c>
      <c r="T6076">
        <v>1.1736389999999999E-2</v>
      </c>
      <c r="U6076">
        <v>0.72509769999999996</v>
      </c>
      <c r="V6076">
        <v>2.8869939999999999E-3</v>
      </c>
      <c r="W6076">
        <v>0.1790757</v>
      </c>
      <c r="X6076">
        <v>0.98383100000000001</v>
      </c>
      <c r="Y6076">
        <v>-0.2238667</v>
      </c>
      <c r="Z6076">
        <v>8.0776209999999999E-4</v>
      </c>
      <c r="AA6076">
        <v>0.97461940000000002</v>
      </c>
      <c r="AB6076">
        <v>37</v>
      </c>
      <c r="AC6076">
        <v>87.844699999999904</v>
      </c>
      <c r="AD6076">
        <v>0.34011399999999897</v>
      </c>
      <c r="AE6076">
        <v>21.01397</v>
      </c>
      <c r="AF6076">
        <v>-20.259021541136399</v>
      </c>
      <c r="AG6076">
        <v>0.34011399999999897</v>
      </c>
      <c r="AH6076">
        <v>88.020559810201206</v>
      </c>
      <c r="AI6076">
        <v>89.784249411106302</v>
      </c>
      <c r="AJ6076">
        <v>102.961600454772</v>
      </c>
      <c r="AK6076">
        <v>90.322547465394393</v>
      </c>
      <c r="AL6076">
        <v>79.684072780039898</v>
      </c>
      <c r="AM6076">
        <v>89.831869399423297</v>
      </c>
      <c r="AN6076">
        <v>0.99999993881292104</v>
      </c>
    </row>
    <row r="6077" spans="1:40" x14ac:dyDescent="0.25">
      <c r="A6077" t="str">
        <f>"20190303170413050"</f>
        <v>20190303170413050</v>
      </c>
      <c r="B6077" t="str">
        <f>"1551603853041388"</f>
        <v>1551603853041388</v>
      </c>
      <c r="C6077" t="s">
        <v>40</v>
      </c>
      <c r="D6077">
        <v>4.7727329999999997</v>
      </c>
      <c r="E6077">
        <v>0.42312650000000002</v>
      </c>
      <c r="F6077" t="s">
        <v>109</v>
      </c>
      <c r="G6077">
        <v>-280.86259999999999</v>
      </c>
      <c r="H6077">
        <v>1.5094959999999999</v>
      </c>
      <c r="I6077">
        <v>36.12229</v>
      </c>
      <c r="J6077">
        <v>-368.52390000000003</v>
      </c>
      <c r="K6077">
        <v>1.120565</v>
      </c>
      <c r="L6077">
        <v>16.739560000000001</v>
      </c>
      <c r="M6077">
        <v>0.99991419999999998</v>
      </c>
      <c r="N6077">
        <v>-1.010991E-2</v>
      </c>
      <c r="O6077">
        <v>8.3324609999999993E-3</v>
      </c>
      <c r="P6077">
        <v>0.98562959999999999</v>
      </c>
      <c r="Q6077">
        <v>0.1688607</v>
      </c>
      <c r="R6077">
        <v>4.5099340000000002E-3</v>
      </c>
      <c r="S6077">
        <v>3.03775</v>
      </c>
      <c r="T6077">
        <v>1.345086E-2</v>
      </c>
      <c r="U6077">
        <v>0.67031859999999999</v>
      </c>
      <c r="V6077">
        <v>3.9283060000000003E-3</v>
      </c>
      <c r="W6077">
        <v>0.178812</v>
      </c>
      <c r="X6077">
        <v>0.98387539999999996</v>
      </c>
      <c r="Y6077">
        <v>-0.20733789999999999</v>
      </c>
      <c r="Z6077">
        <v>7.2669089999999998E-4</v>
      </c>
      <c r="AA6077">
        <v>0.9782691</v>
      </c>
      <c r="AB6077">
        <v>37</v>
      </c>
      <c r="AC6077">
        <v>87.661299999999997</v>
      </c>
      <c r="AD6077">
        <v>0.38893099999999903</v>
      </c>
      <c r="AE6077">
        <v>19.382729999999999</v>
      </c>
      <c r="AF6077">
        <v>-18.651235339510301</v>
      </c>
      <c r="AG6077">
        <v>0.38893099999999903</v>
      </c>
      <c r="AH6077">
        <v>87.818122469817993</v>
      </c>
      <c r="AI6077">
        <v>89.751785078471897</v>
      </c>
      <c r="AJ6077">
        <v>101.990584462222</v>
      </c>
      <c r="AK6077">
        <v>89.777739340754806</v>
      </c>
      <c r="AL6077">
        <v>79.699430005594607</v>
      </c>
      <c r="AM6077">
        <v>89.771237131824705</v>
      </c>
      <c r="AN6077">
        <v>0.99999998282859404</v>
      </c>
    </row>
    <row r="6078" spans="1:40" x14ac:dyDescent="0.25">
      <c r="A6078" t="str">
        <f>"20190303170413062"</f>
        <v>20190303170413062</v>
      </c>
      <c r="B6078" t="str">
        <f>"1551603853052126"</f>
        <v>1551603853052126</v>
      </c>
      <c r="C6078" t="s">
        <v>40</v>
      </c>
      <c r="D6078">
        <v>4.771865</v>
      </c>
      <c r="E6078">
        <v>0.42285270000000003</v>
      </c>
      <c r="F6078" t="s">
        <v>109</v>
      </c>
      <c r="G6078">
        <v>-280.86259999999999</v>
      </c>
      <c r="H6078">
        <v>1.482478</v>
      </c>
      <c r="I6078">
        <v>35.975290000000001</v>
      </c>
      <c r="J6078">
        <v>-368.33260000000001</v>
      </c>
      <c r="K6078">
        <v>1.1205909999999999</v>
      </c>
      <c r="L6078">
        <v>16.74091</v>
      </c>
      <c r="M6078">
        <v>0.99991379999999996</v>
      </c>
      <c r="N6078">
        <v>-1.0362919999999999E-2</v>
      </c>
      <c r="O6078">
        <v>8.0745019999999904E-3</v>
      </c>
      <c r="P6078">
        <v>0.98567689999999997</v>
      </c>
      <c r="Q6078">
        <v>0.1686127</v>
      </c>
      <c r="R6078">
        <v>3.2646760000000002E-3</v>
      </c>
      <c r="S6078">
        <v>3.038513</v>
      </c>
      <c r="T6078">
        <v>1.254475E-2</v>
      </c>
      <c r="U6078">
        <v>0.66674800000000001</v>
      </c>
      <c r="V6078">
        <v>4.9184520000000002E-3</v>
      </c>
      <c r="W6078">
        <v>0.178812</v>
      </c>
      <c r="X6078">
        <v>0.98387100000000005</v>
      </c>
      <c r="Y6078">
        <v>-0.20644199999999999</v>
      </c>
      <c r="Z6078">
        <v>7.767726E-4</v>
      </c>
      <c r="AA6078">
        <v>0.97845850000000001</v>
      </c>
      <c r="AB6078">
        <v>37</v>
      </c>
      <c r="AC6078">
        <v>87.47</v>
      </c>
      <c r="AD6078">
        <v>0.36188700000000001</v>
      </c>
      <c r="AE6078">
        <v>19.234379999999899</v>
      </c>
      <c r="AF6078">
        <v>-18.5271358557039</v>
      </c>
      <c r="AG6078">
        <v>0.36188700000000001</v>
      </c>
      <c r="AH6078">
        <v>87.621033964350502</v>
      </c>
      <c r="AI6078">
        <v>89.768480750979194</v>
      </c>
      <c r="AJ6078">
        <v>101.93911805581</v>
      </c>
      <c r="AK6078">
        <v>89.559094000544405</v>
      </c>
      <c r="AL6078">
        <v>79.699430534043103</v>
      </c>
      <c r="AM6078">
        <v>89.713576074661106</v>
      </c>
      <c r="AN6078">
        <v>1.0000000335775301</v>
      </c>
    </row>
    <row r="6079" spans="1:40" x14ac:dyDescent="0.25">
      <c r="A6079" t="str">
        <f>"20190303170413077"</f>
        <v>20190303170413077</v>
      </c>
      <c r="B6079" t="str">
        <f>"1551603853071644"</f>
        <v>1551603853071644</v>
      </c>
      <c r="C6079" t="s">
        <v>40</v>
      </c>
      <c r="D6079">
        <v>4.7909319999999997</v>
      </c>
      <c r="E6079">
        <v>0.42261539999999997</v>
      </c>
      <c r="F6079" t="s">
        <v>109</v>
      </c>
      <c r="G6079">
        <v>-280.86259999999999</v>
      </c>
      <c r="H6079">
        <v>1.4969760000000001</v>
      </c>
      <c r="I6079">
        <v>35.879669999999997</v>
      </c>
      <c r="J6079">
        <v>-368.09620000000001</v>
      </c>
      <c r="K6079">
        <v>1.120625</v>
      </c>
      <c r="L6079">
        <v>16.742519999999999</v>
      </c>
      <c r="M6079">
        <v>0.9999131</v>
      </c>
      <c r="N6079">
        <v>-1.066189E-2</v>
      </c>
      <c r="O6079">
        <v>7.7575819999999998E-3</v>
      </c>
      <c r="P6079">
        <v>0.98572170000000003</v>
      </c>
      <c r="Q6079">
        <v>0.16836699999999999</v>
      </c>
      <c r="R6079">
        <v>2.3335750000000001E-3</v>
      </c>
      <c r="S6079">
        <v>3.0391539999999999</v>
      </c>
      <c r="T6079">
        <v>1.307762E-2</v>
      </c>
      <c r="U6079">
        <v>0.66497799999999996</v>
      </c>
      <c r="V6079">
        <v>5.5365609999999997E-3</v>
      </c>
      <c r="W6079">
        <v>0.178860299999999</v>
      </c>
      <c r="X6079">
        <v>0.98385889999999998</v>
      </c>
      <c r="Y6079">
        <v>-0.2061653</v>
      </c>
      <c r="Z6079">
        <v>7.8829300000000002E-4</v>
      </c>
      <c r="AA6079">
        <v>0.97851690000000002</v>
      </c>
      <c r="AB6079">
        <v>37</v>
      </c>
      <c r="AC6079">
        <v>87.233599999999996</v>
      </c>
      <c r="AD6079">
        <v>0.37635099999999999</v>
      </c>
      <c r="AE6079">
        <v>19.137149999999998</v>
      </c>
      <c r="AF6079">
        <v>-18.4594860262787</v>
      </c>
      <c r="AG6079">
        <v>0.37635099999999999</v>
      </c>
      <c r="AH6079">
        <v>87.377889549493304</v>
      </c>
      <c r="AI6079">
        <v>89.758548370309299</v>
      </c>
      <c r="AJ6079">
        <v>101.928925789663</v>
      </c>
      <c r="AK6079">
        <v>89.307277679666399</v>
      </c>
      <c r="AL6079">
        <v>79.6966174305918</v>
      </c>
      <c r="AM6079">
        <v>89.677577516617106</v>
      </c>
      <c r="AN6079">
        <v>0.99999999776650295</v>
      </c>
    </row>
    <row r="6080" spans="1:40" x14ac:dyDescent="0.25">
      <c r="A6080" t="str">
        <f>"20190303170413094"</f>
        <v>20190303170413094</v>
      </c>
      <c r="B6080" t="str">
        <f>"1551603853081404"</f>
        <v>1551603853081404</v>
      </c>
      <c r="C6080" t="s">
        <v>40</v>
      </c>
      <c r="D6080">
        <v>4.7794349999999897</v>
      </c>
      <c r="E6080">
        <v>0.42234440000000001</v>
      </c>
      <c r="F6080" t="s">
        <v>109</v>
      </c>
      <c r="G6080">
        <v>-280.86259999999999</v>
      </c>
      <c r="H6080">
        <v>1.442623</v>
      </c>
      <c r="I6080">
        <v>35.799859999999903</v>
      </c>
      <c r="J6080">
        <v>-367.80279999999999</v>
      </c>
      <c r="K6080">
        <v>1.120655</v>
      </c>
      <c r="L6080">
        <v>16.744450000000001</v>
      </c>
      <c r="M6080">
        <v>0.99991240000000003</v>
      </c>
      <c r="N6080">
        <v>-1.100306E-2</v>
      </c>
      <c r="O6080">
        <v>7.3685729999999998E-3</v>
      </c>
      <c r="P6080">
        <v>0.98570599999999997</v>
      </c>
      <c r="Q6080">
        <v>0.16847509999999999</v>
      </c>
      <c r="R6080">
        <v>1.1580249999999999E-4</v>
      </c>
      <c r="S6080">
        <v>3.0399780000000001</v>
      </c>
      <c r="T6080">
        <v>1.122129E-2</v>
      </c>
      <c r="U6080">
        <v>0.66412349999999998</v>
      </c>
      <c r="V6080">
        <v>7.37104699999999E-3</v>
      </c>
      <c r="W6080">
        <v>0.1793013</v>
      </c>
      <c r="X6080">
        <v>0.98376660000000005</v>
      </c>
      <c r="Y6080">
        <v>-0.20622789999999999</v>
      </c>
      <c r="Z6080">
        <v>8.7866569999999996E-4</v>
      </c>
      <c r="AA6080">
        <v>0.97850360000000003</v>
      </c>
      <c r="AB6080">
        <v>37</v>
      </c>
      <c r="AC6080">
        <v>86.940200000000004</v>
      </c>
      <c r="AD6080">
        <v>0.32196799999999998</v>
      </c>
      <c r="AE6080">
        <v>19.055409999999899</v>
      </c>
      <c r="AF6080">
        <v>-18.413987711615899</v>
      </c>
      <c r="AG6080">
        <v>0.32196799999999998</v>
      </c>
      <c r="AH6080">
        <v>87.077119613294798</v>
      </c>
      <c r="AI6080">
        <v>89.792733199848698</v>
      </c>
      <c r="AJ6080">
        <v>101.940289839752</v>
      </c>
      <c r="AK6080">
        <v>89.003389637612202</v>
      </c>
      <c r="AL6080">
        <v>79.670934900769197</v>
      </c>
      <c r="AM6080">
        <v>89.570709169506202</v>
      </c>
      <c r="AN6080">
        <v>1.00000000589556</v>
      </c>
    </row>
    <row r="6081" spans="1:40" x14ac:dyDescent="0.25">
      <c r="A6081" t="str">
        <f>"20190303170413108"</f>
        <v>20190303170413108</v>
      </c>
      <c r="B6081" t="str">
        <f>"1551603853101901"</f>
        <v>1551603853101901</v>
      </c>
      <c r="C6081" t="s">
        <v>40</v>
      </c>
      <c r="D6081">
        <v>4.7995299999999999</v>
      </c>
      <c r="E6081">
        <v>0.42165940000000002</v>
      </c>
      <c r="F6081" t="s">
        <v>109</v>
      </c>
      <c r="G6081">
        <v>-280.86259999999999</v>
      </c>
      <c r="H6081">
        <v>1.464215</v>
      </c>
      <c r="I6081">
        <v>35.605240000000002</v>
      </c>
      <c r="J6081">
        <v>-367.58479999999997</v>
      </c>
      <c r="K6081">
        <v>1.120671</v>
      </c>
      <c r="L6081">
        <v>16.745729999999998</v>
      </c>
      <c r="M6081">
        <v>0.99991200000000002</v>
      </c>
      <c r="N6081">
        <v>-1.123303E-2</v>
      </c>
      <c r="O6081">
        <v>7.0817619999999897E-3</v>
      </c>
      <c r="P6081">
        <v>0.98573670000000002</v>
      </c>
      <c r="Q6081">
        <v>0.16829479999999999</v>
      </c>
      <c r="R6081">
        <v>-8.6916239999999996E-4</v>
      </c>
      <c r="S6081">
        <v>3.0413510000000001</v>
      </c>
      <c r="T6081">
        <v>1.2018559999999999E-2</v>
      </c>
      <c r="U6081">
        <v>0.65978999999999999</v>
      </c>
      <c r="V6081">
        <v>8.0734080000000007E-3</v>
      </c>
      <c r="W6081">
        <v>0.17934639999999999</v>
      </c>
      <c r="X6081">
        <v>0.98375279999999998</v>
      </c>
      <c r="Y6081">
        <v>-0.2050854</v>
      </c>
      <c r="Z6081">
        <v>8.708864E-4</v>
      </c>
      <c r="AA6081">
        <v>0.97874369999999999</v>
      </c>
      <c r="AB6081">
        <v>37</v>
      </c>
      <c r="AC6081">
        <v>86.722199999999901</v>
      </c>
      <c r="AD6081">
        <v>0.34354400000000002</v>
      </c>
      <c r="AE6081">
        <v>18.85951</v>
      </c>
      <c r="AF6081">
        <v>-18.2445790112351</v>
      </c>
      <c r="AG6081">
        <v>0.34354400000000002</v>
      </c>
      <c r="AH6081">
        <v>86.852290627987202</v>
      </c>
      <c r="AI6081">
        <v>89.778208511551298</v>
      </c>
      <c r="AJ6081">
        <v>101.863316038382</v>
      </c>
      <c r="AK6081">
        <v>88.748538427996095</v>
      </c>
      <c r="AL6081">
        <v>79.668307609308101</v>
      </c>
      <c r="AM6081">
        <v>89.529798725595001</v>
      </c>
      <c r="AN6081">
        <v>0.99999994130876502</v>
      </c>
    </row>
    <row r="6082" spans="1:40" x14ac:dyDescent="0.25">
      <c r="A6082" t="str">
        <f>"20190303170413122"</f>
        <v>20190303170413122</v>
      </c>
      <c r="B6082" t="str">
        <f>"1551603853111660"</f>
        <v>1551603853111660</v>
      </c>
      <c r="C6082" t="s">
        <v>40</v>
      </c>
      <c r="D6082">
        <v>4.8105270000000004</v>
      </c>
      <c r="E6082">
        <v>0.42142420000000003</v>
      </c>
      <c r="F6082" t="s">
        <v>109</v>
      </c>
      <c r="G6082">
        <v>-280.86259999999999</v>
      </c>
      <c r="H6082">
        <v>1.456528</v>
      </c>
      <c r="I6082">
        <v>35.630969999999998</v>
      </c>
      <c r="J6082">
        <v>-367.3467</v>
      </c>
      <c r="K6082">
        <v>1.12069</v>
      </c>
      <c r="L6082">
        <v>16.747129999999999</v>
      </c>
      <c r="M6082">
        <v>0.99991140000000001</v>
      </c>
      <c r="N6082">
        <v>-1.14705E-2</v>
      </c>
      <c r="O6082">
        <v>6.7689530000000003E-3</v>
      </c>
      <c r="P6082">
        <v>0.98576439999999999</v>
      </c>
      <c r="Q6082">
        <v>0.16812050000000001</v>
      </c>
      <c r="R6082">
        <v>-2.121216E-3</v>
      </c>
      <c r="S6082">
        <v>3.041992</v>
      </c>
      <c r="T6082">
        <v>1.1781099999999999E-2</v>
      </c>
      <c r="U6082">
        <v>0.66244510000000001</v>
      </c>
      <c r="V6082">
        <v>9.0173930000000003E-3</v>
      </c>
      <c r="W6082">
        <v>0.17940500000000001</v>
      </c>
      <c r="X6082">
        <v>0.983734</v>
      </c>
      <c r="Y6082">
        <v>-0.2061644</v>
      </c>
      <c r="Z6082">
        <v>9.0420349999999997E-4</v>
      </c>
      <c r="AA6082">
        <v>0.97851690000000002</v>
      </c>
      <c r="AB6082">
        <v>37</v>
      </c>
      <c r="AC6082">
        <v>86.484099999999998</v>
      </c>
      <c r="AD6082">
        <v>0.33583800000000003</v>
      </c>
      <c r="AE6082">
        <v>18.883839999999999</v>
      </c>
      <c r="AF6082">
        <v>-18.297698692192</v>
      </c>
      <c r="AG6082">
        <v>0.33583800000000003</v>
      </c>
      <c r="AH6082">
        <v>86.608704060682598</v>
      </c>
      <c r="AI6082">
        <v>89.782626459843499</v>
      </c>
      <c r="AJ6082">
        <v>101.92937610638501</v>
      </c>
      <c r="AK6082">
        <v>88.521105865569695</v>
      </c>
      <c r="AL6082">
        <v>79.664895596873905</v>
      </c>
      <c r="AM6082">
        <v>89.474813220689597</v>
      </c>
      <c r="AN6082">
        <v>1.00000002507875</v>
      </c>
    </row>
    <row r="6083" spans="1:40" x14ac:dyDescent="0.25">
      <c r="A6083" t="str">
        <f>"20190303170413139"</f>
        <v>20190303170413139</v>
      </c>
      <c r="B6083" t="str">
        <f>"1551603853132156"</f>
        <v>1551603853132156</v>
      </c>
      <c r="C6083" t="s">
        <v>40</v>
      </c>
      <c r="D6083">
        <v>4.842104</v>
      </c>
      <c r="E6083">
        <v>0.4208344</v>
      </c>
      <c r="F6083" t="s">
        <v>109</v>
      </c>
      <c r="G6083">
        <v>-280.86259999999999</v>
      </c>
      <c r="H6083">
        <v>1.4382440000000001</v>
      </c>
      <c r="I6083">
        <v>35.521639999999998</v>
      </c>
      <c r="J6083">
        <v>-367.0489</v>
      </c>
      <c r="K6083">
        <v>1.120708</v>
      </c>
      <c r="L6083">
        <v>16.748750000000001</v>
      </c>
      <c r="M6083">
        <v>0.99991070000000004</v>
      </c>
      <c r="N6083">
        <v>-1.174247E-2</v>
      </c>
      <c r="O6083">
        <v>6.3775819999999997E-3</v>
      </c>
      <c r="P6083">
        <v>0.98572990000000005</v>
      </c>
      <c r="Q6083">
        <v>0.16827500000000001</v>
      </c>
      <c r="R6083">
        <v>-4.4585199999999997E-3</v>
      </c>
      <c r="S6083">
        <v>3.0428160000000002</v>
      </c>
      <c r="T6083">
        <v>1.117277E-2</v>
      </c>
      <c r="U6083">
        <v>0.66055299999999995</v>
      </c>
      <c r="V6083">
        <v>1.0969029999999999E-2</v>
      </c>
      <c r="W6083">
        <v>0.17982429999999999</v>
      </c>
      <c r="X6083">
        <v>0.9836376</v>
      </c>
      <c r="Y6083">
        <v>-0.20591129999999999</v>
      </c>
      <c r="Z6083">
        <v>9.4640429999999997E-4</v>
      </c>
      <c r="AA6083">
        <v>0.97857019999999995</v>
      </c>
      <c r="AB6083">
        <v>37</v>
      </c>
      <c r="AC6083">
        <v>86.186300000000003</v>
      </c>
      <c r="AD6083">
        <v>0.31753599999999998</v>
      </c>
      <c r="AE6083">
        <v>18.77289</v>
      </c>
      <c r="AF6083">
        <v>-18.222573909680101</v>
      </c>
      <c r="AG6083">
        <v>0.31753599999999998</v>
      </c>
      <c r="AH6083">
        <v>86.303162470709495</v>
      </c>
      <c r="AI6083">
        <v>89.793739717257097</v>
      </c>
      <c r="AJ6083">
        <v>101.92265626941899</v>
      </c>
      <c r="AK6083">
        <v>88.206569378083898</v>
      </c>
      <c r="AL6083">
        <v>79.640474191534906</v>
      </c>
      <c r="AM6083">
        <v>89.3610928713871</v>
      </c>
      <c r="AN6083">
        <v>1.00000001331169</v>
      </c>
    </row>
    <row r="6084" spans="1:40" x14ac:dyDescent="0.25">
      <c r="A6084" t="str">
        <f>"20190303170413161"</f>
        <v>20190303170413161</v>
      </c>
      <c r="B6084" t="str">
        <f>"1551603853151677"</f>
        <v>1551603853151677</v>
      </c>
      <c r="C6084" t="s">
        <v>40</v>
      </c>
      <c r="D6084">
        <v>4.8449210000000003</v>
      </c>
      <c r="E6084">
        <v>0.42007800000000001</v>
      </c>
      <c r="F6084" t="s">
        <v>109</v>
      </c>
      <c r="G6084">
        <v>-280.86259999999999</v>
      </c>
      <c r="H6084">
        <v>1.4736990000000001</v>
      </c>
      <c r="I6084">
        <v>35.376159999999999</v>
      </c>
      <c r="J6084">
        <v>-366.70740000000001</v>
      </c>
      <c r="K6084">
        <v>1.120735</v>
      </c>
      <c r="L6084">
        <v>16.75046</v>
      </c>
      <c r="M6084">
        <v>0.99991030000000003</v>
      </c>
      <c r="N6084">
        <v>-1.2020609999999999E-2</v>
      </c>
      <c r="O6084">
        <v>5.926728E-3</v>
      </c>
      <c r="P6084">
        <v>0.98553970000000002</v>
      </c>
      <c r="Q6084">
        <v>0.16931099999999999</v>
      </c>
      <c r="R6084">
        <v>-6.7409810000000001E-3</v>
      </c>
      <c r="S6084">
        <v>3.0442809999999998</v>
      </c>
      <c r="T6084">
        <v>1.2468460000000001E-2</v>
      </c>
      <c r="U6084">
        <v>0.65795899999999996</v>
      </c>
      <c r="V6084">
        <v>1.280674E-2</v>
      </c>
      <c r="W6084">
        <v>0.1811296</v>
      </c>
      <c r="X6084">
        <v>0.98337580000000002</v>
      </c>
      <c r="Y6084">
        <v>-0.20545869999999999</v>
      </c>
      <c r="Z6084">
        <v>9.2748929999999998E-4</v>
      </c>
      <c r="AA6084">
        <v>0.97866540000000002</v>
      </c>
      <c r="AB6084">
        <v>37</v>
      </c>
      <c r="AC6084">
        <v>85.844800000000006</v>
      </c>
      <c r="AD6084">
        <v>0.352963999999999</v>
      </c>
      <c r="AE6084">
        <v>18.625699999999998</v>
      </c>
      <c r="AF6084">
        <v>-18.116264843959001</v>
      </c>
      <c r="AG6084">
        <v>0.352963999999999</v>
      </c>
      <c r="AH6084">
        <v>85.952301740542396</v>
      </c>
      <c r="AI6084">
        <v>89.769773836699699</v>
      </c>
      <c r="AJ6084">
        <v>101.902089584123</v>
      </c>
      <c r="AK6084">
        <v>87.841458378029003</v>
      </c>
      <c r="AL6084">
        <v>79.564436799352293</v>
      </c>
      <c r="AM6084">
        <v>89.2538654380335</v>
      </c>
      <c r="AN6084">
        <v>0.99999995430561195</v>
      </c>
    </row>
    <row r="6085" spans="1:40" x14ac:dyDescent="0.25">
      <c r="A6085" t="str">
        <f>"20190303170413172"</f>
        <v>20190303170413172</v>
      </c>
      <c r="B6085" t="str">
        <f>"1551603853161436"</f>
        <v>1551603853161436</v>
      </c>
      <c r="C6085" t="s">
        <v>40</v>
      </c>
      <c r="D6085">
        <v>4.8786500000000004</v>
      </c>
      <c r="E6085">
        <v>0.41978270000000001</v>
      </c>
      <c r="F6085" t="s">
        <v>109</v>
      </c>
      <c r="G6085">
        <v>-280.74829999999997</v>
      </c>
      <c r="H6085">
        <v>1.591804</v>
      </c>
      <c r="I6085">
        <v>35.287659999999903</v>
      </c>
      <c r="J6085">
        <v>-366.52199999999999</v>
      </c>
      <c r="K6085">
        <v>1.120754</v>
      </c>
      <c r="L6085">
        <v>16.751339999999999</v>
      </c>
      <c r="M6085">
        <v>0.99990999999999997</v>
      </c>
      <c r="N6085">
        <v>-1.2159420000000001E-2</v>
      </c>
      <c r="O6085">
        <v>5.6812690000000001E-3</v>
      </c>
      <c r="P6085">
        <v>0.98542510000000005</v>
      </c>
      <c r="Q6085">
        <v>0.1699386</v>
      </c>
      <c r="R6085">
        <v>-7.650156E-3</v>
      </c>
      <c r="S6085">
        <v>3.0456539999999999</v>
      </c>
      <c r="T6085">
        <v>1.6690730000000001E-2</v>
      </c>
      <c r="U6085">
        <v>0.65679929999999997</v>
      </c>
      <c r="V6085">
        <v>1.347361E-2</v>
      </c>
      <c r="W6085">
        <v>0.1818911</v>
      </c>
      <c r="X6085">
        <v>0.98322639999999994</v>
      </c>
      <c r="Y6085">
        <v>-0.2052523</v>
      </c>
      <c r="Z6085">
        <v>8.0515830000000004E-4</v>
      </c>
      <c r="AA6085">
        <v>0.97870869999999999</v>
      </c>
      <c r="AB6085">
        <v>37</v>
      </c>
      <c r="AC6085">
        <v>85.773700000000005</v>
      </c>
      <c r="AD6085">
        <v>0.47105000000000002</v>
      </c>
      <c r="AE6085">
        <v>18.53632</v>
      </c>
      <c r="AF6085">
        <v>-18.0481613103399</v>
      </c>
      <c r="AG6085">
        <v>0.47105000000000002</v>
      </c>
      <c r="AH6085">
        <v>85.875158731282795</v>
      </c>
      <c r="AI6085">
        <v>89.6924383102848</v>
      </c>
      <c r="AJ6085">
        <v>101.86896659516</v>
      </c>
      <c r="AK6085">
        <v>87.752497981023694</v>
      </c>
      <c r="AL6085">
        <v>79.520069893019695</v>
      </c>
      <c r="AM6085">
        <v>89.214898347826207</v>
      </c>
      <c r="AN6085">
        <v>1.0000000320413001</v>
      </c>
    </row>
    <row r="6086" spans="1:40" x14ac:dyDescent="0.25">
      <c r="A6086" t="str">
        <f>"20190303170413183"</f>
        <v>20190303170413183</v>
      </c>
      <c r="B6086" t="str">
        <f>"1551603853172173"</f>
        <v>1551603853172173</v>
      </c>
      <c r="C6086" t="s">
        <v>40</v>
      </c>
      <c r="D6086">
        <v>4.8717350000000001</v>
      </c>
      <c r="E6086">
        <v>0.41978270000000001</v>
      </c>
      <c r="F6086" t="s">
        <v>109</v>
      </c>
      <c r="G6086">
        <v>-280.45870000000002</v>
      </c>
      <c r="H6086">
        <v>1.652145</v>
      </c>
      <c r="I6086">
        <v>35.287640000000003</v>
      </c>
      <c r="J6086">
        <v>-366.33839999999998</v>
      </c>
      <c r="K6086">
        <v>1.1207640000000001</v>
      </c>
      <c r="L6086">
        <v>16.752140000000001</v>
      </c>
      <c r="M6086">
        <v>0.99990979999999996</v>
      </c>
      <c r="N6086">
        <v>-1.2285300000000001E-2</v>
      </c>
      <c r="O6086">
        <v>5.4376779999999996E-3</v>
      </c>
      <c r="P6086">
        <v>0.98530689999999999</v>
      </c>
      <c r="Q6086">
        <v>0.17058180000000001</v>
      </c>
      <c r="R6086">
        <v>-8.5032990000000006E-3</v>
      </c>
      <c r="S6086">
        <v>3.0462340000000001</v>
      </c>
      <c r="T6086">
        <v>1.880884E-2</v>
      </c>
      <c r="U6086">
        <v>0.65609740000000005</v>
      </c>
      <c r="V6086">
        <v>1.408656E-2</v>
      </c>
      <c r="W6086">
        <v>0.1826554</v>
      </c>
      <c r="X6086">
        <v>0.98307610000000001</v>
      </c>
      <c r="Y6086">
        <v>-0.205237</v>
      </c>
      <c r="Z6086">
        <v>7.4784639999999996E-4</v>
      </c>
      <c r="AA6086">
        <v>0.97871200000000003</v>
      </c>
      <c r="AB6086">
        <v>37</v>
      </c>
      <c r="AC6086">
        <v>85.8796999999999</v>
      </c>
      <c r="AD6086">
        <v>0.53138099999999999</v>
      </c>
      <c r="AE6086">
        <v>18.535499999999999</v>
      </c>
      <c r="AF6086">
        <v>-18.067543617587699</v>
      </c>
      <c r="AG6086">
        <v>0.53138099999999999</v>
      </c>
      <c r="AH6086">
        <v>85.976082717337803</v>
      </c>
      <c r="AI6086">
        <v>89.6534532059068</v>
      </c>
      <c r="AJ6086">
        <v>101.867799514946</v>
      </c>
      <c r="AK6086">
        <v>87.855593433537905</v>
      </c>
      <c r="AL6086">
        <v>79.475532533985898</v>
      </c>
      <c r="AM6086">
        <v>89.179061311578494</v>
      </c>
      <c r="AN6086">
        <v>1.0000000223565</v>
      </c>
    </row>
    <row r="6087" spans="1:40" x14ac:dyDescent="0.25">
      <c r="A6087" t="str">
        <f>"20190303170413195"</f>
        <v>20190303170413195</v>
      </c>
      <c r="B6087" t="str">
        <f>"1551603853191694"</f>
        <v>1551603853191694</v>
      </c>
      <c r="C6087" t="s">
        <v>40</v>
      </c>
      <c r="D6087">
        <v>4.8791079999999996</v>
      </c>
      <c r="E6087">
        <v>0.41362389999999999</v>
      </c>
      <c r="F6087" t="s">
        <v>109</v>
      </c>
      <c r="G6087">
        <v>-279.91770000000002</v>
      </c>
      <c r="H6087">
        <v>1.708936</v>
      </c>
      <c r="I6087">
        <v>35.287619999999997</v>
      </c>
      <c r="J6087">
        <v>-366.13889999999998</v>
      </c>
      <c r="K6087">
        <v>1.1207769999999999</v>
      </c>
      <c r="L6087">
        <v>16.75299</v>
      </c>
      <c r="M6087">
        <v>0.99990959999999995</v>
      </c>
      <c r="N6087">
        <v>-1.241723E-2</v>
      </c>
      <c r="O6087">
        <v>5.1726430000000002E-3</v>
      </c>
      <c r="P6087">
        <v>0.98519749999999995</v>
      </c>
      <c r="Q6087">
        <v>0.17116500000000001</v>
      </c>
      <c r="R6087">
        <v>-9.423407E-3</v>
      </c>
      <c r="S6087">
        <v>3.046783</v>
      </c>
      <c r="T6087">
        <v>2.073622E-2</v>
      </c>
      <c r="U6087">
        <v>0.65347290000000002</v>
      </c>
      <c r="V6087">
        <v>1.4745100000000001E-2</v>
      </c>
      <c r="W6087">
        <v>0.18336649999999999</v>
      </c>
      <c r="X6087">
        <v>0.98293410000000003</v>
      </c>
      <c r="Y6087">
        <v>-0.20465430000000001</v>
      </c>
      <c r="Z6087">
        <v>6.9466839999999998E-4</v>
      </c>
      <c r="AA6087">
        <v>0.97883410000000004</v>
      </c>
      <c r="AB6087">
        <v>37</v>
      </c>
      <c r="AC6087">
        <v>86.221199999999897</v>
      </c>
      <c r="AD6087">
        <v>0.58815899999999899</v>
      </c>
      <c r="AE6087">
        <v>18.53463</v>
      </c>
      <c r="AF6087">
        <v>-18.087551669071399</v>
      </c>
      <c r="AG6087">
        <v>0.58815899999999899</v>
      </c>
      <c r="AH6087">
        <v>86.312087782841303</v>
      </c>
      <c r="AI6087">
        <v>89.617873921907602</v>
      </c>
      <c r="AJ6087">
        <v>101.835625644511</v>
      </c>
      <c r="AK6087">
        <v>88.188899266424201</v>
      </c>
      <c r="AL6087">
        <v>79.434090058809502</v>
      </c>
      <c r="AM6087">
        <v>89.140564321354205</v>
      </c>
      <c r="AN6087">
        <v>1.00000006811953</v>
      </c>
    </row>
    <row r="6088" spans="1:40" x14ac:dyDescent="0.25">
      <c r="A6088" t="str">
        <f>"20190303170413206"</f>
        <v>20190303170413206</v>
      </c>
      <c r="B6088" t="str">
        <f>"1551603853201452"</f>
        <v>1551603853201452</v>
      </c>
      <c r="C6088" t="s">
        <v>40</v>
      </c>
      <c r="D6088">
        <v>4.8769869999999997</v>
      </c>
      <c r="E6088">
        <v>0.4132226</v>
      </c>
      <c r="F6088" t="s">
        <v>109</v>
      </c>
      <c r="G6088">
        <v>-280.86259999999999</v>
      </c>
      <c r="H6088">
        <v>1.9676910000000001</v>
      </c>
      <c r="I6088">
        <v>36.334560000000003</v>
      </c>
      <c r="J6088">
        <v>-365.95600000000002</v>
      </c>
      <c r="K6088">
        <v>1.12079</v>
      </c>
      <c r="L6088">
        <v>16.753689999999999</v>
      </c>
      <c r="M6088">
        <v>0.99990959999999995</v>
      </c>
      <c r="N6088">
        <v>-1.252458E-2</v>
      </c>
      <c r="O6088">
        <v>4.9294610000000004E-3</v>
      </c>
      <c r="P6088">
        <v>0.98522259999999995</v>
      </c>
      <c r="Q6088">
        <v>0.17098179999999999</v>
      </c>
      <c r="R6088">
        <v>-1.01067E-2</v>
      </c>
      <c r="S6088">
        <v>3.0465089999999999</v>
      </c>
      <c r="T6088">
        <v>3.0256269999999998E-2</v>
      </c>
      <c r="U6088">
        <v>0.69955440000000002</v>
      </c>
      <c r="V6088">
        <v>1.5188419999999999E-2</v>
      </c>
      <c r="W6088">
        <v>0.1832887</v>
      </c>
      <c r="X6088">
        <v>0.98294179999999998</v>
      </c>
      <c r="Y6088">
        <v>-0.2189972</v>
      </c>
      <c r="Z6088">
        <v>4.2487219999999998E-4</v>
      </c>
      <c r="AA6088">
        <v>0.97572539999999996</v>
      </c>
      <c r="AB6088">
        <v>37</v>
      </c>
      <c r="AC6088">
        <v>85.093399999999903</v>
      </c>
      <c r="AD6088">
        <v>0.84690100000000001</v>
      </c>
      <c r="AE6088">
        <v>19.580870000000001</v>
      </c>
      <c r="AF6088">
        <v>-19.159332257957299</v>
      </c>
      <c r="AG6088">
        <v>0.84690100000000001</v>
      </c>
      <c r="AH6088">
        <v>85.180883423057097</v>
      </c>
      <c r="AI6088">
        <v>89.444245992853396</v>
      </c>
      <c r="AJ6088">
        <v>102.67630742504301</v>
      </c>
      <c r="AK6088">
        <v>87.313115593288998</v>
      </c>
      <c r="AL6088">
        <v>79.438623888342505</v>
      </c>
      <c r="AM6088">
        <v>89.114735874269599</v>
      </c>
      <c r="AN6088">
        <v>1.0000000089185099</v>
      </c>
    </row>
    <row r="6089" spans="1:40" x14ac:dyDescent="0.25">
      <c r="A6089" t="str">
        <f>"20190303170413219"</f>
        <v>20190303170413219</v>
      </c>
      <c r="B6089" t="str">
        <f>"1551603853212189"</f>
        <v>1551603853212189</v>
      </c>
      <c r="C6089" t="s">
        <v>40</v>
      </c>
      <c r="D6089">
        <v>4.8892870000000004</v>
      </c>
      <c r="E6089">
        <v>0.41305770000000003</v>
      </c>
      <c r="F6089" t="s">
        <v>109</v>
      </c>
      <c r="G6089">
        <v>-280.86250000000001</v>
      </c>
      <c r="H6089">
        <v>1.9767650000000001</v>
      </c>
      <c r="I6089">
        <v>36.33249</v>
      </c>
      <c r="J6089">
        <v>-365.76620000000003</v>
      </c>
      <c r="K6089">
        <v>1.120798</v>
      </c>
      <c r="L6089">
        <v>16.754390000000001</v>
      </c>
      <c r="M6089">
        <v>0.9999093</v>
      </c>
      <c r="N6089">
        <v>-1.263251E-2</v>
      </c>
      <c r="O6089">
        <v>4.6771490000000002E-3</v>
      </c>
      <c r="P6089">
        <v>0.98527350000000002</v>
      </c>
      <c r="Q6089">
        <v>0.17061479999999901</v>
      </c>
      <c r="R6089">
        <v>-1.126046E-2</v>
      </c>
      <c r="S6089">
        <v>3.0469059999999999</v>
      </c>
      <c r="T6089">
        <v>3.0649659999999999E-2</v>
      </c>
      <c r="U6089">
        <v>0.70104979999999995</v>
      </c>
      <c r="V6089">
        <v>1.6093090000000001E-2</v>
      </c>
      <c r="W6089">
        <v>0.18302760000000001</v>
      </c>
      <c r="X6089">
        <v>0.98297599999999996</v>
      </c>
      <c r="Y6089">
        <v>-0.21967039999999999</v>
      </c>
      <c r="Z6089">
        <v>4.1960899999999999E-4</v>
      </c>
      <c r="AA6089">
        <v>0.97557400000000005</v>
      </c>
      <c r="AB6089">
        <v>37</v>
      </c>
      <c r="AC6089">
        <v>84.903700000000001</v>
      </c>
      <c r="AD6089">
        <v>0.85596700000000003</v>
      </c>
      <c r="AE6089">
        <v>19.578099999999999</v>
      </c>
      <c r="AF6089">
        <v>-19.178895982152699</v>
      </c>
      <c r="AG6089">
        <v>0.85596700000000003</v>
      </c>
      <c r="AH6089">
        <v>84.986146372779999</v>
      </c>
      <c r="AI6089">
        <v>89.437100062589494</v>
      </c>
      <c r="AJ6089">
        <v>102.71696306026899</v>
      </c>
      <c r="AK6089">
        <v>87.1275375865456</v>
      </c>
      <c r="AL6089">
        <v>79.453840647322906</v>
      </c>
      <c r="AM6089">
        <v>89.062048547188496</v>
      </c>
      <c r="AN6089">
        <v>0.99999995324175295</v>
      </c>
    </row>
    <row r="6090" spans="1:40" x14ac:dyDescent="0.25">
      <c r="A6090" t="str">
        <f>"20190303170413229"</f>
        <v>20190303170413229</v>
      </c>
      <c r="B6090" t="str">
        <f>"1551603853221949"</f>
        <v>1551603853221949</v>
      </c>
      <c r="C6090" t="s">
        <v>40</v>
      </c>
      <c r="D6090">
        <v>4.9193389999999999</v>
      </c>
      <c r="E6090">
        <v>0.41284209999999899</v>
      </c>
      <c r="F6090" t="s">
        <v>109</v>
      </c>
      <c r="G6090">
        <v>-280.86259999999999</v>
      </c>
      <c r="H6090">
        <v>1.9366270000000001</v>
      </c>
      <c r="I6090">
        <v>36.223680000000002</v>
      </c>
      <c r="J6090">
        <v>-365.56819999999999</v>
      </c>
      <c r="K6090">
        <v>1.120806</v>
      </c>
      <c r="L6090">
        <v>16.75507</v>
      </c>
      <c r="M6090">
        <v>0.99990919999999905</v>
      </c>
      <c r="N6090">
        <v>-1.27353E-2</v>
      </c>
      <c r="O6090">
        <v>4.4140780000000001E-3</v>
      </c>
      <c r="P6090">
        <v>0.98537669999999999</v>
      </c>
      <c r="Q6090">
        <v>0.16992929999999901</v>
      </c>
      <c r="R6090">
        <v>-1.252463E-2</v>
      </c>
      <c r="S6090">
        <v>3.0477599999999998</v>
      </c>
      <c r="T6090">
        <v>2.928567E-2</v>
      </c>
      <c r="U6090">
        <v>0.69888309999999998</v>
      </c>
      <c r="V6090">
        <v>1.7097390000000001E-2</v>
      </c>
      <c r="W6090">
        <v>0.18244299999999999</v>
      </c>
      <c r="X6090">
        <v>0.98306780000000005</v>
      </c>
      <c r="Y6090">
        <v>-0.21920880000000001</v>
      </c>
      <c r="Z6090">
        <v>4.7147479999999999E-4</v>
      </c>
      <c r="AA6090">
        <v>0.97567780000000004</v>
      </c>
      <c r="AB6090">
        <v>37</v>
      </c>
      <c r="AC6090">
        <v>84.705600000000004</v>
      </c>
      <c r="AD6090">
        <v>0.81582100000000002</v>
      </c>
      <c r="AE6090">
        <v>19.468610000000002</v>
      </c>
      <c r="AF6090">
        <v>-19.0928106645251</v>
      </c>
      <c r="AG6090">
        <v>0.81582100000000002</v>
      </c>
      <c r="AH6090">
        <v>84.783247612449301</v>
      </c>
      <c r="AI6090">
        <v>89.462160558615693</v>
      </c>
      <c r="AJ6090">
        <v>102.69104773210999</v>
      </c>
      <c r="AK6090">
        <v>86.910298921873107</v>
      </c>
      <c r="AL6090">
        <v>79.487910267577803</v>
      </c>
      <c r="AM6090">
        <v>89.003619551087596</v>
      </c>
      <c r="AN6090">
        <v>1.0000000341953199</v>
      </c>
    </row>
    <row r="6091" spans="1:40" x14ac:dyDescent="0.25">
      <c r="A6091" t="str">
        <f>"20190303170413240"</f>
        <v>20190303170413240</v>
      </c>
      <c r="B6091" t="str">
        <f>"1551603853231708"</f>
        <v>1551603853231708</v>
      </c>
      <c r="C6091" t="s">
        <v>40</v>
      </c>
      <c r="D6091">
        <v>4.9270690000000004</v>
      </c>
      <c r="E6091">
        <v>0.4127132</v>
      </c>
      <c r="F6091" t="s">
        <v>109</v>
      </c>
      <c r="G6091">
        <v>-280.86250000000001</v>
      </c>
      <c r="H6091">
        <v>1.8793040000000001</v>
      </c>
      <c r="I6091">
        <v>36.10275</v>
      </c>
      <c r="J6091">
        <v>-365.39260000000002</v>
      </c>
      <c r="K6091">
        <v>1.120811</v>
      </c>
      <c r="L6091">
        <v>16.75562</v>
      </c>
      <c r="M6091">
        <v>0.9999091</v>
      </c>
      <c r="N6091">
        <v>-1.282047E-2</v>
      </c>
      <c r="O6091">
        <v>4.1808629999999999E-3</v>
      </c>
      <c r="P6091">
        <v>0.9854482</v>
      </c>
      <c r="Q6091">
        <v>0.16942380000000001</v>
      </c>
      <c r="R6091">
        <v>-1.370529E-2</v>
      </c>
      <c r="S6091">
        <v>3.0486759999999999</v>
      </c>
      <c r="T6091">
        <v>2.7299520000000001E-2</v>
      </c>
      <c r="U6091">
        <v>0.69635009999999997</v>
      </c>
      <c r="V6091">
        <v>1.8047500000000001E-2</v>
      </c>
      <c r="W6091">
        <v>0.18202099999999999</v>
      </c>
      <c r="X6091">
        <v>0.98312900000000003</v>
      </c>
      <c r="Y6091">
        <v>-0.21860250000000001</v>
      </c>
      <c r="Z6091">
        <v>5.4275310000000002E-4</v>
      </c>
      <c r="AA6091">
        <v>0.97581390000000001</v>
      </c>
      <c r="AB6091">
        <v>37</v>
      </c>
      <c r="AC6091">
        <v>84.530100000000004</v>
      </c>
      <c r="AD6091">
        <v>0.75849299999999997</v>
      </c>
      <c r="AE6091">
        <v>19.34713</v>
      </c>
      <c r="AF6091">
        <v>-18.9920700345324</v>
      </c>
      <c r="AG6091">
        <v>0.75849299999999997</v>
      </c>
      <c r="AH6091">
        <v>84.603782597601295</v>
      </c>
      <c r="AI6091">
        <v>89.498815574670502</v>
      </c>
      <c r="AJ6091">
        <v>102.652159438048</v>
      </c>
      <c r="AK6091">
        <v>86.7125946195235</v>
      </c>
      <c r="AL6091">
        <v>79.512500411413697</v>
      </c>
      <c r="AM6091">
        <v>88.948327787144805</v>
      </c>
      <c r="AN6091">
        <v>0.99999999366912495</v>
      </c>
    </row>
    <row r="6092" spans="1:40" x14ac:dyDescent="0.25">
      <c r="A6092" t="str">
        <f>"20190303170413251"</f>
        <v>20190303170413251</v>
      </c>
      <c r="B6092" t="str">
        <f>"1551603853241468"</f>
        <v>1551603853241468</v>
      </c>
      <c r="C6092" t="s">
        <v>40</v>
      </c>
      <c r="D6092">
        <v>4.9238559999999998</v>
      </c>
      <c r="E6092">
        <v>0.41250910000000002</v>
      </c>
      <c r="F6092" t="s">
        <v>109</v>
      </c>
      <c r="G6092">
        <v>-280.86250000000001</v>
      </c>
      <c r="H6092">
        <v>1.83324</v>
      </c>
      <c r="I6092">
        <v>35.981450000000002</v>
      </c>
      <c r="J6092">
        <v>-365.21609999999998</v>
      </c>
      <c r="K6092">
        <v>1.120816</v>
      </c>
      <c r="L6092">
        <v>16.756129999999999</v>
      </c>
      <c r="M6092">
        <v>0.9999091</v>
      </c>
      <c r="N6092">
        <v>-1.290115E-2</v>
      </c>
      <c r="O6092">
        <v>3.9464249999999999E-3</v>
      </c>
      <c r="P6092">
        <v>0.98543539999999996</v>
      </c>
      <c r="Q6092">
        <v>0.16937240000000001</v>
      </c>
      <c r="R6092">
        <v>-1.516612E-2</v>
      </c>
      <c r="S6092">
        <v>3.0495610000000002</v>
      </c>
      <c r="T6092">
        <v>2.5702119999999998E-2</v>
      </c>
      <c r="U6092">
        <v>0.69360350000000004</v>
      </c>
      <c r="V6092">
        <v>1.9277289999999999E-2</v>
      </c>
      <c r="W6092">
        <v>0.18204780000000001</v>
      </c>
      <c r="X6092">
        <v>0.98310070000000005</v>
      </c>
      <c r="Y6092">
        <v>-0.2179344</v>
      </c>
      <c r="Z6092">
        <v>5.9989210000000002E-4</v>
      </c>
      <c r="AA6092">
        <v>0.97596320000000003</v>
      </c>
      <c r="AB6092">
        <v>37</v>
      </c>
      <c r="AC6092">
        <v>84.353599999999901</v>
      </c>
      <c r="AD6092">
        <v>0.71242399999999995</v>
      </c>
      <c r="AE6092">
        <v>19.22532</v>
      </c>
      <c r="AF6092">
        <v>-18.8909664915044</v>
      </c>
      <c r="AG6092">
        <v>0.71242399999999995</v>
      </c>
      <c r="AH6092">
        <v>84.423096095824704</v>
      </c>
      <c r="AI6092">
        <v>89.5281752047498</v>
      </c>
      <c r="AJ6092">
        <v>102.61303598078599</v>
      </c>
      <c r="AK6092">
        <v>86.513786862810306</v>
      </c>
      <c r="AL6092">
        <v>79.510938869610001</v>
      </c>
      <c r="AM6092">
        <v>88.876650348025606</v>
      </c>
      <c r="AN6092">
        <v>1.00000000086753</v>
      </c>
    </row>
    <row r="6093" spans="1:40" x14ac:dyDescent="0.25">
      <c r="A6093" t="str">
        <f>"20190303170413264"</f>
        <v>20190303170413264</v>
      </c>
      <c r="B6093" t="str">
        <f>"1551603853252206"</f>
        <v>1551603853252206</v>
      </c>
      <c r="C6093" t="s">
        <v>40</v>
      </c>
      <c r="D6093">
        <v>4.9370810000000001</v>
      </c>
      <c r="E6093">
        <v>0.41228120000000001</v>
      </c>
      <c r="F6093" t="s">
        <v>109</v>
      </c>
      <c r="G6093">
        <v>-280.86250000000001</v>
      </c>
      <c r="H6093">
        <v>1.857278</v>
      </c>
      <c r="I6093">
        <v>35.851599999999998</v>
      </c>
      <c r="J6093">
        <v>-365.01889999999997</v>
      </c>
      <c r="K6093">
        <v>1.1208229999999999</v>
      </c>
      <c r="L6093">
        <v>16.75665</v>
      </c>
      <c r="M6093">
        <v>0.99990900000000005</v>
      </c>
      <c r="N6093">
        <v>-1.298353E-2</v>
      </c>
      <c r="O6093">
        <v>3.6843760000000001E-3</v>
      </c>
      <c r="P6093">
        <v>0.98538539999999997</v>
      </c>
      <c r="Q6093">
        <v>0.16952590000000001</v>
      </c>
      <c r="R6093">
        <v>-1.6634530000000002E-2</v>
      </c>
      <c r="S6093">
        <v>3.050354</v>
      </c>
      <c r="T6093">
        <v>2.6631709999999999E-2</v>
      </c>
      <c r="U6093">
        <v>0.69052119999999995</v>
      </c>
      <c r="V6093">
        <v>2.048695E-2</v>
      </c>
      <c r="W6093">
        <v>0.18227930000000001</v>
      </c>
      <c r="X6093">
        <v>0.98303339999999995</v>
      </c>
      <c r="Y6093">
        <v>-0.21719730000000001</v>
      </c>
      <c r="Z6093">
        <v>5.7038149999999997E-4</v>
      </c>
      <c r="AA6093">
        <v>0.97612759999999998</v>
      </c>
      <c r="AB6093">
        <v>37</v>
      </c>
      <c r="AC6093">
        <v>84.156399999999906</v>
      </c>
      <c r="AD6093">
        <v>0.73645499999999997</v>
      </c>
      <c r="AE6093">
        <v>19.094950000000001</v>
      </c>
      <c r="AF6093">
        <v>-18.783362430605401</v>
      </c>
      <c r="AG6093">
        <v>0.73645499999999997</v>
      </c>
      <c r="AH6093">
        <v>84.220053780679294</v>
      </c>
      <c r="AI6093">
        <v>89.511008081517105</v>
      </c>
      <c r="AJ6093">
        <v>102.572751374346</v>
      </c>
      <c r="AK6093">
        <v>86.292378162773005</v>
      </c>
      <c r="AL6093">
        <v>79.497449839132102</v>
      </c>
      <c r="AM6093">
        <v>88.806097662681395</v>
      </c>
      <c r="AN6093">
        <v>1.0000000619221701</v>
      </c>
    </row>
    <row r="6094" spans="1:40" x14ac:dyDescent="0.25">
      <c r="A6094" t="str">
        <f>"20190303170413277"</f>
        <v>20190303170413277</v>
      </c>
      <c r="B6094" t="str">
        <f>"1551603853271725"</f>
        <v>1551603853271725</v>
      </c>
      <c r="C6094" t="s">
        <v>40</v>
      </c>
      <c r="D6094">
        <v>4.9467699999999999</v>
      </c>
      <c r="E6094">
        <v>0.41215740000000001</v>
      </c>
      <c r="F6094" t="s">
        <v>109</v>
      </c>
      <c r="G6094">
        <v>-280.86259999999999</v>
      </c>
      <c r="H6094">
        <v>1.8869860000000001</v>
      </c>
      <c r="I6094">
        <v>35.724769999999999</v>
      </c>
      <c r="J6094">
        <v>-364.80079999999998</v>
      </c>
      <c r="K6094">
        <v>1.1208290000000001</v>
      </c>
      <c r="L6094">
        <v>16.757200000000001</v>
      </c>
      <c r="M6094">
        <v>0.99990880000000004</v>
      </c>
      <c r="N6094">
        <v>-1.3069620000000001E-2</v>
      </c>
      <c r="O6094">
        <v>3.3948810000000002E-3</v>
      </c>
      <c r="P6094">
        <v>0.98533979999999999</v>
      </c>
      <c r="Q6094">
        <v>0.16963599999999901</v>
      </c>
      <c r="R6094">
        <v>-1.8139570000000001E-2</v>
      </c>
      <c r="S6094">
        <v>3.0513309999999998</v>
      </c>
      <c r="T6094">
        <v>2.7779580000000002E-2</v>
      </c>
      <c r="U6094">
        <v>0.68774409999999997</v>
      </c>
      <c r="V6094">
        <v>2.170673E-2</v>
      </c>
      <c r="W6094">
        <v>0.18247250000000001</v>
      </c>
      <c r="X6094">
        <v>0.98297129999999999</v>
      </c>
      <c r="Y6094">
        <v>-0.21656719999999999</v>
      </c>
      <c r="Z6094">
        <v>5.335575E-4</v>
      </c>
      <c r="AA6094">
        <v>0.97626760000000001</v>
      </c>
      <c r="AB6094">
        <v>37</v>
      </c>
      <c r="AC6094">
        <v>83.938199999999995</v>
      </c>
      <c r="AD6094">
        <v>0.76615699999999998</v>
      </c>
      <c r="AE6094">
        <v>18.967569999999998</v>
      </c>
      <c r="AF6094">
        <v>-18.680995359745101</v>
      </c>
      <c r="AG6094">
        <v>0.76615699999999998</v>
      </c>
      <c r="AH6094">
        <v>83.995456363953593</v>
      </c>
      <c r="AI6094">
        <v>89.489859995222602</v>
      </c>
      <c r="AJ6094">
        <v>102.53877772637701</v>
      </c>
      <c r="AK6094">
        <v>86.051166604342498</v>
      </c>
      <c r="AL6094">
        <v>79.486190672655397</v>
      </c>
      <c r="AM6094">
        <v>88.734956034237698</v>
      </c>
      <c r="AN6094">
        <v>0.99999998600361595</v>
      </c>
    </row>
    <row r="6095" spans="1:40" x14ac:dyDescent="0.25">
      <c r="A6095" t="str">
        <f>"20190303170413296"</f>
        <v>20190303170413296</v>
      </c>
      <c r="B6095" t="str">
        <f>"1551603853292221"</f>
        <v>1551603853292221</v>
      </c>
      <c r="C6095" t="s">
        <v>40</v>
      </c>
      <c r="D6095">
        <v>4.9631290000000003</v>
      </c>
      <c r="E6095">
        <v>0.40943499999999999</v>
      </c>
      <c r="F6095" t="s">
        <v>109</v>
      </c>
      <c r="G6095">
        <v>-280.86259999999999</v>
      </c>
      <c r="H6095">
        <v>1.907335</v>
      </c>
      <c r="I6095">
        <v>35.575940000000003</v>
      </c>
      <c r="J6095">
        <v>-364.50130000000001</v>
      </c>
      <c r="K6095">
        <v>1.120844</v>
      </c>
      <c r="L6095">
        <v>16.757809999999999</v>
      </c>
      <c r="M6095">
        <v>0.99990880000000004</v>
      </c>
      <c r="N6095">
        <v>-1.317511E-2</v>
      </c>
      <c r="O6095">
        <v>2.9972470000000002E-3</v>
      </c>
      <c r="P6095">
        <v>0.98527770000000003</v>
      </c>
      <c r="Q6095">
        <v>0.16975109999999999</v>
      </c>
      <c r="R6095">
        <v>-2.03155E-2</v>
      </c>
      <c r="S6095">
        <v>3.0523380000000002</v>
      </c>
      <c r="T6095">
        <v>2.8600690000000002E-2</v>
      </c>
      <c r="U6095">
        <v>0.6843262</v>
      </c>
      <c r="V6095">
        <v>2.3490489999999999E-2</v>
      </c>
      <c r="W6095">
        <v>0.1826882</v>
      </c>
      <c r="X6095">
        <v>0.98289020000000005</v>
      </c>
      <c r="Y6095">
        <v>-0.2158455</v>
      </c>
      <c r="Z6095">
        <v>5.0729349999999998E-4</v>
      </c>
      <c r="AA6095">
        <v>0.97642739999999995</v>
      </c>
      <c r="AB6095">
        <v>37</v>
      </c>
      <c r="AC6095">
        <v>83.6387</v>
      </c>
      <c r="AD6095">
        <v>0.78649099999999905</v>
      </c>
      <c r="AE6095">
        <v>18.81813</v>
      </c>
      <c r="AF6095">
        <v>-18.565775307475199</v>
      </c>
      <c r="AG6095">
        <v>0.78649099999999905</v>
      </c>
      <c r="AH6095">
        <v>83.687688231896502</v>
      </c>
      <c r="AI6095">
        <v>89.474333552726193</v>
      </c>
      <c r="AJ6095">
        <v>102.50826219184999</v>
      </c>
      <c r="AK6095">
        <v>85.725933896691004</v>
      </c>
      <c r="AL6095">
        <v>79.473620442372294</v>
      </c>
      <c r="AM6095">
        <v>88.630925640236995</v>
      </c>
      <c r="AN6095">
        <v>0.99999996339785902</v>
      </c>
    </row>
    <row r="6096" spans="1:40" x14ac:dyDescent="0.25">
      <c r="A6096" t="str">
        <f>"20190303170413309"</f>
        <v>20190303170413309</v>
      </c>
      <c r="B6096" t="str">
        <f>"1551603853301980"</f>
        <v>1551603853301980</v>
      </c>
      <c r="C6096" t="s">
        <v>40</v>
      </c>
      <c r="D6096">
        <v>4.969506</v>
      </c>
      <c r="E6096">
        <v>0.40935339999999998</v>
      </c>
      <c r="F6096" t="s">
        <v>109</v>
      </c>
      <c r="G6096">
        <v>-280.86250000000001</v>
      </c>
      <c r="H6096">
        <v>2.33745</v>
      </c>
      <c r="I6096">
        <v>35.898859999999999</v>
      </c>
      <c r="J6096">
        <v>-364.27460000000002</v>
      </c>
      <c r="K6096">
        <v>1.1208499999999999</v>
      </c>
      <c r="L6096">
        <v>16.758179999999999</v>
      </c>
      <c r="M6096">
        <v>0.99990880000000004</v>
      </c>
      <c r="N6096">
        <v>-1.324558E-2</v>
      </c>
      <c r="O6096">
        <v>2.696117E-3</v>
      </c>
      <c r="P6096">
        <v>0.98528300000000002</v>
      </c>
      <c r="Q6096">
        <v>0.16959639999999901</v>
      </c>
      <c r="R6096">
        <v>-2.133792E-2</v>
      </c>
      <c r="S6096">
        <v>3.0515750000000001</v>
      </c>
      <c r="T6096">
        <v>4.4388179999999999E-2</v>
      </c>
      <c r="U6096">
        <v>0.69836430000000005</v>
      </c>
      <c r="V6096">
        <v>2.421543E-2</v>
      </c>
      <c r="W6096">
        <v>0.1826024</v>
      </c>
      <c r="X6096">
        <v>0.9828886</v>
      </c>
      <c r="Y6096">
        <v>-0.22045670000000001</v>
      </c>
      <c r="Z6096" s="1">
        <v>-3.0130150000000002E-5</v>
      </c>
      <c r="AA6096">
        <v>0.97539679999999995</v>
      </c>
      <c r="AB6096">
        <v>37</v>
      </c>
      <c r="AC6096">
        <v>83.412099999999995</v>
      </c>
      <c r="AD6096">
        <v>1.2165999999999999</v>
      </c>
      <c r="AE6096">
        <v>19.14068</v>
      </c>
      <c r="AF6096">
        <v>-18.911879992766899</v>
      </c>
      <c r="AG6096">
        <v>1.2165999999999999</v>
      </c>
      <c r="AH6096">
        <v>83.446542878728295</v>
      </c>
      <c r="AI6096">
        <v>89.185377447744699</v>
      </c>
      <c r="AJ6096">
        <v>102.769499051686</v>
      </c>
      <c r="AK6096">
        <v>85.571401991741695</v>
      </c>
      <c r="AL6096">
        <v>79.478621042285894</v>
      </c>
      <c r="AM6096">
        <v>88.588689173034197</v>
      </c>
      <c r="AN6096">
        <v>1.0000000117729</v>
      </c>
    </row>
    <row r="6097" spans="1:40" x14ac:dyDescent="0.25">
      <c r="A6097" t="str">
        <f>"20190303170413322"</f>
        <v>20190303170413322</v>
      </c>
      <c r="B6097" t="str">
        <f>"1551603853311740"</f>
        <v>1551603853311740</v>
      </c>
      <c r="C6097" t="s">
        <v>40</v>
      </c>
      <c r="D6097">
        <v>5.1936299999999997</v>
      </c>
      <c r="E6097">
        <v>0.40935339999999998</v>
      </c>
      <c r="F6097" t="s">
        <v>109</v>
      </c>
      <c r="G6097">
        <v>-280.86259999999999</v>
      </c>
      <c r="H6097">
        <v>2.2479960000000001</v>
      </c>
      <c r="I6097">
        <v>35.775489999999998</v>
      </c>
      <c r="J6097">
        <v>-364.06400000000002</v>
      </c>
      <c r="K6097">
        <v>1.1208560000000001</v>
      </c>
      <c r="L6097">
        <v>16.758479999999999</v>
      </c>
      <c r="M6097">
        <v>0.99990869999999998</v>
      </c>
      <c r="N6097">
        <v>-1.330653E-2</v>
      </c>
      <c r="O6097">
        <v>2.4162099999999998E-3</v>
      </c>
      <c r="P6097">
        <v>0.98529909999999998</v>
      </c>
      <c r="Q6097">
        <v>0.1692958</v>
      </c>
      <c r="R6097">
        <v>-2.2919229999999999E-2</v>
      </c>
      <c r="S6097">
        <v>3.0527950000000001</v>
      </c>
      <c r="T6097">
        <v>4.1252490000000003E-2</v>
      </c>
      <c r="U6097">
        <v>0.69601440000000003</v>
      </c>
      <c r="V6097">
        <v>2.5520580000000001E-2</v>
      </c>
      <c r="W6097">
        <v>0.18235999999999999</v>
      </c>
      <c r="X6097">
        <v>0.98290060000000001</v>
      </c>
      <c r="Y6097">
        <v>-0.21993270000000001</v>
      </c>
      <c r="Z6097" s="1">
        <v>7.8760549999999996E-5</v>
      </c>
      <c r="AA6097">
        <v>0.97551509999999997</v>
      </c>
      <c r="AB6097">
        <v>37</v>
      </c>
      <c r="AC6097">
        <v>83.201400000000007</v>
      </c>
      <c r="AD6097">
        <v>1.12714</v>
      </c>
      <c r="AE6097">
        <v>19.017009999999999</v>
      </c>
      <c r="AF6097">
        <v>-18.812623490552699</v>
      </c>
      <c r="AG6097">
        <v>1.12714</v>
      </c>
      <c r="AH6097">
        <v>83.232593400271398</v>
      </c>
      <c r="AI6097">
        <v>89.243232549920506</v>
      </c>
      <c r="AJ6097">
        <v>102.73625418125199</v>
      </c>
      <c r="AK6097">
        <v>85.339614783005601</v>
      </c>
      <c r="AL6097">
        <v>79.492746907322697</v>
      </c>
      <c r="AM6097">
        <v>88.512674559373906</v>
      </c>
      <c r="AN6097">
        <v>1.00000002954194</v>
      </c>
    </row>
    <row r="6098" spans="1:40" x14ac:dyDescent="0.25">
      <c r="A6098" t="str">
        <f>"20190303170413340"</f>
        <v>20190303170413340</v>
      </c>
      <c r="B6098" t="str">
        <f>"1551603853332236"</f>
        <v>1551603853332236</v>
      </c>
      <c r="C6098" t="s">
        <v>40</v>
      </c>
      <c r="D6098">
        <v>5.0274269999999897</v>
      </c>
      <c r="E6098">
        <v>0.43901230000000002</v>
      </c>
      <c r="F6098" t="s">
        <v>109</v>
      </c>
      <c r="G6098">
        <v>-280.86259999999999</v>
      </c>
      <c r="H6098">
        <v>2.2150240000000001</v>
      </c>
      <c r="I6098">
        <v>35.585439999999998</v>
      </c>
      <c r="J6098">
        <v>-363.77190000000002</v>
      </c>
      <c r="K6098">
        <v>1.120862</v>
      </c>
      <c r="L6098">
        <v>16.75882</v>
      </c>
      <c r="M6098">
        <v>0.99990849999999998</v>
      </c>
      <c r="N6098">
        <v>-1.338319E-2</v>
      </c>
      <c r="O6098">
        <v>2.0278340000000001E-3</v>
      </c>
      <c r="P6098">
        <v>0.98529860000000002</v>
      </c>
      <c r="Q6098">
        <v>0.168828799999999</v>
      </c>
      <c r="R6098">
        <v>-2.6145910000000001E-2</v>
      </c>
      <c r="S6098">
        <v>3.0538940000000001</v>
      </c>
      <c r="T6098">
        <v>4.0161370000000002E-2</v>
      </c>
      <c r="U6098">
        <v>0.69103999999999999</v>
      </c>
      <c r="V6098">
        <v>2.8363989999999999E-2</v>
      </c>
      <c r="W6098">
        <v>0.18196519999999999</v>
      </c>
      <c r="X6098">
        <v>0.98289579999999999</v>
      </c>
      <c r="Y6098">
        <v>-0.2187248</v>
      </c>
      <c r="Z6098">
        <v>1.148852E-4</v>
      </c>
      <c r="AA6098">
        <v>0.97578659999999995</v>
      </c>
      <c r="AB6098">
        <v>37</v>
      </c>
      <c r="AC6098">
        <v>82.909300000000002</v>
      </c>
      <c r="AD6098">
        <v>1.0941620000000001</v>
      </c>
      <c r="AE6098">
        <v>18.826619999999998</v>
      </c>
      <c r="AF6098">
        <v>-18.6553501869641</v>
      </c>
      <c r="AG6098">
        <v>1.0941620000000001</v>
      </c>
      <c r="AH6098">
        <v>82.933574445264696</v>
      </c>
      <c r="AI6098">
        <v>89.262552168194006</v>
      </c>
      <c r="AJ6098">
        <v>102.677290185402</v>
      </c>
      <c r="AK6098">
        <v>85.012922849110296</v>
      </c>
      <c r="AL6098">
        <v>79.515751901194193</v>
      </c>
      <c r="AM6098">
        <v>88.347041439942203</v>
      </c>
      <c r="AN6098">
        <v>1.0000000017987001</v>
      </c>
    </row>
    <row r="6099" spans="1:40" x14ac:dyDescent="0.25">
      <c r="A6099" t="str">
        <f>"20190303170413350"</f>
        <v>20190303170413350</v>
      </c>
      <c r="B6099" t="str">
        <f>"1551603853341997"</f>
        <v>1551603853341997</v>
      </c>
      <c r="C6099" t="s">
        <v>40</v>
      </c>
      <c r="D6099">
        <v>5.0171159999999997</v>
      </c>
      <c r="E6099">
        <v>0.49170399999999997</v>
      </c>
      <c r="F6099" t="s">
        <v>44</v>
      </c>
      <c r="G6099">
        <v>-249.3466</v>
      </c>
      <c r="H6099">
        <v>-0.05</v>
      </c>
      <c r="I6099">
        <v>33.518259999999998</v>
      </c>
      <c r="J6099">
        <v>-363.58629999999999</v>
      </c>
      <c r="K6099">
        <v>1.1208689999999999</v>
      </c>
      <c r="L6099">
        <v>16.758939999999999</v>
      </c>
      <c r="M6099">
        <v>0.99990829999999997</v>
      </c>
      <c r="N6099">
        <v>-1.3427369999999999E-2</v>
      </c>
      <c r="O6099">
        <v>1.7813029999999999E-3</v>
      </c>
      <c r="P6099">
        <v>0.98525720000000006</v>
      </c>
      <c r="Q6099">
        <v>0.16876920000000001</v>
      </c>
      <c r="R6099">
        <v>-2.802876E-2</v>
      </c>
      <c r="S6099">
        <v>3.0620419999999999</v>
      </c>
      <c r="T6099">
        <v>-3.1332489999999998E-2</v>
      </c>
      <c r="U6099">
        <v>0.4484863</v>
      </c>
      <c r="V6099">
        <v>3.000353E-2</v>
      </c>
      <c r="W6099">
        <v>0.18194650000000001</v>
      </c>
      <c r="X6099">
        <v>0.98285060000000002</v>
      </c>
      <c r="Y6099">
        <v>-0.1431402</v>
      </c>
      <c r="Z6099">
        <v>1.7003020000000001E-3</v>
      </c>
      <c r="AA6099">
        <v>0.98970100000000005</v>
      </c>
      <c r="AB6099">
        <v>37</v>
      </c>
      <c r="AC6099">
        <v>114.2397</v>
      </c>
      <c r="AD6099">
        <v>-1.1708689999999999</v>
      </c>
      <c r="AE6099">
        <v>16.759319999999999</v>
      </c>
      <c r="AF6099">
        <v>-16.554077231867801</v>
      </c>
      <c r="AG6099">
        <v>-1.1708689999999999</v>
      </c>
      <c r="AH6099">
        <v>114.257625322774</v>
      </c>
      <c r="AI6099">
        <v>90.581058467495197</v>
      </c>
      <c r="AJ6099">
        <v>98.243865612026894</v>
      </c>
      <c r="AK6099">
        <v>115.456543130363</v>
      </c>
      <c r="AL6099">
        <v>79.516841728349803</v>
      </c>
      <c r="AM6099">
        <v>88.251471856238396</v>
      </c>
      <c r="AN6099">
        <v>1.00000002129753</v>
      </c>
    </row>
    <row r="6100" spans="1:40" x14ac:dyDescent="0.25">
      <c r="A6100" t="str">
        <f>"20190303170413362"</f>
        <v>20190303170413362</v>
      </c>
      <c r="B6100" t="str">
        <f>"1551603853351757"</f>
        <v>1551603853351757</v>
      </c>
      <c r="C6100" t="s">
        <v>40</v>
      </c>
      <c r="D6100">
        <v>4.9672839999999896</v>
      </c>
      <c r="E6100">
        <v>0.4990638</v>
      </c>
      <c r="F6100" t="s">
        <v>44</v>
      </c>
      <c r="G6100">
        <v>-285.82679999999999</v>
      </c>
      <c r="H6100">
        <v>-0.05</v>
      </c>
      <c r="I6100">
        <v>17.320070000000001</v>
      </c>
      <c r="J6100">
        <v>-363.40969999999999</v>
      </c>
      <c r="K6100">
        <v>1.120878</v>
      </c>
      <c r="L6100">
        <v>16.759029999999999</v>
      </c>
      <c r="M6100">
        <v>0.99990820000000002</v>
      </c>
      <c r="N6100">
        <v>-1.3465990000000001E-2</v>
      </c>
      <c r="O6100">
        <v>1.546434E-3</v>
      </c>
      <c r="P6100">
        <v>0.98507920000000004</v>
      </c>
      <c r="Q6100">
        <v>0.16951540000000001</v>
      </c>
      <c r="R6100">
        <v>-2.972667E-2</v>
      </c>
      <c r="S6100">
        <v>3.053375</v>
      </c>
      <c r="T6100">
        <v>-4.5976400000000001E-2</v>
      </c>
      <c r="U6100">
        <v>2.2033690000000002E-2</v>
      </c>
      <c r="V6100">
        <v>3.1470579999999998E-2</v>
      </c>
      <c r="W6100">
        <v>0.18272659999999999</v>
      </c>
      <c r="X6100">
        <v>0.98265990000000003</v>
      </c>
      <c r="Y6100">
        <v>-5.6682319999999996E-3</v>
      </c>
      <c r="Z6100" s="1">
        <v>7.8383389999999998E-5</v>
      </c>
      <c r="AA6100">
        <v>0.99998390000000004</v>
      </c>
      <c r="AB6100">
        <v>37</v>
      </c>
      <c r="AC6100">
        <v>77.582899999999995</v>
      </c>
      <c r="AD6100">
        <v>-1.1708780000000001</v>
      </c>
      <c r="AE6100">
        <v>0.56104000000000198</v>
      </c>
      <c r="AF6100">
        <v>-0.44095119427414797</v>
      </c>
      <c r="AG6100">
        <v>-1.1708780000000001</v>
      </c>
      <c r="AH6100">
        <v>77.566008832457499</v>
      </c>
      <c r="AI6100">
        <v>90.864814241362893</v>
      </c>
      <c r="AJ6100">
        <v>90.325714454373895</v>
      </c>
      <c r="AK6100">
        <v>77.576098892915994</v>
      </c>
      <c r="AL6100">
        <v>79.471382402927105</v>
      </c>
      <c r="AM6100">
        <v>88.165677335678097</v>
      </c>
      <c r="AN6100">
        <v>0.99999994341055098</v>
      </c>
    </row>
    <row r="6101" spans="1:40" x14ac:dyDescent="0.25">
      <c r="A6101" t="str">
        <f>"20190303170413374"</f>
        <v>20190303170413374</v>
      </c>
      <c r="B6101" t="str">
        <f>"1551603853361518"</f>
        <v>1551603853361518</v>
      </c>
      <c r="C6101" t="s">
        <v>40</v>
      </c>
      <c r="D6101">
        <v>5.0804229999999997</v>
      </c>
      <c r="E6101">
        <v>0.50697669999999995</v>
      </c>
      <c r="F6101" t="s">
        <v>44</v>
      </c>
      <c r="G6101">
        <v>-292.3929</v>
      </c>
      <c r="H6101">
        <v>-0.05</v>
      </c>
      <c r="I6101">
        <v>15.786440000000001</v>
      </c>
      <c r="J6101">
        <v>-363.21359999999999</v>
      </c>
      <c r="K6101">
        <v>1.1208849999999999</v>
      </c>
      <c r="L6101">
        <v>16.75909</v>
      </c>
      <c r="M6101">
        <v>0.99990800000000002</v>
      </c>
      <c r="N6101">
        <v>-1.3506850000000001E-2</v>
      </c>
      <c r="O6101">
        <v>1.2858590000000001E-3</v>
      </c>
      <c r="P6101">
        <v>0.98487469999999999</v>
      </c>
      <c r="Q6101">
        <v>0.17042349999999901</v>
      </c>
      <c r="R6101">
        <v>-3.127195E-2</v>
      </c>
      <c r="S6101">
        <v>3.0528559999999998</v>
      </c>
      <c r="T6101">
        <v>-5.0333500000000003E-2</v>
      </c>
      <c r="U6101">
        <v>-4.1809079999999998E-2</v>
      </c>
      <c r="V6101">
        <v>3.2759650000000001E-2</v>
      </c>
      <c r="W6101">
        <v>0.18367069999999999</v>
      </c>
      <c r="X6101">
        <v>0.98244180000000003</v>
      </c>
      <c r="Y6101">
        <v>1.497592E-2</v>
      </c>
      <c r="Z6101">
        <v>-2.284334E-4</v>
      </c>
      <c r="AA6101">
        <v>0.99988779999999999</v>
      </c>
      <c r="AB6101">
        <v>37</v>
      </c>
      <c r="AC6101">
        <v>70.820699999999903</v>
      </c>
      <c r="AD6101">
        <v>-1.170885</v>
      </c>
      <c r="AE6101">
        <v>-0.97265000000000101</v>
      </c>
      <c r="AF6101">
        <v>1.0634323066892399</v>
      </c>
      <c r="AG6101">
        <v>-1.170885</v>
      </c>
      <c r="AH6101">
        <v>70.800041585372398</v>
      </c>
      <c r="AI6101">
        <v>90.947359463161703</v>
      </c>
      <c r="AJ6101">
        <v>89.139469410836099</v>
      </c>
      <c r="AK6101">
        <v>70.817707873416794</v>
      </c>
      <c r="AL6101">
        <v>79.416358883256095</v>
      </c>
      <c r="AM6101">
        <v>88.090172391333596</v>
      </c>
      <c r="AN6101">
        <v>1.00000000554692</v>
      </c>
    </row>
    <row r="6102" spans="1:40" x14ac:dyDescent="0.25">
      <c r="A6102" t="str">
        <f>"20190303170413385"</f>
        <v>20190303170413385</v>
      </c>
      <c r="B6102" t="str">
        <f>"1551603853372253"</f>
        <v>1551603853372253</v>
      </c>
      <c r="C6102" t="s">
        <v>40</v>
      </c>
      <c r="D6102">
        <v>4.9506649999999999</v>
      </c>
      <c r="E6102">
        <v>0.51190210000000003</v>
      </c>
      <c r="F6102" t="s">
        <v>44</v>
      </c>
      <c r="G6102">
        <v>-299.75920000000002</v>
      </c>
      <c r="H6102">
        <v>-0.05</v>
      </c>
      <c r="I6102">
        <v>14.48912</v>
      </c>
      <c r="J6102">
        <v>-363.03280000000001</v>
      </c>
      <c r="K6102">
        <v>1.120895</v>
      </c>
      <c r="L6102">
        <v>16.759119999999999</v>
      </c>
      <c r="M6102">
        <v>0.99990789999999996</v>
      </c>
      <c r="N6102">
        <v>-1.3540160000000001E-2</v>
      </c>
      <c r="O6102">
        <v>1.0453649999999999E-3</v>
      </c>
      <c r="P6102">
        <v>0.98464859999999998</v>
      </c>
      <c r="Q6102">
        <v>0.17149029999999901</v>
      </c>
      <c r="R6102">
        <v>-3.252882E-2</v>
      </c>
      <c r="S6102">
        <v>3.0523069999999999</v>
      </c>
      <c r="T6102">
        <v>-5.6322339999999999E-2</v>
      </c>
      <c r="U6102">
        <v>-0.109191899999999</v>
      </c>
      <c r="V6102">
        <v>3.3780900000000003E-2</v>
      </c>
      <c r="W6102">
        <v>0.18476600000000001</v>
      </c>
      <c r="X6102">
        <v>0.98220180000000001</v>
      </c>
      <c r="Y6102">
        <v>3.6784600000000001E-2</v>
      </c>
      <c r="Z6102">
        <v>-5.9353849999999996E-4</v>
      </c>
      <c r="AA6102">
        <v>0.99932310000000002</v>
      </c>
      <c r="AB6102">
        <v>37</v>
      </c>
      <c r="AC6102">
        <v>63.273599999999902</v>
      </c>
      <c r="AD6102">
        <v>-1.170895</v>
      </c>
      <c r="AE6102">
        <v>-2.27</v>
      </c>
      <c r="AF6102">
        <v>2.3353501216471799</v>
      </c>
      <c r="AG6102">
        <v>-1.170895</v>
      </c>
      <c r="AH6102">
        <v>63.249560572282299</v>
      </c>
      <c r="AI6102">
        <v>91.0598336416612</v>
      </c>
      <c r="AJ6102">
        <v>87.885440646447705</v>
      </c>
      <c r="AK6102">
        <v>63.3034893815381</v>
      </c>
      <c r="AL6102">
        <v>79.352510001744207</v>
      </c>
      <c r="AM6102">
        <v>88.030200735848098</v>
      </c>
      <c r="AN6102">
        <v>0.99999999994202404</v>
      </c>
    </row>
    <row r="6103" spans="1:40" x14ac:dyDescent="0.25">
      <c r="A6103" t="str">
        <f>"20190303170413397"</f>
        <v>20190303170413397</v>
      </c>
      <c r="B6103" t="str">
        <f>"1551603853391773"</f>
        <v>1551603853391773</v>
      </c>
      <c r="C6103" t="s">
        <v>40</v>
      </c>
      <c r="D6103">
        <v>5.1396230000000003</v>
      </c>
      <c r="E6103">
        <v>0.51748000000000005</v>
      </c>
      <c r="F6103" t="s">
        <v>44</v>
      </c>
      <c r="G6103">
        <v>-304.88260000000002</v>
      </c>
      <c r="H6103">
        <v>-0.05</v>
      </c>
      <c r="I6103">
        <v>13.8685299999999</v>
      </c>
      <c r="J6103">
        <v>-362.839</v>
      </c>
      <c r="K6103">
        <v>1.120906</v>
      </c>
      <c r="L6103">
        <v>16.759060000000002</v>
      </c>
      <c r="M6103">
        <v>0.99990769999999995</v>
      </c>
      <c r="N6103">
        <v>-1.357467E-2</v>
      </c>
      <c r="O6103">
        <v>7.8745740000000001E-4</v>
      </c>
      <c r="P6103">
        <v>0.98450170000000004</v>
      </c>
      <c r="Q6103">
        <v>0.17213979999999901</v>
      </c>
      <c r="R6103">
        <v>-3.353598E-2</v>
      </c>
      <c r="S6103">
        <v>3.0524290000000001</v>
      </c>
      <c r="T6103">
        <v>-6.1462759999999998E-2</v>
      </c>
      <c r="U6103">
        <v>-0.15173339999999999</v>
      </c>
      <c r="V6103">
        <v>3.4534349999999998E-2</v>
      </c>
      <c r="W6103">
        <v>0.18544640000000001</v>
      </c>
      <c r="X6103">
        <v>0.98204740000000001</v>
      </c>
      <c r="Y6103">
        <v>5.0417209999999997E-2</v>
      </c>
      <c r="Z6103">
        <v>-8.5487330000000002E-4</v>
      </c>
      <c r="AA6103">
        <v>0.9987279</v>
      </c>
      <c r="AB6103">
        <v>36</v>
      </c>
      <c r="AC6103">
        <v>57.956399999999903</v>
      </c>
      <c r="AD6103">
        <v>-1.170906</v>
      </c>
      <c r="AE6103">
        <v>-2.89053</v>
      </c>
      <c r="AF6103">
        <v>2.9349765009683302</v>
      </c>
      <c r="AG6103">
        <v>-1.170906</v>
      </c>
      <c r="AH6103">
        <v>57.930518810149898</v>
      </c>
      <c r="AI6103">
        <v>91.156436002401605</v>
      </c>
      <c r="AJ6103">
        <v>87.099661609981894</v>
      </c>
      <c r="AK6103">
        <v>58.016636558277</v>
      </c>
      <c r="AL6103">
        <v>79.312840860428295</v>
      </c>
      <c r="AM6103">
        <v>87.985985724081303</v>
      </c>
      <c r="AN6103">
        <v>1.0000000422248201</v>
      </c>
    </row>
    <row r="6104" spans="1:40" x14ac:dyDescent="0.25">
      <c r="A6104" t="str">
        <f>"20190303170413410"</f>
        <v>20190303170413410</v>
      </c>
      <c r="B6104" t="str">
        <f>"1551603853401532"</f>
        <v>1551603853401532</v>
      </c>
      <c r="C6104" t="s">
        <v>40</v>
      </c>
      <c r="D6104">
        <v>5.0825209999999998</v>
      </c>
      <c r="E6104">
        <v>0.51916890000000004</v>
      </c>
      <c r="F6104" t="s">
        <v>44</v>
      </c>
      <c r="G6104">
        <v>-310.44049999999999</v>
      </c>
      <c r="H6104">
        <v>-0.05</v>
      </c>
      <c r="I6104">
        <v>13.34496</v>
      </c>
      <c r="J6104">
        <v>-362.61649999999997</v>
      </c>
      <c r="K6104">
        <v>1.1209199999999999</v>
      </c>
      <c r="L6104">
        <v>16.758970000000001</v>
      </c>
      <c r="M6104">
        <v>0.9999074</v>
      </c>
      <c r="N6104">
        <v>-1.36101E-2</v>
      </c>
      <c r="O6104">
        <v>4.9163699999999996E-4</v>
      </c>
      <c r="P6104">
        <v>0.98434940000000004</v>
      </c>
      <c r="Q6104">
        <v>0.1727641</v>
      </c>
      <c r="R6104">
        <v>-3.4776349999999998E-2</v>
      </c>
      <c r="S6104">
        <v>3.052368</v>
      </c>
      <c r="T6104">
        <v>-6.8208809999999995E-2</v>
      </c>
      <c r="U6104">
        <v>-0.19888310000000001</v>
      </c>
      <c r="V6104">
        <v>3.5484090000000003E-2</v>
      </c>
      <c r="W6104">
        <v>0.1861024</v>
      </c>
      <c r="X6104">
        <v>0.98188940000000002</v>
      </c>
      <c r="Y6104">
        <v>6.5483479999999997E-2</v>
      </c>
      <c r="Z6104">
        <v>-1.1812770000000001E-3</v>
      </c>
      <c r="AA6104">
        <v>0.99785299999999999</v>
      </c>
      <c r="AB6104">
        <v>36</v>
      </c>
      <c r="AC6104">
        <v>52.175999999999902</v>
      </c>
      <c r="AD6104">
        <v>-1.17092</v>
      </c>
      <c r="AE6104">
        <v>-3.4140100000000002</v>
      </c>
      <c r="AF6104">
        <v>3.4379395387416398</v>
      </c>
      <c r="AG6104">
        <v>-1.17092</v>
      </c>
      <c r="AH6104">
        <v>52.148163592048903</v>
      </c>
      <c r="AI6104">
        <v>91.283501686420294</v>
      </c>
      <c r="AJ6104">
        <v>86.228154977198699</v>
      </c>
      <c r="AK6104">
        <v>52.274481804619903</v>
      </c>
      <c r="AL6104">
        <v>79.274588595167899</v>
      </c>
      <c r="AM6104">
        <v>87.930312497000202</v>
      </c>
      <c r="AN6104">
        <v>1.00000000888062</v>
      </c>
    </row>
    <row r="6105" spans="1:40" x14ac:dyDescent="0.25">
      <c r="A6105" t="str">
        <f>"20190303170413421"</f>
        <v>20190303170413421</v>
      </c>
      <c r="B6105" t="str">
        <f>"1551603853412269"</f>
        <v>1551603853412269</v>
      </c>
      <c r="C6105" t="s">
        <v>40</v>
      </c>
      <c r="D6105">
        <v>5.0807599999999997</v>
      </c>
      <c r="E6105">
        <v>0.52035149999999997</v>
      </c>
      <c r="F6105" t="s">
        <v>44</v>
      </c>
      <c r="G6105">
        <v>-310.94580000000002</v>
      </c>
      <c r="H6105">
        <v>-0.05</v>
      </c>
      <c r="I6105">
        <v>13.10277</v>
      </c>
      <c r="J6105">
        <v>-362.45069999999998</v>
      </c>
      <c r="K6105">
        <v>1.1209290000000001</v>
      </c>
      <c r="L6105">
        <v>16.758849999999999</v>
      </c>
      <c r="M6105">
        <v>0.99990699999999999</v>
      </c>
      <c r="N6105">
        <v>-1.363457E-2</v>
      </c>
      <c r="O6105">
        <v>2.7117299999999999E-4</v>
      </c>
      <c r="P6105">
        <v>0.98427750000000003</v>
      </c>
      <c r="Q6105">
        <v>0.17290259999999999</v>
      </c>
      <c r="R6105">
        <v>-3.6091129999999999E-2</v>
      </c>
      <c r="S6105">
        <v>3.052216</v>
      </c>
      <c r="T6105">
        <v>-6.9166779999999997E-2</v>
      </c>
      <c r="U6105">
        <v>-0.2159729</v>
      </c>
      <c r="V6105">
        <v>3.6582009999999998E-2</v>
      </c>
      <c r="W6105">
        <v>0.18626300000000001</v>
      </c>
      <c r="X6105">
        <v>0.98181859999999999</v>
      </c>
      <c r="Y6105">
        <v>7.0824380000000006E-2</v>
      </c>
      <c r="Z6105">
        <v>-1.2873750000000001E-3</v>
      </c>
      <c r="AA6105">
        <v>0.99748800000000004</v>
      </c>
      <c r="AB6105">
        <v>36</v>
      </c>
      <c r="AC6105">
        <v>51.5048999999999</v>
      </c>
      <c r="AD6105">
        <v>-1.1709290000000001</v>
      </c>
      <c r="AE6105">
        <v>-3.65607999999999</v>
      </c>
      <c r="AF6105">
        <v>3.6681615204395501</v>
      </c>
      <c r="AG6105">
        <v>-1.1709290000000001</v>
      </c>
      <c r="AH6105">
        <v>51.477433894861001</v>
      </c>
      <c r="AI6105">
        <v>91.299756475490099</v>
      </c>
      <c r="AJ6105">
        <v>85.924126091257193</v>
      </c>
      <c r="AK6105">
        <v>51.621242566048899</v>
      </c>
      <c r="AL6105">
        <v>79.2652225646017</v>
      </c>
      <c r="AM6105">
        <v>87.866178483873696</v>
      </c>
      <c r="AN6105">
        <v>0.999999955965299</v>
      </c>
    </row>
    <row r="6106" spans="1:40" x14ac:dyDescent="0.25">
      <c r="A6106" t="str">
        <f>"20190303170413431"</f>
        <v>20190303170413431</v>
      </c>
      <c r="B6106" t="str">
        <f>"1551603853422030"</f>
        <v>1551603853422030</v>
      </c>
      <c r="C6106" t="s">
        <v>40</v>
      </c>
      <c r="D6106">
        <v>5.1935320000000003</v>
      </c>
      <c r="E6106">
        <v>0.52144990000000002</v>
      </c>
      <c r="F6106" t="s">
        <v>44</v>
      </c>
      <c r="G6106">
        <v>-310.95519999999999</v>
      </c>
      <c r="H6106">
        <v>-0.05</v>
      </c>
      <c r="I6106">
        <v>12.8894</v>
      </c>
      <c r="J6106">
        <v>-362.27010000000001</v>
      </c>
      <c r="K6106">
        <v>1.1209359999999999</v>
      </c>
      <c r="L6106">
        <v>16.758669999999999</v>
      </c>
      <c r="M6106">
        <v>0.99990670000000004</v>
      </c>
      <c r="N6106">
        <v>-1.365971E-2</v>
      </c>
      <c r="O6106" s="1">
        <v>3.0976490000000003E-5</v>
      </c>
      <c r="P6106">
        <v>0.9841877</v>
      </c>
      <c r="Q6106">
        <v>0.1731307</v>
      </c>
      <c r="R6106">
        <v>-3.742641E-2</v>
      </c>
      <c r="S6106">
        <v>3.0516969999999999</v>
      </c>
      <c r="T6106">
        <v>-6.9391010000000003E-2</v>
      </c>
      <c r="U6106">
        <v>-0.22930909999999999</v>
      </c>
      <c r="V6106">
        <v>3.7680699999999998E-2</v>
      </c>
      <c r="W6106">
        <v>0.18651319999999999</v>
      </c>
      <c r="X6106">
        <v>0.98172959999999998</v>
      </c>
      <c r="Y6106">
        <v>7.4930269999999993E-2</v>
      </c>
      <c r="Z6106">
        <v>-1.3634859999999999E-3</v>
      </c>
      <c r="AA6106">
        <v>0.99718790000000002</v>
      </c>
      <c r="AB6106">
        <v>36</v>
      </c>
      <c r="AC6106">
        <v>51.314900000000002</v>
      </c>
      <c r="AD6106">
        <v>-1.170936</v>
      </c>
      <c r="AE6106">
        <v>-3.8692700000000002</v>
      </c>
      <c r="AF6106">
        <v>3.8688566151198098</v>
      </c>
      <c r="AG6106">
        <v>-1.170936</v>
      </c>
      <c r="AH6106">
        <v>51.288225810276202</v>
      </c>
      <c r="AI6106">
        <v>91.304160333276698</v>
      </c>
      <c r="AJ6106">
        <v>85.686141757280595</v>
      </c>
      <c r="AK6106">
        <v>51.447266685319001</v>
      </c>
      <c r="AL6106">
        <v>79.250632036768707</v>
      </c>
      <c r="AM6106">
        <v>87.801954990778697</v>
      </c>
      <c r="AN6106">
        <v>1.00000000822144</v>
      </c>
    </row>
    <row r="6107" spans="1:40" x14ac:dyDescent="0.25">
      <c r="A6107" t="str">
        <f>"20190303170413443"</f>
        <v>20190303170413443</v>
      </c>
      <c r="B6107" t="str">
        <f>"1551603853431789"</f>
        <v>1551603853431789</v>
      </c>
      <c r="C6107" t="s">
        <v>40</v>
      </c>
      <c r="D6107">
        <v>5.0731320000000002</v>
      </c>
      <c r="E6107">
        <v>0.52209879999999997</v>
      </c>
      <c r="F6107" t="s">
        <v>44</v>
      </c>
      <c r="G6107">
        <v>-311.0179</v>
      </c>
      <c r="H6107">
        <v>-0.05</v>
      </c>
      <c r="I6107">
        <v>12.69218</v>
      </c>
      <c r="J6107">
        <v>-362.08980000000003</v>
      </c>
      <c r="K6107">
        <v>1.1209420000000001</v>
      </c>
      <c r="L6107">
        <v>16.758420000000001</v>
      </c>
      <c r="M6107">
        <v>0.99990639999999997</v>
      </c>
      <c r="N6107">
        <v>-1.368232E-2</v>
      </c>
      <c r="O6107">
        <v>-2.089033E-4</v>
      </c>
      <c r="P6107">
        <v>0.98410059999999999</v>
      </c>
      <c r="Q6107">
        <v>0.17338410000000001</v>
      </c>
      <c r="R6107">
        <v>-3.8528390000000003E-2</v>
      </c>
      <c r="S6107">
        <v>3.0512700000000001</v>
      </c>
      <c r="T6107">
        <v>-6.9710969999999997E-2</v>
      </c>
      <c r="U6107">
        <v>-0.2420959</v>
      </c>
      <c r="V6107">
        <v>3.8546829999999997E-2</v>
      </c>
      <c r="W6107">
        <v>0.1867868</v>
      </c>
      <c r="X6107">
        <v>0.98164399999999996</v>
      </c>
      <c r="Y6107">
        <v>7.8853119999999999E-2</v>
      </c>
      <c r="Z6107">
        <v>-1.43775E-3</v>
      </c>
      <c r="AA6107">
        <v>0.99688520000000003</v>
      </c>
      <c r="AB6107">
        <v>36</v>
      </c>
      <c r="AC6107">
        <v>51.071899999999999</v>
      </c>
      <c r="AD6107">
        <v>-1.1709419999999999</v>
      </c>
      <c r="AE6107">
        <v>-4.0662399999999996</v>
      </c>
      <c r="AF6107">
        <v>4.05345249937728</v>
      </c>
      <c r="AG6107">
        <v>-1.1709419999999999</v>
      </c>
      <c r="AH6107">
        <v>51.046084442855701</v>
      </c>
      <c r="AI6107">
        <v>91.309950727596402</v>
      </c>
      <c r="AJ6107">
        <v>85.4598004240965</v>
      </c>
      <c r="AK6107">
        <v>51.220155400771901</v>
      </c>
      <c r="AL6107">
        <v>79.234676005781694</v>
      </c>
      <c r="AM6107">
        <v>87.751286051016294</v>
      </c>
      <c r="AN6107">
        <v>1.0000000547466401</v>
      </c>
    </row>
    <row r="6108" spans="1:40" x14ac:dyDescent="0.25">
      <c r="A6108" t="str">
        <f>"20190303170413454"</f>
        <v>20190303170413454</v>
      </c>
      <c r="B6108" t="str">
        <f>"1551603853441548"</f>
        <v>1551603853441548</v>
      </c>
      <c r="C6108" t="s">
        <v>40</v>
      </c>
      <c r="D6108">
        <v>4.9555819999999997</v>
      </c>
      <c r="E6108">
        <v>0.52287950000000005</v>
      </c>
      <c r="F6108" t="s">
        <v>44</v>
      </c>
      <c r="G6108">
        <v>-310.4941</v>
      </c>
      <c r="H6108">
        <v>-0.05</v>
      </c>
      <c r="I6108">
        <v>12.516489999999999</v>
      </c>
      <c r="J6108">
        <v>-361.91019999999997</v>
      </c>
      <c r="K6108">
        <v>1.1209519999999999</v>
      </c>
      <c r="L6108">
        <v>16.758179999999999</v>
      </c>
      <c r="M6108">
        <v>0.99990599999999996</v>
      </c>
      <c r="N6108">
        <v>-1.370394E-2</v>
      </c>
      <c r="O6108">
        <v>-4.4794149999999999E-4</v>
      </c>
      <c r="P6108">
        <v>0.98399619999999999</v>
      </c>
      <c r="Q6108">
        <v>0.173678</v>
      </c>
      <c r="R6108">
        <v>-3.9846819999999998E-2</v>
      </c>
      <c r="S6108">
        <v>3.0508419999999998</v>
      </c>
      <c r="T6108">
        <v>-6.9237469999999995E-2</v>
      </c>
      <c r="U6108">
        <v>-0.25082399999999999</v>
      </c>
      <c r="V6108">
        <v>3.9630279999999997E-2</v>
      </c>
      <c r="W6108">
        <v>0.18709919999999999</v>
      </c>
      <c r="X6108">
        <v>0.98154129999999995</v>
      </c>
      <c r="Y6108">
        <v>8.1458240000000001E-2</v>
      </c>
      <c r="Z6108">
        <v>-1.4778650000000001E-3</v>
      </c>
      <c r="AA6108">
        <v>0.99667570000000005</v>
      </c>
      <c r="AB6108">
        <v>36</v>
      </c>
      <c r="AC6108">
        <v>51.416099999999901</v>
      </c>
      <c r="AD6108">
        <v>-1.170952</v>
      </c>
      <c r="AE6108">
        <v>-4.2416900000000002</v>
      </c>
      <c r="AF6108">
        <v>4.2164838823608104</v>
      </c>
      <c r="AG6108">
        <v>-1.170952</v>
      </c>
      <c r="AH6108">
        <v>51.391520675320301</v>
      </c>
      <c r="AI6108">
        <v>91.300884596686203</v>
      </c>
      <c r="AJ6108">
        <v>85.309599352225007</v>
      </c>
      <c r="AK6108">
        <v>51.577497634514899</v>
      </c>
      <c r="AL6108">
        <v>79.216454959433307</v>
      </c>
      <c r="AM6108">
        <v>87.687906631075407</v>
      </c>
      <c r="AN6108">
        <v>0.99999999666960404</v>
      </c>
    </row>
    <row r="6109" spans="1:40" x14ac:dyDescent="0.25">
      <c r="A6109" t="str">
        <f>"20190303170413466"</f>
        <v>20190303170413466</v>
      </c>
      <c r="B6109" t="str">
        <f>"1551603853452284"</f>
        <v>1551603853452284</v>
      </c>
      <c r="C6109" t="s">
        <v>40</v>
      </c>
      <c r="D6109">
        <v>5.1258850000000002</v>
      </c>
      <c r="E6109">
        <v>0.52355750000000001</v>
      </c>
      <c r="F6109" t="s">
        <v>44</v>
      </c>
      <c r="G6109">
        <v>-310.09399999999999</v>
      </c>
      <c r="H6109">
        <v>-0.05</v>
      </c>
      <c r="I6109">
        <v>12.32025</v>
      </c>
      <c r="J6109">
        <v>-361.71839999999997</v>
      </c>
      <c r="K6109">
        <v>1.1209629999999999</v>
      </c>
      <c r="L6109">
        <v>16.757839999999899</v>
      </c>
      <c r="M6109">
        <v>0.99990579999999996</v>
      </c>
      <c r="N6109">
        <v>-1.372432E-2</v>
      </c>
      <c r="O6109">
        <v>-7.0354019999999996E-4</v>
      </c>
      <c r="P6109">
        <v>0.98377199999999998</v>
      </c>
      <c r="Q6109">
        <v>0.17461650000000001</v>
      </c>
      <c r="R6109">
        <v>-4.1256429999999997E-2</v>
      </c>
      <c r="S6109">
        <v>3.0504150000000001</v>
      </c>
      <c r="T6109">
        <v>-6.8933839999999996E-2</v>
      </c>
      <c r="U6109">
        <v>-0.26126100000000002</v>
      </c>
      <c r="V6109">
        <v>4.0789400000000003E-2</v>
      </c>
      <c r="W6109">
        <v>0.18805330000000001</v>
      </c>
      <c r="X6109">
        <v>0.98131139999999994</v>
      </c>
      <c r="Y6109">
        <v>8.45997E-2</v>
      </c>
      <c r="Z6109">
        <v>-1.5295459999999999E-3</v>
      </c>
      <c r="AA6109">
        <v>0.99641380000000002</v>
      </c>
      <c r="AB6109">
        <v>36</v>
      </c>
      <c r="AC6109">
        <v>51.624399999999902</v>
      </c>
      <c r="AD6109">
        <v>-1.170963</v>
      </c>
      <c r="AE6109">
        <v>-4.4375899999999904</v>
      </c>
      <c r="AF6109">
        <v>4.3990190006085399</v>
      </c>
      <c r="AG6109">
        <v>-1.170963</v>
      </c>
      <c r="AH6109">
        <v>51.601156022764698</v>
      </c>
      <c r="AI6109">
        <v>91.295268912038196</v>
      </c>
      <c r="AJ6109">
        <v>85.127293641921497</v>
      </c>
      <c r="AK6109">
        <v>51.801561997692602</v>
      </c>
      <c r="AL6109">
        <v>79.160800594294599</v>
      </c>
      <c r="AM6109">
        <v>87.619801512322198</v>
      </c>
      <c r="AN6109">
        <v>0.99999994128160297</v>
      </c>
    </row>
    <row r="6110" spans="1:40" x14ac:dyDescent="0.25">
      <c r="A6110" t="str">
        <f>"20190303170413480"</f>
        <v>20190303170413480</v>
      </c>
      <c r="B6110" t="str">
        <f>"1551603853471804"</f>
        <v>1551603853471804</v>
      </c>
      <c r="C6110" t="s">
        <v>40</v>
      </c>
      <c r="D6110">
        <v>5.1261830000000002</v>
      </c>
      <c r="E6110">
        <v>0.52466800000000002</v>
      </c>
      <c r="F6110" t="s">
        <v>44</v>
      </c>
      <c r="G6110">
        <v>-308.17610000000002</v>
      </c>
      <c r="H6110">
        <v>-0.05</v>
      </c>
      <c r="I6110">
        <v>11.9994</v>
      </c>
      <c r="J6110">
        <v>-361.4932</v>
      </c>
      <c r="K6110">
        <v>1.120978</v>
      </c>
      <c r="L6110">
        <v>16.757390000000001</v>
      </c>
      <c r="M6110">
        <v>0.99990489999999999</v>
      </c>
      <c r="N6110">
        <v>-1.3746970000000001E-2</v>
      </c>
      <c r="O6110">
        <v>-1.00326E-3</v>
      </c>
      <c r="P6110">
        <v>0.98346699999999998</v>
      </c>
      <c r="Q6110">
        <v>0.17599300000000001</v>
      </c>
      <c r="R6110">
        <v>-4.2651500000000002E-2</v>
      </c>
      <c r="S6110">
        <v>3.049957</v>
      </c>
      <c r="T6110">
        <v>-6.6702129999999998E-2</v>
      </c>
      <c r="U6110">
        <v>-0.2710571</v>
      </c>
      <c r="V6110">
        <v>4.1891539999999998E-2</v>
      </c>
      <c r="W6110">
        <v>0.1894469</v>
      </c>
      <c r="X6110">
        <v>0.98099689999999995</v>
      </c>
      <c r="Y6110">
        <v>8.7490189999999995E-2</v>
      </c>
      <c r="Z6110">
        <v>-1.5492639999999901E-3</v>
      </c>
      <c r="AA6110">
        <v>0.99616420000000006</v>
      </c>
      <c r="AB6110">
        <v>36</v>
      </c>
      <c r="AC6110">
        <v>53.317099999999897</v>
      </c>
      <c r="AD6110">
        <v>-1.1709780000000001</v>
      </c>
      <c r="AE6110">
        <v>-4.7579900000000004</v>
      </c>
      <c r="AF6110">
        <v>4.7022414133735797</v>
      </c>
      <c r="AG6110">
        <v>-1.1709780000000001</v>
      </c>
      <c r="AH6110">
        <v>53.296342606647499</v>
      </c>
      <c r="AI6110">
        <v>91.253778610445806</v>
      </c>
      <c r="AJ6110">
        <v>84.957951146102602</v>
      </c>
      <c r="AK6110">
        <v>53.516188196014902</v>
      </c>
      <c r="AL6110">
        <v>79.079492023446704</v>
      </c>
      <c r="AM6110">
        <v>87.5547822140813</v>
      </c>
      <c r="AN6110">
        <v>0.99999997342639502</v>
      </c>
    </row>
    <row r="6111" spans="1:40" x14ac:dyDescent="0.25">
      <c r="A6111" t="str">
        <f>"20190303170413499"</f>
        <v>20190303170413499</v>
      </c>
      <c r="B6111" t="str">
        <f>"1551603853492301"</f>
        <v>1551603853492301</v>
      </c>
      <c r="C6111" t="s">
        <v>40</v>
      </c>
      <c r="D6111">
        <v>5.0593190000000003</v>
      </c>
      <c r="E6111">
        <v>0.52545790000000003</v>
      </c>
      <c r="F6111" t="s">
        <v>44</v>
      </c>
      <c r="G6111">
        <v>-306.0274</v>
      </c>
      <c r="H6111">
        <v>-0.05</v>
      </c>
      <c r="I6111">
        <v>11.587619999999999</v>
      </c>
      <c r="J6111">
        <v>-361.19490000000002</v>
      </c>
      <c r="K6111">
        <v>1.1209990000000001</v>
      </c>
      <c r="L6111">
        <v>16.756710000000002</v>
      </c>
      <c r="M6111">
        <v>0.99990429999999997</v>
      </c>
      <c r="N6111">
        <v>-1.3773809999999999E-2</v>
      </c>
      <c r="O6111">
        <v>-1.4006369999999999E-3</v>
      </c>
      <c r="P6111">
        <v>0.98283229999999999</v>
      </c>
      <c r="Q6111">
        <v>0.17897489999999999</v>
      </c>
      <c r="R6111">
        <v>-4.4823450000000001E-2</v>
      </c>
      <c r="S6111">
        <v>3.0495909999999999</v>
      </c>
      <c r="T6111">
        <v>-6.4382079999999994E-2</v>
      </c>
      <c r="U6111">
        <v>-0.28424070000000001</v>
      </c>
      <c r="V6111">
        <v>4.3676769999999997E-2</v>
      </c>
      <c r="W6111">
        <v>0.19244439999999999</v>
      </c>
      <c r="X6111">
        <v>0.98033539999999997</v>
      </c>
      <c r="Y6111">
        <v>9.1375709999999999E-2</v>
      </c>
      <c r="Z6111">
        <v>-1.5829069999999999E-3</v>
      </c>
      <c r="AA6111">
        <v>0.99581520000000001</v>
      </c>
      <c r="AB6111">
        <v>36</v>
      </c>
      <c r="AC6111">
        <v>55.167499999999997</v>
      </c>
      <c r="AD6111">
        <v>-1.1709989999999999</v>
      </c>
      <c r="AE6111">
        <v>-5.1690899999999997</v>
      </c>
      <c r="AF6111">
        <v>5.0895348160663296</v>
      </c>
      <c r="AG6111">
        <v>-1.1709989999999999</v>
      </c>
      <c r="AH6111">
        <v>55.150054777340102</v>
      </c>
      <c r="AI6111">
        <v>91.211231032971696</v>
      </c>
      <c r="AJ6111">
        <v>84.727380861105701</v>
      </c>
      <c r="AK6111">
        <v>55.396779195595599</v>
      </c>
      <c r="AL6111">
        <v>78.904528945690899</v>
      </c>
      <c r="AM6111">
        <v>87.448994732335393</v>
      </c>
      <c r="AN6111">
        <v>1.00000000191107</v>
      </c>
    </row>
    <row r="6112" spans="1:40" x14ac:dyDescent="0.25">
      <c r="A6112" t="str">
        <f>"20190303170413530"</f>
        <v>20190303170413530</v>
      </c>
      <c r="B6112" t="str">
        <f>"1551603853521580"</f>
        <v>1551603853521580</v>
      </c>
      <c r="C6112" t="s">
        <v>40</v>
      </c>
      <c r="D6112">
        <v>5.0638180000000004</v>
      </c>
      <c r="E6112">
        <v>0.52598599999999995</v>
      </c>
      <c r="F6112" t="s">
        <v>44</v>
      </c>
      <c r="G6112">
        <v>-299.32859999999999</v>
      </c>
      <c r="H6112">
        <v>-0.05</v>
      </c>
      <c r="I6112">
        <v>10.7287</v>
      </c>
      <c r="J6112">
        <v>-360.67489999999998</v>
      </c>
      <c r="K6112">
        <v>1.12101299999999</v>
      </c>
      <c r="L6112">
        <v>16.755220000000001</v>
      </c>
      <c r="M6112">
        <v>0.99990239999999997</v>
      </c>
      <c r="N6112">
        <v>-1.381278E-2</v>
      </c>
      <c r="O6112">
        <v>-2.0920439999999999E-3</v>
      </c>
      <c r="P6112">
        <v>0.98237090000000005</v>
      </c>
      <c r="Q6112">
        <v>0.18056320000000001</v>
      </c>
      <c r="R6112">
        <v>-4.8420999999999999E-2</v>
      </c>
      <c r="S6112">
        <v>3.0493769999999998</v>
      </c>
      <c r="T6112">
        <v>-5.7718279999999997E-2</v>
      </c>
      <c r="U6112">
        <v>-0.29711910000000002</v>
      </c>
      <c r="V6112">
        <v>4.6596800000000001E-2</v>
      </c>
      <c r="W6112">
        <v>0.19406119999999999</v>
      </c>
      <c r="X6112">
        <v>0.97988209999999998</v>
      </c>
      <c r="Y6112">
        <v>9.4864959999999998E-2</v>
      </c>
      <c r="Z6112">
        <v>-1.5417810000000001E-3</v>
      </c>
      <c r="AA6112">
        <v>0.99548890000000001</v>
      </c>
      <c r="AB6112">
        <v>36</v>
      </c>
      <c r="AC6112">
        <v>61.3462999999999</v>
      </c>
      <c r="AD6112">
        <v>-1.1710130000000001</v>
      </c>
      <c r="AE6112">
        <v>-6.0265199999999997</v>
      </c>
      <c r="AF6112">
        <v>5.8960275835926401</v>
      </c>
      <c r="AG6112">
        <v>-1.1710130000000001</v>
      </c>
      <c r="AH6112">
        <v>61.336638860997098</v>
      </c>
      <c r="AI6112">
        <v>91.088716591393705</v>
      </c>
      <c r="AJ6112">
        <v>84.509273109900505</v>
      </c>
      <c r="AK6112">
        <v>61.630493097792403</v>
      </c>
      <c r="AL6112">
        <v>78.810112932125406</v>
      </c>
      <c r="AM6112">
        <v>87.277437490480594</v>
      </c>
      <c r="AN6112">
        <v>0.99999997050804401</v>
      </c>
    </row>
    <row r="6113" spans="1:40" x14ac:dyDescent="0.25">
      <c r="A6113" t="str">
        <f>"20190303170413541"</f>
        <v>20190303170413541</v>
      </c>
      <c r="B6113" t="str">
        <f>"1551603853532317"</f>
        <v>1551603853532317</v>
      </c>
      <c r="C6113" t="s">
        <v>40</v>
      </c>
      <c r="D6113">
        <v>5.1194899999999999</v>
      </c>
      <c r="E6113">
        <v>0.52622530000000001</v>
      </c>
      <c r="F6113" t="s">
        <v>44</v>
      </c>
      <c r="G6113">
        <v>-296.05270000000002</v>
      </c>
      <c r="H6113">
        <v>-0.05</v>
      </c>
      <c r="I6113">
        <v>10.13165</v>
      </c>
      <c r="J6113">
        <v>-360.49579999999997</v>
      </c>
      <c r="K6113">
        <v>1.121016</v>
      </c>
      <c r="L6113">
        <v>16.754639999999998</v>
      </c>
      <c r="M6113">
        <v>0.9999017</v>
      </c>
      <c r="N6113">
        <v>-1.3824120000000001E-2</v>
      </c>
      <c r="O6113">
        <v>-2.3284870000000002E-3</v>
      </c>
      <c r="P6113">
        <v>0.98229460000000002</v>
      </c>
      <c r="Q6113">
        <v>0.18062900000000001</v>
      </c>
      <c r="R6113">
        <v>-4.9706680000000003E-2</v>
      </c>
      <c r="S6113">
        <v>3.048584</v>
      </c>
      <c r="T6113">
        <v>-5.5243130000000001E-2</v>
      </c>
      <c r="U6113">
        <v>-0.31246950000000001</v>
      </c>
      <c r="V6113">
        <v>4.7649700000000003E-2</v>
      </c>
      <c r="W6113">
        <v>0.19413649999999999</v>
      </c>
      <c r="X6113">
        <v>0.97981660000000004</v>
      </c>
      <c r="Y6113">
        <v>9.9616940000000001E-2</v>
      </c>
      <c r="Z6113">
        <v>-1.5806609999999999E-3</v>
      </c>
      <c r="AA6113">
        <v>0.99502460000000004</v>
      </c>
      <c r="AB6113">
        <v>36</v>
      </c>
      <c r="AC6113">
        <v>64.443099999999902</v>
      </c>
      <c r="AD6113">
        <v>-1.1710160000000001</v>
      </c>
      <c r="AE6113">
        <v>-6.6229899999999899</v>
      </c>
      <c r="AF6113">
        <v>6.4707884748981002</v>
      </c>
      <c r="AG6113">
        <v>-1.1710160000000001</v>
      </c>
      <c r="AH6113">
        <v>64.437293683944901</v>
      </c>
      <c r="AI6113">
        <v>91.035910089664995</v>
      </c>
      <c r="AJ6113">
        <v>84.265585898259303</v>
      </c>
      <c r="AK6113">
        <v>64.771963064817598</v>
      </c>
      <c r="AL6113">
        <v>78.805715503132006</v>
      </c>
      <c r="AM6113">
        <v>87.2158284458569</v>
      </c>
      <c r="AN6113">
        <v>1.00000002208894</v>
      </c>
    </row>
    <row r="6114" spans="1:40" x14ac:dyDescent="0.25">
      <c r="A6114" t="str">
        <f>"20190303170413552"</f>
        <v>20190303170413552</v>
      </c>
      <c r="B6114" t="str">
        <f>"1551603853542078"</f>
        <v>1551603853542078</v>
      </c>
      <c r="C6114" t="s">
        <v>40</v>
      </c>
      <c r="D6114">
        <v>5.060829</v>
      </c>
      <c r="E6114">
        <v>0.52636549999999904</v>
      </c>
      <c r="F6114" t="s">
        <v>44</v>
      </c>
      <c r="G6114">
        <v>-297.01170000000002</v>
      </c>
      <c r="H6114">
        <v>-0.05</v>
      </c>
      <c r="I6114">
        <v>10.12201</v>
      </c>
      <c r="J6114">
        <v>-360.30220000000003</v>
      </c>
      <c r="K6114">
        <v>1.121022</v>
      </c>
      <c r="L6114">
        <v>16.75394</v>
      </c>
      <c r="M6114">
        <v>0.99990109999999999</v>
      </c>
      <c r="N6114">
        <v>-1.383556E-2</v>
      </c>
      <c r="O6114">
        <v>-2.5833990000000001E-3</v>
      </c>
      <c r="P6114">
        <v>0.98219199999999995</v>
      </c>
      <c r="Q6114">
        <v>0.1807822</v>
      </c>
      <c r="R6114">
        <v>-5.1156680000000003E-2</v>
      </c>
      <c r="S6114">
        <v>3.04834</v>
      </c>
      <c r="T6114">
        <v>-5.6229109999999999E-2</v>
      </c>
      <c r="U6114">
        <v>-0.31848140000000003</v>
      </c>
      <c r="V6114">
        <v>4.884894E-2</v>
      </c>
      <c r="W6114">
        <v>0.19429840000000001</v>
      </c>
      <c r="X6114">
        <v>0.97972539999999997</v>
      </c>
      <c r="Y6114">
        <v>0.1013115</v>
      </c>
      <c r="Z6114">
        <v>-1.6227920000000001E-3</v>
      </c>
      <c r="AA6114">
        <v>0.9948534</v>
      </c>
      <c r="AB6114">
        <v>36</v>
      </c>
      <c r="AC6114">
        <v>63.290500000000002</v>
      </c>
      <c r="AD6114">
        <v>-1.171022</v>
      </c>
      <c r="AE6114">
        <v>-6.6319299999999899</v>
      </c>
      <c r="AF6114">
        <v>6.4661980510031603</v>
      </c>
      <c r="AG6114">
        <v>-1.171022</v>
      </c>
      <c r="AH6114">
        <v>63.285993520658899</v>
      </c>
      <c r="AI6114">
        <v>91.054571097557897</v>
      </c>
      <c r="AJ6114">
        <v>84.166092451709503</v>
      </c>
      <c r="AK6114">
        <v>63.626252330749097</v>
      </c>
      <c r="AL6114">
        <v>78.796258701738594</v>
      </c>
      <c r="AM6114">
        <v>87.145606061748296</v>
      </c>
      <c r="AN6114">
        <v>0.99999997329342105</v>
      </c>
    </row>
    <row r="6115" spans="1:40" x14ac:dyDescent="0.25">
      <c r="A6115" t="str">
        <f>"20190303170413565"</f>
        <v>20190303170413565</v>
      </c>
      <c r="B6115" t="str">
        <f>"1551603853551837"</f>
        <v>1551603853551837</v>
      </c>
      <c r="C6115" t="s">
        <v>40</v>
      </c>
      <c r="D6115">
        <v>4.8248009999999999</v>
      </c>
      <c r="E6115">
        <v>0.5264896</v>
      </c>
      <c r="F6115" t="s">
        <v>44</v>
      </c>
      <c r="G6115">
        <v>-297.68579999999997</v>
      </c>
      <c r="H6115">
        <v>-0.05</v>
      </c>
      <c r="I6115">
        <v>10.08963</v>
      </c>
      <c r="J6115">
        <v>-360.11500000000001</v>
      </c>
      <c r="K6115">
        <v>1.1210290000000001</v>
      </c>
      <c r="L6115">
        <v>16.7532</v>
      </c>
      <c r="M6115">
        <v>0.99990009999999996</v>
      </c>
      <c r="N6115">
        <v>-1.3845359999999999E-2</v>
      </c>
      <c r="O6115">
        <v>-2.8274400000000001E-3</v>
      </c>
      <c r="P6115">
        <v>0.98203189999999996</v>
      </c>
      <c r="Q6115">
        <v>0.18125930000000001</v>
      </c>
      <c r="R6115">
        <v>-5.2519650000000001E-2</v>
      </c>
      <c r="S6115">
        <v>3.0480040000000002</v>
      </c>
      <c r="T6115">
        <v>-5.700231E-2</v>
      </c>
      <c r="U6115">
        <v>-0.32440190000000002</v>
      </c>
      <c r="V6115">
        <v>4.9972259999999998E-2</v>
      </c>
      <c r="W6115">
        <v>0.1947816</v>
      </c>
      <c r="X6115">
        <v>0.97957280000000002</v>
      </c>
      <c r="Y6115">
        <v>0.10298980000000001</v>
      </c>
      <c r="Z6115">
        <v>-1.661671E-3</v>
      </c>
      <c r="AA6115">
        <v>0.99468100000000004</v>
      </c>
      <c r="AB6115">
        <v>36</v>
      </c>
      <c r="AC6115">
        <v>62.429200000000002</v>
      </c>
      <c r="AD6115">
        <v>-1.1710290000000001</v>
      </c>
      <c r="AE6115">
        <v>-6.66357</v>
      </c>
      <c r="AF6115">
        <v>6.4847556415208798</v>
      </c>
      <c r="AG6115">
        <v>-1.1710290000000001</v>
      </c>
      <c r="AH6115">
        <v>62.426075759576399</v>
      </c>
      <c r="AI6115">
        <v>91.068915094416894</v>
      </c>
      <c r="AJ6115">
        <v>84.069445028092503</v>
      </c>
      <c r="AK6115">
        <v>62.772910553752801</v>
      </c>
      <c r="AL6115">
        <v>78.768034265341996</v>
      </c>
      <c r="AM6115">
        <v>87.079625249207496</v>
      </c>
      <c r="AN6115">
        <v>0.999999984483953</v>
      </c>
    </row>
    <row r="6116" spans="1:40" x14ac:dyDescent="0.25">
      <c r="A6116" t="str">
        <f>"20190303170413577"</f>
        <v>20190303170413577</v>
      </c>
      <c r="B6116" t="str">
        <f>"1551603853572334"</f>
        <v>1551603853572334</v>
      </c>
      <c r="C6116" t="s">
        <v>40</v>
      </c>
      <c r="D6116">
        <v>4.8457759999999999</v>
      </c>
      <c r="E6116">
        <v>0.52665819999999997</v>
      </c>
      <c r="F6116" t="s">
        <v>44</v>
      </c>
      <c r="G6116">
        <v>-297.1345</v>
      </c>
      <c r="H6116">
        <v>-0.05</v>
      </c>
      <c r="I6116">
        <v>9.9366459999999996</v>
      </c>
      <c r="J6116">
        <v>-359.9169</v>
      </c>
      <c r="K6116">
        <v>1.1210450000000001</v>
      </c>
      <c r="L6116">
        <v>16.75244</v>
      </c>
      <c r="M6116">
        <v>0.99989930000000005</v>
      </c>
      <c r="N6116">
        <v>-1.3855269999999999E-2</v>
      </c>
      <c r="O6116">
        <v>-3.0845859999999998E-3</v>
      </c>
      <c r="P6116">
        <v>0.98182040000000004</v>
      </c>
      <c r="Q6116">
        <v>0.18200559999999999</v>
      </c>
      <c r="R6116">
        <v>-5.3876899999999998E-2</v>
      </c>
      <c r="S6116">
        <v>3.0477289999999999</v>
      </c>
      <c r="T6116">
        <v>-5.6668040000000003E-2</v>
      </c>
      <c r="U6116">
        <v>-0.3298645</v>
      </c>
      <c r="V6116">
        <v>5.1077110000000002E-2</v>
      </c>
      <c r="W6116">
        <v>0.1955345</v>
      </c>
      <c r="X6116">
        <v>0.97936579999999995</v>
      </c>
      <c r="Y6116">
        <v>0.10450570000000001</v>
      </c>
      <c r="Z6116">
        <v>-1.680319E-3</v>
      </c>
      <c r="AA6116">
        <v>0.99452289999999999</v>
      </c>
      <c r="AB6116">
        <v>36</v>
      </c>
      <c r="AC6116">
        <v>62.782400000000003</v>
      </c>
      <c r="AD6116">
        <v>-1.1710449999999999</v>
      </c>
      <c r="AE6116">
        <v>-6.8157939999999897</v>
      </c>
      <c r="AF6116">
        <v>6.61980898145171</v>
      </c>
      <c r="AG6116">
        <v>-1.1710449999999999</v>
      </c>
      <c r="AH6116">
        <v>62.781539069095302</v>
      </c>
      <c r="AI6116">
        <v>91.062706972330602</v>
      </c>
      <c r="AJ6116">
        <v>83.980861488541095</v>
      </c>
      <c r="AK6116">
        <v>63.140437638864</v>
      </c>
      <c r="AL6116">
        <v>78.7240506183458</v>
      </c>
      <c r="AM6116">
        <v>87.014543667507198</v>
      </c>
      <c r="AN6116">
        <v>0.99999999103292103</v>
      </c>
    </row>
    <row r="6117" spans="1:40" x14ac:dyDescent="0.25">
      <c r="A6117" t="str">
        <f>"20190303170413587"</f>
        <v>20190303170413587</v>
      </c>
      <c r="B6117" t="str">
        <f>"1551603853582093"</f>
        <v>1551603853582093</v>
      </c>
      <c r="C6117" t="s">
        <v>40</v>
      </c>
      <c r="D6117">
        <v>5.0692250000000003</v>
      </c>
      <c r="E6117">
        <v>0.52680190000000005</v>
      </c>
      <c r="F6117" t="s">
        <v>44</v>
      </c>
      <c r="G6117">
        <v>-296.69740000000002</v>
      </c>
      <c r="H6117">
        <v>-0.05</v>
      </c>
      <c r="I6117">
        <v>9.7945250000000001</v>
      </c>
      <c r="J6117">
        <v>-359.73390000000001</v>
      </c>
      <c r="K6117">
        <v>1.1210530000000001</v>
      </c>
      <c r="L6117">
        <v>16.751619999999999</v>
      </c>
      <c r="M6117">
        <v>0.99989839999999997</v>
      </c>
      <c r="N6117">
        <v>-1.386335E-2</v>
      </c>
      <c r="O6117">
        <v>-3.318699E-3</v>
      </c>
      <c r="P6117">
        <v>0.98156149999999998</v>
      </c>
      <c r="Q6117">
        <v>0.18307490000000001</v>
      </c>
      <c r="R6117">
        <v>-5.4962120000000003E-2</v>
      </c>
      <c r="S6117">
        <v>3.0476070000000002</v>
      </c>
      <c r="T6117">
        <v>-5.6452269999999999E-2</v>
      </c>
      <c r="U6117">
        <v>-0.33541870000000001</v>
      </c>
      <c r="V6117">
        <v>5.1932720000000002E-2</v>
      </c>
      <c r="W6117">
        <v>0.19660710000000001</v>
      </c>
      <c r="X6117">
        <v>0.97910600000000003</v>
      </c>
      <c r="Y6117">
        <v>0.1060678</v>
      </c>
      <c r="Z6117">
        <v>-1.701511E-3</v>
      </c>
      <c r="AA6117">
        <v>0.99435750000000001</v>
      </c>
      <c r="AB6117">
        <v>36</v>
      </c>
      <c r="AC6117">
        <v>63.036499999999897</v>
      </c>
      <c r="AD6117">
        <v>-1.1710529999999999</v>
      </c>
      <c r="AE6117">
        <v>-6.9570949999999998</v>
      </c>
      <c r="AF6117">
        <v>6.7455374088584197</v>
      </c>
      <c r="AG6117">
        <v>-1.1710529999999999</v>
      </c>
      <c r="AH6117">
        <v>63.037749801413703</v>
      </c>
      <c r="AI6117">
        <v>91.0582218809664</v>
      </c>
      <c r="AJ6117">
        <v>83.892141095987697</v>
      </c>
      <c r="AK6117">
        <v>63.408450068494403</v>
      </c>
      <c r="AL6117">
        <v>78.661378317120096</v>
      </c>
      <c r="AM6117">
        <v>86.963822115536701</v>
      </c>
      <c r="AN6117">
        <v>0.99999995920650298</v>
      </c>
    </row>
    <row r="6118" spans="1:40" x14ac:dyDescent="0.25">
      <c r="A6118" t="str">
        <f>"20190303170413599"</f>
        <v>20190303170413599</v>
      </c>
      <c r="B6118" t="str">
        <f>"1551603853591853"</f>
        <v>1551603853591853</v>
      </c>
      <c r="C6118" t="s">
        <v>40</v>
      </c>
      <c r="D6118">
        <v>4.766629</v>
      </c>
      <c r="E6118">
        <v>0.52685190000000004</v>
      </c>
      <c r="F6118" t="s">
        <v>44</v>
      </c>
      <c r="G6118">
        <v>-293.81270000000001</v>
      </c>
      <c r="H6118">
        <v>-0.05</v>
      </c>
      <c r="I6118">
        <v>9.3982849999999996</v>
      </c>
      <c r="J6118">
        <v>-359.55669999999998</v>
      </c>
      <c r="K6118">
        <v>1.1210629999999999</v>
      </c>
      <c r="L6118">
        <v>16.750820000000001</v>
      </c>
      <c r="M6118">
        <v>0.99989740000000005</v>
      </c>
      <c r="N6118">
        <v>-1.387072E-2</v>
      </c>
      <c r="O6118">
        <v>-3.5439830000000001E-3</v>
      </c>
      <c r="P6118">
        <v>0.98137090000000005</v>
      </c>
      <c r="Q6118">
        <v>0.1838668</v>
      </c>
      <c r="R6118">
        <v>-5.5714399999999997E-2</v>
      </c>
      <c r="S6118">
        <v>3.0474549999999998</v>
      </c>
      <c r="T6118">
        <v>-5.4136280000000002E-2</v>
      </c>
      <c r="U6118">
        <v>-0.3399353</v>
      </c>
      <c r="V6118">
        <v>5.2463709999999997E-2</v>
      </c>
      <c r="W6118">
        <v>0.19740369999999999</v>
      </c>
      <c r="X6118">
        <v>0.97891740000000005</v>
      </c>
      <c r="Y6118">
        <v>0.1073066</v>
      </c>
      <c r="Z6118">
        <v>-1.6830059999999999E-3</v>
      </c>
      <c r="AA6118">
        <v>0.99422449999999996</v>
      </c>
      <c r="AB6118">
        <v>36</v>
      </c>
      <c r="AC6118">
        <v>65.7439999999999</v>
      </c>
      <c r="AD6118">
        <v>-1.171063</v>
      </c>
      <c r="AE6118">
        <v>-7.3525349999999996</v>
      </c>
      <c r="AF6118">
        <v>7.1172404629806696</v>
      </c>
      <c r="AG6118">
        <v>-1.171063</v>
      </c>
      <c r="AH6118">
        <v>65.749043390108596</v>
      </c>
      <c r="AI6118">
        <v>91.014468067535006</v>
      </c>
      <c r="AJ6118">
        <v>83.821869660003301</v>
      </c>
      <c r="AK6118">
        <v>66.143504647639006</v>
      </c>
      <c r="AL6118">
        <v>78.614824256993401</v>
      </c>
      <c r="AM6118">
        <v>86.932247664474801</v>
      </c>
      <c r="AN6118">
        <v>0.99999996883170605</v>
      </c>
    </row>
    <row r="6119" spans="1:40" x14ac:dyDescent="0.25">
      <c r="A6119" t="str">
        <f>"20190303170413610"</f>
        <v>20190303170413610</v>
      </c>
      <c r="B6119" t="str">
        <f>"1551603853601613"</f>
        <v>1551603853601613</v>
      </c>
      <c r="C6119" t="s">
        <v>40</v>
      </c>
      <c r="D6119">
        <v>5.0610660000000003</v>
      </c>
      <c r="E6119">
        <v>0.52692759999999905</v>
      </c>
      <c r="F6119" t="s">
        <v>44</v>
      </c>
      <c r="G6119">
        <v>-291.85219999999998</v>
      </c>
      <c r="H6119">
        <v>-0.05</v>
      </c>
      <c r="I6119">
        <v>9.1428220000000007</v>
      </c>
      <c r="J6119">
        <v>-359.3698</v>
      </c>
      <c r="K6119">
        <v>1.121076</v>
      </c>
      <c r="L6119">
        <v>16.749939999999999</v>
      </c>
      <c r="M6119">
        <v>0.99989649999999997</v>
      </c>
      <c r="N6119">
        <v>-1.387772E-2</v>
      </c>
      <c r="O6119">
        <v>-3.7789070000000002E-3</v>
      </c>
      <c r="P6119">
        <v>0.98123059999999995</v>
      </c>
      <c r="Q6119">
        <v>0.184452</v>
      </c>
      <c r="R6119">
        <v>-5.6249859999999999E-2</v>
      </c>
      <c r="S6119">
        <v>3.0473940000000002</v>
      </c>
      <c r="T6119">
        <v>-5.2709819999999998E-2</v>
      </c>
      <c r="U6119">
        <v>-0.34243770000000001</v>
      </c>
      <c r="V6119">
        <v>5.2767660000000001E-2</v>
      </c>
      <c r="W6119">
        <v>0.19799410000000001</v>
      </c>
      <c r="X6119">
        <v>0.97878189999999998</v>
      </c>
      <c r="Y6119">
        <v>0.1078826</v>
      </c>
      <c r="Z6119">
        <v>-1.66821E-3</v>
      </c>
      <c r="AA6119">
        <v>0.99416230000000005</v>
      </c>
      <c r="AB6119">
        <v>36</v>
      </c>
      <c r="AC6119">
        <v>67.517600000000002</v>
      </c>
      <c r="AD6119">
        <v>-1.171076</v>
      </c>
      <c r="AE6119">
        <v>-7.6071179999999901</v>
      </c>
      <c r="AF6119">
        <v>7.3497129806064496</v>
      </c>
      <c r="AG6119">
        <v>-1.171076</v>
      </c>
      <c r="AH6119">
        <v>67.525807339629495</v>
      </c>
      <c r="AI6119">
        <v>90.987728353000193</v>
      </c>
      <c r="AJ6119">
        <v>83.788207117117395</v>
      </c>
      <c r="AK6119">
        <v>67.934706570087002</v>
      </c>
      <c r="AL6119">
        <v>78.580316649109307</v>
      </c>
      <c r="AM6119">
        <v>86.914082475287103</v>
      </c>
      <c r="AN6119">
        <v>1.0000000486721401</v>
      </c>
    </row>
    <row r="6120" spans="1:40" x14ac:dyDescent="0.25">
      <c r="A6120" t="str">
        <f>"20190303170413621"</f>
        <v>20190303170413621</v>
      </c>
      <c r="B6120" t="str">
        <f>"1551603853612349"</f>
        <v>1551603853612349</v>
      </c>
      <c r="C6120" t="s">
        <v>40</v>
      </c>
      <c r="D6120">
        <v>4.9985369999999998</v>
      </c>
      <c r="E6120">
        <v>0.52698059999999902</v>
      </c>
      <c r="F6120" t="s">
        <v>44</v>
      </c>
      <c r="G6120">
        <v>-290.60919999999999</v>
      </c>
      <c r="H6120">
        <v>-0.05</v>
      </c>
      <c r="I6120">
        <v>8.9791869999999996</v>
      </c>
      <c r="J6120">
        <v>-359.19990000000001</v>
      </c>
      <c r="K6120">
        <v>1.1210819999999999</v>
      </c>
      <c r="L6120">
        <v>16.749110000000002</v>
      </c>
      <c r="M6120">
        <v>0.9998958</v>
      </c>
      <c r="N6120">
        <v>-1.388358E-2</v>
      </c>
      <c r="O6120">
        <v>-3.9895039999999996E-3</v>
      </c>
      <c r="P6120">
        <v>0.98116729999999996</v>
      </c>
      <c r="Q6120">
        <v>0.1846564</v>
      </c>
      <c r="R6120">
        <v>-5.6684199999999997E-2</v>
      </c>
      <c r="S6120">
        <v>3.0473940000000002</v>
      </c>
      <c r="T6120">
        <v>-5.1900740000000001E-2</v>
      </c>
      <c r="U6120">
        <v>-0.3443909</v>
      </c>
      <c r="V6120">
        <v>5.2993829999999999E-2</v>
      </c>
      <c r="W6120">
        <v>0.19820399999999999</v>
      </c>
      <c r="X6120">
        <v>0.97872720000000002</v>
      </c>
      <c r="Y6120">
        <v>0.108303</v>
      </c>
      <c r="Z6120">
        <v>-1.661105E-3</v>
      </c>
      <c r="AA6120">
        <v>0.99411649999999996</v>
      </c>
      <c r="AB6120">
        <v>36</v>
      </c>
      <c r="AC6120">
        <v>68.590699999999998</v>
      </c>
      <c r="AD6120">
        <v>-1.171082</v>
      </c>
      <c r="AE6120">
        <v>-7.7699230000000004</v>
      </c>
      <c r="AF6120">
        <v>7.4940350820985104</v>
      </c>
      <c r="AG6120">
        <v>-1.171082</v>
      </c>
      <c r="AH6120">
        <v>68.601410959884504</v>
      </c>
      <c r="AI6120">
        <v>90.9722080983111</v>
      </c>
      <c r="AJ6120">
        <v>83.765715267334301</v>
      </c>
      <c r="AK6120">
        <v>69.019457985045094</v>
      </c>
      <c r="AL6120">
        <v>78.568047144440001</v>
      </c>
      <c r="AM6120">
        <v>86.900708635754398</v>
      </c>
      <c r="AN6120">
        <v>1.0000000518269501</v>
      </c>
    </row>
    <row r="6121" spans="1:40" x14ac:dyDescent="0.25">
      <c r="A6121" t="str">
        <f>"20190303170413632"</f>
        <v>20190303170413632</v>
      </c>
      <c r="B6121" t="str">
        <f>"1551603853621640"</f>
        <v>1551603853621640</v>
      </c>
      <c r="C6121" t="s">
        <v>40</v>
      </c>
      <c r="D6121">
        <v>5.0016910000000001</v>
      </c>
      <c r="E6121">
        <v>0.526981699999999</v>
      </c>
      <c r="F6121" t="s">
        <v>44</v>
      </c>
      <c r="G6121">
        <v>-290.44560000000001</v>
      </c>
      <c r="H6121">
        <v>-0.05</v>
      </c>
      <c r="I6121">
        <v>8.9424130000000002</v>
      </c>
      <c r="J6121">
        <v>-359.01609999999999</v>
      </c>
      <c r="K6121">
        <v>1.1210910000000001</v>
      </c>
      <c r="L6121">
        <v>16.748169999999998</v>
      </c>
      <c r="M6121">
        <v>0.99989470000000003</v>
      </c>
      <c r="N6121">
        <v>-1.3889550000000001E-2</v>
      </c>
      <c r="O6121">
        <v>-4.2147520000000004E-3</v>
      </c>
      <c r="P6121">
        <v>0.98115300000000005</v>
      </c>
      <c r="Q6121">
        <v>0.18449009999999999</v>
      </c>
      <c r="R6121">
        <v>-5.7465799999999997E-2</v>
      </c>
      <c r="S6121">
        <v>3.0473330000000001</v>
      </c>
      <c r="T6121">
        <v>-5.1904800000000001E-2</v>
      </c>
      <c r="U6121">
        <v>-0.34600829999999999</v>
      </c>
      <c r="V6121">
        <v>5.3551809999999998E-2</v>
      </c>
      <c r="W6121">
        <v>0.1980432</v>
      </c>
      <c r="X6121">
        <v>0.97872930000000002</v>
      </c>
      <c r="Y6121">
        <v>0.10860209999999999</v>
      </c>
      <c r="Z6121">
        <v>-1.6654510000000001E-3</v>
      </c>
      <c r="AA6121">
        <v>0.99408390000000002</v>
      </c>
      <c r="AB6121">
        <v>36</v>
      </c>
      <c r="AC6121">
        <v>68.570499999999896</v>
      </c>
      <c r="AD6121">
        <v>-1.1710909999999899</v>
      </c>
      <c r="AE6121">
        <v>-7.8057569999999998</v>
      </c>
      <c r="AF6121">
        <v>7.5144883485934697</v>
      </c>
      <c r="AG6121">
        <v>-1.1710909999999899</v>
      </c>
      <c r="AH6121">
        <v>68.583044941600505</v>
      </c>
      <c r="AI6121">
        <v>90.972441448263595</v>
      </c>
      <c r="AJ6121">
        <v>83.7471739712729</v>
      </c>
      <c r="AK6121">
        <v>69.003427760749801</v>
      </c>
      <c r="AL6121">
        <v>78.577445730522101</v>
      </c>
      <c r="AM6121">
        <v>86.868147063039302</v>
      </c>
      <c r="AN6121">
        <v>0.99999997404950203</v>
      </c>
    </row>
    <row r="6122" spans="1:40" x14ac:dyDescent="0.25">
      <c r="A6122" t="str">
        <f>"20190303170413645"</f>
        <v>20190303170413645</v>
      </c>
      <c r="B6122" t="str">
        <f>"1551603853632377"</f>
        <v>1551603853632377</v>
      </c>
      <c r="C6122" t="s">
        <v>40</v>
      </c>
      <c r="D6122">
        <v>4.997738</v>
      </c>
      <c r="E6122">
        <v>0.52694859999999999</v>
      </c>
      <c r="F6122" t="s">
        <v>44</v>
      </c>
      <c r="G6122">
        <v>-291.97469999999998</v>
      </c>
      <c r="H6122">
        <v>-0.05</v>
      </c>
      <c r="I6122">
        <v>9.0852970000000006</v>
      </c>
      <c r="J6122">
        <v>-358.82900000000001</v>
      </c>
      <c r="K6122">
        <v>1.121103</v>
      </c>
      <c r="L6122">
        <v>16.747160000000001</v>
      </c>
      <c r="M6122">
        <v>0.9998937</v>
      </c>
      <c r="N6122">
        <v>-1.389487E-2</v>
      </c>
      <c r="O6122">
        <v>-4.4377100000000001E-3</v>
      </c>
      <c r="P6122">
        <v>0.98118289999999997</v>
      </c>
      <c r="Q6122">
        <v>0.1840813</v>
      </c>
      <c r="R6122">
        <v>-5.8259930000000001E-2</v>
      </c>
      <c r="S6122">
        <v>3.0472109999999999</v>
      </c>
      <c r="T6122">
        <v>-5.3229209999999999E-2</v>
      </c>
      <c r="U6122">
        <v>-0.34829710000000003</v>
      </c>
      <c r="V6122">
        <v>5.4123549999999999E-2</v>
      </c>
      <c r="W6122">
        <v>0.1976407</v>
      </c>
      <c r="X6122">
        <v>0.97877930000000002</v>
      </c>
      <c r="Y6122">
        <v>0.1091207</v>
      </c>
      <c r="Z6122">
        <v>-1.694826E-3</v>
      </c>
      <c r="AA6122">
        <v>0.99402710000000005</v>
      </c>
      <c r="AB6122">
        <v>36</v>
      </c>
      <c r="AC6122">
        <v>66.854299999999995</v>
      </c>
      <c r="AD6122">
        <v>-1.171103</v>
      </c>
      <c r="AE6122">
        <v>-7.6618630000000003</v>
      </c>
      <c r="AF6122">
        <v>7.3628488995638097</v>
      </c>
      <c r="AG6122">
        <v>-1.171103</v>
      </c>
      <c r="AH6122">
        <v>66.867393476885496</v>
      </c>
      <c r="AI6122">
        <v>90.997338308810697</v>
      </c>
      <c r="AJ6122">
        <v>83.716406498139804</v>
      </c>
      <c r="AK6122">
        <v>67.2817310757314</v>
      </c>
      <c r="AL6122">
        <v>78.600973321161106</v>
      </c>
      <c r="AM6122">
        <v>86.834939173865195</v>
      </c>
      <c r="AN6122">
        <v>1.0000000615347799</v>
      </c>
    </row>
    <row r="6123" spans="1:40" x14ac:dyDescent="0.25">
      <c r="A6123" t="str">
        <f>"20190303170413657"</f>
        <v>20190303170413657</v>
      </c>
      <c r="B6123" t="str">
        <f>"1551603853651896"</f>
        <v>1551603853651896</v>
      </c>
      <c r="C6123" t="s">
        <v>40</v>
      </c>
      <c r="D6123">
        <v>5.0526289999999996</v>
      </c>
      <c r="E6123">
        <v>0.52694949999999996</v>
      </c>
      <c r="F6123" t="s">
        <v>44</v>
      </c>
      <c r="G6123">
        <v>-294.38959999999997</v>
      </c>
      <c r="H6123">
        <v>-0.05</v>
      </c>
      <c r="I6123">
        <v>9.3350220000000004</v>
      </c>
      <c r="J6123">
        <v>-358.62470000000002</v>
      </c>
      <c r="K6123">
        <v>1.1211139999999999</v>
      </c>
      <c r="L6123">
        <v>16.746029999999902</v>
      </c>
      <c r="M6123">
        <v>0.99989249999999996</v>
      </c>
      <c r="N6123">
        <v>-1.390039E-2</v>
      </c>
      <c r="O6123">
        <v>-4.6781710000000001E-3</v>
      </c>
      <c r="P6123">
        <v>0.9811571</v>
      </c>
      <c r="Q6123">
        <v>0.18399969999999999</v>
      </c>
      <c r="R6123">
        <v>-5.8951429999999999E-2</v>
      </c>
      <c r="S6123">
        <v>3.0471189999999999</v>
      </c>
      <c r="T6123">
        <v>-5.537748E-2</v>
      </c>
      <c r="U6123">
        <v>-0.35049439999999998</v>
      </c>
      <c r="V6123">
        <v>5.4575480000000003E-2</v>
      </c>
      <c r="W6123">
        <v>0.19756499999999999</v>
      </c>
      <c r="X6123">
        <v>0.97876940000000001</v>
      </c>
      <c r="Y6123">
        <v>0.10959049999999999</v>
      </c>
      <c r="Z6123">
        <v>-1.7368990000000001E-3</v>
      </c>
      <c r="AA6123">
        <v>0.99397530000000001</v>
      </c>
      <c r="AB6123">
        <v>36</v>
      </c>
      <c r="AC6123">
        <v>64.235100000000003</v>
      </c>
      <c r="AD6123">
        <v>-1.171114</v>
      </c>
      <c r="AE6123">
        <v>-7.41100799999999</v>
      </c>
      <c r="AF6123">
        <v>7.1080634444965298</v>
      </c>
      <c r="AG6123">
        <v>-1.171114</v>
      </c>
      <c r="AH6123">
        <v>64.247995134025103</v>
      </c>
      <c r="AI6123">
        <v>91.037941685154493</v>
      </c>
      <c r="AJ6123">
        <v>83.686768035984997</v>
      </c>
      <c r="AK6123">
        <v>64.650606746369306</v>
      </c>
      <c r="AL6123">
        <v>78.605396857949401</v>
      </c>
      <c r="AM6123">
        <v>86.808533202964597</v>
      </c>
      <c r="AN6123">
        <v>0.99999997530929496</v>
      </c>
    </row>
    <row r="6124" spans="1:40" x14ac:dyDescent="0.25">
      <c r="A6124" t="str">
        <f>"20190303170413668"</f>
        <v>20190303170413668</v>
      </c>
      <c r="B6124" t="str">
        <f>"1551603853661656"</f>
        <v>1551603853661656</v>
      </c>
      <c r="C6124" t="s">
        <v>40</v>
      </c>
      <c r="D6124">
        <v>4.9935029999999996</v>
      </c>
      <c r="E6124">
        <v>0.52688380000000001</v>
      </c>
      <c r="F6124" t="s">
        <v>44</v>
      </c>
      <c r="G6124">
        <v>-295.63959999999997</v>
      </c>
      <c r="H6124">
        <v>-0.05</v>
      </c>
      <c r="I6124">
        <v>9.4516910000000003</v>
      </c>
      <c r="J6124">
        <v>-358.4359</v>
      </c>
      <c r="K6124">
        <v>1.1211249999999999</v>
      </c>
      <c r="L6124">
        <v>16.74493</v>
      </c>
      <c r="M6124">
        <v>0.99989150000000004</v>
      </c>
      <c r="N6124">
        <v>-1.3904939999999999E-2</v>
      </c>
      <c r="O6124">
        <v>-4.8921479999999998E-3</v>
      </c>
      <c r="P6124">
        <v>0.9810702</v>
      </c>
      <c r="Q6124">
        <v>0.1841381</v>
      </c>
      <c r="R6124">
        <v>-5.9958119999999997E-2</v>
      </c>
      <c r="S6124">
        <v>3.0469970000000002</v>
      </c>
      <c r="T6124">
        <v>-5.6654450000000002E-2</v>
      </c>
      <c r="U6124">
        <v>-0.35287479999999999</v>
      </c>
      <c r="V6124">
        <v>5.5368720000000003E-2</v>
      </c>
      <c r="W6124">
        <v>0.1977071</v>
      </c>
      <c r="X6124">
        <v>0.97869620000000002</v>
      </c>
      <c r="Y6124">
        <v>0.1101473</v>
      </c>
      <c r="Z6124">
        <v>-1.766175E-3</v>
      </c>
      <c r="AA6124">
        <v>0.99391370000000001</v>
      </c>
      <c r="AB6124">
        <v>36</v>
      </c>
      <c r="AC6124">
        <v>62.796300000000002</v>
      </c>
      <c r="AD6124">
        <v>-1.171125</v>
      </c>
      <c r="AE6124">
        <v>-7.2932389999999998</v>
      </c>
      <c r="AF6124">
        <v>6.9835166664881099</v>
      </c>
      <c r="AG6124">
        <v>-1.171125</v>
      </c>
      <c r="AH6124">
        <v>62.809676544570699</v>
      </c>
      <c r="AI6124">
        <v>91.061650731790706</v>
      </c>
      <c r="AJ6124">
        <v>83.655605868491506</v>
      </c>
      <c r="AK6124">
        <v>63.207566844724603</v>
      </c>
      <c r="AL6124">
        <v>78.597091846389006</v>
      </c>
      <c r="AM6124">
        <v>86.762002424599203</v>
      </c>
      <c r="AN6124">
        <v>1.0000000222196399</v>
      </c>
    </row>
    <row r="6125" spans="1:40" x14ac:dyDescent="0.25">
      <c r="A6125" t="str">
        <f>"20190303170413687"</f>
        <v>20190303170413687</v>
      </c>
      <c r="B6125" t="str">
        <f>"1551603853671416"</f>
        <v>1551603853671416</v>
      </c>
      <c r="C6125" t="s">
        <v>40</v>
      </c>
      <c r="D6125">
        <v>4.9958220000000004</v>
      </c>
      <c r="E6125">
        <v>0.52684929999999996</v>
      </c>
      <c r="F6125" t="s">
        <v>44</v>
      </c>
      <c r="G6125">
        <v>-295.33819999999997</v>
      </c>
      <c r="H6125">
        <v>-0.05</v>
      </c>
      <c r="I6125">
        <v>9.3827669999999994</v>
      </c>
      <c r="J6125">
        <v>-358.15539999999999</v>
      </c>
      <c r="K6125">
        <v>1.1211439999999999</v>
      </c>
      <c r="L6125">
        <v>16.743259999999999</v>
      </c>
      <c r="M6125">
        <v>0.99988980000000005</v>
      </c>
      <c r="N6125">
        <v>-1.391097E-2</v>
      </c>
      <c r="O6125">
        <v>-5.2009309999999998E-3</v>
      </c>
      <c r="P6125">
        <v>0.98088989999999998</v>
      </c>
      <c r="Q6125">
        <v>0.18456130000000001</v>
      </c>
      <c r="R6125">
        <v>-6.1584819999999998E-2</v>
      </c>
      <c r="S6125">
        <v>3.0468139999999999</v>
      </c>
      <c r="T6125">
        <v>-5.6550379999999997E-2</v>
      </c>
      <c r="U6125">
        <v>-0.35549930000000002</v>
      </c>
      <c r="V6125">
        <v>5.6687479999999998E-2</v>
      </c>
      <c r="W6125">
        <v>0.1981338</v>
      </c>
      <c r="X6125">
        <v>0.97853429999999997</v>
      </c>
      <c r="Y6125">
        <v>0.11069180000000001</v>
      </c>
      <c r="Z6125">
        <v>-1.772282E-3</v>
      </c>
      <c r="AA6125">
        <v>0.99385319999999999</v>
      </c>
      <c r="AB6125">
        <v>36</v>
      </c>
      <c r="AC6125">
        <v>62.8172</v>
      </c>
      <c r="AD6125">
        <v>-1.171144</v>
      </c>
      <c r="AE6125">
        <v>-7.3604929999999902</v>
      </c>
      <c r="AF6125">
        <v>7.03124305254675</v>
      </c>
      <c r="AG6125">
        <v>-1.171144</v>
      </c>
      <c r="AH6125">
        <v>62.833091184935903</v>
      </c>
      <c r="AI6125">
        <v>91.061188468024795</v>
      </c>
      <c r="AJ6125">
        <v>83.614965079303303</v>
      </c>
      <c r="AK6125">
        <v>63.236123418400602</v>
      </c>
      <c r="AL6125">
        <v>78.572149217371404</v>
      </c>
      <c r="AM6125">
        <v>86.684503267053898</v>
      </c>
      <c r="AN6125">
        <v>0.99999992468383703</v>
      </c>
    </row>
    <row r="6126" spans="1:40" x14ac:dyDescent="0.25">
      <c r="A6126" t="str">
        <f>"20190303170413698"</f>
        <v>20190303170413698</v>
      </c>
      <c r="B6126" t="str">
        <f>"1551603853691912"</f>
        <v>1551603853691912</v>
      </c>
      <c r="C6126" t="s">
        <v>40</v>
      </c>
      <c r="D6126">
        <v>4.9365550000000002</v>
      </c>
      <c r="E6126">
        <v>0.52672489999999905</v>
      </c>
      <c r="F6126" t="s">
        <v>44</v>
      </c>
      <c r="G6126">
        <v>-294.43009999999998</v>
      </c>
      <c r="H6126">
        <v>-0.05</v>
      </c>
      <c r="I6126">
        <v>9.2008360000000007</v>
      </c>
      <c r="J6126">
        <v>-357.95370000000003</v>
      </c>
      <c r="K6126">
        <v>1.121159</v>
      </c>
      <c r="L6126">
        <v>16.742000000000001</v>
      </c>
      <c r="M6126">
        <v>0.99988869999999996</v>
      </c>
      <c r="N6126">
        <v>-1.39148E-2</v>
      </c>
      <c r="O6126">
        <v>-5.4159369999999896E-3</v>
      </c>
      <c r="P6126">
        <v>0.98075659999999998</v>
      </c>
      <c r="Q6126">
        <v>0.18504580000000001</v>
      </c>
      <c r="R6126">
        <v>-6.2248669999999999E-2</v>
      </c>
      <c r="S6126">
        <v>3.0463870000000002</v>
      </c>
      <c r="T6126">
        <v>-5.5986519999999998E-2</v>
      </c>
      <c r="U6126">
        <v>-0.36056519999999997</v>
      </c>
      <c r="V6126">
        <v>5.7136649999999997E-2</v>
      </c>
      <c r="W6126">
        <v>0.19862179999999999</v>
      </c>
      <c r="X6126">
        <v>0.97840930000000004</v>
      </c>
      <c r="Y6126">
        <v>0.1121243</v>
      </c>
      <c r="Z6126">
        <v>-1.7855379999999999E-3</v>
      </c>
      <c r="AA6126">
        <v>0.99369260000000004</v>
      </c>
      <c r="AB6126">
        <v>36</v>
      </c>
      <c r="AC6126">
        <v>63.523600000000002</v>
      </c>
      <c r="AD6126">
        <v>-1.1711590000000001</v>
      </c>
      <c r="AE6126">
        <v>-7.5411640000000002</v>
      </c>
      <c r="AF6126">
        <v>7.19456880689361</v>
      </c>
      <c r="AG6126">
        <v>-1.1711590000000001</v>
      </c>
      <c r="AH6126">
        <v>63.542216226104102</v>
      </c>
      <c r="AI6126">
        <v>91.049207706924093</v>
      </c>
      <c r="AJ6126">
        <v>83.540195079274795</v>
      </c>
      <c r="AK6126">
        <v>63.958945243377599</v>
      </c>
      <c r="AL6126">
        <v>78.543622638896096</v>
      </c>
      <c r="AM6126">
        <v>86.657865872713899</v>
      </c>
      <c r="AN6126">
        <v>0.99999998726747596</v>
      </c>
    </row>
    <row r="6127" spans="1:40" x14ac:dyDescent="0.25">
      <c r="A6127" t="str">
        <f>"20190303170413712"</f>
        <v>20190303170413712</v>
      </c>
      <c r="B6127" t="str">
        <f>"1551603853701671"</f>
        <v>1551603853701671</v>
      </c>
      <c r="C6127" t="s">
        <v>40</v>
      </c>
      <c r="D6127">
        <v>4.9932369999999997</v>
      </c>
      <c r="E6127">
        <v>0.52671330000000005</v>
      </c>
      <c r="F6127" t="s">
        <v>44</v>
      </c>
      <c r="G6127">
        <v>-293.28129999999999</v>
      </c>
      <c r="H6127">
        <v>-0.05</v>
      </c>
      <c r="I6127">
        <v>9.065887</v>
      </c>
      <c r="J6127">
        <v>-357.73270000000002</v>
      </c>
      <c r="K6127">
        <v>1.1211679999999999</v>
      </c>
      <c r="L6127">
        <v>16.740570000000002</v>
      </c>
      <c r="M6127">
        <v>0.99988730000000003</v>
      </c>
      <c r="N6127">
        <v>-1.3918430000000001E-2</v>
      </c>
      <c r="O6127">
        <v>-5.642111E-3</v>
      </c>
      <c r="P6127">
        <v>0.98059929999999995</v>
      </c>
      <c r="Q6127">
        <v>0.18569359999999999</v>
      </c>
      <c r="R6127">
        <v>-6.2797290000000006E-2</v>
      </c>
      <c r="S6127">
        <v>3.0462950000000002</v>
      </c>
      <c r="T6127">
        <v>-5.5165649999999997E-2</v>
      </c>
      <c r="U6127">
        <v>-0.36157230000000001</v>
      </c>
      <c r="V6127">
        <v>5.7458910000000002E-2</v>
      </c>
      <c r="W6127">
        <v>0.19927230000000001</v>
      </c>
      <c r="X6127">
        <v>0.97825819999999997</v>
      </c>
      <c r="Y6127">
        <v>0.1122277</v>
      </c>
      <c r="Z6127">
        <v>-1.7728990000000001E-3</v>
      </c>
      <c r="AA6127">
        <v>0.99368100000000004</v>
      </c>
      <c r="AB6127">
        <v>36</v>
      </c>
      <c r="AC6127">
        <v>64.451400000000007</v>
      </c>
      <c r="AD6127">
        <v>-1.171168</v>
      </c>
      <c r="AE6127">
        <v>-7.6746829999999999</v>
      </c>
      <c r="AF6127">
        <v>7.3085041601373497</v>
      </c>
      <c r="AG6127">
        <v>-1.171168</v>
      </c>
      <c r="AH6127">
        <v>64.472688467566797</v>
      </c>
      <c r="AI6127">
        <v>91.034061364764597</v>
      </c>
      <c r="AJ6127">
        <v>83.532664511569493</v>
      </c>
      <c r="AK6127">
        <v>64.896174199862401</v>
      </c>
      <c r="AL6127">
        <v>78.505592124336303</v>
      </c>
      <c r="AM6127">
        <v>86.638540848995703</v>
      </c>
      <c r="AN6127">
        <v>1.00000004087645</v>
      </c>
    </row>
    <row r="6128" spans="1:40" x14ac:dyDescent="0.25">
      <c r="A6128" t="str">
        <f>"20190303170413726"</f>
        <v>20190303170413726</v>
      </c>
      <c r="B6128" t="str">
        <f>"1551603853711432"</f>
        <v>1551603853711432</v>
      </c>
      <c r="C6128" t="s">
        <v>40</v>
      </c>
      <c r="D6128">
        <v>4.9402210000000002</v>
      </c>
      <c r="E6128">
        <v>0.52667969999999997</v>
      </c>
      <c r="F6128" t="s">
        <v>44</v>
      </c>
      <c r="G6128">
        <v>-291.06709999999998</v>
      </c>
      <c r="H6128">
        <v>-0.05</v>
      </c>
      <c r="I6128">
        <v>8.7903140000000004</v>
      </c>
      <c r="J6128">
        <v>-357.51499999999999</v>
      </c>
      <c r="K6128">
        <v>1.121186</v>
      </c>
      <c r="L6128">
        <v>16.739139999999999</v>
      </c>
      <c r="M6128">
        <v>0.99988600000000005</v>
      </c>
      <c r="N6128">
        <v>-1.392153E-2</v>
      </c>
      <c r="O6128">
        <v>-5.8534859999999998E-3</v>
      </c>
      <c r="P6128">
        <v>0.98050760000000003</v>
      </c>
      <c r="Q6128">
        <v>0.18612780000000001</v>
      </c>
      <c r="R6128">
        <v>-6.2939999999999996E-2</v>
      </c>
      <c r="S6128">
        <v>3.0462340000000001</v>
      </c>
      <c r="T6128">
        <v>-5.3515670000000001E-2</v>
      </c>
      <c r="U6128">
        <v>-0.36328129999999997</v>
      </c>
      <c r="V6128">
        <v>5.7389179999999998E-2</v>
      </c>
      <c r="W6128">
        <v>0.19971059999999999</v>
      </c>
      <c r="X6128">
        <v>0.97817290000000001</v>
      </c>
      <c r="Y6128">
        <v>0.112571</v>
      </c>
      <c r="Z6128">
        <v>-1.750499E-3</v>
      </c>
      <c r="AA6128">
        <v>0.99364220000000003</v>
      </c>
      <c r="AB6128">
        <v>36</v>
      </c>
      <c r="AC6128">
        <v>66.447900000000004</v>
      </c>
      <c r="AD6128">
        <v>-1.1711860000000001</v>
      </c>
      <c r="AE6128">
        <v>-7.9488259999999897</v>
      </c>
      <c r="AF6128">
        <v>7.5573855883740499</v>
      </c>
      <c r="AG6128">
        <v>-1.1711860000000001</v>
      </c>
      <c r="AH6128">
        <v>66.472934934453406</v>
      </c>
      <c r="AI6128">
        <v>91.002929716314597</v>
      </c>
      <c r="AJ6128">
        <v>83.513826319804394</v>
      </c>
      <c r="AK6128">
        <v>66.911410330212306</v>
      </c>
      <c r="AL6128">
        <v>78.479964150217398</v>
      </c>
      <c r="AM6128">
        <v>86.642318747806101</v>
      </c>
      <c r="AN6128">
        <v>1.00000003201392</v>
      </c>
    </row>
    <row r="6129" spans="1:40" x14ac:dyDescent="0.25">
      <c r="A6129" t="str">
        <f>"20190303170413742"</f>
        <v>20190303170413742</v>
      </c>
      <c r="B6129" t="str">
        <f>"1551603853731460"</f>
        <v>1551603853731460</v>
      </c>
      <c r="C6129" t="s">
        <v>40</v>
      </c>
      <c r="D6129">
        <v>4.8835699999999997</v>
      </c>
      <c r="E6129">
        <v>0.52665909999999905</v>
      </c>
      <c r="F6129" t="s">
        <v>44</v>
      </c>
      <c r="G6129">
        <v>-289.66759999999999</v>
      </c>
      <c r="H6129">
        <v>-0.05</v>
      </c>
      <c r="I6129">
        <v>8.6412960000000005</v>
      </c>
      <c r="J6129">
        <v>-357.25279999999998</v>
      </c>
      <c r="K6129">
        <v>1.12121</v>
      </c>
      <c r="L6129">
        <v>16.737369999999999</v>
      </c>
      <c r="M6129">
        <v>0.99988449999999995</v>
      </c>
      <c r="N6129">
        <v>-1.3924840000000001E-2</v>
      </c>
      <c r="O6129">
        <v>-6.0963859999999996E-3</v>
      </c>
      <c r="P6129">
        <v>0.98048190000000002</v>
      </c>
      <c r="Q6129">
        <v>0.18630260000000001</v>
      </c>
      <c r="R6129">
        <v>-6.2823219999999999E-2</v>
      </c>
      <c r="S6129">
        <v>3.0462950000000002</v>
      </c>
      <c r="T6129">
        <v>-5.2585359999999998E-2</v>
      </c>
      <c r="U6129">
        <v>-0.36358639999999998</v>
      </c>
      <c r="V6129">
        <v>5.7026460000000001E-2</v>
      </c>
      <c r="W6129">
        <v>0.19989090000000001</v>
      </c>
      <c r="X6129">
        <v>0.97815730000000001</v>
      </c>
      <c r="Y6129">
        <v>0.11242630000000001</v>
      </c>
      <c r="Z6129">
        <v>-1.7322780000000001E-3</v>
      </c>
      <c r="AA6129">
        <v>0.9936585</v>
      </c>
      <c r="AB6129">
        <v>36</v>
      </c>
      <c r="AC6129">
        <v>67.585199999999901</v>
      </c>
      <c r="AD6129">
        <v>-1.1712100000000001</v>
      </c>
      <c r="AE6129">
        <v>-8.0960739999999998</v>
      </c>
      <c r="AF6129">
        <v>7.6815839142320597</v>
      </c>
      <c r="AG6129">
        <v>-1.1712100000000001</v>
      </c>
      <c r="AH6129">
        <v>67.613287850507703</v>
      </c>
      <c r="AI6129">
        <v>90.986046978863897</v>
      </c>
      <c r="AJ6129">
        <v>83.518385552977193</v>
      </c>
      <c r="AK6129">
        <v>68.058321741364594</v>
      </c>
      <c r="AL6129">
        <v>78.469421304882104</v>
      </c>
      <c r="AM6129">
        <v>86.663439298343505</v>
      </c>
      <c r="AN6129">
        <v>1.00000004629311</v>
      </c>
    </row>
    <row r="6130" spans="1:40" x14ac:dyDescent="0.25">
      <c r="A6130" t="str">
        <f>"20190303170413752"</f>
        <v>20190303170413752</v>
      </c>
      <c r="B6130" t="str">
        <f>"1551603853742195"</f>
        <v>1551603853742195</v>
      </c>
      <c r="C6130" t="s">
        <v>40</v>
      </c>
      <c r="D6130">
        <v>4.8964100000000004</v>
      </c>
      <c r="E6130">
        <v>0.50788310000000003</v>
      </c>
      <c r="F6130" t="s">
        <v>44</v>
      </c>
      <c r="G6130">
        <v>-289.39010000000002</v>
      </c>
      <c r="H6130">
        <v>-0.05</v>
      </c>
      <c r="I6130">
        <v>8.6448210000000003</v>
      </c>
      <c r="J6130">
        <v>-357.07190000000003</v>
      </c>
      <c r="K6130">
        <v>1.1212219999999999</v>
      </c>
      <c r="L6130">
        <v>16.73611</v>
      </c>
      <c r="M6130">
        <v>0.99988350000000004</v>
      </c>
      <c r="N6130">
        <v>-1.3926880000000001E-2</v>
      </c>
      <c r="O6130">
        <v>-6.2569909999999999E-3</v>
      </c>
      <c r="P6130">
        <v>0.98051759999999999</v>
      </c>
      <c r="Q6130">
        <v>0.1860948</v>
      </c>
      <c r="R6130">
        <v>-6.2883099999999997E-2</v>
      </c>
      <c r="S6130">
        <v>3.0464169999999999</v>
      </c>
      <c r="T6130">
        <v>-5.2576659999999997E-2</v>
      </c>
      <c r="U6130">
        <v>-0.36328129999999997</v>
      </c>
      <c r="V6130">
        <v>5.6922390000000003E-2</v>
      </c>
      <c r="W6130">
        <v>0.19968720000000001</v>
      </c>
      <c r="X6130">
        <v>0.97820490000000004</v>
      </c>
      <c r="Y6130">
        <v>0.112163899999999</v>
      </c>
      <c r="Z6130">
        <v>-1.727609E-3</v>
      </c>
      <c r="AA6130">
        <v>0.99368820000000002</v>
      </c>
      <c r="AB6130">
        <v>36</v>
      </c>
      <c r="AC6130">
        <v>67.681799999999996</v>
      </c>
      <c r="AD6130">
        <v>-1.171222</v>
      </c>
      <c r="AE6130">
        <v>-8.0912889999999997</v>
      </c>
      <c r="AF6130">
        <v>7.6653420210610301</v>
      </c>
      <c r="AG6130">
        <v>-1.171222</v>
      </c>
      <c r="AH6130">
        <v>67.711116023761093</v>
      </c>
      <c r="AI6130">
        <v>90.984677251317905</v>
      </c>
      <c r="AJ6130">
        <v>83.541239882101607</v>
      </c>
      <c r="AK6130">
        <v>68.153682677140594</v>
      </c>
      <c r="AL6130">
        <v>78.481331840787107</v>
      </c>
      <c r="AM6130">
        <v>86.669676308468297</v>
      </c>
      <c r="AN6130">
        <v>0.99999998135557999</v>
      </c>
    </row>
    <row r="6131" spans="1:40" x14ac:dyDescent="0.25">
      <c r="A6131" t="str">
        <f>"20190303170413765"</f>
        <v>20190303170413765</v>
      </c>
      <c r="B6131" t="str">
        <f>"1551603853751956"</f>
        <v>1551603853751956</v>
      </c>
      <c r="C6131" t="s">
        <v>40</v>
      </c>
      <c r="D6131">
        <v>4.945932</v>
      </c>
      <c r="E6131">
        <v>0.50284220000000002</v>
      </c>
      <c r="F6131" t="s">
        <v>44</v>
      </c>
      <c r="G6131">
        <v>-297.55470000000003</v>
      </c>
      <c r="H6131">
        <v>-0.05</v>
      </c>
      <c r="I6131">
        <v>12.578110000000001</v>
      </c>
      <c r="J6131">
        <v>-356.8904</v>
      </c>
      <c r="K6131">
        <v>1.121238</v>
      </c>
      <c r="L6131">
        <v>16.734829999999999</v>
      </c>
      <c r="M6131">
        <v>0.99988250000000001</v>
      </c>
      <c r="N6131">
        <v>-1.3928619999999999E-2</v>
      </c>
      <c r="O6131">
        <v>-6.4070949999999998E-3</v>
      </c>
      <c r="P6131">
        <v>0.98057780000000005</v>
      </c>
      <c r="Q6131">
        <v>0.1858342</v>
      </c>
      <c r="R6131">
        <v>-6.2712489999999996E-2</v>
      </c>
      <c r="S6131">
        <v>3.0573429999999999</v>
      </c>
      <c r="T6131">
        <v>-6.0164570000000001E-2</v>
      </c>
      <c r="U6131">
        <v>-0.21359249999999999</v>
      </c>
      <c r="V6131">
        <v>5.6598030000000001E-2</v>
      </c>
      <c r="W6131">
        <v>0.19943159999999999</v>
      </c>
      <c r="X6131">
        <v>0.97827589999999998</v>
      </c>
      <c r="Y6131">
        <v>6.3277970000000003E-2</v>
      </c>
      <c r="Z6131">
        <v>-1.0263449999999999E-3</v>
      </c>
      <c r="AA6131">
        <v>0.99799539999999998</v>
      </c>
      <c r="AB6131">
        <v>36</v>
      </c>
      <c r="AC6131">
        <v>59.335699999999903</v>
      </c>
      <c r="AD6131">
        <v>-1.171238</v>
      </c>
      <c r="AE6131">
        <v>-4.1567199999999902</v>
      </c>
      <c r="AF6131">
        <v>3.7749646518848299</v>
      </c>
      <c r="AG6131">
        <v>-1.171238</v>
      </c>
      <c r="AH6131">
        <v>59.338109638473597</v>
      </c>
      <c r="AI6131">
        <v>91.128498130156004</v>
      </c>
      <c r="AJ6131">
        <v>86.359869589541205</v>
      </c>
      <c r="AK6131">
        <v>59.469600738891202</v>
      </c>
      <c r="AL6131">
        <v>78.496277689312095</v>
      </c>
      <c r="AM6131">
        <v>86.688850885849504</v>
      </c>
      <c r="AN6131">
        <v>1.00000001829962</v>
      </c>
    </row>
    <row r="6132" spans="1:40" x14ac:dyDescent="0.25">
      <c r="A6132" t="str">
        <f>"20190303170413778"</f>
        <v>20190303170413778</v>
      </c>
      <c r="B6132" t="str">
        <f>"1551603853771476"</f>
        <v>1551603853771476</v>
      </c>
      <c r="C6132" t="s">
        <v>40</v>
      </c>
      <c r="D6132">
        <v>4.8819749999999997</v>
      </c>
      <c r="E6132">
        <v>0.49126249999999999</v>
      </c>
      <c r="F6132" t="s">
        <v>44</v>
      </c>
      <c r="G6132">
        <v>-300.34359999999998</v>
      </c>
      <c r="H6132">
        <v>-0.05</v>
      </c>
      <c r="I6132">
        <v>13.53421</v>
      </c>
      <c r="J6132">
        <v>-356.67899999999997</v>
      </c>
      <c r="K6132">
        <v>1.1212519999999999</v>
      </c>
      <c r="L6132">
        <v>16.733280000000001</v>
      </c>
      <c r="M6132">
        <v>0.99988140000000003</v>
      </c>
      <c r="N6132">
        <v>-1.393051E-2</v>
      </c>
      <c r="O6132">
        <v>-6.5763519999999997E-3</v>
      </c>
      <c r="P6132">
        <v>0.98055510000000001</v>
      </c>
      <c r="Q6132">
        <v>0.185832</v>
      </c>
      <c r="R6132">
        <v>-6.3074790000000006E-2</v>
      </c>
      <c r="S6132">
        <v>3.0603030000000002</v>
      </c>
      <c r="T6132">
        <v>-6.3387159999999998E-2</v>
      </c>
      <c r="U6132">
        <v>-0.17321779999999901</v>
      </c>
      <c r="V6132">
        <v>5.6787259999999999E-2</v>
      </c>
      <c r="W6132">
        <v>0.19943259999999999</v>
      </c>
      <c r="X6132">
        <v>0.97826469999999999</v>
      </c>
      <c r="Y6132">
        <v>4.9925629999999999E-2</v>
      </c>
      <c r="Z6132">
        <v>-8.2014179999999998E-4</v>
      </c>
      <c r="AA6132">
        <v>0.99875259999999999</v>
      </c>
      <c r="AB6132">
        <v>36</v>
      </c>
      <c r="AC6132">
        <v>56.3354</v>
      </c>
      <c r="AD6132">
        <v>-1.171252</v>
      </c>
      <c r="AE6132">
        <v>-3.1990699999999999</v>
      </c>
      <c r="AF6132">
        <v>2.8272652922068202</v>
      </c>
      <c r="AG6132">
        <v>-1.171252</v>
      </c>
      <c r="AH6132">
        <v>56.330950841392301</v>
      </c>
      <c r="AI6132">
        <v>91.189644388102494</v>
      </c>
      <c r="AJ6132">
        <v>87.126720740282806</v>
      </c>
      <c r="AK6132">
        <v>56.4140167243512</v>
      </c>
      <c r="AL6132">
        <v>78.4962188779256</v>
      </c>
      <c r="AM6132">
        <v>86.677767186493199</v>
      </c>
      <c r="AN6132">
        <v>0.99999998905357801</v>
      </c>
    </row>
    <row r="6133" spans="1:40" x14ac:dyDescent="0.25">
      <c r="A6133" t="str">
        <f>"20190303170413790"</f>
        <v>20190303170413790</v>
      </c>
      <c r="B6133" t="str">
        <f>"1551603853782211"</f>
        <v>1551603853782211</v>
      </c>
      <c r="C6133" t="s">
        <v>40</v>
      </c>
      <c r="D6133">
        <v>4.8719440000000001</v>
      </c>
      <c r="E6133">
        <v>0.48841610000000002</v>
      </c>
      <c r="F6133" t="s">
        <v>44</v>
      </c>
      <c r="G6133">
        <v>-311.6241</v>
      </c>
      <c r="H6133">
        <v>-0.05</v>
      </c>
      <c r="I6133">
        <v>15.544829999999999</v>
      </c>
      <c r="J6133">
        <v>-356.47160000000002</v>
      </c>
      <c r="K6133">
        <v>1.12127</v>
      </c>
      <c r="L6133">
        <v>16.731809999999999</v>
      </c>
      <c r="M6133">
        <v>0.99988030000000006</v>
      </c>
      <c r="N6133">
        <v>-1.393207E-2</v>
      </c>
      <c r="O6133">
        <v>-6.7299839999999996E-3</v>
      </c>
      <c r="P6133">
        <v>0.98059830000000003</v>
      </c>
      <c r="Q6133">
        <v>0.18557609999999999</v>
      </c>
      <c r="R6133">
        <v>-6.3154550000000004E-2</v>
      </c>
      <c r="S6133">
        <v>3.0693969999999999</v>
      </c>
      <c r="T6133">
        <v>-7.9792379999999996E-2</v>
      </c>
      <c r="U6133">
        <v>-8.0963129999999994E-2</v>
      </c>
      <c r="V6133">
        <v>5.6708250000000002E-2</v>
      </c>
      <c r="W6133">
        <v>0.19918159999999999</v>
      </c>
      <c r="X6133">
        <v>0.97832039999999998</v>
      </c>
      <c r="Y6133">
        <v>1.9629779999999999E-2</v>
      </c>
      <c r="Z6133">
        <v>-3.1072670000000001E-4</v>
      </c>
      <c r="AA6133">
        <v>0.99980729999999995</v>
      </c>
      <c r="AB6133">
        <v>36</v>
      </c>
      <c r="AC6133">
        <v>44.847499999999997</v>
      </c>
      <c r="AD6133">
        <v>-1.17127</v>
      </c>
      <c r="AE6133">
        <v>-1.1869799999999999</v>
      </c>
      <c r="AF6133">
        <v>0.88449798197132301</v>
      </c>
      <c r="AG6133">
        <v>-1.17127</v>
      </c>
      <c r="AH6133">
        <v>44.823921034966801</v>
      </c>
      <c r="AI6133">
        <v>91.496533673841697</v>
      </c>
      <c r="AJ6133">
        <v>88.869545009698101</v>
      </c>
      <c r="AK6133">
        <v>44.847944290033503</v>
      </c>
      <c r="AL6133">
        <v>78.510894336494005</v>
      </c>
      <c r="AM6133">
        <v>86.682567651783003</v>
      </c>
      <c r="AN6133">
        <v>0.99999997022638998</v>
      </c>
    </row>
    <row r="6134" spans="1:40" x14ac:dyDescent="0.25">
      <c r="A6134" t="str">
        <f>"20190303170413808"</f>
        <v>20190303170413808</v>
      </c>
      <c r="B6134" t="str">
        <f>"1551603853801731"</f>
        <v>1551603853801731</v>
      </c>
      <c r="C6134" t="s">
        <v>40</v>
      </c>
      <c r="D6134">
        <v>4.8372729999999997</v>
      </c>
      <c r="E6134">
        <v>0.48460720000000002</v>
      </c>
      <c r="F6134" t="s">
        <v>44</v>
      </c>
      <c r="G6134">
        <v>-312.69580000000002</v>
      </c>
      <c r="H6134">
        <v>-0.05</v>
      </c>
      <c r="I6134">
        <v>15.90274</v>
      </c>
      <c r="J6134">
        <v>-356.18360000000001</v>
      </c>
      <c r="K6134">
        <v>1.1212879999999901</v>
      </c>
      <c r="L6134">
        <v>16.72964</v>
      </c>
      <c r="M6134">
        <v>0.99987899999999996</v>
      </c>
      <c r="N6134">
        <v>-1.3933879999999999E-2</v>
      </c>
      <c r="O6134">
        <v>-6.9273769999999898E-3</v>
      </c>
      <c r="P6134">
        <v>0.98061350000000003</v>
      </c>
      <c r="Q6134">
        <v>0.185335</v>
      </c>
      <c r="R6134">
        <v>-6.3627390000000006E-2</v>
      </c>
      <c r="S6134">
        <v>3.0711979999999999</v>
      </c>
      <c r="T6134">
        <v>-8.2173350000000006E-2</v>
      </c>
      <c r="U6134">
        <v>-5.8166500000000003E-2</v>
      </c>
      <c r="V6134">
        <v>5.6977090000000001E-2</v>
      </c>
      <c r="W6134">
        <v>0.19894519999999999</v>
      </c>
      <c r="X6134">
        <v>0.97835289999999997</v>
      </c>
      <c r="Y6134">
        <v>1.200274E-2</v>
      </c>
      <c r="Z6134">
        <v>-1.5540620000000001E-4</v>
      </c>
      <c r="AA6134">
        <v>0.99992789999999998</v>
      </c>
      <c r="AB6134">
        <v>36</v>
      </c>
      <c r="AC6134">
        <v>43.487799999999901</v>
      </c>
      <c r="AD6134">
        <v>-1.1712880000000001</v>
      </c>
      <c r="AE6134">
        <v>-0.82689999999999997</v>
      </c>
      <c r="AF6134">
        <v>0.52521367847921896</v>
      </c>
      <c r="AG6134">
        <v>-1.1712880000000001</v>
      </c>
      <c r="AH6134">
        <v>43.460968852377903</v>
      </c>
      <c r="AI6134">
        <v>91.543654543183806</v>
      </c>
      <c r="AJ6134">
        <v>89.307630199388001</v>
      </c>
      <c r="AK6134">
        <v>43.479921556672203</v>
      </c>
      <c r="AL6134">
        <v>78.524715891192599</v>
      </c>
      <c r="AM6134">
        <v>86.666986362139795</v>
      </c>
      <c r="AN6134">
        <v>0.99999998916315802</v>
      </c>
    </row>
    <row r="6135" spans="1:40" x14ac:dyDescent="0.25">
      <c r="A6135" t="str">
        <f>"20190303170413821"</f>
        <v>20190303170413821</v>
      </c>
      <c r="B6135" t="str">
        <f>"1551603853811491"</f>
        <v>1551603853811491</v>
      </c>
      <c r="C6135" t="s">
        <v>40</v>
      </c>
      <c r="D6135">
        <v>4.8275690000000004</v>
      </c>
      <c r="E6135">
        <v>0.48375590000000002</v>
      </c>
      <c r="F6135" t="s">
        <v>44</v>
      </c>
      <c r="G6135">
        <v>-315.25549999999998</v>
      </c>
      <c r="H6135">
        <v>-0.05</v>
      </c>
      <c r="I6135">
        <v>16.346080000000001</v>
      </c>
      <c r="J6135">
        <v>-355.98450000000003</v>
      </c>
      <c r="K6135">
        <v>1.121305</v>
      </c>
      <c r="L6135">
        <v>16.728149999999999</v>
      </c>
      <c r="M6135">
        <v>0.99987800000000004</v>
      </c>
      <c r="N6135">
        <v>-1.393492E-2</v>
      </c>
      <c r="O6135">
        <v>-7.0532379999999999E-3</v>
      </c>
      <c r="P6135">
        <v>0.98064260000000003</v>
      </c>
      <c r="Q6135">
        <v>0.18525749999999999</v>
      </c>
      <c r="R6135">
        <v>-6.3402150000000004E-2</v>
      </c>
      <c r="S6135">
        <v>3.074036</v>
      </c>
      <c r="T6135">
        <v>-8.7973239999999994E-2</v>
      </c>
      <c r="U6135">
        <v>-2.8808589999999999E-2</v>
      </c>
      <c r="V6135">
        <v>5.6620839999999999E-2</v>
      </c>
      <c r="W6135">
        <v>0.19887179999999999</v>
      </c>
      <c r="X6135">
        <v>0.97838849999999999</v>
      </c>
      <c r="Y6135">
        <v>2.316678E-3</v>
      </c>
      <c r="Z6135" s="1">
        <v>5.4232540000000002E-5</v>
      </c>
      <c r="AA6135">
        <v>0.99999729999999998</v>
      </c>
      <c r="AB6135">
        <v>36</v>
      </c>
      <c r="AC6135">
        <v>40.728999999999999</v>
      </c>
      <c r="AD6135">
        <v>-1.17130499999999</v>
      </c>
      <c r="AE6135">
        <v>-0.38206999999999802</v>
      </c>
      <c r="AF6135">
        <v>9.46829596902697E-2</v>
      </c>
      <c r="AG6135">
        <v>-1.17130499999999</v>
      </c>
      <c r="AH6135">
        <v>40.697026215685099</v>
      </c>
      <c r="AI6135">
        <v>91.648575744651197</v>
      </c>
      <c r="AJ6135">
        <v>89.866699739548594</v>
      </c>
      <c r="AK6135">
        <v>40.713988542834301</v>
      </c>
      <c r="AL6135">
        <v>78.529007096559098</v>
      </c>
      <c r="AM6135">
        <v>86.687899780939503</v>
      </c>
      <c r="AN6135">
        <v>0.99999998464489703</v>
      </c>
    </row>
    <row r="6136" spans="1:40" x14ac:dyDescent="0.25">
      <c r="A6136" t="str">
        <f>"20190303170413834"</f>
        <v>20190303170413834</v>
      </c>
      <c r="B6136" t="str">
        <f>"1551603853821759"</f>
        <v>1551603853821759</v>
      </c>
      <c r="C6136" t="s">
        <v>40</v>
      </c>
      <c r="D6136">
        <v>4.8411010000000001</v>
      </c>
      <c r="E6136">
        <v>0.48312310000000003</v>
      </c>
      <c r="F6136" t="s">
        <v>44</v>
      </c>
      <c r="G6136">
        <v>-316.50560000000002</v>
      </c>
      <c r="H6136">
        <v>-0.05</v>
      </c>
      <c r="I6136">
        <v>16.451160000000002</v>
      </c>
      <c r="J6136">
        <v>-355.76549999999997</v>
      </c>
      <c r="K6136">
        <v>1.1213229999999901</v>
      </c>
      <c r="L6136">
        <v>16.726469999999999</v>
      </c>
      <c r="M6136">
        <v>0.99987720000000002</v>
      </c>
      <c r="N6136">
        <v>-1.3935929999999999E-2</v>
      </c>
      <c r="O6136">
        <v>-7.1840790000000003E-3</v>
      </c>
      <c r="P6136">
        <v>0.98066410000000004</v>
      </c>
      <c r="Q6136">
        <v>0.18531890000000001</v>
      </c>
      <c r="R6136">
        <v>-6.2889390000000003E-2</v>
      </c>
      <c r="S6136">
        <v>3.0751040000000001</v>
      </c>
      <c r="T6136">
        <v>-9.1235520000000001E-2</v>
      </c>
      <c r="U6136">
        <v>-2.157593E-2</v>
      </c>
      <c r="V6136">
        <v>5.5971760000000002E-2</v>
      </c>
      <c r="W6136">
        <v>0.1989368</v>
      </c>
      <c r="X6136">
        <v>0.97841270000000002</v>
      </c>
      <c r="Y6136">
        <v>-1.676312E-4</v>
      </c>
      <c r="Z6136">
        <v>1.166375E-4</v>
      </c>
      <c r="AA6136">
        <v>1</v>
      </c>
      <c r="AB6136">
        <v>36</v>
      </c>
      <c r="AC6136">
        <v>39.259899999999902</v>
      </c>
      <c r="AD6136">
        <v>-1.1713229999999999</v>
      </c>
      <c r="AE6136">
        <v>-0.275310000000001</v>
      </c>
      <c r="AF6136">
        <v>-6.7646667425408898E-3</v>
      </c>
      <c r="AG6136">
        <v>-1.1713229999999999</v>
      </c>
      <c r="AH6136">
        <v>39.2259501091171</v>
      </c>
      <c r="AI6136">
        <v>91.710396472562607</v>
      </c>
      <c r="AJ6136">
        <v>90.009880878582607</v>
      </c>
      <c r="AK6136">
        <v>39.243435187225799</v>
      </c>
      <c r="AL6136">
        <v>78.525207698737105</v>
      </c>
      <c r="AM6136">
        <v>86.725866174548401</v>
      </c>
      <c r="AN6136">
        <v>1.00000004991651</v>
      </c>
    </row>
    <row r="6137" spans="1:40" x14ac:dyDescent="0.25">
      <c r="A6137" t="str">
        <f>"20190303170413847"</f>
        <v>20190303170413847</v>
      </c>
      <c r="B6137" t="str">
        <f>"1551603853831519"</f>
        <v>1551603853831519</v>
      </c>
      <c r="C6137" t="s">
        <v>40</v>
      </c>
      <c r="D6137">
        <v>4.8586839999999896</v>
      </c>
      <c r="E6137">
        <v>0.48211959999999998</v>
      </c>
      <c r="F6137" t="s">
        <v>44</v>
      </c>
      <c r="G6137">
        <v>-317.0729</v>
      </c>
      <c r="H6137">
        <v>-0.05</v>
      </c>
      <c r="I6137">
        <v>16.53491</v>
      </c>
      <c r="J6137">
        <v>-355.58120000000002</v>
      </c>
      <c r="K6137">
        <v>1.1213409999999999</v>
      </c>
      <c r="L6137">
        <v>16.72504</v>
      </c>
      <c r="M6137">
        <v>0.9998764</v>
      </c>
      <c r="N6137">
        <v>-1.3936550000000001E-2</v>
      </c>
      <c r="O6137">
        <v>-7.2821889999999997E-3</v>
      </c>
      <c r="P6137">
        <v>0.98069399999999995</v>
      </c>
      <c r="Q6137">
        <v>0.18526909999999999</v>
      </c>
      <c r="R6137">
        <v>-6.256863E-2</v>
      </c>
      <c r="S6137">
        <v>3.0757750000000001</v>
      </c>
      <c r="T6137">
        <v>-9.3111520000000003E-2</v>
      </c>
      <c r="U6137">
        <v>-1.522827E-2</v>
      </c>
      <c r="V6137">
        <v>5.5547890000000003E-2</v>
      </c>
      <c r="W6137">
        <v>0.1988905</v>
      </c>
      <c r="X6137">
        <v>0.97844620000000004</v>
      </c>
      <c r="Y6137">
        <v>-2.3294330000000001E-3</v>
      </c>
      <c r="Z6137">
        <v>1.704036E-4</v>
      </c>
      <c r="AA6137">
        <v>0.99999729999999998</v>
      </c>
      <c r="AB6137">
        <v>36</v>
      </c>
      <c r="AC6137">
        <v>38.508299999999998</v>
      </c>
      <c r="AD6137">
        <v>-1.171341</v>
      </c>
      <c r="AE6137">
        <v>-0.19012999999999899</v>
      </c>
      <c r="AF6137">
        <v>-9.0243492310573603E-2</v>
      </c>
      <c r="AG6137">
        <v>-1.171341</v>
      </c>
      <c r="AH6137">
        <v>38.473067184546302</v>
      </c>
      <c r="AI6137">
        <v>91.743868920247095</v>
      </c>
      <c r="AJ6137">
        <v>90.134394321366997</v>
      </c>
      <c r="AK6137">
        <v>38.491000015754302</v>
      </c>
      <c r="AL6137">
        <v>78.527913803069794</v>
      </c>
      <c r="AM6137">
        <v>86.750718629015594</v>
      </c>
      <c r="AN6137">
        <v>0.99999998268407098</v>
      </c>
    </row>
    <row r="6138" spans="1:40" x14ac:dyDescent="0.25">
      <c r="A6138" t="str">
        <f>"20190303170413858"</f>
        <v>20190303170413858</v>
      </c>
      <c r="B6138" t="str">
        <f>"1551603853852016"</f>
        <v>1551603853852016</v>
      </c>
      <c r="C6138" t="s">
        <v>40</v>
      </c>
      <c r="D6138">
        <v>4.8484740000000004</v>
      </c>
      <c r="E6138">
        <v>0.48114249999999997</v>
      </c>
      <c r="F6138" t="s">
        <v>44</v>
      </c>
      <c r="G6138">
        <v>-316.69779999999997</v>
      </c>
      <c r="H6138">
        <v>-0.05</v>
      </c>
      <c r="I6138">
        <v>16.643260000000001</v>
      </c>
      <c r="J6138">
        <v>-355.40170000000001</v>
      </c>
      <c r="K6138">
        <v>1.121354</v>
      </c>
      <c r="L6138">
        <v>16.723659999999999</v>
      </c>
      <c r="M6138">
        <v>0.99987579999999998</v>
      </c>
      <c r="N6138">
        <v>-1.3937120000000001E-2</v>
      </c>
      <c r="O6138">
        <v>-7.3749409999999899E-3</v>
      </c>
      <c r="P6138">
        <v>0.98082279999999999</v>
      </c>
      <c r="Q6138">
        <v>0.1848012</v>
      </c>
      <c r="R6138">
        <v>-6.193042E-2</v>
      </c>
      <c r="S6138">
        <v>3.076111</v>
      </c>
      <c r="T6138">
        <v>-9.2666150000000003E-2</v>
      </c>
      <c r="U6138">
        <v>-6.4697269999999998E-3</v>
      </c>
      <c r="V6138">
        <v>5.481113E-2</v>
      </c>
      <c r="W6138">
        <v>0.19842689999999999</v>
      </c>
      <c r="X6138">
        <v>0.9785819</v>
      </c>
      <c r="Y6138">
        <v>-5.2680239999999996E-3</v>
      </c>
      <c r="Z6138">
        <v>2.3538939999999999E-4</v>
      </c>
      <c r="AA6138">
        <v>0.99998609999999999</v>
      </c>
      <c r="AB6138">
        <v>36</v>
      </c>
      <c r="AC6138">
        <v>38.703899999999997</v>
      </c>
      <c r="AD6138">
        <v>-1.171354</v>
      </c>
      <c r="AE6138">
        <v>-8.0399999999997293E-2</v>
      </c>
      <c r="AF6138">
        <v>-0.20488119875354199</v>
      </c>
      <c r="AG6138">
        <v>-1.171354</v>
      </c>
      <c r="AH6138">
        <v>38.668022812952501</v>
      </c>
      <c r="AI6138">
        <v>91.7350817814104</v>
      </c>
      <c r="AJ6138">
        <v>90.303576890855098</v>
      </c>
      <c r="AK6138">
        <v>38.686302934784798</v>
      </c>
      <c r="AL6138">
        <v>78.555016687278098</v>
      </c>
      <c r="AM6138">
        <v>86.794168673512999</v>
      </c>
      <c r="AN6138">
        <v>1.00000001481154</v>
      </c>
    </row>
    <row r="6139" spans="1:40" x14ac:dyDescent="0.25">
      <c r="A6139" t="str">
        <f>"20190303170413869"</f>
        <v>20190303170413869</v>
      </c>
      <c r="B6139" t="str">
        <f>"1551603853861775"</f>
        <v>1551603853861775</v>
      </c>
      <c r="C6139" t="s">
        <v>40</v>
      </c>
      <c r="D6139">
        <v>4.8463269999999996</v>
      </c>
      <c r="E6139">
        <v>0.48065279999999999</v>
      </c>
      <c r="F6139" t="s">
        <v>42</v>
      </c>
      <c r="G6139">
        <v>-320.94499999999999</v>
      </c>
      <c r="H6139" s="1">
        <v>-4.767498E-6</v>
      </c>
      <c r="I6139">
        <v>16.759879999999999</v>
      </c>
      <c r="J6139">
        <v>-355.2004</v>
      </c>
      <c r="K6139">
        <v>1.1213690000000001</v>
      </c>
      <c r="L6139">
        <v>16.722049999999999</v>
      </c>
      <c r="M6139">
        <v>0.99987510000000002</v>
      </c>
      <c r="N6139">
        <v>-1.3937659999999999E-2</v>
      </c>
      <c r="O6139">
        <v>-7.4688599999999999E-3</v>
      </c>
      <c r="P6139">
        <v>0.98093739999999996</v>
      </c>
      <c r="Q6139">
        <v>0.18439269999999999</v>
      </c>
      <c r="R6139">
        <v>-6.13299E-2</v>
      </c>
      <c r="S6139">
        <v>3.0777890000000001</v>
      </c>
      <c r="T6139">
        <v>-0.10016360000000001</v>
      </c>
      <c r="U6139">
        <v>3.2348630000000001E-3</v>
      </c>
      <c r="V6139">
        <v>5.4110480000000002E-2</v>
      </c>
      <c r="W6139">
        <v>0.19802259999999999</v>
      </c>
      <c r="X6139">
        <v>0.97870279999999998</v>
      </c>
      <c r="Y6139">
        <v>-8.5128559999999992E-3</v>
      </c>
      <c r="Z6139">
        <v>3.367469E-4</v>
      </c>
      <c r="AA6139">
        <v>0.99996370000000001</v>
      </c>
      <c r="AB6139">
        <v>36</v>
      </c>
      <c r="AC6139">
        <v>34.255400000000002</v>
      </c>
      <c r="AD6139">
        <v>-1.121373767498</v>
      </c>
      <c r="AE6139">
        <v>3.7829999999999503E-2</v>
      </c>
      <c r="AF6139">
        <v>-0.29338815089069897</v>
      </c>
      <c r="AG6139">
        <v>-1.121373767498</v>
      </c>
      <c r="AH6139">
        <v>34.217493512418898</v>
      </c>
      <c r="AI6139">
        <v>91.876953329347799</v>
      </c>
      <c r="AJ6139">
        <v>90.491254301793006</v>
      </c>
      <c r="AK6139">
        <v>34.237120468957997</v>
      </c>
      <c r="AL6139">
        <v>78.578650547067596</v>
      </c>
      <c r="AM6139">
        <v>86.835455100018194</v>
      </c>
      <c r="AN6139">
        <v>1.00000003244221</v>
      </c>
    </row>
    <row r="6140" spans="1:40" x14ac:dyDescent="0.25">
      <c r="A6140" t="str">
        <f>"20190303170413887"</f>
        <v>20190303170413887</v>
      </c>
      <c r="B6140" t="str">
        <f>"1551603853871535"</f>
        <v>1551603853871535</v>
      </c>
      <c r="C6140" t="s">
        <v>40</v>
      </c>
      <c r="D6140">
        <v>4.8587030000000002</v>
      </c>
      <c r="E6140">
        <v>0.4802382</v>
      </c>
      <c r="F6140" t="s">
        <v>42</v>
      </c>
      <c r="G6140">
        <v>-321.22399999999999</v>
      </c>
      <c r="H6140" s="1">
        <v>-4.6255419999999999E-6</v>
      </c>
      <c r="I6140">
        <v>16.816700000000001</v>
      </c>
      <c r="J6140">
        <v>-354.93819999999999</v>
      </c>
      <c r="K6140">
        <v>1.1213839999999999</v>
      </c>
      <c r="L6140">
        <v>16.72</v>
      </c>
      <c r="M6140">
        <v>0.99987409999999999</v>
      </c>
      <c r="N6140">
        <v>-1.39381E-2</v>
      </c>
      <c r="O6140">
        <v>-7.5795159999999997E-3</v>
      </c>
      <c r="P6140">
        <v>0.98119590000000001</v>
      </c>
      <c r="Q6140">
        <v>0.18318970000000001</v>
      </c>
      <c r="R6140">
        <v>-6.0795759999999997E-2</v>
      </c>
      <c r="S6140">
        <v>3.0779719999999999</v>
      </c>
      <c r="T6140">
        <v>-0.1015868</v>
      </c>
      <c r="U6140">
        <v>8.5754390000000007E-3</v>
      </c>
      <c r="V6140">
        <v>5.3456330000000003E-2</v>
      </c>
      <c r="W6140">
        <v>0.1968269</v>
      </c>
      <c r="X6140">
        <v>0.97897990000000001</v>
      </c>
      <c r="Y6140">
        <v>-1.0356799999999999E-2</v>
      </c>
      <c r="Z6140">
        <v>3.8752740000000001E-4</v>
      </c>
      <c r="AA6140">
        <v>0.99994629999999995</v>
      </c>
      <c r="AB6140">
        <v>36</v>
      </c>
      <c r="AC6140">
        <v>33.714199999999998</v>
      </c>
      <c r="AD6140">
        <v>-1.121388625542</v>
      </c>
      <c r="AE6140">
        <v>9.6700000000001896E-2</v>
      </c>
      <c r="AF6140">
        <v>-0.35187009071228398</v>
      </c>
      <c r="AG6140">
        <v>-1.121388625542</v>
      </c>
      <c r="AH6140">
        <v>33.675242576368298</v>
      </c>
      <c r="AI6140">
        <v>91.907145839636499</v>
      </c>
      <c r="AJ6140">
        <v>90.598657527789499</v>
      </c>
      <c r="AK6140">
        <v>33.695745838124502</v>
      </c>
      <c r="AL6140">
        <v>78.648534495379707</v>
      </c>
      <c r="AM6140">
        <v>86.874518582924395</v>
      </c>
      <c r="AN6140">
        <v>1.0000000261923401</v>
      </c>
    </row>
    <row r="6141" spans="1:40" x14ac:dyDescent="0.25">
      <c r="A6141" t="str">
        <f>"20190303170413900"</f>
        <v>20190303170413900</v>
      </c>
      <c r="B6141" t="str">
        <f>"1551603853892031"</f>
        <v>1551603853892031</v>
      </c>
      <c r="C6141" t="s">
        <v>40</v>
      </c>
      <c r="D6141">
        <v>4.8802500000000002</v>
      </c>
      <c r="E6141">
        <v>0.47946329999999998</v>
      </c>
      <c r="F6141" t="s">
        <v>42</v>
      </c>
      <c r="G6141">
        <v>-322.42469999999997</v>
      </c>
      <c r="H6141" s="1">
        <v>-4.051061E-6</v>
      </c>
      <c r="I6141">
        <v>16.855709999999998</v>
      </c>
      <c r="J6141">
        <v>-354.71929999999998</v>
      </c>
      <c r="K6141">
        <v>1.121399</v>
      </c>
      <c r="L6141">
        <v>16.718260000000001</v>
      </c>
      <c r="M6141">
        <v>0.99987360000000003</v>
      </c>
      <c r="N6141">
        <v>-1.3938300000000001E-2</v>
      </c>
      <c r="O6141">
        <v>-7.6624479999999997E-3</v>
      </c>
      <c r="P6141">
        <v>0.98121460000000005</v>
      </c>
      <c r="Q6141">
        <v>0.18316450000000001</v>
      </c>
      <c r="R6141">
        <v>-6.0572139999999997E-2</v>
      </c>
      <c r="S6141">
        <v>3.078125</v>
      </c>
      <c r="T6141">
        <v>-0.1061641</v>
      </c>
      <c r="U6141">
        <v>1.2847900000000001E-2</v>
      </c>
      <c r="V6141">
        <v>5.314352E-2</v>
      </c>
      <c r="W6141">
        <v>0.19680400000000001</v>
      </c>
      <c r="X6141">
        <v>0.97900149999999997</v>
      </c>
      <c r="Y6141">
        <v>-1.182541E-2</v>
      </c>
      <c r="Z6141">
        <v>4.4372729999999998E-4</v>
      </c>
      <c r="AA6141">
        <v>0.99992999999999999</v>
      </c>
      <c r="AB6141">
        <v>36</v>
      </c>
      <c r="AC6141">
        <v>32.294600000000003</v>
      </c>
      <c r="AD6141">
        <v>-1.121403051061</v>
      </c>
      <c r="AE6141">
        <v>0.13745000000000099</v>
      </c>
      <c r="AF6141">
        <v>-0.38446210915439499</v>
      </c>
      <c r="AG6141">
        <v>-1.121403051061</v>
      </c>
      <c r="AH6141">
        <v>32.2537086624098</v>
      </c>
      <c r="AI6141">
        <v>91.991127069473507</v>
      </c>
      <c r="AJ6141">
        <v>90.682929621284003</v>
      </c>
      <c r="AK6141">
        <v>32.275487268140701</v>
      </c>
      <c r="AL6141">
        <v>78.649872357388205</v>
      </c>
      <c r="AM6141">
        <v>86.892840416259403</v>
      </c>
      <c r="AN6141">
        <v>0.99999999256812</v>
      </c>
    </row>
    <row r="6142" spans="1:40" x14ac:dyDescent="0.25">
      <c r="A6142" t="str">
        <f>"20190303170413913"</f>
        <v>20190303170413913</v>
      </c>
      <c r="B6142" t="str">
        <f>"1551603853901791"</f>
        <v>1551603853901791</v>
      </c>
      <c r="C6142" t="s">
        <v>40</v>
      </c>
      <c r="D6142">
        <v>4.8593310000000001</v>
      </c>
      <c r="E6142">
        <v>0.47914050000000002</v>
      </c>
      <c r="F6142" t="s">
        <v>42</v>
      </c>
      <c r="G6142">
        <v>-322.34309999999999</v>
      </c>
      <c r="H6142" s="1">
        <v>-4.0776270000000003E-6</v>
      </c>
      <c r="I6142">
        <v>16.923349999999999</v>
      </c>
      <c r="J6142">
        <v>-354.50689999999997</v>
      </c>
      <c r="K6142">
        <v>1.1214150000000001</v>
      </c>
      <c r="L6142">
        <v>16.716550000000002</v>
      </c>
      <c r="M6142">
        <v>0.99987289999999995</v>
      </c>
      <c r="N6142">
        <v>-1.393838E-2</v>
      </c>
      <c r="O6142">
        <v>-7.7338179999999999E-3</v>
      </c>
      <c r="P6142">
        <v>0.98122569999999998</v>
      </c>
      <c r="Q6142">
        <v>0.18319450000000001</v>
      </c>
      <c r="R6142">
        <v>-6.0299770000000003E-2</v>
      </c>
      <c r="S6142">
        <v>3.078522</v>
      </c>
      <c r="T6142">
        <v>-0.1066298</v>
      </c>
      <c r="U6142">
        <v>1.9500730000000001E-2</v>
      </c>
      <c r="V6142">
        <v>5.2793609999999998E-2</v>
      </c>
      <c r="W6142">
        <v>0.19683619999999999</v>
      </c>
      <c r="X6142">
        <v>0.97901400000000005</v>
      </c>
      <c r="Y6142">
        <v>-1.4055069999999999E-2</v>
      </c>
      <c r="Z6142">
        <v>5.0134330000000001E-4</v>
      </c>
      <c r="AA6142">
        <v>0.99990109999999999</v>
      </c>
      <c r="AB6142">
        <v>36</v>
      </c>
      <c r="AC6142">
        <v>32.163799999999902</v>
      </c>
      <c r="AD6142">
        <v>-1.1214190776270001</v>
      </c>
      <c r="AE6142">
        <v>0.20679999999999699</v>
      </c>
      <c r="AF6142">
        <v>-0.45501386263239002</v>
      </c>
      <c r="AG6142">
        <v>-1.1214190776270001</v>
      </c>
      <c r="AH6142">
        <v>32.122191335809703</v>
      </c>
      <c r="AI6142">
        <v>91.999242767251801</v>
      </c>
      <c r="AJ6142">
        <v>90.811545831776698</v>
      </c>
      <c r="AK6142">
        <v>32.144980861360402</v>
      </c>
      <c r="AL6142">
        <v>78.647991097205306</v>
      </c>
      <c r="AM6142">
        <v>86.913298360949199</v>
      </c>
      <c r="AN6142">
        <v>1.0000000335416299</v>
      </c>
    </row>
    <row r="6143" spans="1:40" x14ac:dyDescent="0.25">
      <c r="A6143" t="str">
        <f>"20190303170413926"</f>
        <v>20190303170413926</v>
      </c>
      <c r="B6143" t="str">
        <f>"1551603853911551"</f>
        <v>1551603853911551</v>
      </c>
      <c r="C6143" t="s">
        <v>40</v>
      </c>
      <c r="D6143">
        <v>4.8775029999999999</v>
      </c>
      <c r="E6143">
        <v>0.47886099999999998</v>
      </c>
      <c r="F6143" t="s">
        <v>42</v>
      </c>
      <c r="G6143">
        <v>-322.07909999999998</v>
      </c>
      <c r="H6143" s="1">
        <v>-4.19693E-6</v>
      </c>
      <c r="I6143">
        <v>16.954419999999999</v>
      </c>
      <c r="J6143">
        <v>-354.30160000000001</v>
      </c>
      <c r="K6143">
        <v>1.121432</v>
      </c>
      <c r="L6143">
        <v>16.714870000000001</v>
      </c>
      <c r="M6143">
        <v>0.99987250000000005</v>
      </c>
      <c r="N6143">
        <v>-1.3938310000000001E-2</v>
      </c>
      <c r="O6143">
        <v>-7.7893299999999997E-3</v>
      </c>
      <c r="P6143">
        <v>0.9812495</v>
      </c>
      <c r="Q6143">
        <v>0.18325230000000001</v>
      </c>
      <c r="R6143">
        <v>-5.9733960000000003E-2</v>
      </c>
      <c r="S6143">
        <v>3.0786440000000002</v>
      </c>
      <c r="T6143">
        <v>-0.1064657</v>
      </c>
      <c r="U6143">
        <v>2.2583010000000001E-2</v>
      </c>
      <c r="V6143">
        <v>5.2165639999999999E-2</v>
      </c>
      <c r="W6143">
        <v>0.19689699999999999</v>
      </c>
      <c r="X6143">
        <v>0.9790354</v>
      </c>
      <c r="Y6143">
        <v>-1.5110500000000001E-2</v>
      </c>
      <c r="Z6143">
        <v>5.272842E-4</v>
      </c>
      <c r="AA6143">
        <v>0.99988569999999999</v>
      </c>
      <c r="AB6143">
        <v>36</v>
      </c>
      <c r="AC6143">
        <v>32.222499999999997</v>
      </c>
      <c r="AD6143">
        <v>-1.12143619693</v>
      </c>
      <c r="AE6143">
        <v>0.23955000000000101</v>
      </c>
      <c r="AF6143">
        <v>-0.48996537237374199</v>
      </c>
      <c r="AG6143">
        <v>-1.12143619693</v>
      </c>
      <c r="AH6143">
        <v>32.180679736742199</v>
      </c>
      <c r="AI6143">
        <v>91.995611458627494</v>
      </c>
      <c r="AJ6143">
        <v>90.872286702403898</v>
      </c>
      <c r="AK6143">
        <v>32.203941273215001</v>
      </c>
      <c r="AL6143">
        <v>78.644437577573399</v>
      </c>
      <c r="AM6143">
        <v>86.9500108955868</v>
      </c>
      <c r="AN6143">
        <v>0.99999999852938404</v>
      </c>
    </row>
    <row r="6144" spans="1:40" x14ac:dyDescent="0.25">
      <c r="A6144" t="str">
        <f>"20190303170413942"</f>
        <v>20190303170413942</v>
      </c>
      <c r="B6144" t="str">
        <f>"1551603853931577"</f>
        <v>1551603853931577</v>
      </c>
      <c r="C6144" t="s">
        <v>40</v>
      </c>
      <c r="D6144">
        <v>4.9184099999999997</v>
      </c>
      <c r="E6144">
        <v>0.4785567</v>
      </c>
      <c r="F6144" t="s">
        <v>42</v>
      </c>
      <c r="G6144">
        <v>-321.87220000000002</v>
      </c>
      <c r="H6144" s="1">
        <v>-4.288558E-6</v>
      </c>
      <c r="I6144">
        <v>16.989070000000002</v>
      </c>
      <c r="J6144">
        <v>-354.05160000000001</v>
      </c>
      <c r="K6144">
        <v>1.1214569999999999</v>
      </c>
      <c r="L6144">
        <v>16.712889999999899</v>
      </c>
      <c r="M6144">
        <v>0.99987219999999999</v>
      </c>
      <c r="N6144">
        <v>-1.393813E-2</v>
      </c>
      <c r="O6144">
        <v>-7.8458439999999994E-3</v>
      </c>
      <c r="P6144">
        <v>0.98133060000000005</v>
      </c>
      <c r="Q6144">
        <v>0.18329490000000001</v>
      </c>
      <c r="R6144">
        <v>-5.8253630000000001E-2</v>
      </c>
      <c r="S6144">
        <v>3.078827</v>
      </c>
      <c r="T6144">
        <v>-0.1064686</v>
      </c>
      <c r="U6144">
        <v>2.6031490000000001E-2</v>
      </c>
      <c r="V6144">
        <v>5.0619770000000001E-2</v>
      </c>
      <c r="W6144">
        <v>0.19694329999999999</v>
      </c>
      <c r="X6144">
        <v>0.97910730000000001</v>
      </c>
      <c r="Y6144">
        <v>-1.6285440000000002E-2</v>
      </c>
      <c r="Z6144">
        <v>5.5693289999999998E-4</v>
      </c>
      <c r="AA6144">
        <v>0.99986719999999896</v>
      </c>
      <c r="AB6144">
        <v>36</v>
      </c>
      <c r="AC6144">
        <v>32.179399999999902</v>
      </c>
      <c r="AD6144">
        <v>-1.121461288558</v>
      </c>
      <c r="AE6144">
        <v>0.27618000000000298</v>
      </c>
      <c r="AF6144">
        <v>-0.52802928039215102</v>
      </c>
      <c r="AG6144">
        <v>-1.121461288558</v>
      </c>
      <c r="AH6144">
        <v>32.137213145237197</v>
      </c>
      <c r="AI6144">
        <v>91.998315000556602</v>
      </c>
      <c r="AJ6144">
        <v>90.941311466115195</v>
      </c>
      <c r="AK6144">
        <v>32.161109419376302</v>
      </c>
      <c r="AL6144">
        <v>78.641732564465997</v>
      </c>
      <c r="AM6144">
        <v>87.040447696769604</v>
      </c>
      <c r="AN6144">
        <v>1.0000000647215099</v>
      </c>
    </row>
    <row r="6145" spans="1:40" x14ac:dyDescent="0.25">
      <c r="A6145" t="str">
        <f>"20190303170413954"</f>
        <v>20190303170413954</v>
      </c>
      <c r="B6145" t="str">
        <f>"1551603853942314"</f>
        <v>1551603853942314</v>
      </c>
      <c r="C6145" t="s">
        <v>40</v>
      </c>
      <c r="D6145">
        <v>4.8862160000000001</v>
      </c>
      <c r="E6145">
        <v>0.47851579999999999</v>
      </c>
      <c r="F6145" t="s">
        <v>42</v>
      </c>
      <c r="G6145">
        <v>-321.93060000000003</v>
      </c>
      <c r="H6145" s="1">
        <v>-4.249356E-6</v>
      </c>
      <c r="I6145">
        <v>17.054489999999898</v>
      </c>
      <c r="J6145">
        <v>-353.86790000000002</v>
      </c>
      <c r="K6145">
        <v>1.121472</v>
      </c>
      <c r="L6145">
        <v>16.71143</v>
      </c>
      <c r="M6145">
        <v>0.99987179999999998</v>
      </c>
      <c r="N6145">
        <v>-1.393791E-2</v>
      </c>
      <c r="O6145">
        <v>-7.8796739999999997E-3</v>
      </c>
      <c r="P6145">
        <v>0.98141500000000004</v>
      </c>
      <c r="Q6145">
        <v>0.1830483</v>
      </c>
      <c r="R6145">
        <v>-5.7602609999999999E-2</v>
      </c>
      <c r="S6145">
        <v>3.0790709999999999</v>
      </c>
      <c r="T6145">
        <v>-0.1075015</v>
      </c>
      <c r="U6145">
        <v>3.2745360000000001E-2</v>
      </c>
      <c r="V6145">
        <v>4.9927510000000001E-2</v>
      </c>
      <c r="W6145">
        <v>0.19670019999999999</v>
      </c>
      <c r="X6145">
        <v>0.9791917</v>
      </c>
      <c r="Y6145">
        <v>-1.849638E-2</v>
      </c>
      <c r="Z6145">
        <v>6.1695469999999998E-4</v>
      </c>
      <c r="AA6145">
        <v>0.99982879999999996</v>
      </c>
      <c r="AB6145">
        <v>36</v>
      </c>
      <c r="AC6145">
        <v>31.9373</v>
      </c>
      <c r="AD6145">
        <v>-1.121476249356</v>
      </c>
      <c r="AE6145">
        <v>0.34305999999999698</v>
      </c>
      <c r="AF6145">
        <v>-0.59399696256867796</v>
      </c>
      <c r="AG6145">
        <v>-1.121476249356</v>
      </c>
      <c r="AH6145">
        <v>31.894281860878699</v>
      </c>
      <c r="AI6145">
        <v>92.013472733664202</v>
      </c>
      <c r="AJ6145">
        <v>91.066949402214505</v>
      </c>
      <c r="AK6145">
        <v>31.919519996243501</v>
      </c>
      <c r="AL6145">
        <v>78.6559389465462</v>
      </c>
      <c r="AM6145">
        <v>87.081102288344198</v>
      </c>
      <c r="AN6145">
        <v>1.00000005514186</v>
      </c>
    </row>
    <row r="6146" spans="1:40" x14ac:dyDescent="0.25">
      <c r="A6146" t="str">
        <f>"20190303170413965"</f>
        <v>20190303170413965</v>
      </c>
      <c r="B6146" t="str">
        <f>"1551603853952073"</f>
        <v>1551603853952073</v>
      </c>
      <c r="C6146" t="s">
        <v>40</v>
      </c>
      <c r="D6146">
        <v>4.9746069999999998</v>
      </c>
      <c r="E6146">
        <v>0.4783869</v>
      </c>
      <c r="F6146" t="s">
        <v>42</v>
      </c>
      <c r="G6146">
        <v>-322.63299999999998</v>
      </c>
      <c r="H6146" s="1">
        <v>-3.9148339999999999E-6</v>
      </c>
      <c r="I6146">
        <v>17.068629999999999</v>
      </c>
      <c r="J6146">
        <v>-353.69110000000001</v>
      </c>
      <c r="K6146">
        <v>1.121481</v>
      </c>
      <c r="L6146">
        <v>16.709989999999902</v>
      </c>
      <c r="M6146">
        <v>0.99987170000000003</v>
      </c>
      <c r="N6146">
        <v>-1.3937639999999999E-2</v>
      </c>
      <c r="O6146">
        <v>-7.9020779999999999E-3</v>
      </c>
      <c r="P6146">
        <v>0.98149019999999998</v>
      </c>
      <c r="Q6146">
        <v>0.18289079999999999</v>
      </c>
      <c r="R6146">
        <v>-5.6817380000000001E-2</v>
      </c>
      <c r="S6146">
        <v>3.079529</v>
      </c>
      <c r="T6146">
        <v>-0.110569</v>
      </c>
      <c r="U6146">
        <v>3.5217289999999998E-2</v>
      </c>
      <c r="V6146">
        <v>4.9113089999999998E-2</v>
      </c>
      <c r="W6146">
        <v>0.196545</v>
      </c>
      <c r="X6146">
        <v>0.97926400000000002</v>
      </c>
      <c r="Y6146">
        <v>-1.931797E-2</v>
      </c>
      <c r="Z6146">
        <v>6.5487749999999995E-4</v>
      </c>
      <c r="AA6146">
        <v>0.99981319999999996</v>
      </c>
      <c r="AB6146">
        <v>36</v>
      </c>
      <c r="AC6146">
        <v>31.0581</v>
      </c>
      <c r="AD6146">
        <v>-1.121484914834</v>
      </c>
      <c r="AE6146">
        <v>0.35864000000000101</v>
      </c>
      <c r="AF6146">
        <v>-0.603289644464718</v>
      </c>
      <c r="AG6146">
        <v>-1.121484914834</v>
      </c>
      <c r="AH6146">
        <v>31.013862926410599</v>
      </c>
      <c r="AI6146">
        <v>92.070565334668203</v>
      </c>
      <c r="AJ6146">
        <v>91.114391706584499</v>
      </c>
      <c r="AK6146">
        <v>31.039996463071699</v>
      </c>
      <c r="AL6146">
        <v>78.665007740449198</v>
      </c>
      <c r="AM6146">
        <v>87.128846793459104</v>
      </c>
      <c r="AN6146">
        <v>1.00000000716517</v>
      </c>
    </row>
    <row r="6147" spans="1:40" x14ac:dyDescent="0.25">
      <c r="A6147" t="str">
        <f>"20190303170413977"</f>
        <v>20190303170413977</v>
      </c>
      <c r="B6147" t="str">
        <f>"1551603853971593"</f>
        <v>1551603853971593</v>
      </c>
      <c r="C6147" t="s">
        <v>40</v>
      </c>
      <c r="D6147">
        <v>4.920871</v>
      </c>
      <c r="E6147">
        <v>0.4781938</v>
      </c>
      <c r="F6147" t="s">
        <v>42</v>
      </c>
      <c r="G6147">
        <v>-323.34649999999999</v>
      </c>
      <c r="H6147" s="1">
        <v>-3.5736879999999999E-6</v>
      </c>
      <c r="I6147">
        <v>17.090329999999899</v>
      </c>
      <c r="J6147">
        <v>-353.48989999999998</v>
      </c>
      <c r="K6147">
        <v>1.121494</v>
      </c>
      <c r="L6147">
        <v>16.708369999999999</v>
      </c>
      <c r="M6147">
        <v>0.99987150000000002</v>
      </c>
      <c r="N6147">
        <v>-1.39373E-2</v>
      </c>
      <c r="O6147">
        <v>-7.9237439999999999E-3</v>
      </c>
      <c r="P6147">
        <v>0.98168699999999998</v>
      </c>
      <c r="Q6147">
        <v>0.18218709999999999</v>
      </c>
      <c r="R6147">
        <v>-5.5661750000000003E-2</v>
      </c>
      <c r="S6147">
        <v>3.0800169999999998</v>
      </c>
      <c r="T6147">
        <v>-0.11383210000000001</v>
      </c>
      <c r="U6147">
        <v>3.8604739999999999E-2</v>
      </c>
      <c r="V6147">
        <v>4.7927169999999998E-2</v>
      </c>
      <c r="W6147">
        <v>0.19584550000000001</v>
      </c>
      <c r="X6147">
        <v>0.97946290000000003</v>
      </c>
      <c r="Y6147">
        <v>-2.0435140000000001E-2</v>
      </c>
      <c r="Z6147">
        <v>7.0229000000000005E-4</v>
      </c>
      <c r="AA6147">
        <v>0.99979090000000004</v>
      </c>
      <c r="AB6147">
        <v>36</v>
      </c>
      <c r="AC6147">
        <v>30.1433999999999</v>
      </c>
      <c r="AD6147">
        <v>-1.121497573688</v>
      </c>
      <c r="AE6147">
        <v>0.38195999999999503</v>
      </c>
      <c r="AF6147">
        <v>-0.61996174718962005</v>
      </c>
      <c r="AG6147">
        <v>-1.121497573688</v>
      </c>
      <c r="AH6147">
        <v>30.097770739387801</v>
      </c>
      <c r="AI6147">
        <v>92.133505347629196</v>
      </c>
      <c r="AJ6147">
        <v>91.180026567972405</v>
      </c>
      <c r="AK6147">
        <v>30.125037972698301</v>
      </c>
      <c r="AL6147">
        <v>78.705880688276807</v>
      </c>
      <c r="AM6147">
        <v>87.198631964082793</v>
      </c>
      <c r="AN6147">
        <v>1.00000002298543</v>
      </c>
    </row>
    <row r="6148" spans="1:40" x14ac:dyDescent="0.25">
      <c r="A6148" t="str">
        <f>"20190303170413988"</f>
        <v>20190303170413988</v>
      </c>
      <c r="B6148" t="str">
        <f>"1551603853982329"</f>
        <v>1551603853982329</v>
      </c>
      <c r="C6148" t="s">
        <v>40</v>
      </c>
      <c r="D6148">
        <v>4.8006260000000003</v>
      </c>
      <c r="E6148">
        <v>0.47819149999999999</v>
      </c>
      <c r="F6148" t="s">
        <v>42</v>
      </c>
      <c r="G6148">
        <v>-323.99919999999997</v>
      </c>
      <c r="H6148" s="1">
        <v>-3.2592399999999999E-6</v>
      </c>
      <c r="I6148">
        <v>17.123570000000001</v>
      </c>
      <c r="J6148">
        <v>-353.31199999999899</v>
      </c>
      <c r="K6148">
        <v>1.1215029999999999</v>
      </c>
      <c r="L6148">
        <v>16.706939999999999</v>
      </c>
      <c r="M6148">
        <v>0.99987150000000002</v>
      </c>
      <c r="N6148">
        <v>-1.393693E-2</v>
      </c>
      <c r="O6148">
        <v>-7.9362889999999991E-3</v>
      </c>
      <c r="P6148">
        <v>0.98175690000000004</v>
      </c>
      <c r="Q6148">
        <v>0.18190880000000001</v>
      </c>
      <c r="R6148">
        <v>-5.5343099999999999E-2</v>
      </c>
      <c r="S6148">
        <v>3.0801699999999999</v>
      </c>
      <c r="T6148">
        <v>-0.11713560000000001</v>
      </c>
      <c r="U6148">
        <v>4.3365479999999998E-2</v>
      </c>
      <c r="V6148">
        <v>4.7589880000000001E-2</v>
      </c>
      <c r="W6148">
        <v>0.19556999999999999</v>
      </c>
      <c r="X6148">
        <v>0.97953440000000003</v>
      </c>
      <c r="Y6148">
        <v>-2.198934E-2</v>
      </c>
      <c r="Z6148">
        <v>7.6237199999999998E-4</v>
      </c>
      <c r="AA6148">
        <v>0.99975789999999998</v>
      </c>
      <c r="AB6148">
        <v>36</v>
      </c>
      <c r="AC6148">
        <v>29.3127999999999</v>
      </c>
      <c r="AD6148">
        <v>-1.12150625924</v>
      </c>
      <c r="AE6148">
        <v>0.416630000000001</v>
      </c>
      <c r="AF6148">
        <v>-0.64832545499043304</v>
      </c>
      <c r="AG6148">
        <v>-1.12150625924</v>
      </c>
      <c r="AH6148">
        <v>29.265738629643799</v>
      </c>
      <c r="AI6148">
        <v>92.194047123355105</v>
      </c>
      <c r="AJ6148">
        <v>91.269068857852901</v>
      </c>
      <c r="AK6148">
        <v>29.294394680957801</v>
      </c>
      <c r="AL6148">
        <v>78.721977033921704</v>
      </c>
      <c r="AM6148">
        <v>87.218518393066105</v>
      </c>
      <c r="AN6148">
        <v>1.0000000311808801</v>
      </c>
    </row>
    <row r="6149" spans="1:40" x14ac:dyDescent="0.25">
      <c r="A6149" t="str">
        <f>"20190303170414000"</f>
        <v>20190303170414000</v>
      </c>
      <c r="B6149" t="str">
        <f>"1551603853992089"</f>
        <v>1551603853992089</v>
      </c>
      <c r="C6149" t="s">
        <v>40</v>
      </c>
      <c r="D6149">
        <v>4.889678</v>
      </c>
      <c r="E6149">
        <v>0.47813139999999998</v>
      </c>
      <c r="F6149" t="s">
        <v>42</v>
      </c>
      <c r="G6149">
        <v>-324.12549999999999</v>
      </c>
      <c r="H6149" s="1">
        <v>-3.1987029999999998E-6</v>
      </c>
      <c r="I6149">
        <v>17.128550000000001</v>
      </c>
      <c r="J6149">
        <v>-353.12119999999999</v>
      </c>
      <c r="K6149">
        <v>1.121516</v>
      </c>
      <c r="L6149">
        <v>16.705410000000001</v>
      </c>
      <c r="M6149">
        <v>0.99987139999999997</v>
      </c>
      <c r="N6149">
        <v>-1.3936479999999999E-2</v>
      </c>
      <c r="O6149">
        <v>-7.9460980000000004E-3</v>
      </c>
      <c r="P6149">
        <v>0.98177449999999999</v>
      </c>
      <c r="Q6149">
        <v>0.1818845</v>
      </c>
      <c r="R6149">
        <v>-5.5107499999999997E-2</v>
      </c>
      <c r="S6149">
        <v>3.0801699999999999</v>
      </c>
      <c r="T6149">
        <v>-0.1183568</v>
      </c>
      <c r="U6149">
        <v>4.449463E-2</v>
      </c>
      <c r="V6149">
        <v>4.7339020000000002E-2</v>
      </c>
      <c r="W6149">
        <v>0.1955462</v>
      </c>
      <c r="X6149">
        <v>0.97955130000000001</v>
      </c>
      <c r="Y6149">
        <v>-2.2364720000000001E-2</v>
      </c>
      <c r="Z6149">
        <v>7.7993490000000001E-4</v>
      </c>
      <c r="AA6149">
        <v>0.99974960000000002</v>
      </c>
      <c r="AB6149">
        <v>36</v>
      </c>
      <c r="AC6149">
        <v>28.995699999999999</v>
      </c>
      <c r="AD6149">
        <v>-1.121519198703</v>
      </c>
      <c r="AE6149">
        <v>0.42314000000000002</v>
      </c>
      <c r="AF6149">
        <v>-0.65257559149196298</v>
      </c>
      <c r="AG6149">
        <v>-1.121519198703</v>
      </c>
      <c r="AH6149">
        <v>28.9481231378562</v>
      </c>
      <c r="AI6149">
        <v>92.218102310939301</v>
      </c>
      <c r="AJ6149">
        <v>91.291396175261596</v>
      </c>
      <c r="AK6149">
        <v>28.977189191157901</v>
      </c>
      <c r="AL6149">
        <v>78.723367441494403</v>
      </c>
      <c r="AM6149">
        <v>87.233205203580397</v>
      </c>
      <c r="AN6149">
        <v>1.00000002424034</v>
      </c>
    </row>
    <row r="6150" spans="1:40" x14ac:dyDescent="0.25">
      <c r="A6150" t="str">
        <f>"20190303170414012"</f>
        <v>20190303170414012</v>
      </c>
      <c r="B6150" t="str">
        <f>"1551603854001850"</f>
        <v>1551603854001850</v>
      </c>
      <c r="C6150" t="s">
        <v>40</v>
      </c>
      <c r="D6150">
        <v>4.918571</v>
      </c>
      <c r="E6150">
        <v>0.47812850000000001</v>
      </c>
      <c r="F6150" t="s">
        <v>42</v>
      </c>
      <c r="G6150">
        <v>-324.07319999999999</v>
      </c>
      <c r="H6150" s="1">
        <v>-3.2222700000000001E-6</v>
      </c>
      <c r="I6150">
        <v>17.135079999999999</v>
      </c>
      <c r="J6150">
        <v>-352.92829999999998</v>
      </c>
      <c r="K6150">
        <v>1.1215280000000001</v>
      </c>
      <c r="L6150">
        <v>16.703889999999902</v>
      </c>
      <c r="M6150">
        <v>0.99987139999999997</v>
      </c>
      <c r="N6150">
        <v>-1.3935980000000001E-2</v>
      </c>
      <c r="O6150">
        <v>-7.9523549999999995E-3</v>
      </c>
      <c r="P6150">
        <v>0.9817709</v>
      </c>
      <c r="Q6150">
        <v>0.1820071</v>
      </c>
      <c r="R6150">
        <v>-5.4769680000000001E-2</v>
      </c>
      <c r="S6150">
        <v>3.080292</v>
      </c>
      <c r="T6150">
        <v>-0.1189274</v>
      </c>
      <c r="U6150">
        <v>4.5562739999999997E-2</v>
      </c>
      <c r="V6150">
        <v>4.699006E-2</v>
      </c>
      <c r="W6150">
        <v>0.1956697</v>
      </c>
      <c r="X6150">
        <v>0.97954339999999995</v>
      </c>
      <c r="Y6150">
        <v>-2.2716420000000001E-2</v>
      </c>
      <c r="Z6150">
        <v>7.9283589999999996E-4</v>
      </c>
      <c r="AA6150">
        <v>0.99974160000000001</v>
      </c>
      <c r="AB6150">
        <v>36</v>
      </c>
      <c r="AC6150">
        <v>28.8551</v>
      </c>
      <c r="AD6150">
        <v>-1.12153122227</v>
      </c>
      <c r="AE6150">
        <v>0.43119000000000002</v>
      </c>
      <c r="AF6150">
        <v>-0.65966827976886</v>
      </c>
      <c r="AG6150">
        <v>-1.12153122227</v>
      </c>
      <c r="AH6150">
        <v>28.8072487736383</v>
      </c>
      <c r="AI6150">
        <v>92.228944296969303</v>
      </c>
      <c r="AJ6150">
        <v>91.311808848386207</v>
      </c>
      <c r="AK6150">
        <v>28.836618671892602</v>
      </c>
      <c r="AL6150">
        <v>78.716151576589994</v>
      </c>
      <c r="AM6150">
        <v>87.253547196651795</v>
      </c>
      <c r="AN6150">
        <v>0.99999998486022601</v>
      </c>
    </row>
    <row r="6151" spans="1:40" x14ac:dyDescent="0.25">
      <c r="A6151" t="str">
        <f>"20190303170414025"</f>
        <v>20190303170414025</v>
      </c>
      <c r="B6151" t="str">
        <f>"1551603854021876"</f>
        <v>1551603854021876</v>
      </c>
      <c r="C6151" t="s">
        <v>40</v>
      </c>
      <c r="D6151">
        <v>4.8907470000000002</v>
      </c>
      <c r="E6151">
        <v>0.47811310000000001</v>
      </c>
      <c r="F6151" t="s">
        <v>42</v>
      </c>
      <c r="G6151">
        <v>-323.90980000000002</v>
      </c>
      <c r="H6151" s="1">
        <v>-3.298122E-6</v>
      </c>
      <c r="I6151">
        <v>17.142889999999898</v>
      </c>
      <c r="J6151">
        <v>-352.7294</v>
      </c>
      <c r="K6151">
        <v>1.121543</v>
      </c>
      <c r="L6151">
        <v>16.702269999999999</v>
      </c>
      <c r="M6151">
        <v>0.99987130000000002</v>
      </c>
      <c r="N6151">
        <v>-1.3935390000000001E-2</v>
      </c>
      <c r="O6151">
        <v>-7.9491919999999903E-3</v>
      </c>
      <c r="P6151">
        <v>0.98173840000000001</v>
      </c>
      <c r="Q6151">
        <v>0.1821567</v>
      </c>
      <c r="R6151">
        <v>-5.4851410000000003E-2</v>
      </c>
      <c r="S6151">
        <v>3.0803530000000001</v>
      </c>
      <c r="T6151">
        <v>-0.1190519</v>
      </c>
      <c r="U6151">
        <v>4.6600339999999997E-2</v>
      </c>
      <c r="V6151">
        <v>4.7070189999999998E-2</v>
      </c>
      <c r="W6151">
        <v>0.19581979999999999</v>
      </c>
      <c r="X6151">
        <v>0.97950959999999998</v>
      </c>
      <c r="Y6151">
        <v>-2.304925E-2</v>
      </c>
      <c r="Z6151">
        <v>8.0226989999999997E-4</v>
      </c>
      <c r="AA6151">
        <v>0.99973400000000001</v>
      </c>
      <c r="AB6151">
        <v>36</v>
      </c>
      <c r="AC6151">
        <v>28.819599999999902</v>
      </c>
      <c r="AD6151">
        <v>-1.1215462981219999</v>
      </c>
      <c r="AE6151">
        <v>0.44061999999999502</v>
      </c>
      <c r="AF6151">
        <v>-0.66870835989837796</v>
      </c>
      <c r="AG6151">
        <v>-1.1215462981219999</v>
      </c>
      <c r="AH6151">
        <v>28.771622985167099</v>
      </c>
      <c r="AI6151">
        <v>92.231713804717401</v>
      </c>
      <c r="AJ6151">
        <v>91.331425413628594</v>
      </c>
      <c r="AK6151">
        <v>28.801238274942701</v>
      </c>
      <c r="AL6151">
        <v>78.707382306513495</v>
      </c>
      <c r="AM6151">
        <v>87.248776197930894</v>
      </c>
      <c r="AN6151">
        <v>1.0000000266754101</v>
      </c>
    </row>
    <row r="6152" spans="1:40" x14ac:dyDescent="0.25">
      <c r="A6152" t="str">
        <f>"20190303170414043"</f>
        <v>20190303170414043</v>
      </c>
      <c r="B6152" t="str">
        <f>"1551603854031636"</f>
        <v>1551603854031636</v>
      </c>
      <c r="C6152" t="s">
        <v>40</v>
      </c>
      <c r="D6152">
        <v>4.9077390000000003</v>
      </c>
      <c r="E6152">
        <v>0.47810730000000001</v>
      </c>
      <c r="F6152" t="s">
        <v>42</v>
      </c>
      <c r="G6152">
        <v>-323.7285</v>
      </c>
      <c r="H6152" s="1">
        <v>-3.3848190000000001E-6</v>
      </c>
      <c r="I6152">
        <v>17.137250000000002</v>
      </c>
      <c r="J6152">
        <v>-352.44970000000001</v>
      </c>
      <c r="K6152">
        <v>1.121564</v>
      </c>
      <c r="L6152">
        <v>16.70007</v>
      </c>
      <c r="M6152">
        <v>0.99987150000000002</v>
      </c>
      <c r="N6152">
        <v>-1.3934520000000001E-2</v>
      </c>
      <c r="O6152">
        <v>-7.9326999999999905E-3</v>
      </c>
      <c r="P6152">
        <v>0.98155460000000005</v>
      </c>
      <c r="Q6152">
        <v>0.18341789999999999</v>
      </c>
      <c r="R6152">
        <v>-5.393001E-2</v>
      </c>
      <c r="S6152">
        <v>3.080444</v>
      </c>
      <c r="T6152">
        <v>-0.119129399999999</v>
      </c>
      <c r="U6152">
        <v>4.6203609999999999E-2</v>
      </c>
      <c r="V6152">
        <v>4.615909E-2</v>
      </c>
      <c r="W6152">
        <v>0.19707930000000001</v>
      </c>
      <c r="X6152">
        <v>0.97930030000000001</v>
      </c>
      <c r="Y6152">
        <v>-2.2903710000000001E-2</v>
      </c>
      <c r="Z6152">
        <v>7.9849869999999896E-4</v>
      </c>
      <c r="AA6152">
        <v>0.9997374</v>
      </c>
      <c r="AB6152">
        <v>36</v>
      </c>
      <c r="AC6152">
        <v>28.7212</v>
      </c>
      <c r="AD6152">
        <v>-1.121567384819</v>
      </c>
      <c r="AE6152">
        <v>0.43718000000000101</v>
      </c>
      <c r="AF6152">
        <v>-0.66401268648249701</v>
      </c>
      <c r="AG6152">
        <v>-1.121567384819</v>
      </c>
      <c r="AH6152">
        <v>28.6731138485817</v>
      </c>
      <c r="AI6152">
        <v>92.239419685104593</v>
      </c>
      <c r="AJ6152">
        <v>91.326619973733699</v>
      </c>
      <c r="AK6152">
        <v>28.702722588985001</v>
      </c>
      <c r="AL6152">
        <v>78.633783762915897</v>
      </c>
      <c r="AM6152">
        <v>87.301374185397194</v>
      </c>
      <c r="AN6152">
        <v>0.99999999482910396</v>
      </c>
    </row>
    <row r="6153" spans="1:40" x14ac:dyDescent="0.25">
      <c r="A6153" t="str">
        <f>"20190303170414055"</f>
        <v>20190303170414055</v>
      </c>
      <c r="B6153" t="str">
        <f>"1551603854042371"</f>
        <v>1551603854042371</v>
      </c>
      <c r="C6153" t="s">
        <v>40</v>
      </c>
      <c r="D6153">
        <v>4.8653320000000004</v>
      </c>
      <c r="E6153">
        <v>0.47810340000000001</v>
      </c>
      <c r="F6153" t="s">
        <v>42</v>
      </c>
      <c r="G6153">
        <v>-322.54289999999997</v>
      </c>
      <c r="H6153" s="1">
        <v>-3.9393709999999998E-6</v>
      </c>
      <c r="I6153">
        <v>17.170249999999999</v>
      </c>
      <c r="J6153">
        <v>-352.25790000000001</v>
      </c>
      <c r="K6153">
        <v>1.12158</v>
      </c>
      <c r="L6153">
        <v>16.69858</v>
      </c>
      <c r="M6153">
        <v>0.99987170000000003</v>
      </c>
      <c r="N6153">
        <v>-1.3933900000000001E-2</v>
      </c>
      <c r="O6153">
        <v>-7.9134129999999994E-3</v>
      </c>
      <c r="P6153">
        <v>0.98152200000000001</v>
      </c>
      <c r="Q6153">
        <v>0.18384500000000001</v>
      </c>
      <c r="R6153">
        <v>-5.3067580000000003E-2</v>
      </c>
      <c r="S6153">
        <v>3.0806269999999998</v>
      </c>
      <c r="T6153">
        <v>-0.1155301</v>
      </c>
      <c r="U6153">
        <v>4.8431399999999999E-2</v>
      </c>
      <c r="V6153">
        <v>4.530986E-2</v>
      </c>
      <c r="W6153">
        <v>0.1975066</v>
      </c>
      <c r="X6153">
        <v>0.97925390000000001</v>
      </c>
      <c r="Y6153">
        <v>-2.3607090000000001E-2</v>
      </c>
      <c r="Z6153">
        <v>7.9345380000000001E-4</v>
      </c>
      <c r="AA6153">
        <v>0.99972099999999997</v>
      </c>
      <c r="AB6153">
        <v>36</v>
      </c>
      <c r="AC6153">
        <v>29.715</v>
      </c>
      <c r="AD6153">
        <v>-1.1215839393709901</v>
      </c>
      <c r="AE6153">
        <v>0.47166999999999898</v>
      </c>
      <c r="AF6153">
        <v>-0.70581980181750403</v>
      </c>
      <c r="AG6153">
        <v>-1.1215839393709901</v>
      </c>
      <c r="AH6153">
        <v>29.668080151104899</v>
      </c>
      <c r="AI6153">
        <v>92.164389672985706</v>
      </c>
      <c r="AJ6153">
        <v>91.362840752944706</v>
      </c>
      <c r="AK6153">
        <v>29.697661725766899</v>
      </c>
      <c r="AL6153">
        <v>78.608810711318995</v>
      </c>
      <c r="AM6153">
        <v>87.350826487901003</v>
      </c>
      <c r="AN6153">
        <v>1.00000002056099</v>
      </c>
    </row>
    <row r="6154" spans="1:40" x14ac:dyDescent="0.25">
      <c r="A6154" t="str">
        <f>"20190303170414066"</f>
        <v>20190303170414066</v>
      </c>
      <c r="B6154" t="str">
        <f>"1551603854052132"</f>
        <v>1551603854052132</v>
      </c>
      <c r="C6154" t="s">
        <v>40</v>
      </c>
      <c r="D6154">
        <v>4.9211859999999996</v>
      </c>
      <c r="E6154">
        <v>0.47809259999999898</v>
      </c>
      <c r="F6154" t="s">
        <v>42</v>
      </c>
      <c r="G6154">
        <v>-322.10239999999999</v>
      </c>
      <c r="H6154" s="1">
        <v>-4.1427610000000004E-6</v>
      </c>
      <c r="I6154">
        <v>17.19745</v>
      </c>
      <c r="J6154">
        <v>-352.0856</v>
      </c>
      <c r="K6154">
        <v>1.121594</v>
      </c>
      <c r="L6154">
        <v>16.697199999999999</v>
      </c>
      <c r="M6154">
        <v>0.99987190000000004</v>
      </c>
      <c r="N6154">
        <v>-1.3933299999999999E-2</v>
      </c>
      <c r="O6154">
        <v>-7.8823039999999997E-3</v>
      </c>
      <c r="P6154">
        <v>0.98151759999999999</v>
      </c>
      <c r="Q6154">
        <v>0.18401319999999999</v>
      </c>
      <c r="R6154">
        <v>-5.2559210000000002E-2</v>
      </c>
      <c r="S6154">
        <v>3.0806580000000001</v>
      </c>
      <c r="T6154">
        <v>-0.1145803</v>
      </c>
      <c r="U6154">
        <v>5.096436E-2</v>
      </c>
      <c r="V6154">
        <v>4.4825669999999998E-2</v>
      </c>
      <c r="W6154">
        <v>0.19767489999999999</v>
      </c>
      <c r="X6154">
        <v>0.97924219999999895</v>
      </c>
      <c r="Y6154">
        <v>-2.4397229999999999E-2</v>
      </c>
      <c r="Z6154">
        <v>8.0683990000000004E-4</v>
      </c>
      <c r="AA6154">
        <v>0.99970199999999998</v>
      </c>
      <c r="AB6154">
        <v>36</v>
      </c>
      <c r="AC6154">
        <v>29.9832</v>
      </c>
      <c r="AD6154">
        <v>-1.121598142761</v>
      </c>
      <c r="AE6154">
        <v>0.50025000000000097</v>
      </c>
      <c r="AF6154">
        <v>-0.73556507965721596</v>
      </c>
      <c r="AG6154">
        <v>-1.121598142761</v>
      </c>
      <c r="AH6154">
        <v>29.936445700969099</v>
      </c>
      <c r="AI6154">
        <v>92.144991912398496</v>
      </c>
      <c r="AJ6154">
        <v>91.407525020786593</v>
      </c>
      <c r="AK6154">
        <v>29.9664782646765</v>
      </c>
      <c r="AL6154">
        <v>78.598973617287498</v>
      </c>
      <c r="AM6154">
        <v>87.379065114470805</v>
      </c>
      <c r="AN6154">
        <v>0.99999999652089899</v>
      </c>
    </row>
    <row r="6155" spans="1:40" x14ac:dyDescent="0.25">
      <c r="A6155" t="str">
        <f>"20190303170414078"</f>
        <v>20190303170414078</v>
      </c>
      <c r="B6155" t="str">
        <f>"1551603854071652"</f>
        <v>1551603854071652</v>
      </c>
      <c r="C6155" t="s">
        <v>40</v>
      </c>
      <c r="D6155">
        <v>4.9040189999999999</v>
      </c>
      <c r="E6155">
        <v>0.47813139999999998</v>
      </c>
      <c r="F6155" t="s">
        <v>42</v>
      </c>
      <c r="G6155">
        <v>-321.94400000000002</v>
      </c>
      <c r="H6155" s="1">
        <v>-4.2156419999999998E-6</v>
      </c>
      <c r="I6155">
        <v>17.208970000000001</v>
      </c>
      <c r="J6155">
        <v>-351.88459999999998</v>
      </c>
      <c r="K6155">
        <v>1.1216109999999999</v>
      </c>
      <c r="L6155">
        <v>16.695679999999999</v>
      </c>
      <c r="M6155">
        <v>0.99987230000000005</v>
      </c>
      <c r="N6155">
        <v>-1.393259E-2</v>
      </c>
      <c r="O6155">
        <v>-7.8411279999999993E-3</v>
      </c>
      <c r="P6155">
        <v>0.9815509</v>
      </c>
      <c r="Q6155">
        <v>0.18395039999999999</v>
      </c>
      <c r="R6155">
        <v>-5.215624E-2</v>
      </c>
      <c r="S6155">
        <v>3.0807799999999999</v>
      </c>
      <c r="T6155">
        <v>-0.1146387</v>
      </c>
      <c r="U6155">
        <v>5.230713E-2</v>
      </c>
      <c r="V6155">
        <v>4.4454849999999997E-2</v>
      </c>
      <c r="W6155">
        <v>0.19761409999999999</v>
      </c>
      <c r="X6155">
        <v>0.97927140000000001</v>
      </c>
      <c r="Y6155">
        <v>-2.4790619999999999E-2</v>
      </c>
      <c r="Z6155">
        <v>8.1628630000000005E-4</v>
      </c>
      <c r="AA6155">
        <v>0.99969229999999998</v>
      </c>
      <c r="AB6155">
        <v>36</v>
      </c>
      <c r="AC6155">
        <v>29.9405999999999</v>
      </c>
      <c r="AD6155">
        <v>-1.1216152156420001</v>
      </c>
      <c r="AE6155">
        <v>0.51329000000000102</v>
      </c>
      <c r="AF6155">
        <v>-0.74701703819481302</v>
      </c>
      <c r="AG6155">
        <v>-1.1216152156420001</v>
      </c>
      <c r="AH6155">
        <v>29.893715126114198</v>
      </c>
      <c r="AI6155">
        <v>92.148065569738606</v>
      </c>
      <c r="AJ6155">
        <v>91.431472053025402</v>
      </c>
      <c r="AK6155">
        <v>29.924074909486801</v>
      </c>
      <c r="AL6155">
        <v>78.602527578851294</v>
      </c>
      <c r="AM6155">
        <v>87.400794317027902</v>
      </c>
      <c r="AN6155">
        <v>1.00000002053264</v>
      </c>
    </row>
    <row r="6156" spans="1:40" x14ac:dyDescent="0.25">
      <c r="A6156" t="str">
        <f>"20190303170414091"</f>
        <v>20190303170414091</v>
      </c>
      <c r="B6156" t="str">
        <f>"1551603854081412"</f>
        <v>1551603854081412</v>
      </c>
      <c r="C6156" t="s">
        <v>40</v>
      </c>
      <c r="D6156">
        <v>4.94095</v>
      </c>
      <c r="E6156">
        <v>0.47806369999999998</v>
      </c>
      <c r="F6156" t="s">
        <v>42</v>
      </c>
      <c r="G6156">
        <v>-321.8537</v>
      </c>
      <c r="H6156" s="1">
        <v>-4.2574269999999998E-6</v>
      </c>
      <c r="I6156">
        <v>17.213889999999999</v>
      </c>
      <c r="J6156">
        <v>-351.678</v>
      </c>
      <c r="K6156">
        <v>1.121631</v>
      </c>
      <c r="L6156">
        <v>16.694089999999999</v>
      </c>
      <c r="M6156">
        <v>0.99987269999999995</v>
      </c>
      <c r="N6156">
        <v>-1.3931829999999999E-2</v>
      </c>
      <c r="O6156">
        <v>-7.7847630000000001E-3</v>
      </c>
      <c r="P6156">
        <v>0.98164739999999995</v>
      </c>
      <c r="Q6156">
        <v>0.18352080000000001</v>
      </c>
      <c r="R6156">
        <v>-5.185211E-2</v>
      </c>
      <c r="S6156">
        <v>3.0808110000000002</v>
      </c>
      <c r="T6156">
        <v>-0.1150644</v>
      </c>
      <c r="U6156">
        <v>5.316162E-2</v>
      </c>
      <c r="V6156">
        <v>4.4195760000000001E-2</v>
      </c>
      <c r="W6156">
        <v>0.1971869</v>
      </c>
      <c r="X6156">
        <v>0.97936920000000005</v>
      </c>
      <c r="Y6156">
        <v>-2.5010919999999999E-2</v>
      </c>
      <c r="Z6156">
        <v>8.2339670000000002E-4</v>
      </c>
      <c r="AA6156">
        <v>0.99968679999999999</v>
      </c>
      <c r="AB6156">
        <v>35</v>
      </c>
      <c r="AC6156">
        <v>29.824300000000001</v>
      </c>
      <c r="AD6156">
        <v>-1.1216352574269901</v>
      </c>
      <c r="AE6156">
        <v>0.51980000000000004</v>
      </c>
      <c r="AF6156">
        <v>-0.75092011957489202</v>
      </c>
      <c r="AG6156">
        <v>-1.1216352574269901</v>
      </c>
      <c r="AH6156">
        <v>29.777245954698301</v>
      </c>
      <c r="AI6156">
        <v>92.156485613946003</v>
      </c>
      <c r="AJ6156">
        <v>91.444574046713001</v>
      </c>
      <c r="AK6156">
        <v>29.8078231899493</v>
      </c>
      <c r="AL6156">
        <v>78.627495216464595</v>
      </c>
      <c r="AM6156">
        <v>87.416180007756793</v>
      </c>
      <c r="AN6156">
        <v>0.99999998432111303</v>
      </c>
    </row>
    <row r="6157" spans="1:40" x14ac:dyDescent="0.25">
      <c r="A6157" t="str">
        <f>"20190303170414105"</f>
        <v>20190303170414105</v>
      </c>
      <c r="B6157" t="str">
        <f>"1551603854092148"</f>
        <v>1551603854092148</v>
      </c>
      <c r="C6157" t="s">
        <v>40</v>
      </c>
      <c r="D6157">
        <v>4.9159059999999997</v>
      </c>
      <c r="E6157">
        <v>0.47802129999999998</v>
      </c>
      <c r="F6157" t="s">
        <v>42</v>
      </c>
      <c r="G6157">
        <v>-322.06779999999998</v>
      </c>
      <c r="H6157" s="1">
        <v>-4.1551430000000004E-6</v>
      </c>
      <c r="I6157">
        <v>17.219989999999999</v>
      </c>
      <c r="J6157">
        <v>-351.46940000000001</v>
      </c>
      <c r="K6157">
        <v>1.1216489999999999</v>
      </c>
      <c r="L6157">
        <v>16.692499999999999</v>
      </c>
      <c r="M6157">
        <v>0.99987329999999996</v>
      </c>
      <c r="N6157">
        <v>-1.3931020000000001E-2</v>
      </c>
      <c r="O6157">
        <v>-7.7139569999999996E-3</v>
      </c>
      <c r="P6157">
        <v>0.981684</v>
      </c>
      <c r="Q6157">
        <v>0.18342410000000001</v>
      </c>
      <c r="R6157">
        <v>-5.1500789999999998E-2</v>
      </c>
      <c r="S6157">
        <v>3.0808110000000002</v>
      </c>
      <c r="T6157">
        <v>-0.116701399999999</v>
      </c>
      <c r="U6157">
        <v>5.4718019999999999E-2</v>
      </c>
      <c r="V6157">
        <v>4.3903770000000002E-2</v>
      </c>
      <c r="W6157">
        <v>0.1970924</v>
      </c>
      <c r="X6157">
        <v>0.97940139999999998</v>
      </c>
      <c r="Y6157">
        <v>-2.5443899999999998E-2</v>
      </c>
      <c r="Z6157">
        <v>8.4368270000000003E-4</v>
      </c>
      <c r="AA6157">
        <v>0.99967589999999995</v>
      </c>
      <c r="AB6157">
        <v>35</v>
      </c>
      <c r="AC6157">
        <v>29.401599999999998</v>
      </c>
      <c r="AD6157">
        <v>-1.12165315514299</v>
      </c>
      <c r="AE6157">
        <v>0.52749000000000001</v>
      </c>
      <c r="AF6157">
        <v>-0.75320312888826502</v>
      </c>
      <c r="AG6157">
        <v>-1.12165315514299</v>
      </c>
      <c r="AH6157">
        <v>29.353948326529402</v>
      </c>
      <c r="AI6157">
        <v>92.187563491966799</v>
      </c>
      <c r="AJ6157">
        <v>91.469849727485993</v>
      </c>
      <c r="AK6157">
        <v>29.3850251507527</v>
      </c>
      <c r="AL6157">
        <v>78.633018562682906</v>
      </c>
      <c r="AM6157">
        <v>87.433312010106903</v>
      </c>
      <c r="AN6157">
        <v>1.00000002873996</v>
      </c>
    </row>
    <row r="6158" spans="1:40" x14ac:dyDescent="0.25">
      <c r="A6158" t="str">
        <f>"20190303170414122"</f>
        <v>20190303170414122</v>
      </c>
      <c r="B6158" t="str">
        <f>"1551603854111667"</f>
        <v>1551603854111667</v>
      </c>
      <c r="C6158" t="s">
        <v>40</v>
      </c>
      <c r="D6158">
        <v>4.9293490000000002</v>
      </c>
      <c r="E6158">
        <v>0.47792950000000001</v>
      </c>
      <c r="F6158" t="s">
        <v>42</v>
      </c>
      <c r="G6158">
        <v>-321.95499999999998</v>
      </c>
      <c r="H6158" s="1">
        <v>-4.206948E-6</v>
      </c>
      <c r="I6158">
        <v>17.2287</v>
      </c>
      <c r="J6158">
        <v>-351.18650000000002</v>
      </c>
      <c r="K6158">
        <v>1.1216809999999999</v>
      </c>
      <c r="L6158">
        <v>16.690460000000002</v>
      </c>
      <c r="M6158">
        <v>0.99987409999999999</v>
      </c>
      <c r="N6158">
        <v>-1.392996E-2</v>
      </c>
      <c r="O6158">
        <v>-7.5996290000000001E-3</v>
      </c>
      <c r="P6158">
        <v>0.98178889999999996</v>
      </c>
      <c r="Q6158">
        <v>0.18304989999999999</v>
      </c>
      <c r="R6158">
        <v>-5.0829859999999998E-2</v>
      </c>
      <c r="S6158">
        <v>3.0807799999999999</v>
      </c>
      <c r="T6158">
        <v>-0.1170807</v>
      </c>
      <c r="U6158">
        <v>5.5969240000000003E-2</v>
      </c>
      <c r="V6158">
        <v>4.3330529999999999E-2</v>
      </c>
      <c r="W6158">
        <v>0.19672120000000001</v>
      </c>
      <c r="X6158">
        <v>0.97950150000000002</v>
      </c>
      <c r="Y6158">
        <v>-2.5735230000000001E-2</v>
      </c>
      <c r="Z6158">
        <v>8.5101060000000001E-4</v>
      </c>
      <c r="AA6158">
        <v>0.99966840000000001</v>
      </c>
      <c r="AB6158">
        <v>35</v>
      </c>
      <c r="AC6158">
        <v>29.2315</v>
      </c>
      <c r="AD6158">
        <v>-1.1216852069479999</v>
      </c>
      <c r="AE6158">
        <v>0.53823999999999805</v>
      </c>
      <c r="AF6158">
        <v>-0.75927694744317997</v>
      </c>
      <c r="AG6158">
        <v>-1.1216852069479999</v>
      </c>
      <c r="AH6158">
        <v>29.1836081163964</v>
      </c>
      <c r="AI6158">
        <v>92.200361947618902</v>
      </c>
      <c r="AJ6158">
        <v>91.490341859667197</v>
      </c>
      <c r="AK6158">
        <v>29.215024591429</v>
      </c>
      <c r="AL6158">
        <v>78.654710858804606</v>
      </c>
      <c r="AM6158">
        <v>87.467039181710405</v>
      </c>
      <c r="AN6158">
        <v>0.99999997693088505</v>
      </c>
    </row>
    <row r="6159" spans="1:40" x14ac:dyDescent="0.25">
      <c r="A6159" t="str">
        <f>"20190303170414137"</f>
        <v>20190303170414137</v>
      </c>
      <c r="B6159" t="str">
        <f>"1551603854131696"</f>
        <v>1551603854131696</v>
      </c>
      <c r="C6159" t="s">
        <v>40</v>
      </c>
      <c r="D6159">
        <v>4.923235</v>
      </c>
      <c r="E6159">
        <v>0.47800389999999998</v>
      </c>
      <c r="F6159" t="s">
        <v>42</v>
      </c>
      <c r="G6159">
        <v>-322.04109999999997</v>
      </c>
      <c r="H6159" s="1">
        <v>-4.1641420000000004E-6</v>
      </c>
      <c r="I6159">
        <v>17.24044</v>
      </c>
      <c r="J6159">
        <v>-350.9665</v>
      </c>
      <c r="K6159">
        <v>1.1216999999999999</v>
      </c>
      <c r="L6159">
        <v>16.688839999999999</v>
      </c>
      <c r="M6159">
        <v>0.99987490000000001</v>
      </c>
      <c r="N6159">
        <v>-1.3929179999999999E-2</v>
      </c>
      <c r="O6159">
        <v>-7.4961419999999999E-3</v>
      </c>
      <c r="P6159">
        <v>0.98175889999999999</v>
      </c>
      <c r="Q6159">
        <v>0.18332519999999999</v>
      </c>
      <c r="R6159">
        <v>-5.0412829999999999E-2</v>
      </c>
      <c r="S6159">
        <v>3.0808110000000002</v>
      </c>
      <c r="T6159">
        <v>-0.118567699999999</v>
      </c>
      <c r="U6159">
        <v>5.8135989999999999E-2</v>
      </c>
      <c r="V6159">
        <v>4.3004670000000002E-2</v>
      </c>
      <c r="W6159">
        <v>0.19699800000000001</v>
      </c>
      <c r="X6159">
        <v>0.9794602</v>
      </c>
      <c r="Y6159">
        <v>-2.6333189999999999E-2</v>
      </c>
      <c r="Z6159">
        <v>8.7399410000000004E-4</v>
      </c>
      <c r="AA6159">
        <v>0.99965289999999996</v>
      </c>
      <c r="AB6159">
        <v>35</v>
      </c>
      <c r="AC6159">
        <v>28.9254</v>
      </c>
      <c r="AD6159">
        <v>-1.121704164142</v>
      </c>
      <c r="AE6159">
        <v>0.55159999999999998</v>
      </c>
      <c r="AF6159">
        <v>-0.76728100087085904</v>
      </c>
      <c r="AG6159">
        <v>-1.121704164142</v>
      </c>
      <c r="AH6159">
        <v>28.877041575331599</v>
      </c>
      <c r="AI6159">
        <v>92.2237035046209</v>
      </c>
      <c r="AJ6159">
        <v>91.522026473158903</v>
      </c>
      <c r="AK6159">
        <v>28.9090032776916</v>
      </c>
      <c r="AL6159">
        <v>78.638534522276302</v>
      </c>
      <c r="AM6159">
        <v>87.4859574921595</v>
      </c>
      <c r="AN6159">
        <v>0.99999994851492302</v>
      </c>
    </row>
    <row r="6160" spans="1:40" x14ac:dyDescent="0.25">
      <c r="A6160" t="str">
        <f>"20190303170414153"</f>
        <v>20190303170414153</v>
      </c>
      <c r="B6160" t="str">
        <f>"1551603854141455"</f>
        <v>1551603854141455</v>
      </c>
      <c r="C6160" t="s">
        <v>40</v>
      </c>
      <c r="D6160">
        <v>4.901783</v>
      </c>
      <c r="E6160">
        <v>0.47805890000000001</v>
      </c>
      <c r="F6160" t="s">
        <v>42</v>
      </c>
      <c r="G6160">
        <v>-321.8997</v>
      </c>
      <c r="H6160" s="1">
        <v>-4.231153E-6</v>
      </c>
      <c r="I6160">
        <v>17.239329999999999</v>
      </c>
      <c r="J6160">
        <v>-350.71010000000001</v>
      </c>
      <c r="K6160">
        <v>1.1217269999999999</v>
      </c>
      <c r="L6160">
        <v>16.687069999999999</v>
      </c>
      <c r="M6160">
        <v>0.99987599999999999</v>
      </c>
      <c r="N6160">
        <v>-1.3928080000000001E-2</v>
      </c>
      <c r="O6160">
        <v>-7.355197E-3</v>
      </c>
      <c r="P6160">
        <v>0.98176640000000004</v>
      </c>
      <c r="Q6160">
        <v>0.1835299</v>
      </c>
      <c r="R6160">
        <v>-4.9512979999999998E-2</v>
      </c>
      <c r="S6160">
        <v>3.0809329999999999</v>
      </c>
      <c r="T6160">
        <v>-0.11889520000000001</v>
      </c>
      <c r="U6160">
        <v>5.8349610000000003E-2</v>
      </c>
      <c r="V6160">
        <v>4.2231909999999998E-2</v>
      </c>
      <c r="W6160">
        <v>0.19720370000000001</v>
      </c>
      <c r="X6160">
        <v>0.97945249999999995</v>
      </c>
      <c r="Y6160">
        <v>-2.6260789999999999E-2</v>
      </c>
      <c r="Z6160">
        <v>8.7077529999999995E-4</v>
      </c>
      <c r="AA6160">
        <v>0.99965479999999995</v>
      </c>
      <c r="AB6160">
        <v>35</v>
      </c>
      <c r="AC6160">
        <v>28.810400000000001</v>
      </c>
      <c r="AD6160">
        <v>-1.1217312311530001</v>
      </c>
      <c r="AE6160">
        <v>0.55225999999999598</v>
      </c>
      <c r="AF6160">
        <v>-0.76301551899728104</v>
      </c>
      <c r="AG6160">
        <v>-1.1217312311530001</v>
      </c>
      <c r="AH6160">
        <v>28.761973044870199</v>
      </c>
      <c r="AI6160">
        <v>92.232647233512907</v>
      </c>
      <c r="AJ6160">
        <v>91.5196216730087</v>
      </c>
      <c r="AK6160">
        <v>28.793950181783199</v>
      </c>
      <c r="AL6160">
        <v>78.626513740436195</v>
      </c>
      <c r="AM6160">
        <v>87.531057056218401</v>
      </c>
      <c r="AN6160">
        <v>1.0000000166360901</v>
      </c>
    </row>
    <row r="6161" spans="1:40" x14ac:dyDescent="0.25">
      <c r="A6161" t="str">
        <f>"20190303170414165"</f>
        <v>20190303170414165</v>
      </c>
      <c r="B6161" t="str">
        <f>"1551603854152192"</f>
        <v>1551603854152192</v>
      </c>
      <c r="C6161" t="s">
        <v>40</v>
      </c>
      <c r="D6161">
        <v>4.9178810000000004</v>
      </c>
      <c r="E6161">
        <v>0.47812359999999998</v>
      </c>
      <c r="F6161" t="s">
        <v>42</v>
      </c>
      <c r="G6161">
        <v>-321.54109999999997</v>
      </c>
      <c r="H6161" s="1">
        <v>-4.397345E-6</v>
      </c>
      <c r="I6161">
        <v>17.258279999999999</v>
      </c>
      <c r="J6161">
        <v>-350.50619999999998</v>
      </c>
      <c r="K6161">
        <v>1.121748</v>
      </c>
      <c r="L6161">
        <v>16.685700000000001</v>
      </c>
      <c r="M6161">
        <v>0.99987700000000002</v>
      </c>
      <c r="N6161">
        <v>-1.392709E-2</v>
      </c>
      <c r="O6161">
        <v>-7.2303439999999997E-3</v>
      </c>
      <c r="P6161">
        <v>0.98184199999999999</v>
      </c>
      <c r="Q6161">
        <v>0.18349199999999999</v>
      </c>
      <c r="R6161">
        <v>-4.8136230000000002E-2</v>
      </c>
      <c r="S6161">
        <v>3.0809329999999999</v>
      </c>
      <c r="T6161">
        <v>-0.1184809</v>
      </c>
      <c r="U6161">
        <v>6.0333249999999998E-2</v>
      </c>
      <c r="V6161">
        <v>4.0969169999999999E-2</v>
      </c>
      <c r="W6161">
        <v>0.19716629999999999</v>
      </c>
      <c r="X6161">
        <v>0.97951359999999998</v>
      </c>
      <c r="Y6161">
        <v>-2.6779049999999999E-2</v>
      </c>
      <c r="Z6161">
        <v>8.785256E-4</v>
      </c>
      <c r="AA6161">
        <v>0.999641</v>
      </c>
      <c r="AB6161">
        <v>35</v>
      </c>
      <c r="AC6161">
        <v>28.9651</v>
      </c>
      <c r="AD6161">
        <v>-1.1217523973450001</v>
      </c>
      <c r="AE6161">
        <v>0.57257999999999798</v>
      </c>
      <c r="AF6161">
        <v>-0.78084227565362696</v>
      </c>
      <c r="AG6161">
        <v>-1.1217523973450001</v>
      </c>
      <c r="AH6161">
        <v>28.9168487681854</v>
      </c>
      <c r="AI6161">
        <v>92.220715115691803</v>
      </c>
      <c r="AJ6161">
        <v>91.546783260232004</v>
      </c>
      <c r="AK6161">
        <v>28.949131002199401</v>
      </c>
      <c r="AL6161">
        <v>78.628698837933399</v>
      </c>
      <c r="AM6161">
        <v>87.604940729217603</v>
      </c>
      <c r="AN6161">
        <v>0.99999995766556804</v>
      </c>
    </row>
    <row r="6162" spans="1:40" x14ac:dyDescent="0.25">
      <c r="A6162" t="str">
        <f>"20190303170414179"</f>
        <v>20190303170414179</v>
      </c>
      <c r="B6162" t="str">
        <f>"1551603854171711"</f>
        <v>1551603854171711</v>
      </c>
      <c r="C6162" t="s">
        <v>40</v>
      </c>
      <c r="D6162">
        <v>5.0577300000000003</v>
      </c>
      <c r="E6162">
        <v>0.47880200000000001</v>
      </c>
      <c r="F6162" t="s">
        <v>42</v>
      </c>
      <c r="G6162">
        <v>-321.47680000000003</v>
      </c>
      <c r="H6162" s="1">
        <v>-4.4229280000000004E-6</v>
      </c>
      <c r="I6162">
        <v>17.285250000000001</v>
      </c>
      <c r="J6162">
        <v>-350.28269999999998</v>
      </c>
      <c r="K6162">
        <v>1.121764</v>
      </c>
      <c r="L6162">
        <v>16.684200000000001</v>
      </c>
      <c r="M6162">
        <v>0.99987789999999999</v>
      </c>
      <c r="N6162">
        <v>-1.3925969999999999E-2</v>
      </c>
      <c r="O6162">
        <v>-7.0855800000000002E-3</v>
      </c>
      <c r="P6162">
        <v>0.98186839999999997</v>
      </c>
      <c r="Q6162">
        <v>0.18350830000000001</v>
      </c>
      <c r="R6162">
        <v>-4.7531539999999997E-2</v>
      </c>
      <c r="S6162">
        <v>3.0808409999999999</v>
      </c>
      <c r="T6162">
        <v>-0.11904969999999999</v>
      </c>
      <c r="U6162">
        <v>6.3629149999999995E-2</v>
      </c>
      <c r="V6162">
        <v>4.0498300000000001E-2</v>
      </c>
      <c r="W6162">
        <v>0.19718359999999999</v>
      </c>
      <c r="X6162">
        <v>0.97952969999999895</v>
      </c>
      <c r="Y6162">
        <v>-2.7702729999999998E-2</v>
      </c>
      <c r="Z6162">
        <v>9.030377E-4</v>
      </c>
      <c r="AA6162">
        <v>0.99961580000000005</v>
      </c>
      <c r="AB6162">
        <v>35</v>
      </c>
      <c r="AC6162">
        <v>28.805899999999902</v>
      </c>
      <c r="AD6162">
        <v>-1.1217684229280001</v>
      </c>
      <c r="AE6162">
        <v>0.60104999999999997</v>
      </c>
      <c r="AF6162">
        <v>-0.80394256549806897</v>
      </c>
      <c r="AG6162">
        <v>-1.1217684229280001</v>
      </c>
      <c r="AH6162">
        <v>28.757325925451699</v>
      </c>
      <c r="AI6162">
        <v>92.232994935508401</v>
      </c>
      <c r="AJ6162">
        <v>91.601349227217696</v>
      </c>
      <c r="AK6162">
        <v>28.790423449924301</v>
      </c>
      <c r="AL6162">
        <v>78.627687785017201</v>
      </c>
      <c r="AM6162">
        <v>87.632475171936804</v>
      </c>
      <c r="AN6162">
        <v>0.99999995879696801</v>
      </c>
    </row>
    <row r="6163" spans="1:40" x14ac:dyDescent="0.25">
      <c r="A6163" t="str">
        <f>"20190303170414191"</f>
        <v>20190303170414191</v>
      </c>
      <c r="B6163" t="str">
        <f>"1551603854181472"</f>
        <v>1551603854181472</v>
      </c>
      <c r="C6163" t="s">
        <v>40</v>
      </c>
      <c r="D6163">
        <v>4.994942</v>
      </c>
      <c r="E6163">
        <v>0.47880200000000001</v>
      </c>
      <c r="F6163" t="s">
        <v>42</v>
      </c>
      <c r="G6163">
        <v>-321.54430000000002</v>
      </c>
      <c r="H6163" s="1">
        <v>-4.3983290000000001E-6</v>
      </c>
      <c r="I6163">
        <v>17.244160000000001</v>
      </c>
      <c r="J6163">
        <v>-350.10019999999997</v>
      </c>
      <c r="K6163">
        <v>1.1217760000000001</v>
      </c>
      <c r="L6163">
        <v>16.683009999999999</v>
      </c>
      <c r="M6163">
        <v>0.99987890000000001</v>
      </c>
      <c r="N6163">
        <v>-1.392504E-2</v>
      </c>
      <c r="O6163">
        <v>-6.9597259999999899E-3</v>
      </c>
      <c r="P6163">
        <v>0.98186560000000001</v>
      </c>
      <c r="Q6163">
        <v>0.18359590000000001</v>
      </c>
      <c r="R6163">
        <v>-4.7252669999999997E-2</v>
      </c>
      <c r="S6163">
        <v>3.0808110000000002</v>
      </c>
      <c r="T6163">
        <v>-0.1202558</v>
      </c>
      <c r="U6163">
        <v>6.0028079999999998E-2</v>
      </c>
      <c r="V6163">
        <v>4.0336999999999998E-2</v>
      </c>
      <c r="W6163">
        <v>0.19727149999999999</v>
      </c>
      <c r="X6163">
        <v>0.97951869999999996</v>
      </c>
      <c r="Y6163">
        <v>-2.640994E-2</v>
      </c>
      <c r="Z6163">
        <v>8.7384979999999995E-4</v>
      </c>
      <c r="AA6163">
        <v>0.99965079999999995</v>
      </c>
      <c r="AB6163">
        <v>35</v>
      </c>
      <c r="AC6163">
        <v>28.555899999999902</v>
      </c>
      <c r="AD6163">
        <v>-1.121780398329</v>
      </c>
      <c r="AE6163">
        <v>0.56115000000000104</v>
      </c>
      <c r="AF6163">
        <v>-0.75872648254157704</v>
      </c>
      <c r="AG6163">
        <v>-1.121780398329</v>
      </c>
      <c r="AH6163">
        <v>28.507326731932</v>
      </c>
      <c r="AI6163">
        <v>92.252663725330805</v>
      </c>
      <c r="AJ6163">
        <v>91.524575256536906</v>
      </c>
      <c r="AK6163">
        <v>28.539476774084498</v>
      </c>
      <c r="AL6163">
        <v>78.622551065617003</v>
      </c>
      <c r="AM6163">
        <v>87.641867629244302</v>
      </c>
      <c r="AN6163">
        <v>1.0000000009654699</v>
      </c>
    </row>
    <row r="6164" spans="1:40" x14ac:dyDescent="0.25">
      <c r="A6164" t="str">
        <f>"20190303170414201"</f>
        <v>20190303170414201</v>
      </c>
      <c r="B6164" t="str">
        <f>"1551603854192207"</f>
        <v>1551603854192207</v>
      </c>
      <c r="C6164" t="s">
        <v>40</v>
      </c>
      <c r="D6164">
        <v>4.8476559999999997</v>
      </c>
      <c r="E6164">
        <v>0.51508969999999998</v>
      </c>
      <c r="F6164" t="s">
        <v>42</v>
      </c>
      <c r="G6164">
        <v>-321.31029999999998</v>
      </c>
      <c r="H6164" s="1">
        <v>-4.5078740000000002E-6</v>
      </c>
      <c r="I6164">
        <v>17.250239999999899</v>
      </c>
      <c r="J6164">
        <v>-349.93799999999999</v>
      </c>
      <c r="K6164">
        <v>1.1217859999999999</v>
      </c>
      <c r="L6164">
        <v>16.682009999999998</v>
      </c>
      <c r="M6164">
        <v>0.99987969999999904</v>
      </c>
      <c r="N6164">
        <v>-1.3924219999999999E-2</v>
      </c>
      <c r="O6164">
        <v>-6.8429759999999997E-3</v>
      </c>
      <c r="P6164">
        <v>0.98191530000000005</v>
      </c>
      <c r="Q6164">
        <v>0.18347040000000001</v>
      </c>
      <c r="R6164">
        <v>-4.6702859999999999E-2</v>
      </c>
      <c r="S6164">
        <v>3.0807799999999999</v>
      </c>
      <c r="T6164">
        <v>-0.1200407</v>
      </c>
      <c r="U6164">
        <v>6.0699459999999997E-2</v>
      </c>
      <c r="V6164">
        <v>3.989682E-2</v>
      </c>
      <c r="W6164">
        <v>0.19714660000000001</v>
      </c>
      <c r="X6164">
        <v>0.97956189999999999</v>
      </c>
      <c r="Y6164">
        <v>-2.651121E-2</v>
      </c>
      <c r="Z6164">
        <v>8.7220009999999998E-4</v>
      </c>
      <c r="AA6164">
        <v>0.99964819999999999</v>
      </c>
      <c r="AB6164">
        <v>35</v>
      </c>
      <c r="AC6164">
        <v>28.627700000000001</v>
      </c>
      <c r="AD6164">
        <v>-1.121790507874</v>
      </c>
      <c r="AE6164">
        <v>0.56822999999999602</v>
      </c>
      <c r="AF6164">
        <v>-0.76296326774604495</v>
      </c>
      <c r="AG6164">
        <v>-1.121790507874</v>
      </c>
      <c r="AH6164">
        <v>28.579274563275298</v>
      </c>
      <c r="AI6164">
        <v>92.247013875099597</v>
      </c>
      <c r="AJ6164">
        <v>91.5292268677686</v>
      </c>
      <c r="AK6164">
        <v>28.6114568216049</v>
      </c>
      <c r="AL6164">
        <v>78.629850962259695</v>
      </c>
      <c r="AM6164">
        <v>87.667675066827698</v>
      </c>
      <c r="AN6164">
        <v>1.0000000270346401</v>
      </c>
    </row>
    <row r="6165" spans="1:40" x14ac:dyDescent="0.25">
      <c r="A6165" t="str">
        <f>"20190303170414213"</f>
        <v>20190303170414213</v>
      </c>
      <c r="B6165" t="str">
        <f>"1551603854201967"</f>
        <v>1551603854201967</v>
      </c>
      <c r="C6165" t="s">
        <v>40</v>
      </c>
      <c r="D6165">
        <v>5.0083510000000002</v>
      </c>
      <c r="E6165">
        <v>0.51825540000000003</v>
      </c>
      <c r="F6165" t="s">
        <v>44</v>
      </c>
      <c r="G6165">
        <v>-307.04599999999999</v>
      </c>
      <c r="H6165">
        <v>-0.05</v>
      </c>
      <c r="I6165">
        <v>13.46942</v>
      </c>
      <c r="J6165">
        <v>-349.74360000000001</v>
      </c>
      <c r="K6165">
        <v>1.1217980000000001</v>
      </c>
      <c r="L6165">
        <v>16.680789999999998</v>
      </c>
      <c r="M6165">
        <v>0.99988069999999896</v>
      </c>
      <c r="N6165">
        <v>-1.392324E-2</v>
      </c>
      <c r="O6165">
        <v>-6.6997430000000002E-3</v>
      </c>
      <c r="P6165">
        <v>0.98190619999999995</v>
      </c>
      <c r="Q6165">
        <v>0.1836314</v>
      </c>
      <c r="R6165">
        <v>-4.625903E-2</v>
      </c>
      <c r="S6165">
        <v>3.0599370000000001</v>
      </c>
      <c r="T6165">
        <v>-8.3595870000000003E-2</v>
      </c>
      <c r="U6165">
        <v>-0.229187</v>
      </c>
      <c r="V6165">
        <v>3.9588400000000003E-2</v>
      </c>
      <c r="W6165">
        <v>0.19730700000000001</v>
      </c>
      <c r="X6165">
        <v>0.97954209999999997</v>
      </c>
      <c r="Y6165">
        <v>6.7969180000000004E-2</v>
      </c>
      <c r="Z6165">
        <v>-1.311387E-3</v>
      </c>
      <c r="AA6165">
        <v>0.99768659999999998</v>
      </c>
      <c r="AB6165">
        <v>35</v>
      </c>
      <c r="AC6165">
        <v>42.697600000000001</v>
      </c>
      <c r="AD6165">
        <v>-1.1717979999999999</v>
      </c>
      <c r="AE6165">
        <v>-3.2113699999999898</v>
      </c>
      <c r="AF6165">
        <v>2.9230180818049001</v>
      </c>
      <c r="AG6165">
        <v>-1.1717979999999999</v>
      </c>
      <c r="AH6165">
        <v>42.6861894444962</v>
      </c>
      <c r="AI6165">
        <v>91.568785646887704</v>
      </c>
      <c r="AJ6165">
        <v>86.082677676764703</v>
      </c>
      <c r="AK6165">
        <v>42.802195207147797</v>
      </c>
      <c r="AL6165">
        <v>78.620476386682398</v>
      </c>
      <c r="AM6165">
        <v>87.685638555837997</v>
      </c>
      <c r="AN6165">
        <v>1.00000000966798</v>
      </c>
    </row>
    <row r="6166" spans="1:40" x14ac:dyDescent="0.25">
      <c r="A6166" t="str">
        <f>"20190303170414225"</f>
        <v>20190303170414225</v>
      </c>
      <c r="B6166" t="str">
        <f>"1551603854211726"</f>
        <v>1551603854211726</v>
      </c>
      <c r="C6166" t="s">
        <v>40</v>
      </c>
      <c r="D6166">
        <v>5.0073470000000002</v>
      </c>
      <c r="E6166">
        <v>0.51998</v>
      </c>
      <c r="F6166" t="s">
        <v>44</v>
      </c>
      <c r="G6166">
        <v>-309.16039999999998</v>
      </c>
      <c r="H6166">
        <v>-0.05</v>
      </c>
      <c r="I6166">
        <v>13.3262</v>
      </c>
      <c r="J6166">
        <v>-349.55520000000001</v>
      </c>
      <c r="K6166">
        <v>1.121807</v>
      </c>
      <c r="L6166">
        <v>16.679659999999998</v>
      </c>
      <c r="M6166">
        <v>0.99988160000000004</v>
      </c>
      <c r="N6166">
        <v>-1.3922250000000001E-2</v>
      </c>
      <c r="O6166">
        <v>-6.5554699999999999E-3</v>
      </c>
      <c r="P6166">
        <v>0.98187729999999995</v>
      </c>
      <c r="Q6166">
        <v>0.1839258</v>
      </c>
      <c r="R6166">
        <v>-4.5695970000000002E-2</v>
      </c>
      <c r="S6166">
        <v>3.0599059999999998</v>
      </c>
      <c r="T6166">
        <v>-8.8351609999999997E-2</v>
      </c>
      <c r="U6166">
        <v>-0.25292969999999998</v>
      </c>
      <c r="V6166">
        <v>3.9162879999999997E-2</v>
      </c>
      <c r="W6166">
        <v>0.197601</v>
      </c>
      <c r="X6166">
        <v>0.97949989999999998</v>
      </c>
      <c r="Y6166">
        <v>7.5796890000000006E-2</v>
      </c>
      <c r="Z6166">
        <v>-1.5231120000000001E-3</v>
      </c>
      <c r="AA6166">
        <v>0.99712210000000001</v>
      </c>
      <c r="AB6166">
        <v>35</v>
      </c>
      <c r="AC6166">
        <v>40.394799999999996</v>
      </c>
      <c r="AD6166">
        <v>-1.171807</v>
      </c>
      <c r="AE6166">
        <v>-3.3534600000000001</v>
      </c>
      <c r="AF6166">
        <v>3.08597624772454</v>
      </c>
      <c r="AG6166">
        <v>-1.171807</v>
      </c>
      <c r="AH6166">
        <v>40.3821679369454</v>
      </c>
      <c r="AI6166">
        <v>91.657309090947194</v>
      </c>
      <c r="AJ6166">
        <v>85.629991319576206</v>
      </c>
      <c r="AK6166">
        <v>40.516859063042297</v>
      </c>
      <c r="AL6166">
        <v>78.603292670782693</v>
      </c>
      <c r="AM6166">
        <v>87.710389557945902</v>
      </c>
      <c r="AN6166">
        <v>0.99999997023545095</v>
      </c>
    </row>
    <row r="6167" spans="1:40" x14ac:dyDescent="0.25">
      <c r="A6167" t="str">
        <f>"20190303170414236"</f>
        <v>20190303170414236</v>
      </c>
      <c r="B6167" t="str">
        <f>"1551603854221993"</f>
        <v>1551603854221993</v>
      </c>
      <c r="C6167" t="s">
        <v>40</v>
      </c>
      <c r="D6167">
        <v>4.941109</v>
      </c>
      <c r="E6167">
        <v>0.52122599999999997</v>
      </c>
      <c r="F6167" t="s">
        <v>44</v>
      </c>
      <c r="G6167">
        <v>-309.49680000000001</v>
      </c>
      <c r="H6167">
        <v>-0.05</v>
      </c>
      <c r="I6167">
        <v>13.210940000000001</v>
      </c>
      <c r="J6167">
        <v>-349.38889999999998</v>
      </c>
      <c r="K6167">
        <v>1.1218129999999999</v>
      </c>
      <c r="L6167">
        <v>16.67868</v>
      </c>
      <c r="M6167">
        <v>0.99988250000000001</v>
      </c>
      <c r="N6167">
        <v>-1.3921360000000001E-2</v>
      </c>
      <c r="O6167">
        <v>-6.4273139999999999E-3</v>
      </c>
      <c r="P6167">
        <v>0.98194499999999996</v>
      </c>
      <c r="Q6167">
        <v>0.18362490000000001</v>
      </c>
      <c r="R6167">
        <v>-4.5457730000000002E-2</v>
      </c>
      <c r="S6167">
        <v>3.0598139999999998</v>
      </c>
      <c r="T6167">
        <v>-8.9507100000000006E-2</v>
      </c>
      <c r="U6167">
        <v>-0.26495360000000001</v>
      </c>
      <c r="V6167">
        <v>3.9046339999999999E-2</v>
      </c>
      <c r="W6167">
        <v>0.19730039999999999</v>
      </c>
      <c r="X6167">
        <v>0.97956509999999997</v>
      </c>
      <c r="Y6167">
        <v>7.9813439999999999E-2</v>
      </c>
      <c r="Z6167">
        <v>-1.6234379999999901E-3</v>
      </c>
      <c r="AA6167">
        <v>0.99680849999999999</v>
      </c>
      <c r="AB6167">
        <v>35</v>
      </c>
      <c r="AC6167">
        <v>39.8920999999999</v>
      </c>
      <c r="AD6167">
        <v>-1.171813</v>
      </c>
      <c r="AE6167">
        <v>-3.46774</v>
      </c>
      <c r="AF6167">
        <v>3.2084967368467399</v>
      </c>
      <c r="AG6167">
        <v>-1.171813</v>
      </c>
      <c r="AH6167">
        <v>39.879413789936699</v>
      </c>
      <c r="AI6167">
        <v>91.677671673511796</v>
      </c>
      <c r="AJ6167">
        <v>85.400178024033593</v>
      </c>
      <c r="AK6167">
        <v>40.025432430472499</v>
      </c>
      <c r="AL6167">
        <v>78.620861143074606</v>
      </c>
      <c r="AM6167">
        <v>87.717347492337595</v>
      </c>
      <c r="AN6167">
        <v>0.99999992482278</v>
      </c>
    </row>
    <row r="6168" spans="1:40" x14ac:dyDescent="0.25">
      <c r="A6168" t="str">
        <f>"20190303170414247"</f>
        <v>20190303170414247</v>
      </c>
      <c r="B6168" t="str">
        <f>"1551603854231752"</f>
        <v>1551603854231752</v>
      </c>
      <c r="C6168" t="s">
        <v>40</v>
      </c>
      <c r="D6168">
        <v>5.0017630000000004</v>
      </c>
      <c r="E6168">
        <v>0.52214939999999999</v>
      </c>
      <c r="F6168" t="s">
        <v>44</v>
      </c>
      <c r="G6168">
        <v>-309.82909999999998</v>
      </c>
      <c r="H6168">
        <v>-0.05</v>
      </c>
      <c r="I6168">
        <v>13.13353</v>
      </c>
      <c r="J6168">
        <v>-349.22210000000001</v>
      </c>
      <c r="K6168">
        <v>1.121821</v>
      </c>
      <c r="L6168">
        <v>16.677700000000002</v>
      </c>
      <c r="M6168">
        <v>0.99988330000000003</v>
      </c>
      <c r="N6168">
        <v>-1.3920460000000001E-2</v>
      </c>
      <c r="O6168">
        <v>-6.2956019999999904E-3</v>
      </c>
      <c r="P6168">
        <v>0.98192729999999995</v>
      </c>
      <c r="Q6168">
        <v>0.18377360000000001</v>
      </c>
      <c r="R6168">
        <v>-4.5233280000000001E-2</v>
      </c>
      <c r="S6168">
        <v>3.059418</v>
      </c>
      <c r="T6168">
        <v>-9.0623860000000001E-2</v>
      </c>
      <c r="U6168">
        <v>-0.27416990000000002</v>
      </c>
      <c r="V6168">
        <v>3.8948410000000003E-2</v>
      </c>
      <c r="W6168">
        <v>0.1974486</v>
      </c>
      <c r="X6168">
        <v>0.97953920000000005</v>
      </c>
      <c r="Y6168">
        <v>8.2932130000000007E-2</v>
      </c>
      <c r="Z6168">
        <v>-1.7055550000000001E-3</v>
      </c>
      <c r="AA6168">
        <v>0.99655369999999999</v>
      </c>
      <c r="AB6168">
        <v>35</v>
      </c>
      <c r="AC6168">
        <v>39.393000000000001</v>
      </c>
      <c r="AD6168">
        <v>-1.171821</v>
      </c>
      <c r="AE6168">
        <v>-3.5441699999999998</v>
      </c>
      <c r="AF6168">
        <v>3.29318239819828</v>
      </c>
      <c r="AG6168">
        <v>-1.171821</v>
      </c>
      <c r="AH6168">
        <v>39.3799672743611</v>
      </c>
      <c r="AI6168">
        <v>91.698509680803795</v>
      </c>
      <c r="AJ6168">
        <v>85.219715539141802</v>
      </c>
      <c r="AK6168">
        <v>39.534795273196899</v>
      </c>
      <c r="AL6168">
        <v>78.612200227368106</v>
      </c>
      <c r="AM6168">
        <v>87.7230063146135</v>
      </c>
      <c r="AN6168">
        <v>0.99999998631006404</v>
      </c>
    </row>
    <row r="6169" spans="1:40" x14ac:dyDescent="0.25">
      <c r="A6169" t="str">
        <f>"20190303170414259"</f>
        <v>20190303170414259</v>
      </c>
      <c r="B6169" t="str">
        <f>"1551603854252249"</f>
        <v>1551603854252249</v>
      </c>
      <c r="C6169" t="s">
        <v>40</v>
      </c>
      <c r="D6169">
        <v>4.9414030000000002</v>
      </c>
      <c r="E6169">
        <v>0.52296200000000004</v>
      </c>
      <c r="F6169" t="s">
        <v>44</v>
      </c>
      <c r="G6169">
        <v>-309.2072</v>
      </c>
      <c r="H6169">
        <v>-0.05</v>
      </c>
      <c r="I6169">
        <v>12.99916</v>
      </c>
      <c r="J6169">
        <v>-349.0342</v>
      </c>
      <c r="K6169">
        <v>1.1218319999999999</v>
      </c>
      <c r="L6169">
        <v>16.676670000000001</v>
      </c>
      <c r="M6169">
        <v>0.99988440000000001</v>
      </c>
      <c r="N6169">
        <v>-1.39193999999999E-2</v>
      </c>
      <c r="O6169">
        <v>-6.1469569999999998E-3</v>
      </c>
      <c r="P6169">
        <v>0.98193229999999998</v>
      </c>
      <c r="Q6169">
        <v>0.18375620000000001</v>
      </c>
      <c r="R6169">
        <v>-4.5199250000000003E-2</v>
      </c>
      <c r="S6169">
        <v>3.0590820000000001</v>
      </c>
      <c r="T6169">
        <v>-8.9583990000000002E-2</v>
      </c>
      <c r="U6169">
        <v>-0.28121950000000001</v>
      </c>
      <c r="V6169">
        <v>3.9056920000000002E-2</v>
      </c>
      <c r="W6169">
        <v>0.19743089999999999</v>
      </c>
      <c r="X6169">
        <v>0.97953840000000003</v>
      </c>
      <c r="Y6169">
        <v>8.5366960000000006E-2</v>
      </c>
      <c r="Z6169">
        <v>-1.7484690000000001E-3</v>
      </c>
      <c r="AA6169">
        <v>0.99634800000000001</v>
      </c>
      <c r="AB6169">
        <v>35</v>
      </c>
      <c r="AC6169">
        <v>39.826999999999998</v>
      </c>
      <c r="AD6169">
        <v>-1.171832</v>
      </c>
      <c r="AE6169">
        <v>-3.6775099999999998</v>
      </c>
      <c r="AF6169">
        <v>3.4296579654924102</v>
      </c>
      <c r="AG6169">
        <v>-1.171832</v>
      </c>
      <c r="AH6169">
        <v>39.814678282674898</v>
      </c>
      <c r="AI6169">
        <v>91.679635388678406</v>
      </c>
      <c r="AJ6169">
        <v>85.076663866032504</v>
      </c>
      <c r="AK6169">
        <v>39.979299027739302</v>
      </c>
      <c r="AL6169">
        <v>78.613234194415895</v>
      </c>
      <c r="AM6169">
        <v>87.716667468212506</v>
      </c>
      <c r="AN6169">
        <v>0.99999994017462601</v>
      </c>
    </row>
    <row r="6170" spans="1:40" x14ac:dyDescent="0.25">
      <c r="A6170" t="str">
        <f>"20190303170414270"</f>
        <v>20190303170414270</v>
      </c>
      <c r="B6170" t="str">
        <f>"1551603854262008"</f>
        <v>1551603854262008</v>
      </c>
      <c r="C6170" t="s">
        <v>40</v>
      </c>
      <c r="D6170">
        <v>4.88774</v>
      </c>
      <c r="E6170">
        <v>0.52337559999999905</v>
      </c>
      <c r="F6170" t="s">
        <v>44</v>
      </c>
      <c r="G6170">
        <v>-308.45269999999999</v>
      </c>
      <c r="H6170">
        <v>-0.05</v>
      </c>
      <c r="I6170">
        <v>12.85577</v>
      </c>
      <c r="J6170">
        <v>-348.84539999999998</v>
      </c>
      <c r="K6170">
        <v>1.1218399999999999</v>
      </c>
      <c r="L6170">
        <v>16.675629999999899</v>
      </c>
      <c r="M6170">
        <v>0.99988529999999998</v>
      </c>
      <c r="N6170">
        <v>-1.391825E-2</v>
      </c>
      <c r="O6170">
        <v>-5.9959439999999996E-3</v>
      </c>
      <c r="P6170">
        <v>0.98189820000000005</v>
      </c>
      <c r="Q6170">
        <v>0.18400549999999999</v>
      </c>
      <c r="R6170">
        <v>-4.492372E-2</v>
      </c>
      <c r="S6170">
        <v>3.0584410000000002</v>
      </c>
      <c r="T6170">
        <v>-8.8315489999999996E-2</v>
      </c>
      <c r="U6170">
        <v>-0.28796389999999999</v>
      </c>
      <c r="V6170">
        <v>3.8927120000000003E-2</v>
      </c>
      <c r="W6170">
        <v>0.19767860000000001</v>
      </c>
      <c r="X6170">
        <v>0.97949370000000002</v>
      </c>
      <c r="Y6170">
        <v>8.7714230000000004E-2</v>
      </c>
      <c r="Z6170">
        <v>-1.785902E-3</v>
      </c>
      <c r="AA6170">
        <v>0.99614409999999998</v>
      </c>
      <c r="AB6170">
        <v>35</v>
      </c>
      <c r="AC6170">
        <v>40.392699999999898</v>
      </c>
      <c r="AD6170">
        <v>-1.17184</v>
      </c>
      <c r="AE6170">
        <v>-3.8198599999999998</v>
      </c>
      <c r="AF6170">
        <v>3.5745936418239901</v>
      </c>
      <c r="AG6170">
        <v>-1.17184</v>
      </c>
      <c r="AH6170">
        <v>40.381194122527297</v>
      </c>
      <c r="AI6170">
        <v>91.655754477997505</v>
      </c>
      <c r="AJ6170">
        <v>84.941292040115002</v>
      </c>
      <c r="AK6170">
        <v>40.556032442178001</v>
      </c>
      <c r="AL6170">
        <v>78.598757730207794</v>
      </c>
      <c r="AM6170">
        <v>87.724144053776399</v>
      </c>
      <c r="AN6170">
        <v>1.0000000289545701</v>
      </c>
    </row>
    <row r="6171" spans="1:40" x14ac:dyDescent="0.25">
      <c r="A6171" t="str">
        <f>"20190303170414282"</f>
        <v>20190303170414282</v>
      </c>
      <c r="B6171" t="str">
        <f>"1551603854271769"</f>
        <v>1551603854271769</v>
      </c>
      <c r="C6171" t="s">
        <v>40</v>
      </c>
      <c r="D6171">
        <v>5.0016319999999999</v>
      </c>
      <c r="E6171">
        <v>0.52378570000000002</v>
      </c>
      <c r="F6171" t="s">
        <v>44</v>
      </c>
      <c r="G6171">
        <v>-307.85219999999998</v>
      </c>
      <c r="H6171">
        <v>-0.05</v>
      </c>
      <c r="I6171">
        <v>12.77704</v>
      </c>
      <c r="J6171">
        <v>-348.66829999999999</v>
      </c>
      <c r="K6171">
        <v>1.121847</v>
      </c>
      <c r="L6171">
        <v>16.674710000000001</v>
      </c>
      <c r="M6171">
        <v>0.99988600000000005</v>
      </c>
      <c r="N6171">
        <v>-1.3917300000000001E-2</v>
      </c>
      <c r="O6171">
        <v>-5.8535330000000002E-3</v>
      </c>
      <c r="P6171">
        <v>0.98183310000000001</v>
      </c>
      <c r="Q6171">
        <v>0.1843998</v>
      </c>
      <c r="R6171">
        <v>-4.4724670000000001E-2</v>
      </c>
      <c r="S6171">
        <v>3.0583800000000001</v>
      </c>
      <c r="T6171">
        <v>-8.7427619999999998E-2</v>
      </c>
      <c r="U6171">
        <v>-0.29086299999999998</v>
      </c>
      <c r="V6171">
        <v>3.8865959999999998E-2</v>
      </c>
      <c r="W6171">
        <v>0.1980712</v>
      </c>
      <c r="X6171">
        <v>0.97941679999999998</v>
      </c>
      <c r="Y6171">
        <v>8.8794049999999999E-2</v>
      </c>
      <c r="Z6171">
        <v>-1.799901E-3</v>
      </c>
      <c r="AA6171">
        <v>0.99604839999999994</v>
      </c>
      <c r="AB6171">
        <v>35</v>
      </c>
      <c r="AC6171">
        <v>40.816099999999999</v>
      </c>
      <c r="AD6171">
        <v>-1.1718469999999901</v>
      </c>
      <c r="AE6171">
        <v>-3.8976700000000002</v>
      </c>
      <c r="AF6171">
        <v>3.6556755800870699</v>
      </c>
      <c r="AG6171">
        <v>-1.1718469999999901</v>
      </c>
      <c r="AH6171">
        <v>40.804886929874897</v>
      </c>
      <c r="AI6171">
        <v>91.638426831171401</v>
      </c>
      <c r="AJ6171">
        <v>84.880586507900404</v>
      </c>
      <c r="AK6171">
        <v>40.985070290267103</v>
      </c>
      <c r="AL6171">
        <v>78.575809507596304</v>
      </c>
      <c r="AM6171">
        <v>87.727537769776603</v>
      </c>
      <c r="AN6171">
        <v>1.0000000156191999</v>
      </c>
    </row>
    <row r="6172" spans="1:40" x14ac:dyDescent="0.25">
      <c r="A6172" t="str">
        <f>"20190303170414294"</f>
        <v>20190303170414294</v>
      </c>
      <c r="B6172" t="str">
        <f>"1551603854281529"</f>
        <v>1551603854281529</v>
      </c>
      <c r="C6172" t="s">
        <v>40</v>
      </c>
      <c r="D6172">
        <v>4.9995620000000001</v>
      </c>
      <c r="E6172">
        <v>0.52411579999999902</v>
      </c>
      <c r="F6172" t="s">
        <v>44</v>
      </c>
      <c r="G6172">
        <v>-306.98099999999999</v>
      </c>
      <c r="H6172">
        <v>-0.05</v>
      </c>
      <c r="I6172">
        <v>12.66995</v>
      </c>
      <c r="J6172">
        <v>-348.48099999999999</v>
      </c>
      <c r="K6172">
        <v>1.1218539999999999</v>
      </c>
      <c r="L6172">
        <v>16.673739999999999</v>
      </c>
      <c r="M6172">
        <v>0.99988699999999997</v>
      </c>
      <c r="N6172">
        <v>-1.3916359999999999E-2</v>
      </c>
      <c r="O6172">
        <v>-5.702543E-3</v>
      </c>
      <c r="P6172">
        <v>0.98175539999999994</v>
      </c>
      <c r="Q6172">
        <v>0.1847645</v>
      </c>
      <c r="R6172">
        <v>-4.4931079999999998E-2</v>
      </c>
      <c r="S6172">
        <v>3.0582280000000002</v>
      </c>
      <c r="T6172">
        <v>-8.5968020000000006E-2</v>
      </c>
      <c r="U6172">
        <v>-0.29379270000000002</v>
      </c>
      <c r="V6172">
        <v>3.9218419999999997E-2</v>
      </c>
      <c r="W6172">
        <v>0.19843479999999999</v>
      </c>
      <c r="X6172">
        <v>0.97932909999999995</v>
      </c>
      <c r="Y6172">
        <v>8.9895420000000004E-2</v>
      </c>
      <c r="Z6172">
        <v>-1.806797E-3</v>
      </c>
      <c r="AA6172">
        <v>0.99594959999999999</v>
      </c>
      <c r="AB6172">
        <v>35</v>
      </c>
      <c r="AC6172">
        <v>41.5</v>
      </c>
      <c r="AD6172">
        <v>-1.171854</v>
      </c>
      <c r="AE6172">
        <v>-4.0037899999999897</v>
      </c>
      <c r="AF6172">
        <v>3.7640728385062001</v>
      </c>
      <c r="AG6172">
        <v>-1.171854</v>
      </c>
      <c r="AH6172">
        <v>41.489382468228598</v>
      </c>
      <c r="AI6172">
        <v>91.611256499621106</v>
      </c>
      <c r="AJ6172">
        <v>84.816102825258398</v>
      </c>
      <c r="AK6172">
        <v>41.6762563544982</v>
      </c>
      <c r="AL6172">
        <v>78.554554349930498</v>
      </c>
      <c r="AM6172">
        <v>87.706746483496403</v>
      </c>
      <c r="AN6172">
        <v>0.99999997021257203</v>
      </c>
    </row>
    <row r="6173" spans="1:40" x14ac:dyDescent="0.25">
      <c r="A6173" t="str">
        <f>"20190303170414312"</f>
        <v>20190303170414312</v>
      </c>
      <c r="B6173" t="str">
        <f>"1551603854302025"</f>
        <v>1551603854302025</v>
      </c>
      <c r="C6173" t="s">
        <v>40</v>
      </c>
      <c r="D6173">
        <v>4.9991300000000001</v>
      </c>
      <c r="E6173">
        <v>0.52471330000000005</v>
      </c>
      <c r="F6173" t="s">
        <v>44</v>
      </c>
      <c r="G6173">
        <v>-306.43389999999999</v>
      </c>
      <c r="H6173">
        <v>-0.05</v>
      </c>
      <c r="I6173">
        <v>12.588200000000001</v>
      </c>
      <c r="J6173">
        <v>-348.19979999999998</v>
      </c>
      <c r="K6173">
        <v>1.121858</v>
      </c>
      <c r="L6173">
        <v>16.672360000000001</v>
      </c>
      <c r="M6173">
        <v>0.99988829999999995</v>
      </c>
      <c r="N6173">
        <v>-1.3914920000000001E-2</v>
      </c>
      <c r="O6173">
        <v>-5.4752510000000004E-3</v>
      </c>
      <c r="P6173">
        <v>0.9816568</v>
      </c>
      <c r="Q6173">
        <v>0.1851457</v>
      </c>
      <c r="R6173">
        <v>-4.5509859999999999E-2</v>
      </c>
      <c r="S6173">
        <v>3.0581670000000001</v>
      </c>
      <c r="T6173">
        <v>-8.5231180000000004E-2</v>
      </c>
      <c r="U6173">
        <v>-0.29714970000000002</v>
      </c>
      <c r="V6173">
        <v>4.0018539999999998E-2</v>
      </c>
      <c r="W6173">
        <v>0.1988143</v>
      </c>
      <c r="X6173">
        <v>0.97921979999999997</v>
      </c>
      <c r="Y6173">
        <v>9.1206709999999996E-2</v>
      </c>
      <c r="Z6173">
        <v>-1.827822E-3</v>
      </c>
      <c r="AA6173">
        <v>0.99583029999999995</v>
      </c>
      <c r="AB6173">
        <v>35</v>
      </c>
      <c r="AC6173">
        <v>41.765899999999903</v>
      </c>
      <c r="AD6173">
        <v>-1.1718580000000001</v>
      </c>
      <c r="AE6173">
        <v>-4.0841599999999998</v>
      </c>
      <c r="AF6173">
        <v>3.8523938390992098</v>
      </c>
      <c r="AG6173">
        <v>-1.1718580000000001</v>
      </c>
      <c r="AH6173">
        <v>41.755077945709701</v>
      </c>
      <c r="AI6173">
        <v>91.600791309468605</v>
      </c>
      <c r="AJ6173">
        <v>84.728717820070599</v>
      </c>
      <c r="AK6173">
        <v>41.948786915904797</v>
      </c>
      <c r="AL6173">
        <v>78.532369061644005</v>
      </c>
      <c r="AM6173">
        <v>87.659750946142296</v>
      </c>
      <c r="AN6173">
        <v>1.0000000130701301</v>
      </c>
    </row>
    <row r="6174" spans="1:40" x14ac:dyDescent="0.25">
      <c r="A6174" t="str">
        <f>"20190303170414325"</f>
        <v>20190303170414325</v>
      </c>
      <c r="B6174" t="str">
        <f>"1551603854311784"</f>
        <v>1551603854311784</v>
      </c>
      <c r="C6174" t="s">
        <v>40</v>
      </c>
      <c r="D6174">
        <v>4.9380639999999998</v>
      </c>
      <c r="E6174">
        <v>0.524891</v>
      </c>
      <c r="F6174" t="s">
        <v>44</v>
      </c>
      <c r="G6174">
        <v>-306.03840000000002</v>
      </c>
      <c r="H6174">
        <v>-0.05</v>
      </c>
      <c r="I6174">
        <v>12.48799</v>
      </c>
      <c r="J6174">
        <v>-347.9923</v>
      </c>
      <c r="K6174">
        <v>1.1218629999999901</v>
      </c>
      <c r="L6174">
        <v>16.671389999999999</v>
      </c>
      <c r="M6174">
        <v>0.99988920000000003</v>
      </c>
      <c r="N6174">
        <v>-1.39139E-2</v>
      </c>
      <c r="O6174">
        <v>-5.307361E-3</v>
      </c>
      <c r="P6174">
        <v>0.98168319999999998</v>
      </c>
      <c r="Q6174">
        <v>0.1850318</v>
      </c>
      <c r="R6174">
        <v>-4.5406040000000002E-2</v>
      </c>
      <c r="S6174">
        <v>3.058014</v>
      </c>
      <c r="T6174">
        <v>-8.4996219999999997E-2</v>
      </c>
      <c r="U6174">
        <v>-0.30349730000000003</v>
      </c>
      <c r="V6174">
        <v>4.0078049999999997E-2</v>
      </c>
      <c r="W6174">
        <v>0.19869980000000001</v>
      </c>
      <c r="X6174">
        <v>0.97924060000000002</v>
      </c>
      <c r="Y6174">
        <v>9.3424770000000004E-2</v>
      </c>
      <c r="Z6174">
        <v>-1.873235E-3</v>
      </c>
      <c r="AA6174">
        <v>0.99562459999999997</v>
      </c>
      <c r="AB6174">
        <v>35</v>
      </c>
      <c r="AC6174">
        <v>41.953899999999898</v>
      </c>
      <c r="AD6174">
        <v>-1.1718630000000001</v>
      </c>
      <c r="AE6174">
        <v>-4.18339999999999</v>
      </c>
      <c r="AF6174">
        <v>3.9575976988027599</v>
      </c>
      <c r="AG6174">
        <v>-1.1718630000000001</v>
      </c>
      <c r="AH6174">
        <v>41.943111887470799</v>
      </c>
      <c r="AI6174">
        <v>91.5933167600231</v>
      </c>
      <c r="AJ6174">
        <v>84.609739976804093</v>
      </c>
      <c r="AK6174">
        <v>42.145705323807697</v>
      </c>
      <c r="AL6174">
        <v>78.539062905493907</v>
      </c>
      <c r="AM6174">
        <v>87.656324459005106</v>
      </c>
      <c r="AN6174">
        <v>1.0000000066501</v>
      </c>
    </row>
    <row r="6175" spans="1:40" x14ac:dyDescent="0.25">
      <c r="A6175" t="str">
        <f>"20190303170414338"</f>
        <v>20190303170414338</v>
      </c>
      <c r="B6175" t="str">
        <f>"1551603854331813"</f>
        <v>1551603854331813</v>
      </c>
      <c r="C6175" t="s">
        <v>40</v>
      </c>
      <c r="D6175">
        <v>4.9364369999999997</v>
      </c>
      <c r="E6175">
        <v>0.52547189999999999</v>
      </c>
      <c r="F6175" t="s">
        <v>44</v>
      </c>
      <c r="G6175">
        <v>-306.23480000000001</v>
      </c>
      <c r="H6175">
        <v>-0.05</v>
      </c>
      <c r="I6175">
        <v>12.5101</v>
      </c>
      <c r="J6175">
        <v>-347.7912</v>
      </c>
      <c r="K6175">
        <v>1.1218669999999999</v>
      </c>
      <c r="L6175">
        <v>16.670470000000002</v>
      </c>
      <c r="M6175">
        <v>0.99989019999999995</v>
      </c>
      <c r="N6175">
        <v>-1.3912890000000001E-2</v>
      </c>
      <c r="O6175">
        <v>-5.1447239999999998E-3</v>
      </c>
      <c r="P6175">
        <v>0.98171180000000002</v>
      </c>
      <c r="Q6175">
        <v>0.1848563</v>
      </c>
      <c r="R6175">
        <v>-4.5502729999999998E-2</v>
      </c>
      <c r="S6175">
        <v>3.0580750000000001</v>
      </c>
      <c r="T6175">
        <v>-8.5820439999999998E-2</v>
      </c>
      <c r="U6175">
        <v>-0.30474849999999998</v>
      </c>
      <c r="V6175">
        <v>4.0333460000000002E-2</v>
      </c>
      <c r="W6175">
        <v>0.19852410000000001</v>
      </c>
      <c r="X6175">
        <v>0.97926570000000002</v>
      </c>
      <c r="Y6175">
        <v>9.3986910000000007E-2</v>
      </c>
      <c r="Z6175">
        <v>-1.8983579999999999E-3</v>
      </c>
      <c r="AA6175">
        <v>0.9955716</v>
      </c>
      <c r="AB6175">
        <v>35</v>
      </c>
      <c r="AC6175">
        <v>41.556399999999996</v>
      </c>
      <c r="AD6175">
        <v>-1.171867</v>
      </c>
      <c r="AE6175">
        <v>-4.1603700000000003</v>
      </c>
      <c r="AF6175">
        <v>3.9433933739583602</v>
      </c>
      <c r="AG6175">
        <v>-1.171867</v>
      </c>
      <c r="AH6175">
        <v>41.544547221795803</v>
      </c>
      <c r="AI6175">
        <v>91.608515061386996</v>
      </c>
      <c r="AJ6175">
        <v>84.577750768899193</v>
      </c>
      <c r="AK6175">
        <v>41.747730805775397</v>
      </c>
      <c r="AL6175">
        <v>78.549333844422705</v>
      </c>
      <c r="AM6175">
        <v>87.641465848411698</v>
      </c>
      <c r="AN6175">
        <v>0.99999995873643499</v>
      </c>
    </row>
    <row r="6176" spans="1:40" x14ac:dyDescent="0.25">
      <c r="A6176" t="str">
        <f>"20190303170414350"</f>
        <v>20190303170414350</v>
      </c>
      <c r="B6176" t="str">
        <f>"1551603854341573"</f>
        <v>1551603854341573</v>
      </c>
      <c r="C6176" t="s">
        <v>40</v>
      </c>
      <c r="D6176">
        <v>4.9360249999999999</v>
      </c>
      <c r="E6176">
        <v>0.52570890000000003</v>
      </c>
      <c r="F6176" t="s">
        <v>44</v>
      </c>
      <c r="G6176">
        <v>-306.65570000000002</v>
      </c>
      <c r="H6176">
        <v>-0.05</v>
      </c>
      <c r="I6176">
        <v>12.50034</v>
      </c>
      <c r="J6176">
        <v>-347.59390000000002</v>
      </c>
      <c r="K6176">
        <v>1.121869</v>
      </c>
      <c r="L6176">
        <v>16.669619999999998</v>
      </c>
      <c r="M6176">
        <v>0.99989090000000003</v>
      </c>
      <c r="N6176">
        <v>-1.391179E-2</v>
      </c>
      <c r="O6176">
        <v>-4.9848380000000001E-3</v>
      </c>
      <c r="P6176">
        <v>0.98175999999999997</v>
      </c>
      <c r="Q6176">
        <v>0.18459439999999999</v>
      </c>
      <c r="R6176">
        <v>-4.5527680000000001E-2</v>
      </c>
      <c r="S6176">
        <v>3.057922</v>
      </c>
      <c r="T6176">
        <v>-8.7113860000000001E-2</v>
      </c>
      <c r="U6176">
        <v>-0.30999759999999998</v>
      </c>
      <c r="V6176">
        <v>4.0514410000000001E-2</v>
      </c>
      <c r="W6176">
        <v>0.19826189999999999</v>
      </c>
      <c r="X6176">
        <v>0.97931140000000005</v>
      </c>
      <c r="Y6176">
        <v>9.58402E-2</v>
      </c>
      <c r="Z6176">
        <v>-1.9575370000000001E-3</v>
      </c>
      <c r="AA6176">
        <v>0.99539480000000002</v>
      </c>
      <c r="AB6176">
        <v>35</v>
      </c>
      <c r="AC6176">
        <v>40.938200000000002</v>
      </c>
      <c r="AD6176">
        <v>-1.171869</v>
      </c>
      <c r="AE6176">
        <v>-4.1692799999999997</v>
      </c>
      <c r="AF6176">
        <v>3.9619250540859201</v>
      </c>
      <c r="AG6176">
        <v>-1.171869</v>
      </c>
      <c r="AH6176">
        <v>40.925286174682597</v>
      </c>
      <c r="AI6176">
        <v>91.632551192944405</v>
      </c>
      <c r="AJ6176">
        <v>84.470499318343201</v>
      </c>
      <c r="AK6176">
        <v>41.133309805643101</v>
      </c>
      <c r="AL6176">
        <v>78.564662046937798</v>
      </c>
      <c r="AM6176">
        <v>87.631007098626796</v>
      </c>
      <c r="AN6176">
        <v>1.0000000082895999</v>
      </c>
    </row>
    <row r="6177" spans="1:40" x14ac:dyDescent="0.25">
      <c r="A6177" t="str">
        <f>"20190303170414366"</f>
        <v>20190303170414366</v>
      </c>
      <c r="B6177" t="str">
        <f>"1551603854362069"</f>
        <v>1551603854362069</v>
      </c>
      <c r="C6177" t="s">
        <v>40</v>
      </c>
      <c r="D6177">
        <v>4.747153</v>
      </c>
      <c r="E6177">
        <v>0.52598659999999997</v>
      </c>
      <c r="F6177" t="s">
        <v>44</v>
      </c>
      <c r="G6177">
        <v>-306.95409999999998</v>
      </c>
      <c r="H6177">
        <v>-0.05</v>
      </c>
      <c r="I6177">
        <v>12.51759</v>
      </c>
      <c r="J6177">
        <v>-347.3424</v>
      </c>
      <c r="K6177">
        <v>1.1218699999999999</v>
      </c>
      <c r="L6177">
        <v>16.66855</v>
      </c>
      <c r="M6177">
        <v>0.99989189999999994</v>
      </c>
      <c r="N6177">
        <v>-1.3910399999999899E-2</v>
      </c>
      <c r="O6177">
        <v>-4.7813229999999996E-3</v>
      </c>
      <c r="P6177">
        <v>0.98193640000000004</v>
      </c>
      <c r="Q6177">
        <v>0.18384049999999999</v>
      </c>
      <c r="R6177">
        <v>-4.4764089999999999E-2</v>
      </c>
      <c r="S6177">
        <v>3.0578310000000002</v>
      </c>
      <c r="T6177">
        <v>-8.8174100000000005E-2</v>
      </c>
      <c r="U6177">
        <v>-0.31240839999999998</v>
      </c>
      <c r="V6177">
        <v>3.9949770000000003E-2</v>
      </c>
      <c r="W6177">
        <v>0.1975085</v>
      </c>
      <c r="X6177">
        <v>0.97948679999999999</v>
      </c>
      <c r="Y6177">
        <v>9.6820740000000002E-2</v>
      </c>
      <c r="Z6177">
        <v>-1.9962819999999998E-3</v>
      </c>
      <c r="AA6177">
        <v>0.99529979999999996</v>
      </c>
      <c r="AB6177">
        <v>35</v>
      </c>
      <c r="AC6177">
        <v>40.388300000000001</v>
      </c>
      <c r="AD6177">
        <v>-1.17187</v>
      </c>
      <c r="AE6177">
        <v>-4.1509600000000004</v>
      </c>
      <c r="AF6177">
        <v>3.9544899772144202</v>
      </c>
      <c r="AG6177">
        <v>-1.17187</v>
      </c>
      <c r="AH6177">
        <v>40.374052615082597</v>
      </c>
      <c r="AI6177">
        <v>91.654648301052404</v>
      </c>
      <c r="AJ6177">
        <v>84.405932429636394</v>
      </c>
      <c r="AK6177">
        <v>40.584176655960903</v>
      </c>
      <c r="AL6177">
        <v>78.608699326743704</v>
      </c>
      <c r="AM6177">
        <v>87.664404227573201</v>
      </c>
      <c r="AN6177">
        <v>0.99999999153477104</v>
      </c>
    </row>
    <row r="6178" spans="1:40" x14ac:dyDescent="0.25">
      <c r="A6178" t="str">
        <f>"20190303170414378"</f>
        <v>20190303170414378</v>
      </c>
      <c r="B6178" t="str">
        <f>"1551603854371829"</f>
        <v>1551603854371829</v>
      </c>
      <c r="C6178" t="s">
        <v>40</v>
      </c>
      <c r="D6178">
        <v>4.7296420000000001</v>
      </c>
      <c r="E6178">
        <v>0.52615579999999995</v>
      </c>
      <c r="F6178" t="s">
        <v>44</v>
      </c>
      <c r="G6178">
        <v>-307.8605</v>
      </c>
      <c r="H6178">
        <v>-0.05</v>
      </c>
      <c r="I6178">
        <v>12.62189</v>
      </c>
      <c r="J6178">
        <v>-347.15629999999999</v>
      </c>
      <c r="K6178">
        <v>1.121872</v>
      </c>
      <c r="L6178">
        <v>16.66779</v>
      </c>
      <c r="M6178">
        <v>0.99989249999999996</v>
      </c>
      <c r="N6178">
        <v>-1.3909370000000001E-2</v>
      </c>
      <c r="O6178">
        <v>-4.6307470000000002E-3</v>
      </c>
      <c r="P6178">
        <v>0.98188120000000001</v>
      </c>
      <c r="Q6178">
        <v>0.18419720000000001</v>
      </c>
      <c r="R6178">
        <v>-4.4505749999999997E-2</v>
      </c>
      <c r="S6178">
        <v>3.0578919999999998</v>
      </c>
      <c r="T6178">
        <v>-9.0761900000000006E-2</v>
      </c>
      <c r="U6178">
        <v>-0.31341550000000001</v>
      </c>
      <c r="V6178">
        <v>3.9838760000000001E-2</v>
      </c>
      <c r="W6178">
        <v>0.1978637</v>
      </c>
      <c r="X6178">
        <v>0.97941959999999995</v>
      </c>
      <c r="Y6178">
        <v>9.7289799999999996E-2</v>
      </c>
      <c r="Z6178">
        <v>-2.0455830000000001E-3</v>
      </c>
      <c r="AA6178">
        <v>0.99525399999999997</v>
      </c>
      <c r="AB6178">
        <v>35</v>
      </c>
      <c r="AC6178">
        <v>39.2957999999999</v>
      </c>
      <c r="AD6178">
        <v>-1.171872</v>
      </c>
      <c r="AE6178">
        <v>-4.0458999999999996</v>
      </c>
      <c r="AF6178">
        <v>3.8604728302042099</v>
      </c>
      <c r="AG6178">
        <v>-1.171872</v>
      </c>
      <c r="AH6178">
        <v>39.279549479050203</v>
      </c>
      <c r="AI6178">
        <v>91.700674913516494</v>
      </c>
      <c r="AJ6178">
        <v>84.386882688461</v>
      </c>
      <c r="AK6178">
        <v>39.486194318195302</v>
      </c>
      <c r="AL6178">
        <v>78.587937806735198</v>
      </c>
      <c r="AM6178">
        <v>87.670727453024199</v>
      </c>
      <c r="AN6178">
        <v>0.99999996172009298</v>
      </c>
    </row>
    <row r="6179" spans="1:40" x14ac:dyDescent="0.25">
      <c r="A6179" t="str">
        <f>"20190303170414389"</f>
        <v>20190303170414389</v>
      </c>
      <c r="B6179" t="str">
        <f>"1551603854381589"</f>
        <v>1551603854381589</v>
      </c>
      <c r="C6179" t="s">
        <v>40</v>
      </c>
      <c r="D6179">
        <v>4.8805829999999997</v>
      </c>
      <c r="E6179">
        <v>0.52633850000000004</v>
      </c>
      <c r="F6179" t="s">
        <v>44</v>
      </c>
      <c r="G6179">
        <v>-307.24419999999998</v>
      </c>
      <c r="H6179">
        <v>-0.05</v>
      </c>
      <c r="I6179">
        <v>12.571260000000001</v>
      </c>
      <c r="J6179">
        <v>-346.99009999999998</v>
      </c>
      <c r="K6179">
        <v>1.121874</v>
      </c>
      <c r="L6179">
        <v>16.66714</v>
      </c>
      <c r="M6179">
        <v>0.99989320000000004</v>
      </c>
      <c r="N6179">
        <v>-1.3908449999999999E-2</v>
      </c>
      <c r="O6179">
        <v>-4.4966269999999996E-3</v>
      </c>
      <c r="P6179">
        <v>0.9817671</v>
      </c>
      <c r="Q6179">
        <v>0.1847636</v>
      </c>
      <c r="R6179">
        <v>-4.4676569999999999E-2</v>
      </c>
      <c r="S6179">
        <v>3.0580440000000002</v>
      </c>
      <c r="T6179">
        <v>-8.9788080000000006E-2</v>
      </c>
      <c r="U6179">
        <v>-0.31387330000000002</v>
      </c>
      <c r="V6179">
        <v>4.0141320000000001E-2</v>
      </c>
      <c r="W6179">
        <v>0.1984273</v>
      </c>
      <c r="X6179">
        <v>0.97929319999999997</v>
      </c>
      <c r="Y6179">
        <v>9.7566630000000001E-2</v>
      </c>
      <c r="Z6179">
        <v>-2.0395399999999998E-3</v>
      </c>
      <c r="AA6179">
        <v>0.99522690000000003</v>
      </c>
      <c r="AB6179">
        <v>35</v>
      </c>
      <c r="AC6179">
        <v>39.745899999999999</v>
      </c>
      <c r="AD6179">
        <v>-1.1718740000000001</v>
      </c>
      <c r="AE6179">
        <v>-4.0958799999999904</v>
      </c>
      <c r="AF6179">
        <v>3.91373229890422</v>
      </c>
      <c r="AG6179">
        <v>-1.1718740000000001</v>
      </c>
      <c r="AH6179">
        <v>39.7297427842188</v>
      </c>
      <c r="AI6179">
        <v>91.681380739363803</v>
      </c>
      <c r="AJ6179">
        <v>84.374008520348397</v>
      </c>
      <c r="AK6179">
        <v>39.939241991799797</v>
      </c>
      <c r="AL6179">
        <v>78.554992497244896</v>
      </c>
      <c r="AM6179">
        <v>87.652754646597501</v>
      </c>
      <c r="AN6179">
        <v>0.99999994526143399</v>
      </c>
    </row>
    <row r="6180" spans="1:40" x14ac:dyDescent="0.25">
      <c r="A6180" t="str">
        <f>"20190303170414401"</f>
        <v>20190303170414401</v>
      </c>
      <c r="B6180" t="str">
        <f>"1551603854392325"</f>
        <v>1551603854392325</v>
      </c>
      <c r="C6180" t="s">
        <v>40</v>
      </c>
      <c r="D6180">
        <v>4.7429560000000004</v>
      </c>
      <c r="E6180">
        <v>0.52646630000000005</v>
      </c>
      <c r="F6180" t="s">
        <v>44</v>
      </c>
      <c r="G6180">
        <v>-306.36750000000001</v>
      </c>
      <c r="H6180">
        <v>-0.05</v>
      </c>
      <c r="I6180">
        <v>12.484629999999999</v>
      </c>
      <c r="J6180">
        <v>-346.81240000000003</v>
      </c>
      <c r="K6180">
        <v>1.121875</v>
      </c>
      <c r="L6180">
        <v>16.666499999999999</v>
      </c>
      <c r="M6180">
        <v>0.9998939</v>
      </c>
      <c r="N6180">
        <v>-1.390748E-2</v>
      </c>
      <c r="O6180">
        <v>-4.3532099999999997E-3</v>
      </c>
      <c r="P6180">
        <v>0.98164859999999998</v>
      </c>
      <c r="Q6180">
        <v>0.18539520000000001</v>
      </c>
      <c r="R6180">
        <v>-4.4662710000000001E-2</v>
      </c>
      <c r="S6180">
        <v>3.0579830000000001</v>
      </c>
      <c r="T6180">
        <v>-8.821619E-2</v>
      </c>
      <c r="U6180">
        <v>-0.31484990000000002</v>
      </c>
      <c r="V6180">
        <v>4.026826E-2</v>
      </c>
      <c r="W6180">
        <v>0.19905639999999999</v>
      </c>
      <c r="X6180">
        <v>0.97916040000000004</v>
      </c>
      <c r="Y6180">
        <v>9.8027329999999996E-2</v>
      </c>
      <c r="Z6180">
        <v>-2.0287809999999999E-3</v>
      </c>
      <c r="AA6180">
        <v>0.99518169999999995</v>
      </c>
      <c r="AB6180">
        <v>35</v>
      </c>
      <c r="AC6180">
        <v>40.444899999999997</v>
      </c>
      <c r="AD6180">
        <v>-1.171875</v>
      </c>
      <c r="AE6180">
        <v>-4.1818699999999902</v>
      </c>
      <c r="AF6180">
        <v>4.0024236084793596</v>
      </c>
      <c r="AG6180">
        <v>-1.171875</v>
      </c>
      <c r="AH6180">
        <v>40.429140657568603</v>
      </c>
      <c r="AI6180">
        <v>91.652232546749403</v>
      </c>
      <c r="AJ6180">
        <v>84.346227009671907</v>
      </c>
      <c r="AK6180">
        <v>40.643672325059498</v>
      </c>
      <c r="AL6180">
        <v>78.518215115139498</v>
      </c>
      <c r="AM6180">
        <v>87.645021235276204</v>
      </c>
      <c r="AN6180">
        <v>1.00000003603627</v>
      </c>
    </row>
    <row r="6181" spans="1:40" x14ac:dyDescent="0.25">
      <c r="A6181" t="str">
        <f>"20190303170414411"</f>
        <v>20190303170414411</v>
      </c>
      <c r="B6181" t="str">
        <f>"1551603854402085"</f>
        <v>1551603854402085</v>
      </c>
      <c r="C6181" t="s">
        <v>40</v>
      </c>
      <c r="D6181">
        <v>4.7461449999999896</v>
      </c>
      <c r="E6181">
        <v>0.52666309999999905</v>
      </c>
      <c r="F6181" t="s">
        <v>44</v>
      </c>
      <c r="G6181">
        <v>-305.41379999999998</v>
      </c>
      <c r="H6181">
        <v>-0.05</v>
      </c>
      <c r="I6181">
        <v>12.408910000000001</v>
      </c>
      <c r="J6181">
        <v>-346.63720000000001</v>
      </c>
      <c r="K6181">
        <v>1.1218779999999999</v>
      </c>
      <c r="L6181">
        <v>16.665859999999999</v>
      </c>
      <c r="M6181">
        <v>0.99989459999999997</v>
      </c>
      <c r="N6181">
        <v>-1.390653E-2</v>
      </c>
      <c r="O6181">
        <v>-4.21194E-3</v>
      </c>
      <c r="P6181">
        <v>0.98165690000000005</v>
      </c>
      <c r="Q6181">
        <v>0.1853186</v>
      </c>
      <c r="R6181">
        <v>-4.4801069999999998E-2</v>
      </c>
      <c r="S6181">
        <v>3.0581670000000001</v>
      </c>
      <c r="T6181">
        <v>-8.6567640000000001E-2</v>
      </c>
      <c r="U6181">
        <v>-0.31451420000000002</v>
      </c>
      <c r="V6181">
        <v>4.054493E-2</v>
      </c>
      <c r="W6181">
        <v>0.1989793</v>
      </c>
      <c r="X6181">
        <v>0.97916460000000005</v>
      </c>
      <c r="Y6181">
        <v>9.8055569999999995E-2</v>
      </c>
      <c r="Z6181">
        <v>-2.007277E-3</v>
      </c>
      <c r="AA6181">
        <v>0.99517889999999998</v>
      </c>
      <c r="AB6181">
        <v>35</v>
      </c>
      <c r="AC6181">
        <v>41.223399999999998</v>
      </c>
      <c r="AD6181">
        <v>-1.171878</v>
      </c>
      <c r="AE6181">
        <v>-4.2569499999999998</v>
      </c>
      <c r="AF6181">
        <v>4.0800026301426398</v>
      </c>
      <c r="AG6181">
        <v>-1.171878</v>
      </c>
      <c r="AH6181">
        <v>41.208016259560502</v>
      </c>
      <c r="AI6181">
        <v>91.621022736078203</v>
      </c>
      <c r="AJ6181">
        <v>84.345577772522503</v>
      </c>
      <c r="AK6181">
        <v>41.426082647977502</v>
      </c>
      <c r="AL6181">
        <v>78.522722180986094</v>
      </c>
      <c r="AM6181">
        <v>87.628869513008496</v>
      </c>
      <c r="AN6181">
        <v>0.99999998353517705</v>
      </c>
    </row>
    <row r="6182" spans="1:40" x14ac:dyDescent="0.25">
      <c r="A6182" t="str">
        <f>"20190303170414422"</f>
        <v>20190303170414422</v>
      </c>
      <c r="B6182" t="str">
        <f>"1551603854411846"</f>
        <v>1551603854411846</v>
      </c>
      <c r="C6182" t="s">
        <v>40</v>
      </c>
      <c r="D6182">
        <v>4.7089980000000002</v>
      </c>
      <c r="E6182">
        <v>0.52671780000000001</v>
      </c>
      <c r="F6182" t="s">
        <v>44</v>
      </c>
      <c r="G6182">
        <v>-305.55889999999999</v>
      </c>
      <c r="H6182">
        <v>-0.05</v>
      </c>
      <c r="I6182">
        <v>12.427989999999999</v>
      </c>
      <c r="J6182">
        <v>-346.46780000000001</v>
      </c>
      <c r="K6182">
        <v>1.121874</v>
      </c>
      <c r="L6182">
        <v>16.665279999999999</v>
      </c>
      <c r="M6182">
        <v>0.99989519999999998</v>
      </c>
      <c r="N6182">
        <v>-1.3905610000000001E-2</v>
      </c>
      <c r="O6182">
        <v>-4.0754420000000003E-3</v>
      </c>
      <c r="P6182">
        <v>0.9817013</v>
      </c>
      <c r="Q6182">
        <v>0.1850851</v>
      </c>
      <c r="R6182">
        <v>-4.4796900000000001E-2</v>
      </c>
      <c r="S6182">
        <v>3.0581049999999999</v>
      </c>
      <c r="T6182">
        <v>-8.7241289999999999E-2</v>
      </c>
      <c r="U6182">
        <v>-0.31549070000000001</v>
      </c>
      <c r="V6182">
        <v>4.0674710000000003E-2</v>
      </c>
      <c r="W6182">
        <v>0.19874510000000001</v>
      </c>
      <c r="X6182">
        <v>0.97920680000000004</v>
      </c>
      <c r="Y6182">
        <v>9.8506850000000007E-2</v>
      </c>
      <c r="Z6182">
        <v>-2.02864E-3</v>
      </c>
      <c r="AA6182">
        <v>0.99513430000000003</v>
      </c>
      <c r="AB6182">
        <v>35</v>
      </c>
      <c r="AC6182">
        <v>40.908900000000003</v>
      </c>
      <c r="AD6182">
        <v>-1.1718740000000001</v>
      </c>
      <c r="AE6182">
        <v>-4.2372899999999998</v>
      </c>
      <c r="AF6182">
        <v>4.0672147761997799</v>
      </c>
      <c r="AG6182">
        <v>-1.1718740000000001</v>
      </c>
      <c r="AH6182">
        <v>40.892630798142797</v>
      </c>
      <c r="AI6182">
        <v>91.633440256775302</v>
      </c>
      <c r="AJ6182">
        <v>84.319995105484907</v>
      </c>
      <c r="AK6182">
        <v>41.111102859213503</v>
      </c>
      <c r="AL6182">
        <v>78.536414533969804</v>
      </c>
      <c r="AM6182">
        <v>87.621390876731098</v>
      </c>
      <c r="AN6182">
        <v>1.00000000198691</v>
      </c>
    </row>
    <row r="6183" spans="1:40" x14ac:dyDescent="0.25">
      <c r="A6183" t="str">
        <f>"20190303170414434"</f>
        <v>20190303170414434</v>
      </c>
      <c r="B6183" t="str">
        <f>"1551603854421786"</f>
        <v>1551603854421786</v>
      </c>
      <c r="C6183" t="s">
        <v>40</v>
      </c>
      <c r="D6183">
        <v>4.6902790000000003</v>
      </c>
      <c r="E6183">
        <v>0.52680499999999997</v>
      </c>
      <c r="F6183" t="s">
        <v>44</v>
      </c>
      <c r="G6183">
        <v>-305.79939999999999</v>
      </c>
      <c r="H6183">
        <v>-0.05</v>
      </c>
      <c r="I6183">
        <v>12.466139999999999</v>
      </c>
      <c r="J6183">
        <v>-346.28539999999998</v>
      </c>
      <c r="K6183">
        <v>1.121872</v>
      </c>
      <c r="L6183">
        <v>16.664670000000001</v>
      </c>
      <c r="M6183">
        <v>0.9998956</v>
      </c>
      <c r="N6183">
        <v>-1.390461E-2</v>
      </c>
      <c r="O6183">
        <v>-3.9283340000000003E-3</v>
      </c>
      <c r="P6183">
        <v>0.98189179999999998</v>
      </c>
      <c r="Q6183">
        <v>0.1840984</v>
      </c>
      <c r="R6183">
        <v>-4.4680369999999997E-2</v>
      </c>
      <c r="S6183">
        <v>3.0581670000000001</v>
      </c>
      <c r="T6183">
        <v>-8.8122130000000007E-2</v>
      </c>
      <c r="U6183">
        <v>-0.31576539999999997</v>
      </c>
      <c r="V6183">
        <v>4.0702339999999997E-2</v>
      </c>
      <c r="W6183">
        <v>0.19776089999999999</v>
      </c>
      <c r="X6183">
        <v>0.97940490000000002</v>
      </c>
      <c r="Y6183">
        <v>9.8738530000000005E-2</v>
      </c>
      <c r="Z6183">
        <v>-2.0486620000000001E-3</v>
      </c>
      <c r="AA6183">
        <v>0.99511130000000003</v>
      </c>
      <c r="AB6183">
        <v>35</v>
      </c>
      <c r="AC6183">
        <v>40.485999999999898</v>
      </c>
      <c r="AD6183">
        <v>-1.171872</v>
      </c>
      <c r="AE6183">
        <v>-4.1985299999999999</v>
      </c>
      <c r="AF6183">
        <v>4.0360941492019702</v>
      </c>
      <c r="AG6183">
        <v>-1.171872</v>
      </c>
      <c r="AH6183">
        <v>40.4686377014133</v>
      </c>
      <c r="AI6183">
        <v>91.650497284876195</v>
      </c>
      <c r="AJ6183">
        <v>84.304503997011693</v>
      </c>
      <c r="AK6183">
        <v>40.686287338289397</v>
      </c>
      <c r="AL6183">
        <v>78.593947059263499</v>
      </c>
      <c r="AM6183">
        <v>87.620257848490297</v>
      </c>
      <c r="AN6183">
        <v>1.0000000060971399</v>
      </c>
    </row>
    <row r="6184" spans="1:40" x14ac:dyDescent="0.25">
      <c r="A6184" t="str">
        <f>"20190303170414448"</f>
        <v>20190303170414448</v>
      </c>
      <c r="B6184" t="str">
        <f>"1551603854442281"</f>
        <v>1551603854442281</v>
      </c>
      <c r="C6184" t="s">
        <v>40</v>
      </c>
      <c r="D6184">
        <v>4.6983829999999998</v>
      </c>
      <c r="E6184">
        <v>0.52704719999999905</v>
      </c>
      <c r="F6184" t="s">
        <v>44</v>
      </c>
      <c r="G6184">
        <v>-307.01819999999998</v>
      </c>
      <c r="H6184">
        <v>-0.05</v>
      </c>
      <c r="I6184">
        <v>12.60417</v>
      </c>
      <c r="J6184">
        <v>-346.07589999999999</v>
      </c>
      <c r="K6184">
        <v>1.121869</v>
      </c>
      <c r="L6184">
        <v>16.66403</v>
      </c>
      <c r="M6184">
        <v>0.99989629999999996</v>
      </c>
      <c r="N6184">
        <v>-1.3903479999999999E-2</v>
      </c>
      <c r="O6184">
        <v>-3.7595329999999998E-3</v>
      </c>
      <c r="P6184">
        <v>0.98213930000000005</v>
      </c>
      <c r="Q6184">
        <v>0.1829288</v>
      </c>
      <c r="R6184">
        <v>-4.403787E-2</v>
      </c>
      <c r="S6184">
        <v>3.0580440000000002</v>
      </c>
      <c r="T6184">
        <v>-9.1262819999999995E-2</v>
      </c>
      <c r="U6184">
        <v>-0.31622309999999998</v>
      </c>
      <c r="V6184">
        <v>4.0225400000000001E-2</v>
      </c>
      <c r="W6184">
        <v>0.19659309999999999</v>
      </c>
      <c r="X6184">
        <v>0.97965970000000002</v>
      </c>
      <c r="Y6184">
        <v>9.9054149999999994E-2</v>
      </c>
      <c r="Z6184">
        <v>-2.1047539999999999E-3</v>
      </c>
      <c r="AA6184">
        <v>0.99507979999999996</v>
      </c>
      <c r="AB6184">
        <v>35</v>
      </c>
      <c r="AC6184">
        <v>39.057699999999997</v>
      </c>
      <c r="AD6184">
        <v>-1.171869</v>
      </c>
      <c r="AE6184">
        <v>-4.0598599999999996</v>
      </c>
      <c r="AF6184">
        <v>3.9094966435421901</v>
      </c>
      <c r="AG6184">
        <v>-1.171869</v>
      </c>
      <c r="AH6184">
        <v>39.037921811024603</v>
      </c>
      <c r="AI6184">
        <v>91.710877550625497</v>
      </c>
      <c r="AJ6184">
        <v>84.281117464207199</v>
      </c>
      <c r="AK6184">
        <v>39.250691462478699</v>
      </c>
      <c r="AL6184">
        <v>78.6621972238148</v>
      </c>
      <c r="AM6184">
        <v>87.648722599638702</v>
      </c>
      <c r="AN6184">
        <v>1.0000000287884201</v>
      </c>
    </row>
    <row r="6185" spans="1:40" x14ac:dyDescent="0.25">
      <c r="A6185" t="str">
        <f>"20190303170414460"</f>
        <v>20190303170414460</v>
      </c>
      <c r="B6185" t="str">
        <f>"1551603854452041"</f>
        <v>1551603854452041</v>
      </c>
      <c r="C6185" t="s">
        <v>40</v>
      </c>
      <c r="D6185">
        <v>4.6913720000000003</v>
      </c>
      <c r="E6185">
        <v>0.52726110000000004</v>
      </c>
      <c r="F6185" t="s">
        <v>44</v>
      </c>
      <c r="G6185">
        <v>-308.40249999999997</v>
      </c>
      <c r="H6185">
        <v>-0.05</v>
      </c>
      <c r="I6185">
        <v>12.763489999999999</v>
      </c>
      <c r="J6185">
        <v>-345.86779999999999</v>
      </c>
      <c r="K6185">
        <v>1.121866</v>
      </c>
      <c r="L6185">
        <v>16.66339</v>
      </c>
      <c r="M6185">
        <v>0.99989689999999998</v>
      </c>
      <c r="N6185">
        <v>-1.3902350000000001E-2</v>
      </c>
      <c r="O6185">
        <v>-3.5920430000000001E-3</v>
      </c>
      <c r="P6185">
        <v>0.98232799999999998</v>
      </c>
      <c r="Q6185">
        <v>0.18196010000000001</v>
      </c>
      <c r="R6185">
        <v>-4.3845330000000002E-2</v>
      </c>
      <c r="S6185">
        <v>3.0580750000000001</v>
      </c>
      <c r="T6185">
        <v>-9.5124479999999997E-2</v>
      </c>
      <c r="U6185">
        <v>-0.31661990000000001</v>
      </c>
      <c r="V6185">
        <v>4.0197259999999999E-2</v>
      </c>
      <c r="W6185">
        <v>0.19562570000000001</v>
      </c>
      <c r="X6185">
        <v>0.97985449999999996</v>
      </c>
      <c r="Y6185">
        <v>9.9342760000000002E-2</v>
      </c>
      <c r="Z6185">
        <v>-2.1716510000000001E-3</v>
      </c>
      <c r="AA6185">
        <v>0.99505089999999996</v>
      </c>
      <c r="AB6185">
        <v>35</v>
      </c>
      <c r="AC6185">
        <v>37.465299999999999</v>
      </c>
      <c r="AD6185">
        <v>-1.1718660000000001</v>
      </c>
      <c r="AE6185">
        <v>-3.8999000000000001</v>
      </c>
      <c r="AF6185">
        <v>3.7616440766418</v>
      </c>
      <c r="AG6185">
        <v>-1.1718660000000001</v>
      </c>
      <c r="AH6185">
        <v>37.4428284241081</v>
      </c>
      <c r="AI6185">
        <v>91.783655358093398</v>
      </c>
      <c r="AJ6185">
        <v>84.263104592021506</v>
      </c>
      <c r="AK6185">
        <v>37.649550282553101</v>
      </c>
      <c r="AL6185">
        <v>78.718722875368996</v>
      </c>
      <c r="AM6185">
        <v>87.650832206126594</v>
      </c>
      <c r="AN6185">
        <v>1.00000003769112</v>
      </c>
    </row>
    <row r="6186" spans="1:40" x14ac:dyDescent="0.25">
      <c r="A6186" t="str">
        <f>"20190303170414472"</f>
        <v>20190303170414472</v>
      </c>
      <c r="B6186" t="str">
        <f>"1551603854461802"</f>
        <v>1551603854461802</v>
      </c>
      <c r="C6186" t="s">
        <v>40</v>
      </c>
      <c r="D6186">
        <v>4.816414</v>
      </c>
      <c r="E6186">
        <v>0.52729799999999905</v>
      </c>
      <c r="F6186" t="s">
        <v>44</v>
      </c>
      <c r="G6186">
        <v>-309.35590000000002</v>
      </c>
      <c r="H6186">
        <v>-0.05</v>
      </c>
      <c r="I6186">
        <v>12.86551</v>
      </c>
      <c r="J6186">
        <v>-345.69029999999998</v>
      </c>
      <c r="K6186">
        <v>1.1218520000000001</v>
      </c>
      <c r="L6186">
        <v>16.662870000000002</v>
      </c>
      <c r="M6186">
        <v>0.99989749999999999</v>
      </c>
      <c r="N6186">
        <v>-1.390139E-2</v>
      </c>
      <c r="O6186">
        <v>-3.4487530000000001E-3</v>
      </c>
      <c r="P6186">
        <v>0.98247580000000001</v>
      </c>
      <c r="Q6186">
        <v>0.1811846</v>
      </c>
      <c r="R6186">
        <v>-4.3750539999999997E-2</v>
      </c>
      <c r="S6186">
        <v>3.0579830000000001</v>
      </c>
      <c r="T6186">
        <v>-9.8147390000000001E-2</v>
      </c>
      <c r="U6186">
        <v>-0.3180847</v>
      </c>
      <c r="V6186">
        <v>4.024295E-2</v>
      </c>
      <c r="W6186">
        <v>0.19485130000000001</v>
      </c>
      <c r="X6186">
        <v>0.98000690000000001</v>
      </c>
      <c r="Y6186">
        <v>9.9955799999999997E-2</v>
      </c>
      <c r="Z6186">
        <v>-2.2337120000000001E-3</v>
      </c>
      <c r="AA6186">
        <v>0.99498940000000002</v>
      </c>
      <c r="AB6186">
        <v>35</v>
      </c>
      <c r="AC6186">
        <v>36.334399999999903</v>
      </c>
      <c r="AD6186">
        <v>-1.1718519999999999</v>
      </c>
      <c r="AE6186">
        <v>-3.7973599999999998</v>
      </c>
      <c r="AF6186">
        <v>3.6682425267332799</v>
      </c>
      <c r="AG6186">
        <v>-1.1718519999999999</v>
      </c>
      <c r="AH6186">
        <v>36.3099204353014</v>
      </c>
      <c r="AI6186">
        <v>91.839144631912902</v>
      </c>
      <c r="AJ6186">
        <v>84.231214818559195</v>
      </c>
      <c r="AK6186">
        <v>36.513553132539201</v>
      </c>
      <c r="AL6186">
        <v>78.763963188657598</v>
      </c>
      <c r="AM6186">
        <v>87.648530354900899</v>
      </c>
      <c r="AN6186">
        <v>1.000000024092</v>
      </c>
    </row>
    <row r="6187" spans="1:40" x14ac:dyDescent="0.25">
      <c r="A6187" t="str">
        <f>"20190303170414483"</f>
        <v>20190303170414483</v>
      </c>
      <c r="B6187" t="str">
        <f>"1551603854471562"</f>
        <v>1551603854471562</v>
      </c>
      <c r="C6187" t="s">
        <v>40</v>
      </c>
      <c r="D6187">
        <v>4.6764289999999997</v>
      </c>
      <c r="E6187">
        <v>0.52745410000000004</v>
      </c>
      <c r="F6187" t="s">
        <v>44</v>
      </c>
      <c r="G6187">
        <v>-309.9864</v>
      </c>
      <c r="H6187">
        <v>-0.05</v>
      </c>
      <c r="I6187">
        <v>12.945270000000001</v>
      </c>
      <c r="J6187">
        <v>-345.5188</v>
      </c>
      <c r="K6187">
        <v>1.12185</v>
      </c>
      <c r="L6187">
        <v>16.662410000000001</v>
      </c>
      <c r="M6187">
        <v>0.99989799999999995</v>
      </c>
      <c r="N6187">
        <v>-1.390046E-2</v>
      </c>
      <c r="O6187">
        <v>-3.3092709999999999E-3</v>
      </c>
      <c r="P6187">
        <v>0.98253409999999997</v>
      </c>
      <c r="Q6187">
        <v>0.18082100000000001</v>
      </c>
      <c r="R6187">
        <v>-4.3939550000000001E-2</v>
      </c>
      <c r="S6187">
        <v>3.0578310000000002</v>
      </c>
      <c r="T6187">
        <v>-0.1003621</v>
      </c>
      <c r="U6187">
        <v>-0.3183899</v>
      </c>
      <c r="V6187">
        <v>4.0569109999999999E-2</v>
      </c>
      <c r="W6187">
        <v>0.19448779999999999</v>
      </c>
      <c r="X6187">
        <v>0.98006559999999998</v>
      </c>
      <c r="Y6187">
        <v>0.10019500000000001</v>
      </c>
      <c r="Z6187">
        <v>-2.2755340000000001E-3</v>
      </c>
      <c r="AA6187">
        <v>0.99496519999999999</v>
      </c>
      <c r="AB6187">
        <v>35</v>
      </c>
      <c r="AC6187">
        <v>35.532400000000003</v>
      </c>
      <c r="AD6187">
        <v>-1.1718500000000001</v>
      </c>
      <c r="AE6187">
        <v>-3.7171400000000001</v>
      </c>
      <c r="AF6187">
        <v>3.59565342223287</v>
      </c>
      <c r="AG6187">
        <v>-1.1718500000000001</v>
      </c>
      <c r="AH6187">
        <v>35.506306723649502</v>
      </c>
      <c r="AI6187">
        <v>91.880691635308096</v>
      </c>
      <c r="AJ6187">
        <v>84.217482995996093</v>
      </c>
      <c r="AK6187">
        <v>35.707138965607299</v>
      </c>
      <c r="AL6187">
        <v>78.785195789922199</v>
      </c>
      <c r="AM6187">
        <v>87.629635696400697</v>
      </c>
      <c r="AN6187">
        <v>0.99999996866919505</v>
      </c>
    </row>
    <row r="6188" spans="1:40" x14ac:dyDescent="0.25">
      <c r="A6188" t="str">
        <f>"20190303170414494"</f>
        <v>20190303170414494</v>
      </c>
      <c r="B6188" t="str">
        <f>"1551603854482298"</f>
        <v>1551603854482298</v>
      </c>
      <c r="C6188" t="s">
        <v>40</v>
      </c>
      <c r="D6188">
        <v>4.6900879999999896</v>
      </c>
      <c r="E6188">
        <v>0.52761930000000001</v>
      </c>
      <c r="F6188" t="s">
        <v>44</v>
      </c>
      <c r="G6188">
        <v>-310.21589999999998</v>
      </c>
      <c r="H6188">
        <v>-0.05</v>
      </c>
      <c r="I6188">
        <v>12.966710000000001</v>
      </c>
      <c r="J6188">
        <v>-345.34339999999997</v>
      </c>
      <c r="K6188">
        <v>1.1218490000000001</v>
      </c>
      <c r="L6188">
        <v>16.661989999999999</v>
      </c>
      <c r="M6188">
        <v>0.99989839999999997</v>
      </c>
      <c r="N6188">
        <v>-1.38995E-2</v>
      </c>
      <c r="O6188">
        <v>-3.1663300000000002E-3</v>
      </c>
      <c r="P6188">
        <v>0.98244109999999996</v>
      </c>
      <c r="Q6188">
        <v>0.1812619</v>
      </c>
      <c r="R6188">
        <v>-4.4201329999999997E-2</v>
      </c>
      <c r="S6188">
        <v>3.057709</v>
      </c>
      <c r="T6188">
        <v>-0.101498</v>
      </c>
      <c r="U6188">
        <v>-0.32009890000000002</v>
      </c>
      <c r="V6188">
        <v>4.097116E-2</v>
      </c>
      <c r="W6188">
        <v>0.19492699999999999</v>
      </c>
      <c r="X6188">
        <v>0.97996159999999999</v>
      </c>
      <c r="Y6188">
        <v>0.1008893</v>
      </c>
      <c r="Z6188">
        <v>-2.3119239999999999E-3</v>
      </c>
      <c r="AA6188">
        <v>0.99489499999999997</v>
      </c>
      <c r="AB6188">
        <v>35</v>
      </c>
      <c r="AC6188">
        <v>35.127499999999998</v>
      </c>
      <c r="AD6188">
        <v>-1.1718489999999999</v>
      </c>
      <c r="AE6188">
        <v>-3.6952799999999901</v>
      </c>
      <c r="AF6188">
        <v>3.5800848699571799</v>
      </c>
      <c r="AG6188">
        <v>-1.1718489999999999</v>
      </c>
      <c r="AH6188">
        <v>35.100390462137902</v>
      </c>
      <c r="AI6188">
        <v>91.902284136305099</v>
      </c>
      <c r="AJ6188">
        <v>84.176222822287201</v>
      </c>
      <c r="AK6188">
        <v>35.301949639495</v>
      </c>
      <c r="AL6188">
        <v>78.759540312203896</v>
      </c>
      <c r="AM6188">
        <v>87.605918235118693</v>
      </c>
      <c r="AN6188">
        <v>0.99999995437765099</v>
      </c>
    </row>
    <row r="6189" spans="1:40" x14ac:dyDescent="0.25">
      <c r="A6189" t="str">
        <f>"20190303170414508"</f>
        <v>20190303170414508</v>
      </c>
      <c r="B6189" t="str">
        <f>"1551603854501818"</f>
        <v>1551603854501818</v>
      </c>
      <c r="C6189" t="s">
        <v>40</v>
      </c>
      <c r="D6189">
        <v>4.6316930000000003</v>
      </c>
      <c r="E6189">
        <v>0.52800499999999995</v>
      </c>
      <c r="F6189" t="s">
        <v>44</v>
      </c>
      <c r="G6189">
        <v>-309.56360000000001</v>
      </c>
      <c r="H6189">
        <v>-0.05</v>
      </c>
      <c r="I6189">
        <v>12.89481</v>
      </c>
      <c r="J6189">
        <v>-345.12740000000002</v>
      </c>
      <c r="K6189">
        <v>1.121856</v>
      </c>
      <c r="L6189">
        <v>16.661470000000001</v>
      </c>
      <c r="M6189">
        <v>0.99989899999999998</v>
      </c>
      <c r="N6189">
        <v>-1.3898310000000001E-2</v>
      </c>
      <c r="O6189">
        <v>-2.985209E-3</v>
      </c>
      <c r="P6189">
        <v>0.98230459999999997</v>
      </c>
      <c r="Q6189">
        <v>0.18191360000000001</v>
      </c>
      <c r="R6189">
        <v>-4.455692E-2</v>
      </c>
      <c r="S6189">
        <v>3.057617</v>
      </c>
      <c r="T6189">
        <v>-0.1001422</v>
      </c>
      <c r="U6189">
        <v>-0.32192989999999999</v>
      </c>
      <c r="V6189">
        <v>4.1503239999999997E-2</v>
      </c>
      <c r="W6189">
        <v>0.19557569999999999</v>
      </c>
      <c r="X6189">
        <v>0.97980999999999996</v>
      </c>
      <c r="Y6189">
        <v>0.101663</v>
      </c>
      <c r="Z6189">
        <v>-2.3124119999999998E-3</v>
      </c>
      <c r="AA6189">
        <v>0.99481620000000004</v>
      </c>
      <c r="AB6189">
        <v>35</v>
      </c>
      <c r="AC6189">
        <v>35.563800000000001</v>
      </c>
      <c r="AD6189">
        <v>-1.171856</v>
      </c>
      <c r="AE6189">
        <v>-3.7666599999999999</v>
      </c>
      <c r="AF6189">
        <v>3.6565415164465298</v>
      </c>
      <c r="AG6189">
        <v>-1.171856</v>
      </c>
      <c r="AH6189">
        <v>35.536730663526598</v>
      </c>
      <c r="AI6189">
        <v>91.878783727606205</v>
      </c>
      <c r="AJ6189">
        <v>84.125241948746606</v>
      </c>
      <c r="AK6189">
        <v>35.743569611865396</v>
      </c>
      <c r="AL6189">
        <v>78.721643714930494</v>
      </c>
      <c r="AM6189">
        <v>87.574489128002298</v>
      </c>
      <c r="AN6189">
        <v>1.00000000473049</v>
      </c>
    </row>
    <row r="6190" spans="1:40" x14ac:dyDescent="0.25">
      <c r="A6190" t="str">
        <f>"20190303170414523"</f>
        <v>20190303170414523</v>
      </c>
      <c r="B6190" t="str">
        <f>"1551603854511578"</f>
        <v>1551603854511578</v>
      </c>
      <c r="C6190" t="s">
        <v>40</v>
      </c>
      <c r="D6190">
        <v>4.6519320000000004</v>
      </c>
      <c r="E6190">
        <v>0.52811129999999995</v>
      </c>
      <c r="F6190" t="s">
        <v>44</v>
      </c>
      <c r="G6190">
        <v>-308.77350000000001</v>
      </c>
      <c r="H6190">
        <v>-0.05</v>
      </c>
      <c r="I6190">
        <v>12.790509999999999</v>
      </c>
      <c r="J6190">
        <v>-344.90230000000003</v>
      </c>
      <c r="K6190">
        <v>1.1218649999999999</v>
      </c>
      <c r="L6190">
        <v>16.660979999999999</v>
      </c>
      <c r="M6190">
        <v>0.99989950000000005</v>
      </c>
      <c r="N6190">
        <v>-1.3897069999999999E-2</v>
      </c>
      <c r="O6190">
        <v>-2.7916619999999999E-3</v>
      </c>
      <c r="P6190">
        <v>0.98203669999999998</v>
      </c>
      <c r="Q6190">
        <v>0.1830899</v>
      </c>
      <c r="R6190">
        <v>-4.5629719999999999E-2</v>
      </c>
      <c r="S6190">
        <v>3.0574949999999999</v>
      </c>
      <c r="T6190">
        <v>-9.8557469999999994E-2</v>
      </c>
      <c r="U6190">
        <v>-0.3255615</v>
      </c>
      <c r="V6190">
        <v>4.2764290000000003E-2</v>
      </c>
      <c r="W6190">
        <v>0.19674829999999999</v>
      </c>
      <c r="X6190">
        <v>0.97952099999999998</v>
      </c>
      <c r="Y6190">
        <v>0.1030291</v>
      </c>
      <c r="Z6190">
        <v>-2.3226449999999999E-3</v>
      </c>
      <c r="AA6190">
        <v>0.99467559999999999</v>
      </c>
      <c r="AB6190">
        <v>35</v>
      </c>
      <c r="AC6190">
        <v>36.128799999999998</v>
      </c>
      <c r="AD6190">
        <v>-1.1718649999999999</v>
      </c>
      <c r="AE6190">
        <v>-3.8704699999999899</v>
      </c>
      <c r="AF6190">
        <v>3.7656689464465098</v>
      </c>
      <c r="AG6190">
        <v>-1.1718649999999999</v>
      </c>
      <c r="AH6190">
        <v>36.101914200362401</v>
      </c>
      <c r="AI6190">
        <v>91.849138284053097</v>
      </c>
      <c r="AJ6190">
        <v>84.045203927971102</v>
      </c>
      <c r="AK6190">
        <v>36.316686786142597</v>
      </c>
      <c r="AL6190">
        <v>78.653127846411195</v>
      </c>
      <c r="AM6190">
        <v>87.500147150389296</v>
      </c>
      <c r="AN6190">
        <v>1.00000003374654</v>
      </c>
    </row>
    <row r="6191" spans="1:40" x14ac:dyDescent="0.25">
      <c r="A6191" t="str">
        <f>"20190303170414536"</f>
        <v>20190303170414536</v>
      </c>
      <c r="B6191" t="str">
        <f>"1551603854522315"</f>
        <v>1551603854522315</v>
      </c>
      <c r="C6191" t="s">
        <v>40</v>
      </c>
      <c r="D6191">
        <v>4.6495290000000002</v>
      </c>
      <c r="E6191">
        <v>0.52822659999999999</v>
      </c>
      <c r="F6191" t="s">
        <v>44</v>
      </c>
      <c r="G6191">
        <v>-307.2002</v>
      </c>
      <c r="H6191">
        <v>-0.05</v>
      </c>
      <c r="I6191">
        <v>12.59613</v>
      </c>
      <c r="J6191">
        <v>-344.71280000000002</v>
      </c>
      <c r="K6191">
        <v>1.1218669999999999</v>
      </c>
      <c r="L6191">
        <v>16.660609999999998</v>
      </c>
      <c r="M6191">
        <v>0.99990009999999996</v>
      </c>
      <c r="N6191">
        <v>-1.389602E-2</v>
      </c>
      <c r="O6191">
        <v>-2.6255250000000001E-3</v>
      </c>
      <c r="P6191">
        <v>0.98207489999999997</v>
      </c>
      <c r="Q6191">
        <v>0.1828021</v>
      </c>
      <c r="R6191">
        <v>-4.5963450000000003E-2</v>
      </c>
      <c r="S6191">
        <v>3.0572810000000001</v>
      </c>
      <c r="T6191">
        <v>-9.5026970000000002E-2</v>
      </c>
      <c r="U6191">
        <v>-0.32962039999999998</v>
      </c>
      <c r="V6191">
        <v>4.3258930000000001E-2</v>
      </c>
      <c r="W6191">
        <v>0.19646079999999999</v>
      </c>
      <c r="X6191">
        <v>0.97955700000000001</v>
      </c>
      <c r="Y6191">
        <v>0.1045106</v>
      </c>
      <c r="Z6191">
        <v>-2.3026819999999999E-3</v>
      </c>
      <c r="AA6191">
        <v>0.99452110000000005</v>
      </c>
      <c r="AB6191">
        <v>35</v>
      </c>
      <c r="AC6191">
        <v>37.512599999999999</v>
      </c>
      <c r="AD6191">
        <v>-1.171867</v>
      </c>
      <c r="AE6191">
        <v>-4.0644799999999996</v>
      </c>
      <c r="AF6191">
        <v>3.96214445472466</v>
      </c>
      <c r="AG6191">
        <v>-1.171867</v>
      </c>
      <c r="AH6191">
        <v>37.4869843007423</v>
      </c>
      <c r="AI6191">
        <v>91.780607758825496</v>
      </c>
      <c r="AJ6191">
        <v>83.966587582128199</v>
      </c>
      <c r="AK6191">
        <v>37.714000754492901</v>
      </c>
      <c r="AL6191">
        <v>78.669928449374595</v>
      </c>
      <c r="AM6191">
        <v>87.471362335687004</v>
      </c>
      <c r="AN6191">
        <v>1.0000000486051901</v>
      </c>
    </row>
    <row r="6192" spans="1:40" x14ac:dyDescent="0.25">
      <c r="A6192" t="str">
        <f>"20190303170414550"</f>
        <v>20190303170414550</v>
      </c>
      <c r="B6192" t="str">
        <f>"1551603854541834"</f>
        <v>1551603854541834</v>
      </c>
      <c r="C6192" t="s">
        <v>40</v>
      </c>
      <c r="D6192">
        <v>4.7640149999999997</v>
      </c>
      <c r="E6192">
        <v>0.52851349999999997</v>
      </c>
      <c r="F6192" t="s">
        <v>44</v>
      </c>
      <c r="G6192">
        <v>-307.36950000000002</v>
      </c>
      <c r="H6192">
        <v>-0.05</v>
      </c>
      <c r="I6192">
        <v>12.60995</v>
      </c>
      <c r="J6192">
        <v>-344.4717</v>
      </c>
      <c r="K6192">
        <v>1.121875</v>
      </c>
      <c r="L6192">
        <v>16.66019</v>
      </c>
      <c r="M6192">
        <v>0.99990060000000003</v>
      </c>
      <c r="N6192">
        <v>-1.3894719999999999E-2</v>
      </c>
      <c r="O6192">
        <v>-2.4014969999999998E-3</v>
      </c>
      <c r="P6192">
        <v>0.98216150000000002</v>
      </c>
      <c r="Q6192">
        <v>0.1823024</v>
      </c>
      <c r="R6192">
        <v>-4.6099290000000001E-2</v>
      </c>
      <c r="S6192">
        <v>3.0570680000000001</v>
      </c>
      <c r="T6192">
        <v>-9.5933679999999993E-2</v>
      </c>
      <c r="U6192">
        <v>-0.33160400000000001</v>
      </c>
      <c r="V6192">
        <v>4.3610139999999999E-2</v>
      </c>
      <c r="W6192">
        <v>0.19596240000000001</v>
      </c>
      <c r="X6192">
        <v>0.97964119999999999</v>
      </c>
      <c r="Y6192">
        <v>0.10537680000000001</v>
      </c>
      <c r="Z6192">
        <v>-2.3408489999999999E-3</v>
      </c>
      <c r="AA6192">
        <v>0.99442960000000002</v>
      </c>
      <c r="AB6192">
        <v>35</v>
      </c>
      <c r="AC6192">
        <v>37.102199999999897</v>
      </c>
      <c r="AD6192">
        <v>-1.171875</v>
      </c>
      <c r="AE6192">
        <v>-4.0502399999999996</v>
      </c>
      <c r="AF6192">
        <v>3.9572176049463601</v>
      </c>
      <c r="AG6192">
        <v>-1.171875</v>
      </c>
      <c r="AH6192">
        <v>37.075269277629502</v>
      </c>
      <c r="AI6192">
        <v>91.800183795717103</v>
      </c>
      <c r="AJ6192">
        <v>83.907617914615301</v>
      </c>
      <c r="AK6192">
        <v>37.304268578773403</v>
      </c>
      <c r="AL6192">
        <v>78.699050127039001</v>
      </c>
      <c r="AM6192">
        <v>87.451078648226201</v>
      </c>
      <c r="AN6192">
        <v>0.999999993631009</v>
      </c>
    </row>
    <row r="6193" spans="1:40" x14ac:dyDescent="0.25">
      <c r="A6193" t="str">
        <f>"20190303170414563"</f>
        <v>20190303170414563</v>
      </c>
      <c r="B6193" t="str">
        <f>"1551603854551594"</f>
        <v>1551603854551594</v>
      </c>
      <c r="C6193" t="s">
        <v>40</v>
      </c>
      <c r="D6193">
        <v>4.6482599999999996</v>
      </c>
      <c r="E6193">
        <v>0.52871330000000005</v>
      </c>
      <c r="F6193" t="s">
        <v>44</v>
      </c>
      <c r="G6193">
        <v>-307.5992</v>
      </c>
      <c r="H6193">
        <v>-0.05</v>
      </c>
      <c r="I6193">
        <v>12.626720000000001</v>
      </c>
      <c r="J6193">
        <v>-344.27769999999998</v>
      </c>
      <c r="K6193">
        <v>1.121883</v>
      </c>
      <c r="L6193">
        <v>16.659879999999902</v>
      </c>
      <c r="M6193">
        <v>0.99990089999999998</v>
      </c>
      <c r="N6193">
        <v>-1.389368E-2</v>
      </c>
      <c r="O6193">
        <v>-2.2144370000000001E-3</v>
      </c>
      <c r="P6193">
        <v>0.98232350000000002</v>
      </c>
      <c r="Q6193">
        <v>0.1813353</v>
      </c>
      <c r="R6193">
        <v>-4.6456020000000001E-2</v>
      </c>
      <c r="S6193">
        <v>3.0567929999999999</v>
      </c>
      <c r="T6193">
        <v>-9.7150329999999993E-2</v>
      </c>
      <c r="U6193">
        <v>-0.33438109999999999</v>
      </c>
      <c r="V6193">
        <v>4.4146959999999999E-2</v>
      </c>
      <c r="W6193">
        <v>0.19499720000000001</v>
      </c>
      <c r="X6193">
        <v>0.97980979999999995</v>
      </c>
      <c r="Y6193">
        <v>0.1064628</v>
      </c>
      <c r="Z6193">
        <v>-2.3889409999999999E-3</v>
      </c>
      <c r="AA6193">
        <v>0.99431380000000003</v>
      </c>
      <c r="AB6193">
        <v>35</v>
      </c>
      <c r="AC6193">
        <v>36.6784999999999</v>
      </c>
      <c r="AD6193">
        <v>-1.171883</v>
      </c>
      <c r="AE6193">
        <v>-4.0331599999999899</v>
      </c>
      <c r="AF6193">
        <v>3.9479380785579901</v>
      </c>
      <c r="AG6193">
        <v>-1.171883</v>
      </c>
      <c r="AH6193">
        <v>36.650375947272401</v>
      </c>
      <c r="AI6193">
        <v>91.820862191342798</v>
      </c>
      <c r="AJ6193">
        <v>83.851868344779803</v>
      </c>
      <c r="AK6193">
        <v>36.881019263494103</v>
      </c>
      <c r="AL6193">
        <v>78.755440580958094</v>
      </c>
      <c r="AM6193">
        <v>87.420188186027204</v>
      </c>
      <c r="AN6193">
        <v>1.00000005313055</v>
      </c>
    </row>
    <row r="6194" spans="1:40" x14ac:dyDescent="0.25">
      <c r="A6194" t="str">
        <f>"20190303170414579"</f>
        <v>20190303170414579</v>
      </c>
      <c r="B6194" t="str">
        <f>"1551603854572090"</f>
        <v>1551603854572090</v>
      </c>
      <c r="C6194" t="s">
        <v>40</v>
      </c>
      <c r="D6194">
        <v>4.6417659999999996</v>
      </c>
      <c r="E6194">
        <v>0.53688329999999995</v>
      </c>
      <c r="F6194" t="s">
        <v>44</v>
      </c>
      <c r="G6194">
        <v>-308.68419999999998</v>
      </c>
      <c r="H6194">
        <v>-0.05</v>
      </c>
      <c r="I6194">
        <v>12.735889999999999</v>
      </c>
      <c r="J6194">
        <v>-344.02440000000001</v>
      </c>
      <c r="K6194">
        <v>1.1218980000000001</v>
      </c>
      <c r="L6194">
        <v>16.659579999999998</v>
      </c>
      <c r="M6194">
        <v>0.9999017</v>
      </c>
      <c r="N6194">
        <v>-1.389233E-2</v>
      </c>
      <c r="O6194">
        <v>-1.9594740000000001E-3</v>
      </c>
      <c r="P6194">
        <v>0.98250539999999997</v>
      </c>
      <c r="Q6194">
        <v>0.18027889999999999</v>
      </c>
      <c r="R6194">
        <v>-4.6718000000000003E-2</v>
      </c>
      <c r="S6194">
        <v>3.05661</v>
      </c>
      <c r="T6194">
        <v>-0.10063610000000001</v>
      </c>
      <c r="U6194">
        <v>-0.33697510000000003</v>
      </c>
      <c r="V6194">
        <v>4.4653489999999997E-2</v>
      </c>
      <c r="W6194">
        <v>0.19394429999999999</v>
      </c>
      <c r="X6194">
        <v>0.97999570000000003</v>
      </c>
      <c r="Y6194">
        <v>0.10755099999999999</v>
      </c>
      <c r="Z6194">
        <v>-2.4771699999999999E-3</v>
      </c>
      <c r="AA6194">
        <v>0.99419650000000004</v>
      </c>
      <c r="AB6194">
        <v>35</v>
      </c>
      <c r="AC6194">
        <v>35.340200000000003</v>
      </c>
      <c r="AD6194">
        <v>-1.1718979999999899</v>
      </c>
      <c r="AE6194">
        <v>-3.9236899999999899</v>
      </c>
      <c r="AF6194">
        <v>3.85024534497445</v>
      </c>
      <c r="AG6194">
        <v>-1.1718979999999899</v>
      </c>
      <c r="AH6194">
        <v>35.3094671301888</v>
      </c>
      <c r="AI6194">
        <v>91.889718177859805</v>
      </c>
      <c r="AJ6194">
        <v>83.776891479343206</v>
      </c>
      <c r="AK6194">
        <v>35.538095097469501</v>
      </c>
      <c r="AL6194">
        <v>78.816940281144994</v>
      </c>
      <c r="AM6194">
        <v>87.391123119434994</v>
      </c>
      <c r="AN6194">
        <v>0.99999994884507803</v>
      </c>
    </row>
    <row r="6195" spans="1:40" x14ac:dyDescent="0.25">
      <c r="A6195" t="str">
        <f>"20190303170414589"</f>
        <v>20190303170414589</v>
      </c>
      <c r="B6195" t="str">
        <f>"1551603854581850"</f>
        <v>1551603854581850</v>
      </c>
      <c r="C6195" t="s">
        <v>40</v>
      </c>
      <c r="D6195">
        <v>4.6126019999999999</v>
      </c>
      <c r="E6195">
        <v>0.53666210000000003</v>
      </c>
      <c r="F6195" t="s">
        <v>44</v>
      </c>
      <c r="G6195">
        <v>-316.05669999999998</v>
      </c>
      <c r="H6195">
        <v>-0.05</v>
      </c>
      <c r="I6195">
        <v>12.98381</v>
      </c>
      <c r="J6195">
        <v>-343.8623</v>
      </c>
      <c r="K6195">
        <v>1.12191</v>
      </c>
      <c r="L6195">
        <v>16.659420000000001</v>
      </c>
      <c r="M6195">
        <v>0.99990190000000001</v>
      </c>
      <c r="N6195">
        <v>-1.389146E-2</v>
      </c>
      <c r="O6195">
        <v>-1.7857389999999999E-3</v>
      </c>
      <c r="P6195">
        <v>0.98242910000000006</v>
      </c>
      <c r="Q6195">
        <v>0.18075939999999999</v>
      </c>
      <c r="R6195">
        <v>-4.646318E-2</v>
      </c>
      <c r="S6195">
        <v>3.0578310000000002</v>
      </c>
      <c r="T6195">
        <v>-0.12812879999999999</v>
      </c>
      <c r="U6195">
        <v>-0.40188600000000002</v>
      </c>
      <c r="V6195">
        <v>4.4564220000000002E-2</v>
      </c>
      <c r="W6195">
        <v>0.19442380000000001</v>
      </c>
      <c r="X6195">
        <v>0.97990480000000002</v>
      </c>
      <c r="Y6195">
        <v>0.12838959999999999</v>
      </c>
      <c r="Z6195">
        <v>-3.5235650000000002E-3</v>
      </c>
      <c r="AA6195">
        <v>0.99171750000000003</v>
      </c>
      <c r="AB6195">
        <v>35</v>
      </c>
      <c r="AC6195">
        <v>27.805599999999998</v>
      </c>
      <c r="AD6195">
        <v>-1.17191</v>
      </c>
      <c r="AE6195">
        <v>-3.6756099999999998</v>
      </c>
      <c r="AF6195">
        <v>3.6196265683856201</v>
      </c>
      <c r="AG6195">
        <v>-1.17191</v>
      </c>
      <c r="AH6195">
        <v>27.763649506860201</v>
      </c>
      <c r="AI6195">
        <v>92.396773866061196</v>
      </c>
      <c r="AJ6195">
        <v>82.5720802476269</v>
      </c>
      <c r="AK6195">
        <v>28.023120873351001</v>
      </c>
      <c r="AL6195">
        <v>78.788934439278606</v>
      </c>
      <c r="AM6195">
        <v>87.396090333619398</v>
      </c>
      <c r="AN6195">
        <v>1.0000000003868399</v>
      </c>
    </row>
    <row r="6196" spans="1:40" x14ac:dyDescent="0.25">
      <c r="A6196" t="str">
        <f>"20190303170414601"</f>
        <v>20190303170414601</v>
      </c>
      <c r="B6196" t="str">
        <f>"1551603854591610"</f>
        <v>1551603854591610</v>
      </c>
      <c r="C6196" t="s">
        <v>40</v>
      </c>
      <c r="D6196">
        <v>4.5833919999999999</v>
      </c>
      <c r="E6196">
        <v>0.53651110000000002</v>
      </c>
      <c r="F6196" t="s">
        <v>44</v>
      </c>
      <c r="G6196">
        <v>-314.03289999999998</v>
      </c>
      <c r="H6196">
        <v>-0.05</v>
      </c>
      <c r="I6196">
        <v>12.75948</v>
      </c>
      <c r="J6196">
        <v>-343.69099999999997</v>
      </c>
      <c r="K6196">
        <v>1.121928</v>
      </c>
      <c r="L6196">
        <v>16.659300000000002</v>
      </c>
      <c r="M6196">
        <v>0.99990219999999996</v>
      </c>
      <c r="N6196">
        <v>-1.389057E-2</v>
      </c>
      <c r="O6196">
        <v>-1.5933779999999999E-3</v>
      </c>
      <c r="P6196">
        <v>0.9822862</v>
      </c>
      <c r="Q6196">
        <v>0.1815996</v>
      </c>
      <c r="R6196">
        <v>-4.6207980000000003E-2</v>
      </c>
      <c r="S6196">
        <v>3.056854</v>
      </c>
      <c r="T6196">
        <v>-0.120094699999999</v>
      </c>
      <c r="U6196">
        <v>-0.39965820000000002</v>
      </c>
      <c r="V6196">
        <v>4.4491879999999998E-2</v>
      </c>
      <c r="W6196">
        <v>0.1952623</v>
      </c>
      <c r="X6196">
        <v>0.97974130000000004</v>
      </c>
      <c r="Y6196">
        <v>0.12792680000000001</v>
      </c>
      <c r="Z6196">
        <v>-3.3538109999999999E-3</v>
      </c>
      <c r="AA6196">
        <v>0.99177800000000005</v>
      </c>
      <c r="AB6196">
        <v>35</v>
      </c>
      <c r="AC6196">
        <v>29.658099999999902</v>
      </c>
      <c r="AD6196">
        <v>-1.1719280000000001</v>
      </c>
      <c r="AE6196">
        <v>-3.8998200000000001</v>
      </c>
      <c r="AF6196">
        <v>3.8466498324037302</v>
      </c>
      <c r="AG6196">
        <v>-1.1719280000000001</v>
      </c>
      <c r="AH6196">
        <v>29.6188159341391</v>
      </c>
      <c r="AI6196">
        <v>92.246989953191701</v>
      </c>
      <c r="AJ6196">
        <v>82.600309536804403</v>
      </c>
      <c r="AK6196">
        <v>29.890540100686199</v>
      </c>
      <c r="AL6196">
        <v>78.739952644314698</v>
      </c>
      <c r="AM6196">
        <v>87.399878149658704</v>
      </c>
      <c r="AN6196">
        <v>0.99999995405645603</v>
      </c>
    </row>
    <row r="6197" spans="1:40" x14ac:dyDescent="0.25">
      <c r="A6197" t="str">
        <f>"20190303170414611"</f>
        <v>20190303170414611</v>
      </c>
      <c r="B6197" t="str">
        <f>"1551603854602346"</f>
        <v>1551603854602346</v>
      </c>
      <c r="C6197" t="s">
        <v>40</v>
      </c>
      <c r="D6197">
        <v>4.5588769999999998</v>
      </c>
      <c r="E6197">
        <v>0.53591279999999997</v>
      </c>
      <c r="F6197" t="s">
        <v>44</v>
      </c>
      <c r="G6197">
        <v>-313.03480000000002</v>
      </c>
      <c r="H6197">
        <v>-0.05</v>
      </c>
      <c r="I6197">
        <v>12.672040000000001</v>
      </c>
      <c r="J6197">
        <v>-343.51839999999999</v>
      </c>
      <c r="K6197">
        <v>1.1219479999999999</v>
      </c>
      <c r="L6197">
        <v>16.659179999999999</v>
      </c>
      <c r="M6197">
        <v>0.99990259999999997</v>
      </c>
      <c r="N6197">
        <v>-1.388969E-2</v>
      </c>
      <c r="O6197">
        <v>-1.3914629999999999E-3</v>
      </c>
      <c r="P6197">
        <v>0.98207230000000001</v>
      </c>
      <c r="Q6197">
        <v>0.1827146</v>
      </c>
      <c r="R6197">
        <v>-4.6361939999999997E-2</v>
      </c>
      <c r="S6197">
        <v>3.0570680000000001</v>
      </c>
      <c r="T6197">
        <v>-0.1168656</v>
      </c>
      <c r="U6197">
        <v>-0.39761350000000001</v>
      </c>
      <c r="V6197">
        <v>4.4836809999999998E-2</v>
      </c>
      <c r="W6197">
        <v>0.19637479999999999</v>
      </c>
      <c r="X6197">
        <v>0.97950329999999997</v>
      </c>
      <c r="Y6197">
        <v>0.12747229999999901</v>
      </c>
      <c r="Z6197">
        <v>-3.281174E-3</v>
      </c>
      <c r="AA6197">
        <v>0.99183670000000002</v>
      </c>
      <c r="AB6197">
        <v>35</v>
      </c>
      <c r="AC6197">
        <v>30.4835999999999</v>
      </c>
      <c r="AD6197">
        <v>-1.171948</v>
      </c>
      <c r="AE6197">
        <v>-3.9871400000000001</v>
      </c>
      <c r="AF6197">
        <v>3.9389912123362798</v>
      </c>
      <c r="AG6197">
        <v>-1.171948</v>
      </c>
      <c r="AH6197">
        <v>30.4448773095279</v>
      </c>
      <c r="AI6197">
        <v>92.186256223936198</v>
      </c>
      <c r="AJ6197">
        <v>82.6279625954745</v>
      </c>
      <c r="AK6197">
        <v>30.720997188857201</v>
      </c>
      <c r="AL6197">
        <v>78.674953887711396</v>
      </c>
      <c r="AM6197">
        <v>87.379112517620698</v>
      </c>
      <c r="AN6197">
        <v>1.0000000581584501</v>
      </c>
    </row>
    <row r="6198" spans="1:40" x14ac:dyDescent="0.25">
      <c r="A6198" t="str">
        <f>"20190303170414622"</f>
        <v>20190303170414622</v>
      </c>
      <c r="B6198" t="str">
        <f>"1551603854612106"</f>
        <v>1551603854612106</v>
      </c>
      <c r="C6198" t="s">
        <v>40</v>
      </c>
      <c r="D6198">
        <v>4.6147229999999997</v>
      </c>
      <c r="E6198">
        <v>0.5360895</v>
      </c>
      <c r="F6198" t="s">
        <v>44</v>
      </c>
      <c r="G6198">
        <v>-310.8175</v>
      </c>
      <c r="H6198">
        <v>-0.05</v>
      </c>
      <c r="I6198">
        <v>12.45262</v>
      </c>
      <c r="J6198">
        <v>-343.35140000000001</v>
      </c>
      <c r="K6198">
        <v>1.121972</v>
      </c>
      <c r="L6198">
        <v>16.65915</v>
      </c>
      <c r="M6198">
        <v>0.99990299999999999</v>
      </c>
      <c r="N6198">
        <v>-1.3888859999999999E-2</v>
      </c>
      <c r="O6198">
        <v>-1.1809310000000001E-3</v>
      </c>
      <c r="P6198">
        <v>0.98194340000000002</v>
      </c>
      <c r="Q6198">
        <v>0.1833689</v>
      </c>
      <c r="R6198">
        <v>-4.6516849999999998E-2</v>
      </c>
      <c r="S6198">
        <v>3.0565799999999999</v>
      </c>
      <c r="T6198">
        <v>-0.10954270000000001</v>
      </c>
      <c r="U6198">
        <v>-0.3931885</v>
      </c>
      <c r="V6198">
        <v>4.519049E-2</v>
      </c>
      <c r="W6198">
        <v>0.19702790000000001</v>
      </c>
      <c r="X6198">
        <v>0.9793558</v>
      </c>
      <c r="Y6198">
        <v>0.1263032</v>
      </c>
      <c r="Z6198">
        <v>-3.1085750000000001E-3</v>
      </c>
      <c r="AA6198">
        <v>0.99198679999999995</v>
      </c>
      <c r="AB6198">
        <v>35</v>
      </c>
      <c r="AC6198">
        <v>32.533900000000003</v>
      </c>
      <c r="AD6198">
        <v>-1.171972</v>
      </c>
      <c r="AE6198">
        <v>-4.2065299999999999</v>
      </c>
      <c r="AF6198">
        <v>4.1627899949205602</v>
      </c>
      <c r="AG6198">
        <v>-1.171972</v>
      </c>
      <c r="AH6198">
        <v>32.497368152056197</v>
      </c>
      <c r="AI6198">
        <v>92.048671694455393</v>
      </c>
      <c r="AJ6198">
        <v>82.700379670155598</v>
      </c>
      <c r="AK6198">
        <v>32.783856937841698</v>
      </c>
      <c r="AL6198">
        <v>78.636787474932603</v>
      </c>
      <c r="AM6198">
        <v>87.358070426963906</v>
      </c>
      <c r="AN6198">
        <v>0.99999997837924404</v>
      </c>
    </row>
    <row r="6199" spans="1:40" x14ac:dyDescent="0.25">
      <c r="A6199" t="str">
        <f>"20190303170414633"</f>
        <v>20190303170414633</v>
      </c>
      <c r="B6199" t="str">
        <f>"1551603854621866"</f>
        <v>1551603854621866</v>
      </c>
      <c r="C6199" t="s">
        <v>40</v>
      </c>
      <c r="D6199">
        <v>4.6914400000000001</v>
      </c>
      <c r="E6199">
        <v>0.53675209999999995</v>
      </c>
      <c r="F6199" t="s">
        <v>44</v>
      </c>
      <c r="G6199">
        <v>-309.77330000000001</v>
      </c>
      <c r="H6199">
        <v>-0.05</v>
      </c>
      <c r="I6199">
        <v>12.323410000000001</v>
      </c>
      <c r="J6199">
        <v>-343.173</v>
      </c>
      <c r="K6199">
        <v>1.12199</v>
      </c>
      <c r="L6199">
        <v>16.65915</v>
      </c>
      <c r="M6199">
        <v>0.99990310000000004</v>
      </c>
      <c r="N6199">
        <v>-1.3887969999999999E-2</v>
      </c>
      <c r="O6199">
        <v>-9.4890730000000002E-4</v>
      </c>
      <c r="P6199">
        <v>0.9817534</v>
      </c>
      <c r="Q6199">
        <v>0.18428659999999999</v>
      </c>
      <c r="R6199">
        <v>-4.6892099999999999E-2</v>
      </c>
      <c r="S6199">
        <v>3.0563959999999999</v>
      </c>
      <c r="T6199">
        <v>-0.10667690000000001</v>
      </c>
      <c r="U6199">
        <v>-0.39465329999999998</v>
      </c>
      <c r="V6199">
        <v>4.5784610000000003E-2</v>
      </c>
      <c r="W6199">
        <v>0.19794500000000001</v>
      </c>
      <c r="X6199">
        <v>0.97914330000000005</v>
      </c>
      <c r="Y6199">
        <v>0.12701270000000001</v>
      </c>
      <c r="Z6199">
        <v>-3.0729109999999998E-3</v>
      </c>
      <c r="AA6199">
        <v>0.99189629999999995</v>
      </c>
      <c r="AB6199">
        <v>35</v>
      </c>
      <c r="AC6199">
        <v>33.399700000000003</v>
      </c>
      <c r="AD6199">
        <v>-1.1719899999999901</v>
      </c>
      <c r="AE6199">
        <v>-4.3357400000000004</v>
      </c>
      <c r="AF6199">
        <v>4.2988363485342997</v>
      </c>
      <c r="AG6199">
        <v>-1.1719899999999901</v>
      </c>
      <c r="AH6199">
        <v>33.363400126771403</v>
      </c>
      <c r="AI6199">
        <v>91.995377731459996</v>
      </c>
      <c r="AJ6199">
        <v>82.657956263694402</v>
      </c>
      <c r="AK6199">
        <v>33.6596200592138</v>
      </c>
      <c r="AL6199">
        <v>78.583186432566393</v>
      </c>
      <c r="AM6199">
        <v>87.322807076289195</v>
      </c>
      <c r="AN6199">
        <v>1.0000000277363701</v>
      </c>
    </row>
    <row r="6200" spans="1:40" x14ac:dyDescent="0.25">
      <c r="A6200" t="str">
        <f>"20190303170414645"</f>
        <v>20190303170414645</v>
      </c>
      <c r="B6200" t="str">
        <f>"1551603854631626"</f>
        <v>1551603854631626</v>
      </c>
      <c r="C6200" t="s">
        <v>40</v>
      </c>
      <c r="D6200">
        <v>4.6611589999999996</v>
      </c>
      <c r="E6200">
        <v>0.53693179999999996</v>
      </c>
      <c r="F6200" t="s">
        <v>44</v>
      </c>
      <c r="G6200">
        <v>-308.48610000000002</v>
      </c>
      <c r="H6200">
        <v>-0.05</v>
      </c>
      <c r="I6200">
        <v>12.1091</v>
      </c>
      <c r="J6200">
        <v>-343.00470000000001</v>
      </c>
      <c r="K6200">
        <v>1.122017</v>
      </c>
      <c r="L6200">
        <v>16.659210000000002</v>
      </c>
      <c r="M6200">
        <v>0.9999034</v>
      </c>
      <c r="N6200">
        <v>-1.3887160000000001E-2</v>
      </c>
      <c r="O6200">
        <v>-7.0539159999999997E-4</v>
      </c>
      <c r="P6200">
        <v>0.98161299999999996</v>
      </c>
      <c r="Q6200">
        <v>0.18495030000000001</v>
      </c>
      <c r="R6200">
        <v>-4.7215899999999998E-2</v>
      </c>
      <c r="S6200">
        <v>3.0560610000000001</v>
      </c>
      <c r="T6200">
        <v>-0.10325719999999999</v>
      </c>
      <c r="U6200">
        <v>-0.40087889999999998</v>
      </c>
      <c r="V6200">
        <v>4.6336740000000001E-2</v>
      </c>
      <c r="W6200">
        <v>0.1986087</v>
      </c>
      <c r="X6200">
        <v>0.97898289999999999</v>
      </c>
      <c r="Y6200">
        <v>0.1292587</v>
      </c>
      <c r="Z6200">
        <v>-3.0615249999999998E-3</v>
      </c>
      <c r="AA6200">
        <v>0.99160619999999999</v>
      </c>
      <c r="AB6200">
        <v>35</v>
      </c>
      <c r="AC6200">
        <v>34.5185999999999</v>
      </c>
      <c r="AD6200">
        <v>-1.1720170000000001</v>
      </c>
      <c r="AE6200">
        <v>-4.5501100000000001</v>
      </c>
      <c r="AF6200">
        <v>4.5206349185112602</v>
      </c>
      <c r="AG6200">
        <v>-1.1720170000000001</v>
      </c>
      <c r="AH6200">
        <v>34.482727874289502</v>
      </c>
      <c r="AI6200">
        <v>91.930146336964299</v>
      </c>
      <c r="AJ6200">
        <v>82.531201507695798</v>
      </c>
      <c r="AK6200">
        <v>34.797532751145702</v>
      </c>
      <c r="AL6200">
        <v>78.544388779413197</v>
      </c>
      <c r="AM6200">
        <v>87.290126586168199</v>
      </c>
      <c r="AN6200">
        <v>1.0000000138409599</v>
      </c>
    </row>
    <row r="6201" spans="1:40" x14ac:dyDescent="0.25">
      <c r="A6201" t="str">
        <f>"20190303170414657"</f>
        <v>20190303170414657</v>
      </c>
      <c r="B6201" t="str">
        <f>"1551603854652123"</f>
        <v>1551603854652123</v>
      </c>
      <c r="C6201" t="s">
        <v>40</v>
      </c>
      <c r="D6201">
        <v>4.6633750000000003</v>
      </c>
      <c r="E6201">
        <v>0.53722300000000001</v>
      </c>
      <c r="F6201" t="s">
        <v>44</v>
      </c>
      <c r="G6201">
        <v>-307.84230000000002</v>
      </c>
      <c r="H6201">
        <v>-0.05</v>
      </c>
      <c r="I6201">
        <v>12.02074</v>
      </c>
      <c r="J6201">
        <v>-342.80799999999999</v>
      </c>
      <c r="K6201">
        <v>1.1220460000000001</v>
      </c>
      <c r="L6201">
        <v>16.659329999999901</v>
      </c>
      <c r="M6201">
        <v>0.9999036</v>
      </c>
      <c r="N6201">
        <v>-1.3886219999999999E-2</v>
      </c>
      <c r="O6201">
        <v>-4.102992E-4</v>
      </c>
      <c r="P6201">
        <v>0.98152969999999895</v>
      </c>
      <c r="Q6201">
        <v>0.1854073</v>
      </c>
      <c r="R6201">
        <v>-4.7156620000000003E-2</v>
      </c>
      <c r="S6201">
        <v>3.0560299999999998</v>
      </c>
      <c r="T6201">
        <v>-0.1018621</v>
      </c>
      <c r="U6201">
        <v>-0.40313719999999997</v>
      </c>
      <c r="V6201">
        <v>4.6553890000000001E-2</v>
      </c>
      <c r="W6201">
        <v>0.1990662</v>
      </c>
      <c r="X6201">
        <v>0.97887959999999996</v>
      </c>
      <c r="Y6201">
        <v>0.13027439999999901</v>
      </c>
      <c r="Z6201">
        <v>-3.0620280000000001E-3</v>
      </c>
      <c r="AA6201">
        <v>0.9914733</v>
      </c>
      <c r="AB6201">
        <v>35</v>
      </c>
      <c r="AC6201">
        <v>34.965699999999998</v>
      </c>
      <c r="AD6201">
        <v>-1.1720459999999999</v>
      </c>
      <c r="AE6201">
        <v>-4.63858999999999</v>
      </c>
      <c r="AF6201">
        <v>4.6191416022198801</v>
      </c>
      <c r="AG6201">
        <v>-1.1720459999999999</v>
      </c>
      <c r="AH6201">
        <v>34.929033546343</v>
      </c>
      <c r="AI6201">
        <v>91.905267125561707</v>
      </c>
      <c r="AJ6201">
        <v>82.466711139030295</v>
      </c>
      <c r="AK6201">
        <v>35.252624660428197</v>
      </c>
      <c r="AL6201">
        <v>78.517641078341398</v>
      </c>
      <c r="AM6201">
        <v>87.277159369034294</v>
      </c>
      <c r="AN6201">
        <v>0.99999994397636405</v>
      </c>
    </row>
    <row r="6202" spans="1:40" x14ac:dyDescent="0.25">
      <c r="A6202" t="str">
        <f>"20190303170414668"</f>
        <v>20190303170414668</v>
      </c>
      <c r="B6202" t="str">
        <f>"1551603854661883"</f>
        <v>1551603854661883</v>
      </c>
      <c r="C6202" t="s">
        <v>40</v>
      </c>
      <c r="D6202">
        <v>4.6482599999999996</v>
      </c>
      <c r="E6202">
        <v>0.53738589999999997</v>
      </c>
      <c r="F6202" t="s">
        <v>44</v>
      </c>
      <c r="G6202">
        <v>-307.4896</v>
      </c>
      <c r="H6202">
        <v>-0.05</v>
      </c>
      <c r="I6202">
        <v>11.978160000000001</v>
      </c>
      <c r="J6202">
        <v>-342.63729999999998</v>
      </c>
      <c r="K6202">
        <v>1.1220779999999999</v>
      </c>
      <c r="L6202">
        <v>16.659479999999999</v>
      </c>
      <c r="M6202">
        <v>0.99990369999999995</v>
      </c>
      <c r="N6202">
        <v>-1.3885460000000001E-2</v>
      </c>
      <c r="O6202">
        <v>-1.2951090000000001E-4</v>
      </c>
      <c r="P6202">
        <v>0.98142819999999997</v>
      </c>
      <c r="Q6202">
        <v>0.18583269999999999</v>
      </c>
      <c r="R6202">
        <v>-4.7596649999999997E-2</v>
      </c>
      <c r="S6202">
        <v>3.0560909999999999</v>
      </c>
      <c r="T6202">
        <v>-0.1014168</v>
      </c>
      <c r="U6202">
        <v>-0.40505980000000003</v>
      </c>
      <c r="V6202">
        <v>4.7255970000000001E-2</v>
      </c>
      <c r="W6202">
        <v>0.19949330000000001</v>
      </c>
      <c r="X6202">
        <v>0.97875909999999999</v>
      </c>
      <c r="Y6202">
        <v>0.13116320000000001</v>
      </c>
      <c r="Z6202">
        <v>-3.0787750000000002E-3</v>
      </c>
      <c r="AA6202">
        <v>0.99135600000000001</v>
      </c>
      <c r="AB6202">
        <v>35</v>
      </c>
      <c r="AC6202">
        <v>35.147699999999901</v>
      </c>
      <c r="AD6202">
        <v>-1.172078</v>
      </c>
      <c r="AE6202">
        <v>-4.6813199999999897</v>
      </c>
      <c r="AF6202">
        <v>4.6716630021258796</v>
      </c>
      <c r="AG6202">
        <v>-1.172078</v>
      </c>
      <c r="AH6202">
        <v>35.109943035464902</v>
      </c>
      <c r="AI6202">
        <v>91.895307729493098</v>
      </c>
      <c r="AJ6202">
        <v>82.420850337111304</v>
      </c>
      <c r="AK6202">
        <v>35.438768347631701</v>
      </c>
      <c r="AL6202">
        <v>78.492670294802593</v>
      </c>
      <c r="AM6202">
        <v>87.235819619792693</v>
      </c>
      <c r="AN6202">
        <v>1.00000003963916</v>
      </c>
    </row>
    <row r="6203" spans="1:40" x14ac:dyDescent="0.25">
      <c r="A6203" t="str">
        <f>"20190303170414679"</f>
        <v>20190303170414679</v>
      </c>
      <c r="B6203" t="str">
        <f>"1551603854671642"</f>
        <v>1551603854671642</v>
      </c>
      <c r="C6203" t="s">
        <v>40</v>
      </c>
      <c r="D6203">
        <v>4.6545820000000004</v>
      </c>
      <c r="E6203">
        <v>0.53745909999999997</v>
      </c>
      <c r="F6203" t="s">
        <v>44</v>
      </c>
      <c r="G6203">
        <v>-306.70940000000002</v>
      </c>
      <c r="H6203">
        <v>-0.05</v>
      </c>
      <c r="I6203">
        <v>11.866350000000001</v>
      </c>
      <c r="J6203">
        <v>-342.46589999999998</v>
      </c>
      <c r="K6203">
        <v>1.122107</v>
      </c>
      <c r="L6203">
        <v>16.65973</v>
      </c>
      <c r="M6203">
        <v>0.99990369999999995</v>
      </c>
      <c r="N6203">
        <v>-1.388474E-2</v>
      </c>
      <c r="O6203">
        <v>1.652364E-4</v>
      </c>
      <c r="P6203">
        <v>0.98135720000000004</v>
      </c>
      <c r="Q6203">
        <v>0.1861276</v>
      </c>
      <c r="R6203">
        <v>-4.7905940000000001E-2</v>
      </c>
      <c r="S6203">
        <v>3.0558779999999999</v>
      </c>
      <c r="T6203">
        <v>-9.9691989999999994E-2</v>
      </c>
      <c r="U6203">
        <v>-0.4076843</v>
      </c>
      <c r="V6203">
        <v>4.7840889999999997E-2</v>
      </c>
      <c r="W6203">
        <v>0.19979050000000001</v>
      </c>
      <c r="X6203">
        <v>0.97867000000000004</v>
      </c>
      <c r="Y6203">
        <v>0.132303</v>
      </c>
      <c r="Z6203">
        <v>-3.0739980000000001E-3</v>
      </c>
      <c r="AA6203">
        <v>0.99120459999999999</v>
      </c>
      <c r="AB6203">
        <v>35</v>
      </c>
      <c r="AC6203">
        <v>35.756499999999903</v>
      </c>
      <c r="AD6203">
        <v>-1.172107</v>
      </c>
      <c r="AE6203">
        <v>-4.7933799999999902</v>
      </c>
      <c r="AF6203">
        <v>4.7942281116269596</v>
      </c>
      <c r="AG6203">
        <v>-1.172107</v>
      </c>
      <c r="AH6203">
        <v>35.718004363221098</v>
      </c>
      <c r="AI6203">
        <v>91.862826040455502</v>
      </c>
      <c r="AJ6203">
        <v>82.355199278165301</v>
      </c>
      <c r="AK6203">
        <v>36.057375025046497</v>
      </c>
      <c r="AL6203">
        <v>78.475291472987607</v>
      </c>
      <c r="AM6203">
        <v>87.201405127292901</v>
      </c>
      <c r="AN6203">
        <v>0.99999998177311999</v>
      </c>
    </row>
    <row r="6204" spans="1:40" x14ac:dyDescent="0.25">
      <c r="A6204" t="str">
        <f>"20190303170414690"</f>
        <v>20190303170414690</v>
      </c>
      <c r="B6204" t="str">
        <f>"1551603854681402"</f>
        <v>1551603854681402</v>
      </c>
      <c r="C6204" t="s">
        <v>40</v>
      </c>
      <c r="D6204">
        <v>4.6538339999999998</v>
      </c>
      <c r="E6204">
        <v>0.53751590000000005</v>
      </c>
      <c r="F6204" t="s">
        <v>44</v>
      </c>
      <c r="G6204">
        <v>-306.80419999999998</v>
      </c>
      <c r="H6204">
        <v>-0.05</v>
      </c>
      <c r="I6204">
        <v>11.886749999999999</v>
      </c>
      <c r="J6204">
        <v>-342.29590000000002</v>
      </c>
      <c r="K6204">
        <v>1.1221350000000001</v>
      </c>
      <c r="L6204">
        <v>16.660029999999999</v>
      </c>
      <c r="M6204">
        <v>0.9999036</v>
      </c>
      <c r="N6204">
        <v>-1.388408E-2</v>
      </c>
      <c r="O6204">
        <v>4.7447759999999999E-4</v>
      </c>
      <c r="P6204">
        <v>0.98125569999999895</v>
      </c>
      <c r="Q6204">
        <v>0.18648890000000001</v>
      </c>
      <c r="R6204">
        <v>-4.8570950000000002E-2</v>
      </c>
      <c r="S6204">
        <v>3.0560909999999999</v>
      </c>
      <c r="T6204">
        <v>-0.1004456</v>
      </c>
      <c r="U6204">
        <v>-0.40902709999999998</v>
      </c>
      <c r="V6204">
        <v>4.8795289999999998E-2</v>
      </c>
      <c r="W6204">
        <v>0.20015350000000001</v>
      </c>
      <c r="X6204">
        <v>0.97854870000000005</v>
      </c>
      <c r="Y6204">
        <v>0.13302649999999999</v>
      </c>
      <c r="Z6204">
        <v>-3.112765E-3</v>
      </c>
      <c r="AA6204">
        <v>0.99110759999999998</v>
      </c>
      <c r="AB6204">
        <v>35</v>
      </c>
      <c r="AC6204">
        <v>35.491700000000002</v>
      </c>
      <c r="AD6204">
        <v>-1.1721349999999999</v>
      </c>
      <c r="AE6204">
        <v>-4.7732799999999997</v>
      </c>
      <c r="AF6204">
        <v>4.7849948718322199</v>
      </c>
      <c r="AG6204">
        <v>-1.1721349999999999</v>
      </c>
      <c r="AH6204">
        <v>35.451451357361798</v>
      </c>
      <c r="AI6204">
        <v>91.876681465922303</v>
      </c>
      <c r="AJ6204">
        <v>82.313061806027406</v>
      </c>
      <c r="AK6204">
        <v>35.792114770226704</v>
      </c>
      <c r="AL6204">
        <v>78.454064342738207</v>
      </c>
      <c r="AM6204">
        <v>87.145312857241805</v>
      </c>
      <c r="AN6204">
        <v>0.99999998108006105</v>
      </c>
    </row>
    <row r="6205" spans="1:40" x14ac:dyDescent="0.25">
      <c r="A6205" t="str">
        <f>"20190303170414700"</f>
        <v>20190303170414700</v>
      </c>
      <c r="B6205" t="str">
        <f>"1551603854692138"</f>
        <v>1551603854692138</v>
      </c>
      <c r="C6205" t="s">
        <v>40</v>
      </c>
      <c r="D6205">
        <v>4.6221779999999999</v>
      </c>
      <c r="E6205">
        <v>0.53753280000000003</v>
      </c>
      <c r="F6205" t="s">
        <v>44</v>
      </c>
      <c r="G6205">
        <v>-306.48110000000003</v>
      </c>
      <c r="H6205">
        <v>-0.05</v>
      </c>
      <c r="I6205">
        <v>11.84038</v>
      </c>
      <c r="J6205">
        <v>-342.14269999999999</v>
      </c>
      <c r="K6205">
        <v>1.1221669999999999</v>
      </c>
      <c r="L6205">
        <v>16.660339999999898</v>
      </c>
      <c r="M6205">
        <v>0.99990330000000005</v>
      </c>
      <c r="N6205">
        <v>-1.388352E-2</v>
      </c>
      <c r="O6205">
        <v>7.6961420000000002E-4</v>
      </c>
      <c r="P6205">
        <v>0.98106590000000005</v>
      </c>
      <c r="Q6205">
        <v>0.1873252</v>
      </c>
      <c r="R6205">
        <v>-4.918057E-2</v>
      </c>
      <c r="S6205">
        <v>3.0560299999999998</v>
      </c>
      <c r="T6205">
        <v>-0.1000167</v>
      </c>
      <c r="U6205">
        <v>-0.41125489999999998</v>
      </c>
      <c r="V6205">
        <v>4.9680599999999998E-2</v>
      </c>
      <c r="W6205">
        <v>0.20099059999999999</v>
      </c>
      <c r="X6205">
        <v>0.9783326</v>
      </c>
      <c r="Y6205">
        <v>0.13403119999999999</v>
      </c>
      <c r="Z6205">
        <v>-3.1322609999999999E-3</v>
      </c>
      <c r="AA6205">
        <v>0.99097219999999997</v>
      </c>
      <c r="AB6205">
        <v>35</v>
      </c>
      <c r="AC6205">
        <v>35.6615999999999</v>
      </c>
      <c r="AD6205">
        <v>-1.172167</v>
      </c>
      <c r="AE6205">
        <v>-4.8199599999999903</v>
      </c>
      <c r="AF6205">
        <v>4.84226924500551</v>
      </c>
      <c r="AG6205">
        <v>-1.172167</v>
      </c>
      <c r="AH6205">
        <v>35.620086661229998</v>
      </c>
      <c r="AI6205">
        <v>91.867613454136702</v>
      </c>
      <c r="AJ6205">
        <v>82.258546877370804</v>
      </c>
      <c r="AK6205">
        <v>35.966819718603801</v>
      </c>
      <c r="AL6205">
        <v>78.405107754724995</v>
      </c>
      <c r="AM6205">
        <v>87.092966403524699</v>
      </c>
      <c r="AN6205">
        <v>1.0000000297637299</v>
      </c>
    </row>
    <row r="6206" spans="1:40" x14ac:dyDescent="0.25">
      <c r="A6206" t="str">
        <f>"20190303170414713"</f>
        <v>20190303170414713</v>
      </c>
      <c r="B6206" t="str">
        <f>"1551603854701898"</f>
        <v>1551603854701898</v>
      </c>
      <c r="C6206" t="s">
        <v>40</v>
      </c>
      <c r="D6206">
        <v>4.6263480000000001</v>
      </c>
      <c r="E6206">
        <v>0.53755779999999997</v>
      </c>
      <c r="F6206" t="s">
        <v>44</v>
      </c>
      <c r="G6206">
        <v>-305.46730000000002</v>
      </c>
      <c r="H6206">
        <v>-0.05</v>
      </c>
      <c r="I6206">
        <v>11.702220000000001</v>
      </c>
      <c r="J6206">
        <v>-341.94240000000002</v>
      </c>
      <c r="K6206">
        <v>1.122207</v>
      </c>
      <c r="L6206">
        <v>16.66086</v>
      </c>
      <c r="M6206">
        <v>0.99990299999999999</v>
      </c>
      <c r="N6206">
        <v>-1.3882800000000001E-2</v>
      </c>
      <c r="O6206">
        <v>1.1711499999999999E-3</v>
      </c>
      <c r="P6206">
        <v>0.98087559999999996</v>
      </c>
      <c r="Q6206">
        <v>0.18819610000000001</v>
      </c>
      <c r="R6206">
        <v>-4.9654440000000001E-2</v>
      </c>
      <c r="S6206">
        <v>3.055847</v>
      </c>
      <c r="T6206">
        <v>-9.7666500000000003E-2</v>
      </c>
      <c r="U6206">
        <v>-0.4131165</v>
      </c>
      <c r="V6206">
        <v>5.0529940000000002E-2</v>
      </c>
      <c r="W6206">
        <v>0.20186309999999999</v>
      </c>
      <c r="X6206">
        <v>0.97810940000000002</v>
      </c>
      <c r="Y6206">
        <v>0.13503299999999999</v>
      </c>
      <c r="Z6206">
        <v>-3.1105680000000002E-3</v>
      </c>
      <c r="AA6206">
        <v>0.99083619999999994</v>
      </c>
      <c r="AB6206">
        <v>35</v>
      </c>
      <c r="AC6206">
        <v>36.475099999999998</v>
      </c>
      <c r="AD6206">
        <v>-1.172207</v>
      </c>
      <c r="AE6206">
        <v>-4.9586399999999902</v>
      </c>
      <c r="AF6206">
        <v>4.9962919993994399</v>
      </c>
      <c r="AG6206">
        <v>-1.172207</v>
      </c>
      <c r="AH6206">
        <v>36.4323226397333</v>
      </c>
      <c r="AI6206">
        <v>91.825774211321999</v>
      </c>
      <c r="AJ6206">
        <v>82.191224913502893</v>
      </c>
      <c r="AK6206">
        <v>36.7919982594006</v>
      </c>
      <c r="AL6206">
        <v>78.354070673508005</v>
      </c>
      <c r="AM6206">
        <v>87.042681677097704</v>
      </c>
      <c r="AN6206">
        <v>0.99999999217318603</v>
      </c>
    </row>
    <row r="6207" spans="1:40" x14ac:dyDescent="0.25">
      <c r="A6207" t="str">
        <f>"20190303170414727"</f>
        <v>20190303170414727</v>
      </c>
      <c r="B6207" t="str">
        <f>"1551603854711658"</f>
        <v>1551603854711658</v>
      </c>
      <c r="C6207" t="s">
        <v>40</v>
      </c>
      <c r="D6207">
        <v>4.6626070000000004</v>
      </c>
      <c r="E6207">
        <v>0.53758289999999997</v>
      </c>
      <c r="F6207" t="s">
        <v>44</v>
      </c>
      <c r="G6207">
        <v>-304.61189999999999</v>
      </c>
      <c r="H6207">
        <v>-0.05</v>
      </c>
      <c r="I6207">
        <v>11.599909999999999</v>
      </c>
      <c r="J6207">
        <v>-341.74990000000003</v>
      </c>
      <c r="K6207">
        <v>1.122244</v>
      </c>
      <c r="L6207">
        <v>16.6615</v>
      </c>
      <c r="M6207">
        <v>0.99990239999999997</v>
      </c>
      <c r="N6207">
        <v>-1.3882169999999999E-2</v>
      </c>
      <c r="O6207">
        <v>1.5899449999999999E-3</v>
      </c>
      <c r="P6207">
        <v>0.98069490000000004</v>
      </c>
      <c r="Q6207">
        <v>0.18906010000000001</v>
      </c>
      <c r="R6207">
        <v>-4.9940749999999999E-2</v>
      </c>
      <c r="S6207">
        <v>3.056</v>
      </c>
      <c r="T6207">
        <v>-9.5960859999999995E-2</v>
      </c>
      <c r="U6207">
        <v>-0.41430660000000002</v>
      </c>
      <c r="V6207">
        <v>5.12091E-2</v>
      </c>
      <c r="W6207">
        <v>0.20272889999999999</v>
      </c>
      <c r="X6207">
        <v>0.97789499999999996</v>
      </c>
      <c r="Y6207">
        <v>0.13582259999999999</v>
      </c>
      <c r="Z6207">
        <v>-3.097388E-3</v>
      </c>
      <c r="AA6207">
        <v>0.99072830000000001</v>
      </c>
      <c r="AB6207">
        <v>35</v>
      </c>
      <c r="AC6207">
        <v>37.137999999999998</v>
      </c>
      <c r="AD6207">
        <v>-1.1722440000000001</v>
      </c>
      <c r="AE6207">
        <v>-5.06158999999999</v>
      </c>
      <c r="AF6207">
        <v>5.1156328066740597</v>
      </c>
      <c r="AG6207">
        <v>-1.1722440000000001</v>
      </c>
      <c r="AH6207">
        <v>37.093621466060597</v>
      </c>
      <c r="AI6207">
        <v>91.793115803506495</v>
      </c>
      <c r="AJ6207">
        <v>82.147791369403507</v>
      </c>
      <c r="AK6207">
        <v>37.463056582127003</v>
      </c>
      <c r="AL6207">
        <v>78.303416836232302</v>
      </c>
      <c r="AM6207">
        <v>87.002349220040102</v>
      </c>
      <c r="AN6207">
        <v>1.0000000049215001</v>
      </c>
    </row>
    <row r="6208" spans="1:40" x14ac:dyDescent="0.25">
      <c r="A6208" t="str">
        <f>"20190303170414740"</f>
        <v>20190303170414740</v>
      </c>
      <c r="B6208" t="str">
        <f>"1551603854732155"</f>
        <v>1551603854732155</v>
      </c>
      <c r="C6208" t="s">
        <v>40</v>
      </c>
      <c r="D6208">
        <v>4.6372689999999999</v>
      </c>
      <c r="E6208">
        <v>0.53791420000000001</v>
      </c>
      <c r="F6208" t="s">
        <v>44</v>
      </c>
      <c r="G6208">
        <v>-303.8295</v>
      </c>
      <c r="H6208">
        <v>-0.05</v>
      </c>
      <c r="I6208">
        <v>11.51407</v>
      </c>
      <c r="J6208">
        <v>-341.52550000000002</v>
      </c>
      <c r="K6208">
        <v>1.1222890000000001</v>
      </c>
      <c r="L6208">
        <v>16.662289999999999</v>
      </c>
      <c r="M6208">
        <v>0.99990159999999995</v>
      </c>
      <c r="N6208">
        <v>-1.388144E-2</v>
      </c>
      <c r="O6208">
        <v>2.0985140000000001E-3</v>
      </c>
      <c r="P6208">
        <v>0.98050579999999998</v>
      </c>
      <c r="Q6208">
        <v>0.18990599999999999</v>
      </c>
      <c r="R6208">
        <v>-5.0443080000000001E-2</v>
      </c>
      <c r="S6208">
        <v>3.0561829999999999</v>
      </c>
      <c r="T6208">
        <v>-9.4476580000000004E-2</v>
      </c>
      <c r="U6208">
        <v>-0.414856</v>
      </c>
      <c r="V6208">
        <v>5.218975E-2</v>
      </c>
      <c r="W6208">
        <v>0.20357720000000001</v>
      </c>
      <c r="X6208">
        <v>0.97766690000000001</v>
      </c>
      <c r="Y6208">
        <v>0.13649539999999999</v>
      </c>
      <c r="Z6208">
        <v>-3.0872730000000002E-3</v>
      </c>
      <c r="AA6208">
        <v>0.99063590000000001</v>
      </c>
      <c r="AB6208">
        <v>35</v>
      </c>
      <c r="AC6208">
        <v>37.695999999999998</v>
      </c>
      <c r="AD6208">
        <v>-1.1722889999999999</v>
      </c>
      <c r="AE6208">
        <v>-5.1482199999999896</v>
      </c>
      <c r="AF6208">
        <v>5.2223637007753201</v>
      </c>
      <c r="AG6208">
        <v>-1.1722889999999999</v>
      </c>
      <c r="AH6208">
        <v>37.649367707878497</v>
      </c>
      <c r="AI6208">
        <v>91.766540628976799</v>
      </c>
      <c r="AJ6208">
        <v>82.102863424909501</v>
      </c>
      <c r="AK6208">
        <v>38.027913865024701</v>
      </c>
      <c r="AL6208">
        <v>78.253777722954496</v>
      </c>
      <c r="AM6208">
        <v>86.944340773413003</v>
      </c>
      <c r="AN6208">
        <v>1.0000000068602499</v>
      </c>
    </row>
    <row r="6209" spans="1:40" x14ac:dyDescent="0.25">
      <c r="A6209" t="str">
        <f>"20190303170414753"</f>
        <v>20190303170414753</v>
      </c>
      <c r="B6209" t="str">
        <f>"1551603854741914"</f>
        <v>1551603854741914</v>
      </c>
      <c r="C6209" t="s">
        <v>40</v>
      </c>
      <c r="D6209">
        <v>4.6496510000000004</v>
      </c>
      <c r="E6209">
        <v>0.53796860000000002</v>
      </c>
      <c r="F6209" t="s">
        <v>44</v>
      </c>
      <c r="G6209">
        <v>-303.62220000000002</v>
      </c>
      <c r="H6209">
        <v>-0.05</v>
      </c>
      <c r="I6209">
        <v>11.473269999999999</v>
      </c>
      <c r="J6209">
        <v>-341.3252</v>
      </c>
      <c r="K6209">
        <v>1.1223259999999999</v>
      </c>
      <c r="L6209">
        <v>16.663119999999999</v>
      </c>
      <c r="M6209">
        <v>0.99990049999999997</v>
      </c>
      <c r="N6209">
        <v>-1.38808E-2</v>
      </c>
      <c r="O6209">
        <v>2.574523E-3</v>
      </c>
      <c r="P6209">
        <v>0.98041719999999999</v>
      </c>
      <c r="Q6209">
        <v>0.19030349999999999</v>
      </c>
      <c r="R6209">
        <v>-5.0664859999999999E-2</v>
      </c>
      <c r="S6209">
        <v>3.0563959999999999</v>
      </c>
      <c r="T6209">
        <v>-9.4529509999999997E-2</v>
      </c>
      <c r="U6209">
        <v>-0.41842649999999998</v>
      </c>
      <c r="V6209">
        <v>5.2860730000000002E-2</v>
      </c>
      <c r="W6209">
        <v>0.20397770000000001</v>
      </c>
      <c r="X6209">
        <v>0.97754730000000001</v>
      </c>
      <c r="Y6209">
        <v>0.13809250000000001</v>
      </c>
      <c r="Z6209">
        <v>-3.131993E-3</v>
      </c>
      <c r="AA6209">
        <v>0.99041440000000003</v>
      </c>
      <c r="AB6209">
        <v>35</v>
      </c>
      <c r="AC6209">
        <v>37.702999999999903</v>
      </c>
      <c r="AD6209">
        <v>-1.172326</v>
      </c>
      <c r="AE6209">
        <v>-5.1898499999999999</v>
      </c>
      <c r="AF6209">
        <v>5.2818976984160599</v>
      </c>
      <c r="AG6209">
        <v>-1.172326</v>
      </c>
      <c r="AH6209">
        <v>37.6537849278455</v>
      </c>
      <c r="AI6209">
        <v>91.766011309300495</v>
      </c>
      <c r="AJ6209">
        <v>82.014917311797404</v>
      </c>
      <c r="AK6209">
        <v>38.040508815462097</v>
      </c>
      <c r="AL6209">
        <v>78.230338170498399</v>
      </c>
      <c r="AM6209">
        <v>86.904753520648498</v>
      </c>
      <c r="AN6209">
        <v>0.99999994130535397</v>
      </c>
    </row>
    <row r="6210" spans="1:40" x14ac:dyDescent="0.25">
      <c r="A6210" t="str">
        <f>"20190303170414769"</f>
        <v>20190303170414769</v>
      </c>
      <c r="B6210" t="str">
        <f>"1551603854761434"</f>
        <v>1551603854761434</v>
      </c>
      <c r="C6210" t="s">
        <v>40</v>
      </c>
      <c r="D6210">
        <v>4.6278410000000001</v>
      </c>
      <c r="E6210">
        <v>0.5381264</v>
      </c>
      <c r="F6210" t="s">
        <v>44</v>
      </c>
      <c r="G6210">
        <v>-303.21749999999997</v>
      </c>
      <c r="H6210">
        <v>-0.05</v>
      </c>
      <c r="I6210">
        <v>11.435269999999999</v>
      </c>
      <c r="J6210">
        <v>-341.08879999999999</v>
      </c>
      <c r="K6210">
        <v>1.1223620000000001</v>
      </c>
      <c r="L6210">
        <v>16.66431</v>
      </c>
      <c r="M6210">
        <v>0.99989870000000003</v>
      </c>
      <c r="N6210">
        <v>-1.3880190000000001E-2</v>
      </c>
      <c r="O6210">
        <v>3.1681050000000001E-3</v>
      </c>
      <c r="P6210">
        <v>0.98036959999999995</v>
      </c>
      <c r="Q6210">
        <v>0.1902305</v>
      </c>
      <c r="R6210">
        <v>-5.1847440000000002E-2</v>
      </c>
      <c r="S6210">
        <v>3.0565190000000002</v>
      </c>
      <c r="T6210">
        <v>-9.4029070000000006E-2</v>
      </c>
      <c r="U6210">
        <v>-0.4193115</v>
      </c>
      <c r="V6210">
        <v>5.4607059999999999E-2</v>
      </c>
      <c r="W6210">
        <v>0.20391049999999999</v>
      </c>
      <c r="X6210">
        <v>0.97746540000000004</v>
      </c>
      <c r="Y6210">
        <v>0.13895679999999999</v>
      </c>
      <c r="Z6210">
        <v>-3.1494050000000001E-3</v>
      </c>
      <c r="AA6210">
        <v>0.99029339999999999</v>
      </c>
      <c r="AB6210">
        <v>35</v>
      </c>
      <c r="AC6210">
        <v>37.871299999999998</v>
      </c>
      <c r="AD6210">
        <v>-1.1723619999999999</v>
      </c>
      <c r="AE6210">
        <v>-5.2290400000000004</v>
      </c>
      <c r="AF6210">
        <v>5.3439802118718998</v>
      </c>
      <c r="AG6210">
        <v>-1.1723619999999999</v>
      </c>
      <c r="AH6210">
        <v>37.8189781165743</v>
      </c>
      <c r="AI6210">
        <v>91.758106615002404</v>
      </c>
      <c r="AJ6210">
        <v>81.957114420607795</v>
      </c>
      <c r="AK6210">
        <v>38.212663646307703</v>
      </c>
      <c r="AL6210">
        <v>78.234271994167102</v>
      </c>
      <c r="AM6210">
        <v>86.802439046539206</v>
      </c>
      <c r="AN6210">
        <v>1.00000001560462</v>
      </c>
    </row>
    <row r="6211" spans="1:40" x14ac:dyDescent="0.25">
      <c r="A6211" t="str">
        <f>"20190303170414779"</f>
        <v>20190303170414779</v>
      </c>
      <c r="B6211" t="str">
        <f>"1551603854772171"</f>
        <v>1551603854772171</v>
      </c>
      <c r="C6211" t="s">
        <v>40</v>
      </c>
      <c r="D6211">
        <v>4.6142349999999999</v>
      </c>
      <c r="E6211">
        <v>0.53822449999999999</v>
      </c>
      <c r="F6211" t="s">
        <v>44</v>
      </c>
      <c r="G6211">
        <v>-303.5172</v>
      </c>
      <c r="H6211">
        <v>-0.05</v>
      </c>
      <c r="I6211">
        <v>11.46034</v>
      </c>
      <c r="J6211">
        <v>-340.91640000000001</v>
      </c>
      <c r="K6211">
        <v>1.1223860000000001</v>
      </c>
      <c r="L6211">
        <v>16.66525</v>
      </c>
      <c r="M6211">
        <v>0.99989720000000004</v>
      </c>
      <c r="N6211">
        <v>-1.387962E-2</v>
      </c>
      <c r="O6211">
        <v>3.6120840000000002E-3</v>
      </c>
      <c r="P6211">
        <v>0.98047689999999998</v>
      </c>
      <c r="Q6211">
        <v>0.18962999999999999</v>
      </c>
      <c r="R6211">
        <v>-5.2016840000000002E-2</v>
      </c>
      <c r="S6211">
        <v>3.0562130000000001</v>
      </c>
      <c r="T6211">
        <v>-9.5364210000000005E-2</v>
      </c>
      <c r="U6211">
        <v>-0.4233093</v>
      </c>
      <c r="V6211">
        <v>5.5201149999999997E-2</v>
      </c>
      <c r="W6211">
        <v>0.20331479999999999</v>
      </c>
      <c r="X6211">
        <v>0.97755610000000004</v>
      </c>
      <c r="Y6211">
        <v>0.14067729999999901</v>
      </c>
      <c r="Z6211">
        <v>-3.2274169999999998E-3</v>
      </c>
      <c r="AA6211">
        <v>0.99005030000000005</v>
      </c>
      <c r="AB6211">
        <v>35</v>
      </c>
      <c r="AC6211">
        <v>37.3992</v>
      </c>
      <c r="AD6211">
        <v>-1.1723859999999999</v>
      </c>
      <c r="AE6211">
        <v>-5.2049099999999999</v>
      </c>
      <c r="AF6211">
        <v>5.3348352186483998</v>
      </c>
      <c r="AG6211">
        <v>-1.1723859999999999</v>
      </c>
      <c r="AH6211">
        <v>37.344153144319399</v>
      </c>
      <c r="AI6211">
        <v>91.780098290968397</v>
      </c>
      <c r="AJ6211">
        <v>81.869963505550999</v>
      </c>
      <c r="AK6211">
        <v>37.741498775346798</v>
      </c>
      <c r="AL6211">
        <v>78.269133218200196</v>
      </c>
      <c r="AM6211">
        <v>86.768024249558906</v>
      </c>
      <c r="AN6211">
        <v>1.00000000175378</v>
      </c>
    </row>
    <row r="6212" spans="1:40" x14ac:dyDescent="0.25">
      <c r="A6212" t="str">
        <f>"20190303170414790"</f>
        <v>20190303170414790</v>
      </c>
      <c r="B6212" t="str">
        <f>"1551603854781930"</f>
        <v>1551603854781930</v>
      </c>
      <c r="C6212" t="s">
        <v>40</v>
      </c>
      <c r="D6212">
        <v>4.6593419999999997</v>
      </c>
      <c r="E6212">
        <v>0.53820029999999996</v>
      </c>
      <c r="F6212" t="s">
        <v>44</v>
      </c>
      <c r="G6212">
        <v>-304.55399999999997</v>
      </c>
      <c r="H6212">
        <v>-0.05</v>
      </c>
      <c r="I6212">
        <v>11.616210000000001</v>
      </c>
      <c r="J6212">
        <v>-340.7543</v>
      </c>
      <c r="K6212">
        <v>1.122403</v>
      </c>
      <c r="L6212">
        <v>16.6662</v>
      </c>
      <c r="M6212">
        <v>0.99989570000000005</v>
      </c>
      <c r="N6212">
        <v>-1.3878959999999999E-2</v>
      </c>
      <c r="O6212">
        <v>4.0389019999999996E-3</v>
      </c>
      <c r="P6212">
        <v>0.98046960000000005</v>
      </c>
      <c r="Q6212">
        <v>0.18950030000000001</v>
      </c>
      <c r="R6212">
        <v>-5.2626439999999997E-2</v>
      </c>
      <c r="S6212">
        <v>3.056305</v>
      </c>
      <c r="T6212">
        <v>-9.8540539999999996E-2</v>
      </c>
      <c r="U6212">
        <v>-0.42437740000000002</v>
      </c>
      <c r="V6212">
        <v>5.6219310000000002E-2</v>
      </c>
      <c r="W6212">
        <v>0.2031888</v>
      </c>
      <c r="X6212">
        <v>0.97752430000000001</v>
      </c>
      <c r="Y6212">
        <v>0.1414291</v>
      </c>
      <c r="Z6212">
        <v>-3.328826E-3</v>
      </c>
      <c r="AA6212">
        <v>0.98994280000000001</v>
      </c>
      <c r="AB6212">
        <v>35</v>
      </c>
      <c r="AC6212">
        <v>36.200299999999899</v>
      </c>
      <c r="AD6212">
        <v>-1.1724030000000001</v>
      </c>
      <c r="AE6212">
        <v>-5.0499899999999904</v>
      </c>
      <c r="AF6212">
        <v>5.1908316517084296</v>
      </c>
      <c r="AG6212">
        <v>-1.1724030000000001</v>
      </c>
      <c r="AH6212">
        <v>36.142420575721701</v>
      </c>
      <c r="AI6212">
        <v>91.839075564621098</v>
      </c>
      <c r="AJ6212">
        <v>81.826979044592406</v>
      </c>
      <c r="AK6212">
        <v>36.532093111442997</v>
      </c>
      <c r="AL6212">
        <v>78.276506704470705</v>
      </c>
      <c r="AM6212">
        <v>86.7084349765437</v>
      </c>
      <c r="AN6212">
        <v>1.0000000281764001</v>
      </c>
    </row>
    <row r="6213" spans="1:40" x14ac:dyDescent="0.25">
      <c r="A6213" t="str">
        <f>"20190303170414801"</f>
        <v>20190303170414801</v>
      </c>
      <c r="B6213" t="str">
        <f>"1551603854791691"</f>
        <v>1551603854791691</v>
      </c>
      <c r="C6213" t="s">
        <v>40</v>
      </c>
      <c r="D6213">
        <v>4.7607839999999904</v>
      </c>
      <c r="E6213">
        <v>0.53820029999999996</v>
      </c>
      <c r="F6213" t="s">
        <v>44</v>
      </c>
      <c r="G6213">
        <v>-305.00470000000001</v>
      </c>
      <c r="H6213">
        <v>-0.05</v>
      </c>
      <c r="I6213">
        <v>11.6861</v>
      </c>
      <c r="J6213">
        <v>-340.5908</v>
      </c>
      <c r="K6213">
        <v>1.122414</v>
      </c>
      <c r="L6213">
        <v>16.667269999999998</v>
      </c>
      <c r="M6213">
        <v>0.9998937</v>
      </c>
      <c r="N6213">
        <v>-1.387819E-2</v>
      </c>
      <c r="O6213">
        <v>4.4768849999999999E-3</v>
      </c>
      <c r="P6213">
        <v>0.98047980000000001</v>
      </c>
      <c r="Q6213">
        <v>0.18934039999999999</v>
      </c>
      <c r="R6213">
        <v>-5.3005740000000003E-2</v>
      </c>
      <c r="S6213">
        <v>3.056244</v>
      </c>
      <c r="T6213">
        <v>-0.100229</v>
      </c>
      <c r="U6213">
        <v>-0.42575069999999998</v>
      </c>
      <c r="V6213">
        <v>5.7019380000000001E-2</v>
      </c>
      <c r="W6213">
        <v>0.2030323</v>
      </c>
      <c r="X6213">
        <v>0.97751049999999995</v>
      </c>
      <c r="Y6213">
        <v>0.1422979</v>
      </c>
      <c r="Z6213">
        <v>-3.3983389999999998E-3</v>
      </c>
      <c r="AA6213">
        <v>0.98981799999999998</v>
      </c>
      <c r="AB6213">
        <v>35</v>
      </c>
      <c r="AC6213">
        <v>35.586099999999902</v>
      </c>
      <c r="AD6213">
        <v>-1.1724139999999901</v>
      </c>
      <c r="AE6213">
        <v>-4.9811699999999997</v>
      </c>
      <c r="AF6213">
        <v>5.1349837387640198</v>
      </c>
      <c r="AG6213">
        <v>-1.1724139999999901</v>
      </c>
      <c r="AH6213">
        <v>35.5256215190349</v>
      </c>
      <c r="AI6213">
        <v>91.870757620443797</v>
      </c>
      <c r="AJ6213">
        <v>81.775253372552896</v>
      </c>
      <c r="AK6213">
        <v>35.913958246042498</v>
      </c>
      <c r="AL6213">
        <v>78.2856646500164</v>
      </c>
      <c r="AM6213">
        <v>86.661650132327296</v>
      </c>
      <c r="AN6213">
        <v>1.0000000510745599</v>
      </c>
    </row>
    <row r="6214" spans="1:40" x14ac:dyDescent="0.25">
      <c r="A6214" t="str">
        <f>"20190303170414813"</f>
        <v>20190303170414813</v>
      </c>
      <c r="B6214" t="str">
        <f>"1551603854802427"</f>
        <v>1551603854802427</v>
      </c>
      <c r="C6214" t="s">
        <v>40</v>
      </c>
      <c r="D6214">
        <v>4.7073410000000004</v>
      </c>
      <c r="E6214">
        <v>0.51510089999999997</v>
      </c>
      <c r="F6214" t="s">
        <v>44</v>
      </c>
      <c r="G6214">
        <v>-305.02710000000002</v>
      </c>
      <c r="H6214">
        <v>-0.05</v>
      </c>
      <c r="I6214">
        <v>11.699680000000001</v>
      </c>
      <c r="J6214">
        <v>-340.41239999999999</v>
      </c>
      <c r="K6214">
        <v>1.122431</v>
      </c>
      <c r="L6214">
        <v>16.66846</v>
      </c>
      <c r="M6214">
        <v>0.99989139999999999</v>
      </c>
      <c r="N6214">
        <v>-1.387729E-2</v>
      </c>
      <c r="O6214">
        <v>4.9598009999999998E-3</v>
      </c>
      <c r="P6214">
        <v>0.98047490000000004</v>
      </c>
      <c r="Q6214">
        <v>0.18935669999999999</v>
      </c>
      <c r="R6214">
        <v>-5.3037899999999999E-2</v>
      </c>
      <c r="S6214">
        <v>3.0560909999999999</v>
      </c>
      <c r="T6214">
        <v>-0.10074900000000001</v>
      </c>
      <c r="U6214">
        <v>-0.42687989999999998</v>
      </c>
      <c r="V6214">
        <v>5.7516329999999997E-2</v>
      </c>
      <c r="W6214">
        <v>0.2030506</v>
      </c>
      <c r="X6214">
        <v>0.97747759999999995</v>
      </c>
      <c r="Y6214">
        <v>0.14313970000000001</v>
      </c>
      <c r="Z6214">
        <v>-3.4400139999999999E-3</v>
      </c>
      <c r="AA6214">
        <v>0.98969649999999998</v>
      </c>
      <c r="AB6214">
        <v>34</v>
      </c>
      <c r="AC6214">
        <v>35.385299999999901</v>
      </c>
      <c r="AD6214">
        <v>-1.172431</v>
      </c>
      <c r="AE6214">
        <v>-4.96877999999999</v>
      </c>
      <c r="AF6214">
        <v>5.1387075586258399</v>
      </c>
      <c r="AG6214">
        <v>-1.172431</v>
      </c>
      <c r="AH6214">
        <v>35.322190755257999</v>
      </c>
      <c r="AI6214">
        <v>91.881300963933001</v>
      </c>
      <c r="AJ6214">
        <v>81.7226229672805</v>
      </c>
      <c r="AK6214">
        <v>35.713275816895802</v>
      </c>
      <c r="AL6214">
        <v>78.284594014884703</v>
      </c>
      <c r="AM6214">
        <v>86.632508471051096</v>
      </c>
      <c r="AN6214">
        <v>1.00000006643939</v>
      </c>
    </row>
    <row r="6215" spans="1:40" x14ac:dyDescent="0.25">
      <c r="A6215" t="str">
        <f>"20190303170414825"</f>
        <v>20190303170414825</v>
      </c>
      <c r="B6215" t="str">
        <f>"1551603854812186"</f>
        <v>1551603854812186</v>
      </c>
      <c r="C6215" t="s">
        <v>40</v>
      </c>
      <c r="D6215">
        <v>4.7681490000000002</v>
      </c>
      <c r="E6215">
        <v>0.5143508</v>
      </c>
      <c r="F6215" t="s">
        <v>44</v>
      </c>
      <c r="G6215">
        <v>-282.6551</v>
      </c>
      <c r="H6215">
        <v>-0.05</v>
      </c>
      <c r="I6215">
        <v>12.04884</v>
      </c>
      <c r="J6215">
        <v>-340.2176</v>
      </c>
      <c r="K6215">
        <v>1.1224479999999999</v>
      </c>
      <c r="L6215">
        <v>16.66995</v>
      </c>
      <c r="M6215">
        <v>0.99988860000000002</v>
      </c>
      <c r="N6215">
        <v>-1.3876309999999999E-2</v>
      </c>
      <c r="O6215">
        <v>5.4948289999999997E-3</v>
      </c>
      <c r="P6215">
        <v>0.98047830000000002</v>
      </c>
      <c r="Q6215">
        <v>0.18929119999999999</v>
      </c>
      <c r="R6215">
        <v>-5.3207650000000002E-2</v>
      </c>
      <c r="S6215">
        <v>3.0585019999999998</v>
      </c>
      <c r="T6215">
        <v>-6.2085389999999997E-2</v>
      </c>
      <c r="U6215">
        <v>-0.24462890000000001</v>
      </c>
      <c r="V6215">
        <v>5.8203459999999999E-2</v>
      </c>
      <c r="W6215">
        <v>0.20298659999999999</v>
      </c>
      <c r="X6215">
        <v>0.97745009999999999</v>
      </c>
      <c r="Y6215">
        <v>8.517574E-2</v>
      </c>
      <c r="Z6215">
        <v>-1.4903060000000001E-3</v>
      </c>
      <c r="AA6215">
        <v>0.99636480000000005</v>
      </c>
      <c r="AB6215">
        <v>34</v>
      </c>
      <c r="AC6215">
        <v>57.5625</v>
      </c>
      <c r="AD6215">
        <v>-1.1724479999999999</v>
      </c>
      <c r="AE6215">
        <v>-4.6211099999999998</v>
      </c>
      <c r="AF6215">
        <v>4.9353323898140804</v>
      </c>
      <c r="AG6215">
        <v>-1.1724479999999999</v>
      </c>
      <c r="AH6215">
        <v>57.512528969229997</v>
      </c>
      <c r="AI6215">
        <v>91.163592340722104</v>
      </c>
      <c r="AJ6215">
        <v>85.095283298291207</v>
      </c>
      <c r="AK6215">
        <v>57.735804563088699</v>
      </c>
      <c r="AL6215">
        <v>78.288337552988807</v>
      </c>
      <c r="AM6215">
        <v>86.592276678046204</v>
      </c>
      <c r="AN6215">
        <v>0.999999950262769</v>
      </c>
    </row>
    <row r="6216" spans="1:40" x14ac:dyDescent="0.25">
      <c r="A6216" t="str">
        <f>"20190303170414848"</f>
        <v>20190303170414848</v>
      </c>
      <c r="B6216" t="str">
        <f>"1551603854841466"</f>
        <v>1551603854841466</v>
      </c>
      <c r="C6216" t="s">
        <v>40</v>
      </c>
      <c r="D6216">
        <v>4.7109310000000004</v>
      </c>
      <c r="E6216">
        <v>0.51366970000000001</v>
      </c>
      <c r="F6216" t="s">
        <v>44</v>
      </c>
      <c r="G6216">
        <v>-284.08800000000002</v>
      </c>
      <c r="H6216">
        <v>-0.05</v>
      </c>
      <c r="I6216">
        <v>12.28777</v>
      </c>
      <c r="J6216">
        <v>-339.89659999999998</v>
      </c>
      <c r="K6216">
        <v>1.122466</v>
      </c>
      <c r="L6216">
        <v>16.67258</v>
      </c>
      <c r="M6216">
        <v>0.99988350000000004</v>
      </c>
      <c r="N6216">
        <v>-1.3874600000000001E-2</v>
      </c>
      <c r="O6216">
        <v>6.3836020000000004E-3</v>
      </c>
      <c r="P6216">
        <v>0.98046650000000002</v>
      </c>
      <c r="Q6216">
        <v>0.18918360000000001</v>
      </c>
      <c r="R6216">
        <v>-5.3808259999999997E-2</v>
      </c>
      <c r="S6216">
        <v>3.0590820000000001</v>
      </c>
      <c r="T6216">
        <v>-6.3898800000000006E-2</v>
      </c>
      <c r="U6216">
        <v>-0.2388306</v>
      </c>
      <c r="V6216">
        <v>5.9665910000000003E-2</v>
      </c>
      <c r="W6216">
        <v>0.20288200000000001</v>
      </c>
      <c r="X6216">
        <v>0.97738369999999997</v>
      </c>
      <c r="Y6216">
        <v>8.4168430000000002E-2</v>
      </c>
      <c r="Z6216">
        <v>-1.5072579999999901E-3</v>
      </c>
      <c r="AA6216">
        <v>0.99645039999999996</v>
      </c>
      <c r="AB6216">
        <v>34</v>
      </c>
      <c r="AC6216">
        <v>55.808599999999998</v>
      </c>
      <c r="AD6216">
        <v>-1.172466</v>
      </c>
      <c r="AE6216">
        <v>-4.3848099999999999</v>
      </c>
      <c r="AF6216">
        <v>4.73893600917068</v>
      </c>
      <c r="AG6216">
        <v>-1.172466</v>
      </c>
      <c r="AH6216">
        <v>55.755011731089098</v>
      </c>
      <c r="AI6216">
        <v>91.200362286316306</v>
      </c>
      <c r="AJ6216">
        <v>85.141781931951797</v>
      </c>
      <c r="AK6216">
        <v>55.9683260796144</v>
      </c>
      <c r="AL6216">
        <v>78.294458776359207</v>
      </c>
      <c r="AM6216">
        <v>86.506625177294893</v>
      </c>
      <c r="AN6216">
        <v>1.0000000118829</v>
      </c>
    </row>
    <row r="6217" spans="1:40" x14ac:dyDescent="0.25">
      <c r="A6217" t="str">
        <f>"20190303170414859"</f>
        <v>20190303170414859</v>
      </c>
      <c r="B6217" t="str">
        <f>"1551603854852202"</f>
        <v>1551603854852202</v>
      </c>
      <c r="C6217" t="s">
        <v>40</v>
      </c>
      <c r="D6217">
        <v>4.4446529999999997</v>
      </c>
      <c r="E6217">
        <v>0.51360329999999998</v>
      </c>
      <c r="F6217" t="s">
        <v>44</v>
      </c>
      <c r="G6217">
        <v>-280.8689</v>
      </c>
      <c r="H6217">
        <v>-0.05</v>
      </c>
      <c r="I6217">
        <v>12.129289999999999</v>
      </c>
      <c r="J6217">
        <v>-339.7099</v>
      </c>
      <c r="K6217">
        <v>1.122474</v>
      </c>
      <c r="L6217">
        <v>16.674219999999998</v>
      </c>
      <c r="M6217">
        <v>0.99987999999999999</v>
      </c>
      <c r="N6217">
        <v>-1.387353E-2</v>
      </c>
      <c r="O6217">
        <v>6.9030419999999999E-3</v>
      </c>
      <c r="P6217">
        <v>0.98050610000000005</v>
      </c>
      <c r="Q6217">
        <v>0.18892120000000001</v>
      </c>
      <c r="R6217">
        <v>-5.4007989999999999E-2</v>
      </c>
      <c r="S6217">
        <v>3.0585629999999999</v>
      </c>
      <c r="T6217">
        <v>-6.0752149999999998E-2</v>
      </c>
      <c r="U6217">
        <v>-0.2354126</v>
      </c>
      <c r="V6217">
        <v>6.0371330000000001E-2</v>
      </c>
      <c r="W6217">
        <v>0.20262189999999999</v>
      </c>
      <c r="X6217">
        <v>0.97739430000000005</v>
      </c>
      <c r="Y6217">
        <v>8.3594879999999996E-2</v>
      </c>
      <c r="Z6217">
        <v>-1.451056E-3</v>
      </c>
      <c r="AA6217">
        <v>0.99649880000000002</v>
      </c>
      <c r="AB6217">
        <v>34</v>
      </c>
      <c r="AC6217">
        <v>58.841000000000001</v>
      </c>
      <c r="AD6217">
        <v>-1.172474</v>
      </c>
      <c r="AE6217">
        <v>-4.5449299999999999</v>
      </c>
      <c r="AF6217">
        <v>4.9490892646742299</v>
      </c>
      <c r="AG6217">
        <v>-1.172474</v>
      </c>
      <c r="AH6217">
        <v>58.785018682473698</v>
      </c>
      <c r="AI6217">
        <v>91.138592533179704</v>
      </c>
      <c r="AJ6217">
        <v>85.187637665671403</v>
      </c>
      <c r="AK6217">
        <v>59.004632032825803</v>
      </c>
      <c r="AL6217">
        <v>78.309677059265297</v>
      </c>
      <c r="AM6217">
        <v>86.465465928392604</v>
      </c>
      <c r="AN6217">
        <v>0.99999997475903402</v>
      </c>
    </row>
    <row r="6218" spans="1:40" x14ac:dyDescent="0.25">
      <c r="A6218" t="str">
        <f>"20190303170414868"</f>
        <v>20190303170414868</v>
      </c>
      <c r="B6218" t="str">
        <f>"1551603854861963"</f>
        <v>1551603854861963</v>
      </c>
      <c r="C6218" t="s">
        <v>40</v>
      </c>
      <c r="D6218">
        <v>4.4269790000000002</v>
      </c>
      <c r="E6218">
        <v>0.51357810000000004</v>
      </c>
      <c r="F6218" t="s">
        <v>44</v>
      </c>
      <c r="G6218">
        <v>-282.15089999999998</v>
      </c>
      <c r="H6218">
        <v>-0.05</v>
      </c>
      <c r="I6218">
        <v>12.24699</v>
      </c>
      <c r="J6218">
        <v>-339.54899999999998</v>
      </c>
      <c r="K6218">
        <v>1.122476</v>
      </c>
      <c r="L6218">
        <v>16.675750000000001</v>
      </c>
      <c r="M6218">
        <v>0.99987689999999996</v>
      </c>
      <c r="N6218">
        <v>-1.3872590000000001E-2</v>
      </c>
      <c r="O6218">
        <v>7.3516340000000001E-3</v>
      </c>
      <c r="P6218">
        <v>0.9806047</v>
      </c>
      <c r="Q6218">
        <v>0.18834780000000001</v>
      </c>
      <c r="R6218">
        <v>-5.4219669999999998E-2</v>
      </c>
      <c r="S6218">
        <v>3.0586549999999999</v>
      </c>
      <c r="T6218">
        <v>-6.2304619999999998E-2</v>
      </c>
      <c r="U6218">
        <v>-0.23526</v>
      </c>
      <c r="V6218">
        <v>6.1021819999999997E-2</v>
      </c>
      <c r="W6218">
        <v>0.20205039999999999</v>
      </c>
      <c r="X6218">
        <v>0.97747220000000001</v>
      </c>
      <c r="Y6218">
        <v>8.3988950000000007E-2</v>
      </c>
      <c r="Z6218">
        <v>-1.4853310000000001E-3</v>
      </c>
      <c r="AA6218">
        <v>0.99646559999999995</v>
      </c>
      <c r="AB6218">
        <v>34</v>
      </c>
      <c r="AC6218">
        <v>57.398099999999999</v>
      </c>
      <c r="AD6218">
        <v>-1.1724760000000001</v>
      </c>
      <c r="AE6218">
        <v>-4.4287599999999996</v>
      </c>
      <c r="AF6218">
        <v>4.8486394651632096</v>
      </c>
      <c r="AG6218">
        <v>-1.1724760000000001</v>
      </c>
      <c r="AH6218">
        <v>57.340202335356203</v>
      </c>
      <c r="AI6218">
        <v>91.167239976555706</v>
      </c>
      <c r="AJ6218">
        <v>85.166614981301507</v>
      </c>
      <c r="AK6218">
        <v>57.5567789968593</v>
      </c>
      <c r="AL6218">
        <v>78.343113062526697</v>
      </c>
      <c r="AM6218">
        <v>86.427764056790394</v>
      </c>
      <c r="AN6218">
        <v>0.99999996421455495</v>
      </c>
    </row>
    <row r="6219" spans="1:40" x14ac:dyDescent="0.25">
      <c r="A6219" t="str">
        <f>"20190303170414880"</f>
        <v>20190303170414880</v>
      </c>
      <c r="B6219" t="str">
        <f>"1551603854871722"</f>
        <v>1551603854871722</v>
      </c>
      <c r="C6219" t="s">
        <v>40</v>
      </c>
      <c r="D6219">
        <v>4.7314379999999998</v>
      </c>
      <c r="E6219">
        <v>0.51363959999999997</v>
      </c>
      <c r="F6219" t="s">
        <v>44</v>
      </c>
      <c r="G6219">
        <v>-284.40440000000001</v>
      </c>
      <c r="H6219">
        <v>-0.05</v>
      </c>
      <c r="I6219">
        <v>12.42999</v>
      </c>
      <c r="J6219">
        <v>-339.37860000000001</v>
      </c>
      <c r="K6219">
        <v>1.1224829999999999</v>
      </c>
      <c r="L6219">
        <v>16.677429999999902</v>
      </c>
      <c r="M6219">
        <v>0.99987329999999996</v>
      </c>
      <c r="N6219">
        <v>-1.387157E-2</v>
      </c>
      <c r="O6219">
        <v>7.8261470000000003E-3</v>
      </c>
      <c r="P6219">
        <v>0.98069189999999995</v>
      </c>
      <c r="Q6219">
        <v>0.18782589999999999</v>
      </c>
      <c r="R6219">
        <v>-5.4452809999999997E-2</v>
      </c>
      <c r="S6219">
        <v>3.0587770000000001</v>
      </c>
      <c r="T6219">
        <v>-6.5035220000000005E-2</v>
      </c>
      <c r="U6219">
        <v>-0.2355042</v>
      </c>
      <c r="V6219">
        <v>6.171919E-2</v>
      </c>
      <c r="W6219">
        <v>0.2015305</v>
      </c>
      <c r="X6219">
        <v>0.97753579999999995</v>
      </c>
      <c r="Y6219">
        <v>8.45355E-2</v>
      </c>
      <c r="Z6219">
        <v>-1.5423360000000001E-3</v>
      </c>
      <c r="AA6219">
        <v>0.99641930000000001</v>
      </c>
      <c r="AB6219">
        <v>34</v>
      </c>
      <c r="AC6219">
        <v>54.974200000000003</v>
      </c>
      <c r="AD6219">
        <v>-1.1724829999999999</v>
      </c>
      <c r="AE6219">
        <v>-4.2474399999999903</v>
      </c>
      <c r="AF6219">
        <v>4.6754732551400497</v>
      </c>
      <c r="AG6219">
        <v>-1.1724829999999999</v>
      </c>
      <c r="AH6219">
        <v>54.914440659937199</v>
      </c>
      <c r="AI6219">
        <v>91.218733346787999</v>
      </c>
      <c r="AJ6219">
        <v>85.1335134559355</v>
      </c>
      <c r="AK6219">
        <v>55.125588972260303</v>
      </c>
      <c r="AL6219">
        <v>78.373527453414994</v>
      </c>
      <c r="AM6219">
        <v>86.3872817714809</v>
      </c>
      <c r="AN6219">
        <v>1.0000000205630699</v>
      </c>
    </row>
    <row r="6220" spans="1:40" x14ac:dyDescent="0.25">
      <c r="A6220" t="str">
        <f>"20190303170414892"</f>
        <v>20190303170414892</v>
      </c>
      <c r="B6220" t="str">
        <f>"1551603854881482"</f>
        <v>1551603854881482</v>
      </c>
      <c r="C6220" t="s">
        <v>40</v>
      </c>
      <c r="D6220">
        <v>4.6537030000000001</v>
      </c>
      <c r="E6220">
        <v>0.51354290000000002</v>
      </c>
      <c r="F6220" t="s">
        <v>44</v>
      </c>
      <c r="G6220">
        <v>-285.08879999999999</v>
      </c>
      <c r="H6220">
        <v>-0.05</v>
      </c>
      <c r="I6220">
        <v>12.47607</v>
      </c>
      <c r="J6220">
        <v>-339.19720000000001</v>
      </c>
      <c r="K6220">
        <v>1.122487</v>
      </c>
      <c r="L6220">
        <v>16.679289999999899</v>
      </c>
      <c r="M6220">
        <v>0.99986920000000001</v>
      </c>
      <c r="N6220">
        <v>-1.3870489999999999E-2</v>
      </c>
      <c r="O6220">
        <v>8.3312270000000001E-3</v>
      </c>
      <c r="P6220">
        <v>0.98081819999999997</v>
      </c>
      <c r="Q6220">
        <v>0.18719279999999999</v>
      </c>
      <c r="R6220">
        <v>-5.4360489999999997E-2</v>
      </c>
      <c r="S6220">
        <v>3.0585629999999999</v>
      </c>
      <c r="T6220">
        <v>-6.6054940000000006E-2</v>
      </c>
      <c r="U6220">
        <v>-0.2366943</v>
      </c>
      <c r="V6220">
        <v>6.2122049999999998E-2</v>
      </c>
      <c r="W6220">
        <v>0.2008991</v>
      </c>
      <c r="X6220">
        <v>0.97764019999999996</v>
      </c>
      <c r="Y6220">
        <v>8.5428390000000007E-2</v>
      </c>
      <c r="Z6220">
        <v>-1.5787679999999999E-3</v>
      </c>
      <c r="AA6220">
        <v>0.99634310000000004</v>
      </c>
      <c r="AB6220">
        <v>34</v>
      </c>
      <c r="AC6220">
        <v>54.108400000000003</v>
      </c>
      <c r="AD6220">
        <v>-1.1724870000000001</v>
      </c>
      <c r="AE6220">
        <v>-4.2032199999999902</v>
      </c>
      <c r="AF6220">
        <v>4.6517356369594598</v>
      </c>
      <c r="AG6220">
        <v>-1.1724870000000001</v>
      </c>
      <c r="AH6220">
        <v>54.046274956540898</v>
      </c>
      <c r="AI6220">
        <v>91.238210825941707</v>
      </c>
      <c r="AJ6220">
        <v>85.080704551901206</v>
      </c>
      <c r="AK6220">
        <v>54.258761567873499</v>
      </c>
      <c r="AL6220">
        <v>78.410458884201802</v>
      </c>
      <c r="AM6220">
        <v>86.364150784265107</v>
      </c>
      <c r="AN6220">
        <v>0.99999997906652505</v>
      </c>
    </row>
    <row r="6221" spans="1:40" x14ac:dyDescent="0.25">
      <c r="A6221" t="str">
        <f>"20190303170414903"</f>
        <v>20190303170414903</v>
      </c>
      <c r="B6221" t="str">
        <f>"1551603854892218"</f>
        <v>1551603854892218</v>
      </c>
      <c r="C6221" t="s">
        <v>40</v>
      </c>
      <c r="D6221">
        <v>4.7137219999999997</v>
      </c>
      <c r="E6221">
        <v>0.51367439999999998</v>
      </c>
      <c r="F6221" t="s">
        <v>44</v>
      </c>
      <c r="G6221">
        <v>-286.54680000000002</v>
      </c>
      <c r="H6221">
        <v>-0.05</v>
      </c>
      <c r="I6221">
        <v>12.625920000000001</v>
      </c>
      <c r="J6221">
        <v>-339.02269999999999</v>
      </c>
      <c r="K6221">
        <v>1.122487</v>
      </c>
      <c r="L6221">
        <v>16.68121</v>
      </c>
      <c r="M6221">
        <v>0.999865</v>
      </c>
      <c r="N6221">
        <v>-1.386944E-2</v>
      </c>
      <c r="O6221">
        <v>8.8160289999999995E-3</v>
      </c>
      <c r="P6221">
        <v>0.98090679999999997</v>
      </c>
      <c r="Q6221">
        <v>0.1867402</v>
      </c>
      <c r="R6221">
        <v>-5.4313449999999999E-2</v>
      </c>
      <c r="S6221">
        <v>3.0586549999999999</v>
      </c>
      <c r="T6221">
        <v>-6.8113919999999994E-2</v>
      </c>
      <c r="U6221">
        <v>-0.23547360000000001</v>
      </c>
      <c r="V6221">
        <v>6.255028E-2</v>
      </c>
      <c r="W6221">
        <v>0.20044819999999999</v>
      </c>
      <c r="X6221">
        <v>0.97770550000000001</v>
      </c>
      <c r="Y6221">
        <v>8.5512169999999998E-2</v>
      </c>
      <c r="Z6221">
        <v>-1.618591E-3</v>
      </c>
      <c r="AA6221">
        <v>0.99633579999999999</v>
      </c>
      <c r="AB6221">
        <v>34</v>
      </c>
      <c r="AC6221">
        <v>52.475899999999903</v>
      </c>
      <c r="AD6221">
        <v>-1.1724870000000001</v>
      </c>
      <c r="AE6221">
        <v>-4.0552900000000003</v>
      </c>
      <c r="AF6221">
        <v>4.5155650083483199</v>
      </c>
      <c r="AG6221">
        <v>-1.1724870000000001</v>
      </c>
      <c r="AH6221">
        <v>52.4120952093608</v>
      </c>
      <c r="AI6221">
        <v>91.2767956277347</v>
      </c>
      <c r="AJ6221">
        <v>85.0758405581701</v>
      </c>
      <c r="AK6221">
        <v>52.619319430650997</v>
      </c>
      <c r="AL6221">
        <v>78.436830604622699</v>
      </c>
      <c r="AM6221">
        <v>86.339399310322406</v>
      </c>
      <c r="AN6221">
        <v>1.00000003157078</v>
      </c>
    </row>
    <row r="6222" spans="1:40" x14ac:dyDescent="0.25">
      <c r="A6222" t="str">
        <f>"20190303170414916"</f>
        <v>20190303170414916</v>
      </c>
      <c r="B6222" t="str">
        <f>"1551603854901978"</f>
        <v>1551603854901978</v>
      </c>
      <c r="C6222" t="s">
        <v>40</v>
      </c>
      <c r="D6222">
        <v>4.4809390000000002</v>
      </c>
      <c r="E6222">
        <v>0.51372309999999999</v>
      </c>
      <c r="F6222" t="s">
        <v>44</v>
      </c>
      <c r="G6222">
        <v>-287.51179999999999</v>
      </c>
      <c r="H6222">
        <v>-0.05</v>
      </c>
      <c r="I6222">
        <v>12.70209</v>
      </c>
      <c r="J6222">
        <v>-338.834</v>
      </c>
      <c r="K6222">
        <v>1.122495</v>
      </c>
      <c r="L6222">
        <v>16.683350000000001</v>
      </c>
      <c r="M6222">
        <v>0.99986019999999998</v>
      </c>
      <c r="N6222">
        <v>-1.386831E-2</v>
      </c>
      <c r="O6222">
        <v>9.3396899999999995E-3</v>
      </c>
      <c r="P6222">
        <v>0.98094380000000003</v>
      </c>
      <c r="Q6222">
        <v>0.1865195</v>
      </c>
      <c r="R6222">
        <v>-5.4401600000000001E-2</v>
      </c>
      <c r="S6222">
        <v>3.0585330000000002</v>
      </c>
      <c r="T6222">
        <v>-6.9617990000000005E-2</v>
      </c>
      <c r="U6222">
        <v>-0.23626710000000001</v>
      </c>
      <c r="V6222">
        <v>6.3151070000000004E-2</v>
      </c>
      <c r="W6222">
        <v>0.2002282</v>
      </c>
      <c r="X6222">
        <v>0.97771189999999997</v>
      </c>
      <c r="Y6222">
        <v>8.629233E-2</v>
      </c>
      <c r="Z6222">
        <v>-1.662848E-3</v>
      </c>
      <c r="AA6222">
        <v>0.9962685</v>
      </c>
      <c r="AB6222">
        <v>34</v>
      </c>
      <c r="AC6222">
        <v>51.322200000000002</v>
      </c>
      <c r="AD6222">
        <v>-1.1724950000000001</v>
      </c>
      <c r="AE6222">
        <v>-3.9812599999999998</v>
      </c>
      <c r="AF6222">
        <v>4.4581529442859003</v>
      </c>
      <c r="AG6222">
        <v>-1.1724950000000001</v>
      </c>
      <c r="AH6222">
        <v>51.256181729671397</v>
      </c>
      <c r="AI6222">
        <v>91.305496303984697</v>
      </c>
      <c r="AJ6222">
        <v>85.029045917289196</v>
      </c>
      <c r="AK6222">
        <v>51.463055075508002</v>
      </c>
      <c r="AL6222">
        <v>78.449695841193602</v>
      </c>
      <c r="AM6222">
        <v>86.304360660929802</v>
      </c>
      <c r="AN6222">
        <v>0.99999997455949696</v>
      </c>
    </row>
    <row r="6223" spans="1:40" x14ac:dyDescent="0.25">
      <c r="A6223" t="str">
        <f>"20190303170414928"</f>
        <v>20190303170414928</v>
      </c>
      <c r="B6223" t="str">
        <f>"1551603854921498"</f>
        <v>1551603854921498</v>
      </c>
      <c r="C6223" t="s">
        <v>40</v>
      </c>
      <c r="D6223">
        <v>4.4882160000000004</v>
      </c>
      <c r="E6223">
        <v>0.51379719999999995</v>
      </c>
      <c r="F6223" t="s">
        <v>44</v>
      </c>
      <c r="G6223">
        <v>-288.69139999999999</v>
      </c>
      <c r="H6223">
        <v>-0.05</v>
      </c>
      <c r="I6223">
        <v>12.80063</v>
      </c>
      <c r="J6223">
        <v>-338.63310000000001</v>
      </c>
      <c r="K6223">
        <v>1.1224989999999999</v>
      </c>
      <c r="L6223">
        <v>16.685759999999998</v>
      </c>
      <c r="M6223">
        <v>0.99985500000000005</v>
      </c>
      <c r="N6223">
        <v>-1.386711E-2</v>
      </c>
      <c r="O6223">
        <v>9.8955269999999994E-3</v>
      </c>
      <c r="P6223">
        <v>0.9808964</v>
      </c>
      <c r="Q6223">
        <v>0.1866814</v>
      </c>
      <c r="R6223">
        <v>-5.4704559999999999E-2</v>
      </c>
      <c r="S6223">
        <v>3.058716</v>
      </c>
      <c r="T6223">
        <v>-7.1522470000000005E-2</v>
      </c>
      <c r="U6223">
        <v>-0.2368469</v>
      </c>
      <c r="V6223">
        <v>6.3996720000000007E-2</v>
      </c>
      <c r="W6223">
        <v>0.20038990000000001</v>
      </c>
      <c r="X6223">
        <v>0.97762380000000004</v>
      </c>
      <c r="Y6223">
        <v>8.7027320000000005E-2</v>
      </c>
      <c r="Z6223">
        <v>-1.7143250000000001E-3</v>
      </c>
      <c r="AA6223">
        <v>0.99620439999999999</v>
      </c>
      <c r="AB6223">
        <v>34</v>
      </c>
      <c r="AC6223">
        <v>49.941699999999997</v>
      </c>
      <c r="AD6223">
        <v>-1.172499</v>
      </c>
      <c r="AE6223">
        <v>-3.8851300000000002</v>
      </c>
      <c r="AF6223">
        <v>4.3767887312184204</v>
      </c>
      <c r="AG6223">
        <v>-1.172499</v>
      </c>
      <c r="AH6223">
        <v>49.873480974475299</v>
      </c>
      <c r="AI6223">
        <v>91.341590926974206</v>
      </c>
      <c r="AJ6223">
        <v>84.984695099629207</v>
      </c>
      <c r="AK6223">
        <v>50.078889145168503</v>
      </c>
      <c r="AL6223">
        <v>78.440239677781193</v>
      </c>
      <c r="AM6223">
        <v>86.254676082790994</v>
      </c>
      <c r="AN6223">
        <v>0.99999999325960398</v>
      </c>
    </row>
    <row r="6224" spans="1:40" x14ac:dyDescent="0.25">
      <c r="A6224" t="str">
        <f>"20190303170414948"</f>
        <v>20190303170414948</v>
      </c>
      <c r="B6224" t="str">
        <f>"1551603854941994"</f>
        <v>1551603854941994</v>
      </c>
      <c r="C6224" t="s">
        <v>40</v>
      </c>
      <c r="D6224">
        <v>4.5872970000000004</v>
      </c>
      <c r="E6224">
        <v>0.5137121</v>
      </c>
      <c r="F6224" t="s">
        <v>44</v>
      </c>
      <c r="G6224">
        <v>-287.84789999999998</v>
      </c>
      <c r="H6224">
        <v>-0.05</v>
      </c>
      <c r="I6224">
        <v>12.72574</v>
      </c>
      <c r="J6224">
        <v>-338.33949999999999</v>
      </c>
      <c r="K6224">
        <v>1.1225130000000001</v>
      </c>
      <c r="L6224">
        <v>16.689450000000001</v>
      </c>
      <c r="M6224">
        <v>0.99984669999999998</v>
      </c>
      <c r="N6224">
        <v>-1.386545E-2</v>
      </c>
      <c r="O6224">
        <v>1.0706469999999999E-2</v>
      </c>
      <c r="P6224">
        <v>0.9806608</v>
      </c>
      <c r="Q6224">
        <v>0.18788199999999999</v>
      </c>
      <c r="R6224">
        <v>-5.4819380000000001E-2</v>
      </c>
      <c r="S6224">
        <v>3.0585629999999999</v>
      </c>
      <c r="T6224">
        <v>-7.0614339999999998E-2</v>
      </c>
      <c r="U6224">
        <v>-0.23849490000000001</v>
      </c>
      <c r="V6224">
        <v>6.4899940000000003E-2</v>
      </c>
      <c r="W6224">
        <v>0.2015866</v>
      </c>
      <c r="X6224">
        <v>0.97731820000000003</v>
      </c>
      <c r="Y6224">
        <v>8.8372759999999995E-2</v>
      </c>
      <c r="Z6224">
        <v>-1.730809E-3</v>
      </c>
      <c r="AA6224">
        <v>0.99608589999999997</v>
      </c>
      <c r="AB6224">
        <v>34</v>
      </c>
      <c r="AC6224">
        <v>50.491599999999998</v>
      </c>
      <c r="AD6224">
        <v>-1.1725129999999999</v>
      </c>
      <c r="AE6224">
        <v>-3.9637099999999998</v>
      </c>
      <c r="AF6224">
        <v>4.5017087467791104</v>
      </c>
      <c r="AG6224">
        <v>-1.1725129999999999</v>
      </c>
      <c r="AH6224">
        <v>50.419241578079102</v>
      </c>
      <c r="AI6224">
        <v>91.3269120066619</v>
      </c>
      <c r="AJ6224">
        <v>84.897845177513005</v>
      </c>
      <c r="AK6224">
        <v>50.633389079585498</v>
      </c>
      <c r="AL6224">
        <v>78.370245705769804</v>
      </c>
      <c r="AM6224">
        <v>86.200785822209298</v>
      </c>
      <c r="AN6224">
        <v>1.0000000117814001</v>
      </c>
    </row>
    <row r="6225" spans="1:40" x14ac:dyDescent="0.25">
      <c r="A6225" t="str">
        <f>"20190303170414960"</f>
        <v>20190303170414960</v>
      </c>
      <c r="B6225" t="str">
        <f>"1551603854951754"</f>
        <v>1551603854951754</v>
      </c>
      <c r="C6225" t="s">
        <v>40</v>
      </c>
      <c r="D6225">
        <v>4.5405259999999998</v>
      </c>
      <c r="E6225">
        <v>0.5138433</v>
      </c>
      <c r="F6225" t="s">
        <v>44</v>
      </c>
      <c r="G6225">
        <v>-284.1635</v>
      </c>
      <c r="H6225">
        <v>-0.05</v>
      </c>
      <c r="I6225">
        <v>12.4747</v>
      </c>
      <c r="J6225">
        <v>-338.15449999999998</v>
      </c>
      <c r="K6225">
        <v>1.122517</v>
      </c>
      <c r="L6225">
        <v>16.691929999999999</v>
      </c>
      <c r="M6225">
        <v>0.99984099999999998</v>
      </c>
      <c r="N6225">
        <v>-1.386444E-2</v>
      </c>
      <c r="O6225">
        <v>1.121663E-2</v>
      </c>
      <c r="P6225">
        <v>0.98058800000000002</v>
      </c>
      <c r="Q6225">
        <v>0.18826229999999999</v>
      </c>
      <c r="R6225">
        <v>-5.4815530000000001E-2</v>
      </c>
      <c r="S6225">
        <v>3.0585330000000002</v>
      </c>
      <c r="T6225">
        <v>-6.619477E-2</v>
      </c>
      <c r="U6225">
        <v>-0.23794560000000001</v>
      </c>
      <c r="V6225">
        <v>6.539383E-2</v>
      </c>
      <c r="W6225">
        <v>0.2019658</v>
      </c>
      <c r="X6225">
        <v>0.97720689999999999</v>
      </c>
      <c r="Y6225">
        <v>8.8707679999999997E-2</v>
      </c>
      <c r="Z6225">
        <v>-1.6615130000000001E-3</v>
      </c>
      <c r="AA6225">
        <v>0.99605630000000001</v>
      </c>
      <c r="AB6225">
        <v>34</v>
      </c>
      <c r="AC6225">
        <v>53.9909999999999</v>
      </c>
      <c r="AD6225">
        <v>-1.172517</v>
      </c>
      <c r="AE6225">
        <v>-4.21722999999999</v>
      </c>
      <c r="AF6225">
        <v>4.8203603054108397</v>
      </c>
      <c r="AG6225">
        <v>-1.172517</v>
      </c>
      <c r="AH6225">
        <v>53.915021805837199</v>
      </c>
      <c r="AI6225">
        <v>91.240895499687696</v>
      </c>
      <c r="AJ6225">
        <v>84.890961759743604</v>
      </c>
      <c r="AK6225">
        <v>54.142776488772498</v>
      </c>
      <c r="AL6225">
        <v>78.348061932456702</v>
      </c>
      <c r="AM6225">
        <v>86.171524654223703</v>
      </c>
      <c r="AN6225">
        <v>0.99999993138965704</v>
      </c>
    </row>
    <row r="6226" spans="1:40" x14ac:dyDescent="0.25">
      <c r="A6226" t="str">
        <f>"20190303170414971"</f>
        <v>20190303170414971</v>
      </c>
      <c r="B6226" t="str">
        <f>"1551603854961515"</f>
        <v>1551603854961515</v>
      </c>
      <c r="C6226" t="s">
        <v>40</v>
      </c>
      <c r="D6226">
        <v>4.6547349999999996</v>
      </c>
      <c r="E6226">
        <v>0.51377010000000001</v>
      </c>
      <c r="F6226" t="s">
        <v>44</v>
      </c>
      <c r="G6226">
        <v>-283.15969999999999</v>
      </c>
      <c r="H6226">
        <v>-0.05</v>
      </c>
      <c r="I6226">
        <v>12.40034</v>
      </c>
      <c r="J6226">
        <v>-337.98320000000001</v>
      </c>
      <c r="K6226">
        <v>1.122522</v>
      </c>
      <c r="L6226">
        <v>16.694269999999999</v>
      </c>
      <c r="M6226">
        <v>0.99983560000000005</v>
      </c>
      <c r="N6226">
        <v>-1.3863510000000001E-2</v>
      </c>
      <c r="O6226">
        <v>1.1688810000000001E-2</v>
      </c>
      <c r="P6226">
        <v>0.9804832</v>
      </c>
      <c r="Q6226">
        <v>0.18881429999999999</v>
      </c>
      <c r="R6226">
        <v>-5.4791230000000003E-2</v>
      </c>
      <c r="S6226">
        <v>3.0585629999999999</v>
      </c>
      <c r="T6226">
        <v>-6.5210099999999993E-2</v>
      </c>
      <c r="U6226">
        <v>-0.238678</v>
      </c>
      <c r="V6226">
        <v>6.5829250000000006E-2</v>
      </c>
      <c r="W6226">
        <v>0.20251640000000001</v>
      </c>
      <c r="X6226">
        <v>0.97706380000000004</v>
      </c>
      <c r="Y6226">
        <v>8.9414939999999998E-2</v>
      </c>
      <c r="Z6226">
        <v>-1.6595620000000001E-3</v>
      </c>
      <c r="AA6226">
        <v>0.99599309999999996</v>
      </c>
      <c r="AB6226">
        <v>34</v>
      </c>
      <c r="AC6226">
        <v>54.823500000000003</v>
      </c>
      <c r="AD6226">
        <v>-1.1725219999999901</v>
      </c>
      <c r="AE6226">
        <v>-4.2939299999999996</v>
      </c>
      <c r="AF6226">
        <v>4.9322773144352903</v>
      </c>
      <c r="AG6226">
        <v>-1.1725219999999901</v>
      </c>
      <c r="AH6226">
        <v>54.744669930814602</v>
      </c>
      <c r="AI6226">
        <v>91.222025864245197</v>
      </c>
      <c r="AJ6226">
        <v>84.851777698435299</v>
      </c>
      <c r="AK6226">
        <v>54.978914623524702</v>
      </c>
      <c r="AL6226">
        <v>78.315850341687906</v>
      </c>
      <c r="AM6226">
        <v>86.145546862482306</v>
      </c>
      <c r="AN6226">
        <v>1.0000000258474799</v>
      </c>
    </row>
    <row r="6227" spans="1:40" x14ac:dyDescent="0.25">
      <c r="A6227" t="str">
        <f>"20190303170414982"</f>
        <v>20190303170414982</v>
      </c>
      <c r="B6227" t="str">
        <f>"1551603854972251"</f>
        <v>1551603854972251</v>
      </c>
      <c r="C6227" t="s">
        <v>40</v>
      </c>
      <c r="D6227">
        <v>4.4696530000000001</v>
      </c>
      <c r="E6227">
        <v>0.51369509999999996</v>
      </c>
      <c r="F6227" t="s">
        <v>44</v>
      </c>
      <c r="G6227">
        <v>-281.18400000000003</v>
      </c>
      <c r="H6227">
        <v>-0.05</v>
      </c>
      <c r="I6227">
        <v>12.27835</v>
      </c>
      <c r="J6227">
        <v>-337.82659999999998</v>
      </c>
      <c r="K6227">
        <v>1.1225240000000001</v>
      </c>
      <c r="L6227">
        <v>16.6965</v>
      </c>
      <c r="M6227">
        <v>0.99983049999999996</v>
      </c>
      <c r="N6227">
        <v>-1.3862599999999999E-2</v>
      </c>
      <c r="O6227">
        <v>1.212064E-2</v>
      </c>
      <c r="P6227">
        <v>0.98048999999999997</v>
      </c>
      <c r="Q6227">
        <v>0.1887779</v>
      </c>
      <c r="R6227">
        <v>-5.4795839999999998E-2</v>
      </c>
      <c r="S6227">
        <v>3.0585939999999998</v>
      </c>
      <c r="T6227">
        <v>-6.3139319999999999E-2</v>
      </c>
      <c r="U6227">
        <v>-0.237793</v>
      </c>
      <c r="V6227">
        <v>6.6256899999999994E-2</v>
      </c>
      <c r="W6227">
        <v>0.20247999999999999</v>
      </c>
      <c r="X6227">
        <v>0.97704239999999998</v>
      </c>
      <c r="Y6227">
        <v>8.9559559999999996E-2</v>
      </c>
      <c r="Z6227">
        <v>-1.626824E-3</v>
      </c>
      <c r="AA6227">
        <v>0.99598010000000003</v>
      </c>
      <c r="AB6227">
        <v>34</v>
      </c>
      <c r="AC6227">
        <v>56.642599999999902</v>
      </c>
      <c r="AD6227">
        <v>-1.1725239999999999</v>
      </c>
      <c r="AE6227">
        <v>-4.4181499999999998</v>
      </c>
      <c r="AF6227">
        <v>5.10226276301439</v>
      </c>
      <c r="AG6227">
        <v>-1.1725239999999999</v>
      </c>
      <c r="AH6227">
        <v>56.560792334274502</v>
      </c>
      <c r="AI6227">
        <v>91.182789036701394</v>
      </c>
      <c r="AJ6227">
        <v>84.845386958686007</v>
      </c>
      <c r="AK6227">
        <v>56.802562682632001</v>
      </c>
      <c r="AL6227">
        <v>78.317979596534499</v>
      </c>
      <c r="AM6227">
        <v>86.1204984799665</v>
      </c>
      <c r="AN6227">
        <v>0.99999998929768397</v>
      </c>
    </row>
    <row r="6228" spans="1:40" x14ac:dyDescent="0.25">
      <c r="A6228" t="str">
        <f>"20190303170414992"</f>
        <v>20190303170414992</v>
      </c>
      <c r="B6228" t="str">
        <f>"1551603854982010"</f>
        <v>1551603854982010</v>
      </c>
      <c r="C6228" t="s">
        <v>40</v>
      </c>
      <c r="D6228">
        <v>4.7677250000000004</v>
      </c>
      <c r="E6228">
        <v>0.51371880000000003</v>
      </c>
      <c r="F6228" t="s">
        <v>44</v>
      </c>
      <c r="G6228">
        <v>-280.67559999999997</v>
      </c>
      <c r="H6228">
        <v>-0.05</v>
      </c>
      <c r="I6228">
        <v>12.275919999999999</v>
      </c>
      <c r="J6228">
        <v>-337.65129999999999</v>
      </c>
      <c r="K6228">
        <v>1.122522</v>
      </c>
      <c r="L6228">
        <v>16.699100000000001</v>
      </c>
      <c r="M6228">
        <v>0.99982459999999995</v>
      </c>
      <c r="N6228">
        <v>-1.386155E-2</v>
      </c>
      <c r="O6228">
        <v>1.2603670000000001E-2</v>
      </c>
      <c r="P6228">
        <v>0.98048000000000002</v>
      </c>
      <c r="Q6228">
        <v>0.1887568</v>
      </c>
      <c r="R6228">
        <v>-5.5046610000000003E-2</v>
      </c>
      <c r="S6228">
        <v>3.0585019999999998</v>
      </c>
      <c r="T6228">
        <v>-6.2749029999999997E-2</v>
      </c>
      <c r="U6228">
        <v>-0.23657230000000001</v>
      </c>
      <c r="V6228">
        <v>6.6980799999999993E-2</v>
      </c>
      <c r="W6228">
        <v>0.20245850000000001</v>
      </c>
      <c r="X6228">
        <v>0.97699749999999996</v>
      </c>
      <c r="Y6228">
        <v>8.9648160000000005E-2</v>
      </c>
      <c r="Z6228">
        <v>-1.6243150000000001E-3</v>
      </c>
      <c r="AA6228">
        <v>0.99597219999999997</v>
      </c>
      <c r="AB6228">
        <v>34</v>
      </c>
      <c r="AC6228">
        <v>56.975700000000003</v>
      </c>
      <c r="AD6228">
        <v>-1.1725219999999901</v>
      </c>
      <c r="AE6228">
        <v>-4.4231800000000003</v>
      </c>
      <c r="AF6228">
        <v>5.1388371347781296</v>
      </c>
      <c r="AG6228">
        <v>-1.1725219999999901</v>
      </c>
      <c r="AH6228">
        <v>56.891470224594798</v>
      </c>
      <c r="AI6228">
        <v>91.175901606474994</v>
      </c>
      <c r="AJ6228">
        <v>84.838649502935198</v>
      </c>
      <c r="AK6228">
        <v>57.135119140981999</v>
      </c>
      <c r="AL6228">
        <v>78.3192375574843</v>
      </c>
      <c r="AM6228">
        <v>86.078064269010298</v>
      </c>
      <c r="AN6228">
        <v>0.99999999339856904</v>
      </c>
    </row>
    <row r="6229" spans="1:40" x14ac:dyDescent="0.25">
      <c r="A6229" t="str">
        <f>"20190303170415003"</f>
        <v>20190303170415003</v>
      </c>
      <c r="B6229" t="str">
        <f>"1551603854991771"</f>
        <v>1551603854991771</v>
      </c>
      <c r="C6229" t="s">
        <v>40</v>
      </c>
      <c r="D6229">
        <v>4.6536220000000004</v>
      </c>
      <c r="E6229">
        <v>0.51369370000000003</v>
      </c>
      <c r="F6229" t="s">
        <v>44</v>
      </c>
      <c r="G6229">
        <v>-280.48809999999997</v>
      </c>
      <c r="H6229">
        <v>-0.05</v>
      </c>
      <c r="I6229">
        <v>12.27876</v>
      </c>
      <c r="J6229">
        <v>-337.49549999999999</v>
      </c>
      <c r="K6229">
        <v>1.122522</v>
      </c>
      <c r="L6229">
        <v>16.701450000000001</v>
      </c>
      <c r="M6229">
        <v>0.99981920000000002</v>
      </c>
      <c r="N6229">
        <v>-1.386069E-2</v>
      </c>
      <c r="O6229">
        <v>1.303293E-2</v>
      </c>
      <c r="P6229">
        <v>0.98053699999999999</v>
      </c>
      <c r="Q6229">
        <v>0.18843019999999999</v>
      </c>
      <c r="R6229">
        <v>-5.5152329999999999E-2</v>
      </c>
      <c r="S6229">
        <v>3.0585330000000002</v>
      </c>
      <c r="T6229">
        <v>-6.2736150000000004E-2</v>
      </c>
      <c r="U6229">
        <v>-0.2365112</v>
      </c>
      <c r="V6229">
        <v>6.7508380000000007E-2</v>
      </c>
      <c r="W6229">
        <v>0.20213249999999999</v>
      </c>
      <c r="X6229">
        <v>0.97702869999999997</v>
      </c>
      <c r="Y6229">
        <v>9.0055070000000001E-2</v>
      </c>
      <c r="Z6229">
        <v>-1.6338779999999901E-3</v>
      </c>
      <c r="AA6229">
        <v>0.99593540000000003</v>
      </c>
      <c r="AB6229">
        <v>34</v>
      </c>
      <c r="AC6229">
        <v>57.007399999999997</v>
      </c>
      <c r="AD6229">
        <v>-1.1725219999999901</v>
      </c>
      <c r="AE6229">
        <v>-4.4226900000000002</v>
      </c>
      <c r="AF6229">
        <v>5.1631878230373696</v>
      </c>
      <c r="AG6229">
        <v>-1.1725219999999901</v>
      </c>
      <c r="AH6229">
        <v>56.920975490560899</v>
      </c>
      <c r="AI6229">
        <v>91.175252054458795</v>
      </c>
      <c r="AJ6229">
        <v>84.8169985415811</v>
      </c>
      <c r="AK6229">
        <v>57.166692812629002</v>
      </c>
      <c r="AL6229">
        <v>78.338310454739798</v>
      </c>
      <c r="AM6229">
        <v>86.047396173248401</v>
      </c>
      <c r="AN6229">
        <v>1.0000000047750801</v>
      </c>
    </row>
    <row r="6230" spans="1:40" x14ac:dyDescent="0.25">
      <c r="A6230" t="str">
        <f>"20190303170415015"</f>
        <v>20190303170415015</v>
      </c>
      <c r="B6230" t="str">
        <f>"1551603855001531"</f>
        <v>1551603855001531</v>
      </c>
      <c r="C6230" t="s">
        <v>40</v>
      </c>
      <c r="D6230">
        <v>4.5372260000000004</v>
      </c>
      <c r="E6230">
        <v>0.51362580000000002</v>
      </c>
      <c r="F6230" t="s">
        <v>44</v>
      </c>
      <c r="G6230">
        <v>-281.18759999999997</v>
      </c>
      <c r="H6230">
        <v>-0.05</v>
      </c>
      <c r="I6230">
        <v>12.360150000000001</v>
      </c>
      <c r="J6230">
        <v>-337.31259999999997</v>
      </c>
      <c r="K6230">
        <v>1.122522</v>
      </c>
      <c r="L6230">
        <v>16.704279999999901</v>
      </c>
      <c r="M6230">
        <v>0.99981240000000005</v>
      </c>
      <c r="N6230">
        <v>-1.3859700000000001E-2</v>
      </c>
      <c r="O6230">
        <v>1.353699E-2</v>
      </c>
      <c r="P6230">
        <v>0.98073580000000005</v>
      </c>
      <c r="Q6230">
        <v>0.18748129999999999</v>
      </c>
      <c r="R6230">
        <v>-5.484634E-2</v>
      </c>
      <c r="S6230">
        <v>3.0585330000000002</v>
      </c>
      <c r="T6230">
        <v>-6.3688990000000001E-2</v>
      </c>
      <c r="U6230">
        <v>-0.2358093</v>
      </c>
      <c r="V6230">
        <v>6.7701150000000002E-2</v>
      </c>
      <c r="W6230">
        <v>0.20118539999999999</v>
      </c>
      <c r="X6230">
        <v>0.97721080000000005</v>
      </c>
      <c r="Y6230">
        <v>9.0329080000000006E-2</v>
      </c>
      <c r="Z6230">
        <v>-1.660166E-3</v>
      </c>
      <c r="AA6230">
        <v>0.99591059999999998</v>
      </c>
      <c r="AB6230">
        <v>34</v>
      </c>
      <c r="AC6230">
        <v>56.125</v>
      </c>
      <c r="AD6230">
        <v>-1.1725219999999901</v>
      </c>
      <c r="AE6230">
        <v>-4.3441299999999901</v>
      </c>
      <c r="AF6230">
        <v>5.1013551526964598</v>
      </c>
      <c r="AG6230">
        <v>-1.1725219999999901</v>
      </c>
      <c r="AH6230">
        <v>56.036732941086299</v>
      </c>
      <c r="AI6230">
        <v>91.193756577514606</v>
      </c>
      <c r="AJ6230">
        <v>84.798364356588607</v>
      </c>
      <c r="AK6230">
        <v>56.280672268062403</v>
      </c>
      <c r="AL6230">
        <v>78.393713200535601</v>
      </c>
      <c r="AM6230">
        <v>86.036881748680798</v>
      </c>
      <c r="AN6230">
        <v>0.99999997926056094</v>
      </c>
    </row>
    <row r="6231" spans="1:40" x14ac:dyDescent="0.25">
      <c r="A6231" t="str">
        <f>"20190303170415027"</f>
        <v>20190303170415027</v>
      </c>
      <c r="B6231" t="str">
        <f>"1551603855022027"</f>
        <v>1551603855022027</v>
      </c>
      <c r="C6231" t="s">
        <v>40</v>
      </c>
      <c r="D6231">
        <v>4.4772749999999997</v>
      </c>
      <c r="E6231">
        <v>0.51359189999999999</v>
      </c>
      <c r="F6231" t="s">
        <v>44</v>
      </c>
      <c r="G6231">
        <v>-283.61419999999998</v>
      </c>
      <c r="H6231">
        <v>-0.05</v>
      </c>
      <c r="I6231">
        <v>12.59431</v>
      </c>
      <c r="J6231">
        <v>-337.12360000000001</v>
      </c>
      <c r="K6231">
        <v>1.1225179999999999</v>
      </c>
      <c r="L6231">
        <v>16.707339999999999</v>
      </c>
      <c r="M6231">
        <v>0.99980519999999995</v>
      </c>
      <c r="N6231">
        <v>-1.385867E-2</v>
      </c>
      <c r="O6231">
        <v>1.4057969999999999E-2</v>
      </c>
      <c r="P6231">
        <v>0.98082230000000004</v>
      </c>
      <c r="Q6231">
        <v>0.18706310000000001</v>
      </c>
      <c r="R6231">
        <v>-5.4727390000000001E-2</v>
      </c>
      <c r="S6231">
        <v>3.058624</v>
      </c>
      <c r="T6231">
        <v>-6.678605E-2</v>
      </c>
      <c r="U6231">
        <v>-0.23410030000000001</v>
      </c>
      <c r="V6231">
        <v>6.8094909999999995E-2</v>
      </c>
      <c r="W6231">
        <v>0.20076820000000001</v>
      </c>
      <c r="X6231">
        <v>0.97726919999999995</v>
      </c>
      <c r="Y6231">
        <v>9.028986E-2</v>
      </c>
      <c r="Z6231">
        <v>-1.722901E-3</v>
      </c>
      <c r="AA6231">
        <v>0.99591399999999997</v>
      </c>
      <c r="AB6231">
        <v>34</v>
      </c>
      <c r="AC6231">
        <v>53.509399999999999</v>
      </c>
      <c r="AD6231">
        <v>-1.1725179999999999</v>
      </c>
      <c r="AE6231">
        <v>-4.1130299999999904</v>
      </c>
      <c r="AF6231">
        <v>4.8626081423912497</v>
      </c>
      <c r="AG6231">
        <v>-1.1725179999999999</v>
      </c>
      <c r="AH6231">
        <v>53.420785437197999</v>
      </c>
      <c r="AI6231">
        <v>91.252192134235699</v>
      </c>
      <c r="AJ6231">
        <v>84.799004548023902</v>
      </c>
      <c r="AK6231">
        <v>53.654450636772999</v>
      </c>
      <c r="AL6231">
        <v>78.418114409052606</v>
      </c>
      <c r="AM6231">
        <v>86.014143185680794</v>
      </c>
      <c r="AN6231">
        <v>0.99999993808389198</v>
      </c>
    </row>
    <row r="6232" spans="1:40" x14ac:dyDescent="0.25">
      <c r="A6232" t="str">
        <f>"20190303170415039"</f>
        <v>20190303170415039</v>
      </c>
      <c r="B6232" t="str">
        <f>"1551603855031786"</f>
        <v>1551603855031786</v>
      </c>
      <c r="C6232" t="s">
        <v>40</v>
      </c>
      <c r="D6232">
        <v>4.4871939999999997</v>
      </c>
      <c r="E6232">
        <v>0.51357649999999999</v>
      </c>
      <c r="F6232" t="s">
        <v>44</v>
      </c>
      <c r="G6232">
        <v>-284.32530000000003</v>
      </c>
      <c r="H6232">
        <v>-0.05</v>
      </c>
      <c r="I6232">
        <v>12.67773</v>
      </c>
      <c r="J6232">
        <v>-336.94220000000001</v>
      </c>
      <c r="K6232">
        <v>1.122512</v>
      </c>
      <c r="L6232">
        <v>16.710360000000001</v>
      </c>
      <c r="M6232">
        <v>0.99979799999999996</v>
      </c>
      <c r="N6232">
        <v>-1.3857680000000001E-2</v>
      </c>
      <c r="O6232">
        <v>1.455821E-2</v>
      </c>
      <c r="P6232">
        <v>0.98101439999999995</v>
      </c>
      <c r="Q6232">
        <v>0.18618399999999999</v>
      </c>
      <c r="R6232">
        <v>-5.4280960000000003E-2</v>
      </c>
      <c r="S6232">
        <v>3.0585330000000002</v>
      </c>
      <c r="T6232">
        <v>-6.7922350000000006E-2</v>
      </c>
      <c r="U6232">
        <v>-0.233429</v>
      </c>
      <c r="V6232">
        <v>6.814365E-2</v>
      </c>
      <c r="W6232">
        <v>0.1998904</v>
      </c>
      <c r="X6232">
        <v>0.97744580000000003</v>
      </c>
      <c r="Y6232">
        <v>9.0571929999999995E-2</v>
      </c>
      <c r="Z6232">
        <v>-1.75413E-3</v>
      </c>
      <c r="AA6232">
        <v>0.99588840000000001</v>
      </c>
      <c r="AB6232">
        <v>34</v>
      </c>
      <c r="AC6232">
        <v>52.616900000000001</v>
      </c>
      <c r="AD6232">
        <v>-1.172512</v>
      </c>
      <c r="AE6232">
        <v>-4.0326300000000002</v>
      </c>
      <c r="AF6232">
        <v>4.7959163676062202</v>
      </c>
      <c r="AG6232">
        <v>-1.172512</v>
      </c>
      <c r="AH6232">
        <v>52.526678197744502</v>
      </c>
      <c r="AI6232">
        <v>91.273461229889506</v>
      </c>
      <c r="AJ6232">
        <v>84.783108511138806</v>
      </c>
      <c r="AK6232">
        <v>52.758198611065403</v>
      </c>
      <c r="AL6232">
        <v>78.469450124380202</v>
      </c>
      <c r="AM6232">
        <v>86.012017784441497</v>
      </c>
      <c r="AN6232">
        <v>1.0000000104925599</v>
      </c>
    </row>
    <row r="6233" spans="1:40" x14ac:dyDescent="0.25">
      <c r="A6233" t="str">
        <f>"20190303170415050"</f>
        <v>20190303170415050</v>
      </c>
      <c r="B6233" t="str">
        <f>"1551603855041547"</f>
        <v>1551603855041547</v>
      </c>
      <c r="C6233" t="s">
        <v>40</v>
      </c>
      <c r="D6233">
        <v>4.6416240000000002</v>
      </c>
      <c r="E6233">
        <v>0.51354960000000005</v>
      </c>
      <c r="F6233" t="s">
        <v>44</v>
      </c>
      <c r="G6233">
        <v>-286.00229999999999</v>
      </c>
      <c r="H6233">
        <v>-0.05</v>
      </c>
      <c r="I6233">
        <v>12.84756</v>
      </c>
      <c r="J6233">
        <v>-336.7636</v>
      </c>
      <c r="K6233">
        <v>1.122511</v>
      </c>
      <c r="L6233">
        <v>16.713439999999999</v>
      </c>
      <c r="M6233">
        <v>0.99979070000000003</v>
      </c>
      <c r="N6233">
        <v>-1.385671E-2</v>
      </c>
      <c r="O6233">
        <v>1.5050819999999999E-2</v>
      </c>
      <c r="P6233">
        <v>0.98112659999999996</v>
      </c>
      <c r="Q6233">
        <v>0.18578349999999999</v>
      </c>
      <c r="R6233">
        <v>-5.3620099999999997E-2</v>
      </c>
      <c r="S6233">
        <v>3.0585939999999998</v>
      </c>
      <c r="T6233">
        <v>-7.0401309999999995E-2</v>
      </c>
      <c r="U6233">
        <v>-0.23193359999999999</v>
      </c>
      <c r="V6233">
        <v>6.7968529999999999E-2</v>
      </c>
      <c r="W6233">
        <v>0.19948959999999999</v>
      </c>
      <c r="X6233">
        <v>0.97753990000000002</v>
      </c>
      <c r="Y6233">
        <v>9.0574760000000004E-2</v>
      </c>
      <c r="Z6233">
        <v>-1.807068E-3</v>
      </c>
      <c r="AA6233">
        <v>0.995888</v>
      </c>
      <c r="AB6233">
        <v>34</v>
      </c>
      <c r="AC6233">
        <v>50.761299999999999</v>
      </c>
      <c r="AD6233">
        <v>-1.1725110000000001</v>
      </c>
      <c r="AE6233">
        <v>-3.86587999999999</v>
      </c>
      <c r="AF6233">
        <v>4.62706008907357</v>
      </c>
      <c r="AG6233">
        <v>-1.1725110000000001</v>
      </c>
      <c r="AH6233">
        <v>50.670479995566602</v>
      </c>
      <c r="AI6233">
        <v>91.3200927858163</v>
      </c>
      <c r="AJ6233">
        <v>84.7824101373254</v>
      </c>
      <c r="AK6233">
        <v>50.8948131944124</v>
      </c>
      <c r="AL6233">
        <v>78.492886628388206</v>
      </c>
      <c r="AM6233">
        <v>86.022615098951903</v>
      </c>
      <c r="AN6233">
        <v>1.0000000388352599</v>
      </c>
    </row>
    <row r="6234" spans="1:40" x14ac:dyDescent="0.25">
      <c r="A6234" t="str">
        <f>"20190303170415062"</f>
        <v>20190303170415062</v>
      </c>
      <c r="B6234" t="str">
        <f>"1551603855052283"</f>
        <v>1551603855052283</v>
      </c>
      <c r="C6234" t="s">
        <v>40</v>
      </c>
      <c r="D6234">
        <v>4.7134429999999998</v>
      </c>
      <c r="E6234">
        <v>0.51355870000000003</v>
      </c>
      <c r="F6234" t="s">
        <v>44</v>
      </c>
      <c r="G6234">
        <v>-286.86009999999999</v>
      </c>
      <c r="H6234">
        <v>-0.05</v>
      </c>
      <c r="I6234">
        <v>12.969329999999999</v>
      </c>
      <c r="J6234">
        <v>-336.60520000000002</v>
      </c>
      <c r="K6234">
        <v>1.122509</v>
      </c>
      <c r="L6234">
        <v>16.716249999999999</v>
      </c>
      <c r="M6234">
        <v>0.99978420000000001</v>
      </c>
      <c r="N6234">
        <v>-1.3855849999999999E-2</v>
      </c>
      <c r="O6234">
        <v>1.5487280000000001E-2</v>
      </c>
      <c r="P6234">
        <v>0.98117410000000005</v>
      </c>
      <c r="Q6234">
        <v>0.1855977</v>
      </c>
      <c r="R6234">
        <v>-5.339667E-2</v>
      </c>
      <c r="S6234">
        <v>3.0587770000000001</v>
      </c>
      <c r="T6234">
        <v>-7.1867700000000007E-2</v>
      </c>
      <c r="U6234">
        <v>-0.22949220000000001</v>
      </c>
      <c r="V6234">
        <v>6.817426E-2</v>
      </c>
      <c r="W6234">
        <v>0.1993036</v>
      </c>
      <c r="X6234">
        <v>0.97756350000000003</v>
      </c>
      <c r="Y6234">
        <v>9.0213379999999996E-2</v>
      </c>
      <c r="Z6234">
        <v>-1.8333119999999999E-3</v>
      </c>
      <c r="AA6234">
        <v>0.99592080000000005</v>
      </c>
      <c r="AB6234">
        <v>34</v>
      </c>
      <c r="AC6234">
        <v>49.745100000000001</v>
      </c>
      <c r="AD6234">
        <v>-1.172509</v>
      </c>
      <c r="AE6234">
        <v>-3.74691999999999</v>
      </c>
      <c r="AF6234">
        <v>4.5144667604151403</v>
      </c>
      <c r="AG6234">
        <v>-1.172509</v>
      </c>
      <c r="AH6234">
        <v>49.653667491636497</v>
      </c>
      <c r="AI6234">
        <v>91.347161995201105</v>
      </c>
      <c r="AJ6234">
        <v>84.805002314326799</v>
      </c>
      <c r="AK6234">
        <v>49.872255642350602</v>
      </c>
      <c r="AL6234">
        <v>78.503761879316798</v>
      </c>
      <c r="AM6234">
        <v>86.010710996821203</v>
      </c>
      <c r="AN6234">
        <v>1.0000000256158701</v>
      </c>
    </row>
    <row r="6235" spans="1:40" x14ac:dyDescent="0.25">
      <c r="A6235" t="str">
        <f>"20190303170415071"</f>
        <v>20190303170415071</v>
      </c>
      <c r="B6235" t="str">
        <f>"1551603855062043"</f>
        <v>1551603855062043</v>
      </c>
      <c r="C6235" t="s">
        <v>40</v>
      </c>
      <c r="D6235">
        <v>4.6573039999999999</v>
      </c>
      <c r="E6235">
        <v>0.51351159999999996</v>
      </c>
      <c r="F6235" t="s">
        <v>44</v>
      </c>
      <c r="G6235">
        <v>-287.14729999999997</v>
      </c>
      <c r="H6235">
        <v>-0.05</v>
      </c>
      <c r="I6235">
        <v>13.021879999999999</v>
      </c>
      <c r="J6235">
        <v>-336.44810000000001</v>
      </c>
      <c r="K6235">
        <v>1.122511</v>
      </c>
      <c r="L6235">
        <v>16.719059999999999</v>
      </c>
      <c r="M6235">
        <v>0.99977729999999998</v>
      </c>
      <c r="N6235">
        <v>-1.3854989999999999E-2</v>
      </c>
      <c r="O6235">
        <v>1.5920770000000001E-2</v>
      </c>
      <c r="P6235">
        <v>0.98114129999999999</v>
      </c>
      <c r="Q6235">
        <v>0.18573490000000001</v>
      </c>
      <c r="R6235">
        <v>-5.352374E-2</v>
      </c>
      <c r="S6235">
        <v>3.0588069999999998</v>
      </c>
      <c r="T6235">
        <v>-7.251573E-2</v>
      </c>
      <c r="U6235">
        <v>-0.2284851</v>
      </c>
      <c r="V6235">
        <v>6.8725499999999995E-2</v>
      </c>
      <c r="W6235">
        <v>0.19944000000000001</v>
      </c>
      <c r="X6235">
        <v>0.97749699999999995</v>
      </c>
      <c r="Y6235">
        <v>9.0317709999999995E-2</v>
      </c>
      <c r="Z6235">
        <v>-1.8523210000000001E-3</v>
      </c>
      <c r="AA6235">
        <v>0.99591130000000005</v>
      </c>
      <c r="AB6235">
        <v>34</v>
      </c>
      <c r="AC6235">
        <v>49.300800000000002</v>
      </c>
      <c r="AD6235">
        <v>-1.1725110000000001</v>
      </c>
      <c r="AE6235">
        <v>-3.6971799999999999</v>
      </c>
      <c r="AF6235">
        <v>4.4791739800320203</v>
      </c>
      <c r="AG6235">
        <v>-1.1725110000000001</v>
      </c>
      <c r="AH6235">
        <v>49.2080051921752</v>
      </c>
      <c r="AI6235">
        <v>91.359347580275696</v>
      </c>
      <c r="AJ6235">
        <v>84.798966817812001</v>
      </c>
      <c r="AK6235">
        <v>49.425353378419601</v>
      </c>
      <c r="AL6235">
        <v>78.495785700464694</v>
      </c>
      <c r="AM6235">
        <v>85.978287329297302</v>
      </c>
      <c r="AN6235">
        <v>0.99999994647962298</v>
      </c>
    </row>
    <row r="6236" spans="1:40" x14ac:dyDescent="0.25">
      <c r="A6236" t="str">
        <f>"20190303170415083"</f>
        <v>20190303170415083</v>
      </c>
      <c r="B6236" t="str">
        <f>"1551603855071804"</f>
        <v>1551603855071804</v>
      </c>
      <c r="C6236" t="s">
        <v>40</v>
      </c>
      <c r="D6236">
        <v>4.5181769999999997</v>
      </c>
      <c r="E6236">
        <v>0.51354549999999999</v>
      </c>
      <c r="F6236" t="s">
        <v>44</v>
      </c>
      <c r="G6236">
        <v>-286.68380000000002</v>
      </c>
      <c r="H6236">
        <v>-0.05</v>
      </c>
      <c r="I6236">
        <v>13.00882</v>
      </c>
      <c r="J6236">
        <v>-336.27170000000001</v>
      </c>
      <c r="K6236">
        <v>1.122512</v>
      </c>
      <c r="L6236">
        <v>16.722349999999999</v>
      </c>
      <c r="M6236">
        <v>0.99976940000000003</v>
      </c>
      <c r="N6236">
        <v>-1.385405E-2</v>
      </c>
      <c r="O6236">
        <v>1.640718E-2</v>
      </c>
      <c r="P6236">
        <v>0.98113720000000004</v>
      </c>
      <c r="Q6236">
        <v>0.18568989999999999</v>
      </c>
      <c r="R6236">
        <v>-5.3752059999999997E-2</v>
      </c>
      <c r="S6236">
        <v>3.0588679999999999</v>
      </c>
      <c r="T6236">
        <v>-7.2070960000000003E-2</v>
      </c>
      <c r="U6236">
        <v>-0.22805790000000001</v>
      </c>
      <c r="V6236">
        <v>6.9431069999999998E-2</v>
      </c>
      <c r="W6236">
        <v>0.19939519999999999</v>
      </c>
      <c r="X6236">
        <v>0.97745629999999994</v>
      </c>
      <c r="Y6236">
        <v>9.0662690000000004E-2</v>
      </c>
      <c r="Z6236">
        <v>-1.8545689999999999E-3</v>
      </c>
      <c r="AA6236">
        <v>0.99587990000000004</v>
      </c>
      <c r="AB6236">
        <v>34</v>
      </c>
      <c r="AC6236">
        <v>49.587899999999898</v>
      </c>
      <c r="AD6236">
        <v>-1.172512</v>
      </c>
      <c r="AE6236">
        <v>-3.7135299999999898</v>
      </c>
      <c r="AF6236">
        <v>4.5241904038881504</v>
      </c>
      <c r="AG6236">
        <v>-1.172512</v>
      </c>
      <c r="AH6236">
        <v>49.492772757381502</v>
      </c>
      <c r="AI6236">
        <v>91.351483181465497</v>
      </c>
      <c r="AJ6236">
        <v>84.777043304325204</v>
      </c>
      <c r="AK6236">
        <v>49.712952421019899</v>
      </c>
      <c r="AL6236">
        <v>78.498405425173402</v>
      </c>
      <c r="AM6236">
        <v>85.936967400695593</v>
      </c>
      <c r="AN6236">
        <v>0.99999996883703601</v>
      </c>
    </row>
    <row r="6237" spans="1:40" x14ac:dyDescent="0.25">
      <c r="A6237" t="str">
        <f>"20190303170415096"</f>
        <v>20190303170415096</v>
      </c>
      <c r="B6237" t="str">
        <f>"1551603855081563"</f>
        <v>1551603855081563</v>
      </c>
      <c r="C6237" t="s">
        <v>40</v>
      </c>
      <c r="D6237">
        <v>4.4719230000000003</v>
      </c>
      <c r="E6237">
        <v>0.51353499999999996</v>
      </c>
      <c r="F6237" t="s">
        <v>44</v>
      </c>
      <c r="G6237">
        <v>-286.47280000000001</v>
      </c>
      <c r="H6237">
        <v>-0.05</v>
      </c>
      <c r="I6237">
        <v>13.00095</v>
      </c>
      <c r="J6237">
        <v>-336.09089999999998</v>
      </c>
      <c r="K6237">
        <v>1.122511</v>
      </c>
      <c r="L6237">
        <v>16.725770000000001</v>
      </c>
      <c r="M6237">
        <v>0.99976109999999896</v>
      </c>
      <c r="N6237">
        <v>-1.385309E-2</v>
      </c>
      <c r="O6237">
        <v>1.690616E-2</v>
      </c>
      <c r="P6237">
        <v>0.98109769999999996</v>
      </c>
      <c r="Q6237">
        <v>0.18587219999999999</v>
      </c>
      <c r="R6237">
        <v>-5.3839819999999997E-2</v>
      </c>
      <c r="S6237">
        <v>3.0587460000000002</v>
      </c>
      <c r="T6237">
        <v>-7.2017910000000004E-2</v>
      </c>
      <c r="U6237">
        <v>-0.22857669999999999</v>
      </c>
      <c r="V6237">
        <v>7.0007360000000005E-2</v>
      </c>
      <c r="W6237">
        <v>0.19957639999999999</v>
      </c>
      <c r="X6237">
        <v>0.97737819999999997</v>
      </c>
      <c r="Y6237">
        <v>9.1330330000000001E-2</v>
      </c>
      <c r="Z6237">
        <v>-1.8708380000000001E-3</v>
      </c>
      <c r="AA6237">
        <v>0.99581889999999995</v>
      </c>
      <c r="AB6237">
        <v>34</v>
      </c>
      <c r="AC6237">
        <v>49.618099999999899</v>
      </c>
      <c r="AD6237">
        <v>-1.1725110000000001</v>
      </c>
      <c r="AE6237">
        <v>-3.7248199999999998</v>
      </c>
      <c r="AF6237">
        <v>4.5606871322010401</v>
      </c>
      <c r="AG6237">
        <v>-1.1725110000000001</v>
      </c>
      <c r="AH6237">
        <v>49.520530983744401</v>
      </c>
      <c r="AI6237">
        <v>91.350640504409</v>
      </c>
      <c r="AJ6237">
        <v>84.738080039319499</v>
      </c>
      <c r="AK6237">
        <v>49.7439206142312</v>
      </c>
      <c r="AL6237">
        <v>78.487810350686701</v>
      </c>
      <c r="AM6237">
        <v>85.903031631294695</v>
      </c>
      <c r="AN6237">
        <v>0.99999995786318396</v>
      </c>
    </row>
    <row r="6238" spans="1:40" x14ac:dyDescent="0.25">
      <c r="A6238" t="str">
        <f>"20190303170415108"</f>
        <v>20190303170415108</v>
      </c>
      <c r="B6238" t="str">
        <f>"1551603855102059"</f>
        <v>1551603855102059</v>
      </c>
      <c r="C6238" t="s">
        <v>40</v>
      </c>
      <c r="D6238">
        <v>4.5866930000000004</v>
      </c>
      <c r="E6238">
        <v>0.51353099999999996</v>
      </c>
      <c r="F6238" t="s">
        <v>44</v>
      </c>
      <c r="G6238">
        <v>-285.8424</v>
      </c>
      <c r="H6238">
        <v>-0.05</v>
      </c>
      <c r="I6238">
        <v>12.981350000000001</v>
      </c>
      <c r="J6238">
        <v>-335.8877</v>
      </c>
      <c r="K6238">
        <v>1.1225080000000001</v>
      </c>
      <c r="L6238">
        <v>16.729769999999998</v>
      </c>
      <c r="M6238">
        <v>0.99975150000000002</v>
      </c>
      <c r="N6238">
        <v>-1.3852110000000001E-2</v>
      </c>
      <c r="O6238">
        <v>1.7466530000000001E-2</v>
      </c>
      <c r="P6238">
        <v>0.98110280000000005</v>
      </c>
      <c r="Q6238">
        <v>0.18592449999999999</v>
      </c>
      <c r="R6238">
        <v>-5.3568070000000002E-2</v>
      </c>
      <c r="S6238">
        <v>3.0588069999999998</v>
      </c>
      <c r="T6238">
        <v>-7.1375010000000003E-2</v>
      </c>
      <c r="U6238">
        <v>-0.22793579999999999</v>
      </c>
      <c r="V6238">
        <v>7.0285E-2</v>
      </c>
      <c r="W6238">
        <v>0.1996279</v>
      </c>
      <c r="X6238">
        <v>0.97734779999999999</v>
      </c>
      <c r="Y6238">
        <v>9.1679999999999998E-2</v>
      </c>
      <c r="Z6238">
        <v>-1.869463E-3</v>
      </c>
      <c r="AA6238">
        <v>0.99578679999999997</v>
      </c>
      <c r="AB6238">
        <v>34</v>
      </c>
      <c r="AC6238">
        <v>50.045299999999997</v>
      </c>
      <c r="AD6238">
        <v>-1.1725079999999899</v>
      </c>
      <c r="AE6238">
        <v>-3.7484199999999999</v>
      </c>
      <c r="AF6238">
        <v>4.6195280810614099</v>
      </c>
      <c r="AG6238">
        <v>-1.1725079999999899</v>
      </c>
      <c r="AH6238">
        <v>49.944923310691699</v>
      </c>
      <c r="AI6238">
        <v>91.3391161474852</v>
      </c>
      <c r="AJ6238">
        <v>84.7156080951669</v>
      </c>
      <c r="AK6238">
        <v>50.171806616990203</v>
      </c>
      <c r="AL6238">
        <v>78.484799523637406</v>
      </c>
      <c r="AM6238">
        <v>85.886711749789399</v>
      </c>
      <c r="AN6238">
        <v>1.0000000009241199</v>
      </c>
    </row>
    <row r="6239" spans="1:40" x14ac:dyDescent="0.25">
      <c r="A6239" t="str">
        <f>"20190303170415122"</f>
        <v>20190303170415122</v>
      </c>
      <c r="B6239" t="str">
        <f>"1551603855111818"</f>
        <v>1551603855111818</v>
      </c>
      <c r="C6239" t="s">
        <v>40</v>
      </c>
      <c r="D6239">
        <v>4.5826789999999997</v>
      </c>
      <c r="E6239">
        <v>0.5202677</v>
      </c>
      <c r="F6239" t="s">
        <v>44</v>
      </c>
      <c r="G6239">
        <v>-285.14</v>
      </c>
      <c r="H6239">
        <v>-0.05</v>
      </c>
      <c r="I6239">
        <v>12.968920000000001</v>
      </c>
      <c r="J6239">
        <v>-335.69150000000002</v>
      </c>
      <c r="K6239">
        <v>1.1225069999999999</v>
      </c>
      <c r="L6239">
        <v>16.733699999999999</v>
      </c>
      <c r="M6239">
        <v>0.99974200000000002</v>
      </c>
      <c r="N6239">
        <v>-1.385112E-2</v>
      </c>
      <c r="O6239">
        <v>1.800736E-2</v>
      </c>
      <c r="P6239">
        <v>0.98119599999999996</v>
      </c>
      <c r="Q6239">
        <v>0.1855136</v>
      </c>
      <c r="R6239">
        <v>-5.328546E-2</v>
      </c>
      <c r="S6239">
        <v>3.0588069999999998</v>
      </c>
      <c r="T6239">
        <v>-7.067263E-2</v>
      </c>
      <c r="U6239">
        <v>-0.22668460000000001</v>
      </c>
      <c r="V6239">
        <v>7.0535559999999997E-2</v>
      </c>
      <c r="W6239">
        <v>0.19921710000000001</v>
      </c>
      <c r="X6239">
        <v>0.97741350000000005</v>
      </c>
      <c r="Y6239">
        <v>9.1814179999999995E-2</v>
      </c>
      <c r="Z6239">
        <v>-1.8624080000000001E-3</v>
      </c>
      <c r="AA6239">
        <v>0.99577439999999995</v>
      </c>
      <c r="AB6239">
        <v>34</v>
      </c>
      <c r="AC6239">
        <v>50.551499999999997</v>
      </c>
      <c r="AD6239">
        <v>-1.172507</v>
      </c>
      <c r="AE6239">
        <v>-3.76478</v>
      </c>
      <c r="AF6239">
        <v>4.6720561598850798</v>
      </c>
      <c r="AG6239">
        <v>-1.172507</v>
      </c>
      <c r="AH6239">
        <v>50.448511093781299</v>
      </c>
      <c r="AI6239">
        <v>91.325738125931196</v>
      </c>
      <c r="AJ6239">
        <v>84.708907891553295</v>
      </c>
      <c r="AK6239">
        <v>50.677955296218698</v>
      </c>
      <c r="AL6239">
        <v>78.508818318042103</v>
      </c>
      <c r="AM6239">
        <v>85.8723753398762</v>
      </c>
      <c r="AN6239">
        <v>0.99999993406958398</v>
      </c>
    </row>
    <row r="6240" spans="1:40" x14ac:dyDescent="0.25">
      <c r="A6240" t="str">
        <f>"20190303170415138"</f>
        <v>20190303170415138</v>
      </c>
      <c r="B6240" t="str">
        <f>"1551603855132315"</f>
        <v>1551603855132315</v>
      </c>
      <c r="C6240" t="s">
        <v>40</v>
      </c>
      <c r="D6240">
        <v>4.4390489999999998</v>
      </c>
      <c r="E6240">
        <v>0.51541559999999997</v>
      </c>
      <c r="F6240" t="s">
        <v>44</v>
      </c>
      <c r="G6240">
        <v>-279.20249999999999</v>
      </c>
      <c r="H6240">
        <v>-0.05</v>
      </c>
      <c r="I6240">
        <v>11.55396</v>
      </c>
      <c r="J6240">
        <v>-335.44490000000002</v>
      </c>
      <c r="K6240">
        <v>1.1225039999999999</v>
      </c>
      <c r="L6240">
        <v>16.738800000000001</v>
      </c>
      <c r="M6240">
        <v>0.99972939999999999</v>
      </c>
      <c r="N6240">
        <v>-1.3849810000000001E-2</v>
      </c>
      <c r="O6240">
        <v>1.8687949999999998E-2</v>
      </c>
      <c r="P6240">
        <v>0.98147779999999996</v>
      </c>
      <c r="Q6240">
        <v>0.1842374</v>
      </c>
      <c r="R6240">
        <v>-5.2513289999999997E-2</v>
      </c>
      <c r="S6240">
        <v>3.0542600000000002</v>
      </c>
      <c r="T6240">
        <v>-6.3395380000000001E-2</v>
      </c>
      <c r="U6240">
        <v>-0.28005980000000003</v>
      </c>
      <c r="V6240">
        <v>7.0439199999999993E-2</v>
      </c>
      <c r="W6240">
        <v>0.1979427</v>
      </c>
      <c r="X6240">
        <v>0.97767939999999998</v>
      </c>
      <c r="Y6240">
        <v>0.1098678</v>
      </c>
      <c r="Z6240">
        <v>-2.029173E-3</v>
      </c>
      <c r="AA6240">
        <v>0.99394420000000006</v>
      </c>
      <c r="AB6240">
        <v>34</v>
      </c>
      <c r="AC6240">
        <v>56.242400000000004</v>
      </c>
      <c r="AD6240">
        <v>-1.172504</v>
      </c>
      <c r="AE6240">
        <v>-5.1848400000000003</v>
      </c>
      <c r="AF6240">
        <v>6.2324045399167503</v>
      </c>
      <c r="AG6240">
        <v>-1.172504</v>
      </c>
      <c r="AH6240">
        <v>56.111491713521801</v>
      </c>
      <c r="AI6240">
        <v>91.189762233839105</v>
      </c>
      <c r="AJ6240">
        <v>83.662033000679102</v>
      </c>
      <c r="AK6240">
        <v>56.468727046886897</v>
      </c>
      <c r="AL6240">
        <v>78.583320566898394</v>
      </c>
      <c r="AM6240">
        <v>85.879111919759296</v>
      </c>
      <c r="AN6240">
        <v>1.0000000012821399</v>
      </c>
    </row>
    <row r="6241" spans="1:40" x14ac:dyDescent="0.25">
      <c r="A6241" t="str">
        <f>"20190303170415151"</f>
        <v>20190303170415151</v>
      </c>
      <c r="B6241" t="str">
        <f>"1551603855142075"</f>
        <v>1551603855142075</v>
      </c>
      <c r="C6241" t="s">
        <v>40</v>
      </c>
      <c r="D6241">
        <v>4.4881399999999996</v>
      </c>
      <c r="E6241">
        <v>0.5151907</v>
      </c>
      <c r="F6241" t="s">
        <v>44</v>
      </c>
      <c r="G6241">
        <v>-281.91879999999998</v>
      </c>
      <c r="H6241">
        <v>-0.05</v>
      </c>
      <c r="I6241">
        <v>12.55185</v>
      </c>
      <c r="J6241">
        <v>-335.23129999999998</v>
      </c>
      <c r="K6241">
        <v>1.1225039999999999</v>
      </c>
      <c r="L6241">
        <v>16.743379999999998</v>
      </c>
      <c r="M6241">
        <v>0.99971829999999995</v>
      </c>
      <c r="N6241">
        <v>-1.384866E-2</v>
      </c>
      <c r="O6241">
        <v>1.9277519999999999E-2</v>
      </c>
      <c r="P6241">
        <v>0.98162629999999995</v>
      </c>
      <c r="Q6241">
        <v>0.18370349999999999</v>
      </c>
      <c r="R6241">
        <v>-5.1602530000000001E-2</v>
      </c>
      <c r="S6241">
        <v>3.0563349999999998</v>
      </c>
      <c r="T6241">
        <v>-6.6949839999999997E-2</v>
      </c>
      <c r="U6241">
        <v>-0.2390747</v>
      </c>
      <c r="V6241">
        <v>7.0110919999999993E-2</v>
      </c>
      <c r="W6241">
        <v>0.1974089</v>
      </c>
      <c r="X6241">
        <v>0.97781090000000004</v>
      </c>
      <c r="Y6241">
        <v>9.7152080000000002E-2</v>
      </c>
      <c r="Z6241">
        <v>-1.891345E-3</v>
      </c>
      <c r="AA6241">
        <v>0.99526769999999998</v>
      </c>
      <c r="AB6241">
        <v>34</v>
      </c>
      <c r="AC6241">
        <v>53.3125</v>
      </c>
      <c r="AD6241">
        <v>-1.172504</v>
      </c>
      <c r="AE6241">
        <v>-4.1915299999999904</v>
      </c>
      <c r="AF6241">
        <v>5.2160747669784699</v>
      </c>
      <c r="AG6241">
        <v>-1.172504</v>
      </c>
      <c r="AH6241">
        <v>53.196208456314501</v>
      </c>
      <c r="AI6241">
        <v>91.256634140720493</v>
      </c>
      <c r="AJ6241">
        <v>84.399849661429798</v>
      </c>
      <c r="AK6241">
        <v>53.464182362890298</v>
      </c>
      <c r="AL6241">
        <v>78.614520531014094</v>
      </c>
      <c r="AM6241">
        <v>85.898801242179402</v>
      </c>
      <c r="AN6241">
        <v>0.99999998553063296</v>
      </c>
    </row>
    <row r="6242" spans="1:40" x14ac:dyDescent="0.25">
      <c r="A6242" t="str">
        <f>"20190303170415166"</f>
        <v>20190303170415166</v>
      </c>
      <c r="B6242" t="str">
        <f>"1551603855151834"</f>
        <v>1551603855151834</v>
      </c>
      <c r="C6242" t="s">
        <v>40</v>
      </c>
      <c r="D6242">
        <v>4.5917529999999998</v>
      </c>
      <c r="E6242">
        <v>0.5151907</v>
      </c>
      <c r="F6242" t="s">
        <v>44</v>
      </c>
      <c r="G6242">
        <v>-284.00700000000001</v>
      </c>
      <c r="H6242">
        <v>-0.05</v>
      </c>
      <c r="I6242">
        <v>12.8119</v>
      </c>
      <c r="J6242">
        <v>-335.02359999999999</v>
      </c>
      <c r="K6242">
        <v>1.1225050000000001</v>
      </c>
      <c r="L6242">
        <v>16.747959999999999</v>
      </c>
      <c r="M6242">
        <v>0.99970709999999996</v>
      </c>
      <c r="N6242">
        <v>-1.3847480000000001E-2</v>
      </c>
      <c r="O6242">
        <v>1.985089E-2</v>
      </c>
      <c r="P6242">
        <v>0.981653</v>
      </c>
      <c r="Q6242">
        <v>0.1837609</v>
      </c>
      <c r="R6242">
        <v>-5.0887830000000002E-2</v>
      </c>
      <c r="S6242">
        <v>3.056915</v>
      </c>
      <c r="T6242">
        <v>-6.9971679999999994E-2</v>
      </c>
      <c r="U6242">
        <v>-0.2346191</v>
      </c>
      <c r="V6242">
        <v>6.9959419999999994E-2</v>
      </c>
      <c r="W6242">
        <v>0.19746449999999999</v>
      </c>
      <c r="X6242">
        <v>0.97781059999999997</v>
      </c>
      <c r="Y6242">
        <v>9.6263600000000005E-2</v>
      </c>
      <c r="Z6242">
        <v>-1.9468879999999999E-3</v>
      </c>
      <c r="AA6242">
        <v>0.99535399999999996</v>
      </c>
      <c r="AB6242">
        <v>34</v>
      </c>
      <c r="AC6242">
        <v>51.016599999999897</v>
      </c>
      <c r="AD6242">
        <v>-1.1725049999999999</v>
      </c>
      <c r="AE6242">
        <v>-3.9360599999999999</v>
      </c>
      <c r="AF6242">
        <v>4.9455094249973603</v>
      </c>
      <c r="AG6242">
        <v>-1.1725049999999999</v>
      </c>
      <c r="AH6242">
        <v>50.9016758913911</v>
      </c>
      <c r="AI6242">
        <v>91.313375737338802</v>
      </c>
      <c r="AJ6242">
        <v>84.450669291710497</v>
      </c>
      <c r="AK6242">
        <v>51.154798797375697</v>
      </c>
      <c r="AL6242">
        <v>78.611271770925597</v>
      </c>
      <c r="AM6242">
        <v>85.907631971910405</v>
      </c>
      <c r="AN6242">
        <v>1.0000000593396701</v>
      </c>
    </row>
    <row r="6243" spans="1:40" x14ac:dyDescent="0.25">
      <c r="A6243" t="str">
        <f>"20190303170415181"</f>
        <v>20190303170415181</v>
      </c>
      <c r="B6243" t="str">
        <f>"1551603855171354"</f>
        <v>1551603855171354</v>
      </c>
      <c r="C6243" t="s">
        <v>40</v>
      </c>
      <c r="D6243">
        <v>4.6659189999999997</v>
      </c>
      <c r="E6243">
        <v>0.54236410000000002</v>
      </c>
      <c r="F6243" t="s">
        <v>44</v>
      </c>
      <c r="G6243">
        <v>-283.6311</v>
      </c>
      <c r="H6243">
        <v>-0.05</v>
      </c>
      <c r="I6243">
        <v>12.83459</v>
      </c>
      <c r="J6243">
        <v>-334.79059999999998</v>
      </c>
      <c r="K6243">
        <v>1.122509</v>
      </c>
      <c r="L6243">
        <v>16.7532</v>
      </c>
      <c r="M6243">
        <v>0.99969410000000003</v>
      </c>
      <c r="N6243">
        <v>-1.3846229999999999E-2</v>
      </c>
      <c r="O6243">
        <v>2.049345E-2</v>
      </c>
      <c r="P6243">
        <v>0.9814929</v>
      </c>
      <c r="Q6243">
        <v>0.18468039999999999</v>
      </c>
      <c r="R6243">
        <v>-5.064896E-2</v>
      </c>
      <c r="S6243">
        <v>3.0570979999999999</v>
      </c>
      <c r="T6243">
        <v>-6.9746730000000007E-2</v>
      </c>
      <c r="U6243">
        <v>-0.2327881</v>
      </c>
      <c r="V6243">
        <v>7.034609E-2</v>
      </c>
      <c r="W6243">
        <v>0.1983811</v>
      </c>
      <c r="X6243">
        <v>0.97759720000000006</v>
      </c>
      <c r="Y6243">
        <v>9.6306310000000006E-2</v>
      </c>
      <c r="Z6243">
        <v>-1.948319E-3</v>
      </c>
      <c r="AA6243">
        <v>0.99534979999999995</v>
      </c>
      <c r="AB6243">
        <v>34</v>
      </c>
      <c r="AC6243">
        <v>51.159499999999902</v>
      </c>
      <c r="AD6243">
        <v>-1.172509</v>
      </c>
      <c r="AE6243">
        <v>-3.9186100000000001</v>
      </c>
      <c r="AF6243">
        <v>4.9637299851367596</v>
      </c>
      <c r="AG6243">
        <v>-1.172509</v>
      </c>
      <c r="AH6243">
        <v>51.041786084991401</v>
      </c>
      <c r="AI6243">
        <v>91.309764851095807</v>
      </c>
      <c r="AJ6243">
        <v>84.445545412653601</v>
      </c>
      <c r="AK6243">
        <v>51.2959776148817</v>
      </c>
      <c r="AL6243">
        <v>78.557693415827899</v>
      </c>
      <c r="AM6243">
        <v>85.884195529573304</v>
      </c>
      <c r="AN6243">
        <v>0.99999995933166796</v>
      </c>
    </row>
    <row r="6244" spans="1:40" x14ac:dyDescent="0.25">
      <c r="A6244" t="str">
        <f>"20190303170415192"</f>
        <v>20190303170415192</v>
      </c>
      <c r="B6244" t="str">
        <f>"1551603855182090"</f>
        <v>1551603855182090</v>
      </c>
      <c r="C6244" t="s">
        <v>40</v>
      </c>
      <c r="D6244">
        <v>4.5650789999999999</v>
      </c>
      <c r="E6244">
        <v>0.54236410000000002</v>
      </c>
      <c r="F6244" t="s">
        <v>44</v>
      </c>
      <c r="G6244">
        <v>-304.76979999999998</v>
      </c>
      <c r="H6244">
        <v>-0.05</v>
      </c>
      <c r="I6244">
        <v>12.36702</v>
      </c>
      <c r="J6244">
        <v>-334.61619999999999</v>
      </c>
      <c r="K6244">
        <v>1.1225130000000001</v>
      </c>
      <c r="L6244">
        <v>16.75723</v>
      </c>
      <c r="M6244">
        <v>0.99968429999999997</v>
      </c>
      <c r="N6244">
        <v>-1.3845430000000001E-2</v>
      </c>
      <c r="O6244">
        <v>2.0973229999999999E-2</v>
      </c>
      <c r="P6244">
        <v>0.98131069999999998</v>
      </c>
      <c r="Q6244">
        <v>0.18569649999999999</v>
      </c>
      <c r="R6244">
        <v>-5.0462310000000003E-2</v>
      </c>
      <c r="S6244">
        <v>3.0560299999999998</v>
      </c>
      <c r="T6244">
        <v>-0.1193583</v>
      </c>
      <c r="U6244">
        <v>-0.44650269999999997</v>
      </c>
      <c r="V6244">
        <v>7.0624709999999993E-2</v>
      </c>
      <c r="W6244">
        <v>0.19939370000000001</v>
      </c>
      <c r="X6244">
        <v>0.97737110000000005</v>
      </c>
      <c r="Y6244">
        <v>0.16511919999999999</v>
      </c>
      <c r="Z6244">
        <v>-4.8820970000000002E-3</v>
      </c>
      <c r="AA6244">
        <v>0.98626150000000001</v>
      </c>
      <c r="AB6244">
        <v>34</v>
      </c>
      <c r="AC6244">
        <v>29.846399999999999</v>
      </c>
      <c r="AD6244">
        <v>-1.1725129999999999</v>
      </c>
      <c r="AE6244">
        <v>-4.3902099999999997</v>
      </c>
      <c r="AF6244">
        <v>5.0077147173624397</v>
      </c>
      <c r="AG6244">
        <v>-1.1725129999999999</v>
      </c>
      <c r="AH6244">
        <v>29.7028782183842</v>
      </c>
      <c r="AI6244">
        <v>92.229135682654899</v>
      </c>
      <c r="AJ6244">
        <v>80.430291096742394</v>
      </c>
      <c r="AK6244">
        <v>30.1448663603245</v>
      </c>
      <c r="AL6244">
        <v>78.498493285680496</v>
      </c>
      <c r="AM6244">
        <v>85.866997826670101</v>
      </c>
      <c r="AN6244">
        <v>0.99999998218874198</v>
      </c>
    </row>
    <row r="6245" spans="1:40" x14ac:dyDescent="0.25">
      <c r="A6245" t="str">
        <f>"20190303170415204"</f>
        <v>20190303170415204</v>
      </c>
      <c r="B6245" t="str">
        <f>"1551603855191851"</f>
        <v>1551603855191851</v>
      </c>
      <c r="C6245" t="s">
        <v>40</v>
      </c>
      <c r="D6245">
        <v>4.5688709999999997</v>
      </c>
      <c r="E6245">
        <v>0.58650719999999901</v>
      </c>
      <c r="F6245" t="s">
        <v>44</v>
      </c>
      <c r="G6245">
        <v>-303.78809999999999</v>
      </c>
      <c r="H6245">
        <v>-0.05</v>
      </c>
      <c r="I6245">
        <v>12.260070000000001</v>
      </c>
      <c r="J6245">
        <v>-334.4511</v>
      </c>
      <c r="K6245">
        <v>1.122511</v>
      </c>
      <c r="L6245">
        <v>16.761140000000001</v>
      </c>
      <c r="M6245">
        <v>0.99967459999999997</v>
      </c>
      <c r="N6245">
        <v>-1.384461E-2</v>
      </c>
      <c r="O6245">
        <v>2.142618E-2</v>
      </c>
      <c r="P6245">
        <v>0.98119529999999999</v>
      </c>
      <c r="Q6245">
        <v>0.18635389999999999</v>
      </c>
      <c r="R6245">
        <v>-5.0279940000000002E-2</v>
      </c>
      <c r="S6245">
        <v>3.0561829999999999</v>
      </c>
      <c r="T6245">
        <v>-0.11623849999999999</v>
      </c>
      <c r="U6245">
        <v>-0.44583129999999999</v>
      </c>
      <c r="V6245">
        <v>7.0883600000000005E-2</v>
      </c>
      <c r="W6245">
        <v>0.2000479</v>
      </c>
      <c r="X6245">
        <v>0.9772187</v>
      </c>
      <c r="Y6245">
        <v>0.16535459999999999</v>
      </c>
      <c r="Z6245">
        <v>-4.7938290000000003E-3</v>
      </c>
      <c r="AA6245">
        <v>0.9862225</v>
      </c>
      <c r="AB6245">
        <v>34</v>
      </c>
      <c r="AC6245">
        <v>30.663</v>
      </c>
      <c r="AD6245">
        <v>-1.1725110000000001</v>
      </c>
      <c r="AE6245">
        <v>-4.5010700000000003</v>
      </c>
      <c r="AF6245">
        <v>5.1497193638503003</v>
      </c>
      <c r="AG6245">
        <v>-1.1725110000000001</v>
      </c>
      <c r="AH6245">
        <v>30.515830623881101</v>
      </c>
      <c r="AI6245">
        <v>92.169746944263593</v>
      </c>
      <c r="AJ6245">
        <v>80.421261352369399</v>
      </c>
      <c r="AK6245">
        <v>30.9695061348569</v>
      </c>
      <c r="AL6245">
        <v>78.460240095257802</v>
      </c>
      <c r="AM6245">
        <v>85.851255561652806</v>
      </c>
      <c r="AN6245">
        <v>1.00000001733652</v>
      </c>
    </row>
    <row r="6246" spans="1:40" x14ac:dyDescent="0.25">
      <c r="A6246" t="str">
        <f>"20190303170415214"</f>
        <v>20190303170415214</v>
      </c>
      <c r="B6246" t="str">
        <f>"1551603855201612"</f>
        <v>1551603855201612</v>
      </c>
      <c r="C6246" t="s">
        <v>40</v>
      </c>
      <c r="D6246">
        <v>4.5782400000000001</v>
      </c>
      <c r="E6246">
        <v>0.58751900000000001</v>
      </c>
      <c r="F6246" t="s">
        <v>44</v>
      </c>
      <c r="G6246">
        <v>-301.48970000000003</v>
      </c>
      <c r="H6246">
        <v>-0.05</v>
      </c>
      <c r="I6246">
        <v>8.1010589999999993</v>
      </c>
      <c r="J6246">
        <v>-334.279</v>
      </c>
      <c r="K6246">
        <v>1.1225099999999999</v>
      </c>
      <c r="L6246">
        <v>16.765260000000001</v>
      </c>
      <c r="M6246">
        <v>0.99966429999999995</v>
      </c>
      <c r="N6246">
        <v>-1.384373E-2</v>
      </c>
      <c r="O6246">
        <v>2.1897550000000002E-2</v>
      </c>
      <c r="P6246">
        <v>0.98113119999999998</v>
      </c>
      <c r="Q6246">
        <v>0.18675839999999999</v>
      </c>
      <c r="R6246">
        <v>-5.0030030000000003E-2</v>
      </c>
      <c r="S6246">
        <v>3.0370789999999999</v>
      </c>
      <c r="T6246">
        <v>-0.1080356</v>
      </c>
      <c r="U6246">
        <v>-0.79794309999999902</v>
      </c>
      <c r="V6246">
        <v>7.1094450000000003E-2</v>
      </c>
      <c r="W6246">
        <v>0.20045060000000001</v>
      </c>
      <c r="X6246">
        <v>0.97712080000000001</v>
      </c>
      <c r="Y6246">
        <v>0.27499469999999998</v>
      </c>
      <c r="Z6246">
        <v>-7.2125180000000002E-3</v>
      </c>
      <c r="AA6246">
        <v>0.96141869999999996</v>
      </c>
      <c r="AB6246">
        <v>34</v>
      </c>
      <c r="AC6246">
        <v>32.789299999999898</v>
      </c>
      <c r="AD6246">
        <v>-1.1725099999999999</v>
      </c>
      <c r="AE6246">
        <v>-8.6642010000000003</v>
      </c>
      <c r="AF6246">
        <v>9.3689990380473898</v>
      </c>
      <c r="AG6246">
        <v>-1.1725099999999999</v>
      </c>
      <c r="AH6246">
        <v>32.552784717106803</v>
      </c>
      <c r="AI6246">
        <v>91.982424655570796</v>
      </c>
      <c r="AJ6246">
        <v>73.9436815300853</v>
      </c>
      <c r="AK6246">
        <v>33.8944938819469</v>
      </c>
      <c r="AL6246">
        <v>78.436689416722899</v>
      </c>
      <c r="AM6246">
        <v>85.838542570022895</v>
      </c>
      <c r="AN6246">
        <v>0.99999996082690001</v>
      </c>
    </row>
    <row r="6247" spans="1:40" x14ac:dyDescent="0.25">
      <c r="A6247" t="str">
        <f>"20190303170415226"</f>
        <v>20190303170415226</v>
      </c>
      <c r="B6247" t="str">
        <f>"1551603855212347"</f>
        <v>1551603855212347</v>
      </c>
      <c r="C6247" t="s">
        <v>40</v>
      </c>
      <c r="D6247">
        <v>4.5641080000000001</v>
      </c>
      <c r="E6247">
        <v>0.5883408</v>
      </c>
      <c r="F6247" t="s">
        <v>44</v>
      </c>
      <c r="G6247">
        <v>-301.06200000000001</v>
      </c>
      <c r="H6247">
        <v>-0.05</v>
      </c>
      <c r="I6247">
        <v>7.9572750000000001</v>
      </c>
      <c r="J6247">
        <v>-334.10129999999998</v>
      </c>
      <c r="K6247">
        <v>1.1225080000000001</v>
      </c>
      <c r="L6247">
        <v>16.76962</v>
      </c>
      <c r="M6247">
        <v>0.99965380000000004</v>
      </c>
      <c r="N6247">
        <v>-1.3842800000000001E-2</v>
      </c>
      <c r="O6247">
        <v>2.238093E-2</v>
      </c>
      <c r="P6247">
        <v>0.98119080000000003</v>
      </c>
      <c r="Q6247">
        <v>0.18654180000000001</v>
      </c>
      <c r="R6247">
        <v>-4.9666299999999997E-2</v>
      </c>
      <c r="S6247">
        <v>3.0370789999999999</v>
      </c>
      <c r="T6247">
        <v>-0.1072043</v>
      </c>
      <c r="U6247">
        <v>-0.80532840000000006</v>
      </c>
      <c r="V6247">
        <v>7.1208179999999996E-2</v>
      </c>
      <c r="W6247">
        <v>0.20023340000000001</v>
      </c>
      <c r="X6247">
        <v>0.9771571</v>
      </c>
      <c r="Y6247">
        <v>0.27764509999999998</v>
      </c>
      <c r="Z6247">
        <v>-7.2433690000000004E-3</v>
      </c>
      <c r="AA6247">
        <v>0.96065639999999997</v>
      </c>
      <c r="AB6247">
        <v>34</v>
      </c>
      <c r="AC6247">
        <v>33.039299999999898</v>
      </c>
      <c r="AD6247">
        <v>-1.1725079999999899</v>
      </c>
      <c r="AE6247">
        <v>-8.8123450000000005</v>
      </c>
      <c r="AF6247">
        <v>9.5384432118902307</v>
      </c>
      <c r="AG6247">
        <v>-1.1725079999999899</v>
      </c>
      <c r="AH6247">
        <v>32.7952155296854</v>
      </c>
      <c r="AI6247">
        <v>91.966183517249902</v>
      </c>
      <c r="AJ6247">
        <v>73.783000696395604</v>
      </c>
      <c r="AK6247">
        <v>34.1743008056498</v>
      </c>
      <c r="AL6247">
        <v>78.449392144897701</v>
      </c>
      <c r="AM6247">
        <v>85.832063210632995</v>
      </c>
      <c r="AN6247">
        <v>1.0000000087274401</v>
      </c>
    </row>
    <row r="6248" spans="1:40" x14ac:dyDescent="0.25">
      <c r="A6248" t="str">
        <f>"20190303170415237"</f>
        <v>20190303170415237</v>
      </c>
      <c r="B6248" t="str">
        <f>"1551603855231866"</f>
        <v>1551603855231866</v>
      </c>
      <c r="C6248" t="s">
        <v>40</v>
      </c>
      <c r="D6248">
        <v>4.5627879999999896</v>
      </c>
      <c r="E6248">
        <v>0.58955100000000005</v>
      </c>
      <c r="F6248" t="s">
        <v>44</v>
      </c>
      <c r="G6248">
        <v>-301.6345</v>
      </c>
      <c r="H6248">
        <v>-0.05</v>
      </c>
      <c r="I6248">
        <v>8.1041869999999996</v>
      </c>
      <c r="J6248">
        <v>-333.93150000000003</v>
      </c>
      <c r="K6248">
        <v>1.1225000000000001</v>
      </c>
      <c r="L6248">
        <v>16.773859999999999</v>
      </c>
      <c r="M6248">
        <v>0.99964330000000001</v>
      </c>
      <c r="N6248">
        <v>-1.384194E-2</v>
      </c>
      <c r="O6248">
        <v>2.2841190000000001E-2</v>
      </c>
      <c r="P6248">
        <v>0.98134359999999998</v>
      </c>
      <c r="Q6248">
        <v>0.18590860000000001</v>
      </c>
      <c r="R6248">
        <v>-4.9018609999999997E-2</v>
      </c>
      <c r="S6248">
        <v>3.0373230000000002</v>
      </c>
      <c r="T6248">
        <v>-0.1096902</v>
      </c>
      <c r="U6248">
        <v>-0.81066890000000003</v>
      </c>
      <c r="V6248">
        <v>7.101826E-2</v>
      </c>
      <c r="W6248">
        <v>0.19959979999999999</v>
      </c>
      <c r="X6248">
        <v>0.97730050000000002</v>
      </c>
      <c r="Y6248">
        <v>0.27963399999999999</v>
      </c>
      <c r="Z6248">
        <v>-7.4310660000000001E-3</v>
      </c>
      <c r="AA6248">
        <v>0.96007790000000004</v>
      </c>
      <c r="AB6248">
        <v>34</v>
      </c>
      <c r="AC6248">
        <v>32.296999999999997</v>
      </c>
      <c r="AD6248">
        <v>-1.1725000000000001</v>
      </c>
      <c r="AE6248">
        <v>-8.6696729999999995</v>
      </c>
      <c r="AF6248">
        <v>9.39363501194841</v>
      </c>
      <c r="AG6248">
        <v>-1.1725000000000001</v>
      </c>
      <c r="AH6248">
        <v>32.051124935785602</v>
      </c>
      <c r="AI6248">
        <v>92.010571242190807</v>
      </c>
      <c r="AJ6248">
        <v>73.665043991102806</v>
      </c>
      <c r="AK6248">
        <v>33.419900428293303</v>
      </c>
      <c r="AL6248">
        <v>78.486442245842198</v>
      </c>
      <c r="AM6248">
        <v>85.843748336022202</v>
      </c>
      <c r="AN6248">
        <v>0.99999997035685795</v>
      </c>
    </row>
    <row r="6249" spans="1:40" x14ac:dyDescent="0.25">
      <c r="A6249" t="str">
        <f>"20190303170415248"</f>
        <v>20190303170415248</v>
      </c>
      <c r="B6249" t="str">
        <f>"1551603855241627"</f>
        <v>1551603855241627</v>
      </c>
      <c r="C6249" t="s">
        <v>40</v>
      </c>
      <c r="D6249">
        <v>4.5142949999999997</v>
      </c>
      <c r="E6249">
        <v>0.59006669999999894</v>
      </c>
      <c r="F6249" t="s">
        <v>44</v>
      </c>
      <c r="G6249">
        <v>-302.43959999999998</v>
      </c>
      <c r="H6249">
        <v>-0.05</v>
      </c>
      <c r="I6249">
        <v>8.2912289999999995</v>
      </c>
      <c r="J6249">
        <v>-333.76130000000001</v>
      </c>
      <c r="K6249">
        <v>1.1224940000000001</v>
      </c>
      <c r="L6249">
        <v>16.778199999999998</v>
      </c>
      <c r="M6249">
        <v>0.99963279999999999</v>
      </c>
      <c r="N6249">
        <v>-1.384114E-2</v>
      </c>
      <c r="O6249">
        <v>2.3297970000000001E-2</v>
      </c>
      <c r="P6249">
        <v>0.98142249999999998</v>
      </c>
      <c r="Q6249">
        <v>0.18561250000000001</v>
      </c>
      <c r="R6249">
        <v>-4.8560899999999997E-2</v>
      </c>
      <c r="S6249">
        <v>3.037598</v>
      </c>
      <c r="T6249">
        <v>-0.1130955</v>
      </c>
      <c r="U6249">
        <v>-0.81820680000000001</v>
      </c>
      <c r="V6249">
        <v>7.1013300000000001E-2</v>
      </c>
      <c r="W6249">
        <v>0.19930310000000001</v>
      </c>
      <c r="X6249">
        <v>0.97736140000000005</v>
      </c>
      <c r="Y6249">
        <v>0.28225689999999998</v>
      </c>
      <c r="Z6249">
        <v>-7.6853590000000001E-3</v>
      </c>
      <c r="AA6249">
        <v>0.9593081</v>
      </c>
      <c r="AB6249">
        <v>34</v>
      </c>
      <c r="AC6249">
        <v>31.3217</v>
      </c>
      <c r="AD6249">
        <v>-1.1724939999999999</v>
      </c>
      <c r="AE6249">
        <v>-8.4869709999999898</v>
      </c>
      <c r="AF6249">
        <v>9.2024554359514692</v>
      </c>
      <c r="AG6249">
        <v>-1.1724939999999999</v>
      </c>
      <c r="AH6249">
        <v>31.074881686945101</v>
      </c>
      <c r="AI6249">
        <v>92.071954869368895</v>
      </c>
      <c r="AJ6249">
        <v>73.503973107097593</v>
      </c>
      <c r="AK6249">
        <v>32.430050880138097</v>
      </c>
      <c r="AL6249">
        <v>78.5037903529131</v>
      </c>
      <c r="AM6249">
        <v>85.8442956497952</v>
      </c>
      <c r="AN6249">
        <v>0.99999996032822902</v>
      </c>
    </row>
    <row r="6250" spans="1:40" x14ac:dyDescent="0.25">
      <c r="A6250" t="str">
        <f>"20190303170415261"</f>
        <v>20190303170415261</v>
      </c>
      <c r="B6250" t="str">
        <f>"1551603855252363"</f>
        <v>1551603855252363</v>
      </c>
      <c r="C6250" t="s">
        <v>40</v>
      </c>
      <c r="D6250">
        <v>4.5423249999999999</v>
      </c>
      <c r="E6250">
        <v>0.59039339999999996</v>
      </c>
      <c r="F6250" t="s">
        <v>44</v>
      </c>
      <c r="G6250">
        <v>-302.79360000000003</v>
      </c>
      <c r="H6250">
        <v>-0.05</v>
      </c>
      <c r="I6250">
        <v>8.4093479999999996</v>
      </c>
      <c r="J6250">
        <v>-333.58319999999998</v>
      </c>
      <c r="K6250">
        <v>1.1224879999999999</v>
      </c>
      <c r="L6250">
        <v>16.78284</v>
      </c>
      <c r="M6250">
        <v>0.9996216</v>
      </c>
      <c r="N6250">
        <v>-1.384025E-2</v>
      </c>
      <c r="O6250">
        <v>2.3772680000000001E-2</v>
      </c>
      <c r="P6250">
        <v>0.98137730000000001</v>
      </c>
      <c r="Q6250">
        <v>0.18590670000000001</v>
      </c>
      <c r="R6250">
        <v>-4.8347290000000001E-2</v>
      </c>
      <c r="S6250">
        <v>3.0379330000000002</v>
      </c>
      <c r="T6250">
        <v>-0.1150217</v>
      </c>
      <c r="U6250">
        <v>-0.82098389999999999</v>
      </c>
      <c r="V6250">
        <v>7.1266319999999994E-2</v>
      </c>
      <c r="W6250">
        <v>0.1995951</v>
      </c>
      <c r="X6250">
        <v>0.97728340000000002</v>
      </c>
      <c r="Y6250">
        <v>0.28349400000000002</v>
      </c>
      <c r="Z6250">
        <v>-7.8294590000000004E-3</v>
      </c>
      <c r="AA6250">
        <v>0.95894210000000002</v>
      </c>
      <c r="AB6250">
        <v>34</v>
      </c>
      <c r="AC6250">
        <v>30.789599999999901</v>
      </c>
      <c r="AD6250">
        <v>-1.172488</v>
      </c>
      <c r="AE6250">
        <v>-8.3734920000000006</v>
      </c>
      <c r="AF6250">
        <v>9.0908714070989092</v>
      </c>
      <c r="AG6250">
        <v>-1.172488</v>
      </c>
      <c r="AH6250">
        <v>30.540579497114098</v>
      </c>
      <c r="AI6250">
        <v>92.107282641199504</v>
      </c>
      <c r="AJ6250">
        <v>73.423556724204602</v>
      </c>
      <c r="AK6250">
        <v>31.886449583954899</v>
      </c>
      <c r="AL6250">
        <v>78.486717039761402</v>
      </c>
      <c r="AM6250">
        <v>85.829209366389904</v>
      </c>
      <c r="AN6250">
        <v>0.999999968112955</v>
      </c>
    </row>
    <row r="6251" spans="1:40" x14ac:dyDescent="0.25">
      <c r="A6251" t="str">
        <f>"20190303170415269"</f>
        <v>20190303170415269</v>
      </c>
      <c r="B6251" t="str">
        <f>"1551603855262123"</f>
        <v>1551603855262123</v>
      </c>
      <c r="C6251" t="s">
        <v>40</v>
      </c>
      <c r="D6251">
        <v>4.5429069999999996</v>
      </c>
      <c r="E6251">
        <v>0.59085089999999996</v>
      </c>
      <c r="F6251" t="s">
        <v>44</v>
      </c>
      <c r="G6251">
        <v>-302.32929999999999</v>
      </c>
      <c r="H6251">
        <v>-0.05</v>
      </c>
      <c r="I6251">
        <v>8.3173680000000001</v>
      </c>
      <c r="J6251">
        <v>-333.4341</v>
      </c>
      <c r="K6251">
        <v>1.1224860000000001</v>
      </c>
      <c r="L6251">
        <v>16.786739999999899</v>
      </c>
      <c r="M6251">
        <v>0.99961230000000001</v>
      </c>
      <c r="N6251">
        <v>-1.383945E-2</v>
      </c>
      <c r="O6251">
        <v>2.4166630000000001E-2</v>
      </c>
      <c r="P6251">
        <v>0.98126369999999896</v>
      </c>
      <c r="Q6251">
        <v>0.1865165</v>
      </c>
      <c r="R6251">
        <v>-4.8304670000000001E-2</v>
      </c>
      <c r="S6251">
        <v>3.0379939999999999</v>
      </c>
      <c r="T6251">
        <v>-0.1139704</v>
      </c>
      <c r="U6251">
        <v>-0.82287600000000005</v>
      </c>
      <c r="V6251">
        <v>7.1608740000000004E-2</v>
      </c>
      <c r="W6251">
        <v>0.20020160000000001</v>
      </c>
      <c r="X6251">
        <v>0.97713430000000001</v>
      </c>
      <c r="Y6251">
        <v>0.28442679999999998</v>
      </c>
      <c r="Z6251">
        <v>-7.8056430000000001E-3</v>
      </c>
      <c r="AA6251">
        <v>0.95866600000000002</v>
      </c>
      <c r="AB6251">
        <v>34</v>
      </c>
      <c r="AC6251">
        <v>31.104800000000001</v>
      </c>
      <c r="AD6251">
        <v>-1.1724859999999999</v>
      </c>
      <c r="AE6251">
        <v>-8.4693719999999892</v>
      </c>
      <c r="AF6251">
        <v>9.2064895669688305</v>
      </c>
      <c r="AG6251">
        <v>-1.1724859999999999</v>
      </c>
      <c r="AH6251">
        <v>30.8502089789664</v>
      </c>
      <c r="AI6251">
        <v>92.085714358506607</v>
      </c>
      <c r="AJ6251">
        <v>73.383554180784401</v>
      </c>
      <c r="AK6251">
        <v>32.2159831079668</v>
      </c>
      <c r="AL6251">
        <v>78.451251308888104</v>
      </c>
      <c r="AM6251">
        <v>85.808603617417006</v>
      </c>
      <c r="AN6251">
        <v>0.99999996626171805</v>
      </c>
    </row>
    <row r="6252" spans="1:40" x14ac:dyDescent="0.25">
      <c r="A6252" t="str">
        <f>"20190303170415282"</f>
        <v>20190303170415282</v>
      </c>
      <c r="B6252" t="str">
        <f>"1551603855271882"</f>
        <v>1551603855271882</v>
      </c>
      <c r="C6252" t="s">
        <v>40</v>
      </c>
      <c r="D6252">
        <v>4.5445379999999904</v>
      </c>
      <c r="E6252">
        <v>0.59119290000000002</v>
      </c>
      <c r="F6252" t="s">
        <v>44</v>
      </c>
      <c r="G6252">
        <v>-301.476</v>
      </c>
      <c r="H6252">
        <v>-0.05</v>
      </c>
      <c r="I6252">
        <v>8.0929869999999902</v>
      </c>
      <c r="J6252">
        <v>-333.26459999999997</v>
      </c>
      <c r="K6252">
        <v>1.1224829999999999</v>
      </c>
      <c r="L6252">
        <v>16.79129</v>
      </c>
      <c r="M6252">
        <v>0.99960139999999997</v>
      </c>
      <c r="N6252">
        <v>-1.383852E-2</v>
      </c>
      <c r="O6252">
        <v>2.4607750000000001E-2</v>
      </c>
      <c r="P6252">
        <v>0.98118349999999999</v>
      </c>
      <c r="Q6252">
        <v>0.1869403</v>
      </c>
      <c r="R6252">
        <v>-4.8293170000000003E-2</v>
      </c>
      <c r="S6252">
        <v>3.0377809999999998</v>
      </c>
      <c r="T6252">
        <v>-0.1114507</v>
      </c>
      <c r="U6252">
        <v>-0.8263855</v>
      </c>
      <c r="V6252">
        <v>7.2030810000000001E-2</v>
      </c>
      <c r="W6252">
        <v>0.20062199999999999</v>
      </c>
      <c r="X6252">
        <v>0.97701709999999997</v>
      </c>
      <c r="Y6252">
        <v>0.28590690000000002</v>
      </c>
      <c r="Z6252">
        <v>-7.7169329999999996E-3</v>
      </c>
      <c r="AA6252">
        <v>0.95822629999999998</v>
      </c>
      <c r="AB6252">
        <v>34</v>
      </c>
      <c r="AC6252">
        <v>31.788599999999899</v>
      </c>
      <c r="AD6252">
        <v>-1.1724829999999999</v>
      </c>
      <c r="AE6252">
        <v>-8.6983029999999992</v>
      </c>
      <c r="AF6252">
        <v>9.46600869892562</v>
      </c>
      <c r="AG6252">
        <v>-1.1724829999999999</v>
      </c>
      <c r="AH6252">
        <v>31.525006304668899</v>
      </c>
      <c r="AI6252">
        <v>92.040069226252001</v>
      </c>
      <c r="AJ6252">
        <v>73.286572531070604</v>
      </c>
      <c r="AK6252">
        <v>32.936394149676403</v>
      </c>
      <c r="AL6252">
        <v>78.426665975905294</v>
      </c>
      <c r="AM6252">
        <v>85.783483956986103</v>
      </c>
      <c r="AN6252">
        <v>1.00000001908283</v>
      </c>
    </row>
    <row r="6253" spans="1:40" x14ac:dyDescent="0.25">
      <c r="A6253" t="str">
        <f>"20190303170415293"</f>
        <v>20190303170415293</v>
      </c>
      <c r="B6253" t="str">
        <f>"1551603855281643"</f>
        <v>1551603855281643</v>
      </c>
      <c r="C6253" t="s">
        <v>40</v>
      </c>
      <c r="D6253">
        <v>4.5379610000000001</v>
      </c>
      <c r="E6253">
        <v>0.591534</v>
      </c>
      <c r="F6253" t="s">
        <v>44</v>
      </c>
      <c r="G6253">
        <v>-301.01600000000002</v>
      </c>
      <c r="H6253">
        <v>-0.05</v>
      </c>
      <c r="I6253">
        <v>7.9925229999999896</v>
      </c>
      <c r="J6253">
        <v>-333.08420000000001</v>
      </c>
      <c r="K6253">
        <v>1.122474</v>
      </c>
      <c r="L6253">
        <v>16.796140000000001</v>
      </c>
      <c r="M6253">
        <v>0.99958990000000003</v>
      </c>
      <c r="N6253">
        <v>-1.3837540000000001E-2</v>
      </c>
      <c r="O6253">
        <v>2.5071920000000001E-2</v>
      </c>
      <c r="P6253">
        <v>0.98114259999999998</v>
      </c>
      <c r="Q6253">
        <v>0.1871256</v>
      </c>
      <c r="R6253">
        <v>-4.8407989999999998E-2</v>
      </c>
      <c r="S6253">
        <v>3.03775</v>
      </c>
      <c r="T6253">
        <v>-0.1104456</v>
      </c>
      <c r="U6253">
        <v>-0.82882690000000003</v>
      </c>
      <c r="V6253">
        <v>7.2603840000000003E-2</v>
      </c>
      <c r="W6253">
        <v>0.2008047</v>
      </c>
      <c r="X6253">
        <v>0.9769371</v>
      </c>
      <c r="Y6253">
        <v>0.28707389999999999</v>
      </c>
      <c r="Z6253">
        <v>-7.701416E-3</v>
      </c>
      <c r="AA6253">
        <v>0.95787750000000005</v>
      </c>
      <c r="AB6253">
        <v>34</v>
      </c>
      <c r="AC6253">
        <v>32.068199999999997</v>
      </c>
      <c r="AD6253">
        <v>-1.172474</v>
      </c>
      <c r="AE6253">
        <v>-8.8036169999999991</v>
      </c>
      <c r="AF6253">
        <v>9.5930124268627406</v>
      </c>
      <c r="AG6253">
        <v>-1.172474</v>
      </c>
      <c r="AH6253">
        <v>31.797845267383401</v>
      </c>
      <c r="AI6253">
        <v>92.021773157417201</v>
      </c>
      <c r="AJ6253">
        <v>73.212093715970596</v>
      </c>
      <c r="AK6253">
        <v>33.234072069956603</v>
      </c>
      <c r="AL6253">
        <v>78.415980027844697</v>
      </c>
      <c r="AM6253">
        <v>85.749715788896097</v>
      </c>
      <c r="AN6253">
        <v>0.99999997124062201</v>
      </c>
    </row>
    <row r="6254" spans="1:40" x14ac:dyDescent="0.25">
      <c r="A6254" t="str">
        <f>"20190303170415305"</f>
        <v>20190303170415305</v>
      </c>
      <c r="B6254" t="str">
        <f>"1551603855292379"</f>
        <v>1551603855292379</v>
      </c>
      <c r="C6254" t="s">
        <v>40</v>
      </c>
      <c r="D6254">
        <v>4.5364000000000004</v>
      </c>
      <c r="E6254">
        <v>0.59200220000000003</v>
      </c>
      <c r="F6254" t="s">
        <v>44</v>
      </c>
      <c r="G6254">
        <v>-300.49520000000001</v>
      </c>
      <c r="H6254">
        <v>-0.05</v>
      </c>
      <c r="I6254">
        <v>7.872147</v>
      </c>
      <c r="J6254">
        <v>-332.92660000000001</v>
      </c>
      <c r="K6254">
        <v>1.122463</v>
      </c>
      <c r="L6254">
        <v>16.800509999999999</v>
      </c>
      <c r="M6254">
        <v>0.99958009999999997</v>
      </c>
      <c r="N6254">
        <v>-1.3836609999999999E-2</v>
      </c>
      <c r="O6254">
        <v>2.5462849999999999E-2</v>
      </c>
      <c r="P6254">
        <v>0.98113499999999998</v>
      </c>
      <c r="Q6254">
        <v>0.18718080000000001</v>
      </c>
      <c r="R6254">
        <v>-4.8349450000000002E-2</v>
      </c>
      <c r="S6254">
        <v>3.037445</v>
      </c>
      <c r="T6254">
        <v>-0.1092798</v>
      </c>
      <c r="U6254">
        <v>-0.83175659999999896</v>
      </c>
      <c r="V6254">
        <v>7.2933990000000004E-2</v>
      </c>
      <c r="W6254">
        <v>0.20085749999999999</v>
      </c>
      <c r="X6254">
        <v>0.97690169999999998</v>
      </c>
      <c r="Y6254">
        <v>0.28833589999999998</v>
      </c>
      <c r="Z6254">
        <v>-7.6776209999999999E-3</v>
      </c>
      <c r="AA6254">
        <v>0.95749859999999998</v>
      </c>
      <c r="AB6254">
        <v>34</v>
      </c>
      <c r="AC6254">
        <v>32.431399999999996</v>
      </c>
      <c r="AD6254">
        <v>-1.17246299999999</v>
      </c>
      <c r="AE6254">
        <v>-8.9283629999999992</v>
      </c>
      <c r="AF6254">
        <v>9.7395099542716892</v>
      </c>
      <c r="AG6254">
        <v>-1.17246299999999</v>
      </c>
      <c r="AH6254">
        <v>32.154455069842797</v>
      </c>
      <c r="AI6254">
        <v>91.998680664289097</v>
      </c>
      <c r="AJ6254">
        <v>73.148560958974002</v>
      </c>
      <c r="AK6254">
        <v>33.6175802888052</v>
      </c>
      <c r="AL6254">
        <v>78.412892428171901</v>
      </c>
      <c r="AM6254">
        <v>85.730305720076501</v>
      </c>
      <c r="AN6254">
        <v>1.0000000168332299</v>
      </c>
    </row>
    <row r="6255" spans="1:40" x14ac:dyDescent="0.25">
      <c r="A6255" t="str">
        <f>"20190303170415315"</f>
        <v>20190303170415315</v>
      </c>
      <c r="B6255" t="str">
        <f>"1551603855302138"</f>
        <v>1551603855302138</v>
      </c>
      <c r="C6255" t="s">
        <v>40</v>
      </c>
      <c r="D6255">
        <v>4.5226259999999998</v>
      </c>
      <c r="E6255">
        <v>0.59232220000000002</v>
      </c>
      <c r="F6255" t="s">
        <v>44</v>
      </c>
      <c r="G6255">
        <v>-299.923</v>
      </c>
      <c r="H6255">
        <v>-0.05</v>
      </c>
      <c r="I6255">
        <v>7.7254179999999897</v>
      </c>
      <c r="J6255">
        <v>-332.75790000000001</v>
      </c>
      <c r="K6255">
        <v>1.122447</v>
      </c>
      <c r="L6255">
        <v>16.80518</v>
      </c>
      <c r="M6255">
        <v>0.99956940000000005</v>
      </c>
      <c r="N6255">
        <v>-1.383561E-2</v>
      </c>
      <c r="O6255">
        <v>2.587832E-2</v>
      </c>
      <c r="P6255">
        <v>0.98122540000000003</v>
      </c>
      <c r="Q6255">
        <v>0.18678400000000001</v>
      </c>
      <c r="R6255">
        <v>-4.8046720000000001E-2</v>
      </c>
      <c r="S6255">
        <v>3.0370789999999999</v>
      </c>
      <c r="T6255">
        <v>-0.107893</v>
      </c>
      <c r="U6255">
        <v>-0.83511349999999995</v>
      </c>
      <c r="V6255">
        <v>7.3048249999999995E-2</v>
      </c>
      <c r="W6255">
        <v>0.2004581</v>
      </c>
      <c r="X6255">
        <v>0.97697520000000004</v>
      </c>
      <c r="Y6255">
        <v>0.2897515</v>
      </c>
      <c r="Z6255">
        <v>-7.6452069999999898E-3</v>
      </c>
      <c r="AA6255">
        <v>0.95707140000000002</v>
      </c>
      <c r="AB6255">
        <v>34</v>
      </c>
      <c r="AC6255">
        <v>32.834899999999998</v>
      </c>
      <c r="AD6255">
        <v>-1.172447</v>
      </c>
      <c r="AE6255">
        <v>-9.0797619999999899</v>
      </c>
      <c r="AF6255">
        <v>9.9147704769766793</v>
      </c>
      <c r="AG6255">
        <v>-1.172447</v>
      </c>
      <c r="AH6255">
        <v>32.550355992769298</v>
      </c>
      <c r="AI6255">
        <v>91.973431149393605</v>
      </c>
      <c r="AJ6255">
        <v>73.059373702363203</v>
      </c>
      <c r="AK6255">
        <v>34.047070077099796</v>
      </c>
      <c r="AL6255">
        <v>78.436251478249801</v>
      </c>
      <c r="AM6255">
        <v>85.723962043510696</v>
      </c>
      <c r="AN6255">
        <v>1.0000000190493501</v>
      </c>
    </row>
    <row r="6256" spans="1:40" x14ac:dyDescent="0.25">
      <c r="A6256" t="str">
        <f>"20190303170415331"</f>
        <v>20190303170415331</v>
      </c>
      <c r="B6256" t="str">
        <f>"1551603855321659"</f>
        <v>1551603855321659</v>
      </c>
      <c r="C6256" t="s">
        <v>40</v>
      </c>
      <c r="D6256">
        <v>4.5385410000000004</v>
      </c>
      <c r="E6256">
        <v>0.592885</v>
      </c>
      <c r="F6256" t="s">
        <v>44</v>
      </c>
      <c r="G6256">
        <v>-300.08780000000002</v>
      </c>
      <c r="H6256">
        <v>-0.05</v>
      </c>
      <c r="I6256">
        <v>7.8023829999999998</v>
      </c>
      <c r="J6256">
        <v>-332.51679999999999</v>
      </c>
      <c r="K6256">
        <v>1.1224160000000001</v>
      </c>
      <c r="L6256">
        <v>16.812010000000001</v>
      </c>
      <c r="M6256">
        <v>0.99955499999999997</v>
      </c>
      <c r="N6256">
        <v>-1.3834249999999999E-2</v>
      </c>
      <c r="O6256">
        <v>2.6432730000000002E-2</v>
      </c>
      <c r="P6256">
        <v>0.98135669999999997</v>
      </c>
      <c r="Q6256">
        <v>0.1862229</v>
      </c>
      <c r="R6256">
        <v>-4.7542279999999999E-2</v>
      </c>
      <c r="S6256">
        <v>3.0371700000000001</v>
      </c>
      <c r="T6256">
        <v>-0.1089965</v>
      </c>
      <c r="U6256">
        <v>-0.83694460000000004</v>
      </c>
      <c r="V6256">
        <v>7.3106299999999999E-2</v>
      </c>
      <c r="W6256">
        <v>0.19989190000000001</v>
      </c>
      <c r="X6256">
        <v>0.97708680000000003</v>
      </c>
      <c r="Y6256">
        <v>0.2908057</v>
      </c>
      <c r="Z6256">
        <v>-7.7434899999999996E-3</v>
      </c>
      <c r="AA6256">
        <v>0.95675080000000001</v>
      </c>
      <c r="AB6256">
        <v>34</v>
      </c>
      <c r="AC6256">
        <v>32.428999999999903</v>
      </c>
      <c r="AD6256">
        <v>-1.1724159999999999</v>
      </c>
      <c r="AE6256">
        <v>-9.0096270000000001</v>
      </c>
      <c r="AF6256">
        <v>9.8517931102078098</v>
      </c>
      <c r="AG6256">
        <v>-1.1724159999999999</v>
      </c>
      <c r="AH6256">
        <v>32.140495783963097</v>
      </c>
      <c r="AI6256">
        <v>91.997449643421504</v>
      </c>
      <c r="AJ6256">
        <v>72.958506407598705</v>
      </c>
      <c r="AK6256">
        <v>33.636941834868701</v>
      </c>
      <c r="AL6256">
        <v>78.469361805781801</v>
      </c>
      <c r="AM6256">
        <v>85.721063547074195</v>
      </c>
      <c r="AN6256">
        <v>0.99999995875976899</v>
      </c>
    </row>
    <row r="6257" spans="1:40" x14ac:dyDescent="0.25">
      <c r="A6257" t="str">
        <f>"20190303170415344"</f>
        <v>20190303170415344</v>
      </c>
      <c r="B6257" t="str">
        <f>"1551603855332396"</f>
        <v>1551603855332396</v>
      </c>
      <c r="C6257" t="s">
        <v>40</v>
      </c>
      <c r="D6257">
        <v>4.5045039999999998</v>
      </c>
      <c r="E6257">
        <v>0.59314409999999995</v>
      </c>
      <c r="F6257" t="s">
        <v>44</v>
      </c>
      <c r="G6257">
        <v>-300.2133</v>
      </c>
      <c r="H6257">
        <v>-0.05</v>
      </c>
      <c r="I6257">
        <v>7.8764949999999896</v>
      </c>
      <c r="J6257">
        <v>-332.34109999999998</v>
      </c>
      <c r="K6257">
        <v>1.1223890000000001</v>
      </c>
      <c r="L6257">
        <v>16.817049999999998</v>
      </c>
      <c r="M6257">
        <v>0.99954489999999996</v>
      </c>
      <c r="N6257">
        <v>-1.3833089999999999E-2</v>
      </c>
      <c r="O6257">
        <v>2.681302E-2</v>
      </c>
      <c r="P6257">
        <v>0.98152450000000002</v>
      </c>
      <c r="Q6257">
        <v>0.1854643</v>
      </c>
      <c r="R6257">
        <v>-4.7043950000000001E-2</v>
      </c>
      <c r="S6257">
        <v>3.0371700000000001</v>
      </c>
      <c r="T6257">
        <v>-0.1102306</v>
      </c>
      <c r="U6257">
        <v>-0.84011840000000004</v>
      </c>
      <c r="V6257">
        <v>7.2999460000000002E-2</v>
      </c>
      <c r="W6257">
        <v>0.19912930000000001</v>
      </c>
      <c r="X6257">
        <v>0.97725050000000002</v>
      </c>
      <c r="Y6257">
        <v>0.29209230000000003</v>
      </c>
      <c r="Z6257">
        <v>-7.851729E-3</v>
      </c>
      <c r="AA6257">
        <v>0.95635789999999998</v>
      </c>
      <c r="AB6257">
        <v>34</v>
      </c>
      <c r="AC6257">
        <v>32.127799999999901</v>
      </c>
      <c r="AD6257">
        <v>-1.1723889999999999</v>
      </c>
      <c r="AE6257">
        <v>-8.9405549999999998</v>
      </c>
      <c r="AF6257">
        <v>9.7867699955498004</v>
      </c>
      <c r="AG6257">
        <v>-1.1723889999999999</v>
      </c>
      <c r="AH6257">
        <v>31.837152598171301</v>
      </c>
      <c r="AI6257">
        <v>92.015922952650001</v>
      </c>
      <c r="AJ6257">
        <v>72.912523653704298</v>
      </c>
      <c r="AK6257">
        <v>33.328060976785899</v>
      </c>
      <c r="AL6257">
        <v>78.513952152169395</v>
      </c>
      <c r="AM6257">
        <v>85.728006828046105</v>
      </c>
      <c r="AN6257">
        <v>0.99999996951451497</v>
      </c>
    </row>
    <row r="6258" spans="1:40" x14ac:dyDescent="0.25">
      <c r="A6258" t="str">
        <f>"20190303170415356"</f>
        <v>20190303170415356</v>
      </c>
      <c r="B6258" t="str">
        <f>"1551603855342154"</f>
        <v>1551603855342154</v>
      </c>
      <c r="C6258" t="s">
        <v>40</v>
      </c>
      <c r="D6258">
        <v>4.4871999999999996</v>
      </c>
      <c r="E6258">
        <v>0.59347620000000001</v>
      </c>
      <c r="F6258" t="s">
        <v>44</v>
      </c>
      <c r="G6258">
        <v>-300.69830000000002</v>
      </c>
      <c r="H6258">
        <v>-0.05</v>
      </c>
      <c r="I6258">
        <v>8.0544589999999996</v>
      </c>
      <c r="J6258">
        <v>-332.14679999999998</v>
      </c>
      <c r="K6258">
        <v>1.1223540000000001</v>
      </c>
      <c r="L6258">
        <v>16.822659999999999</v>
      </c>
      <c r="M6258">
        <v>0.99953400000000003</v>
      </c>
      <c r="N6258">
        <v>-1.383173E-2</v>
      </c>
      <c r="O6258">
        <v>2.7218260000000001E-2</v>
      </c>
      <c r="P6258">
        <v>0.98164459999999998</v>
      </c>
      <c r="Q6258">
        <v>0.18492420000000001</v>
      </c>
      <c r="R6258">
        <v>-4.6659720000000002E-2</v>
      </c>
      <c r="S6258">
        <v>3.0374150000000002</v>
      </c>
      <c r="T6258">
        <v>-0.11253829999999999</v>
      </c>
      <c r="U6258">
        <v>-0.84112549999999997</v>
      </c>
      <c r="V6258">
        <v>7.3032739999999999E-2</v>
      </c>
      <c r="W6258">
        <v>0.19858390000000001</v>
      </c>
      <c r="X6258">
        <v>0.97735899999999998</v>
      </c>
      <c r="Y6258">
        <v>0.29274450000000002</v>
      </c>
      <c r="Z6258">
        <v>-8.0054689999999994E-3</v>
      </c>
      <c r="AA6258">
        <v>0.95615720000000004</v>
      </c>
      <c r="AB6258">
        <v>34</v>
      </c>
      <c r="AC6258">
        <v>31.4484999999999</v>
      </c>
      <c r="AD6258">
        <v>-1.1723539999999999</v>
      </c>
      <c r="AE6258">
        <v>-8.7682009999999995</v>
      </c>
      <c r="AF6258">
        <v>9.6086172177702291</v>
      </c>
      <c r="AG6258">
        <v>-1.1723539999999999</v>
      </c>
      <c r="AH6258">
        <v>31.157991847748399</v>
      </c>
      <c r="AI6258">
        <v>92.059197047203398</v>
      </c>
      <c r="AJ6258">
        <v>72.861089585732202</v>
      </c>
      <c r="AK6258">
        <v>32.6269887474052</v>
      </c>
      <c r="AL6258">
        <v>78.545838207877097</v>
      </c>
      <c r="AM6258">
        <v>85.726539174177006</v>
      </c>
      <c r="AN6258">
        <v>0.999999980666058</v>
      </c>
    </row>
    <row r="6259" spans="1:40" x14ac:dyDescent="0.25">
      <c r="A6259" t="str">
        <f>"20190303170415370"</f>
        <v>20190303170415370</v>
      </c>
      <c r="B6259" t="str">
        <f>"1551603855361675"</f>
        <v>1551603855361675</v>
      </c>
      <c r="C6259" t="s">
        <v>40</v>
      </c>
      <c r="D6259">
        <v>4.5271819999999998</v>
      </c>
      <c r="E6259">
        <v>0.59413780000000005</v>
      </c>
      <c r="F6259" t="s">
        <v>44</v>
      </c>
      <c r="G6259">
        <v>-300.90530000000001</v>
      </c>
      <c r="H6259">
        <v>-0.05</v>
      </c>
      <c r="I6259">
        <v>8.1554869999999902</v>
      </c>
      <c r="J6259">
        <v>-331.92419999999998</v>
      </c>
      <c r="K6259">
        <v>1.1222970000000001</v>
      </c>
      <c r="L6259">
        <v>16.829160000000002</v>
      </c>
      <c r="M6259">
        <v>0.99952269999999999</v>
      </c>
      <c r="N6259">
        <v>-1.3830210000000001E-2</v>
      </c>
      <c r="O6259">
        <v>2.7625509999999999E-2</v>
      </c>
      <c r="P6259">
        <v>0.98169600000000001</v>
      </c>
      <c r="Q6259">
        <v>0.18472669999999999</v>
      </c>
      <c r="R6259">
        <v>-4.6362180000000003E-2</v>
      </c>
      <c r="S6259">
        <v>3.037506</v>
      </c>
      <c r="T6259">
        <v>-0.11398419999999999</v>
      </c>
      <c r="U6259">
        <v>-0.84268189999999998</v>
      </c>
      <c r="V6259">
        <v>7.3159979999999999E-2</v>
      </c>
      <c r="W6259">
        <v>0.19837689999999999</v>
      </c>
      <c r="X6259">
        <v>0.97739149999999997</v>
      </c>
      <c r="Y6259">
        <v>0.29357470000000002</v>
      </c>
      <c r="Z6259">
        <v>-8.1165170000000002E-3</v>
      </c>
      <c r="AA6259">
        <v>0.95590169999999997</v>
      </c>
      <c r="AB6259">
        <v>34</v>
      </c>
      <c r="AC6259">
        <v>31.018899999999899</v>
      </c>
      <c r="AD6259">
        <v>-1.1722969999999999</v>
      </c>
      <c r="AE6259">
        <v>-8.6736730000000009</v>
      </c>
      <c r="AF6259">
        <v>9.5147523937800305</v>
      </c>
      <c r="AG6259">
        <v>-1.1722969999999999</v>
      </c>
      <c r="AH6259">
        <v>30.7267170213422</v>
      </c>
      <c r="AI6259">
        <v>92.087223411781096</v>
      </c>
      <c r="AJ6259">
        <v>72.794479019270099</v>
      </c>
      <c r="AK6259">
        <v>32.187512054845001</v>
      </c>
      <c r="AL6259">
        <v>78.557938953630696</v>
      </c>
      <c r="AM6259">
        <v>85.719263284057007</v>
      </c>
      <c r="AN6259">
        <v>0.99999996069972896</v>
      </c>
    </row>
    <row r="6260" spans="1:40" x14ac:dyDescent="0.25">
      <c r="A6260" t="str">
        <f>"20190303170415382"</f>
        <v>20190303170415382</v>
      </c>
      <c r="B6260" t="str">
        <f>"1551603855372411"</f>
        <v>1551603855372411</v>
      </c>
      <c r="C6260" t="s">
        <v>40</v>
      </c>
      <c r="D6260">
        <v>4.4986389999999998</v>
      </c>
      <c r="E6260">
        <v>0.59413780000000005</v>
      </c>
      <c r="F6260" t="s">
        <v>44</v>
      </c>
      <c r="G6260">
        <v>-300.32850000000002</v>
      </c>
      <c r="H6260">
        <v>-0.05</v>
      </c>
      <c r="I6260">
        <v>8.0151979999999998</v>
      </c>
      <c r="J6260">
        <v>-331.75830000000002</v>
      </c>
      <c r="K6260">
        <v>1.122255</v>
      </c>
      <c r="L6260">
        <v>16.834050000000001</v>
      </c>
      <c r="M6260">
        <v>0.99951509999999999</v>
      </c>
      <c r="N6260">
        <v>-1.382913E-2</v>
      </c>
      <c r="O6260">
        <v>2.7898539999999999E-2</v>
      </c>
      <c r="P6260">
        <v>0.98170089999999999</v>
      </c>
      <c r="Q6260">
        <v>0.18477850000000001</v>
      </c>
      <c r="R6260">
        <v>-4.6046810000000001E-2</v>
      </c>
      <c r="S6260">
        <v>3.037201</v>
      </c>
      <c r="T6260">
        <v>-0.11268930000000001</v>
      </c>
      <c r="U6260">
        <v>-0.84725949999999906</v>
      </c>
      <c r="V6260">
        <v>7.3132139999999998E-2</v>
      </c>
      <c r="W6260">
        <v>0.19841990000000001</v>
      </c>
      <c r="X6260">
        <v>0.9773849</v>
      </c>
      <c r="Y6260">
        <v>0.2952012</v>
      </c>
      <c r="Z6260">
        <v>-8.0906090000000003E-3</v>
      </c>
      <c r="AA6260">
        <v>0.95540080000000005</v>
      </c>
      <c r="AB6260">
        <v>34</v>
      </c>
      <c r="AC6260">
        <v>31.4298</v>
      </c>
      <c r="AD6260">
        <v>-1.1722549999999901</v>
      </c>
      <c r="AE6260">
        <v>-8.8188519999999997</v>
      </c>
      <c r="AF6260">
        <v>9.6798651235628306</v>
      </c>
      <c r="AG6260">
        <v>-1.1722549999999901</v>
      </c>
      <c r="AH6260">
        <v>31.131360932047201</v>
      </c>
      <c r="AI6260">
        <v>92.059298681109595</v>
      </c>
      <c r="AJ6260">
        <v>72.727642617251604</v>
      </c>
      <c r="AK6260">
        <v>32.622624113899697</v>
      </c>
      <c r="AL6260">
        <v>78.555425776747299</v>
      </c>
      <c r="AM6260">
        <v>85.720857418047999</v>
      </c>
      <c r="AN6260">
        <v>1.00000000468249</v>
      </c>
    </row>
    <row r="6261" spans="1:40" x14ac:dyDescent="0.25">
      <c r="A6261" t="str">
        <f>"20190303170415392"</f>
        <v>20190303170415392</v>
      </c>
      <c r="B6261" t="str">
        <f>"1551603855382172"</f>
        <v>1551603855382172</v>
      </c>
      <c r="C6261" t="s">
        <v>40</v>
      </c>
      <c r="D6261">
        <v>4.5161749999999996</v>
      </c>
      <c r="E6261">
        <v>0.60060570000000002</v>
      </c>
      <c r="F6261" t="s">
        <v>44</v>
      </c>
      <c r="G6261">
        <v>-300.06659999999999</v>
      </c>
      <c r="H6261">
        <v>-0.05</v>
      </c>
      <c r="I6261">
        <v>8.0021360000000001</v>
      </c>
      <c r="J6261">
        <v>-331.59089999999998</v>
      </c>
      <c r="K6261">
        <v>1.1222099999999999</v>
      </c>
      <c r="L6261">
        <v>16.838989999999999</v>
      </c>
      <c r="M6261">
        <v>0.99950799999999995</v>
      </c>
      <c r="N6261">
        <v>-1.382808E-2</v>
      </c>
      <c r="O6261">
        <v>2.815513E-2</v>
      </c>
      <c r="P6261">
        <v>0.98168929999999999</v>
      </c>
      <c r="Q6261">
        <v>0.18494920000000001</v>
      </c>
      <c r="R6261">
        <v>-4.5609400000000001E-2</v>
      </c>
      <c r="S6261">
        <v>3.0373839999999999</v>
      </c>
      <c r="T6261">
        <v>-0.1123509</v>
      </c>
      <c r="U6261">
        <v>-0.8464661</v>
      </c>
      <c r="V6261">
        <v>7.2966699999999995E-2</v>
      </c>
      <c r="W6261">
        <v>0.1985816</v>
      </c>
      <c r="X6261">
        <v>0.97736440000000002</v>
      </c>
      <c r="Y6261">
        <v>0.2952014</v>
      </c>
      <c r="Z6261">
        <v>-8.0769239999999992E-3</v>
      </c>
      <c r="AA6261">
        <v>0.9554009</v>
      </c>
      <c r="AB6261">
        <v>34</v>
      </c>
      <c r="AC6261">
        <v>31.524299999999901</v>
      </c>
      <c r="AD6261">
        <v>-1.17221</v>
      </c>
      <c r="AE6261">
        <v>-8.83685399999999</v>
      </c>
      <c r="AF6261">
        <v>9.7085598557990593</v>
      </c>
      <c r="AG6261">
        <v>-1.17221</v>
      </c>
      <c r="AH6261">
        <v>31.2229477708742</v>
      </c>
      <c r="AI6261">
        <v>92.053180484844304</v>
      </c>
      <c r="AJ6261">
        <v>72.727279392109907</v>
      </c>
      <c r="AK6261">
        <v>32.718537226784299</v>
      </c>
      <c r="AL6261">
        <v>78.545972667316903</v>
      </c>
      <c r="AM6261">
        <v>85.730412665987899</v>
      </c>
      <c r="AN6261">
        <v>0.99999998077740404</v>
      </c>
    </row>
    <row r="6262" spans="1:40" x14ac:dyDescent="0.25">
      <c r="A6262" t="str">
        <f>"20190303170415404"</f>
        <v>20190303170415404</v>
      </c>
      <c r="B6262" t="str">
        <f>"1551603855391931"</f>
        <v>1551603855391931</v>
      </c>
      <c r="C6262" t="s">
        <v>40</v>
      </c>
      <c r="D6262">
        <v>4.47668</v>
      </c>
      <c r="E6262">
        <v>0.60126599999999997</v>
      </c>
      <c r="F6262" t="s">
        <v>44</v>
      </c>
      <c r="G6262">
        <v>-298.1678</v>
      </c>
      <c r="H6262">
        <v>-0.05</v>
      </c>
      <c r="I6262">
        <v>6.9558559999999998</v>
      </c>
      <c r="J6262">
        <v>-331.4228</v>
      </c>
      <c r="K6262">
        <v>1.122163</v>
      </c>
      <c r="L6262">
        <v>16.843959999999999</v>
      </c>
      <c r="M6262">
        <v>0.99950209999999995</v>
      </c>
      <c r="N6262">
        <v>-1.3826919999999999E-2</v>
      </c>
      <c r="O6262">
        <v>2.8361129999999998E-2</v>
      </c>
      <c r="P6262">
        <v>0.98180619999999996</v>
      </c>
      <c r="Q6262">
        <v>0.18441469999999999</v>
      </c>
      <c r="R6262">
        <v>-4.5257140000000001E-2</v>
      </c>
      <c r="S6262">
        <v>3.034332</v>
      </c>
      <c r="T6262">
        <v>-0.10641979999999999</v>
      </c>
      <c r="U6262">
        <v>-0.89724729999999997</v>
      </c>
      <c r="V6262">
        <v>7.2844820000000005E-2</v>
      </c>
      <c r="W6262">
        <v>0.19803850000000001</v>
      </c>
      <c r="X6262">
        <v>0.97748369999999996</v>
      </c>
      <c r="Y6262">
        <v>0.31039080000000002</v>
      </c>
      <c r="Z6262">
        <v>-8.1101690000000004E-3</v>
      </c>
      <c r="AA6262">
        <v>0.95057449999999999</v>
      </c>
      <c r="AB6262">
        <v>34</v>
      </c>
      <c r="AC6262">
        <v>33.254999999999903</v>
      </c>
      <c r="AD6262">
        <v>-1.1721629999999901</v>
      </c>
      <c r="AE6262">
        <v>-9.8881039999999896</v>
      </c>
      <c r="AF6262">
        <v>10.815020087349801</v>
      </c>
      <c r="AG6262">
        <v>-1.1721629999999901</v>
      </c>
      <c r="AH6262">
        <v>32.923574106497</v>
      </c>
      <c r="AI6262">
        <v>91.937255509652701</v>
      </c>
      <c r="AJ6262">
        <v>71.8152356342313</v>
      </c>
      <c r="AK6262">
        <v>34.6742030555044</v>
      </c>
      <c r="AL6262">
        <v>78.577720756988796</v>
      </c>
      <c r="AM6262">
        <v>85.738036379673702</v>
      </c>
      <c r="AN6262">
        <v>0.99999999952438601</v>
      </c>
    </row>
    <row r="6263" spans="1:40" x14ac:dyDescent="0.25">
      <c r="A6263" t="str">
        <f>"20190303170415416"</f>
        <v>20190303170415416</v>
      </c>
      <c r="B6263" t="str">
        <f>"1551603855401691"</f>
        <v>1551603855401691</v>
      </c>
      <c r="C6263" t="s">
        <v>40</v>
      </c>
      <c r="D6263">
        <v>4.5038159999999996</v>
      </c>
      <c r="E6263">
        <v>0.60198399999999996</v>
      </c>
      <c r="F6263" t="s">
        <v>44</v>
      </c>
      <c r="G6263">
        <v>-298.64159999999998</v>
      </c>
      <c r="H6263">
        <v>-0.05</v>
      </c>
      <c r="I6263">
        <v>7.1044159999999996</v>
      </c>
      <c r="J6263">
        <v>-331.24329999999998</v>
      </c>
      <c r="K6263">
        <v>1.1221019999999999</v>
      </c>
      <c r="L6263">
        <v>16.849270000000001</v>
      </c>
      <c r="M6263">
        <v>0.99949650000000001</v>
      </c>
      <c r="N6263">
        <v>-1.382571E-2</v>
      </c>
      <c r="O6263">
        <v>2.8562500000000001E-2</v>
      </c>
      <c r="P6263">
        <v>0.98193989999999998</v>
      </c>
      <c r="Q6263">
        <v>0.18386559999999999</v>
      </c>
      <c r="R6263">
        <v>-4.458546E-2</v>
      </c>
      <c r="S6263">
        <v>3.034424</v>
      </c>
      <c r="T6263">
        <v>-0.1085023</v>
      </c>
      <c r="U6263">
        <v>-0.90155030000000003</v>
      </c>
      <c r="V6263">
        <v>7.2402540000000001E-2</v>
      </c>
      <c r="W6263">
        <v>0.19747990000000001</v>
      </c>
      <c r="X6263">
        <v>0.97762950000000004</v>
      </c>
      <c r="Y6263">
        <v>0.31180330000000001</v>
      </c>
      <c r="Z6263">
        <v>-8.271357E-3</v>
      </c>
      <c r="AA6263">
        <v>0.95011069999999997</v>
      </c>
      <c r="AB6263">
        <v>34</v>
      </c>
      <c r="AC6263">
        <v>32.601699999999902</v>
      </c>
      <c r="AD6263">
        <v>-1.172102</v>
      </c>
      <c r="AE6263">
        <v>-9.7448540000000001</v>
      </c>
      <c r="AF6263">
        <v>10.659504387255399</v>
      </c>
      <c r="AG6263">
        <v>-1.172102</v>
      </c>
      <c r="AH6263">
        <v>32.271740346370798</v>
      </c>
      <c r="AI6263">
        <v>91.975185957337402</v>
      </c>
      <c r="AJ6263">
        <v>71.721372938895101</v>
      </c>
      <c r="AK6263">
        <v>34.0068240484744</v>
      </c>
      <c r="AL6263">
        <v>78.610370302935493</v>
      </c>
      <c r="AM6263">
        <v>85.764448032238803</v>
      </c>
      <c r="AN6263">
        <v>0.99999993898635398</v>
      </c>
    </row>
    <row r="6264" spans="1:40" x14ac:dyDescent="0.25">
      <c r="A6264" t="str">
        <f>"20190303170415428"</f>
        <v>20190303170415428</v>
      </c>
      <c r="B6264" t="str">
        <f>"1551603855422187"</f>
        <v>1551603855422187</v>
      </c>
      <c r="C6264" t="s">
        <v>40</v>
      </c>
      <c r="D6264">
        <v>4.4710939999999999</v>
      </c>
      <c r="E6264">
        <v>0.60267769999999898</v>
      </c>
      <c r="F6264" t="s">
        <v>44</v>
      </c>
      <c r="G6264">
        <v>-298.87759999999997</v>
      </c>
      <c r="H6264">
        <v>-0.05</v>
      </c>
      <c r="I6264">
        <v>7.1901549999999999</v>
      </c>
      <c r="J6264">
        <v>-331.05430000000001</v>
      </c>
      <c r="K6264">
        <v>1.122036</v>
      </c>
      <c r="L6264">
        <v>16.854859999999999</v>
      </c>
      <c r="M6264">
        <v>0.99949219999999905</v>
      </c>
      <c r="N6264">
        <v>-1.3824599999999999E-2</v>
      </c>
      <c r="O6264">
        <v>2.8709499999999999E-2</v>
      </c>
      <c r="P6264">
        <v>0.98204849999999999</v>
      </c>
      <c r="Q6264">
        <v>0.1833687</v>
      </c>
      <c r="R6264">
        <v>-4.4237390000000001E-2</v>
      </c>
      <c r="S6264">
        <v>3.0346069999999998</v>
      </c>
      <c r="T6264">
        <v>-0.1098963</v>
      </c>
      <c r="U6264">
        <v>-0.90563959999999999</v>
      </c>
      <c r="V6264">
        <v>7.2232950000000004E-2</v>
      </c>
      <c r="W6264">
        <v>0.1969718</v>
      </c>
      <c r="X6264">
        <v>0.97774459999999996</v>
      </c>
      <c r="Y6264">
        <v>0.31309619999999999</v>
      </c>
      <c r="Z6264">
        <v>-8.3882509999999993E-3</v>
      </c>
      <c r="AA6264">
        <v>0.94968439999999998</v>
      </c>
      <c r="AB6264">
        <v>34</v>
      </c>
      <c r="AC6264">
        <v>32.176699999999997</v>
      </c>
      <c r="AD6264">
        <v>-1.1720360000000001</v>
      </c>
      <c r="AE6264">
        <v>-9.6647049999999997</v>
      </c>
      <c r="AF6264">
        <v>10.5717200407249</v>
      </c>
      <c r="AG6264">
        <v>-1.1720360000000001</v>
      </c>
      <c r="AH6264">
        <v>31.8471812146019</v>
      </c>
      <c r="AI6264">
        <v>92.000401001004207</v>
      </c>
      <c r="AJ6264">
        <v>71.636335833087799</v>
      </c>
      <c r="AK6264">
        <v>33.576448357747097</v>
      </c>
      <c r="AL6264">
        <v>78.640066218310494</v>
      </c>
      <c r="AM6264">
        <v>85.774828720062104</v>
      </c>
      <c r="AN6264">
        <v>0.99999999594505096</v>
      </c>
    </row>
    <row r="6265" spans="1:40" x14ac:dyDescent="0.25">
      <c r="A6265" t="str">
        <f>"20190303170415438"</f>
        <v>20190303170415438</v>
      </c>
      <c r="B6265" t="str">
        <f>"1551603855431947"</f>
        <v>1551603855431947</v>
      </c>
      <c r="C6265" t="s">
        <v>40</v>
      </c>
      <c r="D6265">
        <v>4.4653879999999999</v>
      </c>
      <c r="E6265">
        <v>0.60315699999999906</v>
      </c>
      <c r="F6265" t="s">
        <v>44</v>
      </c>
      <c r="G6265">
        <v>-298.72059999999999</v>
      </c>
      <c r="H6265">
        <v>-0.05</v>
      </c>
      <c r="I6265">
        <v>7.1508479999999999</v>
      </c>
      <c r="J6265">
        <v>-330.89960000000002</v>
      </c>
      <c r="K6265">
        <v>1.1219779999999999</v>
      </c>
      <c r="L6265">
        <v>16.859439999999999</v>
      </c>
      <c r="M6265">
        <v>0.99948950000000003</v>
      </c>
      <c r="N6265">
        <v>-1.382366E-2</v>
      </c>
      <c r="O6265">
        <v>2.8808879999999999E-2</v>
      </c>
      <c r="P6265">
        <v>0.98219469999999998</v>
      </c>
      <c r="Q6265">
        <v>0.18262059999999999</v>
      </c>
      <c r="R6265">
        <v>-4.4087630000000003E-2</v>
      </c>
      <c r="S6265">
        <v>3.0343629999999999</v>
      </c>
      <c r="T6265">
        <v>-0.1099899</v>
      </c>
      <c r="U6265">
        <v>-0.91067500000000001</v>
      </c>
      <c r="V6265">
        <v>7.2210339999999998E-2</v>
      </c>
      <c r="W6265">
        <v>0.19621530000000001</v>
      </c>
      <c r="X6265">
        <v>0.97789839999999995</v>
      </c>
      <c r="Y6265">
        <v>0.31465579999999999</v>
      </c>
      <c r="Z6265">
        <v>-8.4341490000000002E-3</v>
      </c>
      <c r="AA6265">
        <v>0.94916829999999996</v>
      </c>
      <c r="AB6265">
        <v>34</v>
      </c>
      <c r="AC6265">
        <v>32.179000000000002</v>
      </c>
      <c r="AD6265">
        <v>-1.171978</v>
      </c>
      <c r="AE6265">
        <v>-9.7085919999999994</v>
      </c>
      <c r="AF6265">
        <v>10.618780752793301</v>
      </c>
      <c r="AG6265">
        <v>-1.171978</v>
      </c>
      <c r="AH6265">
        <v>31.847201317443901</v>
      </c>
      <c r="AI6265">
        <v>91.999416481347893</v>
      </c>
      <c r="AJ6265">
        <v>71.560117723449395</v>
      </c>
      <c r="AK6265">
        <v>33.591312401604398</v>
      </c>
      <c r="AL6265">
        <v>78.684273550724299</v>
      </c>
      <c r="AM6265">
        <v>85.776808382301297</v>
      </c>
      <c r="AN6265">
        <v>1.0000000289397799</v>
      </c>
    </row>
    <row r="6266" spans="1:40" x14ac:dyDescent="0.25">
      <c r="A6266" t="str">
        <f>"20190303170415450"</f>
        <v>20190303170415450</v>
      </c>
      <c r="B6266" t="str">
        <f>"1551603855441707"</f>
        <v>1551603855441707</v>
      </c>
      <c r="C6266" t="s">
        <v>40</v>
      </c>
      <c r="D6266">
        <v>4.4663779999999997</v>
      </c>
      <c r="E6266">
        <v>0.60359259999999904</v>
      </c>
      <c r="F6266" t="s">
        <v>44</v>
      </c>
      <c r="G6266">
        <v>-298.49650000000003</v>
      </c>
      <c r="H6266">
        <v>-0.05</v>
      </c>
      <c r="I6266">
        <v>7.0911710000000001</v>
      </c>
      <c r="J6266">
        <v>-330.72949999999997</v>
      </c>
      <c r="K6266">
        <v>1.12192</v>
      </c>
      <c r="L6266">
        <v>16.864470000000001</v>
      </c>
      <c r="M6266">
        <v>0.99948729999999997</v>
      </c>
      <c r="N6266">
        <v>-1.3822579999999999E-2</v>
      </c>
      <c r="O6266">
        <v>2.8882910000000001E-2</v>
      </c>
      <c r="P6266">
        <v>0.98229809999999995</v>
      </c>
      <c r="Q6266">
        <v>0.1820455</v>
      </c>
      <c r="R6266">
        <v>-4.4157429999999998E-2</v>
      </c>
      <c r="S6266">
        <v>3.033722</v>
      </c>
      <c r="T6266">
        <v>-0.1097258</v>
      </c>
      <c r="U6266">
        <v>-0.9145508</v>
      </c>
      <c r="V6266">
        <v>7.238298E-2</v>
      </c>
      <c r="W6266">
        <v>0.19563079999999999</v>
      </c>
      <c r="X6266">
        <v>0.9780027</v>
      </c>
      <c r="Y6266">
        <v>0.31589309999999998</v>
      </c>
      <c r="Z6266">
        <v>-8.4510419999999902E-3</v>
      </c>
      <c r="AA6266">
        <v>0.94875719999999997</v>
      </c>
      <c r="AB6266">
        <v>34</v>
      </c>
      <c r="AC6266">
        <v>32.232999999999898</v>
      </c>
      <c r="AD6266">
        <v>-1.1719200000000001</v>
      </c>
      <c r="AE6266">
        <v>-9.7732989999999997</v>
      </c>
      <c r="AF6266">
        <v>10.687354515191601</v>
      </c>
      <c r="AG6266">
        <v>-1.1719200000000001</v>
      </c>
      <c r="AH6266">
        <v>31.898625404011302</v>
      </c>
      <c r="AI6266">
        <v>91.995130589689396</v>
      </c>
      <c r="AJ6266">
        <v>71.477026887050002</v>
      </c>
      <c r="AK6266">
        <v>33.661777221133498</v>
      </c>
      <c r="AL6266">
        <v>78.718424404042594</v>
      </c>
      <c r="AM6266">
        <v>85.7671980830915</v>
      </c>
      <c r="AN6266">
        <v>0.99999999345480495</v>
      </c>
    </row>
    <row r="6267" spans="1:40" x14ac:dyDescent="0.25">
      <c r="A6267" t="str">
        <f>"20190303170415460"</f>
        <v>20190303170415460</v>
      </c>
      <c r="B6267" t="str">
        <f>"1551603855452443"</f>
        <v>1551603855452443</v>
      </c>
      <c r="C6267" t="s">
        <v>40</v>
      </c>
      <c r="D6267">
        <v>4.4558780000000002</v>
      </c>
      <c r="E6267">
        <v>0.60414709999999905</v>
      </c>
      <c r="F6267" t="s">
        <v>44</v>
      </c>
      <c r="G6267">
        <v>-298.70100000000002</v>
      </c>
      <c r="H6267">
        <v>-0.05</v>
      </c>
      <c r="I6267">
        <v>7.1653140000000004</v>
      </c>
      <c r="J6267">
        <v>-330.58260000000001</v>
      </c>
      <c r="K6267">
        <v>1.1218680000000001</v>
      </c>
      <c r="L6267">
        <v>16.868770000000001</v>
      </c>
      <c r="M6267">
        <v>0.9994864</v>
      </c>
      <c r="N6267">
        <v>-1.382161E-2</v>
      </c>
      <c r="O6267">
        <v>2.8916509999999999E-2</v>
      </c>
      <c r="P6267">
        <v>0.98228729999999997</v>
      </c>
      <c r="Q6267">
        <v>0.18199850000000001</v>
      </c>
      <c r="R6267">
        <v>-4.4594479999999999E-2</v>
      </c>
      <c r="S6267">
        <v>3.033325</v>
      </c>
      <c r="T6267">
        <v>-0.1109892</v>
      </c>
      <c r="U6267">
        <v>-0.91857909999999998</v>
      </c>
      <c r="V6267">
        <v>7.2876070000000001E-2</v>
      </c>
      <c r="W6267">
        <v>0.19557430000000001</v>
      </c>
      <c r="X6267">
        <v>0.9779774</v>
      </c>
      <c r="Y6267">
        <v>0.31710700000000003</v>
      </c>
      <c r="Z6267">
        <v>-8.5581059999999994E-3</v>
      </c>
      <c r="AA6267">
        <v>0.9483511</v>
      </c>
      <c r="AB6267">
        <v>34</v>
      </c>
      <c r="AC6267">
        <v>31.881599999999999</v>
      </c>
      <c r="AD6267">
        <v>-1.1718679999999999</v>
      </c>
      <c r="AE6267">
        <v>-9.7034559999999992</v>
      </c>
      <c r="AF6267">
        <v>10.6082727132589</v>
      </c>
      <c r="AG6267">
        <v>-1.1718679999999999</v>
      </c>
      <c r="AH6267">
        <v>31.548638062491101</v>
      </c>
      <c r="AI6267">
        <v>92.016420482196594</v>
      </c>
      <c r="AJ6267">
        <v>71.414711157701802</v>
      </c>
      <c r="AK6267">
        <v>33.305033976357997</v>
      </c>
      <c r="AL6267">
        <v>78.721725587679302</v>
      </c>
      <c r="AM6267">
        <v>85.738359264654093</v>
      </c>
      <c r="AN6267">
        <v>1.0000000116549399</v>
      </c>
    </row>
    <row r="6268" spans="1:40" x14ac:dyDescent="0.25">
      <c r="A6268" t="str">
        <f>"20190303170415471"</f>
        <v>20190303170415471</v>
      </c>
      <c r="B6268" t="str">
        <f>"1551603855462202"</f>
        <v>1551603855462202</v>
      </c>
      <c r="C6268" t="s">
        <v>40</v>
      </c>
      <c r="D6268">
        <v>4.4684629999999999</v>
      </c>
      <c r="E6268">
        <v>0.60455809999999999</v>
      </c>
      <c r="F6268" t="s">
        <v>44</v>
      </c>
      <c r="G6268">
        <v>-298.28050000000002</v>
      </c>
      <c r="H6268">
        <v>-0.05</v>
      </c>
      <c r="I6268">
        <v>7.0231630000000003</v>
      </c>
      <c r="J6268">
        <v>-330.40800000000002</v>
      </c>
      <c r="K6268">
        <v>1.12181</v>
      </c>
      <c r="L6268">
        <v>16.87387</v>
      </c>
      <c r="M6268">
        <v>0.99948610000000004</v>
      </c>
      <c r="N6268">
        <v>-1.382042E-2</v>
      </c>
      <c r="O6268">
        <v>2.8924020000000002E-2</v>
      </c>
      <c r="P6268">
        <v>0.98226029999999998</v>
      </c>
      <c r="Q6268">
        <v>0.18204629999999999</v>
      </c>
      <c r="R6268">
        <v>-4.4992499999999998E-2</v>
      </c>
      <c r="S6268">
        <v>3.032562</v>
      </c>
      <c r="T6268">
        <v>-0.1100163</v>
      </c>
      <c r="U6268">
        <v>-0.92431640000000004</v>
      </c>
      <c r="V6268">
        <v>7.3308449999999997E-2</v>
      </c>
      <c r="W6268">
        <v>0.19561029999999999</v>
      </c>
      <c r="X6268">
        <v>0.97793790000000003</v>
      </c>
      <c r="Y6268">
        <v>0.31882519999999998</v>
      </c>
      <c r="Z6268">
        <v>-8.5424719999999902E-3</v>
      </c>
      <c r="AA6268">
        <v>0.94777500000000003</v>
      </c>
      <c r="AB6268">
        <v>34</v>
      </c>
      <c r="AC6268">
        <v>32.127499999999998</v>
      </c>
      <c r="AD6268">
        <v>-1.17181</v>
      </c>
      <c r="AE6268">
        <v>-9.8507069999999999</v>
      </c>
      <c r="AF6268">
        <v>10.762842215938701</v>
      </c>
      <c r="AG6268">
        <v>-1.17181</v>
      </c>
      <c r="AH6268">
        <v>31.7904488155081</v>
      </c>
      <c r="AI6268">
        <v>91.999601134006696</v>
      </c>
      <c r="AJ6268">
        <v>71.296169410293103</v>
      </c>
      <c r="AK6268">
        <v>33.583396896870497</v>
      </c>
      <c r="AL6268">
        <v>78.719622494157903</v>
      </c>
      <c r="AM6268">
        <v>85.712996058098</v>
      </c>
      <c r="AN6268">
        <v>1.00000002728195</v>
      </c>
    </row>
    <row r="6269" spans="1:40" x14ac:dyDescent="0.25">
      <c r="A6269" t="str">
        <f>"20190303170415482"</f>
        <v>20190303170415482</v>
      </c>
      <c r="B6269" t="str">
        <f>"1551603855471963"</f>
        <v>1551603855471963</v>
      </c>
      <c r="C6269" t="s">
        <v>40</v>
      </c>
      <c r="D6269">
        <v>4.4455489999999998</v>
      </c>
      <c r="E6269">
        <v>0.60499550000000002</v>
      </c>
      <c r="F6269" t="s">
        <v>44</v>
      </c>
      <c r="G6269">
        <v>-297.93079999999998</v>
      </c>
      <c r="H6269">
        <v>-0.05</v>
      </c>
      <c r="I6269">
        <v>6.925446</v>
      </c>
      <c r="J6269">
        <v>-330.24720000000002</v>
      </c>
      <c r="K6269">
        <v>1.1217539999999999</v>
      </c>
      <c r="L6269">
        <v>16.878509999999999</v>
      </c>
      <c r="M6269">
        <v>0.99948729999999997</v>
      </c>
      <c r="N6269">
        <v>-1.3819359999999999E-2</v>
      </c>
      <c r="O6269">
        <v>2.888226E-2</v>
      </c>
      <c r="P6269">
        <v>0.98222419999999999</v>
      </c>
      <c r="Q6269">
        <v>0.1821613</v>
      </c>
      <c r="R6269">
        <v>-4.5308420000000002E-2</v>
      </c>
      <c r="S6269">
        <v>3.0319210000000001</v>
      </c>
      <c r="T6269">
        <v>-0.10939500000000001</v>
      </c>
      <c r="U6269">
        <v>-0.9287415</v>
      </c>
      <c r="V6269">
        <v>7.360978E-2</v>
      </c>
      <c r="W6269">
        <v>0.1957131</v>
      </c>
      <c r="X6269">
        <v>0.97789470000000001</v>
      </c>
      <c r="Y6269">
        <v>0.320108</v>
      </c>
      <c r="Z6269">
        <v>-8.535908E-3</v>
      </c>
      <c r="AA6269">
        <v>0.94734260000000003</v>
      </c>
      <c r="AB6269">
        <v>34</v>
      </c>
      <c r="AC6269">
        <v>32.316400000000002</v>
      </c>
      <c r="AD6269">
        <v>-1.171754</v>
      </c>
      <c r="AE6269">
        <v>-9.9530639999999995</v>
      </c>
      <c r="AF6269">
        <v>10.8693189385747</v>
      </c>
      <c r="AG6269">
        <v>-1.171754</v>
      </c>
      <c r="AH6269">
        <v>31.977023330669301</v>
      </c>
      <c r="AI6269">
        <v>91.987030368083694</v>
      </c>
      <c r="AJ6269">
        <v>71.226574831825403</v>
      </c>
      <c r="AK6269">
        <v>33.794158115200197</v>
      </c>
      <c r="AL6269">
        <v>78.7136164388195</v>
      </c>
      <c r="AM6269">
        <v>85.695251237024195</v>
      </c>
      <c r="AN6269">
        <v>1.00000003075567</v>
      </c>
    </row>
    <row r="6270" spans="1:40" x14ac:dyDescent="0.25">
      <c r="A6270" t="str">
        <f>"20190303170415494"</f>
        <v>20190303170415494</v>
      </c>
      <c r="B6270" t="str">
        <f>"1551603855481723"</f>
        <v>1551603855481723</v>
      </c>
      <c r="C6270" t="s">
        <v>40</v>
      </c>
      <c r="D6270">
        <v>4.4475439999999997</v>
      </c>
      <c r="E6270">
        <v>0.60537959999999902</v>
      </c>
      <c r="F6270" t="s">
        <v>44</v>
      </c>
      <c r="G6270">
        <v>-297.48070000000001</v>
      </c>
      <c r="H6270">
        <v>-0.05</v>
      </c>
      <c r="I6270">
        <v>6.7933500000000002</v>
      </c>
      <c r="J6270">
        <v>-330.06970000000001</v>
      </c>
      <c r="K6270">
        <v>1.1216900000000001</v>
      </c>
      <c r="L6270">
        <v>16.883669999999999</v>
      </c>
      <c r="M6270">
        <v>0.99948939999999997</v>
      </c>
      <c r="N6270">
        <v>-1.3818189999999999E-2</v>
      </c>
      <c r="O6270">
        <v>2.8812580000000001E-2</v>
      </c>
      <c r="P6270">
        <v>0.98212379999999999</v>
      </c>
      <c r="Q6270">
        <v>0.18252119999999999</v>
      </c>
      <c r="R6270">
        <v>-4.6033270000000001E-2</v>
      </c>
      <c r="S6270">
        <v>3.031342</v>
      </c>
      <c r="T6270">
        <v>-0.10840279999999999</v>
      </c>
      <c r="U6270">
        <v>-0.93301389999999995</v>
      </c>
      <c r="V6270">
        <v>7.4294079999999998E-2</v>
      </c>
      <c r="W6270">
        <v>0.1960587</v>
      </c>
      <c r="X6270">
        <v>0.97777369999999997</v>
      </c>
      <c r="Y6270">
        <v>0.32131589999999999</v>
      </c>
      <c r="Z6270">
        <v>-8.5038960000000004E-3</v>
      </c>
      <c r="AA6270">
        <v>0.9469339</v>
      </c>
      <c r="AB6270">
        <v>34</v>
      </c>
      <c r="AC6270">
        <v>32.588999999999999</v>
      </c>
      <c r="AD6270">
        <v>-1.1716899999999999</v>
      </c>
      <c r="AE6270">
        <v>-10.09032</v>
      </c>
      <c r="AF6270">
        <v>11.012203043361</v>
      </c>
      <c r="AG6270">
        <v>-1.1716899999999999</v>
      </c>
      <c r="AH6270">
        <v>32.246674223219202</v>
      </c>
      <c r="AI6270">
        <v>91.969365654597894</v>
      </c>
      <c r="AJ6270">
        <v>71.1450215659668</v>
      </c>
      <c r="AK6270">
        <v>34.095299848846402</v>
      </c>
      <c r="AL6270">
        <v>78.693423654459195</v>
      </c>
      <c r="AM6270">
        <v>85.654849851880499</v>
      </c>
      <c r="AN6270">
        <v>1.0000000162902101</v>
      </c>
    </row>
    <row r="6271" spans="1:40" x14ac:dyDescent="0.25">
      <c r="A6271" t="str">
        <f>"20190303170415505"</f>
        <v>20190303170415505</v>
      </c>
      <c r="B6271" t="str">
        <f>"1551603855492459"</f>
        <v>1551603855492459</v>
      </c>
      <c r="C6271" t="s">
        <v>40</v>
      </c>
      <c r="D6271">
        <v>4.4482670000000004</v>
      </c>
      <c r="E6271">
        <v>0.60570990000000002</v>
      </c>
      <c r="F6271" t="s">
        <v>44</v>
      </c>
      <c r="G6271">
        <v>-296.99459999999999</v>
      </c>
      <c r="H6271">
        <v>-0.05</v>
      </c>
      <c r="I6271">
        <v>6.642334</v>
      </c>
      <c r="J6271">
        <v>-329.91210000000001</v>
      </c>
      <c r="K6271">
        <v>1.1216280000000001</v>
      </c>
      <c r="L6271">
        <v>16.88815</v>
      </c>
      <c r="M6271">
        <v>0.99949310000000002</v>
      </c>
      <c r="N6271">
        <v>-1.381727E-2</v>
      </c>
      <c r="O6271">
        <v>2.868339E-2</v>
      </c>
      <c r="P6271">
        <v>0.98206680000000002</v>
      </c>
      <c r="Q6271">
        <v>0.18262429999999999</v>
      </c>
      <c r="R6271">
        <v>-4.6835849999999998E-2</v>
      </c>
      <c r="S6271">
        <v>3.0305789999999999</v>
      </c>
      <c r="T6271">
        <v>-0.1073586</v>
      </c>
      <c r="U6271">
        <v>-0.93838500000000002</v>
      </c>
      <c r="V6271">
        <v>7.4997919999999996E-2</v>
      </c>
      <c r="W6271">
        <v>0.1961485</v>
      </c>
      <c r="X6271">
        <v>0.97770199999999996</v>
      </c>
      <c r="Y6271">
        <v>0.32279570000000002</v>
      </c>
      <c r="Z6271">
        <v>-8.4739280000000004E-3</v>
      </c>
      <c r="AA6271">
        <v>0.94643069999999896</v>
      </c>
      <c r="AB6271">
        <v>34</v>
      </c>
      <c r="AC6271">
        <v>32.917499999999997</v>
      </c>
      <c r="AD6271">
        <v>-1.1716279999999999</v>
      </c>
      <c r="AE6271">
        <v>-10.245816</v>
      </c>
      <c r="AF6271">
        <v>11.1729707916331</v>
      </c>
      <c r="AG6271">
        <v>-1.1716279999999999</v>
      </c>
      <c r="AH6271">
        <v>32.572420850552099</v>
      </c>
      <c r="AI6271">
        <v>91.948675570276507</v>
      </c>
      <c r="AJ6271">
        <v>71.067039534260601</v>
      </c>
      <c r="AK6271">
        <v>34.455341944995297</v>
      </c>
      <c r="AL6271">
        <v>78.688177130048302</v>
      </c>
      <c r="AM6271">
        <v>85.613524676776194</v>
      </c>
      <c r="AN6271">
        <v>1.00000006143028</v>
      </c>
    </row>
    <row r="6272" spans="1:40" x14ac:dyDescent="0.25">
      <c r="A6272" t="str">
        <f>"20190303170415518"</f>
        <v>20190303170415518</v>
      </c>
      <c r="B6272" t="str">
        <f>"1551603855511979"</f>
        <v>1551603855511979</v>
      </c>
      <c r="C6272" t="s">
        <v>40</v>
      </c>
      <c r="D6272">
        <v>4.4207869999999998</v>
      </c>
      <c r="E6272">
        <v>0.61115489999999995</v>
      </c>
      <c r="F6272" t="s">
        <v>44</v>
      </c>
      <c r="G6272">
        <v>-296.47239999999999</v>
      </c>
      <c r="H6272">
        <v>-0.05</v>
      </c>
      <c r="I6272">
        <v>6.4694059999999904</v>
      </c>
      <c r="J6272">
        <v>-329.70580000000001</v>
      </c>
      <c r="K6272">
        <v>1.1215459999999999</v>
      </c>
      <c r="L6272">
        <v>16.89395</v>
      </c>
      <c r="M6272">
        <v>0.99949889999999997</v>
      </c>
      <c r="N6272">
        <v>-1.381611E-2</v>
      </c>
      <c r="O6272">
        <v>2.8483229999999998E-2</v>
      </c>
      <c r="P6272">
        <v>0.98196340000000004</v>
      </c>
      <c r="Q6272">
        <v>0.18290619999999999</v>
      </c>
      <c r="R6272">
        <v>-4.7892179999999999E-2</v>
      </c>
      <c r="S6272">
        <v>3.029541</v>
      </c>
      <c r="T6272">
        <v>-0.106146</v>
      </c>
      <c r="U6272">
        <v>-0.94390870000000004</v>
      </c>
      <c r="V6272">
        <v>7.5895480000000001E-2</v>
      </c>
      <c r="W6272">
        <v>0.19641169999999999</v>
      </c>
      <c r="X6272">
        <v>0.9775798</v>
      </c>
      <c r="Y6272">
        <v>0.32427519999999999</v>
      </c>
      <c r="Z6272">
        <v>-8.4322300000000006E-3</v>
      </c>
      <c r="AA6272">
        <v>0.94592520000000002</v>
      </c>
      <c r="AB6272">
        <v>34</v>
      </c>
      <c r="AC6272">
        <v>33.233400000000003</v>
      </c>
      <c r="AD6272">
        <v>-1.171546</v>
      </c>
      <c r="AE6272">
        <v>-10.424543999999999</v>
      </c>
      <c r="AF6272">
        <v>11.3541525277902</v>
      </c>
      <c r="AG6272">
        <v>-1.171546</v>
      </c>
      <c r="AH6272">
        <v>32.885754134906797</v>
      </c>
      <c r="AI6272">
        <v>91.928658386587898</v>
      </c>
      <c r="AJ6272">
        <v>70.952227767743295</v>
      </c>
      <c r="AK6272">
        <v>34.810373808334496</v>
      </c>
      <c r="AL6272">
        <v>78.672796699669505</v>
      </c>
      <c r="AM6272">
        <v>85.560684147359197</v>
      </c>
      <c r="AN6272">
        <v>0.99999997257467899</v>
      </c>
    </row>
    <row r="6273" spans="1:40" x14ac:dyDescent="0.25">
      <c r="A6273" t="str">
        <f>"20190303170415531"</f>
        <v>20190303170415531</v>
      </c>
      <c r="B6273" t="str">
        <f>"1551603855521738"</f>
        <v>1551603855521738</v>
      </c>
      <c r="C6273" t="s">
        <v>40</v>
      </c>
      <c r="D6273">
        <v>4.4413419999999997</v>
      </c>
      <c r="E6273">
        <v>0.61023319999999903</v>
      </c>
      <c r="F6273" t="s">
        <v>44</v>
      </c>
      <c r="G6273">
        <v>-294.06909999999999</v>
      </c>
      <c r="H6273">
        <v>-0.05</v>
      </c>
      <c r="I6273">
        <v>5.2156370000000001</v>
      </c>
      <c r="J6273">
        <v>-329.51609999999999</v>
      </c>
      <c r="K6273">
        <v>1.1214630000000001</v>
      </c>
      <c r="L6273">
        <v>16.8992</v>
      </c>
      <c r="M6273">
        <v>0.99950589999999995</v>
      </c>
      <c r="N6273">
        <v>-1.381518E-2</v>
      </c>
      <c r="O6273">
        <v>2.8233709999999999E-2</v>
      </c>
      <c r="P6273">
        <v>0.98196229999999995</v>
      </c>
      <c r="Q6273">
        <v>0.18267539999999999</v>
      </c>
      <c r="R6273">
        <v>-4.8784899999999999E-2</v>
      </c>
      <c r="S6273">
        <v>3.0252690000000002</v>
      </c>
      <c r="T6273">
        <v>-9.9454879999999996E-2</v>
      </c>
      <c r="U6273">
        <v>-0.991394</v>
      </c>
      <c r="V6273">
        <v>7.6583849999999995E-2</v>
      </c>
      <c r="W6273">
        <v>0.1961639</v>
      </c>
      <c r="X6273">
        <v>0.97757590000000005</v>
      </c>
      <c r="Y6273">
        <v>0.33787240000000002</v>
      </c>
      <c r="Z6273">
        <v>-8.3306730000000002E-3</v>
      </c>
      <c r="AA6273">
        <v>0.94115499999999996</v>
      </c>
      <c r="AB6273">
        <v>34</v>
      </c>
      <c r="AC6273">
        <v>35.446999999999903</v>
      </c>
      <c r="AD6273">
        <v>-1.1714629999999999</v>
      </c>
      <c r="AE6273">
        <v>-11.683562999999999</v>
      </c>
      <c r="AF6273">
        <v>12.6673209085395</v>
      </c>
      <c r="AG6273">
        <v>-1.1714629999999999</v>
      </c>
      <c r="AH6273">
        <v>35.068416471525801</v>
      </c>
      <c r="AI6273">
        <v>91.799538580473197</v>
      </c>
      <c r="AJ6273">
        <v>70.1394003256448</v>
      </c>
      <c r="AK6273">
        <v>37.3045195436246</v>
      </c>
      <c r="AL6273">
        <v>78.687276601046904</v>
      </c>
      <c r="AM6273">
        <v>85.520565009649204</v>
      </c>
      <c r="AN6273">
        <v>1.0000000010024199</v>
      </c>
    </row>
    <row r="6274" spans="1:40" x14ac:dyDescent="0.25">
      <c r="A6274" t="str">
        <f>"20190303170415551"</f>
        <v>20190303170415551</v>
      </c>
      <c r="B6274" t="str">
        <f>"1551603855542236"</f>
        <v>1551603855542236</v>
      </c>
      <c r="C6274" t="s">
        <v>40</v>
      </c>
      <c r="D6274">
        <v>4.4081609999999998</v>
      </c>
      <c r="E6274">
        <v>0.61066699999999996</v>
      </c>
      <c r="F6274" t="s">
        <v>44</v>
      </c>
      <c r="G6274">
        <v>-290.69720000000001</v>
      </c>
      <c r="H6274">
        <v>-0.05</v>
      </c>
      <c r="I6274">
        <v>4.2144009999999996</v>
      </c>
      <c r="J6274">
        <v>-329.2278</v>
      </c>
      <c r="K6274">
        <v>1.121329</v>
      </c>
      <c r="L6274">
        <v>16.906949999999998</v>
      </c>
      <c r="M6274">
        <v>0.99951920000000005</v>
      </c>
      <c r="N6274">
        <v>-1.381399E-2</v>
      </c>
      <c r="O6274">
        <v>2.7759019999999999E-2</v>
      </c>
      <c r="P6274">
        <v>0.98198079999999999</v>
      </c>
      <c r="Q6274">
        <v>0.1817976</v>
      </c>
      <c r="R6274">
        <v>-5.1606730000000003E-2</v>
      </c>
      <c r="S6274">
        <v>3.0230100000000002</v>
      </c>
      <c r="T6274">
        <v>-9.1227169999999996E-2</v>
      </c>
      <c r="U6274">
        <v>-0.98782349999999997</v>
      </c>
      <c r="V6274">
        <v>7.9003050000000005E-2</v>
      </c>
      <c r="W6274">
        <v>0.19525809999999999</v>
      </c>
      <c r="X6274">
        <v>0.97756469999999995</v>
      </c>
      <c r="Y6274">
        <v>0.3366633</v>
      </c>
      <c r="Z6274">
        <v>-7.7789139999999996E-3</v>
      </c>
      <c r="AA6274">
        <v>0.94159289999999995</v>
      </c>
      <c r="AB6274">
        <v>34</v>
      </c>
      <c r="AC6274">
        <v>38.5305999999999</v>
      </c>
      <c r="AD6274">
        <v>-1.1713290000000001</v>
      </c>
      <c r="AE6274">
        <v>-12.6925489999999</v>
      </c>
      <c r="AF6274">
        <v>13.7458708626295</v>
      </c>
      <c r="AG6274">
        <v>-1.1713290000000001</v>
      </c>
      <c r="AH6274">
        <v>38.131592874451798</v>
      </c>
      <c r="AI6274">
        <v>91.655259984393894</v>
      </c>
      <c r="AJ6274">
        <v>70.176522395150201</v>
      </c>
      <c r="AK6274">
        <v>40.550454406100997</v>
      </c>
      <c r="AL6274">
        <v>78.740198249625706</v>
      </c>
      <c r="AM6274">
        <v>85.379615174373299</v>
      </c>
      <c r="AN6274">
        <v>0.99999997510550098</v>
      </c>
    </row>
    <row r="6275" spans="1:40" x14ac:dyDescent="0.25">
      <c r="A6275" t="str">
        <f>"20190303170415562"</f>
        <v>20190303170415562</v>
      </c>
      <c r="B6275" t="str">
        <f>"1551603855551996"</f>
        <v>1551603855551996</v>
      </c>
      <c r="C6275" t="s">
        <v>40</v>
      </c>
      <c r="D6275">
        <v>4.4185449999999999</v>
      </c>
      <c r="E6275">
        <v>0.61089989999999905</v>
      </c>
      <c r="F6275" t="s">
        <v>44</v>
      </c>
      <c r="G6275">
        <v>-291.36040000000003</v>
      </c>
      <c r="H6275">
        <v>-0.05</v>
      </c>
      <c r="I6275">
        <v>4.359375</v>
      </c>
      <c r="J6275">
        <v>-329.04640000000001</v>
      </c>
      <c r="K6275">
        <v>1.121238</v>
      </c>
      <c r="L6275">
        <v>16.91168</v>
      </c>
      <c r="M6275">
        <v>0.99952940000000001</v>
      </c>
      <c r="N6275">
        <v>-1.381342E-2</v>
      </c>
      <c r="O6275">
        <v>2.739043E-2</v>
      </c>
      <c r="P6275">
        <v>0.98198680000000005</v>
      </c>
      <c r="Q6275">
        <v>0.18126800000000001</v>
      </c>
      <c r="R6275">
        <v>-5.3329620000000001E-2</v>
      </c>
      <c r="S6275">
        <v>3.0197449999999999</v>
      </c>
      <c r="T6275">
        <v>-9.3407870000000004E-2</v>
      </c>
      <c r="U6275">
        <v>-1.00061</v>
      </c>
      <c r="V6275">
        <v>8.0404970000000006E-2</v>
      </c>
      <c r="W6275">
        <v>0.19470950000000001</v>
      </c>
      <c r="X6275">
        <v>0.97755990000000004</v>
      </c>
      <c r="Y6275">
        <v>0.34020050000000002</v>
      </c>
      <c r="Z6275">
        <v>-7.9929470000000002E-3</v>
      </c>
      <c r="AA6275">
        <v>0.94031889999999996</v>
      </c>
      <c r="AB6275">
        <v>33</v>
      </c>
      <c r="AC6275">
        <v>37.6859999999999</v>
      </c>
      <c r="AD6275">
        <v>-1.171238</v>
      </c>
      <c r="AE6275">
        <v>-12.552305</v>
      </c>
      <c r="AF6275">
        <v>13.568132149078499</v>
      </c>
      <c r="AG6275">
        <v>-1.171238</v>
      </c>
      <c r="AH6275">
        <v>37.295585849264498</v>
      </c>
      <c r="AI6275">
        <v>91.690417181401301</v>
      </c>
      <c r="AJ6275">
        <v>70.008615899606497</v>
      </c>
      <c r="AK6275">
        <v>39.704240734553302</v>
      </c>
      <c r="AL6275">
        <v>78.772246711613604</v>
      </c>
      <c r="AM6275">
        <v>85.297967266256904</v>
      </c>
      <c r="AN6275">
        <v>1.00000005333947</v>
      </c>
    </row>
    <row r="6276" spans="1:40" x14ac:dyDescent="0.25">
      <c r="A6276" t="str">
        <f>"20190303170415573"</f>
        <v>20190303170415573</v>
      </c>
      <c r="B6276" t="str">
        <f>"1551603855561755"</f>
        <v>1551603855561755</v>
      </c>
      <c r="C6276" t="s">
        <v>40</v>
      </c>
      <c r="D6276">
        <v>4.4116150000000003</v>
      </c>
      <c r="E6276">
        <v>0.61140879999999997</v>
      </c>
      <c r="F6276" t="s">
        <v>44</v>
      </c>
      <c r="G6276">
        <v>-292.48070000000001</v>
      </c>
      <c r="H6276">
        <v>-0.05</v>
      </c>
      <c r="I6276">
        <v>4.705139</v>
      </c>
      <c r="J6276">
        <v>-328.88209999999998</v>
      </c>
      <c r="K6276">
        <v>1.1211580000000001</v>
      </c>
      <c r="L6276">
        <v>16.915890000000001</v>
      </c>
      <c r="M6276">
        <v>0.99953930000000002</v>
      </c>
      <c r="N6276">
        <v>-1.3812919999999999E-2</v>
      </c>
      <c r="O6276">
        <v>2.7027309999999999E-2</v>
      </c>
      <c r="P6276">
        <v>0.98199840000000005</v>
      </c>
      <c r="Q6276">
        <v>0.1807732</v>
      </c>
      <c r="R6276">
        <v>-5.4775070000000002E-2</v>
      </c>
      <c r="S6276">
        <v>3.0181580000000001</v>
      </c>
      <c r="T6276">
        <v>-9.6674800000000005E-2</v>
      </c>
      <c r="U6276">
        <v>-1.0075379999999901</v>
      </c>
      <c r="V6276">
        <v>8.1531960000000001E-2</v>
      </c>
      <c r="W6276">
        <v>0.19419690000000001</v>
      </c>
      <c r="X6276">
        <v>0.9775684</v>
      </c>
      <c r="Y6276">
        <v>0.34193449999999997</v>
      </c>
      <c r="Z6276">
        <v>-8.2356789999999992E-3</v>
      </c>
      <c r="AA6276">
        <v>0.93968770000000001</v>
      </c>
      <c r="AB6276">
        <v>33</v>
      </c>
      <c r="AC6276">
        <v>36.401399999999903</v>
      </c>
      <c r="AD6276">
        <v>-1.1711579999999999</v>
      </c>
      <c r="AE6276">
        <v>-12.210751</v>
      </c>
      <c r="AF6276">
        <v>13.1779540548141</v>
      </c>
      <c r="AG6276">
        <v>-1.1711579999999999</v>
      </c>
      <c r="AH6276">
        <v>36.024526236765801</v>
      </c>
      <c r="AI6276">
        <v>91.748775948248195</v>
      </c>
      <c r="AJ6276">
        <v>69.907224530468895</v>
      </c>
      <c r="AK6276">
        <v>38.377031864321999</v>
      </c>
      <c r="AL6276">
        <v>78.802186728939404</v>
      </c>
      <c r="AM6276">
        <v>85.232404572311196</v>
      </c>
      <c r="AN6276">
        <v>0.99999993657480302</v>
      </c>
    </row>
    <row r="6277" spans="1:40" x14ac:dyDescent="0.25">
      <c r="A6277" t="str">
        <f>"20190303170415584"</f>
        <v>20190303170415584</v>
      </c>
      <c r="B6277" t="str">
        <f>"1551603855571515"</f>
        <v>1551603855571515</v>
      </c>
      <c r="C6277" t="s">
        <v>40</v>
      </c>
      <c r="D6277">
        <v>4.4020219999999997</v>
      </c>
      <c r="E6277">
        <v>0.61160179999999997</v>
      </c>
      <c r="F6277" t="s">
        <v>44</v>
      </c>
      <c r="G6277">
        <v>-292.62329999999997</v>
      </c>
      <c r="H6277">
        <v>-0.05</v>
      </c>
      <c r="I6277">
        <v>4.7058720000000003</v>
      </c>
      <c r="J6277">
        <v>-328.72620000000001</v>
      </c>
      <c r="K6277">
        <v>1.121081</v>
      </c>
      <c r="L6277">
        <v>16.919740000000001</v>
      </c>
      <c r="M6277">
        <v>0.99955039999999995</v>
      </c>
      <c r="N6277">
        <v>-1.381259E-2</v>
      </c>
      <c r="O6277">
        <v>2.6611470000000002E-2</v>
      </c>
      <c r="P6277">
        <v>0.982101</v>
      </c>
      <c r="Q6277">
        <v>0.17982190000000001</v>
      </c>
      <c r="R6277">
        <v>-5.6052730000000002E-2</v>
      </c>
      <c r="S6277">
        <v>3.0162659999999999</v>
      </c>
      <c r="T6277">
        <v>-9.7425220000000007E-2</v>
      </c>
      <c r="U6277">
        <v>-1.015717</v>
      </c>
      <c r="V6277">
        <v>8.2439269999999995E-2</v>
      </c>
      <c r="W6277">
        <v>0.1932304</v>
      </c>
      <c r="X6277">
        <v>0.97768390000000005</v>
      </c>
      <c r="Y6277">
        <v>0.34400560000000002</v>
      </c>
      <c r="Z6277">
        <v>-8.3255680000000002E-3</v>
      </c>
      <c r="AA6277">
        <v>0.93893070000000001</v>
      </c>
      <c r="AB6277">
        <v>33</v>
      </c>
      <c r="AC6277">
        <v>36.102899999999998</v>
      </c>
      <c r="AD6277">
        <v>-1.171081</v>
      </c>
      <c r="AE6277">
        <v>-12.213868</v>
      </c>
      <c r="AF6277">
        <v>13.157961850633299</v>
      </c>
      <c r="AG6277">
        <v>-1.171081</v>
      </c>
      <c r="AH6277">
        <v>35.731317047712302</v>
      </c>
      <c r="AI6277">
        <v>91.761610167848701</v>
      </c>
      <c r="AJ6277">
        <v>69.783905415245201</v>
      </c>
      <c r="AK6277">
        <v>38.095018161636602</v>
      </c>
      <c r="AL6277">
        <v>78.858633170973306</v>
      </c>
      <c r="AM6277">
        <v>85.180164881135397</v>
      </c>
      <c r="AN6277">
        <v>1.0000000145207499</v>
      </c>
    </row>
    <row r="6278" spans="1:40" x14ac:dyDescent="0.25">
      <c r="A6278" t="str">
        <f>"20190303170415593"</f>
        <v>20190303170415593</v>
      </c>
      <c r="B6278" t="str">
        <f>"1551603855582251"</f>
        <v>1551603855582251</v>
      </c>
      <c r="C6278" t="s">
        <v>40</v>
      </c>
      <c r="D6278">
        <v>4.3600969999999997</v>
      </c>
      <c r="E6278">
        <v>0.61184240000000001</v>
      </c>
      <c r="F6278" t="s">
        <v>44</v>
      </c>
      <c r="G6278">
        <v>-293.48129999999998</v>
      </c>
      <c r="H6278">
        <v>-0.05</v>
      </c>
      <c r="I6278">
        <v>4.9842380000000004</v>
      </c>
      <c r="J6278">
        <v>-328.57350000000002</v>
      </c>
      <c r="K6278">
        <v>1.121005</v>
      </c>
      <c r="L6278">
        <v>16.923490000000001</v>
      </c>
      <c r="M6278">
        <v>0.99956149999999999</v>
      </c>
      <c r="N6278">
        <v>-1.381222E-2</v>
      </c>
      <c r="O6278">
        <v>2.619374E-2</v>
      </c>
      <c r="P6278">
        <v>0.98218830000000001</v>
      </c>
      <c r="Q6278">
        <v>0.1790785</v>
      </c>
      <c r="R6278">
        <v>-5.6897870000000003E-2</v>
      </c>
      <c r="S6278">
        <v>3.0147710000000001</v>
      </c>
      <c r="T6278">
        <v>-0.1001716</v>
      </c>
      <c r="U6278">
        <v>-1.0209349999999999</v>
      </c>
      <c r="V6278">
        <v>8.2911529999999997E-2</v>
      </c>
      <c r="W6278">
        <v>0.192472</v>
      </c>
      <c r="X6278">
        <v>0.97779360000000004</v>
      </c>
      <c r="Y6278">
        <v>0.3451999</v>
      </c>
      <c r="Z6278">
        <v>-8.5233649999999998E-3</v>
      </c>
      <c r="AA6278">
        <v>0.93849050000000001</v>
      </c>
      <c r="AB6278">
        <v>33</v>
      </c>
      <c r="AC6278">
        <v>35.092199999999998</v>
      </c>
      <c r="AD6278">
        <v>-1.1710049999999901</v>
      </c>
      <c r="AE6278">
        <v>-11.939252</v>
      </c>
      <c r="AF6278">
        <v>12.8416224333599</v>
      </c>
      <c r="AG6278">
        <v>-1.1710049999999901</v>
      </c>
      <c r="AH6278">
        <v>34.732730486824302</v>
      </c>
      <c r="AI6278">
        <v>91.811236745822697</v>
      </c>
      <c r="AJ6278">
        <v>69.709294190079504</v>
      </c>
      <c r="AK6278">
        <v>37.049171198575799</v>
      </c>
      <c r="AL6278">
        <v>78.902918090425203</v>
      </c>
      <c r="AM6278">
        <v>85.153226491438005</v>
      </c>
      <c r="AN6278">
        <v>1.0000000583959401</v>
      </c>
    </row>
    <row r="6279" spans="1:40" x14ac:dyDescent="0.25">
      <c r="A6279" t="str">
        <f>"20190303170415606"</f>
        <v>20190303170415606</v>
      </c>
      <c r="B6279" t="str">
        <f>"1551603855592011"</f>
        <v>1551603855592011</v>
      </c>
      <c r="C6279" t="s">
        <v>40</v>
      </c>
      <c r="D6279">
        <v>4.3785590000000001</v>
      </c>
      <c r="E6279">
        <v>0.61213769999999901</v>
      </c>
      <c r="F6279" t="s">
        <v>44</v>
      </c>
      <c r="G6279">
        <v>-293.66989999999998</v>
      </c>
      <c r="H6279">
        <v>-0.05</v>
      </c>
      <c r="I6279">
        <v>5.0391849999999998</v>
      </c>
      <c r="J6279">
        <v>-328.40699999999998</v>
      </c>
      <c r="K6279">
        <v>1.1209180000000001</v>
      </c>
      <c r="L6279">
        <v>16.927340000000001</v>
      </c>
      <c r="M6279">
        <v>0.99957569999999996</v>
      </c>
      <c r="N6279">
        <v>-1.3812110000000001E-2</v>
      </c>
      <c r="O6279">
        <v>2.5647240000000002E-2</v>
      </c>
      <c r="P6279">
        <v>0.98222560000000003</v>
      </c>
      <c r="Q6279">
        <v>0.178401</v>
      </c>
      <c r="R6279">
        <v>-5.8361749999999997E-2</v>
      </c>
      <c r="S6279">
        <v>3.0133969999999999</v>
      </c>
      <c r="T6279">
        <v>-0.10109849999999999</v>
      </c>
      <c r="U6279">
        <v>-1.0260309999999999</v>
      </c>
      <c r="V6279">
        <v>8.3879099999999998E-2</v>
      </c>
      <c r="W6279">
        <v>0.1917761</v>
      </c>
      <c r="X6279">
        <v>0.97784780000000004</v>
      </c>
      <c r="Y6279">
        <v>0.34623490000000001</v>
      </c>
      <c r="Z6279">
        <v>-8.5983429999999996E-3</v>
      </c>
      <c r="AA6279">
        <v>0.93810839999999995</v>
      </c>
      <c r="AB6279">
        <v>33</v>
      </c>
      <c r="AC6279">
        <v>34.737099999999998</v>
      </c>
      <c r="AD6279">
        <v>-1.1709179999999999</v>
      </c>
      <c r="AE6279">
        <v>-11.888154999999999</v>
      </c>
      <c r="AF6279">
        <v>12.762258853695499</v>
      </c>
      <c r="AG6279">
        <v>-1.1709179999999999</v>
      </c>
      <c r="AH6279">
        <v>34.385769942918202</v>
      </c>
      <c r="AI6279">
        <v>91.828517418672703</v>
      </c>
      <c r="AJ6279">
        <v>69.637620812248102</v>
      </c>
      <c r="AK6279">
        <v>36.696423185083702</v>
      </c>
      <c r="AL6279">
        <v>78.943546997396894</v>
      </c>
      <c r="AM6279">
        <v>85.097209678380395</v>
      </c>
      <c r="AN6279">
        <v>1.0000000479564199</v>
      </c>
    </row>
    <row r="6280" spans="1:40" x14ac:dyDescent="0.25">
      <c r="A6280" t="str">
        <f>"20190303170415617"</f>
        <v>20190303170415617</v>
      </c>
      <c r="B6280" t="str">
        <f>"1551603855601771"</f>
        <v>1551603855601771</v>
      </c>
      <c r="C6280" t="s">
        <v>40</v>
      </c>
      <c r="D6280">
        <v>4.3949109999999996</v>
      </c>
      <c r="E6280">
        <v>0.6122898</v>
      </c>
      <c r="F6280" t="s">
        <v>44</v>
      </c>
      <c r="G6280">
        <v>-293.85210000000001</v>
      </c>
      <c r="H6280">
        <v>-0.05</v>
      </c>
      <c r="I6280">
        <v>5.0685729999999998</v>
      </c>
      <c r="J6280">
        <v>-328.23399999999998</v>
      </c>
      <c r="K6280">
        <v>1.120825</v>
      </c>
      <c r="L6280">
        <v>16.931270000000001</v>
      </c>
      <c r="M6280">
        <v>0.99959070000000005</v>
      </c>
      <c r="N6280">
        <v>-1.381202E-2</v>
      </c>
      <c r="O6280">
        <v>2.5054389999999999E-2</v>
      </c>
      <c r="P6280">
        <v>0.98221080000000005</v>
      </c>
      <c r="Q6280">
        <v>0.178044799999999</v>
      </c>
      <c r="R6280">
        <v>-5.9680370000000003E-2</v>
      </c>
      <c r="S6280">
        <v>3.0114139999999998</v>
      </c>
      <c r="T6280">
        <v>-0.1020441</v>
      </c>
      <c r="U6280">
        <v>-1.0334779999999999</v>
      </c>
      <c r="V6280">
        <v>8.4656980000000007E-2</v>
      </c>
      <c r="W6280">
        <v>0.19139990000000001</v>
      </c>
      <c r="X6280">
        <v>0.97785440000000001</v>
      </c>
      <c r="Y6280">
        <v>0.34793790000000002</v>
      </c>
      <c r="Z6280">
        <v>-8.69015699999999E-3</v>
      </c>
      <c r="AA6280">
        <v>0.93747740000000002</v>
      </c>
      <c r="AB6280">
        <v>33</v>
      </c>
      <c r="AC6280">
        <v>34.381900000000002</v>
      </c>
      <c r="AD6280">
        <v>-1.170825</v>
      </c>
      <c r="AE6280">
        <v>-11.862697000000001</v>
      </c>
      <c r="AF6280">
        <v>12.707303823719799</v>
      </c>
      <c r="AG6280">
        <v>-1.170825</v>
      </c>
      <c r="AH6280">
        <v>34.038590609896701</v>
      </c>
      <c r="AI6280">
        <v>91.845698429820999</v>
      </c>
      <c r="AJ6280">
        <v>69.528365598225605</v>
      </c>
      <c r="AK6280">
        <v>36.352057058123897</v>
      </c>
      <c r="AL6280">
        <v>78.965507700702304</v>
      </c>
      <c r="AM6280">
        <v>85.051999993114705</v>
      </c>
      <c r="AN6280">
        <v>0.99999997679104502</v>
      </c>
    </row>
    <row r="6281" spans="1:40" x14ac:dyDescent="0.25">
      <c r="A6281" t="str">
        <f>"20190303170415628"</f>
        <v>20190303170415628</v>
      </c>
      <c r="B6281" t="str">
        <f>"1551603855622268"</f>
        <v>1551603855622268</v>
      </c>
      <c r="C6281" t="s">
        <v>40</v>
      </c>
      <c r="D6281">
        <v>4.4302060000000001</v>
      </c>
      <c r="E6281">
        <v>0.61252090000000003</v>
      </c>
      <c r="F6281" t="s">
        <v>44</v>
      </c>
      <c r="G6281">
        <v>-293.85039999999998</v>
      </c>
      <c r="H6281">
        <v>-0.05</v>
      </c>
      <c r="I6281">
        <v>5.0582120000000002</v>
      </c>
      <c r="J6281">
        <v>-328.06119999999999</v>
      </c>
      <c r="K6281">
        <v>1.12073</v>
      </c>
      <c r="L6281">
        <v>16.93497</v>
      </c>
      <c r="M6281">
        <v>0.99960760000000004</v>
      </c>
      <c r="N6281">
        <v>-1.3812390000000001E-2</v>
      </c>
      <c r="O6281">
        <v>2.4374360000000001E-2</v>
      </c>
      <c r="P6281">
        <v>0.98213760000000006</v>
      </c>
      <c r="Q6281">
        <v>0.177822799999999</v>
      </c>
      <c r="R6281">
        <v>-6.1521720000000002E-2</v>
      </c>
      <c r="S6281">
        <v>3.0097659999999999</v>
      </c>
      <c r="T6281">
        <v>-0.102488</v>
      </c>
      <c r="U6281">
        <v>-1.039307</v>
      </c>
      <c r="V6281">
        <v>8.5872169999999998E-2</v>
      </c>
      <c r="W6281">
        <v>0.19115509999999999</v>
      </c>
      <c r="X6281">
        <v>0.97779640000000001</v>
      </c>
      <c r="Y6281">
        <v>0.34907779999999999</v>
      </c>
      <c r="Z6281">
        <v>-8.734548E-3</v>
      </c>
      <c r="AA6281">
        <v>0.93705300000000002</v>
      </c>
      <c r="AB6281">
        <v>33</v>
      </c>
      <c r="AC6281">
        <v>34.210799999999999</v>
      </c>
      <c r="AD6281">
        <v>-1.1707299999999901</v>
      </c>
      <c r="AE6281">
        <v>-11.876758000000001</v>
      </c>
      <c r="AF6281">
        <v>12.6939079018209</v>
      </c>
      <c r="AG6281">
        <v>-1.1707299999999901</v>
      </c>
      <c r="AH6281">
        <v>33.875713915986097</v>
      </c>
      <c r="AI6281">
        <v>91.853565347964505</v>
      </c>
      <c r="AJ6281">
        <v>69.458020443199402</v>
      </c>
      <c r="AK6281">
        <v>36.194887758778101</v>
      </c>
      <c r="AL6281">
        <v>78.979798382100796</v>
      </c>
      <c r="AM6281">
        <v>84.9810390283467</v>
      </c>
      <c r="AN6281">
        <v>1.00000005084473</v>
      </c>
    </row>
    <row r="6282" spans="1:40" x14ac:dyDescent="0.25">
      <c r="A6282" t="str">
        <f>"20190303170415639"</f>
        <v>20190303170415639</v>
      </c>
      <c r="B6282" t="str">
        <f>"1551603855632027"</f>
        <v>1551603855632027</v>
      </c>
      <c r="C6282" t="s">
        <v>40</v>
      </c>
      <c r="D6282">
        <v>4.3863510000000003</v>
      </c>
      <c r="E6282">
        <v>0.61273650000000002</v>
      </c>
      <c r="F6282" t="s">
        <v>44</v>
      </c>
      <c r="G6282">
        <v>-294.32139999999998</v>
      </c>
      <c r="H6282">
        <v>-0.05</v>
      </c>
      <c r="I6282">
        <v>5.1906280000000002</v>
      </c>
      <c r="J6282">
        <v>-327.89749999999998</v>
      </c>
      <c r="K6282">
        <v>1.120633</v>
      </c>
      <c r="L6282">
        <v>16.938389999999998</v>
      </c>
      <c r="M6282">
        <v>0.99962399999999996</v>
      </c>
      <c r="N6282">
        <v>-1.381281E-2</v>
      </c>
      <c r="O6282">
        <v>2.3691480000000001E-2</v>
      </c>
      <c r="P6282">
        <v>0.98198129999999995</v>
      </c>
      <c r="Q6282">
        <v>0.1778575</v>
      </c>
      <c r="R6282">
        <v>-6.3871380000000005E-2</v>
      </c>
      <c r="S6282">
        <v>3.0078740000000002</v>
      </c>
      <c r="T6282">
        <v>-0.1043694</v>
      </c>
      <c r="U6282">
        <v>-1.046997</v>
      </c>
      <c r="V6282">
        <v>8.7589330000000007E-2</v>
      </c>
      <c r="W6282">
        <v>0.1911658</v>
      </c>
      <c r="X6282">
        <v>0.97764189999999995</v>
      </c>
      <c r="Y6282">
        <v>0.3507478</v>
      </c>
      <c r="Z6282">
        <v>-8.8839390000000004E-3</v>
      </c>
      <c r="AA6282">
        <v>0.93642780000000003</v>
      </c>
      <c r="AB6282">
        <v>33</v>
      </c>
      <c r="AC6282">
        <v>33.576099999999997</v>
      </c>
      <c r="AD6282">
        <v>-1.170633</v>
      </c>
      <c r="AE6282">
        <v>-11.7477619999999</v>
      </c>
      <c r="AF6282">
        <v>12.5264412333058</v>
      </c>
      <c r="AG6282">
        <v>-1.170633</v>
      </c>
      <c r="AH6282">
        <v>33.2523135425063</v>
      </c>
      <c r="AI6282">
        <v>91.886898881255803</v>
      </c>
      <c r="AJ6282">
        <v>69.358163570504601</v>
      </c>
      <c r="AK6282">
        <v>35.552756117090297</v>
      </c>
      <c r="AL6282">
        <v>78.979172888487497</v>
      </c>
      <c r="AM6282">
        <v>84.880399733065204</v>
      </c>
      <c r="AN6282">
        <v>0.99999996922754897</v>
      </c>
    </row>
    <row r="6283" spans="1:40" x14ac:dyDescent="0.25">
      <c r="A6283" t="str">
        <f>"20190303170415650"</f>
        <v>20190303170415650</v>
      </c>
      <c r="B6283" t="str">
        <f>"1551603855641788"</f>
        <v>1551603855641788</v>
      </c>
      <c r="C6283" t="s">
        <v>40</v>
      </c>
      <c r="D6283">
        <v>4.4203299999999999</v>
      </c>
      <c r="E6283">
        <v>0.6128633</v>
      </c>
      <c r="F6283" t="s">
        <v>44</v>
      </c>
      <c r="G6283">
        <v>-294.09859999999998</v>
      </c>
      <c r="H6283">
        <v>-0.05</v>
      </c>
      <c r="I6283">
        <v>5.06311</v>
      </c>
      <c r="J6283">
        <v>-327.73059999999998</v>
      </c>
      <c r="K6283">
        <v>1.1205369999999999</v>
      </c>
      <c r="L6283">
        <v>16.941679999999899</v>
      </c>
      <c r="M6283">
        <v>0.99964149999999996</v>
      </c>
      <c r="N6283">
        <v>-1.381339E-2</v>
      </c>
      <c r="O6283">
        <v>2.293831E-2</v>
      </c>
      <c r="P6283">
        <v>0.98192749999999995</v>
      </c>
      <c r="Q6283">
        <v>0.1772022</v>
      </c>
      <c r="R6283">
        <v>-6.6469589999999995E-2</v>
      </c>
      <c r="S6283">
        <v>3.005188</v>
      </c>
      <c r="T6283">
        <v>-0.1040856</v>
      </c>
      <c r="U6283">
        <v>-1.0558780000000001</v>
      </c>
      <c r="V6283">
        <v>8.9487899999999995E-2</v>
      </c>
      <c r="W6283">
        <v>0.19048570000000001</v>
      </c>
      <c r="X6283">
        <v>0.97760270000000005</v>
      </c>
      <c r="Y6283">
        <v>0.35276649999999998</v>
      </c>
      <c r="Z6283">
        <v>-8.9026750000000005E-3</v>
      </c>
      <c r="AA6283">
        <v>0.93566910000000003</v>
      </c>
      <c r="AB6283">
        <v>33</v>
      </c>
      <c r="AC6283">
        <v>33.631999999999998</v>
      </c>
      <c r="AD6283">
        <v>-1.1705369999999999</v>
      </c>
      <c r="AE6283">
        <v>-11.8785699999999</v>
      </c>
      <c r="AF6283">
        <v>12.633372765120001</v>
      </c>
      <c r="AG6283">
        <v>-1.1705369999999999</v>
      </c>
      <c r="AH6283">
        <v>33.314769227246103</v>
      </c>
      <c r="AI6283">
        <v>91.881652256556393</v>
      </c>
      <c r="AJ6283">
        <v>69.232652695729897</v>
      </c>
      <c r="AK6283">
        <v>35.648928636854002</v>
      </c>
      <c r="AL6283">
        <v>79.018869139126494</v>
      </c>
      <c r="AM6283">
        <v>84.769828598657199</v>
      </c>
      <c r="AN6283">
        <v>0.99999996259909396</v>
      </c>
    </row>
    <row r="6284" spans="1:40" x14ac:dyDescent="0.25">
      <c r="A6284" t="str">
        <f>"20190303170415662"</f>
        <v>20190303170415662</v>
      </c>
      <c r="B6284" t="str">
        <f>"1551603855651548"</f>
        <v>1551603855651548</v>
      </c>
      <c r="C6284" t="s">
        <v>40</v>
      </c>
      <c r="D6284">
        <v>4.4451489999999998</v>
      </c>
      <c r="E6284">
        <v>0.61303890000000005</v>
      </c>
      <c r="F6284" t="s">
        <v>44</v>
      </c>
      <c r="G6284">
        <v>-294.71879999999999</v>
      </c>
      <c r="H6284">
        <v>-0.05</v>
      </c>
      <c r="I6284">
        <v>5.2345579999999998</v>
      </c>
      <c r="J6284">
        <v>-327.56209999999999</v>
      </c>
      <c r="K6284">
        <v>1.1204350000000001</v>
      </c>
      <c r="L6284">
        <v>16.944790000000001</v>
      </c>
      <c r="M6284">
        <v>0.99966010000000005</v>
      </c>
      <c r="N6284">
        <v>-1.3814099999999999E-2</v>
      </c>
      <c r="O6284">
        <v>2.2114089999999999E-2</v>
      </c>
      <c r="P6284">
        <v>0.98193739999999996</v>
      </c>
      <c r="Q6284">
        <v>0.17614569999999999</v>
      </c>
      <c r="R6284">
        <v>-6.907924E-2</v>
      </c>
      <c r="S6284">
        <v>3.002319</v>
      </c>
      <c r="T6284">
        <v>-0.1064568</v>
      </c>
      <c r="U6284">
        <v>-1.0647279999999999</v>
      </c>
      <c r="V6284">
        <v>9.132933E-2</v>
      </c>
      <c r="W6284">
        <v>0.1894043</v>
      </c>
      <c r="X6284">
        <v>0.97764249999999997</v>
      </c>
      <c r="Y6284">
        <v>0.35471360000000002</v>
      </c>
      <c r="Z6284">
        <v>-9.0897140000000005E-3</v>
      </c>
      <c r="AA6284">
        <v>0.93493079999999995</v>
      </c>
      <c r="AB6284">
        <v>33</v>
      </c>
      <c r="AC6284">
        <v>32.843299999999999</v>
      </c>
      <c r="AD6284">
        <v>-1.1704349999999999</v>
      </c>
      <c r="AE6284">
        <v>-11.710232</v>
      </c>
      <c r="AF6284">
        <v>12.4197427299603</v>
      </c>
      <c r="AG6284">
        <v>-1.1704349999999999</v>
      </c>
      <c r="AH6284">
        <v>32.539616876239599</v>
      </c>
      <c r="AI6284">
        <v>91.924697155559201</v>
      </c>
      <c r="AJ6284">
        <v>69.109111252921707</v>
      </c>
      <c r="AK6284">
        <v>34.848910944534403</v>
      </c>
      <c r="AL6284">
        <v>79.081977532457998</v>
      </c>
      <c r="AM6284">
        <v>84.663036483799999</v>
      </c>
      <c r="AN6284">
        <v>0.99999994659149205</v>
      </c>
    </row>
    <row r="6285" spans="1:40" x14ac:dyDescent="0.25">
      <c r="A6285" t="str">
        <f>"20190303170415673"</f>
        <v>20190303170415673</v>
      </c>
      <c r="B6285" t="str">
        <f>"1551603855662284"</f>
        <v>1551603855662284</v>
      </c>
      <c r="C6285" t="s">
        <v>40</v>
      </c>
      <c r="D6285">
        <v>4.4387499999999998</v>
      </c>
      <c r="E6285">
        <v>0.61319230000000002</v>
      </c>
      <c r="F6285" t="s">
        <v>44</v>
      </c>
      <c r="G6285">
        <v>-295.6354</v>
      </c>
      <c r="H6285">
        <v>-0.05</v>
      </c>
      <c r="I6285">
        <v>5.5138400000000001</v>
      </c>
      <c r="J6285">
        <v>-327.3922</v>
      </c>
      <c r="K6285">
        <v>1.1203350000000001</v>
      </c>
      <c r="L6285">
        <v>16.947849999999999</v>
      </c>
      <c r="M6285">
        <v>0.99967890000000004</v>
      </c>
      <c r="N6285">
        <v>-1.381478E-2</v>
      </c>
      <c r="O6285">
        <v>2.1243250000000002E-2</v>
      </c>
      <c r="P6285">
        <v>0.98197849999999998</v>
      </c>
      <c r="Q6285">
        <v>0.1748972</v>
      </c>
      <c r="R6285">
        <v>-7.1620690000000001E-2</v>
      </c>
      <c r="S6285">
        <v>2.9993590000000001</v>
      </c>
      <c r="T6285">
        <v>-0.1099567</v>
      </c>
      <c r="U6285">
        <v>-1.0738829999999999</v>
      </c>
      <c r="V6285">
        <v>9.3057379999999995E-2</v>
      </c>
      <c r="W6285">
        <v>0.18813150000000001</v>
      </c>
      <c r="X6285">
        <v>0.97772530000000002</v>
      </c>
      <c r="Y6285">
        <v>0.35670279999999999</v>
      </c>
      <c r="Z6285">
        <v>-9.3500649999999994E-3</v>
      </c>
      <c r="AA6285">
        <v>0.93417110000000003</v>
      </c>
      <c r="AB6285">
        <v>33</v>
      </c>
      <c r="AC6285">
        <v>31.756799999999998</v>
      </c>
      <c r="AD6285">
        <v>-1.1703349999999999</v>
      </c>
      <c r="AE6285">
        <v>-11.434010000000001</v>
      </c>
      <c r="AF6285">
        <v>12.091573730034799</v>
      </c>
      <c r="AG6285">
        <v>-1.1703349999999999</v>
      </c>
      <c r="AH6285">
        <v>31.468878912098599</v>
      </c>
      <c r="AI6285">
        <v>91.988265599263499</v>
      </c>
      <c r="AJ6285">
        <v>68.981272543803001</v>
      </c>
      <c r="AK6285">
        <v>33.732272073867499</v>
      </c>
      <c r="AL6285">
        <v>79.156238732343098</v>
      </c>
      <c r="AM6285">
        <v>84.563112682611305</v>
      </c>
      <c r="AN6285">
        <v>0.99999994976240003</v>
      </c>
    </row>
    <row r="6286" spans="1:40" x14ac:dyDescent="0.25">
      <c r="A6286" t="str">
        <f>"20190303170415683"</f>
        <v>20190303170415683</v>
      </c>
      <c r="B6286" t="str">
        <f>"1551603855672043"</f>
        <v>1551603855672043</v>
      </c>
      <c r="C6286" t="s">
        <v>40</v>
      </c>
      <c r="D6286">
        <v>4.421252</v>
      </c>
      <c r="E6286">
        <v>0.61333780000000004</v>
      </c>
      <c r="F6286" t="s">
        <v>44</v>
      </c>
      <c r="G6286">
        <v>-296.54790000000003</v>
      </c>
      <c r="H6286">
        <v>-0.05</v>
      </c>
      <c r="I6286">
        <v>5.7985230000000003</v>
      </c>
      <c r="J6286">
        <v>-327.24680000000001</v>
      </c>
      <c r="K6286">
        <v>1.1202449999999999</v>
      </c>
      <c r="L6286">
        <v>16.950129999999898</v>
      </c>
      <c r="M6286">
        <v>0.99969620000000003</v>
      </c>
      <c r="N6286">
        <v>-1.3815799999999901E-2</v>
      </c>
      <c r="O6286">
        <v>2.0415550000000001E-2</v>
      </c>
      <c r="P6286">
        <v>0.98201870000000002</v>
      </c>
      <c r="Q6286">
        <v>0.17377210000000001</v>
      </c>
      <c r="R6286">
        <v>-7.3775110000000005E-2</v>
      </c>
      <c r="S6286">
        <v>2.9962770000000001</v>
      </c>
      <c r="T6286">
        <v>-0.11368880000000001</v>
      </c>
      <c r="U6286">
        <v>-1.0830690000000001</v>
      </c>
      <c r="V6286">
        <v>9.4436759999999995E-2</v>
      </c>
      <c r="W6286">
        <v>0.18698400000000001</v>
      </c>
      <c r="X6286">
        <v>0.97781320000000005</v>
      </c>
      <c r="Y6286">
        <v>0.35874879999999998</v>
      </c>
      <c r="Z6286">
        <v>-9.6286510000000002E-3</v>
      </c>
      <c r="AA6286">
        <v>0.93338449999999995</v>
      </c>
      <c r="AB6286">
        <v>33</v>
      </c>
      <c r="AC6286">
        <v>30.698899999999899</v>
      </c>
      <c r="AD6286">
        <v>-1.170245</v>
      </c>
      <c r="AE6286">
        <v>-11.151606999999901</v>
      </c>
      <c r="AF6286">
        <v>11.7609789636897</v>
      </c>
      <c r="AG6286">
        <v>-1.170245</v>
      </c>
      <c r="AH6286">
        <v>30.425753764438099</v>
      </c>
      <c r="AI6286">
        <v>92.054626012185807</v>
      </c>
      <c r="AJ6286">
        <v>68.866148039333396</v>
      </c>
      <c r="AK6286">
        <v>32.640719840080102</v>
      </c>
      <c r="AL6286">
        <v>79.223173894708594</v>
      </c>
      <c r="AM6286">
        <v>84.483508766372097</v>
      </c>
      <c r="AN6286">
        <v>0.99999998599476803</v>
      </c>
    </row>
    <row r="6287" spans="1:40" x14ac:dyDescent="0.25">
      <c r="A6287" t="str">
        <f>"20190303170415694"</f>
        <v>20190303170415694</v>
      </c>
      <c r="B6287" t="str">
        <f>"1551603855681803"</f>
        <v>1551603855681803</v>
      </c>
      <c r="C6287" t="s">
        <v>40</v>
      </c>
      <c r="D6287">
        <v>4.4441980000000001</v>
      </c>
      <c r="E6287">
        <v>0.61348899999999995</v>
      </c>
      <c r="F6287" t="s">
        <v>44</v>
      </c>
      <c r="G6287">
        <v>-297.16980000000001</v>
      </c>
      <c r="H6287">
        <v>-0.05</v>
      </c>
      <c r="I6287">
        <v>5.983276</v>
      </c>
      <c r="J6287">
        <v>-327.07060000000001</v>
      </c>
      <c r="K6287">
        <v>1.1201299999999901</v>
      </c>
      <c r="L6287">
        <v>16.95288</v>
      </c>
      <c r="M6287">
        <v>0.99971650000000001</v>
      </c>
      <c r="N6287">
        <v>-1.381693E-2</v>
      </c>
      <c r="O6287">
        <v>1.939364E-2</v>
      </c>
      <c r="P6287">
        <v>0.98211349999999997</v>
      </c>
      <c r="Q6287">
        <v>0.17228599999999999</v>
      </c>
      <c r="R6287">
        <v>-7.5965299999999999E-2</v>
      </c>
      <c r="S6287">
        <v>2.9935299999999998</v>
      </c>
      <c r="T6287">
        <v>-0.1164733</v>
      </c>
      <c r="U6287">
        <v>-1.0915220000000001</v>
      </c>
      <c r="V6287">
        <v>9.5668959999999997E-2</v>
      </c>
      <c r="W6287">
        <v>0.18547269999999999</v>
      </c>
      <c r="X6287">
        <v>0.97798130000000005</v>
      </c>
      <c r="Y6287">
        <v>0.36038110000000001</v>
      </c>
      <c r="Z6287">
        <v>-9.8305440000000001E-3</v>
      </c>
      <c r="AA6287">
        <v>0.93275330000000001</v>
      </c>
      <c r="AB6287">
        <v>33</v>
      </c>
      <c r="AC6287">
        <v>29.9008</v>
      </c>
      <c r="AD6287">
        <v>-1.1701299999999999</v>
      </c>
      <c r="AE6287">
        <v>-10.969603999999901</v>
      </c>
      <c r="AF6287">
        <v>11.5319156288275</v>
      </c>
      <c r="AG6287">
        <v>-1.1701299999999999</v>
      </c>
      <c r="AH6287">
        <v>29.642403756575799</v>
      </c>
      <c r="AI6287">
        <v>92.106901579992098</v>
      </c>
      <c r="AJ6287">
        <v>68.742251449494802</v>
      </c>
      <c r="AK6287">
        <v>31.828075385658401</v>
      </c>
      <c r="AL6287">
        <v>79.311307438259007</v>
      </c>
      <c r="AM6287">
        <v>84.412937305203798</v>
      </c>
      <c r="AN6287">
        <v>1.0000000477512201</v>
      </c>
    </row>
    <row r="6288" spans="1:40" x14ac:dyDescent="0.25">
      <c r="A6288" t="str">
        <f>"20190303170415706"</f>
        <v>20190303170415706</v>
      </c>
      <c r="B6288" t="str">
        <f>"1551603855691563"</f>
        <v>1551603855691563</v>
      </c>
      <c r="C6288" t="s">
        <v>40</v>
      </c>
      <c r="D6288">
        <v>4.4410600000000002</v>
      </c>
      <c r="E6288">
        <v>0.61362799999999995</v>
      </c>
      <c r="F6288" t="s">
        <v>44</v>
      </c>
      <c r="G6288">
        <v>-298.05220000000003</v>
      </c>
      <c r="H6288">
        <v>-0.05</v>
      </c>
      <c r="I6288">
        <v>6.2769620000000002</v>
      </c>
      <c r="J6288">
        <v>-326.90390000000002</v>
      </c>
      <c r="K6288">
        <v>1.1200129999999999</v>
      </c>
      <c r="L6288">
        <v>16.955110000000001</v>
      </c>
      <c r="M6288">
        <v>0.99973710000000005</v>
      </c>
      <c r="N6288">
        <v>-1.381871E-2</v>
      </c>
      <c r="O6288">
        <v>1.829857E-2</v>
      </c>
      <c r="P6288">
        <v>0.982039</v>
      </c>
      <c r="Q6288">
        <v>0.1717244</v>
      </c>
      <c r="R6288">
        <v>-7.8168650000000006E-2</v>
      </c>
      <c r="S6288">
        <v>2.9906920000000001</v>
      </c>
      <c r="T6288">
        <v>-0.1205958</v>
      </c>
      <c r="U6288">
        <v>-1.1002809999999901</v>
      </c>
      <c r="V6288">
        <v>9.6844929999999996E-2</v>
      </c>
      <c r="W6288">
        <v>0.1848822</v>
      </c>
      <c r="X6288">
        <v>0.97797730000000005</v>
      </c>
      <c r="Y6288">
        <v>0.3620292</v>
      </c>
      <c r="Z6288">
        <v>-1.0117269999999999E-2</v>
      </c>
      <c r="AA6288">
        <v>0.93211189999999999</v>
      </c>
      <c r="AB6288">
        <v>33</v>
      </c>
      <c r="AC6288">
        <v>28.851699999999902</v>
      </c>
      <c r="AD6288">
        <v>-1.170013</v>
      </c>
      <c r="AE6288">
        <v>-10.678148</v>
      </c>
      <c r="AF6288">
        <v>11.1881725264177</v>
      </c>
      <c r="AG6288">
        <v>-1.170013</v>
      </c>
      <c r="AH6288">
        <v>28.610073416253499</v>
      </c>
      <c r="AI6288">
        <v>92.181141461708705</v>
      </c>
      <c r="AJ6288">
        <v>68.641663602937498</v>
      </c>
      <c r="AK6288">
        <v>30.742160558172799</v>
      </c>
      <c r="AL6288">
        <v>79.345735345101502</v>
      </c>
      <c r="AM6288">
        <v>84.344680238641601</v>
      </c>
      <c r="AN6288">
        <v>0.99999998382941702</v>
      </c>
    </row>
    <row r="6289" spans="1:40" x14ac:dyDescent="0.25">
      <c r="A6289" t="str">
        <f>"20190303170415718"</f>
        <v>20190303170415718</v>
      </c>
      <c r="B6289" t="str">
        <f>"1551603855712059"</f>
        <v>1551603855712059</v>
      </c>
      <c r="C6289" t="s">
        <v>40</v>
      </c>
      <c r="D6289">
        <v>4.4322790000000003</v>
      </c>
      <c r="E6289">
        <v>0.61395529999999998</v>
      </c>
      <c r="F6289" t="s">
        <v>44</v>
      </c>
      <c r="G6289">
        <v>-298.0634</v>
      </c>
      <c r="H6289">
        <v>-0.05</v>
      </c>
      <c r="I6289">
        <v>6.2505040000000003</v>
      </c>
      <c r="J6289">
        <v>-326.72660000000002</v>
      </c>
      <c r="K6289">
        <v>1.1198859999999999</v>
      </c>
      <c r="L6289">
        <v>16.957339999999999</v>
      </c>
      <c r="M6289">
        <v>0.99975840000000005</v>
      </c>
      <c r="N6289">
        <v>-1.38207E-2</v>
      </c>
      <c r="O6289">
        <v>1.7096960000000001E-2</v>
      </c>
      <c r="P6289">
        <v>0.98181890000000005</v>
      </c>
      <c r="Q6289">
        <v>0.17169110000000001</v>
      </c>
      <c r="R6289">
        <v>-8.0958799999999997E-2</v>
      </c>
      <c r="S6289">
        <v>2.9878230000000001</v>
      </c>
      <c r="T6289">
        <v>-0.12121120000000001</v>
      </c>
      <c r="U6289">
        <v>-1.108978</v>
      </c>
      <c r="V6289">
        <v>9.8506960000000005E-2</v>
      </c>
      <c r="W6289">
        <v>0.1848138</v>
      </c>
      <c r="X6289">
        <v>0.97782420000000003</v>
      </c>
      <c r="Y6289">
        <v>0.36358089999999998</v>
      </c>
      <c r="Z6289">
        <v>-1.017232E-2</v>
      </c>
      <c r="AA6289">
        <v>0.93150710000000003</v>
      </c>
      <c r="AB6289">
        <v>33</v>
      </c>
      <c r="AC6289">
        <v>28.6632</v>
      </c>
      <c r="AD6289">
        <v>-1.169886</v>
      </c>
      <c r="AE6289">
        <v>-10.706835999999999</v>
      </c>
      <c r="AF6289">
        <v>11.179028717590199</v>
      </c>
      <c r="AG6289">
        <v>-1.169886</v>
      </c>
      <c r="AH6289">
        <v>28.434370266371701</v>
      </c>
      <c r="AI6289">
        <v>92.192807973241599</v>
      </c>
      <c r="AJ6289">
        <v>68.537631270509706</v>
      </c>
      <c r="AK6289">
        <v>30.575361465840899</v>
      </c>
      <c r="AL6289">
        <v>79.349722882971605</v>
      </c>
      <c r="AM6289">
        <v>84.247375748001105</v>
      </c>
      <c r="AN6289">
        <v>0.99999996397225999</v>
      </c>
    </row>
    <row r="6290" spans="1:40" x14ac:dyDescent="0.25">
      <c r="A6290" t="str">
        <f>"20190303170415730"</f>
        <v>20190303170415730</v>
      </c>
      <c r="B6290" t="str">
        <f>"1551603855721821"</f>
        <v>1551603855721821</v>
      </c>
      <c r="C6290" t="s">
        <v>40</v>
      </c>
      <c r="D6290">
        <v>4.463279</v>
      </c>
      <c r="E6290">
        <v>0.61406719999999904</v>
      </c>
      <c r="F6290" t="s">
        <v>44</v>
      </c>
      <c r="G6290">
        <v>-297.69970000000001</v>
      </c>
      <c r="H6290">
        <v>-0.05</v>
      </c>
      <c r="I6290">
        <v>6.0588230000000003</v>
      </c>
      <c r="J6290">
        <v>-326.54309999999998</v>
      </c>
      <c r="K6290">
        <v>1.1197509999999999</v>
      </c>
      <c r="L6290">
        <v>16.95926</v>
      </c>
      <c r="M6290">
        <v>0.99978069999999997</v>
      </c>
      <c r="N6290">
        <v>-1.382366E-2</v>
      </c>
      <c r="O6290">
        <v>1.574163E-2</v>
      </c>
      <c r="P6290">
        <v>0.98149540000000002</v>
      </c>
      <c r="Q6290">
        <v>0.1719705</v>
      </c>
      <c r="R6290">
        <v>-8.4221379999999998E-2</v>
      </c>
      <c r="S6290">
        <v>2.9841920000000002</v>
      </c>
      <c r="T6290">
        <v>-0.12027350000000001</v>
      </c>
      <c r="U6290">
        <v>-1.1204529999999999</v>
      </c>
      <c r="V6290">
        <v>0.1004973</v>
      </c>
      <c r="W6290">
        <v>0.18505089999999999</v>
      </c>
      <c r="X6290">
        <v>0.97757689999999997</v>
      </c>
      <c r="Y6290">
        <v>0.36583290000000002</v>
      </c>
      <c r="Z6290">
        <v>-1.0143360000000001E-2</v>
      </c>
      <c r="AA6290">
        <v>0.93062529999999999</v>
      </c>
      <c r="AB6290">
        <v>33</v>
      </c>
      <c r="AC6290">
        <v>28.8433999999999</v>
      </c>
      <c r="AD6290">
        <v>-1.169751</v>
      </c>
      <c r="AE6290">
        <v>-10.900437</v>
      </c>
      <c r="AF6290">
        <v>11.336855756360301</v>
      </c>
      <c r="AG6290">
        <v>-1.169751</v>
      </c>
      <c r="AH6290">
        <v>28.627018942932501</v>
      </c>
      <c r="AI6290">
        <v>92.175685351088902</v>
      </c>
      <c r="AJ6290">
        <v>68.395471875129601</v>
      </c>
      <c r="AK6290">
        <v>30.812316196636999</v>
      </c>
      <c r="AL6290">
        <v>79.3359007539526</v>
      </c>
      <c r="AM6290">
        <v>84.130472622436301</v>
      </c>
      <c r="AN6290">
        <v>1.0000000691558499</v>
      </c>
    </row>
    <row r="6291" spans="1:40" x14ac:dyDescent="0.25">
      <c r="A6291" t="str">
        <f>"20190303170415743"</f>
        <v>20190303170415743</v>
      </c>
      <c r="B6291" t="str">
        <f>"1551603855731579"</f>
        <v>1551603855731579</v>
      </c>
      <c r="C6291" t="s">
        <v>40</v>
      </c>
      <c r="D6291">
        <v>4.45052</v>
      </c>
      <c r="E6291">
        <v>0.6141508</v>
      </c>
      <c r="F6291" t="s">
        <v>44</v>
      </c>
      <c r="G6291">
        <v>-297.35599999999999</v>
      </c>
      <c r="H6291">
        <v>-0.05</v>
      </c>
      <c r="I6291">
        <v>5.8793949999999997</v>
      </c>
      <c r="J6291">
        <v>-326.36329999999998</v>
      </c>
      <c r="K6291">
        <v>1.1196140000000001</v>
      </c>
      <c r="L6291">
        <v>16.960819999999998</v>
      </c>
      <c r="M6291">
        <v>0.99980179999999996</v>
      </c>
      <c r="N6291">
        <v>-1.382718E-2</v>
      </c>
      <c r="O6291">
        <v>1.4327060000000001E-2</v>
      </c>
      <c r="P6291">
        <v>0.98103750000000001</v>
      </c>
      <c r="Q6291">
        <v>0.1726809</v>
      </c>
      <c r="R6291">
        <v>-8.8016549999999999E-2</v>
      </c>
      <c r="S6291">
        <v>2.9804080000000002</v>
      </c>
      <c r="T6291">
        <v>-0.1194479</v>
      </c>
      <c r="U6291">
        <v>-1.1314090000000001</v>
      </c>
      <c r="V6291">
        <v>0.10296329999999999</v>
      </c>
      <c r="W6291">
        <v>0.18571489999999999</v>
      </c>
      <c r="X6291">
        <v>0.97719420000000001</v>
      </c>
      <c r="Y6291">
        <v>0.36790030000000001</v>
      </c>
      <c r="Z6291">
        <v>-1.0115900000000001E-2</v>
      </c>
      <c r="AA6291">
        <v>0.92981020000000003</v>
      </c>
      <c r="AB6291">
        <v>33</v>
      </c>
      <c r="AC6291">
        <v>29.007299999999901</v>
      </c>
      <c r="AD6291">
        <v>-1.1696139999999999</v>
      </c>
      <c r="AE6291">
        <v>-11.081424999999999</v>
      </c>
      <c r="AF6291">
        <v>11.479629636981199</v>
      </c>
      <c r="AG6291">
        <v>-1.1696139999999999</v>
      </c>
      <c r="AH6291">
        <v>28.804675913387399</v>
      </c>
      <c r="AI6291">
        <v>92.160163777952505</v>
      </c>
      <c r="AJ6291">
        <v>68.271059549518199</v>
      </c>
      <c r="AK6291">
        <v>31.029973380371001</v>
      </c>
      <c r="AL6291">
        <v>79.297184365542904</v>
      </c>
      <c r="AM6291">
        <v>83.985151420038505</v>
      </c>
      <c r="AN6291">
        <v>0.99999998487126895</v>
      </c>
    </row>
    <row r="6292" spans="1:40" x14ac:dyDescent="0.25">
      <c r="A6292" t="str">
        <f>"20190303170415757"</f>
        <v>20190303170415757</v>
      </c>
      <c r="B6292" t="str">
        <f>"1551603855742315"</f>
        <v>1551603855742315</v>
      </c>
      <c r="C6292" t="s">
        <v>40</v>
      </c>
      <c r="D6292">
        <v>4.4469190000000003</v>
      </c>
      <c r="E6292">
        <v>0.61423989999999995</v>
      </c>
      <c r="F6292" t="s">
        <v>44</v>
      </c>
      <c r="G6292">
        <v>-296.7681</v>
      </c>
      <c r="H6292">
        <v>-0.05</v>
      </c>
      <c r="I6292">
        <v>5.5888669999999996</v>
      </c>
      <c r="J6292">
        <v>-326.14780000000002</v>
      </c>
      <c r="K6292">
        <v>1.119453</v>
      </c>
      <c r="L6292">
        <v>16.962309999999999</v>
      </c>
      <c r="M6292">
        <v>0.99982579999999999</v>
      </c>
      <c r="N6292">
        <v>-1.383175E-2</v>
      </c>
      <c r="O6292">
        <v>1.254219E-2</v>
      </c>
      <c r="P6292">
        <v>0.98064660000000003</v>
      </c>
      <c r="Q6292">
        <v>0.17274110000000001</v>
      </c>
      <c r="R6292">
        <v>-9.2159279999999996E-2</v>
      </c>
      <c r="S6292">
        <v>2.9760740000000001</v>
      </c>
      <c r="T6292">
        <v>-0.1176156</v>
      </c>
      <c r="U6292">
        <v>-1.1435550000000001</v>
      </c>
      <c r="V6292">
        <v>0.1054268</v>
      </c>
      <c r="W6292">
        <v>0.1857219</v>
      </c>
      <c r="X6292">
        <v>0.97693010000000002</v>
      </c>
      <c r="Y6292">
        <v>0.37000749999999999</v>
      </c>
      <c r="Z6292">
        <v>-1.001699E-2</v>
      </c>
      <c r="AA6292">
        <v>0.92897470000000004</v>
      </c>
      <c r="AB6292">
        <v>33</v>
      </c>
      <c r="AC6292">
        <v>29.3797</v>
      </c>
      <c r="AD6292">
        <v>-1.1694530000000001</v>
      </c>
      <c r="AE6292">
        <v>-11.373443</v>
      </c>
      <c r="AF6292">
        <v>11.724913177273899</v>
      </c>
      <c r="AG6292">
        <v>-1.1694530000000001</v>
      </c>
      <c r="AH6292">
        <v>29.194499330780001</v>
      </c>
      <c r="AI6292">
        <v>92.128793062516806</v>
      </c>
      <c r="AJ6292">
        <v>68.118925692414194</v>
      </c>
      <c r="AK6292">
        <v>31.482693666659699</v>
      </c>
      <c r="AL6292">
        <v>79.296775570571199</v>
      </c>
      <c r="AM6292">
        <v>83.840681109297194</v>
      </c>
      <c r="AN6292">
        <v>0.99999992729192699</v>
      </c>
    </row>
    <row r="6293" spans="1:40" x14ac:dyDescent="0.25">
      <c r="A6293" t="str">
        <f>"20190303170415770"</f>
        <v>20190303170415770</v>
      </c>
      <c r="B6293" t="str">
        <f>"1551603855761835"</f>
        <v>1551603855761835</v>
      </c>
      <c r="C6293" t="s">
        <v>40</v>
      </c>
      <c r="D6293">
        <v>4.4588469999999996</v>
      </c>
      <c r="E6293">
        <v>0.61447249999999998</v>
      </c>
      <c r="F6293" t="s">
        <v>44</v>
      </c>
      <c r="G6293">
        <v>-296.55950000000001</v>
      </c>
      <c r="H6293">
        <v>-0.05</v>
      </c>
      <c r="I6293">
        <v>5.4381409999999999</v>
      </c>
      <c r="J6293">
        <v>-325.94830000000002</v>
      </c>
      <c r="K6293">
        <v>1.119297</v>
      </c>
      <c r="L6293">
        <v>16.963170000000002</v>
      </c>
      <c r="M6293">
        <v>0.99984660000000003</v>
      </c>
      <c r="N6293">
        <v>-1.3836299999999999E-2</v>
      </c>
      <c r="O6293">
        <v>1.074342E-2</v>
      </c>
      <c r="P6293">
        <v>0.98027869999999995</v>
      </c>
      <c r="Q6293">
        <v>0.1725121</v>
      </c>
      <c r="R6293">
        <v>-9.6401429999999996E-2</v>
      </c>
      <c r="S6293">
        <v>2.9710999999999999</v>
      </c>
      <c r="T6293">
        <v>-0.1174301</v>
      </c>
      <c r="U6293">
        <v>-1.1571959999999999</v>
      </c>
      <c r="V6293">
        <v>0.1079727</v>
      </c>
      <c r="W6293">
        <v>0.18543979999999999</v>
      </c>
      <c r="X6293">
        <v>0.97670570000000001</v>
      </c>
      <c r="Y6293">
        <v>0.37256339999999999</v>
      </c>
      <c r="Z6293">
        <v>-1.0036430000000001E-2</v>
      </c>
      <c r="AA6293">
        <v>0.92795249999999996</v>
      </c>
      <c r="AB6293">
        <v>33</v>
      </c>
      <c r="AC6293">
        <v>29.3888</v>
      </c>
      <c r="AD6293">
        <v>-1.169297</v>
      </c>
      <c r="AE6293">
        <v>-11.525029</v>
      </c>
      <c r="AF6293">
        <v>11.8239075432659</v>
      </c>
      <c r="AG6293">
        <v>-1.169297</v>
      </c>
      <c r="AH6293">
        <v>29.223178741814401</v>
      </c>
      <c r="AI6293">
        <v>92.124218323851196</v>
      </c>
      <c r="AJ6293">
        <v>67.9713912830467</v>
      </c>
      <c r="AK6293">
        <v>31.546255258618899</v>
      </c>
      <c r="AL6293">
        <v>79.313225489143903</v>
      </c>
      <c r="AM6293">
        <v>83.691690021195996</v>
      </c>
      <c r="AN6293">
        <v>1.0000000238908999</v>
      </c>
    </row>
    <row r="6294" spans="1:40" x14ac:dyDescent="0.25">
      <c r="A6294" t="str">
        <f>"20190303170415785"</f>
        <v>20190303170415785</v>
      </c>
      <c r="B6294" t="str">
        <f>"1551603855771595"</f>
        <v>1551603855771595</v>
      </c>
      <c r="C6294" t="s">
        <v>40</v>
      </c>
      <c r="D6294">
        <v>4.468394</v>
      </c>
      <c r="E6294">
        <v>0.61455109999999902</v>
      </c>
      <c r="F6294" t="s">
        <v>44</v>
      </c>
      <c r="G6294">
        <v>-296.54320000000001</v>
      </c>
      <c r="H6294">
        <v>-0.05</v>
      </c>
      <c r="I6294">
        <v>5.3342900000000002</v>
      </c>
      <c r="J6294">
        <v>-325.7346</v>
      </c>
      <c r="K6294">
        <v>1.1191249999999999</v>
      </c>
      <c r="L6294">
        <v>16.963529999999999</v>
      </c>
      <c r="M6294">
        <v>0.99986640000000004</v>
      </c>
      <c r="N6294">
        <v>-1.384179E-2</v>
      </c>
      <c r="O6294">
        <v>8.6971400000000008E-3</v>
      </c>
      <c r="P6294">
        <v>0.97981680000000004</v>
      </c>
      <c r="Q6294">
        <v>0.17159759999999999</v>
      </c>
      <c r="R6294">
        <v>-0.1025339</v>
      </c>
      <c r="S6294">
        <v>2.9657900000000001</v>
      </c>
      <c r="T6294">
        <v>-0.1179346</v>
      </c>
      <c r="U6294">
        <v>-1.172882</v>
      </c>
      <c r="V6294">
        <v>0.11216719999999999</v>
      </c>
      <c r="W6294">
        <v>0.1844576</v>
      </c>
      <c r="X6294">
        <v>0.97641889999999998</v>
      </c>
      <c r="Y6294">
        <v>0.3754709</v>
      </c>
      <c r="Z6294">
        <v>-1.010337E-2</v>
      </c>
      <c r="AA6294">
        <v>0.92677909999999997</v>
      </c>
      <c r="AB6294">
        <v>33</v>
      </c>
      <c r="AC6294">
        <v>29.191399999999899</v>
      </c>
      <c r="AD6294">
        <v>-1.169125</v>
      </c>
      <c r="AE6294">
        <v>-11.629239999999999</v>
      </c>
      <c r="AF6294">
        <v>11.866279281357301</v>
      </c>
      <c r="AG6294">
        <v>-1.169125</v>
      </c>
      <c r="AH6294">
        <v>29.048931692605201</v>
      </c>
      <c r="AI6294">
        <v>92.133742549410201</v>
      </c>
      <c r="AJ6294">
        <v>67.7803389773389</v>
      </c>
      <c r="AK6294">
        <v>31.400889632786502</v>
      </c>
      <c r="AL6294">
        <v>79.370488812709894</v>
      </c>
      <c r="AM6294">
        <v>83.446809708739906</v>
      </c>
      <c r="AN6294">
        <v>0.99999997761540405</v>
      </c>
    </row>
    <row r="6295" spans="1:40" x14ac:dyDescent="0.25">
      <c r="A6295" t="str">
        <f>"20190303170415796"</f>
        <v>20190303170415796</v>
      </c>
      <c r="B6295" t="str">
        <f>"1551603855782332"</f>
        <v>1551603855782332</v>
      </c>
      <c r="C6295" t="s">
        <v>40</v>
      </c>
      <c r="D6295">
        <v>4.449865</v>
      </c>
      <c r="E6295">
        <v>0.61464869999999905</v>
      </c>
      <c r="F6295" t="s">
        <v>44</v>
      </c>
      <c r="G6295">
        <v>-296.55880000000002</v>
      </c>
      <c r="H6295">
        <v>-0.05</v>
      </c>
      <c r="I6295">
        <v>5.1866459999999996</v>
      </c>
      <c r="J6295">
        <v>-325.565</v>
      </c>
      <c r="K6295">
        <v>1.1189910000000001</v>
      </c>
      <c r="L6295">
        <v>16.963560000000001</v>
      </c>
      <c r="M6295">
        <v>0.99987969999999904</v>
      </c>
      <c r="N6295">
        <v>-1.384619E-2</v>
      </c>
      <c r="O6295">
        <v>7.0124100000000002E-3</v>
      </c>
      <c r="P6295">
        <v>0.9795528</v>
      </c>
      <c r="Q6295">
        <v>0.17100199999999999</v>
      </c>
      <c r="R6295">
        <v>-0.10599500000000001</v>
      </c>
      <c r="S6295">
        <v>2.957611</v>
      </c>
      <c r="T6295">
        <v>-0.1185166</v>
      </c>
      <c r="U6295">
        <v>-1.193848</v>
      </c>
      <c r="V6295">
        <v>0.1140327</v>
      </c>
      <c r="W6295">
        <v>0.18381700000000001</v>
      </c>
      <c r="X6295">
        <v>0.97632370000000002</v>
      </c>
      <c r="Y6295">
        <v>0.38043510000000003</v>
      </c>
      <c r="Z6295">
        <v>-1.0243759999999999E-2</v>
      </c>
      <c r="AA6295">
        <v>0.92475090000000004</v>
      </c>
      <c r="AB6295">
        <v>33</v>
      </c>
      <c r="AC6295">
        <v>29.0061999999999</v>
      </c>
      <c r="AD6295">
        <v>-1.1689909999999999</v>
      </c>
      <c r="AE6295">
        <v>-11.776914</v>
      </c>
      <c r="AF6295">
        <v>11.9633661022769</v>
      </c>
      <c r="AG6295">
        <v>-1.1689909999999999</v>
      </c>
      <c r="AH6295">
        <v>28.882621748818899</v>
      </c>
      <c r="AI6295">
        <v>92.141466786292796</v>
      </c>
      <c r="AJ6295">
        <v>67.5003514194986</v>
      </c>
      <c r="AK6295">
        <v>31.284093522755899</v>
      </c>
      <c r="AL6295">
        <v>79.407831869608103</v>
      </c>
      <c r="AM6295">
        <v>83.338148691088705</v>
      </c>
      <c r="AN6295">
        <v>1.00000005666998</v>
      </c>
    </row>
    <row r="6296" spans="1:40" x14ac:dyDescent="0.25">
      <c r="A6296" t="str">
        <f>"20190303170415807"</f>
        <v>20190303170415807</v>
      </c>
      <c r="B6296" t="str">
        <f>"1551603855792093"</f>
        <v>1551603855792093</v>
      </c>
      <c r="C6296" t="s">
        <v>40</v>
      </c>
      <c r="D6296">
        <v>4.4431149999999997</v>
      </c>
      <c r="E6296">
        <v>0.61467729999999998</v>
      </c>
      <c r="F6296" t="s">
        <v>44</v>
      </c>
      <c r="G6296">
        <v>-296.82639999999998</v>
      </c>
      <c r="H6296">
        <v>-0.05</v>
      </c>
      <c r="I6296">
        <v>5.233841</v>
      </c>
      <c r="J6296">
        <v>-325.39479999999998</v>
      </c>
      <c r="K6296">
        <v>1.1188549999999999</v>
      </c>
      <c r="L6296">
        <v>16.963069999999998</v>
      </c>
      <c r="M6296">
        <v>0.99989070000000002</v>
      </c>
      <c r="N6296">
        <v>-1.3851209999999999E-2</v>
      </c>
      <c r="O6296">
        <v>5.1857459999999998E-3</v>
      </c>
      <c r="P6296">
        <v>0.97914369999999995</v>
      </c>
      <c r="Q6296">
        <v>0.171076799999999</v>
      </c>
      <c r="R6296">
        <v>-0.1095923</v>
      </c>
      <c r="S6296">
        <v>2.9531860000000001</v>
      </c>
      <c r="T6296">
        <v>-0.120126</v>
      </c>
      <c r="U6296">
        <v>-1.2053529999999999</v>
      </c>
      <c r="V6296">
        <v>0.115901</v>
      </c>
      <c r="W6296">
        <v>0.1838437</v>
      </c>
      <c r="X6296">
        <v>0.97609860000000004</v>
      </c>
      <c r="Y6296">
        <v>0.38230799999999998</v>
      </c>
      <c r="Z6296">
        <v>-1.0358259999999999E-2</v>
      </c>
      <c r="AA6296">
        <v>0.92397689999999999</v>
      </c>
      <c r="AB6296">
        <v>33</v>
      </c>
      <c r="AC6296">
        <v>28.5684</v>
      </c>
      <c r="AD6296">
        <v>-1.168855</v>
      </c>
      <c r="AE6296">
        <v>-11.729229</v>
      </c>
      <c r="AF6296">
        <v>11.8602440484058</v>
      </c>
      <c r="AG6296">
        <v>-1.168855</v>
      </c>
      <c r="AH6296">
        <v>28.466406846601</v>
      </c>
      <c r="AI6296">
        <v>92.170624902837702</v>
      </c>
      <c r="AJ6296">
        <v>67.381436418650594</v>
      </c>
      <c r="AK6296">
        <v>30.860458999421599</v>
      </c>
      <c r="AL6296">
        <v>79.406275074900705</v>
      </c>
      <c r="AM6296">
        <v>83.228459884204597</v>
      </c>
      <c r="AN6296">
        <v>1.00000001237632</v>
      </c>
    </row>
    <row r="6297" spans="1:40" x14ac:dyDescent="0.25">
      <c r="A6297" t="str">
        <f>"20190303170415819"</f>
        <v>20190303170415819</v>
      </c>
      <c r="B6297" t="str">
        <f>"1551603855811611"</f>
        <v>1551603855811611</v>
      </c>
      <c r="C6297" t="s">
        <v>40</v>
      </c>
      <c r="D6297">
        <v>4.4921089999999904</v>
      </c>
      <c r="E6297">
        <v>0.61473310000000003</v>
      </c>
      <c r="F6297" t="s">
        <v>44</v>
      </c>
      <c r="G6297">
        <v>-296.58159999999998</v>
      </c>
      <c r="H6297">
        <v>-0.05</v>
      </c>
      <c r="I6297">
        <v>5.0721889999999998</v>
      </c>
      <c r="J6297">
        <v>-325.22379999999998</v>
      </c>
      <c r="K6297">
        <v>1.1187180000000001</v>
      </c>
      <c r="L6297">
        <v>16.96228</v>
      </c>
      <c r="M6297">
        <v>0.99989859999999997</v>
      </c>
      <c r="N6297">
        <v>-1.385642E-2</v>
      </c>
      <c r="O6297">
        <v>3.2977309999999999E-3</v>
      </c>
      <c r="P6297">
        <v>0.97864229999999997</v>
      </c>
      <c r="Q6297">
        <v>0.17162089999999999</v>
      </c>
      <c r="R6297">
        <v>-0.11316180000000001</v>
      </c>
      <c r="S6297">
        <v>2.9486080000000001</v>
      </c>
      <c r="T6297">
        <v>-0.1196152</v>
      </c>
      <c r="U6297">
        <v>-1.216858</v>
      </c>
      <c r="V6297">
        <v>0.117686</v>
      </c>
      <c r="W6297">
        <v>0.18433769999999999</v>
      </c>
      <c r="X6297">
        <v>0.97579179999999999</v>
      </c>
      <c r="Y6297">
        <v>0.3841504</v>
      </c>
      <c r="Z6297">
        <v>-1.033504E-2</v>
      </c>
      <c r="AA6297">
        <v>0.9232127</v>
      </c>
      <c r="AB6297">
        <v>33</v>
      </c>
      <c r="AC6297">
        <v>28.642199999999999</v>
      </c>
      <c r="AD6297">
        <v>-1.1687179999999999</v>
      </c>
      <c r="AE6297">
        <v>-11.890091</v>
      </c>
      <c r="AF6297">
        <v>11.967493131032599</v>
      </c>
      <c r="AG6297">
        <v>-1.1687179999999999</v>
      </c>
      <c r="AH6297">
        <v>28.562265283497702</v>
      </c>
      <c r="AI6297">
        <v>92.161282795546597</v>
      </c>
      <c r="AJ6297">
        <v>67.266479842242504</v>
      </c>
      <c r="AK6297">
        <v>30.9901563682686</v>
      </c>
      <c r="AL6297">
        <v>79.377478780479095</v>
      </c>
      <c r="AM6297">
        <v>83.123020706017499</v>
      </c>
      <c r="AN6297">
        <v>1.0000000095922601</v>
      </c>
    </row>
    <row r="6298" spans="1:40" x14ac:dyDescent="0.25">
      <c r="A6298" t="str">
        <f>"20190303170415831"</f>
        <v>20190303170415831</v>
      </c>
      <c r="B6298" t="str">
        <f>"1551603855822347"</f>
        <v>1551603855822347</v>
      </c>
      <c r="C6298" t="s">
        <v>40</v>
      </c>
      <c r="D6298">
        <v>4.4914699999999996</v>
      </c>
      <c r="E6298">
        <v>0.61477349999999997</v>
      </c>
      <c r="F6298" t="s">
        <v>44</v>
      </c>
      <c r="G6298">
        <v>-296.14089999999999</v>
      </c>
      <c r="H6298">
        <v>-0.05</v>
      </c>
      <c r="I6298">
        <v>4.8316800000000004</v>
      </c>
      <c r="J6298">
        <v>-325.03250000000003</v>
      </c>
      <c r="K6298">
        <v>1.1185670000000001</v>
      </c>
      <c r="L6298">
        <v>16.960940000000001</v>
      </c>
      <c r="M6298">
        <v>0.9999034</v>
      </c>
      <c r="N6298">
        <v>-1.386304E-2</v>
      </c>
      <c r="O6298">
        <v>1.0815899999999999E-3</v>
      </c>
      <c r="P6298">
        <v>0.97805260000000005</v>
      </c>
      <c r="Q6298">
        <v>0.17208689999999999</v>
      </c>
      <c r="R6298">
        <v>-0.11747199999999999</v>
      </c>
      <c r="S6298">
        <v>2.9442439999999999</v>
      </c>
      <c r="T6298">
        <v>-0.1183168</v>
      </c>
      <c r="U6298">
        <v>-1.2280580000000001</v>
      </c>
      <c r="V6298">
        <v>0.11989909999999999</v>
      </c>
      <c r="W6298">
        <v>0.18474589999999999</v>
      </c>
      <c r="X6298">
        <v>0.97544509999999995</v>
      </c>
      <c r="Y6298">
        <v>0.38558779999999998</v>
      </c>
      <c r="Z6298">
        <v>-1.024298E-2</v>
      </c>
      <c r="AA6298">
        <v>0.9226143</v>
      </c>
      <c r="AB6298">
        <v>33</v>
      </c>
      <c r="AC6298">
        <v>28.8916</v>
      </c>
      <c r="AD6298">
        <v>-1.1685669999999999</v>
      </c>
      <c r="AE6298">
        <v>-12.12926</v>
      </c>
      <c r="AF6298">
        <v>12.143615418899801</v>
      </c>
      <c r="AG6298">
        <v>-1.1685669999999999</v>
      </c>
      <c r="AH6298">
        <v>28.838354541666099</v>
      </c>
      <c r="AI6298">
        <v>92.138734798672601</v>
      </c>
      <c r="AJ6298">
        <v>67.164404517199799</v>
      </c>
      <c r="AK6298">
        <v>31.312675339971602</v>
      </c>
      <c r="AL6298">
        <v>79.353681739537507</v>
      </c>
      <c r="AM6298">
        <v>82.992506413025097</v>
      </c>
      <c r="AN6298">
        <v>0.99999999243081406</v>
      </c>
    </row>
    <row r="6299" spans="1:40" x14ac:dyDescent="0.25">
      <c r="A6299" t="str">
        <f>"20190303170415841"</f>
        <v>20190303170415841</v>
      </c>
      <c r="B6299" t="str">
        <f>"1551603855832107"</f>
        <v>1551603855832107</v>
      </c>
      <c r="C6299" t="s">
        <v>40</v>
      </c>
      <c r="D6299">
        <v>4.490456</v>
      </c>
      <c r="E6299">
        <v>0.61481819999999998</v>
      </c>
      <c r="F6299" t="s">
        <v>44</v>
      </c>
      <c r="G6299">
        <v>-295.8125</v>
      </c>
      <c r="H6299">
        <v>-0.05</v>
      </c>
      <c r="I6299">
        <v>4.6217189999999997</v>
      </c>
      <c r="J6299">
        <v>-324.8836</v>
      </c>
      <c r="K6299">
        <v>1.118447</v>
      </c>
      <c r="L6299">
        <v>16.959409999999998</v>
      </c>
      <c r="M6299">
        <v>0.99990369999999995</v>
      </c>
      <c r="N6299">
        <v>-1.386859E-2</v>
      </c>
      <c r="O6299">
        <v>-7.3015389999999997E-4</v>
      </c>
      <c r="P6299">
        <v>0.97751250000000001</v>
      </c>
      <c r="Q6299">
        <v>0.17231250000000001</v>
      </c>
      <c r="R6299">
        <v>-0.1215644</v>
      </c>
      <c r="S6299">
        <v>2.938904</v>
      </c>
      <c r="T6299">
        <v>-0.1175326</v>
      </c>
      <c r="U6299">
        <v>-1.241058</v>
      </c>
      <c r="V6299">
        <v>0.12227499999999999</v>
      </c>
      <c r="W6299">
        <v>0.18492020000000001</v>
      </c>
      <c r="X6299">
        <v>0.97511709999999996</v>
      </c>
      <c r="Y6299">
        <v>0.38798149999999998</v>
      </c>
      <c r="Z6299">
        <v>-1.022119E-2</v>
      </c>
      <c r="AA6299">
        <v>0.9216105</v>
      </c>
      <c r="AB6299">
        <v>33</v>
      </c>
      <c r="AC6299">
        <v>29.071100000000001</v>
      </c>
      <c r="AD6299">
        <v>-1.168447</v>
      </c>
      <c r="AE6299">
        <v>-12.337691</v>
      </c>
      <c r="AF6299">
        <v>12.2996223488701</v>
      </c>
      <c r="AG6299">
        <v>-1.168447</v>
      </c>
      <c r="AH6299">
        <v>29.040348211453502</v>
      </c>
      <c r="AI6299">
        <v>92.121797384687198</v>
      </c>
      <c r="AJ6299">
        <v>67.045611081943093</v>
      </c>
      <c r="AK6299">
        <v>31.559274430175101</v>
      </c>
      <c r="AL6299">
        <v>79.343520158467896</v>
      </c>
      <c r="AM6299">
        <v>82.852690021417999</v>
      </c>
      <c r="AN6299">
        <v>1.00000000735272</v>
      </c>
    </row>
    <row r="6300" spans="1:40" x14ac:dyDescent="0.25">
      <c r="A6300" t="str">
        <f>"20190303170415853"</f>
        <v>20190303170415853</v>
      </c>
      <c r="B6300" t="str">
        <f>"1551603855841868"</f>
        <v>1551603855841868</v>
      </c>
      <c r="C6300" t="s">
        <v>40</v>
      </c>
      <c r="D6300">
        <v>4.5013870000000002</v>
      </c>
      <c r="E6300">
        <v>0.61486629999999998</v>
      </c>
      <c r="F6300" t="s">
        <v>44</v>
      </c>
      <c r="G6300">
        <v>-295.69979999999998</v>
      </c>
      <c r="H6300">
        <v>-0.05</v>
      </c>
      <c r="I6300">
        <v>4.4912869999999998</v>
      </c>
      <c r="J6300">
        <v>-324.70639999999997</v>
      </c>
      <c r="K6300">
        <v>1.1183069999999999</v>
      </c>
      <c r="L6300">
        <v>16.9574</v>
      </c>
      <c r="M6300">
        <v>0.9998996</v>
      </c>
      <c r="N6300">
        <v>-1.387502E-2</v>
      </c>
      <c r="O6300">
        <v>-2.9320040000000002E-3</v>
      </c>
      <c r="P6300">
        <v>0.97689839999999994</v>
      </c>
      <c r="Q6300">
        <v>0.17246589999999901</v>
      </c>
      <c r="R6300">
        <v>-0.12619720000000001</v>
      </c>
      <c r="S6300">
        <v>2.9338380000000002</v>
      </c>
      <c r="T6300">
        <v>-0.1174636</v>
      </c>
      <c r="U6300">
        <v>-1.2534179999999999</v>
      </c>
      <c r="V6300">
        <v>0.1248214</v>
      </c>
      <c r="W6300">
        <v>0.1850125</v>
      </c>
      <c r="X6300">
        <v>0.97477689999999995</v>
      </c>
      <c r="Y6300">
        <v>0.38980860000000001</v>
      </c>
      <c r="Z6300">
        <v>-1.0219539999999999E-2</v>
      </c>
      <c r="AA6300">
        <v>0.92083919999999997</v>
      </c>
      <c r="AB6300">
        <v>33</v>
      </c>
      <c r="AC6300">
        <v>29.006599999999899</v>
      </c>
      <c r="AD6300">
        <v>-1.168307</v>
      </c>
      <c r="AE6300">
        <v>-12.466113</v>
      </c>
      <c r="AF6300">
        <v>12.364073130398401</v>
      </c>
      <c r="AG6300">
        <v>-1.168307</v>
      </c>
      <c r="AH6300">
        <v>29.0033140694844</v>
      </c>
      <c r="AI6300">
        <v>92.122140342148697</v>
      </c>
      <c r="AJ6300">
        <v>66.911514768928598</v>
      </c>
      <c r="AK6300">
        <v>31.550395760326701</v>
      </c>
      <c r="AL6300">
        <v>79.338138888204298</v>
      </c>
      <c r="AM6300">
        <v>82.702914665845995</v>
      </c>
      <c r="AN6300">
        <v>1.0000000059139</v>
      </c>
    </row>
    <row r="6301" spans="1:40" x14ac:dyDescent="0.25">
      <c r="A6301" t="str">
        <f>"20190303170415865"</f>
        <v>20190303170415865</v>
      </c>
      <c r="B6301" t="str">
        <f>"1551603855851627"</f>
        <v>1551603855851627</v>
      </c>
      <c r="C6301" t="s">
        <v>40</v>
      </c>
      <c r="D6301">
        <v>4.4987620000000001</v>
      </c>
      <c r="E6301">
        <v>0.61490979999999995</v>
      </c>
      <c r="F6301" t="s">
        <v>44</v>
      </c>
      <c r="G6301">
        <v>-295.46319999999997</v>
      </c>
      <c r="H6301">
        <v>-0.05</v>
      </c>
      <c r="I6301">
        <v>4.2928470000000001</v>
      </c>
      <c r="J6301">
        <v>-324.53440000000001</v>
      </c>
      <c r="K6301">
        <v>1.11817099999999</v>
      </c>
      <c r="L6301">
        <v>16.95477</v>
      </c>
      <c r="M6301">
        <v>0.99989019999999995</v>
      </c>
      <c r="N6301">
        <v>-1.388207E-2</v>
      </c>
      <c r="O6301">
        <v>-5.2002200000000002E-3</v>
      </c>
      <c r="P6301">
        <v>0.97638820000000004</v>
      </c>
      <c r="Q6301">
        <v>0.1719984</v>
      </c>
      <c r="R6301">
        <v>-0.13070199999999901</v>
      </c>
      <c r="S6301">
        <v>2.927765</v>
      </c>
      <c r="T6301">
        <v>-0.11696819999999999</v>
      </c>
      <c r="U6301">
        <v>-1.267944</v>
      </c>
      <c r="V6301">
        <v>0.12717000000000001</v>
      </c>
      <c r="W6301">
        <v>0.18448809999999999</v>
      </c>
      <c r="X6301">
        <v>0.97457269999999896</v>
      </c>
      <c r="Y6301">
        <v>0.39226309999999998</v>
      </c>
      <c r="Z6301">
        <v>-1.020804E-2</v>
      </c>
      <c r="AA6301">
        <v>0.91979639999999996</v>
      </c>
      <c r="AB6301">
        <v>33</v>
      </c>
      <c r="AC6301">
        <v>29.071200000000001</v>
      </c>
      <c r="AD6301">
        <v>-1.1681709999999901</v>
      </c>
      <c r="AE6301">
        <v>-12.661923</v>
      </c>
      <c r="AF6301">
        <v>12.4936040696075</v>
      </c>
      <c r="AG6301">
        <v>-1.1681709999999901</v>
      </c>
      <c r="AH6301">
        <v>29.0971668741476</v>
      </c>
      <c r="AI6301">
        <v>92.112705751347505</v>
      </c>
      <c r="AJ6301">
        <v>66.762510514435803</v>
      </c>
      <c r="AK6301">
        <v>31.687535187125999</v>
      </c>
      <c r="AL6301">
        <v>79.368711100277594</v>
      </c>
      <c r="AM6301">
        <v>82.565596380634403</v>
      </c>
      <c r="AN6301">
        <v>1.0000000077634399</v>
      </c>
    </row>
    <row r="6302" spans="1:40" x14ac:dyDescent="0.25">
      <c r="A6302" t="str">
        <f>"20190303170415876"</f>
        <v>20190303170415876</v>
      </c>
      <c r="B6302" t="str">
        <f>"1551603855862363"</f>
        <v>1551603855862363</v>
      </c>
      <c r="C6302" t="s">
        <v>40</v>
      </c>
      <c r="D6302">
        <v>4.5153019999999904</v>
      </c>
      <c r="E6302">
        <v>0.61492089999999999</v>
      </c>
      <c r="F6302" t="s">
        <v>44</v>
      </c>
      <c r="G6302">
        <v>-295.70229999999998</v>
      </c>
      <c r="H6302">
        <v>-0.05</v>
      </c>
      <c r="I6302">
        <v>4.304932</v>
      </c>
      <c r="J6302">
        <v>-324.37959999999998</v>
      </c>
      <c r="K6302">
        <v>1.1180460000000001</v>
      </c>
      <c r="L6302">
        <v>16.95224</v>
      </c>
      <c r="M6302">
        <v>0.99987729999999997</v>
      </c>
      <c r="N6302">
        <v>-1.3888070000000001E-2</v>
      </c>
      <c r="O6302">
        <v>-7.2651E-3</v>
      </c>
      <c r="P6302">
        <v>0.97590180000000004</v>
      </c>
      <c r="Q6302">
        <v>0.17151229999999901</v>
      </c>
      <c r="R6302">
        <v>-0.13490569999999999</v>
      </c>
      <c r="S6302">
        <v>2.9218139999999999</v>
      </c>
      <c r="T6302">
        <v>-0.11838129999999999</v>
      </c>
      <c r="U6302">
        <v>-1.2819210000000001</v>
      </c>
      <c r="V6302">
        <v>0.12941030000000001</v>
      </c>
      <c r="W6302">
        <v>0.18394769999999999</v>
      </c>
      <c r="X6302">
        <v>0.97437989999999997</v>
      </c>
      <c r="Y6302">
        <v>0.39473170000000002</v>
      </c>
      <c r="Z6302">
        <v>-1.032043E-2</v>
      </c>
      <c r="AA6302">
        <v>0.91873850000000001</v>
      </c>
      <c r="AB6302">
        <v>33</v>
      </c>
      <c r="AC6302">
        <v>28.677299999999999</v>
      </c>
      <c r="AD6302">
        <v>-1.1680459999999999</v>
      </c>
      <c r="AE6302">
        <v>-12.647308000000001</v>
      </c>
      <c r="AF6302">
        <v>12.4213591604928</v>
      </c>
      <c r="AG6302">
        <v>-1.1680459999999999</v>
      </c>
      <c r="AH6302">
        <v>28.7285360347134</v>
      </c>
      <c r="AI6302">
        <v>92.137236075108405</v>
      </c>
      <c r="AJ6302">
        <v>66.617789173411595</v>
      </c>
      <c r="AK6302">
        <v>31.320652572223</v>
      </c>
      <c r="AL6302">
        <v>79.400212643687695</v>
      </c>
      <c r="AM6302">
        <v>82.434651800618994</v>
      </c>
      <c r="AN6302">
        <v>0.999999985802695</v>
      </c>
    </row>
    <row r="6303" spans="1:40" x14ac:dyDescent="0.25">
      <c r="A6303" t="str">
        <f>"20190303170415886"</f>
        <v>20190303170415886</v>
      </c>
      <c r="B6303" t="str">
        <f>"1551603855872123"</f>
        <v>1551603855872123</v>
      </c>
      <c r="C6303" t="s">
        <v>40</v>
      </c>
      <c r="D6303">
        <v>4.4955629999999998</v>
      </c>
      <c r="E6303">
        <v>0.61492559999999996</v>
      </c>
      <c r="F6303" t="s">
        <v>44</v>
      </c>
      <c r="G6303">
        <v>-295.91660000000002</v>
      </c>
      <c r="H6303">
        <v>-0.05</v>
      </c>
      <c r="I6303">
        <v>4.3127139999999997</v>
      </c>
      <c r="J6303">
        <v>-324.22140000000002</v>
      </c>
      <c r="K6303">
        <v>1.1179159999999999</v>
      </c>
      <c r="L6303">
        <v>16.949010000000001</v>
      </c>
      <c r="M6303">
        <v>0.99985840000000004</v>
      </c>
      <c r="N6303">
        <v>-1.389517E-2</v>
      </c>
      <c r="O6303">
        <v>-9.4918550000000004E-3</v>
      </c>
      <c r="P6303">
        <v>0.97536109999999998</v>
      </c>
      <c r="Q6303">
        <v>0.17093939999999999</v>
      </c>
      <c r="R6303">
        <v>-0.13946500000000001</v>
      </c>
      <c r="S6303">
        <v>2.9161069999999998</v>
      </c>
      <c r="T6303">
        <v>-0.11966930000000001</v>
      </c>
      <c r="U6303">
        <v>-1.2949520000000001</v>
      </c>
      <c r="V6303">
        <v>0.13184999999999999</v>
      </c>
      <c r="W6303">
        <v>0.18331819999999999</v>
      </c>
      <c r="X6303">
        <v>0.97417149999999997</v>
      </c>
      <c r="Y6303">
        <v>0.39677210000000002</v>
      </c>
      <c r="Z6303">
        <v>-1.04087E-2</v>
      </c>
      <c r="AA6303">
        <v>0.91785810000000001</v>
      </c>
      <c r="AB6303">
        <v>33</v>
      </c>
      <c r="AC6303">
        <v>28.3048</v>
      </c>
      <c r="AD6303">
        <v>-1.167916</v>
      </c>
      <c r="AE6303">
        <v>-12.636296</v>
      </c>
      <c r="AF6303">
        <v>12.349503996506201</v>
      </c>
      <c r="AG6303">
        <v>-1.167916</v>
      </c>
      <c r="AH6303">
        <v>28.383184693674099</v>
      </c>
      <c r="AI6303">
        <v>92.160823810115701</v>
      </c>
      <c r="AJ6303">
        <v>66.486175418713401</v>
      </c>
      <c r="AK6303">
        <v>30.975465292679502</v>
      </c>
      <c r="AL6303">
        <v>79.436904950224104</v>
      </c>
      <c r="AM6303">
        <v>82.292096082201994</v>
      </c>
      <c r="AN6303">
        <v>1.0000000481817399</v>
      </c>
    </row>
    <row r="6304" spans="1:40" x14ac:dyDescent="0.25">
      <c r="A6304" t="str">
        <f>"20190303170415896"</f>
        <v>20190303170415896</v>
      </c>
      <c r="B6304" t="str">
        <f>"1551603855881884"</f>
        <v>1551603855881884</v>
      </c>
      <c r="C6304" t="s">
        <v>40</v>
      </c>
      <c r="D6304">
        <v>4.4931289999999997</v>
      </c>
      <c r="E6304">
        <v>0.61493140000000002</v>
      </c>
      <c r="F6304" t="s">
        <v>44</v>
      </c>
      <c r="G6304">
        <v>-296.11180000000002</v>
      </c>
      <c r="H6304">
        <v>-0.05</v>
      </c>
      <c r="I6304">
        <v>4.3033910000000004</v>
      </c>
      <c r="J6304">
        <v>-324.07679999999999</v>
      </c>
      <c r="K6304">
        <v>1.117801</v>
      </c>
      <c r="L6304">
        <v>16.945889999999999</v>
      </c>
      <c r="M6304">
        <v>0.99983679999999997</v>
      </c>
      <c r="N6304">
        <v>-1.390129E-2</v>
      </c>
      <c r="O6304">
        <v>-1.1543329999999999E-2</v>
      </c>
      <c r="P6304">
        <v>0.97478370000000003</v>
      </c>
      <c r="Q6304">
        <v>0.17044219999999999</v>
      </c>
      <c r="R6304">
        <v>-0.144037</v>
      </c>
      <c r="S6304">
        <v>2.9097900000000001</v>
      </c>
      <c r="T6304">
        <v>-0.120897699999999</v>
      </c>
      <c r="U6304">
        <v>-1.309021</v>
      </c>
      <c r="V6304">
        <v>0.13447039999999999</v>
      </c>
      <c r="W6304">
        <v>0.18276229999999999</v>
      </c>
      <c r="X6304">
        <v>0.9739177</v>
      </c>
      <c r="Y6304">
        <v>0.39931460000000002</v>
      </c>
      <c r="Z6304">
        <v>-1.051147E-2</v>
      </c>
      <c r="AA6304">
        <v>0.9167537</v>
      </c>
      <c r="AB6304">
        <v>33</v>
      </c>
      <c r="AC6304">
        <v>27.9649999999999</v>
      </c>
      <c r="AD6304">
        <v>-1.1678010000000001</v>
      </c>
      <c r="AE6304">
        <v>-12.6424989999999</v>
      </c>
      <c r="AF6304">
        <v>12.3010052291124</v>
      </c>
      <c r="AG6304">
        <v>-1.1678010000000001</v>
      </c>
      <c r="AH6304">
        <v>28.0684461700003</v>
      </c>
      <c r="AI6304">
        <v>92.182294487125105</v>
      </c>
      <c r="AJ6304">
        <v>66.334549152556505</v>
      </c>
      <c r="AK6304">
        <v>30.667835907029001</v>
      </c>
      <c r="AL6304">
        <v>79.469302688161704</v>
      </c>
      <c r="AM6304">
        <v>82.138781963377596</v>
      </c>
      <c r="AN6304">
        <v>1.00000001657536</v>
      </c>
    </row>
    <row r="6305" spans="1:40" x14ac:dyDescent="0.25">
      <c r="A6305" t="str">
        <f>"20190303170415907"</f>
        <v>20190303170415907</v>
      </c>
      <c r="B6305" t="str">
        <f>"1551603855891643"</f>
        <v>1551603855891643</v>
      </c>
      <c r="C6305" t="s">
        <v>40</v>
      </c>
      <c r="D6305">
        <v>4.497706</v>
      </c>
      <c r="E6305">
        <v>0.61493489999999995</v>
      </c>
      <c r="F6305" t="s">
        <v>44</v>
      </c>
      <c r="G6305">
        <v>-296.28100000000001</v>
      </c>
      <c r="H6305">
        <v>-0.05</v>
      </c>
      <c r="I6305">
        <v>4.2816159999999996</v>
      </c>
      <c r="J6305">
        <v>-323.90929999999997</v>
      </c>
      <c r="K6305">
        <v>1.1176680000000001</v>
      </c>
      <c r="L6305">
        <v>16.94162</v>
      </c>
      <c r="M6305">
        <v>0.99980500000000005</v>
      </c>
      <c r="N6305">
        <v>-1.390926E-2</v>
      </c>
      <c r="O6305">
        <v>-1.4025569999999999E-2</v>
      </c>
      <c r="P6305">
        <v>0.97413850000000002</v>
      </c>
      <c r="Q6305">
        <v>0.16999339999999999</v>
      </c>
      <c r="R6305">
        <v>-0.14885139999999999</v>
      </c>
      <c r="S6305">
        <v>2.903473</v>
      </c>
      <c r="T6305">
        <v>-0.1219852</v>
      </c>
      <c r="U6305">
        <v>-1.3228759999999999</v>
      </c>
      <c r="V6305">
        <v>0.13692099999999999</v>
      </c>
      <c r="W6305">
        <v>0.182254</v>
      </c>
      <c r="X6305">
        <v>0.97367139999999996</v>
      </c>
      <c r="Y6305">
        <v>0.40140490000000001</v>
      </c>
      <c r="Z6305">
        <v>-1.0581729999999999E-2</v>
      </c>
      <c r="AA6305">
        <v>0.91583959999999998</v>
      </c>
      <c r="AB6305">
        <v>33</v>
      </c>
      <c r="AC6305">
        <v>27.6282999999999</v>
      </c>
      <c r="AD6305">
        <v>-1.1676679999999999</v>
      </c>
      <c r="AE6305">
        <v>-12.660003999999899</v>
      </c>
      <c r="AF6305">
        <v>12.253129881196701</v>
      </c>
      <c r="AG6305">
        <v>-1.1676679999999999</v>
      </c>
      <c r="AH6305">
        <v>27.762179302346599</v>
      </c>
      <c r="AI6305">
        <v>92.203569792860407</v>
      </c>
      <c r="AJ6305">
        <v>66.185229937774494</v>
      </c>
      <c r="AK6305">
        <v>30.3684250506894</v>
      </c>
      <c r="AL6305">
        <v>79.498922801266204</v>
      </c>
      <c r="AM6305">
        <v>81.995360042904906</v>
      </c>
      <c r="AN6305">
        <v>0.99999993796747799</v>
      </c>
    </row>
    <row r="6306" spans="1:40" x14ac:dyDescent="0.25">
      <c r="A6306" t="str">
        <f>"20190303170415918"</f>
        <v>20190303170415918</v>
      </c>
      <c r="B6306" t="str">
        <f>"1551603855912140"</f>
        <v>1551603855912140</v>
      </c>
      <c r="C6306" t="s">
        <v>40</v>
      </c>
      <c r="D6306">
        <v>4.5029769999999996</v>
      </c>
      <c r="E6306">
        <v>0.61493109999999995</v>
      </c>
      <c r="F6306" t="s">
        <v>44</v>
      </c>
      <c r="G6306">
        <v>-296.70569999999998</v>
      </c>
      <c r="H6306">
        <v>-0.05</v>
      </c>
      <c r="I6306">
        <v>4.3898010000000003</v>
      </c>
      <c r="J6306">
        <v>-323.74509999999998</v>
      </c>
      <c r="K6306">
        <v>1.11754</v>
      </c>
      <c r="L6306">
        <v>16.93713</v>
      </c>
      <c r="M6306">
        <v>0.99976710000000002</v>
      </c>
      <c r="N6306">
        <v>-1.3916649999999999E-2</v>
      </c>
      <c r="O6306">
        <v>-1.649782E-2</v>
      </c>
      <c r="P6306">
        <v>0.97338780000000003</v>
      </c>
      <c r="Q6306">
        <v>0.16984630000000001</v>
      </c>
      <c r="R6306">
        <v>-0.15384600000000001</v>
      </c>
      <c r="S6306">
        <v>2.8970950000000002</v>
      </c>
      <c r="T6306">
        <v>-0.12435309999999999</v>
      </c>
      <c r="U6306">
        <v>-1.3367309999999999</v>
      </c>
      <c r="V6306">
        <v>0.13956569999999999</v>
      </c>
      <c r="W6306">
        <v>0.18204300000000001</v>
      </c>
      <c r="X6306">
        <v>0.97333539999999996</v>
      </c>
      <c r="Y6306">
        <v>0.40350219999999998</v>
      </c>
      <c r="Z6306">
        <v>-1.072933E-2</v>
      </c>
      <c r="AA6306">
        <v>0.91491579999999995</v>
      </c>
      <c r="AB6306">
        <v>33</v>
      </c>
      <c r="AC6306">
        <v>27.039400000000001</v>
      </c>
      <c r="AD6306">
        <v>-1.16754</v>
      </c>
      <c r="AE6306">
        <v>-12.547329</v>
      </c>
      <c r="AF6306">
        <v>12.080953237809601</v>
      </c>
      <c r="AG6306">
        <v>-1.16754</v>
      </c>
      <c r="AH6306">
        <v>27.201013727154699</v>
      </c>
      <c r="AI6306">
        <v>92.246430656993994</v>
      </c>
      <c r="AJ6306">
        <v>66.052263522828198</v>
      </c>
      <c r="AK6306">
        <v>29.7860324409043</v>
      </c>
      <c r="AL6306">
        <v>79.511218762539301</v>
      </c>
      <c r="AM6306">
        <v>81.840029802092701</v>
      </c>
      <c r="AN6306">
        <v>1.00000001967932</v>
      </c>
    </row>
    <row r="6307" spans="1:40" x14ac:dyDescent="0.25">
      <c r="A6307" t="str">
        <f>"20190303170415929"</f>
        <v>20190303170415929</v>
      </c>
      <c r="B6307" t="str">
        <f>"1551603855921899"</f>
        <v>1551603855921899</v>
      </c>
      <c r="C6307" t="s">
        <v>40</v>
      </c>
      <c r="D6307">
        <v>4.465001</v>
      </c>
      <c r="E6307">
        <v>0.6149424</v>
      </c>
      <c r="F6307" t="s">
        <v>44</v>
      </c>
      <c r="G6307">
        <v>-296.96570000000003</v>
      </c>
      <c r="H6307">
        <v>-0.05</v>
      </c>
      <c r="I6307">
        <v>4.4239040000000003</v>
      </c>
      <c r="J6307">
        <v>-323.57639999999998</v>
      </c>
      <c r="K6307">
        <v>1.1174219999999999</v>
      </c>
      <c r="L6307">
        <v>16.931979999999999</v>
      </c>
      <c r="M6307">
        <v>0.99972030000000001</v>
      </c>
      <c r="N6307">
        <v>-1.392415E-2</v>
      </c>
      <c r="O6307">
        <v>-1.9116350000000001E-2</v>
      </c>
      <c r="P6307">
        <v>0.97256549999999997</v>
      </c>
      <c r="Q6307">
        <v>0.16997860000000001</v>
      </c>
      <c r="R6307">
        <v>-0.15881990000000001</v>
      </c>
      <c r="S6307">
        <v>2.8905639999999999</v>
      </c>
      <c r="T6307">
        <v>-0.1260242</v>
      </c>
      <c r="U6307">
        <v>-1.3506769999999999</v>
      </c>
      <c r="V6307">
        <v>0.1420526</v>
      </c>
      <c r="W6307">
        <v>0.18211189999999999</v>
      </c>
      <c r="X6307">
        <v>0.97296260000000001</v>
      </c>
      <c r="Y6307">
        <v>0.40550969999999997</v>
      </c>
      <c r="Z6307">
        <v>-1.0826590000000001E-2</v>
      </c>
      <c r="AA6307">
        <v>0.91402660000000002</v>
      </c>
      <c r="AB6307">
        <v>33</v>
      </c>
      <c r="AC6307">
        <v>26.610699999999898</v>
      </c>
      <c r="AD6307">
        <v>-1.167422</v>
      </c>
      <c r="AE6307">
        <v>-12.508076000000001</v>
      </c>
      <c r="AF6307">
        <v>11.978159475291701</v>
      </c>
      <c r="AG6307">
        <v>-1.167422</v>
      </c>
      <c r="AH6307">
        <v>26.802718119318101</v>
      </c>
      <c r="AI6307">
        <v>92.277208921845002</v>
      </c>
      <c r="AJ6307">
        <v>65.920088183769494</v>
      </c>
      <c r="AK6307">
        <v>29.380688847017002</v>
      </c>
      <c r="AL6307">
        <v>79.5072032669013</v>
      </c>
      <c r="AM6307">
        <v>81.693501332722505</v>
      </c>
      <c r="AN6307">
        <v>0.99999995314356305</v>
      </c>
    </row>
    <row r="6308" spans="1:40" x14ac:dyDescent="0.25">
      <c r="A6308" t="str">
        <f>"20190303170415942"</f>
        <v>20190303170415942</v>
      </c>
      <c r="B6308" t="str">
        <f>"1551603855931660"</f>
        <v>1551603855931660</v>
      </c>
      <c r="C6308" t="s">
        <v>40</v>
      </c>
      <c r="D6308">
        <v>4.5016179999999997</v>
      </c>
      <c r="E6308">
        <v>0.61496719999999905</v>
      </c>
      <c r="F6308" t="s">
        <v>44</v>
      </c>
      <c r="G6308">
        <v>-296.80369999999999</v>
      </c>
      <c r="H6308">
        <v>-0.05</v>
      </c>
      <c r="I6308">
        <v>4.2563930000000001</v>
      </c>
      <c r="J6308">
        <v>-323.40210000000002</v>
      </c>
      <c r="K6308">
        <v>1.1172979999999999</v>
      </c>
      <c r="L6308">
        <v>16.926089999999999</v>
      </c>
      <c r="M6308">
        <v>0.99966339999999998</v>
      </c>
      <c r="N6308">
        <v>-1.393197E-2</v>
      </c>
      <c r="O6308">
        <v>-2.189375E-2</v>
      </c>
      <c r="P6308">
        <v>0.97177619999999998</v>
      </c>
      <c r="Q6308">
        <v>0.1700469</v>
      </c>
      <c r="R6308">
        <v>-0.16350970000000001</v>
      </c>
      <c r="S6308">
        <v>2.8836360000000001</v>
      </c>
      <c r="T6308">
        <v>-0.12574099999999999</v>
      </c>
      <c r="U6308">
        <v>-1.365265</v>
      </c>
      <c r="V6308">
        <v>0.14410249999999999</v>
      </c>
      <c r="W6308">
        <v>0.1821209</v>
      </c>
      <c r="X6308">
        <v>0.97265950000000001</v>
      </c>
      <c r="Y6308">
        <v>0.4075954</v>
      </c>
      <c r="Z6308">
        <v>-1.0803689999999999E-2</v>
      </c>
      <c r="AA6308">
        <v>0.91309870000000004</v>
      </c>
      <c r="AB6308">
        <v>33</v>
      </c>
      <c r="AC6308">
        <v>26.598400000000002</v>
      </c>
      <c r="AD6308">
        <v>-1.1672979999999999</v>
      </c>
      <c r="AE6308">
        <v>-12.669696999999999</v>
      </c>
      <c r="AF6308">
        <v>12.065324176137601</v>
      </c>
      <c r="AG6308">
        <v>-1.1672979999999999</v>
      </c>
      <c r="AH6308">
        <v>26.8273235990183</v>
      </c>
      <c r="AI6308">
        <v>92.272473867192204</v>
      </c>
      <c r="AJ6308">
        <v>65.7846376610145</v>
      </c>
      <c r="AK6308">
        <v>29.4387486755558</v>
      </c>
      <c r="AL6308">
        <v>79.506679627378702</v>
      </c>
      <c r="AM6308">
        <v>81.572754514416403</v>
      </c>
      <c r="AN6308">
        <v>1.0000000278316501</v>
      </c>
    </row>
    <row r="6309" spans="1:40" x14ac:dyDescent="0.25">
      <c r="A6309" t="str">
        <f>"20190303170415954"</f>
        <v>20190303170415954</v>
      </c>
      <c r="B6309" t="str">
        <f>"1551603855942395"</f>
        <v>1551603855942395</v>
      </c>
      <c r="C6309" t="s">
        <v>40</v>
      </c>
      <c r="D6309">
        <v>4.4791299999999996</v>
      </c>
      <c r="E6309">
        <v>0.61494309999999996</v>
      </c>
      <c r="F6309" t="s">
        <v>44</v>
      </c>
      <c r="G6309">
        <v>-296.62880000000001</v>
      </c>
      <c r="H6309">
        <v>-0.05</v>
      </c>
      <c r="I6309">
        <v>4.0917820000000003</v>
      </c>
      <c r="J6309">
        <v>-323.21190000000001</v>
      </c>
      <c r="K6309">
        <v>1.1171660000000001</v>
      </c>
      <c r="L6309">
        <v>16.919309999999999</v>
      </c>
      <c r="M6309">
        <v>0.9995908</v>
      </c>
      <c r="N6309">
        <v>-1.394022E-2</v>
      </c>
      <c r="O6309">
        <v>-2.497831E-2</v>
      </c>
      <c r="P6309">
        <v>0.97094899999999995</v>
      </c>
      <c r="Q6309">
        <v>0.16980379999999901</v>
      </c>
      <c r="R6309">
        <v>-0.1685972</v>
      </c>
      <c r="S6309">
        <v>2.877014</v>
      </c>
      <c r="T6309">
        <v>-0.12543579999999999</v>
      </c>
      <c r="U6309">
        <v>-1.3791500000000001</v>
      </c>
      <c r="V6309">
        <v>0.146254299999999</v>
      </c>
      <c r="W6309">
        <v>0.18181369999999999</v>
      </c>
      <c r="X6309">
        <v>0.97239569999999997</v>
      </c>
      <c r="Y6309">
        <v>0.40918080000000001</v>
      </c>
      <c r="Z6309">
        <v>-1.0756659999999999E-2</v>
      </c>
      <c r="AA6309">
        <v>0.91238989999999998</v>
      </c>
      <c r="AB6309">
        <v>33</v>
      </c>
      <c r="AC6309">
        <v>26.583100000000002</v>
      </c>
      <c r="AD6309">
        <v>-1.1671659999999999</v>
      </c>
      <c r="AE6309">
        <v>-12.827527999999999</v>
      </c>
      <c r="AF6309">
        <v>12.1404758604933</v>
      </c>
      <c r="AG6309">
        <v>-1.1671659999999999</v>
      </c>
      <c r="AH6309">
        <v>26.8532558599188</v>
      </c>
      <c r="AI6309">
        <v>92.268016997311406</v>
      </c>
      <c r="AJ6309">
        <v>65.672063582722799</v>
      </c>
      <c r="AK6309">
        <v>29.4932327978647</v>
      </c>
      <c r="AL6309">
        <v>79.524579123147504</v>
      </c>
      <c r="AM6309">
        <v>81.446476761350397</v>
      </c>
      <c r="AN6309">
        <v>0.99999996957733395</v>
      </c>
    </row>
    <row r="6310" spans="1:40" x14ac:dyDescent="0.25">
      <c r="A6310" t="str">
        <f>"20190303170415967"</f>
        <v>20190303170415967</v>
      </c>
      <c r="B6310" t="str">
        <f>"1551603855961915"</f>
        <v>1551603855961915</v>
      </c>
      <c r="C6310" t="s">
        <v>40</v>
      </c>
      <c r="D6310">
        <v>4.4900799999999998</v>
      </c>
      <c r="E6310">
        <v>0.6148884</v>
      </c>
      <c r="F6310" t="s">
        <v>44</v>
      </c>
      <c r="G6310">
        <v>-296.54680000000002</v>
      </c>
      <c r="H6310">
        <v>-0.05</v>
      </c>
      <c r="I6310">
        <v>3.9630580000000002</v>
      </c>
      <c r="J6310">
        <v>-323.0335</v>
      </c>
      <c r="K6310">
        <v>1.117041</v>
      </c>
      <c r="L6310">
        <v>16.911929999999899</v>
      </c>
      <c r="M6310">
        <v>0.99951069999999997</v>
      </c>
      <c r="N6310">
        <v>-1.394914E-2</v>
      </c>
      <c r="O6310">
        <v>-2.7998660000000002E-2</v>
      </c>
      <c r="P6310">
        <v>0.97027220000000003</v>
      </c>
      <c r="Q6310">
        <v>0.1689408</v>
      </c>
      <c r="R6310">
        <v>-0.17329449999999999</v>
      </c>
      <c r="S6310">
        <v>2.8696290000000002</v>
      </c>
      <c r="T6310">
        <v>-0.12560730000000001</v>
      </c>
      <c r="U6310">
        <v>-1.3943179999999999</v>
      </c>
      <c r="V6310">
        <v>0.1480668</v>
      </c>
      <c r="W6310">
        <v>0.1808951</v>
      </c>
      <c r="X6310">
        <v>0.97229270000000001</v>
      </c>
      <c r="Y6310">
        <v>0.41124450000000001</v>
      </c>
      <c r="Z6310">
        <v>-1.075449E-2</v>
      </c>
      <c r="AA6310">
        <v>0.91146159999999998</v>
      </c>
      <c r="AB6310">
        <v>33</v>
      </c>
      <c r="AC6310">
        <v>26.4866999999999</v>
      </c>
      <c r="AD6310">
        <v>-1.167041</v>
      </c>
      <c r="AE6310">
        <v>-12.9488719999999</v>
      </c>
      <c r="AF6310">
        <v>12.183040638900801</v>
      </c>
      <c r="AG6310">
        <v>-1.167041</v>
      </c>
      <c r="AH6310">
        <v>26.796912197537999</v>
      </c>
      <c r="AI6310">
        <v>92.270370979216906</v>
      </c>
      <c r="AJ6310">
        <v>65.551392041361197</v>
      </c>
      <c r="AK6310">
        <v>29.4595140358315</v>
      </c>
      <c r="AL6310">
        <v>79.578098339418105</v>
      </c>
      <c r="AM6310">
        <v>81.341168084010306</v>
      </c>
      <c r="AN6310">
        <v>0.99999995446976897</v>
      </c>
    </row>
    <row r="6311" spans="1:40" x14ac:dyDescent="0.25">
      <c r="A6311" t="str">
        <f>"20190303170415986"</f>
        <v>20190303170415986</v>
      </c>
      <c r="B6311" t="str">
        <f>"1551603855971676"</f>
        <v>1551603855971676</v>
      </c>
      <c r="C6311" t="s">
        <v>40</v>
      </c>
      <c r="D6311">
        <v>4.4798960000000001</v>
      </c>
      <c r="E6311">
        <v>0.61485400000000001</v>
      </c>
      <c r="F6311" t="s">
        <v>44</v>
      </c>
      <c r="G6311">
        <v>-296.64690000000002</v>
      </c>
      <c r="H6311">
        <v>-0.05</v>
      </c>
      <c r="I6311">
        <v>3.9296419999999999</v>
      </c>
      <c r="J6311">
        <v>-322.75540000000001</v>
      </c>
      <c r="K6311">
        <v>1.1168340000000001</v>
      </c>
      <c r="L6311">
        <v>16.899539999999998</v>
      </c>
      <c r="M6311">
        <v>0.99936340000000001</v>
      </c>
      <c r="N6311">
        <v>-1.396357E-2</v>
      </c>
      <c r="O6311">
        <v>-3.2831359999999997E-2</v>
      </c>
      <c r="P6311">
        <v>0.96887020000000001</v>
      </c>
      <c r="Q6311">
        <v>0.166995899999999</v>
      </c>
      <c r="R6311">
        <v>-0.1827655</v>
      </c>
      <c r="S6311">
        <v>2.8624269999999998</v>
      </c>
      <c r="T6311">
        <v>-0.1266012</v>
      </c>
      <c r="U6311">
        <v>-1.408325</v>
      </c>
      <c r="V6311">
        <v>0.1529266</v>
      </c>
      <c r="W6311">
        <v>0.17883360000000001</v>
      </c>
      <c r="X6311">
        <v>0.97192179999999995</v>
      </c>
      <c r="Y6311">
        <v>0.41133199999999998</v>
      </c>
      <c r="Z6311">
        <v>-1.069372E-2</v>
      </c>
      <c r="AA6311">
        <v>0.91142290000000004</v>
      </c>
      <c r="AB6311">
        <v>33</v>
      </c>
      <c r="AC6311">
        <v>26.1084999999999</v>
      </c>
      <c r="AD6311">
        <v>-1.1668339999999999</v>
      </c>
      <c r="AE6311">
        <v>-12.969898000000001</v>
      </c>
      <c r="AF6311">
        <v>12.086281215553401</v>
      </c>
      <c r="AG6311">
        <v>-1.1668339999999999</v>
      </c>
      <c r="AH6311">
        <v>26.477865454966601</v>
      </c>
      <c r="AI6311">
        <v>92.295713196885899</v>
      </c>
      <c r="AJ6311">
        <v>65.464850141880305</v>
      </c>
      <c r="AK6311">
        <v>29.129316062281799</v>
      </c>
      <c r="AL6311">
        <v>79.698172251649495</v>
      </c>
      <c r="AM6311">
        <v>81.058132487917405</v>
      </c>
      <c r="AN6311">
        <v>0.99999999339587897</v>
      </c>
    </row>
    <row r="6312" spans="1:40" x14ac:dyDescent="0.25">
      <c r="A6312" t="str">
        <f>"20190303170415997"</f>
        <v>20190303170415997</v>
      </c>
      <c r="B6312" t="str">
        <f>"1551603855992172"</f>
        <v>1551603855992172</v>
      </c>
      <c r="C6312" t="s">
        <v>40</v>
      </c>
      <c r="D6312">
        <v>4.5121919999999998</v>
      </c>
      <c r="E6312">
        <v>0.61480409999999996</v>
      </c>
      <c r="F6312" t="s">
        <v>44</v>
      </c>
      <c r="G6312">
        <v>-297.14429999999999</v>
      </c>
      <c r="H6312">
        <v>-0.05</v>
      </c>
      <c r="I6312">
        <v>3.9683989999999998</v>
      </c>
      <c r="J6312">
        <v>-322.59449999999998</v>
      </c>
      <c r="K6312">
        <v>1.1167119999999999</v>
      </c>
      <c r="L6312">
        <v>16.891819999999999</v>
      </c>
      <c r="M6312">
        <v>0.99926510000000002</v>
      </c>
      <c r="N6312">
        <v>-1.397225E-2</v>
      </c>
      <c r="O6312">
        <v>-3.5699450000000001E-2</v>
      </c>
      <c r="P6312">
        <v>0.96793560000000001</v>
      </c>
      <c r="Q6312">
        <v>0.1661397</v>
      </c>
      <c r="R6312">
        <v>-0.188411</v>
      </c>
      <c r="S6312">
        <v>2.8475649999999999</v>
      </c>
      <c r="T6312">
        <v>-0.12973399999999999</v>
      </c>
      <c r="U6312">
        <v>-1.4377439999999999</v>
      </c>
      <c r="V6312">
        <v>0.15584500000000001</v>
      </c>
      <c r="W6312">
        <v>0.1779046</v>
      </c>
      <c r="X6312">
        <v>0.97162870000000001</v>
      </c>
      <c r="Y6312">
        <v>0.41809550000000001</v>
      </c>
      <c r="Z6312">
        <v>-1.1009990000000001E-2</v>
      </c>
      <c r="AA6312">
        <v>0.90833640000000004</v>
      </c>
      <c r="AB6312">
        <v>33</v>
      </c>
      <c r="AC6312">
        <v>25.450199999999899</v>
      </c>
      <c r="AD6312">
        <v>-1.166712</v>
      </c>
      <c r="AE6312">
        <v>-12.923420999999999</v>
      </c>
      <c r="AF6312">
        <v>11.986508364418</v>
      </c>
      <c r="AG6312">
        <v>-1.166712</v>
      </c>
      <c r="AH6312">
        <v>25.852185236027299</v>
      </c>
      <c r="AI6312">
        <v>92.344566790929406</v>
      </c>
      <c r="AJ6312">
        <v>65.124942749103994</v>
      </c>
      <c r="AK6312">
        <v>28.519696371789699</v>
      </c>
      <c r="AL6312">
        <v>79.752267806859095</v>
      </c>
      <c r="AM6312">
        <v>80.887622183370894</v>
      </c>
      <c r="AN6312">
        <v>1.00000002069492</v>
      </c>
    </row>
    <row r="6313" spans="1:40" x14ac:dyDescent="0.25">
      <c r="A6313" t="str">
        <f>"20190303170416007"</f>
        <v>20190303170416007</v>
      </c>
      <c r="B6313" t="str">
        <f>"1551603856001931"</f>
        <v>1551603856001931</v>
      </c>
      <c r="C6313" t="s">
        <v>40</v>
      </c>
      <c r="D6313">
        <v>4.5077769999999999</v>
      </c>
      <c r="E6313">
        <v>0.61475179999999996</v>
      </c>
      <c r="F6313" t="s">
        <v>44</v>
      </c>
      <c r="G6313">
        <v>-297.48410000000001</v>
      </c>
      <c r="H6313">
        <v>-0.05</v>
      </c>
      <c r="I6313">
        <v>4.0345760000000004</v>
      </c>
      <c r="J6313">
        <v>-322.41789999999997</v>
      </c>
      <c r="K6313">
        <v>1.116576</v>
      </c>
      <c r="L6313">
        <v>16.88242</v>
      </c>
      <c r="M6313">
        <v>0.999143</v>
      </c>
      <c r="N6313">
        <v>-1.398346E-2</v>
      </c>
      <c r="O6313">
        <v>-3.8961589999999997E-2</v>
      </c>
      <c r="P6313">
        <v>0.96687889999999999</v>
      </c>
      <c r="Q6313">
        <v>0.16534989999999999</v>
      </c>
      <c r="R6313">
        <v>-0.19443489999999999</v>
      </c>
      <c r="S6313">
        <v>2.8390499999999999</v>
      </c>
      <c r="T6313">
        <v>-0.13191159999999999</v>
      </c>
      <c r="U6313">
        <v>-1.4536739999999999</v>
      </c>
      <c r="V6313">
        <v>0.15877140000000001</v>
      </c>
      <c r="W6313">
        <v>0.1770369</v>
      </c>
      <c r="X6313">
        <v>0.97131330000000005</v>
      </c>
      <c r="Y6313">
        <v>0.42025659999999998</v>
      </c>
      <c r="Z6313">
        <v>-1.1117E-2</v>
      </c>
      <c r="AA6313">
        <v>0.90733719999999995</v>
      </c>
      <c r="AB6313">
        <v>33</v>
      </c>
      <c r="AC6313">
        <v>24.933799999999898</v>
      </c>
      <c r="AD6313">
        <v>-1.1665760000000001</v>
      </c>
      <c r="AE6313">
        <v>-12.847843999999901</v>
      </c>
      <c r="AF6313">
        <v>11.8460408188042</v>
      </c>
      <c r="AG6313">
        <v>-1.1665760000000001</v>
      </c>
      <c r="AH6313">
        <v>25.371599111409498</v>
      </c>
      <c r="AI6313">
        <v>92.385687815231904</v>
      </c>
      <c r="AJ6313">
        <v>64.972052921196493</v>
      </c>
      <c r="AK6313">
        <v>28.0251248724181</v>
      </c>
      <c r="AL6313">
        <v>79.802784785424805</v>
      </c>
      <c r="AM6313">
        <v>80.716502714067005</v>
      </c>
      <c r="AN6313">
        <v>0.99999997408822905</v>
      </c>
    </row>
    <row r="6314" spans="1:40" x14ac:dyDescent="0.25">
      <c r="A6314" t="str">
        <f>"20190303170416019"</f>
        <v>20190303170416019</v>
      </c>
      <c r="B6314" t="str">
        <f>"1551603856011691"</f>
        <v>1551603856011691</v>
      </c>
      <c r="C6314" t="s">
        <v>40</v>
      </c>
      <c r="D6314">
        <v>4.5281909999999996</v>
      </c>
      <c r="E6314">
        <v>0.61475179999999996</v>
      </c>
      <c r="F6314" t="s">
        <v>44</v>
      </c>
      <c r="G6314">
        <v>-297.82549999999998</v>
      </c>
      <c r="H6314">
        <v>-0.05</v>
      </c>
      <c r="I6314">
        <v>4.1007689999999997</v>
      </c>
      <c r="J6314">
        <v>-322.25599999999997</v>
      </c>
      <c r="K6314">
        <v>1.1164590000000001</v>
      </c>
      <c r="L6314">
        <v>16.87341</v>
      </c>
      <c r="M6314">
        <v>0.99901960000000001</v>
      </c>
      <c r="N6314">
        <v>-1.3993790000000001E-2</v>
      </c>
      <c r="O6314">
        <v>-4.2003680000000002E-2</v>
      </c>
      <c r="P6314">
        <v>0.96574839999999995</v>
      </c>
      <c r="Q6314">
        <v>0.16538749999999999</v>
      </c>
      <c r="R6314">
        <v>-0.1999435</v>
      </c>
      <c r="S6314">
        <v>2.8299259999999999</v>
      </c>
      <c r="T6314">
        <v>-0.13424159999999999</v>
      </c>
      <c r="U6314">
        <v>-1.470825</v>
      </c>
      <c r="V6314">
        <v>0.16140969999999999</v>
      </c>
      <c r="W6314">
        <v>0.1769994</v>
      </c>
      <c r="X6314">
        <v>0.9708852</v>
      </c>
      <c r="Y6314">
        <v>0.42300120000000002</v>
      </c>
      <c r="Z6314">
        <v>-1.125455E-2</v>
      </c>
      <c r="AA6314">
        <v>0.90605919999999895</v>
      </c>
      <c r="AB6314">
        <v>33</v>
      </c>
      <c r="AC6314">
        <v>24.430499999999899</v>
      </c>
      <c r="AD6314">
        <v>-1.1664589999999999</v>
      </c>
      <c r="AE6314">
        <v>-12.772641</v>
      </c>
      <c r="AF6314">
        <v>11.7141230768294</v>
      </c>
      <c r="AG6314">
        <v>-1.1664589999999999</v>
      </c>
      <c r="AH6314">
        <v>24.9009045254138</v>
      </c>
      <c r="AI6314">
        <v>92.427197916038807</v>
      </c>
      <c r="AJ6314">
        <v>64.806317071891002</v>
      </c>
      <c r="AK6314">
        <v>27.543354048509801</v>
      </c>
      <c r="AL6314">
        <v>79.804967864748804</v>
      </c>
      <c r="AM6314">
        <v>80.560905340340696</v>
      </c>
      <c r="AN6314">
        <v>0.999999975216744</v>
      </c>
    </row>
    <row r="6315" spans="1:40" x14ac:dyDescent="0.25">
      <c r="A6315" t="str">
        <f>"20190303170416029"</f>
        <v>20190303170416029</v>
      </c>
      <c r="B6315" t="str">
        <f>"1551603856022428"</f>
        <v>1551603856022428</v>
      </c>
      <c r="C6315" t="s">
        <v>40</v>
      </c>
      <c r="D6315">
        <v>4.5243029999999997</v>
      </c>
      <c r="E6315">
        <v>0.61097369999999995</v>
      </c>
      <c r="F6315" t="s">
        <v>44</v>
      </c>
      <c r="G6315">
        <v>-297.84440000000001</v>
      </c>
      <c r="H6315">
        <v>-0.05</v>
      </c>
      <c r="I6315">
        <v>4.0142819999999997</v>
      </c>
      <c r="J6315">
        <v>-322.0951</v>
      </c>
      <c r="K6315">
        <v>1.116341</v>
      </c>
      <c r="L6315">
        <v>16.863889999999898</v>
      </c>
      <c r="M6315">
        <v>0.99888429999999995</v>
      </c>
      <c r="N6315">
        <v>-1.4004539999999999E-2</v>
      </c>
      <c r="O6315">
        <v>-4.5102870000000003E-2</v>
      </c>
      <c r="P6315">
        <v>0.96461200000000002</v>
      </c>
      <c r="Q6315">
        <v>0.166127</v>
      </c>
      <c r="R6315">
        <v>-0.2047581</v>
      </c>
      <c r="S6315">
        <v>2.8217469999999998</v>
      </c>
      <c r="T6315">
        <v>-0.13483129999999999</v>
      </c>
      <c r="U6315">
        <v>-1.486389</v>
      </c>
      <c r="V6315">
        <v>0.1633125</v>
      </c>
      <c r="W6315">
        <v>0.17767140000000001</v>
      </c>
      <c r="X6315">
        <v>0.97044419999999998</v>
      </c>
      <c r="Y6315">
        <v>0.42517840000000001</v>
      </c>
      <c r="Z6315">
        <v>-1.127234E-2</v>
      </c>
      <c r="AA6315">
        <v>0.90503940000000005</v>
      </c>
      <c r="AB6315">
        <v>33</v>
      </c>
      <c r="AC6315">
        <v>24.250699999999899</v>
      </c>
      <c r="AD6315">
        <v>-1.1663410000000001</v>
      </c>
      <c r="AE6315">
        <v>-12.8496079999999</v>
      </c>
      <c r="AF6315">
        <v>11.7214758327151</v>
      </c>
      <c r="AG6315">
        <v>-1.1663410000000001</v>
      </c>
      <c r="AH6315">
        <v>24.760907311087301</v>
      </c>
      <c r="AI6315">
        <v>92.437877760322394</v>
      </c>
      <c r="AJ6315">
        <v>64.667763744534</v>
      </c>
      <c r="AK6315">
        <v>27.4199904794561</v>
      </c>
      <c r="AL6315">
        <v>79.765845506326698</v>
      </c>
      <c r="AM6315">
        <v>80.447409398498493</v>
      </c>
      <c r="AN6315">
        <v>1.00000002217392</v>
      </c>
    </row>
    <row r="6316" spans="1:40" x14ac:dyDescent="0.25">
      <c r="A6316" t="str">
        <f>"20190303170416041"</f>
        <v>20190303170416041</v>
      </c>
      <c r="B6316" t="str">
        <f>"1551603856031719"</f>
        <v>1551603856031719</v>
      </c>
      <c r="C6316" t="s">
        <v>40</v>
      </c>
      <c r="D6316">
        <v>4.5329300000000003</v>
      </c>
      <c r="E6316">
        <v>0.61105080000000001</v>
      </c>
      <c r="F6316" t="s">
        <v>44</v>
      </c>
      <c r="G6316">
        <v>-295.52690000000001</v>
      </c>
      <c r="H6316">
        <v>-0.05</v>
      </c>
      <c r="I6316">
        <v>2.9992679999999998</v>
      </c>
      <c r="J6316">
        <v>-321.93340000000001</v>
      </c>
      <c r="K6316">
        <v>1.1162160000000001</v>
      </c>
      <c r="L6316">
        <v>16.853670000000001</v>
      </c>
      <c r="M6316">
        <v>0.99873469999999998</v>
      </c>
      <c r="N6316">
        <v>-1.4016030000000001E-2</v>
      </c>
      <c r="O6316">
        <v>-4.8299559999999998E-2</v>
      </c>
      <c r="P6316">
        <v>0.9634277</v>
      </c>
      <c r="Q6316">
        <v>0.1667729</v>
      </c>
      <c r="R6316">
        <v>-0.2097473</v>
      </c>
      <c r="S6316">
        <v>2.819061</v>
      </c>
      <c r="T6316">
        <v>-0.12375650000000001</v>
      </c>
      <c r="U6316">
        <v>-1.4711299999999901</v>
      </c>
      <c r="V6316">
        <v>0.16530239999999999</v>
      </c>
      <c r="W6316">
        <v>0.17824670000000001</v>
      </c>
      <c r="X6316">
        <v>0.97000160000000002</v>
      </c>
      <c r="Y6316">
        <v>0.41885810000000001</v>
      </c>
      <c r="Z6316">
        <v>-1.040401E-2</v>
      </c>
      <c r="AA6316">
        <v>0.90799209999999997</v>
      </c>
      <c r="AB6316">
        <v>33</v>
      </c>
      <c r="AC6316">
        <v>26.406499999999902</v>
      </c>
      <c r="AD6316">
        <v>-1.1662159999999999</v>
      </c>
      <c r="AE6316">
        <v>-13.854401999999901</v>
      </c>
      <c r="AF6316">
        <v>12.543497199067501</v>
      </c>
      <c r="AG6316">
        <v>-1.1662159999999999</v>
      </c>
      <c r="AH6316">
        <v>27.003601301590301</v>
      </c>
      <c r="AI6316">
        <v>92.243014270589896</v>
      </c>
      <c r="AJ6316">
        <v>65.084565467573199</v>
      </c>
      <c r="AK6316">
        <v>29.797547969538002</v>
      </c>
      <c r="AL6316">
        <v>79.732347676277698</v>
      </c>
      <c r="AM6316">
        <v>80.328870657711406</v>
      </c>
      <c r="AN6316">
        <v>0.99999993675460297</v>
      </c>
    </row>
    <row r="6317" spans="1:40" x14ac:dyDescent="0.25">
      <c r="A6317" t="str">
        <f>"20190303170416052"</f>
        <v>20190303170416052</v>
      </c>
      <c r="B6317" t="str">
        <f>"1551603856042455"</f>
        <v>1551603856042455</v>
      </c>
      <c r="C6317" t="s">
        <v>40</v>
      </c>
      <c r="D6317">
        <v>4.5434330000000003</v>
      </c>
      <c r="E6317">
        <v>0.61083100000000001</v>
      </c>
      <c r="F6317" t="s">
        <v>44</v>
      </c>
      <c r="G6317">
        <v>-295.65410000000003</v>
      </c>
      <c r="H6317">
        <v>-0.05</v>
      </c>
      <c r="I6317">
        <v>2.9617610000000001</v>
      </c>
      <c r="J6317">
        <v>-321.77109999999999</v>
      </c>
      <c r="K6317">
        <v>1.116085</v>
      </c>
      <c r="L6317">
        <v>16.84299</v>
      </c>
      <c r="M6317">
        <v>0.99857099999999999</v>
      </c>
      <c r="N6317">
        <v>-1.402773E-2</v>
      </c>
      <c r="O6317">
        <v>-5.1567479999999999E-2</v>
      </c>
      <c r="P6317">
        <v>0.96226140000000004</v>
      </c>
      <c r="Q6317">
        <v>0.16703809999999999</v>
      </c>
      <c r="R6317">
        <v>-0.21482870000000001</v>
      </c>
      <c r="S6317">
        <v>2.8118590000000001</v>
      </c>
      <c r="T6317">
        <v>-0.1247839</v>
      </c>
      <c r="U6317">
        <v>-1.4864200000000001</v>
      </c>
      <c r="V6317">
        <v>0.167314299999999</v>
      </c>
      <c r="W6317">
        <v>0.17843899999999999</v>
      </c>
      <c r="X6317">
        <v>0.96962130000000002</v>
      </c>
      <c r="Y6317">
        <v>0.42070000000000002</v>
      </c>
      <c r="Z6317">
        <v>-1.043314E-2</v>
      </c>
      <c r="AA6317">
        <v>0.90713980000000005</v>
      </c>
      <c r="AB6317">
        <v>33</v>
      </c>
      <c r="AC6317">
        <v>26.116999999999901</v>
      </c>
      <c r="AD6317">
        <v>-1.166085</v>
      </c>
      <c r="AE6317">
        <v>-13.881228999999999</v>
      </c>
      <c r="AF6317">
        <v>12.496411942575</v>
      </c>
      <c r="AG6317">
        <v>-1.166085</v>
      </c>
      <c r="AH6317">
        <v>26.756545279330201</v>
      </c>
      <c r="AI6317">
        <v>92.261261800805997</v>
      </c>
      <c r="AJ6317">
        <v>64.965482316156894</v>
      </c>
      <c r="AK6317">
        <v>29.553896205925199</v>
      </c>
      <c r="AL6317">
        <v>79.721150929596305</v>
      </c>
      <c r="AM6317">
        <v>80.209661755313803</v>
      </c>
      <c r="AN6317">
        <v>1.0000000085595899</v>
      </c>
    </row>
    <row r="6318" spans="1:40" x14ac:dyDescent="0.25">
      <c r="A6318" t="str">
        <f>"20190303170416063"</f>
        <v>20190303170416063</v>
      </c>
      <c r="B6318" t="str">
        <f>"1551603856052216"</f>
        <v>1551603856052216</v>
      </c>
      <c r="C6318" t="s">
        <v>40</v>
      </c>
      <c r="D6318">
        <v>4.5150379999999997</v>
      </c>
      <c r="E6318">
        <v>0.61075469999999998</v>
      </c>
      <c r="F6318" t="s">
        <v>44</v>
      </c>
      <c r="G6318">
        <v>-295.19850000000002</v>
      </c>
      <c r="H6318">
        <v>-0.05</v>
      </c>
      <c r="I6318">
        <v>2.6276090000000001</v>
      </c>
      <c r="J6318">
        <v>-321.61239999999998</v>
      </c>
      <c r="K6318">
        <v>1.115947</v>
      </c>
      <c r="L6318">
        <v>16.831700000000001</v>
      </c>
      <c r="M6318">
        <v>0.99839409999999895</v>
      </c>
      <c r="N6318">
        <v>-1.4040800000000001E-2</v>
      </c>
      <c r="O6318">
        <v>-5.488138E-2</v>
      </c>
      <c r="P6318">
        <v>0.96115530000000005</v>
      </c>
      <c r="Q6318">
        <v>0.16676629999999901</v>
      </c>
      <c r="R6318">
        <v>-0.2199313</v>
      </c>
      <c r="S6318">
        <v>2.8041079999999998</v>
      </c>
      <c r="T6318">
        <v>-0.1230522</v>
      </c>
      <c r="U6318">
        <v>-1.500092</v>
      </c>
      <c r="V6318">
        <v>0.16929739999999999</v>
      </c>
      <c r="W6318">
        <v>0.17809510000000001</v>
      </c>
      <c r="X6318">
        <v>0.96934030000000004</v>
      </c>
      <c r="Y6318">
        <v>0.42217880000000002</v>
      </c>
      <c r="Z6318">
        <v>-1.030706E-2</v>
      </c>
      <c r="AA6318">
        <v>0.90645399999999998</v>
      </c>
      <c r="AB6318">
        <v>33</v>
      </c>
      <c r="AC6318">
        <v>26.413899999999899</v>
      </c>
      <c r="AD6318">
        <v>-1.1659469999999901</v>
      </c>
      <c r="AE6318">
        <v>-14.204091</v>
      </c>
      <c r="AF6318">
        <v>12.713689729081301</v>
      </c>
      <c r="AG6318">
        <v>-1.1659469999999901</v>
      </c>
      <c r="AH6318">
        <v>27.112722005730902</v>
      </c>
      <c r="AI6318">
        <v>92.229715410909293</v>
      </c>
      <c r="AJ6318">
        <v>64.877193647741905</v>
      </c>
      <c r="AK6318">
        <v>29.968267108630101</v>
      </c>
      <c r="AL6318">
        <v>79.741176087669899</v>
      </c>
      <c r="AM6318">
        <v>80.093091876762699</v>
      </c>
      <c r="AN6318">
        <v>1.0000000457474201</v>
      </c>
    </row>
    <row r="6319" spans="1:40" x14ac:dyDescent="0.25">
      <c r="A6319" t="str">
        <f>"20190303170416074"</f>
        <v>20190303170416074</v>
      </c>
      <c r="B6319" t="str">
        <f>"1551603856061975"</f>
        <v>1551603856061975</v>
      </c>
      <c r="C6319" t="s">
        <v>40</v>
      </c>
      <c r="D6319">
        <v>4.5130780000000001</v>
      </c>
      <c r="E6319">
        <v>0.61059750000000002</v>
      </c>
      <c r="F6319" t="s">
        <v>44</v>
      </c>
      <c r="G6319">
        <v>-294.73430000000002</v>
      </c>
      <c r="H6319">
        <v>-0.05</v>
      </c>
      <c r="I6319">
        <v>2.2703250000000001</v>
      </c>
      <c r="J6319">
        <v>-321.44260000000003</v>
      </c>
      <c r="K6319">
        <v>1.115796</v>
      </c>
      <c r="L6319">
        <v>16.81934</v>
      </c>
      <c r="M6319">
        <v>0.99819060000000004</v>
      </c>
      <c r="N6319">
        <v>-1.4054479999999999E-2</v>
      </c>
      <c r="O6319">
        <v>-5.8464469999999998E-2</v>
      </c>
      <c r="P6319">
        <v>0.95990560000000003</v>
      </c>
      <c r="Q6319">
        <v>0.16598289999999999</v>
      </c>
      <c r="R6319">
        <v>-0.2259013</v>
      </c>
      <c r="S6319">
        <v>2.7957459999999998</v>
      </c>
      <c r="T6319">
        <v>-0.1212772</v>
      </c>
      <c r="U6319">
        <v>-1.514618</v>
      </c>
      <c r="V6319">
        <v>0.17189360000000001</v>
      </c>
      <c r="W6319">
        <v>0.17722470000000001</v>
      </c>
      <c r="X6319">
        <v>0.96904279999999998</v>
      </c>
      <c r="Y6319">
        <v>0.42370970000000002</v>
      </c>
      <c r="Z6319">
        <v>-1.0176610000000001E-2</v>
      </c>
      <c r="AA6319">
        <v>0.90574089999999996</v>
      </c>
      <c r="AB6319">
        <v>33</v>
      </c>
      <c r="AC6319">
        <v>26.708300000000001</v>
      </c>
      <c r="AD6319">
        <v>-1.1657959999999901</v>
      </c>
      <c r="AE6319">
        <v>-14.549014999999899</v>
      </c>
      <c r="AF6319">
        <v>12.943465697447101</v>
      </c>
      <c r="AG6319">
        <v>-1.1657959999999901</v>
      </c>
      <c r="AH6319">
        <v>27.472925586913501</v>
      </c>
      <c r="AI6319">
        <v>92.198351286872693</v>
      </c>
      <c r="AJ6319">
        <v>64.773218995242004</v>
      </c>
      <c r="AK6319">
        <v>30.391676901393499</v>
      </c>
      <c r="AL6319">
        <v>79.791851778221798</v>
      </c>
      <c r="AM6319">
        <v>79.941221805748299</v>
      </c>
      <c r="AN6319">
        <v>0.99999997612144398</v>
      </c>
    </row>
    <row r="6320" spans="1:40" x14ac:dyDescent="0.25">
      <c r="A6320" t="str">
        <f>"20190303170416086"</f>
        <v>20190303170416086</v>
      </c>
      <c r="B6320" t="str">
        <f>"1551603856071735"</f>
        <v>1551603856071735</v>
      </c>
      <c r="C6320" t="s">
        <v>40</v>
      </c>
      <c r="D6320">
        <v>4.5700269999999996</v>
      </c>
      <c r="E6320">
        <v>0.61030879999999998</v>
      </c>
      <c r="F6320" t="s">
        <v>44</v>
      </c>
      <c r="G6320">
        <v>-295.16879999999998</v>
      </c>
      <c r="H6320">
        <v>-0.05</v>
      </c>
      <c r="I6320">
        <v>2.3830260000000001</v>
      </c>
      <c r="J6320">
        <v>-321.27659999999997</v>
      </c>
      <c r="K6320">
        <v>1.1156410000000001</v>
      </c>
      <c r="L6320">
        <v>16.806090000000001</v>
      </c>
      <c r="M6320">
        <v>0.99796870000000004</v>
      </c>
      <c r="N6320">
        <v>-1.407077E-2</v>
      </c>
      <c r="O6320">
        <v>-6.21337E-2</v>
      </c>
      <c r="P6320">
        <v>0.95852289999999996</v>
      </c>
      <c r="Q6320">
        <v>0.16504959999999999</v>
      </c>
      <c r="R6320">
        <v>-0.23236319999999999</v>
      </c>
      <c r="S6320">
        <v>2.786346</v>
      </c>
      <c r="T6320">
        <v>-0.12363300000000001</v>
      </c>
      <c r="U6320">
        <v>-1.530975</v>
      </c>
      <c r="V6320">
        <v>0.17490799999999901</v>
      </c>
      <c r="W6320">
        <v>0.17619589999999999</v>
      </c>
      <c r="X6320">
        <v>0.96869099999999997</v>
      </c>
      <c r="Y6320">
        <v>0.42573719999999998</v>
      </c>
      <c r="Z6320">
        <v>-1.0271580000000001E-2</v>
      </c>
      <c r="AA6320">
        <v>0.90478860000000005</v>
      </c>
      <c r="AB6320">
        <v>33</v>
      </c>
      <c r="AC6320">
        <v>26.107800000000001</v>
      </c>
      <c r="AD6320">
        <v>-1.1656409999999999</v>
      </c>
      <c r="AE6320">
        <v>-14.423064</v>
      </c>
      <c r="AF6320">
        <v>12.753378221744001</v>
      </c>
      <c r="AG6320">
        <v>-1.1656409999999999</v>
      </c>
      <c r="AH6320">
        <v>26.9124899397581</v>
      </c>
      <c r="AI6320">
        <v>92.241408233983904</v>
      </c>
      <c r="AJ6320">
        <v>64.644510508283105</v>
      </c>
      <c r="AK6320">
        <v>29.804185775916</v>
      </c>
      <c r="AL6320">
        <v>79.851740687260104</v>
      </c>
      <c r="AM6320">
        <v>79.764884582034</v>
      </c>
      <c r="AN6320">
        <v>1.0000000285609001</v>
      </c>
    </row>
    <row r="6321" spans="1:40" x14ac:dyDescent="0.25">
      <c r="A6321" t="str">
        <f>"20190303170416098"</f>
        <v>20190303170416098</v>
      </c>
      <c r="B6321" t="str">
        <f>"1551603856092231"</f>
        <v>1551603856092231</v>
      </c>
      <c r="C6321" t="s">
        <v>40</v>
      </c>
      <c r="D6321">
        <v>4.5568519999999904</v>
      </c>
      <c r="E6321">
        <v>0.61019279999999998</v>
      </c>
      <c r="F6321" t="s">
        <v>44</v>
      </c>
      <c r="G6321">
        <v>-296.1454</v>
      </c>
      <c r="H6321">
        <v>-0.05</v>
      </c>
      <c r="I6321">
        <v>2.8035130000000001</v>
      </c>
      <c r="J6321">
        <v>-321.10000000000002</v>
      </c>
      <c r="K6321">
        <v>1.1154569999999999</v>
      </c>
      <c r="L6321">
        <v>16.79166</v>
      </c>
      <c r="M6321">
        <v>0.99771209999999999</v>
      </c>
      <c r="N6321">
        <v>-1.3972729999999999E-2</v>
      </c>
      <c r="O6321">
        <v>-6.6147410000000004E-2</v>
      </c>
      <c r="P6321">
        <v>0.95699520000000005</v>
      </c>
      <c r="Q6321">
        <v>0.16438510000000001</v>
      </c>
      <c r="R6321">
        <v>-0.23903540000000001</v>
      </c>
      <c r="S6321">
        <v>2.7769170000000001</v>
      </c>
      <c r="T6321">
        <v>-0.12879959999999999</v>
      </c>
      <c r="U6321">
        <v>-1.5472410000000001</v>
      </c>
      <c r="V6321">
        <v>0.17781159999999999</v>
      </c>
      <c r="W6321">
        <v>0.1753256</v>
      </c>
      <c r="X6321">
        <v>0.96832019999999996</v>
      </c>
      <c r="Y6321">
        <v>0.42741800000000002</v>
      </c>
      <c r="Z6321">
        <v>-1.0449190000000001E-2</v>
      </c>
      <c r="AA6321">
        <v>0.90399370000000001</v>
      </c>
      <c r="AB6321">
        <v>33</v>
      </c>
      <c r="AC6321">
        <v>24.954599999999999</v>
      </c>
      <c r="AD6321">
        <v>-1.165457</v>
      </c>
      <c r="AE6321">
        <v>-13.988147</v>
      </c>
      <c r="AF6321">
        <v>12.286270457952201</v>
      </c>
      <c r="AG6321">
        <v>-1.165457</v>
      </c>
      <c r="AH6321">
        <v>25.782514305862801</v>
      </c>
      <c r="AI6321">
        <v>92.336766402056796</v>
      </c>
      <c r="AJ6321">
        <v>64.5205660783393</v>
      </c>
      <c r="AK6321">
        <v>28.584065066341001</v>
      </c>
      <c r="AL6321">
        <v>79.902393641682593</v>
      </c>
      <c r="AM6321">
        <v>79.594757471449398</v>
      </c>
      <c r="AN6321">
        <v>1.0000000204189701</v>
      </c>
    </row>
    <row r="6322" spans="1:40" x14ac:dyDescent="0.25">
      <c r="A6322" t="str">
        <f>"20190303170416109"</f>
        <v>20190303170416109</v>
      </c>
      <c r="B6322" t="str">
        <f>"1551603856101991"</f>
        <v>1551603856101991</v>
      </c>
      <c r="C6322" t="s">
        <v>40</v>
      </c>
      <c r="D6322">
        <v>4.5645189999999998</v>
      </c>
      <c r="E6322">
        <v>0.61007739999999999</v>
      </c>
      <c r="F6322" t="s">
        <v>44</v>
      </c>
      <c r="G6322">
        <v>-296.91239999999999</v>
      </c>
      <c r="H6322">
        <v>-0.05</v>
      </c>
      <c r="I6322">
        <v>3.1065520000000002</v>
      </c>
      <c r="J6322">
        <v>-320.92590000000001</v>
      </c>
      <c r="K6322">
        <v>1.1152219999999999</v>
      </c>
      <c r="L6322">
        <v>16.776579999999999</v>
      </c>
      <c r="M6322">
        <v>0.99742580000000003</v>
      </c>
      <c r="N6322">
        <v>-1.353532E-2</v>
      </c>
      <c r="O6322">
        <v>-7.0417800000000003E-2</v>
      </c>
      <c r="P6322">
        <v>0.95538690000000004</v>
      </c>
      <c r="Q6322">
        <v>0.1637846</v>
      </c>
      <c r="R6322">
        <v>-0.24578530000000001</v>
      </c>
      <c r="S6322">
        <v>2.7666930000000001</v>
      </c>
      <c r="T6322">
        <v>-0.1333106</v>
      </c>
      <c r="U6322">
        <v>-1.565369</v>
      </c>
      <c r="V6322">
        <v>0.18053250000000001</v>
      </c>
      <c r="W6322">
        <v>0.17420859999999999</v>
      </c>
      <c r="X6322">
        <v>0.96801820000000005</v>
      </c>
      <c r="Y6322">
        <v>0.42944349999999998</v>
      </c>
      <c r="Z6322">
        <v>-1.048639E-2</v>
      </c>
      <c r="AA6322">
        <v>0.90303279999999997</v>
      </c>
      <c r="AB6322">
        <v>33</v>
      </c>
      <c r="AC6322">
        <v>24.013500000000001</v>
      </c>
      <c r="AD6322">
        <v>-1.165222</v>
      </c>
      <c r="AE6322">
        <v>-13.670028</v>
      </c>
      <c r="AF6322">
        <v>11.9237507551733</v>
      </c>
      <c r="AG6322">
        <v>-1.165222</v>
      </c>
      <c r="AH6322">
        <v>24.8723492507158</v>
      </c>
      <c r="AI6322">
        <v>92.418996116793295</v>
      </c>
      <c r="AJ6322">
        <v>64.387040955159804</v>
      </c>
      <c r="AK6322">
        <v>27.6073782100069</v>
      </c>
      <c r="AL6322">
        <v>79.967392449002304</v>
      </c>
      <c r="AM6322">
        <v>79.435870170991905</v>
      </c>
      <c r="AN6322">
        <v>0.99999992770072199</v>
      </c>
    </row>
    <row r="6323" spans="1:40" x14ac:dyDescent="0.25">
      <c r="A6323" t="str">
        <f>"20190303170416120"</f>
        <v>20190303170416120</v>
      </c>
      <c r="B6323" t="str">
        <f>"1551603856111751"</f>
        <v>1551603856111751</v>
      </c>
      <c r="C6323" t="s">
        <v>40</v>
      </c>
      <c r="D6323">
        <v>4.5444329999999997</v>
      </c>
      <c r="E6323">
        <v>0.61007739999999999</v>
      </c>
      <c r="F6323" t="s">
        <v>44</v>
      </c>
      <c r="G6323">
        <v>-297.37389999999999</v>
      </c>
      <c r="H6323">
        <v>-0.05</v>
      </c>
      <c r="I6323">
        <v>3.2416839999999998</v>
      </c>
      <c r="J6323">
        <v>-320.76909999999998</v>
      </c>
      <c r="K6323">
        <v>1.114995</v>
      </c>
      <c r="L6323">
        <v>16.76239</v>
      </c>
      <c r="M6323">
        <v>0.99714789999999998</v>
      </c>
      <c r="N6323">
        <v>-1.32748E-2</v>
      </c>
      <c r="O6323">
        <v>-7.4296280000000006E-2</v>
      </c>
      <c r="P6323">
        <v>0.95382420000000001</v>
      </c>
      <c r="Q6323">
        <v>0.16367999999999999</v>
      </c>
      <c r="R6323">
        <v>-0.25184980000000001</v>
      </c>
      <c r="S6323">
        <v>2.7560120000000001</v>
      </c>
      <c r="T6323">
        <v>-0.13635229999999901</v>
      </c>
      <c r="U6323">
        <v>-1.5838319999999999</v>
      </c>
      <c r="V6323">
        <v>0.18297060000000001</v>
      </c>
      <c r="W6323">
        <v>0.17375270000000001</v>
      </c>
      <c r="X6323">
        <v>0.96764240000000001</v>
      </c>
      <c r="Y6323">
        <v>0.43197279999999999</v>
      </c>
      <c r="Z6323">
        <v>-1.052165E-2</v>
      </c>
      <c r="AA6323">
        <v>0.90182519999999999</v>
      </c>
      <c r="AB6323">
        <v>33</v>
      </c>
      <c r="AC6323">
        <v>23.3951999999999</v>
      </c>
      <c r="AD6323">
        <v>-1.164995</v>
      </c>
      <c r="AE6323">
        <v>-13.520706000000001</v>
      </c>
      <c r="AF6323">
        <v>11.7232101985363</v>
      </c>
      <c r="AG6323">
        <v>-1.164995</v>
      </c>
      <c r="AH6323">
        <v>24.2900049296248</v>
      </c>
      <c r="AI6323">
        <v>92.473311556439299</v>
      </c>
      <c r="AJ6323">
        <v>64.2364098532057</v>
      </c>
      <c r="AK6323">
        <v>26.996207329739601</v>
      </c>
      <c r="AL6323">
        <v>79.993919149885301</v>
      </c>
      <c r="AM6323">
        <v>79.292415346070698</v>
      </c>
      <c r="AN6323">
        <v>1.0000000277497001</v>
      </c>
    </row>
    <row r="6324" spans="1:40" x14ac:dyDescent="0.25">
      <c r="A6324" t="str">
        <f>"20190303170416132"</f>
        <v>20190303170416132</v>
      </c>
      <c r="B6324" t="str">
        <f>"1551603856122488"</f>
        <v>1551603856122488</v>
      </c>
      <c r="C6324" t="s">
        <v>40</v>
      </c>
      <c r="D6324">
        <v>4.5842450000000001</v>
      </c>
      <c r="E6324">
        <v>0.60988759999999997</v>
      </c>
      <c r="F6324" t="s">
        <v>44</v>
      </c>
      <c r="G6324">
        <v>-297.39170000000001</v>
      </c>
      <c r="H6324">
        <v>-0.05</v>
      </c>
      <c r="I6324">
        <v>3.1299130000000002</v>
      </c>
      <c r="J6324">
        <v>-320.58620000000002</v>
      </c>
      <c r="K6324">
        <v>1.114703</v>
      </c>
      <c r="L6324">
        <v>16.745149999999999</v>
      </c>
      <c r="M6324">
        <v>0.99679879999999998</v>
      </c>
      <c r="N6324">
        <v>-1.312669E-2</v>
      </c>
      <c r="O6324">
        <v>-7.8866629999999993E-2</v>
      </c>
      <c r="P6324">
        <v>0.95206710000000006</v>
      </c>
      <c r="Q6324">
        <v>0.16398389999999999</v>
      </c>
      <c r="R6324">
        <v>-0.25822060000000002</v>
      </c>
      <c r="S6324">
        <v>2.7459410000000002</v>
      </c>
      <c r="T6324">
        <v>-0.13684170000000001</v>
      </c>
      <c r="U6324">
        <v>-1.6012879999999901</v>
      </c>
      <c r="V6324">
        <v>0.1850928</v>
      </c>
      <c r="W6324">
        <v>0.17379259999999999</v>
      </c>
      <c r="X6324">
        <v>0.96723150000000002</v>
      </c>
      <c r="Y6324">
        <v>0.43355460000000001</v>
      </c>
      <c r="Z6324">
        <v>-1.0410910000000001E-2</v>
      </c>
      <c r="AA6324">
        <v>0.90106710000000001</v>
      </c>
      <c r="AB6324">
        <v>33</v>
      </c>
      <c r="AC6324">
        <v>23.194500000000001</v>
      </c>
      <c r="AD6324">
        <v>-1.164703</v>
      </c>
      <c r="AE6324">
        <v>-13.615237</v>
      </c>
      <c r="AF6324">
        <v>11.7214096095635</v>
      </c>
      <c r="AG6324">
        <v>-1.164703</v>
      </c>
      <c r="AH6324">
        <v>24.1508304660817</v>
      </c>
      <c r="AI6324">
        <v>92.484289083635502</v>
      </c>
      <c r="AJ6324">
        <v>64.1107585519254</v>
      </c>
      <c r="AK6324">
        <v>26.8702547162248</v>
      </c>
      <c r="AL6324">
        <v>79.991597383572596</v>
      </c>
      <c r="AM6324">
        <v>79.166651272253105</v>
      </c>
      <c r="AN6324">
        <v>0.99999999350942503</v>
      </c>
    </row>
    <row r="6325" spans="1:40" x14ac:dyDescent="0.25">
      <c r="A6325" t="str">
        <f>"20190303170416146"</f>
        <v>20190303170416146</v>
      </c>
      <c r="B6325" t="str">
        <f>"1551603856131778"</f>
        <v>1551603856131778</v>
      </c>
      <c r="C6325" t="s">
        <v>40</v>
      </c>
      <c r="D6325">
        <v>4.5670349999999997</v>
      </c>
      <c r="E6325">
        <v>0.60988759999999997</v>
      </c>
      <c r="F6325" t="s">
        <v>44</v>
      </c>
      <c r="G6325">
        <v>-297.26650000000001</v>
      </c>
      <c r="H6325">
        <v>-0.05</v>
      </c>
      <c r="I6325">
        <v>2.9495239999999998</v>
      </c>
      <c r="J6325">
        <v>-320.4006</v>
      </c>
      <c r="K6325">
        <v>1.114401</v>
      </c>
      <c r="L6325">
        <v>16.726500000000001</v>
      </c>
      <c r="M6325">
        <v>0.99641009999999997</v>
      </c>
      <c r="N6325">
        <v>-1.3267569999999999E-2</v>
      </c>
      <c r="O6325">
        <v>-8.3612549999999994E-2</v>
      </c>
      <c r="P6325">
        <v>0.95017149999999995</v>
      </c>
      <c r="Q6325">
        <v>0.16449520000000001</v>
      </c>
      <c r="R6325">
        <v>-0.26479370000000002</v>
      </c>
      <c r="S6325">
        <v>2.7355960000000001</v>
      </c>
      <c r="T6325">
        <v>-0.136629799999999</v>
      </c>
      <c r="U6325">
        <v>-1.618347</v>
      </c>
      <c r="V6325">
        <v>0.18727240000000001</v>
      </c>
      <c r="W6325">
        <v>0.17431479999999999</v>
      </c>
      <c r="X6325">
        <v>0.96671779999999996</v>
      </c>
      <c r="Y6325">
        <v>0.43491809999999997</v>
      </c>
      <c r="Z6325">
        <v>-1.0343450000000001E-2</v>
      </c>
      <c r="AA6325">
        <v>0.90041059999999995</v>
      </c>
      <c r="AB6325">
        <v>33</v>
      </c>
      <c r="AC6325">
        <v>23.134099999999901</v>
      </c>
      <c r="AD6325">
        <v>-1.164401</v>
      </c>
      <c r="AE6325">
        <v>-13.776975999999999</v>
      </c>
      <c r="AF6325">
        <v>11.772238387183799</v>
      </c>
      <c r="AG6325">
        <v>-1.164401</v>
      </c>
      <c r="AH6325">
        <v>24.159925130436399</v>
      </c>
      <c r="AI6325">
        <v>92.480839150312306</v>
      </c>
      <c r="AJ6325">
        <v>64.021737554064401</v>
      </c>
      <c r="AK6325">
        <v>26.900620971304399</v>
      </c>
      <c r="AL6325">
        <v>79.961213345991894</v>
      </c>
      <c r="AM6325">
        <v>79.036469844973197</v>
      </c>
      <c r="AN6325">
        <v>0.99999995306881795</v>
      </c>
    </row>
    <row r="6326" spans="1:40" x14ac:dyDescent="0.25">
      <c r="A6326" t="str">
        <f>"20190303170416161"</f>
        <v>20190303170416161</v>
      </c>
      <c r="B6326" t="str">
        <f>"1551603856152275"</f>
        <v>1551603856152275</v>
      </c>
      <c r="C6326" t="s">
        <v>40</v>
      </c>
      <c r="D6326">
        <v>4.5889129999999998</v>
      </c>
      <c r="E6326">
        <v>0.60897999999999997</v>
      </c>
      <c r="F6326" t="s">
        <v>44</v>
      </c>
      <c r="G6326">
        <v>-296.8741</v>
      </c>
      <c r="H6326">
        <v>-0.05</v>
      </c>
      <c r="I6326">
        <v>2.585464</v>
      </c>
      <c r="J6326">
        <v>-320.17500000000001</v>
      </c>
      <c r="K6326">
        <v>1.1139460000000001</v>
      </c>
      <c r="L6326">
        <v>16.702909999999999</v>
      </c>
      <c r="M6326">
        <v>0.99589039999999995</v>
      </c>
      <c r="N6326">
        <v>-1.357879E-2</v>
      </c>
      <c r="O6326">
        <v>-8.954297E-2</v>
      </c>
      <c r="P6326">
        <v>0.94779570000000002</v>
      </c>
      <c r="Q6326">
        <v>0.16528509999999999</v>
      </c>
      <c r="R6326">
        <v>-0.27269759999999998</v>
      </c>
      <c r="S6326">
        <v>2.724335</v>
      </c>
      <c r="T6326">
        <v>-0.13483580000000001</v>
      </c>
      <c r="U6326">
        <v>-1.6375120000000001</v>
      </c>
      <c r="V6326">
        <v>0.18971260000000001</v>
      </c>
      <c r="W6326">
        <v>0.1752406</v>
      </c>
      <c r="X6326">
        <v>0.96607449999999995</v>
      </c>
      <c r="Y6326">
        <v>0.43586219999999998</v>
      </c>
      <c r="Z6326">
        <v>-1.0211970000000001E-2</v>
      </c>
      <c r="AA6326">
        <v>0.89995550000000002</v>
      </c>
      <c r="AB6326">
        <v>33</v>
      </c>
      <c r="AC6326">
        <v>23.300899999999999</v>
      </c>
      <c r="AD6326">
        <v>-1.1639459999999999</v>
      </c>
      <c r="AE6326">
        <v>-14.117445999999999</v>
      </c>
      <c r="AF6326">
        <v>11.952284998559801</v>
      </c>
      <c r="AG6326">
        <v>-1.1639459999999999</v>
      </c>
      <c r="AH6326">
        <v>24.426931152205398</v>
      </c>
      <c r="AI6326">
        <v>92.450823107289693</v>
      </c>
      <c r="AJ6326">
        <v>63.927141712764602</v>
      </c>
      <c r="AK6326">
        <v>27.2192368095121</v>
      </c>
      <c r="AL6326">
        <v>79.907340557380806</v>
      </c>
      <c r="AM6326">
        <v>78.889930865626297</v>
      </c>
      <c r="AN6326">
        <v>1.0000000390186801</v>
      </c>
    </row>
    <row r="6327" spans="1:40" x14ac:dyDescent="0.25">
      <c r="A6327" t="str">
        <f>"20190303170416175"</f>
        <v>20190303170416175</v>
      </c>
      <c r="B6327" t="str">
        <f>"1551603856162035"</f>
        <v>1551603856162035</v>
      </c>
      <c r="C6327" t="s">
        <v>40</v>
      </c>
      <c r="D6327">
        <v>4.5967739999999999</v>
      </c>
      <c r="E6327">
        <v>0.60897999999999997</v>
      </c>
      <c r="F6327" t="s">
        <v>44</v>
      </c>
      <c r="G6327">
        <v>-296.75220000000002</v>
      </c>
      <c r="H6327">
        <v>-0.05</v>
      </c>
      <c r="I6327">
        <v>2.4319920000000002</v>
      </c>
      <c r="J6327">
        <v>-319.95209999999997</v>
      </c>
      <c r="K6327">
        <v>1.1133379999999999</v>
      </c>
      <c r="L6327">
        <v>16.67841</v>
      </c>
      <c r="M6327">
        <v>0.99531860000000005</v>
      </c>
      <c r="N6327">
        <v>-1.39965E-2</v>
      </c>
      <c r="O6327">
        <v>-9.562872E-2</v>
      </c>
      <c r="P6327">
        <v>0.94422470000000003</v>
      </c>
      <c r="Q6327">
        <v>0.16551250000000001</v>
      </c>
      <c r="R6327">
        <v>-0.28468459999999901</v>
      </c>
      <c r="S6327">
        <v>2.7131349999999999</v>
      </c>
      <c r="T6327">
        <v>-0.13482359999999999</v>
      </c>
      <c r="U6327">
        <v>-1.653046</v>
      </c>
      <c r="V6327">
        <v>0.1962045</v>
      </c>
      <c r="W6327">
        <v>0.17559829999999901</v>
      </c>
      <c r="X6327">
        <v>0.96471189999999996</v>
      </c>
      <c r="Y6327">
        <v>0.43576379999999998</v>
      </c>
      <c r="Z6327">
        <v>-1.016366E-2</v>
      </c>
      <c r="AA6327">
        <v>0.90000369999999996</v>
      </c>
      <c r="AB6327">
        <v>33</v>
      </c>
      <c r="AC6327">
        <v>23.1998999999999</v>
      </c>
      <c r="AD6327">
        <v>-1.163338</v>
      </c>
      <c r="AE6327">
        <v>-14.246417999999901</v>
      </c>
      <c r="AF6327">
        <v>11.940518348585099</v>
      </c>
      <c r="AG6327">
        <v>-1.163338</v>
      </c>
      <c r="AH6327">
        <v>24.4114827919806</v>
      </c>
      <c r="AI6327">
        <v>92.451259285475899</v>
      </c>
      <c r="AJ6327">
        <v>63.935110244226301</v>
      </c>
      <c r="AK6327">
        <v>27.200180621428</v>
      </c>
      <c r="AL6327">
        <v>79.886522754381105</v>
      </c>
      <c r="AM6327">
        <v>78.503898364940895</v>
      </c>
      <c r="AN6327">
        <v>1.00000000939237</v>
      </c>
    </row>
    <row r="6328" spans="1:40" x14ac:dyDescent="0.25">
      <c r="A6328" t="str">
        <f>"20190303170416187"</f>
        <v>20190303170416187</v>
      </c>
      <c r="B6328" t="str">
        <f>"1551603856171794"</f>
        <v>1551603856171794</v>
      </c>
      <c r="C6328" t="s">
        <v>40</v>
      </c>
      <c r="D6328">
        <v>4.5828350000000002</v>
      </c>
      <c r="E6328">
        <v>0.60309380000000001</v>
      </c>
      <c r="F6328" t="s">
        <v>44</v>
      </c>
      <c r="G6328">
        <v>-296.72710000000001</v>
      </c>
      <c r="H6328">
        <v>-0.05</v>
      </c>
      <c r="I6328">
        <v>2.1258849999999998</v>
      </c>
      <c r="J6328">
        <v>-319.7774</v>
      </c>
      <c r="K6328">
        <v>1.1126750000000001</v>
      </c>
      <c r="L6328">
        <v>16.657779999999999</v>
      </c>
      <c r="M6328">
        <v>0.99483900000000003</v>
      </c>
      <c r="N6328">
        <v>-1.449405E-2</v>
      </c>
      <c r="O6328">
        <v>-0.10042570000000001</v>
      </c>
      <c r="P6328">
        <v>0.94198329999999997</v>
      </c>
      <c r="Q6328">
        <v>0.16436589999999901</v>
      </c>
      <c r="R6328">
        <v>-0.292662799999999</v>
      </c>
      <c r="S6328">
        <v>2.6922299999999999</v>
      </c>
      <c r="T6328">
        <v>-0.13485349999999999</v>
      </c>
      <c r="U6328">
        <v>-1.68692</v>
      </c>
      <c r="V6328">
        <v>0.1998211</v>
      </c>
      <c r="W6328">
        <v>0.1747129</v>
      </c>
      <c r="X6328">
        <v>0.96413020000000005</v>
      </c>
      <c r="Y6328">
        <v>0.44267339999999999</v>
      </c>
      <c r="Z6328">
        <v>-1.0415509999999999E-2</v>
      </c>
      <c r="AA6328">
        <v>0.89662240000000004</v>
      </c>
      <c r="AB6328">
        <v>33</v>
      </c>
      <c r="AC6328">
        <v>23.0503</v>
      </c>
      <c r="AD6328">
        <v>-1.1626749999999999</v>
      </c>
      <c r="AE6328">
        <v>-14.531895</v>
      </c>
      <c r="AF6328">
        <v>12.1212602704483</v>
      </c>
      <c r="AG6328">
        <v>-1.1626749999999999</v>
      </c>
      <c r="AH6328">
        <v>24.348944353892701</v>
      </c>
      <c r="AI6328">
        <v>92.447713869434693</v>
      </c>
      <c r="AJ6328">
        <v>63.5352071988329</v>
      </c>
      <c r="AK6328">
        <v>27.224030833962399</v>
      </c>
      <c r="AL6328">
        <v>79.938049469026893</v>
      </c>
      <c r="AM6328">
        <v>78.290920868163994</v>
      </c>
      <c r="AN6328">
        <v>1.0000000559918201</v>
      </c>
    </row>
    <row r="6329" spans="1:40" x14ac:dyDescent="0.25">
      <c r="A6329" t="str">
        <f>"20190303170416199"</f>
        <v>20190303170416199</v>
      </c>
      <c r="B6329" t="str">
        <f>"1551603856192290"</f>
        <v>1551603856192290</v>
      </c>
      <c r="C6329" t="s">
        <v>40</v>
      </c>
      <c r="D6329">
        <v>4.6106559999999996</v>
      </c>
      <c r="E6329">
        <v>0.60244219999999904</v>
      </c>
      <c r="F6329" t="s">
        <v>44</v>
      </c>
      <c r="G6329">
        <v>-299.13580000000002</v>
      </c>
      <c r="H6329">
        <v>-0.05</v>
      </c>
      <c r="I6329">
        <v>3.902145</v>
      </c>
      <c r="J6329">
        <v>-319.60610000000003</v>
      </c>
      <c r="K6329">
        <v>1.111974</v>
      </c>
      <c r="L6329">
        <v>16.63702</v>
      </c>
      <c r="M6329">
        <v>0.99434940000000005</v>
      </c>
      <c r="N6329">
        <v>-1.504906E-2</v>
      </c>
      <c r="O6329">
        <v>-0.10508679999999999</v>
      </c>
      <c r="P6329">
        <v>0.93986060000000005</v>
      </c>
      <c r="Q6329">
        <v>0.1624989</v>
      </c>
      <c r="R6329">
        <v>-0.30042760000000002</v>
      </c>
      <c r="S6329">
        <v>2.6940309999999998</v>
      </c>
      <c r="T6329">
        <v>-0.15174599999999999</v>
      </c>
      <c r="U6329">
        <v>-1.664795</v>
      </c>
      <c r="V6329">
        <v>0.20333970000000001</v>
      </c>
      <c r="W6329">
        <v>0.17315820000000001</v>
      </c>
      <c r="X6329">
        <v>0.96367480000000005</v>
      </c>
      <c r="Y6329">
        <v>0.43276880000000001</v>
      </c>
      <c r="Z6329">
        <v>-1.0797299999999999E-2</v>
      </c>
      <c r="AA6329">
        <v>0.90144029999999997</v>
      </c>
      <c r="AB6329">
        <v>33</v>
      </c>
      <c r="AC6329">
        <v>20.470300000000002</v>
      </c>
      <c r="AD6329">
        <v>-1.1619740000000001</v>
      </c>
      <c r="AE6329">
        <v>-12.734875000000001</v>
      </c>
      <c r="AF6329">
        <v>10.4885796560653</v>
      </c>
      <c r="AG6329">
        <v>-1.1619740000000001</v>
      </c>
      <c r="AH6329">
        <v>21.645067188471799</v>
      </c>
      <c r="AI6329">
        <v>92.765811772389696</v>
      </c>
      <c r="AJ6329">
        <v>64.146500516148194</v>
      </c>
      <c r="AK6329">
        <v>24.080477993008401</v>
      </c>
      <c r="AL6329">
        <v>80.028505061368904</v>
      </c>
      <c r="AM6329">
        <v>78.085110431715805</v>
      </c>
      <c r="AN6329">
        <v>0.99999995798918395</v>
      </c>
    </row>
    <row r="6330" spans="1:40" x14ac:dyDescent="0.25">
      <c r="A6330" t="str">
        <f>"20190303170416209"</f>
        <v>20190303170416209</v>
      </c>
      <c r="B6330" t="str">
        <f>"1551603856202051"</f>
        <v>1551603856202051</v>
      </c>
      <c r="C6330" t="s">
        <v>40</v>
      </c>
      <c r="D6330">
        <v>4.6300150000000002</v>
      </c>
      <c r="E6330">
        <v>0.60220209999999996</v>
      </c>
      <c r="F6330" t="s">
        <v>44</v>
      </c>
      <c r="G6330">
        <v>-300.0539</v>
      </c>
      <c r="H6330">
        <v>-0.05</v>
      </c>
      <c r="I6330">
        <v>4.3742979999999996</v>
      </c>
      <c r="J6330">
        <v>-319.44819999999999</v>
      </c>
      <c r="K6330">
        <v>1.111243</v>
      </c>
      <c r="L6330">
        <v>16.616969999999998</v>
      </c>
      <c r="M6330">
        <v>0.99388469999999995</v>
      </c>
      <c r="N6330">
        <v>-1.5676550000000001E-2</v>
      </c>
      <c r="O6330">
        <v>-0.1093041</v>
      </c>
      <c r="P6330">
        <v>0.93790839999999998</v>
      </c>
      <c r="Q6330">
        <v>0.16047809999999901</v>
      </c>
      <c r="R6330">
        <v>-0.30752980000000002</v>
      </c>
      <c r="S6330">
        <v>2.681854</v>
      </c>
      <c r="T6330">
        <v>-0.1593812</v>
      </c>
      <c r="U6330">
        <v>-1.682007</v>
      </c>
      <c r="V6330">
        <v>0.2066096</v>
      </c>
      <c r="W6330">
        <v>0.1715245</v>
      </c>
      <c r="X6330">
        <v>0.9632714</v>
      </c>
      <c r="Y6330">
        <v>0.43487320000000002</v>
      </c>
      <c r="Z6330">
        <v>-1.1227610000000001E-2</v>
      </c>
      <c r="AA6330">
        <v>0.90042169999999899</v>
      </c>
      <c r="AB6330">
        <v>33</v>
      </c>
      <c r="AC6330">
        <v>19.394299999999902</v>
      </c>
      <c r="AD6330">
        <v>-1.161243</v>
      </c>
      <c r="AE6330">
        <v>-12.242672000000001</v>
      </c>
      <c r="AF6330">
        <v>10.0234673880959</v>
      </c>
      <c r="AG6330">
        <v>-1.161243</v>
      </c>
      <c r="AH6330">
        <v>20.563690245371699</v>
      </c>
      <c r="AI6330">
        <v>92.905916584643805</v>
      </c>
      <c r="AJ6330">
        <v>64.013764256722794</v>
      </c>
      <c r="AK6330">
        <v>22.905976082517601</v>
      </c>
      <c r="AL6330">
        <v>80.123531312722506</v>
      </c>
      <c r="AM6330">
        <v>77.894193718154199</v>
      </c>
      <c r="AN6330">
        <v>0.99999998548518398</v>
      </c>
    </row>
    <row r="6331" spans="1:40" x14ac:dyDescent="0.25">
      <c r="A6331" t="str">
        <f>"20190303170416220"</f>
        <v>20190303170416220</v>
      </c>
      <c r="B6331" t="str">
        <f>"1551603856211810"</f>
        <v>1551603856211810</v>
      </c>
      <c r="C6331" t="s">
        <v>40</v>
      </c>
      <c r="D6331">
        <v>4.6035349999999999</v>
      </c>
      <c r="E6331">
        <v>0.60187469999999998</v>
      </c>
      <c r="F6331" t="s">
        <v>44</v>
      </c>
      <c r="G6331">
        <v>-300.95999999999998</v>
      </c>
      <c r="H6331">
        <v>-0.05</v>
      </c>
      <c r="I6331">
        <v>4.8383789999999998</v>
      </c>
      <c r="J6331">
        <v>-319.2955</v>
      </c>
      <c r="K6331">
        <v>1.110476</v>
      </c>
      <c r="L6331">
        <v>16.596829999999901</v>
      </c>
      <c r="M6331">
        <v>0.99341789999999996</v>
      </c>
      <c r="N6331">
        <v>-1.633074E-2</v>
      </c>
      <c r="O6331">
        <v>-0.1133781</v>
      </c>
      <c r="P6331">
        <v>0.93610170000000004</v>
      </c>
      <c r="Q6331">
        <v>0.1590242</v>
      </c>
      <c r="R6331">
        <v>-0.31372800000000001</v>
      </c>
      <c r="S6331">
        <v>2.6696170000000001</v>
      </c>
      <c r="T6331">
        <v>-0.16767839999999901</v>
      </c>
      <c r="U6331">
        <v>-1.7007749999999999</v>
      </c>
      <c r="V6331">
        <v>0.20911550000000001</v>
      </c>
      <c r="W6331">
        <v>0.1704985</v>
      </c>
      <c r="X6331">
        <v>0.96291269999999995</v>
      </c>
      <c r="Y6331">
        <v>0.43748090000000001</v>
      </c>
      <c r="Z6331">
        <v>-1.170676E-2</v>
      </c>
      <c r="AA6331">
        <v>0.89915149999999999</v>
      </c>
      <c r="AB6331">
        <v>33</v>
      </c>
      <c r="AC6331">
        <v>18.3355</v>
      </c>
      <c r="AD6331">
        <v>-1.1604760000000001</v>
      </c>
      <c r="AE6331">
        <v>-11.7584509999999</v>
      </c>
      <c r="AF6331">
        <v>9.5763084396627107</v>
      </c>
      <c r="AG6331">
        <v>-1.1604760000000001</v>
      </c>
      <c r="AH6331">
        <v>19.495231779415601</v>
      </c>
      <c r="AI6331">
        <v>93.058306585951698</v>
      </c>
      <c r="AJ6331">
        <v>63.839135910770402</v>
      </c>
      <c r="AK6331">
        <v>21.751240194785801</v>
      </c>
      <c r="AL6331">
        <v>80.183195341996097</v>
      </c>
      <c r="AM6331">
        <v>77.747348705745793</v>
      </c>
      <c r="AN6331">
        <v>0.99999994933189296</v>
      </c>
    </row>
    <row r="6332" spans="1:40" x14ac:dyDescent="0.25">
      <c r="A6332" t="str">
        <f>"20190303170416230"</f>
        <v>20190303170416230</v>
      </c>
      <c r="B6332" t="str">
        <f>"1551603856221570"</f>
        <v>1551603856221570</v>
      </c>
      <c r="C6332" t="s">
        <v>40</v>
      </c>
      <c r="D6332">
        <v>4.6096209999999997</v>
      </c>
      <c r="E6332">
        <v>0.60187469999999998</v>
      </c>
      <c r="F6332" t="s">
        <v>44</v>
      </c>
      <c r="G6332">
        <v>-301.42759999999998</v>
      </c>
      <c r="H6332">
        <v>-0.05</v>
      </c>
      <c r="I6332">
        <v>5.0613400000000004</v>
      </c>
      <c r="J6332">
        <v>-319.1413</v>
      </c>
      <c r="K6332">
        <v>1.109648</v>
      </c>
      <c r="L6332">
        <v>16.575779999999899</v>
      </c>
      <c r="M6332">
        <v>0.9929287</v>
      </c>
      <c r="N6332">
        <v>-1.703727E-2</v>
      </c>
      <c r="O6332">
        <v>-0.1174839</v>
      </c>
      <c r="P6332">
        <v>0.93437190000000003</v>
      </c>
      <c r="Q6332">
        <v>0.15788279999999999</v>
      </c>
      <c r="R6332">
        <v>-0.3194091</v>
      </c>
      <c r="S6332">
        <v>2.6588129999999999</v>
      </c>
      <c r="T6332">
        <v>-0.1726828</v>
      </c>
      <c r="U6332">
        <v>-1.7165220000000001</v>
      </c>
      <c r="V6332">
        <v>0.2110802</v>
      </c>
      <c r="W6332">
        <v>0.16984160000000001</v>
      </c>
      <c r="X6332">
        <v>0.96260009999999996</v>
      </c>
      <c r="Y6332">
        <v>0.43913560000000001</v>
      </c>
      <c r="Z6332">
        <v>-1.203952E-2</v>
      </c>
      <c r="AA6332">
        <v>0.89834009999999997</v>
      </c>
      <c r="AB6332">
        <v>33</v>
      </c>
      <c r="AC6332">
        <v>17.713699999999999</v>
      </c>
      <c r="AD6332">
        <v>-1.159648</v>
      </c>
      <c r="AE6332">
        <v>-11.514439999999899</v>
      </c>
      <c r="AF6332">
        <v>9.3252053866838605</v>
      </c>
      <c r="AG6332">
        <v>-1.159648</v>
      </c>
      <c r="AH6332">
        <v>18.887047936579702</v>
      </c>
      <c r="AI6332">
        <v>93.151197831088297</v>
      </c>
      <c r="AJ6332">
        <v>63.722812894871403</v>
      </c>
      <c r="AK6332">
        <v>21.095611362233701</v>
      </c>
      <c r="AL6332">
        <v>80.221390386981</v>
      </c>
      <c r="AM6332">
        <v>77.6318649134803</v>
      </c>
      <c r="AN6332">
        <v>0.99999998622130404</v>
      </c>
    </row>
    <row r="6333" spans="1:40" x14ac:dyDescent="0.25">
      <c r="A6333" t="str">
        <f>"20190303170416256"</f>
        <v>20190303170416256</v>
      </c>
      <c r="B6333" t="str">
        <f>"1551603856241600"</f>
        <v>1551603856241600</v>
      </c>
      <c r="C6333" t="s">
        <v>40</v>
      </c>
      <c r="D6333">
        <v>4.6299700000000001</v>
      </c>
      <c r="E6333">
        <v>0.59649490000000005</v>
      </c>
      <c r="F6333" t="s">
        <v>44</v>
      </c>
      <c r="G6333">
        <v>-301.5899</v>
      </c>
      <c r="H6333">
        <v>-0.05</v>
      </c>
      <c r="I6333">
        <v>5.0855560000000004</v>
      </c>
      <c r="J6333">
        <v>-318.78769999999997</v>
      </c>
      <c r="K6333">
        <v>1.1076520000000001</v>
      </c>
      <c r="L6333">
        <v>16.524539999999998</v>
      </c>
      <c r="M6333">
        <v>0.99168259999999997</v>
      </c>
      <c r="N6333">
        <v>-1.883195E-2</v>
      </c>
      <c r="O6333">
        <v>-0.12732280000000001</v>
      </c>
      <c r="P6333">
        <v>0.9308478</v>
      </c>
      <c r="Q6333">
        <v>0.15630260000000001</v>
      </c>
      <c r="R6333">
        <v>-0.33029130000000001</v>
      </c>
      <c r="S6333">
        <v>2.6477360000000001</v>
      </c>
      <c r="T6333">
        <v>-0.1749396</v>
      </c>
      <c r="U6333">
        <v>-1.733368</v>
      </c>
      <c r="V6333">
        <v>0.21299760000000001</v>
      </c>
      <c r="W6333">
        <v>0.169627799999999</v>
      </c>
      <c r="X6333">
        <v>0.96221540000000005</v>
      </c>
      <c r="Y6333">
        <v>0.43591259999999998</v>
      </c>
      <c r="Z6333">
        <v>-1.2225649999999999E-2</v>
      </c>
      <c r="AA6333">
        <v>0.89990599999999998</v>
      </c>
      <c r="AB6333">
        <v>33</v>
      </c>
      <c r="AC6333">
        <v>17.197799999999901</v>
      </c>
      <c r="AD6333">
        <v>-1.1576519999999999</v>
      </c>
      <c r="AE6333">
        <v>-11.4389839999999</v>
      </c>
      <c r="AF6333">
        <v>9.1271207290792908</v>
      </c>
      <c r="AG6333">
        <v>-1.1576519999999999</v>
      </c>
      <c r="AH6333">
        <v>18.456505839986001</v>
      </c>
      <c r="AI6333">
        <v>93.218013850122006</v>
      </c>
      <c r="AJ6333">
        <v>63.6866601074546</v>
      </c>
      <c r="AK6333">
        <v>20.6224901206845</v>
      </c>
      <c r="AL6333">
        <v>80.233820943172205</v>
      </c>
      <c r="AM6333">
        <v>77.518187017080194</v>
      </c>
      <c r="AN6333">
        <v>1.00000002206787</v>
      </c>
    </row>
    <row r="6334" spans="1:40" x14ac:dyDescent="0.25">
      <c r="A6334" t="str">
        <f>"20190303170416266"</f>
        <v>20190303170416266</v>
      </c>
      <c r="B6334" t="str">
        <f>"1551603856252336"</f>
        <v>1551603856252336</v>
      </c>
      <c r="C6334" t="s">
        <v>40</v>
      </c>
      <c r="D6334">
        <v>4.625343</v>
      </c>
      <c r="E6334">
        <v>0.59661229999999998</v>
      </c>
      <c r="F6334" t="s">
        <v>44</v>
      </c>
      <c r="G6334">
        <v>-302.65820000000002</v>
      </c>
      <c r="H6334">
        <v>-0.05</v>
      </c>
      <c r="I6334">
        <v>5.9997249999999998</v>
      </c>
      <c r="J6334">
        <v>-318.60579999999999</v>
      </c>
      <c r="K6334">
        <v>1.1066240000000001</v>
      </c>
      <c r="L6334">
        <v>16.496120000000001</v>
      </c>
      <c r="M6334">
        <v>0.99086859999999999</v>
      </c>
      <c r="N6334">
        <v>-1.9633370000000001E-2</v>
      </c>
      <c r="O6334">
        <v>-0.13339509999999999</v>
      </c>
      <c r="P6334">
        <v>0.92729159999999999</v>
      </c>
      <c r="Q6334">
        <v>0.156659299999999</v>
      </c>
      <c r="R6334">
        <v>-0.33998260000000002</v>
      </c>
      <c r="S6334">
        <v>2.6428219999999998</v>
      </c>
      <c r="T6334">
        <v>-0.18968109999999999</v>
      </c>
      <c r="U6334">
        <v>-1.7244870000000001</v>
      </c>
      <c r="V6334">
        <v>0.21725749999999999</v>
      </c>
      <c r="W6334">
        <v>0.17054449999999999</v>
      </c>
      <c r="X6334">
        <v>0.96110030000000002</v>
      </c>
      <c r="Y6334">
        <v>0.42892839999999999</v>
      </c>
      <c r="Z6334">
        <v>-1.241186E-2</v>
      </c>
      <c r="AA6334">
        <v>0.90325330000000004</v>
      </c>
      <c r="AB6334">
        <v>32</v>
      </c>
      <c r="AC6334">
        <v>15.9475999999999</v>
      </c>
      <c r="AD6334">
        <v>-1.1566239999999901</v>
      </c>
      <c r="AE6334">
        <v>-10.496395</v>
      </c>
      <c r="AF6334">
        <v>8.2445513267013393</v>
      </c>
      <c r="AG6334">
        <v>-1.1566239999999901</v>
      </c>
      <c r="AH6334">
        <v>17.1425414368567</v>
      </c>
      <c r="AI6334">
        <v>93.479545894188902</v>
      </c>
      <c r="AJ6334">
        <v>64.3151900848721</v>
      </c>
      <c r="AK6334">
        <v>19.0572068407293</v>
      </c>
      <c r="AL6334">
        <v>80.1805212343031</v>
      </c>
      <c r="AM6334">
        <v>77.262323626072501</v>
      </c>
      <c r="AN6334">
        <v>1.0000000172232899</v>
      </c>
    </row>
    <row r="6335" spans="1:40" x14ac:dyDescent="0.25">
      <c r="A6335" t="str">
        <f>"20190303170416276"</f>
        <v>20190303170416276</v>
      </c>
      <c r="B6335" t="str">
        <f>"1551603856262096"</f>
        <v>1551603856262096</v>
      </c>
      <c r="C6335" t="s">
        <v>40</v>
      </c>
      <c r="D6335">
        <v>4.6669199999999904</v>
      </c>
      <c r="E6335">
        <v>0.5962132</v>
      </c>
      <c r="F6335" t="s">
        <v>44</v>
      </c>
      <c r="G6335">
        <v>-302.8322</v>
      </c>
      <c r="H6335">
        <v>-0.05</v>
      </c>
      <c r="I6335">
        <v>5.970383</v>
      </c>
      <c r="J6335">
        <v>-318.47489999999999</v>
      </c>
      <c r="K6335">
        <v>1.1058650000000001</v>
      </c>
      <c r="L6335">
        <v>16.475429999999999</v>
      </c>
      <c r="M6335">
        <v>0.99025070000000004</v>
      </c>
      <c r="N6335">
        <v>-2.019458E-2</v>
      </c>
      <c r="O6335">
        <v>-0.137826</v>
      </c>
      <c r="P6335">
        <v>0.92445449999999996</v>
      </c>
      <c r="Q6335">
        <v>0.15633639999999999</v>
      </c>
      <c r="R6335">
        <v>-0.34776889999999999</v>
      </c>
      <c r="S6335">
        <v>2.6254270000000002</v>
      </c>
      <c r="T6335">
        <v>-0.19251380000000001</v>
      </c>
      <c r="U6335">
        <v>-1.7519530000000001</v>
      </c>
      <c r="V6335">
        <v>0.2211031</v>
      </c>
      <c r="W6335">
        <v>0.17058400000000001</v>
      </c>
      <c r="X6335">
        <v>0.96021590000000001</v>
      </c>
      <c r="Y6335">
        <v>0.4341391</v>
      </c>
      <c r="Z6335">
        <v>-1.2744449999999999E-2</v>
      </c>
      <c r="AA6335">
        <v>0.90075570000000005</v>
      </c>
      <c r="AB6335">
        <v>32</v>
      </c>
      <c r="AC6335">
        <v>15.6426999999999</v>
      </c>
      <c r="AD6335">
        <v>-1.1558649999999999</v>
      </c>
      <c r="AE6335">
        <v>-10.505046999999999</v>
      </c>
      <c r="AF6335">
        <v>8.2174188671906307</v>
      </c>
      <c r="AG6335">
        <v>-1.1558649999999999</v>
      </c>
      <c r="AH6335">
        <v>16.8780052687402</v>
      </c>
      <c r="AI6335">
        <v>93.523450237175098</v>
      </c>
      <c r="AJ6335">
        <v>64.039871656914499</v>
      </c>
      <c r="AK6335">
        <v>18.807686157225898</v>
      </c>
      <c r="AL6335">
        <v>80.178224503806902</v>
      </c>
      <c r="AM6335">
        <v>77.032873257005093</v>
      </c>
      <c r="AN6335">
        <v>1.0000000282492001</v>
      </c>
    </row>
    <row r="6336" spans="1:40" x14ac:dyDescent="0.25">
      <c r="A6336" t="str">
        <f>"20190303170416287"</f>
        <v>20190303170416287</v>
      </c>
      <c r="B6336" t="str">
        <f>"1551603856281616"</f>
        <v>1551603856281616</v>
      </c>
      <c r="C6336" t="s">
        <v>40</v>
      </c>
      <c r="D6336">
        <v>4.6406400000000003</v>
      </c>
      <c r="E6336">
        <v>0.59563379999999999</v>
      </c>
      <c r="F6336" t="s">
        <v>44</v>
      </c>
      <c r="G6336">
        <v>-302.94029999999998</v>
      </c>
      <c r="H6336">
        <v>-0.05</v>
      </c>
      <c r="I6336">
        <v>5.9489900000000002</v>
      </c>
      <c r="J6336">
        <v>-318.30709999999999</v>
      </c>
      <c r="K6336">
        <v>1.1047849999999999</v>
      </c>
      <c r="L6336">
        <v>16.447569999999999</v>
      </c>
      <c r="M6336">
        <v>0.98937319999999995</v>
      </c>
      <c r="N6336">
        <v>-2.0818730000000001E-2</v>
      </c>
      <c r="O6336">
        <v>-0.14390059999999999</v>
      </c>
      <c r="P6336">
        <v>0.92124859999999997</v>
      </c>
      <c r="Q6336">
        <v>0.15555450000000001</v>
      </c>
      <c r="R6336">
        <v>-0.35651660000000002</v>
      </c>
      <c r="S6336">
        <v>2.6121219999999998</v>
      </c>
      <c r="T6336">
        <v>-0.19435820000000001</v>
      </c>
      <c r="U6336">
        <v>-1.7700199999999999</v>
      </c>
      <c r="V6336">
        <v>0.22437660000000001</v>
      </c>
      <c r="W6336">
        <v>0.1702081</v>
      </c>
      <c r="X6336">
        <v>0.95952300000000001</v>
      </c>
      <c r="Y6336">
        <v>0.43498330000000002</v>
      </c>
      <c r="Z6336">
        <v>-1.2801689999999999E-2</v>
      </c>
      <c r="AA6336">
        <v>0.90034749999999997</v>
      </c>
      <c r="AB6336">
        <v>33</v>
      </c>
      <c r="AC6336">
        <v>15.3668</v>
      </c>
      <c r="AD6336">
        <v>-1.154785</v>
      </c>
      <c r="AE6336">
        <v>-10.49858</v>
      </c>
      <c r="AF6336">
        <v>8.1461300353966308</v>
      </c>
      <c r="AG6336">
        <v>-1.154785</v>
      </c>
      <c r="AH6336">
        <v>16.653755042573401</v>
      </c>
      <c r="AI6336">
        <v>93.564255765255496</v>
      </c>
      <c r="AJ6336">
        <v>63.934581934357098</v>
      </c>
      <c r="AK6336">
        <v>18.575266349849599</v>
      </c>
      <c r="AL6336">
        <v>80.200081568480101</v>
      </c>
      <c r="AM6336">
        <v>76.8383512194969</v>
      </c>
      <c r="AN6336">
        <v>1.00000002173108</v>
      </c>
    </row>
    <row r="6337" spans="1:40" x14ac:dyDescent="0.25">
      <c r="A6337" t="str">
        <f>"20190303170416298"</f>
        <v>20190303170416298</v>
      </c>
      <c r="B6337" t="str">
        <f>"1551603856292352"</f>
        <v>1551603856292352</v>
      </c>
      <c r="C6337" t="s">
        <v>40</v>
      </c>
      <c r="D6337">
        <v>4.6433160000000004</v>
      </c>
      <c r="E6337">
        <v>0.59524519999999903</v>
      </c>
      <c r="F6337" t="s">
        <v>44</v>
      </c>
      <c r="G6337">
        <v>-302.9271</v>
      </c>
      <c r="H6337">
        <v>-0.05</v>
      </c>
      <c r="I6337">
        <v>5.8459469999999998</v>
      </c>
      <c r="J6337">
        <v>-318.15469999999999</v>
      </c>
      <c r="K6337">
        <v>1.103734</v>
      </c>
      <c r="L6337">
        <v>16.421720000000001</v>
      </c>
      <c r="M6337">
        <v>0.98853840000000004</v>
      </c>
      <c r="N6337">
        <v>-2.136764E-2</v>
      </c>
      <c r="O6337">
        <v>-0.14945</v>
      </c>
      <c r="P6337">
        <v>0.91827099999999995</v>
      </c>
      <c r="Q6337">
        <v>0.1541767</v>
      </c>
      <c r="R6337">
        <v>-0.36470259999999999</v>
      </c>
      <c r="S6337">
        <v>2.5966800000000001</v>
      </c>
      <c r="T6337">
        <v>-0.19496720000000001</v>
      </c>
      <c r="U6337">
        <v>-1.78991699999999</v>
      </c>
      <c r="V6337">
        <v>0.22757549999999999</v>
      </c>
      <c r="W6337">
        <v>0.1691503</v>
      </c>
      <c r="X6337">
        <v>0.95895649999999999</v>
      </c>
      <c r="Y6337">
        <v>0.43708590000000003</v>
      </c>
      <c r="Z6337">
        <v>-1.288488E-2</v>
      </c>
      <c r="AA6337">
        <v>0.89932749999999995</v>
      </c>
      <c r="AB6337">
        <v>33</v>
      </c>
      <c r="AC6337">
        <v>15.227599999999899</v>
      </c>
      <c r="AD6337">
        <v>-1.153734</v>
      </c>
      <c r="AE6337">
        <v>-10.575773</v>
      </c>
      <c r="AF6337">
        <v>8.1491025899326406</v>
      </c>
      <c r="AG6337">
        <v>-1.153734</v>
      </c>
      <c r="AH6337">
        <v>16.573233958727599</v>
      </c>
      <c r="AI6337">
        <v>93.574672147139793</v>
      </c>
      <c r="AJ6337">
        <v>63.816533460222303</v>
      </c>
      <c r="AK6337">
        <v>18.504352434352398</v>
      </c>
      <c r="AL6337">
        <v>80.261580616683105</v>
      </c>
      <c r="AM6337">
        <v>76.649773970709106</v>
      </c>
      <c r="AN6337">
        <v>1.0000000005412899</v>
      </c>
    </row>
    <row r="6338" spans="1:40" x14ac:dyDescent="0.25">
      <c r="A6338" t="str">
        <f>"20190303170416308"</f>
        <v>20190303170416308</v>
      </c>
      <c r="B6338" t="str">
        <f>"1551603856302112"</f>
        <v>1551603856302112</v>
      </c>
      <c r="C6338" t="s">
        <v>40</v>
      </c>
      <c r="D6338">
        <v>5.1462389999999996</v>
      </c>
      <c r="E6338">
        <v>0.59524519999999903</v>
      </c>
      <c r="F6338" t="s">
        <v>44</v>
      </c>
      <c r="G6338">
        <v>-303.26</v>
      </c>
      <c r="H6338">
        <v>-0.05</v>
      </c>
      <c r="I6338">
        <v>5.9789729999999999</v>
      </c>
      <c r="J6338">
        <v>-317.995</v>
      </c>
      <c r="K6338">
        <v>1.1024750000000001</v>
      </c>
      <c r="L6338">
        <v>16.393429999999999</v>
      </c>
      <c r="M6338">
        <v>0.98761779999999999</v>
      </c>
      <c r="N6338">
        <v>-2.1904719999999999E-2</v>
      </c>
      <c r="O6338">
        <v>-0.15534319999999999</v>
      </c>
      <c r="P6338">
        <v>0.9150509</v>
      </c>
      <c r="Q6338">
        <v>0.1527463</v>
      </c>
      <c r="R6338">
        <v>-0.3732973</v>
      </c>
      <c r="S6338">
        <v>2.5817260000000002</v>
      </c>
      <c r="T6338">
        <v>-0.19997860000000001</v>
      </c>
      <c r="U6338">
        <v>-1.8100590000000001</v>
      </c>
      <c r="V6338">
        <v>0.23092779999999999</v>
      </c>
      <c r="W6338">
        <v>0.16796349999999999</v>
      </c>
      <c r="X6338">
        <v>0.95836350000000003</v>
      </c>
      <c r="Y6338">
        <v>0.43881880000000001</v>
      </c>
      <c r="Z6338">
        <v>-1.30360999999999E-2</v>
      </c>
      <c r="AA6338">
        <v>0.89848099999999997</v>
      </c>
      <c r="AB6338">
        <v>33</v>
      </c>
      <c r="AC6338">
        <v>14.734999999999999</v>
      </c>
      <c r="AD6338">
        <v>-1.1524749999999999</v>
      </c>
      <c r="AE6338">
        <v>-10.414457000000001</v>
      </c>
      <c r="AF6338">
        <v>7.9659423734100399</v>
      </c>
      <c r="AG6338">
        <v>-1.1524749999999999</v>
      </c>
      <c r="AH6338">
        <v>16.108527913214498</v>
      </c>
      <c r="AI6338">
        <v>93.669427235671904</v>
      </c>
      <c r="AJ6338">
        <v>63.686817602616202</v>
      </c>
      <c r="AK6338">
        <v>18.007473672143099</v>
      </c>
      <c r="AL6338">
        <v>80.330566222591301</v>
      </c>
      <c r="AM6338">
        <v>76.452239783200497</v>
      </c>
      <c r="AN6338">
        <v>0.99999999213866997</v>
      </c>
    </row>
    <row r="6339" spans="1:40" x14ac:dyDescent="0.25">
      <c r="A6339" t="str">
        <f>"20190303170416319"</f>
        <v>20190303170416319</v>
      </c>
      <c r="B6339" t="str">
        <f>"1551603856311871"</f>
        <v>1551603856311871</v>
      </c>
      <c r="C6339" t="s">
        <v>40</v>
      </c>
      <c r="D6339">
        <v>4.686159</v>
      </c>
      <c r="E6339">
        <v>0.5945319</v>
      </c>
      <c r="F6339" t="s">
        <v>44</v>
      </c>
      <c r="G6339">
        <v>-303.44869999999997</v>
      </c>
      <c r="H6339">
        <v>-0.05</v>
      </c>
      <c r="I6339">
        <v>5.9834440000000004</v>
      </c>
      <c r="J6339">
        <v>-317.83920000000001</v>
      </c>
      <c r="K6339">
        <v>1.1011550000000001</v>
      </c>
      <c r="L6339">
        <v>16.36496</v>
      </c>
      <c r="M6339">
        <v>0.9866838</v>
      </c>
      <c r="N6339">
        <v>-2.2398129999999999E-2</v>
      </c>
      <c r="O6339">
        <v>-0.16110079999999999</v>
      </c>
      <c r="P6339">
        <v>0.91207550000000004</v>
      </c>
      <c r="Q6339">
        <v>0.1514354</v>
      </c>
      <c r="R6339">
        <v>-0.38103219999999999</v>
      </c>
      <c r="S6339">
        <v>2.563904</v>
      </c>
      <c r="T6339">
        <v>-0.20313249999999999</v>
      </c>
      <c r="U6339">
        <v>-1.8348390000000001</v>
      </c>
      <c r="V6339">
        <v>0.23355100000000001</v>
      </c>
      <c r="W6339">
        <v>0.16684649999999901</v>
      </c>
      <c r="X6339">
        <v>0.95792279999999996</v>
      </c>
      <c r="Y6339">
        <v>0.4422297</v>
      </c>
      <c r="Z6339">
        <v>-1.321025E-2</v>
      </c>
      <c r="AA6339">
        <v>0.8968045</v>
      </c>
      <c r="AB6339">
        <v>33</v>
      </c>
      <c r="AC6339">
        <v>14.390499999999999</v>
      </c>
      <c r="AD6339">
        <v>-1.1511549999999999</v>
      </c>
      <c r="AE6339">
        <v>-10.381516</v>
      </c>
      <c r="AF6339">
        <v>7.89371875535846</v>
      </c>
      <c r="AG6339">
        <v>-1.1511549999999999</v>
      </c>
      <c r="AH6339">
        <v>15.808791585220501</v>
      </c>
      <c r="AI6339">
        <v>93.727406453011497</v>
      </c>
      <c r="AJ6339">
        <v>63.465914601464</v>
      </c>
      <c r="AK6339">
        <v>17.7074516802295</v>
      </c>
      <c r="AL6339">
        <v>80.3954813496062</v>
      </c>
      <c r="AM6339">
        <v>76.298046999351996</v>
      </c>
      <c r="AN6339">
        <v>0.99999995746154402</v>
      </c>
    </row>
    <row r="6340" spans="1:40" x14ac:dyDescent="0.25">
      <c r="A6340" t="str">
        <f>"20190303170416330"</f>
        <v>20190303170416330</v>
      </c>
      <c r="B6340" t="str">
        <f>"1551603856321632"</f>
        <v>1551603856321632</v>
      </c>
      <c r="C6340" t="s">
        <v>40</v>
      </c>
      <c r="D6340">
        <v>4.6586809999999996</v>
      </c>
      <c r="E6340">
        <v>0.59406009999999998</v>
      </c>
      <c r="F6340" t="s">
        <v>44</v>
      </c>
      <c r="G6340">
        <v>-303.89749999999998</v>
      </c>
      <c r="H6340">
        <v>-0.05</v>
      </c>
      <c r="I6340">
        <v>6.2415620000000001</v>
      </c>
      <c r="J6340">
        <v>-317.68259999999998</v>
      </c>
      <c r="K6340">
        <v>1.09972</v>
      </c>
      <c r="L6340">
        <v>16.3353</v>
      </c>
      <c r="M6340">
        <v>0.9857089</v>
      </c>
      <c r="N6340">
        <v>-2.285829E-2</v>
      </c>
      <c r="O6340">
        <v>-0.16689960000000001</v>
      </c>
      <c r="P6340">
        <v>0.90924150000000004</v>
      </c>
      <c r="Q6340">
        <v>0.15053050000000001</v>
      </c>
      <c r="R6340">
        <v>-0.3880981</v>
      </c>
      <c r="S6340">
        <v>2.5504760000000002</v>
      </c>
      <c r="T6340">
        <v>-0.21059050000000001</v>
      </c>
      <c r="U6340">
        <v>-1.8519589999999999</v>
      </c>
      <c r="V6340">
        <v>0.23549020000000001</v>
      </c>
      <c r="W6340">
        <v>0.1660867</v>
      </c>
      <c r="X6340">
        <v>0.95757999999999999</v>
      </c>
      <c r="Y6340">
        <v>0.44306990000000002</v>
      </c>
      <c r="Z6340">
        <v>-1.332376E-2</v>
      </c>
      <c r="AA6340">
        <v>0.89638809999999902</v>
      </c>
      <c r="AB6340">
        <v>33</v>
      </c>
      <c r="AC6340">
        <v>13.7851</v>
      </c>
      <c r="AD6340">
        <v>-1.1497200000000001</v>
      </c>
      <c r="AE6340">
        <v>-10.093738</v>
      </c>
      <c r="AF6340">
        <v>7.6162702224424903</v>
      </c>
      <c r="AG6340">
        <v>-1.1497200000000001</v>
      </c>
      <c r="AH6340">
        <v>15.207862896638799</v>
      </c>
      <c r="AI6340">
        <v>93.867143904758095</v>
      </c>
      <c r="AJ6340">
        <v>63.397771726978299</v>
      </c>
      <c r="AK6340">
        <v>17.0472438259862</v>
      </c>
      <c r="AL6340">
        <v>80.439630541770597</v>
      </c>
      <c r="AM6340">
        <v>76.183862683873201</v>
      </c>
      <c r="AN6340">
        <v>0.99999994130646297</v>
      </c>
    </row>
    <row r="6341" spans="1:40" x14ac:dyDescent="0.25">
      <c r="A6341" t="str">
        <f>"20190303170416343"</f>
        <v>20190303170416343</v>
      </c>
      <c r="B6341" t="str">
        <f>"1551603856332367"</f>
        <v>1551603856332367</v>
      </c>
      <c r="C6341" t="s">
        <v>40</v>
      </c>
      <c r="D6341">
        <v>4.6645279999999998</v>
      </c>
      <c r="E6341">
        <v>0.59352329999999998</v>
      </c>
      <c r="F6341" t="s">
        <v>44</v>
      </c>
      <c r="G6341">
        <v>-304.05860000000001</v>
      </c>
      <c r="H6341">
        <v>-0.05</v>
      </c>
      <c r="I6341">
        <v>6.3000949999999998</v>
      </c>
      <c r="J6341">
        <v>-317.51400000000001</v>
      </c>
      <c r="K6341">
        <v>1.098071</v>
      </c>
      <c r="L6341">
        <v>16.302</v>
      </c>
      <c r="M6341">
        <v>0.98461430000000005</v>
      </c>
      <c r="N6341">
        <v>-2.32867E-2</v>
      </c>
      <c r="O6341">
        <v>-0.17318349999999999</v>
      </c>
      <c r="P6341">
        <v>0.90617689999999995</v>
      </c>
      <c r="Q6341">
        <v>0.15040499999999901</v>
      </c>
      <c r="R6341">
        <v>-0.39524900000000002</v>
      </c>
      <c r="S6341">
        <v>2.537201</v>
      </c>
      <c r="T6341">
        <v>-0.21411350000000001</v>
      </c>
      <c r="U6341">
        <v>-1.8688659999999999</v>
      </c>
      <c r="V6341">
        <v>0.23713509999999999</v>
      </c>
      <c r="W6341">
        <v>0.1660364</v>
      </c>
      <c r="X6341">
        <v>0.9571828</v>
      </c>
      <c r="Y6341">
        <v>0.44342690000000001</v>
      </c>
      <c r="Z6341">
        <v>-1.328148E-2</v>
      </c>
      <c r="AA6341">
        <v>0.89621209999999996</v>
      </c>
      <c r="AB6341">
        <v>33</v>
      </c>
      <c r="AC6341">
        <v>13.4553999999999</v>
      </c>
      <c r="AD6341">
        <v>-1.1480709999999901</v>
      </c>
      <c r="AE6341">
        <v>-10.001905000000001</v>
      </c>
      <c r="AF6341">
        <v>7.4847068902121698</v>
      </c>
      <c r="AG6341">
        <v>-1.1480709999999901</v>
      </c>
      <c r="AH6341">
        <v>14.9146688963234</v>
      </c>
      <c r="AI6341">
        <v>93.935679966897396</v>
      </c>
      <c r="AJ6341">
        <v>63.350888019944598</v>
      </c>
      <c r="AK6341">
        <v>16.726812384324401</v>
      </c>
      <c r="AL6341">
        <v>80.442553926799903</v>
      </c>
      <c r="AM6341">
        <v>76.085544181388798</v>
      </c>
      <c r="AN6341">
        <v>1.0000000271964</v>
      </c>
    </row>
    <row r="6342" spans="1:40" x14ac:dyDescent="0.25">
      <c r="A6342" t="str">
        <f>"20190303170416356"</f>
        <v>20190303170416356</v>
      </c>
      <c r="B6342" t="str">
        <f>"1551603856342127"</f>
        <v>1551603856342127</v>
      </c>
      <c r="C6342" t="s">
        <v>40</v>
      </c>
      <c r="D6342">
        <v>4.6780540000000004</v>
      </c>
      <c r="E6342">
        <v>0.59296839999999995</v>
      </c>
      <c r="F6342" t="s">
        <v>44</v>
      </c>
      <c r="G6342">
        <v>-303.8107</v>
      </c>
      <c r="H6342">
        <v>-0.05</v>
      </c>
      <c r="I6342">
        <v>6.0626220000000002</v>
      </c>
      <c r="J6342">
        <v>-317.31569999999999</v>
      </c>
      <c r="K6342">
        <v>1.096044</v>
      </c>
      <c r="L6342">
        <v>16.261659999999999</v>
      </c>
      <c r="M6342">
        <v>0.98326999999999998</v>
      </c>
      <c r="N6342">
        <v>-2.3735389999999999E-2</v>
      </c>
      <c r="O6342">
        <v>-0.1806016</v>
      </c>
      <c r="P6342">
        <v>0.90228750000000002</v>
      </c>
      <c r="Q6342">
        <v>0.1509819</v>
      </c>
      <c r="R6342">
        <v>-0.40383429999999998</v>
      </c>
      <c r="S6342">
        <v>2.5233150000000002</v>
      </c>
      <c r="T6342">
        <v>-0.21140429999999999</v>
      </c>
      <c r="U6342">
        <v>-1.8854679999999999</v>
      </c>
      <c r="V6342">
        <v>0.23930779999999999</v>
      </c>
      <c r="W6342">
        <v>0.16661429999999999</v>
      </c>
      <c r="X6342">
        <v>0.95654139999999999</v>
      </c>
      <c r="Y6342">
        <v>0.44283679999999997</v>
      </c>
      <c r="Z6342">
        <v>-1.303442E-2</v>
      </c>
      <c r="AA6342">
        <v>0.89650750000000001</v>
      </c>
      <c r="AB6342">
        <v>33</v>
      </c>
      <c r="AC6342">
        <v>13.5049999999999</v>
      </c>
      <c r="AD6342">
        <v>-1.1460440000000001</v>
      </c>
      <c r="AE6342">
        <v>-10.1990379999999</v>
      </c>
      <c r="AF6342">
        <v>7.55686666330684</v>
      </c>
      <c r="AG6342">
        <v>-1.1460440000000001</v>
      </c>
      <c r="AH6342">
        <v>15.056237686247099</v>
      </c>
      <c r="AI6342">
        <v>93.891811086024006</v>
      </c>
      <c r="AJ6342">
        <v>63.347496937723101</v>
      </c>
      <c r="AK6342">
        <v>16.885198958901899</v>
      </c>
      <c r="AL6342">
        <v>80.408974699716296</v>
      </c>
      <c r="AM6342">
        <v>75.954035000423801</v>
      </c>
      <c r="AN6342">
        <v>0.99999999900964498</v>
      </c>
    </row>
    <row r="6343" spans="1:40" x14ac:dyDescent="0.25">
      <c r="A6343" t="str">
        <f>"20190303170416369"</f>
        <v>20190303170416369</v>
      </c>
      <c r="B6343" t="str">
        <f>"1551603856361647"</f>
        <v>1551603856361647</v>
      </c>
      <c r="C6343" t="s">
        <v>40</v>
      </c>
      <c r="D6343">
        <v>4.6730980000000004</v>
      </c>
      <c r="E6343">
        <v>0.59202840000000001</v>
      </c>
      <c r="F6343" t="s">
        <v>44</v>
      </c>
      <c r="G6343">
        <v>-303.75560000000002</v>
      </c>
      <c r="H6343">
        <v>-0.05</v>
      </c>
      <c r="I6343">
        <v>5.957535</v>
      </c>
      <c r="J6343">
        <v>-317.11290000000002</v>
      </c>
      <c r="K6343">
        <v>1.0938600000000001</v>
      </c>
      <c r="L6343">
        <v>16.217770000000002</v>
      </c>
      <c r="M6343">
        <v>0.98183719999999997</v>
      </c>
      <c r="N6343">
        <v>-2.4133539999999998E-2</v>
      </c>
      <c r="O6343">
        <v>-0.1881844</v>
      </c>
      <c r="P6343">
        <v>0.89804899999999999</v>
      </c>
      <c r="Q6343">
        <v>0.15199209999999999</v>
      </c>
      <c r="R6343">
        <v>-0.41280339999999999</v>
      </c>
      <c r="S6343">
        <v>2.5075069999999999</v>
      </c>
      <c r="T6343">
        <v>-0.211925</v>
      </c>
      <c r="U6343">
        <v>-1.9054260000000001</v>
      </c>
      <c r="V6343">
        <v>0.24180199999999999</v>
      </c>
      <c r="W6343">
        <v>0.1675362</v>
      </c>
      <c r="X6343">
        <v>0.95575279999999996</v>
      </c>
      <c r="Y6343">
        <v>0.44315470000000001</v>
      </c>
      <c r="Z6343">
        <v>-1.2866229999999999E-2</v>
      </c>
      <c r="AA6343">
        <v>0.89635279999999995</v>
      </c>
      <c r="AB6343">
        <v>33</v>
      </c>
      <c r="AC6343">
        <v>13.3573</v>
      </c>
      <c r="AD6343">
        <v>-1.1438600000000001</v>
      </c>
      <c r="AE6343">
        <v>-10.260235</v>
      </c>
      <c r="AF6343">
        <v>7.5277283223181204</v>
      </c>
      <c r="AG6343">
        <v>-1.1438600000000001</v>
      </c>
      <c r="AH6343">
        <v>14.980799495522801</v>
      </c>
      <c r="AI6343">
        <v>93.903008584627202</v>
      </c>
      <c r="AJ6343">
        <v>63.3208487788119</v>
      </c>
      <c r="AK6343">
        <v>16.8047452500562</v>
      </c>
      <c r="AL6343">
        <v>80.355400700755098</v>
      </c>
      <c r="AM6343">
        <v>75.802289610057699</v>
      </c>
      <c r="AN6343">
        <v>1.00000000011114</v>
      </c>
    </row>
    <row r="6344" spans="1:40" x14ac:dyDescent="0.25">
      <c r="A6344" t="str">
        <f>"20190303170416383"</f>
        <v>20190303170416383</v>
      </c>
      <c r="B6344" t="str">
        <f>"1551603856372385"</f>
        <v>1551603856372385</v>
      </c>
      <c r="C6344" t="s">
        <v>40</v>
      </c>
      <c r="D6344">
        <v>4.6854449999999996</v>
      </c>
      <c r="E6344">
        <v>0.59176809999999902</v>
      </c>
      <c r="F6344" t="s">
        <v>44</v>
      </c>
      <c r="G6344">
        <v>-303.66849999999999</v>
      </c>
      <c r="H6344">
        <v>-0.05</v>
      </c>
      <c r="I6344">
        <v>5.8396610000000004</v>
      </c>
      <c r="J6344">
        <v>-316.93639999999999</v>
      </c>
      <c r="K6344">
        <v>1.091952</v>
      </c>
      <c r="L6344">
        <v>16.178070000000002</v>
      </c>
      <c r="M6344">
        <v>0.98053630000000003</v>
      </c>
      <c r="N6344">
        <v>-2.44411E-2</v>
      </c>
      <c r="O6344">
        <v>-0.1948115</v>
      </c>
      <c r="P6344">
        <v>0.89375569999999904</v>
      </c>
      <c r="Q6344">
        <v>0.15236420000000001</v>
      </c>
      <c r="R6344">
        <v>-0.42188389999999998</v>
      </c>
      <c r="S6344">
        <v>2.4921570000000002</v>
      </c>
      <c r="T6344">
        <v>-0.2120348</v>
      </c>
      <c r="U6344">
        <v>-1.923767</v>
      </c>
      <c r="V6344">
        <v>0.24529870000000001</v>
      </c>
      <c r="W6344">
        <v>0.1677515</v>
      </c>
      <c r="X6344">
        <v>0.95482359999999999</v>
      </c>
      <c r="Y6344">
        <v>0.44389699999999999</v>
      </c>
      <c r="Z6344">
        <v>-1.272475E-2</v>
      </c>
      <c r="AA6344">
        <v>0.89598750000000005</v>
      </c>
      <c r="AB6344">
        <v>33</v>
      </c>
      <c r="AC6344">
        <v>13.2678999999999</v>
      </c>
      <c r="AD6344">
        <v>-1.1419520000000001</v>
      </c>
      <c r="AE6344">
        <v>-10.338409</v>
      </c>
      <c r="AF6344">
        <v>7.5200394883327997</v>
      </c>
      <c r="AG6344">
        <v>-1.1419520000000001</v>
      </c>
      <c r="AH6344">
        <v>14.9592342868616</v>
      </c>
      <c r="AI6344">
        <v>93.901789770959297</v>
      </c>
      <c r="AJ6344">
        <v>63.311224546452898</v>
      </c>
      <c r="AK6344">
        <v>16.781946809759699</v>
      </c>
      <c r="AL6344">
        <v>80.342888441307394</v>
      </c>
      <c r="AM6344">
        <v>75.592025039392595</v>
      </c>
      <c r="AN6344">
        <v>1.0000000625454399</v>
      </c>
    </row>
    <row r="6345" spans="1:40" x14ac:dyDescent="0.25">
      <c r="A6345" t="str">
        <f>"20190303170416395"</f>
        <v>20190303170416395</v>
      </c>
      <c r="B6345" t="str">
        <f>"1551603856382145"</f>
        <v>1551603856382145</v>
      </c>
      <c r="C6345" t="s">
        <v>40</v>
      </c>
      <c r="D6345">
        <v>4.7185160000000002</v>
      </c>
      <c r="E6345">
        <v>0.59252490000000002</v>
      </c>
      <c r="F6345" t="s">
        <v>44</v>
      </c>
      <c r="G6345">
        <v>-303.6771</v>
      </c>
      <c r="H6345">
        <v>-0.05</v>
      </c>
      <c r="I6345">
        <v>5.7500609999999996</v>
      </c>
      <c r="J6345">
        <v>-316.74880000000002</v>
      </c>
      <c r="K6345">
        <v>1.089912</v>
      </c>
      <c r="L6345">
        <v>16.13467</v>
      </c>
      <c r="M6345">
        <v>0.97909829999999998</v>
      </c>
      <c r="N6345">
        <v>-2.473448E-2</v>
      </c>
      <c r="O6345">
        <v>-0.20187869999999999</v>
      </c>
      <c r="P6345">
        <v>0.88923339999999995</v>
      </c>
      <c r="Q6345">
        <v>0.15263109999999999</v>
      </c>
      <c r="R6345">
        <v>-0.43124040000000002</v>
      </c>
      <c r="S6345">
        <v>2.4743650000000001</v>
      </c>
      <c r="T6345">
        <v>-0.21310419999999999</v>
      </c>
      <c r="U6345">
        <v>-1.9460139999999999</v>
      </c>
      <c r="V6345">
        <v>0.2486969</v>
      </c>
      <c r="W6345">
        <v>0.16783429999999999</v>
      </c>
      <c r="X6345">
        <v>0.95392949999999999</v>
      </c>
      <c r="Y6345">
        <v>0.44552520000000001</v>
      </c>
      <c r="Z6345">
        <v>-1.26141E-2</v>
      </c>
      <c r="AA6345">
        <v>0.89518050000000005</v>
      </c>
      <c r="AB6345">
        <v>32</v>
      </c>
      <c r="AC6345">
        <v>13.0717</v>
      </c>
      <c r="AD6345">
        <v>-1.139912</v>
      </c>
      <c r="AE6345">
        <v>-10.384608999999999</v>
      </c>
      <c r="AF6345">
        <v>7.4960102889823998</v>
      </c>
      <c r="AG6345">
        <v>-1.139912</v>
      </c>
      <c r="AH6345">
        <v>14.8303249406719</v>
      </c>
      <c r="AI6345">
        <v>93.924265045465205</v>
      </c>
      <c r="AJ6345">
        <v>63.185614812312402</v>
      </c>
      <c r="AK6345">
        <v>16.656173253967701</v>
      </c>
      <c r="AL6345">
        <v>80.338075470755598</v>
      </c>
      <c r="AM6345">
        <v>75.387802084906994</v>
      </c>
      <c r="AN6345">
        <v>0.99999999564817399</v>
      </c>
    </row>
    <row r="6346" spans="1:40" x14ac:dyDescent="0.25">
      <c r="A6346" t="str">
        <f>"20190303170416409"</f>
        <v>20190303170416409</v>
      </c>
      <c r="B6346" t="str">
        <f>"1551603856401663"</f>
        <v>1551603856401663</v>
      </c>
      <c r="C6346" t="s">
        <v>40</v>
      </c>
      <c r="D6346">
        <v>4.8667439999999997</v>
      </c>
      <c r="E6346">
        <v>0.62728090000000003</v>
      </c>
      <c r="F6346" t="s">
        <v>44</v>
      </c>
      <c r="G6346">
        <v>-303.47300000000001</v>
      </c>
      <c r="H6346">
        <v>-0.05</v>
      </c>
      <c r="I6346">
        <v>5.4272919999999996</v>
      </c>
      <c r="J6346">
        <v>-316.54899999999998</v>
      </c>
      <c r="K6346">
        <v>1.0877810000000001</v>
      </c>
      <c r="L6346">
        <v>16.085660000000001</v>
      </c>
      <c r="M6346">
        <v>0.97747580000000001</v>
      </c>
      <c r="N6346">
        <v>-2.4947609999999999E-2</v>
      </c>
      <c r="O6346">
        <v>-0.2095678</v>
      </c>
      <c r="P6346">
        <v>0.88264149999999997</v>
      </c>
      <c r="Q6346">
        <v>0.15237310000000001</v>
      </c>
      <c r="R6346">
        <v>-0.44466420000000001</v>
      </c>
      <c r="S6346">
        <v>2.451111</v>
      </c>
      <c r="T6346">
        <v>-0.2104615</v>
      </c>
      <c r="U6346">
        <v>-1.976898</v>
      </c>
      <c r="V6346">
        <v>0.25586799999999998</v>
      </c>
      <c r="W6346">
        <v>0.16717699999999999</v>
      </c>
      <c r="X6346">
        <v>0.95214670000000001</v>
      </c>
      <c r="Y6346">
        <v>0.44948290000000002</v>
      </c>
      <c r="Z6346">
        <v>-1.253491E-2</v>
      </c>
      <c r="AA6346">
        <v>0.89320100000000002</v>
      </c>
      <c r="AB6346">
        <v>32</v>
      </c>
      <c r="AC6346">
        <v>13.076000000000001</v>
      </c>
      <c r="AD6346">
        <v>-1.1377809999999999</v>
      </c>
      <c r="AE6346">
        <v>-10.658367999999999</v>
      </c>
      <c r="AF6346">
        <v>7.6455994522192796</v>
      </c>
      <c r="AG6346">
        <v>-1.1377809999999999</v>
      </c>
      <c r="AH6346">
        <v>14.9517845781031</v>
      </c>
      <c r="AI6346">
        <v>93.876011286987094</v>
      </c>
      <c r="AJ6346">
        <v>62.917055098528202</v>
      </c>
      <c r="AK6346">
        <v>16.831684367814699</v>
      </c>
      <c r="AL6346">
        <v>80.376275373254998</v>
      </c>
      <c r="AM6346">
        <v>74.958401707064198</v>
      </c>
      <c r="AN6346">
        <v>0.99999996053694395</v>
      </c>
    </row>
    <row r="6347" spans="1:40" x14ac:dyDescent="0.25">
      <c r="A6347" t="str">
        <f>"20190303170416420"</f>
        <v>20190303170416420</v>
      </c>
      <c r="B6347" t="str">
        <f>"1551603856412399"</f>
        <v>1551603856412399</v>
      </c>
      <c r="C6347" t="s">
        <v>40</v>
      </c>
      <c r="D6347">
        <v>4.8352219999999999</v>
      </c>
      <c r="E6347">
        <v>0.63540010000000002</v>
      </c>
      <c r="F6347" t="s">
        <v>42</v>
      </c>
      <c r="G6347">
        <v>-297.6003</v>
      </c>
      <c r="H6347" s="1">
        <v>-3.6208510000000001E-6</v>
      </c>
      <c r="I6347">
        <v>-2.663707</v>
      </c>
      <c r="J6347">
        <v>-316.39249999999998</v>
      </c>
      <c r="K6347">
        <v>1.0861459999999901</v>
      </c>
      <c r="L6347">
        <v>16.04608</v>
      </c>
      <c r="M6347">
        <v>0.97614040000000002</v>
      </c>
      <c r="N6347">
        <v>-2.506452E-2</v>
      </c>
      <c r="O6347">
        <v>-0.2156892</v>
      </c>
      <c r="P6347">
        <v>0.87843890000000002</v>
      </c>
      <c r="Q6347">
        <v>0.15205550000000001</v>
      </c>
      <c r="R6347">
        <v>-0.45301710000000001</v>
      </c>
      <c r="S6347">
        <v>2.283325</v>
      </c>
      <c r="T6347">
        <v>-0.13107859999999999</v>
      </c>
      <c r="U6347">
        <v>-2.2593079999999999</v>
      </c>
      <c r="V6347">
        <v>0.2590652</v>
      </c>
      <c r="W6347">
        <v>0.16662179999999999</v>
      </c>
      <c r="X6347">
        <v>0.95137919999999998</v>
      </c>
      <c r="Y6347">
        <v>0.53270850000000003</v>
      </c>
      <c r="Z6347">
        <v>-1.5170110000000001E-2</v>
      </c>
      <c r="AA6347">
        <v>0.84616290000000005</v>
      </c>
      <c r="AB6347">
        <v>32</v>
      </c>
      <c r="AC6347">
        <v>18.792199999999902</v>
      </c>
      <c r="AD6347">
        <v>-1.08614962085099</v>
      </c>
      <c r="AE6347">
        <v>-18.709786999999999</v>
      </c>
      <c r="AF6347">
        <v>14.190762103208</v>
      </c>
      <c r="AG6347">
        <v>-1.08614962085099</v>
      </c>
      <c r="AH6347">
        <v>22.348862690171199</v>
      </c>
      <c r="AI6347">
        <v>92.349397138729998</v>
      </c>
      <c r="AJ6347">
        <v>57.585851639288897</v>
      </c>
      <c r="AK6347">
        <v>26.495832004540802</v>
      </c>
      <c r="AL6347">
        <v>80.408538822883401</v>
      </c>
      <c r="AM6347">
        <v>74.767409493647904</v>
      </c>
      <c r="AN6347">
        <v>0.99999999213946</v>
      </c>
    </row>
    <row r="6348" spans="1:40" x14ac:dyDescent="0.25">
      <c r="A6348" t="str">
        <f>"20190303170416430"</f>
        <v>20190303170416430</v>
      </c>
      <c r="B6348" t="str">
        <f>"1551603856422160"</f>
        <v>1551603856422160</v>
      </c>
      <c r="C6348" t="s">
        <v>40</v>
      </c>
      <c r="D6348">
        <v>4.8350739999999996</v>
      </c>
      <c r="E6348">
        <v>0.64324359999999903</v>
      </c>
      <c r="F6348" t="s">
        <v>42</v>
      </c>
      <c r="G6348">
        <v>-293.4178</v>
      </c>
      <c r="H6348" s="1">
        <v>-2.182258E-6</v>
      </c>
      <c r="I6348">
        <v>-8.0693660000000005</v>
      </c>
      <c r="J6348">
        <v>-316.24459999999999</v>
      </c>
      <c r="K6348">
        <v>1.0846469999999999</v>
      </c>
      <c r="L6348">
        <v>16.007629999999999</v>
      </c>
      <c r="M6348">
        <v>0.9748211</v>
      </c>
      <c r="N6348">
        <v>-2.5130429999999999E-2</v>
      </c>
      <c r="O6348">
        <v>-0.22156780000000001</v>
      </c>
      <c r="P6348">
        <v>0.87458849999999999</v>
      </c>
      <c r="Q6348">
        <v>0.15178620000000001</v>
      </c>
      <c r="R6348">
        <v>-0.4604954</v>
      </c>
      <c r="S6348">
        <v>2.2275700000000001</v>
      </c>
      <c r="T6348">
        <v>-0.1053098</v>
      </c>
      <c r="U6348">
        <v>-2.338165</v>
      </c>
      <c r="V6348">
        <v>0.26155349999999999</v>
      </c>
      <c r="W6348">
        <v>0.16613229999999901</v>
      </c>
      <c r="X6348">
        <v>0.95078379999999996</v>
      </c>
      <c r="Y6348">
        <v>0.55258019999999997</v>
      </c>
      <c r="Z6348">
        <v>-1.531919E-2</v>
      </c>
      <c r="AA6348">
        <v>0.83331889999999997</v>
      </c>
      <c r="AB6348">
        <v>32</v>
      </c>
      <c r="AC6348">
        <v>22.826799999999899</v>
      </c>
      <c r="AD6348">
        <v>-1.084649182258</v>
      </c>
      <c r="AE6348">
        <v>-24.076995999999902</v>
      </c>
      <c r="AF6348">
        <v>18.399232314378398</v>
      </c>
      <c r="AG6348">
        <v>-1.084649182258</v>
      </c>
      <c r="AH6348">
        <v>27.565986721087601</v>
      </c>
      <c r="AI6348">
        <v>91.874449070395499</v>
      </c>
      <c r="AJ6348">
        <v>56.278419574394199</v>
      </c>
      <c r="AK6348">
        <v>33.160094051649203</v>
      </c>
      <c r="AL6348">
        <v>80.436981654514497</v>
      </c>
      <c r="AM6348">
        <v>74.618821210340599</v>
      </c>
      <c r="AN6348">
        <v>1.0000000044039801</v>
      </c>
    </row>
    <row r="6349" spans="1:40" x14ac:dyDescent="0.25">
      <c r="A6349" t="str">
        <f>"20190303170416442"</f>
        <v>20190303170416442</v>
      </c>
      <c r="B6349" t="str">
        <f>"1551603856431919"</f>
        <v>1551603856431919</v>
      </c>
      <c r="C6349" t="s">
        <v>40</v>
      </c>
      <c r="D6349">
        <v>4.8331019999999896</v>
      </c>
      <c r="E6349">
        <v>0.6492561</v>
      </c>
      <c r="F6349" t="s">
        <v>42</v>
      </c>
      <c r="G6349">
        <v>-289.75959999999998</v>
      </c>
      <c r="H6349">
        <v>7.998595E-2</v>
      </c>
      <c r="I6349">
        <v>-13.369529999999999</v>
      </c>
      <c r="J6349">
        <v>-316.08440000000002</v>
      </c>
      <c r="K6349">
        <v>1.0830959999999901</v>
      </c>
      <c r="L6349">
        <v>15.96439</v>
      </c>
      <c r="M6349">
        <v>0.97331089999999998</v>
      </c>
      <c r="N6349">
        <v>-2.5141219999999999E-2</v>
      </c>
      <c r="O6349">
        <v>-0.22810849999999999</v>
      </c>
      <c r="P6349">
        <v>0.87035580000000001</v>
      </c>
      <c r="Q6349">
        <v>0.1518523</v>
      </c>
      <c r="R6349">
        <v>-0.46842450000000002</v>
      </c>
      <c r="S6349">
        <v>2.1745000000000001</v>
      </c>
      <c r="T6349">
        <v>-8.2485799999999998E-2</v>
      </c>
      <c r="U6349">
        <v>-2.4119570000000001</v>
      </c>
      <c r="V6349">
        <v>0.26391690000000001</v>
      </c>
      <c r="W6349">
        <v>0.165958299999999</v>
      </c>
      <c r="X6349">
        <v>0.95016089999999997</v>
      </c>
      <c r="Y6349">
        <v>0.56991780000000003</v>
      </c>
      <c r="Z6349">
        <v>-1.5342120000000001E-2</v>
      </c>
      <c r="AA6349">
        <v>0.82155849999999897</v>
      </c>
      <c r="AB6349">
        <v>32</v>
      </c>
      <c r="AC6349">
        <v>26.3248</v>
      </c>
      <c r="AD6349">
        <v>-1.0031100500000001</v>
      </c>
      <c r="AE6349">
        <v>-29.333919999999999</v>
      </c>
      <c r="AF6349">
        <v>22.538647016083299</v>
      </c>
      <c r="AG6349">
        <v>-1.0031100500000001</v>
      </c>
      <c r="AH6349">
        <v>32.3028302529451</v>
      </c>
      <c r="AI6349">
        <v>91.458836349112005</v>
      </c>
      <c r="AJ6349">
        <v>55.095370501737399</v>
      </c>
      <c r="AK6349">
        <v>39.401391871843799</v>
      </c>
      <c r="AL6349">
        <v>80.447091533239202</v>
      </c>
      <c r="AM6349">
        <v>74.476822966638906</v>
      </c>
      <c r="AN6349">
        <v>1.0000000116666501</v>
      </c>
    </row>
    <row r="6350" spans="1:40" x14ac:dyDescent="0.25">
      <c r="A6350" t="str">
        <f>"20190303170416457"</f>
        <v>20190303170416457</v>
      </c>
      <c r="B6350" t="str">
        <f>"1551603856452415"</f>
        <v>1551603856452415</v>
      </c>
      <c r="C6350" t="s">
        <v>40</v>
      </c>
      <c r="D6350">
        <v>4.8214839999999999</v>
      </c>
      <c r="E6350">
        <v>0.6558853</v>
      </c>
      <c r="F6350" t="s">
        <v>44</v>
      </c>
      <c r="G6350">
        <v>-278.52170000000001</v>
      </c>
      <c r="H6350">
        <v>-0.05</v>
      </c>
      <c r="I6350">
        <v>-27.700520000000001</v>
      </c>
      <c r="J6350">
        <v>-315.91320000000002</v>
      </c>
      <c r="K6350">
        <v>1.081483</v>
      </c>
      <c r="L6350">
        <v>15.91724</v>
      </c>
      <c r="M6350">
        <v>0.97162369999999998</v>
      </c>
      <c r="N6350">
        <v>-2.5116679999999999E-2</v>
      </c>
      <c r="O6350">
        <v>-0.23519490000000001</v>
      </c>
      <c r="P6350">
        <v>0.86565479999999995</v>
      </c>
      <c r="Q6350">
        <v>0.1522085</v>
      </c>
      <c r="R6350">
        <v>-0.4769429</v>
      </c>
      <c r="S6350">
        <v>2.1272579999999999</v>
      </c>
      <c r="T6350">
        <v>-6.4169649999999995E-2</v>
      </c>
      <c r="U6350">
        <v>-2.472839</v>
      </c>
      <c r="V6350">
        <v>0.2664359</v>
      </c>
      <c r="W6350">
        <v>0.16604679999999999</v>
      </c>
      <c r="X6350">
        <v>0.94944209999999996</v>
      </c>
      <c r="Y6350">
        <v>0.58306349999999996</v>
      </c>
      <c r="Z6350">
        <v>-1.5290700000000001E-2</v>
      </c>
      <c r="AA6350">
        <v>0.81228259999999997</v>
      </c>
      <c r="AB6350">
        <v>32</v>
      </c>
      <c r="AC6350">
        <v>37.391500000000001</v>
      </c>
      <c r="AD6350">
        <v>-1.131483</v>
      </c>
      <c r="AE6350">
        <v>-43.617759999999997</v>
      </c>
      <c r="AF6350">
        <v>33.5833299409422</v>
      </c>
      <c r="AG6350">
        <v>-1.131483</v>
      </c>
      <c r="AH6350">
        <v>46.585772411500002</v>
      </c>
      <c r="AI6350">
        <v>91.128714920967894</v>
      </c>
      <c r="AJ6350">
        <v>54.212452357603702</v>
      </c>
      <c r="AK6350">
        <v>57.440007789671697</v>
      </c>
      <c r="AL6350">
        <v>80.441949061999495</v>
      </c>
      <c r="AM6350">
        <v>74.324624585653893</v>
      </c>
      <c r="AN6350">
        <v>0.99999996492572896</v>
      </c>
    </row>
    <row r="6351" spans="1:40" x14ac:dyDescent="0.25">
      <c r="A6351" t="str">
        <f>"20190303170416467"</f>
        <v>20190303170416467</v>
      </c>
      <c r="B6351" t="str">
        <f>"1551603856462176"</f>
        <v>1551603856462176</v>
      </c>
      <c r="C6351" t="s">
        <v>40</v>
      </c>
      <c r="D6351">
        <v>4.8360849999999997</v>
      </c>
      <c r="E6351">
        <v>0.65754140000000005</v>
      </c>
      <c r="F6351" t="s">
        <v>100</v>
      </c>
      <c r="G6351">
        <v>-279.02</v>
      </c>
      <c r="H6351">
        <v>0.31371840000000001</v>
      </c>
      <c r="I6351">
        <v>-29.243069999999999</v>
      </c>
      <c r="J6351">
        <v>-315.73829999999998</v>
      </c>
      <c r="K6351">
        <v>1.0799749999999999</v>
      </c>
      <c r="L6351">
        <v>15.86661</v>
      </c>
      <c r="M6351">
        <v>0.96976910000000005</v>
      </c>
      <c r="N6351">
        <v>-2.501103E-2</v>
      </c>
      <c r="O6351">
        <v>-0.2427395</v>
      </c>
      <c r="P6351">
        <v>0.86049100000000001</v>
      </c>
      <c r="Q6351">
        <v>0.15269170000000001</v>
      </c>
      <c r="R6351">
        <v>-0.48604599999999998</v>
      </c>
      <c r="S6351">
        <v>2.0742799999999999</v>
      </c>
      <c r="T6351">
        <v>-4.3166879999999998E-2</v>
      </c>
      <c r="U6351">
        <v>-2.5390929999999998</v>
      </c>
      <c r="V6351">
        <v>0.2691557</v>
      </c>
      <c r="W6351">
        <v>0.16623949999999901</v>
      </c>
      <c r="X6351">
        <v>0.94864090000000001</v>
      </c>
      <c r="Y6351">
        <v>0.59742169999999895</v>
      </c>
      <c r="Z6351">
        <v>-1.5158980000000001E-2</v>
      </c>
      <c r="AA6351">
        <v>0.80178400000000005</v>
      </c>
      <c r="AB6351">
        <v>32</v>
      </c>
      <c r="AC6351">
        <v>36.718299999999999</v>
      </c>
      <c r="AD6351">
        <v>-0.76625659999999995</v>
      </c>
      <c r="AE6351">
        <v>-45.109679999999997</v>
      </c>
      <c r="AF6351">
        <v>34.8378436622748</v>
      </c>
      <c r="AG6351">
        <v>-0.76625659999999995</v>
      </c>
      <c r="AH6351">
        <v>46.564658710598501</v>
      </c>
      <c r="AI6351">
        <v>90.754898567142902</v>
      </c>
      <c r="AJ6351">
        <v>53.197610913215399</v>
      </c>
      <c r="AK6351">
        <v>58.159521499481599</v>
      </c>
      <c r="AL6351">
        <v>80.430752501102006</v>
      </c>
      <c r="AM6351">
        <v>74.159891833118607</v>
      </c>
      <c r="AN6351">
        <v>0.999999959677774</v>
      </c>
    </row>
    <row r="6352" spans="1:40" x14ac:dyDescent="0.25">
      <c r="A6352" t="str">
        <f>"20190303170416476"</f>
        <v>20190303170416476</v>
      </c>
      <c r="B6352" t="str">
        <f>"1551603856471935"</f>
        <v>1551603856471935</v>
      </c>
      <c r="C6352" t="s">
        <v>40</v>
      </c>
      <c r="D6352">
        <v>4.8173170000000001</v>
      </c>
      <c r="E6352">
        <v>0.6587826</v>
      </c>
      <c r="F6352" t="s">
        <v>99</v>
      </c>
      <c r="G6352">
        <v>-283.10789999999997</v>
      </c>
      <c r="H6352">
        <v>0.48637599999999998</v>
      </c>
      <c r="I6352">
        <v>-25.255330000000001</v>
      </c>
      <c r="J6352">
        <v>-315.59809999999999</v>
      </c>
      <c r="K6352">
        <v>1.078792</v>
      </c>
      <c r="L6352">
        <v>15.825530000000001</v>
      </c>
      <c r="M6352">
        <v>0.96822430000000004</v>
      </c>
      <c r="N6352">
        <v>-2.4912030000000002E-2</v>
      </c>
      <c r="O6352">
        <v>-0.24883949999999999</v>
      </c>
      <c r="P6352">
        <v>0.85568709999999903</v>
      </c>
      <c r="Q6352">
        <v>0.15314639999999999</v>
      </c>
      <c r="R6352">
        <v>-0.49431380000000003</v>
      </c>
      <c r="S6352">
        <v>2.0404659999999999</v>
      </c>
      <c r="T6352">
        <v>-3.7119390000000002E-2</v>
      </c>
      <c r="U6352">
        <v>-2.571472</v>
      </c>
      <c r="V6352">
        <v>0.27239370000000002</v>
      </c>
      <c r="W6352">
        <v>0.16640929999999901</v>
      </c>
      <c r="X6352">
        <v>0.94768640000000004</v>
      </c>
      <c r="Y6352">
        <v>0.60378299999999996</v>
      </c>
      <c r="Z6352">
        <v>-1.517579E-2</v>
      </c>
      <c r="AA6352">
        <v>0.79700419999999905</v>
      </c>
      <c r="AB6352">
        <v>32</v>
      </c>
      <c r="AC6352">
        <v>32.490200000000002</v>
      </c>
      <c r="AD6352">
        <v>-0.59241599999999905</v>
      </c>
      <c r="AE6352">
        <v>-41.080860000000001</v>
      </c>
      <c r="AF6352">
        <v>31.696425037815999</v>
      </c>
      <c r="AG6352">
        <v>-0.59241599999999905</v>
      </c>
      <c r="AH6352">
        <v>41.6879480838669</v>
      </c>
      <c r="AI6352">
        <v>90.648117486861395</v>
      </c>
      <c r="AJ6352">
        <v>52.753333137150001</v>
      </c>
      <c r="AK6352">
        <v>52.3726964394438</v>
      </c>
      <c r="AL6352">
        <v>80.420886136707907</v>
      </c>
      <c r="AM6352">
        <v>73.963750206982198</v>
      </c>
      <c r="AN6352">
        <v>0.999999947835568</v>
      </c>
    </row>
    <row r="6353" spans="1:40" x14ac:dyDescent="0.25">
      <c r="A6353" t="str">
        <f>"20190303170416487"</f>
        <v>20190303170416487</v>
      </c>
      <c r="B6353" t="str">
        <f>"1551603856481695"</f>
        <v>1551603856481695</v>
      </c>
      <c r="C6353" t="s">
        <v>40</v>
      </c>
      <c r="D6353">
        <v>4.819661</v>
      </c>
      <c r="E6353">
        <v>0.65953809999999902</v>
      </c>
      <c r="F6353" t="s">
        <v>99</v>
      </c>
      <c r="G6353">
        <v>-283.81920000000002</v>
      </c>
      <c r="H6353">
        <v>0.55062330000000004</v>
      </c>
      <c r="I6353">
        <v>-25.255330000000001</v>
      </c>
      <c r="J6353">
        <v>-315.44709999999998</v>
      </c>
      <c r="K6353">
        <v>1.0776110000000001</v>
      </c>
      <c r="L6353">
        <v>15.77948</v>
      </c>
      <c r="M6353">
        <v>0.96646100000000001</v>
      </c>
      <c r="N6353">
        <v>-2.476037E-2</v>
      </c>
      <c r="O6353">
        <v>-0.25561719999999999</v>
      </c>
      <c r="P6353">
        <v>0.85014179999999995</v>
      </c>
      <c r="Q6353">
        <v>0.15335299999999999</v>
      </c>
      <c r="R6353">
        <v>-0.50372829999999902</v>
      </c>
      <c r="S6353">
        <v>2.010529</v>
      </c>
      <c r="T6353">
        <v>-3.3415199999999999E-2</v>
      </c>
      <c r="U6353">
        <v>-2.59903</v>
      </c>
      <c r="V6353">
        <v>0.27624209999999999</v>
      </c>
      <c r="W6353">
        <v>0.16628799999999999</v>
      </c>
      <c r="X6353">
        <v>0.94659320000000002</v>
      </c>
      <c r="Y6353">
        <v>0.608050599999999</v>
      </c>
      <c r="Z6353">
        <v>-1.518045E-2</v>
      </c>
      <c r="AA6353">
        <v>0.79375309999999999</v>
      </c>
      <c r="AB6353">
        <v>32</v>
      </c>
      <c r="AC6353">
        <v>31.627899999999901</v>
      </c>
      <c r="AD6353">
        <v>-0.52698769999999995</v>
      </c>
      <c r="AE6353">
        <v>-41.034809999999901</v>
      </c>
      <c r="AF6353">
        <v>31.580322418745499</v>
      </c>
      <c r="AG6353">
        <v>-0.52698769999999995</v>
      </c>
      <c r="AH6353">
        <v>41.064675576354396</v>
      </c>
      <c r="AI6353">
        <v>90.5828372083988</v>
      </c>
      <c r="AJ6353">
        <v>52.438324400384502</v>
      </c>
      <c r="AK6353">
        <v>51.806390149277</v>
      </c>
      <c r="AL6353">
        <v>80.427935222652707</v>
      </c>
      <c r="AM6353">
        <v>73.731293403715398</v>
      </c>
      <c r="AN6353">
        <v>1.0000000415213199</v>
      </c>
    </row>
    <row r="6354" spans="1:40" x14ac:dyDescent="0.25">
      <c r="A6354" t="str">
        <f>"20190303170416499"</f>
        <v>20190303170416499</v>
      </c>
      <c r="B6354" t="str">
        <f>"1551603856492431"</f>
        <v>1551603856492431</v>
      </c>
      <c r="C6354" t="s">
        <v>40</v>
      </c>
      <c r="D6354">
        <v>4.8777100000000004</v>
      </c>
      <c r="E6354">
        <v>0.65999359999999996</v>
      </c>
      <c r="F6354" t="s">
        <v>99</v>
      </c>
      <c r="G6354">
        <v>-282.40019999999998</v>
      </c>
      <c r="H6354">
        <v>0.54349449999999999</v>
      </c>
      <c r="I6354">
        <v>-28.070550000000001</v>
      </c>
      <c r="J6354">
        <v>-315.2971</v>
      </c>
      <c r="K6354">
        <v>1.076468</v>
      </c>
      <c r="L6354">
        <v>15.732939999999999</v>
      </c>
      <c r="M6354">
        <v>0.964638</v>
      </c>
      <c r="N6354">
        <v>-2.459445E-2</v>
      </c>
      <c r="O6354">
        <v>-0.26242799999999999</v>
      </c>
      <c r="P6354">
        <v>0.84460400000000002</v>
      </c>
      <c r="Q6354">
        <v>0.1534276</v>
      </c>
      <c r="R6354">
        <v>-0.51293670000000002</v>
      </c>
      <c r="S6354">
        <v>1.9788209999999999</v>
      </c>
      <c r="T6354">
        <v>-3.1982419999999998E-2</v>
      </c>
      <c r="U6354">
        <v>-2.625702</v>
      </c>
      <c r="V6354">
        <v>0.27986050000000001</v>
      </c>
      <c r="W6354">
        <v>0.166043</v>
      </c>
      <c r="X6354">
        <v>0.94557270000000004</v>
      </c>
      <c r="Y6354">
        <v>0.61244299999999996</v>
      </c>
      <c r="Z6354">
        <v>-1.523424E-2</v>
      </c>
      <c r="AA6354">
        <v>0.79036799999999996</v>
      </c>
      <c r="AB6354">
        <v>32</v>
      </c>
      <c r="AC6354">
        <v>32.896900000000002</v>
      </c>
      <c r="AD6354">
        <v>-0.53297349999999999</v>
      </c>
      <c r="AE6354">
        <v>-43.803489999999996</v>
      </c>
      <c r="AF6354">
        <v>33.628436495387497</v>
      </c>
      <c r="AG6354">
        <v>-0.53297349999999999</v>
      </c>
      <c r="AH6354">
        <v>43.237853598636498</v>
      </c>
      <c r="AI6354">
        <v>90.557475958439795</v>
      </c>
      <c r="AJ6354">
        <v>52.125846303392599</v>
      </c>
      <c r="AK6354">
        <v>54.7783514327799</v>
      </c>
      <c r="AL6354">
        <v>80.442169746933502</v>
      </c>
      <c r="AM6354">
        <v>73.512863037827699</v>
      </c>
      <c r="AN6354">
        <v>0.99999995414726905</v>
      </c>
    </row>
    <row r="6355" spans="1:40" x14ac:dyDescent="0.25">
      <c r="A6355" t="str">
        <f>"20190303170416510"</f>
        <v>20190303170416510</v>
      </c>
      <c r="B6355" t="str">
        <f>"1551603856502191"</f>
        <v>1551603856502191</v>
      </c>
      <c r="C6355" t="s">
        <v>40</v>
      </c>
      <c r="D6355">
        <v>4.8174320000000002</v>
      </c>
      <c r="E6355">
        <v>0.66036209999999995</v>
      </c>
      <c r="F6355" t="s">
        <v>99</v>
      </c>
      <c r="G6355">
        <v>-282.8048</v>
      </c>
      <c r="H6355">
        <v>0.56696409999999997</v>
      </c>
      <c r="I6355">
        <v>-28.450669999999999</v>
      </c>
      <c r="J6355">
        <v>-315.13819999999998</v>
      </c>
      <c r="K6355">
        <v>1.075323</v>
      </c>
      <c r="L6355">
        <v>15.682040000000001</v>
      </c>
      <c r="M6355">
        <v>0.96260489999999999</v>
      </c>
      <c r="N6355">
        <v>-2.4388159999999999E-2</v>
      </c>
      <c r="O6355">
        <v>-0.26980929999999997</v>
      </c>
      <c r="P6355">
        <v>0.83863650000000001</v>
      </c>
      <c r="Q6355">
        <v>0.15303620000000001</v>
      </c>
      <c r="R6355">
        <v>-0.52275139999999998</v>
      </c>
      <c r="S6355">
        <v>1.9484250000000001</v>
      </c>
      <c r="T6355">
        <v>-3.0552739999999998E-2</v>
      </c>
      <c r="U6355">
        <v>-2.6495060000000001</v>
      </c>
      <c r="V6355">
        <v>0.2835974</v>
      </c>
      <c r="W6355">
        <v>0.16531499999999999</v>
      </c>
      <c r="X6355">
        <v>0.94458640000000005</v>
      </c>
      <c r="Y6355">
        <v>0.61566730000000003</v>
      </c>
      <c r="Z6355">
        <v>-1.524435E-2</v>
      </c>
      <c r="AA6355">
        <v>0.78785869999999902</v>
      </c>
      <c r="AB6355">
        <v>32</v>
      </c>
      <c r="AC6355">
        <v>32.333399999999898</v>
      </c>
      <c r="AD6355">
        <v>-0.50835889999999995</v>
      </c>
      <c r="AE6355">
        <v>-44.132709999999904</v>
      </c>
      <c r="AF6355">
        <v>33.765638928901502</v>
      </c>
      <c r="AG6355">
        <v>-0.50835889999999995</v>
      </c>
      <c r="AH6355">
        <v>43.040790938543502</v>
      </c>
      <c r="AI6355">
        <v>90.532419791902001</v>
      </c>
      <c r="AJ6355">
        <v>51.885701737271198</v>
      </c>
      <c r="AK6355">
        <v>54.707280006079301</v>
      </c>
      <c r="AL6355">
        <v>80.484466065510702</v>
      </c>
      <c r="AM6355">
        <v>73.288431503833905</v>
      </c>
      <c r="AN6355">
        <v>1.00000000078836</v>
      </c>
    </row>
    <row r="6356" spans="1:40" x14ac:dyDescent="0.25">
      <c r="A6356" t="str">
        <f>"20190303170416521"</f>
        <v>20190303170416521</v>
      </c>
      <c r="B6356" t="str">
        <f>"1551603856511952"</f>
        <v>1551603856511952</v>
      </c>
      <c r="C6356" t="s">
        <v>40</v>
      </c>
      <c r="D6356">
        <v>4.830978</v>
      </c>
      <c r="E6356">
        <v>0.66052559999999905</v>
      </c>
      <c r="F6356" t="s">
        <v>100</v>
      </c>
      <c r="G6356">
        <v>-279.02</v>
      </c>
      <c r="H6356">
        <v>0.48154859999999999</v>
      </c>
      <c r="I6356">
        <v>-34.73122</v>
      </c>
      <c r="J6356">
        <v>-314.98719999999997</v>
      </c>
      <c r="K6356">
        <v>1.074279</v>
      </c>
      <c r="L6356">
        <v>15.632350000000001</v>
      </c>
      <c r="M6356">
        <v>0.96058390000000005</v>
      </c>
      <c r="N6356">
        <v>-2.4174660000000001E-2</v>
      </c>
      <c r="O6356">
        <v>-0.2769375</v>
      </c>
      <c r="P6356">
        <v>0.83294099999999904</v>
      </c>
      <c r="Q6356">
        <v>0.15300039999999901</v>
      </c>
      <c r="R6356">
        <v>-0.53178979999999998</v>
      </c>
      <c r="S6356">
        <v>1.9160159999999999</v>
      </c>
      <c r="T6356">
        <v>-3.1498789999999999E-2</v>
      </c>
      <c r="U6356">
        <v>-2.674347</v>
      </c>
      <c r="V6356">
        <v>0.28678670000000001</v>
      </c>
      <c r="W6356">
        <v>0.16497029999999999</v>
      </c>
      <c r="X6356">
        <v>0.9436833</v>
      </c>
      <c r="Y6356">
        <v>0.61959209999999998</v>
      </c>
      <c r="Z6356">
        <v>-1.5304669999999999E-2</v>
      </c>
      <c r="AA6356">
        <v>0.78477479999999999</v>
      </c>
      <c r="AB6356">
        <v>32</v>
      </c>
      <c r="AC6356">
        <v>35.967199999999899</v>
      </c>
      <c r="AD6356">
        <v>-0.59273039999999999</v>
      </c>
      <c r="AE6356">
        <v>-50.363570000000003</v>
      </c>
      <c r="AF6356">
        <v>38.425469952632902</v>
      </c>
      <c r="AG6356">
        <v>-0.59273039999999999</v>
      </c>
      <c r="AH6356">
        <v>48.5067970074114</v>
      </c>
      <c r="AI6356">
        <v>90.548781809265606</v>
      </c>
      <c r="AJ6356">
        <v>51.614906606289999</v>
      </c>
      <c r="AK6356">
        <v>61.8851955343602</v>
      </c>
      <c r="AL6356">
        <v>80.504490773111897</v>
      </c>
      <c r="AM6356">
        <v>73.095898438919903</v>
      </c>
      <c r="AN6356">
        <v>0.99999999093893499</v>
      </c>
    </row>
    <row r="6357" spans="1:40" x14ac:dyDescent="0.25">
      <c r="A6357" t="str">
        <f>"20190303170416531"</f>
        <v>20190303170416531</v>
      </c>
      <c r="B6357" t="str">
        <f>"1551603856521712"</f>
        <v>1551603856521712</v>
      </c>
      <c r="C6357" t="s">
        <v>40</v>
      </c>
      <c r="D6357">
        <v>4.8266429999999998</v>
      </c>
      <c r="E6357">
        <v>0.66051519999999897</v>
      </c>
      <c r="F6357" t="s">
        <v>100</v>
      </c>
      <c r="G6357">
        <v>-279.02</v>
      </c>
      <c r="H6357">
        <v>0.49367660000000002</v>
      </c>
      <c r="I6357">
        <v>-35.781910000000003</v>
      </c>
      <c r="J6357">
        <v>-314.83699999999999</v>
      </c>
      <c r="K6357">
        <v>1.0732710000000001</v>
      </c>
      <c r="L6357">
        <v>15.581939999999999</v>
      </c>
      <c r="M6357">
        <v>0.95848909999999998</v>
      </c>
      <c r="N6357">
        <v>-2.39486E-2</v>
      </c>
      <c r="O6357">
        <v>-0.28412179999999998</v>
      </c>
      <c r="P6357">
        <v>0.82716559999999995</v>
      </c>
      <c r="Q6357">
        <v>0.1536727</v>
      </c>
      <c r="R6357">
        <v>-0.54053830000000003</v>
      </c>
      <c r="S6357">
        <v>1.8860170000000001</v>
      </c>
      <c r="T6357">
        <v>-3.0445099999999999E-2</v>
      </c>
      <c r="U6357">
        <v>-2.6960139999999999</v>
      </c>
      <c r="V6357">
        <v>0.28970040000000002</v>
      </c>
      <c r="W6357">
        <v>0.16534279999999901</v>
      </c>
      <c r="X6357">
        <v>0.94272769999999995</v>
      </c>
      <c r="Y6357">
        <v>0.62254379999999998</v>
      </c>
      <c r="Z6357">
        <v>-1.529698E-2</v>
      </c>
      <c r="AA6357">
        <v>0.7824354</v>
      </c>
      <c r="AB6357">
        <v>32</v>
      </c>
      <c r="AC6357">
        <v>35.817</v>
      </c>
      <c r="AD6357">
        <v>-0.57959439999999995</v>
      </c>
      <c r="AE6357">
        <v>-51.363849999999999</v>
      </c>
      <c r="AF6357">
        <v>39.063156129255702</v>
      </c>
      <c r="AG6357">
        <v>-0.57959439999999995</v>
      </c>
      <c r="AH6357">
        <v>48.933635017608701</v>
      </c>
      <c r="AI6357">
        <v>90.530356032072405</v>
      </c>
      <c r="AJ6357">
        <v>51.4000368298613</v>
      </c>
      <c r="AK6357">
        <v>62.616026163304802</v>
      </c>
      <c r="AL6357">
        <v>80.482851392161294</v>
      </c>
      <c r="AM6357">
        <v>72.917796989990805</v>
      </c>
      <c r="AN6357">
        <v>1.00000003980964</v>
      </c>
    </row>
    <row r="6358" spans="1:40" x14ac:dyDescent="0.25">
      <c r="A6358" t="str">
        <f>"20190303170416543"</f>
        <v>20190303170416543</v>
      </c>
      <c r="B6358" t="str">
        <f>"1551603856532447"</f>
        <v>1551603856532447</v>
      </c>
      <c r="C6358" t="s">
        <v>40</v>
      </c>
      <c r="D6358">
        <v>4.8362829999999999</v>
      </c>
      <c r="E6358">
        <v>0.66026839999999998</v>
      </c>
      <c r="F6358" t="s">
        <v>100</v>
      </c>
      <c r="G6358">
        <v>-279.02</v>
      </c>
      <c r="H6358">
        <v>0.51371</v>
      </c>
      <c r="I6358">
        <v>-36.76155</v>
      </c>
      <c r="J6358">
        <v>-314.69</v>
      </c>
      <c r="K6358">
        <v>1.0723450000000001</v>
      </c>
      <c r="L6358">
        <v>15.53091</v>
      </c>
      <c r="M6358">
        <v>0.95633469999999998</v>
      </c>
      <c r="N6358">
        <v>-2.3719560000000001E-2</v>
      </c>
      <c r="O6358">
        <v>-0.29131030000000002</v>
      </c>
      <c r="P6358">
        <v>0.82153149999999997</v>
      </c>
      <c r="Q6358">
        <v>0.1547251</v>
      </c>
      <c r="R6358">
        <v>-0.54876819999999904</v>
      </c>
      <c r="S6358">
        <v>1.85791</v>
      </c>
      <c r="T6358">
        <v>-2.902567E-2</v>
      </c>
      <c r="U6358">
        <v>-2.715179</v>
      </c>
      <c r="V6358">
        <v>0.29209740000000001</v>
      </c>
      <c r="W6358">
        <v>0.1661224</v>
      </c>
      <c r="X6358">
        <v>0.94185050000000003</v>
      </c>
      <c r="Y6358">
        <v>0.62476409999999905</v>
      </c>
      <c r="Z6358">
        <v>-1.526542E-2</v>
      </c>
      <c r="AA6358">
        <v>0.78066429999999998</v>
      </c>
      <c r="AB6358">
        <v>32</v>
      </c>
      <c r="AC6358">
        <v>35.67</v>
      </c>
      <c r="AD6358">
        <v>-0.55863499999999999</v>
      </c>
      <c r="AE6358">
        <v>-52.292459999999998</v>
      </c>
      <c r="AF6358">
        <v>39.626111708671097</v>
      </c>
      <c r="AG6358">
        <v>-0.55863499999999999</v>
      </c>
      <c r="AH6358">
        <v>49.355825091743803</v>
      </c>
      <c r="AI6358">
        <v>90.505675327715394</v>
      </c>
      <c r="AJ6358">
        <v>51.240205291566497</v>
      </c>
      <c r="AK6358">
        <v>63.297221682299103</v>
      </c>
      <c r="AL6358">
        <v>80.437556385546898</v>
      </c>
      <c r="AM6358">
        <v>72.769696256141003</v>
      </c>
      <c r="AN6358">
        <v>0.99999995360938398</v>
      </c>
    </row>
    <row r="6359" spans="1:40" x14ac:dyDescent="0.25">
      <c r="A6359" t="str">
        <f>"20190303170416556"</f>
        <v>20190303170416556</v>
      </c>
      <c r="B6359" t="str">
        <f>"1551603856542208"</f>
        <v>1551603856542208</v>
      </c>
      <c r="C6359" t="s">
        <v>40</v>
      </c>
      <c r="D6359">
        <v>4.8287959999999996</v>
      </c>
      <c r="E6359">
        <v>0.65989690000000001</v>
      </c>
      <c r="F6359" t="s">
        <v>100</v>
      </c>
      <c r="G6359">
        <v>-279.02</v>
      </c>
      <c r="H6359">
        <v>0.53274600000000005</v>
      </c>
      <c r="I6359">
        <v>-37.65475</v>
      </c>
      <c r="J6359">
        <v>-314.51459999999997</v>
      </c>
      <c r="K6359">
        <v>1.0712680000000001</v>
      </c>
      <c r="L6359">
        <v>15.46909</v>
      </c>
      <c r="M6359">
        <v>0.95366309999999999</v>
      </c>
      <c r="N6359">
        <v>-2.344357E-2</v>
      </c>
      <c r="O6359">
        <v>-0.29996220000000001</v>
      </c>
      <c r="P6359">
        <v>0.81491230000000003</v>
      </c>
      <c r="Q6359">
        <v>0.15659329999999999</v>
      </c>
      <c r="R6359">
        <v>-0.55802929999999995</v>
      </c>
      <c r="S6359">
        <v>1.8321229999999999</v>
      </c>
      <c r="T6359">
        <v>-2.7715440000000001E-2</v>
      </c>
      <c r="U6359">
        <v>-2.7317809999999998</v>
      </c>
      <c r="V6359">
        <v>0.29435689999999998</v>
      </c>
      <c r="W6359">
        <v>0.1676937</v>
      </c>
      <c r="X6359">
        <v>0.94086809999999998</v>
      </c>
      <c r="Y6359">
        <v>0.62497599999999998</v>
      </c>
      <c r="Z6359">
        <v>-1.517933E-2</v>
      </c>
      <c r="AA6359">
        <v>0.78049639999999998</v>
      </c>
      <c r="AB6359">
        <v>32</v>
      </c>
      <c r="AC6359">
        <v>35.494599999999899</v>
      </c>
      <c r="AD6359">
        <v>-0.53852199999999995</v>
      </c>
      <c r="AE6359">
        <v>-53.123840000000001</v>
      </c>
      <c r="AF6359">
        <v>40.0233602919429</v>
      </c>
      <c r="AG6359">
        <v>-0.53852199999999995</v>
      </c>
      <c r="AH6359">
        <v>49.795177340405502</v>
      </c>
      <c r="AI6359">
        <v>90.482958340499806</v>
      </c>
      <c r="AJ6359">
        <v>51.209079415594204</v>
      </c>
      <c r="AK6359">
        <v>63.888332748363297</v>
      </c>
      <c r="AL6359">
        <v>80.346246837582299</v>
      </c>
      <c r="AM6359">
        <v>72.627357509258601</v>
      </c>
      <c r="AN6359">
        <v>0.99999997159745402</v>
      </c>
    </row>
    <row r="6360" spans="1:40" x14ac:dyDescent="0.25">
      <c r="A6360" t="str">
        <f>"20190303170416568"</f>
        <v>20190303170416568</v>
      </c>
      <c r="B6360" t="str">
        <f>"1551603856551968"</f>
        <v>1551603856551968</v>
      </c>
      <c r="C6360" t="s">
        <v>40</v>
      </c>
      <c r="D6360">
        <v>4.8107470000000001</v>
      </c>
      <c r="E6360">
        <v>0.65945200000000004</v>
      </c>
      <c r="F6360" t="s">
        <v>100</v>
      </c>
      <c r="G6360">
        <v>-279.33690000000001</v>
      </c>
      <c r="H6360">
        <v>0.6011379</v>
      </c>
      <c r="I6360">
        <v>-38.169550000000001</v>
      </c>
      <c r="J6360">
        <v>-314.33120000000002</v>
      </c>
      <c r="K6360">
        <v>1.070214</v>
      </c>
      <c r="L6360">
        <v>15.40164</v>
      </c>
      <c r="M6360">
        <v>0.95069409999999999</v>
      </c>
      <c r="N6360">
        <v>-2.3151140000000001E-2</v>
      </c>
      <c r="O6360">
        <v>-0.3092647</v>
      </c>
      <c r="P6360">
        <v>0.80752559999999995</v>
      </c>
      <c r="Q6360">
        <v>0.15853059999999999</v>
      </c>
      <c r="R6360">
        <v>-0.56812869999999904</v>
      </c>
      <c r="S6360">
        <v>1.803223</v>
      </c>
      <c r="T6360">
        <v>-2.409911E-2</v>
      </c>
      <c r="U6360">
        <v>-2.7495419999999999</v>
      </c>
      <c r="V6360">
        <v>0.29702060000000002</v>
      </c>
      <c r="W6360">
        <v>0.16930400000000001</v>
      </c>
      <c r="X6360">
        <v>0.93974190000000002</v>
      </c>
      <c r="Y6360">
        <v>0.6254149</v>
      </c>
      <c r="Z6360">
        <v>-1.5079739999999999E-2</v>
      </c>
      <c r="AA6360">
        <v>0.78014669999999997</v>
      </c>
      <c r="AB6360">
        <v>32</v>
      </c>
      <c r="AC6360">
        <v>34.994300000000003</v>
      </c>
      <c r="AD6360">
        <v>-0.469076099999999</v>
      </c>
      <c r="AE6360">
        <v>-53.571190000000001</v>
      </c>
      <c r="AF6360">
        <v>40.115911346922097</v>
      </c>
      <c r="AG6360">
        <v>-0.469076099999999</v>
      </c>
      <c r="AH6360">
        <v>49.8472372153877</v>
      </c>
      <c r="AI6360">
        <v>90.420032086003403</v>
      </c>
      <c r="AJ6360">
        <v>51.1736878596246</v>
      </c>
      <c r="AK6360">
        <v>63.986353495013603</v>
      </c>
      <c r="AL6360">
        <v>80.252644983432305</v>
      </c>
      <c r="AM6360">
        <v>72.460018122270498</v>
      </c>
      <c r="AN6360">
        <v>0.99999995992798396</v>
      </c>
    </row>
    <row r="6361" spans="1:40" x14ac:dyDescent="0.25">
      <c r="A6361" t="str">
        <f>"20190303170416581"</f>
        <v>20190303170416581</v>
      </c>
      <c r="B6361" t="str">
        <f>"1551603856572464"</f>
        <v>1551603856572464</v>
      </c>
      <c r="C6361" t="s">
        <v>40</v>
      </c>
      <c r="D6361">
        <v>4.8052479999999997</v>
      </c>
      <c r="E6361">
        <v>0.65833529999999996</v>
      </c>
      <c r="F6361" t="s">
        <v>78</v>
      </c>
      <c r="G6361">
        <v>-245.8938</v>
      </c>
      <c r="H6361">
        <v>0.25253959999999998</v>
      </c>
      <c r="I6361">
        <v>-91.564989999999995</v>
      </c>
      <c r="J6361">
        <v>-314.16379999999998</v>
      </c>
      <c r="K6361">
        <v>1.069278</v>
      </c>
      <c r="L6361">
        <v>15.338620000000001</v>
      </c>
      <c r="M6361">
        <v>0.94786519999999996</v>
      </c>
      <c r="N6361">
        <v>-2.2884209999999999E-2</v>
      </c>
      <c r="O6361">
        <v>-0.31784879999999999</v>
      </c>
      <c r="P6361">
        <v>0.80043509999999995</v>
      </c>
      <c r="Q6361">
        <v>0.15994330000000001</v>
      </c>
      <c r="R6361">
        <v>-0.577686699999999</v>
      </c>
      <c r="S6361">
        <v>1.7713620000000001</v>
      </c>
      <c r="T6361">
        <v>-2.1163459999999999E-2</v>
      </c>
      <c r="U6361">
        <v>-2.7686160000000002</v>
      </c>
      <c r="V6361">
        <v>0.29979850000000002</v>
      </c>
      <c r="W6361">
        <v>0.17039840000000001</v>
      </c>
      <c r="X6361">
        <v>0.93866139999999998</v>
      </c>
      <c r="Y6361">
        <v>0.62717959999999995</v>
      </c>
      <c r="Z6361">
        <v>-1.5033080000000001E-2</v>
      </c>
      <c r="AA6361">
        <v>0.77872959999999902</v>
      </c>
      <c r="AB6361">
        <v>32</v>
      </c>
      <c r="AC6361">
        <v>68.269999999999897</v>
      </c>
      <c r="AD6361">
        <v>-0.81673839999999998</v>
      </c>
      <c r="AE6361">
        <v>-106.90361</v>
      </c>
      <c r="AF6361">
        <v>79.6482314634668</v>
      </c>
      <c r="AG6361">
        <v>-0.81673839999999998</v>
      </c>
      <c r="AH6361">
        <v>98.711701006066804</v>
      </c>
      <c r="AI6361">
        <v>90.368935738061495</v>
      </c>
      <c r="AJ6361">
        <v>51.100727801023602</v>
      </c>
      <c r="AK6361">
        <v>126.840481520621</v>
      </c>
      <c r="AL6361">
        <v>80.189016222141206</v>
      </c>
      <c r="AM6361">
        <v>72.287069198293807</v>
      </c>
      <c r="AN6361">
        <v>0.99999998958738401</v>
      </c>
    </row>
    <row r="6362" spans="1:40" x14ac:dyDescent="0.25">
      <c r="A6362" t="str">
        <f>"20190303170416593"</f>
        <v>20190303170416593</v>
      </c>
      <c r="B6362" t="str">
        <f>"1551603856582226"</f>
        <v>1551603856582226</v>
      </c>
      <c r="C6362" t="s">
        <v>40</v>
      </c>
      <c r="D6362">
        <v>4.7976570000000001</v>
      </c>
      <c r="E6362">
        <v>0.65773199999999998</v>
      </c>
      <c r="F6362" t="s">
        <v>78</v>
      </c>
      <c r="G6362">
        <v>-247.12880000000001</v>
      </c>
      <c r="H6362">
        <v>0.28609089999999998</v>
      </c>
      <c r="I6362">
        <v>-91.564989999999995</v>
      </c>
      <c r="J6362">
        <v>-313.99059999999997</v>
      </c>
      <c r="K6362">
        <v>1.068336</v>
      </c>
      <c r="L6362">
        <v>15.27197</v>
      </c>
      <c r="M6362">
        <v>0.94481570000000004</v>
      </c>
      <c r="N6362">
        <v>-2.2607769999999999E-2</v>
      </c>
      <c r="O6362">
        <v>-0.32682129999999998</v>
      </c>
      <c r="P6362">
        <v>0.79285349999999999</v>
      </c>
      <c r="Q6362">
        <v>0.1610684</v>
      </c>
      <c r="R6362">
        <v>-0.58774179999999998</v>
      </c>
      <c r="S6362">
        <v>1.744354</v>
      </c>
      <c r="T6362">
        <v>-2.0379419999999999E-2</v>
      </c>
      <c r="U6362">
        <v>-2.7817989999999999</v>
      </c>
      <c r="V6362">
        <v>0.30282750000000003</v>
      </c>
      <c r="W6362">
        <v>0.171184</v>
      </c>
      <c r="X6362">
        <v>0.93754550000000003</v>
      </c>
      <c r="Y6362">
        <v>0.62688259999999996</v>
      </c>
      <c r="Z6362">
        <v>-1.4959160000000001E-2</v>
      </c>
      <c r="AA6362">
        <v>0.77897019999999995</v>
      </c>
      <c r="AB6362">
        <v>32</v>
      </c>
      <c r="AC6362">
        <v>66.861799999999903</v>
      </c>
      <c r="AD6362">
        <v>-0.78224509999999903</v>
      </c>
      <c r="AE6362">
        <v>-106.83696</v>
      </c>
      <c r="AF6362">
        <v>79.106549676117794</v>
      </c>
      <c r="AG6362">
        <v>-0.78224509999999903</v>
      </c>
      <c r="AH6362">
        <v>98.109970826315802</v>
      </c>
      <c r="AI6362">
        <v>90.355621490893398</v>
      </c>
      <c r="AJ6362">
        <v>51.120597562020997</v>
      </c>
      <c r="AK6362">
        <v>126.03183917009601</v>
      </c>
      <c r="AL6362">
        <v>80.143333659267498</v>
      </c>
      <c r="AM6362">
        <v>72.099526600052897</v>
      </c>
      <c r="AN6362">
        <v>1.0000000105912401</v>
      </c>
    </row>
    <row r="6363" spans="1:40" x14ac:dyDescent="0.25">
      <c r="A6363" t="str">
        <f>"20190303170416605"</f>
        <v>20190303170416605</v>
      </c>
      <c r="B6363" t="str">
        <f>"1551603856591983"</f>
        <v>1551603856591983</v>
      </c>
      <c r="C6363" t="s">
        <v>40</v>
      </c>
      <c r="D6363">
        <v>4.7923770000000001</v>
      </c>
      <c r="E6363">
        <v>0.65712490000000001</v>
      </c>
      <c r="F6363" t="s">
        <v>78</v>
      </c>
      <c r="G6363">
        <v>-248.64179999999999</v>
      </c>
      <c r="H6363">
        <v>0.33166889999999999</v>
      </c>
      <c r="I6363">
        <v>-91.564989999999995</v>
      </c>
      <c r="J6363">
        <v>-313.84010000000001</v>
      </c>
      <c r="K6363">
        <v>1.0675520000000001</v>
      </c>
      <c r="L6363">
        <v>15.21167</v>
      </c>
      <c r="M6363">
        <v>0.94203899999999996</v>
      </c>
      <c r="N6363">
        <v>-2.236612E-2</v>
      </c>
      <c r="O6363">
        <v>-0.33475759999999899</v>
      </c>
      <c r="P6363">
        <v>0.78577600000000003</v>
      </c>
      <c r="Q6363">
        <v>0.1618542</v>
      </c>
      <c r="R6363">
        <v>-0.59695849999999995</v>
      </c>
      <c r="S6363">
        <v>1.712402</v>
      </c>
      <c r="T6363">
        <v>-1.9303319999999999E-2</v>
      </c>
      <c r="U6363">
        <v>-2.7995610000000002</v>
      </c>
      <c r="V6363">
        <v>0.30595270000000002</v>
      </c>
      <c r="W6363">
        <v>0.17163539999999999</v>
      </c>
      <c r="X6363">
        <v>0.93644769999999999</v>
      </c>
      <c r="Y6363">
        <v>0.62899839999999996</v>
      </c>
      <c r="Z6363">
        <v>-1.494144E-2</v>
      </c>
      <c r="AA6363">
        <v>0.77726300000000004</v>
      </c>
      <c r="AB6363">
        <v>32</v>
      </c>
      <c r="AC6363">
        <v>65.198300000000003</v>
      </c>
      <c r="AD6363">
        <v>-0.73588310000000001</v>
      </c>
      <c r="AE6363">
        <v>-106.77666000000001</v>
      </c>
      <c r="AF6363">
        <v>78.779118879798901</v>
      </c>
      <c r="AG6363">
        <v>-0.73588310000000001</v>
      </c>
      <c r="AH6363">
        <v>97.184571206020294</v>
      </c>
      <c r="AI6363">
        <v>90.337019895487103</v>
      </c>
      <c r="AJ6363">
        <v>50.971310995739799</v>
      </c>
      <c r="AK6363">
        <v>125.10608288933101</v>
      </c>
      <c r="AL6363">
        <v>80.117082006538197</v>
      </c>
      <c r="AM6363">
        <v>71.9069426216045</v>
      </c>
      <c r="AN6363">
        <v>1.00000003000286</v>
      </c>
    </row>
    <row r="6364" spans="1:40" x14ac:dyDescent="0.25">
      <c r="A6364" t="str">
        <f>"20190303170416619"</f>
        <v>20190303170416619</v>
      </c>
      <c r="B6364" t="str">
        <f>"1551603856612480"</f>
        <v>1551603856612480</v>
      </c>
      <c r="C6364" t="s">
        <v>40</v>
      </c>
      <c r="D6364">
        <v>4.7628009999999996</v>
      </c>
      <c r="E6364">
        <v>0.65651169999999903</v>
      </c>
      <c r="F6364" t="s">
        <v>78</v>
      </c>
      <c r="G6364">
        <v>-250.0127</v>
      </c>
      <c r="H6364">
        <v>0.37266830000000001</v>
      </c>
      <c r="I6364">
        <v>-91.564989999999995</v>
      </c>
      <c r="J6364">
        <v>-313.64670000000001</v>
      </c>
      <c r="K6364">
        <v>1.066567</v>
      </c>
      <c r="L6364">
        <v>15.13284</v>
      </c>
      <c r="M6364">
        <v>0.9383416</v>
      </c>
      <c r="N6364">
        <v>-2.2056369999999999E-2</v>
      </c>
      <c r="O6364">
        <v>-0.34500500000000001</v>
      </c>
      <c r="P6364">
        <v>0.7770764</v>
      </c>
      <c r="Q6364">
        <v>0.1621204</v>
      </c>
      <c r="R6364">
        <v>-0.60816870000000001</v>
      </c>
      <c r="S6364">
        <v>1.6828919999999901</v>
      </c>
      <c r="T6364">
        <v>-1.832116E-2</v>
      </c>
      <c r="U6364">
        <v>-2.8153079999999999</v>
      </c>
      <c r="V6364">
        <v>0.3091893</v>
      </c>
      <c r="W6364">
        <v>0.1715015</v>
      </c>
      <c r="X6364">
        <v>0.93540860000000003</v>
      </c>
      <c r="Y6364">
        <v>0.62844619999999995</v>
      </c>
      <c r="Z6364">
        <v>-1.4856899999999999E-2</v>
      </c>
      <c r="AA6364">
        <v>0.77771119999999905</v>
      </c>
      <c r="AB6364">
        <v>32</v>
      </c>
      <c r="AC6364">
        <v>63.634</v>
      </c>
      <c r="AD6364">
        <v>-0.69389869999999998</v>
      </c>
      <c r="AE6364">
        <v>-106.69783</v>
      </c>
      <c r="AF6364">
        <v>78.181549422819003</v>
      </c>
      <c r="AG6364">
        <v>-0.69389869999999998</v>
      </c>
      <c r="AH6364">
        <v>96.542194230332001</v>
      </c>
      <c r="AI6364">
        <v>90.320031354862493</v>
      </c>
      <c r="AJ6364">
        <v>50.998845138661203</v>
      </c>
      <c r="AK6364">
        <v>124.230557562806</v>
      </c>
      <c r="AL6364">
        <v>80.124869264526097</v>
      </c>
      <c r="AM6364">
        <v>71.7092496403707</v>
      </c>
      <c r="AN6364">
        <v>1.0000000183453499</v>
      </c>
    </row>
    <row r="6365" spans="1:40" x14ac:dyDescent="0.25">
      <c r="A6365" t="str">
        <f>"20190303170416632"</f>
        <v>20190303170416632</v>
      </c>
      <c r="B6365" t="str">
        <f>"1551603856622239"</f>
        <v>1551603856622239</v>
      </c>
      <c r="C6365" t="s">
        <v>40</v>
      </c>
      <c r="D6365">
        <v>4.8000809999999996</v>
      </c>
      <c r="E6365">
        <v>0.63873610000000003</v>
      </c>
      <c r="F6365" t="s">
        <v>78</v>
      </c>
      <c r="G6365">
        <v>-251.75839999999999</v>
      </c>
      <c r="H6365">
        <v>0.40840910000000002</v>
      </c>
      <c r="I6365">
        <v>-91.564989999999995</v>
      </c>
      <c r="J6365">
        <v>-313.48469999999998</v>
      </c>
      <c r="K6365">
        <v>1.065769</v>
      </c>
      <c r="L6365">
        <v>15.06485</v>
      </c>
      <c r="M6365">
        <v>0.93511679999999997</v>
      </c>
      <c r="N6365">
        <v>-2.179733E-2</v>
      </c>
      <c r="O6365">
        <v>-0.353668599999999</v>
      </c>
      <c r="P6365">
        <v>0.76789160000000001</v>
      </c>
      <c r="Q6365">
        <v>0.1630472</v>
      </c>
      <c r="R6365">
        <v>-0.61948199999999998</v>
      </c>
      <c r="S6365">
        <v>1.6448670000000001</v>
      </c>
      <c r="T6365">
        <v>-1.749218E-2</v>
      </c>
      <c r="U6365">
        <v>-2.8358150000000002</v>
      </c>
      <c r="V6365">
        <v>0.31433480000000003</v>
      </c>
      <c r="W6365">
        <v>0.17197079999999901</v>
      </c>
      <c r="X6365">
        <v>0.93360569999999998</v>
      </c>
      <c r="Y6365">
        <v>0.63149200000000005</v>
      </c>
      <c r="Z6365">
        <v>-1.485248E-2</v>
      </c>
      <c r="AA6365">
        <v>0.77524019999999905</v>
      </c>
      <c r="AB6365">
        <v>32</v>
      </c>
      <c r="AC6365">
        <v>61.726299999999902</v>
      </c>
      <c r="AD6365">
        <v>-0.6573599</v>
      </c>
      <c r="AE6365">
        <v>-106.62983999999901</v>
      </c>
      <c r="AF6365">
        <v>77.896990045221102</v>
      </c>
      <c r="AG6365">
        <v>-0.6573599</v>
      </c>
      <c r="AH6365">
        <v>95.4528869381936</v>
      </c>
      <c r="AI6365">
        <v>90.305701347905995</v>
      </c>
      <c r="AJ6365">
        <v>50.782876190870503</v>
      </c>
      <c r="AK6365">
        <v>123.205628138405</v>
      </c>
      <c r="AL6365">
        <v>80.097574286201805</v>
      </c>
      <c r="AM6365">
        <v>71.392185061322806</v>
      </c>
      <c r="AN6365">
        <v>0.99999996280808401</v>
      </c>
    </row>
    <row r="6366" spans="1:40" x14ac:dyDescent="0.25">
      <c r="A6366" t="str">
        <f>"20190303170416643"</f>
        <v>20190303170416643</v>
      </c>
      <c r="B6366" t="str">
        <f>"1551603856632000"</f>
        <v>1551603856632000</v>
      </c>
      <c r="C6366" t="s">
        <v>40</v>
      </c>
      <c r="D6366">
        <v>4.7730670000000002</v>
      </c>
      <c r="E6366">
        <v>0.63929840000000004</v>
      </c>
      <c r="F6366" t="s">
        <v>110</v>
      </c>
      <c r="G6366">
        <v>-273.66309999999999</v>
      </c>
      <c r="H6366">
        <v>7.9986879999999996E-2</v>
      </c>
      <c r="I6366">
        <v>-49.452910000000003</v>
      </c>
      <c r="J6366">
        <v>-313.33429999999998</v>
      </c>
      <c r="K6366">
        <v>1.065069</v>
      </c>
      <c r="L6366">
        <v>14.99973</v>
      </c>
      <c r="M6366">
        <v>0.93201069999999997</v>
      </c>
      <c r="N6366">
        <v>-2.1559559999999998E-2</v>
      </c>
      <c r="O6366">
        <v>-0.36178909999999997</v>
      </c>
      <c r="P6366">
        <v>0.76112999999999997</v>
      </c>
      <c r="Q6366">
        <v>0.16340850000000001</v>
      </c>
      <c r="R6366">
        <v>-0.62767729999999999</v>
      </c>
      <c r="S6366">
        <v>1.6972959999999999</v>
      </c>
      <c r="T6366">
        <v>-4.201651E-2</v>
      </c>
      <c r="U6366">
        <v>-2.749908</v>
      </c>
      <c r="V6366">
        <v>0.3162587</v>
      </c>
      <c r="W6366">
        <v>0.17202899999999999</v>
      </c>
      <c r="X6366">
        <v>0.93294509999999997</v>
      </c>
      <c r="Y6366">
        <v>0.60302540000000004</v>
      </c>
      <c r="Z6366">
        <v>-1.3907630000000001E-2</v>
      </c>
      <c r="AA6366">
        <v>0.7976008</v>
      </c>
      <c r="AB6366">
        <v>32</v>
      </c>
      <c r="AC6366">
        <v>39.671199999999999</v>
      </c>
      <c r="AD6366">
        <v>-0.98508211999999995</v>
      </c>
      <c r="AE6366">
        <v>-64.452640000000002</v>
      </c>
      <c r="AF6366">
        <v>45.7208230106557</v>
      </c>
      <c r="AG6366">
        <v>-0.98508211999999995</v>
      </c>
      <c r="AH6366">
        <v>60.296044440308599</v>
      </c>
      <c r="AI6366">
        <v>90.745838184251497</v>
      </c>
      <c r="AJ6366">
        <v>52.8279637847534</v>
      </c>
      <c r="AK6366">
        <v>75.676793131729099</v>
      </c>
      <c r="AL6366">
        <v>80.094190105337205</v>
      </c>
      <c r="AM6366">
        <v>71.273874834792295</v>
      </c>
      <c r="AN6366">
        <v>1.0000000508903399</v>
      </c>
    </row>
    <row r="6367" spans="1:40" x14ac:dyDescent="0.25">
      <c r="A6367" t="str">
        <f>"20190303170416655"</f>
        <v>20190303170416655</v>
      </c>
      <c r="B6367" t="str">
        <f>"1551603856641760"</f>
        <v>1551603856641760</v>
      </c>
      <c r="C6367" t="s">
        <v>40</v>
      </c>
      <c r="D6367">
        <v>4.8106119999999999</v>
      </c>
      <c r="E6367">
        <v>0.63862839999999998</v>
      </c>
      <c r="F6367" t="s">
        <v>110</v>
      </c>
      <c r="G6367">
        <v>-270.60449999999997</v>
      </c>
      <c r="H6367" s="1">
        <v>-6.8366530000000003E-7</v>
      </c>
      <c r="I6367">
        <v>-56.098779999999998</v>
      </c>
      <c r="J6367">
        <v>-313.17419999999998</v>
      </c>
      <c r="K6367">
        <v>1.064341</v>
      </c>
      <c r="L6367">
        <v>14.92957</v>
      </c>
      <c r="M6367">
        <v>0.9286103</v>
      </c>
      <c r="N6367">
        <v>-2.130781E-2</v>
      </c>
      <c r="O6367">
        <v>-0.3704442</v>
      </c>
      <c r="P6367">
        <v>0.75416249999999996</v>
      </c>
      <c r="Q6367">
        <v>0.16428099999999901</v>
      </c>
      <c r="R6367">
        <v>-0.63580700000000001</v>
      </c>
      <c r="S6367">
        <v>1.665314</v>
      </c>
      <c r="T6367">
        <v>-4.1509150000000002E-2</v>
      </c>
      <c r="U6367">
        <v>-2.7709350000000001</v>
      </c>
      <c r="V6367">
        <v>0.317687099999999</v>
      </c>
      <c r="W6367">
        <v>0.17260210000000001</v>
      </c>
      <c r="X6367">
        <v>0.93235369999999995</v>
      </c>
      <c r="Y6367">
        <v>0.60504690000000005</v>
      </c>
      <c r="Z6367">
        <v>-1.382476E-2</v>
      </c>
      <c r="AA6367">
        <v>0.7960699</v>
      </c>
      <c r="AB6367">
        <v>32</v>
      </c>
      <c r="AC6367">
        <v>42.569699999999997</v>
      </c>
      <c r="AD6367">
        <v>-1.0643416836652999</v>
      </c>
      <c r="AE6367">
        <v>-71.028350000000003</v>
      </c>
      <c r="AF6367">
        <v>50.191063967185997</v>
      </c>
      <c r="AG6367">
        <v>-1.0643416836652999</v>
      </c>
      <c r="AH6367">
        <v>65.846775733706593</v>
      </c>
      <c r="AI6367">
        <v>90.736508779830999</v>
      </c>
      <c r="AJ6367">
        <v>52.683891029111201</v>
      </c>
      <c r="AK6367">
        <v>82.801410615416501</v>
      </c>
      <c r="AL6367">
        <v>80.060854756919895</v>
      </c>
      <c r="AM6367">
        <v>71.184140577571597</v>
      </c>
      <c r="AN6367">
        <v>1.00000000016725</v>
      </c>
    </row>
    <row r="6368" spans="1:40" x14ac:dyDescent="0.25">
      <c r="A6368" t="str">
        <f>"20190303170416667"</f>
        <v>20190303170416667</v>
      </c>
      <c r="B6368" t="str">
        <f>"1551603856652496"</f>
        <v>1551603856652496</v>
      </c>
      <c r="C6368" t="s">
        <v>40</v>
      </c>
      <c r="D6368">
        <v>4.7665059999999997</v>
      </c>
      <c r="E6368">
        <v>0.63862839999999998</v>
      </c>
      <c r="F6368" t="s">
        <v>110</v>
      </c>
      <c r="G6368">
        <v>-277.49090000000001</v>
      </c>
      <c r="H6368">
        <v>7.9986539999999995E-2</v>
      </c>
      <c r="I6368">
        <v>-45.657380000000003</v>
      </c>
      <c r="J6368">
        <v>-313.02679999999998</v>
      </c>
      <c r="K6368">
        <v>1.063725</v>
      </c>
      <c r="L6368">
        <v>14.86234</v>
      </c>
      <c r="M6368">
        <v>0.92535480000000003</v>
      </c>
      <c r="N6368">
        <v>-2.1081720000000002E-2</v>
      </c>
      <c r="O6368">
        <v>-0.37851580000000001</v>
      </c>
      <c r="P6368">
        <v>0.74750159999999999</v>
      </c>
      <c r="Q6368">
        <v>0.16483519999999999</v>
      </c>
      <c r="R6368">
        <v>-0.64348380000000005</v>
      </c>
      <c r="S6368">
        <v>1.6400760000000001</v>
      </c>
      <c r="T6368">
        <v>-4.5242909999999997E-2</v>
      </c>
      <c r="U6368">
        <v>-2.7846980000000001</v>
      </c>
      <c r="V6368">
        <v>0.31916850000000002</v>
      </c>
      <c r="W6368">
        <v>0.17287169999999999</v>
      </c>
      <c r="X6368">
        <v>0.9317976</v>
      </c>
      <c r="Y6368">
        <v>0.60517619999999905</v>
      </c>
      <c r="Z6368">
        <v>-1.3625109999999999E-2</v>
      </c>
      <c r="AA6368">
        <v>0.79597499999999999</v>
      </c>
      <c r="AB6368">
        <v>32</v>
      </c>
      <c r="AC6368">
        <v>35.535899999999899</v>
      </c>
      <c r="AD6368">
        <v>-0.98373845999999998</v>
      </c>
      <c r="AE6368">
        <v>-60.5197199999999</v>
      </c>
      <c r="AF6368">
        <v>42.552408724313501</v>
      </c>
      <c r="AG6368">
        <v>-0.98373845999999998</v>
      </c>
      <c r="AH6368">
        <v>55.792421501518298</v>
      </c>
      <c r="AI6368">
        <v>90.803224194018199</v>
      </c>
      <c r="AJ6368">
        <v>52.667539939020401</v>
      </c>
      <c r="AK6368">
        <v>70.1745646698417</v>
      </c>
      <c r="AL6368">
        <v>80.0451716858813</v>
      </c>
      <c r="AM6368">
        <v>71.0921368309575</v>
      </c>
      <c r="AN6368">
        <v>0.99999996170944905</v>
      </c>
    </row>
    <row r="6369" spans="1:40" x14ac:dyDescent="0.25">
      <c r="A6369" t="str">
        <f>"20190303170416681"</f>
        <v>20190303170416681</v>
      </c>
      <c r="B6369" t="str">
        <f>"1551603856672016"</f>
        <v>1551603856672016</v>
      </c>
      <c r="C6369" t="s">
        <v>40</v>
      </c>
      <c r="D6369">
        <v>4.7623439999999997</v>
      </c>
      <c r="E6369">
        <v>0.6282664</v>
      </c>
      <c r="F6369" t="s">
        <v>110</v>
      </c>
      <c r="G6369">
        <v>-277.53289999999998</v>
      </c>
      <c r="H6369">
        <v>7.9986539999999995E-2</v>
      </c>
      <c r="I6369">
        <v>-46.815269999999998</v>
      </c>
      <c r="J6369">
        <v>-312.83479999999997</v>
      </c>
      <c r="K6369">
        <v>1.0629550000000001</v>
      </c>
      <c r="L6369">
        <v>14.773070000000001</v>
      </c>
      <c r="M6369">
        <v>0.92097410000000002</v>
      </c>
      <c r="N6369">
        <v>-2.0792020000000001E-2</v>
      </c>
      <c r="O6369">
        <v>-0.3890689</v>
      </c>
      <c r="P6369">
        <v>0.73872799999999905</v>
      </c>
      <c r="Q6369">
        <v>0.16595670000000001</v>
      </c>
      <c r="R6369">
        <v>-0.65325299999999997</v>
      </c>
      <c r="S6369">
        <v>1.6119380000000001</v>
      </c>
      <c r="T6369">
        <v>-4.4675949999999999E-2</v>
      </c>
      <c r="U6369">
        <v>-2.801056</v>
      </c>
      <c r="V6369">
        <v>0.32090570000000002</v>
      </c>
      <c r="W6369">
        <v>0.17363339999999999</v>
      </c>
      <c r="X6369">
        <v>0.93105910000000003</v>
      </c>
      <c r="Y6369">
        <v>0.60409990000000002</v>
      </c>
      <c r="Z6369">
        <v>-1.3435030000000001E-2</v>
      </c>
      <c r="AA6369">
        <v>0.79679540000000004</v>
      </c>
      <c r="AB6369">
        <v>32</v>
      </c>
      <c r="AC6369">
        <v>35.301899999999897</v>
      </c>
      <c r="AD6369">
        <v>-0.98296846000000004</v>
      </c>
      <c r="AE6369">
        <v>-61.588340000000002</v>
      </c>
      <c r="AF6369">
        <v>42.987442520832403</v>
      </c>
      <c r="AG6369">
        <v>-0.98296846000000004</v>
      </c>
      <c r="AH6369">
        <v>56.475620003130203</v>
      </c>
      <c r="AI6369">
        <v>90.793470065996104</v>
      </c>
      <c r="AJ6369">
        <v>52.722765078503301</v>
      </c>
      <c r="AK6369">
        <v>70.9815616636686</v>
      </c>
      <c r="AL6369">
        <v>80.000860130142797</v>
      </c>
      <c r="AM6369">
        <v>70.982598074689093</v>
      </c>
      <c r="AN6369">
        <v>1.00000003679042</v>
      </c>
    </row>
    <row r="6370" spans="1:40" x14ac:dyDescent="0.25">
      <c r="A6370" t="str">
        <f>"20190303170416693"</f>
        <v>20190303170416693</v>
      </c>
      <c r="B6370" t="str">
        <f>"1551603856681776"</f>
        <v>1551603856681776</v>
      </c>
      <c r="C6370" t="s">
        <v>40</v>
      </c>
      <c r="D6370">
        <v>4.5217599999999996</v>
      </c>
      <c r="E6370">
        <v>0.62836969999999903</v>
      </c>
      <c r="F6370" t="s">
        <v>44</v>
      </c>
      <c r="G6370">
        <v>-275.7647</v>
      </c>
      <c r="H6370">
        <v>-0.05</v>
      </c>
      <c r="I6370">
        <v>-47.968029999999999</v>
      </c>
      <c r="J6370">
        <v>-312.68099999999998</v>
      </c>
      <c r="K6370">
        <v>1.0623769999999999</v>
      </c>
      <c r="L6370">
        <v>14.699920000000001</v>
      </c>
      <c r="M6370">
        <v>0.91734450000000001</v>
      </c>
      <c r="N6370">
        <v>-2.0565239999999999E-2</v>
      </c>
      <c r="O6370">
        <v>-0.39756259999999999</v>
      </c>
      <c r="P6370">
        <v>0.73124429999999996</v>
      </c>
      <c r="Q6370">
        <v>0.16661909999999999</v>
      </c>
      <c r="R6370">
        <v>-0.66145279999999995</v>
      </c>
      <c r="S6370">
        <v>1.630981</v>
      </c>
      <c r="T6370">
        <v>-4.8966999999999997E-2</v>
      </c>
      <c r="U6370">
        <v>-2.760437</v>
      </c>
      <c r="V6370">
        <v>0.32277699999999998</v>
      </c>
      <c r="W6370">
        <v>0.17399029999999999</v>
      </c>
      <c r="X6370">
        <v>0.93034530000000004</v>
      </c>
      <c r="Y6370">
        <v>0.58746369999999903</v>
      </c>
      <c r="Z6370">
        <v>-1.278488E-2</v>
      </c>
      <c r="AA6370">
        <v>0.80914949999999997</v>
      </c>
      <c r="AB6370">
        <v>31</v>
      </c>
      <c r="AC6370">
        <v>36.9162999999999</v>
      </c>
      <c r="AD6370">
        <v>-1.1123769999999999</v>
      </c>
      <c r="AE6370">
        <v>-62.667949999999998</v>
      </c>
      <c r="AF6370">
        <v>42.810603925476599</v>
      </c>
      <c r="AG6370">
        <v>-1.1123769999999999</v>
      </c>
      <c r="AH6370">
        <v>58.778086539722203</v>
      </c>
      <c r="AI6370">
        <v>90.876417416930295</v>
      </c>
      <c r="AJ6370">
        <v>53.932541576954598</v>
      </c>
      <c r="AK6370">
        <v>72.7244707668968</v>
      </c>
      <c r="AL6370">
        <v>79.980094796032105</v>
      </c>
      <c r="AM6370">
        <v>70.866129177609196</v>
      </c>
      <c r="AN6370">
        <v>0.99999999672758999</v>
      </c>
    </row>
    <row r="6371" spans="1:40" x14ac:dyDescent="0.25">
      <c r="A6371" t="str">
        <f>"20190303170416705"</f>
        <v>20190303170416705</v>
      </c>
      <c r="B6371" t="str">
        <f>"1551603856691536"</f>
        <v>1551603856691536</v>
      </c>
      <c r="C6371" t="s">
        <v>40</v>
      </c>
      <c r="D6371">
        <v>4.7759809999999998</v>
      </c>
      <c r="E6371">
        <v>0.62774770000000002</v>
      </c>
      <c r="F6371" t="s">
        <v>44</v>
      </c>
      <c r="G6371">
        <v>-248.10550000000001</v>
      </c>
      <c r="H6371">
        <v>-0.05</v>
      </c>
      <c r="I6371">
        <v>-97.709370000000007</v>
      </c>
      <c r="J6371">
        <v>-312.53530000000001</v>
      </c>
      <c r="K6371">
        <v>1.061879</v>
      </c>
      <c r="L6371">
        <v>14.62823</v>
      </c>
      <c r="M6371">
        <v>0.91378199999999998</v>
      </c>
      <c r="N6371">
        <v>-2.0359720000000001E-2</v>
      </c>
      <c r="O6371">
        <v>-0.40569440000000001</v>
      </c>
      <c r="P6371">
        <v>0.72386399999999995</v>
      </c>
      <c r="Q6371">
        <v>0.1671067</v>
      </c>
      <c r="R6371">
        <v>-0.6694</v>
      </c>
      <c r="S6371">
        <v>1.595917</v>
      </c>
      <c r="T6371">
        <v>-2.7491209999999999E-2</v>
      </c>
      <c r="U6371">
        <v>-2.778076</v>
      </c>
      <c r="V6371">
        <v>0.32474429999999999</v>
      </c>
      <c r="W6371">
        <v>0.17418800000000001</v>
      </c>
      <c r="X6371">
        <v>0.92962339999999999</v>
      </c>
      <c r="Y6371">
        <v>0.59025539999999999</v>
      </c>
      <c r="Z6371">
        <v>-1.3420899999999999E-2</v>
      </c>
      <c r="AA6371">
        <v>0.80710499999999996</v>
      </c>
      <c r="AB6371">
        <v>31</v>
      </c>
      <c r="AC6371">
        <v>64.4298</v>
      </c>
      <c r="AD6371">
        <v>-1.1118790000000001</v>
      </c>
      <c r="AE6371">
        <v>-112.33759999999999</v>
      </c>
      <c r="AF6371">
        <v>76.523489496218104</v>
      </c>
      <c r="AG6371">
        <v>-1.1118790000000001</v>
      </c>
      <c r="AH6371">
        <v>104.46348060768</v>
      </c>
      <c r="AI6371">
        <v>90.491952142402297</v>
      </c>
      <c r="AJ6371">
        <v>53.775799422101699</v>
      </c>
      <c r="AK6371">
        <v>129.49787450093399</v>
      </c>
      <c r="AL6371">
        <v>79.968591727886903</v>
      </c>
      <c r="AM6371">
        <v>70.744216994734103</v>
      </c>
      <c r="AN6371">
        <v>0.999999992777024</v>
      </c>
    </row>
    <row r="6372" spans="1:40" x14ac:dyDescent="0.25">
      <c r="A6372" t="str">
        <f>"20190303170416716"</f>
        <v>20190303170416716</v>
      </c>
      <c r="B6372" t="str">
        <f>"1551603856702271"</f>
        <v>1551603856702271</v>
      </c>
      <c r="C6372" t="s">
        <v>40</v>
      </c>
      <c r="D6372">
        <v>4.5153939999999997</v>
      </c>
      <c r="E6372">
        <v>0.62861219999999995</v>
      </c>
      <c r="F6372" t="s">
        <v>44</v>
      </c>
      <c r="G6372">
        <v>-250.36150000000001</v>
      </c>
      <c r="H6372">
        <v>-0.05</v>
      </c>
      <c r="I6372">
        <v>-96.021770000000004</v>
      </c>
      <c r="J6372">
        <v>-312.38470000000001</v>
      </c>
      <c r="K6372">
        <v>1.061374</v>
      </c>
      <c r="L6372">
        <v>14.55331</v>
      </c>
      <c r="M6372">
        <v>0.91000709999999996</v>
      </c>
      <c r="N6372">
        <v>-2.0150319999999999E-2</v>
      </c>
      <c r="O6372">
        <v>-0.414103</v>
      </c>
      <c r="P6372">
        <v>0.71617959999999903</v>
      </c>
      <c r="Q6372">
        <v>0.16764689999999999</v>
      </c>
      <c r="R6372">
        <v>-0.67748199999999903</v>
      </c>
      <c r="S6372">
        <v>1.568878</v>
      </c>
      <c r="T6372">
        <v>-2.8056859999999999E-2</v>
      </c>
      <c r="U6372">
        <v>-2.7921140000000002</v>
      </c>
      <c r="V6372">
        <v>0.32668350000000002</v>
      </c>
      <c r="W6372">
        <v>0.17443499999999901</v>
      </c>
      <c r="X6372">
        <v>0.92889739999999998</v>
      </c>
      <c r="Y6372">
        <v>0.59048350000000005</v>
      </c>
      <c r="Z6372">
        <v>-1.331834E-2</v>
      </c>
      <c r="AA6372">
        <v>0.80693979999999998</v>
      </c>
      <c r="AB6372">
        <v>31</v>
      </c>
      <c r="AC6372">
        <v>62.023200000000003</v>
      </c>
      <c r="AD6372">
        <v>-1.1113740000000001</v>
      </c>
      <c r="AE6372">
        <v>-110.57508</v>
      </c>
      <c r="AF6372">
        <v>74.949564703324498</v>
      </c>
      <c r="AG6372">
        <v>-1.1113740000000001</v>
      </c>
      <c r="AH6372">
        <v>102.243916133928</v>
      </c>
      <c r="AI6372">
        <v>90.502281097809302</v>
      </c>
      <c r="AJ6372">
        <v>53.756843564802502</v>
      </c>
      <c r="AK6372">
        <v>126.777327577873</v>
      </c>
      <c r="AL6372">
        <v>79.954220009916099</v>
      </c>
      <c r="AM6372">
        <v>70.623760007186704</v>
      </c>
      <c r="AN6372">
        <v>1.0000000290619999</v>
      </c>
    </row>
    <row r="6373" spans="1:40" x14ac:dyDescent="0.25">
      <c r="A6373" t="str">
        <f>"20190303170416728"</f>
        <v>20190303170416728</v>
      </c>
      <c r="B6373" t="str">
        <f>"1551603856721793"</f>
        <v>1551603856721793</v>
      </c>
      <c r="C6373" t="s">
        <v>40</v>
      </c>
      <c r="D6373">
        <v>4.5595999999999997</v>
      </c>
      <c r="E6373">
        <v>0.62696719999999995</v>
      </c>
      <c r="F6373" t="s">
        <v>78</v>
      </c>
      <c r="G6373">
        <v>-254.66300000000001</v>
      </c>
      <c r="H6373">
        <v>0.45213130000000001</v>
      </c>
      <c r="I6373">
        <v>-91.564989999999995</v>
      </c>
      <c r="J6373">
        <v>-312.22649999999999</v>
      </c>
      <c r="K6373">
        <v>1.0608930000000001</v>
      </c>
      <c r="L6373">
        <v>14.47186</v>
      </c>
      <c r="M6373">
        <v>0.90589569999999997</v>
      </c>
      <c r="N6373">
        <v>-1.9943289999999999E-2</v>
      </c>
      <c r="O6373">
        <v>-0.4230312</v>
      </c>
      <c r="P6373">
        <v>0.708381699999999</v>
      </c>
      <c r="Q6373">
        <v>0.16826729999999901</v>
      </c>
      <c r="R6373">
        <v>-0.68547910000000001</v>
      </c>
      <c r="S6373">
        <v>1.53067</v>
      </c>
      <c r="T6373">
        <v>-1.6155599999999999E-2</v>
      </c>
      <c r="U6373">
        <v>-2.8140559999999999</v>
      </c>
      <c r="V6373">
        <v>0.32806839999999998</v>
      </c>
      <c r="W6373">
        <v>0.1747862</v>
      </c>
      <c r="X6373">
        <v>0.92834309999999998</v>
      </c>
      <c r="Y6373">
        <v>0.59368889999999996</v>
      </c>
      <c r="Z6373">
        <v>-1.375373E-2</v>
      </c>
      <c r="AA6373">
        <v>0.80457709999999905</v>
      </c>
      <c r="AB6373">
        <v>31</v>
      </c>
      <c r="AC6373">
        <v>57.563499999999998</v>
      </c>
      <c r="AD6373">
        <v>-0.60876169999999996</v>
      </c>
      <c r="AE6373">
        <v>-106.03685</v>
      </c>
      <c r="AF6373">
        <v>71.719603273919105</v>
      </c>
      <c r="AG6373">
        <v>-0.60876169999999996</v>
      </c>
      <c r="AH6373">
        <v>97.020242439869804</v>
      </c>
      <c r="AI6373">
        <v>90.289091859321402</v>
      </c>
      <c r="AJ6373">
        <v>53.527332646950597</v>
      </c>
      <c r="AK6373">
        <v>120.652391305215</v>
      </c>
      <c r="AL6373">
        <v>79.933783497584002</v>
      </c>
      <c r="AM6373">
        <v>70.537033617997196</v>
      </c>
      <c r="AN6373">
        <v>1.0000000010532999</v>
      </c>
    </row>
    <row r="6374" spans="1:40" x14ac:dyDescent="0.25">
      <c r="A6374" t="str">
        <f>"20190303170416740"</f>
        <v>20190303170416740</v>
      </c>
      <c r="B6374" t="str">
        <f>"1551603856732528"</f>
        <v>1551603856732528</v>
      </c>
      <c r="C6374" t="s">
        <v>40</v>
      </c>
      <c r="D6374">
        <v>4.5647789999999997</v>
      </c>
      <c r="E6374">
        <v>0.62592009999999998</v>
      </c>
      <c r="F6374" t="s">
        <v>78</v>
      </c>
      <c r="G6374">
        <v>-255.56110000000001</v>
      </c>
      <c r="H6374">
        <v>0.64535710000000002</v>
      </c>
      <c r="I6374">
        <v>-91.564989999999995</v>
      </c>
      <c r="J6374">
        <v>-312.0752</v>
      </c>
      <c r="K6374">
        <v>1.060459</v>
      </c>
      <c r="L6374">
        <v>14.39246</v>
      </c>
      <c r="M6374">
        <v>0.90184750000000002</v>
      </c>
      <c r="N6374">
        <v>-1.975205E-2</v>
      </c>
      <c r="O6374">
        <v>-0.43160280000000001</v>
      </c>
      <c r="P6374">
        <v>0.70130599999999998</v>
      </c>
      <c r="Q6374">
        <v>0.1686656</v>
      </c>
      <c r="R6374">
        <v>-0.69261989999999996</v>
      </c>
      <c r="S6374">
        <v>1.5076290000000001</v>
      </c>
      <c r="T6374">
        <v>-1.105535E-2</v>
      </c>
      <c r="U6374">
        <v>-2.8211979999999999</v>
      </c>
      <c r="V6374">
        <v>0.32872859999999998</v>
      </c>
      <c r="W6374">
        <v>0.1749636</v>
      </c>
      <c r="X6374">
        <v>0.92807609999999996</v>
      </c>
      <c r="Y6374">
        <v>0.59202719999999998</v>
      </c>
      <c r="Z6374">
        <v>-1.3898789999999999E-2</v>
      </c>
      <c r="AA6374">
        <v>0.80579809999999996</v>
      </c>
      <c r="AB6374">
        <v>31</v>
      </c>
      <c r="AC6374">
        <v>56.5140999999999</v>
      </c>
      <c r="AD6374">
        <v>-0.41510190000000002</v>
      </c>
      <c r="AE6374">
        <v>-105.95744999999999</v>
      </c>
      <c r="AF6374">
        <v>71.1788524005146</v>
      </c>
      <c r="AG6374">
        <v>-0.41510190000000002</v>
      </c>
      <c r="AH6374">
        <v>96.716343330690407</v>
      </c>
      <c r="AI6374">
        <v>90.198054978690294</v>
      </c>
      <c r="AJ6374">
        <v>53.648613373319002</v>
      </c>
      <c r="AK6374">
        <v>120.086020859638</v>
      </c>
      <c r="AL6374">
        <v>79.923460145587896</v>
      </c>
      <c r="AM6374">
        <v>70.495632607337498</v>
      </c>
      <c r="AN6374">
        <v>1.00000000058706</v>
      </c>
    </row>
    <row r="6375" spans="1:40" x14ac:dyDescent="0.25">
      <c r="A6375" t="str">
        <f>"20190303170416752"</f>
        <v>20190303170416752</v>
      </c>
      <c r="B6375" t="str">
        <f>"1551603856742288"</f>
        <v>1551603856742288</v>
      </c>
      <c r="C6375" t="s">
        <v>40</v>
      </c>
      <c r="D6375">
        <v>4.5173880000000004</v>
      </c>
      <c r="E6375">
        <v>0.62561929999999999</v>
      </c>
      <c r="F6375" t="s">
        <v>78</v>
      </c>
      <c r="G6375">
        <v>-256.46960000000001</v>
      </c>
      <c r="H6375">
        <v>0.68453980000000003</v>
      </c>
      <c r="I6375">
        <v>-91.564989999999995</v>
      </c>
      <c r="J6375">
        <v>-311.92989999999998</v>
      </c>
      <c r="K6375">
        <v>1.0600700000000001</v>
      </c>
      <c r="L6375">
        <v>14.31461</v>
      </c>
      <c r="M6375">
        <v>0.89784869999999894</v>
      </c>
      <c r="N6375">
        <v>-1.9576119999999999E-2</v>
      </c>
      <c r="O6375">
        <v>-0.43986890000000001</v>
      </c>
      <c r="P6375">
        <v>0.69479539999999995</v>
      </c>
      <c r="Q6375">
        <v>0.1691136</v>
      </c>
      <c r="R6375">
        <v>-0.69904270000000002</v>
      </c>
      <c r="S6375">
        <v>1.485168</v>
      </c>
      <c r="T6375">
        <v>-1.004004E-2</v>
      </c>
      <c r="U6375">
        <v>-2.8300169999999998</v>
      </c>
      <c r="V6375">
        <v>0.32880890000000002</v>
      </c>
      <c r="W6375">
        <v>0.17523079999999999</v>
      </c>
      <c r="X6375">
        <v>0.92799719999999997</v>
      </c>
      <c r="Y6375">
        <v>0.59067199999999997</v>
      </c>
      <c r="Z6375">
        <v>-1.3900610000000001E-2</v>
      </c>
      <c r="AA6375">
        <v>0.80679209999999901</v>
      </c>
      <c r="AB6375">
        <v>31</v>
      </c>
      <c r="AC6375">
        <v>55.460299999999897</v>
      </c>
      <c r="AD6375">
        <v>-0.37553019999999998</v>
      </c>
      <c r="AE6375">
        <v>-105.8796</v>
      </c>
      <c r="AF6375">
        <v>70.681441495858607</v>
      </c>
      <c r="AG6375">
        <v>-0.37553019999999998</v>
      </c>
      <c r="AH6375">
        <v>96.385612819711895</v>
      </c>
      <c r="AI6375">
        <v>90.180015520519106</v>
      </c>
      <c r="AJ6375">
        <v>53.746680735099503</v>
      </c>
      <c r="AK6375">
        <v>119.52486583759401</v>
      </c>
      <c r="AL6375">
        <v>79.907910121965699</v>
      </c>
      <c r="AM6375">
        <v>70.489694549297297</v>
      </c>
      <c r="AN6375">
        <v>0.99999996459784402</v>
      </c>
    </row>
    <row r="6376" spans="1:40" x14ac:dyDescent="0.25">
      <c r="A6376" t="str">
        <f>"20190303170416767"</f>
        <v>20190303170416767</v>
      </c>
      <c r="B6376" t="str">
        <f>"1551603856761808"</f>
        <v>1551603856761808</v>
      </c>
      <c r="C6376" t="s">
        <v>40</v>
      </c>
      <c r="D6376">
        <v>4.5465540000000004</v>
      </c>
      <c r="E6376">
        <v>0.62445280000000003</v>
      </c>
      <c r="F6376" t="s">
        <v>78</v>
      </c>
      <c r="G6376">
        <v>-257.47019999999998</v>
      </c>
      <c r="H6376">
        <v>0.7276726</v>
      </c>
      <c r="I6376">
        <v>-91.564989999999995</v>
      </c>
      <c r="J6376">
        <v>-311.745</v>
      </c>
      <c r="K6376">
        <v>1.0596239999999999</v>
      </c>
      <c r="L6376">
        <v>14.212490000000001</v>
      </c>
      <c r="M6376">
        <v>0.89257739999999997</v>
      </c>
      <c r="N6376">
        <v>-1.9366359999999999E-2</v>
      </c>
      <c r="O6376">
        <v>-0.45047799999999999</v>
      </c>
      <c r="P6376">
        <v>0.68558160000000001</v>
      </c>
      <c r="Q6376">
        <v>0.17039869999999999</v>
      </c>
      <c r="R6376">
        <v>-0.70777290000000004</v>
      </c>
      <c r="S6376">
        <v>1.461395</v>
      </c>
      <c r="T6376">
        <v>-8.9194770000000003E-3</v>
      </c>
      <c r="U6376">
        <v>-2.8412169999999999</v>
      </c>
      <c r="V6376">
        <v>0.32974340000000002</v>
      </c>
      <c r="W6376">
        <v>0.1762592</v>
      </c>
      <c r="X6376">
        <v>0.92747069999999998</v>
      </c>
      <c r="Y6376">
        <v>0.5877424</v>
      </c>
      <c r="Z6376">
        <v>-1.389581E-2</v>
      </c>
      <c r="AA6376">
        <v>0.8089288</v>
      </c>
      <c r="AB6376">
        <v>31</v>
      </c>
      <c r="AC6376">
        <v>54.274799999999999</v>
      </c>
      <c r="AD6376">
        <v>-0.33195139999999901</v>
      </c>
      <c r="AE6376">
        <v>-105.77748</v>
      </c>
      <c r="AF6376">
        <v>69.977566790610595</v>
      </c>
      <c r="AG6376">
        <v>-0.33195139999999901</v>
      </c>
      <c r="AH6376">
        <v>96.112168612351994</v>
      </c>
      <c r="AI6376">
        <v>90.159976865909897</v>
      </c>
      <c r="AJ6376">
        <v>53.942300708905002</v>
      </c>
      <c r="AK6376">
        <v>118.888683233668</v>
      </c>
      <c r="AL6376">
        <v>79.848055470150101</v>
      </c>
      <c r="AM6376">
        <v>70.428188221528103</v>
      </c>
      <c r="AN6376">
        <v>0.99999995739334402</v>
      </c>
    </row>
    <row r="6377" spans="1:40" x14ac:dyDescent="0.25">
      <c r="A6377" t="str">
        <f>"20190303170416779"</f>
        <v>20190303170416779</v>
      </c>
      <c r="B6377" t="str">
        <f>"1551603856771568"</f>
        <v>1551603856771568</v>
      </c>
      <c r="C6377" t="s">
        <v>40</v>
      </c>
      <c r="D6377">
        <v>4.5484439999999999</v>
      </c>
      <c r="E6377">
        <v>0.62343780000000004</v>
      </c>
      <c r="F6377" t="s">
        <v>78</v>
      </c>
      <c r="G6377">
        <v>-258.94439999999997</v>
      </c>
      <c r="H6377">
        <v>0.82928659999999998</v>
      </c>
      <c r="I6377">
        <v>-90.976820000000004</v>
      </c>
      <c r="J6377">
        <v>-311.59449999999998</v>
      </c>
      <c r="K6377">
        <v>1.0592839999999999</v>
      </c>
      <c r="L6377">
        <v>14.12762</v>
      </c>
      <c r="M6377">
        <v>0.88815330000000003</v>
      </c>
      <c r="N6377">
        <v>-1.9202830000000001E-2</v>
      </c>
      <c r="O6377">
        <v>-0.4591459</v>
      </c>
      <c r="P6377">
        <v>0.67814629999999998</v>
      </c>
      <c r="Q6377">
        <v>0.17106060000000001</v>
      </c>
      <c r="R6377">
        <v>-0.71474190000000004</v>
      </c>
      <c r="S6377">
        <v>1.4320679999999999</v>
      </c>
      <c r="T6377">
        <v>-6.2469240000000001E-3</v>
      </c>
      <c r="U6377">
        <v>-2.8529659999999999</v>
      </c>
      <c r="V6377">
        <v>0.33029839999999999</v>
      </c>
      <c r="W6377">
        <v>0.1767291</v>
      </c>
      <c r="X6377">
        <v>0.9271838</v>
      </c>
      <c r="Y6377">
        <v>0.58784789999999998</v>
      </c>
      <c r="Z6377">
        <v>-1.402896E-2</v>
      </c>
      <c r="AA6377">
        <v>0.80884979999999995</v>
      </c>
      <c r="AB6377">
        <v>31</v>
      </c>
      <c r="AC6377">
        <v>52.650100000000002</v>
      </c>
      <c r="AD6377">
        <v>-0.22999739999999999</v>
      </c>
      <c r="AE6377">
        <v>-105.104439999999</v>
      </c>
      <c r="AF6377">
        <v>69.187270745602305</v>
      </c>
      <c r="AG6377">
        <v>-0.22999739999999999</v>
      </c>
      <c r="AH6377">
        <v>95.036793440739501</v>
      </c>
      <c r="AI6377">
        <v>90.112100804846904</v>
      </c>
      <c r="AJ6377">
        <v>53.945190675415098</v>
      </c>
      <c r="AK6377">
        <v>117.55391715943399</v>
      </c>
      <c r="AL6377">
        <v>79.820703264396201</v>
      </c>
      <c r="AM6377">
        <v>70.3921525359534</v>
      </c>
      <c r="AN6377">
        <v>1.0000000034059</v>
      </c>
    </row>
    <row r="6378" spans="1:40" x14ac:dyDescent="0.25">
      <c r="A6378" t="str">
        <f>"20190303170416794"</f>
        <v>20190303170416794</v>
      </c>
      <c r="B6378" t="str">
        <f>"1551603856782304"</f>
        <v>1551603856782304</v>
      </c>
      <c r="C6378" t="s">
        <v>40</v>
      </c>
      <c r="D6378">
        <v>4.5706759999999997</v>
      </c>
      <c r="E6378">
        <v>0.6226855</v>
      </c>
      <c r="F6378" t="s">
        <v>78</v>
      </c>
      <c r="G6378">
        <v>-259.86939999999998</v>
      </c>
      <c r="H6378">
        <v>0.90460010000000002</v>
      </c>
      <c r="I6378">
        <v>-90.976820000000004</v>
      </c>
      <c r="J6378">
        <v>-311.41109999999998</v>
      </c>
      <c r="K6378">
        <v>1.0589029999999999</v>
      </c>
      <c r="L6378">
        <v>14.021610000000001</v>
      </c>
      <c r="M6378">
        <v>0.8825868</v>
      </c>
      <c r="N6378">
        <v>-1.9015310000000001E-2</v>
      </c>
      <c r="O6378">
        <v>-0.46976499999999999</v>
      </c>
      <c r="P6378">
        <v>0.66876919999999995</v>
      </c>
      <c r="Q6378">
        <v>0.17158970000000001</v>
      </c>
      <c r="R6378">
        <v>-0.72339809999999904</v>
      </c>
      <c r="S6378">
        <v>1.4084779999999999</v>
      </c>
      <c r="T6378">
        <v>-4.2116640000000004E-3</v>
      </c>
      <c r="U6378">
        <v>-2.8620000000000001</v>
      </c>
      <c r="V6378">
        <v>0.33118509999999901</v>
      </c>
      <c r="W6378">
        <v>0.17702519999999999</v>
      </c>
      <c r="X6378">
        <v>0.92681089999999999</v>
      </c>
      <c r="Y6378">
        <v>0.58452399999999904</v>
      </c>
      <c r="Z6378">
        <v>-1.410756E-2</v>
      </c>
      <c r="AA6378">
        <v>0.81125380000000002</v>
      </c>
      <c r="AB6378">
        <v>31</v>
      </c>
      <c r="AC6378">
        <v>51.541699999999899</v>
      </c>
      <c r="AD6378">
        <v>-0.15430289999999999</v>
      </c>
      <c r="AE6378">
        <v>-104.998429999999</v>
      </c>
      <c r="AF6378">
        <v>68.469995642508593</v>
      </c>
      <c r="AG6378">
        <v>-0.15430289999999999</v>
      </c>
      <c r="AH6378">
        <v>94.831583448891905</v>
      </c>
      <c r="AI6378">
        <v>90.075584867606494</v>
      </c>
      <c r="AJ6378">
        <v>54.170083248430402</v>
      </c>
      <c r="AK6378">
        <v>116.966633413526</v>
      </c>
      <c r="AL6378">
        <v>79.803465842727306</v>
      </c>
      <c r="AM6378">
        <v>70.336241494621106</v>
      </c>
      <c r="AN6378">
        <v>0.99999996812792902</v>
      </c>
    </row>
    <row r="6379" spans="1:40" x14ac:dyDescent="0.25">
      <c r="A6379" t="str">
        <f>"20190303170416806"</f>
        <v>20190303170416806</v>
      </c>
      <c r="B6379" t="str">
        <f>"1551603856792065"</f>
        <v>1551603856792065</v>
      </c>
      <c r="C6379" t="s">
        <v>40</v>
      </c>
      <c r="D6379">
        <v>4.6037470000000003</v>
      </c>
      <c r="E6379">
        <v>0.62312999999999996</v>
      </c>
      <c r="F6379" t="s">
        <v>78</v>
      </c>
      <c r="G6379">
        <v>-261.12849999999997</v>
      </c>
      <c r="H6379">
        <v>0.97515110000000005</v>
      </c>
      <c r="I6379">
        <v>-91.087720000000004</v>
      </c>
      <c r="J6379">
        <v>-311.25380000000001</v>
      </c>
      <c r="K6379">
        <v>1.0586100000000001</v>
      </c>
      <c r="L6379">
        <v>13.92755</v>
      </c>
      <c r="M6379">
        <v>0.87763459999999904</v>
      </c>
      <c r="N6379">
        <v>-1.886765E-2</v>
      </c>
      <c r="O6379">
        <v>-0.47895850000000001</v>
      </c>
      <c r="P6379">
        <v>0.66035290000000002</v>
      </c>
      <c r="Q6379">
        <v>0.17194479999999901</v>
      </c>
      <c r="R6379">
        <v>-0.73100549999999997</v>
      </c>
      <c r="S6379">
        <v>1.375732</v>
      </c>
      <c r="T6379">
        <v>-2.2910830000000002E-3</v>
      </c>
      <c r="U6379">
        <v>-2.8757929999999998</v>
      </c>
      <c r="V6379">
        <v>0.33217780000000002</v>
      </c>
      <c r="W6379">
        <v>0.17718149999999999</v>
      </c>
      <c r="X6379">
        <v>0.92642579999999997</v>
      </c>
      <c r="Y6379">
        <v>0.58508309999999997</v>
      </c>
      <c r="Z6379">
        <v>-1.4249400000000001E-2</v>
      </c>
      <c r="AA6379">
        <v>0.81084820000000002</v>
      </c>
      <c r="AB6379">
        <v>31</v>
      </c>
      <c r="AC6379">
        <v>50.125300000000003</v>
      </c>
      <c r="AD6379">
        <v>-8.3458899999999905E-2</v>
      </c>
      <c r="AE6379">
        <v>-105.01527</v>
      </c>
      <c r="AF6379">
        <v>68.1692051242281</v>
      </c>
      <c r="AG6379">
        <v>-8.3458899999999905E-2</v>
      </c>
      <c r="AH6379">
        <v>94.306405801666301</v>
      </c>
      <c r="AI6379">
        <v>90.041093585455002</v>
      </c>
      <c r="AJ6379">
        <v>54.1387871729018</v>
      </c>
      <c r="AK6379">
        <v>116.36470971856301</v>
      </c>
      <c r="AL6379">
        <v>79.794367713538804</v>
      </c>
      <c r="AM6379">
        <v>70.274275717117703</v>
      </c>
      <c r="AN6379">
        <v>1.0000000688303601</v>
      </c>
    </row>
    <row r="6380" spans="1:40" x14ac:dyDescent="0.25">
      <c r="A6380" t="str">
        <f>"20190303170416821"</f>
        <v>20190303170416821</v>
      </c>
      <c r="B6380" t="str">
        <f>"1551603856811584"</f>
        <v>1551603856811584</v>
      </c>
      <c r="C6380" t="s">
        <v>40</v>
      </c>
      <c r="D6380">
        <v>4.7538289999999996</v>
      </c>
      <c r="E6380">
        <v>0.62428939999999999</v>
      </c>
      <c r="F6380" t="s">
        <v>78</v>
      </c>
      <c r="G6380">
        <v>-262.43540000000002</v>
      </c>
      <c r="H6380">
        <v>1.058033</v>
      </c>
      <c r="I6380">
        <v>-91.564989999999995</v>
      </c>
      <c r="J6380">
        <v>-311.07859999999999</v>
      </c>
      <c r="K6380">
        <v>1.0582959999999999</v>
      </c>
      <c r="L6380">
        <v>13.8208</v>
      </c>
      <c r="M6380">
        <v>0.87195750000000005</v>
      </c>
      <c r="N6380">
        <v>-1.8710830000000001E-2</v>
      </c>
      <c r="O6380">
        <v>-0.4892243</v>
      </c>
      <c r="P6380">
        <v>0.65112819999999905</v>
      </c>
      <c r="Q6380">
        <v>0.1719444</v>
      </c>
      <c r="R6380">
        <v>-0.73923470000000002</v>
      </c>
      <c r="S6380">
        <v>1.339294</v>
      </c>
      <c r="T6380" s="1">
        <v>-1.5497209999999999E-5</v>
      </c>
      <c r="U6380">
        <v>-2.894104</v>
      </c>
      <c r="V6380">
        <v>0.33294069999999998</v>
      </c>
      <c r="W6380">
        <v>0.176982</v>
      </c>
      <c r="X6380">
        <v>0.92618999999999996</v>
      </c>
      <c r="Y6380">
        <v>0.58594259999999998</v>
      </c>
      <c r="Z6380">
        <v>-1.443644E-2</v>
      </c>
      <c r="AA6380">
        <v>0.8102239</v>
      </c>
      <c r="AB6380">
        <v>31</v>
      </c>
      <c r="AC6380">
        <v>48.643199999999901</v>
      </c>
      <c r="AD6380">
        <v>-2.6299999999990198E-4</v>
      </c>
      <c r="AE6380">
        <v>-105.38579</v>
      </c>
      <c r="AF6380">
        <v>68.106404044414603</v>
      </c>
      <c r="AG6380">
        <v>-2.6299999999990198E-4</v>
      </c>
      <c r="AH6380">
        <v>93.988527854013597</v>
      </c>
      <c r="AI6380">
        <v>90.000129824630406</v>
      </c>
      <c r="AJ6380">
        <v>54.0719871642196</v>
      </c>
      <c r="AK6380">
        <v>116.070347807245</v>
      </c>
      <c r="AL6380">
        <v>79.805981337322194</v>
      </c>
      <c r="AM6380">
        <v>70.227836695188799</v>
      </c>
      <c r="AN6380">
        <v>1.00000002707024</v>
      </c>
    </row>
    <row r="6381" spans="1:40" x14ac:dyDescent="0.25">
      <c r="A6381" t="str">
        <f>"20190303170416834"</f>
        <v>20190303170416834</v>
      </c>
      <c r="B6381" t="str">
        <f>"1551603856822321"</f>
        <v>1551603856822321</v>
      </c>
      <c r="C6381" t="s">
        <v>40</v>
      </c>
      <c r="D6381">
        <v>4.7104369999999998</v>
      </c>
      <c r="E6381">
        <v>0.65918049999999995</v>
      </c>
      <c r="F6381" t="s">
        <v>78</v>
      </c>
      <c r="G6381">
        <v>-264.22859999999997</v>
      </c>
      <c r="H6381">
        <v>0.9646034</v>
      </c>
      <c r="I6381">
        <v>-91.564989999999995</v>
      </c>
      <c r="J6381">
        <v>-310.92169999999999</v>
      </c>
      <c r="K6381">
        <v>1.0580339999999999</v>
      </c>
      <c r="L6381">
        <v>13.72302</v>
      </c>
      <c r="M6381">
        <v>0.86671580000000004</v>
      </c>
      <c r="N6381">
        <v>-1.857814E-2</v>
      </c>
      <c r="O6381">
        <v>-0.49845640000000002</v>
      </c>
      <c r="P6381">
        <v>0.64308019999999999</v>
      </c>
      <c r="Q6381">
        <v>0.17005129999999999</v>
      </c>
      <c r="R6381">
        <v>-0.7466798</v>
      </c>
      <c r="S6381">
        <v>1.2966610000000001</v>
      </c>
      <c r="T6381">
        <v>-2.592802E-3</v>
      </c>
      <c r="U6381">
        <v>-2.9167480000000001</v>
      </c>
      <c r="V6381">
        <v>0.33345229999999998</v>
      </c>
      <c r="W6381">
        <v>0.1749308</v>
      </c>
      <c r="X6381">
        <v>0.92639559999999999</v>
      </c>
      <c r="Y6381">
        <v>0.589559099999999</v>
      </c>
      <c r="Z6381">
        <v>-1.433968E-2</v>
      </c>
      <c r="AA6381">
        <v>0.80759789999999998</v>
      </c>
      <c r="AB6381">
        <v>31</v>
      </c>
      <c r="AC6381">
        <v>46.693100000000001</v>
      </c>
      <c r="AD6381">
        <v>-9.3430599999999905E-2</v>
      </c>
      <c r="AE6381">
        <v>-105.28801</v>
      </c>
      <c r="AF6381">
        <v>67.991990120941097</v>
      </c>
      <c r="AG6381">
        <v>-9.3430599999999905E-2</v>
      </c>
      <c r="AH6381">
        <v>92.967104172535898</v>
      </c>
      <c r="AI6381">
        <v>90.046477746612894</v>
      </c>
      <c r="AJ6381">
        <v>53.819928674549701</v>
      </c>
      <c r="AK6381">
        <v>115.177262982371</v>
      </c>
      <c r="AL6381">
        <v>79.925369025004102</v>
      </c>
      <c r="AM6381">
        <v>70.203867653346904</v>
      </c>
      <c r="AN6381">
        <v>1.0000000144316401</v>
      </c>
    </row>
    <row r="6382" spans="1:40" x14ac:dyDescent="0.25">
      <c r="A6382" t="str">
        <f>"20190303170416845"</f>
        <v>20190303170416845</v>
      </c>
      <c r="B6382" t="str">
        <f>"1551603856832079"</f>
        <v>1551603856832079</v>
      </c>
      <c r="C6382" t="s">
        <v>40</v>
      </c>
      <c r="D6382">
        <v>4.757339</v>
      </c>
      <c r="E6382">
        <v>0.6588811</v>
      </c>
      <c r="F6382" t="s">
        <v>78</v>
      </c>
      <c r="G6382">
        <v>-275.45280000000002</v>
      </c>
      <c r="H6382">
        <v>0.50513839999999999</v>
      </c>
      <c r="I6382">
        <v>-90.976820000000004</v>
      </c>
      <c r="J6382">
        <v>-310.78930000000003</v>
      </c>
      <c r="K6382">
        <v>1.057836</v>
      </c>
      <c r="L6382">
        <v>13.63785</v>
      </c>
      <c r="M6382">
        <v>0.86214919999999995</v>
      </c>
      <c r="N6382">
        <v>-1.8475979999999999E-2</v>
      </c>
      <c r="O6382">
        <v>-0.50631740000000003</v>
      </c>
      <c r="P6382">
        <v>0.63691759999999997</v>
      </c>
      <c r="Q6382">
        <v>0.16927249999999999</v>
      </c>
      <c r="R6382">
        <v>-0.75211899999999998</v>
      </c>
      <c r="S6382">
        <v>1.054657</v>
      </c>
      <c r="T6382">
        <v>-1.6439800000000001E-2</v>
      </c>
      <c r="U6382">
        <v>-3.1132200000000001</v>
      </c>
      <c r="V6382">
        <v>0.33277299999999999</v>
      </c>
      <c r="W6382">
        <v>0.17407300000000001</v>
      </c>
      <c r="X6382">
        <v>0.9268014</v>
      </c>
      <c r="Y6382">
        <v>0.65411629999999998</v>
      </c>
      <c r="Z6382">
        <v>-1.4364699999999999E-2</v>
      </c>
      <c r="AA6382">
        <v>0.75625750000000003</v>
      </c>
      <c r="AB6382">
        <v>31</v>
      </c>
      <c r="AC6382">
        <v>35.336500000000001</v>
      </c>
      <c r="AD6382">
        <v>-0.55269760000000001</v>
      </c>
      <c r="AE6382">
        <v>-104.61467</v>
      </c>
      <c r="AF6382">
        <v>72.312504384552895</v>
      </c>
      <c r="AG6382">
        <v>-0.55269760000000001</v>
      </c>
      <c r="AH6382">
        <v>83.445720050687299</v>
      </c>
      <c r="AI6382">
        <v>90.286790000493795</v>
      </c>
      <c r="AJ6382">
        <v>49.088408567855403</v>
      </c>
      <c r="AK6382">
        <v>110.420070457234</v>
      </c>
      <c r="AL6382">
        <v>79.975283617390403</v>
      </c>
      <c r="AM6382">
        <v>70.249052833114405</v>
      </c>
      <c r="AN6382">
        <v>1.0000000569499701</v>
      </c>
    </row>
    <row r="6383" spans="1:40" x14ac:dyDescent="0.25">
      <c r="A6383" t="str">
        <f>"20190303170416857"</f>
        <v>20190303170416857</v>
      </c>
      <c r="B6383" t="str">
        <f>"1551603856851600"</f>
        <v>1551603856851600</v>
      </c>
      <c r="C6383" t="s">
        <v>40</v>
      </c>
      <c r="D6383">
        <v>4.7578480000000001</v>
      </c>
      <c r="E6383">
        <v>0.65864969999999901</v>
      </c>
      <c r="F6383" t="s">
        <v>78</v>
      </c>
      <c r="G6383">
        <v>-276.2192</v>
      </c>
      <c r="H6383">
        <v>0.32570270000000001</v>
      </c>
      <c r="I6383">
        <v>-90.976820000000004</v>
      </c>
      <c r="J6383">
        <v>-310.64530000000002</v>
      </c>
      <c r="K6383">
        <v>1.0576299999999901</v>
      </c>
      <c r="L6383">
        <v>13.544309999999999</v>
      </c>
      <c r="M6383">
        <v>0.85707990000000001</v>
      </c>
      <c r="N6383">
        <v>-1.8367560000000002E-2</v>
      </c>
      <c r="O6383">
        <v>-0.51485619999999999</v>
      </c>
      <c r="P6383">
        <v>0.63009380000000004</v>
      </c>
      <c r="Q6383">
        <v>0.16887099999999999</v>
      </c>
      <c r="R6383">
        <v>-0.75793440000000001</v>
      </c>
      <c r="S6383">
        <v>1.031158</v>
      </c>
      <c r="T6383">
        <v>-2.183771E-2</v>
      </c>
      <c r="U6383">
        <v>-3.1204529999999999</v>
      </c>
      <c r="V6383">
        <v>0.33200970000000002</v>
      </c>
      <c r="W6383">
        <v>0.17358789999999999</v>
      </c>
      <c r="X6383">
        <v>0.92716600000000005</v>
      </c>
      <c r="Y6383">
        <v>0.65224090000000001</v>
      </c>
      <c r="Z6383">
        <v>-1.399337E-2</v>
      </c>
      <c r="AA6383">
        <v>0.75788250000000001</v>
      </c>
      <c r="AB6383">
        <v>31</v>
      </c>
      <c r="AC6383">
        <v>34.426099999999998</v>
      </c>
      <c r="AD6383">
        <v>-0.73192729999999895</v>
      </c>
      <c r="AE6383">
        <v>-104.52113</v>
      </c>
      <c r="AF6383">
        <v>71.867405518084894</v>
      </c>
      <c r="AG6383">
        <v>-0.73192729999999895</v>
      </c>
      <c r="AH6383">
        <v>83.329632410892799</v>
      </c>
      <c r="AI6383">
        <v>90.381096086175702</v>
      </c>
      <c r="AJ6383">
        <v>49.223966025238802</v>
      </c>
      <c r="AK6383">
        <v>110.04220704442299</v>
      </c>
      <c r="AL6383">
        <v>80.003506872161196</v>
      </c>
      <c r="AM6383">
        <v>70.298016631964103</v>
      </c>
      <c r="AN6383">
        <v>0.99999999573824905</v>
      </c>
    </row>
    <row r="6384" spans="1:40" x14ac:dyDescent="0.25">
      <c r="A6384" t="str">
        <f>"20190303170416869"</f>
        <v>20190303170416869</v>
      </c>
      <c r="B6384" t="str">
        <f>"1551603856862336"</f>
        <v>1551603856862336</v>
      </c>
      <c r="C6384" t="s">
        <v>40</v>
      </c>
      <c r="D6384">
        <v>4.7624050000000002</v>
      </c>
      <c r="E6384">
        <v>0.65794889999999995</v>
      </c>
      <c r="F6384" t="s">
        <v>78</v>
      </c>
      <c r="G6384">
        <v>-277.08519999999999</v>
      </c>
      <c r="H6384">
        <v>0.24785599999999999</v>
      </c>
      <c r="I6384">
        <v>-90.976820000000004</v>
      </c>
      <c r="J6384">
        <v>-310.5027</v>
      </c>
      <c r="K6384">
        <v>1.0574440000000001</v>
      </c>
      <c r="L6384">
        <v>13.448729999999999</v>
      </c>
      <c r="M6384">
        <v>0.85189699999999902</v>
      </c>
      <c r="N6384">
        <v>-1.8269230000000001E-2</v>
      </c>
      <c r="O6384">
        <v>-0.52339099999999905</v>
      </c>
      <c r="P6384">
        <v>0.62323229999999996</v>
      </c>
      <c r="Q6384">
        <v>0.16899339999999999</v>
      </c>
      <c r="R6384">
        <v>-0.76355980000000001</v>
      </c>
      <c r="S6384">
        <v>1.004486</v>
      </c>
      <c r="T6384">
        <v>-2.4236919999999999E-2</v>
      </c>
      <c r="U6384">
        <v>-3.1284179999999999</v>
      </c>
      <c r="V6384">
        <v>0.3310979</v>
      </c>
      <c r="W6384">
        <v>0.17364099999999999</v>
      </c>
      <c r="X6384">
        <v>0.92748209999999998</v>
      </c>
      <c r="Y6384">
        <v>0.65108140000000003</v>
      </c>
      <c r="Z6384">
        <v>-1.379213E-2</v>
      </c>
      <c r="AA6384">
        <v>0.75888259999999996</v>
      </c>
      <c r="AB6384">
        <v>31</v>
      </c>
      <c r="AC6384">
        <v>33.417499999999997</v>
      </c>
      <c r="AD6384">
        <v>-0.80958799999999997</v>
      </c>
      <c r="AE6384">
        <v>-104.42555</v>
      </c>
      <c r="AF6384">
        <v>71.477412518287096</v>
      </c>
      <c r="AG6384">
        <v>-0.80958799999999997</v>
      </c>
      <c r="AH6384">
        <v>83.132987077828602</v>
      </c>
      <c r="AI6384">
        <v>90.423081959493302</v>
      </c>
      <c r="AJ6384">
        <v>49.311187524991503</v>
      </c>
      <c r="AK6384">
        <v>109.63926976006999</v>
      </c>
      <c r="AL6384">
        <v>80.000417907554606</v>
      </c>
      <c r="AM6384">
        <v>70.354159258385096</v>
      </c>
      <c r="AN6384">
        <v>1.0000000310429</v>
      </c>
    </row>
    <row r="6385" spans="1:40" x14ac:dyDescent="0.25">
      <c r="A6385" t="str">
        <f>"20190303170416882"</f>
        <v>20190303170416882</v>
      </c>
      <c r="B6385" t="str">
        <f>"1551603856872096"</f>
        <v>1551603856872096</v>
      </c>
      <c r="C6385" t="s">
        <v>40</v>
      </c>
      <c r="D6385">
        <v>4.7672850000000002</v>
      </c>
      <c r="E6385">
        <v>0.65711529999999996</v>
      </c>
      <c r="F6385" t="s">
        <v>78</v>
      </c>
      <c r="G6385">
        <v>-277.63290000000001</v>
      </c>
      <c r="H6385">
        <v>0.274036</v>
      </c>
      <c r="I6385">
        <v>-91.639949999999999</v>
      </c>
      <c r="J6385">
        <v>-310.34609999999998</v>
      </c>
      <c r="K6385">
        <v>1.0572569999999999</v>
      </c>
      <c r="L6385">
        <v>13.34174</v>
      </c>
      <c r="M6385">
        <v>0.84605409999999903</v>
      </c>
      <c r="N6385">
        <v>-1.816713E-2</v>
      </c>
      <c r="O6385">
        <v>-0.53278740000000002</v>
      </c>
      <c r="P6385">
        <v>0.61520149999999996</v>
      </c>
      <c r="Q6385">
        <v>0.16995260000000001</v>
      </c>
      <c r="R6385">
        <v>-0.76983330000000005</v>
      </c>
      <c r="S6385">
        <v>0.98025510000000005</v>
      </c>
      <c r="T6385">
        <v>-2.336276E-2</v>
      </c>
      <c r="U6385">
        <v>-3.1340029999999999</v>
      </c>
      <c r="V6385">
        <v>0.33040999999999998</v>
      </c>
      <c r="W6385">
        <v>0.1745129</v>
      </c>
      <c r="X6385">
        <v>0.92756369999999999</v>
      </c>
      <c r="Y6385">
        <v>0.64840909999999996</v>
      </c>
      <c r="Z6385">
        <v>-1.37673E-2</v>
      </c>
      <c r="AA6385">
        <v>0.76116759999999895</v>
      </c>
      <c r="AB6385">
        <v>31</v>
      </c>
      <c r="AC6385">
        <v>32.713199999999901</v>
      </c>
      <c r="AD6385">
        <v>-0.78322099999999995</v>
      </c>
      <c r="AE6385">
        <v>-104.98168999999901</v>
      </c>
      <c r="AF6385">
        <v>71.399170226900495</v>
      </c>
      <c r="AG6385">
        <v>-0.78322099999999995</v>
      </c>
      <c r="AH6385">
        <v>83.619617336456599</v>
      </c>
      <c r="AI6385">
        <v>90.408117285286195</v>
      </c>
      <c r="AJ6385">
        <v>49.507421440295197</v>
      </c>
      <c r="AK6385">
        <v>109.95769799209199</v>
      </c>
      <c r="AL6385">
        <v>79.949686532460703</v>
      </c>
      <c r="AM6385">
        <v>70.393453552777402</v>
      </c>
      <c r="AN6385">
        <v>0.99999996896204901</v>
      </c>
    </row>
    <row r="6386" spans="1:40" x14ac:dyDescent="0.25">
      <c r="A6386" t="str">
        <f>"20190303170416900"</f>
        <v>20190303170416900</v>
      </c>
      <c r="B6386" t="str">
        <f>"1551603856891616"</f>
        <v>1551603856891616</v>
      </c>
      <c r="C6386" t="s">
        <v>40</v>
      </c>
      <c r="D6386">
        <v>4.7681959999999997</v>
      </c>
      <c r="E6386">
        <v>0.65509399999999995</v>
      </c>
      <c r="F6386" t="s">
        <v>78</v>
      </c>
      <c r="G6386">
        <v>-277.17500000000001</v>
      </c>
      <c r="H6386">
        <v>0.3503809</v>
      </c>
      <c r="I6386">
        <v>-95.96996</v>
      </c>
      <c r="J6386">
        <v>-310.13940000000002</v>
      </c>
      <c r="K6386">
        <v>1.057043</v>
      </c>
      <c r="L6386">
        <v>13.19675</v>
      </c>
      <c r="M6386">
        <v>0.83808269999999996</v>
      </c>
      <c r="N6386">
        <v>-1.8042490000000001E-2</v>
      </c>
      <c r="O6386">
        <v>-0.54524499999999998</v>
      </c>
      <c r="P6386">
        <v>0.60368330000000003</v>
      </c>
      <c r="Q6386">
        <v>0.1728693</v>
      </c>
      <c r="R6386">
        <v>-0.77825639999999996</v>
      </c>
      <c r="S6386">
        <v>0.95285030000000004</v>
      </c>
      <c r="T6386">
        <v>-2.0304800000000001E-2</v>
      </c>
      <c r="U6386">
        <v>-3.140015</v>
      </c>
      <c r="V6386">
        <v>0.33006799999999997</v>
      </c>
      <c r="W6386">
        <v>0.17729549999999999</v>
      </c>
      <c r="X6386">
        <v>0.92715769999999997</v>
      </c>
      <c r="Y6386">
        <v>0.64363179999999998</v>
      </c>
      <c r="Z6386">
        <v>-1.387151E-2</v>
      </c>
      <c r="AA6386">
        <v>0.76520959999999905</v>
      </c>
      <c r="AB6386">
        <v>31</v>
      </c>
      <c r="AC6386">
        <v>32.964399999999998</v>
      </c>
      <c r="AD6386">
        <v>-0.70666209999999996</v>
      </c>
      <c r="AE6386">
        <v>-109.16670999999999</v>
      </c>
      <c r="AF6386">
        <v>73.526192943699598</v>
      </c>
      <c r="AG6386">
        <v>-0.70666209999999996</v>
      </c>
      <c r="AH6386">
        <v>87.160326443109298</v>
      </c>
      <c r="AI6386">
        <v>90.355064046292398</v>
      </c>
      <c r="AJ6386">
        <v>49.849888435322001</v>
      </c>
      <c r="AK6386">
        <v>114.032990514969</v>
      </c>
      <c r="AL6386">
        <v>79.787730105302799</v>
      </c>
      <c r="AM6386">
        <v>70.4042782463153</v>
      </c>
      <c r="AN6386">
        <v>0.99999998980676896</v>
      </c>
    </row>
    <row r="6387" spans="1:40" x14ac:dyDescent="0.25">
      <c r="A6387" t="str">
        <f>"20190303170416913"</f>
        <v>20190303170416913</v>
      </c>
      <c r="B6387" t="str">
        <f>"1551603856902352"</f>
        <v>1551603856902352</v>
      </c>
      <c r="C6387" t="s">
        <v>40</v>
      </c>
      <c r="D6387">
        <v>4.7526039999999998</v>
      </c>
      <c r="E6387">
        <v>0.65417720000000001</v>
      </c>
      <c r="F6387" t="s">
        <v>78</v>
      </c>
      <c r="G6387">
        <v>-277.17500000000001</v>
      </c>
      <c r="H6387">
        <v>0.57590699999999995</v>
      </c>
      <c r="I6387">
        <v>-99.366519999999994</v>
      </c>
      <c r="J6387">
        <v>-309.9898</v>
      </c>
      <c r="K6387">
        <v>1.056897</v>
      </c>
      <c r="L6387">
        <v>13.089079999999999</v>
      </c>
      <c r="M6387">
        <v>0.83212169999999896</v>
      </c>
      <c r="N6387">
        <v>-1.795896E-2</v>
      </c>
      <c r="O6387">
        <v>-0.55430230000000003</v>
      </c>
      <c r="P6387">
        <v>0.59535749999999998</v>
      </c>
      <c r="Q6387">
        <v>0.17356240000000001</v>
      </c>
      <c r="R6387">
        <v>-0.78449060000000004</v>
      </c>
      <c r="S6387">
        <v>0.92062379999999999</v>
      </c>
      <c r="T6387">
        <v>-1.3436679999999999E-2</v>
      </c>
      <c r="U6387">
        <v>-3.1436459999999999</v>
      </c>
      <c r="V6387">
        <v>0.32979709999999901</v>
      </c>
      <c r="W6387">
        <v>0.1779027</v>
      </c>
      <c r="X6387">
        <v>0.92713780000000001</v>
      </c>
      <c r="Y6387">
        <v>0.64280459999999995</v>
      </c>
      <c r="Z6387">
        <v>-1.4366479999999999E-2</v>
      </c>
      <c r="AA6387">
        <v>0.7658954</v>
      </c>
      <c r="AB6387">
        <v>31</v>
      </c>
      <c r="AC6387">
        <v>32.814799999999899</v>
      </c>
      <c r="AD6387">
        <v>-0.48098999999999997</v>
      </c>
      <c r="AE6387">
        <v>-112.4556</v>
      </c>
      <c r="AF6387">
        <v>75.398311597523801</v>
      </c>
      <c r="AG6387">
        <v>-0.48098999999999997</v>
      </c>
      <c r="AH6387">
        <v>89.653248617007606</v>
      </c>
      <c r="AI6387">
        <v>90.2352544638496</v>
      </c>
      <c r="AJ6387">
        <v>49.936190912920601</v>
      </c>
      <c r="AK6387">
        <v>117.14453350763</v>
      </c>
      <c r="AL6387">
        <v>79.752378208969205</v>
      </c>
      <c r="AM6387">
        <v>70.418749152609493</v>
      </c>
      <c r="AN6387">
        <v>0.99999999901226899</v>
      </c>
    </row>
    <row r="6388" spans="1:40" x14ac:dyDescent="0.25">
      <c r="A6388" t="str">
        <f>"20190303170416924"</f>
        <v>20190303170416924</v>
      </c>
      <c r="B6388" t="str">
        <f>"1551603856912111"</f>
        <v>1551603856912111</v>
      </c>
      <c r="C6388" t="s">
        <v>40</v>
      </c>
      <c r="D6388">
        <v>4.7730969999999999</v>
      </c>
      <c r="E6388">
        <v>0.6532599</v>
      </c>
      <c r="F6388" t="s">
        <v>78</v>
      </c>
      <c r="G6388">
        <v>-277.17500000000001</v>
      </c>
      <c r="H6388">
        <v>0.55671309999999996</v>
      </c>
      <c r="I6388">
        <v>-102.4808</v>
      </c>
      <c r="J6388">
        <v>-309.86059999999998</v>
      </c>
      <c r="K6388">
        <v>1.0567799999999901</v>
      </c>
      <c r="L6388">
        <v>12.993320000000001</v>
      </c>
      <c r="M6388">
        <v>0.8268181</v>
      </c>
      <c r="N6388">
        <v>-1.7893280000000001E-2</v>
      </c>
      <c r="O6388">
        <v>-0.56218509999999999</v>
      </c>
      <c r="P6388">
        <v>0.58803079999999996</v>
      </c>
      <c r="Q6388">
        <v>0.1737022</v>
      </c>
      <c r="R6388">
        <v>-0.78996690000000003</v>
      </c>
      <c r="S6388">
        <v>0.89404300000000003</v>
      </c>
      <c r="T6388">
        <v>-1.362729E-2</v>
      </c>
      <c r="U6388">
        <v>-3.1487120000000002</v>
      </c>
      <c r="V6388">
        <v>0.3296017</v>
      </c>
      <c r="W6388">
        <v>0.17797399999999999</v>
      </c>
      <c r="X6388">
        <v>0.92719359999999995</v>
      </c>
      <c r="Y6388">
        <v>0.64182729999999999</v>
      </c>
      <c r="Z6388">
        <v>-1.4347199999999999E-2</v>
      </c>
      <c r="AA6388">
        <v>0.76671489999999998</v>
      </c>
      <c r="AB6388">
        <v>31</v>
      </c>
      <c r="AC6388">
        <v>32.685599999999901</v>
      </c>
      <c r="AD6388">
        <v>-0.50006689999999898</v>
      </c>
      <c r="AE6388">
        <v>-115.47412</v>
      </c>
      <c r="AF6388">
        <v>77.111725494299606</v>
      </c>
      <c r="AG6388">
        <v>-0.50006689999999898</v>
      </c>
      <c r="AH6388">
        <v>91.955981358704193</v>
      </c>
      <c r="AI6388">
        <v>90.238745395539794</v>
      </c>
      <c r="AJ6388">
        <v>50.017739682691499</v>
      </c>
      <c r="AK6388">
        <v>120.009877857012</v>
      </c>
      <c r="AL6388">
        <v>79.748226765437707</v>
      </c>
      <c r="AM6388">
        <v>70.430557277659204</v>
      </c>
      <c r="AN6388">
        <v>0.99999999859992394</v>
      </c>
    </row>
    <row r="6389" spans="1:40" x14ac:dyDescent="0.25">
      <c r="A6389" t="str">
        <f>"20190303170416938"</f>
        <v>20190303170416938</v>
      </c>
      <c r="B6389" t="str">
        <f>"1551603856921872"</f>
        <v>1551603856921872</v>
      </c>
      <c r="C6389" t="s">
        <v>40</v>
      </c>
      <c r="D6389">
        <v>4.8103860000000003</v>
      </c>
      <c r="E6389">
        <v>0.65284069999999905</v>
      </c>
      <c r="F6389" t="s">
        <v>78</v>
      </c>
      <c r="G6389">
        <v>-277.17500000000001</v>
      </c>
      <c r="H6389">
        <v>0.48015170000000001</v>
      </c>
      <c r="I6389">
        <v>-105.2889</v>
      </c>
      <c r="J6389">
        <v>-309.71260000000001</v>
      </c>
      <c r="K6389">
        <v>1.0566519999999999</v>
      </c>
      <c r="L6389">
        <v>12.882199999999999</v>
      </c>
      <c r="M6389">
        <v>0.82060869999999997</v>
      </c>
      <c r="N6389">
        <v>-1.7820639999999999E-2</v>
      </c>
      <c r="O6389">
        <v>-0.57121250000000001</v>
      </c>
      <c r="P6389">
        <v>0.57974569999999903</v>
      </c>
      <c r="Q6389">
        <v>0.1731239</v>
      </c>
      <c r="R6389">
        <v>-0.79619300000000004</v>
      </c>
      <c r="S6389">
        <v>0.87115480000000001</v>
      </c>
      <c r="T6389">
        <v>-1.536846E-2</v>
      </c>
      <c r="U6389">
        <v>-3.1525270000000001</v>
      </c>
      <c r="V6389">
        <v>0.3292156</v>
      </c>
      <c r="W6389">
        <v>0.1773284</v>
      </c>
      <c r="X6389">
        <v>0.92745449999999996</v>
      </c>
      <c r="Y6389">
        <v>0.63882079999999997</v>
      </c>
      <c r="Z6389">
        <v>-1.4171080000000001E-2</v>
      </c>
      <c r="AA6389">
        <v>0.76922500000000005</v>
      </c>
      <c r="AB6389">
        <v>31</v>
      </c>
      <c r="AC6389">
        <v>32.537599999999998</v>
      </c>
      <c r="AD6389">
        <v>-0.57650029999999997</v>
      </c>
      <c r="AE6389">
        <v>-118.1711</v>
      </c>
      <c r="AF6389">
        <v>78.397066887330098</v>
      </c>
      <c r="AG6389">
        <v>-0.57650029999999997</v>
      </c>
      <c r="AH6389">
        <v>94.214327516034999</v>
      </c>
      <c r="AI6389">
        <v>90.269493772545601</v>
      </c>
      <c r="AJ6389">
        <v>50.235681916952402</v>
      </c>
      <c r="AK6389">
        <v>122.567418013235</v>
      </c>
      <c r="AL6389">
        <v>79.785815460882702</v>
      </c>
      <c r="AM6389">
        <v>70.456824600552906</v>
      </c>
      <c r="AN6389">
        <v>1.0000000611500801</v>
      </c>
    </row>
    <row r="6390" spans="1:40" x14ac:dyDescent="0.25">
      <c r="A6390" t="str">
        <f>"20190303170416949"</f>
        <v>20190303170416949</v>
      </c>
      <c r="B6390" t="str">
        <f>"1551603856942369"</f>
        <v>1551603856942369</v>
      </c>
      <c r="C6390" t="s">
        <v>40</v>
      </c>
      <c r="D6390">
        <v>4.8414289999999998</v>
      </c>
      <c r="E6390">
        <v>0.65188369999999995</v>
      </c>
      <c r="F6390" t="s">
        <v>78</v>
      </c>
      <c r="G6390">
        <v>-277.63290000000001</v>
      </c>
      <c r="H6390">
        <v>0.33054919999999999</v>
      </c>
      <c r="I6390">
        <v>-107.7101</v>
      </c>
      <c r="J6390">
        <v>-309.57760000000002</v>
      </c>
      <c r="K6390">
        <v>1.0565450000000001</v>
      </c>
      <c r="L6390">
        <v>12.777979999999999</v>
      </c>
      <c r="M6390">
        <v>0.81477739999999998</v>
      </c>
      <c r="N6390">
        <v>-1.7760140000000001E-2</v>
      </c>
      <c r="O6390">
        <v>-0.57950199999999996</v>
      </c>
      <c r="P6390">
        <v>0.57243279999999996</v>
      </c>
      <c r="Q6390">
        <v>0.17242589999999999</v>
      </c>
      <c r="R6390">
        <v>-0.80161709999999997</v>
      </c>
      <c r="S6390">
        <v>0.84060669999999904</v>
      </c>
      <c r="T6390">
        <v>-1.902628E-2</v>
      </c>
      <c r="U6390">
        <v>-3.1599729999999999</v>
      </c>
      <c r="V6390">
        <v>0.32840520000000001</v>
      </c>
      <c r="W6390">
        <v>0.1765948</v>
      </c>
      <c r="X6390">
        <v>0.92788170000000003</v>
      </c>
      <c r="Y6390">
        <v>0.63840490000000005</v>
      </c>
      <c r="Z6390">
        <v>-1.385428E-2</v>
      </c>
      <c r="AA6390">
        <v>0.76957600000000004</v>
      </c>
      <c r="AB6390">
        <v>31</v>
      </c>
      <c r="AC6390">
        <v>31.944700000000001</v>
      </c>
      <c r="AD6390">
        <v>-0.72599579999999997</v>
      </c>
      <c r="AE6390">
        <v>-120.48808</v>
      </c>
      <c r="AF6390">
        <v>79.668802546590797</v>
      </c>
      <c r="AG6390">
        <v>-0.72599579999999997</v>
      </c>
      <c r="AH6390">
        <v>95.862761773278606</v>
      </c>
      <c r="AI6390">
        <v>90.3337115368751</v>
      </c>
      <c r="AJ6390">
        <v>50.270997804785701</v>
      </c>
      <c r="AK6390">
        <v>124.64876358756899</v>
      </c>
      <c r="AL6390">
        <v>79.828521774440404</v>
      </c>
      <c r="AM6390">
        <v>70.509599434720698</v>
      </c>
      <c r="AN6390">
        <v>1.0000000739844801</v>
      </c>
    </row>
    <row r="6391" spans="1:40" x14ac:dyDescent="0.25">
      <c r="A6391" t="str">
        <f>"20190303170416961"</f>
        <v>20190303170416961</v>
      </c>
      <c r="B6391" t="str">
        <f>"1551603856952128"</f>
        <v>1551603856952128</v>
      </c>
      <c r="C6391" t="s">
        <v>40</v>
      </c>
      <c r="D6391">
        <v>4.8253570000000003</v>
      </c>
      <c r="E6391">
        <v>0.65188369999999995</v>
      </c>
      <c r="F6391" t="s">
        <v>111</v>
      </c>
      <c r="G6391">
        <v>-285.47789999999998</v>
      </c>
      <c r="H6391">
        <v>0.3662281</v>
      </c>
      <c r="I6391">
        <v>-80.464519999999993</v>
      </c>
      <c r="J6391">
        <v>-309.44749999999999</v>
      </c>
      <c r="K6391">
        <v>1.0564499999999999</v>
      </c>
      <c r="L6391">
        <v>12.675599999999999</v>
      </c>
      <c r="M6391">
        <v>0.80901899999999904</v>
      </c>
      <c r="N6391">
        <v>-1.7705160000000001E-2</v>
      </c>
      <c r="O6391">
        <v>-0.58751580000000003</v>
      </c>
      <c r="P6391">
        <v>0.56498630000000005</v>
      </c>
      <c r="Q6391">
        <v>0.17205809999999999</v>
      </c>
      <c r="R6391">
        <v>-0.80696140000000005</v>
      </c>
      <c r="S6391">
        <v>0.81765750000000004</v>
      </c>
      <c r="T6391">
        <v>-2.3420690000000001E-2</v>
      </c>
      <c r="U6391">
        <v>-3.1635439999999999</v>
      </c>
      <c r="V6391">
        <v>0.3278933</v>
      </c>
      <c r="W6391">
        <v>0.1761837</v>
      </c>
      <c r="X6391">
        <v>0.92814079999999999</v>
      </c>
      <c r="Y6391">
        <v>0.63623339999999995</v>
      </c>
      <c r="Z6391">
        <v>-1.3421809999999999E-2</v>
      </c>
      <c r="AA6391">
        <v>0.77137979999999995</v>
      </c>
      <c r="AB6391">
        <v>31</v>
      </c>
      <c r="AC6391">
        <v>23.9696</v>
      </c>
      <c r="AD6391">
        <v>-0.69022189999999894</v>
      </c>
      <c r="AE6391">
        <v>-93.140119999999996</v>
      </c>
      <c r="AF6391">
        <v>61.276056474207799</v>
      </c>
      <c r="AG6391">
        <v>-0.69022189999999894</v>
      </c>
      <c r="AH6391">
        <v>74.120954134503293</v>
      </c>
      <c r="AI6391">
        <v>90.411210548306997</v>
      </c>
      <c r="AJ6391">
        <v>50.419339680079901</v>
      </c>
      <c r="AK6391">
        <v>96.172487464506602</v>
      </c>
      <c r="AL6391">
        <v>79.852450803820901</v>
      </c>
      <c r="AM6391">
        <v>70.5427196973165</v>
      </c>
      <c r="AN6391">
        <v>1.0000000284776001</v>
      </c>
    </row>
    <row r="6392" spans="1:40" x14ac:dyDescent="0.25">
      <c r="A6392" t="str">
        <f>"20190303170416978"</f>
        <v>20190303170416978</v>
      </c>
      <c r="B6392" t="str">
        <f>"1551603856961888"</f>
        <v>1551603856961888</v>
      </c>
      <c r="C6392" t="s">
        <v>40</v>
      </c>
      <c r="D6392">
        <v>4.8554659999999998</v>
      </c>
      <c r="E6392">
        <v>0.642042</v>
      </c>
      <c r="F6392" t="s">
        <v>111</v>
      </c>
      <c r="G6392">
        <v>-286.31779999999998</v>
      </c>
      <c r="H6392">
        <v>0.36441990000000002</v>
      </c>
      <c r="I6392">
        <v>-80.464519999999993</v>
      </c>
      <c r="J6392">
        <v>-309.2688</v>
      </c>
      <c r="K6392">
        <v>1.056332</v>
      </c>
      <c r="L6392">
        <v>12.531890000000001</v>
      </c>
      <c r="M6392">
        <v>0.80089069999999996</v>
      </c>
      <c r="N6392">
        <v>-1.763489E-2</v>
      </c>
      <c r="O6392">
        <v>-0.5985509</v>
      </c>
      <c r="P6392">
        <v>0.55420859999999905</v>
      </c>
      <c r="Q6392">
        <v>0.17208689999999999</v>
      </c>
      <c r="R6392">
        <v>-0.81439530000000004</v>
      </c>
      <c r="S6392">
        <v>0.78753660000000003</v>
      </c>
      <c r="T6392">
        <v>-2.356219E-2</v>
      </c>
      <c r="U6392">
        <v>-3.1712950000000002</v>
      </c>
      <c r="V6392">
        <v>0.32751419999999998</v>
      </c>
      <c r="W6392">
        <v>0.1761424</v>
      </c>
      <c r="X6392">
        <v>0.92828239999999995</v>
      </c>
      <c r="Y6392">
        <v>0.63299640000000001</v>
      </c>
      <c r="Z6392">
        <v>-1.334276E-2</v>
      </c>
      <c r="AA6392">
        <v>0.7740397</v>
      </c>
      <c r="AB6392">
        <v>31</v>
      </c>
      <c r="AC6392">
        <v>22.951000000000001</v>
      </c>
      <c r="AD6392">
        <v>-0.69191210000000003</v>
      </c>
      <c r="AE6392">
        <v>-92.996409999999997</v>
      </c>
      <c r="AF6392">
        <v>60.748893255462299</v>
      </c>
      <c r="AG6392">
        <v>-0.69191210000000003</v>
      </c>
      <c r="AH6392">
        <v>74.051976559382396</v>
      </c>
      <c r="AI6392">
        <v>90.4138888417327</v>
      </c>
      <c r="AJ6392">
        <v>50.636094715421002</v>
      </c>
      <c r="AK6392">
        <v>95.784142771489002</v>
      </c>
      <c r="AL6392">
        <v>79.854853963067498</v>
      </c>
      <c r="AM6392">
        <v>70.566270782991197</v>
      </c>
      <c r="AN6392">
        <v>0.99999995521457896</v>
      </c>
    </row>
    <row r="6393" spans="1:40" x14ac:dyDescent="0.25">
      <c r="A6393" t="str">
        <f>"20190303170416993"</f>
        <v>20190303170416993</v>
      </c>
      <c r="B6393" t="str">
        <f>"1551603856982384"</f>
        <v>1551603856982384</v>
      </c>
      <c r="C6393" t="s">
        <v>40</v>
      </c>
      <c r="D6393">
        <v>4.8768630000000002</v>
      </c>
      <c r="E6393">
        <v>0.64006189999999996</v>
      </c>
      <c r="F6393" t="s">
        <v>75</v>
      </c>
      <c r="G6393">
        <v>-295.16849999999999</v>
      </c>
      <c r="H6393" s="1">
        <v>-2.133187E-6</v>
      </c>
      <c r="I6393">
        <v>-41.737380000000002</v>
      </c>
      <c r="J6393">
        <v>-309.1026</v>
      </c>
      <c r="K6393">
        <v>1.056235</v>
      </c>
      <c r="L6393">
        <v>12.39423</v>
      </c>
      <c r="M6393">
        <v>0.79307030000000001</v>
      </c>
      <c r="N6393">
        <v>-1.7575830000000001E-2</v>
      </c>
      <c r="O6393">
        <v>-0.6088768</v>
      </c>
      <c r="P6393">
        <v>0.54334669999999996</v>
      </c>
      <c r="Q6393">
        <v>0.17305980000000001</v>
      </c>
      <c r="R6393">
        <v>-0.82147719999999902</v>
      </c>
      <c r="S6393">
        <v>0.8161621</v>
      </c>
      <c r="T6393">
        <v>-6.1143160000000002E-2</v>
      </c>
      <c r="U6393">
        <v>-3.141235</v>
      </c>
      <c r="V6393">
        <v>0.32769799999999999</v>
      </c>
      <c r="W6393">
        <v>0.17703039999999901</v>
      </c>
      <c r="X6393">
        <v>0.92804869999999995</v>
      </c>
      <c r="Y6393">
        <v>0.61432710000000001</v>
      </c>
      <c r="Z6393">
        <v>-9.1517820000000007E-3</v>
      </c>
      <c r="AA6393">
        <v>0.78899839999999999</v>
      </c>
      <c r="AB6393">
        <v>31</v>
      </c>
      <c r="AC6393">
        <v>13.934100000000001</v>
      </c>
      <c r="AD6393">
        <v>-1.056237133187</v>
      </c>
      <c r="AE6393">
        <v>-54.131609999999903</v>
      </c>
      <c r="AF6393">
        <v>34.439039942780497</v>
      </c>
      <c r="AG6393">
        <v>-1.056237133187</v>
      </c>
      <c r="AH6393">
        <v>44.001281715228103</v>
      </c>
      <c r="AI6393">
        <v>91.082940877495204</v>
      </c>
      <c r="AJ6393">
        <v>51.950329623946502</v>
      </c>
      <c r="AK6393">
        <v>55.886276505460799</v>
      </c>
      <c r="AL6393">
        <v>79.803164128520294</v>
      </c>
      <c r="AM6393">
        <v>70.551653852197603</v>
      </c>
      <c r="AN6393">
        <v>1.0000000656499199</v>
      </c>
    </row>
    <row r="6394" spans="1:40" x14ac:dyDescent="0.25">
      <c r="A6394" t="str">
        <f>"20190303170417012"</f>
        <v>20190303170417012</v>
      </c>
      <c r="B6394" t="str">
        <f>"1551603857001904"</f>
        <v>1551603857001904</v>
      </c>
      <c r="C6394" t="s">
        <v>40</v>
      </c>
      <c r="D6394">
        <v>4.8659990000000004</v>
      </c>
      <c r="E6394">
        <v>0.63819499999999996</v>
      </c>
      <c r="F6394" t="s">
        <v>75</v>
      </c>
      <c r="G6394">
        <v>-295.79750000000001</v>
      </c>
      <c r="H6394" s="1">
        <v>-1.283942E-6</v>
      </c>
      <c r="I6394">
        <v>-40.6646</v>
      </c>
      <c r="J6394">
        <v>-308.89530000000002</v>
      </c>
      <c r="K6394">
        <v>1.0561229999999999</v>
      </c>
      <c r="L6394">
        <v>12.21716</v>
      </c>
      <c r="M6394">
        <v>0.78296239999999995</v>
      </c>
      <c r="N6394">
        <v>-1.750962E-2</v>
      </c>
      <c r="O6394">
        <v>-0.62182249999999994</v>
      </c>
      <c r="P6394">
        <v>0.53027429999999998</v>
      </c>
      <c r="Q6394">
        <v>0.17440549999999999</v>
      </c>
      <c r="R6394">
        <v>-0.82969400000000004</v>
      </c>
      <c r="S6394">
        <v>0.78833009999999903</v>
      </c>
      <c r="T6394">
        <v>-6.2582020000000002E-2</v>
      </c>
      <c r="U6394">
        <v>-3.1437379999999999</v>
      </c>
      <c r="V6394">
        <v>0.32698490000000002</v>
      </c>
      <c r="W6394">
        <v>0.17831939999999999</v>
      </c>
      <c r="X6394">
        <v>0.92805340000000003</v>
      </c>
      <c r="Y6394">
        <v>0.60805869999999995</v>
      </c>
      <c r="Z6394">
        <v>-8.6566730000000001E-3</v>
      </c>
      <c r="AA6394">
        <v>0.79384489999999996</v>
      </c>
      <c r="AB6394">
        <v>31</v>
      </c>
      <c r="AC6394">
        <v>13.097799999999999</v>
      </c>
      <c r="AD6394">
        <v>-1.056124283942</v>
      </c>
      <c r="AE6394">
        <v>-52.88176</v>
      </c>
      <c r="AF6394">
        <v>33.2525274492547</v>
      </c>
      <c r="AG6394">
        <v>-1.056124283942</v>
      </c>
      <c r="AH6394">
        <v>43.128561112696403</v>
      </c>
      <c r="AI6394">
        <v>91.110994858302803</v>
      </c>
      <c r="AJ6394">
        <v>52.3674377895167</v>
      </c>
      <c r="AK6394">
        <v>54.469429627251998</v>
      </c>
      <c r="AL6394">
        <v>79.728115351498701</v>
      </c>
      <c r="AM6394">
        <v>70.590898877857995</v>
      </c>
      <c r="AN6394">
        <v>1.00000002324796</v>
      </c>
    </row>
    <row r="6395" spans="1:40" x14ac:dyDescent="0.25">
      <c r="A6395" t="str">
        <f>"20190303170417035"</f>
        <v>20190303170417035</v>
      </c>
      <c r="B6395" t="str">
        <f>"1551603857022401"</f>
        <v>1551603857022401</v>
      </c>
      <c r="C6395" t="s">
        <v>40</v>
      </c>
      <c r="D6395">
        <v>4.6949639999999997</v>
      </c>
      <c r="E6395">
        <v>0.63753549999999903</v>
      </c>
      <c r="F6395" t="s">
        <v>42</v>
      </c>
      <c r="G6395">
        <v>-296.6583</v>
      </c>
      <c r="H6395" s="1">
        <v>-1.363203E-6</v>
      </c>
      <c r="I6395">
        <v>-38.958889999999997</v>
      </c>
      <c r="J6395">
        <v>-308.6601</v>
      </c>
      <c r="K6395">
        <v>1.056019</v>
      </c>
      <c r="L6395">
        <v>12.00925</v>
      </c>
      <c r="M6395">
        <v>0.77100990000000003</v>
      </c>
      <c r="N6395">
        <v>-1.7442820000000001E-2</v>
      </c>
      <c r="O6395">
        <v>-0.6365845</v>
      </c>
      <c r="P6395">
        <v>0.51700000000000002</v>
      </c>
      <c r="Q6395">
        <v>0.1754677</v>
      </c>
      <c r="R6395">
        <v>-0.83780829999999995</v>
      </c>
      <c r="S6395">
        <v>0.75280760000000002</v>
      </c>
      <c r="T6395">
        <v>-6.497145E-2</v>
      </c>
      <c r="U6395">
        <v>-3.148285</v>
      </c>
      <c r="V6395">
        <v>0.32400109999999999</v>
      </c>
      <c r="W6395">
        <v>0.17942279999999999</v>
      </c>
      <c r="X6395">
        <v>0.92888680000000001</v>
      </c>
      <c r="Y6395">
        <v>0.60167789999999999</v>
      </c>
      <c r="Z6395">
        <v>-8.0058439999999998E-3</v>
      </c>
      <c r="AA6395">
        <v>0.79869869999999898</v>
      </c>
      <c r="AB6395">
        <v>31</v>
      </c>
      <c r="AC6395">
        <v>12.001799999999999</v>
      </c>
      <c r="AD6395">
        <v>-1.0560203632030001</v>
      </c>
      <c r="AE6395">
        <v>-50.968139999999998</v>
      </c>
      <c r="AF6395">
        <v>31.648719564157599</v>
      </c>
      <c r="AG6395">
        <v>-1.0560203632030001</v>
      </c>
      <c r="AH6395">
        <v>41.688416259645898</v>
      </c>
      <c r="AI6395">
        <v>91.155833194248402</v>
      </c>
      <c r="AJ6395">
        <v>52.795213648426703</v>
      </c>
      <c r="AK6395">
        <v>52.351510764214801</v>
      </c>
      <c r="AL6395">
        <v>79.663858340999894</v>
      </c>
      <c r="AM6395">
        <v>70.770932212875195</v>
      </c>
      <c r="AN6395">
        <v>0.999999970587644</v>
      </c>
    </row>
    <row r="6396" spans="1:40" x14ac:dyDescent="0.25">
      <c r="A6396" t="str">
        <f>"20190303170417046"</f>
        <v>20190303170417046</v>
      </c>
      <c r="B6396" t="str">
        <f>"1551603857032160"</f>
        <v>1551603857032160</v>
      </c>
      <c r="C6396" t="s">
        <v>40</v>
      </c>
      <c r="D6396">
        <v>4.6908659999999998</v>
      </c>
      <c r="E6396">
        <v>0.63753549999999903</v>
      </c>
      <c r="F6396" t="s">
        <v>75</v>
      </c>
      <c r="G6396">
        <v>-292.57310000000001</v>
      </c>
      <c r="H6396" s="1">
        <v>-8.8824539999999992E-6</v>
      </c>
      <c r="I6396">
        <v>-60.030410000000003</v>
      </c>
      <c r="J6396">
        <v>-308.53429999999997</v>
      </c>
      <c r="K6396">
        <v>1.055968</v>
      </c>
      <c r="L6396">
        <v>11.89386</v>
      </c>
      <c r="M6396">
        <v>0.76436280000000001</v>
      </c>
      <c r="N6396">
        <v>-1.7411900000000001E-2</v>
      </c>
      <c r="O6396">
        <v>-0.64455130000000005</v>
      </c>
      <c r="P6396">
        <v>0.50986989999999999</v>
      </c>
      <c r="Q6396">
        <v>0.1754318</v>
      </c>
      <c r="R6396">
        <v>-0.84217379999999997</v>
      </c>
      <c r="S6396">
        <v>0.70468140000000001</v>
      </c>
      <c r="T6396">
        <v>-4.625845E-2</v>
      </c>
      <c r="U6396">
        <v>-3.15564</v>
      </c>
      <c r="V6396">
        <v>0.32225219999999999</v>
      </c>
      <c r="W6396">
        <v>0.17942239999999901</v>
      </c>
      <c r="X6396">
        <v>0.92949510000000002</v>
      </c>
      <c r="Y6396">
        <v>0.60542229999999997</v>
      </c>
      <c r="Z6396">
        <v>-1.017843E-2</v>
      </c>
      <c r="AA6396">
        <v>0.79583939999999997</v>
      </c>
      <c r="AB6396">
        <v>31</v>
      </c>
      <c r="AC6396">
        <v>15.9611999999999</v>
      </c>
      <c r="AD6396">
        <v>-1.0559768824539999</v>
      </c>
      <c r="AE6396">
        <v>-71.924269999999893</v>
      </c>
      <c r="AF6396">
        <v>44.686018780750103</v>
      </c>
      <c r="AG6396">
        <v>-1.0559768824539999</v>
      </c>
      <c r="AH6396">
        <v>58.5558772344964</v>
      </c>
      <c r="AI6396">
        <v>90.821338470488001</v>
      </c>
      <c r="AJ6396">
        <v>52.651492669076497</v>
      </c>
      <c r="AK6396">
        <v>73.666451796942496</v>
      </c>
      <c r="AL6396">
        <v>79.663882043728904</v>
      </c>
      <c r="AM6396">
        <v>70.878775144437896</v>
      </c>
      <c r="AN6396">
        <v>1.0000000094753001</v>
      </c>
    </row>
    <row r="6397" spans="1:40" x14ac:dyDescent="0.25">
      <c r="A6397" t="str">
        <f>"20190303170417059"</f>
        <v>20190303170417059</v>
      </c>
      <c r="B6397" t="str">
        <f>"1551603857051680"</f>
        <v>1551603857051680</v>
      </c>
      <c r="C6397" t="s">
        <v>40</v>
      </c>
      <c r="D6397">
        <v>4.7118379999999904</v>
      </c>
      <c r="E6397">
        <v>0.62678049999999996</v>
      </c>
      <c r="F6397" t="s">
        <v>75</v>
      </c>
      <c r="G6397">
        <v>-292.84469999999999</v>
      </c>
      <c r="H6397" s="1">
        <v>-1.0895520000000001E-5</v>
      </c>
      <c r="I6397">
        <v>-61.326169999999998</v>
      </c>
      <c r="J6397">
        <v>-308.40230000000003</v>
      </c>
      <c r="K6397">
        <v>1.0559130000000001</v>
      </c>
      <c r="L6397">
        <v>11.77103</v>
      </c>
      <c r="M6397">
        <v>0.75723949999999995</v>
      </c>
      <c r="N6397">
        <v>-1.738085E-2</v>
      </c>
      <c r="O6397">
        <v>-0.65290619999999999</v>
      </c>
      <c r="P6397">
        <v>0.50223419999999996</v>
      </c>
      <c r="Q6397">
        <v>0.17495939999999999</v>
      </c>
      <c r="R6397">
        <v>-0.84684769999999898</v>
      </c>
      <c r="S6397">
        <v>0.6774597</v>
      </c>
      <c r="T6397">
        <v>-4.5595999999999998E-2</v>
      </c>
      <c r="U6397">
        <v>-3.1615600000000001</v>
      </c>
      <c r="V6397">
        <v>0.32050790000000001</v>
      </c>
      <c r="W6397">
        <v>0.17898610000000001</v>
      </c>
      <c r="X6397">
        <v>0.93018210000000001</v>
      </c>
      <c r="Y6397">
        <v>0.60354149999999995</v>
      </c>
      <c r="Z6397">
        <v>-1.0150030000000001E-2</v>
      </c>
      <c r="AA6397">
        <v>0.79726699999999995</v>
      </c>
      <c r="AB6397">
        <v>31</v>
      </c>
      <c r="AC6397">
        <v>15.557600000000001</v>
      </c>
      <c r="AD6397">
        <v>-1.0559238955200001</v>
      </c>
      <c r="AE6397">
        <v>-73.097200000000001</v>
      </c>
      <c r="AF6397">
        <v>45.192234150590799</v>
      </c>
      <c r="AG6397">
        <v>-1.0559238955200001</v>
      </c>
      <c r="AH6397">
        <v>59.503548256369598</v>
      </c>
      <c r="AI6397">
        <v>90.8096403208813</v>
      </c>
      <c r="AJ6397">
        <v>52.7837635740051</v>
      </c>
      <c r="AK6397">
        <v>74.727004877039306</v>
      </c>
      <c r="AL6397">
        <v>79.6892918268871</v>
      </c>
      <c r="AM6397">
        <v>70.987857550426796</v>
      </c>
      <c r="AN6397">
        <v>1.0000000385580099</v>
      </c>
    </row>
    <row r="6398" spans="1:40" x14ac:dyDescent="0.25">
      <c r="A6398" t="str">
        <f>"20190303170417072"</f>
        <v>20190303170417072</v>
      </c>
      <c r="B6398" t="str">
        <f>"1551603857062416"</f>
        <v>1551603857062416</v>
      </c>
      <c r="C6398" t="s">
        <v>40</v>
      </c>
      <c r="D6398">
        <v>4.7085499999999998</v>
      </c>
      <c r="E6398">
        <v>0.62604179999999998</v>
      </c>
      <c r="F6398" t="s">
        <v>111</v>
      </c>
      <c r="G6398">
        <v>-287.27629999999999</v>
      </c>
      <c r="H6398">
        <v>1.209938</v>
      </c>
      <c r="I6398">
        <v>-80.464519999999993</v>
      </c>
      <c r="J6398">
        <v>-308.26690000000002</v>
      </c>
      <c r="K6398">
        <v>1.055863</v>
      </c>
      <c r="L6398">
        <v>11.64218</v>
      </c>
      <c r="M6398">
        <v>0.74974149999999995</v>
      </c>
      <c r="N6398">
        <v>-1.7351789999999999E-2</v>
      </c>
      <c r="O6398">
        <v>-0.66150339999999996</v>
      </c>
      <c r="P6398">
        <v>0.49357620000000002</v>
      </c>
      <c r="Q6398">
        <v>0.17414839999999901</v>
      </c>
      <c r="R6398">
        <v>-0.85208879999999998</v>
      </c>
      <c r="S6398">
        <v>0.71414180000000005</v>
      </c>
      <c r="T6398">
        <v>5.2070620000000001E-3</v>
      </c>
      <c r="U6398">
        <v>-3.1179199999999998</v>
      </c>
      <c r="V6398">
        <v>0.31947350000000002</v>
      </c>
      <c r="W6398">
        <v>0.1781819</v>
      </c>
      <c r="X6398">
        <v>0.93069210000000002</v>
      </c>
      <c r="Y6398">
        <v>0.58317739999999996</v>
      </c>
      <c r="Z6398">
        <v>-1.6351299999999999E-2</v>
      </c>
      <c r="AA6398">
        <v>0.81218029999999997</v>
      </c>
      <c r="AB6398">
        <v>31</v>
      </c>
      <c r="AC6398">
        <v>20.990600000000001</v>
      </c>
      <c r="AD6398">
        <v>0.15407499999999899</v>
      </c>
      <c r="AE6398">
        <v>-92.106700000000004</v>
      </c>
      <c r="AF6398">
        <v>55.179018664976702</v>
      </c>
      <c r="AG6398">
        <v>0.15407499999999899</v>
      </c>
      <c r="AH6398">
        <v>76.677753582107101</v>
      </c>
      <c r="AI6398">
        <v>89.906552060912404</v>
      </c>
      <c r="AJ6398">
        <v>54.260368890264999</v>
      </c>
      <c r="AK6398">
        <v>94.4681202011229</v>
      </c>
      <c r="AL6398">
        <v>79.736120939381195</v>
      </c>
      <c r="AM6398">
        <v>71.054476594854293</v>
      </c>
      <c r="AN6398">
        <v>0.99999994584613305</v>
      </c>
    </row>
    <row r="6399" spans="1:40" x14ac:dyDescent="0.25">
      <c r="A6399" t="str">
        <f>"20190303170417086"</f>
        <v>20190303170417086</v>
      </c>
      <c r="B6399" t="str">
        <f>"1551603857081938"</f>
        <v>1551603857081938</v>
      </c>
      <c r="C6399" t="s">
        <v>40</v>
      </c>
      <c r="D6399">
        <v>4.7230359999999996</v>
      </c>
      <c r="E6399">
        <v>0.62376419999999999</v>
      </c>
      <c r="F6399" t="s">
        <v>111</v>
      </c>
      <c r="G6399">
        <v>-287.9819</v>
      </c>
      <c r="H6399">
        <v>1.0222719999999901</v>
      </c>
      <c r="I6399">
        <v>-80.464519999999993</v>
      </c>
      <c r="J6399">
        <v>-308.13189999999997</v>
      </c>
      <c r="K6399">
        <v>1.0558129999999999</v>
      </c>
      <c r="L6399">
        <v>11.509919999999999</v>
      </c>
      <c r="M6399">
        <v>0.7420329</v>
      </c>
      <c r="N6399">
        <v>-1.7326029999999999E-2</v>
      </c>
      <c r="O6399">
        <v>-0.6701397</v>
      </c>
      <c r="P6399">
        <v>0.48442269999999998</v>
      </c>
      <c r="Q6399">
        <v>0.17400119999999999</v>
      </c>
      <c r="R6399">
        <v>-0.8573558</v>
      </c>
      <c r="S6399">
        <v>0.68771359999999904</v>
      </c>
      <c r="T6399">
        <v>-1.1383299999999999E-3</v>
      </c>
      <c r="U6399">
        <v>-3.1226500000000001</v>
      </c>
      <c r="V6399">
        <v>0.31868619999999998</v>
      </c>
      <c r="W6399">
        <v>0.1780332</v>
      </c>
      <c r="X6399">
        <v>0.93099050000000005</v>
      </c>
      <c r="Y6399">
        <v>0.580565</v>
      </c>
      <c r="Z6399">
        <v>-1.557396E-2</v>
      </c>
      <c r="AA6399">
        <v>0.81406489999999998</v>
      </c>
      <c r="AB6399">
        <v>31</v>
      </c>
      <c r="AC6399">
        <v>20.149999999999899</v>
      </c>
      <c r="AD6399">
        <v>-3.3541000000000001E-2</v>
      </c>
      <c r="AE6399">
        <v>-91.974440000000001</v>
      </c>
      <c r="AF6399">
        <v>54.752950940317803</v>
      </c>
      <c r="AG6399">
        <v>-3.3541000000000001E-2</v>
      </c>
      <c r="AH6399">
        <v>76.599165965719294</v>
      </c>
      <c r="AI6399">
        <v>90.020410397592499</v>
      </c>
      <c r="AJ6399">
        <v>54.442881206567598</v>
      </c>
      <c r="AK6399">
        <v>94.155822912421897</v>
      </c>
      <c r="AL6399">
        <v>79.7447799532804</v>
      </c>
      <c r="AM6399">
        <v>71.103475580666199</v>
      </c>
      <c r="AN6399">
        <v>1.0000000127314601</v>
      </c>
    </row>
    <row r="6400" spans="1:40" x14ac:dyDescent="0.25">
      <c r="A6400" t="str">
        <f>"20190303170417102"</f>
        <v>20190303170417102</v>
      </c>
      <c r="B6400" t="str">
        <f>"1551603857091696"</f>
        <v>1551603857091696</v>
      </c>
      <c r="C6400" t="s">
        <v>40</v>
      </c>
      <c r="D6400">
        <v>4.7511839999999896</v>
      </c>
      <c r="E6400">
        <v>0.62289890000000003</v>
      </c>
      <c r="F6400" t="s">
        <v>111</v>
      </c>
      <c r="G6400">
        <v>-288.13979999999998</v>
      </c>
      <c r="H6400">
        <v>0.76761440000000003</v>
      </c>
      <c r="I6400">
        <v>-81.509200000000007</v>
      </c>
      <c r="J6400">
        <v>-307.97770000000003</v>
      </c>
      <c r="K6400">
        <v>1.0557540000000001</v>
      </c>
      <c r="L6400">
        <v>11.35568</v>
      </c>
      <c r="M6400">
        <v>0.73299630000000005</v>
      </c>
      <c r="N6400">
        <v>-1.7298729999999998E-2</v>
      </c>
      <c r="O6400">
        <v>-0.68001290000000003</v>
      </c>
      <c r="P6400">
        <v>0.47320289999999998</v>
      </c>
      <c r="Q6400">
        <v>0.1737582</v>
      </c>
      <c r="R6400">
        <v>-0.86364799999999997</v>
      </c>
      <c r="S6400">
        <v>0.67098999999999998</v>
      </c>
      <c r="T6400">
        <v>-9.6722839999999997E-3</v>
      </c>
      <c r="U6400">
        <v>-3.1219790000000001</v>
      </c>
      <c r="V6400">
        <v>0.31839519999999999</v>
      </c>
      <c r="W6400">
        <v>0.17776429999999999</v>
      </c>
      <c r="X6400">
        <v>0.93114140000000001</v>
      </c>
      <c r="Y6400">
        <v>0.57375189999999998</v>
      </c>
      <c r="Z6400">
        <v>-1.4406479999999999E-2</v>
      </c>
      <c r="AA6400">
        <v>0.81890240000000003</v>
      </c>
      <c r="AB6400">
        <v>31</v>
      </c>
      <c r="AC6400">
        <v>19.837900000000001</v>
      </c>
      <c r="AD6400">
        <v>-0.2881396</v>
      </c>
      <c r="AE6400">
        <v>-92.864879999999999</v>
      </c>
      <c r="AF6400">
        <v>54.587241143040998</v>
      </c>
      <c r="AG6400">
        <v>-0.2881396</v>
      </c>
      <c r="AH6400">
        <v>77.701320913166697</v>
      </c>
      <c r="AI6400">
        <v>90.1738548858618</v>
      </c>
      <c r="AJ6400">
        <v>54.9109401632223</v>
      </c>
      <c r="AK6400">
        <v>94.959702988628393</v>
      </c>
      <c r="AL6400">
        <v>79.760436172747802</v>
      </c>
      <c r="AM6400">
        <v>71.1223507534026</v>
      </c>
      <c r="AN6400">
        <v>0.99999997826574405</v>
      </c>
    </row>
    <row r="6401" spans="1:40" x14ac:dyDescent="0.25">
      <c r="A6401" t="str">
        <f>"20190303170417124"</f>
        <v>20190303170417124</v>
      </c>
      <c r="B6401" t="str">
        <f>"1551603857112192"</f>
        <v>1551603857112192</v>
      </c>
      <c r="C6401" t="s">
        <v>40</v>
      </c>
      <c r="D6401">
        <v>4.785609</v>
      </c>
      <c r="E6401">
        <v>0.62160340000000003</v>
      </c>
      <c r="F6401" t="s">
        <v>111</v>
      </c>
      <c r="G6401">
        <v>-287.05309999999997</v>
      </c>
      <c r="H6401">
        <v>0.67247769999999996</v>
      </c>
      <c r="I6401">
        <v>-91.564989999999995</v>
      </c>
      <c r="J6401">
        <v>-307.76170000000002</v>
      </c>
      <c r="K6401">
        <v>1.0556950000000001</v>
      </c>
      <c r="L6401">
        <v>11.13214</v>
      </c>
      <c r="M6401">
        <v>0.71984079999999995</v>
      </c>
      <c r="N6401">
        <v>-1.72649E-2</v>
      </c>
      <c r="O6401">
        <v>-0.69392419999999899</v>
      </c>
      <c r="P6401">
        <v>0.4572349</v>
      </c>
      <c r="Q6401">
        <v>0.174181</v>
      </c>
      <c r="R6401">
        <v>-0.87212209999999901</v>
      </c>
      <c r="S6401">
        <v>0.63586430000000005</v>
      </c>
      <c r="T6401">
        <v>-1.1646750000000001E-2</v>
      </c>
      <c r="U6401">
        <v>-3.1275940000000002</v>
      </c>
      <c r="V6401">
        <v>0.31765690000000002</v>
      </c>
      <c r="W6401">
        <v>0.1781702</v>
      </c>
      <c r="X6401">
        <v>0.93131600000000003</v>
      </c>
      <c r="Y6401">
        <v>0.56716049999999996</v>
      </c>
      <c r="Z6401">
        <v>-1.413359E-2</v>
      </c>
      <c r="AA6401">
        <v>0.82348600000000005</v>
      </c>
      <c r="AB6401">
        <v>31</v>
      </c>
      <c r="AC6401">
        <v>20.708600000000001</v>
      </c>
      <c r="AD6401">
        <v>-0.38321729999999998</v>
      </c>
      <c r="AE6401">
        <v>-102.69713</v>
      </c>
      <c r="AF6401">
        <v>59.563477021100702</v>
      </c>
      <c r="AG6401">
        <v>-0.38321729999999998</v>
      </c>
      <c r="AH6401">
        <v>86.182626580131796</v>
      </c>
      <c r="AI6401">
        <v>90.209584197234705</v>
      </c>
      <c r="AJ6401">
        <v>55.3504506958581</v>
      </c>
      <c r="AK6401">
        <v>104.763542201438</v>
      </c>
      <c r="AL6401">
        <v>79.736802857081798</v>
      </c>
      <c r="AM6401">
        <v>71.166317106813196</v>
      </c>
      <c r="AN6401">
        <v>1.0000000090708201</v>
      </c>
    </row>
    <row r="6402" spans="1:40" x14ac:dyDescent="0.25">
      <c r="A6402" t="str">
        <f>"20190303170417140"</f>
        <v>20190303170417140</v>
      </c>
      <c r="B6402" t="str">
        <f>"1551603857131712"</f>
        <v>1551603857131712</v>
      </c>
      <c r="C6402" t="s">
        <v>40</v>
      </c>
      <c r="D6402">
        <v>4.7814589999999999</v>
      </c>
      <c r="E6402">
        <v>0.61390489999999998</v>
      </c>
      <c r="F6402" t="s">
        <v>111</v>
      </c>
      <c r="G6402">
        <v>-288.53609999999998</v>
      </c>
      <c r="H6402">
        <v>0.69614409999999904</v>
      </c>
      <c r="I6402">
        <v>-91.564989999999995</v>
      </c>
      <c r="J6402">
        <v>-307.6112</v>
      </c>
      <c r="K6402">
        <v>1.055661</v>
      </c>
      <c r="L6402">
        <v>10.971590000000001</v>
      </c>
      <c r="M6402">
        <v>0.71034350000000002</v>
      </c>
      <c r="N6402">
        <v>-1.7243789999999998E-2</v>
      </c>
      <c r="O6402">
        <v>-0.70364389999999999</v>
      </c>
      <c r="P6402">
        <v>0.4464052</v>
      </c>
      <c r="Q6402">
        <v>0.17486090000000001</v>
      </c>
      <c r="R6402">
        <v>-0.87757949999999996</v>
      </c>
      <c r="S6402">
        <v>0.58679199999999998</v>
      </c>
      <c r="T6402">
        <v>-1.097357E-2</v>
      </c>
      <c r="U6402">
        <v>-3.1344599999999998</v>
      </c>
      <c r="V6402">
        <v>0.3164592</v>
      </c>
      <c r="W6402">
        <v>0.17887110000000001</v>
      </c>
      <c r="X6402">
        <v>0.93158940000000001</v>
      </c>
      <c r="Y6402">
        <v>0.56873879999999999</v>
      </c>
      <c r="Z6402">
        <v>-1.4300520000000001E-2</v>
      </c>
      <c r="AA6402">
        <v>0.82239390000000001</v>
      </c>
      <c r="AB6402">
        <v>30</v>
      </c>
      <c r="AC6402">
        <v>19.075099999999999</v>
      </c>
      <c r="AD6402">
        <v>-0.35951689999999997</v>
      </c>
      <c r="AE6402">
        <v>-102.53658</v>
      </c>
      <c r="AF6402">
        <v>59.422245355205703</v>
      </c>
      <c r="AG6402">
        <v>-0.35951689999999997</v>
      </c>
      <c r="AH6402">
        <v>85.710839074511298</v>
      </c>
      <c r="AI6402">
        <v>90.197505251432901</v>
      </c>
      <c r="AJ6402">
        <v>55.266917615825903</v>
      </c>
      <c r="AK6402">
        <v>104.295160148074</v>
      </c>
      <c r="AL6402">
        <v>79.695989068295702</v>
      </c>
      <c r="AM6402">
        <v>71.237470595870406</v>
      </c>
      <c r="AN6402">
        <v>1.0000000529360999</v>
      </c>
    </row>
    <row r="6403" spans="1:40" x14ac:dyDescent="0.25">
      <c r="A6403" t="str">
        <f>"20190303170417154"</f>
        <v>20190303170417154</v>
      </c>
      <c r="B6403" t="str">
        <f>"1551603857142449"</f>
        <v>1551603857142449</v>
      </c>
      <c r="C6403" t="s">
        <v>40</v>
      </c>
      <c r="D6403">
        <v>4.8276510000000004</v>
      </c>
      <c r="E6403">
        <v>0.61350799999999905</v>
      </c>
      <c r="F6403" t="s">
        <v>111</v>
      </c>
      <c r="G6403">
        <v>-287.71100000000001</v>
      </c>
      <c r="H6403">
        <v>0.16514589999999901</v>
      </c>
      <c r="I6403">
        <v>-91.564989999999995</v>
      </c>
      <c r="J6403">
        <v>-307.47739999999999</v>
      </c>
      <c r="K6403">
        <v>1.0556369999999999</v>
      </c>
      <c r="L6403">
        <v>10.82513</v>
      </c>
      <c r="M6403">
        <v>0.70164749999999998</v>
      </c>
      <c r="N6403">
        <v>-1.722657E-2</v>
      </c>
      <c r="O6403">
        <v>-0.71231619999999995</v>
      </c>
      <c r="P6403">
        <v>0.43700739999999999</v>
      </c>
      <c r="Q6403">
        <v>0.17522499999999999</v>
      </c>
      <c r="R6403">
        <v>-0.88222529999999999</v>
      </c>
      <c r="S6403">
        <v>0.60479740000000004</v>
      </c>
      <c r="T6403">
        <v>-2.7063730000000001E-2</v>
      </c>
      <c r="U6403">
        <v>-3.116241</v>
      </c>
      <c r="V6403">
        <v>0.31492959999999998</v>
      </c>
      <c r="W6403">
        <v>0.17927789999999999</v>
      </c>
      <c r="X6403">
        <v>0.93202940000000001</v>
      </c>
      <c r="Y6403">
        <v>0.55304560000000003</v>
      </c>
      <c r="Z6403">
        <v>-1.1652239999999999E-2</v>
      </c>
      <c r="AA6403">
        <v>0.83306939999999996</v>
      </c>
      <c r="AB6403">
        <v>30</v>
      </c>
      <c r="AC6403">
        <v>19.766399999999901</v>
      </c>
      <c r="AD6403">
        <v>-0.89049109999999998</v>
      </c>
      <c r="AE6403">
        <v>-102.39012</v>
      </c>
      <c r="AF6403">
        <v>57.766195123410597</v>
      </c>
      <c r="AG6403">
        <v>-0.89049109999999998</v>
      </c>
      <c r="AH6403">
        <v>86.809723926507303</v>
      </c>
      <c r="AI6403">
        <v>90.489293820344002</v>
      </c>
      <c r="AJ6403">
        <v>56.358831253738501</v>
      </c>
      <c r="AK6403">
        <v>104.276816414923</v>
      </c>
      <c r="AL6403">
        <v>79.672297751694401</v>
      </c>
      <c r="AM6403">
        <v>71.330061949413107</v>
      </c>
      <c r="AN6403">
        <v>1.00000001042446</v>
      </c>
    </row>
    <row r="6404" spans="1:40" x14ac:dyDescent="0.25">
      <c r="A6404" t="str">
        <f>"20190303170417168"</f>
        <v>20190303170417168</v>
      </c>
      <c r="B6404" t="str">
        <f>"1551603857161969"</f>
        <v>1551603857161969</v>
      </c>
      <c r="C6404" t="s">
        <v>40</v>
      </c>
      <c r="D6404">
        <v>4.7805479999999996</v>
      </c>
      <c r="E6404">
        <v>0.61306070000000001</v>
      </c>
      <c r="F6404" t="s">
        <v>111</v>
      </c>
      <c r="G6404">
        <v>-288.64359999999999</v>
      </c>
      <c r="H6404">
        <v>0.1168976</v>
      </c>
      <c r="I6404">
        <v>-91.564989999999995</v>
      </c>
      <c r="J6404">
        <v>-307.33929999999998</v>
      </c>
      <c r="K6404">
        <v>1.0556080000000001</v>
      </c>
      <c r="L6404">
        <v>10.668979999999999</v>
      </c>
      <c r="M6404">
        <v>0.69236730000000002</v>
      </c>
      <c r="N6404">
        <v>-1.7210840000000002E-2</v>
      </c>
      <c r="O6404">
        <v>-0.72134030000000005</v>
      </c>
      <c r="P6404">
        <v>0.42774440000000002</v>
      </c>
      <c r="Q6404">
        <v>0.1753779</v>
      </c>
      <c r="R6404">
        <v>-0.88672320000000004</v>
      </c>
      <c r="S6404">
        <v>0.57421880000000003</v>
      </c>
      <c r="T6404">
        <v>-2.862048E-2</v>
      </c>
      <c r="U6404">
        <v>-3.1217350000000001</v>
      </c>
      <c r="V6404">
        <v>0.312606099999999</v>
      </c>
      <c r="W6404">
        <v>0.179510999999999</v>
      </c>
      <c r="X6404">
        <v>0.9327664</v>
      </c>
      <c r="Y6404">
        <v>0.55040739999999999</v>
      </c>
      <c r="Z6404">
        <v>-1.136096E-2</v>
      </c>
      <c r="AA6404">
        <v>0.83481899999999998</v>
      </c>
      <c r="AB6404">
        <v>30</v>
      </c>
      <c r="AC6404">
        <v>18.695699999999899</v>
      </c>
      <c r="AD6404">
        <v>-0.93871039999999994</v>
      </c>
      <c r="AE6404">
        <v>-102.23397</v>
      </c>
      <c r="AF6404">
        <v>57.301294386172401</v>
      </c>
      <c r="AG6404">
        <v>-0.93871039999999994</v>
      </c>
      <c r="AH6404">
        <v>86.695520895414703</v>
      </c>
      <c r="AI6404">
        <v>90.5175348344561</v>
      </c>
      <c r="AJ6404">
        <v>56.537340887993103</v>
      </c>
      <c r="AK6404">
        <v>103.92513102649001</v>
      </c>
      <c r="AL6404">
        <v>79.658721391383807</v>
      </c>
      <c r="AM6404">
        <v>71.472006784476704</v>
      </c>
      <c r="AN6404">
        <v>0.99999996492358401</v>
      </c>
    </row>
    <row r="6405" spans="1:40" x14ac:dyDescent="0.25">
      <c r="A6405" t="str">
        <f>"20190303170417191"</f>
        <v>20190303170417191</v>
      </c>
      <c r="B6405" t="str">
        <f>"1551603857182464"</f>
        <v>1551603857182464</v>
      </c>
      <c r="C6405" t="s">
        <v>40</v>
      </c>
      <c r="D6405">
        <v>4.7930219999999997</v>
      </c>
      <c r="E6405">
        <v>0.61346880000000004</v>
      </c>
      <c r="F6405" t="s">
        <v>44</v>
      </c>
      <c r="G6405">
        <v>-289.18049999999999</v>
      </c>
      <c r="H6405">
        <v>-0.05</v>
      </c>
      <c r="I6405">
        <v>-93.468729999999994</v>
      </c>
      <c r="J6405">
        <v>-307.13810000000001</v>
      </c>
      <c r="K6405">
        <v>1.0555680000000001</v>
      </c>
      <c r="L6405">
        <v>10.435</v>
      </c>
      <c r="M6405">
        <v>0.6783882</v>
      </c>
      <c r="N6405">
        <v>-1.7189880000000001E-2</v>
      </c>
      <c r="O6405">
        <v>-0.73450269999999995</v>
      </c>
      <c r="P6405">
        <v>0.41040949999999998</v>
      </c>
      <c r="Q6405">
        <v>0.17447399999999999</v>
      </c>
      <c r="R6405">
        <v>-0.89505469999999898</v>
      </c>
      <c r="S6405">
        <v>0.54522709999999996</v>
      </c>
      <c r="T6405">
        <v>-3.3196570000000002E-2</v>
      </c>
      <c r="U6405">
        <v>-3.1268009999999999</v>
      </c>
      <c r="V6405">
        <v>0.31293399999999999</v>
      </c>
      <c r="W6405">
        <v>0.17856710000000001</v>
      </c>
      <c r="X6405">
        <v>0.93283769999999999</v>
      </c>
      <c r="Y6405">
        <v>0.54208069999999997</v>
      </c>
      <c r="Z6405">
        <v>-1.0471899999999999E-2</v>
      </c>
      <c r="AA6405">
        <v>0.84026119999999904</v>
      </c>
      <c r="AB6405">
        <v>30</v>
      </c>
      <c r="AC6405">
        <v>17.957599999999999</v>
      </c>
      <c r="AD6405">
        <v>-1.1055680000000001</v>
      </c>
      <c r="AE6405">
        <v>-103.90373</v>
      </c>
      <c r="AF6405">
        <v>57.299319524778099</v>
      </c>
      <c r="AG6405">
        <v>-1.1055680000000001</v>
      </c>
      <c r="AH6405">
        <v>88.503131749736298</v>
      </c>
      <c r="AI6405">
        <v>90.600782932949798</v>
      </c>
      <c r="AJ6405">
        <v>57.079889085555799</v>
      </c>
      <c r="AK6405">
        <v>105.43831669804101</v>
      </c>
      <c r="AL6405">
        <v>79.713691823531207</v>
      </c>
      <c r="AM6405">
        <v>71.455221638535093</v>
      </c>
      <c r="AN6405">
        <v>1.00000003604984</v>
      </c>
    </row>
    <row r="6406" spans="1:40" x14ac:dyDescent="0.25">
      <c r="A6406" t="str">
        <f>"20190303170417212"</f>
        <v>20190303170417212</v>
      </c>
      <c r="B6406" t="str">
        <f>"1551603857201984"</f>
        <v>1551603857201984</v>
      </c>
      <c r="C6406" t="s">
        <v>40</v>
      </c>
      <c r="D6406">
        <v>4.8110780000000002</v>
      </c>
      <c r="E6406">
        <v>0.60754699999999995</v>
      </c>
      <c r="F6406" t="s">
        <v>75</v>
      </c>
      <c r="G6406">
        <v>-295.67129999999997</v>
      </c>
      <c r="H6406" s="1">
        <v>-1.2383450000000001E-5</v>
      </c>
      <c r="I6406">
        <v>-64.125720000000001</v>
      </c>
      <c r="J6406">
        <v>-306.947</v>
      </c>
      <c r="K6406">
        <v>1.055542</v>
      </c>
      <c r="L6406">
        <v>10.203950000000001</v>
      </c>
      <c r="M6406">
        <v>0.66452690000000003</v>
      </c>
      <c r="N6406">
        <v>-1.7172280000000002E-2</v>
      </c>
      <c r="O6406">
        <v>-0.74706709999999998</v>
      </c>
      <c r="P6406">
        <v>0.39256170000000001</v>
      </c>
      <c r="Q6406">
        <v>0.17389180000000001</v>
      </c>
      <c r="R6406">
        <v>-0.90313750000000004</v>
      </c>
      <c r="S6406">
        <v>0.48275760000000001</v>
      </c>
      <c r="T6406">
        <v>-4.4440390000000003E-2</v>
      </c>
      <c r="U6406">
        <v>-3.1390380000000002</v>
      </c>
      <c r="V6406">
        <v>0.31405429999999901</v>
      </c>
      <c r="W6406">
        <v>0.1779154</v>
      </c>
      <c r="X6406">
        <v>0.93258569999999996</v>
      </c>
      <c r="Y6406">
        <v>0.5431705</v>
      </c>
      <c r="Z6406">
        <v>-8.4932989999999993E-3</v>
      </c>
      <c r="AA6406">
        <v>0.83957950000000003</v>
      </c>
      <c r="AB6406">
        <v>30</v>
      </c>
      <c r="AC6406">
        <v>11.275700000000001</v>
      </c>
      <c r="AD6406">
        <v>-1.0555543834500001</v>
      </c>
      <c r="AE6406">
        <v>-74.329669999999993</v>
      </c>
      <c r="AF6406">
        <v>40.968323824942303</v>
      </c>
      <c r="AG6406">
        <v>-1.0555543834500001</v>
      </c>
      <c r="AH6406">
        <v>63.019123799178701</v>
      </c>
      <c r="AI6406">
        <v>90.804558528216205</v>
      </c>
      <c r="AJ6406">
        <v>56.972365908607799</v>
      </c>
      <c r="AK6406">
        <v>75.172652716915394</v>
      </c>
      <c r="AL6406">
        <v>79.751639184507894</v>
      </c>
      <c r="AM6406">
        <v>71.388712917312702</v>
      </c>
      <c r="AN6406">
        <v>1.00000004037506</v>
      </c>
    </row>
    <row r="6407" spans="1:40" x14ac:dyDescent="0.25">
      <c r="A6407" t="str">
        <f>"20190303170417229"</f>
        <v>20190303170417229</v>
      </c>
      <c r="B6407" t="str">
        <f>"1551603857222480"</f>
        <v>1551603857222480</v>
      </c>
      <c r="C6407" t="s">
        <v>40</v>
      </c>
      <c r="D6407">
        <v>4.8268829999999996</v>
      </c>
      <c r="E6407">
        <v>0.60655389999999998</v>
      </c>
      <c r="F6407" t="s">
        <v>75</v>
      </c>
      <c r="G6407">
        <v>-297.99639999999999</v>
      </c>
      <c r="H6407" s="1">
        <v>-5.9258650000000004E-6</v>
      </c>
      <c r="I6407">
        <v>-50.10698</v>
      </c>
      <c r="J6407">
        <v>-306.80970000000002</v>
      </c>
      <c r="K6407">
        <v>1.055531</v>
      </c>
      <c r="L6407">
        <v>10.031739999999999</v>
      </c>
      <c r="M6407">
        <v>0.65417099999999995</v>
      </c>
      <c r="N6407">
        <v>-1.71608E-2</v>
      </c>
      <c r="O6407">
        <v>-0.75615200000000005</v>
      </c>
      <c r="P6407">
        <v>0.38009300000000001</v>
      </c>
      <c r="Q6407">
        <v>0.17380999999999999</v>
      </c>
      <c r="R6407">
        <v>-0.90847089999999997</v>
      </c>
      <c r="S6407">
        <v>0.46456910000000001</v>
      </c>
      <c r="T6407">
        <v>-5.4787040000000002E-2</v>
      </c>
      <c r="U6407">
        <v>-3.1303709999999998</v>
      </c>
      <c r="V6407">
        <v>0.31404959999999998</v>
      </c>
      <c r="W6407">
        <v>0.1778216</v>
      </c>
      <c r="X6407">
        <v>0.93260509999999996</v>
      </c>
      <c r="Y6407">
        <v>0.53598250000000003</v>
      </c>
      <c r="Z6407">
        <v>-6.4427099999999999E-3</v>
      </c>
      <c r="AA6407">
        <v>0.84420450000000002</v>
      </c>
      <c r="AB6407">
        <v>30</v>
      </c>
      <c r="AC6407">
        <v>8.8133000000000195</v>
      </c>
      <c r="AD6407">
        <v>-1.055536925865</v>
      </c>
      <c r="AE6407">
        <v>-60.1387199999999</v>
      </c>
      <c r="AF6407">
        <v>32.671770856071497</v>
      </c>
      <c r="AG6407">
        <v>-1.055536925865</v>
      </c>
      <c r="AH6407">
        <v>51.231513548680802</v>
      </c>
      <c r="AI6407">
        <v>90.995210422271896</v>
      </c>
      <c r="AJ6407">
        <v>57.473201675185301</v>
      </c>
      <c r="AK6407">
        <v>60.771924023863001</v>
      </c>
      <c r="AL6407">
        <v>79.757099913390704</v>
      </c>
      <c r="AM6407">
        <v>71.389332746449398</v>
      </c>
      <c r="AN6407">
        <v>0.99999997261636397</v>
      </c>
    </row>
    <row r="6408" spans="1:40" x14ac:dyDescent="0.25">
      <c r="A6408" t="str">
        <f>"20190303170417246"</f>
        <v>20190303170417246</v>
      </c>
      <c r="B6408" t="str">
        <f>"1551603857242001"</f>
        <v>1551603857242001</v>
      </c>
      <c r="C6408" t="s">
        <v>40</v>
      </c>
      <c r="D6408">
        <v>4.8366040000000003</v>
      </c>
      <c r="E6408">
        <v>0.59987809999999997</v>
      </c>
      <c r="F6408" t="s">
        <v>75</v>
      </c>
      <c r="G6408">
        <v>-298.7867</v>
      </c>
      <c r="H6408" s="1">
        <v>-5.1220040000000004E-6</v>
      </c>
      <c r="I6408">
        <v>-48.692149999999998</v>
      </c>
      <c r="J6408">
        <v>-306.65649999999999</v>
      </c>
      <c r="K6408">
        <v>1.0555239999999999</v>
      </c>
      <c r="L6408">
        <v>9.8338929999999998</v>
      </c>
      <c r="M6408">
        <v>0.64223269999999899</v>
      </c>
      <c r="N6408">
        <v>-1.7148690000000001E-2</v>
      </c>
      <c r="O6408">
        <v>-0.7663181</v>
      </c>
      <c r="P6408">
        <v>0.36701800000000001</v>
      </c>
      <c r="Q6408">
        <v>0.1746289</v>
      </c>
      <c r="R6408">
        <v>-0.91367569999999998</v>
      </c>
      <c r="S6408">
        <v>0.42816159999999998</v>
      </c>
      <c r="T6408">
        <v>-5.6330680000000001E-2</v>
      </c>
      <c r="U6408">
        <v>-3.1339109999999999</v>
      </c>
      <c r="V6408">
        <v>0.31273410000000001</v>
      </c>
      <c r="W6408">
        <v>0.17868580000000001</v>
      </c>
      <c r="X6408">
        <v>0.93288199999999999</v>
      </c>
      <c r="Y6408">
        <v>0.53248809999999902</v>
      </c>
      <c r="Z6408">
        <v>-5.9716379999999996E-3</v>
      </c>
      <c r="AA6408">
        <v>0.84641639999999996</v>
      </c>
      <c r="AB6408">
        <v>30</v>
      </c>
      <c r="AC6408">
        <v>7.8697999999999899</v>
      </c>
      <c r="AD6408">
        <v>-1.055529122004</v>
      </c>
      <c r="AE6408">
        <v>-58.526043000000001</v>
      </c>
      <c r="AF6408">
        <v>31.5511236642539</v>
      </c>
      <c r="AG6408">
        <v>-1.055529122004</v>
      </c>
      <c r="AH6408">
        <v>49.895198574297702</v>
      </c>
      <c r="AI6408">
        <v>91.024341863995602</v>
      </c>
      <c r="AJ6408">
        <v>57.692872184696199</v>
      </c>
      <c r="AK6408">
        <v>59.043360227658397</v>
      </c>
      <c r="AL6408">
        <v>79.706779574404806</v>
      </c>
      <c r="AM6408">
        <v>71.467078435450105</v>
      </c>
      <c r="AN6408">
        <v>1.0000000291742199</v>
      </c>
    </row>
    <row r="6409" spans="1:40" x14ac:dyDescent="0.25">
      <c r="A6409" t="str">
        <f>"20190303170417263"</f>
        <v>20190303170417263</v>
      </c>
      <c r="B6409" t="str">
        <f>"1551603857251760"</f>
        <v>1551603857251760</v>
      </c>
      <c r="C6409" t="s">
        <v>40</v>
      </c>
      <c r="D6409">
        <v>4.9942409999999997</v>
      </c>
      <c r="E6409">
        <v>0.60087789999999996</v>
      </c>
      <c r="F6409" t="s">
        <v>42</v>
      </c>
      <c r="G6409">
        <v>-300.4314</v>
      </c>
      <c r="H6409" s="1">
        <v>-2.456986E-6</v>
      </c>
      <c r="I6409">
        <v>-34.951140000000002</v>
      </c>
      <c r="J6409">
        <v>-306.5204</v>
      </c>
      <c r="K6409">
        <v>1.055517</v>
      </c>
      <c r="L6409">
        <v>9.6527709999999995</v>
      </c>
      <c r="M6409">
        <v>0.63127369999999905</v>
      </c>
      <c r="N6409">
        <v>-1.713845E-2</v>
      </c>
      <c r="O6409">
        <v>-0.77537080000000003</v>
      </c>
      <c r="P6409">
        <v>0.35456019999999999</v>
      </c>
      <c r="Q6409">
        <v>0.17521099999999901</v>
      </c>
      <c r="R6409">
        <v>-0.91847060000000003</v>
      </c>
      <c r="S6409">
        <v>0.43411250000000001</v>
      </c>
      <c r="T6409">
        <v>-7.3608399999999893E-2</v>
      </c>
      <c r="U6409">
        <v>-3.123138</v>
      </c>
      <c r="V6409">
        <v>0.31210650000000001</v>
      </c>
      <c r="W6409">
        <v>0.17928629999999901</v>
      </c>
      <c r="X6409">
        <v>0.9329769</v>
      </c>
      <c r="Y6409">
        <v>0.51837929999999999</v>
      </c>
      <c r="Z6409">
        <v>-2.3327299999999999E-3</v>
      </c>
      <c r="AA6409">
        <v>0.85514760000000001</v>
      </c>
      <c r="AB6409">
        <v>30</v>
      </c>
      <c r="AC6409">
        <v>6.0889999999999898</v>
      </c>
      <c r="AD6409">
        <v>-1.055519456986</v>
      </c>
      <c r="AE6409">
        <v>-44.603910999999997</v>
      </c>
      <c r="AF6409">
        <v>23.426605897127398</v>
      </c>
      <c r="AG6409">
        <v>-1.055519456986</v>
      </c>
      <c r="AH6409">
        <v>38.4129213561989</v>
      </c>
      <c r="AI6409">
        <v>91.343895566451806</v>
      </c>
      <c r="AJ6409">
        <v>58.622544843364302</v>
      </c>
      <c r="AK6409">
        <v>45.005249830446701</v>
      </c>
      <c r="AL6409">
        <v>79.671808122080094</v>
      </c>
      <c r="AM6409">
        <v>71.503490743501501</v>
      </c>
      <c r="AN6409">
        <v>0.99999997032177401</v>
      </c>
    </row>
    <row r="6410" spans="1:40" x14ac:dyDescent="0.25">
      <c r="A6410" t="str">
        <f>"20190303170417281"</f>
        <v>20190303170417281</v>
      </c>
      <c r="B6410" t="str">
        <f>"1551603857272257"</f>
        <v>1551603857272257</v>
      </c>
      <c r="C6410" t="s">
        <v>40</v>
      </c>
      <c r="D6410">
        <v>4.8386290000000001</v>
      </c>
      <c r="E6410">
        <v>0.59800920000000002</v>
      </c>
      <c r="F6410" t="s">
        <v>42</v>
      </c>
      <c r="G6410">
        <v>-300.42540000000002</v>
      </c>
      <c r="H6410" s="1">
        <v>-2.7592289999999998E-7</v>
      </c>
      <c r="I6410">
        <v>-40.031529999999997</v>
      </c>
      <c r="J6410">
        <v>-306.37950000000001</v>
      </c>
      <c r="K6410">
        <v>1.055512</v>
      </c>
      <c r="L6410">
        <v>9.4593509999999998</v>
      </c>
      <c r="M6410">
        <v>0.61953610000000003</v>
      </c>
      <c r="N6410">
        <v>-1.7128239999999999E-2</v>
      </c>
      <c r="O6410">
        <v>-0.78478130000000001</v>
      </c>
      <c r="P6410">
        <v>0.340516599999999</v>
      </c>
      <c r="Q6410">
        <v>0.17506529999999901</v>
      </c>
      <c r="R6410">
        <v>-0.92379699999999998</v>
      </c>
      <c r="S6410">
        <v>0.38406370000000001</v>
      </c>
      <c r="T6410">
        <v>-6.6510920000000001E-2</v>
      </c>
      <c r="U6410">
        <v>-3.1307369999999999</v>
      </c>
      <c r="V6410">
        <v>0.31230200000000002</v>
      </c>
      <c r="W6410">
        <v>0.17912639999999999</v>
      </c>
      <c r="X6410">
        <v>0.9329423</v>
      </c>
      <c r="Y6410">
        <v>0.51925140000000003</v>
      </c>
      <c r="Z6410">
        <v>-3.525575E-3</v>
      </c>
      <c r="AA6410">
        <v>0.85461430000000005</v>
      </c>
      <c r="AB6410">
        <v>30</v>
      </c>
      <c r="AC6410">
        <v>5.95409999999998</v>
      </c>
      <c r="AD6410">
        <v>-1.0555122759229001</v>
      </c>
      <c r="AE6410">
        <v>-49.490881000000002</v>
      </c>
      <c r="AF6410">
        <v>25.980884544112399</v>
      </c>
      <c r="AG6410">
        <v>-1.0555122759229001</v>
      </c>
      <c r="AH6410">
        <v>42.515474037558803</v>
      </c>
      <c r="AI6410">
        <v>91.213584581851606</v>
      </c>
      <c r="AJ6410">
        <v>58.571213503685897</v>
      </c>
      <c r="AK6410">
        <v>49.836592986453901</v>
      </c>
      <c r="AL6410">
        <v>79.681121518100099</v>
      </c>
      <c r="AM6410">
        <v>71.492054150699502</v>
      </c>
      <c r="AN6410">
        <v>1.00000007075512</v>
      </c>
    </row>
    <row r="6411" spans="1:40" x14ac:dyDescent="0.25">
      <c r="A6411" t="str">
        <f>"20190303170417302"</f>
        <v>20190303170417302</v>
      </c>
      <c r="B6411" t="str">
        <f>"1551603857291776"</f>
        <v>1551603857291776</v>
      </c>
      <c r="C6411" t="s">
        <v>40</v>
      </c>
      <c r="D6411">
        <v>4.8599399999999999</v>
      </c>
      <c r="E6411">
        <v>0.59566109999999906</v>
      </c>
      <c r="F6411" t="s">
        <v>42</v>
      </c>
      <c r="G6411">
        <v>-301.09949999999998</v>
      </c>
      <c r="H6411" s="1">
        <v>-1.998523E-6</v>
      </c>
      <c r="I6411">
        <v>-36.434190000000001</v>
      </c>
      <c r="J6411">
        <v>-306.20510000000002</v>
      </c>
      <c r="K6411">
        <v>1.0555139999999901</v>
      </c>
      <c r="L6411">
        <v>9.2109070000000006</v>
      </c>
      <c r="M6411">
        <v>0.60442109999999905</v>
      </c>
      <c r="N6411">
        <v>-1.7116220000000001E-2</v>
      </c>
      <c r="O6411">
        <v>-0.79648129999999995</v>
      </c>
      <c r="P6411">
        <v>0.32183970000000001</v>
      </c>
      <c r="Q6411">
        <v>0.1734474</v>
      </c>
      <c r="R6411">
        <v>-0.93077149999999997</v>
      </c>
      <c r="S6411">
        <v>0.35992429999999997</v>
      </c>
      <c r="T6411">
        <v>-7.1951749999999995E-2</v>
      </c>
      <c r="U6411">
        <v>-3.1284480000000001</v>
      </c>
      <c r="V6411">
        <v>0.3133782</v>
      </c>
      <c r="W6411">
        <v>0.1774607</v>
      </c>
      <c r="X6411">
        <v>0.9328997</v>
      </c>
      <c r="Y6411">
        <v>0.50930120000000001</v>
      </c>
      <c r="Z6411">
        <v>-2.0499860000000002E-3</v>
      </c>
      <c r="AA6411">
        <v>0.86058590000000001</v>
      </c>
      <c r="AB6411">
        <v>30</v>
      </c>
      <c r="AC6411">
        <v>5.1056000000000301</v>
      </c>
      <c r="AD6411">
        <v>-1.0555159985229901</v>
      </c>
      <c r="AE6411">
        <v>-45.645097</v>
      </c>
      <c r="AF6411">
        <v>23.513369608411601</v>
      </c>
      <c r="AG6411">
        <v>-1.0555159985229901</v>
      </c>
      <c r="AH6411">
        <v>39.426349273839797</v>
      </c>
      <c r="AI6411">
        <v>91.317183091227307</v>
      </c>
      <c r="AJ6411">
        <v>59.188691117715898</v>
      </c>
      <c r="AK6411">
        <v>45.9176401988138</v>
      </c>
      <c r="AL6411">
        <v>79.778112676979802</v>
      </c>
      <c r="AM6411">
        <v>71.431851243897597</v>
      </c>
      <c r="AN6411">
        <v>1.0000000232699</v>
      </c>
    </row>
    <row r="6412" spans="1:40" x14ac:dyDescent="0.25">
      <c r="A6412" t="str">
        <f>"20190303170417318"</f>
        <v>20190303170417318</v>
      </c>
      <c r="B6412" t="str">
        <f>"1551603857312272"</f>
        <v>1551603857312272</v>
      </c>
      <c r="C6412" t="s">
        <v>40</v>
      </c>
      <c r="D6412">
        <v>4.8943789999999998</v>
      </c>
      <c r="E6412">
        <v>0.59451169999999998</v>
      </c>
      <c r="F6412" t="s">
        <v>42</v>
      </c>
      <c r="G6412">
        <v>-302.16030000000001</v>
      </c>
      <c r="H6412" s="1">
        <v>-4.4763309999999996E-6</v>
      </c>
      <c r="I6412">
        <v>-30.985379999999999</v>
      </c>
      <c r="J6412">
        <v>-306.08019999999999</v>
      </c>
      <c r="K6412">
        <v>1.055515</v>
      </c>
      <c r="L6412">
        <v>9.0268859999999993</v>
      </c>
      <c r="M6412">
        <v>0.59319259999999996</v>
      </c>
      <c r="N6412">
        <v>-1.710795E-2</v>
      </c>
      <c r="O6412">
        <v>-0.80487889999999995</v>
      </c>
      <c r="P6412">
        <v>0.3084462</v>
      </c>
      <c r="Q6412">
        <v>0.17264939999999901</v>
      </c>
      <c r="R6412">
        <v>-0.93544300000000002</v>
      </c>
      <c r="S6412">
        <v>0.31491089999999999</v>
      </c>
      <c r="T6412">
        <v>-8.2179070000000007E-2</v>
      </c>
      <c r="U6412">
        <v>-3.1295470000000001</v>
      </c>
      <c r="V6412">
        <v>0.31374030000000003</v>
      </c>
      <c r="W6412">
        <v>0.17664739999999901</v>
      </c>
      <c r="X6412">
        <v>0.93293230000000005</v>
      </c>
      <c r="Y6412">
        <v>0.50948379999999904</v>
      </c>
      <c r="Z6412">
        <v>2.3201919999999999E-4</v>
      </c>
      <c r="AA6412">
        <v>0.86048019999999903</v>
      </c>
      <c r="AB6412">
        <v>30</v>
      </c>
      <c r="AC6412">
        <v>3.9198999999999802</v>
      </c>
      <c r="AD6412">
        <v>-1.0555194763310001</v>
      </c>
      <c r="AE6412">
        <v>-40.012265999999997</v>
      </c>
      <c r="AF6412">
        <v>20.5687680188068</v>
      </c>
      <c r="AG6412">
        <v>-1.0555194763310001</v>
      </c>
      <c r="AH6412">
        <v>34.5115471638752</v>
      </c>
      <c r="AI6412">
        <v>91.504946058438094</v>
      </c>
      <c r="AJ6412">
        <v>59.2051976525402</v>
      </c>
      <c r="AK6412">
        <v>40.189989136858301</v>
      </c>
      <c r="AL6412">
        <v>79.825458894175895</v>
      </c>
      <c r="AM6412">
        <v>71.412474470364003</v>
      </c>
      <c r="AN6412">
        <v>0.99999997807706897</v>
      </c>
    </row>
    <row r="6413" spans="1:40" x14ac:dyDescent="0.25">
      <c r="A6413" t="str">
        <f>"20190303170417335"</f>
        <v>20190303170417335</v>
      </c>
      <c r="B6413" t="str">
        <f>"1551603857322033"</f>
        <v>1551603857322033</v>
      </c>
      <c r="C6413" t="s">
        <v>40</v>
      </c>
      <c r="D6413">
        <v>4.8518679999999996</v>
      </c>
      <c r="E6413">
        <v>0.58333049999999997</v>
      </c>
      <c r="F6413" t="s">
        <v>42</v>
      </c>
      <c r="G6413">
        <v>-302.69650000000001</v>
      </c>
      <c r="H6413" s="1">
        <v>-1.31172E-6</v>
      </c>
      <c r="I6413">
        <v>-29.025649999999999</v>
      </c>
      <c r="J6413">
        <v>-305.9468</v>
      </c>
      <c r="K6413">
        <v>1.0555209999999999</v>
      </c>
      <c r="L6413">
        <v>8.8238529999999997</v>
      </c>
      <c r="M6413">
        <v>0.58077460000000003</v>
      </c>
      <c r="N6413">
        <v>-1.709927E-2</v>
      </c>
      <c r="O6413">
        <v>-0.81388519999999998</v>
      </c>
      <c r="P6413">
        <v>0.29518070000000002</v>
      </c>
      <c r="Q6413">
        <v>0.17192499999999999</v>
      </c>
      <c r="R6413">
        <v>-0.93984590000000001</v>
      </c>
      <c r="S6413">
        <v>0.27844239999999998</v>
      </c>
      <c r="T6413">
        <v>-8.6856009999999997E-2</v>
      </c>
      <c r="U6413">
        <v>-3.131256</v>
      </c>
      <c r="V6413">
        <v>0.31266749999999999</v>
      </c>
      <c r="W6413">
        <v>0.1759724</v>
      </c>
      <c r="X6413">
        <v>0.93341989999999997</v>
      </c>
      <c r="Y6413">
        <v>0.50625209999999998</v>
      </c>
      <c r="Z6413">
        <v>1.5043840000000001E-3</v>
      </c>
      <c r="AA6413">
        <v>0.86238429999999999</v>
      </c>
      <c r="AB6413">
        <v>30</v>
      </c>
      <c r="AC6413">
        <v>3.2502999999999802</v>
      </c>
      <c r="AD6413">
        <v>-1.0555223117200001</v>
      </c>
      <c r="AE6413">
        <v>-37.849502999999999</v>
      </c>
      <c r="AF6413">
        <v>19.324561429061401</v>
      </c>
      <c r="AG6413">
        <v>-1.0555223117200001</v>
      </c>
      <c r="AH6413">
        <v>32.672388587506099</v>
      </c>
      <c r="AI6413">
        <v>91.592786882132899</v>
      </c>
      <c r="AJ6413">
        <v>59.3971876505206</v>
      </c>
      <c r="AK6413">
        <v>37.9741725096032</v>
      </c>
      <c r="AL6413">
        <v>79.864749062568805</v>
      </c>
      <c r="AM6413">
        <v>71.480705019054497</v>
      </c>
      <c r="AN6413">
        <v>0.99999998041700899</v>
      </c>
    </row>
    <row r="6414" spans="1:40" x14ac:dyDescent="0.25">
      <c r="A6414" t="str">
        <f>"20190303170417358"</f>
        <v>20190303170417358</v>
      </c>
      <c r="B6414" t="str">
        <f>"1551603857352288"</f>
        <v>1551603857352288</v>
      </c>
      <c r="C6414" t="s">
        <v>40</v>
      </c>
      <c r="D6414">
        <v>4.8885779999999999</v>
      </c>
      <c r="E6414">
        <v>0.57981369999999999</v>
      </c>
      <c r="F6414" t="s">
        <v>42</v>
      </c>
      <c r="G6414">
        <v>-303.28519999999997</v>
      </c>
      <c r="H6414" s="1">
        <v>-2.3615449999999999E-6</v>
      </c>
      <c r="I6414">
        <v>-16.943619999999999</v>
      </c>
      <c r="J6414">
        <v>-305.78250000000003</v>
      </c>
      <c r="K6414">
        <v>1.0555319999999999</v>
      </c>
      <c r="L6414">
        <v>8.5630799999999994</v>
      </c>
      <c r="M6414">
        <v>0.56480090000000005</v>
      </c>
      <c r="N6414">
        <v>-1.7088900000000001E-2</v>
      </c>
      <c r="O6414">
        <v>-0.82505049999999902</v>
      </c>
      <c r="P6414">
        <v>0.27822269999999999</v>
      </c>
      <c r="Q6414">
        <v>0.172739</v>
      </c>
      <c r="R6414">
        <v>-0.94485629999999998</v>
      </c>
      <c r="S6414">
        <v>0.32168580000000002</v>
      </c>
      <c r="T6414">
        <v>-0.12757299999999999</v>
      </c>
      <c r="U6414">
        <v>-3.1143190000000001</v>
      </c>
      <c r="V6414">
        <v>0.31120510000000001</v>
      </c>
      <c r="W6414">
        <v>0.1768516</v>
      </c>
      <c r="X6414">
        <v>0.93374250000000003</v>
      </c>
      <c r="Y6414">
        <v>0.47683340000000002</v>
      </c>
      <c r="Z6414">
        <v>1.1216820000000001E-2</v>
      </c>
      <c r="AA6414">
        <v>0.87892219999999999</v>
      </c>
      <c r="AB6414">
        <v>30</v>
      </c>
      <c r="AC6414">
        <v>2.4973000000000498</v>
      </c>
      <c r="AD6414">
        <v>-1.0555343615449999</v>
      </c>
      <c r="AE6414">
        <v>-25.506699999999999</v>
      </c>
      <c r="AF6414">
        <v>12.3266997006673</v>
      </c>
      <c r="AG6414">
        <v>-1.0555343615449999</v>
      </c>
      <c r="AH6414">
        <v>22.420037421509701</v>
      </c>
      <c r="AI6414">
        <v>92.362429937786203</v>
      </c>
      <c r="AJ6414">
        <v>61.197684702487102</v>
      </c>
      <c r="AK6414">
        <v>25.607025525834299</v>
      </c>
      <c r="AL6414">
        <v>79.813572990169405</v>
      </c>
      <c r="AM6414">
        <v>71.567392761326204</v>
      </c>
      <c r="AN6414">
        <v>1.0000000794974</v>
      </c>
    </row>
    <row r="6415" spans="1:40" x14ac:dyDescent="0.25">
      <c r="A6415" t="str">
        <f>"20190303170417380"</f>
        <v>20190303170417380</v>
      </c>
      <c r="B6415" t="str">
        <f>"1551603857371809"</f>
        <v>1551603857371809</v>
      </c>
      <c r="C6415" t="s">
        <v>40</v>
      </c>
      <c r="D6415">
        <v>4.8816449999999998</v>
      </c>
      <c r="E6415">
        <v>0.57870739999999998</v>
      </c>
      <c r="F6415" t="s">
        <v>42</v>
      </c>
      <c r="G6415">
        <v>-303.33120000000002</v>
      </c>
      <c r="H6415" s="1">
        <v>-2.135427E-6</v>
      </c>
      <c r="I6415">
        <v>-17.49925</v>
      </c>
      <c r="J6415">
        <v>-305.62439999999998</v>
      </c>
      <c r="K6415">
        <v>1.055536</v>
      </c>
      <c r="L6415">
        <v>8.3009339999999998</v>
      </c>
      <c r="M6415">
        <v>0.54869969999999901</v>
      </c>
      <c r="N6415">
        <v>-1.707912E-2</v>
      </c>
      <c r="O6415">
        <v>-0.83584539999999996</v>
      </c>
      <c r="P6415">
        <v>0.25996350000000001</v>
      </c>
      <c r="Q6415">
        <v>0.172822</v>
      </c>
      <c r="R6415">
        <v>-0.95002750000000002</v>
      </c>
      <c r="S6415">
        <v>0.29269410000000001</v>
      </c>
      <c r="T6415">
        <v>-0.1260347</v>
      </c>
      <c r="U6415">
        <v>-3.1119379999999999</v>
      </c>
      <c r="V6415">
        <v>0.31108229999999998</v>
      </c>
      <c r="W6415">
        <v>0.1769445</v>
      </c>
      <c r="X6415">
        <v>0.93376570000000003</v>
      </c>
      <c r="Y6415">
        <v>0.46782000000000001</v>
      </c>
      <c r="Z6415">
        <v>1.159376E-2</v>
      </c>
      <c r="AA6415">
        <v>0.88374769999999903</v>
      </c>
      <c r="AB6415">
        <v>30</v>
      </c>
      <c r="AC6415">
        <v>2.2931999999999499</v>
      </c>
      <c r="AD6415">
        <v>-1.0555381354269999</v>
      </c>
      <c r="AE6415">
        <v>-25.800183999999899</v>
      </c>
      <c r="AF6415">
        <v>12.2212789046071</v>
      </c>
      <c r="AG6415">
        <v>-1.0555381354269999</v>
      </c>
      <c r="AH6415">
        <v>22.788721324623602</v>
      </c>
      <c r="AI6415">
        <v>92.337462125829205</v>
      </c>
      <c r="AJ6415">
        <v>61.795950591089102</v>
      </c>
      <c r="AK6415">
        <v>25.880487600331001</v>
      </c>
      <c r="AL6415">
        <v>79.808163774277503</v>
      </c>
      <c r="AM6415">
        <v>71.574601764045596</v>
      </c>
      <c r="AN6415">
        <v>0.999999967975014</v>
      </c>
    </row>
    <row r="6416" spans="1:40" x14ac:dyDescent="0.25">
      <c r="A6416" t="str">
        <f>"20190303170417413"</f>
        <v>20190303170417413</v>
      </c>
      <c r="B6416" t="str">
        <f>"1551603857402064"</f>
        <v>1551603857402064</v>
      </c>
      <c r="C6416" t="s">
        <v>40</v>
      </c>
      <c r="D6416">
        <v>4.8527469999999999</v>
      </c>
      <c r="E6416">
        <v>0.56754280000000001</v>
      </c>
      <c r="F6416" t="s">
        <v>42</v>
      </c>
      <c r="G6416">
        <v>-303.60489999999999</v>
      </c>
      <c r="H6416" s="1">
        <v>-2.2214750000000002E-6</v>
      </c>
      <c r="I6416">
        <v>-17.46846</v>
      </c>
      <c r="J6416">
        <v>-305.39890000000003</v>
      </c>
      <c r="K6416">
        <v>1.0555639999999999</v>
      </c>
      <c r="L6416">
        <v>7.9068300000000002</v>
      </c>
      <c r="M6416">
        <v>0.52440129999999996</v>
      </c>
      <c r="N6416">
        <v>-1.7065469999999999E-2</v>
      </c>
      <c r="O6416">
        <v>-0.85130030000000001</v>
      </c>
      <c r="P6416">
        <v>0.2311068</v>
      </c>
      <c r="Q6416">
        <v>0.17041889999999901</v>
      </c>
      <c r="R6416">
        <v>-0.95788680000000004</v>
      </c>
      <c r="S6416">
        <v>0.24404909999999999</v>
      </c>
      <c r="T6416">
        <v>-0.1275617</v>
      </c>
      <c r="U6416">
        <v>-3.1142270000000001</v>
      </c>
      <c r="V6416">
        <v>0.31256020000000001</v>
      </c>
      <c r="W6416">
        <v>0.1744927</v>
      </c>
      <c r="X6416">
        <v>0.93373360000000005</v>
      </c>
      <c r="Y6416">
        <v>0.4560978</v>
      </c>
      <c r="Z6416">
        <v>1.289447E-2</v>
      </c>
      <c r="AA6416">
        <v>0.88983630000000002</v>
      </c>
      <c r="AB6416">
        <v>30</v>
      </c>
      <c r="AC6416">
        <v>1.79400000000003</v>
      </c>
      <c r="AD6416">
        <v>-1.0555662214749999</v>
      </c>
      <c r="AE6416">
        <v>-25.37529</v>
      </c>
      <c r="AF6416">
        <v>11.761066831342401</v>
      </c>
      <c r="AG6416">
        <v>-1.0555662214749999</v>
      </c>
      <c r="AH6416">
        <v>22.507296321341801</v>
      </c>
      <c r="AI6416">
        <v>92.380190051350098</v>
      </c>
      <c r="AJ6416">
        <v>62.410923637264403</v>
      </c>
      <c r="AK6416">
        <v>25.416831052590101</v>
      </c>
      <c r="AL6416">
        <v>79.950862342089593</v>
      </c>
      <c r="AM6416">
        <v>71.492423149231996</v>
      </c>
      <c r="AN6416">
        <v>1.00000000837314</v>
      </c>
    </row>
    <row r="6417" spans="1:40" x14ac:dyDescent="0.25">
      <c r="A6417" t="str">
        <f>"20190303170417437"</f>
        <v>20190303170417437</v>
      </c>
      <c r="B6417" t="str">
        <f>"1551603857432321"</f>
        <v>1551603857432321</v>
      </c>
      <c r="C6417" t="s">
        <v>40</v>
      </c>
      <c r="D6417">
        <v>4.8373480000000004</v>
      </c>
      <c r="E6417">
        <v>0.56016809999999995</v>
      </c>
      <c r="F6417" t="s">
        <v>42</v>
      </c>
      <c r="G6417">
        <v>-303.67340000000002</v>
      </c>
      <c r="H6417" s="1">
        <v>-3.4851969999999998E-6</v>
      </c>
      <c r="I6417">
        <v>-14.5651299999999</v>
      </c>
      <c r="J6417">
        <v>-305.25200000000001</v>
      </c>
      <c r="K6417">
        <v>1.0555779999999999</v>
      </c>
      <c r="L6417">
        <v>7.6341859999999997</v>
      </c>
      <c r="M6417">
        <v>0.50754979999999905</v>
      </c>
      <c r="N6417">
        <v>-1.7056760000000001E-2</v>
      </c>
      <c r="O6417">
        <v>-0.86145380000000005</v>
      </c>
      <c r="P6417">
        <v>0.21263750000000001</v>
      </c>
      <c r="Q6417">
        <v>0.166995</v>
      </c>
      <c r="R6417">
        <v>-0.96275560000000004</v>
      </c>
      <c r="S6417">
        <v>0.23806759999999999</v>
      </c>
      <c r="T6417">
        <v>-0.1456327</v>
      </c>
      <c r="U6417">
        <v>-3.1003720000000001</v>
      </c>
      <c r="V6417">
        <v>0.31231189999999998</v>
      </c>
      <c r="W6417">
        <v>0.171097</v>
      </c>
      <c r="X6417">
        <v>0.93444479999999996</v>
      </c>
      <c r="Y6417">
        <v>0.4398997</v>
      </c>
      <c r="Z6417">
        <v>1.8114890000000002E-2</v>
      </c>
      <c r="AA6417">
        <v>0.8978642</v>
      </c>
      <c r="AB6417">
        <v>30</v>
      </c>
      <c r="AC6417">
        <v>1.57859999999999</v>
      </c>
      <c r="AD6417">
        <v>-1.055581485197</v>
      </c>
      <c r="AE6417">
        <v>-22.199316</v>
      </c>
      <c r="AF6417">
        <v>9.8865657856705695</v>
      </c>
      <c r="AG6417">
        <v>-1.055581485197</v>
      </c>
      <c r="AH6417">
        <v>19.883068645688098</v>
      </c>
      <c r="AI6417">
        <v>92.721627105189199</v>
      </c>
      <c r="AJ6417">
        <v>63.561808383200301</v>
      </c>
      <c r="AK6417">
        <v>22.2304937883851</v>
      </c>
      <c r="AL6417">
        <v>80.1483928823978</v>
      </c>
      <c r="AM6417">
        <v>71.519244300096403</v>
      </c>
      <c r="AN6417">
        <v>0.99999999526882499</v>
      </c>
    </row>
    <row r="6418" spans="1:40" x14ac:dyDescent="0.25">
      <c r="A6418" t="str">
        <f>"20190303170417459"</f>
        <v>20190303170417459</v>
      </c>
      <c r="B6418" t="str">
        <f>"1551603857451841"</f>
        <v>1551603857451841</v>
      </c>
      <c r="C6418" t="s">
        <v>40</v>
      </c>
      <c r="D6418">
        <v>4.8496920000000001</v>
      </c>
      <c r="E6418">
        <v>0.55788959999999999</v>
      </c>
      <c r="F6418" t="s">
        <v>42</v>
      </c>
      <c r="G6418">
        <v>-303.80399999999997</v>
      </c>
      <c r="H6418" s="1">
        <v>-4.6250130000000003E-6</v>
      </c>
      <c r="I6418">
        <v>-11.40523</v>
      </c>
      <c r="J6418">
        <v>-305.10950000000003</v>
      </c>
      <c r="K6418">
        <v>1.0555939999999999</v>
      </c>
      <c r="L6418">
        <v>7.3560489999999996</v>
      </c>
      <c r="M6418">
        <v>0.4903228</v>
      </c>
      <c r="N6418">
        <v>-1.704777E-2</v>
      </c>
      <c r="O6418">
        <v>-0.87137430000000005</v>
      </c>
      <c r="P6418">
        <v>0.19397139999999999</v>
      </c>
      <c r="Q6418">
        <v>0.16596549999999999</v>
      </c>
      <c r="R6418">
        <v>-0.96686669999999997</v>
      </c>
      <c r="S6418">
        <v>0.23529050000000001</v>
      </c>
      <c r="T6418">
        <v>-0.17152870000000001</v>
      </c>
      <c r="U6418">
        <v>-3.093842</v>
      </c>
      <c r="V6418">
        <v>0.3118475</v>
      </c>
      <c r="W6418">
        <v>0.1701019</v>
      </c>
      <c r="X6418">
        <v>0.93478159999999999</v>
      </c>
      <c r="Y6418">
        <v>0.42260900000000001</v>
      </c>
      <c r="Z6418">
        <v>2.5415139999999999E-2</v>
      </c>
      <c r="AA6418">
        <v>0.90595570000000003</v>
      </c>
      <c r="AB6418">
        <v>30</v>
      </c>
      <c r="AC6418">
        <v>1.3054999999999899</v>
      </c>
      <c r="AD6418">
        <v>-1.0555986250130001</v>
      </c>
      <c r="AE6418">
        <v>-18.761278999999998</v>
      </c>
      <c r="AF6418">
        <v>8.0373529951386296</v>
      </c>
      <c r="AG6418">
        <v>-1.0555986250130001</v>
      </c>
      <c r="AH6418">
        <v>16.937319368921099</v>
      </c>
      <c r="AI6418">
        <v>93.222685023559606</v>
      </c>
      <c r="AJ6418">
        <v>64.614017795707099</v>
      </c>
      <c r="AK6418">
        <v>18.7772766670363</v>
      </c>
      <c r="AL6418">
        <v>80.206256999186195</v>
      </c>
      <c r="AM6418">
        <v>71.551060911533298</v>
      </c>
      <c r="AN6418">
        <v>1.0000000796691999</v>
      </c>
    </row>
    <row r="6419" spans="1:40" x14ac:dyDescent="0.25">
      <c r="A6419" t="str">
        <f>"20190303170417481"</f>
        <v>20190303170417481</v>
      </c>
      <c r="B6419" t="str">
        <f>"1551603857472336"</f>
        <v>1551603857472336</v>
      </c>
      <c r="C6419" t="s">
        <v>40</v>
      </c>
      <c r="D6419">
        <v>4.8345560000000001</v>
      </c>
      <c r="E6419">
        <v>0.55699270000000001</v>
      </c>
      <c r="F6419" t="s">
        <v>42</v>
      </c>
      <c r="G6419">
        <v>-303.95749999999998</v>
      </c>
      <c r="H6419" s="1">
        <v>-4.7167199999999998E-6</v>
      </c>
      <c r="I6419">
        <v>-11.215730000000001</v>
      </c>
      <c r="J6419">
        <v>-304.98140000000001</v>
      </c>
      <c r="K6419">
        <v>1.0556179999999999</v>
      </c>
      <c r="L6419">
        <v>7.0941159999999996</v>
      </c>
      <c r="M6419">
        <v>0.47406300000000001</v>
      </c>
      <c r="N6419">
        <v>-1.7039439999999999E-2</v>
      </c>
      <c r="O6419">
        <v>-0.8803261</v>
      </c>
      <c r="P6419">
        <v>0.17596800000000001</v>
      </c>
      <c r="Q6419">
        <v>0.16680599999999901</v>
      </c>
      <c r="R6419">
        <v>-0.97016069999999999</v>
      </c>
      <c r="S6419">
        <v>0.1919556</v>
      </c>
      <c r="T6419">
        <v>-0.17588870000000001</v>
      </c>
      <c r="U6419">
        <v>-3.0945130000000001</v>
      </c>
      <c r="V6419">
        <v>0.31182110000000002</v>
      </c>
      <c r="W6419">
        <v>0.17095279999999999</v>
      </c>
      <c r="X6419">
        <v>0.93463510000000005</v>
      </c>
      <c r="Y6419">
        <v>0.4184235</v>
      </c>
      <c r="Z6419">
        <v>2.722836E-2</v>
      </c>
      <c r="AA6419">
        <v>0.90784379999999998</v>
      </c>
      <c r="AB6419">
        <v>30</v>
      </c>
      <c r="AC6419">
        <v>1.02390000000002</v>
      </c>
      <c r="AD6419">
        <v>-1.0556227167200001</v>
      </c>
      <c r="AE6419">
        <v>-18.309846</v>
      </c>
      <c r="AF6419">
        <v>7.7540901936840898</v>
      </c>
      <c r="AG6419">
        <v>-1.0556227167200001</v>
      </c>
      <c r="AH6419">
        <v>16.551594088323402</v>
      </c>
      <c r="AI6419">
        <v>93.305393600109994</v>
      </c>
      <c r="AJ6419">
        <v>64.897851202806294</v>
      </c>
      <c r="AK6419">
        <v>18.308345663015601</v>
      </c>
      <c r="AL6419">
        <v>80.156778669464202</v>
      </c>
      <c r="AM6419">
        <v>71.549821225091407</v>
      </c>
      <c r="AN6419">
        <v>1.00000001419253</v>
      </c>
    </row>
    <row r="6420" spans="1:40" x14ac:dyDescent="0.25">
      <c r="A6420" t="str">
        <f>"20190303170417503"</f>
        <v>20190303170417503</v>
      </c>
      <c r="B6420" t="str">
        <f>"1551603857491856"</f>
        <v>1551603857491856</v>
      </c>
      <c r="C6420" t="s">
        <v>40</v>
      </c>
      <c r="D6420">
        <v>4.8616400000000004</v>
      </c>
      <c r="E6420">
        <v>0.5487031</v>
      </c>
      <c r="F6420" t="s">
        <v>42</v>
      </c>
      <c r="G6420">
        <v>-304.11489999999998</v>
      </c>
      <c r="H6420" s="1">
        <v>-4.6073069999999999E-6</v>
      </c>
      <c r="I6420">
        <v>-11.61933</v>
      </c>
      <c r="J6420">
        <v>-304.85340000000002</v>
      </c>
      <c r="K6420">
        <v>1.055647</v>
      </c>
      <c r="L6420">
        <v>6.8187870000000004</v>
      </c>
      <c r="M6420">
        <v>0.45693679999999898</v>
      </c>
      <c r="N6420">
        <v>-1.7030779999999999E-2</v>
      </c>
      <c r="O6420">
        <v>-0.88933619999999902</v>
      </c>
      <c r="P6420">
        <v>0.15643560000000001</v>
      </c>
      <c r="Q6420">
        <v>0.16670570000000001</v>
      </c>
      <c r="R6420">
        <v>-0.9735182</v>
      </c>
      <c r="S6420">
        <v>0.14337159999999999</v>
      </c>
      <c r="T6420">
        <v>-0.1746626</v>
      </c>
      <c r="U6420">
        <v>-3.0963129999999999</v>
      </c>
      <c r="V6420">
        <v>0.31250850000000002</v>
      </c>
      <c r="W6420">
        <v>0.170837299999999</v>
      </c>
      <c r="X6420">
        <v>0.9344266</v>
      </c>
      <c r="Y6420">
        <v>0.4150856</v>
      </c>
      <c r="Z6420">
        <v>2.7635679999999999E-2</v>
      </c>
      <c r="AA6420">
        <v>0.90936260000000002</v>
      </c>
      <c r="AB6420">
        <v>30</v>
      </c>
      <c r="AC6420">
        <v>0.73850000000004401</v>
      </c>
      <c r="AD6420">
        <v>-1.0556516073069999</v>
      </c>
      <c r="AE6420">
        <v>-18.438116999999998</v>
      </c>
      <c r="AF6420">
        <v>7.7440612672147298</v>
      </c>
      <c r="AG6420">
        <v>-1.0556516073069999</v>
      </c>
      <c r="AH6420">
        <v>16.682959842355299</v>
      </c>
      <c r="AI6420">
        <v>93.284894393131793</v>
      </c>
      <c r="AJ6420">
        <v>65.099748134623198</v>
      </c>
      <c r="AK6420">
        <v>18.422975718597201</v>
      </c>
      <c r="AL6420">
        <v>80.163495076874796</v>
      </c>
      <c r="AM6420">
        <v>71.508065972855803</v>
      </c>
      <c r="AN6420">
        <v>1.00000000821555</v>
      </c>
    </row>
    <row r="6421" spans="1:40" x14ac:dyDescent="0.25">
      <c r="A6421" t="str">
        <f>"20190303170417526"</f>
        <v>20190303170417526</v>
      </c>
      <c r="B6421" t="str">
        <f>"1551603857512352"</f>
        <v>1551603857512352</v>
      </c>
      <c r="C6421" t="s">
        <v>40</v>
      </c>
      <c r="D6421">
        <v>4.8409219999999999</v>
      </c>
      <c r="E6421">
        <v>0.54645109999999997</v>
      </c>
      <c r="F6421" t="s">
        <v>42</v>
      </c>
      <c r="G6421">
        <v>-303.93259999999998</v>
      </c>
      <c r="H6421" s="1">
        <v>-4.3306569999999998E-6</v>
      </c>
      <c r="I6421">
        <v>-12.33723</v>
      </c>
      <c r="J6421">
        <v>-304.7294</v>
      </c>
      <c r="K6421">
        <v>1.0556779999999999</v>
      </c>
      <c r="L6421">
        <v>6.5382999999999996</v>
      </c>
      <c r="M6421">
        <v>0.43945240000000002</v>
      </c>
      <c r="N6421">
        <v>-1.7021870000000001E-2</v>
      </c>
      <c r="O6421">
        <v>-0.89810460000000003</v>
      </c>
      <c r="P6421">
        <v>0.13765369999999999</v>
      </c>
      <c r="Q6421">
        <v>0.16429050000000001</v>
      </c>
      <c r="R6421">
        <v>-0.97675990000000001</v>
      </c>
      <c r="S6421">
        <v>0.14837649999999999</v>
      </c>
      <c r="T6421">
        <v>-0.17011389999999901</v>
      </c>
      <c r="U6421">
        <v>-3.0869140000000002</v>
      </c>
      <c r="V6421">
        <v>0.31230279999999999</v>
      </c>
      <c r="W6421">
        <v>0.16845189999999999</v>
      </c>
      <c r="X6421">
        <v>0.93492830000000005</v>
      </c>
      <c r="Y6421">
        <v>0.39562259999999999</v>
      </c>
      <c r="Z6421">
        <v>2.7574899999999999E-2</v>
      </c>
      <c r="AA6421">
        <v>0.91799909999999996</v>
      </c>
      <c r="AB6421">
        <v>30</v>
      </c>
      <c r="AC6421">
        <v>0.79680000000001805</v>
      </c>
      <c r="AD6421">
        <v>-1.055682330657</v>
      </c>
      <c r="AE6421">
        <v>-18.875530000000001</v>
      </c>
      <c r="AF6421">
        <v>7.5567897015596097</v>
      </c>
      <c r="AG6421">
        <v>-1.055682330657</v>
      </c>
      <c r="AH6421">
        <v>17.250997604206201</v>
      </c>
      <c r="AI6421">
        <v>93.208262120656798</v>
      </c>
      <c r="AJ6421">
        <v>66.344204931784603</v>
      </c>
      <c r="AK6421">
        <v>18.8630976808473</v>
      </c>
      <c r="AL6421">
        <v>80.302178597176606</v>
      </c>
      <c r="AM6421">
        <v>71.528654588764596</v>
      </c>
      <c r="AN6421">
        <v>1.00000000382117</v>
      </c>
    </row>
    <row r="6422" spans="1:40" x14ac:dyDescent="0.25">
      <c r="A6422" t="str">
        <f>"20190303170417548"</f>
        <v>20190303170417548</v>
      </c>
      <c r="B6422" t="str">
        <f>"1551603857541632"</f>
        <v>1551603857541632</v>
      </c>
      <c r="C6422" t="s">
        <v>40</v>
      </c>
      <c r="D6422">
        <v>4.8442429999999996</v>
      </c>
      <c r="E6422">
        <v>0.54436229999999997</v>
      </c>
      <c r="F6422" t="s">
        <v>42</v>
      </c>
      <c r="G6422">
        <v>-304.1035</v>
      </c>
      <c r="H6422" s="1">
        <v>-4.5723869999999999E-6</v>
      </c>
      <c r="I6422">
        <v>-11.71598</v>
      </c>
      <c r="J6422">
        <v>-304.60910000000001</v>
      </c>
      <c r="K6422">
        <v>1.055696</v>
      </c>
      <c r="L6422">
        <v>6.2507320000000002</v>
      </c>
      <c r="M6422">
        <v>0.42149930000000002</v>
      </c>
      <c r="N6422">
        <v>-1.7012320000000001E-2</v>
      </c>
      <c r="O6422">
        <v>-0.90666930000000001</v>
      </c>
      <c r="P6422">
        <v>0.1195346</v>
      </c>
      <c r="Q6422">
        <v>0.16144559999999999</v>
      </c>
      <c r="R6422">
        <v>-0.97961609999999999</v>
      </c>
      <c r="S6422">
        <v>0.105834999999999</v>
      </c>
      <c r="T6422">
        <v>-0.17849789999999999</v>
      </c>
      <c r="U6422">
        <v>-3.086487</v>
      </c>
      <c r="V6422">
        <v>0.31109740000000002</v>
      </c>
      <c r="W6422">
        <v>0.16568369999999999</v>
      </c>
      <c r="X6422">
        <v>0.9358244</v>
      </c>
      <c r="Y6422">
        <v>0.38996740000000002</v>
      </c>
      <c r="Z6422">
        <v>3.0526290000000001E-2</v>
      </c>
      <c r="AA6422">
        <v>0.92032250000000004</v>
      </c>
      <c r="AB6422">
        <v>30</v>
      </c>
      <c r="AC6422">
        <v>0.50560000000001504</v>
      </c>
      <c r="AD6422">
        <v>-1.0557005723870001</v>
      </c>
      <c r="AE6422">
        <v>-17.966712000000001</v>
      </c>
      <c r="AF6422">
        <v>7.0911099540559999</v>
      </c>
      <c r="AG6422">
        <v>-1.0557005723870001</v>
      </c>
      <c r="AH6422">
        <v>16.448617129230399</v>
      </c>
      <c r="AI6422">
        <v>93.373000840488601</v>
      </c>
      <c r="AJ6422">
        <v>66.678799611772604</v>
      </c>
      <c r="AK6422">
        <v>17.943114265451801</v>
      </c>
      <c r="AL6422">
        <v>80.463045659226793</v>
      </c>
      <c r="AM6422">
        <v>71.611573882383496</v>
      </c>
      <c r="AN6422">
        <v>0.99999999418390495</v>
      </c>
    </row>
    <row r="6423" spans="1:40" x14ac:dyDescent="0.25">
      <c r="A6423" t="str">
        <f>"20190303170417569"</f>
        <v>20190303170417569</v>
      </c>
      <c r="B6423" t="str">
        <f>"1551603857562129"</f>
        <v>1551603857562129</v>
      </c>
      <c r="C6423" t="s">
        <v>40</v>
      </c>
      <c r="D6423">
        <v>4.85358</v>
      </c>
      <c r="E6423">
        <v>0.53453470000000003</v>
      </c>
      <c r="F6423" t="s">
        <v>42</v>
      </c>
      <c r="G6423">
        <v>-304.25200000000001</v>
      </c>
      <c r="H6423" s="1">
        <v>-4.8311129999999999E-6</v>
      </c>
      <c r="I6423">
        <v>-11.03313</v>
      </c>
      <c r="J6423">
        <v>-304.50240000000002</v>
      </c>
      <c r="K6423">
        <v>1.0557240000000001</v>
      </c>
      <c r="L6423">
        <v>5.9811709999999998</v>
      </c>
      <c r="M6423">
        <v>0.40464719999999998</v>
      </c>
      <c r="N6423">
        <v>-1.700248E-2</v>
      </c>
      <c r="O6423">
        <v>-0.91431470000000004</v>
      </c>
      <c r="P6423">
        <v>0.10315299999999999</v>
      </c>
      <c r="Q6423">
        <v>0.16133499999999901</v>
      </c>
      <c r="R6423">
        <v>-0.98149419999999998</v>
      </c>
      <c r="S6423">
        <v>6.3751219999999997E-2</v>
      </c>
      <c r="T6423">
        <v>-0.18847639999999999</v>
      </c>
      <c r="U6423">
        <v>-3.0857239999999999</v>
      </c>
      <c r="V6423">
        <v>0.30939440000000001</v>
      </c>
      <c r="W6423">
        <v>0.16566589999999901</v>
      </c>
      <c r="X6423">
        <v>0.93639190000000005</v>
      </c>
      <c r="Y6423">
        <v>0.38544840000000002</v>
      </c>
      <c r="Z6423">
        <v>3.3893099999999898E-2</v>
      </c>
      <c r="AA6423">
        <v>0.92210669999999995</v>
      </c>
      <c r="AB6423">
        <v>30</v>
      </c>
      <c r="AC6423">
        <v>0.250400000000013</v>
      </c>
      <c r="AD6423">
        <v>-1.055728831113</v>
      </c>
      <c r="AE6423">
        <v>-17.014301</v>
      </c>
      <c r="AF6423">
        <v>6.6312819092209399</v>
      </c>
      <c r="AG6423">
        <v>-1.055728831113</v>
      </c>
      <c r="AH6423">
        <v>15.5999652991571</v>
      </c>
      <c r="AI6423">
        <v>93.563869543358194</v>
      </c>
      <c r="AJ6423">
        <v>66.970474332617002</v>
      </c>
      <c r="AK6423">
        <v>16.983738706754501</v>
      </c>
      <c r="AL6423">
        <v>80.464079272809201</v>
      </c>
      <c r="AM6423">
        <v>71.715864775619195</v>
      </c>
      <c r="AN6423">
        <v>0.99999993777988805</v>
      </c>
    </row>
    <row r="6424" spans="1:40" x14ac:dyDescent="0.25">
      <c r="A6424" t="str">
        <f>"20190303170417593"</f>
        <v>20190303170417593</v>
      </c>
      <c r="B6424" t="str">
        <f>"1551603857581648"</f>
        <v>1551603857581648</v>
      </c>
      <c r="C6424" t="s">
        <v>40</v>
      </c>
      <c r="D6424">
        <v>4.9988159999999997</v>
      </c>
      <c r="E6424">
        <v>0.53231519999999899</v>
      </c>
      <c r="F6424" t="s">
        <v>42</v>
      </c>
      <c r="G6424">
        <v>-304.02019999999999</v>
      </c>
      <c r="H6424" s="1">
        <v>-7.9497199999999998E-7</v>
      </c>
      <c r="I6424">
        <v>-10.043810000000001</v>
      </c>
      <c r="J6424">
        <v>-304.39240000000001</v>
      </c>
      <c r="K6424">
        <v>1.0557780000000001</v>
      </c>
      <c r="L6424">
        <v>5.6872860000000003</v>
      </c>
      <c r="M6424">
        <v>0.3862582</v>
      </c>
      <c r="N6424">
        <v>-1.6990209999999999E-2</v>
      </c>
      <c r="O6424">
        <v>-0.92223429999999995</v>
      </c>
      <c r="P6424">
        <v>8.3441059999999997E-2</v>
      </c>
      <c r="Q6424">
        <v>0.16336059999999999</v>
      </c>
      <c r="R6424">
        <v>-0.98303169999999995</v>
      </c>
      <c r="S6424">
        <v>9.2681879999999994E-2</v>
      </c>
      <c r="T6424">
        <v>-0.2029214</v>
      </c>
      <c r="U6424">
        <v>-3.0801699999999999</v>
      </c>
      <c r="V6424">
        <v>0.30935839999999998</v>
      </c>
      <c r="W6424">
        <v>0.167712</v>
      </c>
      <c r="X6424">
        <v>0.93603959999999997</v>
      </c>
      <c r="Y6424">
        <v>0.35813339999999999</v>
      </c>
      <c r="Z6424">
        <v>3.9050500000000002E-2</v>
      </c>
      <c r="AA6424">
        <v>0.9328535</v>
      </c>
      <c r="AB6424">
        <v>29</v>
      </c>
      <c r="AC6424">
        <v>0.37220000000002001</v>
      </c>
      <c r="AD6424">
        <v>-1.0557787949719999</v>
      </c>
      <c r="AE6424">
        <v>-15.7310959999999</v>
      </c>
      <c r="AF6424">
        <v>5.7081395574105303</v>
      </c>
      <c r="AG6424">
        <v>-1.0557787949719999</v>
      </c>
      <c r="AH6424">
        <v>14.587963648665999</v>
      </c>
      <c r="AI6424">
        <v>93.855755471237799</v>
      </c>
      <c r="AJ6424">
        <v>68.630038662256197</v>
      </c>
      <c r="AK6424">
        <v>15.700516217169</v>
      </c>
      <c r="AL6424">
        <v>80.345183867140506</v>
      </c>
      <c r="AM6424">
        <v>71.7114277130717</v>
      </c>
      <c r="AN6424">
        <v>1.0000000336813499</v>
      </c>
    </row>
    <row r="6425" spans="1:40" x14ac:dyDescent="0.25">
      <c r="A6425" t="str">
        <f>"20190303170417616"</f>
        <v>20190303170417616</v>
      </c>
      <c r="B6425" t="str">
        <f>"1551603857602144"</f>
        <v>1551603857602144</v>
      </c>
      <c r="C6425" t="s">
        <v>40</v>
      </c>
      <c r="D6425">
        <v>4.9991690000000002</v>
      </c>
      <c r="E6425">
        <v>0.53020469999999997</v>
      </c>
      <c r="F6425" t="s">
        <v>42</v>
      </c>
      <c r="G6425">
        <v>-304.10820000000001</v>
      </c>
      <c r="H6425" s="1">
        <v>-4.6069410000000004E-6</v>
      </c>
      <c r="I6425">
        <v>-11.616899999999999</v>
      </c>
      <c r="J6425">
        <v>-304.29259999999999</v>
      </c>
      <c r="K6425">
        <v>1.0558339999999999</v>
      </c>
      <c r="L6425">
        <v>5.4031979999999997</v>
      </c>
      <c r="M6425">
        <v>0.368483</v>
      </c>
      <c r="N6425">
        <v>-1.6975759999999999E-2</v>
      </c>
      <c r="O6425">
        <v>-0.92947939999999996</v>
      </c>
      <c r="P6425">
        <v>6.4433809999999994E-2</v>
      </c>
      <c r="Q6425">
        <v>0.16200729999999999</v>
      </c>
      <c r="R6425">
        <v>-0.9846838</v>
      </c>
      <c r="S6425">
        <v>5.0567630000000002E-2</v>
      </c>
      <c r="T6425">
        <v>-0.18784139999999999</v>
      </c>
      <c r="U6425">
        <v>-3.0787049999999998</v>
      </c>
      <c r="V6425">
        <v>0.30948219999999999</v>
      </c>
      <c r="W6425">
        <v>0.166383</v>
      </c>
      <c r="X6425">
        <v>0.93623579999999995</v>
      </c>
      <c r="Y6425">
        <v>0.35296759999999999</v>
      </c>
      <c r="Z6425">
        <v>3.5618070000000002E-2</v>
      </c>
      <c r="AA6425">
        <v>0.93495729999999999</v>
      </c>
      <c r="AB6425">
        <v>29</v>
      </c>
      <c r="AC6425">
        <v>0.18439999999998199</v>
      </c>
      <c r="AD6425">
        <v>-1.055838606941</v>
      </c>
      <c r="AE6425">
        <v>-17.020098000000001</v>
      </c>
      <c r="AF6425">
        <v>6.0777141470061</v>
      </c>
      <c r="AG6425">
        <v>-1.055838606941</v>
      </c>
      <c r="AH6425">
        <v>15.8291611512067</v>
      </c>
      <c r="AI6425">
        <v>93.563199486101993</v>
      </c>
      <c r="AJ6425">
        <v>68.995367433500107</v>
      </c>
      <c r="AK6425">
        <v>16.9886946869822</v>
      </c>
      <c r="AL6425">
        <v>80.422414863242494</v>
      </c>
      <c r="AM6425">
        <v>71.708175045336503</v>
      </c>
      <c r="AN6425">
        <v>1.00000000400374</v>
      </c>
    </row>
    <row r="6426" spans="1:40" x14ac:dyDescent="0.25">
      <c r="A6426" t="str">
        <f>"20190303170417638"</f>
        <v>20190303170417638</v>
      </c>
      <c r="B6426" t="str">
        <f>"1551603857632401"</f>
        <v>1551603857632401</v>
      </c>
      <c r="C6426" t="s">
        <v>40</v>
      </c>
      <c r="D6426">
        <v>4.997287</v>
      </c>
      <c r="E6426">
        <v>0.51884819999999998</v>
      </c>
      <c r="F6426" t="s">
        <v>42</v>
      </c>
      <c r="G6426">
        <v>-304.2491</v>
      </c>
      <c r="H6426" s="1">
        <v>-4.5446989999999996E-6</v>
      </c>
      <c r="I6426">
        <v>-11.87323</v>
      </c>
      <c r="J6426">
        <v>-304.19869999999997</v>
      </c>
      <c r="K6426">
        <v>1.055898</v>
      </c>
      <c r="L6426">
        <v>5.117432</v>
      </c>
      <c r="M6426">
        <v>0.35063549999999999</v>
      </c>
      <c r="N6426">
        <v>-1.6956780000000001E-2</v>
      </c>
      <c r="O6426">
        <v>-0.93635860000000004</v>
      </c>
      <c r="P6426">
        <v>4.6566730000000001E-2</v>
      </c>
      <c r="Q6426">
        <v>0.1598212</v>
      </c>
      <c r="R6426">
        <v>-0.98604729999999996</v>
      </c>
      <c r="S6426">
        <v>7.7514649999999999E-3</v>
      </c>
      <c r="T6426">
        <v>-0.18805430000000001</v>
      </c>
      <c r="U6426">
        <v>-3.0770870000000001</v>
      </c>
      <c r="V6426">
        <v>0.30856359999999999</v>
      </c>
      <c r="W6426">
        <v>0.1642728</v>
      </c>
      <c r="X6426">
        <v>0.93691139999999995</v>
      </c>
      <c r="Y6426">
        <v>0.34807009999999899</v>
      </c>
      <c r="Z6426">
        <v>3.6361209999999998E-2</v>
      </c>
      <c r="AA6426">
        <v>0.93676309999999996</v>
      </c>
      <c r="AB6426">
        <v>29</v>
      </c>
      <c r="AC6426">
        <v>-5.0400000000024599E-2</v>
      </c>
      <c r="AD6426">
        <v>-1.055902544699</v>
      </c>
      <c r="AE6426">
        <v>-16.990662</v>
      </c>
      <c r="AF6426">
        <v>5.9824796378596403</v>
      </c>
      <c r="AG6426">
        <v>-1.055902544699</v>
      </c>
      <c r="AH6426">
        <v>15.832816050220901</v>
      </c>
      <c r="AI6426">
        <v>93.569816068371594</v>
      </c>
      <c r="AJ6426">
        <v>69.300769500702302</v>
      </c>
      <c r="AK6426">
        <v>16.9582739947626</v>
      </c>
      <c r="AL6426">
        <v>80.545007535833307</v>
      </c>
      <c r="AM6426">
        <v>71.771152130540898</v>
      </c>
      <c r="AN6426">
        <v>1.00000000975738</v>
      </c>
    </row>
    <row r="6427" spans="1:40" x14ac:dyDescent="0.25">
      <c r="A6427" t="str">
        <f>"20190303170417660"</f>
        <v>20190303170417660</v>
      </c>
      <c r="B6427" t="str">
        <f>"1551603857651921"</f>
        <v>1551603857651921</v>
      </c>
      <c r="C6427" t="s">
        <v>40</v>
      </c>
      <c r="D6427">
        <v>4.9921720000000001</v>
      </c>
      <c r="E6427">
        <v>0.51619570000000004</v>
      </c>
      <c r="F6427" t="s">
        <v>42</v>
      </c>
      <c r="G6427">
        <v>-303.94850000000002</v>
      </c>
      <c r="H6427" s="1">
        <v>-3.7012179999999999E-6</v>
      </c>
      <c r="I6427">
        <v>-14.195169999999999</v>
      </c>
      <c r="J6427">
        <v>-304.11020000000002</v>
      </c>
      <c r="K6427">
        <v>1.055968</v>
      </c>
      <c r="L6427">
        <v>4.8298949999999996</v>
      </c>
      <c r="M6427">
        <v>0.33269959999999998</v>
      </c>
      <c r="N6427">
        <v>-1.693354E-2</v>
      </c>
      <c r="O6427">
        <v>-0.94288099999999997</v>
      </c>
      <c r="P6427">
        <v>2.8694580000000001E-2</v>
      </c>
      <c r="Q6427">
        <v>0.15950010000000001</v>
      </c>
      <c r="R6427">
        <v>-0.98678109999999997</v>
      </c>
      <c r="S6427">
        <v>3.9733890000000001E-2</v>
      </c>
      <c r="T6427">
        <v>-0.16772679999999901</v>
      </c>
      <c r="U6427">
        <v>-3.0677490000000001</v>
      </c>
      <c r="V6427">
        <v>0.30762699999999998</v>
      </c>
      <c r="W6427">
        <v>0.164026799999999</v>
      </c>
      <c r="X6427">
        <v>0.93726240000000005</v>
      </c>
      <c r="Y6427">
        <v>0.32030120000000001</v>
      </c>
      <c r="Z6427">
        <v>3.1613860000000001E-2</v>
      </c>
      <c r="AA6427">
        <v>0.94678810000000002</v>
      </c>
      <c r="AB6427">
        <v>29</v>
      </c>
      <c r="AC6427">
        <v>0.16169999999999601</v>
      </c>
      <c r="AD6427">
        <v>-1.0559717012180001</v>
      </c>
      <c r="AE6427">
        <v>-19.025064999999898</v>
      </c>
      <c r="AF6427">
        <v>6.1590793759903697</v>
      </c>
      <c r="AG6427">
        <v>-1.0559717012180001</v>
      </c>
      <c r="AH6427">
        <v>17.939484293667199</v>
      </c>
      <c r="AI6427">
        <v>93.186550210234003</v>
      </c>
      <c r="AJ6427">
        <v>71.051355491487101</v>
      </c>
      <c r="AK6427">
        <v>18.996695284081799</v>
      </c>
      <c r="AL6427">
        <v>80.5592958739891</v>
      </c>
      <c r="AM6427">
        <v>71.829199389788897</v>
      </c>
      <c r="AN6427">
        <v>0.99999998435049997</v>
      </c>
    </row>
    <row r="6428" spans="1:40" x14ac:dyDescent="0.25">
      <c r="A6428" t="str">
        <f>"20190303170417682"</f>
        <v>20190303170417682</v>
      </c>
      <c r="B6428" t="str">
        <f>"1551603857672417"</f>
        <v>1551603857672417</v>
      </c>
      <c r="C6428" t="s">
        <v>40</v>
      </c>
      <c r="D6428">
        <v>5.113022</v>
      </c>
      <c r="E6428">
        <v>0.51449029999999996</v>
      </c>
      <c r="F6428" t="s">
        <v>42</v>
      </c>
      <c r="G6428">
        <v>-304.0659</v>
      </c>
      <c r="H6428" s="1">
        <v>-3.5310300000000001E-6</v>
      </c>
      <c r="I6428">
        <v>-14.70173</v>
      </c>
      <c r="J6428">
        <v>-304.02910000000003</v>
      </c>
      <c r="K6428">
        <v>1.056063</v>
      </c>
      <c r="L6428">
        <v>4.5480039999999997</v>
      </c>
      <c r="M6428">
        <v>0.31516620000000001</v>
      </c>
      <c r="N6428">
        <v>-1.6907410000000001E-2</v>
      </c>
      <c r="O6428">
        <v>-0.94888600000000001</v>
      </c>
      <c r="P6428">
        <v>1.005169E-2</v>
      </c>
      <c r="Q6428">
        <v>0.16048460000000001</v>
      </c>
      <c r="R6428">
        <v>-0.98698739999999996</v>
      </c>
      <c r="S6428">
        <v>6.9580079999999999E-3</v>
      </c>
      <c r="T6428">
        <v>-0.1658058</v>
      </c>
      <c r="U6428">
        <v>-3.0668030000000002</v>
      </c>
      <c r="V6428">
        <v>0.30790780000000001</v>
      </c>
      <c r="W6428">
        <v>0.16503760000000001</v>
      </c>
      <c r="X6428">
        <v>0.93699270000000001</v>
      </c>
      <c r="Y6428">
        <v>0.3128552</v>
      </c>
      <c r="Z6428">
        <v>3.1621339999999998E-2</v>
      </c>
      <c r="AA6428">
        <v>0.94927430000000002</v>
      </c>
      <c r="AB6428">
        <v>29</v>
      </c>
      <c r="AC6428">
        <v>-3.6799999999971002E-2</v>
      </c>
      <c r="AD6428">
        <v>-1.0560665310299999</v>
      </c>
      <c r="AE6428">
        <v>-19.249734</v>
      </c>
      <c r="AF6428">
        <v>6.0843437204103301</v>
      </c>
      <c r="AG6428">
        <v>-1.0560665310299999</v>
      </c>
      <c r="AH6428">
        <v>18.202028778195899</v>
      </c>
      <c r="AI6428">
        <v>93.149602769104703</v>
      </c>
      <c r="AJ6428">
        <v>71.516901565970301</v>
      </c>
      <c r="AK6428">
        <v>19.221039687496901</v>
      </c>
      <c r="AL6428">
        <v>80.500580989484504</v>
      </c>
      <c r="AM6428">
        <v>71.808814599124204</v>
      </c>
      <c r="AN6428">
        <v>0.99999997128394402</v>
      </c>
    </row>
    <row r="6429" spans="1:40" x14ac:dyDescent="0.25">
      <c r="A6429" t="str">
        <f>"20190303170417704"</f>
        <v>20190303170417704</v>
      </c>
      <c r="B6429" t="str">
        <f>"1551603857691937"</f>
        <v>1551603857691937</v>
      </c>
      <c r="C6429" t="s">
        <v>40</v>
      </c>
      <c r="D6429">
        <v>5.0623550000000002</v>
      </c>
      <c r="E6429">
        <v>0.51379949999999996</v>
      </c>
      <c r="F6429" t="s">
        <v>42</v>
      </c>
      <c r="G6429">
        <v>-304.25659999999999</v>
      </c>
      <c r="H6429" s="1">
        <v>-3.2789329999999999E-6</v>
      </c>
      <c r="I6429">
        <v>-15.407640000000001</v>
      </c>
      <c r="J6429">
        <v>-303.95249999999999</v>
      </c>
      <c r="K6429">
        <v>1.0561849999999999</v>
      </c>
      <c r="L6429">
        <v>4.261749</v>
      </c>
      <c r="M6429">
        <v>0.297450299999999</v>
      </c>
      <c r="N6429">
        <v>-1.6874790000000001E-2</v>
      </c>
      <c r="O6429">
        <v>-0.9545882</v>
      </c>
      <c r="P6429">
        <v>-9.9271919999999996E-3</v>
      </c>
      <c r="Q6429">
        <v>0.16068879999999999</v>
      </c>
      <c r="R6429">
        <v>-0.98695520000000003</v>
      </c>
      <c r="S6429">
        <v>-3.4942630000000002E-2</v>
      </c>
      <c r="T6429">
        <v>-0.16226989999999999</v>
      </c>
      <c r="U6429">
        <v>-3.066284</v>
      </c>
      <c r="V6429">
        <v>0.30938739999999998</v>
      </c>
      <c r="W6429">
        <v>0.16522990000000001</v>
      </c>
      <c r="X6429">
        <v>0.93647130000000001</v>
      </c>
      <c r="Y6429">
        <v>0.30815179999999998</v>
      </c>
      <c r="Z6429">
        <v>3.10824E-2</v>
      </c>
      <c r="AA6429">
        <v>0.95082929999999999</v>
      </c>
      <c r="AB6429">
        <v>29</v>
      </c>
      <c r="AC6429">
        <v>-0.30410000000000498</v>
      </c>
      <c r="AD6429">
        <v>-1.0561882789329999</v>
      </c>
      <c r="AE6429">
        <v>-19.669388999999999</v>
      </c>
      <c r="AF6429">
        <v>6.1241761744084604</v>
      </c>
      <c r="AG6429">
        <v>-1.0561882789329999</v>
      </c>
      <c r="AH6429">
        <v>18.634654531710801</v>
      </c>
      <c r="AI6429">
        <v>93.082138475109602</v>
      </c>
      <c r="AJ6429">
        <v>71.807177164414597</v>
      </c>
      <c r="AK6429">
        <v>19.643610080938799</v>
      </c>
      <c r="AL6429">
        <v>80.489409815500693</v>
      </c>
      <c r="AM6429">
        <v>71.717698040207495</v>
      </c>
      <c r="AN6429">
        <v>0.99999998942822899</v>
      </c>
    </row>
    <row r="6430" spans="1:40" x14ac:dyDescent="0.25">
      <c r="A6430" t="str">
        <f>"20190303170417727"</f>
        <v>20190303170417727</v>
      </c>
      <c r="B6430" t="str">
        <f>"1551603857722193"</f>
        <v>1551603857722193</v>
      </c>
      <c r="C6430" t="s">
        <v>40</v>
      </c>
      <c r="D6430">
        <v>5.0045919999999997</v>
      </c>
      <c r="E6430">
        <v>0.50393279999999996</v>
      </c>
      <c r="F6430" t="s">
        <v>42</v>
      </c>
      <c r="G6430">
        <v>-304.54379999999998</v>
      </c>
      <c r="H6430" s="1">
        <v>-3.2098900000000001E-6</v>
      </c>
      <c r="I6430">
        <v>-15.746740000000001</v>
      </c>
      <c r="J6430">
        <v>-303.8784</v>
      </c>
      <c r="K6430">
        <v>1.0563389999999999</v>
      </c>
      <c r="L6430">
        <v>3.962402</v>
      </c>
      <c r="M6430">
        <v>0.27906920000000002</v>
      </c>
      <c r="N6430">
        <v>-1.683072E-2</v>
      </c>
      <c r="O6430">
        <v>-0.96012379999999997</v>
      </c>
      <c r="P6430">
        <v>-3.083135E-2</v>
      </c>
      <c r="Q6430">
        <v>0.159888</v>
      </c>
      <c r="R6430">
        <v>-0.98665420000000004</v>
      </c>
      <c r="S6430">
        <v>-9.0576169999999998E-2</v>
      </c>
      <c r="T6430">
        <v>-0.1617972</v>
      </c>
      <c r="U6430">
        <v>-3.0650940000000002</v>
      </c>
      <c r="V6430">
        <v>0.31119599999999997</v>
      </c>
      <c r="W6430">
        <v>0.16442190000000001</v>
      </c>
      <c r="X6430">
        <v>0.93601420000000002</v>
      </c>
      <c r="Y6430">
        <v>0.30714390000000003</v>
      </c>
      <c r="Z6430">
        <v>3.139861E-2</v>
      </c>
      <c r="AA6430">
        <v>0.95114500000000002</v>
      </c>
      <c r="AB6430">
        <v>29</v>
      </c>
      <c r="AC6430">
        <v>-0.66539999999997601</v>
      </c>
      <c r="AD6430">
        <v>-1.0563422098899999</v>
      </c>
      <c r="AE6430">
        <v>-19.709142</v>
      </c>
      <c r="AF6430">
        <v>6.1223816421952604</v>
      </c>
      <c r="AG6430">
        <v>-1.0563422098899999</v>
      </c>
      <c r="AH6430">
        <v>18.686554778492699</v>
      </c>
      <c r="AI6430">
        <v>93.074958698855696</v>
      </c>
      <c r="AJ6430">
        <v>71.859359207709602</v>
      </c>
      <c r="AK6430">
        <v>19.692301676713502</v>
      </c>
      <c r="AL6430">
        <v>80.536347330165</v>
      </c>
      <c r="AM6430">
        <v>71.609616858017105</v>
      </c>
      <c r="AN6430">
        <v>1.0000000471086199</v>
      </c>
    </row>
    <row r="6431" spans="1:40" x14ac:dyDescent="0.25">
      <c r="A6431" t="str">
        <f>"20190303170417749"</f>
        <v>20190303170417749</v>
      </c>
      <c r="B6431" t="str">
        <f>"1551603857741713"</f>
        <v>1551603857741713</v>
      </c>
      <c r="C6431" t="s">
        <v>40</v>
      </c>
      <c r="D6431">
        <v>5.0016809999999996</v>
      </c>
      <c r="E6431">
        <v>0.49734410000000001</v>
      </c>
      <c r="F6431" t="s">
        <v>42</v>
      </c>
      <c r="G6431">
        <v>-304.39249999999998</v>
      </c>
      <c r="H6431" s="1">
        <v>-2.899654E-6</v>
      </c>
      <c r="I6431">
        <v>-16.376059999999999</v>
      </c>
      <c r="J6431">
        <v>-303.81150000000002</v>
      </c>
      <c r="K6431">
        <v>1.056516</v>
      </c>
      <c r="L6431">
        <v>3.6701350000000001</v>
      </c>
      <c r="M6431">
        <v>0.26131739999999998</v>
      </c>
      <c r="N6431">
        <v>-1.6775999999999999E-2</v>
      </c>
      <c r="O6431">
        <v>-0.9651073</v>
      </c>
      <c r="P6431">
        <v>-4.7742300000000001E-2</v>
      </c>
      <c r="Q6431">
        <v>0.1591901</v>
      </c>
      <c r="R6431">
        <v>-0.98609309999999994</v>
      </c>
      <c r="S6431">
        <v>-7.7453610000000006E-2</v>
      </c>
      <c r="T6431">
        <v>-0.1591351</v>
      </c>
      <c r="U6431">
        <v>-3.0639340000000002</v>
      </c>
      <c r="V6431">
        <v>0.30991010000000002</v>
      </c>
      <c r="W6431">
        <v>0.16386220000000001</v>
      </c>
      <c r="X6431">
        <v>0.9365388</v>
      </c>
      <c r="Y6431">
        <v>0.28547670000000003</v>
      </c>
      <c r="Z6431">
        <v>3.1258569999999999E-2</v>
      </c>
      <c r="AA6431">
        <v>0.95787580000000005</v>
      </c>
      <c r="AB6431">
        <v>29</v>
      </c>
      <c r="AC6431">
        <v>-0.58099999999995999</v>
      </c>
      <c r="AD6431">
        <v>-1.056518899654</v>
      </c>
      <c r="AE6431">
        <v>-20.046195000000001</v>
      </c>
      <c r="AF6431">
        <v>5.78390950981328</v>
      </c>
      <c r="AG6431">
        <v>-1.056518899654</v>
      </c>
      <c r="AH6431">
        <v>19.1444686814942</v>
      </c>
      <c r="AI6431">
        <v>93.024027717183003</v>
      </c>
      <c r="AJ6431">
        <v>73.189430859973299</v>
      </c>
      <c r="AK6431">
        <v>20.026994844453</v>
      </c>
      <c r="AL6431">
        <v>80.568856331974004</v>
      </c>
      <c r="AM6431">
        <v>71.690101467692998</v>
      </c>
      <c r="AN6431">
        <v>1.0000000072881401</v>
      </c>
    </row>
    <row r="6432" spans="1:40" x14ac:dyDescent="0.25">
      <c r="A6432" t="str">
        <f>"20190303170417771"</f>
        <v>20190303170417771</v>
      </c>
      <c r="B6432" t="str">
        <f>"1551603857762209"</f>
        <v>1551603857762209</v>
      </c>
      <c r="C6432" t="s">
        <v>40</v>
      </c>
      <c r="D6432">
        <v>4.8603959999999997</v>
      </c>
      <c r="E6432">
        <v>0.49561880000000003</v>
      </c>
      <c r="F6432" t="s">
        <v>42</v>
      </c>
      <c r="G6432">
        <v>-304.31049999999999</v>
      </c>
      <c r="H6432" s="1">
        <v>-2.9265030000000001E-6</v>
      </c>
      <c r="I6432">
        <v>-16.262619999999998</v>
      </c>
      <c r="J6432">
        <v>-303.75139999999999</v>
      </c>
      <c r="K6432">
        <v>1.056724</v>
      </c>
      <c r="L6432">
        <v>3.3840940000000002</v>
      </c>
      <c r="M6432">
        <v>0.2441894</v>
      </c>
      <c r="N6432">
        <v>-1.6710349999999999E-2</v>
      </c>
      <c r="O6432">
        <v>-0.96958359999999999</v>
      </c>
      <c r="P6432">
        <v>-6.1220480000000001E-2</v>
      </c>
      <c r="Q6432">
        <v>0.15850330000000001</v>
      </c>
      <c r="R6432">
        <v>-0.98545870000000002</v>
      </c>
      <c r="S6432">
        <v>-7.6721189999999995E-2</v>
      </c>
      <c r="T6432">
        <v>-0.16244819999999999</v>
      </c>
      <c r="U6432">
        <v>-3.064819</v>
      </c>
      <c r="V6432">
        <v>0.30603550000000002</v>
      </c>
      <c r="W6432">
        <v>0.16343550000000001</v>
      </c>
      <c r="X6432">
        <v>0.93788649999999996</v>
      </c>
      <c r="Y6432">
        <v>0.26823609999999998</v>
      </c>
      <c r="Z6432">
        <v>3.2800860000000001E-2</v>
      </c>
      <c r="AA6432">
        <v>0.96279459999999994</v>
      </c>
      <c r="AB6432">
        <v>29</v>
      </c>
      <c r="AC6432">
        <v>-0.55910000000000004</v>
      </c>
      <c r="AD6432">
        <v>-1.0567269265029999</v>
      </c>
      <c r="AE6432">
        <v>-19.646713999999999</v>
      </c>
      <c r="AF6432">
        <v>5.3249664404252499</v>
      </c>
      <c r="AG6432">
        <v>-1.0567269265029999</v>
      </c>
      <c r="AH6432">
        <v>18.8607263678972</v>
      </c>
      <c r="AI6432">
        <v>93.086405055589296</v>
      </c>
      <c r="AJ6432">
        <v>74.233985423870195</v>
      </c>
      <c r="AK6432">
        <v>19.626485638380199</v>
      </c>
      <c r="AL6432">
        <v>80.593638359358707</v>
      </c>
      <c r="AM6432">
        <v>71.928322372722207</v>
      </c>
      <c r="AN6432">
        <v>0.99999998840137405</v>
      </c>
    </row>
    <row r="6433" spans="1:40" x14ac:dyDescent="0.25">
      <c r="A6433" t="str">
        <f>"20190303170417794"</f>
        <v>20190303170417794</v>
      </c>
      <c r="B6433" t="str">
        <f>"1551603857782704"</f>
        <v>1551603857782704</v>
      </c>
      <c r="C6433" t="s">
        <v>40</v>
      </c>
      <c r="D6433">
        <v>4.9528980000000002</v>
      </c>
      <c r="E6433">
        <v>0.49423549999999999</v>
      </c>
      <c r="F6433" t="s">
        <v>42</v>
      </c>
      <c r="G6433">
        <v>-304.43529999999998</v>
      </c>
      <c r="H6433" s="1">
        <v>-2.6128129999999999E-6</v>
      </c>
      <c r="I6433">
        <v>-17.07123</v>
      </c>
      <c r="J6433">
        <v>-303.69499999999999</v>
      </c>
      <c r="K6433">
        <v>1.0569949999999999</v>
      </c>
      <c r="L6433">
        <v>3.0911559999999998</v>
      </c>
      <c r="M6433">
        <v>0.2269622</v>
      </c>
      <c r="N6433">
        <v>-1.6630450000000001E-2</v>
      </c>
      <c r="O6433">
        <v>-0.97376169999999995</v>
      </c>
      <c r="P6433">
        <v>-7.675477E-2</v>
      </c>
      <c r="Q6433">
        <v>0.15775610000000001</v>
      </c>
      <c r="R6433">
        <v>-0.98449109999999995</v>
      </c>
      <c r="S6433">
        <v>-0.10241699999999999</v>
      </c>
      <c r="T6433">
        <v>-0.15825359999999999</v>
      </c>
      <c r="U6433">
        <v>-3.0633539999999999</v>
      </c>
      <c r="V6433">
        <v>0.30408550000000001</v>
      </c>
      <c r="W6433">
        <v>0.1628917</v>
      </c>
      <c r="X6433">
        <v>0.93861510000000004</v>
      </c>
      <c r="Y6433">
        <v>0.25923760000000001</v>
      </c>
      <c r="Z6433">
        <v>3.1995049999999997E-2</v>
      </c>
      <c r="AA6433">
        <v>0.96528349999999996</v>
      </c>
      <c r="AB6433">
        <v>29</v>
      </c>
      <c r="AC6433">
        <v>-0.74029999999998997</v>
      </c>
      <c r="AD6433">
        <v>-1.0569976128129901</v>
      </c>
      <c r="AE6433">
        <v>-20.162385999999898</v>
      </c>
      <c r="AF6433">
        <v>5.2832069390860097</v>
      </c>
      <c r="AG6433">
        <v>-1.0569976128129901</v>
      </c>
      <c r="AH6433">
        <v>19.414743249639599</v>
      </c>
      <c r="AI6433">
        <v>93.007138783845406</v>
      </c>
      <c r="AJ6433">
        <v>74.777087512984494</v>
      </c>
      <c r="AK6433">
        <v>20.148493118943801</v>
      </c>
      <c r="AL6433">
        <v>80.625219141387603</v>
      </c>
      <c r="AM6433">
        <v>72.0491005680624</v>
      </c>
      <c r="AN6433">
        <v>1.0000000015935699</v>
      </c>
    </row>
    <row r="6434" spans="1:40" x14ac:dyDescent="0.25">
      <c r="A6434" t="str">
        <f>"20190303170417817"</f>
        <v>20190303170417817</v>
      </c>
      <c r="B6434" t="str">
        <f>"1551603857802225"</f>
        <v>1551603857802225</v>
      </c>
      <c r="C6434" t="s">
        <v>40</v>
      </c>
      <c r="D6434">
        <v>4.9527669999999997</v>
      </c>
      <c r="E6434">
        <v>0.49292170000000002</v>
      </c>
      <c r="F6434" t="s">
        <v>42</v>
      </c>
      <c r="G6434">
        <v>-304.59339999999997</v>
      </c>
      <c r="H6434" s="1">
        <v>-2.7610689999999999E-6</v>
      </c>
      <c r="I6434">
        <v>-16.823699999999999</v>
      </c>
      <c r="J6434">
        <v>-303.64269999999999</v>
      </c>
      <c r="K6434">
        <v>1.0573129999999999</v>
      </c>
      <c r="L6434">
        <v>2.7921140000000002</v>
      </c>
      <c r="M6434">
        <v>0.2097956</v>
      </c>
      <c r="N6434">
        <v>-1.653452E-2</v>
      </c>
      <c r="O6434">
        <v>-0.97760559999999996</v>
      </c>
      <c r="P6434">
        <v>-9.3961340000000004E-2</v>
      </c>
      <c r="Q6434">
        <v>0.15689120000000001</v>
      </c>
      <c r="R6434">
        <v>-0.98313640000000002</v>
      </c>
      <c r="S6434">
        <v>-0.1381531</v>
      </c>
      <c r="T6434">
        <v>-0.16254640000000001</v>
      </c>
      <c r="U6434">
        <v>-3.0625309999999999</v>
      </c>
      <c r="V6434">
        <v>0.3038535</v>
      </c>
      <c r="W6434">
        <v>0.16218640000000001</v>
      </c>
      <c r="X6434">
        <v>0.93881230000000004</v>
      </c>
      <c r="Y6434">
        <v>0.25349490000000002</v>
      </c>
      <c r="Z6434">
        <v>3.3740850000000003E-2</v>
      </c>
      <c r="AA6434">
        <v>0.9667481</v>
      </c>
      <c r="AB6434">
        <v>29</v>
      </c>
      <c r="AC6434">
        <v>-0.950699999999983</v>
      </c>
      <c r="AD6434">
        <v>-1.057315761069</v>
      </c>
      <c r="AE6434">
        <v>-19.615814</v>
      </c>
      <c r="AF6434">
        <v>5.0308280957139502</v>
      </c>
      <c r="AG6434">
        <v>-1.057315761069</v>
      </c>
      <c r="AH6434">
        <v>18.924814617808501</v>
      </c>
      <c r="AI6434">
        <v>93.090630022147394</v>
      </c>
      <c r="AJ6434">
        <v>75.113220845812407</v>
      </c>
      <c r="AK6434">
        <v>19.610603159149601</v>
      </c>
      <c r="AL6434">
        <v>80.666174047691499</v>
      </c>
      <c r="AM6434">
        <v>72.065444802416394</v>
      </c>
      <c r="AN6434">
        <v>0.99999995621924898</v>
      </c>
    </row>
    <row r="6435" spans="1:40" x14ac:dyDescent="0.25">
      <c r="A6435" t="str">
        <f>"20190303170417840"</f>
        <v>20190303170417840</v>
      </c>
      <c r="B6435" t="str">
        <f>"1551603857832480"</f>
        <v>1551603857832480</v>
      </c>
      <c r="C6435" t="s">
        <v>40</v>
      </c>
      <c r="D6435">
        <v>4.7192109999999996</v>
      </c>
      <c r="E6435">
        <v>0.49168430000000002</v>
      </c>
      <c r="F6435" t="s">
        <v>42</v>
      </c>
      <c r="G6435">
        <v>-304.7869</v>
      </c>
      <c r="H6435" s="1">
        <v>-2.9482419999999999E-6</v>
      </c>
      <c r="I6435">
        <v>-16.507400000000001</v>
      </c>
      <c r="J6435">
        <v>-303.59309999999999</v>
      </c>
      <c r="K6435">
        <v>1.0577000000000001</v>
      </c>
      <c r="L6435">
        <v>2.4750369999999999</v>
      </c>
      <c r="M6435">
        <v>0.19211210000000001</v>
      </c>
      <c r="N6435">
        <v>-1.641977E-2</v>
      </c>
      <c r="O6435">
        <v>-0.98123570000000004</v>
      </c>
      <c r="P6435">
        <v>-0.111619</v>
      </c>
      <c r="Q6435">
        <v>0.15534229999999999</v>
      </c>
      <c r="R6435">
        <v>-0.98153469999999998</v>
      </c>
      <c r="S6435">
        <v>-0.18145749999999999</v>
      </c>
      <c r="T6435">
        <v>-0.16768920000000001</v>
      </c>
      <c r="U6435">
        <v>-3.060883</v>
      </c>
      <c r="V6435">
        <v>0.30361719999999998</v>
      </c>
      <c r="W6435">
        <v>0.16082739999999901</v>
      </c>
      <c r="X6435">
        <v>0.93912260000000003</v>
      </c>
      <c r="Y6435">
        <v>0.24968770000000001</v>
      </c>
      <c r="Z6435">
        <v>3.576265E-2</v>
      </c>
      <c r="AA6435">
        <v>0.96766580000000002</v>
      </c>
      <c r="AB6435">
        <v>29</v>
      </c>
      <c r="AC6435">
        <v>-1.19380000000001</v>
      </c>
      <c r="AD6435">
        <v>-1.057702948242</v>
      </c>
      <c r="AE6435">
        <v>-18.982437000000001</v>
      </c>
      <c r="AF6435">
        <v>4.8039480599718898</v>
      </c>
      <c r="AG6435">
        <v>-1.057702948242</v>
      </c>
      <c r="AH6435">
        <v>18.3426557866587</v>
      </c>
      <c r="AI6435">
        <v>93.192775348379897</v>
      </c>
      <c r="AJ6435">
        <v>75.323843158237295</v>
      </c>
      <c r="AK6435">
        <v>18.990778651689599</v>
      </c>
      <c r="AL6435">
        <v>80.745075808549402</v>
      </c>
      <c r="AM6435">
        <v>72.084042675255404</v>
      </c>
      <c r="AN6435">
        <v>1.00000005727867</v>
      </c>
    </row>
    <row r="6436" spans="1:40" x14ac:dyDescent="0.25">
      <c r="A6436" t="str">
        <f>"20190303170417861"</f>
        <v>20190303170417861</v>
      </c>
      <c r="B6436" t="str">
        <f>"1551603857852507"</f>
        <v>1551603857852507</v>
      </c>
      <c r="C6436" t="s">
        <v>40</v>
      </c>
      <c r="D6436">
        <v>4.9352939999999998</v>
      </c>
      <c r="E6436">
        <v>0.48439719999999997</v>
      </c>
      <c r="F6436" t="s">
        <v>42</v>
      </c>
      <c r="G6436">
        <v>-304.96339999999998</v>
      </c>
      <c r="H6436" s="1">
        <v>-3.2078590000000002E-6</v>
      </c>
      <c r="I6436">
        <v>-16.011700000000001</v>
      </c>
      <c r="J6436">
        <v>-303.55540000000002</v>
      </c>
      <c r="K6436">
        <v>1.0580270000000001</v>
      </c>
      <c r="L6436">
        <v>2.20871</v>
      </c>
      <c r="M6436">
        <v>0.1776102</v>
      </c>
      <c r="N6436">
        <v>-1.6321519999999999E-2</v>
      </c>
      <c r="O6436">
        <v>-0.9839658</v>
      </c>
      <c r="P6436">
        <v>-0.1237219</v>
      </c>
      <c r="Q6436">
        <v>0.15458740000000001</v>
      </c>
      <c r="R6436">
        <v>-0.98020229999999997</v>
      </c>
      <c r="S6436">
        <v>-0.22668460000000001</v>
      </c>
      <c r="T6436">
        <v>-0.17498089999999999</v>
      </c>
      <c r="U6436">
        <v>-3.0583499999999999</v>
      </c>
      <c r="V6436">
        <v>0.30120479999999999</v>
      </c>
      <c r="W6436">
        <v>0.16031010000000001</v>
      </c>
      <c r="X6436">
        <v>0.93998740000000003</v>
      </c>
      <c r="Y6436">
        <v>0.2496796</v>
      </c>
      <c r="Z6436">
        <v>3.8365679999999999E-2</v>
      </c>
      <c r="AA6436">
        <v>0.96756819999999999</v>
      </c>
      <c r="AB6436">
        <v>29</v>
      </c>
      <c r="AC6436">
        <v>-1.40799999999995</v>
      </c>
      <c r="AD6436">
        <v>-1.058030207859</v>
      </c>
      <c r="AE6436">
        <v>-18.220410000000001</v>
      </c>
      <c r="AF6436">
        <v>4.6067277178551196</v>
      </c>
      <c r="AG6436">
        <v>-1.058030207859</v>
      </c>
      <c r="AH6436">
        <v>17.621470286909702</v>
      </c>
      <c r="AI6436">
        <v>93.324567851028306</v>
      </c>
      <c r="AJ6436">
        <v>75.349227655952603</v>
      </c>
      <c r="AK6436">
        <v>18.244384978936399</v>
      </c>
      <c r="AL6436">
        <v>80.775103883138101</v>
      </c>
      <c r="AM6436">
        <v>72.232726137754895</v>
      </c>
      <c r="AN6436">
        <v>0.99999998593190498</v>
      </c>
    </row>
    <row r="6437" spans="1:40" x14ac:dyDescent="0.25">
      <c r="A6437" t="str">
        <f>"20190303170417883"</f>
        <v>20190303170417883</v>
      </c>
      <c r="B6437" t="str">
        <f>"1551603857872027"</f>
        <v>1551603857872027</v>
      </c>
      <c r="C6437" t="s">
        <v>40</v>
      </c>
      <c r="D6437">
        <v>4.9736969999999996</v>
      </c>
      <c r="E6437">
        <v>0.48323470000000002</v>
      </c>
      <c r="F6437" t="s">
        <v>42</v>
      </c>
      <c r="G6437">
        <v>-304.68830000000003</v>
      </c>
      <c r="H6437" s="1">
        <v>-3.6486830000000001E-6</v>
      </c>
      <c r="I6437">
        <v>-14.73516</v>
      </c>
      <c r="J6437">
        <v>-303.51850000000002</v>
      </c>
      <c r="K6437">
        <v>1.0584009999999999</v>
      </c>
      <c r="L6437">
        <v>1.917664</v>
      </c>
      <c r="M6437">
        <v>0.1621862</v>
      </c>
      <c r="N6437">
        <v>-1.6215779999999999E-2</v>
      </c>
      <c r="O6437">
        <v>-0.98662700000000003</v>
      </c>
      <c r="P6437">
        <v>-0.13546989999999901</v>
      </c>
      <c r="Q6437">
        <v>0.1535638</v>
      </c>
      <c r="R6437">
        <v>-0.97880869999999998</v>
      </c>
      <c r="S6437">
        <v>-0.20492550000000001</v>
      </c>
      <c r="T6437">
        <v>-0.191383</v>
      </c>
      <c r="U6437">
        <v>-3.0649109999999999</v>
      </c>
      <c r="V6437">
        <v>0.29760589999999998</v>
      </c>
      <c r="W6437">
        <v>0.15957869999999999</v>
      </c>
      <c r="X6437">
        <v>0.94125740000000002</v>
      </c>
      <c r="Y6437">
        <v>0.22746079999999999</v>
      </c>
      <c r="Z6437">
        <v>4.3917739999999997E-2</v>
      </c>
      <c r="AA6437">
        <v>0.97279640000000001</v>
      </c>
      <c r="AB6437">
        <v>29</v>
      </c>
      <c r="AC6437">
        <v>-1.1698</v>
      </c>
      <c r="AD6437">
        <v>-1.0584046486830001</v>
      </c>
      <c r="AE6437">
        <v>-16.652823999999999</v>
      </c>
      <c r="AF6437">
        <v>3.8400852975985802</v>
      </c>
      <c r="AG6437">
        <v>-1.0584046486830001</v>
      </c>
      <c r="AH6437">
        <v>16.177506606910001</v>
      </c>
      <c r="AI6437">
        <v>93.642287668192395</v>
      </c>
      <c r="AJ6437">
        <v>76.646730064558994</v>
      </c>
      <c r="AK6437">
        <v>16.660678122747701</v>
      </c>
      <c r="AL6437">
        <v>80.817557267538604</v>
      </c>
      <c r="AM6437">
        <v>72.454135265998005</v>
      </c>
      <c r="AN6437">
        <v>1.0000000631316199</v>
      </c>
    </row>
    <row r="6438" spans="1:40" x14ac:dyDescent="0.25">
      <c r="A6438" t="str">
        <f>"20190303170417906"</f>
        <v>20190303170417906</v>
      </c>
      <c r="B6438" t="str">
        <f>"1551603857892523"</f>
        <v>1551603857892523</v>
      </c>
      <c r="C6438" t="s">
        <v>40</v>
      </c>
      <c r="D6438">
        <v>5.3642690000000002</v>
      </c>
      <c r="E6438">
        <v>0.48167729999999997</v>
      </c>
      <c r="F6438" t="s">
        <v>42</v>
      </c>
      <c r="G6438">
        <v>-304.79860000000002</v>
      </c>
      <c r="H6438" s="1">
        <v>-3.5796469999999998E-6</v>
      </c>
      <c r="I6438">
        <v>-14.99549</v>
      </c>
      <c r="J6438">
        <v>-303.48570000000001</v>
      </c>
      <c r="K6438">
        <v>1.0587799999999901</v>
      </c>
      <c r="L6438">
        <v>1.625</v>
      </c>
      <c r="M6438">
        <v>0.14715880000000001</v>
      </c>
      <c r="N6438">
        <v>-1.6105850000000001E-2</v>
      </c>
      <c r="O6438">
        <v>-0.98898189999999997</v>
      </c>
      <c r="P6438">
        <v>-0.14840059999999999</v>
      </c>
      <c r="Q6438">
        <v>0.15403620000000001</v>
      </c>
      <c r="R6438">
        <v>-0.97685750000000005</v>
      </c>
      <c r="S6438">
        <v>-0.2318115</v>
      </c>
      <c r="T6438">
        <v>-0.19167419999999999</v>
      </c>
      <c r="U6438">
        <v>-3.0629270000000002</v>
      </c>
      <c r="V6438">
        <v>0.29558329999999999</v>
      </c>
      <c r="W6438">
        <v>0.16028429999999999</v>
      </c>
      <c r="X6438">
        <v>0.94177460000000002</v>
      </c>
      <c r="Y6438">
        <v>0.22118460000000001</v>
      </c>
      <c r="Z6438">
        <v>4.4402740000000003E-2</v>
      </c>
      <c r="AA6438">
        <v>0.97422059999999999</v>
      </c>
      <c r="AB6438">
        <v>29</v>
      </c>
      <c r="AC6438">
        <v>-1.3129000000000099</v>
      </c>
      <c r="AD6438">
        <v>-1.05878357964699</v>
      </c>
      <c r="AE6438">
        <v>-16.62049</v>
      </c>
      <c r="AF6438">
        <v>3.72972895321743</v>
      </c>
      <c r="AG6438">
        <v>-1.05878357964699</v>
      </c>
      <c r="AH6438">
        <v>16.181006193715</v>
      </c>
      <c r="AI6438">
        <v>93.648343351113596</v>
      </c>
      <c r="AJ6438">
        <v>77.020006281054506</v>
      </c>
      <c r="AK6438">
        <v>16.6390162622086</v>
      </c>
      <c r="AL6438">
        <v>80.776601337683303</v>
      </c>
      <c r="AM6438">
        <v>72.575128172724703</v>
      </c>
      <c r="AN6438">
        <v>0.99999997063526902</v>
      </c>
    </row>
    <row r="6439" spans="1:40" x14ac:dyDescent="0.25">
      <c r="A6439" t="str">
        <f>"20190303170417928"</f>
        <v>20190303170417928</v>
      </c>
      <c r="B6439" t="str">
        <f>"1551603857921803"</f>
        <v>1551603857921803</v>
      </c>
      <c r="C6439" t="s">
        <v>40</v>
      </c>
      <c r="D6439">
        <v>5.0092589999999904</v>
      </c>
      <c r="E6439">
        <v>0.47405009999999997</v>
      </c>
      <c r="F6439" t="s">
        <v>42</v>
      </c>
      <c r="G6439">
        <v>-304.91800000000001</v>
      </c>
      <c r="H6439" s="1">
        <v>-3.527779E-6</v>
      </c>
      <c r="I6439">
        <v>-15.210150000000001</v>
      </c>
      <c r="J6439">
        <v>-303.45569999999998</v>
      </c>
      <c r="K6439">
        <v>1.059188</v>
      </c>
      <c r="L6439">
        <v>1.319763</v>
      </c>
      <c r="M6439">
        <v>0.13202340000000001</v>
      </c>
      <c r="N6439">
        <v>-1.5984430000000001E-2</v>
      </c>
      <c r="O6439">
        <v>-0.99111769999999999</v>
      </c>
      <c r="P6439">
        <v>-0.16193560000000001</v>
      </c>
      <c r="Q6439">
        <v>0.15323210000000001</v>
      </c>
      <c r="R6439">
        <v>-0.97483160000000002</v>
      </c>
      <c r="S6439">
        <v>-0.26049800000000001</v>
      </c>
      <c r="T6439">
        <v>-0.19256409999999999</v>
      </c>
      <c r="U6439">
        <v>-3.0618590000000001</v>
      </c>
      <c r="V6439">
        <v>0.29407499999999998</v>
      </c>
      <c r="W6439">
        <v>0.1597095</v>
      </c>
      <c r="X6439">
        <v>0.94234430000000002</v>
      </c>
      <c r="Y6439">
        <v>0.21536959999999999</v>
      </c>
      <c r="Z6439">
        <v>4.5044399999999998E-2</v>
      </c>
      <c r="AA6439">
        <v>0.97549319999999895</v>
      </c>
      <c r="AB6439">
        <v>29</v>
      </c>
      <c r="AC6439">
        <v>-1.4623000000000199</v>
      </c>
      <c r="AD6439">
        <v>-1.0591915277790001</v>
      </c>
      <c r="AE6439">
        <v>-16.529913000000001</v>
      </c>
      <c r="AF6439">
        <v>3.6173735833191798</v>
      </c>
      <c r="AG6439">
        <v>-1.0591915277790001</v>
      </c>
      <c r="AH6439">
        <v>16.126401262766599</v>
      </c>
      <c r="AI6439">
        <v>93.666958613347902</v>
      </c>
      <c r="AJ6439">
        <v>77.357046469439496</v>
      </c>
      <c r="AK6439">
        <v>16.561041513792901</v>
      </c>
      <c r="AL6439">
        <v>80.809965074356299</v>
      </c>
      <c r="AM6439">
        <v>72.668555556545499</v>
      </c>
      <c r="AN6439">
        <v>1.00000000487887</v>
      </c>
    </row>
    <row r="6440" spans="1:40" x14ac:dyDescent="0.25">
      <c r="A6440" t="str">
        <f>"20190303170417949"</f>
        <v>20190303170417949</v>
      </c>
      <c r="B6440" t="str">
        <f>"1551603857941829"</f>
        <v>1551603857941829</v>
      </c>
      <c r="C6440" t="s">
        <v>40</v>
      </c>
      <c r="D6440">
        <v>5.0205209999999996</v>
      </c>
      <c r="E6440">
        <v>0.47265309999999999</v>
      </c>
      <c r="F6440" t="s">
        <v>42</v>
      </c>
      <c r="G6440">
        <v>-304.72489999999999</v>
      </c>
      <c r="H6440" s="1">
        <v>-3.669471E-6</v>
      </c>
      <c r="I6440">
        <v>-14.69317</v>
      </c>
      <c r="J6440">
        <v>-303.43209999999999</v>
      </c>
      <c r="K6440">
        <v>1.0595920000000001</v>
      </c>
      <c r="L6440">
        <v>1.0410459999999999</v>
      </c>
      <c r="M6440">
        <v>0.1187194</v>
      </c>
      <c r="N6440">
        <v>-1.5869499999999901E-2</v>
      </c>
      <c r="O6440">
        <v>-0.99280109999999999</v>
      </c>
      <c r="P6440">
        <v>-0.17021410000000001</v>
      </c>
      <c r="Q6440">
        <v>0.151713299999999</v>
      </c>
      <c r="R6440">
        <v>-0.97365860000000004</v>
      </c>
      <c r="S6440">
        <v>-0.24325559999999999</v>
      </c>
      <c r="T6440">
        <v>-0.20300009999999999</v>
      </c>
      <c r="U6440">
        <v>-3.0689700000000002</v>
      </c>
      <c r="V6440">
        <v>0.28925640000000002</v>
      </c>
      <c r="W6440">
        <v>0.1585289</v>
      </c>
      <c r="X6440">
        <v>0.94403360000000003</v>
      </c>
      <c r="Y6440">
        <v>0.19659489999999999</v>
      </c>
      <c r="Z6440">
        <v>4.8637920000000001E-2</v>
      </c>
      <c r="AA6440">
        <v>0.97927770000000003</v>
      </c>
      <c r="AB6440">
        <v>29</v>
      </c>
      <c r="AC6440">
        <v>-1.29279999999999</v>
      </c>
      <c r="AD6440">
        <v>-1.059595669471</v>
      </c>
      <c r="AE6440">
        <v>-15.734216</v>
      </c>
      <c r="AF6440">
        <v>3.1377120763248199</v>
      </c>
      <c r="AG6440">
        <v>-1.059595669471</v>
      </c>
      <c r="AH6440">
        <v>15.4000403976389</v>
      </c>
      <c r="AI6440">
        <v>93.857020180324497</v>
      </c>
      <c r="AJ6440">
        <v>78.483786814089399</v>
      </c>
      <c r="AK6440">
        <v>15.752118089501099</v>
      </c>
      <c r="AL6440">
        <v>80.878481900549801</v>
      </c>
      <c r="AM6440">
        <v>72.964685617361397</v>
      </c>
      <c r="AN6440">
        <v>1.00000005750256</v>
      </c>
    </row>
    <row r="6441" spans="1:40" x14ac:dyDescent="0.25">
      <c r="A6441" t="str">
        <f>"20190303170417972"</f>
        <v>20190303170417972</v>
      </c>
      <c r="B6441" t="str">
        <f>"1551603857962326"</f>
        <v>1551603857962326</v>
      </c>
      <c r="C6441" t="s">
        <v>40</v>
      </c>
      <c r="D6441">
        <v>5.0360199999999997</v>
      </c>
      <c r="E6441">
        <v>0.47140769999999999</v>
      </c>
      <c r="F6441" t="s">
        <v>42</v>
      </c>
      <c r="G6441">
        <v>-304.76900000000001</v>
      </c>
      <c r="H6441" s="1">
        <v>-3.609458E-6</v>
      </c>
      <c r="I6441">
        <v>-14.892480000000001</v>
      </c>
      <c r="J6441">
        <v>-303.41079999999999</v>
      </c>
      <c r="K6441">
        <v>1.060314</v>
      </c>
      <c r="L6441">
        <v>0.75061040000000001</v>
      </c>
      <c r="M6441">
        <v>0.1048457</v>
      </c>
      <c r="N6441">
        <v>-1.6068780000000001E-2</v>
      </c>
      <c r="O6441">
        <v>-0.99435870000000004</v>
      </c>
      <c r="P6441">
        <v>-0.1770717</v>
      </c>
      <c r="Q6441">
        <v>0.1485177</v>
      </c>
      <c r="R6441">
        <v>-0.97292780000000001</v>
      </c>
      <c r="S6441">
        <v>-0.25741579999999997</v>
      </c>
      <c r="T6441">
        <v>-0.2040226</v>
      </c>
      <c r="U6441">
        <v>-3.0679630000000002</v>
      </c>
      <c r="V6441">
        <v>0.28243590000000002</v>
      </c>
      <c r="W6441">
        <v>0.1561786</v>
      </c>
      <c r="X6441">
        <v>0.94648730000000003</v>
      </c>
      <c r="Y6441">
        <v>0.18741479999999999</v>
      </c>
      <c r="Z6441">
        <v>4.8990819999999997E-2</v>
      </c>
      <c r="AA6441">
        <v>0.9810584</v>
      </c>
      <c r="AB6441">
        <v>29</v>
      </c>
      <c r="AC6441">
        <v>-1.3582000000000101</v>
      </c>
      <c r="AD6441">
        <v>-1.060317609458</v>
      </c>
      <c r="AE6441">
        <v>-15.643090399999901</v>
      </c>
      <c r="AF6441">
        <v>2.9774576314066898</v>
      </c>
      <c r="AG6441">
        <v>-1.060317609458</v>
      </c>
      <c r="AH6441">
        <v>15.3444605894946</v>
      </c>
      <c r="AI6441">
        <v>93.880755496404205</v>
      </c>
      <c r="AJ6441">
        <v>79.018723012653595</v>
      </c>
      <c r="AK6441">
        <v>15.666588593637799</v>
      </c>
      <c r="AL6441">
        <v>81.014842429198694</v>
      </c>
      <c r="AM6441">
        <v>73.3846693275392</v>
      </c>
      <c r="AN6441">
        <v>1.00000000088403</v>
      </c>
    </row>
    <row r="6442" spans="1:40" x14ac:dyDescent="0.25">
      <c r="A6442" t="str">
        <f>"20190303170417995"</f>
        <v>20190303170417995</v>
      </c>
      <c r="B6442" t="str">
        <f>"1551603857981846"</f>
        <v>1551603857981846</v>
      </c>
      <c r="C6442" t="s">
        <v>40</v>
      </c>
      <c r="D6442">
        <v>5.0222959999999999</v>
      </c>
      <c r="E6442">
        <v>0.47070689999999998</v>
      </c>
      <c r="F6442" t="s">
        <v>42</v>
      </c>
      <c r="G6442">
        <v>-304.77800000000002</v>
      </c>
      <c r="H6442" s="1">
        <v>-3.598969E-6</v>
      </c>
      <c r="I6442">
        <v>-14.9279799999999</v>
      </c>
      <c r="J6442">
        <v>-303.39210000000003</v>
      </c>
      <c r="K6442">
        <v>1.0614870000000001</v>
      </c>
      <c r="L6442">
        <v>0.45748899999999998</v>
      </c>
      <c r="M6442">
        <v>9.2095389999999999E-2</v>
      </c>
      <c r="N6442">
        <v>-1.6963949999999998E-2</v>
      </c>
      <c r="O6442">
        <v>-0.99560579999999999</v>
      </c>
      <c r="P6442">
        <v>-0.18342910000000001</v>
      </c>
      <c r="Q6442">
        <v>0.1452233</v>
      </c>
      <c r="R6442">
        <v>-0.97224710000000003</v>
      </c>
      <c r="S6442">
        <v>-0.26739499999999999</v>
      </c>
      <c r="T6442">
        <v>-0.20738029999999999</v>
      </c>
      <c r="U6442">
        <v>-3.0664669999999998</v>
      </c>
      <c r="V6442">
        <v>0.27618429999999999</v>
      </c>
      <c r="W6442">
        <v>0.15442259999999999</v>
      </c>
      <c r="X6442">
        <v>0.94861790000000001</v>
      </c>
      <c r="Y6442">
        <v>0.17802589999999999</v>
      </c>
      <c r="Z6442">
        <v>4.937627E-2</v>
      </c>
      <c r="AA6442">
        <v>0.98278620000000005</v>
      </c>
      <c r="AB6442">
        <v>29</v>
      </c>
      <c r="AC6442">
        <v>-1.3858999999999899</v>
      </c>
      <c r="AD6442">
        <v>-1.061490598969</v>
      </c>
      <c r="AE6442">
        <v>-15.385469000000001</v>
      </c>
      <c r="AF6442">
        <v>2.7839977217979901</v>
      </c>
      <c r="AG6442">
        <v>-1.061490598969</v>
      </c>
      <c r="AH6442">
        <v>15.1210141250099</v>
      </c>
      <c r="AI6442">
        <v>93.949393419709807</v>
      </c>
      <c r="AJ6442">
        <v>79.567846926141499</v>
      </c>
      <c r="AK6442">
        <v>15.411764135731699</v>
      </c>
      <c r="AL6442">
        <v>81.116689630060094</v>
      </c>
      <c r="AM6442">
        <v>73.767404066578393</v>
      </c>
      <c r="AN6442">
        <v>1.0000000135788301</v>
      </c>
    </row>
    <row r="6443" spans="1:40" x14ac:dyDescent="0.25">
      <c r="A6443" t="str">
        <f>"20190303170418018"</f>
        <v>20190303170418018</v>
      </c>
      <c r="B6443" t="str">
        <f>"1551603858012101"</f>
        <v>1551603858012101</v>
      </c>
      <c r="C6443" t="s">
        <v>40</v>
      </c>
      <c r="D6443">
        <v>5.0689209999999996</v>
      </c>
      <c r="E6443">
        <v>0.46330789999999999</v>
      </c>
      <c r="F6443" t="s">
        <v>42</v>
      </c>
      <c r="G6443">
        <v>-304.77730000000003</v>
      </c>
      <c r="H6443" s="1">
        <v>-3.734077E-6</v>
      </c>
      <c r="I6443">
        <v>-14.53063</v>
      </c>
      <c r="J6443">
        <v>-303.3768</v>
      </c>
      <c r="K6443">
        <v>1.062236</v>
      </c>
      <c r="L6443">
        <v>0.16442870000000001</v>
      </c>
      <c r="M6443">
        <v>8.1456180000000003E-2</v>
      </c>
      <c r="N6443">
        <v>-1.6902850000000001E-2</v>
      </c>
      <c r="O6443">
        <v>-0.99653360000000002</v>
      </c>
      <c r="P6443">
        <v>-0.187144</v>
      </c>
      <c r="Q6443">
        <v>0.1430041</v>
      </c>
      <c r="R6443">
        <v>-0.97186779999999995</v>
      </c>
      <c r="S6443">
        <v>-0.28323359999999997</v>
      </c>
      <c r="T6443">
        <v>-0.21704190000000001</v>
      </c>
      <c r="U6443">
        <v>-3.0646059999999999</v>
      </c>
      <c r="V6443">
        <v>0.26957340000000002</v>
      </c>
      <c r="W6443">
        <v>0.15243979999999999</v>
      </c>
      <c r="X6443">
        <v>0.95083770000000001</v>
      </c>
      <c r="Y6443">
        <v>0.17258780000000001</v>
      </c>
      <c r="Z6443">
        <v>5.2680709999999999E-2</v>
      </c>
      <c r="AA6443">
        <v>0.98358429999999997</v>
      </c>
      <c r="AB6443">
        <v>29</v>
      </c>
      <c r="AC6443">
        <v>-1.4005000000000201</v>
      </c>
      <c r="AD6443">
        <v>-1.062239734077</v>
      </c>
      <c r="AE6443">
        <v>-14.695058700000001</v>
      </c>
      <c r="AF6443">
        <v>2.57966115769521</v>
      </c>
      <c r="AG6443">
        <v>-1.062239734077</v>
      </c>
      <c r="AH6443">
        <v>14.457254248220099</v>
      </c>
      <c r="AI6443">
        <v>94.137116855201697</v>
      </c>
      <c r="AJ6443">
        <v>79.882976739295799</v>
      </c>
      <c r="AK6443">
        <v>14.7239670380931</v>
      </c>
      <c r="AL6443">
        <v>81.231657078184298</v>
      </c>
      <c r="AM6443">
        <v>74.171358148959499</v>
      </c>
      <c r="AN6443">
        <v>1.0000000211764399</v>
      </c>
    </row>
    <row r="6444" spans="1:40" x14ac:dyDescent="0.25">
      <c r="A6444" t="str">
        <f>"20190303170418039"</f>
        <v>20190303170418039</v>
      </c>
      <c r="B6444" t="str">
        <f>"1551603858031622"</f>
        <v>1551603858031622</v>
      </c>
      <c r="C6444" t="s">
        <v>40</v>
      </c>
      <c r="D6444">
        <v>5.0643919999999998</v>
      </c>
      <c r="E6444">
        <v>0.46240870000000001</v>
      </c>
      <c r="F6444" t="s">
        <v>42</v>
      </c>
      <c r="G6444">
        <v>-304.59390000000002</v>
      </c>
      <c r="H6444" s="1">
        <v>-3.3692810000000002E-6</v>
      </c>
      <c r="I6444">
        <v>-15.40626</v>
      </c>
      <c r="J6444">
        <v>-303.36500000000001</v>
      </c>
      <c r="K6444">
        <v>1.062794</v>
      </c>
      <c r="L6444">
        <v>-0.12576289999999901</v>
      </c>
      <c r="M6444">
        <v>7.1255349999999995E-2</v>
      </c>
      <c r="N6444">
        <v>-1.5044109999999999E-2</v>
      </c>
      <c r="O6444">
        <v>-0.99734489999999998</v>
      </c>
      <c r="P6444">
        <v>-0.1880608</v>
      </c>
      <c r="Q6444">
        <v>0.14227670000000001</v>
      </c>
      <c r="R6444">
        <v>-0.97179800000000005</v>
      </c>
      <c r="S6444">
        <v>-0.24008180000000001</v>
      </c>
      <c r="T6444">
        <v>-0.2095351</v>
      </c>
      <c r="U6444">
        <v>-3.0714419999999998</v>
      </c>
      <c r="V6444">
        <v>0.26066070000000002</v>
      </c>
      <c r="W6444">
        <v>0.15019099999999999</v>
      </c>
      <c r="X6444">
        <v>0.95367639999999998</v>
      </c>
      <c r="Y6444">
        <v>0.14857619999999999</v>
      </c>
      <c r="Z6444">
        <v>5.2263839999999999E-2</v>
      </c>
      <c r="AA6444">
        <v>0.98751889999999998</v>
      </c>
      <c r="AB6444">
        <v>28</v>
      </c>
      <c r="AC6444">
        <v>-1.2289000000000001</v>
      </c>
      <c r="AD6444">
        <v>-1.062797369281</v>
      </c>
      <c r="AE6444">
        <v>-15.2804971</v>
      </c>
      <c r="AF6444">
        <v>2.3036433038837498</v>
      </c>
      <c r="AG6444">
        <v>-1.062797369281</v>
      </c>
      <c r="AH6444">
        <v>15.081582190841401</v>
      </c>
      <c r="AI6444">
        <v>93.984896588215705</v>
      </c>
      <c r="AJ6444">
        <v>81.315454514323406</v>
      </c>
      <c r="AK6444">
        <v>15.293476782562699</v>
      </c>
      <c r="AL6444">
        <v>81.362004609793203</v>
      </c>
      <c r="AM6444">
        <v>74.713172080578104</v>
      </c>
      <c r="AN6444">
        <v>1.00000000646122</v>
      </c>
    </row>
    <row r="6445" spans="1:40" x14ac:dyDescent="0.25">
      <c r="A6445" t="str">
        <f>"20190303170418062"</f>
        <v>20190303170418062</v>
      </c>
      <c r="B6445" t="str">
        <f>"1551603858051649"</f>
        <v>1551603858051649</v>
      </c>
      <c r="C6445" t="s">
        <v>40</v>
      </c>
      <c r="D6445">
        <v>5.0810690000000003</v>
      </c>
      <c r="E6445">
        <v>0.46234360000000002</v>
      </c>
      <c r="F6445" t="s">
        <v>42</v>
      </c>
      <c r="G6445">
        <v>-304.5779</v>
      </c>
      <c r="H6445" s="1">
        <v>-3.202775E-6</v>
      </c>
      <c r="I6445">
        <v>-15.78448</v>
      </c>
      <c r="J6445">
        <v>-303.3569</v>
      </c>
      <c r="K6445">
        <v>1.0639639999999999</v>
      </c>
      <c r="L6445">
        <v>-0.41113280000000002</v>
      </c>
      <c r="M6445">
        <v>6.153144E-2</v>
      </c>
      <c r="N6445">
        <v>-1.30575E-2</v>
      </c>
      <c r="O6445">
        <v>-0.99801989999999996</v>
      </c>
      <c r="P6445">
        <v>-0.18571170000000001</v>
      </c>
      <c r="Q6445">
        <v>0.14481340000000001</v>
      </c>
      <c r="R6445">
        <v>-0.97187480000000004</v>
      </c>
      <c r="S6445">
        <v>-0.23791499999999999</v>
      </c>
      <c r="T6445">
        <v>-0.20847280000000001</v>
      </c>
      <c r="U6445">
        <v>-3.0715330000000001</v>
      </c>
      <c r="V6445">
        <v>0.24894559999999999</v>
      </c>
      <c r="W6445">
        <v>0.15126529999999999</v>
      </c>
      <c r="X6445">
        <v>0.95663209999999999</v>
      </c>
      <c r="Y6445">
        <v>0.138246799999999</v>
      </c>
      <c r="Z6445">
        <v>5.4034640000000002E-2</v>
      </c>
      <c r="AA6445">
        <v>0.98892270000000004</v>
      </c>
      <c r="AB6445">
        <v>29</v>
      </c>
      <c r="AC6445">
        <v>-1.2210000000000001</v>
      </c>
      <c r="AD6445">
        <v>-1.063967202775</v>
      </c>
      <c r="AE6445">
        <v>-15.3733471999999</v>
      </c>
      <c r="AF6445">
        <v>2.1544558930520901</v>
      </c>
      <c r="AG6445">
        <v>-1.063967202775</v>
      </c>
      <c r="AH6445">
        <v>15.1967422559146</v>
      </c>
      <c r="AI6445">
        <v>93.965382033063804</v>
      </c>
      <c r="AJ6445">
        <v>81.930899042901004</v>
      </c>
      <c r="AK6445">
        <v>15.3855348167163</v>
      </c>
      <c r="AL6445">
        <v>81.299740681044696</v>
      </c>
      <c r="AM6445">
        <v>75.413371973054794</v>
      </c>
      <c r="AN6445">
        <v>1.0000000387469199</v>
      </c>
    </row>
    <row r="6446" spans="1:40" x14ac:dyDescent="0.25">
      <c r="A6446" t="str">
        <f>"20190303170418084"</f>
        <v>20190303170418084</v>
      </c>
      <c r="B6446" t="str">
        <f>"1551603858072145"</f>
        <v>1551603858072145</v>
      </c>
      <c r="C6446" t="s">
        <v>40</v>
      </c>
      <c r="D6446">
        <v>5.0806139999999997</v>
      </c>
      <c r="E6446">
        <v>0.46152130000000002</v>
      </c>
      <c r="F6446" t="s">
        <v>42</v>
      </c>
      <c r="G6446">
        <v>-304.54259999999999</v>
      </c>
      <c r="H6446" s="1">
        <v>-2.9621259999999999E-6</v>
      </c>
      <c r="I6446">
        <v>-16.323539999999898</v>
      </c>
      <c r="J6446">
        <v>-303.35140000000001</v>
      </c>
      <c r="K6446">
        <v>1.0660510000000001</v>
      </c>
      <c r="L6446">
        <v>-0.70147709999999996</v>
      </c>
      <c r="M6446">
        <v>5.1457320000000001E-2</v>
      </c>
      <c r="N6446">
        <v>-1.134229E-2</v>
      </c>
      <c r="O6446">
        <v>-0.99861080000000002</v>
      </c>
      <c r="P6446">
        <v>-0.18407689999999999</v>
      </c>
      <c r="Q6446">
        <v>0.14847539999999901</v>
      </c>
      <c r="R6446">
        <v>-0.97163330000000003</v>
      </c>
      <c r="S6446">
        <v>-0.2290344</v>
      </c>
      <c r="T6446">
        <v>-0.2055178</v>
      </c>
      <c r="U6446">
        <v>-3.0736690000000002</v>
      </c>
      <c r="V6446">
        <v>0.23742440000000001</v>
      </c>
      <c r="W6446">
        <v>0.15396409999999999</v>
      </c>
      <c r="X6446">
        <v>0.95912710000000001</v>
      </c>
      <c r="Y6446">
        <v>0.12536079999999999</v>
      </c>
      <c r="Z6446">
        <v>5.4884780000000001E-2</v>
      </c>
      <c r="AA6446">
        <v>0.99059189999999997</v>
      </c>
      <c r="AB6446">
        <v>29</v>
      </c>
      <c r="AC6446">
        <v>-1.1911999999999801</v>
      </c>
      <c r="AD6446">
        <v>-1.0660539621259999</v>
      </c>
      <c r="AE6446">
        <v>-15.6220628999999</v>
      </c>
      <c r="AF6446">
        <v>1.984355674048</v>
      </c>
      <c r="AG6446">
        <v>-1.0660539621259999</v>
      </c>
      <c r="AH6446">
        <v>15.468448054936299</v>
      </c>
      <c r="AI6446">
        <v>93.910529121171194</v>
      </c>
      <c r="AJ6446">
        <v>82.689789887831296</v>
      </c>
      <c r="AK6446">
        <v>15.6316033636845</v>
      </c>
      <c r="AL6446">
        <v>81.143277972652101</v>
      </c>
      <c r="AM6446">
        <v>76.096372756896002</v>
      </c>
      <c r="AN6446">
        <v>1.00000004187928</v>
      </c>
    </row>
    <row r="6447" spans="1:40" x14ac:dyDescent="0.25">
      <c r="A6447" t="str">
        <f>"20190303170418109"</f>
        <v>20190303170418109</v>
      </c>
      <c r="B6447" t="str">
        <f>"1551603858102401"</f>
        <v>1551603858102401</v>
      </c>
      <c r="C6447" t="s">
        <v>40</v>
      </c>
      <c r="D6447">
        <v>5.0741180000000004</v>
      </c>
      <c r="E6447">
        <v>0.46116819999999997</v>
      </c>
      <c r="F6447" t="s">
        <v>42</v>
      </c>
      <c r="G6447">
        <v>-304.56189999999998</v>
      </c>
      <c r="H6447" s="1">
        <v>-2.3194370000000002E-6</v>
      </c>
      <c r="I6447">
        <v>-17.833639999999999</v>
      </c>
      <c r="J6447">
        <v>-303.34789999999998</v>
      </c>
      <c r="K6447">
        <v>1.068735</v>
      </c>
      <c r="L6447">
        <v>-1.017487</v>
      </c>
      <c r="M6447">
        <v>4.0297529999999998E-2</v>
      </c>
      <c r="N6447">
        <v>-9.4284980000000004E-3</v>
      </c>
      <c r="O6447">
        <v>-0.99914340000000001</v>
      </c>
      <c r="P6447">
        <v>-0.1853311</v>
      </c>
      <c r="Q6447">
        <v>0.1512194</v>
      </c>
      <c r="R6447">
        <v>-0.97097129999999998</v>
      </c>
      <c r="S6447">
        <v>-0.2173157</v>
      </c>
      <c r="T6447">
        <v>-0.19138340000000001</v>
      </c>
      <c r="U6447">
        <v>-3.075653</v>
      </c>
      <c r="V6447">
        <v>0.22756860000000001</v>
      </c>
      <c r="W6447">
        <v>0.1556285</v>
      </c>
      <c r="X6447">
        <v>0.96124520000000002</v>
      </c>
      <c r="Y6447">
        <v>0.1104888</v>
      </c>
      <c r="Z6447">
        <v>5.233616E-2</v>
      </c>
      <c r="AA6447">
        <v>0.99249849999999995</v>
      </c>
      <c r="AB6447">
        <v>29</v>
      </c>
      <c r="AC6447">
        <v>-1.21399999999999</v>
      </c>
      <c r="AD6447">
        <v>-1.068737319437</v>
      </c>
      <c r="AE6447">
        <v>-16.816153</v>
      </c>
      <c r="AF6447">
        <v>1.8831264829888299</v>
      </c>
      <c r="AG6447">
        <v>-1.068737319437</v>
      </c>
      <c r="AH6447">
        <v>16.6865193733443</v>
      </c>
      <c r="AI6447">
        <v>93.641618195908606</v>
      </c>
      <c r="AJ6447">
        <v>83.561232226763295</v>
      </c>
      <c r="AK6447">
        <v>16.826416540840999</v>
      </c>
      <c r="AL6447">
        <v>81.046751144514801</v>
      </c>
      <c r="AM6447">
        <v>76.680815788781402</v>
      </c>
      <c r="AN6447">
        <v>1.00000001612062</v>
      </c>
    </row>
    <row r="6448" spans="1:40" x14ac:dyDescent="0.25">
      <c r="A6448" t="str">
        <f>"20190303170418129"</f>
        <v>20190303170418129</v>
      </c>
      <c r="B6448" t="str">
        <f>"1551603858121920"</f>
        <v>1551603858121920</v>
      </c>
      <c r="C6448" t="s">
        <v>40</v>
      </c>
      <c r="D6448">
        <v>5.0573199999999998</v>
      </c>
      <c r="E6448">
        <v>0.4612462</v>
      </c>
      <c r="F6448" t="s">
        <v>42</v>
      </c>
      <c r="G6448">
        <v>-304.62650000000002</v>
      </c>
      <c r="H6448" s="1">
        <v>-1.9124110000000002E-6</v>
      </c>
      <c r="I6448">
        <v>-18.822479999999999</v>
      </c>
      <c r="J6448">
        <v>-303.3467</v>
      </c>
      <c r="K6448">
        <v>1.0709550000000001</v>
      </c>
      <c r="L6448">
        <v>-1.276764</v>
      </c>
      <c r="M6448">
        <v>3.1618439999999998E-2</v>
      </c>
      <c r="N6448">
        <v>-7.8493079999999993E-3</v>
      </c>
      <c r="O6448">
        <v>-0.99946919999999995</v>
      </c>
      <c r="P6448">
        <v>-0.18499360000000001</v>
      </c>
      <c r="Q6448">
        <v>0.15458440000000001</v>
      </c>
      <c r="R6448">
        <v>-0.97050559999999997</v>
      </c>
      <c r="S6448">
        <v>-0.22091669999999999</v>
      </c>
      <c r="T6448">
        <v>-0.18465319999999999</v>
      </c>
      <c r="U6448">
        <v>-3.0762939999999999</v>
      </c>
      <c r="V6448">
        <v>0.2185946</v>
      </c>
      <c r="W6448">
        <v>0.1580712</v>
      </c>
      <c r="X6448">
        <v>0.9629278</v>
      </c>
      <c r="Y6448">
        <v>0.1030069</v>
      </c>
      <c r="Z6448">
        <v>5.1789910000000001E-2</v>
      </c>
      <c r="AA6448">
        <v>0.99333139999999998</v>
      </c>
      <c r="AB6448">
        <v>29</v>
      </c>
      <c r="AC6448">
        <v>-1.27980000000002</v>
      </c>
      <c r="AD6448">
        <v>-1.0709569124110001</v>
      </c>
      <c r="AE6448">
        <v>-17.545715999999999</v>
      </c>
      <c r="AF6448">
        <v>1.82717394979651</v>
      </c>
      <c r="AG6448">
        <v>-1.0709569124110001</v>
      </c>
      <c r="AH6448">
        <v>17.4318749638024</v>
      </c>
      <c r="AI6448">
        <v>93.496537450172198</v>
      </c>
      <c r="AJ6448">
        <v>84.016222405326303</v>
      </c>
      <c r="AK6448">
        <v>17.560062018817</v>
      </c>
      <c r="AL6448">
        <v>80.905040768991597</v>
      </c>
      <c r="AM6448">
        <v>77.210028183454199</v>
      </c>
      <c r="AN6448">
        <v>1.00000002571571</v>
      </c>
    </row>
    <row r="6449" spans="1:40" x14ac:dyDescent="0.25">
      <c r="A6449" t="str">
        <f>"20190303170418151"</f>
        <v>20190303170418151</v>
      </c>
      <c r="B6449" t="str">
        <f>"1551603858141948"</f>
        <v>1551603858141948</v>
      </c>
      <c r="C6449" t="s">
        <v>40</v>
      </c>
      <c r="D6449">
        <v>5.0861939999999999</v>
      </c>
      <c r="E6449">
        <v>0.46132329999999999</v>
      </c>
      <c r="F6449" t="s">
        <v>42</v>
      </c>
      <c r="G6449">
        <v>-304.70060000000001</v>
      </c>
      <c r="H6449" s="1">
        <v>-1.459753E-6</v>
      </c>
      <c r="I6449">
        <v>-19.923590000000001</v>
      </c>
      <c r="J6449">
        <v>-303.34690000000001</v>
      </c>
      <c r="K6449">
        <v>1.0734090000000001</v>
      </c>
      <c r="L6449">
        <v>-1.5656129999999999</v>
      </c>
      <c r="M6449">
        <v>2.2871450000000002E-2</v>
      </c>
      <c r="N6449">
        <v>-6.1754080000000003E-3</v>
      </c>
      <c r="O6449">
        <v>-0.99971940000000004</v>
      </c>
      <c r="P6449">
        <v>-0.1821528</v>
      </c>
      <c r="Q6449">
        <v>0.1570693</v>
      </c>
      <c r="R6449">
        <v>-0.97064439999999996</v>
      </c>
      <c r="S6449">
        <v>-0.2233887</v>
      </c>
      <c r="T6449">
        <v>-0.17670749999999999</v>
      </c>
      <c r="U6449">
        <v>-3.076721</v>
      </c>
      <c r="V6449">
        <v>0.2070188</v>
      </c>
      <c r="W6449">
        <v>0.15957399999999999</v>
      </c>
      <c r="X6449">
        <v>0.96523539999999997</v>
      </c>
      <c r="Y6449">
        <v>9.5095600000000002E-2</v>
      </c>
      <c r="Z6449">
        <v>5.094038E-2</v>
      </c>
      <c r="AA6449">
        <v>0.99416389999999999</v>
      </c>
      <c r="AB6449">
        <v>29</v>
      </c>
      <c r="AC6449">
        <v>-1.3536999999999999</v>
      </c>
      <c r="AD6449">
        <v>-1.0734104597530001</v>
      </c>
      <c r="AE6449">
        <v>-18.357976999999899</v>
      </c>
      <c r="AF6449">
        <v>1.76721820604761</v>
      </c>
      <c r="AG6449">
        <v>-1.0734104597530001</v>
      </c>
      <c r="AH6449">
        <v>18.2601216803744</v>
      </c>
      <c r="AI6449">
        <v>93.348617096490997</v>
      </c>
      <c r="AJ6449">
        <v>84.472118966326804</v>
      </c>
      <c r="AK6449">
        <v>18.376814576660799</v>
      </c>
      <c r="AL6449">
        <v>80.817829572500798</v>
      </c>
      <c r="AM6449">
        <v>77.8948777285582</v>
      </c>
      <c r="AN6449">
        <v>1.0000000112212999</v>
      </c>
    </row>
    <row r="6450" spans="1:40" x14ac:dyDescent="0.25">
      <c r="A6450" t="str">
        <f>"20190303170418173"</f>
        <v>20190303170418173</v>
      </c>
      <c r="B6450" t="str">
        <f>"1551603858162444"</f>
        <v>1551603858162444</v>
      </c>
      <c r="C6450" t="s">
        <v>40</v>
      </c>
      <c r="D6450">
        <v>5.1441850000000002</v>
      </c>
      <c r="E6450">
        <v>0.44016070000000002</v>
      </c>
      <c r="F6450" t="s">
        <v>42</v>
      </c>
      <c r="G6450">
        <v>-304.71600000000001</v>
      </c>
      <c r="H6450" s="1">
        <v>-4.7982990000000001E-6</v>
      </c>
      <c r="I6450">
        <v>-21.371410000000001</v>
      </c>
      <c r="J6450">
        <v>-303.34800000000001</v>
      </c>
      <c r="K6450">
        <v>1.076165</v>
      </c>
      <c r="L6450">
        <v>-1.84256</v>
      </c>
      <c r="M6450">
        <v>1.513536E-2</v>
      </c>
      <c r="N6450">
        <v>-5.2873030000000001E-3</v>
      </c>
      <c r="O6450">
        <v>-0.99987159999999997</v>
      </c>
      <c r="P6450">
        <v>-0.17602999999999999</v>
      </c>
      <c r="Q6450">
        <v>0.16153049999999999</v>
      </c>
      <c r="R6450">
        <v>-0.97104159999999995</v>
      </c>
      <c r="S6450">
        <v>-0.2127686</v>
      </c>
      <c r="T6450">
        <v>-0.1668067</v>
      </c>
      <c r="U6450">
        <v>-3.0777890000000001</v>
      </c>
      <c r="V6450">
        <v>0.19308729999999999</v>
      </c>
      <c r="W6450">
        <v>0.1638838</v>
      </c>
      <c r="X6450">
        <v>0.96739819999999999</v>
      </c>
      <c r="Y6450">
        <v>8.3962419999999996E-2</v>
      </c>
      <c r="Z6450">
        <v>4.8665369999999999E-2</v>
      </c>
      <c r="AA6450">
        <v>0.99527980000000005</v>
      </c>
      <c r="AB6450">
        <v>29</v>
      </c>
      <c r="AC6450">
        <v>-1.3679999999999899</v>
      </c>
      <c r="AD6450">
        <v>-1.0761697982989999</v>
      </c>
      <c r="AE6450">
        <v>-19.528849999999998</v>
      </c>
      <c r="AF6450">
        <v>1.6584119846019101</v>
      </c>
      <c r="AG6450">
        <v>-1.0761697982989999</v>
      </c>
      <c r="AH6450">
        <v>19.447139903212399</v>
      </c>
      <c r="AI6450">
        <v>93.155983369810997</v>
      </c>
      <c r="AJ6450">
        <v>85.125727026836103</v>
      </c>
      <c r="AK6450">
        <v>19.547371234019099</v>
      </c>
      <c r="AL6450">
        <v>80.567601155764606</v>
      </c>
      <c r="AM6450">
        <v>78.712412531021201</v>
      </c>
      <c r="AN6450">
        <v>0.99999994134348302</v>
      </c>
    </row>
    <row r="6451" spans="1:40" x14ac:dyDescent="0.25">
      <c r="A6451" t="str">
        <f>"20190303170418196"</f>
        <v>20190303170418196</v>
      </c>
      <c r="B6451" t="str">
        <f>"1551603858181963"</f>
        <v>1551603858181963</v>
      </c>
      <c r="C6451" t="s">
        <v>40</v>
      </c>
      <c r="D6451">
        <v>5.1397629999999896</v>
      </c>
      <c r="E6451">
        <v>0.4319769</v>
      </c>
      <c r="F6451" t="s">
        <v>75</v>
      </c>
      <c r="G6451">
        <v>-303.70490000000001</v>
      </c>
      <c r="H6451" s="1">
        <v>-2.832976E-6</v>
      </c>
      <c r="I6451">
        <v>-44.022289999999998</v>
      </c>
      <c r="J6451">
        <v>-303.34969999999998</v>
      </c>
      <c r="K6451">
        <v>1.079475</v>
      </c>
      <c r="L6451">
        <v>-2.1297609999999998</v>
      </c>
      <c r="M6451">
        <v>7.8841399999999996E-3</v>
      </c>
      <c r="N6451">
        <v>-5.3125660000000003E-3</v>
      </c>
      <c r="O6451">
        <v>-0.99995480000000003</v>
      </c>
      <c r="P6451">
        <v>-0.17097000000000001</v>
      </c>
      <c r="Q6451">
        <v>0.1637506</v>
      </c>
      <c r="R6451">
        <v>-0.97157349999999998</v>
      </c>
      <c r="S6451">
        <v>-2.62145999999999E-2</v>
      </c>
      <c r="T6451">
        <v>-7.9038620000000004E-2</v>
      </c>
      <c r="U6451">
        <v>-3.0978699999999999</v>
      </c>
      <c r="V6451">
        <v>0.18062919999999999</v>
      </c>
      <c r="W6451">
        <v>0.16675719999999999</v>
      </c>
      <c r="X6451">
        <v>0.9693117</v>
      </c>
      <c r="Y6451">
        <v>1.634248E-2</v>
      </c>
      <c r="Z6451">
        <v>2.0190840000000002E-2</v>
      </c>
      <c r="AA6451">
        <v>0.99966259999999996</v>
      </c>
      <c r="AB6451">
        <v>29</v>
      </c>
      <c r="AC6451">
        <v>-0.355200000000024</v>
      </c>
      <c r="AD6451">
        <v>-1.079477832976</v>
      </c>
      <c r="AE6451">
        <v>-41.892528999999897</v>
      </c>
      <c r="AF6451">
        <v>0.685025377292245</v>
      </c>
      <c r="AG6451">
        <v>-1.079477832976</v>
      </c>
      <c r="AH6451">
        <v>41.860633863257497</v>
      </c>
      <c r="AI6451">
        <v>91.476985405046307</v>
      </c>
      <c r="AJ6451">
        <v>89.062470957615503</v>
      </c>
      <c r="AK6451">
        <v>41.880152812437501</v>
      </c>
      <c r="AL6451">
        <v>80.400671184019203</v>
      </c>
      <c r="AM6451">
        <v>79.444126595464397</v>
      </c>
      <c r="AN6451">
        <v>1.0000000217006799</v>
      </c>
    </row>
    <row r="6452" spans="1:40" x14ac:dyDescent="0.25">
      <c r="A6452" t="str">
        <f>"20190303170418219"</f>
        <v>20190303170418219</v>
      </c>
      <c r="B6452" t="str">
        <f>"1551603858212220"</f>
        <v>1551603858212220</v>
      </c>
      <c r="C6452" t="s">
        <v>40</v>
      </c>
      <c r="D6452">
        <v>5.1262449999999999</v>
      </c>
      <c r="E6452">
        <v>0.42911009999999999</v>
      </c>
      <c r="F6452" t="s">
        <v>111</v>
      </c>
      <c r="G6452">
        <v>-301.88549999999998</v>
      </c>
      <c r="H6452">
        <v>0.53676990000000002</v>
      </c>
      <c r="I6452">
        <v>-90.976820000000004</v>
      </c>
      <c r="J6452">
        <v>-303.35219999999998</v>
      </c>
      <c r="K6452">
        <v>1.0827719999999901</v>
      </c>
      <c r="L6452">
        <v>-2.418701</v>
      </c>
      <c r="M6452">
        <v>1.8920149999999999E-3</v>
      </c>
      <c r="N6452">
        <v>-5.4884570000000004E-3</v>
      </c>
      <c r="O6452">
        <v>-0.99998319999999996</v>
      </c>
      <c r="P6452">
        <v>-0.1654447</v>
      </c>
      <c r="Q6452">
        <v>0.16024440000000001</v>
      </c>
      <c r="R6452">
        <v>-0.97311369999999997</v>
      </c>
      <c r="S6452">
        <v>5.1086430000000002E-2</v>
      </c>
      <c r="T6452">
        <v>-1.8934969999999999E-2</v>
      </c>
      <c r="U6452">
        <v>-3.099945</v>
      </c>
      <c r="V6452">
        <v>0.16898929999999901</v>
      </c>
      <c r="W6452">
        <v>0.16384189999999901</v>
      </c>
      <c r="X6452">
        <v>0.97190449999999995</v>
      </c>
      <c r="Y6452">
        <v>-1.4585259999999999E-2</v>
      </c>
      <c r="Z6452">
        <v>6.1893069999999998E-4</v>
      </c>
      <c r="AA6452">
        <v>0.99989340000000004</v>
      </c>
      <c r="AB6452">
        <v>28</v>
      </c>
      <c r="AC6452">
        <v>1.4666999999999999</v>
      </c>
      <c r="AD6452">
        <v>-0.54600209999999905</v>
      </c>
      <c r="AE6452">
        <v>-88.558118999999905</v>
      </c>
      <c r="AF6452">
        <v>-1.29909220136216</v>
      </c>
      <c r="AG6452">
        <v>-0.54600209999999905</v>
      </c>
      <c r="AH6452">
        <v>88.557370142524803</v>
      </c>
      <c r="AI6452">
        <v>90.353215707939498</v>
      </c>
      <c r="AJ6452">
        <v>90.8404400645462</v>
      </c>
      <c r="AK6452">
        <v>88.568581141401296</v>
      </c>
      <c r="AL6452">
        <v>80.570034867950994</v>
      </c>
      <c r="AM6452">
        <v>80.136342852725406</v>
      </c>
      <c r="AN6452">
        <v>0.99999995441517298</v>
      </c>
    </row>
    <row r="6453" spans="1:40" x14ac:dyDescent="0.25">
      <c r="A6453" t="str">
        <f>"20190303170418244"</f>
        <v>20190303170418244</v>
      </c>
      <c r="B6453" t="str">
        <f>"1551603858231740"</f>
        <v>1551603858231740</v>
      </c>
      <c r="C6453" t="s">
        <v>40</v>
      </c>
      <c r="D6453">
        <v>5.1504379999999896</v>
      </c>
      <c r="E6453">
        <v>0.42899409999999999</v>
      </c>
      <c r="F6453" t="s">
        <v>111</v>
      </c>
      <c r="G6453">
        <v>-300.84359999999998</v>
      </c>
      <c r="H6453">
        <v>0.80239869999999902</v>
      </c>
      <c r="I6453">
        <v>-90.976820000000004</v>
      </c>
      <c r="J6453">
        <v>-303.35570000000001</v>
      </c>
      <c r="K6453">
        <v>1.0862369999999999</v>
      </c>
      <c r="L6453">
        <v>-2.724548</v>
      </c>
      <c r="M6453">
        <v>-3.0780550000000001E-3</v>
      </c>
      <c r="N6453">
        <v>-5.4290450000000004E-3</v>
      </c>
      <c r="O6453">
        <v>-0.9999806</v>
      </c>
      <c r="P6453">
        <v>-0.15851319999999999</v>
      </c>
      <c r="Q6453">
        <v>0.1545088</v>
      </c>
      <c r="R6453">
        <v>-0.97519270000000002</v>
      </c>
      <c r="S6453">
        <v>8.7799070000000007E-2</v>
      </c>
      <c r="T6453">
        <v>-9.8122360000000002E-3</v>
      </c>
      <c r="U6453">
        <v>-3.0994259999999998</v>
      </c>
      <c r="V6453">
        <v>0.156947</v>
      </c>
      <c r="W6453">
        <v>0.15839329999999999</v>
      </c>
      <c r="X6453">
        <v>0.97482259999999998</v>
      </c>
      <c r="Y6453">
        <v>-3.1392089999999997E-2</v>
      </c>
      <c r="Z6453">
        <v>-2.264931E-3</v>
      </c>
      <c r="AA6453">
        <v>0.99950459999999997</v>
      </c>
      <c r="AB6453">
        <v>28</v>
      </c>
      <c r="AC6453">
        <v>2.51210000000003</v>
      </c>
      <c r="AD6453">
        <v>-0.28383829999999999</v>
      </c>
      <c r="AE6453">
        <v>-88.252271999999905</v>
      </c>
      <c r="AF6453">
        <v>-2.7837086579978201</v>
      </c>
      <c r="AG6453">
        <v>-0.28383829999999999</v>
      </c>
      <c r="AH6453">
        <v>88.2432093694256</v>
      </c>
      <c r="AI6453">
        <v>90.184202217241307</v>
      </c>
      <c r="AJ6453">
        <v>91.806845915627704</v>
      </c>
      <c r="AK6453">
        <v>88.287561965938593</v>
      </c>
      <c r="AL6453">
        <v>80.886349638254899</v>
      </c>
      <c r="AM6453">
        <v>80.853834028327299</v>
      </c>
      <c r="AN6453">
        <v>0.99999994988232299</v>
      </c>
    </row>
    <row r="6454" spans="1:40" x14ac:dyDescent="0.25">
      <c r="A6454" t="str">
        <f>"20190303170418263"</f>
        <v>20190303170418263</v>
      </c>
      <c r="B6454" t="str">
        <f>"1551603858251768"</f>
        <v>1551603858251768</v>
      </c>
      <c r="C6454" t="s">
        <v>40</v>
      </c>
      <c r="D6454">
        <v>5.1811099999999897</v>
      </c>
      <c r="E6454">
        <v>0.429614</v>
      </c>
      <c r="F6454" t="s">
        <v>111</v>
      </c>
      <c r="G6454">
        <v>-300.26010000000002</v>
      </c>
      <c r="H6454">
        <v>0.34387590000000001</v>
      </c>
      <c r="I6454">
        <v>-90.976820000000004</v>
      </c>
      <c r="J6454">
        <v>-303.35930000000002</v>
      </c>
      <c r="K6454">
        <v>1.089151</v>
      </c>
      <c r="L6454">
        <v>-2.9775700000000001</v>
      </c>
      <c r="M6454">
        <v>-6.252156E-3</v>
      </c>
      <c r="N6454">
        <v>-5.36909E-3</v>
      </c>
      <c r="O6454">
        <v>-0.99996609999999997</v>
      </c>
      <c r="P6454">
        <v>-0.1490292</v>
      </c>
      <c r="Q6454">
        <v>0.15223349999999999</v>
      </c>
      <c r="R6454">
        <v>-0.97704449999999998</v>
      </c>
      <c r="S6454">
        <v>0.10867309999999999</v>
      </c>
      <c r="T6454">
        <v>-2.6060219999999999E-2</v>
      </c>
      <c r="U6454">
        <v>-3.0981139999999998</v>
      </c>
      <c r="V6454">
        <v>0.14417859999999999</v>
      </c>
      <c r="W6454">
        <v>0.15632839999999901</v>
      </c>
      <c r="X6454">
        <v>0.97712529999999997</v>
      </c>
      <c r="Y6454">
        <v>-4.1301640000000001E-2</v>
      </c>
      <c r="Z6454">
        <v>3.0353149999999998E-3</v>
      </c>
      <c r="AA6454">
        <v>0.99914210000000003</v>
      </c>
      <c r="AB6454">
        <v>28</v>
      </c>
      <c r="AC6454">
        <v>3.09919999999999</v>
      </c>
      <c r="AD6454">
        <v>-0.74527509999999997</v>
      </c>
      <c r="AE6454">
        <v>-87.999249999999904</v>
      </c>
      <c r="AF6454">
        <v>-3.6490709532172598</v>
      </c>
      <c r="AG6454">
        <v>-0.74527509999999997</v>
      </c>
      <c r="AH6454">
        <v>87.971851019454405</v>
      </c>
      <c r="AI6454">
        <v>90.484966614047593</v>
      </c>
      <c r="AJ6454">
        <v>92.375266343486004</v>
      </c>
      <c r="AK6454">
        <v>88.050654316622598</v>
      </c>
      <c r="AL6454">
        <v>81.006152276212802</v>
      </c>
      <c r="AM6454">
        <v>81.606353326409504</v>
      </c>
      <c r="AN6454">
        <v>0.99999994462230302</v>
      </c>
    </row>
    <row r="6455" spans="1:40" x14ac:dyDescent="0.25">
      <c r="A6455" t="str">
        <f>"20190303170418285"</f>
        <v>20190303170418285</v>
      </c>
      <c r="B6455" t="str">
        <f>"1551603858272264"</f>
        <v>1551603858272264</v>
      </c>
      <c r="C6455" t="s">
        <v>40</v>
      </c>
      <c r="D6455">
        <v>5.1414799999999996</v>
      </c>
      <c r="E6455">
        <v>0.43047639999999998</v>
      </c>
      <c r="F6455" t="s">
        <v>111</v>
      </c>
      <c r="G6455">
        <v>-299.53629999999998</v>
      </c>
      <c r="H6455">
        <v>0.21522140000000001</v>
      </c>
      <c r="I6455">
        <v>-90.976820000000004</v>
      </c>
      <c r="J6455">
        <v>-303.36369999999999</v>
      </c>
      <c r="K6455">
        <v>1.0926129999999901</v>
      </c>
      <c r="L6455">
        <v>-3.2664179999999998</v>
      </c>
      <c r="M6455">
        <v>-8.8894879999999992E-3</v>
      </c>
      <c r="N6455">
        <v>-5.4404199999999996E-3</v>
      </c>
      <c r="O6455">
        <v>-0.99994559999999999</v>
      </c>
      <c r="P6455">
        <v>-0.14110549999999999</v>
      </c>
      <c r="Q6455">
        <v>0.15540660000000001</v>
      </c>
      <c r="R6455">
        <v>-0.97772079999999995</v>
      </c>
      <c r="S6455">
        <v>0.134491</v>
      </c>
      <c r="T6455">
        <v>-3.0744190000000001E-2</v>
      </c>
      <c r="U6455">
        <v>-3.0957949999999999</v>
      </c>
      <c r="V6455">
        <v>0.1335064</v>
      </c>
      <c r="W6455">
        <v>0.15981919999999999</v>
      </c>
      <c r="X6455">
        <v>0.97807659999999996</v>
      </c>
      <c r="Y6455">
        <v>-5.227909E-2</v>
      </c>
      <c r="Z6455">
        <v>4.4770599999999997E-3</v>
      </c>
      <c r="AA6455">
        <v>0.99862249999999997</v>
      </c>
      <c r="AB6455">
        <v>28</v>
      </c>
      <c r="AC6455">
        <v>3.8274000000000101</v>
      </c>
      <c r="AD6455">
        <v>-0.87739159999999905</v>
      </c>
      <c r="AE6455">
        <v>-87.710401999999903</v>
      </c>
      <c r="AF6455">
        <v>-4.6065008637890204</v>
      </c>
      <c r="AG6455">
        <v>-0.87739159999999905</v>
      </c>
      <c r="AH6455">
        <v>87.664156632801493</v>
      </c>
      <c r="AI6455">
        <v>90.572638869568806</v>
      </c>
      <c r="AJ6455">
        <v>93.007962951346201</v>
      </c>
      <c r="AK6455">
        <v>87.789486980891994</v>
      </c>
      <c r="AL6455">
        <v>80.803597762946396</v>
      </c>
      <c r="AM6455">
        <v>82.227224416021798</v>
      </c>
      <c r="AN6455">
        <v>0.99999998549857905</v>
      </c>
    </row>
    <row r="6456" spans="1:40" x14ac:dyDescent="0.25">
      <c r="A6456" t="str">
        <f>"20190303170418308"</f>
        <v>20190303170418308</v>
      </c>
      <c r="B6456" t="str">
        <f>"1551603858302520"</f>
        <v>1551603858302520</v>
      </c>
      <c r="C6456" t="s">
        <v>40</v>
      </c>
      <c r="D6456">
        <v>5.1071759999999999</v>
      </c>
      <c r="E6456">
        <v>0.43189840000000002</v>
      </c>
      <c r="F6456" t="s">
        <v>111</v>
      </c>
      <c r="G6456">
        <v>-298.97640000000001</v>
      </c>
      <c r="H6456">
        <v>0.52834320000000001</v>
      </c>
      <c r="I6456">
        <v>-91.564989999999995</v>
      </c>
      <c r="J6456">
        <v>-303.36840000000001</v>
      </c>
      <c r="K6456">
        <v>1.0961510000000001</v>
      </c>
      <c r="L6456">
        <v>-3.5552060000000001</v>
      </c>
      <c r="M6456">
        <v>-1.0556680000000001E-2</v>
      </c>
      <c r="N6456">
        <v>-5.7326909999999998E-3</v>
      </c>
      <c r="O6456">
        <v>-0.99992800000000004</v>
      </c>
      <c r="P6456">
        <v>-0.1360345</v>
      </c>
      <c r="Q6456">
        <v>0.1570347</v>
      </c>
      <c r="R6456">
        <v>-0.97817949999999998</v>
      </c>
      <c r="S6456">
        <v>0.15371699999999999</v>
      </c>
      <c r="T6456">
        <v>-1.976967E-2</v>
      </c>
      <c r="U6456">
        <v>-3.0936889999999999</v>
      </c>
      <c r="V6456">
        <v>0.12658800000000001</v>
      </c>
      <c r="W6456">
        <v>0.16195770000000001</v>
      </c>
      <c r="X6456">
        <v>0.97864450000000003</v>
      </c>
      <c r="Y6456">
        <v>-6.0165049999999998E-2</v>
      </c>
      <c r="Z6456">
        <v>6.4575329999999999E-4</v>
      </c>
      <c r="AA6456">
        <v>0.99818830000000003</v>
      </c>
      <c r="AB6456">
        <v>28</v>
      </c>
      <c r="AC6456">
        <v>4.3919999999999897</v>
      </c>
      <c r="AD6456">
        <v>-0.56780779999999997</v>
      </c>
      <c r="AE6456">
        <v>-88.009783999999996</v>
      </c>
      <c r="AF6456">
        <v>-5.3206405891548796</v>
      </c>
      <c r="AG6456">
        <v>-0.56780779999999997</v>
      </c>
      <c r="AH6456">
        <v>87.954862038486198</v>
      </c>
      <c r="AI6456">
        <v>90.369202768288801</v>
      </c>
      <c r="AJ6456">
        <v>93.461766666348794</v>
      </c>
      <c r="AK6456">
        <v>88.117474874089794</v>
      </c>
      <c r="AL6456">
        <v>80.679452984489501</v>
      </c>
      <c r="AM6456">
        <v>82.6296950042655</v>
      </c>
      <c r="AN6456">
        <v>0.999999937856768</v>
      </c>
    </row>
    <row r="6457" spans="1:40" x14ac:dyDescent="0.25">
      <c r="A6457" t="str">
        <f>"20190303170418329"</f>
        <v>20190303170418329</v>
      </c>
      <c r="B6457" t="str">
        <f>"1551603858322040"</f>
        <v>1551603858322040</v>
      </c>
      <c r="C6457" t="s">
        <v>40</v>
      </c>
      <c r="D6457">
        <v>5.0884340000000003</v>
      </c>
      <c r="E6457">
        <v>0.44490669999999999</v>
      </c>
      <c r="F6457" t="s">
        <v>111</v>
      </c>
      <c r="G6457">
        <v>-298.87830000000002</v>
      </c>
      <c r="H6457">
        <v>0.54951859999999997</v>
      </c>
      <c r="I6457">
        <v>-91.564989999999995</v>
      </c>
      <c r="J6457">
        <v>-303.37270000000001</v>
      </c>
      <c r="K6457">
        <v>1.0994520000000001</v>
      </c>
      <c r="L6457">
        <v>-3.825958</v>
      </c>
      <c r="M6457">
        <v>-1.1266740000000001E-2</v>
      </c>
      <c r="N6457">
        <v>-6.1715809999999998E-3</v>
      </c>
      <c r="O6457">
        <v>-0.99991779999999997</v>
      </c>
      <c r="P6457">
        <v>-0.1308985</v>
      </c>
      <c r="Q6457">
        <v>0.15443280000000001</v>
      </c>
      <c r="R6457">
        <v>-0.979294</v>
      </c>
      <c r="S6457">
        <v>0.15774540000000001</v>
      </c>
      <c r="T6457">
        <v>-1.920378E-2</v>
      </c>
      <c r="U6457">
        <v>-3.0919490000000001</v>
      </c>
      <c r="V6457">
        <v>0.1204894</v>
      </c>
      <c r="W6457">
        <v>0.1600075</v>
      </c>
      <c r="X6457">
        <v>0.97973460000000001</v>
      </c>
      <c r="Y6457">
        <v>-6.2198539999999997E-2</v>
      </c>
      <c r="Z6457" s="1">
        <v>2.6790189999999999E-5</v>
      </c>
      <c r="AA6457">
        <v>0.99806379999999995</v>
      </c>
      <c r="AB6457">
        <v>28</v>
      </c>
      <c r="AC6457">
        <v>4.4943999999999802</v>
      </c>
      <c r="AD6457">
        <v>-0.54993340000000002</v>
      </c>
      <c r="AE6457">
        <v>-87.739031999999995</v>
      </c>
      <c r="AF6457">
        <v>-5.4824512777808101</v>
      </c>
      <c r="AG6457">
        <v>-0.54993340000000002</v>
      </c>
      <c r="AH6457">
        <v>87.679389127108493</v>
      </c>
      <c r="AI6457">
        <v>90.358659381093702</v>
      </c>
      <c r="AJ6457">
        <v>93.577954825907597</v>
      </c>
      <c r="AK6457">
        <v>87.852347586507804</v>
      </c>
      <c r="AL6457">
        <v>80.792668368172698</v>
      </c>
      <c r="AM6457">
        <v>82.988874321353293</v>
      </c>
      <c r="AN6457">
        <v>0.99999999100288495</v>
      </c>
    </row>
    <row r="6458" spans="1:40" x14ac:dyDescent="0.25">
      <c r="A6458" t="str">
        <f>"20190303170418351"</f>
        <v>20190303170418351</v>
      </c>
      <c r="B6458" t="str">
        <f>"1551603858342066"</f>
        <v>1551603858342066</v>
      </c>
      <c r="C6458" t="s">
        <v>40</v>
      </c>
      <c r="D6458">
        <v>5.1205740000000004</v>
      </c>
      <c r="E6458">
        <v>0.44584210000000002</v>
      </c>
      <c r="F6458" t="s">
        <v>75</v>
      </c>
      <c r="G6458">
        <v>-302.18</v>
      </c>
      <c r="H6458" s="1">
        <v>-8.3385330000000001E-6</v>
      </c>
      <c r="I6458">
        <v>-56.485590000000002</v>
      </c>
      <c r="J6458">
        <v>-303.37650000000002</v>
      </c>
      <c r="K6458">
        <v>1.1027880000000001</v>
      </c>
      <c r="L6458">
        <v>-4.10968</v>
      </c>
      <c r="M6458">
        <v>-1.1170889999999999E-2</v>
      </c>
      <c r="N6458">
        <v>-6.7234629999999998E-3</v>
      </c>
      <c r="O6458">
        <v>-0.99991529999999995</v>
      </c>
      <c r="P6458">
        <v>-0.122356199999999</v>
      </c>
      <c r="Q6458">
        <v>0.15058949999999999</v>
      </c>
      <c r="R6458">
        <v>-0.98099570000000003</v>
      </c>
      <c r="S6458">
        <v>6.9824220000000006E-2</v>
      </c>
      <c r="T6458">
        <v>-6.4367060000000004E-2</v>
      </c>
      <c r="U6458">
        <v>-3.082916</v>
      </c>
      <c r="V6458">
        <v>0.11173420000000001</v>
      </c>
      <c r="W6458">
        <v>0.1569458</v>
      </c>
      <c r="X6458">
        <v>0.98126630000000004</v>
      </c>
      <c r="Y6458">
        <v>-3.380441E-2</v>
      </c>
      <c r="Z6458">
        <v>1.4140170000000001E-2</v>
      </c>
      <c r="AA6458">
        <v>0.99932840000000001</v>
      </c>
      <c r="AB6458">
        <v>28</v>
      </c>
      <c r="AC6458">
        <v>1.1965000000000101</v>
      </c>
      <c r="AD6458">
        <v>-1.102796338533</v>
      </c>
      <c r="AE6458">
        <v>-52.375909999999998</v>
      </c>
      <c r="AF6458">
        <v>-1.7807348756915899</v>
      </c>
      <c r="AG6458">
        <v>-1.102796338533</v>
      </c>
      <c r="AH6458">
        <v>52.336085448143599</v>
      </c>
      <c r="AI6458">
        <v>91.206427633936499</v>
      </c>
      <c r="AJ6458">
        <v>91.948736639853806</v>
      </c>
      <c r="AK6458">
        <v>52.377982172828901</v>
      </c>
      <c r="AL6458">
        <v>80.970336557867697</v>
      </c>
      <c r="AM6458">
        <v>83.503860433509203</v>
      </c>
      <c r="AN6458">
        <v>1.00000003355148</v>
      </c>
    </row>
    <row r="6459" spans="1:40" x14ac:dyDescent="0.25">
      <c r="A6459" t="str">
        <f>"20190303170418375"</f>
        <v>20190303170418375</v>
      </c>
      <c r="B6459" t="str">
        <f>"1551603858362562"</f>
        <v>1551603858362562</v>
      </c>
      <c r="C6459" t="s">
        <v>40</v>
      </c>
      <c r="D6459">
        <v>5.1087809999999996</v>
      </c>
      <c r="E6459">
        <v>0.44668980000000003</v>
      </c>
      <c r="F6459" t="s">
        <v>75</v>
      </c>
      <c r="G6459">
        <v>-302.17619999999999</v>
      </c>
      <c r="H6459" s="1">
        <v>-3.8617660000000004E-6</v>
      </c>
      <c r="I6459">
        <v>-46.467689999999997</v>
      </c>
      <c r="J6459">
        <v>-303.37950000000001</v>
      </c>
      <c r="K6459">
        <v>1.1059650000000001</v>
      </c>
      <c r="L6459">
        <v>-4.3970339999999997</v>
      </c>
      <c r="M6459">
        <v>-1.026702E-2</v>
      </c>
      <c r="N6459">
        <v>-7.3174349999999997E-3</v>
      </c>
      <c r="O6459">
        <v>-0.9999207</v>
      </c>
      <c r="P6459">
        <v>-0.1124129</v>
      </c>
      <c r="Q6459">
        <v>0.149153799999999</v>
      </c>
      <c r="R6459">
        <v>-0.98240349999999999</v>
      </c>
      <c r="S6459">
        <v>8.7310789999999999E-2</v>
      </c>
      <c r="T6459">
        <v>-8.0222489999999994E-2</v>
      </c>
      <c r="U6459">
        <v>-3.0813290000000002</v>
      </c>
      <c r="V6459">
        <v>0.102382</v>
      </c>
      <c r="W6459">
        <v>0.15630629999999901</v>
      </c>
      <c r="X6459">
        <v>0.98238800000000004</v>
      </c>
      <c r="Y6459">
        <v>-3.857609E-2</v>
      </c>
      <c r="Z6459">
        <v>1.8692529999999999E-2</v>
      </c>
      <c r="AA6459">
        <v>0.99908079999999999</v>
      </c>
      <c r="AB6459">
        <v>28</v>
      </c>
      <c r="AC6459">
        <v>1.20330000000001</v>
      </c>
      <c r="AD6459">
        <v>-1.105968861766</v>
      </c>
      <c r="AE6459">
        <v>-42.070656</v>
      </c>
      <c r="AF6459">
        <v>-1.63405998648123</v>
      </c>
      <c r="AG6459">
        <v>-1.105968861766</v>
      </c>
      <c r="AH6459">
        <v>42.0270635707925</v>
      </c>
      <c r="AI6459">
        <v>91.506289303672204</v>
      </c>
      <c r="AJ6459">
        <v>92.226603446726401</v>
      </c>
      <c r="AK6459">
        <v>42.073357264972998</v>
      </c>
      <c r="AL6459">
        <v>81.007434393533998</v>
      </c>
      <c r="AM6459">
        <v>84.050256923585593</v>
      </c>
      <c r="AN6459">
        <v>0.999999957943844</v>
      </c>
    </row>
    <row r="6460" spans="1:40" x14ac:dyDescent="0.25">
      <c r="A6460" t="str">
        <f>"20190303170418397"</f>
        <v>20190303170418397</v>
      </c>
      <c r="B6460" t="str">
        <f>"1551603858391841"</f>
        <v>1551603858391841</v>
      </c>
      <c r="C6460" t="s">
        <v>40</v>
      </c>
      <c r="D6460">
        <v>5.1014889999999999</v>
      </c>
      <c r="E6460">
        <v>0.44788939999999999</v>
      </c>
      <c r="F6460" t="s">
        <v>75</v>
      </c>
      <c r="G6460">
        <v>-301.89679999999998</v>
      </c>
      <c r="H6460" s="1">
        <v>-2.9654E-6</v>
      </c>
      <c r="I6460">
        <v>-44.626690000000004</v>
      </c>
      <c r="J6460">
        <v>-303.38130000000001</v>
      </c>
      <c r="K6460">
        <v>1.1088169999999999</v>
      </c>
      <c r="L6460">
        <v>-4.6824649999999997</v>
      </c>
      <c r="M6460">
        <v>-8.6270489999999995E-3</v>
      </c>
      <c r="N6460">
        <v>-7.9020669999999901E-3</v>
      </c>
      <c r="O6460">
        <v>-0.99993160000000003</v>
      </c>
      <c r="P6460">
        <v>-0.10605340000000001</v>
      </c>
      <c r="Q6460">
        <v>0.15193480000000001</v>
      </c>
      <c r="R6460">
        <v>-0.98268440000000001</v>
      </c>
      <c r="S6460">
        <v>0.113494899999999</v>
      </c>
      <c r="T6460">
        <v>-8.4662080000000001E-2</v>
      </c>
      <c r="U6460">
        <v>-3.07959</v>
      </c>
      <c r="V6460">
        <v>9.7377480000000002E-2</v>
      </c>
      <c r="W6460">
        <v>0.15982060000000001</v>
      </c>
      <c r="X6460">
        <v>0.98233139999999997</v>
      </c>
      <c r="Y6460">
        <v>-4.54356E-2</v>
      </c>
      <c r="Z6460">
        <v>1.9554729999999999E-2</v>
      </c>
      <c r="AA6460">
        <v>0.99877579999999999</v>
      </c>
      <c r="AB6460">
        <v>28</v>
      </c>
      <c r="AC6460">
        <v>1.4845000000000199</v>
      </c>
      <c r="AD6460">
        <v>-1.1088199653999999</v>
      </c>
      <c r="AE6460">
        <v>-39.944225000000003</v>
      </c>
      <c r="AF6460">
        <v>-1.82764988985775</v>
      </c>
      <c r="AG6460">
        <v>-1.1088199653999999</v>
      </c>
      <c r="AH6460">
        <v>39.899228300030501</v>
      </c>
      <c r="AI6460">
        <v>91.590202711654698</v>
      </c>
      <c r="AJ6460">
        <v>92.622694250649204</v>
      </c>
      <c r="AK6460">
        <v>39.956453856336204</v>
      </c>
      <c r="AL6460">
        <v>80.803516533240796</v>
      </c>
      <c r="AM6460">
        <v>84.338824480859003</v>
      </c>
      <c r="AN6460">
        <v>0.99999998861073502</v>
      </c>
    </row>
    <row r="6461" spans="1:40" x14ac:dyDescent="0.25">
      <c r="A6461" t="str">
        <f>"20190303170418420"</f>
        <v>20190303170418420</v>
      </c>
      <c r="B6461" t="str">
        <f>"1551603858412337"</f>
        <v>1551603858412337</v>
      </c>
      <c r="C6461" t="s">
        <v>40</v>
      </c>
      <c r="D6461">
        <v>5.1271199999999997</v>
      </c>
      <c r="E6461">
        <v>0.44832040000000001</v>
      </c>
      <c r="F6461" t="s">
        <v>75</v>
      </c>
      <c r="G6461">
        <v>-301.5197</v>
      </c>
      <c r="H6461" s="1">
        <v>-5.9837729999999997E-6</v>
      </c>
      <c r="I6461">
        <v>-50.798299999999998</v>
      </c>
      <c r="J6461">
        <v>-303.38200000000001</v>
      </c>
      <c r="K6461">
        <v>1.1112839999999999</v>
      </c>
      <c r="L6461">
        <v>-4.9656070000000003</v>
      </c>
      <c r="M6461">
        <v>-6.472055E-3</v>
      </c>
      <c r="N6461">
        <v>-8.4543239999999992E-3</v>
      </c>
      <c r="O6461">
        <v>-0.99994340000000004</v>
      </c>
      <c r="P6461">
        <v>-0.101618</v>
      </c>
      <c r="Q6461">
        <v>0.1537713</v>
      </c>
      <c r="R6461">
        <v>-0.98286750000000001</v>
      </c>
      <c r="S6461">
        <v>0.1242371</v>
      </c>
      <c r="T6461">
        <v>-7.4001789999999998E-2</v>
      </c>
      <c r="U6461">
        <v>-3.077728</v>
      </c>
      <c r="V6461">
        <v>9.4848920000000003E-2</v>
      </c>
      <c r="W6461">
        <v>0.16231860000000001</v>
      </c>
      <c r="X6461">
        <v>0.98216919999999996</v>
      </c>
      <c r="Y6461">
        <v>-4.6788509999999998E-2</v>
      </c>
      <c r="Z6461">
        <v>1.555981E-2</v>
      </c>
      <c r="AA6461">
        <v>0.99878359999999999</v>
      </c>
      <c r="AB6461">
        <v>28</v>
      </c>
      <c r="AC6461">
        <v>1.8623000000000001</v>
      </c>
      <c r="AD6461">
        <v>-1.1112899837729999</v>
      </c>
      <c r="AE6461">
        <v>-45.832692999999999</v>
      </c>
      <c r="AF6461">
        <v>-2.1576368943899502</v>
      </c>
      <c r="AG6461">
        <v>-1.1112899837729999</v>
      </c>
      <c r="AH6461">
        <v>45.792802424824302</v>
      </c>
      <c r="AI6461">
        <v>91.388628972187007</v>
      </c>
      <c r="AJ6461">
        <v>92.697631932409493</v>
      </c>
      <c r="AK6461">
        <v>45.8570726967505</v>
      </c>
      <c r="AL6461">
        <v>80.658498162157002</v>
      </c>
      <c r="AM6461">
        <v>84.484002382221803</v>
      </c>
      <c r="AN6461">
        <v>0.99999999147988305</v>
      </c>
    </row>
    <row r="6462" spans="1:40" x14ac:dyDescent="0.25">
      <c r="A6462" t="str">
        <f>"20190303170418442"</f>
        <v>20190303170418442</v>
      </c>
      <c r="B6462" t="str">
        <f>"1551603858431857"</f>
        <v>1551603858431857</v>
      </c>
      <c r="C6462" t="s">
        <v>40</v>
      </c>
      <c r="D6462">
        <v>5.1031740000000001</v>
      </c>
      <c r="E6462">
        <v>0.45514480000000002</v>
      </c>
      <c r="F6462" t="s">
        <v>75</v>
      </c>
      <c r="G6462">
        <v>-301.22680000000003</v>
      </c>
      <c r="H6462" s="1">
        <v>-7.5101219999999997E-6</v>
      </c>
      <c r="I6462">
        <v>-54.587510000000002</v>
      </c>
      <c r="J6462">
        <v>-303.38159999999999</v>
      </c>
      <c r="K6462">
        <v>1.1133139999999999</v>
      </c>
      <c r="L6462">
        <v>-5.2422490000000002</v>
      </c>
      <c r="M6462">
        <v>-4.0255480000000003E-3</v>
      </c>
      <c r="N6462">
        <v>-8.9579710000000003E-3</v>
      </c>
      <c r="O6462">
        <v>-0.99995199999999995</v>
      </c>
      <c r="P6462">
        <v>-9.3686690000000003E-2</v>
      </c>
      <c r="Q6462">
        <v>0.15259829999999999</v>
      </c>
      <c r="R6462">
        <v>-0.98383799999999999</v>
      </c>
      <c r="S6462">
        <v>0.13363649999999999</v>
      </c>
      <c r="T6462">
        <v>-6.8907860000000001E-2</v>
      </c>
      <c r="U6462">
        <v>-3.0769039999999999</v>
      </c>
      <c r="V6462">
        <v>8.9172340000000003E-2</v>
      </c>
      <c r="W6462">
        <v>0.16171489999999999</v>
      </c>
      <c r="X6462">
        <v>0.98280040000000002</v>
      </c>
      <c r="Y6462">
        <v>-4.7402229999999997E-2</v>
      </c>
      <c r="Z6462">
        <v>1.340878E-2</v>
      </c>
      <c r="AA6462">
        <v>0.9987859</v>
      </c>
      <c r="AB6462">
        <v>28</v>
      </c>
      <c r="AC6462">
        <v>2.1547999999999599</v>
      </c>
      <c r="AD6462">
        <v>-1.113321510122</v>
      </c>
      <c r="AE6462">
        <v>-49.345261000000001</v>
      </c>
      <c r="AF6462">
        <v>-2.3522370820940699</v>
      </c>
      <c r="AG6462">
        <v>-1.113321510122</v>
      </c>
      <c r="AH6462">
        <v>49.311133076531299</v>
      </c>
      <c r="AI6462">
        <v>91.291906518219406</v>
      </c>
      <c r="AJ6462">
        <v>92.731050043403698</v>
      </c>
      <c r="AK6462">
        <v>49.379756473343001</v>
      </c>
      <c r="AL6462">
        <v>80.693551013592597</v>
      </c>
      <c r="AM6462">
        <v>84.815582946501195</v>
      </c>
      <c r="AN6462">
        <v>1.00000002067162</v>
      </c>
    </row>
    <row r="6463" spans="1:40" x14ac:dyDescent="0.25">
      <c r="A6463" t="str">
        <f>"20190303170418463"</f>
        <v>20190303170418463</v>
      </c>
      <c r="B6463" t="str">
        <f>"1551603858451883"</f>
        <v>1551603858451883</v>
      </c>
      <c r="C6463" t="s">
        <v>40</v>
      </c>
      <c r="D6463">
        <v>5.2337199999999999</v>
      </c>
      <c r="E6463">
        <v>0.45613110000000001</v>
      </c>
      <c r="F6463" t="s">
        <v>75</v>
      </c>
      <c r="G6463">
        <v>-302.02820000000003</v>
      </c>
      <c r="H6463" s="1">
        <v>-3.863219E-6</v>
      </c>
      <c r="I6463">
        <v>-46.495429999999999</v>
      </c>
      <c r="J6463">
        <v>-303.3802</v>
      </c>
      <c r="K6463">
        <v>1.115003</v>
      </c>
      <c r="L6463">
        <v>-5.517639</v>
      </c>
      <c r="M6463">
        <v>-1.3864560000000001E-3</v>
      </c>
      <c r="N6463">
        <v>-9.4212180000000003E-3</v>
      </c>
      <c r="O6463">
        <v>-0.99995480000000003</v>
      </c>
      <c r="P6463">
        <v>-8.113012E-2</v>
      </c>
      <c r="Q6463">
        <v>0.15148249999999999</v>
      </c>
      <c r="R6463">
        <v>-0.98512489999999997</v>
      </c>
      <c r="S6463">
        <v>0.100769</v>
      </c>
      <c r="T6463">
        <v>-8.2898620000000006E-2</v>
      </c>
      <c r="U6463">
        <v>-3.0717469999999998</v>
      </c>
      <c r="V6463">
        <v>7.9114000000000004E-2</v>
      </c>
      <c r="W6463">
        <v>0.1610791</v>
      </c>
      <c r="X6463">
        <v>0.98376549999999996</v>
      </c>
      <c r="Y6463">
        <v>-3.4162339999999999E-2</v>
      </c>
      <c r="Z6463">
        <v>1.754327E-2</v>
      </c>
      <c r="AA6463">
        <v>0.99926230000000005</v>
      </c>
      <c r="AB6463">
        <v>28</v>
      </c>
      <c r="AC6463">
        <v>1.3519999999999699</v>
      </c>
      <c r="AD6463">
        <v>-1.115006863219</v>
      </c>
      <c r="AE6463">
        <v>-40.977791000000003</v>
      </c>
      <c r="AF6463">
        <v>-1.4077739558637199</v>
      </c>
      <c r="AG6463">
        <v>-1.115006863219</v>
      </c>
      <c r="AH6463">
        <v>40.945594474013198</v>
      </c>
      <c r="AI6463">
        <v>91.5589395183421</v>
      </c>
      <c r="AJ6463">
        <v>91.969143381684404</v>
      </c>
      <c r="AK6463">
        <v>40.984957907092799</v>
      </c>
      <c r="AL6463">
        <v>80.730463699715102</v>
      </c>
      <c r="AM6463">
        <v>85.402192735565706</v>
      </c>
      <c r="AN6463">
        <v>1.00000003022152</v>
      </c>
    </row>
    <row r="6464" spans="1:40" x14ac:dyDescent="0.25">
      <c r="A6464" t="str">
        <f>"20190303170418487"</f>
        <v>20190303170418487</v>
      </c>
      <c r="B6464" t="str">
        <f>"1551603858472378"</f>
        <v>1551603858472378</v>
      </c>
      <c r="C6464" t="s">
        <v>40</v>
      </c>
      <c r="D6464">
        <v>5.107742</v>
      </c>
      <c r="E6464">
        <v>0.45704990000000001</v>
      </c>
      <c r="F6464" t="s">
        <v>75</v>
      </c>
      <c r="G6464">
        <v>-301.61939999999998</v>
      </c>
      <c r="H6464" s="1">
        <v>-4.0920680000000001E-6</v>
      </c>
      <c r="I6464">
        <v>-46.991129999999998</v>
      </c>
      <c r="J6464">
        <v>-303.3777</v>
      </c>
      <c r="K6464">
        <v>1.116482</v>
      </c>
      <c r="L6464">
        <v>-5.8051450000000004</v>
      </c>
      <c r="M6464">
        <v>1.4652000000000001E-3</v>
      </c>
      <c r="N6464">
        <v>-9.8643340000000006E-3</v>
      </c>
      <c r="O6464">
        <v>-0.99995040000000002</v>
      </c>
      <c r="P6464">
        <v>-7.0169380000000003E-2</v>
      </c>
      <c r="Q6464">
        <v>0.15369289999999999</v>
      </c>
      <c r="R6464">
        <v>-0.98562430000000001</v>
      </c>
      <c r="S6464">
        <v>0.13027949999999999</v>
      </c>
      <c r="T6464">
        <v>-8.2502130000000007E-2</v>
      </c>
      <c r="U6464">
        <v>-3.0687259999999998</v>
      </c>
      <c r="V6464">
        <v>7.0889060000000004E-2</v>
      </c>
      <c r="W6464">
        <v>0.16372249999999999</v>
      </c>
      <c r="X6464">
        <v>0.98395619999999995</v>
      </c>
      <c r="Y6464">
        <v>-4.0938219999999997E-2</v>
      </c>
      <c r="Z6464">
        <v>1.6989939999999999E-2</v>
      </c>
      <c r="AA6464">
        <v>0.99901719999999905</v>
      </c>
      <c r="AB6464">
        <v>28</v>
      </c>
      <c r="AC6464">
        <v>1.75830000000001</v>
      </c>
      <c r="AD6464">
        <v>-1.116486092068</v>
      </c>
      <c r="AE6464">
        <v>-41.185984999999903</v>
      </c>
      <c r="AF6464">
        <v>-1.6967048975683201</v>
      </c>
      <c r="AG6464">
        <v>-1.116486092068</v>
      </c>
      <c r="AH6464">
        <v>41.158326373320001</v>
      </c>
      <c r="AI6464">
        <v>91.552541521745496</v>
      </c>
      <c r="AJ6464">
        <v>92.360616323433007</v>
      </c>
      <c r="AK6464">
        <v>41.208411502458397</v>
      </c>
      <c r="AL6464">
        <v>80.576970628633305</v>
      </c>
      <c r="AM6464">
        <v>85.879249023558998</v>
      </c>
      <c r="AN6464">
        <v>1.00000005967618</v>
      </c>
    </row>
    <row r="6465" spans="1:40" x14ac:dyDescent="0.25">
      <c r="A6465" t="str">
        <f>"20190303170418508"</f>
        <v>20190303170418508</v>
      </c>
      <c r="B6465" t="str">
        <f>"1551603858501658"</f>
        <v>1551603858501658</v>
      </c>
      <c r="C6465" t="s">
        <v>40</v>
      </c>
      <c r="D6465">
        <v>5.1438639999999998</v>
      </c>
      <c r="E6465">
        <v>0.45786510000000002</v>
      </c>
      <c r="F6465" t="s">
        <v>75</v>
      </c>
      <c r="G6465">
        <v>-301.24220000000003</v>
      </c>
      <c r="H6465" s="1">
        <v>-4.3568310000000002E-6</v>
      </c>
      <c r="I6465">
        <v>-47.553730000000002</v>
      </c>
      <c r="J6465">
        <v>-303.37450000000001</v>
      </c>
      <c r="K6465">
        <v>1.1176759999999999</v>
      </c>
      <c r="L6465">
        <v>-6.0846559999999998</v>
      </c>
      <c r="M6465">
        <v>4.2453680000000002E-3</v>
      </c>
      <c r="N6465">
        <v>-1.0256690000000001E-2</v>
      </c>
      <c r="O6465">
        <v>-0.99993840000000001</v>
      </c>
      <c r="P6465">
        <v>-6.5128130000000006E-2</v>
      </c>
      <c r="Q6465">
        <v>0.15648670000000001</v>
      </c>
      <c r="R6465">
        <v>-0.98553009999999996</v>
      </c>
      <c r="S6465">
        <v>0.15692139999999999</v>
      </c>
      <c r="T6465">
        <v>-8.2040310000000005E-2</v>
      </c>
      <c r="U6465">
        <v>-3.0677189999999999</v>
      </c>
      <c r="V6465">
        <v>6.8540069999999995E-2</v>
      </c>
      <c r="W6465">
        <v>0.16690289999999999</v>
      </c>
      <c r="X6465">
        <v>0.98358820000000002</v>
      </c>
      <c r="Y6465">
        <v>-4.6829389999999999E-2</v>
      </c>
      <c r="Z6465">
        <v>1.6447759999999999E-2</v>
      </c>
      <c r="AA6465">
        <v>0.99876750000000003</v>
      </c>
      <c r="AB6465">
        <v>28</v>
      </c>
      <c r="AC6465">
        <v>2.1322999999999799</v>
      </c>
      <c r="AD6465">
        <v>-1.1176803568310001</v>
      </c>
      <c r="AE6465">
        <v>-41.469073999999999</v>
      </c>
      <c r="AF6465">
        <v>-1.95480378403321</v>
      </c>
      <c r="AG6465">
        <v>-1.1176803568310001</v>
      </c>
      <c r="AH6465">
        <v>41.4477241553558</v>
      </c>
      <c r="AI6465">
        <v>91.542950818470999</v>
      </c>
      <c r="AJ6465">
        <v>92.700246522548198</v>
      </c>
      <c r="AK6465">
        <v>41.508846103843702</v>
      </c>
      <c r="AL6465">
        <v>80.392204646220407</v>
      </c>
      <c r="AM6465">
        <v>86.013861456289902</v>
      </c>
      <c r="AN6465">
        <v>1.0000000332016199</v>
      </c>
    </row>
    <row r="6466" spans="1:40" x14ac:dyDescent="0.25">
      <c r="A6466" t="str">
        <f>"20190303170418530"</f>
        <v>20190303170418530</v>
      </c>
      <c r="B6466" t="str">
        <f>"1551603858522155"</f>
        <v>1551603858522155</v>
      </c>
      <c r="C6466" t="s">
        <v>40</v>
      </c>
      <c r="D6466">
        <v>5.1464610000000004</v>
      </c>
      <c r="E6466">
        <v>0.46512330000000002</v>
      </c>
      <c r="F6466" t="s">
        <v>75</v>
      </c>
      <c r="G6466">
        <v>-301.12150000000003</v>
      </c>
      <c r="H6466" s="1">
        <v>-4.4893539999999997E-6</v>
      </c>
      <c r="I6466">
        <v>-47.827559999999998</v>
      </c>
      <c r="J6466">
        <v>-303.37049999999999</v>
      </c>
      <c r="K6466">
        <v>1.1186210000000001</v>
      </c>
      <c r="L6466">
        <v>-6.357666</v>
      </c>
      <c r="M6466">
        <v>6.9088129999999998E-3</v>
      </c>
      <c r="N6466">
        <v>-1.060467E-2</v>
      </c>
      <c r="O6466">
        <v>-0.99992000000000003</v>
      </c>
      <c r="P6466">
        <v>-5.9612409999999998E-2</v>
      </c>
      <c r="Q6466">
        <v>0.1557704</v>
      </c>
      <c r="R6466">
        <v>-0.98599329999999996</v>
      </c>
      <c r="S6466">
        <v>0.1655884</v>
      </c>
      <c r="T6466">
        <v>-8.2147360000000003E-2</v>
      </c>
      <c r="U6466">
        <v>-3.0680239999999999</v>
      </c>
      <c r="V6466">
        <v>6.5641759999999993E-2</v>
      </c>
      <c r="W6466">
        <v>0.16652349999999999</v>
      </c>
      <c r="X6466">
        <v>0.98385009999999995</v>
      </c>
      <c r="Y6466">
        <v>-4.6977140000000001E-2</v>
      </c>
      <c r="Z6466">
        <v>1.6130169999999999E-2</v>
      </c>
      <c r="AA6466">
        <v>0.99876569999999998</v>
      </c>
      <c r="AB6466">
        <v>28</v>
      </c>
      <c r="AC6466">
        <v>2.2489999999999601</v>
      </c>
      <c r="AD6466">
        <v>-1.118625489354</v>
      </c>
      <c r="AE6466">
        <v>-41.469893999999996</v>
      </c>
      <c r="AF6466">
        <v>-1.9609998180013699</v>
      </c>
      <c r="AG6466">
        <v>-1.118625489354</v>
      </c>
      <c r="AH6466">
        <v>41.454368454101299</v>
      </c>
      <c r="AI6466">
        <v>91.543997222298501</v>
      </c>
      <c r="AJ6466">
        <v>92.708359099348499</v>
      </c>
      <c r="AK6466">
        <v>41.515798284508797</v>
      </c>
      <c r="AL6466">
        <v>80.4142505653397</v>
      </c>
      <c r="AM6466">
        <v>86.182924590010401</v>
      </c>
      <c r="AN6466">
        <v>0.99999996798907798</v>
      </c>
    </row>
    <row r="6467" spans="1:40" x14ac:dyDescent="0.25">
      <c r="A6467" t="str">
        <f>"20190303170418552"</f>
        <v>20190303170418552</v>
      </c>
      <c r="B6467" t="str">
        <f>"1551603858542180"</f>
        <v>1551603858542180</v>
      </c>
      <c r="C6467" t="s">
        <v>40</v>
      </c>
      <c r="D6467">
        <v>5.1618269999999997</v>
      </c>
      <c r="E6467">
        <v>0.46612619999999999</v>
      </c>
      <c r="F6467" t="s">
        <v>42</v>
      </c>
      <c r="G6467">
        <v>-302.1694</v>
      </c>
      <c r="H6467" s="1">
        <v>-2.4442210000000002E-6</v>
      </c>
      <c r="I6467">
        <v>-36.058869999999999</v>
      </c>
      <c r="J6467">
        <v>-303.3657</v>
      </c>
      <c r="K6467">
        <v>1.1194059999999999</v>
      </c>
      <c r="L6467">
        <v>-6.6404110000000003</v>
      </c>
      <c r="M6467">
        <v>9.5739239999999993E-3</v>
      </c>
      <c r="N6467">
        <v>-1.093065E-2</v>
      </c>
      <c r="O6467">
        <v>-0.99989459999999997</v>
      </c>
      <c r="P6467">
        <v>-5.2284280000000002E-2</v>
      </c>
      <c r="Q6467">
        <v>0.15477379999999999</v>
      </c>
      <c r="R6467">
        <v>-0.9865659</v>
      </c>
      <c r="S6467">
        <v>0.1240845</v>
      </c>
      <c r="T6467">
        <v>-0.1155634</v>
      </c>
      <c r="U6467">
        <v>-3.06839</v>
      </c>
      <c r="V6467">
        <v>6.095312E-2</v>
      </c>
      <c r="W6467">
        <v>0.16582949999999999</v>
      </c>
      <c r="X6467">
        <v>0.9842689</v>
      </c>
      <c r="Y6467">
        <v>-3.0815479999999999E-2</v>
      </c>
      <c r="Z6467">
        <v>2.668595E-2</v>
      </c>
      <c r="AA6467">
        <v>0.99916879999999997</v>
      </c>
      <c r="AB6467">
        <v>28</v>
      </c>
      <c r="AC6467">
        <v>1.1962999999999999</v>
      </c>
      <c r="AD6467">
        <v>-1.1194084442209999</v>
      </c>
      <c r="AE6467">
        <v>-29.418458999999999</v>
      </c>
      <c r="AF6467">
        <v>-0.91325817757008698</v>
      </c>
      <c r="AG6467">
        <v>-1.1194084442209999</v>
      </c>
      <c r="AH6467">
        <v>29.386086777981699</v>
      </c>
      <c r="AI6467">
        <v>92.180469894378703</v>
      </c>
      <c r="AJ6467">
        <v>91.780060178221504</v>
      </c>
      <c r="AK6467">
        <v>29.421577318134499</v>
      </c>
      <c r="AL6467">
        <v>80.454574681862994</v>
      </c>
      <c r="AM6467">
        <v>86.456352137836802</v>
      </c>
      <c r="AN6467">
        <v>0.99999998670759704</v>
      </c>
    </row>
    <row r="6468" spans="1:40" x14ac:dyDescent="0.25">
      <c r="A6468" t="str">
        <f>"20190303170418576"</f>
        <v>20190303170418576</v>
      </c>
      <c r="B6468" t="str">
        <f>"1551603858561701"</f>
        <v>1551603858561701</v>
      </c>
      <c r="C6468" t="s">
        <v>40</v>
      </c>
      <c r="D6468">
        <v>5.1400360000000003</v>
      </c>
      <c r="E6468">
        <v>0.46744429999999998</v>
      </c>
      <c r="F6468" t="s">
        <v>42</v>
      </c>
      <c r="G6468">
        <v>-301.9384</v>
      </c>
      <c r="H6468" s="1">
        <v>-1.117142E-6</v>
      </c>
      <c r="I6468">
        <v>-39.009059999999998</v>
      </c>
      <c r="J6468">
        <v>-303.36009999999999</v>
      </c>
      <c r="K6468">
        <v>1.120058</v>
      </c>
      <c r="L6468">
        <v>-6.9255069999999996</v>
      </c>
      <c r="M6468">
        <v>1.2146509999999999E-2</v>
      </c>
      <c r="N6468">
        <v>-1.122518E-2</v>
      </c>
      <c r="O6468">
        <v>-0.99986330000000001</v>
      </c>
      <c r="P6468">
        <v>-4.3231520000000002E-2</v>
      </c>
      <c r="Q6468">
        <v>0.1567587</v>
      </c>
      <c r="R6468">
        <v>-0.98669059999999997</v>
      </c>
      <c r="S6468">
        <v>0.1351318</v>
      </c>
      <c r="T6468">
        <v>-0.10598440000000001</v>
      </c>
      <c r="U6468">
        <v>-3.0646360000000001</v>
      </c>
      <c r="V6468">
        <v>5.4445380000000002E-2</v>
      </c>
      <c r="W6468">
        <v>0.1680683</v>
      </c>
      <c r="X6468">
        <v>0.9842706</v>
      </c>
      <c r="Y6468">
        <v>-3.1892219999999999E-2</v>
      </c>
      <c r="Z6468">
        <v>2.331536E-2</v>
      </c>
      <c r="AA6468">
        <v>0.99921939999999998</v>
      </c>
      <c r="AB6468">
        <v>28</v>
      </c>
      <c r="AC6468">
        <v>1.42169999999998</v>
      </c>
      <c r="AD6468">
        <v>-1.120059117142</v>
      </c>
      <c r="AE6468">
        <v>-32.083552999999903</v>
      </c>
      <c r="AF6468">
        <v>-1.03061377949323</v>
      </c>
      <c r="AG6468">
        <v>-1.120059117142</v>
      </c>
      <c r="AH6468">
        <v>32.059459522675297</v>
      </c>
      <c r="AI6468">
        <v>91.999892579043902</v>
      </c>
      <c r="AJ6468">
        <v>91.8412503561688</v>
      </c>
      <c r="AK6468">
        <v>32.095570443200202</v>
      </c>
      <c r="AL6468">
        <v>80.324474460911702</v>
      </c>
      <c r="AM6468">
        <v>86.833884254914594</v>
      </c>
      <c r="AN6468">
        <v>0.99999993344629501</v>
      </c>
    </row>
    <row r="6469" spans="1:40" x14ac:dyDescent="0.25">
      <c r="A6469" t="str">
        <f>"20190303170418597"</f>
        <v>20190303170418597</v>
      </c>
      <c r="B6469" t="str">
        <f>"1551603858591956"</f>
        <v>1551603858591956</v>
      </c>
      <c r="C6469" t="s">
        <v>40</v>
      </c>
      <c r="D6469">
        <v>5.1480730000000001</v>
      </c>
      <c r="E6469">
        <v>0.46889439999999999</v>
      </c>
      <c r="F6469" t="s">
        <v>75</v>
      </c>
      <c r="G6469">
        <v>-301.59109999999998</v>
      </c>
      <c r="H6469" s="1">
        <v>-1.4458659999999999E-6</v>
      </c>
      <c r="I6469">
        <v>-42.303049999999999</v>
      </c>
      <c r="J6469">
        <v>-303.35399999999998</v>
      </c>
      <c r="K6469">
        <v>1.1205769999999999</v>
      </c>
      <c r="L6469">
        <v>-7.2004999999999999</v>
      </c>
      <c r="M6469">
        <v>1.4513119999999999E-2</v>
      </c>
      <c r="N6469">
        <v>-1.147836E-2</v>
      </c>
      <c r="O6469">
        <v>-0.99982879999999996</v>
      </c>
      <c r="P6469">
        <v>-3.6594710000000003E-2</v>
      </c>
      <c r="Q6469">
        <v>0.16103729999999999</v>
      </c>
      <c r="R6469">
        <v>-0.98626979999999997</v>
      </c>
      <c r="S6469">
        <v>0.1531372</v>
      </c>
      <c r="T6469">
        <v>-9.6962209999999993E-2</v>
      </c>
      <c r="U6469">
        <v>-3.062592</v>
      </c>
      <c r="V6469">
        <v>5.014151E-2</v>
      </c>
      <c r="W6469">
        <v>0.1725641</v>
      </c>
      <c r="X6469">
        <v>0.98372130000000002</v>
      </c>
      <c r="Y6469">
        <v>-3.5419989999999998E-2</v>
      </c>
      <c r="Z6469">
        <v>2.0139130000000002E-2</v>
      </c>
      <c r="AA6469">
        <v>0.99916959999999999</v>
      </c>
      <c r="AB6469">
        <v>28</v>
      </c>
      <c r="AC6469">
        <v>1.7629000000000501</v>
      </c>
      <c r="AD6469">
        <v>-1.120578445866</v>
      </c>
      <c r="AE6469">
        <v>-35.102550000000001</v>
      </c>
      <c r="AF6469">
        <v>-1.25196058929096</v>
      </c>
      <c r="AG6469">
        <v>-1.120578445866</v>
      </c>
      <c r="AH6469">
        <v>35.088771132680598</v>
      </c>
      <c r="AI6469">
        <v>91.827986926469606</v>
      </c>
      <c r="AJ6469">
        <v>92.043435530275005</v>
      </c>
      <c r="AK6469">
        <v>35.128976087727303</v>
      </c>
      <c r="AL6469">
        <v>80.063065843204299</v>
      </c>
      <c r="AM6469">
        <v>87.082087398222995</v>
      </c>
      <c r="AN6469">
        <v>1.0000000678537799</v>
      </c>
    </row>
    <row r="6470" spans="1:40" x14ac:dyDescent="0.25">
      <c r="A6470" t="str">
        <f>"20190303170418621"</f>
        <v>20190303170418621</v>
      </c>
      <c r="B6470" t="str">
        <f>"1551603858612452"</f>
        <v>1551603858612452</v>
      </c>
      <c r="C6470" t="s">
        <v>40</v>
      </c>
      <c r="D6470">
        <v>5.0046010000000001</v>
      </c>
      <c r="E6470">
        <v>0.46967730000000002</v>
      </c>
      <c r="F6470" t="s">
        <v>75</v>
      </c>
      <c r="G6470">
        <v>-301.12470000000002</v>
      </c>
      <c r="H6470" s="1">
        <v>-5.0555610000000003E-6</v>
      </c>
      <c r="I6470">
        <v>-48.938429999999997</v>
      </c>
      <c r="J6470">
        <v>-303.34730000000002</v>
      </c>
      <c r="K6470">
        <v>1.1210089999999999</v>
      </c>
      <c r="L6470">
        <v>-7.4830019999999999</v>
      </c>
      <c r="M6470">
        <v>1.6852579999999999E-2</v>
      </c>
      <c r="N6470">
        <v>-1.171151E-2</v>
      </c>
      <c r="O6470">
        <v>-0.99978959999999995</v>
      </c>
      <c r="P6470">
        <v>-3.2708149999999998E-2</v>
      </c>
      <c r="Q6470">
        <v>0.1608281</v>
      </c>
      <c r="R6470">
        <v>-0.98644069999999995</v>
      </c>
      <c r="S6470">
        <v>0.1635132</v>
      </c>
      <c r="T6470">
        <v>-8.2188609999999995E-2</v>
      </c>
      <c r="U6470">
        <v>-3.0612490000000001</v>
      </c>
      <c r="V6470">
        <v>4.859161E-2</v>
      </c>
      <c r="W6470">
        <v>0.17257059999999999</v>
      </c>
      <c r="X6470">
        <v>0.98379779999999994</v>
      </c>
      <c r="Y6470">
        <v>-3.648622E-2</v>
      </c>
      <c r="Z6470">
        <v>1.5100779999999999E-2</v>
      </c>
      <c r="AA6470">
        <v>0.99922010000000006</v>
      </c>
      <c r="AB6470">
        <v>28</v>
      </c>
      <c r="AC6470">
        <v>2.2225999999999999</v>
      </c>
      <c r="AD6470">
        <v>-1.121014055561</v>
      </c>
      <c r="AE6470">
        <v>-41.455427999999998</v>
      </c>
      <c r="AF6470">
        <v>-1.52249550843169</v>
      </c>
      <c r="AG6470">
        <v>-1.121014055561</v>
      </c>
      <c r="AH6470">
        <v>41.456771099983897</v>
      </c>
      <c r="AI6470">
        <v>91.547889195646604</v>
      </c>
      <c r="AJ6470">
        <v>92.103236189899306</v>
      </c>
      <c r="AK6470">
        <v>41.499861868714902</v>
      </c>
      <c r="AL6470">
        <v>80.062686403887199</v>
      </c>
      <c r="AM6470">
        <v>87.172352392100706</v>
      </c>
      <c r="AN6470">
        <v>0.999999933915793</v>
      </c>
    </row>
    <row r="6471" spans="1:40" x14ac:dyDescent="0.25">
      <c r="A6471" t="str">
        <f>"20190303170418665"</f>
        <v>20190303170418665</v>
      </c>
      <c r="B6471" t="str">
        <f>"1551603858651999"</f>
        <v>1551603858651999</v>
      </c>
      <c r="C6471" t="s">
        <v>40</v>
      </c>
      <c r="D6471">
        <v>5.4624540000000001</v>
      </c>
      <c r="E6471">
        <v>0.47019499999999997</v>
      </c>
      <c r="F6471" t="s">
        <v>75</v>
      </c>
      <c r="G6471">
        <v>-301.15159999999997</v>
      </c>
      <c r="H6471" s="1">
        <v>-4.1743430000000001E-6</v>
      </c>
      <c r="I6471">
        <v>-47.205889999999997</v>
      </c>
      <c r="J6471">
        <v>-303.33210000000003</v>
      </c>
      <c r="K6471">
        <v>1.1216219999999999</v>
      </c>
      <c r="L6471">
        <v>-8.0414119999999993</v>
      </c>
      <c r="M6471">
        <v>2.119422E-2</v>
      </c>
      <c r="N6471">
        <v>-1.2101550000000001E-2</v>
      </c>
      <c r="O6471">
        <v>-0.99970230000000004</v>
      </c>
      <c r="P6471">
        <v>-1.1811159999999999E-2</v>
      </c>
      <c r="Q6471">
        <v>0.1645469</v>
      </c>
      <c r="R6471">
        <v>-0.98629849999999997</v>
      </c>
      <c r="S6471">
        <v>0.16918949999999999</v>
      </c>
      <c r="T6471">
        <v>-8.6382390000000003E-2</v>
      </c>
      <c r="U6471">
        <v>-3.0609440000000001</v>
      </c>
      <c r="V6471">
        <v>3.201681E-2</v>
      </c>
      <c r="W6471">
        <v>0.176593</v>
      </c>
      <c r="X6471">
        <v>0.9837631</v>
      </c>
      <c r="Y6471">
        <v>-3.3998109999999998E-2</v>
      </c>
      <c r="Z6471">
        <v>1.6078740000000001E-2</v>
      </c>
      <c r="AA6471">
        <v>0.99929259999999998</v>
      </c>
      <c r="AB6471">
        <v>28</v>
      </c>
      <c r="AC6471">
        <v>2.1805000000000501</v>
      </c>
      <c r="AD6471">
        <v>-1.1216261743429901</v>
      </c>
      <c r="AE6471">
        <v>-39.164478000000003</v>
      </c>
      <c r="AF6471">
        <v>-1.3487860913009899</v>
      </c>
      <c r="AG6471">
        <v>-1.1216261743429901</v>
      </c>
      <c r="AH6471">
        <v>39.169869611142602</v>
      </c>
      <c r="AI6471">
        <v>91.639240971215997</v>
      </c>
      <c r="AJ6471">
        <v>91.972159441535894</v>
      </c>
      <c r="AK6471">
        <v>39.209131009867797</v>
      </c>
      <c r="AL6471">
        <v>79.828625796598502</v>
      </c>
      <c r="AM6471">
        <v>88.135952825737306</v>
      </c>
      <c r="AN6471">
        <v>1.0000000003465901</v>
      </c>
    </row>
    <row r="6472" spans="1:40" x14ac:dyDescent="0.25">
      <c r="A6472" t="str">
        <f>"20190303170418688"</f>
        <v>20190303170418688</v>
      </c>
      <c r="B6472" t="str">
        <f>"1551603858682255"</f>
        <v>1551603858682255</v>
      </c>
      <c r="C6472" t="s">
        <v>40</v>
      </c>
      <c r="D6472">
        <v>5.1978249999999999</v>
      </c>
      <c r="E6472">
        <v>0.42491810000000002</v>
      </c>
      <c r="F6472" t="s">
        <v>75</v>
      </c>
      <c r="G6472">
        <v>-299.96910000000003</v>
      </c>
      <c r="H6472" s="1">
        <v>-6.8817240000000004E-6</v>
      </c>
      <c r="I6472">
        <v>-53.223909999999997</v>
      </c>
      <c r="J6472">
        <v>-303.32369999999997</v>
      </c>
      <c r="K6472">
        <v>1.1218619999999999</v>
      </c>
      <c r="L6472">
        <v>-8.3222660000000008</v>
      </c>
      <c r="M6472">
        <v>2.3223199999999999E-2</v>
      </c>
      <c r="N6472">
        <v>-1.2265959999999999E-2</v>
      </c>
      <c r="O6472">
        <v>-0.99965539999999997</v>
      </c>
      <c r="P6472">
        <v>1.8172850000000001E-3</v>
      </c>
      <c r="Q6472">
        <v>0.17484089999999999</v>
      </c>
      <c r="R6472">
        <v>-0.98459529999999995</v>
      </c>
      <c r="S6472">
        <v>0.22753909999999999</v>
      </c>
      <c r="T6472">
        <v>-7.5889949999999998E-2</v>
      </c>
      <c r="U6472">
        <v>-3.0570680000000001</v>
      </c>
      <c r="V6472">
        <v>2.034766E-2</v>
      </c>
      <c r="W6472">
        <v>0.1869798</v>
      </c>
      <c r="X6472">
        <v>0.98215300000000005</v>
      </c>
      <c r="Y6472">
        <v>-5.1026910000000002E-2</v>
      </c>
      <c r="Z6472">
        <v>1.2502889999999999E-2</v>
      </c>
      <c r="AA6472">
        <v>0.99861900000000003</v>
      </c>
      <c r="AB6472">
        <v>28</v>
      </c>
      <c r="AC6472">
        <v>3.3545999999999401</v>
      </c>
      <c r="AD6472">
        <v>-1.1218688817239999</v>
      </c>
      <c r="AE6472">
        <v>-44.901643999999997</v>
      </c>
      <c r="AF6472">
        <v>-2.30942353481892</v>
      </c>
      <c r="AG6472">
        <v>-1.1218688817239999</v>
      </c>
      <c r="AH6472">
        <v>44.939544951332302</v>
      </c>
      <c r="AI6472">
        <v>91.428148614007597</v>
      </c>
      <c r="AJ6472">
        <v>92.941817170047003</v>
      </c>
      <c r="AK6472">
        <v>45.012828474600099</v>
      </c>
      <c r="AL6472">
        <v>79.223418946155704</v>
      </c>
      <c r="AM6472">
        <v>88.813150000483304</v>
      </c>
      <c r="AN6472">
        <v>0.99999999414225704</v>
      </c>
    </row>
    <row r="6473" spans="1:40" x14ac:dyDescent="0.25">
      <c r="A6473" t="str">
        <f>"20190303170418709"</f>
        <v>20190303170418709</v>
      </c>
      <c r="B6473" t="str">
        <f>"1551603858701775"</f>
        <v>1551603858701775</v>
      </c>
      <c r="C6473" t="s">
        <v>40</v>
      </c>
      <c r="D6473">
        <v>5.2340900000000001</v>
      </c>
      <c r="E6473">
        <v>0.41502410000000001</v>
      </c>
      <c r="F6473" t="s">
        <v>111</v>
      </c>
      <c r="G6473">
        <v>-288.13979999999998</v>
      </c>
      <c r="H6473">
        <v>1.37364</v>
      </c>
      <c r="I6473">
        <v>-81.564070000000001</v>
      </c>
      <c r="J6473">
        <v>-303.31529999999998</v>
      </c>
      <c r="K6473">
        <v>1.122031</v>
      </c>
      <c r="L6473">
        <v>-8.5919489999999996</v>
      </c>
      <c r="M6473">
        <v>2.5067200000000001E-2</v>
      </c>
      <c r="N6473">
        <v>-1.2406199999999999E-2</v>
      </c>
      <c r="O6473">
        <v>-0.99960879999999996</v>
      </c>
      <c r="P6473">
        <v>7.9217609999999994E-3</v>
      </c>
      <c r="Q6473">
        <v>0.179478</v>
      </c>
      <c r="R6473">
        <v>-0.9837302</v>
      </c>
      <c r="S6473">
        <v>0.63104249999999995</v>
      </c>
      <c r="T6473">
        <v>1.046443E-2</v>
      </c>
      <c r="U6473">
        <v>-3.0439150000000001</v>
      </c>
      <c r="V6473">
        <v>1.606053E-2</v>
      </c>
      <c r="W6473">
        <v>0.1917256</v>
      </c>
      <c r="X6473">
        <v>0.9813172</v>
      </c>
      <c r="Y6473">
        <v>-0.17835039999999999</v>
      </c>
      <c r="Z6473">
        <v>-1.574675E-2</v>
      </c>
      <c r="AA6473">
        <v>0.98384110000000002</v>
      </c>
      <c r="AB6473">
        <v>28</v>
      </c>
      <c r="AC6473">
        <v>15.1755</v>
      </c>
      <c r="AD6473">
        <v>0.25160900000000003</v>
      </c>
      <c r="AE6473">
        <v>-72.972121000000001</v>
      </c>
      <c r="AF6473">
        <v>-13.341231098679</v>
      </c>
      <c r="AG6473">
        <v>0.25160900000000003</v>
      </c>
      <c r="AH6473">
        <v>73.328788236590995</v>
      </c>
      <c r="AI6473">
        <v>89.806580067194204</v>
      </c>
      <c r="AJ6473">
        <v>100.311444849013</v>
      </c>
      <c r="AK6473">
        <v>74.532965448612401</v>
      </c>
      <c r="AL6473">
        <v>78.946495126515899</v>
      </c>
      <c r="AM6473">
        <v>89.062363893534993</v>
      </c>
      <c r="AN6473">
        <v>1.0000000466675301</v>
      </c>
    </row>
    <row r="6474" spans="1:40" x14ac:dyDescent="0.25">
      <c r="A6474" t="str">
        <f>"20190303170418732"</f>
        <v>20190303170418732</v>
      </c>
      <c r="B6474" t="str">
        <f>"1551603858722271"</f>
        <v>1551603858722271</v>
      </c>
      <c r="C6474" t="s">
        <v>40</v>
      </c>
      <c r="D6474">
        <v>5.256888</v>
      </c>
      <c r="E6474">
        <v>0.41052179999999999</v>
      </c>
      <c r="F6474" t="s">
        <v>111</v>
      </c>
      <c r="G6474">
        <v>-286.07740000000001</v>
      </c>
      <c r="H6474">
        <v>2.2308789999999998</v>
      </c>
      <c r="I6474">
        <v>-80.464519999999993</v>
      </c>
      <c r="J6474">
        <v>-303.3064</v>
      </c>
      <c r="K6474">
        <v>1.122133</v>
      </c>
      <c r="L6474">
        <v>-8.8659970000000001</v>
      </c>
      <c r="M6474">
        <v>2.6837030000000001E-2</v>
      </c>
      <c r="N6474">
        <v>-1.253288E-2</v>
      </c>
      <c r="O6474">
        <v>-0.99956149999999999</v>
      </c>
      <c r="P6474">
        <v>1.3808829999999999E-2</v>
      </c>
      <c r="Q6474">
        <v>0.17608099999999999</v>
      </c>
      <c r="R6474">
        <v>-0.98427940000000003</v>
      </c>
      <c r="S6474">
        <v>0.72796629999999996</v>
      </c>
      <c r="T6474">
        <v>4.6827790000000001E-2</v>
      </c>
      <c r="U6474">
        <v>-3.0352169999999998</v>
      </c>
      <c r="V6474">
        <v>1.198452E-2</v>
      </c>
      <c r="W6474">
        <v>0.18844440000000001</v>
      </c>
      <c r="X6474">
        <v>0.98201070000000001</v>
      </c>
      <c r="Y6474">
        <v>-0.20695749999999999</v>
      </c>
      <c r="Z6474">
        <v>-2.7528299999999999E-2</v>
      </c>
      <c r="AA6474">
        <v>0.97796260000000002</v>
      </c>
      <c r="AB6474">
        <v>28</v>
      </c>
      <c r="AC6474">
        <v>17.2289999999999</v>
      </c>
      <c r="AD6474">
        <v>1.108746</v>
      </c>
      <c r="AE6474">
        <v>-71.598523</v>
      </c>
      <c r="AF6474">
        <v>-15.297683709775001</v>
      </c>
      <c r="AG6474">
        <v>1.108746</v>
      </c>
      <c r="AH6474">
        <v>72.018817056639904</v>
      </c>
      <c r="AI6474">
        <v>89.137234007441805</v>
      </c>
      <c r="AJ6474">
        <v>101.99209234623</v>
      </c>
      <c r="AK6474">
        <v>73.633949064372501</v>
      </c>
      <c r="AL6474">
        <v>79.137984580078395</v>
      </c>
      <c r="AM6474">
        <v>89.300793435109696</v>
      </c>
      <c r="AN6474">
        <v>0.99999996776273903</v>
      </c>
    </row>
    <row r="6475" spans="1:40" x14ac:dyDescent="0.25">
      <c r="A6475" t="str">
        <f>"20190303170418754"</f>
        <v>20190303170418754</v>
      </c>
      <c r="B6475" t="str">
        <f>"1551603858742297"</f>
        <v>1551603858742297</v>
      </c>
      <c r="C6475" t="s">
        <v>40</v>
      </c>
      <c r="D6475">
        <v>5.2658620000000003</v>
      </c>
      <c r="E6475">
        <v>0.40837269999999998</v>
      </c>
      <c r="F6475" t="s">
        <v>78</v>
      </c>
      <c r="G6475">
        <v>-277.63290000000001</v>
      </c>
      <c r="H6475">
        <v>2.4967640000000002</v>
      </c>
      <c r="I6475">
        <v>-108.59699999999999</v>
      </c>
      <c r="J6475">
        <v>-303.29680000000002</v>
      </c>
      <c r="K6475">
        <v>1.122209</v>
      </c>
      <c r="L6475">
        <v>-9.1466670000000008</v>
      </c>
      <c r="M6475">
        <v>2.8545040000000001E-2</v>
      </c>
      <c r="N6475">
        <v>-1.264791E-2</v>
      </c>
      <c r="O6475">
        <v>-0.99951270000000003</v>
      </c>
      <c r="P6475">
        <v>2.3328000000000002E-2</v>
      </c>
      <c r="Q6475">
        <v>0.17481849999999999</v>
      </c>
      <c r="R6475">
        <v>-0.98432470000000005</v>
      </c>
      <c r="S6475">
        <v>0.77987669999999998</v>
      </c>
      <c r="T6475">
        <v>4.1757349999999999E-2</v>
      </c>
      <c r="U6475">
        <v>-3.0295100000000001</v>
      </c>
      <c r="V6475">
        <v>4.1969479999999998E-3</v>
      </c>
      <c r="W6475">
        <v>0.18727160000000001</v>
      </c>
      <c r="X6475">
        <v>0.98229920000000004</v>
      </c>
      <c r="Y6475">
        <v>-0.221468</v>
      </c>
      <c r="Z6475">
        <v>-2.5984509999999999E-2</v>
      </c>
      <c r="AA6475">
        <v>0.97482139999999995</v>
      </c>
      <c r="AB6475">
        <v>28</v>
      </c>
      <c r="AC6475">
        <v>25.663900000000002</v>
      </c>
      <c r="AD6475">
        <v>1.37455499999999</v>
      </c>
      <c r="AE6475">
        <v>-99.450333000000001</v>
      </c>
      <c r="AF6475">
        <v>-22.8103147731894</v>
      </c>
      <c r="AG6475">
        <v>1.37455499999999</v>
      </c>
      <c r="AH6475">
        <v>100.124503739324</v>
      </c>
      <c r="AI6475">
        <v>89.233113914070501</v>
      </c>
      <c r="AJ6475">
        <v>102.834051834745</v>
      </c>
      <c r="AK6475">
        <v>102.69915340715301</v>
      </c>
      <c r="AL6475">
        <v>79.206399385240303</v>
      </c>
      <c r="AM6475">
        <v>89.755200916365098</v>
      </c>
      <c r="AN6475">
        <v>0.99999999242985704</v>
      </c>
    </row>
    <row r="6476" spans="1:40" x14ac:dyDescent="0.25">
      <c r="A6476" t="str">
        <f>"20190303170418777"</f>
        <v>20190303170418777</v>
      </c>
      <c r="B6476" t="str">
        <f>"1551603858772554"</f>
        <v>1551603858772554</v>
      </c>
      <c r="C6476" t="s">
        <v>40</v>
      </c>
      <c r="D6476">
        <v>5.2950869999999997</v>
      </c>
      <c r="E6476">
        <v>0.40758680000000003</v>
      </c>
      <c r="F6476" t="s">
        <v>78</v>
      </c>
      <c r="G6476">
        <v>-277.17500000000001</v>
      </c>
      <c r="H6476">
        <v>2.2814809999999999</v>
      </c>
      <c r="I6476">
        <v>-104.9644</v>
      </c>
      <c r="J6476">
        <v>-303.28680000000003</v>
      </c>
      <c r="K6476">
        <v>1.122288</v>
      </c>
      <c r="L6476">
        <v>-9.4278259999999996</v>
      </c>
      <c r="M6476">
        <v>3.014621E-2</v>
      </c>
      <c r="N6476">
        <v>-1.274863E-2</v>
      </c>
      <c r="O6476">
        <v>-0.99946420000000002</v>
      </c>
      <c r="P6476">
        <v>3.778252E-2</v>
      </c>
      <c r="Q6476">
        <v>0.18413650000000001</v>
      </c>
      <c r="R6476">
        <v>-0.98217449999999995</v>
      </c>
      <c r="S6476">
        <v>0.82379150000000001</v>
      </c>
      <c r="T6476">
        <v>3.6559700000000001E-2</v>
      </c>
      <c r="U6476">
        <v>-3.0217589999999999</v>
      </c>
      <c r="V6476">
        <v>-8.7289380000000003E-3</v>
      </c>
      <c r="W6476">
        <v>0.1966272</v>
      </c>
      <c r="X6476">
        <v>0.98043950000000002</v>
      </c>
      <c r="Y6476">
        <v>-0.23373430000000001</v>
      </c>
      <c r="Z6476">
        <v>-2.4403890000000001E-2</v>
      </c>
      <c r="AA6476">
        <v>0.97199420000000003</v>
      </c>
      <c r="AB6476">
        <v>28</v>
      </c>
      <c r="AC6476">
        <v>26.111799999999999</v>
      </c>
      <c r="AD6476">
        <v>1.1591929999999999</v>
      </c>
      <c r="AE6476">
        <v>-95.536574000000002</v>
      </c>
      <c r="AF6476">
        <v>-23.2164501809483</v>
      </c>
      <c r="AG6476">
        <v>1.1591929999999999</v>
      </c>
      <c r="AH6476">
        <v>96.267193826326505</v>
      </c>
      <c r="AI6476">
        <v>89.329337115168997</v>
      </c>
      <c r="AJ6476">
        <v>103.558927737075</v>
      </c>
      <c r="AK6476">
        <v>99.033933046260501</v>
      </c>
      <c r="AL6476">
        <v>78.660204577031294</v>
      </c>
      <c r="AM6476">
        <v>90.510095822704599</v>
      </c>
      <c r="AN6476">
        <v>1.00000003164934</v>
      </c>
    </row>
    <row r="6477" spans="1:40" x14ac:dyDescent="0.25">
      <c r="A6477" t="str">
        <f>"20190303170418799"</f>
        <v>20190303170418799</v>
      </c>
      <c r="B6477" t="str">
        <f>"1551603858792072"</f>
        <v>1551603858792072</v>
      </c>
      <c r="C6477" t="s">
        <v>40</v>
      </c>
      <c r="D6477">
        <v>5.307169</v>
      </c>
      <c r="E6477">
        <v>0.40763490000000002</v>
      </c>
      <c r="F6477" t="s">
        <v>78</v>
      </c>
      <c r="G6477">
        <v>-277.17500000000001</v>
      </c>
      <c r="H6477">
        <v>3.12941</v>
      </c>
      <c r="I6477">
        <v>-98.929150000000007</v>
      </c>
      <c r="J6477">
        <v>-303.27679999999998</v>
      </c>
      <c r="K6477">
        <v>1.1223540000000001</v>
      </c>
      <c r="L6477">
        <v>-9.7026669999999999</v>
      </c>
      <c r="M6477">
        <v>3.161477E-2</v>
      </c>
      <c r="N6477">
        <v>-1.2835559999999999E-2</v>
      </c>
      <c r="O6477">
        <v>-0.99941769999999996</v>
      </c>
      <c r="P6477">
        <v>4.826743E-2</v>
      </c>
      <c r="Q6477">
        <v>0.19121089999999999</v>
      </c>
      <c r="R6477">
        <v>-0.98036160000000006</v>
      </c>
      <c r="S6477">
        <v>0.87759399999999999</v>
      </c>
      <c r="T6477">
        <v>6.7458030000000002E-2</v>
      </c>
      <c r="U6477">
        <v>-3.008057</v>
      </c>
      <c r="V6477">
        <v>-1.780814E-2</v>
      </c>
      <c r="W6477">
        <v>0.20374339999999999</v>
      </c>
      <c r="X6477">
        <v>0.97886229999999996</v>
      </c>
      <c r="Y6477">
        <v>-0.24942790000000001</v>
      </c>
      <c r="Z6477">
        <v>-3.4371760000000001E-2</v>
      </c>
      <c r="AA6477">
        <v>0.96778319999999995</v>
      </c>
      <c r="AB6477">
        <v>28</v>
      </c>
      <c r="AC6477">
        <v>26.101799999999901</v>
      </c>
      <c r="AD6477">
        <v>2.007056</v>
      </c>
      <c r="AE6477">
        <v>-89.226483000000002</v>
      </c>
      <c r="AF6477">
        <v>-23.256803339607199</v>
      </c>
      <c r="AG6477">
        <v>2.007056</v>
      </c>
      <c r="AH6477">
        <v>89.965212231010398</v>
      </c>
      <c r="AI6477">
        <v>88.762648676134901</v>
      </c>
      <c r="AJ6477">
        <v>104.494160259373</v>
      </c>
      <c r="AK6477">
        <v>92.944319821789193</v>
      </c>
      <c r="AL6477">
        <v>78.244050667979096</v>
      </c>
      <c r="AM6477">
        <v>91.042249474323796</v>
      </c>
      <c r="AN6477">
        <v>0.99999995262755303</v>
      </c>
    </row>
    <row r="6478" spans="1:40" x14ac:dyDescent="0.25">
      <c r="A6478" t="str">
        <f>"20190303170418824"</f>
        <v>20190303170418824</v>
      </c>
      <c r="B6478" t="str">
        <f>"1551603858812568"</f>
        <v>1551603858812568</v>
      </c>
      <c r="C6478" t="s">
        <v>40</v>
      </c>
      <c r="D6478">
        <v>5.3370100000000003</v>
      </c>
      <c r="E6478">
        <v>0.40826069999999998</v>
      </c>
      <c r="F6478" t="s">
        <v>78</v>
      </c>
      <c r="G6478">
        <v>-277.17500000000001</v>
      </c>
      <c r="H6478">
        <v>3.719776</v>
      </c>
      <c r="I6478">
        <v>-95.452359999999999</v>
      </c>
      <c r="J6478">
        <v>-303.26549999999997</v>
      </c>
      <c r="K6478">
        <v>1.1223890000000001</v>
      </c>
      <c r="L6478">
        <v>-10.00159</v>
      </c>
      <c r="M6478">
        <v>3.3129810000000003E-2</v>
      </c>
      <c r="N6478">
        <v>-1.291867E-2</v>
      </c>
      <c r="O6478">
        <v>-0.99936749999999996</v>
      </c>
      <c r="P6478">
        <v>5.5075180000000001E-2</v>
      </c>
      <c r="Q6478">
        <v>0.1912711</v>
      </c>
      <c r="R6478">
        <v>-0.97999080000000005</v>
      </c>
      <c r="S6478">
        <v>0.91241459999999996</v>
      </c>
      <c r="T6478">
        <v>9.0796230000000006E-2</v>
      </c>
      <c r="U6478">
        <v>-2.9974669999999999</v>
      </c>
      <c r="V6478">
        <v>-2.3105859999999999E-2</v>
      </c>
      <c r="W6478">
        <v>0.2038722</v>
      </c>
      <c r="X6478">
        <v>0.97872479999999995</v>
      </c>
      <c r="Y6478">
        <v>-0.25911689999999998</v>
      </c>
      <c r="Z6478">
        <v>-4.1924009999999998E-2</v>
      </c>
      <c r="AA6478">
        <v>0.96493569999999995</v>
      </c>
      <c r="AB6478">
        <v>28</v>
      </c>
      <c r="AC6478">
        <v>26.090499999999899</v>
      </c>
      <c r="AD6478">
        <v>2.5973869999999999</v>
      </c>
      <c r="AE6478">
        <v>-85.450769999999906</v>
      </c>
      <c r="AF6478">
        <v>-23.2253423955353</v>
      </c>
      <c r="AG6478">
        <v>2.5973869999999999</v>
      </c>
      <c r="AH6478">
        <v>86.195452327089797</v>
      </c>
      <c r="AI6478">
        <v>88.333394173610998</v>
      </c>
      <c r="AJ6478">
        <v>105.080185783446</v>
      </c>
      <c r="AK6478">
        <v>89.307440622208105</v>
      </c>
      <c r="AL6478">
        <v>78.236513256012302</v>
      </c>
      <c r="AM6478">
        <v>91.352394863561898</v>
      </c>
      <c r="AN6478">
        <v>0.99999999441710896</v>
      </c>
    </row>
    <row r="6479" spans="1:40" x14ac:dyDescent="0.25">
      <c r="A6479" t="str">
        <f>"20190303170418845"</f>
        <v>20190303170418845</v>
      </c>
      <c r="B6479" t="str">
        <f>"1551603858832089"</f>
        <v>1551603858832089</v>
      </c>
      <c r="C6479" t="s">
        <v>40</v>
      </c>
      <c r="D6479">
        <v>5.3345229999999999</v>
      </c>
      <c r="E6479">
        <v>0.40919169999999999</v>
      </c>
      <c r="F6479" t="s">
        <v>78</v>
      </c>
      <c r="G6479">
        <v>-277.63290000000001</v>
      </c>
      <c r="H6479">
        <v>3.5188600000000001</v>
      </c>
      <c r="I6479">
        <v>-92.567490000000006</v>
      </c>
      <c r="J6479">
        <v>-303.25510000000003</v>
      </c>
      <c r="K6479">
        <v>1.122393</v>
      </c>
      <c r="L6479">
        <v>-10.267300000000001</v>
      </c>
      <c r="M6479">
        <v>3.440754E-2</v>
      </c>
      <c r="N6479">
        <v>-1.2983710000000001E-2</v>
      </c>
      <c r="O6479">
        <v>-0.99932350000000003</v>
      </c>
      <c r="P6479">
        <v>6.1815429999999998E-2</v>
      </c>
      <c r="Q6479">
        <v>0.18596070000000001</v>
      </c>
      <c r="R6479">
        <v>-0.98061069999999995</v>
      </c>
      <c r="S6479">
        <v>0.928894</v>
      </c>
      <c r="T6479">
        <v>8.6845870000000006E-2</v>
      </c>
      <c r="U6479">
        <v>-2.9920960000000001</v>
      </c>
      <c r="V6479">
        <v>-2.8527139999999999E-2</v>
      </c>
      <c r="W6479">
        <v>0.19862740000000001</v>
      </c>
      <c r="X6479">
        <v>0.97965979999999997</v>
      </c>
      <c r="Y6479">
        <v>-0.26323000000000002</v>
      </c>
      <c r="Z6479">
        <v>-4.0729590000000003E-2</v>
      </c>
      <c r="AA6479">
        <v>0.96387299999999998</v>
      </c>
      <c r="AB6479">
        <v>28</v>
      </c>
      <c r="AC6479">
        <v>25.622199999999999</v>
      </c>
      <c r="AD6479">
        <v>2.3964669999999901</v>
      </c>
      <c r="AE6479">
        <v>-82.300190000000001</v>
      </c>
      <c r="AF6479">
        <v>-22.757449333325301</v>
      </c>
      <c r="AG6479">
        <v>2.3964669999999901</v>
      </c>
      <c r="AH6479">
        <v>83.068911769263195</v>
      </c>
      <c r="AI6479">
        <v>88.4062194612859</v>
      </c>
      <c r="AJ6479">
        <v>105.320768000678</v>
      </c>
      <c r="AK6479">
        <v>86.163151386022193</v>
      </c>
      <c r="AL6479">
        <v>78.543295207154202</v>
      </c>
      <c r="AM6479">
        <v>91.667949400393397</v>
      </c>
      <c r="AN6479">
        <v>0.999999982741689</v>
      </c>
    </row>
    <row r="6480" spans="1:40" x14ac:dyDescent="0.25">
      <c r="A6480" t="str">
        <f>"20190303170418866"</f>
        <v>20190303170418866</v>
      </c>
      <c r="B6480" t="str">
        <f>"1551603858861875"</f>
        <v>1551603858861875</v>
      </c>
      <c r="C6480" t="s">
        <v>40</v>
      </c>
      <c r="D6480">
        <v>5.3462019999999999</v>
      </c>
      <c r="E6480">
        <v>0.41030820000000001</v>
      </c>
      <c r="F6480" t="s">
        <v>78</v>
      </c>
      <c r="G6480">
        <v>-277.63290000000001</v>
      </c>
      <c r="H6480">
        <v>2.7630409999999999</v>
      </c>
      <c r="I6480">
        <v>-91.730590000000007</v>
      </c>
      <c r="J6480">
        <v>-303.24439999999998</v>
      </c>
      <c r="K6480">
        <v>1.1223879999999999</v>
      </c>
      <c r="L6480">
        <v>-10.53448</v>
      </c>
      <c r="M6480">
        <v>3.5618440000000001E-2</v>
      </c>
      <c r="N6480">
        <v>-1.304136E-2</v>
      </c>
      <c r="O6480">
        <v>-0.99928039999999996</v>
      </c>
      <c r="P6480">
        <v>6.9510909999999995E-2</v>
      </c>
      <c r="Q6480">
        <v>0.18383269999999999</v>
      </c>
      <c r="R6480">
        <v>-0.98049679999999995</v>
      </c>
      <c r="S6480">
        <v>0.94000240000000002</v>
      </c>
      <c r="T6480">
        <v>6.0191040000000001E-2</v>
      </c>
      <c r="U6480">
        <v>-2.9886469999999998</v>
      </c>
      <c r="V6480">
        <v>-3.4999620000000002E-2</v>
      </c>
      <c r="W6480">
        <v>0.19654730000000001</v>
      </c>
      <c r="X6480">
        <v>0.97986949999999995</v>
      </c>
      <c r="Y6480">
        <v>-0.26571729999999999</v>
      </c>
      <c r="Z6480">
        <v>-3.2255069999999997E-2</v>
      </c>
      <c r="AA6480">
        <v>0.96351120000000001</v>
      </c>
      <c r="AB6480">
        <v>28</v>
      </c>
      <c r="AC6480">
        <v>25.6114999999999</v>
      </c>
      <c r="AD6480">
        <v>1.6406529999999999</v>
      </c>
      <c r="AE6480">
        <v>-81.196110000000004</v>
      </c>
      <c r="AF6480">
        <v>-22.694493785630399</v>
      </c>
      <c r="AG6480">
        <v>1.6406529999999999</v>
      </c>
      <c r="AH6480">
        <v>82.026438882969103</v>
      </c>
      <c r="AI6480">
        <v>88.895628870512297</v>
      </c>
      <c r="AJ6480">
        <v>105.465324854009</v>
      </c>
      <c r="AK6480">
        <v>85.123841937931203</v>
      </c>
      <c r="AL6480">
        <v>78.664873552434003</v>
      </c>
      <c r="AM6480">
        <v>92.045658475627107</v>
      </c>
      <c r="AN6480">
        <v>1.00000002578384</v>
      </c>
    </row>
    <row r="6481" spans="1:40" x14ac:dyDescent="0.25">
      <c r="A6481" t="str">
        <f>"20190303170418889"</f>
        <v>20190303170418889</v>
      </c>
      <c r="B6481" t="str">
        <f>"1551603858882371"</f>
        <v>1551603858882371</v>
      </c>
      <c r="C6481" t="s">
        <v>40</v>
      </c>
      <c r="D6481">
        <v>5.3423470000000002</v>
      </c>
      <c r="E6481">
        <v>0.42516290000000001</v>
      </c>
      <c r="F6481" t="s">
        <v>78</v>
      </c>
      <c r="G6481">
        <v>-277.5607</v>
      </c>
      <c r="H6481">
        <v>2.305952</v>
      </c>
      <c r="I6481">
        <v>-90.976820000000004</v>
      </c>
      <c r="J6481">
        <v>-303.23320000000001</v>
      </c>
      <c r="K6481">
        <v>1.122369</v>
      </c>
      <c r="L6481">
        <v>-10.809839999999999</v>
      </c>
      <c r="M6481">
        <v>3.6778230000000002E-2</v>
      </c>
      <c r="N6481">
        <v>-1.3093479999999999E-2</v>
      </c>
      <c r="O6481">
        <v>-0.99923779999999995</v>
      </c>
      <c r="P6481">
        <v>7.7068659999999997E-2</v>
      </c>
      <c r="Q6481">
        <v>0.1850927</v>
      </c>
      <c r="R6481">
        <v>-0.97969479999999998</v>
      </c>
      <c r="S6481">
        <v>0.95269780000000004</v>
      </c>
      <c r="T6481">
        <v>4.3902990000000003E-2</v>
      </c>
      <c r="U6481">
        <v>-2.9838870000000002</v>
      </c>
      <c r="V6481">
        <v>-4.141094E-2</v>
      </c>
      <c r="W6481">
        <v>0.19784360000000001</v>
      </c>
      <c r="X6481">
        <v>0.97935850000000002</v>
      </c>
      <c r="Y6481">
        <v>-0.26879950000000002</v>
      </c>
      <c r="Z6481">
        <v>-2.70922E-2</v>
      </c>
      <c r="AA6481">
        <v>0.96281499999999998</v>
      </c>
      <c r="AB6481">
        <v>28</v>
      </c>
      <c r="AC6481">
        <v>25.672499999999999</v>
      </c>
      <c r="AD6481">
        <v>1.1835830000000001</v>
      </c>
      <c r="AE6481">
        <v>-80.166979999999995</v>
      </c>
      <c r="AF6481">
        <v>-22.7019881432145</v>
      </c>
      <c r="AG6481">
        <v>1.1835830000000001</v>
      </c>
      <c r="AH6481">
        <v>81.040982015997699</v>
      </c>
      <c r="AI6481">
        <v>89.194281275565004</v>
      </c>
      <c r="AJ6481">
        <v>105.64913865093401</v>
      </c>
      <c r="AK6481">
        <v>84.169007957144203</v>
      </c>
      <c r="AL6481">
        <v>78.5891132791796</v>
      </c>
      <c r="AM6481">
        <v>92.421237532105096</v>
      </c>
      <c r="AN6481">
        <v>1.0000000137674401</v>
      </c>
    </row>
    <row r="6482" spans="1:40" x14ac:dyDescent="0.25">
      <c r="A6482" t="str">
        <f>"20190303170418910"</f>
        <v>20190303170418910</v>
      </c>
      <c r="B6482" t="str">
        <f>"1551603858901890"</f>
        <v>1551603858901890</v>
      </c>
      <c r="C6482" t="s">
        <v>40</v>
      </c>
      <c r="D6482">
        <v>5.3822799999999997</v>
      </c>
      <c r="E6482">
        <v>0.42651099999999997</v>
      </c>
      <c r="F6482" t="s">
        <v>44</v>
      </c>
      <c r="G6482">
        <v>-280.72280000000001</v>
      </c>
      <c r="H6482">
        <v>-0.05</v>
      </c>
      <c r="I6482">
        <v>-89.001130000000003</v>
      </c>
      <c r="J6482">
        <v>-303.22199999999998</v>
      </c>
      <c r="K6482">
        <v>1.1223379999999901</v>
      </c>
      <c r="L6482">
        <v>-11.079129999999999</v>
      </c>
      <c r="M6482">
        <v>3.7810610000000001E-2</v>
      </c>
      <c r="N6482">
        <v>-1.313808E-2</v>
      </c>
      <c r="O6482">
        <v>-0.99919860000000005</v>
      </c>
      <c r="P6482">
        <v>8.1080079999999999E-2</v>
      </c>
      <c r="Q6482">
        <v>0.18639900000000001</v>
      </c>
      <c r="R6482">
        <v>-0.97912279999999996</v>
      </c>
      <c r="S6482">
        <v>0.86444089999999996</v>
      </c>
      <c r="T6482">
        <v>-4.5021060000000002E-2</v>
      </c>
      <c r="U6482">
        <v>-3.0026860000000002</v>
      </c>
      <c r="V6482">
        <v>-4.4389940000000003E-2</v>
      </c>
      <c r="W6482">
        <v>0.19919049999999999</v>
      </c>
      <c r="X6482">
        <v>0.97895489999999996</v>
      </c>
      <c r="Y6482">
        <v>-0.24007419999999999</v>
      </c>
      <c r="Z6482">
        <v>1.3950060000000001E-3</v>
      </c>
      <c r="AA6482">
        <v>0.97075359999999999</v>
      </c>
      <c r="AB6482">
        <v>28</v>
      </c>
      <c r="AC6482">
        <v>22.499199999999899</v>
      </c>
      <c r="AD6482">
        <v>-1.1723380000000001</v>
      </c>
      <c r="AE6482">
        <v>-77.921999999999997</v>
      </c>
      <c r="AF6482">
        <v>-19.532495047417999</v>
      </c>
      <c r="AG6482">
        <v>-1.1723380000000001</v>
      </c>
      <c r="AH6482">
        <v>78.700608830621903</v>
      </c>
      <c r="AI6482">
        <v>90.828299299270697</v>
      </c>
      <c r="AJ6482">
        <v>103.938453563016</v>
      </c>
      <c r="AK6482">
        <v>81.096723543397403</v>
      </c>
      <c r="AL6482">
        <v>78.510374430210504</v>
      </c>
      <c r="AM6482">
        <v>92.5962536501861</v>
      </c>
      <c r="AN6482">
        <v>1.00000000914873</v>
      </c>
    </row>
    <row r="6483" spans="1:40" x14ac:dyDescent="0.25">
      <c r="A6483" t="str">
        <f>"20190303170418933"</f>
        <v>20190303170418933</v>
      </c>
      <c r="B6483" t="str">
        <f>"1551603858922386"</f>
        <v>1551603858922386</v>
      </c>
      <c r="C6483" t="s">
        <v>40</v>
      </c>
      <c r="D6483">
        <v>5.3997789999999997</v>
      </c>
      <c r="E6483">
        <v>0.42725190000000002</v>
      </c>
      <c r="F6483" t="s">
        <v>75</v>
      </c>
      <c r="G6483">
        <v>-286.07510000000002</v>
      </c>
      <c r="H6483">
        <v>4.6532690000000002E-2</v>
      </c>
      <c r="I6483">
        <v>-70.383740000000003</v>
      </c>
      <c r="J6483">
        <v>-303.21050000000002</v>
      </c>
      <c r="K6483">
        <v>1.1222829999999999</v>
      </c>
      <c r="L6483">
        <v>-11.35364</v>
      </c>
      <c r="M6483">
        <v>3.8741299999999999E-2</v>
      </c>
      <c r="N6483">
        <v>-1.317782E-2</v>
      </c>
      <c r="O6483">
        <v>-0.99916240000000001</v>
      </c>
      <c r="P6483">
        <v>8.2382430000000006E-2</v>
      </c>
      <c r="Q6483">
        <v>0.18486549999999999</v>
      </c>
      <c r="R6483">
        <v>-0.97930499999999998</v>
      </c>
      <c r="S6483">
        <v>0.86810299999999996</v>
      </c>
      <c r="T6483">
        <v>-5.446529E-2</v>
      </c>
      <c r="U6483">
        <v>-3.0024410000000001</v>
      </c>
      <c r="V6483">
        <v>-4.4720589999999998E-2</v>
      </c>
      <c r="W6483">
        <v>0.19770950000000001</v>
      </c>
      <c r="X6483">
        <v>0.97924009999999995</v>
      </c>
      <c r="Y6483">
        <v>-0.24027670000000001</v>
      </c>
      <c r="Z6483">
        <v>4.3880459999999996E-3</v>
      </c>
      <c r="AA6483">
        <v>0.97069450000000002</v>
      </c>
      <c r="AB6483">
        <v>28</v>
      </c>
      <c r="AC6483">
        <v>17.135400000000001</v>
      </c>
      <c r="AD6483">
        <v>-1.0757503100000001</v>
      </c>
      <c r="AE6483">
        <v>-59.030099999999997</v>
      </c>
      <c r="AF6483">
        <v>-14.8308897840891</v>
      </c>
      <c r="AG6483">
        <v>-1.0757503100000001</v>
      </c>
      <c r="AH6483">
        <v>59.631417330640197</v>
      </c>
      <c r="AI6483">
        <v>91.002955670469902</v>
      </c>
      <c r="AJ6483">
        <v>103.966622351339</v>
      </c>
      <c r="AK6483">
        <v>61.457452464109203</v>
      </c>
      <c r="AL6483">
        <v>78.596952183299607</v>
      </c>
      <c r="AM6483">
        <v>92.614805046543694</v>
      </c>
      <c r="AN6483">
        <v>1.0000000755041001</v>
      </c>
    </row>
    <row r="6484" spans="1:40" x14ac:dyDescent="0.25">
      <c r="A6484" t="str">
        <f>"20190303170418956"</f>
        <v>20190303170418956</v>
      </c>
      <c r="B6484" t="str">
        <f>"1551603858952173"</f>
        <v>1551603858952173</v>
      </c>
      <c r="C6484" t="s">
        <v>40</v>
      </c>
      <c r="D6484">
        <v>5.4032369999999998</v>
      </c>
      <c r="E6484">
        <v>0.4287801</v>
      </c>
      <c r="F6484" t="s">
        <v>75</v>
      </c>
      <c r="G6484">
        <v>-287.39749999999998</v>
      </c>
      <c r="H6484" s="1">
        <v>-3.7438270000000002E-6</v>
      </c>
      <c r="I6484">
        <v>-66.255069999999904</v>
      </c>
      <c r="J6484">
        <v>-303.19880000000001</v>
      </c>
      <c r="K6484">
        <v>1.122187</v>
      </c>
      <c r="L6484">
        <v>-11.6304</v>
      </c>
      <c r="M6484">
        <v>3.9535500000000001E-2</v>
      </c>
      <c r="N6484">
        <v>-1.321257E-2</v>
      </c>
      <c r="O6484">
        <v>-0.99913079999999999</v>
      </c>
      <c r="P6484">
        <v>8.4503839999999997E-2</v>
      </c>
      <c r="Q6484">
        <v>0.18135589999999999</v>
      </c>
      <c r="R6484">
        <v>-0.97978010000000004</v>
      </c>
      <c r="S6484">
        <v>0.86471559999999903</v>
      </c>
      <c r="T6484">
        <v>-6.1371090000000003E-2</v>
      </c>
      <c r="U6484">
        <v>-3.0022280000000001</v>
      </c>
      <c r="V6484">
        <v>-4.5983320000000001E-2</v>
      </c>
      <c r="W6484">
        <v>0.1942526</v>
      </c>
      <c r="X6484">
        <v>0.9798732</v>
      </c>
      <c r="Y6484">
        <v>-0.23850560000000001</v>
      </c>
      <c r="Z6484">
        <v>6.5800260000000001E-3</v>
      </c>
      <c r="AA6484">
        <v>0.97111890000000001</v>
      </c>
      <c r="AB6484">
        <v>28</v>
      </c>
      <c r="AC6484">
        <v>15.801299999999999</v>
      </c>
      <c r="AD6484">
        <v>-1.122190743827</v>
      </c>
      <c r="AE6484">
        <v>-54.624669999999902</v>
      </c>
      <c r="AF6484">
        <v>-13.6238358167097</v>
      </c>
      <c r="AG6484">
        <v>-1.122190743827</v>
      </c>
      <c r="AH6484">
        <v>55.185229893281502</v>
      </c>
      <c r="AI6484">
        <v>91.131001494051205</v>
      </c>
      <c r="AJ6484">
        <v>103.86758552358999</v>
      </c>
      <c r="AK6484">
        <v>56.853124916758297</v>
      </c>
      <c r="AL6484">
        <v>78.798934270272795</v>
      </c>
      <c r="AM6484">
        <v>92.686795279451502</v>
      </c>
      <c r="AN6484">
        <v>1.00000001320161</v>
      </c>
    </row>
    <row r="6485" spans="1:40" x14ac:dyDescent="0.25">
      <c r="A6485" t="str">
        <f>"20190303170418978"</f>
        <v>20190303170418978</v>
      </c>
      <c r="B6485" t="str">
        <f>"1551603858971693"</f>
        <v>1551603858971693</v>
      </c>
      <c r="C6485" t="s">
        <v>40</v>
      </c>
      <c r="D6485">
        <v>5.371766</v>
      </c>
      <c r="E6485">
        <v>0.42957800000000002</v>
      </c>
      <c r="F6485" t="s">
        <v>75</v>
      </c>
      <c r="G6485">
        <v>-289.91669999999999</v>
      </c>
      <c r="H6485" s="1">
        <v>-1.3714549999999999E-6</v>
      </c>
      <c r="I6485">
        <v>-58.252319999999997</v>
      </c>
      <c r="J6485">
        <v>-303.18680000000001</v>
      </c>
      <c r="K6485">
        <v>1.1220730000000001</v>
      </c>
      <c r="L6485">
        <v>-11.91046</v>
      </c>
      <c r="M6485">
        <v>4.0159779999999999E-2</v>
      </c>
      <c r="N6485">
        <v>-1.3219740000000001E-2</v>
      </c>
      <c r="O6485">
        <v>-0.99910600000000005</v>
      </c>
      <c r="P6485">
        <v>8.8965710000000003E-2</v>
      </c>
      <c r="Q6485">
        <v>0.1788323</v>
      </c>
      <c r="R6485">
        <v>-0.97984919999999998</v>
      </c>
      <c r="S6485">
        <v>0.85510249999999999</v>
      </c>
      <c r="T6485">
        <v>-7.2246669999999999E-2</v>
      </c>
      <c r="U6485">
        <v>-3.0015260000000001</v>
      </c>
      <c r="V6485">
        <v>-4.976643E-2</v>
      </c>
      <c r="W6485">
        <v>0.19174849999999999</v>
      </c>
      <c r="X6485">
        <v>0.98018150000000004</v>
      </c>
      <c r="Y6485">
        <v>-0.2350708</v>
      </c>
      <c r="Z6485">
        <v>1.0090709999999999E-2</v>
      </c>
      <c r="AA6485">
        <v>0.97192590000000001</v>
      </c>
      <c r="AB6485">
        <v>28</v>
      </c>
      <c r="AC6485">
        <v>13.270099999999999</v>
      </c>
      <c r="AD6485">
        <v>-1.1220743714550001</v>
      </c>
      <c r="AE6485">
        <v>-46.341859999999997</v>
      </c>
      <c r="AF6485">
        <v>-11.391978934161299</v>
      </c>
      <c r="AG6485">
        <v>-1.1220743714550001</v>
      </c>
      <c r="AH6485">
        <v>46.812074313932101</v>
      </c>
      <c r="AI6485">
        <v>91.334179924501001</v>
      </c>
      <c r="AJ6485">
        <v>103.67738319676</v>
      </c>
      <c r="AK6485">
        <v>48.191353337549501</v>
      </c>
      <c r="AL6485">
        <v>78.945157490373106</v>
      </c>
      <c r="AM6485">
        <v>92.906563737497606</v>
      </c>
      <c r="AN6485">
        <v>0.99999997887472203</v>
      </c>
    </row>
    <row r="6486" spans="1:40" x14ac:dyDescent="0.25">
      <c r="A6486" t="str">
        <f>"20190303170418999"</f>
        <v>20190303170418999</v>
      </c>
      <c r="B6486" t="str">
        <f>"1551603858992188"</f>
        <v>1551603858992188</v>
      </c>
      <c r="C6486" t="s">
        <v>40</v>
      </c>
      <c r="D6486">
        <v>5.4001279999999996</v>
      </c>
      <c r="E6486">
        <v>0.43002469999999998</v>
      </c>
      <c r="F6486" t="s">
        <v>75</v>
      </c>
      <c r="G6486">
        <v>-291.38099999999997</v>
      </c>
      <c r="H6486" s="1">
        <v>-1.001464E-5</v>
      </c>
      <c r="I6486">
        <v>-53.035550000000001</v>
      </c>
      <c r="J6486">
        <v>-303.17529999999999</v>
      </c>
      <c r="K6486">
        <v>1.1219699999999999</v>
      </c>
      <c r="L6486">
        <v>-12.18036</v>
      </c>
      <c r="M6486">
        <v>4.0631279999999999E-2</v>
      </c>
      <c r="N6486">
        <v>-1.3209449999999999E-2</v>
      </c>
      <c r="O6486">
        <v>-0.99908699999999995</v>
      </c>
      <c r="P6486">
        <v>9.0172100000000005E-2</v>
      </c>
      <c r="Q6486">
        <v>0.1789182</v>
      </c>
      <c r="R6486">
        <v>-0.97972320000000002</v>
      </c>
      <c r="S6486">
        <v>0.86077879999999996</v>
      </c>
      <c r="T6486">
        <v>-8.1812259999999998E-2</v>
      </c>
      <c r="U6486">
        <v>-2.9984739999999999</v>
      </c>
      <c r="V6486">
        <v>-5.0463830000000001E-2</v>
      </c>
      <c r="W6486">
        <v>0.19183510000000001</v>
      </c>
      <c r="X6486">
        <v>0.98012889999999997</v>
      </c>
      <c r="Y6486">
        <v>-0.2365582</v>
      </c>
      <c r="Z6486">
        <v>1.3190820000000001E-2</v>
      </c>
      <c r="AA6486">
        <v>0.97152780000000005</v>
      </c>
      <c r="AB6486">
        <v>28</v>
      </c>
      <c r="AC6486">
        <v>11.7943</v>
      </c>
      <c r="AD6486">
        <v>-1.1219800146400001</v>
      </c>
      <c r="AE6486">
        <v>-40.85519</v>
      </c>
      <c r="AF6486">
        <v>-10.117372000941399</v>
      </c>
      <c r="AG6486">
        <v>-1.1219800146400001</v>
      </c>
      <c r="AH6486">
        <v>41.271973475346201</v>
      </c>
      <c r="AI6486">
        <v>91.5124450812541</v>
      </c>
      <c r="AJ6486">
        <v>103.77381580126</v>
      </c>
      <c r="AK6486">
        <v>42.508773799162597</v>
      </c>
      <c r="AL6486">
        <v>78.940101857390104</v>
      </c>
      <c r="AM6486">
        <v>92.947381332226598</v>
      </c>
      <c r="AN6486">
        <v>0.999999982172744</v>
      </c>
    </row>
    <row r="6487" spans="1:40" x14ac:dyDescent="0.25">
      <c r="A6487" t="str">
        <f>"20190303170419023"</f>
        <v>20190303170419023</v>
      </c>
      <c r="B6487" t="str">
        <f>"1551603859011709"</f>
        <v>1551603859011709</v>
      </c>
      <c r="C6487" t="s">
        <v>40</v>
      </c>
      <c r="D6487">
        <v>5.4027900000000004</v>
      </c>
      <c r="E6487">
        <v>0.43705169999999999</v>
      </c>
      <c r="F6487" t="s">
        <v>75</v>
      </c>
      <c r="G6487">
        <v>-291.30020000000002</v>
      </c>
      <c r="H6487" s="1">
        <v>-9.9941430000000007E-6</v>
      </c>
      <c r="I6487">
        <v>-53.534529999999997</v>
      </c>
      <c r="J6487">
        <v>-303.16340000000002</v>
      </c>
      <c r="K6487">
        <v>1.121866</v>
      </c>
      <c r="L6487">
        <v>-12.46161</v>
      </c>
      <c r="M6487">
        <v>4.0981620000000003E-2</v>
      </c>
      <c r="N6487">
        <v>-1.315153E-2</v>
      </c>
      <c r="O6487">
        <v>-0.9990734</v>
      </c>
      <c r="P6487">
        <v>8.78853E-2</v>
      </c>
      <c r="Q6487">
        <v>0.1794644</v>
      </c>
      <c r="R6487">
        <v>-0.97983100000000001</v>
      </c>
      <c r="S6487">
        <v>0.8608093</v>
      </c>
      <c r="T6487">
        <v>-8.1330899999999998E-2</v>
      </c>
      <c r="U6487">
        <v>-2.9977109999999998</v>
      </c>
      <c r="V6487">
        <v>-4.7783649999999997E-2</v>
      </c>
      <c r="W6487">
        <v>0.19233910000000001</v>
      </c>
      <c r="X6487">
        <v>0.98016449999999999</v>
      </c>
      <c r="Y6487">
        <v>-0.23629320000000001</v>
      </c>
      <c r="Z6487">
        <v>1.310092E-2</v>
      </c>
      <c r="AA6487">
        <v>0.9715935</v>
      </c>
      <c r="AB6487">
        <v>28</v>
      </c>
      <c r="AC6487">
        <v>11.863200000000001</v>
      </c>
      <c r="AD6487">
        <v>-1.1218759941429901</v>
      </c>
      <c r="AE6487">
        <v>-41.072920000000003</v>
      </c>
      <c r="AF6487">
        <v>-10.1628533678727</v>
      </c>
      <c r="AG6487">
        <v>-1.1218759941429901</v>
      </c>
      <c r="AH6487">
        <v>41.496048838620098</v>
      </c>
      <c r="AI6487">
        <v>91.504221489550901</v>
      </c>
      <c r="AJ6487">
        <v>103.76150897070499</v>
      </c>
      <c r="AK6487">
        <v>42.737153198829901</v>
      </c>
      <c r="AL6487">
        <v>78.910677328700402</v>
      </c>
      <c r="AM6487">
        <v>92.790996463294306</v>
      </c>
      <c r="AN6487">
        <v>1.0000000268281899</v>
      </c>
    </row>
    <row r="6488" spans="1:40" x14ac:dyDescent="0.25">
      <c r="A6488" t="str">
        <f>"20190303170419046"</f>
        <v>20190303170419046</v>
      </c>
      <c r="B6488" t="str">
        <f>"1551603859041964"</f>
        <v>1551603859041964</v>
      </c>
      <c r="C6488" t="s">
        <v>40</v>
      </c>
      <c r="D6488">
        <v>5.4145349999999999</v>
      </c>
      <c r="E6488">
        <v>0.43766280000000002</v>
      </c>
      <c r="F6488" t="s">
        <v>75</v>
      </c>
      <c r="G6488">
        <v>-292.51780000000002</v>
      </c>
      <c r="H6488" s="1">
        <v>-9.6536330000000005E-6</v>
      </c>
      <c r="I6488">
        <v>-52.559840000000001</v>
      </c>
      <c r="J6488">
        <v>-303.15120000000002</v>
      </c>
      <c r="K6488">
        <v>1.1217549999999901</v>
      </c>
      <c r="L6488">
        <v>-12.74963</v>
      </c>
      <c r="M6488">
        <v>4.119631E-2</v>
      </c>
      <c r="N6488">
        <v>-1.303313E-2</v>
      </c>
      <c r="O6488">
        <v>-0.99906620000000002</v>
      </c>
      <c r="P6488">
        <v>8.7428169999999999E-2</v>
      </c>
      <c r="Q6488">
        <v>0.17790010000000001</v>
      </c>
      <c r="R6488">
        <v>-0.98015759999999996</v>
      </c>
      <c r="S6488">
        <v>0.79794309999999902</v>
      </c>
      <c r="T6488">
        <v>-8.4090830000000005E-2</v>
      </c>
      <c r="U6488">
        <v>-3.005585</v>
      </c>
      <c r="V6488">
        <v>-4.705608E-2</v>
      </c>
      <c r="W6488">
        <v>0.19067480000000001</v>
      </c>
      <c r="X6488">
        <v>0.98052479999999997</v>
      </c>
      <c r="Y6488">
        <v>-0.21647839999999999</v>
      </c>
      <c r="Z6488">
        <v>1.4169950000000001E-2</v>
      </c>
      <c r="AA6488">
        <v>0.97618450000000001</v>
      </c>
      <c r="AB6488">
        <v>28</v>
      </c>
      <c r="AC6488">
        <v>10.6333999999999</v>
      </c>
      <c r="AD6488">
        <v>-1.1217646536329999</v>
      </c>
      <c r="AE6488">
        <v>-39.810209999999998</v>
      </c>
      <c r="AF6488">
        <v>-8.9775452395438808</v>
      </c>
      <c r="AG6488">
        <v>-1.1217646536329999</v>
      </c>
      <c r="AH6488">
        <v>40.1847207331109</v>
      </c>
      <c r="AI6488">
        <v>91.560557751298205</v>
      </c>
      <c r="AJ6488">
        <v>102.593476119526</v>
      </c>
      <c r="AK6488">
        <v>41.190611246548798</v>
      </c>
      <c r="AL6488">
        <v>79.007832842432606</v>
      </c>
      <c r="AM6488">
        <v>92.7475570483507</v>
      </c>
      <c r="AN6488">
        <v>1.00000001871752</v>
      </c>
    </row>
    <row r="6489" spans="1:40" x14ac:dyDescent="0.25">
      <c r="A6489" t="str">
        <f>"20190303170419071"</f>
        <v>20190303170419071</v>
      </c>
      <c r="B6489" t="str">
        <f>"1551603859062462"</f>
        <v>1551603859062462</v>
      </c>
      <c r="C6489" t="s">
        <v>40</v>
      </c>
      <c r="D6489">
        <v>5.4317320000000002</v>
      </c>
      <c r="E6489">
        <v>0.43777120000000003</v>
      </c>
      <c r="F6489" t="s">
        <v>75</v>
      </c>
      <c r="G6489">
        <v>-293.58179999999999</v>
      </c>
      <c r="H6489" s="1">
        <v>-6.2641369999999901E-6</v>
      </c>
      <c r="I6489">
        <v>-49.17886</v>
      </c>
      <c r="J6489">
        <v>-303.13839999999999</v>
      </c>
      <c r="K6489">
        <v>1.1216250000000001</v>
      </c>
      <c r="L6489">
        <v>-13.05411</v>
      </c>
      <c r="M6489">
        <v>4.1299700000000002E-2</v>
      </c>
      <c r="N6489">
        <v>-1.285707E-2</v>
      </c>
      <c r="O6489">
        <v>-0.99906430000000002</v>
      </c>
      <c r="P6489">
        <v>8.9939889999999995E-2</v>
      </c>
      <c r="Q6489">
        <v>0.17602579999999901</v>
      </c>
      <c r="R6489">
        <v>-0.98026840000000004</v>
      </c>
      <c r="S6489">
        <v>0.78991699999999998</v>
      </c>
      <c r="T6489">
        <v>-9.2596650000000003E-2</v>
      </c>
      <c r="U6489">
        <v>-3.0070800000000002</v>
      </c>
      <c r="V6489">
        <v>-4.9414859999999998E-2</v>
      </c>
      <c r="W6489">
        <v>0.18864149999999999</v>
      </c>
      <c r="X6489">
        <v>0.98080199999999995</v>
      </c>
      <c r="Y6489">
        <v>-0.21380689999999999</v>
      </c>
      <c r="Z6489">
        <v>1.709157E-2</v>
      </c>
      <c r="AA6489">
        <v>0.97672639999999999</v>
      </c>
      <c r="AB6489">
        <v>28</v>
      </c>
      <c r="AC6489">
        <v>9.5565999999999995</v>
      </c>
      <c r="AD6489">
        <v>-1.1216312641370001</v>
      </c>
      <c r="AE6489">
        <v>-36.124749999999999</v>
      </c>
      <c r="AF6489">
        <v>-8.04912859001975</v>
      </c>
      <c r="AG6489">
        <v>-1.1216312641370001</v>
      </c>
      <c r="AH6489">
        <v>36.455794848496097</v>
      </c>
      <c r="AI6489">
        <v>91.720837254445598</v>
      </c>
      <c r="AJ6489">
        <v>102.45066579818899</v>
      </c>
      <c r="AK6489">
        <v>37.350656028870503</v>
      </c>
      <c r="AL6489">
        <v>79.126485736026794</v>
      </c>
      <c r="AM6489">
        <v>92.884242671971407</v>
      </c>
      <c r="AN6489">
        <v>1.00000000355753</v>
      </c>
    </row>
    <row r="6490" spans="1:40" x14ac:dyDescent="0.25">
      <c r="A6490" t="str">
        <f>"20190303170419090"</f>
        <v>20190303170419090</v>
      </c>
      <c r="B6490" t="str">
        <f>"1551603859081981"</f>
        <v>1551603859081981</v>
      </c>
      <c r="C6490" t="s">
        <v>40</v>
      </c>
      <c r="D6490">
        <v>5.4262489999999897</v>
      </c>
      <c r="E6490">
        <v>0.43779810000000002</v>
      </c>
      <c r="F6490" t="s">
        <v>75</v>
      </c>
      <c r="G6490">
        <v>-294.22089999999997</v>
      </c>
      <c r="H6490" s="1">
        <v>-5.1658510000000001E-6</v>
      </c>
      <c r="I6490">
        <v>-46.791359999999997</v>
      </c>
      <c r="J6490">
        <v>-303.1284</v>
      </c>
      <c r="K6490">
        <v>1.121532</v>
      </c>
      <c r="L6490">
        <v>-13.293430000000001</v>
      </c>
      <c r="M6490">
        <v>4.1312389999999997E-2</v>
      </c>
      <c r="N6490">
        <v>-1.2681990000000001E-2</v>
      </c>
      <c r="O6490">
        <v>-0.99906600000000001</v>
      </c>
      <c r="P6490">
        <v>9.0960860000000004E-2</v>
      </c>
      <c r="Q6490">
        <v>0.17706269999999999</v>
      </c>
      <c r="R6490">
        <v>-0.97998759999999996</v>
      </c>
      <c r="S6490">
        <v>0.79440310000000003</v>
      </c>
      <c r="T6490">
        <v>-9.9918720000000003E-2</v>
      </c>
      <c r="U6490">
        <v>-3.0054319999999999</v>
      </c>
      <c r="V6490">
        <v>-5.0404740000000003E-2</v>
      </c>
      <c r="W6490">
        <v>0.18951100000000001</v>
      </c>
      <c r="X6490">
        <v>0.98058400000000001</v>
      </c>
      <c r="Y6490">
        <v>-0.21527470000000001</v>
      </c>
      <c r="Z6490">
        <v>1.9632750000000001E-2</v>
      </c>
      <c r="AA6490">
        <v>0.97635609999999995</v>
      </c>
      <c r="AB6490">
        <v>28</v>
      </c>
      <c r="AC6490">
        <v>8.9075000000000202</v>
      </c>
      <c r="AD6490">
        <v>-1.1215371658510001</v>
      </c>
      <c r="AE6490">
        <v>-33.497929999999997</v>
      </c>
      <c r="AF6490">
        <v>-7.5080432630551499</v>
      </c>
      <c r="AG6490">
        <v>-1.1215371658510001</v>
      </c>
      <c r="AH6490">
        <v>33.801958683009801</v>
      </c>
      <c r="AI6490">
        <v>91.855176368998798</v>
      </c>
      <c r="AJ6490">
        <v>102.523149092398</v>
      </c>
      <c r="AK6490">
        <v>34.6439167829244</v>
      </c>
      <c r="AL6490">
        <v>79.075752109326103</v>
      </c>
      <c r="AM6490">
        <v>92.942572295029393</v>
      </c>
      <c r="AN6490">
        <v>1.0000000189957301</v>
      </c>
    </row>
    <row r="6491" spans="1:40" x14ac:dyDescent="0.25">
      <c r="A6491" t="str">
        <f>"20190303170419113"</f>
        <v>20190303170419113</v>
      </c>
      <c r="B6491" t="str">
        <f>"1551603859102477"</f>
        <v>1551603859102477</v>
      </c>
      <c r="C6491" t="s">
        <v>40</v>
      </c>
      <c r="D6491">
        <v>5.4178839999999999</v>
      </c>
      <c r="E6491">
        <v>0.43777109999999902</v>
      </c>
      <c r="F6491" t="s">
        <v>75</v>
      </c>
      <c r="G6491">
        <v>-293.59719999999999</v>
      </c>
      <c r="H6491" s="1">
        <v>-6.2760300000000001E-6</v>
      </c>
      <c r="I6491">
        <v>-49.216670000000001</v>
      </c>
      <c r="J6491">
        <v>-303.11680000000001</v>
      </c>
      <c r="K6491">
        <v>1.121448</v>
      </c>
      <c r="L6491">
        <v>-13.574949999999999</v>
      </c>
      <c r="M6491">
        <v>4.1269269999999997E-2</v>
      </c>
      <c r="N6491">
        <v>-1.244021E-2</v>
      </c>
      <c r="O6491">
        <v>-0.99907060000000003</v>
      </c>
      <c r="P6491">
        <v>8.6781849999999994E-2</v>
      </c>
      <c r="Q6491">
        <v>0.17962510000000001</v>
      </c>
      <c r="R6491">
        <v>-0.97989990000000005</v>
      </c>
      <c r="S6491">
        <v>0.79708859999999904</v>
      </c>
      <c r="T6491">
        <v>-9.3793630000000003E-2</v>
      </c>
      <c r="U6491">
        <v>-3.0042420000000001</v>
      </c>
      <c r="V6491">
        <v>-4.624632E-2</v>
      </c>
      <c r="W6491">
        <v>0.1918398</v>
      </c>
      <c r="X6491">
        <v>0.98033610000000004</v>
      </c>
      <c r="Y6491">
        <v>-0.21624009999999999</v>
      </c>
      <c r="Z6491">
        <v>1.7903140000000001E-2</v>
      </c>
      <c r="AA6491">
        <v>0.97617609999999999</v>
      </c>
      <c r="AB6491">
        <v>28</v>
      </c>
      <c r="AC6491">
        <v>9.51960000000002</v>
      </c>
      <c r="AD6491">
        <v>-1.1214542760299999</v>
      </c>
      <c r="AE6491">
        <v>-35.641719999999999</v>
      </c>
      <c r="AF6491">
        <v>-8.0330436653236301</v>
      </c>
      <c r="AG6491">
        <v>-1.1214542760299999</v>
      </c>
      <c r="AH6491">
        <v>35.971007229784298</v>
      </c>
      <c r="AI6491">
        <v>91.742807813523598</v>
      </c>
      <c r="AJ6491">
        <v>102.588729350234</v>
      </c>
      <c r="AK6491">
        <v>36.874121160339698</v>
      </c>
      <c r="AL6491">
        <v>78.939828230272099</v>
      </c>
      <c r="AM6491">
        <v>92.700865580274396</v>
      </c>
      <c r="AN6491">
        <v>1.00000004997039</v>
      </c>
    </row>
    <row r="6492" spans="1:40" x14ac:dyDescent="0.25">
      <c r="A6492" t="str">
        <f>"20190303170419134"</f>
        <v>20190303170419134</v>
      </c>
      <c r="B6492" t="str">
        <f>"1551603859121997"</f>
        <v>1551603859121997</v>
      </c>
      <c r="C6492" t="s">
        <v>40</v>
      </c>
      <c r="D6492">
        <v>5.4181470000000003</v>
      </c>
      <c r="E6492">
        <v>0.43788850000000001</v>
      </c>
      <c r="F6492" t="s">
        <v>75</v>
      </c>
      <c r="G6492">
        <v>-292.4196</v>
      </c>
      <c r="H6492" s="1">
        <v>-9.4909900000000004E-6</v>
      </c>
      <c r="I6492">
        <v>-54.497120000000002</v>
      </c>
      <c r="J6492">
        <v>-303.10579999999999</v>
      </c>
      <c r="K6492">
        <v>1.121367</v>
      </c>
      <c r="L6492">
        <v>-13.840999999999999</v>
      </c>
      <c r="M6492">
        <v>4.1182080000000003E-2</v>
      </c>
      <c r="N6492">
        <v>-1.218619E-2</v>
      </c>
      <c r="O6492">
        <v>-0.99907760000000001</v>
      </c>
      <c r="P6492">
        <v>8.3555909999999997E-2</v>
      </c>
      <c r="Q6492">
        <v>0.17891750000000001</v>
      </c>
      <c r="R6492">
        <v>-0.98030980000000001</v>
      </c>
      <c r="S6492">
        <v>0.78604130000000005</v>
      </c>
      <c r="T6492">
        <v>-8.2406279999999998E-2</v>
      </c>
      <c r="U6492">
        <v>-3.0070190000000001</v>
      </c>
      <c r="V6492">
        <v>-4.3073590000000002E-2</v>
      </c>
      <c r="W6492">
        <v>0.19089059999999999</v>
      </c>
      <c r="X6492">
        <v>0.98066580000000003</v>
      </c>
      <c r="Y6492">
        <v>-0.2127677</v>
      </c>
      <c r="Z6492">
        <v>1.448001E-2</v>
      </c>
      <c r="AA6492">
        <v>0.97699550000000002</v>
      </c>
      <c r="AB6492">
        <v>28</v>
      </c>
      <c r="AC6492">
        <v>10.6861999999999</v>
      </c>
      <c r="AD6492">
        <v>-1.1213764909899999</v>
      </c>
      <c r="AE6492">
        <v>-40.656120000000001</v>
      </c>
      <c r="AF6492">
        <v>-8.99630382072983</v>
      </c>
      <c r="AG6492">
        <v>-1.1213764909899999</v>
      </c>
      <c r="AH6492">
        <v>41.032538221981902</v>
      </c>
      <c r="AI6492">
        <v>91.529140823679697</v>
      </c>
      <c r="AJ6492">
        <v>102.36631723766401</v>
      </c>
      <c r="AK6492">
        <v>42.022138934231201</v>
      </c>
      <c r="AL6492">
        <v>78.995236663210306</v>
      </c>
      <c r="AM6492">
        <v>92.514974717178703</v>
      </c>
      <c r="AN6492">
        <v>0.999999983306744</v>
      </c>
    </row>
    <row r="6493" spans="1:40" x14ac:dyDescent="0.25">
      <c r="A6493" t="str">
        <f>"20190303170419157"</f>
        <v>20190303170419157</v>
      </c>
      <c r="B6493" t="str">
        <f>"1551603859152253"</f>
        <v>1551603859152253</v>
      </c>
      <c r="C6493" t="s">
        <v>40</v>
      </c>
      <c r="D6493">
        <v>5.4282269999999997</v>
      </c>
      <c r="E6493">
        <v>0.43778040000000001</v>
      </c>
      <c r="F6493" t="s">
        <v>75</v>
      </c>
      <c r="G6493">
        <v>-292.71789999999999</v>
      </c>
      <c r="H6493" s="1">
        <v>-9.421003E-6</v>
      </c>
      <c r="I6493">
        <v>-54.112000000000002</v>
      </c>
      <c r="J6493">
        <v>-303.09460000000001</v>
      </c>
      <c r="K6493">
        <v>1.121283</v>
      </c>
      <c r="L6493">
        <v>-14.1154799999999</v>
      </c>
      <c r="M6493">
        <v>4.1063639999999998E-2</v>
      </c>
      <c r="N6493">
        <v>-1.190573E-2</v>
      </c>
      <c r="O6493">
        <v>-0.99908569999999997</v>
      </c>
      <c r="P6493">
        <v>8.4160470000000001E-2</v>
      </c>
      <c r="Q6493">
        <v>0.17578550000000001</v>
      </c>
      <c r="R6493">
        <v>-0.98082460000000005</v>
      </c>
      <c r="S6493">
        <v>0.77627559999999995</v>
      </c>
      <c r="T6493">
        <v>-8.3798999999999998E-2</v>
      </c>
      <c r="U6493">
        <v>-3.0093990000000002</v>
      </c>
      <c r="V6493">
        <v>-4.376302E-2</v>
      </c>
      <c r="W6493">
        <v>0.1874931</v>
      </c>
      <c r="X6493">
        <v>0.98129049999999995</v>
      </c>
      <c r="Y6493">
        <v>-0.2097222</v>
      </c>
      <c r="Z6493">
        <v>1.520669E-2</v>
      </c>
      <c r="AA6493">
        <v>0.97764280000000003</v>
      </c>
      <c r="AB6493">
        <v>28</v>
      </c>
      <c r="AC6493">
        <v>10.3767</v>
      </c>
      <c r="AD6493">
        <v>-1.121292421003</v>
      </c>
      <c r="AE6493">
        <v>-39.996519999999997</v>
      </c>
      <c r="AF6493">
        <v>-8.7190068924575108</v>
      </c>
      <c r="AG6493">
        <v>-1.121292421003</v>
      </c>
      <c r="AH6493">
        <v>40.3591949281697</v>
      </c>
      <c r="AI6493">
        <v>91.555561408677505</v>
      </c>
      <c r="AJ6493">
        <v>102.190560293216</v>
      </c>
      <c r="AK6493">
        <v>41.305483814308701</v>
      </c>
      <c r="AL6493">
        <v>79.193479110950406</v>
      </c>
      <c r="AM6493">
        <v>92.553551628597106</v>
      </c>
      <c r="AN6493">
        <v>0.99999995492868898</v>
      </c>
    </row>
    <row r="6494" spans="1:40" x14ac:dyDescent="0.25">
      <c r="A6494" t="str">
        <f>"20190303170419179"</f>
        <v>20190303170419179</v>
      </c>
      <c r="B6494" t="str">
        <f>"1551603859171773"</f>
        <v>1551603859171773</v>
      </c>
      <c r="C6494" t="s">
        <v>40</v>
      </c>
      <c r="D6494">
        <v>5.4602559999999896</v>
      </c>
      <c r="E6494">
        <v>0.43773909999999999</v>
      </c>
      <c r="F6494" t="s">
        <v>75</v>
      </c>
      <c r="G6494">
        <v>-293.71499999999997</v>
      </c>
      <c r="H6494" s="1">
        <v>-6.6947450000000002E-6</v>
      </c>
      <c r="I6494">
        <v>-50.371650000000002</v>
      </c>
      <c r="J6494">
        <v>-303.08330000000001</v>
      </c>
      <c r="K6494">
        <v>1.121216</v>
      </c>
      <c r="L6494">
        <v>-14.39481</v>
      </c>
      <c r="M6494">
        <v>4.093132E-2</v>
      </c>
      <c r="N6494">
        <v>-1.161338E-2</v>
      </c>
      <c r="O6494">
        <v>-0.9990945</v>
      </c>
      <c r="P6494">
        <v>8.5227289999999997E-2</v>
      </c>
      <c r="Q6494">
        <v>0.17340410000000001</v>
      </c>
      <c r="R6494">
        <v>-0.98115629999999998</v>
      </c>
      <c r="S6494">
        <v>0.77832029999999996</v>
      </c>
      <c r="T6494">
        <v>-9.3044879999999996E-2</v>
      </c>
      <c r="U6494">
        <v>-3.0085449999999998</v>
      </c>
      <c r="V6494">
        <v>-4.4941809999999999E-2</v>
      </c>
      <c r="W6494">
        <v>0.18483069999999999</v>
      </c>
      <c r="X6494">
        <v>0.98174229999999996</v>
      </c>
      <c r="Y6494">
        <v>-0.21052580000000001</v>
      </c>
      <c r="Z6494">
        <v>1.8483340000000001E-2</v>
      </c>
      <c r="AA6494">
        <v>0.97741359999999999</v>
      </c>
      <c r="AB6494">
        <v>28</v>
      </c>
      <c r="AC6494">
        <v>9.3683000000000298</v>
      </c>
      <c r="AD6494">
        <v>-1.1212226947449999</v>
      </c>
      <c r="AE6494">
        <v>-35.976840000000003</v>
      </c>
      <c r="AF6494">
        <v>-7.8806010322363997</v>
      </c>
      <c r="AG6494">
        <v>-1.1212226947449999</v>
      </c>
      <c r="AH6494">
        <v>36.297153252960896</v>
      </c>
      <c r="AI6494">
        <v>91.729052057287703</v>
      </c>
      <c r="AJ6494">
        <v>102.24957267908</v>
      </c>
      <c r="AK6494">
        <v>37.159714035894098</v>
      </c>
      <c r="AL6494">
        <v>79.348738523793401</v>
      </c>
      <c r="AM6494">
        <v>92.621033643696094</v>
      </c>
      <c r="AN6494">
        <v>1.00000004877892</v>
      </c>
    </row>
    <row r="6495" spans="1:40" x14ac:dyDescent="0.25">
      <c r="A6495" t="str">
        <f>"20190303170419201"</f>
        <v>20190303170419201</v>
      </c>
      <c r="B6495" t="str">
        <f>"1551603859192269"</f>
        <v>1551603859192269</v>
      </c>
      <c r="C6495" t="s">
        <v>40</v>
      </c>
      <c r="D6495">
        <v>5.514564</v>
      </c>
      <c r="E6495">
        <v>0.42117260000000001</v>
      </c>
      <c r="F6495" t="s">
        <v>75</v>
      </c>
      <c r="G6495">
        <v>-294.33049999999997</v>
      </c>
      <c r="H6495" s="1">
        <v>-5.7285969999999998E-6</v>
      </c>
      <c r="I6495">
        <v>-48.072789999999998</v>
      </c>
      <c r="J6495">
        <v>-303.07220000000001</v>
      </c>
      <c r="K6495">
        <v>1.1211880000000001</v>
      </c>
      <c r="L6495">
        <v>-14.6676</v>
      </c>
      <c r="M6495">
        <v>4.0802320000000003E-2</v>
      </c>
      <c r="N6495">
        <v>-1.1339299999999899E-2</v>
      </c>
      <c r="O6495">
        <v>-0.99910310000000002</v>
      </c>
      <c r="P6495">
        <v>8.2204830000000007E-2</v>
      </c>
      <c r="Q6495">
        <v>0.17471030000000001</v>
      </c>
      <c r="R6495">
        <v>-0.98118229999999995</v>
      </c>
      <c r="S6495">
        <v>0.78161619999999998</v>
      </c>
      <c r="T6495">
        <v>-0.10012409999999999</v>
      </c>
      <c r="U6495">
        <v>-3.0074160000000001</v>
      </c>
      <c r="V6495">
        <v>-4.2046779999999999E-2</v>
      </c>
      <c r="W6495">
        <v>0.18586569999999999</v>
      </c>
      <c r="X6495">
        <v>0.98167510000000002</v>
      </c>
      <c r="Y6495">
        <v>-0.21173040000000001</v>
      </c>
      <c r="Z6495">
        <v>2.1042780000000001E-2</v>
      </c>
      <c r="AA6495">
        <v>0.97710160000000001</v>
      </c>
      <c r="AB6495">
        <v>28</v>
      </c>
      <c r="AC6495">
        <v>8.74170000000003</v>
      </c>
      <c r="AD6495">
        <v>-1.121193728597</v>
      </c>
      <c r="AE6495">
        <v>-33.405189999999997</v>
      </c>
      <c r="AF6495">
        <v>-7.3635592589493797</v>
      </c>
      <c r="AG6495">
        <v>-1.121193728597</v>
      </c>
      <c r="AH6495">
        <v>33.698543775057999</v>
      </c>
      <c r="AI6495">
        <v>91.861705159420694</v>
      </c>
      <c r="AJ6495">
        <v>102.32611038434599</v>
      </c>
      <c r="AK6495">
        <v>34.5118955274352</v>
      </c>
      <c r="AL6495">
        <v>79.288391186557604</v>
      </c>
      <c r="AM6495">
        <v>92.452574632529604</v>
      </c>
      <c r="AN6495">
        <v>0.99999999605243395</v>
      </c>
    </row>
    <row r="6496" spans="1:40" x14ac:dyDescent="0.25">
      <c r="A6496" t="str">
        <f>"20190303170419224"</f>
        <v>20190303170419224</v>
      </c>
      <c r="B6496" t="str">
        <f>"1551603859211789"</f>
        <v>1551603859211789</v>
      </c>
      <c r="C6496" t="s">
        <v>40</v>
      </c>
      <c r="D6496">
        <v>5.4262969999999999</v>
      </c>
      <c r="E6496">
        <v>0.40776570000000001</v>
      </c>
      <c r="F6496" t="s">
        <v>75</v>
      </c>
      <c r="G6496">
        <v>-286.24360000000001</v>
      </c>
      <c r="H6496">
        <v>2.1461959999999999E-2</v>
      </c>
      <c r="I6496">
        <v>-70.383740000000003</v>
      </c>
      <c r="J6496">
        <v>-303.0607</v>
      </c>
      <c r="K6496">
        <v>1.1211690000000001</v>
      </c>
      <c r="L6496">
        <v>-14.952179999999901</v>
      </c>
      <c r="M6496">
        <v>4.0674750000000003E-2</v>
      </c>
      <c r="N6496">
        <v>-1.1058399999999999E-2</v>
      </c>
      <c r="O6496">
        <v>-0.99911139999999998</v>
      </c>
      <c r="P6496">
        <v>7.7568390000000001E-2</v>
      </c>
      <c r="Q6496">
        <v>0.175736</v>
      </c>
      <c r="R6496">
        <v>-0.98137700000000005</v>
      </c>
      <c r="S6496">
        <v>0.90380859999999996</v>
      </c>
      <c r="T6496">
        <v>-5.9062839999999998E-2</v>
      </c>
      <c r="U6496">
        <v>-2.99234</v>
      </c>
      <c r="V6496">
        <v>-3.7532669999999997E-2</v>
      </c>
      <c r="W6496">
        <v>0.1866139</v>
      </c>
      <c r="X6496">
        <v>0.98171609999999998</v>
      </c>
      <c r="Y6496">
        <v>-0.24991089999999999</v>
      </c>
      <c r="Z6496">
        <v>7.9822699999999996E-3</v>
      </c>
      <c r="AA6496">
        <v>0.96823590000000004</v>
      </c>
      <c r="AB6496">
        <v>28</v>
      </c>
      <c r="AC6496">
        <v>16.8170999999999</v>
      </c>
      <c r="AD6496">
        <v>-1.09970704</v>
      </c>
      <c r="AE6496">
        <v>-55.431559999999998</v>
      </c>
      <c r="AF6496">
        <v>-14.543137242925299</v>
      </c>
      <c r="AG6496">
        <v>-1.09970704</v>
      </c>
      <c r="AH6496">
        <v>56.049553534379498</v>
      </c>
      <c r="AI6496">
        <v>91.087995441130701</v>
      </c>
      <c r="AJ6496">
        <v>104.54572987115399</v>
      </c>
      <c r="AK6496">
        <v>57.916013742691703</v>
      </c>
      <c r="AL6496">
        <v>79.244758880935905</v>
      </c>
      <c r="AM6496">
        <v>92.189448407885493</v>
      </c>
      <c r="AN6496">
        <v>0.99999997499487403</v>
      </c>
    </row>
    <row r="6497" spans="1:40" x14ac:dyDescent="0.25">
      <c r="A6497" t="str">
        <f>"20190303170419246"</f>
        <v>20190303170419246</v>
      </c>
      <c r="B6497" t="str">
        <f>"1551603859232284"</f>
        <v>1551603859232284</v>
      </c>
      <c r="C6497" t="s">
        <v>40</v>
      </c>
      <c r="D6497">
        <v>5.4067699999999999</v>
      </c>
      <c r="E6497">
        <v>0.3981229</v>
      </c>
      <c r="F6497" t="s">
        <v>78</v>
      </c>
      <c r="G6497">
        <v>-277.63290000000001</v>
      </c>
      <c r="H6497">
        <v>0.60475749999999995</v>
      </c>
      <c r="I6497">
        <v>-91.118549999999999</v>
      </c>
      <c r="J6497">
        <v>-303.04939999999999</v>
      </c>
      <c r="K6497">
        <v>1.12114</v>
      </c>
      <c r="L6497">
        <v>-15.233309999999999</v>
      </c>
      <c r="M6497">
        <v>4.0558549999999999E-2</v>
      </c>
      <c r="N6497">
        <v>-1.0792070000000001E-2</v>
      </c>
      <c r="O6497">
        <v>-0.99911899999999998</v>
      </c>
      <c r="P6497">
        <v>7.5629420000000003E-2</v>
      </c>
      <c r="Q6497">
        <v>0.17533199999999999</v>
      </c>
      <c r="R6497">
        <v>-0.98160040000000004</v>
      </c>
      <c r="S6497">
        <v>0.99548340000000002</v>
      </c>
      <c r="T6497">
        <v>-2.0216700000000001E-2</v>
      </c>
      <c r="U6497">
        <v>-2.9818730000000002</v>
      </c>
      <c r="V6497">
        <v>-3.5702619999999997E-2</v>
      </c>
      <c r="W6497">
        <v>0.18594959999999999</v>
      </c>
      <c r="X6497">
        <v>0.98191039999999996</v>
      </c>
      <c r="Y6497">
        <v>-0.27790239999999999</v>
      </c>
      <c r="Z6497">
        <v>-4.2587429999999997E-3</v>
      </c>
      <c r="AA6497">
        <v>0.96059989999999995</v>
      </c>
      <c r="AB6497">
        <v>28</v>
      </c>
      <c r="AC6497">
        <v>25.4164999999999</v>
      </c>
      <c r="AD6497">
        <v>-0.51638249999999997</v>
      </c>
      <c r="AE6497">
        <v>-75.885239999999996</v>
      </c>
      <c r="AF6497">
        <v>-22.3166806209348</v>
      </c>
      <c r="AG6497">
        <v>-0.51638249999999997</v>
      </c>
      <c r="AH6497">
        <v>76.850508259229699</v>
      </c>
      <c r="AI6497">
        <v>90.369710067689496</v>
      </c>
      <c r="AJ6497">
        <v>106.192811062882</v>
      </c>
      <c r="AK6497">
        <v>80.026879887479396</v>
      </c>
      <c r="AL6497">
        <v>79.283498632468905</v>
      </c>
      <c r="AM6497">
        <v>92.082378060356405</v>
      </c>
      <c r="AN6497">
        <v>0.99999998222159103</v>
      </c>
    </row>
    <row r="6498" spans="1:40" x14ac:dyDescent="0.25">
      <c r="A6498" t="str">
        <f>"20190303170419268"</f>
        <v>20190303170419268</v>
      </c>
      <c r="B6498" t="str">
        <f>"1551603859251804"</f>
        <v>1551603859251804</v>
      </c>
      <c r="C6498" t="s">
        <v>40</v>
      </c>
      <c r="D6498">
        <v>5.4151280000000002</v>
      </c>
      <c r="E6498">
        <v>0.3929281</v>
      </c>
      <c r="F6498" t="s">
        <v>78</v>
      </c>
      <c r="G6498">
        <v>-275.9479</v>
      </c>
      <c r="H6498">
        <v>1.2083170000000001</v>
      </c>
      <c r="I6498">
        <v>-90.976820000000004</v>
      </c>
      <c r="J6498">
        <v>-303.03820000000002</v>
      </c>
      <c r="K6498">
        <v>1.1210990000000001</v>
      </c>
      <c r="L6498">
        <v>-15.51169</v>
      </c>
      <c r="M6498">
        <v>4.0452130000000003E-2</v>
      </c>
      <c r="N6498">
        <v>-1.054455E-2</v>
      </c>
      <c r="O6498">
        <v>-0.99912599999999996</v>
      </c>
      <c r="P6498">
        <v>7.6909140000000001E-2</v>
      </c>
      <c r="Q6498">
        <v>0.17291779999999901</v>
      </c>
      <c r="R6498">
        <v>-0.98192900000000005</v>
      </c>
      <c r="S6498">
        <v>1.063995</v>
      </c>
      <c r="T6498">
        <v>3.4230950000000001E-3</v>
      </c>
      <c r="U6498">
        <v>-2.9736630000000002</v>
      </c>
      <c r="V6498">
        <v>-3.707498E-2</v>
      </c>
      <c r="W6498">
        <v>0.18329670000000001</v>
      </c>
      <c r="X6498">
        <v>0.98235830000000002</v>
      </c>
      <c r="Y6498">
        <v>-0.29848789999999997</v>
      </c>
      <c r="Z6498">
        <v>-1.1560340000000001E-2</v>
      </c>
      <c r="AA6498">
        <v>0.95434339999999995</v>
      </c>
      <c r="AB6498">
        <v>28</v>
      </c>
      <c r="AC6498">
        <v>27.090299999999999</v>
      </c>
      <c r="AD6498">
        <v>8.7218000000000004E-2</v>
      </c>
      <c r="AE6498">
        <v>-75.465129999999903</v>
      </c>
      <c r="AF6498">
        <v>-24.015200629197999</v>
      </c>
      <c r="AG6498">
        <v>8.7218000000000004E-2</v>
      </c>
      <c r="AH6498">
        <v>76.499183817961196</v>
      </c>
      <c r="AI6498">
        <v>89.937675074228395</v>
      </c>
      <c r="AJ6498">
        <v>107.428509497715</v>
      </c>
      <c r="AK6498">
        <v>80.180188282732104</v>
      </c>
      <c r="AL6498">
        <v>79.438157869143893</v>
      </c>
      <c r="AM6498">
        <v>92.161362279540896</v>
      </c>
      <c r="AN6498">
        <v>1.0000000319758799</v>
      </c>
    </row>
    <row r="6499" spans="1:40" x14ac:dyDescent="0.25">
      <c r="A6499" t="str">
        <f>"20190303170419290"</f>
        <v>20190303170419290</v>
      </c>
      <c r="B6499" t="str">
        <f>"1551603859282061"</f>
        <v>1551603859282061</v>
      </c>
      <c r="C6499" t="s">
        <v>40</v>
      </c>
      <c r="D6499">
        <v>5.3621109999999996</v>
      </c>
      <c r="E6499">
        <v>0.38833519999999999</v>
      </c>
      <c r="F6499" t="s">
        <v>78</v>
      </c>
      <c r="G6499">
        <v>-274.84249999999997</v>
      </c>
      <c r="H6499">
        <v>1.3350169999999999</v>
      </c>
      <c r="I6499">
        <v>-90.976820000000004</v>
      </c>
      <c r="J6499">
        <v>-303.02690000000001</v>
      </c>
      <c r="K6499">
        <v>1.121075</v>
      </c>
      <c r="L6499">
        <v>-15.79279</v>
      </c>
      <c r="M6499">
        <v>4.0350289999999997E-2</v>
      </c>
      <c r="N6499">
        <v>-1.030593E-2</v>
      </c>
      <c r="O6499">
        <v>-0.99913260000000004</v>
      </c>
      <c r="P6499">
        <v>7.6058899999999999E-2</v>
      </c>
      <c r="Q6499">
        <v>0.1718286</v>
      </c>
      <c r="R6499">
        <v>-0.98218660000000002</v>
      </c>
      <c r="S6499">
        <v>1.1085210000000001</v>
      </c>
      <c r="T6499">
        <v>8.4106919999999905E-3</v>
      </c>
      <c r="U6499">
        <v>-2.9669189999999999</v>
      </c>
      <c r="V6499">
        <v>-3.6316759999999997E-2</v>
      </c>
      <c r="W6499">
        <v>0.18197459999999999</v>
      </c>
      <c r="X6499">
        <v>0.98263230000000001</v>
      </c>
      <c r="Y6499">
        <v>-0.31186909999999901</v>
      </c>
      <c r="Z6499">
        <v>-1.2901320000000001E-2</v>
      </c>
      <c r="AA6499">
        <v>0.95003749999999998</v>
      </c>
      <c r="AB6499">
        <v>28</v>
      </c>
      <c r="AC6499">
        <v>28.1844</v>
      </c>
      <c r="AD6499">
        <v>0.21394199999999899</v>
      </c>
      <c r="AE6499">
        <v>-75.184029999999893</v>
      </c>
      <c r="AF6499">
        <v>-25.127407605210699</v>
      </c>
      <c r="AG6499">
        <v>0.21394199999999899</v>
      </c>
      <c r="AH6499">
        <v>76.259560817373099</v>
      </c>
      <c r="AI6499">
        <v>89.847334133980297</v>
      </c>
      <c r="AJ6499">
        <v>108.23697182820599</v>
      </c>
      <c r="AK6499">
        <v>80.292919987981406</v>
      </c>
      <c r="AL6499">
        <v>79.515203622118506</v>
      </c>
      <c r="AM6499">
        <v>92.116611100168797</v>
      </c>
      <c r="AN6499">
        <v>0.99999994955267202</v>
      </c>
    </row>
    <row r="6500" spans="1:40" x14ac:dyDescent="0.25">
      <c r="A6500" t="str">
        <f>"20190303170419313"</f>
        <v>20190303170419313</v>
      </c>
      <c r="B6500" t="str">
        <f>"1551603859302557"</f>
        <v>1551603859302557</v>
      </c>
      <c r="C6500" t="s">
        <v>40</v>
      </c>
      <c r="D6500">
        <v>5.3815600000000003</v>
      </c>
      <c r="E6500">
        <v>0.38600050000000002</v>
      </c>
      <c r="F6500" t="s">
        <v>78</v>
      </c>
      <c r="G6500">
        <v>-273.79289999999997</v>
      </c>
      <c r="H6500">
        <v>1.6428670000000001</v>
      </c>
      <c r="I6500">
        <v>-91.564989999999995</v>
      </c>
      <c r="J6500">
        <v>-303.01549999999997</v>
      </c>
      <c r="K6500">
        <v>1.121059</v>
      </c>
      <c r="L6500">
        <v>-16.07883</v>
      </c>
      <c r="M6500">
        <v>4.0250330000000001E-2</v>
      </c>
      <c r="N6500">
        <v>-1.0064689999999999E-2</v>
      </c>
      <c r="O6500">
        <v>-0.99913909999999995</v>
      </c>
      <c r="P6500">
        <v>7.3108199999999998E-2</v>
      </c>
      <c r="Q6500">
        <v>0.1708751</v>
      </c>
      <c r="R6500">
        <v>-0.98257700000000003</v>
      </c>
      <c r="S6500">
        <v>1.142914</v>
      </c>
      <c r="T6500">
        <v>2.0400169999999999E-2</v>
      </c>
      <c r="U6500">
        <v>-2.9623409999999999</v>
      </c>
      <c r="V6500">
        <v>-3.3452759999999998E-2</v>
      </c>
      <c r="W6500">
        <v>0.1807859</v>
      </c>
      <c r="X6500">
        <v>0.98295339999999998</v>
      </c>
      <c r="Y6500">
        <v>-0.32205289999999998</v>
      </c>
      <c r="Z6500">
        <v>-1.645131E-2</v>
      </c>
      <c r="AA6500">
        <v>0.9465787</v>
      </c>
      <c r="AB6500">
        <v>28</v>
      </c>
      <c r="AC6500">
        <v>29.2226</v>
      </c>
      <c r="AD6500">
        <v>0.52180799999999905</v>
      </c>
      <c r="AE6500">
        <v>-75.486159999999998</v>
      </c>
      <c r="AF6500">
        <v>-26.1593330607189</v>
      </c>
      <c r="AG6500">
        <v>0.52180799999999905</v>
      </c>
      <c r="AH6500">
        <v>76.598077409879295</v>
      </c>
      <c r="AI6500">
        <v>89.630636095920394</v>
      </c>
      <c r="AJ6500">
        <v>108.855765959992</v>
      </c>
      <c r="AK6500">
        <v>80.943489254296196</v>
      </c>
      <c r="AL6500">
        <v>79.584460486307805</v>
      </c>
      <c r="AM6500">
        <v>91.949189529706302</v>
      </c>
      <c r="AN6500">
        <v>1.0000000076809901</v>
      </c>
    </row>
    <row r="6501" spans="1:40" x14ac:dyDescent="0.25">
      <c r="A6501" t="str">
        <f>"20190303170419335"</f>
        <v>20190303170419335</v>
      </c>
      <c r="B6501" t="str">
        <f>"1551603859322077"</f>
        <v>1551603859322077</v>
      </c>
      <c r="C6501" t="s">
        <v>40</v>
      </c>
      <c r="D6501">
        <v>5.3621800000000004</v>
      </c>
      <c r="E6501">
        <v>0.38403530000000002</v>
      </c>
      <c r="F6501" t="s">
        <v>78</v>
      </c>
      <c r="G6501">
        <v>-273.63900000000001</v>
      </c>
      <c r="H6501">
        <v>1.8566990000000001</v>
      </c>
      <c r="I6501">
        <v>-91.564989999999995</v>
      </c>
      <c r="J6501">
        <v>-303.00470000000001</v>
      </c>
      <c r="K6501">
        <v>1.121038</v>
      </c>
      <c r="L6501">
        <v>-16.351559999999999</v>
      </c>
      <c r="M6501">
        <v>4.0156289999999997E-2</v>
      </c>
      <c r="N6501">
        <v>-9.8376490000000004E-3</v>
      </c>
      <c r="O6501">
        <v>-0.99914499999999995</v>
      </c>
      <c r="P6501">
        <v>7.0738549999999997E-2</v>
      </c>
      <c r="Q6501">
        <v>0.16971049999999999</v>
      </c>
      <c r="R6501">
        <v>-0.98295180000000004</v>
      </c>
      <c r="S6501">
        <v>1.152863</v>
      </c>
      <c r="T6501">
        <v>2.8870219999999999E-2</v>
      </c>
      <c r="U6501">
        <v>-2.962402</v>
      </c>
      <c r="V6501">
        <v>-3.116404E-2</v>
      </c>
      <c r="W6501">
        <v>0.179399799999999</v>
      </c>
      <c r="X6501">
        <v>0.98328249999999995</v>
      </c>
      <c r="Y6501">
        <v>-0.32488689999999998</v>
      </c>
      <c r="Z6501">
        <v>-1.8898140000000001E-2</v>
      </c>
      <c r="AA6501">
        <v>0.94556399999999996</v>
      </c>
      <c r="AB6501">
        <v>28</v>
      </c>
      <c r="AC6501">
        <v>29.3657</v>
      </c>
      <c r="AD6501">
        <v>0.73566100000000001</v>
      </c>
      <c r="AE6501">
        <v>-75.213430000000002</v>
      </c>
      <c r="AF6501">
        <v>-26.3193883839477</v>
      </c>
      <c r="AG6501">
        <v>0.73566100000000001</v>
      </c>
      <c r="AH6501">
        <v>76.325696357784295</v>
      </c>
      <c r="AI6501">
        <v>89.477939978336494</v>
      </c>
      <c r="AJ6501">
        <v>109.025728640103</v>
      </c>
      <c r="AK6501">
        <v>80.739478116425104</v>
      </c>
      <c r="AL6501">
        <v>79.665197979726699</v>
      </c>
      <c r="AM6501">
        <v>91.815318034928893</v>
      </c>
      <c r="AN6501">
        <v>0.99999998021770498</v>
      </c>
    </row>
    <row r="6502" spans="1:40" x14ac:dyDescent="0.25">
      <c r="A6502" t="str">
        <f>"20190303170419358"</f>
        <v>20190303170419358</v>
      </c>
      <c r="B6502" t="str">
        <f>"1551603859342573"</f>
        <v>1551603859342573</v>
      </c>
      <c r="C6502" t="s">
        <v>40</v>
      </c>
      <c r="D6502">
        <v>5.3468470000000003</v>
      </c>
      <c r="E6502">
        <v>0.38222099999999998</v>
      </c>
      <c r="F6502" t="s">
        <v>78</v>
      </c>
      <c r="G6502">
        <v>-273.5369</v>
      </c>
      <c r="H6502">
        <v>1.9470810000000001</v>
      </c>
      <c r="I6502">
        <v>-91.564989999999995</v>
      </c>
      <c r="J6502">
        <v>-302.9932</v>
      </c>
      <c r="K6502">
        <v>1.1210089999999999</v>
      </c>
      <c r="L6502">
        <v>-16.6387</v>
      </c>
      <c r="M6502">
        <v>4.0057929999999999E-2</v>
      </c>
      <c r="N6502">
        <v>-9.6139309999999992E-3</v>
      </c>
      <c r="O6502">
        <v>-0.99915149999999997</v>
      </c>
      <c r="P6502">
        <v>7.2073059999999994E-2</v>
      </c>
      <c r="Q6502">
        <v>0.16921889999999901</v>
      </c>
      <c r="R6502">
        <v>-0.98294000000000004</v>
      </c>
      <c r="S6502">
        <v>1.160828</v>
      </c>
      <c r="T6502">
        <v>3.2540920000000001E-2</v>
      </c>
      <c r="U6502">
        <v>-2.9628909999999999</v>
      </c>
      <c r="V6502">
        <v>-3.2595989999999998E-2</v>
      </c>
      <c r="W6502">
        <v>0.1786886</v>
      </c>
      <c r="X6502">
        <v>0.98336559999999995</v>
      </c>
      <c r="Y6502">
        <v>-0.32712770000000002</v>
      </c>
      <c r="Z6502">
        <v>-1.9826610000000001E-2</v>
      </c>
      <c r="AA6502">
        <v>0.9447721</v>
      </c>
      <c r="AB6502">
        <v>28</v>
      </c>
      <c r="AC6502">
        <v>29.456299999999999</v>
      </c>
      <c r="AD6502">
        <v>0.82607200000000003</v>
      </c>
      <c r="AE6502">
        <v>-74.926289999999995</v>
      </c>
      <c r="AF6502">
        <v>-26.428342966059699</v>
      </c>
      <c r="AG6502">
        <v>0.82607200000000003</v>
      </c>
      <c r="AH6502">
        <v>76.038152637504894</v>
      </c>
      <c r="AI6502">
        <v>89.412065232004693</v>
      </c>
      <c r="AJ6502">
        <v>109.16575801104599</v>
      </c>
      <c r="AK6502">
        <v>80.504287857264799</v>
      </c>
      <c r="AL6502">
        <v>79.706616310032402</v>
      </c>
      <c r="AM6502">
        <v>91.898509663524905</v>
      </c>
      <c r="AN6502">
        <v>1.0000000087987</v>
      </c>
    </row>
    <row r="6503" spans="1:40" x14ac:dyDescent="0.25">
      <c r="A6503" t="str">
        <f>"20190303170419379"</f>
        <v>20190303170419379</v>
      </c>
      <c r="B6503" t="str">
        <f>"1551603859371853"</f>
        <v>1551603859371853</v>
      </c>
      <c r="C6503" t="s">
        <v>40</v>
      </c>
      <c r="D6503">
        <v>5.3370670000000002</v>
      </c>
      <c r="E6503">
        <v>0.36806329999999998</v>
      </c>
      <c r="F6503" t="s">
        <v>78</v>
      </c>
      <c r="G6503">
        <v>-273.14060000000001</v>
      </c>
      <c r="H6503">
        <v>2.1037539999999999</v>
      </c>
      <c r="I6503">
        <v>-91.564989999999995</v>
      </c>
      <c r="J6503">
        <v>-302.98230000000001</v>
      </c>
      <c r="K6503">
        <v>1.120995</v>
      </c>
      <c r="L6503">
        <v>-16.91507</v>
      </c>
      <c r="M6503">
        <v>3.9962579999999998E-2</v>
      </c>
      <c r="N6503">
        <v>-9.4149809999999994E-3</v>
      </c>
      <c r="O6503">
        <v>-0.99915719999999997</v>
      </c>
      <c r="P6503">
        <v>7.2855420000000004E-2</v>
      </c>
      <c r="Q6503">
        <v>0.1710692</v>
      </c>
      <c r="R6503">
        <v>-0.98256200000000005</v>
      </c>
      <c r="S6503">
        <v>1.178925</v>
      </c>
      <c r="T6503">
        <v>3.8810610000000002E-2</v>
      </c>
      <c r="U6503">
        <v>-2.9589539999999999</v>
      </c>
      <c r="V6503">
        <v>-3.3486950000000001E-2</v>
      </c>
      <c r="W6503">
        <v>0.18034030000000001</v>
      </c>
      <c r="X6503">
        <v>0.98303410000000002</v>
      </c>
      <c r="Y6503">
        <v>-0.33262599999999998</v>
      </c>
      <c r="Z6503">
        <v>-2.159933E-2</v>
      </c>
      <c r="AA6503">
        <v>0.94281139999999997</v>
      </c>
      <c r="AB6503">
        <v>28</v>
      </c>
      <c r="AC6503">
        <v>29.841699999999999</v>
      </c>
      <c r="AD6503">
        <v>0.98275900000000005</v>
      </c>
      <c r="AE6503">
        <v>-74.649919999999995</v>
      </c>
      <c r="AF6503">
        <v>-26.830515772827901</v>
      </c>
      <c r="AG6503">
        <v>0.98275900000000005</v>
      </c>
      <c r="AH6503">
        <v>75.771563535723303</v>
      </c>
      <c r="AI6503">
        <v>89.299527296032494</v>
      </c>
      <c r="AJ6503">
        <v>109.498923499694</v>
      </c>
      <c r="AK6503">
        <v>80.387637311568</v>
      </c>
      <c r="AL6503">
        <v>79.610418277917105</v>
      </c>
      <c r="AM6503">
        <v>91.951020082877903</v>
      </c>
      <c r="AN6503">
        <v>1.0000000206935999</v>
      </c>
    </row>
    <row r="6504" spans="1:40" x14ac:dyDescent="0.25">
      <c r="A6504" t="str">
        <f>"20190303170419402"</f>
        <v>20190303170419402</v>
      </c>
      <c r="B6504" t="str">
        <f>"1551603859392349"</f>
        <v>1551603859392349</v>
      </c>
      <c r="C6504" t="s">
        <v>40</v>
      </c>
      <c r="D6504">
        <v>5.3308609999999996</v>
      </c>
      <c r="E6504">
        <v>0.3676007</v>
      </c>
      <c r="F6504" t="s">
        <v>78</v>
      </c>
      <c r="G6504">
        <v>-274.8399</v>
      </c>
      <c r="H6504">
        <v>3.0219420000000001</v>
      </c>
      <c r="I6504">
        <v>-80.970600000000005</v>
      </c>
      <c r="J6504">
        <v>-302.971</v>
      </c>
      <c r="K6504">
        <v>1.1209789999999999</v>
      </c>
      <c r="L6504">
        <v>-17.20007</v>
      </c>
      <c r="M6504">
        <v>3.9863830000000003E-2</v>
      </c>
      <c r="N6504">
        <v>-9.2104820000000007E-3</v>
      </c>
      <c r="O6504">
        <v>-0.99916289999999996</v>
      </c>
      <c r="P6504">
        <v>7.0878499999999997E-2</v>
      </c>
      <c r="Q6504">
        <v>0.1729154</v>
      </c>
      <c r="R6504">
        <v>-0.98238329999999996</v>
      </c>
      <c r="S6504">
        <v>1.2926329999999999</v>
      </c>
      <c r="T6504">
        <v>8.7314959999999997E-2</v>
      </c>
      <c r="U6504">
        <v>-2.9422000000000001</v>
      </c>
      <c r="V6504">
        <v>-3.1616230000000002E-2</v>
      </c>
      <c r="W6504">
        <v>0.18198259999999999</v>
      </c>
      <c r="X6504">
        <v>0.98279329999999998</v>
      </c>
      <c r="Y6504">
        <v>-0.36517759999999999</v>
      </c>
      <c r="Z6504">
        <v>-3.6472539999999998E-2</v>
      </c>
      <c r="AA6504">
        <v>0.93022309999999997</v>
      </c>
      <c r="AB6504">
        <v>28</v>
      </c>
      <c r="AC6504">
        <v>28.1311</v>
      </c>
      <c r="AD6504">
        <v>1.90096299999999</v>
      </c>
      <c r="AE6504">
        <v>-63.770530000000001</v>
      </c>
      <c r="AF6504">
        <v>-25.547488949032299</v>
      </c>
      <c r="AG6504">
        <v>1.90096299999999</v>
      </c>
      <c r="AH6504">
        <v>64.793100153687703</v>
      </c>
      <c r="AI6504">
        <v>88.4365611243026</v>
      </c>
      <c r="AJ6504">
        <v>111.51898827909901</v>
      </c>
      <c r="AK6504">
        <v>69.673766077729098</v>
      </c>
      <c r="AL6504">
        <v>79.514737600210196</v>
      </c>
      <c r="AM6504">
        <v>91.842556349905607</v>
      </c>
      <c r="AN6504">
        <v>0.99999996161353</v>
      </c>
    </row>
    <row r="6505" spans="1:40" x14ac:dyDescent="0.25">
      <c r="A6505" t="str">
        <f>"20190303170419424"</f>
        <v>20190303170419424</v>
      </c>
      <c r="B6505" t="str">
        <f>"1551603859411869"</f>
        <v>1551603859411869</v>
      </c>
      <c r="C6505" t="s">
        <v>40</v>
      </c>
      <c r="D6505">
        <v>5.3430989999999996</v>
      </c>
      <c r="E6505">
        <v>0.36685800000000002</v>
      </c>
      <c r="F6505" t="s">
        <v>78</v>
      </c>
      <c r="G6505">
        <v>-274.8399</v>
      </c>
      <c r="H6505">
        <v>3.2061890000000002</v>
      </c>
      <c r="I6505">
        <v>-81.30547</v>
      </c>
      <c r="J6505">
        <v>-302.95960000000002</v>
      </c>
      <c r="K6505">
        <v>1.1209579999999999</v>
      </c>
      <c r="L6505">
        <v>-17.4895</v>
      </c>
      <c r="M6505">
        <v>3.9762279999999997E-2</v>
      </c>
      <c r="N6505">
        <v>-9.0055969999999902E-3</v>
      </c>
      <c r="O6505">
        <v>-0.99916879999999997</v>
      </c>
      <c r="P6505">
        <v>6.6778519999999994E-2</v>
      </c>
      <c r="Q6505">
        <v>0.1712882</v>
      </c>
      <c r="R6505">
        <v>-0.98295560000000004</v>
      </c>
      <c r="S6505">
        <v>1.291779</v>
      </c>
      <c r="T6505">
        <v>9.5753669999999999E-2</v>
      </c>
      <c r="U6505">
        <v>-2.9437259999999998</v>
      </c>
      <c r="V6505">
        <v>-2.759752E-2</v>
      </c>
      <c r="W6505">
        <v>0.18015639999999999</v>
      </c>
      <c r="X6505">
        <v>0.98325070000000003</v>
      </c>
      <c r="Y6505">
        <v>-0.36483529999999997</v>
      </c>
      <c r="Z6505">
        <v>-3.88989E-2</v>
      </c>
      <c r="AA6505">
        <v>0.93025919999999895</v>
      </c>
      <c r="AB6505">
        <v>29</v>
      </c>
      <c r="AC6505">
        <v>28.119700000000002</v>
      </c>
      <c r="AD6505">
        <v>2.0852309999999998</v>
      </c>
      <c r="AE6505">
        <v>-63.815969999999901</v>
      </c>
      <c r="AF6505">
        <v>-25.537056709591099</v>
      </c>
      <c r="AG6505">
        <v>2.0852309999999998</v>
      </c>
      <c r="AH6505">
        <v>64.825685976827103</v>
      </c>
      <c r="AI6505">
        <v>88.285748838326001</v>
      </c>
      <c r="AJ6505">
        <v>111.50117821453399</v>
      </c>
      <c r="AK6505">
        <v>69.705516396325706</v>
      </c>
      <c r="AL6505">
        <v>79.621129633328806</v>
      </c>
      <c r="AM6505">
        <v>91.607734825550907</v>
      </c>
      <c r="AN6505">
        <v>0.99999994531079806</v>
      </c>
    </row>
    <row r="6506" spans="1:40" x14ac:dyDescent="0.25">
      <c r="A6506" t="str">
        <f>"20190303170419447"</f>
        <v>20190303170419447</v>
      </c>
      <c r="B6506" t="str">
        <f>"1551603859442125"</f>
        <v>1551603859442125</v>
      </c>
      <c r="C6506" t="s">
        <v>40</v>
      </c>
      <c r="D6506">
        <v>5.2531980000000003</v>
      </c>
      <c r="E6506">
        <v>0.36608420000000003</v>
      </c>
      <c r="F6506" t="s">
        <v>78</v>
      </c>
      <c r="G6506">
        <v>-274.8399</v>
      </c>
      <c r="H6506">
        <v>3.1017860000000002</v>
      </c>
      <c r="I6506">
        <v>-81.973690000000005</v>
      </c>
      <c r="J6506">
        <v>-302.94779999999997</v>
      </c>
      <c r="K6506">
        <v>1.120927</v>
      </c>
      <c r="L6506">
        <v>-17.78848</v>
      </c>
      <c r="M6506">
        <v>3.9656259999999999E-2</v>
      </c>
      <c r="N6506">
        <v>-8.8027680000000007E-3</v>
      </c>
      <c r="O6506">
        <v>-0.99917449999999997</v>
      </c>
      <c r="P6506">
        <v>6.4583050000000003E-2</v>
      </c>
      <c r="Q6506">
        <v>0.16768739999999999</v>
      </c>
      <c r="R6506">
        <v>-0.9837226</v>
      </c>
      <c r="S6506">
        <v>1.285919</v>
      </c>
      <c r="T6506">
        <v>9.0584520000000002E-2</v>
      </c>
      <c r="U6506">
        <v>-2.9488829999999999</v>
      </c>
      <c r="V6506">
        <v>-2.5479160000000001E-2</v>
      </c>
      <c r="W6506">
        <v>0.17636199999999999</v>
      </c>
      <c r="X6506">
        <v>0.98399559999999997</v>
      </c>
      <c r="Y6506">
        <v>-0.3628073</v>
      </c>
      <c r="Z6506">
        <v>-3.7059590000000003E-2</v>
      </c>
      <c r="AA6506">
        <v>0.93112700000000004</v>
      </c>
      <c r="AB6506">
        <v>29</v>
      </c>
      <c r="AC6506">
        <v>28.107899999999901</v>
      </c>
      <c r="AD6506">
        <v>1.9808589999999999</v>
      </c>
      <c r="AE6506">
        <v>-64.185209999999998</v>
      </c>
      <c r="AF6506">
        <v>-25.519948816756202</v>
      </c>
      <c r="AG6506">
        <v>1.9808589999999999</v>
      </c>
      <c r="AH6506">
        <v>65.197309992274199</v>
      </c>
      <c r="AI6506">
        <v>88.379400844552194</v>
      </c>
      <c r="AJ6506">
        <v>111.376686867367</v>
      </c>
      <c r="AK6506">
        <v>70.041993262730799</v>
      </c>
      <c r="AL6506">
        <v>79.842072591672206</v>
      </c>
      <c r="AM6506">
        <v>91.483260900563096</v>
      </c>
      <c r="AN6506">
        <v>1.0000000417288299</v>
      </c>
    </row>
    <row r="6507" spans="1:40" x14ac:dyDescent="0.25">
      <c r="A6507" t="str">
        <f>"20190303170419472"</f>
        <v>20190303170419472</v>
      </c>
      <c r="B6507" t="str">
        <f>"1551603859462621"</f>
        <v>1551603859462621</v>
      </c>
      <c r="C6507" t="s">
        <v>40</v>
      </c>
      <c r="D6507">
        <v>5.2402379999999997</v>
      </c>
      <c r="E6507">
        <v>0.36519410000000002</v>
      </c>
      <c r="F6507" t="s">
        <v>78</v>
      </c>
      <c r="G6507">
        <v>-274.8399</v>
      </c>
      <c r="H6507">
        <v>2.8448220000000002</v>
      </c>
      <c r="I6507">
        <v>-82.377039999999994</v>
      </c>
      <c r="J6507">
        <v>-302.93549999999999</v>
      </c>
      <c r="K6507">
        <v>1.1208959999999999</v>
      </c>
      <c r="L6507">
        <v>-18.101289999999999</v>
      </c>
      <c r="M6507">
        <v>3.954473E-2</v>
      </c>
      <c r="N6507">
        <v>-8.5985030000000004E-3</v>
      </c>
      <c r="O6507">
        <v>-0.99918070000000003</v>
      </c>
      <c r="P6507">
        <v>6.3633780000000001E-2</v>
      </c>
      <c r="Q6507">
        <v>0.16736029999999999</v>
      </c>
      <c r="R6507">
        <v>-0.9838403</v>
      </c>
      <c r="S6507">
        <v>1.2846070000000001</v>
      </c>
      <c r="T6507">
        <v>7.8787330000000003E-2</v>
      </c>
      <c r="U6507">
        <v>-2.9518740000000001</v>
      </c>
      <c r="V6507">
        <v>-2.4635540000000001E-2</v>
      </c>
      <c r="W6507">
        <v>0.1758344</v>
      </c>
      <c r="X6507">
        <v>0.98411139999999997</v>
      </c>
      <c r="Y6507">
        <v>-0.36226639999999999</v>
      </c>
      <c r="Z6507">
        <v>-3.315311E-2</v>
      </c>
      <c r="AA6507">
        <v>0.9314848</v>
      </c>
      <c r="AB6507">
        <v>29</v>
      </c>
      <c r="AC6507">
        <v>28.095599999999902</v>
      </c>
      <c r="AD6507">
        <v>1.7239260000000001</v>
      </c>
      <c r="AE6507">
        <v>-64.275750000000002</v>
      </c>
      <c r="AF6507">
        <v>-25.516349791939199</v>
      </c>
      <c r="AG6507">
        <v>1.7239260000000001</v>
      </c>
      <c r="AH6507">
        <v>65.297107205686004</v>
      </c>
      <c r="AI6507">
        <v>88.591356890075105</v>
      </c>
      <c r="AJ6507">
        <v>111.344218609975</v>
      </c>
      <c r="AK6507">
        <v>70.126801131870593</v>
      </c>
      <c r="AL6507">
        <v>79.872780777006895</v>
      </c>
      <c r="AM6507">
        <v>91.434002014620603</v>
      </c>
      <c r="AN6507">
        <v>0.99999994683220395</v>
      </c>
    </row>
    <row r="6508" spans="1:40" x14ac:dyDescent="0.25">
      <c r="A6508" t="str">
        <f>"20190303170419492"</f>
        <v>20190303170419492</v>
      </c>
      <c r="B6508" t="str">
        <f>"1551603859482142"</f>
        <v>1551603859482142</v>
      </c>
      <c r="C6508" t="s">
        <v>40</v>
      </c>
      <c r="D6508">
        <v>5.3942899999999998</v>
      </c>
      <c r="E6508">
        <v>0.34228180000000002</v>
      </c>
      <c r="F6508" t="s">
        <v>78</v>
      </c>
      <c r="G6508">
        <v>-274.8399</v>
      </c>
      <c r="H6508">
        <v>2.8401830000000001</v>
      </c>
      <c r="I6508">
        <v>-82.456310000000002</v>
      </c>
      <c r="J6508">
        <v>-302.92540000000002</v>
      </c>
      <c r="K6508">
        <v>1.120886</v>
      </c>
      <c r="L6508">
        <v>-18.3598</v>
      </c>
      <c r="M6508">
        <v>3.945237E-2</v>
      </c>
      <c r="N6508">
        <v>-8.4423810000000005E-3</v>
      </c>
      <c r="O6508">
        <v>-0.99918600000000002</v>
      </c>
      <c r="P6508">
        <v>6.3171019999999994E-2</v>
      </c>
      <c r="Q6508">
        <v>0.17139839999999901</v>
      </c>
      <c r="R6508">
        <v>-0.98317469999999996</v>
      </c>
      <c r="S6508">
        <v>1.2889710000000001</v>
      </c>
      <c r="T6508">
        <v>7.8878160000000003E-2</v>
      </c>
      <c r="U6508">
        <v>-2.9524840000000001</v>
      </c>
      <c r="V6508">
        <v>-2.428928E-2</v>
      </c>
      <c r="W6508">
        <v>0.1797127</v>
      </c>
      <c r="X6508">
        <v>0.98341920000000005</v>
      </c>
      <c r="Y6508">
        <v>-0.3634406</v>
      </c>
      <c r="Z6508">
        <v>-3.300935E-2</v>
      </c>
      <c r="AA6508">
        <v>0.93103239999999998</v>
      </c>
      <c r="AB6508">
        <v>29</v>
      </c>
      <c r="AC6508">
        <v>28.0855</v>
      </c>
      <c r="AD6508">
        <v>1.7192970000000001</v>
      </c>
      <c r="AE6508">
        <v>-64.096509999999995</v>
      </c>
      <c r="AF6508">
        <v>-25.5193799355492</v>
      </c>
      <c r="AG6508">
        <v>1.7192970000000001</v>
      </c>
      <c r="AH6508">
        <v>65.115378646514401</v>
      </c>
      <c r="AI6508">
        <v>88.591761913816896</v>
      </c>
      <c r="AJ6508">
        <v>111.400718586332</v>
      </c>
      <c r="AK6508">
        <v>69.958611126494404</v>
      </c>
      <c r="AL6508">
        <v>79.646973875129902</v>
      </c>
      <c r="AM6508">
        <v>91.414849686685102</v>
      </c>
      <c r="AN6508">
        <v>0.99999997329642298</v>
      </c>
    </row>
    <row r="6509" spans="1:40" x14ac:dyDescent="0.25">
      <c r="A6509" t="str">
        <f>"20190303170419513"</f>
        <v>20190303170419513</v>
      </c>
      <c r="B6509" t="str">
        <f>"1551603859502637"</f>
        <v>1551603859502637</v>
      </c>
      <c r="C6509" t="s">
        <v>40</v>
      </c>
      <c r="D6509">
        <v>5.3745059999999896</v>
      </c>
      <c r="E6509">
        <v>0.34037240000000002</v>
      </c>
      <c r="F6509" t="s">
        <v>78</v>
      </c>
      <c r="G6509">
        <v>-266.2638</v>
      </c>
      <c r="H6509">
        <v>4.4330889999999998</v>
      </c>
      <c r="I6509">
        <v>-91.564989999999995</v>
      </c>
      <c r="J6509">
        <v>-302.91469999999998</v>
      </c>
      <c r="K6509">
        <v>1.1208819999999999</v>
      </c>
      <c r="L6509">
        <v>-18.632999999999999</v>
      </c>
      <c r="M6509">
        <v>3.9354800000000002E-2</v>
      </c>
      <c r="N6509">
        <v>-8.2881859999999995E-3</v>
      </c>
      <c r="O6509">
        <v>-0.99919100000000005</v>
      </c>
      <c r="P6509">
        <v>6.0388299999999999E-2</v>
      </c>
      <c r="Q6509">
        <v>0.17368</v>
      </c>
      <c r="R6509">
        <v>-0.98294930000000003</v>
      </c>
      <c r="S6509">
        <v>1.4692689999999999</v>
      </c>
      <c r="T6509">
        <v>0.132742</v>
      </c>
      <c r="U6509">
        <v>-2.9338069999999998</v>
      </c>
      <c r="V6509">
        <v>-2.1612860000000001E-2</v>
      </c>
      <c r="W6509">
        <v>0.18183959999999999</v>
      </c>
      <c r="X6509">
        <v>0.98309060000000004</v>
      </c>
      <c r="Y6509">
        <v>-0.41176970000000002</v>
      </c>
      <c r="Z6509">
        <v>-4.8937670000000003E-2</v>
      </c>
      <c r="AA6509">
        <v>0.90997300000000003</v>
      </c>
      <c r="AB6509">
        <v>29</v>
      </c>
      <c r="AC6509">
        <v>36.650899999999901</v>
      </c>
      <c r="AD6509">
        <v>3.3122069999999999</v>
      </c>
      <c r="AE6509">
        <v>-72.931989999999999</v>
      </c>
      <c r="AF6509">
        <v>-33.6966949961121</v>
      </c>
      <c r="AG6509">
        <v>3.3122069999999999</v>
      </c>
      <c r="AH6509">
        <v>74.195748050610405</v>
      </c>
      <c r="AI6509">
        <v>87.672436738882197</v>
      </c>
      <c r="AJ6509">
        <v>114.42561945946601</v>
      </c>
      <c r="AK6509">
        <v>81.556403780828404</v>
      </c>
      <c r="AL6509">
        <v>79.523069712316797</v>
      </c>
      <c r="AM6509">
        <v>91.259422290596405</v>
      </c>
      <c r="AN6509">
        <v>0.99999994182694796</v>
      </c>
    </row>
    <row r="6510" spans="1:40" x14ac:dyDescent="0.25">
      <c r="A6510" t="str">
        <f>"20190303170419536"</f>
        <v>20190303170419536</v>
      </c>
      <c r="B6510" t="str">
        <f>"1551603859531917"</f>
        <v>1551603859531917</v>
      </c>
      <c r="C6510" t="s">
        <v>40</v>
      </c>
      <c r="D6510">
        <v>5.4083410000000001</v>
      </c>
      <c r="E6510">
        <v>0.33848010000000001</v>
      </c>
      <c r="F6510" t="s">
        <v>78</v>
      </c>
      <c r="G6510">
        <v>-266.20760000000001</v>
      </c>
      <c r="H6510">
        <v>4.8015819999999998</v>
      </c>
      <c r="I6510">
        <v>-91.564989999999995</v>
      </c>
      <c r="J6510">
        <v>-302.90320000000003</v>
      </c>
      <c r="K6510">
        <v>1.1208579999999999</v>
      </c>
      <c r="L6510">
        <v>-18.930299999999999</v>
      </c>
      <c r="M6510">
        <v>3.924826E-2</v>
      </c>
      <c r="N6510">
        <v>-8.1284089999999996E-3</v>
      </c>
      <c r="O6510">
        <v>-0.99919650000000004</v>
      </c>
      <c r="P6510">
        <v>5.8194139999999998E-2</v>
      </c>
      <c r="Q6510">
        <v>0.17264699999999999</v>
      </c>
      <c r="R6510">
        <v>-0.98326309999999995</v>
      </c>
      <c r="S6510">
        <v>1.4772639999999999</v>
      </c>
      <c r="T6510">
        <v>0.14812890000000001</v>
      </c>
      <c r="U6510">
        <v>-2.93512</v>
      </c>
      <c r="V6510">
        <v>-1.9512829999999998E-2</v>
      </c>
      <c r="W6510">
        <v>0.18065129999999999</v>
      </c>
      <c r="X6510">
        <v>0.98335360000000005</v>
      </c>
      <c r="Y6510">
        <v>-0.41358679999999898</v>
      </c>
      <c r="Z6510">
        <v>-5.3425640000000003E-2</v>
      </c>
      <c r="AA6510">
        <v>0.90889589999999998</v>
      </c>
      <c r="AB6510">
        <v>29</v>
      </c>
      <c r="AC6510">
        <v>36.695599999999999</v>
      </c>
      <c r="AD6510">
        <v>3.6807240000000001</v>
      </c>
      <c r="AE6510">
        <v>-72.634690000000006</v>
      </c>
      <c r="AF6510">
        <v>-33.747405753916098</v>
      </c>
      <c r="AG6510">
        <v>3.6807240000000001</v>
      </c>
      <c r="AH6510">
        <v>73.867890974691903</v>
      </c>
      <c r="AI6510">
        <v>87.404985609431407</v>
      </c>
      <c r="AJ6510">
        <v>114.55384246428299</v>
      </c>
      <c r="AK6510">
        <v>81.295144020615396</v>
      </c>
      <c r="AL6510">
        <v>79.592301235054805</v>
      </c>
      <c r="AM6510">
        <v>91.136779386342596</v>
      </c>
      <c r="AN6510">
        <v>0.99999997267962903</v>
      </c>
    </row>
    <row r="6511" spans="1:40" x14ac:dyDescent="0.25">
      <c r="A6511" t="str">
        <f>"20190303170419558"</f>
        <v>20190303170419558</v>
      </c>
      <c r="B6511" t="str">
        <f>"1551603859552413"</f>
        <v>1551603859552413</v>
      </c>
      <c r="C6511" t="s">
        <v>40</v>
      </c>
      <c r="D6511">
        <v>5.3712710000000001</v>
      </c>
      <c r="E6511">
        <v>0.33696470000000001</v>
      </c>
      <c r="F6511" t="s">
        <v>78</v>
      </c>
      <c r="G6511">
        <v>-266.154</v>
      </c>
      <c r="H6511">
        <v>4.8707479999999999</v>
      </c>
      <c r="I6511">
        <v>-91.564989999999995</v>
      </c>
      <c r="J6511">
        <v>-302.89179999999999</v>
      </c>
      <c r="K6511">
        <v>1.1208199999999999</v>
      </c>
      <c r="L6511">
        <v>-19.221070000000001</v>
      </c>
      <c r="M6511">
        <v>3.9141170000000003E-2</v>
      </c>
      <c r="N6511">
        <v>-7.9753329999999994E-3</v>
      </c>
      <c r="O6511">
        <v>-0.99920220000000004</v>
      </c>
      <c r="P6511">
        <v>5.675616E-2</v>
      </c>
      <c r="Q6511">
        <v>0.1698655</v>
      </c>
      <c r="R6511">
        <v>-0.98383220000000005</v>
      </c>
      <c r="S6511">
        <v>1.4857180000000001</v>
      </c>
      <c r="T6511">
        <v>0.15160360000000001</v>
      </c>
      <c r="U6511">
        <v>-2.9365230000000002</v>
      </c>
      <c r="V6511">
        <v>-1.8160039999999999E-2</v>
      </c>
      <c r="W6511">
        <v>0.17772249999999901</v>
      </c>
      <c r="X6511">
        <v>0.98391309999999998</v>
      </c>
      <c r="Y6511">
        <v>-0.41557509999999998</v>
      </c>
      <c r="Z6511">
        <v>-5.4265880000000002E-2</v>
      </c>
      <c r="AA6511">
        <v>0.90793869999999999</v>
      </c>
      <c r="AB6511">
        <v>29</v>
      </c>
      <c r="AC6511">
        <v>36.737799999999901</v>
      </c>
      <c r="AD6511">
        <v>3.7499280000000002</v>
      </c>
      <c r="AE6511">
        <v>-72.343919999999997</v>
      </c>
      <c r="AF6511">
        <v>-33.805721850665698</v>
      </c>
      <c r="AG6511">
        <v>3.7499280000000002</v>
      </c>
      <c r="AH6511">
        <v>73.569340170510998</v>
      </c>
      <c r="AI6511">
        <v>87.348205511472997</v>
      </c>
      <c r="AJ6511">
        <v>114.67917333785999</v>
      </c>
      <c r="AK6511">
        <v>81.051444175746298</v>
      </c>
      <c r="AL6511">
        <v>79.762870436555801</v>
      </c>
      <c r="AM6511">
        <v>91.057385576723803</v>
      </c>
      <c r="AN6511">
        <v>1.0000000312053301</v>
      </c>
    </row>
    <row r="6512" spans="1:40" x14ac:dyDescent="0.25">
      <c r="A6512" t="str">
        <f>"20190303170419580"</f>
        <v>20190303170419580</v>
      </c>
      <c r="B6512" t="str">
        <f>"1551603859571934"</f>
        <v>1551603859571934</v>
      </c>
      <c r="C6512" t="s">
        <v>40</v>
      </c>
      <c r="D6512">
        <v>5.3859570000000003</v>
      </c>
      <c r="E6512">
        <v>0.33579999999999999</v>
      </c>
      <c r="F6512" t="s">
        <v>78</v>
      </c>
      <c r="G6512">
        <v>-266.15519999999998</v>
      </c>
      <c r="H6512">
        <v>4.7060899999999997</v>
      </c>
      <c r="I6512">
        <v>-91.564989999999995</v>
      </c>
      <c r="J6512">
        <v>-302.88080000000002</v>
      </c>
      <c r="K6512">
        <v>1.120798</v>
      </c>
      <c r="L6512">
        <v>-19.507840000000002</v>
      </c>
      <c r="M6512">
        <v>3.903359E-2</v>
      </c>
      <c r="N6512">
        <v>-7.8346779999999994E-3</v>
      </c>
      <c r="O6512">
        <v>-0.99920719999999996</v>
      </c>
      <c r="P6512">
        <v>5.477895E-2</v>
      </c>
      <c r="Q6512">
        <v>0.16884479999999999</v>
      </c>
      <c r="R6512">
        <v>-0.98411950000000004</v>
      </c>
      <c r="S6512">
        <v>1.4919739999999999</v>
      </c>
      <c r="T6512">
        <v>0.14560789999999901</v>
      </c>
      <c r="U6512">
        <v>-2.9380799999999998</v>
      </c>
      <c r="V6512">
        <v>-1.6278339999999999E-2</v>
      </c>
      <c r="W6512">
        <v>0.17656479999999999</v>
      </c>
      <c r="X6512">
        <v>0.98415439999999998</v>
      </c>
      <c r="Y6512">
        <v>-0.4170623</v>
      </c>
      <c r="Z6512">
        <v>-5.2240759999999997E-2</v>
      </c>
      <c r="AA6512">
        <v>0.9073753</v>
      </c>
      <c r="AB6512">
        <v>29</v>
      </c>
      <c r="AC6512">
        <v>36.7256</v>
      </c>
      <c r="AD6512">
        <v>3.5852919999999999</v>
      </c>
      <c r="AE6512">
        <v>-72.057149999999993</v>
      </c>
      <c r="AF6512">
        <v>-33.818414494036297</v>
      </c>
      <c r="AG6512">
        <v>3.5852919999999999</v>
      </c>
      <c r="AH6512">
        <v>73.291775463735107</v>
      </c>
      <c r="AI6512">
        <v>87.456731144336104</v>
      </c>
      <c r="AJ6512">
        <v>114.76962446730499</v>
      </c>
      <c r="AK6512">
        <v>80.7974246386744</v>
      </c>
      <c r="AL6512">
        <v>79.830267307701504</v>
      </c>
      <c r="AM6512">
        <v>90.947610595838597</v>
      </c>
      <c r="AN6512">
        <v>0.99999999799577699</v>
      </c>
    </row>
    <row r="6513" spans="1:40" x14ac:dyDescent="0.25">
      <c r="A6513" t="str">
        <f>"20190303170419603"</f>
        <v>20190303170419603</v>
      </c>
      <c r="B6513" t="str">
        <f>"1551603859592430"</f>
        <v>1551603859592430</v>
      </c>
      <c r="C6513" t="s">
        <v>40</v>
      </c>
      <c r="D6513">
        <v>5.3539079999999997</v>
      </c>
      <c r="E6513">
        <v>0.33504119999999998</v>
      </c>
      <c r="F6513" t="s">
        <v>78</v>
      </c>
      <c r="G6513">
        <v>-266.24639999999999</v>
      </c>
      <c r="H6513">
        <v>4.7112270000000001</v>
      </c>
      <c r="I6513">
        <v>-91.564989999999995</v>
      </c>
      <c r="J6513">
        <v>-302.86939999999998</v>
      </c>
      <c r="K6513">
        <v>1.120787</v>
      </c>
      <c r="L6513">
        <v>-19.80301</v>
      </c>
      <c r="M6513">
        <v>3.8919969999999998E-2</v>
      </c>
      <c r="N6513">
        <v>-7.698852E-3</v>
      </c>
      <c r="O6513">
        <v>-0.99921269999999995</v>
      </c>
      <c r="P6513">
        <v>4.9927810000000003E-2</v>
      </c>
      <c r="Q6513">
        <v>0.1703846</v>
      </c>
      <c r="R6513">
        <v>-0.98411199999999999</v>
      </c>
      <c r="S6513">
        <v>1.4947509999999999</v>
      </c>
      <c r="T6513">
        <v>0.14649670000000001</v>
      </c>
      <c r="U6513">
        <v>-2.9400629999999999</v>
      </c>
      <c r="V6513">
        <v>-1.154203E-2</v>
      </c>
      <c r="W6513">
        <v>0.1779684</v>
      </c>
      <c r="X6513">
        <v>0.98396850000000002</v>
      </c>
      <c r="Y6513">
        <v>-0.4175971</v>
      </c>
      <c r="Z6513">
        <v>-5.2336069999999998E-2</v>
      </c>
      <c r="AA6513">
        <v>0.90712380000000004</v>
      </c>
      <c r="AB6513">
        <v>29</v>
      </c>
      <c r="AC6513">
        <v>36.622999999999898</v>
      </c>
      <c r="AD6513">
        <v>3.5904400000000001</v>
      </c>
      <c r="AE6513">
        <v>-71.761979999999994</v>
      </c>
      <c r="AF6513">
        <v>-33.735194912093696</v>
      </c>
      <c r="AG6513">
        <v>3.5904400000000001</v>
      </c>
      <c r="AH6513">
        <v>72.988058007502005</v>
      </c>
      <c r="AI6513">
        <v>87.443258062495303</v>
      </c>
      <c r="AJ6513">
        <v>114.806453926046</v>
      </c>
      <c r="AK6513">
        <v>80.487335940861101</v>
      </c>
      <c r="AL6513">
        <v>79.748552732064795</v>
      </c>
      <c r="AM6513">
        <v>90.672053300077295</v>
      </c>
      <c r="AN6513">
        <v>0.99999998942366497</v>
      </c>
    </row>
    <row r="6514" spans="1:40" x14ac:dyDescent="0.25">
      <c r="A6514" t="str">
        <f>"20190303170419625"</f>
        <v>20190303170419625</v>
      </c>
      <c r="B6514" t="str">
        <f>"1551603859611949"</f>
        <v>1551603859611949</v>
      </c>
      <c r="C6514" t="s">
        <v>40</v>
      </c>
      <c r="D6514">
        <v>5.6492069999999996</v>
      </c>
      <c r="E6514">
        <v>0.33469349999999998</v>
      </c>
      <c r="F6514" t="s">
        <v>78</v>
      </c>
      <c r="G6514">
        <v>-272.25299999999999</v>
      </c>
      <c r="H6514">
        <v>4.3226339999999999</v>
      </c>
      <c r="I6514">
        <v>-80.464519999999993</v>
      </c>
      <c r="J6514">
        <v>-302.858</v>
      </c>
      <c r="K6514">
        <v>1.1207780000000001</v>
      </c>
      <c r="L6514">
        <v>-20.098420000000001</v>
      </c>
      <c r="M6514">
        <v>3.8804659999999998E-2</v>
      </c>
      <c r="N6514">
        <v>-7.5682290000000001E-3</v>
      </c>
      <c r="O6514">
        <v>-0.99921819999999895</v>
      </c>
      <c r="P6514">
        <v>4.3331710000000002E-2</v>
      </c>
      <c r="Q6514">
        <v>0.171901</v>
      </c>
      <c r="R6514">
        <v>-0.98416099999999995</v>
      </c>
      <c r="S6514">
        <v>1.4869079999999999</v>
      </c>
      <c r="T6514">
        <v>0.155501</v>
      </c>
      <c r="U6514">
        <v>-2.946075</v>
      </c>
      <c r="V6514">
        <v>-5.0614500000000003E-3</v>
      </c>
      <c r="W6514">
        <v>0.17935299999999901</v>
      </c>
      <c r="X6514">
        <v>0.98377179999999997</v>
      </c>
      <c r="Y6514">
        <v>-0.41497010000000001</v>
      </c>
      <c r="Z6514">
        <v>-5.4919290000000003E-2</v>
      </c>
      <c r="AA6514">
        <v>0.90817599999999998</v>
      </c>
      <c r="AB6514">
        <v>29</v>
      </c>
      <c r="AC6514">
        <v>30.605</v>
      </c>
      <c r="AD6514">
        <v>3.2018559999999998</v>
      </c>
      <c r="AE6514">
        <v>-60.366099999999904</v>
      </c>
      <c r="AF6514">
        <v>-28.1763346131284</v>
      </c>
      <c r="AG6514">
        <v>3.2018559999999998</v>
      </c>
      <c r="AH6514">
        <v>61.370930300619101</v>
      </c>
      <c r="AI6514">
        <v>87.285419387507304</v>
      </c>
      <c r="AJ6514">
        <v>114.66058047284299</v>
      </c>
      <c r="AK6514">
        <v>67.605834068068106</v>
      </c>
      <c r="AL6514">
        <v>79.667924210249794</v>
      </c>
      <c r="AM6514">
        <v>90.294780928311098</v>
      </c>
      <c r="AN6514">
        <v>1.0000000356801699</v>
      </c>
    </row>
    <row r="6515" spans="1:40" x14ac:dyDescent="0.25">
      <c r="A6515" t="str">
        <f>"20190303170419649"</f>
        <v>20190303170419649</v>
      </c>
      <c r="B6515" t="str">
        <f>"1551603859642205"</f>
        <v>1551603859642205</v>
      </c>
      <c r="C6515" t="s">
        <v>40</v>
      </c>
      <c r="D6515">
        <v>5.4591219999999998</v>
      </c>
      <c r="E6515">
        <v>0.3718957</v>
      </c>
      <c r="F6515" t="s">
        <v>78</v>
      </c>
      <c r="G6515">
        <v>-272.81799999999998</v>
      </c>
      <c r="H6515">
        <v>4.4606589999999997</v>
      </c>
      <c r="I6515">
        <v>-80.464519999999993</v>
      </c>
      <c r="J6515">
        <v>-302.84640000000002</v>
      </c>
      <c r="K6515">
        <v>1.1207590000000001</v>
      </c>
      <c r="L6515">
        <v>-20.400359999999999</v>
      </c>
      <c r="M6515">
        <v>3.8685160000000003E-2</v>
      </c>
      <c r="N6515">
        <v>-7.4428209999999996E-3</v>
      </c>
      <c r="O6515">
        <v>-0.99922390000000005</v>
      </c>
      <c r="P6515">
        <v>3.8809469999999999E-2</v>
      </c>
      <c r="Q6515">
        <v>0.1716791</v>
      </c>
      <c r="R6515">
        <v>-0.98438820000000005</v>
      </c>
      <c r="S6515">
        <v>1.4704900000000001</v>
      </c>
      <c r="T6515">
        <v>0.16349149999999901</v>
      </c>
      <c r="U6515">
        <v>-2.954987</v>
      </c>
      <c r="V6515">
        <v>-6.5098749999999996E-4</v>
      </c>
      <c r="W6515">
        <v>0.17900720000000001</v>
      </c>
      <c r="X6515">
        <v>0.98384760000000004</v>
      </c>
      <c r="Y6515">
        <v>-0.4098794</v>
      </c>
      <c r="Z6515">
        <v>-5.7210919999999998E-2</v>
      </c>
      <c r="AA6515">
        <v>0.91034380000000004</v>
      </c>
      <c r="AB6515">
        <v>29</v>
      </c>
      <c r="AC6515">
        <v>30.028400000000001</v>
      </c>
      <c r="AD6515">
        <v>3.3399000000000001</v>
      </c>
      <c r="AE6515">
        <v>-60.064160000000001</v>
      </c>
      <c r="AF6515">
        <v>-27.613956667125301</v>
      </c>
      <c r="AG6515">
        <v>3.3399000000000001</v>
      </c>
      <c r="AH6515">
        <v>61.029912059334599</v>
      </c>
      <c r="AI6515">
        <v>87.145632935840098</v>
      </c>
      <c r="AJ6515">
        <v>114.34513211740099</v>
      </c>
      <c r="AK6515">
        <v>67.069633223941096</v>
      </c>
      <c r="AL6515">
        <v>79.688063167603303</v>
      </c>
      <c r="AM6515">
        <v>90.037911187487197</v>
      </c>
      <c r="AN6515">
        <v>1.0000000507311599</v>
      </c>
    </row>
    <row r="6516" spans="1:40" x14ac:dyDescent="0.25">
      <c r="A6516" t="str">
        <f>"20190303170419670"</f>
        <v>20190303170419670</v>
      </c>
      <c r="B6516" t="str">
        <f>"1551603859662701"</f>
        <v>1551603859662701</v>
      </c>
      <c r="C6516" t="s">
        <v>40</v>
      </c>
      <c r="D6516">
        <v>5.8344339999999999</v>
      </c>
      <c r="E6516">
        <v>0.43972339999999999</v>
      </c>
      <c r="F6516" t="s">
        <v>78</v>
      </c>
      <c r="G6516">
        <v>-275.31659999999999</v>
      </c>
      <c r="H6516">
        <v>4.4009970000000003</v>
      </c>
      <c r="I6516">
        <v>-90.976820000000004</v>
      </c>
      <c r="J6516">
        <v>-302.83499999999998</v>
      </c>
      <c r="K6516">
        <v>1.120736</v>
      </c>
      <c r="L6516">
        <v>-20.699680000000001</v>
      </c>
      <c r="M6516">
        <v>3.8564729999999998E-2</v>
      </c>
      <c r="N6516">
        <v>-7.3311699999999997E-3</v>
      </c>
      <c r="O6516">
        <v>-0.99922940000000005</v>
      </c>
      <c r="P6516">
        <v>3.8605840000000002E-2</v>
      </c>
      <c r="Q6516">
        <v>0.17112720000000001</v>
      </c>
      <c r="R6516">
        <v>-0.98449249999999999</v>
      </c>
      <c r="S6516">
        <v>1.1614990000000001</v>
      </c>
      <c r="T6516">
        <v>0.13839570000000001</v>
      </c>
      <c r="U6516">
        <v>-2.9776609999999999</v>
      </c>
      <c r="V6516">
        <v>-5.6145109999999995E-4</v>
      </c>
      <c r="W6516">
        <v>0.1783457</v>
      </c>
      <c r="X6516">
        <v>0.9839677</v>
      </c>
      <c r="Y6516">
        <v>-0.32677669999999998</v>
      </c>
      <c r="Z6516">
        <v>-5.077827E-2</v>
      </c>
      <c r="AA6516">
        <v>0.94373649999999998</v>
      </c>
      <c r="AB6516">
        <v>30</v>
      </c>
      <c r="AC6516">
        <v>27.5183999999999</v>
      </c>
      <c r="AD6516">
        <v>3.2802609999999999</v>
      </c>
      <c r="AE6516">
        <v>-70.277139999999903</v>
      </c>
      <c r="AF6516">
        <v>-24.740900808398901</v>
      </c>
      <c r="AG6516">
        <v>3.2802609999999999</v>
      </c>
      <c r="AH6516">
        <v>71.151719394590003</v>
      </c>
      <c r="AI6516">
        <v>87.506633629982403</v>
      </c>
      <c r="AJ6516">
        <v>109.173603438903</v>
      </c>
      <c r="AK6516">
        <v>75.401853145964694</v>
      </c>
      <c r="AL6516">
        <v>79.726583363819103</v>
      </c>
      <c r="AM6516">
        <v>90.032692917604606</v>
      </c>
      <c r="AN6516">
        <v>0.99999996928955803</v>
      </c>
    </row>
    <row r="6517" spans="1:40" x14ac:dyDescent="0.25">
      <c r="A6517" t="str">
        <f>"20190303170419737"</f>
        <v>20190303170419737</v>
      </c>
      <c r="B6517" t="str">
        <f>"1551603859731997"</f>
        <v>1551603859731997</v>
      </c>
      <c r="C6517" t="s">
        <v>40</v>
      </c>
      <c r="D6517">
        <v>5.3587300000000004</v>
      </c>
      <c r="E6517">
        <v>0.52623469999999894</v>
      </c>
      <c r="F6517" t="s">
        <v>111</v>
      </c>
      <c r="G6517">
        <v>-288.10980000000001</v>
      </c>
      <c r="H6517">
        <v>1.576176</v>
      </c>
      <c r="I6517">
        <v>-91.564989999999995</v>
      </c>
      <c r="J6517">
        <v>-302.80119999999999</v>
      </c>
      <c r="K6517">
        <v>1.1207210000000001</v>
      </c>
      <c r="L6517">
        <v>-21.587859999999999</v>
      </c>
      <c r="M6517">
        <v>3.8194980000000003E-2</v>
      </c>
      <c r="N6517">
        <v>-7.0692790000000004E-3</v>
      </c>
      <c r="O6517">
        <v>-0.99924559999999996</v>
      </c>
      <c r="P6517">
        <v>2.724849E-2</v>
      </c>
      <c r="Q6517">
        <v>0.17232320000000001</v>
      </c>
      <c r="R6517">
        <v>-0.98466379999999998</v>
      </c>
      <c r="S6517">
        <v>0.62738039999999995</v>
      </c>
      <c r="T6517">
        <v>1.940501E-2</v>
      </c>
      <c r="U6517">
        <v>-3.0192869999999998</v>
      </c>
      <c r="V6517">
        <v>1.043228E-2</v>
      </c>
      <c r="W6517">
        <v>0.17927879999999999</v>
      </c>
      <c r="X6517">
        <v>0.98374300000000003</v>
      </c>
      <c r="Y6517">
        <v>-0.1658811</v>
      </c>
      <c r="Z6517">
        <v>-1.334923E-2</v>
      </c>
      <c r="AA6517">
        <v>0.98605540000000003</v>
      </c>
      <c r="AB6517">
        <v>30</v>
      </c>
      <c r="AC6517">
        <v>14.6913999999999</v>
      </c>
      <c r="AD6517">
        <v>0.455455</v>
      </c>
      <c r="AE6517">
        <v>-69.977130000000002</v>
      </c>
      <c r="AF6517">
        <v>-12.0073509861953</v>
      </c>
      <c r="AG6517">
        <v>0.455455</v>
      </c>
      <c r="AH6517">
        <v>70.484357314411298</v>
      </c>
      <c r="AI6517">
        <v>89.635029789442797</v>
      </c>
      <c r="AJ6517">
        <v>99.667803596748698</v>
      </c>
      <c r="AK6517">
        <v>71.501248541464804</v>
      </c>
      <c r="AL6517">
        <v>79.672245283006305</v>
      </c>
      <c r="AM6517">
        <v>89.392419351781598</v>
      </c>
      <c r="AN6517">
        <v>1.00000000532221</v>
      </c>
    </row>
    <row r="6518" spans="1:40" x14ac:dyDescent="0.25">
      <c r="A6518" t="str">
        <f>"20190303170419759"</f>
        <v>20190303170419759</v>
      </c>
      <c r="B6518" t="str">
        <f>"1551603859752493"</f>
        <v>1551603859752493</v>
      </c>
      <c r="C6518" t="s">
        <v>40</v>
      </c>
      <c r="D6518">
        <v>4.9856160000000003</v>
      </c>
      <c r="E6518">
        <v>0.51321909999999904</v>
      </c>
      <c r="F6518" t="s">
        <v>111</v>
      </c>
      <c r="G6518">
        <v>-305.0994</v>
      </c>
      <c r="H6518">
        <v>2.9204119999999998</v>
      </c>
      <c r="I6518">
        <v>-91.564989999999995</v>
      </c>
      <c r="J6518">
        <v>-302.7901</v>
      </c>
      <c r="K6518">
        <v>1.120703</v>
      </c>
      <c r="L6518">
        <v>-21.882750000000001</v>
      </c>
      <c r="M6518">
        <v>3.8069369999999998E-2</v>
      </c>
      <c r="N6518">
        <v>-7.0025189999999996E-3</v>
      </c>
      <c r="O6518">
        <v>-0.99925059999999999</v>
      </c>
      <c r="P6518">
        <v>2.4061340000000001E-2</v>
      </c>
      <c r="Q6518">
        <v>0.17103560000000001</v>
      </c>
      <c r="R6518">
        <v>-0.98497089999999998</v>
      </c>
      <c r="S6518">
        <v>-9.9700929999999993E-2</v>
      </c>
      <c r="T6518">
        <v>7.8076839999999995E-2</v>
      </c>
      <c r="U6518">
        <v>-3.035828</v>
      </c>
      <c r="V6518">
        <v>1.350523E-2</v>
      </c>
      <c r="W6518">
        <v>0.17792620000000001</v>
      </c>
      <c r="X6518">
        <v>0.98395120000000003</v>
      </c>
      <c r="Y6518">
        <v>7.0836860000000001E-2</v>
      </c>
      <c r="Z6518">
        <v>-3.2646750000000002E-2</v>
      </c>
      <c r="AA6518">
        <v>0.99695350000000005</v>
      </c>
      <c r="AB6518">
        <v>30</v>
      </c>
      <c r="AC6518">
        <v>-2.3092999999999999</v>
      </c>
      <c r="AD6518">
        <v>1.79970899999999</v>
      </c>
      <c r="AE6518">
        <v>-69.682239999999993</v>
      </c>
      <c r="AF6518">
        <v>4.9571467723628304</v>
      </c>
      <c r="AG6518">
        <v>1.79970899999999</v>
      </c>
      <c r="AH6518">
        <v>69.497501376787099</v>
      </c>
      <c r="AI6518">
        <v>88.520356191803899</v>
      </c>
      <c r="AJ6518">
        <v>85.920092546394699</v>
      </c>
      <c r="AK6518">
        <v>69.697309519263101</v>
      </c>
      <c r="AL6518">
        <v>79.751010393908899</v>
      </c>
      <c r="AM6518">
        <v>89.213635702303506</v>
      </c>
      <c r="AN6518">
        <v>1.00000004393261</v>
      </c>
    </row>
    <row r="6519" spans="1:40" x14ac:dyDescent="0.25">
      <c r="A6519" t="str">
        <f>"20190303170419781"</f>
        <v>20190303170419781</v>
      </c>
      <c r="B6519" t="str">
        <f>"1551603859772013"</f>
        <v>1551603859772013</v>
      </c>
      <c r="C6519" t="s">
        <v>40</v>
      </c>
      <c r="D6519">
        <v>5.1957909999999998</v>
      </c>
      <c r="E6519">
        <v>0.50873979999999996</v>
      </c>
      <c r="F6519" t="s">
        <v>111</v>
      </c>
      <c r="G6519">
        <v>-302.85090000000002</v>
      </c>
      <c r="H6519">
        <v>1.6238250000000001</v>
      </c>
      <c r="I6519">
        <v>-91.564989999999995</v>
      </c>
      <c r="J6519">
        <v>-302.77879999999999</v>
      </c>
      <c r="K6519">
        <v>1.120687</v>
      </c>
      <c r="L6519">
        <v>-22.18262</v>
      </c>
      <c r="M6519">
        <v>3.7940799999999997E-2</v>
      </c>
      <c r="N6519">
        <v>-6.9433269999999896E-3</v>
      </c>
      <c r="O6519">
        <v>-0.99925609999999998</v>
      </c>
      <c r="P6519">
        <v>2.0698649999999999E-2</v>
      </c>
      <c r="Q6519">
        <v>0.1702777</v>
      </c>
      <c r="R6519">
        <v>-0.98517900000000003</v>
      </c>
      <c r="S6519">
        <v>-2.6550290000000002E-3</v>
      </c>
      <c r="T6519">
        <v>2.1964669999999999E-2</v>
      </c>
      <c r="U6519">
        <v>-3.0420229999999999</v>
      </c>
      <c r="V6519">
        <v>1.6746939999999998E-2</v>
      </c>
      <c r="W6519">
        <v>0.17710970000000001</v>
      </c>
      <c r="X6519">
        <v>0.98404860000000005</v>
      </c>
      <c r="Y6519">
        <v>3.8813809999999997E-2</v>
      </c>
      <c r="Z6519">
        <v>-1.4152799999999899E-2</v>
      </c>
      <c r="AA6519">
        <v>0.99914619999999998</v>
      </c>
      <c r="AB6519">
        <v>30</v>
      </c>
      <c r="AC6519">
        <v>-7.21000000000344E-2</v>
      </c>
      <c r="AD6519">
        <v>0.50313799999999997</v>
      </c>
      <c r="AE6519">
        <v>-69.382369999999995</v>
      </c>
      <c r="AF6519">
        <v>2.7043913347321999</v>
      </c>
      <c r="AG6519">
        <v>0.50313799999999997</v>
      </c>
      <c r="AH6519">
        <v>69.326030298692501</v>
      </c>
      <c r="AI6519">
        <v>89.584495615853598</v>
      </c>
      <c r="AJ6519">
        <v>87.766038505334905</v>
      </c>
      <c r="AK6519">
        <v>69.380583431632004</v>
      </c>
      <c r="AL6519">
        <v>79.798546705460595</v>
      </c>
      <c r="AM6519">
        <v>89.025011200722105</v>
      </c>
      <c r="AN6519">
        <v>0.999999976497706</v>
      </c>
    </row>
    <row r="6520" spans="1:40" x14ac:dyDescent="0.25">
      <c r="A6520" t="str">
        <f>"20190303170419805"</f>
        <v>20190303170419805</v>
      </c>
      <c r="B6520" t="str">
        <f>"1551603859792509"</f>
        <v>1551603859792509</v>
      </c>
      <c r="C6520" t="s">
        <v>40</v>
      </c>
      <c r="D6520">
        <v>5.2210640000000001</v>
      </c>
      <c r="E6520">
        <v>0.50519809999999998</v>
      </c>
      <c r="F6520" t="s">
        <v>111</v>
      </c>
      <c r="G6520">
        <v>-302.16489999999999</v>
      </c>
      <c r="H6520">
        <v>0.53308679999999997</v>
      </c>
      <c r="I6520">
        <v>-91.564989999999995</v>
      </c>
      <c r="J6520">
        <v>-302.76729999999998</v>
      </c>
      <c r="K6520">
        <v>1.1206780000000001</v>
      </c>
      <c r="L6520">
        <v>-22.48837</v>
      </c>
      <c r="M6520">
        <v>3.7809379999999997E-2</v>
      </c>
      <c r="N6520">
        <v>-6.8910400000000002E-3</v>
      </c>
      <c r="O6520">
        <v>-0.99926139999999997</v>
      </c>
      <c r="P6520">
        <v>1.6265930000000001E-2</v>
      </c>
      <c r="Q6520">
        <v>0.16998820000000001</v>
      </c>
      <c r="R6520">
        <v>-0.98531219999999997</v>
      </c>
      <c r="S6520">
        <v>2.6977540000000001E-2</v>
      </c>
      <c r="T6520">
        <v>-2.5821810000000001E-2</v>
      </c>
      <c r="U6520">
        <v>-3.049042</v>
      </c>
      <c r="V6520">
        <v>2.1052359999999999E-2</v>
      </c>
      <c r="W6520">
        <v>0.1767676</v>
      </c>
      <c r="X6520">
        <v>0.9840274</v>
      </c>
      <c r="Y6520">
        <v>2.896607E-2</v>
      </c>
      <c r="Z6520">
        <v>1.567658E-3</v>
      </c>
      <c r="AA6520">
        <v>0.9995792</v>
      </c>
      <c r="AB6520">
        <v>30</v>
      </c>
      <c r="AC6520">
        <v>0.60239999999998795</v>
      </c>
      <c r="AD6520">
        <v>-0.58759119999999998</v>
      </c>
      <c r="AE6520">
        <v>-69.076619999999906</v>
      </c>
      <c r="AF6520">
        <v>2.0096910380347501</v>
      </c>
      <c r="AG6520">
        <v>-0.58759119999999998</v>
      </c>
      <c r="AH6520">
        <v>69.045007107063896</v>
      </c>
      <c r="AI6520">
        <v>90.487384000923896</v>
      </c>
      <c r="AJ6520">
        <v>88.3327641218129</v>
      </c>
      <c r="AK6520">
        <v>69.076748098771802</v>
      </c>
      <c r="AL6520">
        <v>79.818461595084699</v>
      </c>
      <c r="AM6520">
        <v>88.774396528996803</v>
      </c>
      <c r="AN6520">
        <v>0.999999955111043</v>
      </c>
    </row>
    <row r="6521" spans="1:40" x14ac:dyDescent="0.25">
      <c r="A6521" t="str">
        <f>"20190303170419873"</f>
        <v>20190303170419873</v>
      </c>
      <c r="B6521" t="str">
        <f>"1551603859861805"</f>
        <v>1551603859861805</v>
      </c>
      <c r="C6521" t="s">
        <v>40</v>
      </c>
      <c r="D6521">
        <v>5.3994669999999996</v>
      </c>
      <c r="E6521">
        <v>0.50055760000000005</v>
      </c>
      <c r="F6521" t="s">
        <v>75</v>
      </c>
      <c r="G6521">
        <v>-302.06509999999997</v>
      </c>
      <c r="H6521" s="1">
        <v>-9.5697120000000004E-6</v>
      </c>
      <c r="I6521">
        <v>-69.375159999999994</v>
      </c>
      <c r="J6521">
        <v>-302.73230000000001</v>
      </c>
      <c r="K6521">
        <v>1.120608</v>
      </c>
      <c r="L6521">
        <v>-23.42728</v>
      </c>
      <c r="M6521">
        <v>3.740574E-2</v>
      </c>
      <c r="N6521">
        <v>-6.7716390000000003E-3</v>
      </c>
      <c r="O6521">
        <v>-0.99927739999999998</v>
      </c>
      <c r="P6521">
        <v>5.9678090000000001E-3</v>
      </c>
      <c r="Q6521">
        <v>0.16590729999999901</v>
      </c>
      <c r="R6521">
        <v>-0.98612350000000004</v>
      </c>
      <c r="S6521">
        <v>4.5776369999999997E-2</v>
      </c>
      <c r="T6521">
        <v>-7.3058369999999997E-2</v>
      </c>
      <c r="U6521">
        <v>-3.0565799999999999</v>
      </c>
      <c r="V6521">
        <v>3.097565E-2</v>
      </c>
      <c r="W6521">
        <v>0.17256869999999999</v>
      </c>
      <c r="X6521">
        <v>0.98451029999999995</v>
      </c>
      <c r="Y6521">
        <v>2.2438079999999999E-2</v>
      </c>
      <c r="Z6521">
        <v>1.7097399999999999E-2</v>
      </c>
      <c r="AA6521">
        <v>0.99960199999999999</v>
      </c>
      <c r="AB6521">
        <v>30</v>
      </c>
      <c r="AC6521">
        <v>0.66720000000003599</v>
      </c>
      <c r="AD6521">
        <v>-1.120617569712</v>
      </c>
      <c r="AE6521">
        <v>-45.947879999999998</v>
      </c>
      <c r="AF6521">
        <v>1.0513952425379101</v>
      </c>
      <c r="AG6521">
        <v>-1.120617569712</v>
      </c>
      <c r="AH6521">
        <v>45.913375736738999</v>
      </c>
      <c r="AI6521">
        <v>91.397786443702998</v>
      </c>
      <c r="AJ6521">
        <v>88.6881822013126</v>
      </c>
      <c r="AK6521">
        <v>45.939082350832301</v>
      </c>
      <c r="AL6521">
        <v>80.062797476503704</v>
      </c>
      <c r="AM6521">
        <v>88.197897236974597</v>
      </c>
      <c r="AN6521">
        <v>0.99999998895935105</v>
      </c>
    </row>
    <row r="6522" spans="1:40" x14ac:dyDescent="0.25">
      <c r="A6522" t="str">
        <f>"20190303170419896"</f>
        <v>20190303170419896</v>
      </c>
      <c r="B6522" t="str">
        <f>"1551603859882301"</f>
        <v>1551603859882301</v>
      </c>
      <c r="C6522" t="s">
        <v>40</v>
      </c>
      <c r="D6522">
        <v>5.3451529999999998</v>
      </c>
      <c r="E6522">
        <v>0.49927050000000001</v>
      </c>
      <c r="F6522" t="s">
        <v>75</v>
      </c>
      <c r="G6522">
        <v>-302.19850000000002</v>
      </c>
      <c r="H6522" s="1">
        <v>-7.0108139999999998E-6</v>
      </c>
      <c r="I6522">
        <v>-53.223140000000001</v>
      </c>
      <c r="J6522">
        <v>-302.72070000000002</v>
      </c>
      <c r="K6522">
        <v>1.1205959999999999</v>
      </c>
      <c r="L6522">
        <v>-23.742249999999999</v>
      </c>
      <c r="M6522">
        <v>3.727051E-2</v>
      </c>
      <c r="N6522">
        <v>-6.742868E-3</v>
      </c>
      <c r="O6522">
        <v>-0.99928280000000003</v>
      </c>
      <c r="P6522">
        <v>4.1491549999999999E-3</v>
      </c>
      <c r="Q6522">
        <v>0.16420299999999999</v>
      </c>
      <c r="R6522">
        <v>-0.98641820000000002</v>
      </c>
      <c r="S6522">
        <v>5.4840090000000001E-2</v>
      </c>
      <c r="T6522">
        <v>-0.11513279999999999</v>
      </c>
      <c r="U6522">
        <v>-3.0612490000000001</v>
      </c>
      <c r="V6522">
        <v>3.2670419999999999E-2</v>
      </c>
      <c r="W6522">
        <v>0.17083719999999999</v>
      </c>
      <c r="X6522">
        <v>0.98475749999999995</v>
      </c>
      <c r="Y6522">
        <v>1.9372009999999999E-2</v>
      </c>
      <c r="Z6522">
        <v>3.0800790000000002E-2</v>
      </c>
      <c r="AA6522">
        <v>0.99933780000000005</v>
      </c>
      <c r="AB6522">
        <v>31</v>
      </c>
      <c r="AC6522">
        <v>0.522199999999998</v>
      </c>
      <c r="AD6522">
        <v>-1.1206030108139999</v>
      </c>
      <c r="AE6522">
        <v>-29.480889999999999</v>
      </c>
      <c r="AF6522">
        <v>0.57612310015556201</v>
      </c>
      <c r="AG6522">
        <v>-1.1206030108139999</v>
      </c>
      <c r="AH6522">
        <v>29.4373500664273</v>
      </c>
      <c r="AI6522">
        <v>92.179631000795695</v>
      </c>
      <c r="AJ6522">
        <v>88.878798245214398</v>
      </c>
      <c r="AK6522">
        <v>29.4643046391353</v>
      </c>
      <c r="AL6522">
        <v>80.163501004305004</v>
      </c>
      <c r="AM6522">
        <v>88.099846032122699</v>
      </c>
      <c r="AN6522">
        <v>1.0000000195265299</v>
      </c>
    </row>
    <row r="6523" spans="1:40" x14ac:dyDescent="0.25">
      <c r="A6523" t="str">
        <f>"20190303170419916"</f>
        <v>20190303170419916</v>
      </c>
      <c r="B6523" t="str">
        <f>"1551603859901822"</f>
        <v>1551603859901822</v>
      </c>
      <c r="C6523" t="s">
        <v>40</v>
      </c>
      <c r="D6523">
        <v>5.0758049999999999</v>
      </c>
      <c r="E6523">
        <v>0.49830609999999997</v>
      </c>
      <c r="F6523" t="s">
        <v>75</v>
      </c>
      <c r="G6523">
        <v>-302.18729999999999</v>
      </c>
      <c r="H6523" s="1">
        <v>-5.9950339999999999E-6</v>
      </c>
      <c r="I6523">
        <v>-50.730820000000001</v>
      </c>
      <c r="J6523">
        <v>-302.71039999999999</v>
      </c>
      <c r="K6523">
        <v>1.1205889999999901</v>
      </c>
      <c r="L6523">
        <v>-24.0228</v>
      </c>
      <c r="M6523">
        <v>3.7150559999999999E-2</v>
      </c>
      <c r="N6523">
        <v>-6.7211750000000002E-3</v>
      </c>
      <c r="O6523">
        <v>-0.99928709999999998</v>
      </c>
      <c r="P6523">
        <v>1.177864E-3</v>
      </c>
      <c r="Q6523">
        <v>0.16278329999999999</v>
      </c>
      <c r="R6523">
        <v>-0.98666100000000001</v>
      </c>
      <c r="S6523">
        <v>6.0516359999999998E-2</v>
      </c>
      <c r="T6523">
        <v>-0.12714780000000001</v>
      </c>
      <c r="U6523">
        <v>-3.0622250000000002</v>
      </c>
      <c r="V6523">
        <v>3.5530260000000001E-2</v>
      </c>
      <c r="W6523">
        <v>0.16939609999999999</v>
      </c>
      <c r="X6523">
        <v>0.98490739999999999</v>
      </c>
      <c r="Y6523">
        <v>1.7408529999999998E-2</v>
      </c>
      <c r="Z6523">
        <v>3.472165E-2</v>
      </c>
      <c r="AA6523">
        <v>0.99924539999999995</v>
      </c>
      <c r="AB6523">
        <v>31</v>
      </c>
      <c r="AC6523">
        <v>0.52309999999999901</v>
      </c>
      <c r="AD6523">
        <v>-1.12059499503399</v>
      </c>
      <c r="AE6523">
        <v>-26.708020000000001</v>
      </c>
      <c r="AF6523">
        <v>0.46867666436933197</v>
      </c>
      <c r="AG6523">
        <v>-1.12059499503399</v>
      </c>
      <c r="AH6523">
        <v>26.662097734112798</v>
      </c>
      <c r="AI6523">
        <v>92.406325963287202</v>
      </c>
      <c r="AJ6523">
        <v>88.992936349987005</v>
      </c>
      <c r="AK6523">
        <v>26.689751713757101</v>
      </c>
      <c r="AL6523">
        <v>80.247291220513205</v>
      </c>
      <c r="AM6523">
        <v>87.933966644631496</v>
      </c>
      <c r="AN6523">
        <v>1.0000000123228101</v>
      </c>
    </row>
    <row r="6524" spans="1:40" x14ac:dyDescent="0.25">
      <c r="A6524" t="str">
        <f>"20190303170419938"</f>
        <v>20190303170419938</v>
      </c>
      <c r="B6524" t="str">
        <f>"1551603859932077"</f>
        <v>1551603859932077</v>
      </c>
      <c r="C6524" t="s">
        <v>40</v>
      </c>
      <c r="D6524">
        <v>5.1905169999999998</v>
      </c>
      <c r="E6524">
        <v>0.4971873</v>
      </c>
      <c r="F6524" t="s">
        <v>75</v>
      </c>
      <c r="G6524">
        <v>-302.22840000000002</v>
      </c>
      <c r="H6524" s="1">
        <v>-5.2480670000000003E-6</v>
      </c>
      <c r="I6524">
        <v>-49.190510000000003</v>
      </c>
      <c r="J6524">
        <v>-302.69929999999999</v>
      </c>
      <c r="K6524">
        <v>1.120571</v>
      </c>
      <c r="L6524">
        <v>-24.3248</v>
      </c>
      <c r="M6524">
        <v>3.7020730000000002E-2</v>
      </c>
      <c r="N6524">
        <v>-6.7013589999999996E-3</v>
      </c>
      <c r="O6524">
        <v>-0.99929239999999997</v>
      </c>
      <c r="P6524">
        <v>-2.6077209999999999E-3</v>
      </c>
      <c r="Q6524">
        <v>0.16167879999999901</v>
      </c>
      <c r="R6524">
        <v>-0.9868403</v>
      </c>
      <c r="S6524">
        <v>5.8654789999999998E-2</v>
      </c>
      <c r="T6524">
        <v>-0.136379799999999</v>
      </c>
      <c r="U6524">
        <v>-3.0629879999999998</v>
      </c>
      <c r="V6524">
        <v>3.9191570000000002E-2</v>
      </c>
      <c r="W6524">
        <v>0.16827139999999999</v>
      </c>
      <c r="X6524">
        <v>0.98496130000000004</v>
      </c>
      <c r="Y6524">
        <v>1.7892439999999999E-2</v>
      </c>
      <c r="Z6524">
        <v>3.7734339999999998E-2</v>
      </c>
      <c r="AA6524">
        <v>0.9991276</v>
      </c>
      <c r="AB6524">
        <v>31</v>
      </c>
      <c r="AC6524">
        <v>0.47089999999997101</v>
      </c>
      <c r="AD6524">
        <v>-1.1205762480670001</v>
      </c>
      <c r="AE6524">
        <v>-24.86571</v>
      </c>
      <c r="AF6524">
        <v>0.44907819168268898</v>
      </c>
      <c r="AG6524">
        <v>-1.1205762480670001</v>
      </c>
      <c r="AH6524">
        <v>24.8157178853075</v>
      </c>
      <c r="AI6524">
        <v>92.585063851672203</v>
      </c>
      <c r="AJ6524">
        <v>88.963258811523602</v>
      </c>
      <c r="AK6524">
        <v>24.845064228396499</v>
      </c>
      <c r="AL6524">
        <v>80.312670241197694</v>
      </c>
      <c r="AM6524">
        <v>87.721405281523701</v>
      </c>
      <c r="AN6524">
        <v>1.0000000028573499</v>
      </c>
    </row>
    <row r="6525" spans="1:40" x14ac:dyDescent="0.25">
      <c r="A6525" t="str">
        <f>"20190303170419960"</f>
        <v>20190303170419960</v>
      </c>
      <c r="B6525" t="str">
        <f>"1551603859952574"</f>
        <v>1551603859952574</v>
      </c>
      <c r="C6525" t="s">
        <v>40</v>
      </c>
      <c r="D6525">
        <v>5.1659839999999999</v>
      </c>
      <c r="E6525">
        <v>0.49685839999999998</v>
      </c>
      <c r="F6525" t="s">
        <v>75</v>
      </c>
      <c r="G6525">
        <v>-302.2636</v>
      </c>
      <c r="H6525" s="1">
        <v>-4.69999E-6</v>
      </c>
      <c r="I6525">
        <v>-48.110860000000002</v>
      </c>
      <c r="J6525">
        <v>-302.68799999999999</v>
      </c>
      <c r="K6525">
        <v>1.12056</v>
      </c>
      <c r="L6525">
        <v>-24.63223</v>
      </c>
      <c r="M6525">
        <v>3.6889020000000002E-2</v>
      </c>
      <c r="N6525">
        <v>-6.6843709999999997E-3</v>
      </c>
      <c r="O6525">
        <v>-0.99929710000000005</v>
      </c>
      <c r="P6525">
        <v>-4.4994830000000003E-3</v>
      </c>
      <c r="Q6525">
        <v>0.1602729</v>
      </c>
      <c r="R6525">
        <v>-0.98706280000000002</v>
      </c>
      <c r="S6525">
        <v>5.6121829999999998E-2</v>
      </c>
      <c r="T6525">
        <v>-0.1443381</v>
      </c>
      <c r="U6525">
        <v>-3.063812</v>
      </c>
      <c r="V6525">
        <v>4.0960120000000003E-2</v>
      </c>
      <c r="W6525">
        <v>0.16684939999999901</v>
      </c>
      <c r="X6525">
        <v>0.98513130000000004</v>
      </c>
      <c r="Y6525">
        <v>1.8593109999999999E-2</v>
      </c>
      <c r="Z6525">
        <v>4.0326670000000002E-2</v>
      </c>
      <c r="AA6525">
        <v>0.9990135</v>
      </c>
      <c r="AB6525">
        <v>31</v>
      </c>
      <c r="AC6525">
        <v>0.42439999999999101</v>
      </c>
      <c r="AD6525">
        <v>-1.1205646999900001</v>
      </c>
      <c r="AE6525">
        <v>-23.4786299999999</v>
      </c>
      <c r="AF6525">
        <v>0.44100757014534198</v>
      </c>
      <c r="AG6525">
        <v>-1.1205646999900001</v>
      </c>
      <c r="AH6525">
        <v>23.424963517771001</v>
      </c>
      <c r="AI6525">
        <v>92.738248594182906</v>
      </c>
      <c r="AJ6525">
        <v>88.921454547342904</v>
      </c>
      <c r="AK6525">
        <v>23.455896246630399</v>
      </c>
      <c r="AL6525">
        <v>80.395313881746404</v>
      </c>
      <c r="AM6525">
        <v>87.619108202727404</v>
      </c>
      <c r="AN6525">
        <v>1.0000000659752299</v>
      </c>
    </row>
    <row r="6526" spans="1:40" x14ac:dyDescent="0.25">
      <c r="A6526" t="str">
        <f>"20190303170420005"</f>
        <v>20190303170420005</v>
      </c>
      <c r="B6526" t="str">
        <f>"1551603859992591"</f>
        <v>1551603859992591</v>
      </c>
      <c r="C6526" t="s">
        <v>40</v>
      </c>
      <c r="D6526">
        <v>5.1931770000000004</v>
      </c>
      <c r="E6526">
        <v>0.49568420000000002</v>
      </c>
      <c r="F6526" t="s">
        <v>75</v>
      </c>
      <c r="G6526">
        <v>-302.29239999999999</v>
      </c>
      <c r="H6526" s="1">
        <v>-4.4236749999999996E-6</v>
      </c>
      <c r="I6526">
        <v>-47.565280000000001</v>
      </c>
      <c r="J6526">
        <v>-302.66539999999998</v>
      </c>
      <c r="K6526">
        <v>1.1205590000000001</v>
      </c>
      <c r="L6526">
        <v>-25.254490000000001</v>
      </c>
      <c r="M6526">
        <v>3.6622689999999999E-2</v>
      </c>
      <c r="N6526">
        <v>-6.6582350000000002E-3</v>
      </c>
      <c r="O6526">
        <v>-0.9993069</v>
      </c>
      <c r="P6526">
        <v>-6.8556290000000002E-3</v>
      </c>
      <c r="Q6526">
        <v>0.16076389999999999</v>
      </c>
      <c r="R6526">
        <v>-0.98696890000000004</v>
      </c>
      <c r="S6526">
        <v>5.2856449999999999E-2</v>
      </c>
      <c r="T6526">
        <v>-0.14970829999999999</v>
      </c>
      <c r="U6526">
        <v>-3.0638730000000001</v>
      </c>
      <c r="V6526">
        <v>4.30491E-2</v>
      </c>
      <c r="W6526">
        <v>0.1673125</v>
      </c>
      <c r="X6526">
        <v>0.98496360000000005</v>
      </c>
      <c r="Y6526">
        <v>1.9392400000000001E-2</v>
      </c>
      <c r="Z6526">
        <v>4.2097629999999997E-2</v>
      </c>
      <c r="AA6526">
        <v>0.99892530000000002</v>
      </c>
      <c r="AB6526">
        <v>31</v>
      </c>
      <c r="AC6526">
        <v>0.37299999999999001</v>
      </c>
      <c r="AD6526">
        <v>-1.1205634236749999</v>
      </c>
      <c r="AE6526">
        <v>-22.310790000000001</v>
      </c>
      <c r="AF6526">
        <v>0.44323178843251199</v>
      </c>
      <c r="AG6526">
        <v>-1.1205634236749999</v>
      </c>
      <c r="AH6526">
        <v>22.253363076590698</v>
      </c>
      <c r="AI6526">
        <v>92.882111483737404</v>
      </c>
      <c r="AJ6526">
        <v>88.858961076390798</v>
      </c>
      <c r="AK6526">
        <v>22.285966100291201</v>
      </c>
      <c r="AL6526">
        <v>80.368401225794301</v>
      </c>
      <c r="AM6526">
        <v>87.497407026895701</v>
      </c>
      <c r="AN6526">
        <v>0.99999999549600904</v>
      </c>
    </row>
    <row r="6527" spans="1:40" x14ac:dyDescent="0.25">
      <c r="A6527" t="str">
        <f>"20190303170420027"</f>
        <v>20190303170420027</v>
      </c>
      <c r="B6527" t="str">
        <f>"1551603860021870"</f>
        <v>1551603860021870</v>
      </c>
      <c r="C6527" t="s">
        <v>40</v>
      </c>
      <c r="D6527">
        <v>5.2029300000000003</v>
      </c>
      <c r="E6527">
        <v>0.49486330000000001</v>
      </c>
      <c r="F6527" t="s">
        <v>75</v>
      </c>
      <c r="G6527">
        <v>-302.25670000000002</v>
      </c>
      <c r="H6527" s="1">
        <v>-4.664065E-6</v>
      </c>
      <c r="I6527">
        <v>-48.041130000000003</v>
      </c>
      <c r="J6527">
        <v>-302.65410000000003</v>
      </c>
      <c r="K6527">
        <v>1.120539</v>
      </c>
      <c r="L6527">
        <v>-25.568020000000001</v>
      </c>
      <c r="M6527">
        <v>3.6488680000000003E-2</v>
      </c>
      <c r="N6527">
        <v>-6.6484990000000004E-3</v>
      </c>
      <c r="O6527">
        <v>-0.99931230000000004</v>
      </c>
      <c r="P6527">
        <v>-9.6433869999999998E-3</v>
      </c>
      <c r="Q6527">
        <v>0.1618985</v>
      </c>
      <c r="R6527">
        <v>-0.98676070000000005</v>
      </c>
      <c r="S6527">
        <v>5.4962160000000003E-2</v>
      </c>
      <c r="T6527">
        <v>-0.15070310000000001</v>
      </c>
      <c r="U6527">
        <v>-3.0645449999999999</v>
      </c>
      <c r="V6527">
        <v>4.5695769999999997E-2</v>
      </c>
      <c r="W6527">
        <v>0.16843449999999999</v>
      </c>
      <c r="X6527">
        <v>0.98465309999999995</v>
      </c>
      <c r="Y6527">
        <v>1.8576280000000001E-2</v>
      </c>
      <c r="Z6527">
        <v>4.2420390000000002E-2</v>
      </c>
      <c r="AA6527">
        <v>0.99892709999999996</v>
      </c>
      <c r="AB6527">
        <v>31</v>
      </c>
      <c r="AC6527">
        <v>0.39740000000000397</v>
      </c>
      <c r="AD6527">
        <v>-1.1205436640649999</v>
      </c>
      <c r="AE6527">
        <v>-22.473109999999899</v>
      </c>
      <c r="AF6527">
        <v>0.42184815086483801</v>
      </c>
      <c r="AG6527">
        <v>-1.1205436640649999</v>
      </c>
      <c r="AH6527">
        <v>22.416929739729699</v>
      </c>
      <c r="AI6527">
        <v>92.861127450271297</v>
      </c>
      <c r="AJ6527">
        <v>88.921918995024996</v>
      </c>
      <c r="AK6527">
        <v>22.448882219866601</v>
      </c>
      <c r="AL6527">
        <v>80.303190014247605</v>
      </c>
      <c r="AM6527">
        <v>87.342924529651995</v>
      </c>
      <c r="AN6527">
        <v>1.00000000576287</v>
      </c>
    </row>
    <row r="6528" spans="1:40" x14ac:dyDescent="0.25">
      <c r="A6528" t="str">
        <f>"20190303170420050"</f>
        <v>20190303170420050</v>
      </c>
      <c r="B6528" t="str">
        <f>"1551603860042365"</f>
        <v>1551603860042365</v>
      </c>
      <c r="C6528" t="s">
        <v>40</v>
      </c>
      <c r="D6528">
        <v>5.4704079999999999</v>
      </c>
      <c r="E6528">
        <v>0.49401689999999998</v>
      </c>
      <c r="F6528" t="s">
        <v>75</v>
      </c>
      <c r="G6528">
        <v>-302.2414</v>
      </c>
      <c r="H6528" s="1">
        <v>-5.0651120000000003E-6</v>
      </c>
      <c r="I6528">
        <v>-48.82996</v>
      </c>
      <c r="J6528">
        <v>-302.64260000000002</v>
      </c>
      <c r="K6528">
        <v>1.1205320000000001</v>
      </c>
      <c r="L6528">
        <v>-25.887149999999998</v>
      </c>
      <c r="M6528">
        <v>3.63524E-2</v>
      </c>
      <c r="N6528">
        <v>-6.6406310000000001E-3</v>
      </c>
      <c r="O6528">
        <v>-0.99931700000000001</v>
      </c>
      <c r="P6528">
        <v>-1.4034960000000001E-2</v>
      </c>
      <c r="Q6528">
        <v>0.16260179999999999</v>
      </c>
      <c r="R6528">
        <v>-0.98659240000000004</v>
      </c>
      <c r="S6528">
        <v>5.4382319999999998E-2</v>
      </c>
      <c r="T6528">
        <v>-0.14764330000000001</v>
      </c>
      <c r="U6528">
        <v>-3.0650019999999998</v>
      </c>
      <c r="V6528">
        <v>4.9944379999999997E-2</v>
      </c>
      <c r="W6528">
        <v>0.16912629999999901</v>
      </c>
      <c r="X6528">
        <v>0.98432810000000004</v>
      </c>
      <c r="Y6528">
        <v>1.8630850000000001E-2</v>
      </c>
      <c r="Z6528">
        <v>4.1427430000000001E-2</v>
      </c>
      <c r="AA6528">
        <v>0.99896779999999996</v>
      </c>
      <c r="AB6528">
        <v>31</v>
      </c>
      <c r="AC6528">
        <v>0.40120000000001699</v>
      </c>
      <c r="AD6528">
        <v>-1.1205370651119999</v>
      </c>
      <c r="AE6528">
        <v>-22.942810000000001</v>
      </c>
      <c r="AF6528">
        <v>0.43207939984716298</v>
      </c>
      <c r="AG6528">
        <v>-1.1205370651119999</v>
      </c>
      <c r="AH6528">
        <v>22.887650534400802</v>
      </c>
      <c r="AI6528">
        <v>92.8023589751473</v>
      </c>
      <c r="AJ6528">
        <v>88.918482888673594</v>
      </c>
      <c r="AK6528">
        <v>22.919137045423799</v>
      </c>
      <c r="AL6528">
        <v>80.262975589924594</v>
      </c>
      <c r="AM6528">
        <v>87.095328035568997</v>
      </c>
      <c r="AN6528">
        <v>0.99999997744744196</v>
      </c>
    </row>
    <row r="6529" spans="1:40" x14ac:dyDescent="0.25">
      <c r="A6529" t="str">
        <f>"20190303170420075"</f>
        <v>20190303170420075</v>
      </c>
      <c r="B6529" t="str">
        <f>"1551603860061886"</f>
        <v>1551603860061886</v>
      </c>
      <c r="C6529" t="s">
        <v>40</v>
      </c>
      <c r="D6529">
        <v>5.2545409999999997</v>
      </c>
      <c r="E6529">
        <v>0.49323620000000001</v>
      </c>
      <c r="F6529" t="s">
        <v>75</v>
      </c>
      <c r="G6529">
        <v>-302.26389999999998</v>
      </c>
      <c r="H6529" s="1">
        <v>-5.4367549999999996E-6</v>
      </c>
      <c r="I6529">
        <v>-49.556780000000003</v>
      </c>
      <c r="J6529">
        <v>-302.62990000000002</v>
      </c>
      <c r="K6529">
        <v>1.1205369999999999</v>
      </c>
      <c r="L6529">
        <v>-26.238309999999998</v>
      </c>
      <c r="M6529">
        <v>3.6202489999999997E-2</v>
      </c>
      <c r="N6529">
        <v>-6.6339390000000002E-3</v>
      </c>
      <c r="O6529">
        <v>-0.9993225</v>
      </c>
      <c r="P6529">
        <v>-1.6167210000000001E-2</v>
      </c>
      <c r="Q6529">
        <v>0.1619379</v>
      </c>
      <c r="R6529">
        <v>-0.98666889999999996</v>
      </c>
      <c r="S6529">
        <v>4.9041750000000002E-2</v>
      </c>
      <c r="T6529">
        <v>-0.1451182</v>
      </c>
      <c r="U6529">
        <v>-3.0653990000000002</v>
      </c>
      <c r="V6529">
        <v>5.1930259999999999E-2</v>
      </c>
      <c r="W6529">
        <v>0.16845560000000001</v>
      </c>
      <c r="X6529">
        <v>0.9843404</v>
      </c>
      <c r="Y6529">
        <v>2.022229E-2</v>
      </c>
      <c r="Z6529">
        <v>4.0607820000000003E-2</v>
      </c>
      <c r="AA6529">
        <v>0.99897049999999998</v>
      </c>
      <c r="AB6529">
        <v>31</v>
      </c>
      <c r="AC6529">
        <v>0.36600000000004201</v>
      </c>
      <c r="AD6529">
        <v>-1.1205424367550001</v>
      </c>
      <c r="AE6529">
        <v>-23.318470000000001</v>
      </c>
      <c r="AF6529">
        <v>0.47734315238512498</v>
      </c>
      <c r="AG6529">
        <v>-1.1205424367550001</v>
      </c>
      <c r="AH6529">
        <v>23.262729449000801</v>
      </c>
      <c r="AI6529">
        <v>92.757169379436206</v>
      </c>
      <c r="AJ6529">
        <v>88.824475414761196</v>
      </c>
      <c r="AK6529">
        <v>23.294592790068499</v>
      </c>
      <c r="AL6529">
        <v>80.301963806019501</v>
      </c>
      <c r="AM6529">
        <v>86.980080339966406</v>
      </c>
      <c r="AN6529">
        <v>1.00000003207359</v>
      </c>
    </row>
    <row r="6530" spans="1:40" x14ac:dyDescent="0.25">
      <c r="A6530" t="str">
        <f>"20190303170420098"</f>
        <v>20190303170420098</v>
      </c>
      <c r="B6530" t="str">
        <f>"1551603860092142"</f>
        <v>1551603860092142</v>
      </c>
      <c r="C6530" t="s">
        <v>40</v>
      </c>
      <c r="D6530">
        <v>5.4783059999999999</v>
      </c>
      <c r="E6530">
        <v>0.4920061</v>
      </c>
      <c r="F6530" t="s">
        <v>75</v>
      </c>
      <c r="G6530">
        <v>-302.2577</v>
      </c>
      <c r="H6530" s="1">
        <v>-5.4257399999999998E-6</v>
      </c>
      <c r="I6530">
        <v>-49.535870000000003</v>
      </c>
      <c r="J6530">
        <v>-302.61810000000003</v>
      </c>
      <c r="K6530">
        <v>1.1205350000000001</v>
      </c>
      <c r="L6530">
        <v>-26.56906</v>
      </c>
      <c r="M6530">
        <v>3.6061459999999997E-2</v>
      </c>
      <c r="N6530">
        <v>-6.6295049999999999E-3</v>
      </c>
      <c r="O6530">
        <v>-0.99932779999999999</v>
      </c>
      <c r="P6530">
        <v>-1.6573939999999999E-2</v>
      </c>
      <c r="Q6530">
        <v>0.16058329999999901</v>
      </c>
      <c r="R6530">
        <v>-0.98688319999999996</v>
      </c>
      <c r="S6530">
        <v>4.8980709999999997E-2</v>
      </c>
      <c r="T6530">
        <v>-0.14744380000000001</v>
      </c>
      <c r="U6530">
        <v>-3.0655519999999998</v>
      </c>
      <c r="V6530">
        <v>5.2205250000000002E-2</v>
      </c>
      <c r="W6530">
        <v>0.16709760000000001</v>
      </c>
      <c r="X6530">
        <v>0.98455729999999997</v>
      </c>
      <c r="Y6530">
        <v>2.0102330000000002E-2</v>
      </c>
      <c r="Z6530">
        <v>4.1365699999999998E-2</v>
      </c>
      <c r="AA6530">
        <v>0.99894179999999999</v>
      </c>
      <c r="AB6530">
        <v>32</v>
      </c>
      <c r="AC6530">
        <v>0.36040000000002598</v>
      </c>
      <c r="AD6530">
        <v>-1.12054042574</v>
      </c>
      <c r="AE6530">
        <v>-22.966809999999999</v>
      </c>
      <c r="AF6530">
        <v>0.46695786366432701</v>
      </c>
      <c r="AG6530">
        <v>-1.12054042574</v>
      </c>
      <c r="AH6530">
        <v>22.910345140914199</v>
      </c>
      <c r="AI6530">
        <v>92.799513333611102</v>
      </c>
      <c r="AJ6530">
        <v>88.832361070850993</v>
      </c>
      <c r="AK6530">
        <v>22.942484062715799</v>
      </c>
      <c r="AL6530">
        <v>80.380890301055501</v>
      </c>
      <c r="AM6530">
        <v>86.964786140693604</v>
      </c>
      <c r="AN6530">
        <v>1.0000000365182999</v>
      </c>
    </row>
    <row r="6531" spans="1:40" x14ac:dyDescent="0.25">
      <c r="A6531" t="str">
        <f>"20190303170420118"</f>
        <v>20190303170420118</v>
      </c>
      <c r="B6531" t="str">
        <f>"1551603860112638"</f>
        <v>1551603860112638</v>
      </c>
      <c r="C6531" t="s">
        <v>40</v>
      </c>
      <c r="D6531">
        <v>5.3602069999999999</v>
      </c>
      <c r="E6531">
        <v>0.4912938</v>
      </c>
      <c r="F6531" t="s">
        <v>75</v>
      </c>
      <c r="G6531">
        <v>-302.20010000000002</v>
      </c>
      <c r="H6531" s="1">
        <v>-5.2347290000000002E-6</v>
      </c>
      <c r="I6531">
        <v>-49.167549999999999</v>
      </c>
      <c r="J6531">
        <v>-302.608</v>
      </c>
      <c r="K6531">
        <v>1.1205290000000001</v>
      </c>
      <c r="L6531">
        <v>-26.85181</v>
      </c>
      <c r="M6531">
        <v>3.5941279999999999E-2</v>
      </c>
      <c r="N6531">
        <v>-6.627595E-3</v>
      </c>
      <c r="O6531">
        <v>-0.99933209999999995</v>
      </c>
      <c r="P6531">
        <v>-1.7994469999999999E-2</v>
      </c>
      <c r="Q6531">
        <v>0.16162370000000001</v>
      </c>
      <c r="R6531">
        <v>-0.98668889999999998</v>
      </c>
      <c r="S6531">
        <v>5.6701660000000001E-2</v>
      </c>
      <c r="T6531">
        <v>-0.15200459999999999</v>
      </c>
      <c r="U6531">
        <v>-3.0655519999999998</v>
      </c>
      <c r="V6531">
        <v>5.3499989999999997E-2</v>
      </c>
      <c r="W6531">
        <v>0.16813420000000001</v>
      </c>
      <c r="X6531">
        <v>0.9843113</v>
      </c>
      <c r="Y6531">
        <v>1.746839E-2</v>
      </c>
      <c r="Z6531">
        <v>4.284959E-2</v>
      </c>
      <c r="AA6531">
        <v>0.99892879999999995</v>
      </c>
      <c r="AB6531">
        <v>32</v>
      </c>
      <c r="AC6531">
        <v>0.407899999999983</v>
      </c>
      <c r="AD6531">
        <v>-1.1205342347289999</v>
      </c>
      <c r="AE6531">
        <v>-22.315739999999899</v>
      </c>
      <c r="AF6531">
        <v>0.393445620390175</v>
      </c>
      <c r="AG6531">
        <v>-1.1205342347289999</v>
      </c>
      <c r="AH6531">
        <v>22.2598765284033</v>
      </c>
      <c r="AI6531">
        <v>92.881315840424094</v>
      </c>
      <c r="AJ6531">
        <v>88.987396610060202</v>
      </c>
      <c r="AK6531">
        <v>22.2915342560167</v>
      </c>
      <c r="AL6531">
        <v>80.320645269624507</v>
      </c>
      <c r="AM6531">
        <v>86.888880147980899</v>
      </c>
      <c r="AN6531">
        <v>1.0000000467236601</v>
      </c>
    </row>
    <row r="6532" spans="1:40" x14ac:dyDescent="0.25">
      <c r="A6532" t="str">
        <f>"20190303170420140"</f>
        <v>20190303170420140</v>
      </c>
      <c r="B6532" t="str">
        <f>"1551603860132157"</f>
        <v>1551603860132157</v>
      </c>
      <c r="C6532" t="s">
        <v>40</v>
      </c>
      <c r="D6532">
        <v>5.0073080000000001</v>
      </c>
      <c r="E6532">
        <v>0.49067379999999999</v>
      </c>
      <c r="F6532" t="s">
        <v>75</v>
      </c>
      <c r="G6532">
        <v>-302.16269999999997</v>
      </c>
      <c r="H6532" s="1">
        <v>-5.6549069999999998E-6</v>
      </c>
      <c r="I6532">
        <v>-49.99644</v>
      </c>
      <c r="J6532">
        <v>-302.5967</v>
      </c>
      <c r="K6532">
        <v>1.1205290000000001</v>
      </c>
      <c r="L6532">
        <v>-27.171299999999999</v>
      </c>
      <c r="M6532">
        <v>3.5805240000000002E-2</v>
      </c>
      <c r="N6532">
        <v>-6.6317659999999999E-3</v>
      </c>
      <c r="O6532">
        <v>-0.99933709999999998</v>
      </c>
      <c r="P6532">
        <v>-2.153774E-2</v>
      </c>
      <c r="Q6532">
        <v>0.1618897</v>
      </c>
      <c r="R6532">
        <v>-0.98657410000000001</v>
      </c>
      <c r="S6532">
        <v>5.8990479999999998E-2</v>
      </c>
      <c r="T6532">
        <v>-0.1484318</v>
      </c>
      <c r="U6532">
        <v>-3.0658569999999998</v>
      </c>
      <c r="V6532">
        <v>5.6903099999999998E-2</v>
      </c>
      <c r="W6532">
        <v>0.16840160000000001</v>
      </c>
      <c r="X6532">
        <v>0.98407469999999997</v>
      </c>
      <c r="Y6532">
        <v>1.6587890000000001E-2</v>
      </c>
      <c r="Z6532">
        <v>4.1680759999999997E-2</v>
      </c>
      <c r="AA6532">
        <v>0.99899329999999997</v>
      </c>
      <c r="AB6532">
        <v>32</v>
      </c>
      <c r="AC6532">
        <v>0.43400000000002498</v>
      </c>
      <c r="AD6532">
        <v>-1.1205346549070001</v>
      </c>
      <c r="AE6532">
        <v>-22.825140000000001</v>
      </c>
      <c r="AF6532">
        <v>0.38263379881588799</v>
      </c>
      <c r="AG6532">
        <v>-1.1205346549070001</v>
      </c>
      <c r="AH6532">
        <v>22.771183836989</v>
      </c>
      <c r="AI6532">
        <v>92.816767062102301</v>
      </c>
      <c r="AJ6532">
        <v>89.037325468310797</v>
      </c>
      <c r="AK6532">
        <v>22.801947721078399</v>
      </c>
      <c r="AL6532">
        <v>80.305102681734098</v>
      </c>
      <c r="AM6532">
        <v>86.690616057278802</v>
      </c>
      <c r="AN6532">
        <v>1.0000000384261201</v>
      </c>
    </row>
    <row r="6533" spans="1:40" x14ac:dyDescent="0.25">
      <c r="A6533" t="str">
        <f>"20190303170420162"</f>
        <v>20190303170420162</v>
      </c>
      <c r="B6533" t="str">
        <f>"1551603860152654"</f>
        <v>1551603860152654</v>
      </c>
      <c r="C6533" t="s">
        <v>40</v>
      </c>
      <c r="D6533">
        <v>4.9917809999999996</v>
      </c>
      <c r="E6533">
        <v>0.49033640000000001</v>
      </c>
      <c r="F6533" t="s">
        <v>75</v>
      </c>
      <c r="G6533">
        <v>-302.17129999999997</v>
      </c>
      <c r="H6533" s="1">
        <v>-5.9174990000000003E-6</v>
      </c>
      <c r="I6533">
        <v>-50.542749999999998</v>
      </c>
      <c r="J6533">
        <v>-302.58580000000001</v>
      </c>
      <c r="K6533">
        <v>1.12053</v>
      </c>
      <c r="L6533">
        <v>-27.479859999999999</v>
      </c>
      <c r="M6533">
        <v>3.567389E-2</v>
      </c>
      <c r="N6533">
        <v>-6.6381579999999999E-3</v>
      </c>
      <c r="O6533">
        <v>-0.99934179999999995</v>
      </c>
      <c r="P6533">
        <v>-2.4670549999999999E-2</v>
      </c>
      <c r="Q6533">
        <v>0.16034970000000001</v>
      </c>
      <c r="R6533">
        <v>-0.98675230000000003</v>
      </c>
      <c r="S6533">
        <v>5.5816650000000002E-2</v>
      </c>
      <c r="T6533">
        <v>-0.14700589999999999</v>
      </c>
      <c r="U6533">
        <v>-3.0661619999999998</v>
      </c>
      <c r="V6533">
        <v>5.9910539999999998E-2</v>
      </c>
      <c r="W6533">
        <v>0.16686719999999999</v>
      </c>
      <c r="X6533">
        <v>0.98415759999999997</v>
      </c>
      <c r="Y6533">
        <v>1.749158E-2</v>
      </c>
      <c r="Z6533">
        <v>4.1206840000000002E-2</v>
      </c>
      <c r="AA6533">
        <v>0.99899749999999998</v>
      </c>
      <c r="AB6533">
        <v>32</v>
      </c>
      <c r="AC6533">
        <v>0.41450000000003201</v>
      </c>
      <c r="AD6533">
        <v>-1.1205359174989999</v>
      </c>
      <c r="AE6533">
        <v>-23.062889999999999</v>
      </c>
      <c r="AF6533">
        <v>0.407562891667827</v>
      </c>
      <c r="AG6533">
        <v>-1.1205359174989999</v>
      </c>
      <c r="AH6533">
        <v>23.0086996068163</v>
      </c>
      <c r="AI6533">
        <v>92.787695490826096</v>
      </c>
      <c r="AJ6533">
        <v>88.985201592204106</v>
      </c>
      <c r="AK6533">
        <v>23.039573907730599</v>
      </c>
      <c r="AL6533">
        <v>80.394279442966507</v>
      </c>
      <c r="AM6533">
        <v>86.516421416841993</v>
      </c>
      <c r="AN6533">
        <v>1.0000000584383399</v>
      </c>
    </row>
    <row r="6534" spans="1:40" x14ac:dyDescent="0.25">
      <c r="A6534" t="str">
        <f>"20190303170420183"</f>
        <v>20190303170420183</v>
      </c>
      <c r="B6534" t="str">
        <f>"1551603860172175"</f>
        <v>1551603860172175</v>
      </c>
      <c r="C6534" t="s">
        <v>40</v>
      </c>
      <c r="D6534">
        <v>5.4088989999999999</v>
      </c>
      <c r="E6534">
        <v>0.48968499999999998</v>
      </c>
      <c r="F6534" t="s">
        <v>75</v>
      </c>
      <c r="G6534">
        <v>-302.22890000000001</v>
      </c>
      <c r="H6534" s="1">
        <v>-5.7205910000000003E-6</v>
      </c>
      <c r="I6534">
        <v>-50.117820000000002</v>
      </c>
      <c r="J6534">
        <v>-302.57499999999999</v>
      </c>
      <c r="K6534">
        <v>1.1205179999999999</v>
      </c>
      <c r="L6534">
        <v>-27.78641</v>
      </c>
      <c r="M6534">
        <v>3.5543379999999999E-2</v>
      </c>
      <c r="N6534">
        <v>-6.6448430000000001E-3</v>
      </c>
      <c r="O6534">
        <v>-0.99934610000000001</v>
      </c>
      <c r="P6534">
        <v>-2.5098240000000001E-2</v>
      </c>
      <c r="Q6534">
        <v>0.15749460000000001</v>
      </c>
      <c r="R6534">
        <v>-0.98720090000000005</v>
      </c>
      <c r="S6534">
        <v>4.8339840000000002E-2</v>
      </c>
      <c r="T6534">
        <v>-0.15176919999999999</v>
      </c>
      <c r="U6534">
        <v>-3.0661619999999998</v>
      </c>
      <c r="V6534">
        <v>6.022458E-2</v>
      </c>
      <c r="W6534">
        <v>0.16402159999999999</v>
      </c>
      <c r="X6534">
        <v>0.98461659999999995</v>
      </c>
      <c r="Y6534">
        <v>1.9796810000000001E-2</v>
      </c>
      <c r="Z6534">
        <v>4.2746890000000003E-2</v>
      </c>
      <c r="AA6534">
        <v>0.99888980000000005</v>
      </c>
      <c r="AB6534">
        <v>32</v>
      </c>
      <c r="AC6534">
        <v>0.34609999999997798</v>
      </c>
      <c r="AD6534">
        <v>-1.1205237205909999</v>
      </c>
      <c r="AE6534">
        <v>-22.331410000000002</v>
      </c>
      <c r="AF6534">
        <v>0.44674545264387699</v>
      </c>
      <c r="AG6534">
        <v>-1.1205237205909999</v>
      </c>
      <c r="AH6534">
        <v>22.273535397020101</v>
      </c>
      <c r="AI6534">
        <v>92.879395779472603</v>
      </c>
      <c r="AJ6534">
        <v>88.850959361366293</v>
      </c>
      <c r="AK6534">
        <v>22.3061770366456</v>
      </c>
      <c r="AL6534">
        <v>80.559597738754803</v>
      </c>
      <c r="AM6534">
        <v>86.499834837650198</v>
      </c>
      <c r="AN6534">
        <v>0.99999996714914696</v>
      </c>
    </row>
    <row r="6535" spans="1:40" x14ac:dyDescent="0.25">
      <c r="A6535" t="str">
        <f>"20190303170420206"</f>
        <v>20190303170420206</v>
      </c>
      <c r="B6535" t="str">
        <f>"1551603860202430"</f>
        <v>1551603860202430</v>
      </c>
      <c r="C6535" t="s">
        <v>40</v>
      </c>
      <c r="D6535">
        <v>4.9608629999999998</v>
      </c>
      <c r="E6535">
        <v>0.48873640000000002</v>
      </c>
      <c r="F6535" t="s">
        <v>75</v>
      </c>
      <c r="G6535">
        <v>-302.22489999999999</v>
      </c>
      <c r="H6535" s="1">
        <v>-5.2411630000000004E-6</v>
      </c>
      <c r="I6535">
        <v>-49.17736</v>
      </c>
      <c r="J6535">
        <v>-302.56380000000001</v>
      </c>
      <c r="K6535">
        <v>1.1204889999999901</v>
      </c>
      <c r="L6535">
        <v>-28.105219999999999</v>
      </c>
      <c r="M6535">
        <v>3.5407660000000001E-2</v>
      </c>
      <c r="N6535">
        <v>-6.6522660000000004E-3</v>
      </c>
      <c r="O6535">
        <v>-0.99935090000000004</v>
      </c>
      <c r="P6535">
        <v>-2.3156900000000001E-2</v>
      </c>
      <c r="Q6535">
        <v>0.1561765</v>
      </c>
      <c r="R6535">
        <v>-0.98745810000000001</v>
      </c>
      <c r="S6535">
        <v>5.0170899999999997E-2</v>
      </c>
      <c r="T6535">
        <v>-0.16059579999999901</v>
      </c>
      <c r="U6535">
        <v>-3.0657960000000002</v>
      </c>
      <c r="V6535">
        <v>5.8159519999999999E-2</v>
      </c>
      <c r="W6535">
        <v>0.16271389999999999</v>
      </c>
      <c r="X6535">
        <v>0.98495770000000005</v>
      </c>
      <c r="Y6535">
        <v>1.9064729999999998E-2</v>
      </c>
      <c r="Z6535">
        <v>4.5611539999999999E-2</v>
      </c>
      <c r="AA6535">
        <v>0.99877729999999998</v>
      </c>
      <c r="AB6535">
        <v>32</v>
      </c>
      <c r="AC6535">
        <v>0.33890000000002302</v>
      </c>
      <c r="AD6535">
        <v>-1.1204942411629999</v>
      </c>
      <c r="AE6535">
        <v>-21.072140000000001</v>
      </c>
      <c r="AF6535">
        <v>0.40629562587790502</v>
      </c>
      <c r="AG6535">
        <v>-1.1204942411629999</v>
      </c>
      <c r="AH6535">
        <v>21.011531444630201</v>
      </c>
      <c r="AI6535">
        <v>93.051984672523105</v>
      </c>
      <c r="AJ6535">
        <v>88.892221450993304</v>
      </c>
      <c r="AK6535">
        <v>21.0453091478545</v>
      </c>
      <c r="AL6535">
        <v>80.635544130009507</v>
      </c>
      <c r="AM6535">
        <v>86.620737840552593</v>
      </c>
      <c r="AN6535">
        <v>1.00000000690456</v>
      </c>
    </row>
    <row r="6536" spans="1:40" x14ac:dyDescent="0.25">
      <c r="A6536" t="str">
        <f>"20190303170420228"</f>
        <v>20190303170420228</v>
      </c>
      <c r="B6536" t="str">
        <f>"1551603860221949"</f>
        <v>1551603860221949</v>
      </c>
      <c r="C6536" t="s">
        <v>40</v>
      </c>
      <c r="D6536">
        <v>5.3083939999999998</v>
      </c>
      <c r="E6536">
        <v>0.48848960000000002</v>
      </c>
      <c r="F6536" t="s">
        <v>75</v>
      </c>
      <c r="G6536">
        <v>-302.13529999999997</v>
      </c>
      <c r="H6536" s="1">
        <v>-5.1442819999999898E-6</v>
      </c>
      <c r="I6536">
        <v>-48.997419999999998</v>
      </c>
      <c r="J6536">
        <v>-302.55239999999998</v>
      </c>
      <c r="K6536">
        <v>1.120485</v>
      </c>
      <c r="L6536">
        <v>-28.431550000000001</v>
      </c>
      <c r="M6536">
        <v>3.5268840000000003E-2</v>
      </c>
      <c r="N6536">
        <v>-6.6603390000000004E-3</v>
      </c>
      <c r="O6536">
        <v>-0.99935569999999896</v>
      </c>
      <c r="P6536">
        <v>-2.2411790000000001E-2</v>
      </c>
      <c r="Q6536">
        <v>0.15707889999999999</v>
      </c>
      <c r="R6536">
        <v>-0.98733170000000003</v>
      </c>
      <c r="S6536">
        <v>6.2866210000000006E-2</v>
      </c>
      <c r="T6536">
        <v>-0.1644139</v>
      </c>
      <c r="U6536">
        <v>-3.065582</v>
      </c>
      <c r="V6536">
        <v>5.7274029999999997E-2</v>
      </c>
      <c r="W6536">
        <v>0.1636232</v>
      </c>
      <c r="X6536">
        <v>0.98485889999999998</v>
      </c>
      <c r="Y6536">
        <v>1.479172E-2</v>
      </c>
      <c r="Z6536">
        <v>4.6847189999999997E-2</v>
      </c>
      <c r="AA6536">
        <v>0.99879249999999997</v>
      </c>
      <c r="AB6536">
        <v>32</v>
      </c>
      <c r="AC6536">
        <v>0.41710000000000402</v>
      </c>
      <c r="AD6536">
        <v>-1.1204901442819999</v>
      </c>
      <c r="AE6536">
        <v>-20.56587</v>
      </c>
      <c r="AF6536">
        <v>0.307597253443886</v>
      </c>
      <c r="AG6536">
        <v>-1.1204901442819999</v>
      </c>
      <c r="AH6536">
        <v>20.506937866754299</v>
      </c>
      <c r="AI6536">
        <v>93.1271554436142</v>
      </c>
      <c r="AJ6536">
        <v>89.140646791744899</v>
      </c>
      <c r="AK6536">
        <v>20.539829962896</v>
      </c>
      <c r="AL6536">
        <v>80.582736920391795</v>
      </c>
      <c r="AM6536">
        <v>86.671738130800193</v>
      </c>
      <c r="AN6536">
        <v>0.99999995949994402</v>
      </c>
    </row>
    <row r="6537" spans="1:40" x14ac:dyDescent="0.25">
      <c r="A6537" t="str">
        <f>"20190303170420251"</f>
        <v>20190303170420251</v>
      </c>
      <c r="B6537" t="str">
        <f>"1551603860242445"</f>
        <v>1551603860242445</v>
      </c>
      <c r="C6537" t="s">
        <v>40</v>
      </c>
      <c r="D6537">
        <v>5.1151920000000004</v>
      </c>
      <c r="E6537">
        <v>0.48794890000000002</v>
      </c>
      <c r="F6537" t="s">
        <v>75</v>
      </c>
      <c r="G6537">
        <v>-302.06709999999998</v>
      </c>
      <c r="H6537" s="1">
        <v>-5.5411220000000004E-6</v>
      </c>
      <c r="I6537">
        <v>-49.784019999999998</v>
      </c>
      <c r="J6537">
        <v>-302.54129999999998</v>
      </c>
      <c r="K6537">
        <v>1.120493</v>
      </c>
      <c r="L6537">
        <v>-28.746949999999998</v>
      </c>
      <c r="M6537">
        <v>3.5134760000000001E-2</v>
      </c>
      <c r="N6537">
        <v>-6.6721009999999997E-3</v>
      </c>
      <c r="O6537">
        <v>-0.99936069999999999</v>
      </c>
      <c r="P6537">
        <v>-2.3597139999999999E-2</v>
      </c>
      <c r="Q6537">
        <v>0.15764449999999999</v>
      </c>
      <c r="R6537">
        <v>-0.98721449999999999</v>
      </c>
      <c r="S6537">
        <v>6.9671629999999998E-2</v>
      </c>
      <c r="T6537">
        <v>-0.16087399999999999</v>
      </c>
      <c r="U6537">
        <v>-3.065674</v>
      </c>
      <c r="V6537">
        <v>5.8322680000000002E-2</v>
      </c>
      <c r="W6537">
        <v>0.16419900000000001</v>
      </c>
      <c r="X6537">
        <v>0.98470159999999995</v>
      </c>
      <c r="Y6537">
        <v>1.2441280000000001E-2</v>
      </c>
      <c r="Z6537">
        <v>4.5685099999999999E-2</v>
      </c>
      <c r="AA6537">
        <v>0.99887840000000006</v>
      </c>
      <c r="AB6537">
        <v>32</v>
      </c>
      <c r="AC6537">
        <v>0.47419999999999601</v>
      </c>
      <c r="AD6537">
        <v>-1.1204985411220001</v>
      </c>
      <c r="AE6537">
        <v>-21.03707</v>
      </c>
      <c r="AF6537">
        <v>0.26449139399844501</v>
      </c>
      <c r="AG6537">
        <v>-1.1204985411220001</v>
      </c>
      <c r="AH6537">
        <v>20.981249486880198</v>
      </c>
      <c r="AI6537">
        <v>93.056720789295696</v>
      </c>
      <c r="AJ6537">
        <v>89.277762845221403</v>
      </c>
      <c r="AK6537">
        <v>21.012812822391599</v>
      </c>
      <c r="AL6537">
        <v>80.549294497059606</v>
      </c>
      <c r="AM6537">
        <v>86.610400482342399</v>
      </c>
      <c r="AN6537">
        <v>1.0000000438229699</v>
      </c>
    </row>
    <row r="6538" spans="1:40" x14ac:dyDescent="0.25">
      <c r="A6538" t="str">
        <f>"20190303170420276"</f>
        <v>20190303170420276</v>
      </c>
      <c r="B6538" t="str">
        <f>"1551603860261966"</f>
        <v>1551603860261966</v>
      </c>
      <c r="C6538" t="s">
        <v>40</v>
      </c>
      <c r="D6538">
        <v>5.1864249999999998</v>
      </c>
      <c r="E6538">
        <v>0.48748900000000001</v>
      </c>
      <c r="F6538" t="s">
        <v>75</v>
      </c>
      <c r="G6538">
        <v>-302.03160000000003</v>
      </c>
      <c r="H6538" s="1">
        <v>-5.8811180000000004E-6</v>
      </c>
      <c r="I6538">
        <v>-50.473329999999997</v>
      </c>
      <c r="J6538">
        <v>-302.52890000000002</v>
      </c>
      <c r="K6538">
        <v>1.120492</v>
      </c>
      <c r="L6538">
        <v>-29.104369999999999</v>
      </c>
      <c r="M6538">
        <v>3.4982920000000001E-2</v>
      </c>
      <c r="N6538">
        <v>-6.6892130000000003E-3</v>
      </c>
      <c r="O6538">
        <v>-0.99936570000000002</v>
      </c>
      <c r="P6538">
        <v>-2.2690709999999999E-2</v>
      </c>
      <c r="Q6538">
        <v>0.15515290000000001</v>
      </c>
      <c r="R6538">
        <v>-0.98763000000000001</v>
      </c>
      <c r="S6538">
        <v>7.1929930000000003E-2</v>
      </c>
      <c r="T6538">
        <v>-0.15811439999999999</v>
      </c>
      <c r="U6538">
        <v>-3.0658259999999999</v>
      </c>
      <c r="V6538">
        <v>5.728109E-2</v>
      </c>
      <c r="W6538">
        <v>0.1617276</v>
      </c>
      <c r="X6538">
        <v>0.98517160000000004</v>
      </c>
      <c r="Y6538">
        <v>1.155433E-2</v>
      </c>
      <c r="Z6538">
        <v>4.4769959999999998E-2</v>
      </c>
      <c r="AA6538">
        <v>0.99893050000000005</v>
      </c>
      <c r="AB6538">
        <v>32</v>
      </c>
      <c r="AC6538">
        <v>0.49729999999999502</v>
      </c>
      <c r="AD6538">
        <v>-1.120497881118</v>
      </c>
      <c r="AE6538">
        <v>-21.368960000000001</v>
      </c>
      <c r="AF6538">
        <v>0.249882933650202</v>
      </c>
      <c r="AG6538">
        <v>-1.120497881118</v>
      </c>
      <c r="AH6538">
        <v>21.3147038225875</v>
      </c>
      <c r="AI6538">
        <v>93.009019476290405</v>
      </c>
      <c r="AJ6538">
        <v>89.328323690481199</v>
      </c>
      <c r="AK6538">
        <v>21.345598047999101</v>
      </c>
      <c r="AL6538">
        <v>80.692813556910806</v>
      </c>
      <c r="AM6538">
        <v>86.672382955992205</v>
      </c>
      <c r="AN6538">
        <v>1.00000001065995</v>
      </c>
    </row>
    <row r="6539" spans="1:40" x14ac:dyDescent="0.25">
      <c r="A6539" t="str">
        <f>"20190303170420299"</f>
        <v>20190303170420299</v>
      </c>
      <c r="B6539" t="str">
        <f>"1551603860292222"</f>
        <v>1551603860292222</v>
      </c>
      <c r="C6539" t="s">
        <v>40</v>
      </c>
      <c r="D6539">
        <v>5.2343699999999904</v>
      </c>
      <c r="E6539">
        <v>0.48691309999999899</v>
      </c>
      <c r="F6539" t="s">
        <v>75</v>
      </c>
      <c r="G6539">
        <v>-302.00790000000001</v>
      </c>
      <c r="H6539" s="1">
        <v>-5.5813320000000003E-6</v>
      </c>
      <c r="I6539">
        <v>-49.869680000000002</v>
      </c>
      <c r="J6539">
        <v>-302.51710000000003</v>
      </c>
      <c r="K6539">
        <v>1.1204689999999999</v>
      </c>
      <c r="L6539">
        <v>-29.445979999999999</v>
      </c>
      <c r="M6539">
        <v>3.4837890000000003E-2</v>
      </c>
      <c r="N6539">
        <v>-6.7052090000000002E-3</v>
      </c>
      <c r="O6539">
        <v>-0.99937069999999995</v>
      </c>
      <c r="P6539">
        <v>-2.0317499999999999E-2</v>
      </c>
      <c r="Q6539">
        <v>0.15192510000000001</v>
      </c>
      <c r="R6539">
        <v>-0.98818340000000005</v>
      </c>
      <c r="S6539">
        <v>7.6904299999999995E-2</v>
      </c>
      <c r="T6539">
        <v>-0.16540579999999999</v>
      </c>
      <c r="U6539">
        <v>-3.0653380000000001</v>
      </c>
      <c r="V6539">
        <v>5.4784699999999999E-2</v>
      </c>
      <c r="W6539">
        <v>0.15852040000000001</v>
      </c>
      <c r="X6539">
        <v>0.98583469999999995</v>
      </c>
      <c r="Y6539">
        <v>9.7883650000000003E-3</v>
      </c>
      <c r="Z6539">
        <v>4.712914E-2</v>
      </c>
      <c r="AA6539">
        <v>0.99884090000000003</v>
      </c>
      <c r="AB6539">
        <v>32</v>
      </c>
      <c r="AC6539">
        <v>0.50920000000002097</v>
      </c>
      <c r="AD6539">
        <v>-1.1204745813320001</v>
      </c>
      <c r="AE6539">
        <v>-20.4237</v>
      </c>
      <c r="AF6539">
        <v>0.202035858668595</v>
      </c>
      <c r="AG6539">
        <v>-1.1204745813320001</v>
      </c>
      <c r="AH6539">
        <v>20.3677771240651</v>
      </c>
      <c r="AI6539">
        <v>93.148633791107201</v>
      </c>
      <c r="AJ6539">
        <v>89.431679642807296</v>
      </c>
      <c r="AK6539">
        <v>20.399574180634001</v>
      </c>
      <c r="AL6539">
        <v>80.878975249717399</v>
      </c>
      <c r="AM6539">
        <v>86.819236721459703</v>
      </c>
      <c r="AN6539">
        <v>1.0000000681471599</v>
      </c>
    </row>
    <row r="6540" spans="1:40" x14ac:dyDescent="0.25">
      <c r="A6540" t="str">
        <f>"20190303170420320"</f>
        <v>20190303170420320</v>
      </c>
      <c r="B6540" t="str">
        <f>"1551603860312718"</f>
        <v>1551603860312718</v>
      </c>
      <c r="C6540" t="s">
        <v>40</v>
      </c>
      <c r="D6540">
        <v>5.1743579999999998</v>
      </c>
      <c r="E6540">
        <v>0.48661779999999999</v>
      </c>
      <c r="F6540" t="s">
        <v>75</v>
      </c>
      <c r="G6540">
        <v>-301.9649</v>
      </c>
      <c r="H6540" s="1">
        <v>-5.2840830000000001E-6</v>
      </c>
      <c r="I6540">
        <v>-49.29121</v>
      </c>
      <c r="J6540">
        <v>-302.50630000000001</v>
      </c>
      <c r="K6540">
        <v>1.1204480000000001</v>
      </c>
      <c r="L6540">
        <v>-29.75909</v>
      </c>
      <c r="M6540">
        <v>3.4705029999999998E-2</v>
      </c>
      <c r="N6540">
        <v>-6.7195950000000001E-3</v>
      </c>
      <c r="O6540">
        <v>-0.99937520000000002</v>
      </c>
      <c r="P6540">
        <v>-1.8377009999999999E-2</v>
      </c>
      <c r="Q6540">
        <v>0.1499355</v>
      </c>
      <c r="R6540">
        <v>-0.98852499999999999</v>
      </c>
      <c r="S6540">
        <v>8.5266110000000006E-2</v>
      </c>
      <c r="T6540">
        <v>-0.1730072</v>
      </c>
      <c r="U6540">
        <v>-3.064209</v>
      </c>
      <c r="V6540">
        <v>5.2725639999999997E-2</v>
      </c>
      <c r="W6540">
        <v>0.15654879999999999</v>
      </c>
      <c r="X6540">
        <v>0.98626179999999997</v>
      </c>
      <c r="Y6540">
        <v>6.9262300000000002E-3</v>
      </c>
      <c r="Z6540">
        <v>4.9601510000000001E-2</v>
      </c>
      <c r="AA6540">
        <v>0.99874510000000005</v>
      </c>
      <c r="AB6540">
        <v>33</v>
      </c>
      <c r="AC6540">
        <v>0.54140000000000998</v>
      </c>
      <c r="AD6540">
        <v>-1.1204532840829999</v>
      </c>
      <c r="AE6540">
        <v>-19.5321199999999</v>
      </c>
      <c r="AF6540">
        <v>0.13635577777414001</v>
      </c>
      <c r="AG6540">
        <v>-1.1204532840829999</v>
      </c>
      <c r="AH6540">
        <v>19.475105433504201</v>
      </c>
      <c r="AI6540">
        <v>93.292664353481001</v>
      </c>
      <c r="AJ6540">
        <v>89.598847721420697</v>
      </c>
      <c r="AK6540">
        <v>19.507786653181601</v>
      </c>
      <c r="AL6540">
        <v>80.993366725974496</v>
      </c>
      <c r="AM6540">
        <v>86.939875777552601</v>
      </c>
      <c r="AN6540">
        <v>0.99999992901704204</v>
      </c>
    </row>
    <row r="6541" spans="1:40" x14ac:dyDescent="0.25">
      <c r="A6541" t="str">
        <f>"20190303170420362"</f>
        <v>20190303170420362</v>
      </c>
      <c r="B6541" t="str">
        <f>"1551603860352735"</f>
        <v>1551603860352735</v>
      </c>
      <c r="C6541" t="s">
        <v>40</v>
      </c>
      <c r="D6541">
        <v>5.3199709999999998</v>
      </c>
      <c r="E6541">
        <v>0.4863537</v>
      </c>
      <c r="F6541" t="s">
        <v>75</v>
      </c>
      <c r="G6541">
        <v>-301.91140000000001</v>
      </c>
      <c r="H6541" s="1">
        <v>-5.1664979999999999E-6</v>
      </c>
      <c r="I6541">
        <v>-49.06653</v>
      </c>
      <c r="J6541">
        <v>-302.48520000000002</v>
      </c>
      <c r="K6541">
        <v>1.1204670000000001</v>
      </c>
      <c r="L6541">
        <v>-30.374600000000001</v>
      </c>
      <c r="M6541">
        <v>3.4444019999999999E-2</v>
      </c>
      <c r="N6541">
        <v>-6.7469510000000002E-3</v>
      </c>
      <c r="O6541">
        <v>-0.99938380000000004</v>
      </c>
      <c r="P6541">
        <v>-1.504261E-2</v>
      </c>
      <c r="Q6541">
        <v>0.15279300000000001</v>
      </c>
      <c r="R6541">
        <v>-0.98814389999999996</v>
      </c>
      <c r="S6541">
        <v>9.4390870000000002E-2</v>
      </c>
      <c r="T6541">
        <v>-0.17778379999999999</v>
      </c>
      <c r="U6541">
        <v>-3.0635379999999999</v>
      </c>
      <c r="V6541">
        <v>4.9123710000000001E-2</v>
      </c>
      <c r="W6541">
        <v>0.1594323</v>
      </c>
      <c r="X6541">
        <v>0.98598589999999997</v>
      </c>
      <c r="Y6541">
        <v>3.6898109999999999E-3</v>
      </c>
      <c r="Z6541">
        <v>5.1135979999999998E-2</v>
      </c>
      <c r="AA6541">
        <v>0.99868489999999999</v>
      </c>
      <c r="AB6541">
        <v>33</v>
      </c>
      <c r="AC6541">
        <v>0.57380000000000497</v>
      </c>
      <c r="AD6541">
        <v>-1.120472166498</v>
      </c>
      <c r="AE6541">
        <v>-18.691929999999999</v>
      </c>
      <c r="AF6541">
        <v>7.0128635855212298E-2</v>
      </c>
      <c r="AG6541">
        <v>-1.120472166498</v>
      </c>
      <c r="AH6541">
        <v>18.633709140648602</v>
      </c>
      <c r="AI6541">
        <v>93.441111170561996</v>
      </c>
      <c r="AJ6541">
        <v>89.784366287119596</v>
      </c>
      <c r="AK6541">
        <v>18.667498285516299</v>
      </c>
      <c r="AL6541">
        <v>80.826053534018399</v>
      </c>
      <c r="AM6541">
        <v>87.147772688697401</v>
      </c>
      <c r="AN6541">
        <v>0.99999999608313195</v>
      </c>
    </row>
    <row r="6542" spans="1:40" x14ac:dyDescent="0.25">
      <c r="A6542" t="str">
        <f>"20190303170420384"</f>
        <v>20190303170420384</v>
      </c>
      <c r="B6542" t="str">
        <f>"1551603860372254"</f>
        <v>1551603860372254</v>
      </c>
      <c r="C6542" t="s">
        <v>40</v>
      </c>
      <c r="D6542">
        <v>5.1854760000000004</v>
      </c>
      <c r="E6542">
        <v>0.423732</v>
      </c>
      <c r="F6542" t="s">
        <v>75</v>
      </c>
      <c r="G6542">
        <v>-301.78960000000001</v>
      </c>
      <c r="H6542" s="1">
        <v>-5.9617970000000004E-6</v>
      </c>
      <c r="I6542">
        <v>-50.7059</v>
      </c>
      <c r="J6542">
        <v>-302.47410000000002</v>
      </c>
      <c r="K6542">
        <v>1.1204609999999999</v>
      </c>
      <c r="L6542">
        <v>-30.701720000000002</v>
      </c>
      <c r="M6542">
        <v>3.430544E-2</v>
      </c>
      <c r="N6542">
        <v>-6.7604839999999998E-3</v>
      </c>
      <c r="O6542">
        <v>-0.99938879999999997</v>
      </c>
      <c r="P6542">
        <v>-1.1768610000000001E-2</v>
      </c>
      <c r="Q6542">
        <v>0.15237479999999901</v>
      </c>
      <c r="R6542">
        <v>-0.9882531</v>
      </c>
      <c r="S6542">
        <v>0.1048279</v>
      </c>
      <c r="T6542">
        <v>-0.168842299999999</v>
      </c>
      <c r="U6542">
        <v>-3.0636899999999998</v>
      </c>
      <c r="V6542">
        <v>4.5718620000000001E-2</v>
      </c>
      <c r="W6542">
        <v>0.15903020000000001</v>
      </c>
      <c r="X6542">
        <v>0.98621460000000005</v>
      </c>
      <c r="Y6542">
        <v>1.498479E-4</v>
      </c>
      <c r="Z6542">
        <v>4.8215170000000002E-2</v>
      </c>
      <c r="AA6542">
        <v>0.99883690000000003</v>
      </c>
      <c r="AB6542">
        <v>33</v>
      </c>
      <c r="AC6542">
        <v>0.68450000000001399</v>
      </c>
      <c r="AD6542">
        <v>-1.120466961797</v>
      </c>
      <c r="AE6542">
        <v>-20.004180000000002</v>
      </c>
      <c r="AF6542">
        <v>2.1638314976513101E-3</v>
      </c>
      <c r="AG6542">
        <v>-1.120466961797</v>
      </c>
      <c r="AH6542">
        <v>19.953360965657801</v>
      </c>
      <c r="AI6542">
        <v>93.214028777120504</v>
      </c>
      <c r="AJ6542">
        <v>89.993786590032599</v>
      </c>
      <c r="AK6542">
        <v>19.984795838849099</v>
      </c>
      <c r="AL6542">
        <v>80.849390101691696</v>
      </c>
      <c r="AM6542">
        <v>87.345800870056905</v>
      </c>
      <c r="AN6542">
        <v>1.0000000169899499</v>
      </c>
    </row>
    <row r="6543" spans="1:40" x14ac:dyDescent="0.25">
      <c r="A6543" t="str">
        <f>"20190303170420407"</f>
        <v>20190303170420407</v>
      </c>
      <c r="B6543" t="str">
        <f>"1551603860402510"</f>
        <v>1551603860402510</v>
      </c>
      <c r="C6543" t="s">
        <v>40</v>
      </c>
      <c r="D6543">
        <v>5.1157490000000001</v>
      </c>
      <c r="E6543">
        <v>0.36835980000000001</v>
      </c>
      <c r="F6543" t="s">
        <v>111</v>
      </c>
      <c r="G6543">
        <v>-290.37180000000001</v>
      </c>
      <c r="H6543">
        <v>7.9210279999999994E-2</v>
      </c>
      <c r="I6543">
        <v>-91.564989999999995</v>
      </c>
      <c r="J6543">
        <v>-302.46249999999998</v>
      </c>
      <c r="K6543">
        <v>1.120441</v>
      </c>
      <c r="L6543">
        <v>-31.043209999999998</v>
      </c>
      <c r="M6543">
        <v>3.4160860000000001E-2</v>
      </c>
      <c r="N6543">
        <v>-6.7769299999999996E-3</v>
      </c>
      <c r="O6543">
        <v>-0.99939359999999999</v>
      </c>
      <c r="P6543">
        <v>-7.5443530000000002E-3</v>
      </c>
      <c r="Q6543">
        <v>0.1518274</v>
      </c>
      <c r="R6543">
        <v>-0.9883786</v>
      </c>
      <c r="S6543">
        <v>0.6066589</v>
      </c>
      <c r="T6543">
        <v>-5.2194829999999998E-2</v>
      </c>
      <c r="U6543">
        <v>-3.0509339999999998</v>
      </c>
      <c r="V6543">
        <v>4.135838E-2</v>
      </c>
      <c r="W6543">
        <v>0.158502</v>
      </c>
      <c r="X6543">
        <v>0.98649200000000004</v>
      </c>
      <c r="Y6543">
        <v>-0.16138350000000001</v>
      </c>
      <c r="Z6543">
        <v>1.006013E-2</v>
      </c>
      <c r="AA6543">
        <v>0.98684050000000001</v>
      </c>
      <c r="AB6543">
        <v>33</v>
      </c>
      <c r="AC6543">
        <v>12.090699999999901</v>
      </c>
      <c r="AD6543">
        <v>-1.0412307199999999</v>
      </c>
      <c r="AE6543">
        <v>-60.52178</v>
      </c>
      <c r="AF6543">
        <v>-10.0132698156138</v>
      </c>
      <c r="AG6543">
        <v>-1.0412307199999999</v>
      </c>
      <c r="AH6543">
        <v>60.882164145377097</v>
      </c>
      <c r="AI6543">
        <v>90.966812929853205</v>
      </c>
      <c r="AJ6543">
        <v>99.3398025720509</v>
      </c>
      <c r="AK6543">
        <v>61.708894373803098</v>
      </c>
      <c r="AL6543">
        <v>80.880041746655095</v>
      </c>
      <c r="AM6543">
        <v>87.599297596743597</v>
      </c>
      <c r="AN6543">
        <v>0.99999993283210997</v>
      </c>
    </row>
    <row r="6544" spans="1:40" x14ac:dyDescent="0.25">
      <c r="A6544" t="str">
        <f>"20190303170420429"</f>
        <v>20190303170420429</v>
      </c>
      <c r="B6544" t="str">
        <f>"1551603860422030"</f>
        <v>1551603860422030</v>
      </c>
      <c r="C6544" t="s">
        <v>40</v>
      </c>
      <c r="D6544">
        <v>5.1240969999999999</v>
      </c>
      <c r="E6544">
        <v>0.36278450000000001</v>
      </c>
      <c r="F6544" t="s">
        <v>111</v>
      </c>
      <c r="G6544">
        <v>-285.279</v>
      </c>
      <c r="H6544">
        <v>2.119637</v>
      </c>
      <c r="I6544">
        <v>-80.464519999999993</v>
      </c>
      <c r="J6544">
        <v>-302.45150000000001</v>
      </c>
      <c r="K6544">
        <v>1.1204379999999901</v>
      </c>
      <c r="L6544">
        <v>-31.366759999999999</v>
      </c>
      <c r="M6544">
        <v>3.4023970000000001E-2</v>
      </c>
      <c r="N6544">
        <v>-6.7992919999999898E-3</v>
      </c>
      <c r="O6544">
        <v>-0.99939809999999996</v>
      </c>
      <c r="P6544">
        <v>-3.606143E-3</v>
      </c>
      <c r="Q6544">
        <v>0.15195710000000001</v>
      </c>
      <c r="R6544">
        <v>-0.98838079999999995</v>
      </c>
      <c r="S6544">
        <v>1.0548709999999999</v>
      </c>
      <c r="T6544">
        <v>6.134009E-2</v>
      </c>
      <c r="U6544">
        <v>-3.0339049999999999</v>
      </c>
      <c r="V6544">
        <v>3.7287569999999999E-2</v>
      </c>
      <c r="W6544">
        <v>0.15865650000000001</v>
      </c>
      <c r="X6544">
        <v>0.98662950000000005</v>
      </c>
      <c r="Y6544">
        <v>-0.2959833</v>
      </c>
      <c r="Z6544">
        <v>-2.5939279999999999E-2</v>
      </c>
      <c r="AA6544">
        <v>0.95484080000000005</v>
      </c>
      <c r="AB6544">
        <v>33</v>
      </c>
      <c r="AC6544">
        <v>17.172499999999999</v>
      </c>
      <c r="AD6544">
        <v>0.99919899999999995</v>
      </c>
      <c r="AE6544">
        <v>-49.097760000000001</v>
      </c>
      <c r="AF6544">
        <v>-15.486303112111701</v>
      </c>
      <c r="AG6544">
        <v>0.99919899999999995</v>
      </c>
      <c r="AH6544">
        <v>49.635305143321602</v>
      </c>
      <c r="AI6544">
        <v>88.899072149063002</v>
      </c>
      <c r="AJ6544">
        <v>107.328014250111</v>
      </c>
      <c r="AK6544">
        <v>52.004687282902204</v>
      </c>
      <c r="AL6544">
        <v>80.871076800970897</v>
      </c>
      <c r="AM6544">
        <v>87.835657550183001</v>
      </c>
      <c r="AN6544">
        <v>1.0000000090695</v>
      </c>
    </row>
    <row r="6545" spans="1:40" x14ac:dyDescent="0.25">
      <c r="A6545" t="str">
        <f>"20190303170420452"</f>
        <v>20190303170420452</v>
      </c>
      <c r="B6545" t="str">
        <f>"1551603860442526"</f>
        <v>1551603860442526</v>
      </c>
      <c r="C6545" t="s">
        <v>40</v>
      </c>
      <c r="D6545">
        <v>5.1426369999999997</v>
      </c>
      <c r="E6545">
        <v>0.360929</v>
      </c>
      <c r="F6545" t="s">
        <v>78</v>
      </c>
      <c r="G6545">
        <v>-277.17500000000001</v>
      </c>
      <c r="H6545">
        <v>2.7593749999999999</v>
      </c>
      <c r="I6545">
        <v>-100.2504</v>
      </c>
      <c r="J6545">
        <v>-302.44040000000001</v>
      </c>
      <c r="K6545">
        <v>1.1204430000000001</v>
      </c>
      <c r="L6545">
        <v>-31.69885</v>
      </c>
      <c r="M6545">
        <v>3.388323E-2</v>
      </c>
      <c r="N6545">
        <v>-6.8298279999999996E-3</v>
      </c>
      <c r="O6545">
        <v>-0.99940260000000003</v>
      </c>
      <c r="P6545">
        <v>-5.7654180000000002E-4</v>
      </c>
      <c r="Q6545">
        <v>0.15182419999999999</v>
      </c>
      <c r="R6545">
        <v>-0.98840740000000005</v>
      </c>
      <c r="S6545">
        <v>1.1112059999999999</v>
      </c>
      <c r="T6545">
        <v>7.2051409999999996E-2</v>
      </c>
      <c r="U6545">
        <v>-3.0282589999999998</v>
      </c>
      <c r="V6545">
        <v>3.4121819999999997E-2</v>
      </c>
      <c r="W6545">
        <v>0.15855569999999999</v>
      </c>
      <c r="X6545">
        <v>0.98676030000000003</v>
      </c>
      <c r="Y6545">
        <v>-0.31234650000000003</v>
      </c>
      <c r="Z6545">
        <v>-2.9226120000000001E-2</v>
      </c>
      <c r="AA6545">
        <v>0.94951859999999999</v>
      </c>
      <c r="AB6545">
        <v>33</v>
      </c>
      <c r="AC6545">
        <v>25.2654</v>
      </c>
      <c r="AD6545">
        <v>1.6389319999999901</v>
      </c>
      <c r="AE6545">
        <v>-68.551549999999907</v>
      </c>
      <c r="AF6545">
        <v>-22.916557679553598</v>
      </c>
      <c r="AG6545">
        <v>1.6389319999999901</v>
      </c>
      <c r="AH6545">
        <v>69.333387952573204</v>
      </c>
      <c r="AI6545">
        <v>88.714257828882694</v>
      </c>
      <c r="AJ6545">
        <v>108.29011596045601</v>
      </c>
      <c r="AK6545">
        <v>73.040902232673503</v>
      </c>
      <c r="AL6545">
        <v>80.876926626869803</v>
      </c>
      <c r="AM6545">
        <v>88.019521470554693</v>
      </c>
      <c r="AN6545">
        <v>1.0000000491293399</v>
      </c>
    </row>
    <row r="6546" spans="1:40" x14ac:dyDescent="0.25">
      <c r="A6546" t="str">
        <f>"20190303170420475"</f>
        <v>20190303170420475</v>
      </c>
      <c r="B6546" t="str">
        <f>"1551603860462046"</f>
        <v>1551603860462046</v>
      </c>
      <c r="C6546" t="s">
        <v>40</v>
      </c>
      <c r="D6546">
        <v>5.1196640000000002</v>
      </c>
      <c r="E6546">
        <v>0.35992980000000002</v>
      </c>
      <c r="F6546" t="s">
        <v>78</v>
      </c>
      <c r="G6546">
        <v>-277.17500000000001</v>
      </c>
      <c r="H6546">
        <v>2.7251069999999999</v>
      </c>
      <c r="I6546">
        <v>-99.050470000000004</v>
      </c>
      <c r="J6546">
        <v>-302.42869999999999</v>
      </c>
      <c r="K6546">
        <v>1.1204510000000001</v>
      </c>
      <c r="L6546">
        <v>-32.046329999999998</v>
      </c>
      <c r="M6546">
        <v>3.3732819999999997E-2</v>
      </c>
      <c r="N6546">
        <v>-6.8744100000000001E-3</v>
      </c>
      <c r="O6546">
        <v>-0.99940739999999995</v>
      </c>
      <c r="P6546">
        <v>1.4120859999999999E-3</v>
      </c>
      <c r="Q6546">
        <v>0.15061910000000001</v>
      </c>
      <c r="R6546">
        <v>-0.988591</v>
      </c>
      <c r="S6546">
        <v>1.134674</v>
      </c>
      <c r="T6546">
        <v>7.2066309999999995E-2</v>
      </c>
      <c r="U6546">
        <v>-3.0247799999999998</v>
      </c>
      <c r="V6546">
        <v>3.1992350000000003E-2</v>
      </c>
      <c r="W6546">
        <v>0.15739649999999999</v>
      </c>
      <c r="X6546">
        <v>0.98701719999999904</v>
      </c>
      <c r="Y6546">
        <v>-0.31930890000000001</v>
      </c>
      <c r="Z6546">
        <v>-2.9242750000000001E-2</v>
      </c>
      <c r="AA6546">
        <v>0.94719940000000002</v>
      </c>
      <c r="AB6546">
        <v>33</v>
      </c>
      <c r="AC6546">
        <v>25.253699999999899</v>
      </c>
      <c r="AD6546">
        <v>1.6046560000000001</v>
      </c>
      <c r="AE6546">
        <v>-67.004139999999893</v>
      </c>
      <c r="AF6546">
        <v>-22.9675012243883</v>
      </c>
      <c r="AG6546">
        <v>1.6046560000000001</v>
      </c>
      <c r="AH6546">
        <v>67.7838628535103</v>
      </c>
      <c r="AI6546">
        <v>88.715585126206307</v>
      </c>
      <c r="AJ6546">
        <v>108.71814577229701</v>
      </c>
      <c r="AK6546">
        <v>71.587241158701602</v>
      </c>
      <c r="AL6546">
        <v>80.944188614312594</v>
      </c>
      <c r="AM6546">
        <v>88.143512491900296</v>
      </c>
      <c r="AN6546">
        <v>1.0000000608833</v>
      </c>
    </row>
    <row r="6547" spans="1:40" x14ac:dyDescent="0.25">
      <c r="A6547" t="str">
        <f>"20190303170420498"</f>
        <v>20190303170420498</v>
      </c>
      <c r="B6547" t="str">
        <f>"1551603860492302"</f>
        <v>1551603860492302</v>
      </c>
      <c r="C6547" t="s">
        <v>40</v>
      </c>
      <c r="D6547">
        <v>5.1011490000000004</v>
      </c>
      <c r="E6547">
        <v>0.35951709999999998</v>
      </c>
      <c r="F6547" t="s">
        <v>78</v>
      </c>
      <c r="G6547">
        <v>-277.17500000000001</v>
      </c>
      <c r="H6547">
        <v>2.5341140000000002</v>
      </c>
      <c r="I6547">
        <v>-98.622529999999998</v>
      </c>
      <c r="J6547">
        <v>-302.41739999999999</v>
      </c>
      <c r="K6547">
        <v>1.1204559999999999</v>
      </c>
      <c r="L6547">
        <v>-32.387630000000001</v>
      </c>
      <c r="M6547">
        <v>3.3572869999999998E-2</v>
      </c>
      <c r="N6547">
        <v>-6.9404509999999899E-3</v>
      </c>
      <c r="O6547">
        <v>-0.99941219999999997</v>
      </c>
      <c r="P6547">
        <v>3.8672379999999998E-3</v>
      </c>
      <c r="Q6547">
        <v>0.15134589999999901</v>
      </c>
      <c r="R6547">
        <v>-0.98847320000000005</v>
      </c>
      <c r="S6547">
        <v>1.1467590000000001</v>
      </c>
      <c r="T6547">
        <v>6.4194200000000007E-2</v>
      </c>
      <c r="U6547">
        <v>-3.023193</v>
      </c>
      <c r="V6547">
        <v>2.9379539999999999E-2</v>
      </c>
      <c r="W6547">
        <v>0.15818940000000001</v>
      </c>
      <c r="X6547">
        <v>0.98697159999999995</v>
      </c>
      <c r="Y6547">
        <v>-0.32295760000000001</v>
      </c>
      <c r="Z6547">
        <v>-2.68451E-2</v>
      </c>
      <c r="AA6547">
        <v>0.9460326</v>
      </c>
      <c r="AB6547">
        <v>33</v>
      </c>
      <c r="AC6547">
        <v>25.2423999999999</v>
      </c>
      <c r="AD6547">
        <v>1.4136580000000001</v>
      </c>
      <c r="AE6547">
        <v>-66.234899999999996</v>
      </c>
      <c r="AF6547">
        <v>-22.995273747029</v>
      </c>
      <c r="AG6547">
        <v>1.4136580000000001</v>
      </c>
      <c r="AH6547">
        <v>67.018382900461802</v>
      </c>
      <c r="AI6547">
        <v>88.856998343524893</v>
      </c>
      <c r="AJ6547">
        <v>108.938063322061</v>
      </c>
      <c r="AK6547">
        <v>70.867797272348398</v>
      </c>
      <c r="AL6547">
        <v>80.898181799412001</v>
      </c>
      <c r="AM6547">
        <v>88.294959333301506</v>
      </c>
      <c r="AN6547">
        <v>0.99999999142476503</v>
      </c>
    </row>
    <row r="6548" spans="1:40" x14ac:dyDescent="0.25">
      <c r="A6548" t="str">
        <f>"20190303170420519"</f>
        <v>20190303170420519</v>
      </c>
      <c r="B6548" t="str">
        <f>"1551603860511822"</f>
        <v>1551603860511822</v>
      </c>
      <c r="C6548" t="s">
        <v>40</v>
      </c>
      <c r="D6548">
        <v>5.1200720000000004</v>
      </c>
      <c r="E6548">
        <v>0.35943730000000002</v>
      </c>
      <c r="F6548" t="s">
        <v>78</v>
      </c>
      <c r="G6548">
        <v>-277.17500000000001</v>
      </c>
      <c r="H6548">
        <v>2.504435</v>
      </c>
      <c r="I6548">
        <v>-98.275220000000004</v>
      </c>
      <c r="J6548">
        <v>-302.40699999999998</v>
      </c>
      <c r="K6548">
        <v>1.1204510000000001</v>
      </c>
      <c r="L6548">
        <v>-32.697690000000001</v>
      </c>
      <c r="M6548">
        <v>3.3418219999999998E-2</v>
      </c>
      <c r="N6548">
        <v>-7.0078090000000003E-3</v>
      </c>
      <c r="O6548">
        <v>-0.99941670000000005</v>
      </c>
      <c r="P6548">
        <v>6.1175719999999999E-3</v>
      </c>
      <c r="Q6548">
        <v>0.15376989999999999</v>
      </c>
      <c r="R6548">
        <v>-0.98808779999999996</v>
      </c>
      <c r="S6548">
        <v>1.1572880000000001</v>
      </c>
      <c r="T6548">
        <v>6.3451889999999997E-2</v>
      </c>
      <c r="U6548">
        <v>-3.0207519999999999</v>
      </c>
      <c r="V6548">
        <v>2.6969159999999999E-2</v>
      </c>
      <c r="W6548">
        <v>0.1606773</v>
      </c>
      <c r="X6548">
        <v>0.98663849999999997</v>
      </c>
      <c r="Y6548">
        <v>-0.32623580000000002</v>
      </c>
      <c r="Z6548">
        <v>-2.6673079999999998E-2</v>
      </c>
      <c r="AA6548">
        <v>0.94491199999999997</v>
      </c>
      <c r="AB6548">
        <v>33</v>
      </c>
      <c r="AC6548">
        <v>25.2319999999999</v>
      </c>
      <c r="AD6548">
        <v>1.3839840000000001</v>
      </c>
      <c r="AE6548">
        <v>-65.577529999999996</v>
      </c>
      <c r="AF6548">
        <v>-23.017437582825998</v>
      </c>
      <c r="AG6548">
        <v>1.3839840000000001</v>
      </c>
      <c r="AH6548">
        <v>66.3583848265298</v>
      </c>
      <c r="AI6548">
        <v>88.871162354272201</v>
      </c>
      <c r="AJ6548">
        <v>109.12989830123399</v>
      </c>
      <c r="AK6548">
        <v>70.250644704353903</v>
      </c>
      <c r="AL6548">
        <v>80.753788970113305</v>
      </c>
      <c r="AM6548">
        <v>88.434244790806005</v>
      </c>
      <c r="AN6548">
        <v>1.0000000300043199</v>
      </c>
    </row>
    <row r="6549" spans="1:40" x14ac:dyDescent="0.25">
      <c r="A6549" t="str">
        <f>"20190303170420541"</f>
        <v>20190303170420541</v>
      </c>
      <c r="B6549" t="str">
        <f>"1551603860532319"</f>
        <v>1551603860532319</v>
      </c>
      <c r="C6549" t="s">
        <v>40</v>
      </c>
      <c r="D6549">
        <v>5.0973319999999998</v>
      </c>
      <c r="E6549">
        <v>0.35938619999999999</v>
      </c>
      <c r="F6549" t="s">
        <v>78</v>
      </c>
      <c r="G6549">
        <v>-277.17500000000001</v>
      </c>
      <c r="H6549">
        <v>2.745152</v>
      </c>
      <c r="I6549">
        <v>-97.971320000000006</v>
      </c>
      <c r="J6549">
        <v>-302.39620000000002</v>
      </c>
      <c r="K6549">
        <v>1.12046</v>
      </c>
      <c r="L6549">
        <v>-33.026609999999998</v>
      </c>
      <c r="M6549">
        <v>3.3244429999999998E-2</v>
      </c>
      <c r="N6549">
        <v>-7.1015330000000002E-3</v>
      </c>
      <c r="O6549">
        <v>-0.99942220000000004</v>
      </c>
      <c r="P6549">
        <v>8.320427E-3</v>
      </c>
      <c r="Q6549">
        <v>0.15478449999999999</v>
      </c>
      <c r="R6549">
        <v>-0.98791340000000005</v>
      </c>
      <c r="S6549">
        <v>1.1663509999999999</v>
      </c>
      <c r="T6549">
        <v>7.5102210000000003E-2</v>
      </c>
      <c r="U6549">
        <v>-3.0172729999999999</v>
      </c>
      <c r="V6549">
        <v>2.4594350000000001E-2</v>
      </c>
      <c r="W6549">
        <v>0.1617846</v>
      </c>
      <c r="X6549">
        <v>0.98651960000000005</v>
      </c>
      <c r="Y6549">
        <v>-0.32920060000000001</v>
      </c>
      <c r="Z6549">
        <v>-3.0383250000000001E-2</v>
      </c>
      <c r="AA6549">
        <v>0.94377109999999997</v>
      </c>
      <c r="AB6549">
        <v>33</v>
      </c>
      <c r="AC6549">
        <v>25.2212</v>
      </c>
      <c r="AD6549">
        <v>1.624692</v>
      </c>
      <c r="AE6549">
        <v>-64.944709999999901</v>
      </c>
      <c r="AF6549">
        <v>-23.035627330072899</v>
      </c>
      <c r="AG6549">
        <v>1.624692</v>
      </c>
      <c r="AH6549">
        <v>65.711560740898094</v>
      </c>
      <c r="AI6549">
        <v>88.663390652230007</v>
      </c>
      <c r="AJ6549">
        <v>109.318456498308</v>
      </c>
      <c r="AK6549">
        <v>69.651195004749297</v>
      </c>
      <c r="AL6549">
        <v>80.689504296524007</v>
      </c>
      <c r="AM6549">
        <v>88.571887854954397</v>
      </c>
      <c r="AN6549">
        <v>1.0000000300166201</v>
      </c>
    </row>
    <row r="6550" spans="1:40" x14ac:dyDescent="0.25">
      <c r="A6550" t="str">
        <f>"20190303170420564"</f>
        <v>20190303170420564</v>
      </c>
      <c r="B6550" t="str">
        <f>"1551603860552344"</f>
        <v>1551603860552344</v>
      </c>
      <c r="C6550" t="s">
        <v>40</v>
      </c>
      <c r="D6550">
        <v>5.1097390000000003</v>
      </c>
      <c r="E6550">
        <v>0.35935309999999998</v>
      </c>
      <c r="F6550" t="s">
        <v>78</v>
      </c>
      <c r="G6550">
        <v>-277.17500000000001</v>
      </c>
      <c r="H6550">
        <v>2.9058489999999999</v>
      </c>
      <c r="I6550">
        <v>-97.698800000000006</v>
      </c>
      <c r="J6550">
        <v>-302.38510000000002</v>
      </c>
      <c r="K6550">
        <v>1.1204769999999999</v>
      </c>
      <c r="L6550">
        <v>-33.36618</v>
      </c>
      <c r="M6550">
        <v>3.3056349999999998E-2</v>
      </c>
      <c r="N6550">
        <v>-7.2298619999999897E-3</v>
      </c>
      <c r="O6550">
        <v>-0.99942750000000002</v>
      </c>
      <c r="P6550">
        <v>1.1385350000000001E-2</v>
      </c>
      <c r="Q6550">
        <v>0.15290010000000001</v>
      </c>
      <c r="R6550">
        <v>-0.98817619999999895</v>
      </c>
      <c r="S6550">
        <v>1.1753229999999999</v>
      </c>
      <c r="T6550">
        <v>8.3200570000000001E-2</v>
      </c>
      <c r="U6550">
        <v>-3.013763</v>
      </c>
      <c r="V6550">
        <v>2.1356699999999999E-2</v>
      </c>
      <c r="W6550">
        <v>0.16003010000000001</v>
      </c>
      <c r="X6550">
        <v>0.98688109999999996</v>
      </c>
      <c r="Y6550">
        <v>-0.33216020000000002</v>
      </c>
      <c r="Z6550">
        <v>-3.3024940000000003E-2</v>
      </c>
      <c r="AA6550">
        <v>0.9426447</v>
      </c>
      <c r="AB6550">
        <v>34</v>
      </c>
      <c r="AC6550">
        <v>25.210100000000001</v>
      </c>
      <c r="AD6550">
        <v>1.785372</v>
      </c>
      <c r="AE6550">
        <v>-64.332619999999906</v>
      </c>
      <c r="AF6550">
        <v>-23.054272502101799</v>
      </c>
      <c r="AG6550">
        <v>1.785372</v>
      </c>
      <c r="AH6550">
        <v>65.087379191495302</v>
      </c>
      <c r="AI6550">
        <v>88.518872115727206</v>
      </c>
      <c r="AJ6550">
        <v>109.504397962483</v>
      </c>
      <c r="AK6550">
        <v>69.072816388193203</v>
      </c>
      <c r="AL6550">
        <v>80.791356882016004</v>
      </c>
      <c r="AM6550">
        <v>88.760278406341101</v>
      </c>
      <c r="AN6550">
        <v>1.00000002353905</v>
      </c>
    </row>
    <row r="6551" spans="1:40" x14ac:dyDescent="0.25">
      <c r="A6551" t="str">
        <f>"20190303170420586"</f>
        <v>20190303170420586</v>
      </c>
      <c r="B6551" t="str">
        <f>"1551603860571864"</f>
        <v>1551603860571864</v>
      </c>
      <c r="C6551" t="s">
        <v>40</v>
      </c>
      <c r="D6551">
        <v>5.0723079999999996</v>
      </c>
      <c r="E6551">
        <v>0.35935109999999998</v>
      </c>
      <c r="F6551" t="s">
        <v>78</v>
      </c>
      <c r="G6551">
        <v>-277.17500000000001</v>
      </c>
      <c r="H6551">
        <v>2.7360799999999998</v>
      </c>
      <c r="I6551">
        <v>-97.424270000000007</v>
      </c>
      <c r="J6551">
        <v>-302.37400000000002</v>
      </c>
      <c r="K6551">
        <v>1.1204959999999999</v>
      </c>
      <c r="L6551">
        <v>-33.706569999999999</v>
      </c>
      <c r="M6551">
        <v>3.2860569999999999E-2</v>
      </c>
      <c r="N6551">
        <v>-7.3881889999999999E-3</v>
      </c>
      <c r="O6551">
        <v>-0.99943269999999995</v>
      </c>
      <c r="P6551">
        <v>1.573155E-2</v>
      </c>
      <c r="Q6551">
        <v>0.15094089999999999</v>
      </c>
      <c r="R6551">
        <v>-0.98841789999999996</v>
      </c>
      <c r="S6551">
        <v>1.1847840000000001</v>
      </c>
      <c r="T6551">
        <v>7.5928209999999996E-2</v>
      </c>
      <c r="U6551">
        <v>-3.0104980000000001</v>
      </c>
      <c r="V6551">
        <v>1.6829009999999998E-2</v>
      </c>
      <c r="W6551">
        <v>0.15823180000000001</v>
      </c>
      <c r="X6551">
        <v>0.98725859999999999</v>
      </c>
      <c r="Y6551">
        <v>-0.335279299999999</v>
      </c>
      <c r="Z6551">
        <v>-3.0922669999999999E-2</v>
      </c>
      <c r="AA6551">
        <v>0.94161119999999998</v>
      </c>
      <c r="AB6551">
        <v>34</v>
      </c>
      <c r="AC6551">
        <v>25.199000000000002</v>
      </c>
      <c r="AD6551">
        <v>1.6155839999999999</v>
      </c>
      <c r="AE6551">
        <v>-63.717700000000001</v>
      </c>
      <c r="AF6551">
        <v>-23.0787030488978</v>
      </c>
      <c r="AG6551">
        <v>1.6155839999999999</v>
      </c>
      <c r="AH6551">
        <v>64.475518505370999</v>
      </c>
      <c r="AI6551">
        <v>88.648555505730997</v>
      </c>
      <c r="AJ6551">
        <v>109.69458476606</v>
      </c>
      <c r="AK6551">
        <v>68.500577607905598</v>
      </c>
      <c r="AL6551">
        <v>80.895721832004199</v>
      </c>
      <c r="AM6551">
        <v>89.023419122945299</v>
      </c>
      <c r="AN6551">
        <v>1.0000000306913801</v>
      </c>
    </row>
    <row r="6552" spans="1:40" x14ac:dyDescent="0.25">
      <c r="A6552" t="str">
        <f>"20190303170420608"</f>
        <v>20190303170420608</v>
      </c>
      <c r="B6552" t="str">
        <f>"1551603860602121"</f>
        <v>1551603860602121</v>
      </c>
      <c r="C6552" t="s">
        <v>40</v>
      </c>
      <c r="D6552">
        <v>5.0903359999999997</v>
      </c>
      <c r="E6552">
        <v>0.35939080000000001</v>
      </c>
      <c r="F6552" t="s">
        <v>78</v>
      </c>
      <c r="G6552">
        <v>-277.17500000000001</v>
      </c>
      <c r="H6552">
        <v>2.4927570000000001</v>
      </c>
      <c r="I6552">
        <v>-97.014880000000005</v>
      </c>
      <c r="J6552">
        <v>-302.36309999999997</v>
      </c>
      <c r="K6552">
        <v>1.1205210000000001</v>
      </c>
      <c r="L6552">
        <v>-34.042270000000002</v>
      </c>
      <c r="M6552">
        <v>3.2665340000000001E-2</v>
      </c>
      <c r="N6552">
        <v>-7.5711700000000003E-3</v>
      </c>
      <c r="O6552">
        <v>-0.99943769999999998</v>
      </c>
      <c r="P6552">
        <v>1.907623E-2</v>
      </c>
      <c r="Q6552">
        <v>0.15315100000000001</v>
      </c>
      <c r="R6552">
        <v>-0.98801879999999997</v>
      </c>
      <c r="S6552">
        <v>1.196564</v>
      </c>
      <c r="T6552">
        <v>6.5161819999999995E-2</v>
      </c>
      <c r="U6552">
        <v>-3.0061650000000002</v>
      </c>
      <c r="V6552">
        <v>1.328214E-2</v>
      </c>
      <c r="W6552">
        <v>0.16062170000000001</v>
      </c>
      <c r="X6552">
        <v>0.98692670000000005</v>
      </c>
      <c r="Y6552">
        <v>-0.33914299999999997</v>
      </c>
      <c r="Z6552">
        <v>-2.7761250000000001E-2</v>
      </c>
      <c r="AA6552">
        <v>0.94032510000000002</v>
      </c>
      <c r="AB6552">
        <v>34</v>
      </c>
      <c r="AC6552">
        <v>25.188099999999899</v>
      </c>
      <c r="AD6552">
        <v>1.372236</v>
      </c>
      <c r="AE6552">
        <v>-62.972609999999897</v>
      </c>
      <c r="AF6552">
        <v>-23.108117436422098</v>
      </c>
      <c r="AG6552">
        <v>1.372236</v>
      </c>
      <c r="AH6552">
        <v>63.735713287875797</v>
      </c>
      <c r="AI6552">
        <v>88.840444757116899</v>
      </c>
      <c r="AJ6552">
        <v>109.928696320783</v>
      </c>
      <c r="AK6552">
        <v>67.809359762568803</v>
      </c>
      <c r="AL6552">
        <v>80.757016522174794</v>
      </c>
      <c r="AM6552">
        <v>89.228955275847596</v>
      </c>
      <c r="AN6552">
        <v>1.0000000284633701</v>
      </c>
    </row>
    <row r="6553" spans="1:40" x14ac:dyDescent="0.25">
      <c r="A6553" t="str">
        <f>"20190303170420630"</f>
        <v>20190303170420630</v>
      </c>
      <c r="B6553" t="str">
        <f>"1551603860622617"</f>
        <v>1551603860622617</v>
      </c>
      <c r="C6553" t="s">
        <v>40</v>
      </c>
      <c r="D6553">
        <v>5.0710480000000002</v>
      </c>
      <c r="E6553">
        <v>0.35945179999999999</v>
      </c>
      <c r="F6553" t="s">
        <v>78</v>
      </c>
      <c r="G6553">
        <v>-277.17500000000001</v>
      </c>
      <c r="H6553">
        <v>2.620892</v>
      </c>
      <c r="I6553">
        <v>-96.707149999999999</v>
      </c>
      <c r="J6553">
        <v>-302.35250000000002</v>
      </c>
      <c r="K6553">
        <v>1.120579</v>
      </c>
      <c r="L6553">
        <v>-34.373840000000001</v>
      </c>
      <c r="M6553">
        <v>3.2489669999999998E-2</v>
      </c>
      <c r="N6553">
        <v>-7.780754E-3</v>
      </c>
      <c r="O6553">
        <v>-0.99944200000000005</v>
      </c>
      <c r="P6553">
        <v>2.1058650000000002E-2</v>
      </c>
      <c r="Q6553">
        <v>0.15617739999999999</v>
      </c>
      <c r="R6553">
        <v>-0.98750479999999996</v>
      </c>
      <c r="S6553">
        <v>1.2066349999999999</v>
      </c>
      <c r="T6553">
        <v>7.1875690000000006E-2</v>
      </c>
      <c r="U6553">
        <v>-3.0019529999999999</v>
      </c>
      <c r="V6553">
        <v>1.110908E-2</v>
      </c>
      <c r="W6553">
        <v>0.16385229999999901</v>
      </c>
      <c r="X6553">
        <v>0.98642229999999997</v>
      </c>
      <c r="Y6553">
        <v>-0.3424566</v>
      </c>
      <c r="Z6553">
        <v>-3.0055169999999999E-2</v>
      </c>
      <c r="AA6553">
        <v>0.93905280000000002</v>
      </c>
      <c r="AB6553">
        <v>34</v>
      </c>
      <c r="AC6553">
        <v>25.177499999999998</v>
      </c>
      <c r="AD6553">
        <v>1.500313</v>
      </c>
      <c r="AE6553">
        <v>-62.333309999999997</v>
      </c>
      <c r="AF6553">
        <v>-23.127438715660801</v>
      </c>
      <c r="AG6553">
        <v>1.500313</v>
      </c>
      <c r="AH6553">
        <v>63.0870121593045</v>
      </c>
      <c r="AI6553">
        <v>88.720881719266401</v>
      </c>
      <c r="AJ6553">
        <v>110.13272820572</v>
      </c>
      <c r="AK6553">
        <v>67.209377796799004</v>
      </c>
      <c r="AL6553">
        <v>80.569430985609202</v>
      </c>
      <c r="AM6553">
        <v>89.354762670555601</v>
      </c>
      <c r="AN6553">
        <v>0.99999997090551196</v>
      </c>
    </row>
    <row r="6554" spans="1:40" x14ac:dyDescent="0.25">
      <c r="A6554" t="str">
        <f>"20190303170420652"</f>
        <v>20190303170420652</v>
      </c>
      <c r="B6554" t="str">
        <f>"1551603860642137"</f>
        <v>1551603860642137</v>
      </c>
      <c r="C6554" t="s">
        <v>40</v>
      </c>
      <c r="D6554">
        <v>5.088921</v>
      </c>
      <c r="E6554">
        <v>0.35962810000000001</v>
      </c>
      <c r="F6554" t="s">
        <v>78</v>
      </c>
      <c r="G6554">
        <v>-277.17500000000001</v>
      </c>
      <c r="H6554">
        <v>2.8170160000000002</v>
      </c>
      <c r="I6554">
        <v>-96.640829999999994</v>
      </c>
      <c r="J6554">
        <v>-302.3417</v>
      </c>
      <c r="K6554">
        <v>1.1206609999999999</v>
      </c>
      <c r="L6554">
        <v>-34.7074</v>
      </c>
      <c r="M6554">
        <v>3.2352190000000003E-2</v>
      </c>
      <c r="N6554">
        <v>-8.0318960000000002E-3</v>
      </c>
      <c r="O6554">
        <v>-0.99944440000000001</v>
      </c>
      <c r="P6554">
        <v>2.502888E-2</v>
      </c>
      <c r="Q6554">
        <v>0.15827359999999999</v>
      </c>
      <c r="R6554">
        <v>-0.98707800000000001</v>
      </c>
      <c r="S6554">
        <v>1.2127079999999999</v>
      </c>
      <c r="T6554">
        <v>8.1711889999999995E-2</v>
      </c>
      <c r="U6554">
        <v>-2.9991759999999998</v>
      </c>
      <c r="V6554">
        <v>6.9833079999999997E-3</v>
      </c>
      <c r="W6554">
        <v>0.16619629999999999</v>
      </c>
      <c r="X6554">
        <v>0.98606799999999994</v>
      </c>
      <c r="Y6554">
        <v>-0.34448640000000003</v>
      </c>
      <c r="Z6554">
        <v>-3.3360149999999998E-2</v>
      </c>
      <c r="AA6554">
        <v>0.93819839999999999</v>
      </c>
      <c r="AB6554">
        <v>34</v>
      </c>
      <c r="AC6554">
        <v>25.166699999999899</v>
      </c>
      <c r="AD6554">
        <v>1.6963549999999901</v>
      </c>
      <c r="AE6554">
        <v>-61.933430000000001</v>
      </c>
      <c r="AF6554">
        <v>-23.134882383325301</v>
      </c>
      <c r="AG6554">
        <v>1.6963549999999901</v>
      </c>
      <c r="AH6554">
        <v>62.6748759140659</v>
      </c>
      <c r="AI6554">
        <v>88.5454958272082</v>
      </c>
      <c r="AJ6554">
        <v>110.26037935619701</v>
      </c>
      <c r="AK6554">
        <v>66.8299369595684</v>
      </c>
      <c r="AL6554">
        <v>80.433263359540206</v>
      </c>
      <c r="AM6554">
        <v>89.594239559050095</v>
      </c>
      <c r="AN6554">
        <v>1.0000000386741501</v>
      </c>
    </row>
    <row r="6555" spans="1:40" x14ac:dyDescent="0.25">
      <c r="A6555" t="str">
        <f>"20190303170420678"</f>
        <v>20190303170420678</v>
      </c>
      <c r="B6555" t="str">
        <f>"1551603860672392"</f>
        <v>1551603860672392</v>
      </c>
      <c r="C6555" t="s">
        <v>40</v>
      </c>
      <c r="D6555">
        <v>5.0623589999999998</v>
      </c>
      <c r="E6555">
        <v>0.3597783</v>
      </c>
      <c r="F6555" t="s">
        <v>78</v>
      </c>
      <c r="G6555">
        <v>-277.17500000000001</v>
      </c>
      <c r="H6555">
        <v>2.9110990000000001</v>
      </c>
      <c r="I6555">
        <v>-96.296270000000007</v>
      </c>
      <c r="J6555">
        <v>-302.33</v>
      </c>
      <c r="K6555">
        <v>1.1207720000000001</v>
      </c>
      <c r="L6555">
        <v>-35.075099999999999</v>
      </c>
      <c r="M6555">
        <v>3.2278130000000002E-2</v>
      </c>
      <c r="N6555">
        <v>-8.3706490000000008E-3</v>
      </c>
      <c r="O6555">
        <v>-0.99944409999999895</v>
      </c>
      <c r="P6555">
        <v>2.817828E-2</v>
      </c>
      <c r="Q6555">
        <v>0.15994169999999999</v>
      </c>
      <c r="R6555">
        <v>-0.9867245</v>
      </c>
      <c r="S6555">
        <v>1.223541</v>
      </c>
      <c r="T6555">
        <v>8.7046979999999996E-2</v>
      </c>
      <c r="U6555">
        <v>-2.9942929999999999</v>
      </c>
      <c r="V6555">
        <v>3.7321049999999999E-3</v>
      </c>
      <c r="W6555">
        <v>0.16819809999999999</v>
      </c>
      <c r="X6555">
        <v>0.98574609999999996</v>
      </c>
      <c r="Y6555">
        <v>-0.34797460000000002</v>
      </c>
      <c r="Z6555">
        <v>-3.5356949999999998E-2</v>
      </c>
      <c r="AA6555">
        <v>0.93683700000000003</v>
      </c>
      <c r="AB6555">
        <v>34</v>
      </c>
      <c r="AC6555">
        <v>25.154999999999902</v>
      </c>
      <c r="AD6555">
        <v>1.790327</v>
      </c>
      <c r="AE6555">
        <v>-61.221170000000001</v>
      </c>
      <c r="AF6555">
        <v>-23.148780694266801</v>
      </c>
      <c r="AG6555">
        <v>1.790327</v>
      </c>
      <c r="AH6555">
        <v>61.955920787885802</v>
      </c>
      <c r="AI6555">
        <v>88.449436347341504</v>
      </c>
      <c r="AJ6555">
        <v>110.48735071005601</v>
      </c>
      <c r="AK6555">
        <v>66.163490227412893</v>
      </c>
      <c r="AL6555">
        <v>80.316930245468299</v>
      </c>
      <c r="AM6555">
        <v>89.783075131125202</v>
      </c>
      <c r="AN6555">
        <v>0.99999995155827404</v>
      </c>
    </row>
    <row r="6556" spans="1:40" x14ac:dyDescent="0.25">
      <c r="A6556" t="str">
        <f>"20190303170420699"</f>
        <v>20190303170420699</v>
      </c>
      <c r="B6556" t="str">
        <f>"1551603860691913"</f>
        <v>1551603860691913</v>
      </c>
      <c r="C6556" t="s">
        <v>40</v>
      </c>
      <c r="D6556">
        <v>5.067539</v>
      </c>
      <c r="E6556">
        <v>0.35989939999999998</v>
      </c>
      <c r="F6556" t="s">
        <v>78</v>
      </c>
      <c r="G6556">
        <v>-277.17500000000001</v>
      </c>
      <c r="H6556">
        <v>2.9563769999999998</v>
      </c>
      <c r="I6556">
        <v>-96.162210000000002</v>
      </c>
      <c r="J6556">
        <v>-302.31900000000002</v>
      </c>
      <c r="K6556">
        <v>1.120922</v>
      </c>
      <c r="L6556">
        <v>-35.41498</v>
      </c>
      <c r="M6556">
        <v>3.2334700000000001E-2</v>
      </c>
      <c r="N6556">
        <v>-8.7395059999999993E-3</v>
      </c>
      <c r="O6556">
        <v>-0.99943899999999997</v>
      </c>
      <c r="P6556">
        <v>2.9679509999999999E-2</v>
      </c>
      <c r="Q6556">
        <v>0.1628106</v>
      </c>
      <c r="R6556">
        <v>-0.9862109</v>
      </c>
      <c r="S6556">
        <v>1.231506</v>
      </c>
      <c r="T6556">
        <v>8.986616E-2</v>
      </c>
      <c r="U6556">
        <v>-2.990631</v>
      </c>
      <c r="V6556">
        <v>2.239988E-3</v>
      </c>
      <c r="W6556">
        <v>0.17142679999999999</v>
      </c>
      <c r="X6556">
        <v>0.98519429999999997</v>
      </c>
      <c r="Y6556">
        <v>-0.35044219999999998</v>
      </c>
      <c r="Z6556">
        <v>-3.6602299999999997E-2</v>
      </c>
      <c r="AA6556">
        <v>0.9358689</v>
      </c>
      <c r="AB6556">
        <v>34</v>
      </c>
      <c r="AC6556">
        <v>25.143999999999998</v>
      </c>
      <c r="AD6556">
        <v>1.8354550000000001</v>
      </c>
      <c r="AE6556">
        <v>-60.747230000000002</v>
      </c>
      <c r="AF6556">
        <v>-23.148491041700499</v>
      </c>
      <c r="AG6556">
        <v>1.8354550000000001</v>
      </c>
      <c r="AH6556">
        <v>61.480599622785</v>
      </c>
      <c r="AI6556">
        <v>88.399605908019197</v>
      </c>
      <c r="AJ6556">
        <v>110.632209098462</v>
      </c>
      <c r="AK6556">
        <v>65.719750931831101</v>
      </c>
      <c r="AL6556">
        <v>80.129213284961907</v>
      </c>
      <c r="AM6556">
        <v>89.869729618404506</v>
      </c>
      <c r="AN6556">
        <v>0.99999998702848503</v>
      </c>
    </row>
    <row r="6557" spans="1:40" x14ac:dyDescent="0.25">
      <c r="A6557" t="str">
        <f>"20190303170420723"</f>
        <v>20190303170420723</v>
      </c>
      <c r="B6557" t="str">
        <f>"1551603860712409"</f>
        <v>1551603860712409</v>
      </c>
      <c r="C6557" t="s">
        <v>40</v>
      </c>
      <c r="D6557">
        <v>5.0477349999999896</v>
      </c>
      <c r="E6557">
        <v>0.36597639999999998</v>
      </c>
      <c r="F6557" t="s">
        <v>78</v>
      </c>
      <c r="G6557">
        <v>-277.17500000000001</v>
      </c>
      <c r="H6557">
        <v>3.107923</v>
      </c>
      <c r="I6557">
        <v>-96.253979999999999</v>
      </c>
      <c r="J6557">
        <v>-302.3073</v>
      </c>
      <c r="K6557">
        <v>1.121086</v>
      </c>
      <c r="L6557">
        <v>-35.770420000000001</v>
      </c>
      <c r="M6557">
        <v>3.252393E-2</v>
      </c>
      <c r="N6557">
        <v>-9.1358889999999995E-3</v>
      </c>
      <c r="O6557">
        <v>-0.99942920000000002</v>
      </c>
      <c r="P6557">
        <v>3.1603199999999998E-2</v>
      </c>
      <c r="Q6557">
        <v>0.16472290000000001</v>
      </c>
      <c r="R6557">
        <v>-0.98583359999999998</v>
      </c>
      <c r="S6557">
        <v>1.235168</v>
      </c>
      <c r="T6557">
        <v>9.7609639999999998E-2</v>
      </c>
      <c r="U6557">
        <v>-2.9886469999999998</v>
      </c>
      <c r="V6557">
        <v>4.5090869999999999E-4</v>
      </c>
      <c r="W6557">
        <v>0.1737273</v>
      </c>
      <c r="X6557">
        <v>0.98479369999999999</v>
      </c>
      <c r="Y6557">
        <v>-0.35142699999999999</v>
      </c>
      <c r="Z6557">
        <v>-3.9404050000000003E-2</v>
      </c>
      <c r="AA6557">
        <v>0.93538569999999999</v>
      </c>
      <c r="AB6557">
        <v>34</v>
      </c>
      <c r="AC6557">
        <v>25.132299999999901</v>
      </c>
      <c r="AD6557">
        <v>1.986837</v>
      </c>
      <c r="AE6557">
        <v>-60.483559999999997</v>
      </c>
      <c r="AF6557">
        <v>-23.130473196672199</v>
      </c>
      <c r="AG6557">
        <v>1.986837</v>
      </c>
      <c r="AH6557">
        <v>61.212666865590499</v>
      </c>
      <c r="AI6557">
        <v>88.260887561352007</v>
      </c>
      <c r="AJ6557">
        <v>110.700109644797</v>
      </c>
      <c r="AK6557">
        <v>65.467220014021507</v>
      </c>
      <c r="AL6557">
        <v>79.995396705746202</v>
      </c>
      <c r="AM6557">
        <v>89.973765912951805</v>
      </c>
      <c r="AN6557">
        <v>1.0000000048218101</v>
      </c>
    </row>
    <row r="6558" spans="1:40" x14ac:dyDescent="0.25">
      <c r="A6558" t="str">
        <f>"20190303170420742"</f>
        <v>20190303170420742</v>
      </c>
      <c r="B6558" t="str">
        <f>"1551603860731928"</f>
        <v>1551603860731928</v>
      </c>
      <c r="C6558" t="s">
        <v>40</v>
      </c>
      <c r="D6558">
        <v>5.0548900000000003</v>
      </c>
      <c r="E6558">
        <v>0.36600169999999999</v>
      </c>
      <c r="F6558" t="s">
        <v>78</v>
      </c>
      <c r="G6558">
        <v>-277.17500000000001</v>
      </c>
      <c r="H6558">
        <v>2.6395909999999998</v>
      </c>
      <c r="I6558">
        <v>-98.668549999999996</v>
      </c>
      <c r="J6558">
        <v>-302.29730000000001</v>
      </c>
      <c r="K6558">
        <v>1.1212569999999999</v>
      </c>
      <c r="L6558">
        <v>-36.070250000000001</v>
      </c>
      <c r="M6558">
        <v>3.2828820000000002E-2</v>
      </c>
      <c r="N6558">
        <v>-9.4999899999999998E-3</v>
      </c>
      <c r="O6558">
        <v>-0.99941590000000002</v>
      </c>
      <c r="P6558">
        <v>3.4965379999999997E-2</v>
      </c>
      <c r="Q6558">
        <v>0.1660587</v>
      </c>
      <c r="R6558">
        <v>-0.98549600000000004</v>
      </c>
      <c r="S6558">
        <v>1.1958009999999999</v>
      </c>
      <c r="T6558">
        <v>7.2251319999999994E-2</v>
      </c>
      <c r="U6558">
        <v>-2.9927060000000001</v>
      </c>
      <c r="V6558">
        <v>-2.6657930000000001E-3</v>
      </c>
      <c r="W6558">
        <v>0.17541809999999999</v>
      </c>
      <c r="X6558">
        <v>0.98449050000000005</v>
      </c>
      <c r="Y6558">
        <v>-0.34019179999999999</v>
      </c>
      <c r="Z6558">
        <v>-3.1967130000000003E-2</v>
      </c>
      <c r="AA6558">
        <v>0.9398126</v>
      </c>
      <c r="AB6558">
        <v>34</v>
      </c>
      <c r="AC6558">
        <v>25.122299999999999</v>
      </c>
      <c r="AD6558">
        <v>1.5183340000000001</v>
      </c>
      <c r="AE6558">
        <v>-62.598300000000002</v>
      </c>
      <c r="AF6558">
        <v>-23.041961200677399</v>
      </c>
      <c r="AG6558">
        <v>1.5183340000000001</v>
      </c>
      <c r="AH6558">
        <v>63.357225080800603</v>
      </c>
      <c r="AI6558">
        <v>88.709832038243206</v>
      </c>
      <c r="AJ6558">
        <v>109.98547887613501</v>
      </c>
      <c r="AK6558">
        <v>67.434229320489095</v>
      </c>
      <c r="AL6558">
        <v>79.897010966027807</v>
      </c>
      <c r="AM6558">
        <v>90.1551445287257</v>
      </c>
      <c r="AN6558">
        <v>1.0000000804250799</v>
      </c>
    </row>
    <row r="6559" spans="1:40" x14ac:dyDescent="0.25">
      <c r="A6559" t="str">
        <f>"20190303170420765"</f>
        <v>20190303170420765</v>
      </c>
      <c r="B6559" t="str">
        <f>"1551603860752424"</f>
        <v>1551603860752424</v>
      </c>
      <c r="C6559" t="s">
        <v>40</v>
      </c>
      <c r="D6559">
        <v>5.0577439999999996</v>
      </c>
      <c r="E6559">
        <v>0.36614000000000002</v>
      </c>
      <c r="F6559" t="s">
        <v>78</v>
      </c>
      <c r="G6559">
        <v>-277.17500000000001</v>
      </c>
      <c r="H6559">
        <v>2.6815910000000001</v>
      </c>
      <c r="I6559">
        <v>-98.353549999999998</v>
      </c>
      <c r="J6559">
        <v>-302.28609999999998</v>
      </c>
      <c r="K6559">
        <v>1.121499</v>
      </c>
      <c r="L6559">
        <v>-36.397190000000002</v>
      </c>
      <c r="M6559">
        <v>3.3377230000000001E-2</v>
      </c>
      <c r="N6559">
        <v>-9.9230610000000004E-3</v>
      </c>
      <c r="O6559">
        <v>-0.99939359999999999</v>
      </c>
      <c r="P6559">
        <v>3.8342759999999997E-2</v>
      </c>
      <c r="Q6559">
        <v>0.16618269999999999</v>
      </c>
      <c r="R6559">
        <v>-0.98534949999999999</v>
      </c>
      <c r="S6559">
        <v>1.2055359999999999</v>
      </c>
      <c r="T6559">
        <v>7.4875830000000004E-2</v>
      </c>
      <c r="U6559">
        <v>-2.9887700000000001</v>
      </c>
      <c r="V6559">
        <v>-5.5738949999999997E-3</v>
      </c>
      <c r="W6559">
        <v>0.1759551</v>
      </c>
      <c r="X6559">
        <v>0.98438239999999999</v>
      </c>
      <c r="Y6559">
        <v>-0.34272320000000001</v>
      </c>
      <c r="Z6559">
        <v>-3.3206579999999999E-2</v>
      </c>
      <c r="AA6559">
        <v>0.93884939999999995</v>
      </c>
      <c r="AB6559">
        <v>34</v>
      </c>
      <c r="AC6559">
        <v>25.111099999999901</v>
      </c>
      <c r="AD6559">
        <v>1.560092</v>
      </c>
      <c r="AE6559">
        <v>-61.956359999999997</v>
      </c>
      <c r="AF6559">
        <v>-23.016539203527401</v>
      </c>
      <c r="AG6559">
        <v>1.560092</v>
      </c>
      <c r="AH6559">
        <v>62.7258559943797</v>
      </c>
      <c r="AI6559">
        <v>88.662426861696801</v>
      </c>
      <c r="AJ6559">
        <v>110.150037516932</v>
      </c>
      <c r="AK6559">
        <v>66.833584178791696</v>
      </c>
      <c r="AL6559">
        <v>79.865756063323801</v>
      </c>
      <c r="AM6559">
        <v>90.324423969695701</v>
      </c>
      <c r="AN6559">
        <v>0.99999998747562002</v>
      </c>
    </row>
    <row r="6560" spans="1:40" x14ac:dyDescent="0.25">
      <c r="A6560" t="str">
        <f>"20190303170420787"</f>
        <v>20190303170420787</v>
      </c>
      <c r="B6560" t="str">
        <f>"1551603860782680"</f>
        <v>1551603860782680</v>
      </c>
      <c r="C6560" t="s">
        <v>40</v>
      </c>
      <c r="D6560">
        <v>5.0632720000000004</v>
      </c>
      <c r="E6560">
        <v>0.36650270000000001</v>
      </c>
      <c r="F6560" t="s">
        <v>78</v>
      </c>
      <c r="G6560">
        <v>-277.17500000000001</v>
      </c>
      <c r="H6560">
        <v>2.6035379999999999</v>
      </c>
      <c r="I6560">
        <v>-98.142049999999998</v>
      </c>
      <c r="J6560">
        <v>-302.27390000000003</v>
      </c>
      <c r="K6560">
        <v>1.1217859999999999</v>
      </c>
      <c r="L6560">
        <v>-36.740780000000001</v>
      </c>
      <c r="M6560">
        <v>3.4247359999999998E-2</v>
      </c>
      <c r="N6560">
        <v>-1.0364190000000001E-2</v>
      </c>
      <c r="O6560">
        <v>-0.99935980000000002</v>
      </c>
      <c r="P6560">
        <v>4.0232120000000003E-2</v>
      </c>
      <c r="Q6560">
        <v>0.1671658</v>
      </c>
      <c r="R6560">
        <v>-0.98510799999999998</v>
      </c>
      <c r="S6560">
        <v>1.214081</v>
      </c>
      <c r="T6560">
        <v>7.1654800000000005E-2</v>
      </c>
      <c r="U6560">
        <v>-2.9852599999999998</v>
      </c>
      <c r="V6560">
        <v>-6.7099660000000004E-3</v>
      </c>
      <c r="W6560">
        <v>0.17736589999999999</v>
      </c>
      <c r="X6560">
        <v>0.9841221</v>
      </c>
      <c r="Y6560">
        <v>-0.3446012</v>
      </c>
      <c r="Z6560">
        <v>-3.2642490000000003E-2</v>
      </c>
      <c r="AA6560">
        <v>0.9381815</v>
      </c>
      <c r="AB6560">
        <v>34</v>
      </c>
      <c r="AC6560">
        <v>25.0989</v>
      </c>
      <c r="AD6560">
        <v>1.481752</v>
      </c>
      <c r="AE6560">
        <v>-61.401269999999997</v>
      </c>
      <c r="AF6560">
        <v>-22.969769388183298</v>
      </c>
      <c r="AG6560">
        <v>1.481752</v>
      </c>
      <c r="AH6560">
        <v>62.193830398517797</v>
      </c>
      <c r="AI6560">
        <v>88.719697224553201</v>
      </c>
      <c r="AJ6560">
        <v>110.270475335573</v>
      </c>
      <c r="AK6560">
        <v>66.316501976321305</v>
      </c>
      <c r="AL6560">
        <v>79.783631598728704</v>
      </c>
      <c r="AM6560">
        <v>90.390649468331304</v>
      </c>
      <c r="AN6560">
        <v>0.99999999691746999</v>
      </c>
    </row>
    <row r="6561" spans="1:40" x14ac:dyDescent="0.25">
      <c r="A6561" t="str">
        <f>"20190303170420809"</f>
        <v>20190303170420809</v>
      </c>
      <c r="B6561" t="str">
        <f>"1551603860802202"</f>
        <v>1551603860802202</v>
      </c>
      <c r="C6561" t="s">
        <v>40</v>
      </c>
      <c r="D6561">
        <v>5.0200279999999999</v>
      </c>
      <c r="E6561">
        <v>0.36638209999999999</v>
      </c>
      <c r="F6561" t="s">
        <v>78</v>
      </c>
      <c r="G6561">
        <v>-277.17500000000001</v>
      </c>
      <c r="H6561">
        <v>2.5640010000000002</v>
      </c>
      <c r="I6561">
        <v>-98.293790000000001</v>
      </c>
      <c r="J6561">
        <v>-302.26170000000002</v>
      </c>
      <c r="K6561">
        <v>1.122096</v>
      </c>
      <c r="L6561">
        <v>-37.067079999999997</v>
      </c>
      <c r="M6561">
        <v>3.5404159999999997E-2</v>
      </c>
      <c r="N6561">
        <v>-1.07566E-2</v>
      </c>
      <c r="O6561">
        <v>-0.99931519999999996</v>
      </c>
      <c r="P6561">
        <v>4.1195210000000003E-2</v>
      </c>
      <c r="Q6561">
        <v>0.170598</v>
      </c>
      <c r="R6561">
        <v>-0.98447910000000005</v>
      </c>
      <c r="S6561">
        <v>1.216675</v>
      </c>
      <c r="T6561">
        <v>6.9912080000000001E-2</v>
      </c>
      <c r="U6561">
        <v>-2.9837950000000002</v>
      </c>
      <c r="V6561">
        <v>-6.673348E-3</v>
      </c>
      <c r="W6561">
        <v>0.18117369999999999</v>
      </c>
      <c r="X6561">
        <v>0.98342850000000004</v>
      </c>
      <c r="Y6561">
        <v>-0.34437570000000001</v>
      </c>
      <c r="Z6561">
        <v>-3.2492350000000003E-2</v>
      </c>
      <c r="AA6561">
        <v>0.93826949999999998</v>
      </c>
      <c r="AB6561">
        <v>34</v>
      </c>
      <c r="AC6561">
        <v>25.0867</v>
      </c>
      <c r="AD6561">
        <v>1.44190499999999</v>
      </c>
      <c r="AE6561">
        <v>-61.226709999999997</v>
      </c>
      <c r="AF6561">
        <v>-22.8922938041229</v>
      </c>
      <c r="AG6561">
        <v>1.44190499999999</v>
      </c>
      <c r="AH6561">
        <v>62.047080501662698</v>
      </c>
      <c r="AI6561">
        <v>88.751017968731901</v>
      </c>
      <c r="AJ6561">
        <v>110.251558374841</v>
      </c>
      <c r="AK6561">
        <v>66.151163288510006</v>
      </c>
      <c r="AL6561">
        <v>79.561868334663998</v>
      </c>
      <c r="AM6561">
        <v>90.388791668142403</v>
      </c>
      <c r="AN6561">
        <v>1.0000000288787301</v>
      </c>
    </row>
    <row r="6562" spans="1:40" x14ac:dyDescent="0.25">
      <c r="A6562" t="str">
        <f>"20190303170420834"</f>
        <v>20190303170420834</v>
      </c>
      <c r="B6562" t="str">
        <f>"1551603860822697"</f>
        <v>1551603860822697</v>
      </c>
      <c r="C6562" t="s">
        <v>40</v>
      </c>
      <c r="D6562">
        <v>5.0045250000000001</v>
      </c>
      <c r="E6562">
        <v>0.366282</v>
      </c>
      <c r="F6562" t="s">
        <v>78</v>
      </c>
      <c r="G6562">
        <v>-277.17500000000001</v>
      </c>
      <c r="H6562">
        <v>2.8718900000000001</v>
      </c>
      <c r="I6562">
        <v>-98.253510000000006</v>
      </c>
      <c r="J6562">
        <v>-302.24740000000003</v>
      </c>
      <c r="K6562">
        <v>1.122468</v>
      </c>
      <c r="L6562">
        <v>-37.427489999999999</v>
      </c>
      <c r="M6562">
        <v>3.7104449999999997E-2</v>
      </c>
      <c r="N6562">
        <v>-1.1156660000000001E-2</v>
      </c>
      <c r="O6562">
        <v>-0.9992491</v>
      </c>
      <c r="P6562">
        <v>4.3442689999999999E-2</v>
      </c>
      <c r="Q6562">
        <v>0.17293049999999999</v>
      </c>
      <c r="R6562">
        <v>-0.9839755</v>
      </c>
      <c r="S6562">
        <v>1.2223820000000001</v>
      </c>
      <c r="T6562">
        <v>8.5261580000000003E-2</v>
      </c>
      <c r="U6562">
        <v>-2.9813839999999998</v>
      </c>
      <c r="V6562">
        <v>-7.4156200000000004E-3</v>
      </c>
      <c r="W6562">
        <v>0.1838882</v>
      </c>
      <c r="X6562">
        <v>0.98291919999999999</v>
      </c>
      <c r="Y6562">
        <v>-0.34452179999999999</v>
      </c>
      <c r="Z6562">
        <v>-3.7677130000000003E-2</v>
      </c>
      <c r="AA6562">
        <v>0.93802200000000002</v>
      </c>
      <c r="AB6562">
        <v>34</v>
      </c>
      <c r="AC6562">
        <v>25.072399999999998</v>
      </c>
      <c r="AD6562">
        <v>1.749422</v>
      </c>
      <c r="AE6562">
        <v>-60.8260199999999</v>
      </c>
      <c r="AF6562">
        <v>-22.781967983988402</v>
      </c>
      <c r="AG6562">
        <v>1.749422</v>
      </c>
      <c r="AH6562">
        <v>61.670879810934203</v>
      </c>
      <c r="AI6562">
        <v>88.475748912540993</v>
      </c>
      <c r="AJ6562">
        <v>110.27483893084</v>
      </c>
      <c r="AK6562">
        <v>65.767590492675495</v>
      </c>
      <c r="AL6562">
        <v>79.403681139518696</v>
      </c>
      <c r="AM6562">
        <v>90.432258996864903</v>
      </c>
      <c r="AN6562">
        <v>1.0000000076239299</v>
      </c>
    </row>
    <row r="6563" spans="1:40" x14ac:dyDescent="0.25">
      <c r="A6563" t="str">
        <f>"20190303170420853"</f>
        <v>20190303170420853</v>
      </c>
      <c r="B6563" t="str">
        <f>"1551603860842217"</f>
        <v>1551603860842217</v>
      </c>
      <c r="C6563" t="s">
        <v>40</v>
      </c>
      <c r="D6563">
        <v>5.0451439999999996</v>
      </c>
      <c r="E6563">
        <v>0.36614629999999998</v>
      </c>
      <c r="F6563" t="s">
        <v>78</v>
      </c>
      <c r="G6563">
        <v>-277.17500000000001</v>
      </c>
      <c r="H6563">
        <v>3.0970770000000001</v>
      </c>
      <c r="I6563">
        <v>-98.005480000000006</v>
      </c>
      <c r="J6563">
        <v>-302.23430000000002</v>
      </c>
      <c r="K6563">
        <v>1.1228039999999999</v>
      </c>
      <c r="L6563">
        <v>-37.732640000000004</v>
      </c>
      <c r="M6563">
        <v>3.8942530000000003E-2</v>
      </c>
      <c r="N6563">
        <v>-1.1466519999999999E-2</v>
      </c>
      <c r="O6563">
        <v>-0.99917590000000001</v>
      </c>
      <c r="P6563">
        <v>4.6161569999999999E-2</v>
      </c>
      <c r="Q6563">
        <v>0.17236179999999901</v>
      </c>
      <c r="R6563">
        <v>-0.98395160000000004</v>
      </c>
      <c r="S6563">
        <v>1.2323</v>
      </c>
      <c r="T6563">
        <v>9.7051979999999996E-2</v>
      </c>
      <c r="U6563">
        <v>-2.9773860000000001</v>
      </c>
      <c r="V6563">
        <v>-8.4565490000000007E-3</v>
      </c>
      <c r="W6563">
        <v>0.18361640000000001</v>
      </c>
      <c r="X6563">
        <v>0.98296159999999999</v>
      </c>
      <c r="Y6563">
        <v>-0.345854299999999</v>
      </c>
      <c r="Z6563">
        <v>-4.1662320000000003E-2</v>
      </c>
      <c r="AA6563">
        <v>0.93736280000000005</v>
      </c>
      <c r="AB6563">
        <v>34</v>
      </c>
      <c r="AC6563">
        <v>25.0593</v>
      </c>
      <c r="AD6563">
        <v>1.9742729999999999</v>
      </c>
      <c r="AE6563">
        <v>-60.272840000000002</v>
      </c>
      <c r="AF6563">
        <v>-22.672217705210301</v>
      </c>
      <c r="AG6563">
        <v>1.9742729999999999</v>
      </c>
      <c r="AH6563">
        <v>61.1471134123178</v>
      </c>
      <c r="AI6563">
        <v>88.265998050475801</v>
      </c>
      <c r="AJ6563">
        <v>110.343847954689</v>
      </c>
      <c r="AK6563">
        <v>65.244897794462304</v>
      </c>
      <c r="AL6563">
        <v>79.419523826112496</v>
      </c>
      <c r="AM6563">
        <v>90.492911028901702</v>
      </c>
      <c r="AN6563">
        <v>1.0000000013222501</v>
      </c>
    </row>
    <row r="6564" spans="1:40" x14ac:dyDescent="0.25">
      <c r="A6564" t="str">
        <f>"20190303170420878"</f>
        <v>20190303170420878</v>
      </c>
      <c r="B6564" t="str">
        <f>"1551603860872472"</f>
        <v>1551603860872472</v>
      </c>
      <c r="C6564" t="s">
        <v>40</v>
      </c>
      <c r="D6564">
        <v>4.907146</v>
      </c>
      <c r="E6564">
        <v>0.35436630000000002</v>
      </c>
      <c r="F6564" t="s">
        <v>78</v>
      </c>
      <c r="G6564">
        <v>-277.17500000000001</v>
      </c>
      <c r="H6564">
        <v>3.0364059999999999</v>
      </c>
      <c r="I6564">
        <v>-97.763030000000001</v>
      </c>
      <c r="J6564">
        <v>-302.21839999999997</v>
      </c>
      <c r="K6564">
        <v>1.1231850000000001</v>
      </c>
      <c r="L6564">
        <v>-38.079590000000003</v>
      </c>
      <c r="M6564">
        <v>4.147385E-2</v>
      </c>
      <c r="N6564">
        <v>-1.178628E-2</v>
      </c>
      <c r="O6564">
        <v>-0.99907020000000002</v>
      </c>
      <c r="P6564">
        <v>4.9951479999999999E-2</v>
      </c>
      <c r="Q6564">
        <v>0.16953660000000001</v>
      </c>
      <c r="R6564">
        <v>-0.98425720000000005</v>
      </c>
      <c r="S6564">
        <v>1.2415160000000001</v>
      </c>
      <c r="T6564">
        <v>9.4806429999999997E-2</v>
      </c>
      <c r="U6564">
        <v>-2.974091</v>
      </c>
      <c r="V6564">
        <v>-9.8837779999999993E-3</v>
      </c>
      <c r="W6564">
        <v>0.1810977</v>
      </c>
      <c r="X6564">
        <v>0.98341540000000005</v>
      </c>
      <c r="Y6564">
        <v>-0.34632580000000002</v>
      </c>
      <c r="Z6564">
        <v>-4.1278830000000002E-2</v>
      </c>
      <c r="AA6564">
        <v>0.93720570000000003</v>
      </c>
      <c r="AB6564">
        <v>34</v>
      </c>
      <c r="AC6564">
        <v>25.043399999999899</v>
      </c>
      <c r="AD6564">
        <v>1.9132210000000001</v>
      </c>
      <c r="AE6564">
        <v>-59.683439999999997</v>
      </c>
      <c r="AF6564">
        <v>-22.526692906695601</v>
      </c>
      <c r="AG6564">
        <v>1.9132210000000001</v>
      </c>
      <c r="AH6564">
        <v>60.617833638770598</v>
      </c>
      <c r="AI6564">
        <v>88.305387274716693</v>
      </c>
      <c r="AJ6564">
        <v>110.38598457122799</v>
      </c>
      <c r="AK6564">
        <v>64.696476433922498</v>
      </c>
      <c r="AL6564">
        <v>79.566295303413398</v>
      </c>
      <c r="AM6564">
        <v>90.575829602208202</v>
      </c>
      <c r="AN6564">
        <v>0.99999995748500004</v>
      </c>
    </row>
    <row r="6565" spans="1:40" x14ac:dyDescent="0.25">
      <c r="A6565" t="str">
        <f>"20190303170420902"</f>
        <v>20190303170420902</v>
      </c>
      <c r="B6565" t="str">
        <f>"1551603860891992"</f>
        <v>1551603860891992</v>
      </c>
      <c r="C6565" t="s">
        <v>40</v>
      </c>
      <c r="D6565">
        <v>4.8958789999999999</v>
      </c>
      <c r="E6565">
        <v>0.35430270000000003</v>
      </c>
      <c r="F6565" t="s">
        <v>78</v>
      </c>
      <c r="G6565">
        <v>-277.63290000000001</v>
      </c>
      <c r="H6565">
        <v>4.3513529999999996</v>
      </c>
      <c r="I6565">
        <v>-92.24221</v>
      </c>
      <c r="J6565">
        <v>-302.19940000000003</v>
      </c>
      <c r="K6565">
        <v>1.123577</v>
      </c>
      <c r="L6565">
        <v>-38.45984</v>
      </c>
      <c r="M6565">
        <v>4.476509E-2</v>
      </c>
      <c r="N6565">
        <v>-1.2096610000000001E-2</v>
      </c>
      <c r="O6565">
        <v>-0.99892429999999999</v>
      </c>
      <c r="P6565">
        <v>5.4603510000000001E-2</v>
      </c>
      <c r="Q6565">
        <v>0.1678219</v>
      </c>
      <c r="R6565">
        <v>-0.98430430000000002</v>
      </c>
      <c r="S6565">
        <v>1.338959</v>
      </c>
      <c r="T6565">
        <v>0.1758111</v>
      </c>
      <c r="U6565">
        <v>-2.9497680000000002</v>
      </c>
      <c r="V6565">
        <v>-1.144177E-2</v>
      </c>
      <c r="W6565">
        <v>0.17967569999999999</v>
      </c>
      <c r="X6565">
        <v>0.98365939999999996</v>
      </c>
      <c r="Y6565">
        <v>-0.3713263</v>
      </c>
      <c r="Z6565">
        <v>-6.6564010000000007E-2</v>
      </c>
      <c r="AA6565">
        <v>0.92611339999999998</v>
      </c>
      <c r="AB6565">
        <v>34</v>
      </c>
      <c r="AC6565">
        <v>24.566500000000001</v>
      </c>
      <c r="AD6565">
        <v>3.2277759999999902</v>
      </c>
      <c r="AE6565">
        <v>-53.782369999999901</v>
      </c>
      <c r="AF6565">
        <v>-22.068355149304502</v>
      </c>
      <c r="AG6565">
        <v>3.2277759999999902</v>
      </c>
      <c r="AH6565">
        <v>54.665342273262198</v>
      </c>
      <c r="AI6565">
        <v>86.866023754052705</v>
      </c>
      <c r="AJ6565">
        <v>111.983890549153</v>
      </c>
      <c r="AK6565">
        <v>59.040075226535102</v>
      </c>
      <c r="AL6565">
        <v>79.649129629319006</v>
      </c>
      <c r="AM6565">
        <v>90.666425357832793</v>
      </c>
      <c r="AN6565">
        <v>1.00000004323979</v>
      </c>
    </row>
    <row r="6566" spans="1:40" x14ac:dyDescent="0.25">
      <c r="A6566" t="str">
        <f>"20190303170420922"</f>
        <v>20190303170420922</v>
      </c>
      <c r="B6566" t="str">
        <f>"1551603860912489"</f>
        <v>1551603860912489</v>
      </c>
      <c r="C6566" t="s">
        <v>40</v>
      </c>
      <c r="D6566">
        <v>4.9464959999999998</v>
      </c>
      <c r="E6566">
        <v>0.3542302</v>
      </c>
      <c r="F6566" t="s">
        <v>78</v>
      </c>
      <c r="G6566">
        <v>-277.63290000000001</v>
      </c>
      <c r="H6566">
        <v>4.080076</v>
      </c>
      <c r="I6566">
        <v>-91.951779999999999</v>
      </c>
      <c r="J6566">
        <v>-302.18389999999999</v>
      </c>
      <c r="K6566">
        <v>1.123858</v>
      </c>
      <c r="L6566">
        <v>-38.748840000000001</v>
      </c>
      <c r="M6566">
        <v>4.7532440000000002E-2</v>
      </c>
      <c r="N6566">
        <v>-1.230701E-2</v>
      </c>
      <c r="O6566">
        <v>-0.99879390000000001</v>
      </c>
      <c r="P6566">
        <v>5.7087980000000003E-2</v>
      </c>
      <c r="Q6566">
        <v>0.1704676</v>
      </c>
      <c r="R6566">
        <v>-0.98370800000000003</v>
      </c>
      <c r="S6566">
        <v>1.3525389999999999</v>
      </c>
      <c r="T6566">
        <v>0.16277469999999999</v>
      </c>
      <c r="U6566">
        <v>-2.945068</v>
      </c>
      <c r="V6566">
        <v>-1.1349420000000001E-2</v>
      </c>
      <c r="W6566">
        <v>0.1825166</v>
      </c>
      <c r="X6566">
        <v>0.98313720000000004</v>
      </c>
      <c r="Y6566">
        <v>-0.37293929999999997</v>
      </c>
      <c r="Z6566">
        <v>-6.2728989999999998E-2</v>
      </c>
      <c r="AA6566">
        <v>0.92573289999999997</v>
      </c>
      <c r="AB6566">
        <v>34</v>
      </c>
      <c r="AC6566">
        <v>24.550999999999899</v>
      </c>
      <c r="AD6566">
        <v>2.9562179999999998</v>
      </c>
      <c r="AE6566">
        <v>-53.202939999999998</v>
      </c>
      <c r="AF6566">
        <v>-21.938346192927799</v>
      </c>
      <c r="AG6566">
        <v>2.9562179999999998</v>
      </c>
      <c r="AH6566">
        <v>54.171961858800699</v>
      </c>
      <c r="AI6566">
        <v>87.104410211518399</v>
      </c>
      <c r="AJ6566">
        <v>112.04676772854</v>
      </c>
      <c r="AK6566">
        <v>58.520352956690502</v>
      </c>
      <c r="AL6566">
        <v>79.483620243581498</v>
      </c>
      <c r="AM6566">
        <v>90.661398004046802</v>
      </c>
      <c r="AN6566">
        <v>0.99999993631686601</v>
      </c>
    </row>
    <row r="6567" spans="1:40" x14ac:dyDescent="0.25">
      <c r="A6567" t="str">
        <f>"20190303170420943"</f>
        <v>20190303170420943</v>
      </c>
      <c r="B6567" t="str">
        <f>"1551603860932008"</f>
        <v>1551603860932008</v>
      </c>
      <c r="C6567" t="s">
        <v>40</v>
      </c>
      <c r="D6567">
        <v>5.1513920000000004</v>
      </c>
      <c r="E6567">
        <v>0.36416150000000003</v>
      </c>
      <c r="F6567" t="s">
        <v>78</v>
      </c>
      <c r="G6567">
        <v>-277.63290000000001</v>
      </c>
      <c r="H6567">
        <v>4.2776149999999999</v>
      </c>
      <c r="I6567">
        <v>-91.763949999999994</v>
      </c>
      <c r="J6567">
        <v>-302.16559999999998</v>
      </c>
      <c r="K6567">
        <v>1.1241319999999999</v>
      </c>
      <c r="L6567">
        <v>-39.067439999999998</v>
      </c>
      <c r="M6567">
        <v>5.0849520000000002E-2</v>
      </c>
      <c r="N6567">
        <v>-1.251267E-2</v>
      </c>
      <c r="O6567">
        <v>-0.99862790000000001</v>
      </c>
      <c r="P6567">
        <v>5.902425E-2</v>
      </c>
      <c r="Q6567">
        <v>0.1737003</v>
      </c>
      <c r="R6567">
        <v>-0.98302820000000002</v>
      </c>
      <c r="S6567">
        <v>1.361664</v>
      </c>
      <c r="T6567">
        <v>0.17491709999999999</v>
      </c>
      <c r="U6567">
        <v>-2.940369</v>
      </c>
      <c r="V6567">
        <v>-1.018061E-2</v>
      </c>
      <c r="W6567">
        <v>0.1859459</v>
      </c>
      <c r="X6567">
        <v>0.98250720000000002</v>
      </c>
      <c r="Y6567">
        <v>-0.37268869999999998</v>
      </c>
      <c r="Z6567">
        <v>-6.6714060000000006E-2</v>
      </c>
      <c r="AA6567">
        <v>0.92555520000000002</v>
      </c>
      <c r="AB6567">
        <v>33</v>
      </c>
      <c r="AC6567">
        <v>24.532699999999899</v>
      </c>
      <c r="AD6567">
        <v>3.153483</v>
      </c>
      <c r="AE6567">
        <v>-52.696509999999897</v>
      </c>
      <c r="AF6567">
        <v>-21.757119751954999</v>
      </c>
      <c r="AG6567">
        <v>3.153483</v>
      </c>
      <c r="AH6567">
        <v>53.717798057377202</v>
      </c>
      <c r="AI6567">
        <v>86.885547130556006</v>
      </c>
      <c r="AJ6567">
        <v>112.04924085787199</v>
      </c>
      <c r="AK6567">
        <v>58.042385745809597</v>
      </c>
      <c r="AL6567">
        <v>79.283714152039195</v>
      </c>
      <c r="AM6567">
        <v>90.593670062693405</v>
      </c>
      <c r="AN6567">
        <v>0.99999996029931004</v>
      </c>
    </row>
    <row r="6568" spans="1:40" x14ac:dyDescent="0.25">
      <c r="A6568" t="str">
        <f>"20190303170420968"</f>
        <v>20190303170420968</v>
      </c>
      <c r="B6568" t="str">
        <f>"1551603860962265"</f>
        <v>1551603860962265</v>
      </c>
      <c r="C6568" t="s">
        <v>40</v>
      </c>
      <c r="D6568">
        <v>5.1338369999999998</v>
      </c>
      <c r="E6568">
        <v>0.43756859999999997</v>
      </c>
      <c r="F6568" t="s">
        <v>78</v>
      </c>
      <c r="G6568">
        <v>-277.17500000000001</v>
      </c>
      <c r="H6568">
        <v>3.9227780000000001</v>
      </c>
      <c r="I6568">
        <v>-96.074510000000004</v>
      </c>
      <c r="J6568">
        <v>-302.14490000000001</v>
      </c>
      <c r="K6568">
        <v>1.124385</v>
      </c>
      <c r="L6568">
        <v>-39.402619999999999</v>
      </c>
      <c r="M6568">
        <v>5.4620589999999997E-2</v>
      </c>
      <c r="N6568">
        <v>-1.270379E-2</v>
      </c>
      <c r="O6568">
        <v>-0.99842660000000005</v>
      </c>
      <c r="P6568">
        <v>6.350153E-2</v>
      </c>
      <c r="Q6568">
        <v>0.17293140000000001</v>
      </c>
      <c r="R6568">
        <v>-0.98288509999999996</v>
      </c>
      <c r="S6568">
        <v>1.2926029999999999</v>
      </c>
      <c r="T6568">
        <v>0.14475639999999901</v>
      </c>
      <c r="U6568">
        <v>-2.9486080000000001</v>
      </c>
      <c r="V6568">
        <v>-1.104811E-2</v>
      </c>
      <c r="W6568">
        <v>0.18535499999999999</v>
      </c>
      <c r="X6568">
        <v>0.98260950000000002</v>
      </c>
      <c r="Y6568">
        <v>-0.35026190000000001</v>
      </c>
      <c r="Z6568">
        <v>-5.7837060000000003E-2</v>
      </c>
      <c r="AA6568">
        <v>0.93486440000000004</v>
      </c>
      <c r="AB6568">
        <v>33</v>
      </c>
      <c r="AC6568">
        <v>24.969899999999999</v>
      </c>
      <c r="AD6568">
        <v>2.7983929999999999</v>
      </c>
      <c r="AE6568">
        <v>-56.671889999999998</v>
      </c>
      <c r="AF6568">
        <v>-21.792419878119301</v>
      </c>
      <c r="AG6568">
        <v>2.7983929999999999</v>
      </c>
      <c r="AH6568">
        <v>57.833167739945402</v>
      </c>
      <c r="AI6568">
        <v>87.407452513328096</v>
      </c>
      <c r="AJ6568">
        <v>110.64717451921599</v>
      </c>
      <c r="AK6568">
        <v>61.8661123585713</v>
      </c>
      <c r="AL6568">
        <v>79.318169448517494</v>
      </c>
      <c r="AM6568">
        <v>90.644186120407696</v>
      </c>
      <c r="AN6568">
        <v>0.99999998312491001</v>
      </c>
    </row>
    <row r="6569" spans="1:40" x14ac:dyDescent="0.25">
      <c r="A6569" t="str">
        <f>"20190303170420988"</f>
        <v>20190303170420988</v>
      </c>
      <c r="B6569" t="str">
        <f>"1551603860982761"</f>
        <v>1551603860982761</v>
      </c>
      <c r="C6569" t="s">
        <v>40</v>
      </c>
      <c r="D6569">
        <v>5.161816</v>
      </c>
      <c r="E6569">
        <v>0.44322790000000001</v>
      </c>
      <c r="F6569" t="s">
        <v>44</v>
      </c>
      <c r="G6569">
        <v>-289.928</v>
      </c>
      <c r="H6569">
        <v>-0.05</v>
      </c>
      <c r="I6569">
        <v>-89.417619999999999</v>
      </c>
      <c r="J6569">
        <v>-302.12259999999998</v>
      </c>
      <c r="K6569">
        <v>1.124622</v>
      </c>
      <c r="L6569">
        <v>-39.739350000000002</v>
      </c>
      <c r="M6569">
        <v>5.8674339999999998E-2</v>
      </c>
      <c r="N6569">
        <v>-1.2873900000000001E-2</v>
      </c>
      <c r="O6569">
        <v>-0.99819429999999998</v>
      </c>
      <c r="P6569">
        <v>7.0323269999999993E-2</v>
      </c>
      <c r="Q6569">
        <v>0.16932159999999999</v>
      </c>
      <c r="R6569">
        <v>-0.9830489</v>
      </c>
      <c r="S6569">
        <v>0.73696899999999999</v>
      </c>
      <c r="T6569">
        <v>-7.0843219999999998E-2</v>
      </c>
      <c r="U6569">
        <v>-3.01709</v>
      </c>
      <c r="V6569">
        <v>-1.3931280000000001E-2</v>
      </c>
      <c r="W6569">
        <v>0.1818921</v>
      </c>
      <c r="X6569">
        <v>0.98321979999999998</v>
      </c>
      <c r="Y6569">
        <v>-0.1798235</v>
      </c>
      <c r="Z6569">
        <v>1.0104399999999999E-2</v>
      </c>
      <c r="AA6569">
        <v>0.98364700000000005</v>
      </c>
      <c r="AB6569">
        <v>33</v>
      </c>
      <c r="AC6569">
        <v>12.1945999999999</v>
      </c>
      <c r="AD6569">
        <v>-1.1746219999999901</v>
      </c>
      <c r="AE6569">
        <v>-49.678269999999998</v>
      </c>
      <c r="AF6569">
        <v>-9.2536271217909398</v>
      </c>
      <c r="AG6569">
        <v>-1.1746219999999901</v>
      </c>
      <c r="AH6569">
        <v>50.281725028121997</v>
      </c>
      <c r="AI6569">
        <v>91.316137974725393</v>
      </c>
      <c r="AJ6569">
        <v>100.427781102726</v>
      </c>
      <c r="AK6569">
        <v>51.139624788960901</v>
      </c>
      <c r="AL6569">
        <v>79.5200112417713</v>
      </c>
      <c r="AM6569">
        <v>90.811771831101595</v>
      </c>
      <c r="AN6569">
        <v>0.99999999585844401</v>
      </c>
    </row>
    <row r="6570" spans="1:40" x14ac:dyDescent="0.25">
      <c r="A6570" t="str">
        <f>"20190303170421010"</f>
        <v>20190303170421010</v>
      </c>
      <c r="B6570" t="str">
        <f>"1551603861002281"</f>
        <v>1551603861002281</v>
      </c>
      <c r="C6570" t="s">
        <v>40</v>
      </c>
      <c r="D6570">
        <v>5.1482859999999997</v>
      </c>
      <c r="E6570">
        <v>0.44571270000000002</v>
      </c>
      <c r="F6570" t="s">
        <v>75</v>
      </c>
      <c r="G6570">
        <v>-294.38310000000001</v>
      </c>
      <c r="H6570">
        <v>7.9986559999999998E-2</v>
      </c>
      <c r="I6570">
        <v>-72.547899999999998</v>
      </c>
      <c r="J6570">
        <v>-302.09989999999999</v>
      </c>
      <c r="K6570">
        <v>1.1248469999999999</v>
      </c>
      <c r="L6570">
        <v>-40.059420000000003</v>
      </c>
      <c r="M6570">
        <v>6.2761079999999997E-2</v>
      </c>
      <c r="N6570">
        <v>-1.301713E-2</v>
      </c>
      <c r="O6570">
        <v>-0.99794380000000005</v>
      </c>
      <c r="P6570">
        <v>7.6974119999999993E-2</v>
      </c>
      <c r="Q6570">
        <v>0.16705029999999901</v>
      </c>
      <c r="R6570">
        <v>-0.98293920000000001</v>
      </c>
      <c r="S6570">
        <v>0.71179199999999998</v>
      </c>
      <c r="T6570">
        <v>-9.6073870000000006E-2</v>
      </c>
      <c r="U6570">
        <v>-3.0173649999999999</v>
      </c>
      <c r="V6570">
        <v>-1.662247E-2</v>
      </c>
      <c r="W6570">
        <v>0.17973710000000001</v>
      </c>
      <c r="X6570">
        <v>0.98357419999999995</v>
      </c>
      <c r="Y6570">
        <v>-0.16796910000000001</v>
      </c>
      <c r="Z6570">
        <v>1.8159620000000001E-2</v>
      </c>
      <c r="AA6570">
        <v>0.98562499999999997</v>
      </c>
      <c r="AB6570">
        <v>33</v>
      </c>
      <c r="AC6570">
        <v>7.7167999999999699</v>
      </c>
      <c r="AD6570">
        <v>-1.0448604399999999</v>
      </c>
      <c r="AE6570">
        <v>-32.488480000000003</v>
      </c>
      <c r="AF6570">
        <v>-5.6568611665804003</v>
      </c>
      <c r="AG6570">
        <v>-1.0448604399999999</v>
      </c>
      <c r="AH6570">
        <v>32.876587300767298</v>
      </c>
      <c r="AI6570">
        <v>91.793976428670504</v>
      </c>
      <c r="AJ6570">
        <v>99.762915795274296</v>
      </c>
      <c r="AK6570">
        <v>33.3760663371527</v>
      </c>
      <c r="AL6570">
        <v>79.645552675031496</v>
      </c>
      <c r="AM6570">
        <v>90.968210349044099</v>
      </c>
      <c r="AN6570">
        <v>0.99999996926547496</v>
      </c>
    </row>
    <row r="6571" spans="1:40" x14ac:dyDescent="0.25">
      <c r="A6571" t="str">
        <f>"20190303170421032"</f>
        <v>20190303170421032</v>
      </c>
      <c r="B6571" t="str">
        <f>"1551603861021801"</f>
        <v>1551603861021801</v>
      </c>
      <c r="C6571" t="s">
        <v>40</v>
      </c>
      <c r="D6571">
        <v>5.1323040000000004</v>
      </c>
      <c r="E6571">
        <v>0.44712069999999998</v>
      </c>
      <c r="F6571" t="s">
        <v>75</v>
      </c>
      <c r="G6571">
        <v>-294.95049999999998</v>
      </c>
      <c r="H6571">
        <v>2.0313660000000001E-2</v>
      </c>
      <c r="I6571">
        <v>-70.383709999999994</v>
      </c>
      <c r="J6571">
        <v>-302.07479999999998</v>
      </c>
      <c r="K6571">
        <v>1.1250910000000001</v>
      </c>
      <c r="L6571">
        <v>-40.389530000000001</v>
      </c>
      <c r="M6571">
        <v>6.720429E-2</v>
      </c>
      <c r="N6571">
        <v>-1.314829E-2</v>
      </c>
      <c r="O6571">
        <v>-0.99765250000000005</v>
      </c>
      <c r="P6571">
        <v>8.2261699999999993E-2</v>
      </c>
      <c r="Q6571">
        <v>0.16922999999999999</v>
      </c>
      <c r="R6571">
        <v>-0.98213760000000006</v>
      </c>
      <c r="S6571">
        <v>0.71084590000000003</v>
      </c>
      <c r="T6571">
        <v>-0.10982119999999999</v>
      </c>
      <c r="U6571">
        <v>-3.0150760000000001</v>
      </c>
      <c r="V6571">
        <v>-1.7682360000000001E-2</v>
      </c>
      <c r="W6571">
        <v>0.1820224</v>
      </c>
      <c r="X6571">
        <v>0.98313539999999999</v>
      </c>
      <c r="Y6571">
        <v>-0.1634275</v>
      </c>
      <c r="Z6571">
        <v>2.2505049999999999E-2</v>
      </c>
      <c r="AA6571">
        <v>0.98629860000000003</v>
      </c>
      <c r="AB6571">
        <v>33</v>
      </c>
      <c r="AC6571">
        <v>7.1242999999999999</v>
      </c>
      <c r="AD6571">
        <v>-1.1047773400000001</v>
      </c>
      <c r="AE6571">
        <v>-29.99418</v>
      </c>
      <c r="AF6571">
        <v>-5.0857475916427104</v>
      </c>
      <c r="AG6571">
        <v>-1.1047773400000001</v>
      </c>
      <c r="AH6571">
        <v>30.366186525834902</v>
      </c>
      <c r="AI6571">
        <v>92.055009261939503</v>
      </c>
      <c r="AJ6571">
        <v>99.507691581925201</v>
      </c>
      <c r="AK6571">
        <v>30.808937756090799</v>
      </c>
      <c r="AL6571">
        <v>79.5124190856544</v>
      </c>
      <c r="AM6571">
        <v>91.030392535537203</v>
      </c>
      <c r="AN6571">
        <v>1.0000000173450401</v>
      </c>
    </row>
    <row r="6572" spans="1:40" x14ac:dyDescent="0.25">
      <c r="A6572" t="str">
        <f>"20190303170421056"</f>
        <v>20190303170421056</v>
      </c>
      <c r="B6572" t="str">
        <f>"1551603861042297"</f>
        <v>1551603861042297</v>
      </c>
      <c r="C6572" t="s">
        <v>40</v>
      </c>
      <c r="D6572">
        <v>5.1136359999999996</v>
      </c>
      <c r="E6572">
        <v>0.44797589999999998</v>
      </c>
      <c r="F6572" t="s">
        <v>75</v>
      </c>
      <c r="G6572">
        <v>-294.9461</v>
      </c>
      <c r="H6572">
        <v>6.0658660000000003E-2</v>
      </c>
      <c r="I6572">
        <v>-70.394390000000001</v>
      </c>
      <c r="J6572">
        <v>-302.04739999999998</v>
      </c>
      <c r="K6572">
        <v>1.1253390000000001</v>
      </c>
      <c r="L6572">
        <v>-40.728760000000001</v>
      </c>
      <c r="M6572">
        <v>7.2014560000000005E-2</v>
      </c>
      <c r="N6572">
        <v>-1.3267640000000001E-2</v>
      </c>
      <c r="O6572">
        <v>-0.99731539999999996</v>
      </c>
      <c r="P6572">
        <v>8.6166140000000002E-2</v>
      </c>
      <c r="Q6572">
        <v>0.1715942</v>
      </c>
      <c r="R6572">
        <v>-0.98139240000000005</v>
      </c>
      <c r="S6572">
        <v>0.71585080000000001</v>
      </c>
      <c r="T6572">
        <v>-0.10688830000000001</v>
      </c>
      <c r="U6572">
        <v>-3.0130309999999998</v>
      </c>
      <c r="V6572">
        <v>-1.700306E-2</v>
      </c>
      <c r="W6572">
        <v>0.18449650000000001</v>
      </c>
      <c r="X6572">
        <v>0.98268610000000001</v>
      </c>
      <c r="Y6572">
        <v>-0.16037670000000001</v>
      </c>
      <c r="Z6572">
        <v>2.1453920000000001E-2</v>
      </c>
      <c r="AA6572">
        <v>0.98682270000000005</v>
      </c>
      <c r="AB6572">
        <v>33</v>
      </c>
      <c r="AC6572">
        <v>7.1012999999999797</v>
      </c>
      <c r="AD6572">
        <v>-1.06468033999999</v>
      </c>
      <c r="AE6572">
        <v>-29.66563</v>
      </c>
      <c r="AF6572">
        <v>-4.94029513827439</v>
      </c>
      <c r="AG6572">
        <v>-1.06468033999999</v>
      </c>
      <c r="AH6572">
        <v>30.063409596112901</v>
      </c>
      <c r="AI6572">
        <v>92.001432072361297</v>
      </c>
      <c r="AJ6572">
        <v>99.331964006047002</v>
      </c>
      <c r="AK6572">
        <v>30.485220301373801</v>
      </c>
      <c r="AL6572">
        <v>79.368221507387403</v>
      </c>
      <c r="AM6572">
        <v>90.991269109077706</v>
      </c>
      <c r="AN6572">
        <v>1.0000000168474099</v>
      </c>
    </row>
    <row r="6573" spans="1:40" x14ac:dyDescent="0.25">
      <c r="A6573" t="str">
        <f>"20190303170421078"</f>
        <v>20190303170421078</v>
      </c>
      <c r="B6573" t="str">
        <f>"1551603861072553"</f>
        <v>1551603861072553</v>
      </c>
      <c r="C6573" t="s">
        <v>40</v>
      </c>
      <c r="D6573">
        <v>5.1562020000000004</v>
      </c>
      <c r="E6573">
        <v>0.44894450000000002</v>
      </c>
      <c r="F6573" t="s">
        <v>75</v>
      </c>
      <c r="G6573">
        <v>-294.71780000000001</v>
      </c>
      <c r="H6573">
        <v>7.9986550000000003E-2</v>
      </c>
      <c r="I6573">
        <v>-71.308030000000002</v>
      </c>
      <c r="J6573">
        <v>-302.0181</v>
      </c>
      <c r="K6573">
        <v>1.1255630000000001</v>
      </c>
      <c r="L6573">
        <v>-41.064390000000003</v>
      </c>
      <c r="M6573">
        <v>7.7037380000000003E-2</v>
      </c>
      <c r="N6573">
        <v>-1.33715E-2</v>
      </c>
      <c r="O6573">
        <v>-0.99693849999999995</v>
      </c>
      <c r="P6573">
        <v>9.1414289999999995E-2</v>
      </c>
      <c r="Q6573">
        <v>0.17089170000000001</v>
      </c>
      <c r="R6573">
        <v>-0.98104000000000002</v>
      </c>
      <c r="S6573">
        <v>0.72183229999999998</v>
      </c>
      <c r="T6573">
        <v>-0.10294830000000001</v>
      </c>
      <c r="U6573">
        <v>-3.0115050000000001</v>
      </c>
      <c r="V6573">
        <v>-1.739307E-2</v>
      </c>
      <c r="W6573">
        <v>0.1838854</v>
      </c>
      <c r="X6573">
        <v>0.98279380000000005</v>
      </c>
      <c r="Y6573">
        <v>-0.15737899999999999</v>
      </c>
      <c r="Z6573">
        <v>2.0083320000000002E-2</v>
      </c>
      <c r="AA6573">
        <v>0.98733400000000004</v>
      </c>
      <c r="AB6573">
        <v>33</v>
      </c>
      <c r="AC6573">
        <v>7.3002999999999902</v>
      </c>
      <c r="AD6573">
        <v>-1.04557644999999</v>
      </c>
      <c r="AE6573">
        <v>-30.243639999999999</v>
      </c>
      <c r="AF6573">
        <v>-4.9429193863241103</v>
      </c>
      <c r="AG6573">
        <v>-1.04557644999999</v>
      </c>
      <c r="AH6573">
        <v>30.681540488942499</v>
      </c>
      <c r="AI6573">
        <v>91.926963222198594</v>
      </c>
      <c r="AJ6573">
        <v>99.151942807634697</v>
      </c>
      <c r="AK6573">
        <v>31.0947360327614</v>
      </c>
      <c r="AL6573">
        <v>79.403844336337798</v>
      </c>
      <c r="AM6573">
        <v>91.013890688093895</v>
      </c>
      <c r="AN6573">
        <v>1.00000000626781</v>
      </c>
    </row>
    <row r="6574" spans="1:40" x14ac:dyDescent="0.25">
      <c r="A6574" t="str">
        <f>"20190303170421104"</f>
        <v>20190303170421104</v>
      </c>
      <c r="B6574" t="str">
        <f>"1551603861092073"</f>
        <v>1551603861092073</v>
      </c>
      <c r="C6574" t="s">
        <v>40</v>
      </c>
      <c r="D6574">
        <v>5.1636509999999998</v>
      </c>
      <c r="E6574">
        <v>0.44958550000000003</v>
      </c>
      <c r="F6574" t="s">
        <v>75</v>
      </c>
      <c r="G6574">
        <v>-294.8929</v>
      </c>
      <c r="H6574">
        <v>7.359512E-2</v>
      </c>
      <c r="I6574">
        <v>-70.407330000000002</v>
      </c>
      <c r="J6574">
        <v>-301.983</v>
      </c>
      <c r="K6574">
        <v>1.125783</v>
      </c>
      <c r="L6574">
        <v>-41.441679999999998</v>
      </c>
      <c r="M6574">
        <v>8.2927970000000004E-2</v>
      </c>
      <c r="N6574">
        <v>-1.347374E-2</v>
      </c>
      <c r="O6574">
        <v>-0.99646460000000003</v>
      </c>
      <c r="P6574">
        <v>9.8395479999999994E-2</v>
      </c>
      <c r="Q6574">
        <v>0.16676869999999999</v>
      </c>
      <c r="R6574">
        <v>-0.98107440000000001</v>
      </c>
      <c r="S6574">
        <v>0.73059079999999998</v>
      </c>
      <c r="T6574">
        <v>-0.1078643</v>
      </c>
      <c r="U6574">
        <v>-3.0086979999999999</v>
      </c>
      <c r="V6574">
        <v>-1.858013E-2</v>
      </c>
      <c r="W6574">
        <v>0.1798515</v>
      </c>
      <c r="X6574">
        <v>0.98351829999999996</v>
      </c>
      <c r="Y6574">
        <v>-0.15445809999999999</v>
      </c>
      <c r="Z6574">
        <v>2.1586339999999999E-2</v>
      </c>
      <c r="AA6574">
        <v>0.98776350000000002</v>
      </c>
      <c r="AB6574">
        <v>33</v>
      </c>
      <c r="AC6574">
        <v>7.0900999999999996</v>
      </c>
      <c r="AD6574">
        <v>-1.05218788</v>
      </c>
      <c r="AE6574">
        <v>-28.96565</v>
      </c>
      <c r="AF6574">
        <v>-4.6575953194205502</v>
      </c>
      <c r="AG6574">
        <v>-1.05218788</v>
      </c>
      <c r="AH6574">
        <v>29.417259101951601</v>
      </c>
      <c r="AI6574">
        <v>92.023283853506996</v>
      </c>
      <c r="AJ6574">
        <v>98.996882406469297</v>
      </c>
      <c r="AK6574">
        <v>29.8022721711896</v>
      </c>
      <c r="AL6574">
        <v>79.638889932956104</v>
      </c>
      <c r="AM6574">
        <v>91.082274133044805</v>
      </c>
      <c r="AN6574">
        <v>1.0000000148589701</v>
      </c>
    </row>
    <row r="6575" spans="1:40" x14ac:dyDescent="0.25">
      <c r="A6575" t="str">
        <f>"20190303170421146"</f>
        <v>20190303170421146</v>
      </c>
      <c r="B6575" t="str">
        <f>"1551603861132089"</f>
        <v>1551603861132089</v>
      </c>
      <c r="C6575" t="s">
        <v>40</v>
      </c>
      <c r="D6575">
        <v>5.2184879999999998</v>
      </c>
      <c r="E6575">
        <v>0.45071480000000003</v>
      </c>
      <c r="F6575" t="s">
        <v>75</v>
      </c>
      <c r="G6575">
        <v>-295.20069999999998</v>
      </c>
      <c r="H6575" s="1">
        <v>-1.3158279999999999E-5</v>
      </c>
      <c r="I6575">
        <v>-68.763909999999996</v>
      </c>
      <c r="J6575">
        <v>-301.92099999999999</v>
      </c>
      <c r="K6575">
        <v>1.1261060000000001</v>
      </c>
      <c r="L6575">
        <v>-42.050690000000003</v>
      </c>
      <c r="M6575">
        <v>9.3017909999999995E-2</v>
      </c>
      <c r="N6575">
        <v>-1.3612050000000001E-2</v>
      </c>
      <c r="O6575">
        <v>-0.99557150000000005</v>
      </c>
      <c r="P6575">
        <v>0.1092776</v>
      </c>
      <c r="Q6575">
        <v>0.16331619999999999</v>
      </c>
      <c r="R6575">
        <v>-0.98050329999999997</v>
      </c>
      <c r="S6575">
        <v>0.74572749999999999</v>
      </c>
      <c r="T6575">
        <v>-0.123783</v>
      </c>
      <c r="U6575">
        <v>-3.0041199999999999</v>
      </c>
      <c r="V6575">
        <v>-1.95906E-2</v>
      </c>
      <c r="W6575">
        <v>0.17651789999999901</v>
      </c>
      <c r="X6575">
        <v>0.98410249999999999</v>
      </c>
      <c r="Y6575">
        <v>-0.14945269999999999</v>
      </c>
      <c r="Z6575">
        <v>2.6614329999999999E-2</v>
      </c>
      <c r="AA6575">
        <v>0.98841069999999998</v>
      </c>
      <c r="AB6575">
        <v>33</v>
      </c>
      <c r="AC6575">
        <v>6.7202999999999999</v>
      </c>
      <c r="AD6575">
        <v>-1.1261191582799901</v>
      </c>
      <c r="AE6575">
        <v>-26.71322</v>
      </c>
      <c r="AF6575">
        <v>-4.1991023289872897</v>
      </c>
      <c r="AG6575">
        <v>-1.1261191582799901</v>
      </c>
      <c r="AH6575">
        <v>27.177125494376099</v>
      </c>
      <c r="AI6575">
        <v>92.344972979359298</v>
      </c>
      <c r="AJ6575">
        <v>98.783241948495004</v>
      </c>
      <c r="AK6575">
        <v>27.522658935230499</v>
      </c>
      <c r="AL6575">
        <v>79.832997848889605</v>
      </c>
      <c r="AM6575">
        <v>91.140440614412498</v>
      </c>
      <c r="AN6575">
        <v>1.0000000455675</v>
      </c>
    </row>
    <row r="6576" spans="1:40" x14ac:dyDescent="0.25">
      <c r="A6576" t="str">
        <f>"20190303170421168"</f>
        <v>20190303170421168</v>
      </c>
      <c r="B6576" t="str">
        <f>"1551603861162345"</f>
        <v>1551603861162345</v>
      </c>
      <c r="C6576" t="s">
        <v>40</v>
      </c>
      <c r="D6576">
        <v>5.2448499999999996</v>
      </c>
      <c r="E6576">
        <v>0.45396570000000003</v>
      </c>
      <c r="F6576" t="s">
        <v>75</v>
      </c>
      <c r="G6576">
        <v>-295.75599999999997</v>
      </c>
      <c r="H6576" s="1">
        <v>-1.285081E-5</v>
      </c>
      <c r="I6576">
        <v>-66.121780000000001</v>
      </c>
      <c r="J6576">
        <v>-301.88499999999999</v>
      </c>
      <c r="K6576">
        <v>1.1263209999999999</v>
      </c>
      <c r="L6576">
        <v>-42.376559999999998</v>
      </c>
      <c r="M6576">
        <v>9.8728079999999996E-2</v>
      </c>
      <c r="N6576">
        <v>-1.3677430000000001E-2</v>
      </c>
      <c r="O6576">
        <v>-0.99502040000000003</v>
      </c>
      <c r="P6576">
        <v>0.1120583</v>
      </c>
      <c r="Q6576">
        <v>0.16809360000000001</v>
      </c>
      <c r="R6576">
        <v>-0.97938099999999995</v>
      </c>
      <c r="S6576">
        <v>0.76770019999999894</v>
      </c>
      <c r="T6576">
        <v>-0.14023070000000001</v>
      </c>
      <c r="U6576">
        <v>-2.9974669999999999</v>
      </c>
      <c r="V6576">
        <v>-1.694654E-2</v>
      </c>
      <c r="W6576">
        <v>0.18137249999999999</v>
      </c>
      <c r="X6576">
        <v>0.98326840000000004</v>
      </c>
      <c r="Y6576">
        <v>-0.15105929999999901</v>
      </c>
      <c r="Z6576">
        <v>3.1894209999999999E-2</v>
      </c>
      <c r="AA6576">
        <v>0.98801000000000005</v>
      </c>
      <c r="AB6576">
        <v>33</v>
      </c>
      <c r="AC6576">
        <v>6.1290000000000102</v>
      </c>
      <c r="AD6576">
        <v>-1.12633385080999</v>
      </c>
      <c r="AE6576">
        <v>-23.74522</v>
      </c>
      <c r="AF6576">
        <v>-3.7466081234745801</v>
      </c>
      <c r="AG6576">
        <v>-1.12633385080999</v>
      </c>
      <c r="AH6576">
        <v>24.183337060035399</v>
      </c>
      <c r="AI6576">
        <v>92.635219484811799</v>
      </c>
      <c r="AJ6576">
        <v>98.806547283699601</v>
      </c>
      <c r="AK6576">
        <v>24.497744625447599</v>
      </c>
      <c r="AL6576">
        <v>79.550285295813694</v>
      </c>
      <c r="AM6576">
        <v>90.987389706938004</v>
      </c>
      <c r="AN6576">
        <v>0.99999995770639005</v>
      </c>
    </row>
    <row r="6577" spans="1:40" x14ac:dyDescent="0.25">
      <c r="A6577" t="str">
        <f>"20190303170421189"</f>
        <v>20190303170421189</v>
      </c>
      <c r="B6577" t="str">
        <f>"1551603861181865"</f>
        <v>1551603861181865</v>
      </c>
      <c r="C6577" t="s">
        <v>40</v>
      </c>
      <c r="D6577">
        <v>5.1640550000000003</v>
      </c>
      <c r="E6577">
        <v>0.53144650000000004</v>
      </c>
      <c r="F6577" t="s">
        <v>75</v>
      </c>
      <c r="G6577">
        <v>-295.82749999999999</v>
      </c>
      <c r="H6577" s="1">
        <v>-1.2961689999999999E-5</v>
      </c>
      <c r="I6577">
        <v>-66.572719999999904</v>
      </c>
      <c r="J6577">
        <v>-301.8485</v>
      </c>
      <c r="K6577">
        <v>1.126533</v>
      </c>
      <c r="L6577">
        <v>-42.688870000000001</v>
      </c>
      <c r="M6577">
        <v>0.10442559999999999</v>
      </c>
      <c r="N6577">
        <v>-1.3734639999999999E-2</v>
      </c>
      <c r="O6577">
        <v>-0.99443809999999999</v>
      </c>
      <c r="P6577">
        <v>0.1168674</v>
      </c>
      <c r="Q6577">
        <v>0.1710161</v>
      </c>
      <c r="R6577">
        <v>-0.97831270000000004</v>
      </c>
      <c r="S6577">
        <v>0.75134279999999998</v>
      </c>
      <c r="T6577">
        <v>-0.1397042</v>
      </c>
      <c r="U6577">
        <v>-3.00116</v>
      </c>
      <c r="V6577">
        <v>-1.6317060000000001E-2</v>
      </c>
      <c r="W6577">
        <v>0.18434519999999999</v>
      </c>
      <c r="X6577">
        <v>0.98272610000000005</v>
      </c>
      <c r="Y6577">
        <v>-0.1400412</v>
      </c>
      <c r="Z6577">
        <v>3.1646760000000003E-2</v>
      </c>
      <c r="AA6577">
        <v>0.98963979999999996</v>
      </c>
      <c r="AB6577">
        <v>33</v>
      </c>
      <c r="AC6577">
        <v>6.0210000000000097</v>
      </c>
      <c r="AD6577">
        <v>-1.12654596169</v>
      </c>
      <c r="AE6577">
        <v>-23.883849999999899</v>
      </c>
      <c r="AF6577">
        <v>-3.4864619859859598</v>
      </c>
      <c r="AG6577">
        <v>-1.12654596169</v>
      </c>
      <c r="AH6577">
        <v>24.331153799505099</v>
      </c>
      <c r="AI6577">
        <v>92.624167660778298</v>
      </c>
      <c r="AJ6577">
        <v>98.154523332979693</v>
      </c>
      <c r="AK6577">
        <v>24.605478418407099</v>
      </c>
      <c r="AL6577">
        <v>79.377041395487595</v>
      </c>
      <c r="AM6577">
        <v>90.951244474557498</v>
      </c>
      <c r="AN6577">
        <v>0.99999999341564605</v>
      </c>
    </row>
    <row r="6578" spans="1:40" x14ac:dyDescent="0.25">
      <c r="A6578" t="str">
        <f>"20190303170421211"</f>
        <v>20190303170421211</v>
      </c>
      <c r="B6578" t="str">
        <f>"1551603861202361"</f>
        <v>1551603861202361</v>
      </c>
      <c r="C6578" t="s">
        <v>40</v>
      </c>
      <c r="D6578">
        <v>5.1378690000000002</v>
      </c>
      <c r="E6578">
        <v>0.53303900000000004</v>
      </c>
      <c r="F6578" t="s">
        <v>43</v>
      </c>
      <c r="G6578">
        <v>-301.80220000000003</v>
      </c>
      <c r="H6578">
        <v>0.98500909999999997</v>
      </c>
      <c r="I6578">
        <v>-43.474119999999999</v>
      </c>
      <c r="J6578">
        <v>-301.80889999999999</v>
      </c>
      <c r="K6578">
        <v>1.126762</v>
      </c>
      <c r="L6578">
        <v>-43.009830000000001</v>
      </c>
      <c r="M6578">
        <v>0.1105608</v>
      </c>
      <c r="N6578">
        <v>-1.379056E-2</v>
      </c>
      <c r="O6578">
        <v>-0.99377369999999998</v>
      </c>
      <c r="P6578">
        <v>0.1249299</v>
      </c>
      <c r="Q6578">
        <v>0.16964960000000001</v>
      </c>
      <c r="R6578">
        <v>-0.97755389999999998</v>
      </c>
      <c r="S6578">
        <v>0.1856689</v>
      </c>
      <c r="T6578">
        <v>-0.56653759999999997</v>
      </c>
      <c r="U6578">
        <v>-3.1433719999999998</v>
      </c>
      <c r="V6578">
        <v>-1.8418230000000001E-2</v>
      </c>
      <c r="W6578">
        <v>0.18300179999999999</v>
      </c>
      <c r="X6578">
        <v>0.98294000000000004</v>
      </c>
      <c r="Y6578">
        <v>5.2489679999999997E-2</v>
      </c>
      <c r="Z6578">
        <v>0.16194220000000001</v>
      </c>
      <c r="AA6578">
        <v>0.98540320000000003</v>
      </c>
      <c r="AB6578">
        <v>33</v>
      </c>
      <c r="AC6578">
        <v>6.6999999999666198E-3</v>
      </c>
      <c r="AD6578">
        <v>-0.14175289999999899</v>
      </c>
      <c r="AE6578">
        <v>-0.46428999999999798</v>
      </c>
      <c r="AF6578">
        <v>4.08693952510207E-2</v>
      </c>
      <c r="AG6578">
        <v>-0.14175289999999899</v>
      </c>
      <c r="AH6578">
        <v>0.42278247812900699</v>
      </c>
      <c r="AI6578">
        <v>108.45540034744199</v>
      </c>
      <c r="AJ6578">
        <v>84.478506876042601</v>
      </c>
      <c r="AK6578">
        <v>0.44778255430454</v>
      </c>
      <c r="AL6578">
        <v>79.455344419104307</v>
      </c>
      <c r="AM6578">
        <v>91.073476879835894</v>
      </c>
      <c r="AN6578">
        <v>0.99999996679978498</v>
      </c>
    </row>
    <row r="6579" spans="1:40" x14ac:dyDescent="0.25">
      <c r="A6579" t="str">
        <f>"20190303170421233"</f>
        <v>20190303170421233</v>
      </c>
      <c r="B6579" t="str">
        <f>"1551603861221881"</f>
        <v>1551603861221881</v>
      </c>
      <c r="C6579" t="s">
        <v>40</v>
      </c>
      <c r="D6579">
        <v>5.1511589999999998</v>
      </c>
      <c r="E6579">
        <v>0.53361150000000002</v>
      </c>
      <c r="F6579" t="s">
        <v>43</v>
      </c>
      <c r="G6579">
        <v>-301.76080000000002</v>
      </c>
      <c r="H6579">
        <v>0.98091010000000001</v>
      </c>
      <c r="I6579">
        <v>-43.762700000000002</v>
      </c>
      <c r="J6579">
        <v>-301.76659999999998</v>
      </c>
      <c r="K6579">
        <v>1.127</v>
      </c>
      <c r="L6579">
        <v>-43.33334</v>
      </c>
      <c r="M6579">
        <v>0.1170553</v>
      </c>
      <c r="N6579">
        <v>-1.384676E-2</v>
      </c>
      <c r="O6579">
        <v>-0.99302889999999999</v>
      </c>
      <c r="P6579">
        <v>0.13266559999999999</v>
      </c>
      <c r="Q6579">
        <v>0.16508249999999999</v>
      </c>
      <c r="R6579">
        <v>-0.97731670000000004</v>
      </c>
      <c r="S6579">
        <v>0.20190430000000001</v>
      </c>
      <c r="T6579">
        <v>-0.61030229999999996</v>
      </c>
      <c r="U6579">
        <v>-3.148987</v>
      </c>
      <c r="V6579">
        <v>-1.973979E-2</v>
      </c>
      <c r="W6579">
        <v>0.1784724</v>
      </c>
      <c r="X6579">
        <v>0.98374689999999998</v>
      </c>
      <c r="Y6579">
        <v>5.4191200000000002E-2</v>
      </c>
      <c r="Z6579">
        <v>0.1744387</v>
      </c>
      <c r="AA6579">
        <v>0.98317569999999999</v>
      </c>
      <c r="AB6579">
        <v>33</v>
      </c>
      <c r="AC6579">
        <v>5.7999999999651603E-3</v>
      </c>
      <c r="AD6579">
        <v>-0.14608989999999999</v>
      </c>
      <c r="AE6579">
        <v>-0.42936000000000202</v>
      </c>
      <c r="AF6579">
        <v>3.9886706804322901E-2</v>
      </c>
      <c r="AG6579">
        <v>-0.14608989999999999</v>
      </c>
      <c r="AH6579">
        <v>0.38278023521788301</v>
      </c>
      <c r="AI6579">
        <v>110.786734135199</v>
      </c>
      <c r="AJ6579">
        <v>84.051098586539496</v>
      </c>
      <c r="AK6579">
        <v>0.41164780666871198</v>
      </c>
      <c r="AL6579">
        <v>79.719206046610395</v>
      </c>
      <c r="AM6579">
        <v>91.149538459006394</v>
      </c>
      <c r="AN6579">
        <v>1.0000000100652999</v>
      </c>
    </row>
    <row r="6580" spans="1:40" x14ac:dyDescent="0.25">
      <c r="A6580" t="str">
        <f>"20190303170421257"</f>
        <v>20190303170421257</v>
      </c>
      <c r="B6580" t="str">
        <f>"1551603861252137"</f>
        <v>1551603861252137</v>
      </c>
      <c r="C6580" t="s">
        <v>40</v>
      </c>
      <c r="D6580">
        <v>5.1359620000000001</v>
      </c>
      <c r="E6580">
        <v>0.53380879999999997</v>
      </c>
      <c r="F6580" t="s">
        <v>43</v>
      </c>
      <c r="G6580">
        <v>-301.71600000000001</v>
      </c>
      <c r="H6580">
        <v>0.98017489999999996</v>
      </c>
      <c r="I6580">
        <v>-44.052129999999998</v>
      </c>
      <c r="J6580">
        <v>-301.72050000000002</v>
      </c>
      <c r="K6580">
        <v>1.127273</v>
      </c>
      <c r="L6580">
        <v>-43.66583</v>
      </c>
      <c r="M6580">
        <v>0.12409199999999999</v>
      </c>
      <c r="N6580">
        <v>-1.3903570000000001E-2</v>
      </c>
      <c r="O6580">
        <v>-0.99217330000000004</v>
      </c>
      <c r="P6580">
        <v>0.14096689999999901</v>
      </c>
      <c r="Q6580">
        <v>0.1628405</v>
      </c>
      <c r="R6580">
        <v>-0.97653029999999996</v>
      </c>
      <c r="S6580">
        <v>0.2216187</v>
      </c>
      <c r="T6580">
        <v>-0.64290709999999995</v>
      </c>
      <c r="U6580">
        <v>-3.1481319999999999</v>
      </c>
      <c r="V6580">
        <v>-2.117484E-2</v>
      </c>
      <c r="W6580">
        <v>0.1762592</v>
      </c>
      <c r="X6580">
        <v>0.98411599999999999</v>
      </c>
      <c r="Y6580">
        <v>5.5240490000000003E-2</v>
      </c>
      <c r="Z6580">
        <v>0.18382480000000001</v>
      </c>
      <c r="AA6580">
        <v>0.98140559999999999</v>
      </c>
      <c r="AB6580">
        <v>33</v>
      </c>
      <c r="AC6580">
        <v>4.5000000000072699E-3</v>
      </c>
      <c r="AD6580">
        <v>-0.14709810000000001</v>
      </c>
      <c r="AE6580">
        <v>-0.38629999999999798</v>
      </c>
      <c r="AF6580">
        <v>3.7971136317463801E-2</v>
      </c>
      <c r="AG6580">
        <v>-0.14709810000000001</v>
      </c>
      <c r="AH6580">
        <v>0.33526552898496298</v>
      </c>
      <c r="AI6580">
        <v>113.555462176224</v>
      </c>
      <c r="AJ6580">
        <v>83.538391400606599</v>
      </c>
      <c r="AK6580">
        <v>0.36807965597464998</v>
      </c>
      <c r="AL6580">
        <v>79.848055809242993</v>
      </c>
      <c r="AM6580">
        <v>91.232620736317998</v>
      </c>
      <c r="AN6580">
        <v>0.99999999044483201</v>
      </c>
    </row>
    <row r="6581" spans="1:40" x14ac:dyDescent="0.25">
      <c r="A6581" t="str">
        <f>"20190303170421280"</f>
        <v>20190303170421280</v>
      </c>
      <c r="B6581" t="str">
        <f>"1551603861272634"</f>
        <v>1551603861272634</v>
      </c>
      <c r="C6581" t="s">
        <v>40</v>
      </c>
      <c r="D6581">
        <v>5.1808399999999999</v>
      </c>
      <c r="E6581">
        <v>0.53440189999999999</v>
      </c>
      <c r="F6581" t="s">
        <v>43</v>
      </c>
      <c r="G6581">
        <v>-301.64690000000002</v>
      </c>
      <c r="H6581">
        <v>0.92898020000000003</v>
      </c>
      <c r="I6581">
        <v>-44.607349999999997</v>
      </c>
      <c r="J6581">
        <v>-301.6721</v>
      </c>
      <c r="K6581">
        <v>1.1275630000000001</v>
      </c>
      <c r="L6581">
        <v>-43.993870000000001</v>
      </c>
      <c r="M6581">
        <v>0.1314187</v>
      </c>
      <c r="N6581">
        <v>-1.395855E-2</v>
      </c>
      <c r="O6581">
        <v>-0.99122869999999996</v>
      </c>
      <c r="P6581">
        <v>0.1514365</v>
      </c>
      <c r="Q6581">
        <v>0.16441329999999901</v>
      </c>
      <c r="R6581">
        <v>-0.97469749999999999</v>
      </c>
      <c r="S6581">
        <v>0.2460938</v>
      </c>
      <c r="T6581">
        <v>-0.66285810000000001</v>
      </c>
      <c r="U6581">
        <v>-3.147125</v>
      </c>
      <c r="V6581">
        <v>-2.4653830000000002E-2</v>
      </c>
      <c r="W6581">
        <v>0.1778169</v>
      </c>
      <c r="X6581">
        <v>0.98375469999999998</v>
      </c>
      <c r="Y6581">
        <v>5.5087469999999999E-2</v>
      </c>
      <c r="Z6581">
        <v>0.18939</v>
      </c>
      <c r="AA6581">
        <v>0.98035539999999999</v>
      </c>
      <c r="AB6581">
        <v>33</v>
      </c>
      <c r="AC6581">
        <v>2.5199999999983898E-2</v>
      </c>
      <c r="AD6581">
        <v>-0.198582799999999</v>
      </c>
      <c r="AE6581">
        <v>-0.61347999999999503</v>
      </c>
      <c r="AF6581">
        <v>5.0379300771560297E-2</v>
      </c>
      <c r="AG6581">
        <v>-0.198582799999999</v>
      </c>
      <c r="AH6581">
        <v>0.55356492327087303</v>
      </c>
      <c r="AI6581">
        <v>109.659673330549</v>
      </c>
      <c r="AJ6581">
        <v>84.799902865278497</v>
      </c>
      <c r="AK6581">
        <v>0.59026038887762</v>
      </c>
      <c r="AL6581">
        <v>79.757373698246198</v>
      </c>
      <c r="AM6581">
        <v>91.435586329663707</v>
      </c>
      <c r="AN6581">
        <v>0.99999998551568403</v>
      </c>
    </row>
    <row r="6582" spans="1:40" x14ac:dyDescent="0.25">
      <c r="A6582" t="str">
        <f>"20190303170421306"</f>
        <v>20190303170421306</v>
      </c>
      <c r="B6582" t="str">
        <f>"1551603861292153"</f>
        <v>1551603861292153</v>
      </c>
      <c r="C6582" t="s">
        <v>40</v>
      </c>
      <c r="D6582">
        <v>5.2164820000000001</v>
      </c>
      <c r="E6582">
        <v>0.53464820000000002</v>
      </c>
      <c r="F6582" t="s">
        <v>43</v>
      </c>
      <c r="G6582">
        <v>-301.59280000000001</v>
      </c>
      <c r="H6582">
        <v>0.93678329999999999</v>
      </c>
      <c r="I6582">
        <v>-44.898539999999997</v>
      </c>
      <c r="J6582">
        <v>-301.61250000000001</v>
      </c>
      <c r="K6582">
        <v>1.1278870000000001</v>
      </c>
      <c r="L6582">
        <v>-44.37424</v>
      </c>
      <c r="M6582">
        <v>0.14032610000000001</v>
      </c>
      <c r="N6582">
        <v>-1.401939E-2</v>
      </c>
      <c r="O6582">
        <v>-0.9900061</v>
      </c>
      <c r="P6582">
        <v>0.16331309999999999</v>
      </c>
      <c r="Q6582">
        <v>0.16585559999999999</v>
      </c>
      <c r="R6582">
        <v>-0.97253350000000005</v>
      </c>
      <c r="S6582">
        <v>0.27633669999999999</v>
      </c>
      <c r="T6582">
        <v>-0.66388389999999997</v>
      </c>
      <c r="U6582">
        <v>-3.1469420000000001</v>
      </c>
      <c r="V6582">
        <v>-2.8007339999999999E-2</v>
      </c>
      <c r="W6582">
        <v>0.1792455</v>
      </c>
      <c r="X6582">
        <v>0.98340559999999999</v>
      </c>
      <c r="Y6582">
        <v>5.4704160000000002E-2</v>
      </c>
      <c r="Z6582">
        <v>0.18921099999999999</v>
      </c>
      <c r="AA6582">
        <v>0.98041149999999999</v>
      </c>
      <c r="AB6582">
        <v>33</v>
      </c>
      <c r="AC6582">
        <v>1.97000000000002E-2</v>
      </c>
      <c r="AD6582">
        <v>-0.19110369999999999</v>
      </c>
      <c r="AE6582">
        <v>-0.52430000000000299</v>
      </c>
      <c r="AF6582">
        <v>4.7741415309018299E-2</v>
      </c>
      <c r="AG6582">
        <v>-0.19110369999999999</v>
      </c>
      <c r="AH6582">
        <v>0.46074927424115403</v>
      </c>
      <c r="AI6582">
        <v>112.419008550242</v>
      </c>
      <c r="AJ6582">
        <v>84.084299425774404</v>
      </c>
      <c r="AK6582">
        <v>0.50108857560629805</v>
      </c>
      <c r="AL6582">
        <v>79.674184249988897</v>
      </c>
      <c r="AM6582">
        <v>91.631339832120503</v>
      </c>
      <c r="AN6582">
        <v>0.99999996723774198</v>
      </c>
    </row>
    <row r="6583" spans="1:40" x14ac:dyDescent="0.25">
      <c r="A6583" t="str">
        <f>"20190303170421328"</f>
        <v>20190303170421328</v>
      </c>
      <c r="B6583" t="str">
        <f>"1551603861322409"</f>
        <v>1551603861322409</v>
      </c>
      <c r="C6583" t="s">
        <v>40</v>
      </c>
      <c r="D6583">
        <v>5.2674919999999998</v>
      </c>
      <c r="E6583">
        <v>0.53464780000000001</v>
      </c>
      <c r="F6583" t="s">
        <v>43</v>
      </c>
      <c r="G6583">
        <v>-301.5308</v>
      </c>
      <c r="H6583">
        <v>0.95536359999999998</v>
      </c>
      <c r="I6583">
        <v>-45.193550000000002</v>
      </c>
      <c r="J6583">
        <v>-301.5598</v>
      </c>
      <c r="K6583">
        <v>1.1281479999999999</v>
      </c>
      <c r="L6583">
        <v>-44.692230000000002</v>
      </c>
      <c r="M6583">
        <v>0.14812</v>
      </c>
      <c r="N6583">
        <v>-1.406636E-2</v>
      </c>
      <c r="O6583">
        <v>-0.98886949999999996</v>
      </c>
      <c r="P6583">
        <v>0.1731019</v>
      </c>
      <c r="Q6583">
        <v>0.16488989999999901</v>
      </c>
      <c r="R6583">
        <v>-0.97100350000000002</v>
      </c>
      <c r="S6583">
        <v>0.31417850000000003</v>
      </c>
      <c r="T6583">
        <v>-0.66263989999999995</v>
      </c>
      <c r="U6583">
        <v>-3.1449579999999999</v>
      </c>
      <c r="V6583">
        <v>-3.0245230000000001E-2</v>
      </c>
      <c r="W6583">
        <v>0.1782753</v>
      </c>
      <c r="X6583">
        <v>0.98351569999999999</v>
      </c>
      <c r="Y6583">
        <v>5.0817130000000002E-2</v>
      </c>
      <c r="Z6583">
        <v>0.18850739999999999</v>
      </c>
      <c r="AA6583">
        <v>0.98075619999999997</v>
      </c>
      <c r="AB6583">
        <v>33</v>
      </c>
      <c r="AC6583">
        <v>2.89999999999963E-2</v>
      </c>
      <c r="AD6583">
        <v>-0.17278439999999901</v>
      </c>
      <c r="AE6583">
        <v>-0.50131999999999899</v>
      </c>
      <c r="AF6583">
        <v>4.07573927088586E-2</v>
      </c>
      <c r="AG6583">
        <v>-0.17278439999999901</v>
      </c>
      <c r="AH6583">
        <v>0.447145757593638</v>
      </c>
      <c r="AI6583">
        <v>111.047771723088</v>
      </c>
      <c r="AJ6583">
        <v>84.791874224244495</v>
      </c>
      <c r="AK6583">
        <v>0.48109764339245398</v>
      </c>
      <c r="AL6583">
        <v>79.730682941390896</v>
      </c>
      <c r="AM6583">
        <v>91.761413739004794</v>
      </c>
      <c r="AN6583">
        <v>0.99999999433716602</v>
      </c>
    </row>
    <row r="6584" spans="1:40" x14ac:dyDescent="0.25">
      <c r="A6584" t="str">
        <f>"20190303170421345"</f>
        <v>20190303170421345</v>
      </c>
      <c r="B6584" t="str">
        <f>"1551603861332169"</f>
        <v>1551603861332169</v>
      </c>
      <c r="C6584" t="s">
        <v>40</v>
      </c>
      <c r="D6584">
        <v>5.1763849999999998</v>
      </c>
      <c r="E6584">
        <v>0.55193219999999898</v>
      </c>
      <c r="F6584" t="s">
        <v>43</v>
      </c>
      <c r="G6584">
        <v>-301.47269999999997</v>
      </c>
      <c r="H6584">
        <v>0.96044499999999999</v>
      </c>
      <c r="I6584">
        <v>-45.481769999999997</v>
      </c>
      <c r="J6584">
        <v>-301.5154</v>
      </c>
      <c r="K6584">
        <v>1.128366</v>
      </c>
      <c r="L6584">
        <v>-44.94708</v>
      </c>
      <c r="M6584">
        <v>0.15463089999999999</v>
      </c>
      <c r="N6584">
        <v>-1.410435E-2</v>
      </c>
      <c r="O6584">
        <v>-0.98787190000000002</v>
      </c>
      <c r="P6584">
        <v>0.1810949</v>
      </c>
      <c r="Q6584">
        <v>0.16499249999999999</v>
      </c>
      <c r="R6584">
        <v>-0.96952689999999997</v>
      </c>
      <c r="S6584">
        <v>0.34658810000000001</v>
      </c>
      <c r="T6584">
        <v>-0.66734640000000001</v>
      </c>
      <c r="U6584">
        <v>-3.1411440000000002</v>
      </c>
      <c r="V6584">
        <v>-3.1970459999999999E-2</v>
      </c>
      <c r="W6584">
        <v>0.17837149999999999</v>
      </c>
      <c r="X6584">
        <v>0.98344370000000003</v>
      </c>
      <c r="Y6584">
        <v>4.7303209999999998E-2</v>
      </c>
      <c r="Z6584">
        <v>0.1897104</v>
      </c>
      <c r="AA6584">
        <v>0.98070000000000002</v>
      </c>
      <c r="AB6584">
        <v>33</v>
      </c>
      <c r="AC6584">
        <v>4.2700000000024801E-2</v>
      </c>
      <c r="AD6584">
        <v>-0.16792099999999899</v>
      </c>
      <c r="AE6584">
        <v>-0.534690000000004</v>
      </c>
      <c r="AF6584">
        <v>3.6886453832618397E-2</v>
      </c>
      <c r="AG6584">
        <v>-0.16792099999999899</v>
      </c>
      <c r="AH6584">
        <v>0.48712108149565497</v>
      </c>
      <c r="AI6584">
        <v>108.96975107255</v>
      </c>
      <c r="AJ6584">
        <v>85.669634222375194</v>
      </c>
      <c r="AK6584">
        <v>0.51657044123221196</v>
      </c>
      <c r="AL6584">
        <v>79.725081432325396</v>
      </c>
      <c r="AM6584">
        <v>91.861954634236497</v>
      </c>
      <c r="AN6584">
        <v>1.0000000066972701</v>
      </c>
    </row>
    <row r="6585" spans="1:40" x14ac:dyDescent="0.25">
      <c r="A6585" t="str">
        <f>"20190303170421368"</f>
        <v>20190303170421368</v>
      </c>
      <c r="B6585" t="str">
        <f>"1551603861362426"</f>
        <v>1551603861362426</v>
      </c>
      <c r="C6585" t="s">
        <v>40</v>
      </c>
      <c r="D6585">
        <v>5.1986759999999999</v>
      </c>
      <c r="E6585">
        <v>0.55640669999999903</v>
      </c>
      <c r="F6585" t="s">
        <v>43</v>
      </c>
      <c r="G6585">
        <v>-301.45389999999998</v>
      </c>
      <c r="H6585">
        <v>0.95063580000000003</v>
      </c>
      <c r="I6585">
        <v>-45.768120000000003</v>
      </c>
      <c r="J6585">
        <v>-301.45600000000002</v>
      </c>
      <c r="K6585">
        <v>1.128668</v>
      </c>
      <c r="L6585">
        <v>-45.27261</v>
      </c>
      <c r="M6585">
        <v>0.1633001</v>
      </c>
      <c r="N6585">
        <v>-1.4156230000000001E-2</v>
      </c>
      <c r="O6585">
        <v>-0.98647490000000004</v>
      </c>
      <c r="P6585">
        <v>0.1920048</v>
      </c>
      <c r="Q6585">
        <v>0.1669416</v>
      </c>
      <c r="R6585">
        <v>-0.96709100000000003</v>
      </c>
      <c r="S6585">
        <v>0.23770140000000001</v>
      </c>
      <c r="T6585">
        <v>-0.6858244</v>
      </c>
      <c r="U6585">
        <v>-3.166595</v>
      </c>
      <c r="V6585">
        <v>-3.4636559999999997E-2</v>
      </c>
      <c r="W6585">
        <v>0.1802986</v>
      </c>
      <c r="X6585">
        <v>0.98300189999999998</v>
      </c>
      <c r="Y6585">
        <v>9.028369E-2</v>
      </c>
      <c r="Z6585">
        <v>0.19298070000000001</v>
      </c>
      <c r="AA6585">
        <v>0.97704009999999997</v>
      </c>
      <c r="AB6585">
        <v>33</v>
      </c>
      <c r="AC6585">
        <v>2.0999999999844398E-3</v>
      </c>
      <c r="AD6585">
        <v>-0.178032199999999</v>
      </c>
      <c r="AE6585">
        <v>-0.495510000000003</v>
      </c>
      <c r="AF6585">
        <v>6.9837925690082403E-2</v>
      </c>
      <c r="AG6585">
        <v>-0.178032199999999</v>
      </c>
      <c r="AH6585">
        <v>0.43327029987645799</v>
      </c>
      <c r="AI6585">
        <v>112.080779542114</v>
      </c>
      <c r="AJ6585">
        <v>80.843373161108801</v>
      </c>
      <c r="AK6585">
        <v>0.47359893671393499</v>
      </c>
      <c r="AL6585">
        <v>79.612847173541596</v>
      </c>
      <c r="AM6585">
        <v>92.018010367404699</v>
      </c>
      <c r="AN6585">
        <v>1.0000000059270999</v>
      </c>
    </row>
    <row r="6586" spans="1:40" x14ac:dyDescent="0.25">
      <c r="A6586" t="str">
        <f>"20190303170421389"</f>
        <v>20190303170421389</v>
      </c>
      <c r="B6586" t="str">
        <f>"1551603861381946"</f>
        <v>1551603861381946</v>
      </c>
      <c r="C6586" t="s">
        <v>40</v>
      </c>
      <c r="D6586">
        <v>5.2448079999999999</v>
      </c>
      <c r="E6586">
        <v>0.55757590000000001</v>
      </c>
      <c r="F6586" t="s">
        <v>43</v>
      </c>
      <c r="G6586">
        <v>-301.39679999999998</v>
      </c>
      <c r="H6586">
        <v>0.9628506</v>
      </c>
      <c r="I6586">
        <v>-46.059220000000003</v>
      </c>
      <c r="J6586">
        <v>-301.39670000000001</v>
      </c>
      <c r="K6586">
        <v>1.128981</v>
      </c>
      <c r="L6586">
        <v>-45.580199999999998</v>
      </c>
      <c r="M6586">
        <v>0.1718739</v>
      </c>
      <c r="N6586">
        <v>-1.420953E-2</v>
      </c>
      <c r="O6586">
        <v>-0.98501669999999997</v>
      </c>
      <c r="P6586">
        <v>0.20308950000000001</v>
      </c>
      <c r="Q6586">
        <v>0.16899249999999999</v>
      </c>
      <c r="R6586">
        <v>-0.96446690000000002</v>
      </c>
      <c r="S6586">
        <v>0.23925779999999999</v>
      </c>
      <c r="T6586">
        <v>-0.668695699999999</v>
      </c>
      <c r="U6586">
        <v>-3.1700439999999999</v>
      </c>
      <c r="V6586">
        <v>-3.7606569999999999E-2</v>
      </c>
      <c r="W6586">
        <v>0.18231820000000001</v>
      </c>
      <c r="X6586">
        <v>0.98252010000000001</v>
      </c>
      <c r="Y6586">
        <v>9.8451490000000003E-2</v>
      </c>
      <c r="Z6586">
        <v>0.1872366</v>
      </c>
      <c r="AA6586">
        <v>0.97736880000000004</v>
      </c>
      <c r="AB6586">
        <v>33</v>
      </c>
      <c r="AC6586" s="1">
        <v>-9.9999999974897906E-5</v>
      </c>
      <c r="AD6586">
        <v>-0.16613040000000001</v>
      </c>
      <c r="AE6586">
        <v>-0.479020000000005</v>
      </c>
      <c r="AF6586">
        <v>7.3586864811493596E-2</v>
      </c>
      <c r="AG6586">
        <v>-0.16613040000000001</v>
      </c>
      <c r="AH6586">
        <v>0.42121017954599799</v>
      </c>
      <c r="AI6586">
        <v>111.23251755342601</v>
      </c>
      <c r="AJ6586">
        <v>80.090242385794795</v>
      </c>
      <c r="AK6586">
        <v>0.45872906146233799</v>
      </c>
      <c r="AL6586">
        <v>79.495182003960807</v>
      </c>
      <c r="AM6586">
        <v>92.191961710892599</v>
      </c>
      <c r="AN6586">
        <v>0.99999996353120602</v>
      </c>
    </row>
    <row r="6587" spans="1:40" x14ac:dyDescent="0.25">
      <c r="A6587" t="str">
        <f>"20190303170421412"</f>
        <v>20190303170421412</v>
      </c>
      <c r="B6587" t="str">
        <f>"1551603861402441"</f>
        <v>1551603861402441</v>
      </c>
      <c r="C6587" t="s">
        <v>40</v>
      </c>
      <c r="D6587">
        <v>5.2220550000000001</v>
      </c>
      <c r="E6587">
        <v>0.55845710000000004</v>
      </c>
      <c r="F6587" t="s">
        <v>43</v>
      </c>
      <c r="G6587">
        <v>-301.33179999999999</v>
      </c>
      <c r="H6587">
        <v>0.96937110000000004</v>
      </c>
      <c r="I6587">
        <v>-46.345599999999997</v>
      </c>
      <c r="J6587">
        <v>-301.33260000000001</v>
      </c>
      <c r="K6587">
        <v>1.1293150000000001</v>
      </c>
      <c r="L6587">
        <v>-45.896329999999999</v>
      </c>
      <c r="M6587">
        <v>0.1810822</v>
      </c>
      <c r="N6587">
        <v>-1.426695E-2</v>
      </c>
      <c r="O6587">
        <v>-0.98336449999999997</v>
      </c>
      <c r="P6587">
        <v>0.21263879999999999</v>
      </c>
      <c r="Q6587">
        <v>0.16963429999999999</v>
      </c>
      <c r="R6587">
        <v>-0.96229370000000003</v>
      </c>
      <c r="S6587">
        <v>0.26885989999999999</v>
      </c>
      <c r="T6587">
        <v>-0.66089500000000001</v>
      </c>
      <c r="U6587">
        <v>-3.169708</v>
      </c>
      <c r="V6587">
        <v>-3.8334090000000001E-2</v>
      </c>
      <c r="W6587">
        <v>0.18297269999999999</v>
      </c>
      <c r="X6587">
        <v>0.98237030000000003</v>
      </c>
      <c r="Y6587">
        <v>9.8643410000000001E-2</v>
      </c>
      <c r="Z6587">
        <v>0.184393</v>
      </c>
      <c r="AA6587">
        <v>0.97789000000000004</v>
      </c>
      <c r="AB6587">
        <v>33</v>
      </c>
      <c r="AC6587">
        <v>8.0000000002655703E-4</v>
      </c>
      <c r="AD6587">
        <v>-0.1599439</v>
      </c>
      <c r="AE6587">
        <v>-0.449269999999998</v>
      </c>
      <c r="AF6587">
        <v>7.1512677028605101E-2</v>
      </c>
      <c r="AG6587">
        <v>-0.1599439</v>
      </c>
      <c r="AH6587">
        <v>0.39226918824825002</v>
      </c>
      <c r="AI6587">
        <v>111.857144946167</v>
      </c>
      <c r="AJ6587">
        <v>79.668149751959106</v>
      </c>
      <c r="AK6587">
        <v>0.429617539413778</v>
      </c>
      <c r="AL6587">
        <v>79.457040277205195</v>
      </c>
      <c r="AM6587">
        <v>92.234664221489695</v>
      </c>
      <c r="AN6587">
        <v>0.99999995886175297</v>
      </c>
    </row>
    <row r="6588" spans="1:40" x14ac:dyDescent="0.25">
      <c r="A6588" t="str">
        <f>"20190303170421434"</f>
        <v>20190303170421434</v>
      </c>
      <c r="B6588" t="str">
        <f>"1551603861421961"</f>
        <v>1551603861421961</v>
      </c>
      <c r="C6588" t="s">
        <v>40</v>
      </c>
      <c r="D6588">
        <v>5.212453</v>
      </c>
      <c r="E6588">
        <v>0.55906020000000001</v>
      </c>
      <c r="F6588" t="s">
        <v>43</v>
      </c>
      <c r="G6588">
        <v>-301.26420000000002</v>
      </c>
      <c r="H6588">
        <v>0.97640990000000005</v>
      </c>
      <c r="I6588">
        <v>-46.631180000000001</v>
      </c>
      <c r="J6588">
        <v>-301.26459999999997</v>
      </c>
      <c r="K6588">
        <v>1.1296630000000001</v>
      </c>
      <c r="L6588">
        <v>-46.214170000000003</v>
      </c>
      <c r="M6588">
        <v>0.19076650000000001</v>
      </c>
      <c r="N6588">
        <v>-1.432697E-2</v>
      </c>
      <c r="O6588">
        <v>-0.98153100000000004</v>
      </c>
      <c r="P6588">
        <v>0.22159699999999999</v>
      </c>
      <c r="Q6588">
        <v>0.16744479999999901</v>
      </c>
      <c r="R6588">
        <v>-0.96065480000000003</v>
      </c>
      <c r="S6588">
        <v>0.29547119999999999</v>
      </c>
      <c r="T6588">
        <v>-0.66000219999999998</v>
      </c>
      <c r="U6588">
        <v>-3.1686100000000001</v>
      </c>
      <c r="V6588">
        <v>-3.7842500000000001E-2</v>
      </c>
      <c r="W6588">
        <v>0.1808285</v>
      </c>
      <c r="X6588">
        <v>0.98278639999999995</v>
      </c>
      <c r="Y6588">
        <v>0.1002613</v>
      </c>
      <c r="Z6588">
        <v>0.18352250000000001</v>
      </c>
      <c r="AA6588">
        <v>0.97788909999999996</v>
      </c>
      <c r="AB6588">
        <v>33</v>
      </c>
      <c r="AC6588">
        <v>3.9999999995643499E-4</v>
      </c>
      <c r="AD6588">
        <v>-0.153253099999999</v>
      </c>
      <c r="AE6588">
        <v>-0.41700999999999699</v>
      </c>
      <c r="AF6588">
        <v>6.9747040596666796E-2</v>
      </c>
      <c r="AG6588">
        <v>-0.153253099999999</v>
      </c>
      <c r="AH6588">
        <v>0.36070930064443502</v>
      </c>
      <c r="AI6588">
        <v>112.64294096782901</v>
      </c>
      <c r="AJ6588">
        <v>79.056297323903493</v>
      </c>
      <c r="AK6588">
        <v>0.39807331222150499</v>
      </c>
      <c r="AL6588">
        <v>79.581979278582907</v>
      </c>
      <c r="AM6588">
        <v>92.205102668814206</v>
      </c>
      <c r="AN6588">
        <v>1.00000005462172</v>
      </c>
    </row>
    <row r="6589" spans="1:40" x14ac:dyDescent="0.25">
      <c r="A6589" t="str">
        <f>"20190303170421458"</f>
        <v>20190303170421458</v>
      </c>
      <c r="B6589" t="str">
        <f>"1551603861452217"</f>
        <v>1551603861452217</v>
      </c>
      <c r="C6589" t="s">
        <v>40</v>
      </c>
      <c r="D6589">
        <v>5.229425</v>
      </c>
      <c r="E6589">
        <v>0.55955100000000002</v>
      </c>
      <c r="F6589" t="s">
        <v>43</v>
      </c>
      <c r="G6589">
        <v>-301.1936</v>
      </c>
      <c r="H6589">
        <v>0.98188450000000005</v>
      </c>
      <c r="I6589">
        <v>-46.914830000000002</v>
      </c>
      <c r="J6589">
        <v>-301.19319999999999</v>
      </c>
      <c r="K6589">
        <v>1.130007</v>
      </c>
      <c r="L6589">
        <v>-46.530090000000001</v>
      </c>
      <c r="M6589">
        <v>0.20087450000000001</v>
      </c>
      <c r="N6589">
        <v>-1.4390780000000001E-2</v>
      </c>
      <c r="O6589">
        <v>-0.97951129999999997</v>
      </c>
      <c r="P6589">
        <v>0.23442460000000001</v>
      </c>
      <c r="Q6589">
        <v>0.16597229999999999</v>
      </c>
      <c r="R6589">
        <v>-0.95786159999999998</v>
      </c>
      <c r="S6589">
        <v>0.32073970000000002</v>
      </c>
      <c r="T6589">
        <v>-0.66724499999999998</v>
      </c>
      <c r="U6589">
        <v>-3.1651919999999998</v>
      </c>
      <c r="V6589">
        <v>-4.0935920000000001E-2</v>
      </c>
      <c r="W6589">
        <v>0.17932709999999999</v>
      </c>
      <c r="X6589">
        <v>0.98293750000000002</v>
      </c>
      <c r="Y6589">
        <v>0.1027144</v>
      </c>
      <c r="Z6589">
        <v>0.18505579999999999</v>
      </c>
      <c r="AA6589">
        <v>0.97734549999999998</v>
      </c>
      <c r="AB6589">
        <v>33</v>
      </c>
      <c r="AC6589">
        <v>-4.0000000001327803E-4</v>
      </c>
      <c r="AD6589">
        <v>-0.14812249999999999</v>
      </c>
      <c r="AE6589">
        <v>-0.38474000000000003</v>
      </c>
      <c r="AF6589">
        <v>6.7656285204306194E-2</v>
      </c>
      <c r="AG6589">
        <v>-0.14812249999999999</v>
      </c>
      <c r="AH6589">
        <v>0.32817389292811</v>
      </c>
      <c r="AI6589">
        <v>113.848175696597</v>
      </c>
      <c r="AJ6589">
        <v>78.351113177957203</v>
      </c>
      <c r="AK6589">
        <v>0.36635468051259701</v>
      </c>
      <c r="AL6589">
        <v>79.669432709580093</v>
      </c>
      <c r="AM6589">
        <v>92.384791347175394</v>
      </c>
      <c r="AN6589">
        <v>1.00000004362345</v>
      </c>
    </row>
    <row r="6590" spans="1:40" x14ac:dyDescent="0.25">
      <c r="A6590" t="str">
        <f>"20190303170421479"</f>
        <v>20190303170421479</v>
      </c>
      <c r="B6590" t="str">
        <f>"1551603861472714"</f>
        <v>1551603861472714</v>
      </c>
      <c r="C6590" t="s">
        <v>40</v>
      </c>
      <c r="D6590">
        <v>5.6592539999999998</v>
      </c>
      <c r="E6590">
        <v>0.51806969999999997</v>
      </c>
      <c r="F6590" t="s">
        <v>43</v>
      </c>
      <c r="G6590">
        <v>-301.08789999999999</v>
      </c>
      <c r="H6590">
        <v>0.93219180000000001</v>
      </c>
      <c r="I6590">
        <v>-47.458530000000003</v>
      </c>
      <c r="J6590">
        <v>-301.11770000000001</v>
      </c>
      <c r="K6590">
        <v>1.130355</v>
      </c>
      <c r="L6590">
        <v>-46.846130000000002</v>
      </c>
      <c r="M6590">
        <v>0.21143819999999999</v>
      </c>
      <c r="N6590">
        <v>-1.4458199999999999E-2</v>
      </c>
      <c r="O6590">
        <v>-0.97728470000000001</v>
      </c>
      <c r="P6590">
        <v>0.24944859999999999</v>
      </c>
      <c r="Q6590">
        <v>0.16754179999999999</v>
      </c>
      <c r="R6590">
        <v>-0.95378510000000005</v>
      </c>
      <c r="S6590">
        <v>0.35882570000000003</v>
      </c>
      <c r="T6590">
        <v>-0.67392750000000001</v>
      </c>
      <c r="U6590">
        <v>-3.1609189999999998</v>
      </c>
      <c r="V6590">
        <v>-4.6028159999999999E-2</v>
      </c>
      <c r="W6590">
        <v>0.1808149</v>
      </c>
      <c r="X6590">
        <v>0.98243950000000002</v>
      </c>
      <c r="Y6590">
        <v>0.10171520000000001</v>
      </c>
      <c r="Z6590">
        <v>0.18639729999999999</v>
      </c>
      <c r="AA6590">
        <v>0.97719500000000004</v>
      </c>
      <c r="AB6590">
        <v>33</v>
      </c>
      <c r="AC6590">
        <v>2.9800000000022898E-2</v>
      </c>
      <c r="AD6590">
        <v>-0.19816320000000001</v>
      </c>
      <c r="AE6590">
        <v>-0.61239999999999295</v>
      </c>
      <c r="AF6590">
        <v>9.0878951987561504E-2</v>
      </c>
      <c r="AG6590">
        <v>-0.19816320000000001</v>
      </c>
      <c r="AH6590">
        <v>0.54764615182140597</v>
      </c>
      <c r="AI6590">
        <v>109.644721645576</v>
      </c>
      <c r="AJ6590">
        <v>80.577932633112894</v>
      </c>
      <c r="AK6590">
        <v>0.58944375927936699</v>
      </c>
      <c r="AL6590">
        <v>79.582770937055201</v>
      </c>
      <c r="AM6590">
        <v>92.682396497493997</v>
      </c>
      <c r="AN6590">
        <v>0.99999999536762196</v>
      </c>
    </row>
    <row r="6591" spans="1:40" x14ac:dyDescent="0.25">
      <c r="A6591" t="str">
        <f>"20190303170421503"</f>
        <v>20190303170421503</v>
      </c>
      <c r="B6591" t="str">
        <f>"1551603861492233"</f>
        <v>1551603861492233</v>
      </c>
      <c r="C6591" t="s">
        <v>40</v>
      </c>
      <c r="D6591">
        <v>5.3846530000000001</v>
      </c>
      <c r="E6591">
        <v>0.50329079999999904</v>
      </c>
      <c r="F6591" t="s">
        <v>43</v>
      </c>
      <c r="G6591">
        <v>-300.91000000000003</v>
      </c>
      <c r="H6591">
        <v>0.94865580000000005</v>
      </c>
      <c r="I6591">
        <v>-47.722880000000004</v>
      </c>
      <c r="J6591">
        <v>-301.03379999999999</v>
      </c>
      <c r="K6591">
        <v>1.1307149999999999</v>
      </c>
      <c r="L6591">
        <v>-47.17953</v>
      </c>
      <c r="M6591">
        <v>0.22301550000000001</v>
      </c>
      <c r="N6591">
        <v>-1.4529810000000001E-2</v>
      </c>
      <c r="O6591">
        <v>-0.97470670000000004</v>
      </c>
      <c r="P6591">
        <v>0.2650074</v>
      </c>
      <c r="Q6591">
        <v>0.17102200000000001</v>
      </c>
      <c r="R6591">
        <v>-0.94895890000000005</v>
      </c>
      <c r="S6591">
        <v>0.72689820000000005</v>
      </c>
      <c r="T6591">
        <v>-0.63612019999999903</v>
      </c>
      <c r="U6591">
        <v>-3.0670169999999999</v>
      </c>
      <c r="V6591">
        <v>-5.0816420000000001E-2</v>
      </c>
      <c r="W6591">
        <v>0.1842116</v>
      </c>
      <c r="X6591">
        <v>0.98157209999999995</v>
      </c>
      <c r="Y6591">
        <v>-3.9402810000000003E-3</v>
      </c>
      <c r="Z6591">
        <v>0.17912220000000001</v>
      </c>
      <c r="AA6591">
        <v>0.98381890000000005</v>
      </c>
      <c r="AB6591">
        <v>33</v>
      </c>
      <c r="AC6591">
        <v>0.12379999999996</v>
      </c>
      <c r="AD6591">
        <v>-0.18205919999999901</v>
      </c>
      <c r="AE6591">
        <v>-0.543349999999996</v>
      </c>
      <c r="AF6591">
        <v>4.5795813046915703E-4</v>
      </c>
      <c r="AG6591">
        <v>-0.18205919999999901</v>
      </c>
      <c r="AH6591">
        <v>0.50353299258242801</v>
      </c>
      <c r="AI6591">
        <v>109.87813828030799</v>
      </c>
      <c r="AJ6591">
        <v>89.947890086208005</v>
      </c>
      <c r="AK6591">
        <v>0.53543555788657204</v>
      </c>
      <c r="AL6591">
        <v>79.384829612242399</v>
      </c>
      <c r="AM6591">
        <v>92.963581990946693</v>
      </c>
      <c r="AN6591">
        <v>1.0000000048072899</v>
      </c>
    </row>
    <row r="6592" spans="1:40" x14ac:dyDescent="0.25">
      <c r="A6592" t="str">
        <f>"20190303170421527"</f>
        <v>20190303170421527</v>
      </c>
      <c r="B6592" t="str">
        <f>"1551603861511752"</f>
        <v>1551603861511752</v>
      </c>
      <c r="C6592" t="s">
        <v>40</v>
      </c>
      <c r="D6592">
        <v>5.2584479999999996</v>
      </c>
      <c r="E6592">
        <v>0.42039799999999999</v>
      </c>
      <c r="F6592" t="s">
        <v>43</v>
      </c>
      <c r="G6592">
        <v>-300.79079999999999</v>
      </c>
      <c r="H6592">
        <v>0.98346520000000004</v>
      </c>
      <c r="I6592">
        <v>-48.007640000000002</v>
      </c>
      <c r="J6592">
        <v>-300.94749999999999</v>
      </c>
      <c r="K6592">
        <v>1.131038</v>
      </c>
      <c r="L6592">
        <v>-47.505339999999997</v>
      </c>
      <c r="M6592">
        <v>0.23476150000000001</v>
      </c>
      <c r="N6592">
        <v>-1.459681E-2</v>
      </c>
      <c r="O6592">
        <v>-0.97194349999999996</v>
      </c>
      <c r="P6592">
        <v>0.2779508</v>
      </c>
      <c r="Q6592">
        <v>0.172007299999999</v>
      </c>
      <c r="R6592">
        <v>-0.94506999999999997</v>
      </c>
      <c r="S6592">
        <v>0.88412479999999904</v>
      </c>
      <c r="T6592">
        <v>-0.53573800000000005</v>
      </c>
      <c r="U6592">
        <v>-3.0110169999999998</v>
      </c>
      <c r="V6592">
        <v>-5.2602500000000003E-2</v>
      </c>
      <c r="W6592">
        <v>0.18518029999999999</v>
      </c>
      <c r="X6592">
        <v>0.98129569999999999</v>
      </c>
      <c r="Y6592">
        <v>-4.5214379999999998E-2</v>
      </c>
      <c r="Z6592">
        <v>0.15061099999999999</v>
      </c>
      <c r="AA6592">
        <v>0.98755859999999995</v>
      </c>
      <c r="AB6592">
        <v>33</v>
      </c>
      <c r="AC6592">
        <v>0.15670000000000001</v>
      </c>
      <c r="AD6592">
        <v>-0.147572799999999</v>
      </c>
      <c r="AE6592">
        <v>-0.50229999999999797</v>
      </c>
      <c r="AF6592">
        <v>-3.1878919728396099E-2</v>
      </c>
      <c r="AG6592">
        <v>-0.147572799999999</v>
      </c>
      <c r="AH6592">
        <v>0.48676171646244099</v>
      </c>
      <c r="AI6592">
        <v>106.831850566706</v>
      </c>
      <c r="AJ6592">
        <v>93.747054787813894</v>
      </c>
      <c r="AK6592">
        <v>0.50963807298547803</v>
      </c>
      <c r="AL6592">
        <v>79.328355634744298</v>
      </c>
      <c r="AM6592">
        <v>93.068411878251894</v>
      </c>
      <c r="AN6592">
        <v>1.00000000867641</v>
      </c>
    </row>
    <row r="6593" spans="1:40" x14ac:dyDescent="0.25">
      <c r="A6593" t="str">
        <f>"20190303170421546"</f>
        <v>20190303170421546</v>
      </c>
      <c r="B6593" t="str">
        <f>"1551603861532249"</f>
        <v>1551603861532249</v>
      </c>
      <c r="C6593" t="s">
        <v>40</v>
      </c>
      <c r="D6593">
        <v>5.2573780000000001</v>
      </c>
      <c r="E6593">
        <v>0.40278180000000002</v>
      </c>
      <c r="F6593" t="s">
        <v>78</v>
      </c>
      <c r="G6593">
        <v>-277.02769999999998</v>
      </c>
      <c r="H6593">
        <v>0.37097360000000001</v>
      </c>
      <c r="I6593">
        <v>-90.976820000000004</v>
      </c>
      <c r="J6593">
        <v>-300.87310000000002</v>
      </c>
      <c r="K6593">
        <v>1.1312960000000001</v>
      </c>
      <c r="L6593">
        <v>-47.772950000000002</v>
      </c>
      <c r="M6593">
        <v>0.24475520000000001</v>
      </c>
      <c r="N6593">
        <v>-1.465369E-2</v>
      </c>
      <c r="O6593">
        <v>-0.96947430000000001</v>
      </c>
      <c r="P6593">
        <v>0.28942889999999999</v>
      </c>
      <c r="Q6593">
        <v>0.16997619999999999</v>
      </c>
      <c r="R6593">
        <v>-0.94198669999999995</v>
      </c>
      <c r="S6593">
        <v>1.5075069999999999</v>
      </c>
      <c r="T6593">
        <v>-4.790092E-2</v>
      </c>
      <c r="U6593">
        <v>-2.739716</v>
      </c>
      <c r="V6593">
        <v>-5.4429810000000002E-2</v>
      </c>
      <c r="W6593">
        <v>0.18313260000000001</v>
      </c>
      <c r="X6593">
        <v>0.98158029999999996</v>
      </c>
      <c r="Y6593">
        <v>-0.25290309999999999</v>
      </c>
      <c r="Z6593">
        <v>1.5857250000000001E-3</v>
      </c>
      <c r="AA6593">
        <v>0.96749030000000003</v>
      </c>
      <c r="AB6593">
        <v>33</v>
      </c>
      <c r="AC6593">
        <v>23.845400000000001</v>
      </c>
      <c r="AD6593">
        <v>-0.76032239999999895</v>
      </c>
      <c r="AE6593">
        <v>-43.203869999999903</v>
      </c>
      <c r="AF6593">
        <v>-12.541498689170499</v>
      </c>
      <c r="AG6593">
        <v>-0.76032239999999895</v>
      </c>
      <c r="AH6593">
        <v>47.715118422080202</v>
      </c>
      <c r="AI6593">
        <v>90.882925001873403</v>
      </c>
      <c r="AJ6593">
        <v>104.726591122879</v>
      </c>
      <c r="AK6593">
        <v>49.341663992568598</v>
      </c>
      <c r="AL6593">
        <v>79.447721864420998</v>
      </c>
      <c r="AM6593">
        <v>93.173869609903406</v>
      </c>
      <c r="AN6593">
        <v>1.0000000193737399</v>
      </c>
    </row>
    <row r="6594" spans="1:40" x14ac:dyDescent="0.25">
      <c r="A6594" t="str">
        <f>"20190303170421569"</f>
        <v>20190303170421569</v>
      </c>
      <c r="B6594" t="str">
        <f>"1551603861562506"</f>
        <v>1551603861562506</v>
      </c>
      <c r="C6594" t="s">
        <v>40</v>
      </c>
      <c r="D6594">
        <v>5.2445709999999996</v>
      </c>
      <c r="E6594">
        <v>0.38752379999999997</v>
      </c>
      <c r="F6594" t="s">
        <v>78</v>
      </c>
      <c r="G6594">
        <v>-273.51609999999999</v>
      </c>
      <c r="H6594">
        <v>1.17832</v>
      </c>
      <c r="I6594">
        <v>-91.564989999999995</v>
      </c>
      <c r="J6594">
        <v>-300.78289999999998</v>
      </c>
      <c r="K6594">
        <v>1.1316120000000001</v>
      </c>
      <c r="L6594">
        <v>-48.083039999999997</v>
      </c>
      <c r="M6594">
        <v>0.25673030000000002</v>
      </c>
      <c r="N6594">
        <v>-1.472502E-2</v>
      </c>
      <c r="O6594">
        <v>-0.96637090000000003</v>
      </c>
      <c r="P6594">
        <v>0.30502360000000001</v>
      </c>
      <c r="Q6594">
        <v>0.1675933</v>
      </c>
      <c r="R6594">
        <v>-0.9374825</v>
      </c>
      <c r="S6594">
        <v>1.668884</v>
      </c>
      <c r="T6594">
        <v>2.869487E-3</v>
      </c>
      <c r="U6594">
        <v>-2.671478</v>
      </c>
      <c r="V6594">
        <v>-5.856538E-2</v>
      </c>
      <c r="W6594">
        <v>0.18068029999999999</v>
      </c>
      <c r="X6594">
        <v>0.98179669999999997</v>
      </c>
      <c r="Y6594">
        <v>-0.29421039999999998</v>
      </c>
      <c r="Z6594">
        <v>-1.4577909999999999E-2</v>
      </c>
      <c r="AA6594">
        <v>0.95562950000000002</v>
      </c>
      <c r="AB6594">
        <v>32</v>
      </c>
      <c r="AC6594">
        <v>27.2667999999999</v>
      </c>
      <c r="AD6594">
        <v>4.6707999999999902E-2</v>
      </c>
      <c r="AE6594">
        <v>-43.481949999999998</v>
      </c>
      <c r="AF6594">
        <v>-15.1883421944947</v>
      </c>
      <c r="AG6594">
        <v>4.6707999999999902E-2</v>
      </c>
      <c r="AH6594">
        <v>49.025179817684702</v>
      </c>
      <c r="AI6594">
        <v>89.947857337440993</v>
      </c>
      <c r="AJ6594">
        <v>107.213345265626</v>
      </c>
      <c r="AK6594">
        <v>51.324031178490401</v>
      </c>
      <c r="AL6594">
        <v>79.590612327966198</v>
      </c>
      <c r="AM6594">
        <v>93.413718535490901</v>
      </c>
      <c r="AN6594">
        <v>1.00000001733676</v>
      </c>
    </row>
    <row r="6595" spans="1:40" x14ac:dyDescent="0.25">
      <c r="A6595" t="str">
        <f>"20190303170421590"</f>
        <v>20190303170421590</v>
      </c>
      <c r="B6595" t="str">
        <f>"1551603861582026"</f>
        <v>1551603861582026</v>
      </c>
      <c r="C6595" t="s">
        <v>40</v>
      </c>
      <c r="D6595">
        <v>5.158353</v>
      </c>
      <c r="E6595">
        <v>0.38289849999999997</v>
      </c>
      <c r="F6595" t="s">
        <v>78</v>
      </c>
      <c r="G6595">
        <v>-270.28219999999999</v>
      </c>
      <c r="H6595">
        <v>1.9193260000000001</v>
      </c>
      <c r="I6595">
        <v>-91.564989999999995</v>
      </c>
      <c r="J6595">
        <v>-300.69260000000003</v>
      </c>
      <c r="K6595">
        <v>1.1319250000000001</v>
      </c>
      <c r="L6595">
        <v>-48.378970000000002</v>
      </c>
      <c r="M6595">
        <v>0.26856429999999998</v>
      </c>
      <c r="N6595">
        <v>-1.479872E-2</v>
      </c>
      <c r="O6595">
        <v>-0.96314820000000001</v>
      </c>
      <c r="P6595">
        <v>0.32116280000000003</v>
      </c>
      <c r="Q6595">
        <v>0.16666</v>
      </c>
      <c r="R6595">
        <v>-0.93224430000000003</v>
      </c>
      <c r="S6595">
        <v>1.822784</v>
      </c>
      <c r="T6595">
        <v>4.7076229999999997E-2</v>
      </c>
      <c r="U6595">
        <v>-2.5985719999999999</v>
      </c>
      <c r="V6595">
        <v>-6.3558470000000006E-2</v>
      </c>
      <c r="W6595">
        <v>0.17964849999999999</v>
      </c>
      <c r="X6595">
        <v>0.98167550000000003</v>
      </c>
      <c r="Y6595">
        <v>-0.33302749999999998</v>
      </c>
      <c r="Z6595">
        <v>-2.853785E-2</v>
      </c>
      <c r="AA6595">
        <v>0.94248520000000002</v>
      </c>
      <c r="AB6595">
        <v>32</v>
      </c>
      <c r="AC6595">
        <v>30.410399999999999</v>
      </c>
      <c r="AD6595">
        <v>0.78740099999999902</v>
      </c>
      <c r="AE6595">
        <v>-43.186019999999999</v>
      </c>
      <c r="AF6595">
        <v>-17.689502968342602</v>
      </c>
      <c r="AG6595">
        <v>0.78740099999999902</v>
      </c>
      <c r="AH6595">
        <v>49.7560714777713</v>
      </c>
      <c r="AI6595">
        <v>89.145731377393005</v>
      </c>
      <c r="AJ6595">
        <v>109.57154670816</v>
      </c>
      <c r="AK6595">
        <v>52.812926111917797</v>
      </c>
      <c r="AL6595">
        <v>79.650713661271794</v>
      </c>
      <c r="AM6595">
        <v>93.704438371122095</v>
      </c>
      <c r="AN6595">
        <v>1.00000002498062</v>
      </c>
    </row>
    <row r="6596" spans="1:40" x14ac:dyDescent="0.25">
      <c r="A6596" t="str">
        <f>"20190303170421616"</f>
        <v>20190303170421616</v>
      </c>
      <c r="B6596" t="str">
        <f>"1551603861602521"</f>
        <v>1551603861602521</v>
      </c>
      <c r="C6596" t="s">
        <v>40</v>
      </c>
      <c r="D6596">
        <v>5.1481500000000002</v>
      </c>
      <c r="E6596">
        <v>0.38003670000000001</v>
      </c>
      <c r="F6596" t="s">
        <v>78</v>
      </c>
      <c r="G6596">
        <v>-274.8399</v>
      </c>
      <c r="H6596">
        <v>1.954151</v>
      </c>
      <c r="I6596">
        <v>-83.127999999999901</v>
      </c>
      <c r="J6596">
        <v>-300.59269999999998</v>
      </c>
      <c r="K6596">
        <v>1.1322650000000001</v>
      </c>
      <c r="L6596">
        <v>-48.691189999999999</v>
      </c>
      <c r="M6596">
        <v>0.28147159999999999</v>
      </c>
      <c r="N6596">
        <v>-1.488043E-2</v>
      </c>
      <c r="O6596">
        <v>-0.95945420000000003</v>
      </c>
      <c r="P6596">
        <v>0.33589740000000001</v>
      </c>
      <c r="Q6596">
        <v>0.16828019999999999</v>
      </c>
      <c r="R6596">
        <v>-0.92674449999999997</v>
      </c>
      <c r="S6596">
        <v>1.8993230000000001</v>
      </c>
      <c r="T6596">
        <v>6.0407639999999999E-2</v>
      </c>
      <c r="U6596">
        <v>-2.5529169999999999</v>
      </c>
      <c r="V6596">
        <v>-6.6220050000000003E-2</v>
      </c>
      <c r="W6596">
        <v>0.18122289999999999</v>
      </c>
      <c r="X6596">
        <v>0.98121009999999997</v>
      </c>
      <c r="Y6596">
        <v>-0.34659109999999999</v>
      </c>
      <c r="Z6596">
        <v>-3.26942E-2</v>
      </c>
      <c r="AA6596">
        <v>0.93744640000000001</v>
      </c>
      <c r="AB6596">
        <v>32</v>
      </c>
      <c r="AC6596">
        <v>25.752799999999901</v>
      </c>
      <c r="AD6596">
        <v>0.82188599999999901</v>
      </c>
      <c r="AE6596">
        <v>-34.436809999999902</v>
      </c>
      <c r="AF6596">
        <v>-15.0118264601484</v>
      </c>
      <c r="AG6596">
        <v>0.82188599999999901</v>
      </c>
      <c r="AH6596">
        <v>40.278969747138198</v>
      </c>
      <c r="AI6596">
        <v>88.904632993127706</v>
      </c>
      <c r="AJ6596">
        <v>110.440242732714</v>
      </c>
      <c r="AK6596">
        <v>42.9933231346157</v>
      </c>
      <c r="AL6596">
        <v>79.559002129462101</v>
      </c>
      <c r="AM6596">
        <v>93.860931277243793</v>
      </c>
      <c r="AN6596">
        <v>1.0000000474242099</v>
      </c>
    </row>
    <row r="6597" spans="1:40" x14ac:dyDescent="0.25">
      <c r="A6597" t="str">
        <f>"20190303170421637"</f>
        <v>20190303170421637</v>
      </c>
      <c r="B6597" t="str">
        <f>"1551603861622041"</f>
        <v>1551603861622041</v>
      </c>
      <c r="C6597" t="s">
        <v>40</v>
      </c>
      <c r="D6597">
        <v>5.2036670000000003</v>
      </c>
      <c r="E6597">
        <v>0.37862400000000002</v>
      </c>
      <c r="F6597" t="s">
        <v>78</v>
      </c>
      <c r="G6597">
        <v>-274.8399</v>
      </c>
      <c r="H6597">
        <v>2.1439270000000001</v>
      </c>
      <c r="I6597">
        <v>-81.715530000000001</v>
      </c>
      <c r="J6597">
        <v>-300.49279999999999</v>
      </c>
      <c r="K6597">
        <v>1.1325970000000001</v>
      </c>
      <c r="L6597">
        <v>-48.98807</v>
      </c>
      <c r="M6597">
        <v>0.29418820000000001</v>
      </c>
      <c r="N6597">
        <v>-1.496191E-2</v>
      </c>
      <c r="O6597">
        <v>-0.95563039999999999</v>
      </c>
      <c r="P6597">
        <v>0.34880070000000002</v>
      </c>
      <c r="Q6597">
        <v>0.16934389999999999</v>
      </c>
      <c r="R6597">
        <v>-0.92177050000000005</v>
      </c>
      <c r="S6597">
        <v>1.959595</v>
      </c>
      <c r="T6597">
        <v>7.6981069999999999E-2</v>
      </c>
      <c r="U6597">
        <v>-2.5129090000000001</v>
      </c>
      <c r="V6597">
        <v>-6.7122199999999896E-2</v>
      </c>
      <c r="W6597">
        <v>0.1822896</v>
      </c>
      <c r="X6597">
        <v>0.98095109999999996</v>
      </c>
      <c r="Y6597">
        <v>-0.35526760000000002</v>
      </c>
      <c r="Z6597">
        <v>-3.7871380000000003E-2</v>
      </c>
      <c r="AA6597">
        <v>0.93399719999999997</v>
      </c>
      <c r="AB6597">
        <v>32</v>
      </c>
      <c r="AC6597">
        <v>25.652899999999899</v>
      </c>
      <c r="AD6597">
        <v>1.0113300000000001</v>
      </c>
      <c r="AE6597">
        <v>-32.727460000000001</v>
      </c>
      <c r="AF6597">
        <v>-14.8795237816695</v>
      </c>
      <c r="AG6597">
        <v>1.0113300000000001</v>
      </c>
      <c r="AH6597">
        <v>38.803529803962903</v>
      </c>
      <c r="AI6597">
        <v>88.605979070705303</v>
      </c>
      <c r="AJ6597">
        <v>110.979720710647</v>
      </c>
      <c r="AK6597">
        <v>41.570866500293299</v>
      </c>
      <c r="AL6597">
        <v>79.496848705953894</v>
      </c>
      <c r="AM6597">
        <v>93.914398433809097</v>
      </c>
      <c r="AN6597">
        <v>0.99999997429610399</v>
      </c>
    </row>
    <row r="6598" spans="1:40" x14ac:dyDescent="0.25">
      <c r="A6598" t="str">
        <f>"20190303170421658"</f>
        <v>20190303170421658</v>
      </c>
      <c r="B6598" t="str">
        <f>"1551603861652297"</f>
        <v>1551603861652297</v>
      </c>
      <c r="C6598" t="s">
        <v>40</v>
      </c>
      <c r="D6598">
        <v>5.2627759999999997</v>
      </c>
      <c r="E6598">
        <v>0.37923649999999998</v>
      </c>
      <c r="F6598" t="s">
        <v>78</v>
      </c>
      <c r="G6598">
        <v>-274.8399</v>
      </c>
      <c r="H6598">
        <v>2.249355</v>
      </c>
      <c r="I6598">
        <v>-80.725519999999904</v>
      </c>
      <c r="J6598">
        <v>-300.38630000000001</v>
      </c>
      <c r="K6598">
        <v>1.132919</v>
      </c>
      <c r="L6598">
        <v>-49.289549999999998</v>
      </c>
      <c r="M6598">
        <v>0.3075504</v>
      </c>
      <c r="N6598">
        <v>-1.50495E-2</v>
      </c>
      <c r="O6598">
        <v>-0.95141299999999995</v>
      </c>
      <c r="P6598">
        <v>0.3642725</v>
      </c>
      <c r="Q6598">
        <v>0.1693713</v>
      </c>
      <c r="R6598">
        <v>-0.91576159999999995</v>
      </c>
      <c r="S6598">
        <v>2.004578</v>
      </c>
      <c r="T6598">
        <v>8.7267159999999996E-2</v>
      </c>
      <c r="U6598">
        <v>-2.4800420000000001</v>
      </c>
      <c r="V6598">
        <v>-7.0054549999999993E-2</v>
      </c>
      <c r="W6598">
        <v>0.18226719999999999</v>
      </c>
      <c r="X6598">
        <v>0.98075029999999996</v>
      </c>
      <c r="Y6598">
        <v>-0.35840280000000002</v>
      </c>
      <c r="Z6598">
        <v>-4.1044020000000001E-2</v>
      </c>
      <c r="AA6598">
        <v>0.93266439999999995</v>
      </c>
      <c r="AB6598">
        <v>32</v>
      </c>
      <c r="AC6598">
        <v>25.546399999999998</v>
      </c>
      <c r="AD6598">
        <v>1.116436</v>
      </c>
      <c r="AE6598">
        <v>-31.435969999999902</v>
      </c>
      <c r="AF6598">
        <v>-14.627575046324599</v>
      </c>
      <c r="AG6598">
        <v>1.116436</v>
      </c>
      <c r="AH6598">
        <v>37.7409961445071</v>
      </c>
      <c r="AI6598">
        <v>88.420050557280106</v>
      </c>
      <c r="AJ6598">
        <v>111.18522873964901</v>
      </c>
      <c r="AK6598">
        <v>40.491914885044103</v>
      </c>
      <c r="AL6598">
        <v>79.498154925919906</v>
      </c>
      <c r="AM6598">
        <v>94.085672412754604</v>
      </c>
      <c r="AN6598">
        <v>1.00000006156081</v>
      </c>
    </row>
    <row r="6599" spans="1:40" x14ac:dyDescent="0.25">
      <c r="A6599" t="str">
        <f>"20190303170421681"</f>
        <v>20190303170421681</v>
      </c>
      <c r="B6599" t="str">
        <f>"1551603861672793"</f>
        <v>1551603861672793</v>
      </c>
      <c r="C6599" t="s">
        <v>40</v>
      </c>
      <c r="D6599">
        <v>5.1692660000000004</v>
      </c>
      <c r="E6599">
        <v>0.37944640000000002</v>
      </c>
      <c r="F6599" t="s">
        <v>78</v>
      </c>
      <c r="G6599">
        <v>-274.37509999999997</v>
      </c>
      <c r="H6599">
        <v>2.1473369999999998</v>
      </c>
      <c r="I6599">
        <v>-80.464519999999993</v>
      </c>
      <c r="J6599">
        <v>-300.2774</v>
      </c>
      <c r="K6599">
        <v>1.133208</v>
      </c>
      <c r="L6599">
        <v>-49.583559999999999</v>
      </c>
      <c r="M6599">
        <v>0.32095390000000001</v>
      </c>
      <c r="N6599">
        <v>-1.5136999999999999E-2</v>
      </c>
      <c r="O6599">
        <v>-0.94697390000000004</v>
      </c>
      <c r="P6599">
        <v>0.38110939999999999</v>
      </c>
      <c r="Q6599">
        <v>0.1683848</v>
      </c>
      <c r="R6599">
        <v>-0.90906690000000001</v>
      </c>
      <c r="S6599">
        <v>2.0429689999999998</v>
      </c>
      <c r="T6599">
        <v>7.9675560000000006E-2</v>
      </c>
      <c r="U6599">
        <v>-2.448547</v>
      </c>
      <c r="V6599">
        <v>-7.4366219999999997E-2</v>
      </c>
      <c r="W6599">
        <v>0.18119150000000001</v>
      </c>
      <c r="X6599">
        <v>0.98063210000000001</v>
      </c>
      <c r="Y6599">
        <v>-0.35980309999999999</v>
      </c>
      <c r="Z6599">
        <v>-3.8573320000000001E-2</v>
      </c>
      <c r="AA6599">
        <v>0.93223049999999996</v>
      </c>
      <c r="AB6599">
        <v>32</v>
      </c>
      <c r="AC6599">
        <v>25.9023</v>
      </c>
      <c r="AD6599">
        <v>1.0141289999999901</v>
      </c>
      <c r="AE6599">
        <v>-30.880959999999899</v>
      </c>
      <c r="AF6599">
        <v>-14.6098626557371</v>
      </c>
      <c r="AG6599">
        <v>1.0141289999999901</v>
      </c>
      <c r="AH6599">
        <v>37.537445109332097</v>
      </c>
      <c r="AI6599">
        <v>88.557782731506805</v>
      </c>
      <c r="AJ6599">
        <v>111.266370679148</v>
      </c>
      <c r="AK6599">
        <v>40.293130056924902</v>
      </c>
      <c r="AL6599">
        <v>79.560831053856802</v>
      </c>
      <c r="AM6599">
        <v>94.336723836423303</v>
      </c>
      <c r="AN6599">
        <v>1.0000000049498701</v>
      </c>
    </row>
    <row r="6600" spans="1:40" x14ac:dyDescent="0.25">
      <c r="A6600" t="str">
        <f>"20190303170421709"</f>
        <v>20190303170421709</v>
      </c>
      <c r="B6600" t="str">
        <f>"1551603861702073"</f>
        <v>1551603861702073</v>
      </c>
      <c r="C6600" t="s">
        <v>40</v>
      </c>
      <c r="D6600">
        <v>5.2419510000000002</v>
      </c>
      <c r="E6600">
        <v>0.37887500000000002</v>
      </c>
      <c r="F6600" t="s">
        <v>78</v>
      </c>
      <c r="G6600">
        <v>-273.55410000000001</v>
      </c>
      <c r="H6600">
        <v>2.0988159999999998</v>
      </c>
      <c r="I6600">
        <v>-80.464519999999993</v>
      </c>
      <c r="J6600">
        <v>-300.1318</v>
      </c>
      <c r="K6600">
        <v>1.1335679999999999</v>
      </c>
      <c r="L6600">
        <v>-49.957610000000003</v>
      </c>
      <c r="M6600">
        <v>0.33854040000000002</v>
      </c>
      <c r="N6600">
        <v>-1.524503E-2</v>
      </c>
      <c r="O6600">
        <v>-0.94082840000000001</v>
      </c>
      <c r="P6600">
        <v>0.3995261</v>
      </c>
      <c r="Q6600">
        <v>0.16716589999999901</v>
      </c>
      <c r="R6600">
        <v>-0.90135160000000003</v>
      </c>
      <c r="S6600">
        <v>2.0866699999999998</v>
      </c>
      <c r="T6600">
        <v>7.5399759999999996E-2</v>
      </c>
      <c r="U6600">
        <v>-2.4113159999999998</v>
      </c>
      <c r="V6600">
        <v>-7.6108029999999993E-2</v>
      </c>
      <c r="W6600">
        <v>0.1799656</v>
      </c>
      <c r="X6600">
        <v>0.98072420000000005</v>
      </c>
      <c r="Y6600">
        <v>-0.3592378</v>
      </c>
      <c r="Z6600">
        <v>-3.7109059999999999E-2</v>
      </c>
      <c r="AA6600">
        <v>0.932508</v>
      </c>
      <c r="AB6600">
        <v>32</v>
      </c>
      <c r="AC6600">
        <v>26.5777</v>
      </c>
      <c r="AD6600">
        <v>0.965247999999999</v>
      </c>
      <c r="AE6600">
        <v>-30.506910000000001</v>
      </c>
      <c r="AF6600">
        <v>-14.670589073222899</v>
      </c>
      <c r="AG6600">
        <v>0.965247999999999</v>
      </c>
      <c r="AH6600">
        <v>37.682326009354497</v>
      </c>
      <c r="AI6600">
        <v>88.632599355844604</v>
      </c>
      <c r="AJ6600">
        <v>111.272098187282</v>
      </c>
      <c r="AK6600">
        <v>40.448925584397799</v>
      </c>
      <c r="AL6600">
        <v>79.632243920989495</v>
      </c>
      <c r="AM6600">
        <v>94.437482579969895</v>
      </c>
      <c r="AN6600">
        <v>1.00000000293974</v>
      </c>
    </row>
    <row r="6601" spans="1:40" x14ac:dyDescent="0.25">
      <c r="A6601" t="str">
        <f>"20190303170421726"</f>
        <v>20190303170421726</v>
      </c>
      <c r="B6601" t="str">
        <f>"1551603861722570"</f>
        <v>1551603861722570</v>
      </c>
      <c r="C6601" t="s">
        <v>40</v>
      </c>
      <c r="D6601">
        <v>5.1879540000000004</v>
      </c>
      <c r="E6601">
        <v>0.37966480000000002</v>
      </c>
      <c r="F6601" t="s">
        <v>78</v>
      </c>
      <c r="G6601">
        <v>-272.5675</v>
      </c>
      <c r="H6601">
        <v>2.105947</v>
      </c>
      <c r="I6601">
        <v>-80.464519999999993</v>
      </c>
      <c r="J6601">
        <v>-300.03949999999998</v>
      </c>
      <c r="K6601">
        <v>1.133775</v>
      </c>
      <c r="L6601">
        <v>-50.183619999999998</v>
      </c>
      <c r="M6601">
        <v>0.34946719999999998</v>
      </c>
      <c r="N6601">
        <v>-1.5310890000000001E-2</v>
      </c>
      <c r="O6601">
        <v>-0.93682350000000003</v>
      </c>
      <c r="P6601">
        <v>0.4107384</v>
      </c>
      <c r="Q6601">
        <v>0.16672029999999999</v>
      </c>
      <c r="R6601">
        <v>-0.89638069999999903</v>
      </c>
      <c r="S6601">
        <v>2.1382750000000001</v>
      </c>
      <c r="T6601">
        <v>7.543242E-2</v>
      </c>
      <c r="U6601">
        <v>-2.3665470000000002</v>
      </c>
      <c r="V6601">
        <v>-7.6985109999999995E-2</v>
      </c>
      <c r="W6601">
        <v>0.17951989999999901</v>
      </c>
      <c r="X6601">
        <v>0.98073739999999998</v>
      </c>
      <c r="Y6601">
        <v>-0.36833650000000001</v>
      </c>
      <c r="Z6601">
        <v>-3.7048049999999999E-2</v>
      </c>
      <c r="AA6601">
        <v>0.9289541</v>
      </c>
      <c r="AB6601">
        <v>32</v>
      </c>
      <c r="AC6601">
        <v>27.471999999999898</v>
      </c>
      <c r="AD6601">
        <v>0.97217199999999904</v>
      </c>
      <c r="AE6601">
        <v>-30.2808999999999</v>
      </c>
      <c r="AF6601">
        <v>-15.1474461854895</v>
      </c>
      <c r="AG6601">
        <v>0.97217199999999904</v>
      </c>
      <c r="AH6601">
        <v>37.951415361296498</v>
      </c>
      <c r="AI6601">
        <v>88.637120567116199</v>
      </c>
      <c r="AJ6601">
        <v>111.75829163744299</v>
      </c>
      <c r="AK6601">
        <v>40.874199347088599</v>
      </c>
      <c r="AL6601">
        <v>79.658203140667098</v>
      </c>
      <c r="AM6601">
        <v>94.488352833795105</v>
      </c>
      <c r="AN6601">
        <v>0.99999997470823998</v>
      </c>
    </row>
    <row r="6602" spans="1:40" x14ac:dyDescent="0.25">
      <c r="A6602" t="str">
        <f>"20190303170421748"</f>
        <v>20190303170421748</v>
      </c>
      <c r="B6602" t="str">
        <f>"1551603861742089"</f>
        <v>1551603861742089</v>
      </c>
      <c r="C6602" t="s">
        <v>40</v>
      </c>
      <c r="D6602">
        <v>5.2074759999999998</v>
      </c>
      <c r="E6602">
        <v>0.38037330000000003</v>
      </c>
      <c r="F6602" t="s">
        <v>78</v>
      </c>
      <c r="G6602">
        <v>-272.101</v>
      </c>
      <c r="H6602">
        <v>2.0142190000000002</v>
      </c>
      <c r="I6602">
        <v>-80.464519999999993</v>
      </c>
      <c r="J6602">
        <v>-299.92090000000002</v>
      </c>
      <c r="K6602">
        <v>1.134034</v>
      </c>
      <c r="L6602">
        <v>-50.463290000000001</v>
      </c>
      <c r="M6602">
        <v>0.3632879</v>
      </c>
      <c r="N6602">
        <v>-1.5394680000000001E-2</v>
      </c>
      <c r="O6602">
        <v>-0.93154970000000004</v>
      </c>
      <c r="P6602">
        <v>0.42501250000000002</v>
      </c>
      <c r="Q6602">
        <v>0.1682767</v>
      </c>
      <c r="R6602">
        <v>-0.88940830000000004</v>
      </c>
      <c r="S6602">
        <v>2.16214</v>
      </c>
      <c r="T6602">
        <v>6.8137879999999998E-2</v>
      </c>
      <c r="U6602">
        <v>-2.3434140000000001</v>
      </c>
      <c r="V6602">
        <v>-7.8428120000000004E-2</v>
      </c>
      <c r="W6602">
        <v>0.18106259999999999</v>
      </c>
      <c r="X6602">
        <v>0.98033939999999997</v>
      </c>
      <c r="Y6602">
        <v>-0.36431180000000002</v>
      </c>
      <c r="Z6602">
        <v>-3.465174E-2</v>
      </c>
      <c r="AA6602">
        <v>0.93063209999999996</v>
      </c>
      <c r="AB6602">
        <v>32</v>
      </c>
      <c r="AC6602">
        <v>27.819900000000001</v>
      </c>
      <c r="AD6602">
        <v>0.880184999999999</v>
      </c>
      <c r="AE6602">
        <v>-30.00123</v>
      </c>
      <c r="AF6602">
        <v>-15.011368705712099</v>
      </c>
      <c r="AG6602">
        <v>0.880184999999999</v>
      </c>
      <c r="AH6602">
        <v>38.041175991100999</v>
      </c>
      <c r="AI6602">
        <v>88.767036872408795</v>
      </c>
      <c r="AJ6602">
        <v>111.534610001947</v>
      </c>
      <c r="AK6602">
        <v>40.905341788560797</v>
      </c>
      <c r="AL6602">
        <v>79.568340503755906</v>
      </c>
      <c r="AM6602">
        <v>94.573977474726803</v>
      </c>
      <c r="AN6602">
        <v>0.99999998715892702</v>
      </c>
    </row>
    <row r="6603" spans="1:40" x14ac:dyDescent="0.25">
      <c r="A6603" t="str">
        <f>"20190303170421769"</f>
        <v>20190303170421769</v>
      </c>
      <c r="B6603" t="str">
        <f>"1551603861762586"</f>
        <v>1551603861762586</v>
      </c>
      <c r="C6603" t="s">
        <v>40</v>
      </c>
      <c r="D6603">
        <v>5.2135189999999998</v>
      </c>
      <c r="E6603">
        <v>0.38095190000000001</v>
      </c>
      <c r="F6603" t="s">
        <v>78</v>
      </c>
      <c r="G6603">
        <v>-261.12849999999997</v>
      </c>
      <c r="H6603">
        <v>2.3738869999999999</v>
      </c>
      <c r="I6603">
        <v>-91.31362</v>
      </c>
      <c r="J6603">
        <v>-299.79700000000003</v>
      </c>
      <c r="K6603">
        <v>1.1343049999999999</v>
      </c>
      <c r="L6603">
        <v>-50.743290000000002</v>
      </c>
      <c r="M6603">
        <v>0.37746550000000001</v>
      </c>
      <c r="N6603">
        <v>-1.5481969999999999E-2</v>
      </c>
      <c r="O6603">
        <v>-0.92589460000000001</v>
      </c>
      <c r="P6603">
        <v>0.44036710000000001</v>
      </c>
      <c r="Q6603">
        <v>0.1696358</v>
      </c>
      <c r="R6603">
        <v>-0.88164709999999902</v>
      </c>
      <c r="S6603">
        <v>2.1946110000000001</v>
      </c>
      <c r="T6603">
        <v>7.0143220000000006E-2</v>
      </c>
      <c r="U6603">
        <v>-2.311035</v>
      </c>
      <c r="V6603">
        <v>-8.072414E-2</v>
      </c>
      <c r="W6603">
        <v>0.1823816</v>
      </c>
      <c r="X6603">
        <v>0.97990849999999996</v>
      </c>
      <c r="Y6603">
        <v>-0.3634637</v>
      </c>
      <c r="Z6603">
        <v>-3.5169819999999997E-2</v>
      </c>
      <c r="AA6603">
        <v>0.93094429999999995</v>
      </c>
      <c r="AB6603">
        <v>32</v>
      </c>
      <c r="AC6603">
        <v>38.668500000000002</v>
      </c>
      <c r="AD6603">
        <v>1.239582</v>
      </c>
      <c r="AE6603">
        <v>-40.570329999999998</v>
      </c>
      <c r="AF6603">
        <v>-20.481485378081501</v>
      </c>
      <c r="AG6603">
        <v>1.239582</v>
      </c>
      <c r="AH6603">
        <v>52.140602716317296</v>
      </c>
      <c r="AI6603">
        <v>88.732373514587493</v>
      </c>
      <c r="AJ6603">
        <v>111.445525074106</v>
      </c>
      <c r="AK6603">
        <v>56.0327605820749</v>
      </c>
      <c r="AL6603">
        <v>79.491488444219499</v>
      </c>
      <c r="AM6603">
        <v>94.709350209125901</v>
      </c>
      <c r="AN6603">
        <v>1.00000005158477</v>
      </c>
    </row>
    <row r="6604" spans="1:40" x14ac:dyDescent="0.25">
      <c r="A6604" t="str">
        <f>"20190303170421791"</f>
        <v>20190303170421791</v>
      </c>
      <c r="B6604" t="str">
        <f>"1551603861782106"</f>
        <v>1551603861782106</v>
      </c>
      <c r="C6604" t="s">
        <v>40</v>
      </c>
      <c r="D6604">
        <v>5.2359749999999998</v>
      </c>
      <c r="E6604">
        <v>0.38177119999999998</v>
      </c>
      <c r="F6604" t="s">
        <v>78</v>
      </c>
      <c r="G6604">
        <v>-260.30869999999999</v>
      </c>
      <c r="H6604">
        <v>2.4630299999999998</v>
      </c>
      <c r="I6604">
        <v>-90.976820000000004</v>
      </c>
      <c r="J6604">
        <v>-299.66660000000002</v>
      </c>
      <c r="K6604">
        <v>1.1345639999999999</v>
      </c>
      <c r="L6604">
        <v>-51.025700000000001</v>
      </c>
      <c r="M6604">
        <v>0.39209630000000001</v>
      </c>
      <c r="N6604">
        <v>-1.5572010000000001E-2</v>
      </c>
      <c r="O6604">
        <v>-0.91979239999999995</v>
      </c>
      <c r="P6604">
        <v>0.45502870000000001</v>
      </c>
      <c r="Q6604">
        <v>0.1707806</v>
      </c>
      <c r="R6604">
        <v>-0.87394680000000002</v>
      </c>
      <c r="S6604">
        <v>2.2315369999999999</v>
      </c>
      <c r="T6604">
        <v>7.5088859999999993E-2</v>
      </c>
      <c r="U6604">
        <v>-2.2736510000000001</v>
      </c>
      <c r="V6604">
        <v>-8.1799720000000006E-2</v>
      </c>
      <c r="W6604">
        <v>0.18352769999999999</v>
      </c>
      <c r="X6604">
        <v>0.97960519999999995</v>
      </c>
      <c r="Y6604">
        <v>-0.36400670000000002</v>
      </c>
      <c r="Z6604">
        <v>-3.6585729999999997E-2</v>
      </c>
      <c r="AA6604">
        <v>0.93067750000000005</v>
      </c>
      <c r="AB6604">
        <v>32</v>
      </c>
      <c r="AC6604">
        <v>39.357900000000001</v>
      </c>
      <c r="AD6604">
        <v>1.3284659999999999</v>
      </c>
      <c r="AE6604">
        <v>-39.951119999999896</v>
      </c>
      <c r="AF6604">
        <v>-20.5273822906669</v>
      </c>
      <c r="AG6604">
        <v>1.3284659999999999</v>
      </c>
      <c r="AH6604">
        <v>52.155883491502202</v>
      </c>
      <c r="AI6604">
        <v>88.642262962601095</v>
      </c>
      <c r="AJ6604">
        <v>111.483482710782</v>
      </c>
      <c r="AK6604">
        <v>56.065804447983197</v>
      </c>
      <c r="AL6604">
        <v>79.424693584385196</v>
      </c>
      <c r="AM6604">
        <v>94.773281000287895</v>
      </c>
      <c r="AN6604">
        <v>0.99999997936320395</v>
      </c>
    </row>
    <row r="6605" spans="1:40" x14ac:dyDescent="0.25">
      <c r="A6605" t="str">
        <f>"20190303170421816"</f>
        <v>20190303170421816</v>
      </c>
      <c r="B6605" t="str">
        <f>"1551603861813338"</f>
        <v>1551603861813338</v>
      </c>
      <c r="C6605" t="s">
        <v>40</v>
      </c>
      <c r="D6605">
        <v>5.2538390000000001</v>
      </c>
      <c r="E6605">
        <v>0.3833453</v>
      </c>
      <c r="F6605" t="s">
        <v>78</v>
      </c>
      <c r="G6605">
        <v>-259.26179999999999</v>
      </c>
      <c r="H6605">
        <v>2.50528</v>
      </c>
      <c r="I6605">
        <v>-90.976820000000004</v>
      </c>
      <c r="J6605">
        <v>-299.52780000000001</v>
      </c>
      <c r="K6605">
        <v>1.1348240000000001</v>
      </c>
      <c r="L6605">
        <v>-51.313600000000001</v>
      </c>
      <c r="M6605">
        <v>0.4073465</v>
      </c>
      <c r="N6605">
        <v>-1.5664250000000001E-2</v>
      </c>
      <c r="O6605">
        <v>-0.91313949999999999</v>
      </c>
      <c r="P6605">
        <v>0.4685801</v>
      </c>
      <c r="Q6605">
        <v>0.1708587</v>
      </c>
      <c r="R6605">
        <v>-0.86674119999999999</v>
      </c>
      <c r="S6605">
        <v>2.264221</v>
      </c>
      <c r="T6605">
        <v>7.6813580000000006E-2</v>
      </c>
      <c r="U6605">
        <v>-2.2387999999999999</v>
      </c>
      <c r="V6605">
        <v>-8.0877630000000006E-2</v>
      </c>
      <c r="W6605">
        <v>0.18367910000000001</v>
      </c>
      <c r="X6605">
        <v>0.97965340000000001</v>
      </c>
      <c r="Y6605">
        <v>-0.36245100000000002</v>
      </c>
      <c r="Z6605">
        <v>-3.6970070000000001E-2</v>
      </c>
      <c r="AA6605">
        <v>0.93126929999999997</v>
      </c>
      <c r="AB6605">
        <v>32</v>
      </c>
      <c r="AC6605">
        <v>40.265999999999998</v>
      </c>
      <c r="AD6605">
        <v>1.3704559999999999</v>
      </c>
      <c r="AE6605">
        <v>-39.663219999999903</v>
      </c>
      <c r="AF6605">
        <v>-20.6022148968217</v>
      </c>
      <c r="AG6605">
        <v>1.3704559999999999</v>
      </c>
      <c r="AH6605">
        <v>52.595793832535698</v>
      </c>
      <c r="AI6605">
        <v>88.610191793534</v>
      </c>
      <c r="AJ6605">
        <v>111.390696531692</v>
      </c>
      <c r="AK6605">
        <v>56.503512609194097</v>
      </c>
      <c r="AL6605">
        <v>79.415869139641501</v>
      </c>
      <c r="AM6605">
        <v>94.719487322011403</v>
      </c>
      <c r="AN6605">
        <v>0.99999999347139301</v>
      </c>
    </row>
    <row r="6606" spans="1:40" x14ac:dyDescent="0.25">
      <c r="A6606" t="str">
        <f>"20190303170421837"</f>
        <v>20190303170421837</v>
      </c>
      <c r="B6606" t="str">
        <f>"1551603861831881"</f>
        <v>1551603861831881</v>
      </c>
      <c r="C6606" t="s">
        <v>40</v>
      </c>
      <c r="D6606">
        <v>5.2889460000000001</v>
      </c>
      <c r="E6606">
        <v>0.38438359999999999</v>
      </c>
      <c r="F6606" t="s">
        <v>78</v>
      </c>
      <c r="G6606">
        <v>-258.44529999999997</v>
      </c>
      <c r="H6606">
        <v>2.4281429999999999</v>
      </c>
      <c r="I6606">
        <v>-90.976820000000004</v>
      </c>
      <c r="J6606">
        <v>-299.38630000000001</v>
      </c>
      <c r="K6606">
        <v>1.1350450000000001</v>
      </c>
      <c r="L6606">
        <v>-51.593629999999997</v>
      </c>
      <c r="M6606">
        <v>0.42252980000000001</v>
      </c>
      <c r="N6606">
        <v>-1.5754499999999901E-2</v>
      </c>
      <c r="O6606">
        <v>-0.90621240000000003</v>
      </c>
      <c r="P6606">
        <v>0.48309809999999997</v>
      </c>
      <c r="Q6606">
        <v>0.16925019999999999</v>
      </c>
      <c r="R6606">
        <v>-0.8590527</v>
      </c>
      <c r="S6606">
        <v>2.2887569999999999</v>
      </c>
      <c r="T6606">
        <v>7.2053069999999997E-2</v>
      </c>
      <c r="U6606">
        <v>-2.209686</v>
      </c>
      <c r="V6606">
        <v>-8.0934720000000002E-2</v>
      </c>
      <c r="W6606">
        <v>0.18211669999999999</v>
      </c>
      <c r="X6606">
        <v>0.97994040000000004</v>
      </c>
      <c r="Y6606">
        <v>-0.35804279999999999</v>
      </c>
      <c r="Z6606">
        <v>-3.5333829999999997E-2</v>
      </c>
      <c r="AA6606">
        <v>0.93303639999999999</v>
      </c>
      <c r="AB6606">
        <v>32</v>
      </c>
      <c r="AC6606">
        <v>40.941000000000003</v>
      </c>
      <c r="AD6606">
        <v>1.2930980000000001</v>
      </c>
      <c r="AE6606">
        <v>-39.3831899999999</v>
      </c>
      <c r="AF6606">
        <v>-20.4526074671689</v>
      </c>
      <c r="AG6606">
        <v>1.2930980000000001</v>
      </c>
      <c r="AH6606">
        <v>52.967446377830903</v>
      </c>
      <c r="AI6606">
        <v>88.695359218987093</v>
      </c>
      <c r="AJ6606">
        <v>111.113341123429</v>
      </c>
      <c r="AK6606">
        <v>56.793764010075002</v>
      </c>
      <c r="AL6606">
        <v>79.506924644792207</v>
      </c>
      <c r="AM6606">
        <v>94.721426718428205</v>
      </c>
      <c r="AN6606">
        <v>1.0000000544362599</v>
      </c>
    </row>
    <row r="6607" spans="1:40" x14ac:dyDescent="0.25">
      <c r="A6607" t="str">
        <f>"20190303170421859"</f>
        <v>20190303170421859</v>
      </c>
      <c r="B6607" t="str">
        <f>"1551603861852377"</f>
        <v>1551603861852377</v>
      </c>
      <c r="C6607" t="s">
        <v>40</v>
      </c>
      <c r="D6607">
        <v>5.3374199999999998</v>
      </c>
      <c r="E6607">
        <v>0.38551049999999998</v>
      </c>
      <c r="F6607" t="s">
        <v>78</v>
      </c>
      <c r="G6607">
        <v>-256.77960000000002</v>
      </c>
      <c r="H6607">
        <v>2.3174929999999998</v>
      </c>
      <c r="I6607">
        <v>-91.564989999999995</v>
      </c>
      <c r="J6607">
        <v>-299.24450000000002</v>
      </c>
      <c r="K6607">
        <v>1.1352469999999999</v>
      </c>
      <c r="L6607">
        <v>-51.862879999999997</v>
      </c>
      <c r="M6607">
        <v>0.43740050000000003</v>
      </c>
      <c r="N6607">
        <v>-1.583996E-2</v>
      </c>
      <c r="O6607">
        <v>-0.89912719999999902</v>
      </c>
      <c r="P6607">
        <v>0.49932850000000001</v>
      </c>
      <c r="Q6607">
        <v>0.16673659999999901</v>
      </c>
      <c r="R6607">
        <v>-0.85021759999999902</v>
      </c>
      <c r="S6607">
        <v>2.3189090000000001</v>
      </c>
      <c r="T6607">
        <v>6.4356570000000002E-2</v>
      </c>
      <c r="U6607">
        <v>-2.1754760000000002</v>
      </c>
      <c r="V6607">
        <v>-8.3209039999999998E-2</v>
      </c>
      <c r="W6607">
        <v>0.17957290000000001</v>
      </c>
      <c r="X6607">
        <v>0.98021919999999996</v>
      </c>
      <c r="Y6607">
        <v>-0.35609000000000002</v>
      </c>
      <c r="Z6607">
        <v>-3.2790369999999999E-2</v>
      </c>
      <c r="AA6607">
        <v>0.93387620000000005</v>
      </c>
      <c r="AB6607">
        <v>32</v>
      </c>
      <c r="AC6607">
        <v>42.4649</v>
      </c>
      <c r="AD6607">
        <v>1.1822459999999999</v>
      </c>
      <c r="AE6607">
        <v>-39.702109999999998</v>
      </c>
      <c r="AF6607">
        <v>-20.809631107640101</v>
      </c>
      <c r="AG6607">
        <v>1.1822459999999999</v>
      </c>
      <c r="AH6607">
        <v>54.2557908950957</v>
      </c>
      <c r="AI6607">
        <v>88.834473091616104</v>
      </c>
      <c r="AJ6607">
        <v>110.984152855134</v>
      </c>
      <c r="AK6607">
        <v>58.121676662781603</v>
      </c>
      <c r="AL6607">
        <v>79.655115785912997</v>
      </c>
      <c r="AM6607">
        <v>94.852102937140799</v>
      </c>
      <c r="AN6607">
        <v>0.99999992540038296</v>
      </c>
    </row>
    <row r="6608" spans="1:40" x14ac:dyDescent="0.25">
      <c r="A6608" t="str">
        <f>"20190303170421881"</f>
        <v>20190303170421881</v>
      </c>
      <c r="B6608" t="str">
        <f>"1551603861871904"</f>
        <v>1551603861871904</v>
      </c>
      <c r="C6608" t="s">
        <v>40</v>
      </c>
      <c r="D6608">
        <v>5.3621639999999999</v>
      </c>
      <c r="E6608">
        <v>0.38675579999999998</v>
      </c>
      <c r="F6608" t="s">
        <v>78</v>
      </c>
      <c r="G6608">
        <v>-255.55160000000001</v>
      </c>
      <c r="H6608">
        <v>2.1055039999999998</v>
      </c>
      <c r="I6608">
        <v>-91.564989999999995</v>
      </c>
      <c r="J6608">
        <v>-299.09350000000001</v>
      </c>
      <c r="K6608">
        <v>1.1354420000000001</v>
      </c>
      <c r="L6608">
        <v>-52.13785</v>
      </c>
      <c r="M6608">
        <v>0.45283839999999997</v>
      </c>
      <c r="N6608">
        <v>-1.592377E-2</v>
      </c>
      <c r="O6608">
        <v>-0.89145030000000003</v>
      </c>
      <c r="P6608">
        <v>0.51685890000000001</v>
      </c>
      <c r="Q6608">
        <v>0.16558220000000001</v>
      </c>
      <c r="R6608">
        <v>-0.8399044</v>
      </c>
      <c r="S6608">
        <v>2.3518680000000001</v>
      </c>
      <c r="T6608">
        <v>5.2227139999999998E-2</v>
      </c>
      <c r="U6608">
        <v>-2.137054</v>
      </c>
      <c r="V6608">
        <v>-8.6599120000000002E-2</v>
      </c>
      <c r="W6608">
        <v>0.17834469999999999</v>
      </c>
      <c r="X6608">
        <v>0.98014990000000002</v>
      </c>
      <c r="Y6608">
        <v>-0.35492699999999999</v>
      </c>
      <c r="Z6608">
        <v>-2.8886579999999999E-2</v>
      </c>
      <c r="AA6608">
        <v>0.93444760000000004</v>
      </c>
      <c r="AB6608">
        <v>32</v>
      </c>
      <c r="AC6608">
        <v>43.541899999999998</v>
      </c>
      <c r="AD6608">
        <v>0.97006199999999998</v>
      </c>
      <c r="AE6608">
        <v>-39.427140000000001</v>
      </c>
      <c r="AF6608">
        <v>-20.958260847959799</v>
      </c>
      <c r="AG6608">
        <v>0.97006199999999998</v>
      </c>
      <c r="AH6608">
        <v>54.856781308231199</v>
      </c>
      <c r="AI6608">
        <v>89.053617813335805</v>
      </c>
      <c r="AJ6608">
        <v>110.90956422636199</v>
      </c>
      <c r="AK6608">
        <v>58.732071081769902</v>
      </c>
      <c r="AL6608">
        <v>79.726642255138103</v>
      </c>
      <c r="AM6608">
        <v>95.049139231632694</v>
      </c>
      <c r="AN6608">
        <v>1.00000003303643</v>
      </c>
    </row>
    <row r="6609" spans="1:40" x14ac:dyDescent="0.25">
      <c r="A6609" t="str">
        <f>"20190303170421906"</f>
        <v>20190303170421906</v>
      </c>
      <c r="B6609" t="str">
        <f>"1551603861892400"</f>
        <v>1551603861892400</v>
      </c>
      <c r="C6609" t="s">
        <v>40</v>
      </c>
      <c r="D6609">
        <v>5.4341530000000002</v>
      </c>
      <c r="E6609">
        <v>0.38695400000000002</v>
      </c>
      <c r="F6609" t="s">
        <v>78</v>
      </c>
      <c r="G6609">
        <v>-254.14930000000001</v>
      </c>
      <c r="H6609">
        <v>1.971363</v>
      </c>
      <c r="I6609">
        <v>-91.564989999999995</v>
      </c>
      <c r="J6609">
        <v>-298.94</v>
      </c>
      <c r="K6609">
        <v>1.1356200000000001</v>
      </c>
      <c r="L6609">
        <v>-52.406219999999998</v>
      </c>
      <c r="M6609">
        <v>0.46813159999999998</v>
      </c>
      <c r="N6609">
        <v>-1.600014E-2</v>
      </c>
      <c r="O6609">
        <v>-0.88351389999999996</v>
      </c>
      <c r="P6609">
        <v>0.53389569999999997</v>
      </c>
      <c r="Q6609">
        <v>0.165958299999999</v>
      </c>
      <c r="R6609">
        <v>-0.82910399999999995</v>
      </c>
      <c r="S6609">
        <v>2.3871150000000001</v>
      </c>
      <c r="T6609">
        <v>4.4398779999999999E-2</v>
      </c>
      <c r="U6609">
        <v>-2.0940859999999999</v>
      </c>
      <c r="V6609">
        <v>-8.9852710000000002E-2</v>
      </c>
      <c r="W6609">
        <v>0.17864169999999999</v>
      </c>
      <c r="X6609">
        <v>0.97980279999999997</v>
      </c>
      <c r="Y6609">
        <v>-0.35520380000000001</v>
      </c>
      <c r="Z6609">
        <v>-2.6314959999999998E-2</v>
      </c>
      <c r="AA6609">
        <v>0.93441839999999998</v>
      </c>
      <c r="AB6609">
        <v>32</v>
      </c>
      <c r="AC6609">
        <v>44.790700000000001</v>
      </c>
      <c r="AD6609">
        <v>0.83574300000000001</v>
      </c>
      <c r="AE6609">
        <v>-39.158769999999997</v>
      </c>
      <c r="AF6609">
        <v>-21.240276477129999</v>
      </c>
      <c r="AG6609">
        <v>0.83574300000000001</v>
      </c>
      <c r="AH6609">
        <v>55.561409361413901</v>
      </c>
      <c r="AI6609">
        <v>89.1950397851584</v>
      </c>
      <c r="AJ6609">
        <v>110.921090227658</v>
      </c>
      <c r="AK6609">
        <v>59.488805849618302</v>
      </c>
      <c r="AL6609">
        <v>79.709346779693703</v>
      </c>
      <c r="AM6609">
        <v>95.239647962131897</v>
      </c>
      <c r="AN6609">
        <v>0.99999994668053505</v>
      </c>
    </row>
    <row r="6610" spans="1:40" x14ac:dyDescent="0.25">
      <c r="A6610" t="str">
        <f>"20190303170421927"</f>
        <v>20190303170421927</v>
      </c>
      <c r="B6610" t="str">
        <f>"1551603861922656"</f>
        <v>1551603861922656</v>
      </c>
      <c r="C6610" t="s">
        <v>40</v>
      </c>
      <c r="D6610">
        <v>5.3699209999999997</v>
      </c>
      <c r="E6610">
        <v>0.35093239999999998</v>
      </c>
      <c r="F6610" t="s">
        <v>78</v>
      </c>
      <c r="G6610">
        <v>-252.47389999999999</v>
      </c>
      <c r="H6610">
        <v>1.9345209999999999</v>
      </c>
      <c r="I6610">
        <v>-91.564989999999995</v>
      </c>
      <c r="J6610">
        <v>-298.78210000000001</v>
      </c>
      <c r="K6610">
        <v>1.1357759999999999</v>
      </c>
      <c r="L6610">
        <v>-52.671390000000002</v>
      </c>
      <c r="M6610">
        <v>0.48344969999999998</v>
      </c>
      <c r="N6610">
        <v>-1.6071060000000002E-2</v>
      </c>
      <c r="O6610">
        <v>-0.87522469999999997</v>
      </c>
      <c r="P6610">
        <v>0.54819719999999905</v>
      </c>
      <c r="Q6610">
        <v>0.16725509999999999</v>
      </c>
      <c r="R6610">
        <v>-0.81945469999999898</v>
      </c>
      <c r="S6610">
        <v>2.428223</v>
      </c>
      <c r="T6610">
        <v>4.1749599999999998E-2</v>
      </c>
      <c r="U6610">
        <v>-2.0463559999999998</v>
      </c>
      <c r="V6610">
        <v>-9.0026819999999994E-2</v>
      </c>
      <c r="W6610">
        <v>0.17996599999999999</v>
      </c>
      <c r="X6610">
        <v>0.97954450000000004</v>
      </c>
      <c r="Y6610">
        <v>-0.35747449999999997</v>
      </c>
      <c r="Z6610">
        <v>-2.5310650000000001E-2</v>
      </c>
      <c r="AA6610">
        <v>0.93357990000000002</v>
      </c>
      <c r="AB6610">
        <v>32</v>
      </c>
      <c r="AC6610">
        <v>46.308199999999999</v>
      </c>
      <c r="AD6610">
        <v>0.79874499999999904</v>
      </c>
      <c r="AE6610">
        <v>-38.893599999999999</v>
      </c>
      <c r="AF6610">
        <v>-21.7259956313655</v>
      </c>
      <c r="AG6610">
        <v>0.79874499999999904</v>
      </c>
      <c r="AH6610">
        <v>56.425765113935697</v>
      </c>
      <c r="AI6610">
        <v>89.243151054831003</v>
      </c>
      <c r="AJ6610">
        <v>111.05854150854999</v>
      </c>
      <c r="AK6610">
        <v>60.469197517762503</v>
      </c>
      <c r="AL6610">
        <v>79.6322206803288</v>
      </c>
      <c r="AM6610">
        <v>95.251120881719402</v>
      </c>
      <c r="AN6610">
        <v>1.00000000847778</v>
      </c>
    </row>
    <row r="6611" spans="1:40" x14ac:dyDescent="0.25">
      <c r="A6611" t="str">
        <f>"20190303170421949"</f>
        <v>20190303170421949</v>
      </c>
      <c r="B6611" t="str">
        <f>"1551603861942176"</f>
        <v>1551603861942176</v>
      </c>
      <c r="C6611" t="s">
        <v>40</v>
      </c>
      <c r="D6611">
        <v>5.409548</v>
      </c>
      <c r="E6611">
        <v>0.34986440000000002</v>
      </c>
      <c r="F6611" t="s">
        <v>78</v>
      </c>
      <c r="G6611">
        <v>-242.6267</v>
      </c>
      <c r="H6611">
        <v>3.6380880000000002</v>
      </c>
      <c r="I6611">
        <v>-90.976820000000004</v>
      </c>
      <c r="J6611">
        <v>-298.61849999999998</v>
      </c>
      <c r="K6611">
        <v>1.1359060000000001</v>
      </c>
      <c r="L6611">
        <v>-52.935490000000001</v>
      </c>
      <c r="M6611">
        <v>0.49889420000000001</v>
      </c>
      <c r="N6611">
        <v>-1.6138299999999901E-2</v>
      </c>
      <c r="O6611">
        <v>-0.86651259999999997</v>
      </c>
      <c r="P6611">
        <v>0.56180140000000001</v>
      </c>
      <c r="Q6611">
        <v>0.16732</v>
      </c>
      <c r="R6611">
        <v>-0.81017510000000004</v>
      </c>
      <c r="S6611">
        <v>2.6914669999999998</v>
      </c>
      <c r="T6611">
        <v>0.1199337</v>
      </c>
      <c r="U6611">
        <v>-1.8359380000000001</v>
      </c>
      <c r="V6611">
        <v>-8.9082899999999896E-2</v>
      </c>
      <c r="W6611">
        <v>0.1801016</v>
      </c>
      <c r="X6611">
        <v>0.97960590000000003</v>
      </c>
      <c r="Y6611">
        <v>-0.43372040000000001</v>
      </c>
      <c r="Z6611">
        <v>-4.8209479999999999E-2</v>
      </c>
      <c r="AA6611">
        <v>0.89975689999999997</v>
      </c>
      <c r="AB6611">
        <v>32</v>
      </c>
      <c r="AC6611">
        <v>55.991799999999898</v>
      </c>
      <c r="AD6611">
        <v>2.5021819999999999</v>
      </c>
      <c r="AE6611">
        <v>-38.041329999999903</v>
      </c>
      <c r="AF6611">
        <v>-29.502538632277499</v>
      </c>
      <c r="AG6611">
        <v>2.5021819999999999</v>
      </c>
      <c r="AH6611">
        <v>60.822105004961301</v>
      </c>
      <c r="AI6611">
        <v>87.880184230105698</v>
      </c>
      <c r="AJ6611">
        <v>115.876296659025</v>
      </c>
      <c r="AK6611">
        <v>67.646057961604001</v>
      </c>
      <c r="AL6611">
        <v>79.624322588247594</v>
      </c>
      <c r="AM6611">
        <v>95.196042613717594</v>
      </c>
      <c r="AN6611">
        <v>1.0000000343548801</v>
      </c>
    </row>
    <row r="6612" spans="1:40" x14ac:dyDescent="0.25">
      <c r="A6612" t="str">
        <f>"20190303170421971"</f>
        <v>20190303170421971</v>
      </c>
      <c r="B6612" t="str">
        <f>"1551603861962672"</f>
        <v>1551603861962672</v>
      </c>
      <c r="C6612" t="s">
        <v>40</v>
      </c>
      <c r="D6612">
        <v>5.4294609999999999</v>
      </c>
      <c r="E6612">
        <v>0.34972560000000003</v>
      </c>
      <c r="F6612" t="s">
        <v>61</v>
      </c>
      <c r="G6612">
        <v>-233.52500000000001</v>
      </c>
      <c r="H6612">
        <v>3.685349</v>
      </c>
      <c r="I6612">
        <v>-95.555080000000004</v>
      </c>
      <c r="J6612">
        <v>-298.45330000000001</v>
      </c>
      <c r="K6612">
        <v>1.136007</v>
      </c>
      <c r="L6612">
        <v>-53.191890000000001</v>
      </c>
      <c r="M6612">
        <v>0.51405590000000001</v>
      </c>
      <c r="N6612">
        <v>-1.6200160000000002E-2</v>
      </c>
      <c r="O6612">
        <v>-0.85760369999999997</v>
      </c>
      <c r="P6612">
        <v>0.57614589999999999</v>
      </c>
      <c r="Q6612">
        <v>0.16651379999999999</v>
      </c>
      <c r="R6612">
        <v>-0.80020559999999996</v>
      </c>
      <c r="S6612">
        <v>2.7302249999999999</v>
      </c>
      <c r="T6612">
        <v>0.1069317</v>
      </c>
      <c r="U6612">
        <v>-1.787598</v>
      </c>
      <c r="V6612">
        <v>-8.9251789999999998E-2</v>
      </c>
      <c r="W6612">
        <v>0.17932529999999999</v>
      </c>
      <c r="X6612">
        <v>0.97973290000000002</v>
      </c>
      <c r="Y6612">
        <v>-0.43508089999999999</v>
      </c>
      <c r="Z6612">
        <v>-4.3926239999999998E-2</v>
      </c>
      <c r="AA6612">
        <v>0.89931919999999899</v>
      </c>
      <c r="AB6612">
        <v>32</v>
      </c>
      <c r="AC6612">
        <v>64.928299999999993</v>
      </c>
      <c r="AD6612">
        <v>2.54934199999999</v>
      </c>
      <c r="AE6612">
        <v>-42.363190000000003</v>
      </c>
      <c r="AF6612">
        <v>-33.873523824338903</v>
      </c>
      <c r="AG6612">
        <v>2.54934199999999</v>
      </c>
      <c r="AH6612">
        <v>69.641447106800996</v>
      </c>
      <c r="AI6612">
        <v>88.114552911386696</v>
      </c>
      <c r="AJ6612">
        <v>115.938237775098</v>
      </c>
      <c r="AK6612">
        <v>77.484488228550504</v>
      </c>
      <c r="AL6612">
        <v>79.669537088770298</v>
      </c>
      <c r="AM6612">
        <v>95.205168471557101</v>
      </c>
      <c r="AN6612">
        <v>1.00000000029035</v>
      </c>
    </row>
    <row r="6613" spans="1:40" x14ac:dyDescent="0.25">
      <c r="A6613" t="str">
        <f>"20190303170421993"</f>
        <v>20190303170421993</v>
      </c>
      <c r="B6613" t="str">
        <f>"1551603861982192"</f>
        <v>1551603861982192</v>
      </c>
      <c r="C6613" t="s">
        <v>40</v>
      </c>
      <c r="D6613">
        <v>5.4224259999999997</v>
      </c>
      <c r="E6613">
        <v>0.35078759999999998</v>
      </c>
      <c r="F6613" t="s">
        <v>61</v>
      </c>
      <c r="G6613">
        <v>-233.52500000000001</v>
      </c>
      <c r="H6613">
        <v>3.4382830000000002</v>
      </c>
      <c r="I6613">
        <v>-94.055419999999998</v>
      </c>
      <c r="J6613">
        <v>-298.28210000000001</v>
      </c>
      <c r="K6613">
        <v>1.1361159999999999</v>
      </c>
      <c r="L6613">
        <v>-53.447420000000001</v>
      </c>
      <c r="M6613">
        <v>0.52931359999999905</v>
      </c>
      <c r="N6613">
        <v>-1.6257750000000001E-2</v>
      </c>
      <c r="O6613">
        <v>-0.84827059999999999</v>
      </c>
      <c r="P6613">
        <v>0.59196419999999905</v>
      </c>
      <c r="Q6613">
        <v>0.16672790000000001</v>
      </c>
      <c r="R6613">
        <v>-0.78853050000000002</v>
      </c>
      <c r="S6613">
        <v>2.7632750000000001</v>
      </c>
      <c r="T6613">
        <v>9.7982410000000006E-2</v>
      </c>
      <c r="U6613">
        <v>-1.7391049999999999</v>
      </c>
      <c r="V6613">
        <v>-9.1322509999999996E-2</v>
      </c>
      <c r="W6613">
        <v>0.17949409999999999</v>
      </c>
      <c r="X6613">
        <v>0.97951109999999997</v>
      </c>
      <c r="Y6613">
        <v>-0.43525209999999998</v>
      </c>
      <c r="Z6613">
        <v>-4.0900980000000003E-2</v>
      </c>
      <c r="AA6613">
        <v>0.89937909999999899</v>
      </c>
      <c r="AB6613">
        <v>32</v>
      </c>
      <c r="AC6613">
        <v>64.757099999999994</v>
      </c>
      <c r="AD6613">
        <v>2.3021669999999999</v>
      </c>
      <c r="AE6613">
        <v>-40.607999999999997</v>
      </c>
      <c r="AF6613">
        <v>-33.411284891669098</v>
      </c>
      <c r="AG6613">
        <v>2.3021669999999999</v>
      </c>
      <c r="AH6613">
        <v>68.670169408362597</v>
      </c>
      <c r="AI6613">
        <v>88.273276953717797</v>
      </c>
      <c r="AJ6613">
        <v>115.945112535478</v>
      </c>
      <c r="AK6613">
        <v>76.401610569289602</v>
      </c>
      <c r="AL6613">
        <v>79.659705666600502</v>
      </c>
      <c r="AM6613">
        <v>95.326445393154998</v>
      </c>
      <c r="AN6613">
        <v>0.99999996389535895</v>
      </c>
    </row>
    <row r="6614" spans="1:40" x14ac:dyDescent="0.25">
      <c r="A6614" t="str">
        <f>"20190303170422016"</f>
        <v>20190303170422016</v>
      </c>
      <c r="B6614" t="str">
        <f>"1551603862012448"</f>
        <v>1551603862012448</v>
      </c>
      <c r="C6614" t="s">
        <v>40</v>
      </c>
      <c r="D6614">
        <v>5.3981960000000004</v>
      </c>
      <c r="E6614">
        <v>0.35239540000000003</v>
      </c>
      <c r="F6614" t="s">
        <v>61</v>
      </c>
      <c r="G6614">
        <v>-233.52500000000001</v>
      </c>
      <c r="H6614">
        <v>3.2302819999999999</v>
      </c>
      <c r="I6614">
        <v>-92.635490000000004</v>
      </c>
      <c r="J6614">
        <v>-298.1078</v>
      </c>
      <c r="K6614">
        <v>1.1362270000000001</v>
      </c>
      <c r="L6614">
        <v>-53.697600000000001</v>
      </c>
      <c r="M6614">
        <v>0.54438260000000005</v>
      </c>
      <c r="N6614">
        <v>-1.6309279999999999E-2</v>
      </c>
      <c r="O6614">
        <v>-0.83867860000000005</v>
      </c>
      <c r="P6614">
        <v>0.60681779999999996</v>
      </c>
      <c r="Q6614">
        <v>0.1692727</v>
      </c>
      <c r="R6614">
        <v>-0.77660769999999901</v>
      </c>
      <c r="S6614">
        <v>2.7918699999999999</v>
      </c>
      <c r="T6614">
        <v>9.0285900000000002E-2</v>
      </c>
      <c r="U6614">
        <v>-1.689514</v>
      </c>
      <c r="V6614">
        <v>-9.2847219999999994E-2</v>
      </c>
      <c r="W6614">
        <v>0.18200549999999999</v>
      </c>
      <c r="X6614">
        <v>0.9789042</v>
      </c>
      <c r="Y6614">
        <v>-0.43502829999999898</v>
      </c>
      <c r="Z6614">
        <v>-3.8286760000000003E-2</v>
      </c>
      <c r="AA6614">
        <v>0.89960239999999903</v>
      </c>
      <c r="AB6614">
        <v>32</v>
      </c>
      <c r="AC6614">
        <v>64.582799999999907</v>
      </c>
      <c r="AD6614">
        <v>2.094055</v>
      </c>
      <c r="AE6614">
        <v>-38.937890000000003</v>
      </c>
      <c r="AF6614">
        <v>-32.946081290409403</v>
      </c>
      <c r="AG6614">
        <v>2.094055</v>
      </c>
      <c r="AH6614">
        <v>67.770886532338807</v>
      </c>
      <c r="AI6614">
        <v>88.408200494282298</v>
      </c>
      <c r="AJ6614">
        <v>115.926201018871</v>
      </c>
      <c r="AK6614">
        <v>75.383833811477402</v>
      </c>
      <c r="AL6614">
        <v>79.513403867419598</v>
      </c>
      <c r="AM6614">
        <v>95.418187950397098</v>
      </c>
      <c r="AN6614">
        <v>1.0000000205348001</v>
      </c>
    </row>
    <row r="6615" spans="1:40" x14ac:dyDescent="0.25">
      <c r="A6615" t="str">
        <f>"20190303170422038"</f>
        <v>20190303170422038</v>
      </c>
      <c r="B6615" t="str">
        <f>"1551603862031968"</f>
        <v>1551603862031968</v>
      </c>
      <c r="C6615" t="s">
        <v>40</v>
      </c>
      <c r="D6615">
        <v>5.4165890000000001</v>
      </c>
      <c r="E6615">
        <v>0.3534872</v>
      </c>
      <c r="F6615" t="s">
        <v>61</v>
      </c>
      <c r="G6615">
        <v>-233.52500000000001</v>
      </c>
      <c r="H6615">
        <v>3.2704200000000001</v>
      </c>
      <c r="I6615">
        <v>-91.365359999999995</v>
      </c>
      <c r="J6615">
        <v>-297.92380000000003</v>
      </c>
      <c r="K6615">
        <v>1.136307</v>
      </c>
      <c r="L6615">
        <v>-53.95093</v>
      </c>
      <c r="M6615">
        <v>0.55977919999999903</v>
      </c>
      <c r="N6615">
        <v>-1.6355910000000001E-2</v>
      </c>
      <c r="O6615">
        <v>-0.82848049999999995</v>
      </c>
      <c r="P6615">
        <v>0.62113079999999998</v>
      </c>
      <c r="Q6615">
        <v>0.16882429999999901</v>
      </c>
      <c r="R6615">
        <v>-0.76530710000000002</v>
      </c>
      <c r="S6615">
        <v>2.8159480000000001</v>
      </c>
      <c r="T6615">
        <v>9.3055609999999997E-2</v>
      </c>
      <c r="U6615">
        <v>-1.642395</v>
      </c>
      <c r="V6615">
        <v>-9.2908249999999998E-2</v>
      </c>
      <c r="W6615">
        <v>0.181584</v>
      </c>
      <c r="X6615">
        <v>0.97897670000000003</v>
      </c>
      <c r="Y6615">
        <v>-0.43294369999999999</v>
      </c>
      <c r="Z6615">
        <v>-3.8741980000000002E-2</v>
      </c>
      <c r="AA6615">
        <v>0.90058799999999894</v>
      </c>
      <c r="AB6615">
        <v>31</v>
      </c>
      <c r="AC6615">
        <v>64.398799999999994</v>
      </c>
      <c r="AD6615">
        <v>2.1341130000000001</v>
      </c>
      <c r="AE6615">
        <v>-37.414429999999903</v>
      </c>
      <c r="AF6615">
        <v>-32.387071219949803</v>
      </c>
      <c r="AG6615">
        <v>2.1341130000000001</v>
      </c>
      <c r="AH6615">
        <v>67.000186275505499</v>
      </c>
      <c r="AI6615">
        <v>88.357344017307</v>
      </c>
      <c r="AJ6615">
        <v>115.798555189608</v>
      </c>
      <c r="AK6615">
        <v>74.447980371903398</v>
      </c>
      <c r="AL6615">
        <v>79.537963443004998</v>
      </c>
      <c r="AM6615">
        <v>95.421329074719495</v>
      </c>
      <c r="AN6615">
        <v>1.0000000355584699</v>
      </c>
    </row>
    <row r="6616" spans="1:40" x14ac:dyDescent="0.25">
      <c r="A6616" t="str">
        <f>"20190303170422060"</f>
        <v>20190303170422060</v>
      </c>
      <c r="B6616" t="str">
        <f>"1551603862052464"</f>
        <v>1551603862052464</v>
      </c>
      <c r="C6616" t="s">
        <v>40</v>
      </c>
      <c r="D6616">
        <v>5.3906660000000004</v>
      </c>
      <c r="E6616">
        <v>0.35453669999999998</v>
      </c>
      <c r="F6616" t="s">
        <v>78</v>
      </c>
      <c r="G6616">
        <v>-247.1448</v>
      </c>
      <c r="H6616">
        <v>2.6976260000000001</v>
      </c>
      <c r="I6616">
        <v>-82.480269999999905</v>
      </c>
      <c r="J6616">
        <v>-297.74430000000001</v>
      </c>
      <c r="K6616">
        <v>1.13635</v>
      </c>
      <c r="L6616">
        <v>-54.189059999999998</v>
      </c>
      <c r="M6616">
        <v>0.57433679999999998</v>
      </c>
      <c r="N6616">
        <v>-1.6394720000000002E-2</v>
      </c>
      <c r="O6616">
        <v>-0.81845509999999999</v>
      </c>
      <c r="P6616">
        <v>0.63560909999999904</v>
      </c>
      <c r="Q6616">
        <v>0.16566040000000001</v>
      </c>
      <c r="R6616">
        <v>-0.75402799999999903</v>
      </c>
      <c r="S6616">
        <v>2.8401179999999999</v>
      </c>
      <c r="T6616">
        <v>8.7326769999999998E-2</v>
      </c>
      <c r="U6616">
        <v>-1.5956729999999999</v>
      </c>
      <c r="V6616">
        <v>-9.3783179999999994E-2</v>
      </c>
      <c r="W6616">
        <v>0.17841750000000001</v>
      </c>
      <c r="X6616">
        <v>0.97947530000000005</v>
      </c>
      <c r="Y6616">
        <v>-0.43160419999999999</v>
      </c>
      <c r="Z6616">
        <v>-3.6705649999999999E-2</v>
      </c>
      <c r="AA6616">
        <v>0.90131600000000001</v>
      </c>
      <c r="AB6616">
        <v>31</v>
      </c>
      <c r="AC6616">
        <v>50.599499999999999</v>
      </c>
      <c r="AD6616">
        <v>1.5612759999999899</v>
      </c>
      <c r="AE6616">
        <v>-28.2912099999999</v>
      </c>
      <c r="AF6616">
        <v>-25.149873032440599</v>
      </c>
      <c r="AG6616">
        <v>1.5612759999999899</v>
      </c>
      <c r="AH6616">
        <v>52.1854000983421</v>
      </c>
      <c r="AI6616">
        <v>88.456178501693003</v>
      </c>
      <c r="AJ6616">
        <v>115.730957416053</v>
      </c>
      <c r="AK6616">
        <v>57.950579632304802</v>
      </c>
      <c r="AL6616">
        <v>79.722402543126705</v>
      </c>
      <c r="AM6616">
        <v>95.469305383106203</v>
      </c>
      <c r="AN6616">
        <v>0.99999997623362502</v>
      </c>
    </row>
    <row r="6617" spans="1:40" x14ac:dyDescent="0.25">
      <c r="A6617" t="str">
        <f>"20190303170422083"</f>
        <v>20190303170422083</v>
      </c>
      <c r="B6617" t="str">
        <f>"1551603862071984"</f>
        <v>1551603862071984</v>
      </c>
      <c r="C6617" t="s">
        <v>40</v>
      </c>
      <c r="D6617">
        <v>5.385205</v>
      </c>
      <c r="E6617">
        <v>0.35506280000000001</v>
      </c>
      <c r="F6617" t="s">
        <v>78</v>
      </c>
      <c r="G6617">
        <v>-247.1448</v>
      </c>
      <c r="H6617">
        <v>2.3710420000000001</v>
      </c>
      <c r="I6617">
        <v>-81.575940000000003</v>
      </c>
      <c r="J6617">
        <v>-297.55419999999998</v>
      </c>
      <c r="K6617">
        <v>1.1363890000000001</v>
      </c>
      <c r="L6617">
        <v>-54.431820000000002</v>
      </c>
      <c r="M6617">
        <v>0.58926529999999999</v>
      </c>
      <c r="N6617">
        <v>-1.6429559999999999E-2</v>
      </c>
      <c r="O6617">
        <v>-0.80777290000000002</v>
      </c>
      <c r="P6617">
        <v>0.6489393</v>
      </c>
      <c r="Q6617">
        <v>0.1659225</v>
      </c>
      <c r="R6617">
        <v>-0.74252830000000003</v>
      </c>
      <c r="S6617">
        <v>2.8632200000000001</v>
      </c>
      <c r="T6617">
        <v>6.9867009999999993E-2</v>
      </c>
      <c r="U6617">
        <v>-1.5497129999999999</v>
      </c>
      <c r="V6617">
        <v>-9.3316529999999995E-2</v>
      </c>
      <c r="W6617">
        <v>0.17871909999999999</v>
      </c>
      <c r="X6617">
        <v>0.97946489999999997</v>
      </c>
      <c r="Y6617">
        <v>-0.42944589999999999</v>
      </c>
      <c r="Z6617">
        <v>-3.1270060000000002E-2</v>
      </c>
      <c r="AA6617">
        <v>0.90255110000000005</v>
      </c>
      <c r="AB6617">
        <v>31</v>
      </c>
      <c r="AC6617">
        <v>50.409399999999899</v>
      </c>
      <c r="AD6617">
        <v>1.23465299999999</v>
      </c>
      <c r="AE6617">
        <v>-27.144120000000001</v>
      </c>
      <c r="AF6617">
        <v>-24.7160955647336</v>
      </c>
      <c r="AG6617">
        <v>1.23465299999999</v>
      </c>
      <c r="AH6617">
        <v>51.613746892457101</v>
      </c>
      <c r="AI6617">
        <v>88.764042530407806</v>
      </c>
      <c r="AJ6617">
        <v>115.588200149079</v>
      </c>
      <c r="AK6617">
        <v>57.239746822239503</v>
      </c>
      <c r="AL6617">
        <v>79.7048400123074</v>
      </c>
      <c r="AM6617">
        <v>95.442312238060097</v>
      </c>
      <c r="AN6617">
        <v>0.99999999090403002</v>
      </c>
    </row>
    <row r="6618" spans="1:40" x14ac:dyDescent="0.25">
      <c r="A6618" t="str">
        <f>"20190303170422106"</f>
        <v>20190303170422106</v>
      </c>
      <c r="B6618" t="str">
        <f>"1551603862092480"</f>
        <v>1551603862092480</v>
      </c>
      <c r="C6618" t="s">
        <v>40</v>
      </c>
      <c r="D6618">
        <v>5.2790999999999997</v>
      </c>
      <c r="E6618">
        <v>0.35557909999999998</v>
      </c>
      <c r="F6618" t="s">
        <v>78</v>
      </c>
      <c r="G6618">
        <v>-247.1448</v>
      </c>
      <c r="H6618">
        <v>2.3234180000000002</v>
      </c>
      <c r="I6618">
        <v>-80.644009999999994</v>
      </c>
      <c r="J6618">
        <v>-297.35890000000001</v>
      </c>
      <c r="K6618">
        <v>1.136436</v>
      </c>
      <c r="L6618">
        <v>-54.67221</v>
      </c>
      <c r="M6618">
        <v>0.60411349999999997</v>
      </c>
      <c r="N6618">
        <v>-1.6459769999999999E-2</v>
      </c>
      <c r="O6618">
        <v>-0.79672829999999994</v>
      </c>
      <c r="P6618">
        <v>0.66180380000000005</v>
      </c>
      <c r="Q6618">
        <v>0.1679187</v>
      </c>
      <c r="R6618">
        <v>-0.73062930000000004</v>
      </c>
      <c r="S6618">
        <v>2.8875120000000001</v>
      </c>
      <c r="T6618">
        <v>6.7995070000000005E-2</v>
      </c>
      <c r="U6618">
        <v>-1.501465</v>
      </c>
      <c r="V6618">
        <v>-9.2656539999999996E-2</v>
      </c>
      <c r="W6618">
        <v>0.18075630000000001</v>
      </c>
      <c r="X6618">
        <v>0.97915370000000002</v>
      </c>
      <c r="Y6618">
        <v>-0.42773149999999999</v>
      </c>
      <c r="Z6618">
        <v>-3.0356609999999999E-2</v>
      </c>
      <c r="AA6618">
        <v>0.90339599999999998</v>
      </c>
      <c r="AB6618">
        <v>31</v>
      </c>
      <c r="AC6618">
        <v>50.214100000000002</v>
      </c>
      <c r="AD6618">
        <v>1.186982</v>
      </c>
      <c r="AE6618">
        <v>-25.971799999999899</v>
      </c>
      <c r="AF6618">
        <v>-24.3096571734708</v>
      </c>
      <c r="AG6618">
        <v>1.186982</v>
      </c>
      <c r="AH6618">
        <v>51.011908529950503</v>
      </c>
      <c r="AI6618">
        <v>88.796651019683594</v>
      </c>
      <c r="AJ6618">
        <v>115.48007220845101</v>
      </c>
      <c r="AK6618">
        <v>56.520643751005203</v>
      </c>
      <c r="AL6618">
        <v>79.586184993426102</v>
      </c>
      <c r="AM6618">
        <v>95.405757017138399</v>
      </c>
      <c r="AN6618">
        <v>1.0000000213090701</v>
      </c>
    </row>
    <row r="6619" spans="1:40" x14ac:dyDescent="0.25">
      <c r="A6619" t="str">
        <f>"20190303170422128"</f>
        <v>20190303170422128</v>
      </c>
      <c r="B6619" t="str">
        <f>"1551603862122736"</f>
        <v>1551603862122736</v>
      </c>
      <c r="C6619" t="s">
        <v>40</v>
      </c>
      <c r="D6619">
        <v>5.3436529999999998</v>
      </c>
      <c r="E6619">
        <v>0.35634900000000003</v>
      </c>
      <c r="F6619" t="s">
        <v>78</v>
      </c>
      <c r="G6619">
        <v>-245.5788</v>
      </c>
      <c r="H6619">
        <v>2.6332949999999999</v>
      </c>
      <c r="I6619">
        <v>-80.464519999999993</v>
      </c>
      <c r="J6619">
        <v>-297.15789999999998</v>
      </c>
      <c r="K6619">
        <v>1.1364669999999999</v>
      </c>
      <c r="L6619">
        <v>-54.910369999999901</v>
      </c>
      <c r="M6619">
        <v>0.61888480000000001</v>
      </c>
      <c r="N6619">
        <v>-1.6485670000000001E-2</v>
      </c>
      <c r="O6619">
        <v>-0.78530869999999997</v>
      </c>
      <c r="P6619">
        <v>0.67508749999999995</v>
      </c>
      <c r="Q6619">
        <v>0.16771510000000001</v>
      </c>
      <c r="R6619">
        <v>-0.71842059999999996</v>
      </c>
      <c r="S6619">
        <v>2.9109500000000001</v>
      </c>
      <c r="T6619">
        <v>8.4150550000000005E-2</v>
      </c>
      <c r="U6619">
        <v>-1.4499820000000001</v>
      </c>
      <c r="V6619">
        <v>-9.2302770000000006E-2</v>
      </c>
      <c r="W6619">
        <v>0.1805851</v>
      </c>
      <c r="X6619">
        <v>0.9792187</v>
      </c>
      <c r="Y6619">
        <v>-0.42640430000000001</v>
      </c>
      <c r="Z6619">
        <v>-3.4559899999999998E-2</v>
      </c>
      <c r="AA6619">
        <v>0.90387229999999996</v>
      </c>
      <c r="AB6619">
        <v>31</v>
      </c>
      <c r="AC6619">
        <v>51.579099999999897</v>
      </c>
      <c r="AD6619">
        <v>1.4968279999999901</v>
      </c>
      <c r="AE6619">
        <v>-25.55415</v>
      </c>
      <c r="AF6619">
        <v>-24.677111319158001</v>
      </c>
      <c r="AG6619">
        <v>1.4968279999999901</v>
      </c>
      <c r="AH6619">
        <v>51.961349758676803</v>
      </c>
      <c r="AI6619">
        <v>88.509431353188901</v>
      </c>
      <c r="AJ6619">
        <v>115.40364261875899</v>
      </c>
      <c r="AK6619">
        <v>57.542872589602702</v>
      </c>
      <c r="AL6619">
        <v>79.596158149927703</v>
      </c>
      <c r="AM6619">
        <v>95.384883612670095</v>
      </c>
      <c r="AN6619">
        <v>1.0000000210606801</v>
      </c>
    </row>
    <row r="6620" spans="1:40" x14ac:dyDescent="0.25">
      <c r="A6620" t="str">
        <f>"20190303170422150"</f>
        <v>20190303170422150</v>
      </c>
      <c r="B6620" t="str">
        <f>"1551603862142256"</f>
        <v>1551603862142256</v>
      </c>
      <c r="C6620" t="s">
        <v>40</v>
      </c>
      <c r="D6620">
        <v>5.3879919999999997</v>
      </c>
      <c r="E6620">
        <v>0.35698289999999999</v>
      </c>
      <c r="F6620" t="s">
        <v>61</v>
      </c>
      <c r="G6620">
        <v>-234.75040000000001</v>
      </c>
      <c r="H6620">
        <v>3.0407519999999999</v>
      </c>
      <c r="I6620">
        <v>-84.698809999999995</v>
      </c>
      <c r="J6620">
        <v>-296.95999999999998</v>
      </c>
      <c r="K6620">
        <v>1.1364749999999999</v>
      </c>
      <c r="L6620">
        <v>-55.136380000000003</v>
      </c>
      <c r="M6620">
        <v>0.63294259999999902</v>
      </c>
      <c r="N6620">
        <v>-1.6505789999999999E-2</v>
      </c>
      <c r="O6620">
        <v>-0.77402289999999996</v>
      </c>
      <c r="P6620">
        <v>0.68832740000000003</v>
      </c>
      <c r="Q6620">
        <v>0.16588910000000001</v>
      </c>
      <c r="R6620">
        <v>-0.70617730000000001</v>
      </c>
      <c r="S6620">
        <v>2.9321899999999999</v>
      </c>
      <c r="T6620">
        <v>8.9472289999999996E-2</v>
      </c>
      <c r="U6620">
        <v>-1.399597</v>
      </c>
      <c r="V6620">
        <v>-9.2523049999999996E-2</v>
      </c>
      <c r="W6620">
        <v>0.17877079999999901</v>
      </c>
      <c r="X6620">
        <v>0.97953080000000003</v>
      </c>
      <c r="Y6620">
        <v>-0.42523420000000001</v>
      </c>
      <c r="Z6620">
        <v>-3.5639690000000002E-2</v>
      </c>
      <c r="AA6620">
        <v>0.9043814</v>
      </c>
      <c r="AB6620">
        <v>31</v>
      </c>
      <c r="AC6620">
        <v>62.209599999999902</v>
      </c>
      <c r="AD6620">
        <v>1.904277</v>
      </c>
      <c r="AE6620">
        <v>-29.5624299999999</v>
      </c>
      <c r="AF6620">
        <v>-29.421851634257798</v>
      </c>
      <c r="AG6620">
        <v>1.904277</v>
      </c>
      <c r="AH6620">
        <v>62.218019990515302</v>
      </c>
      <c r="AI6620">
        <v>88.415096698478393</v>
      </c>
      <c r="AJ6620">
        <v>115.308676760102</v>
      </c>
      <c r="AK6620">
        <v>68.850226114524702</v>
      </c>
      <c r="AL6620">
        <v>79.701829959766698</v>
      </c>
      <c r="AM6620">
        <v>95.395949134633497</v>
      </c>
      <c r="AN6620">
        <v>1.0000000509312901</v>
      </c>
    </row>
    <row r="6621" spans="1:40" x14ac:dyDescent="0.25">
      <c r="A6621" t="str">
        <f>"20190303170422172"</f>
        <v>20190303170422172</v>
      </c>
      <c r="B6621" t="str">
        <f>"1551603862162283"</f>
        <v>1551603862162283</v>
      </c>
      <c r="C6621" t="s">
        <v>40</v>
      </c>
      <c r="D6621">
        <v>5.4485669999999997</v>
      </c>
      <c r="E6621">
        <v>0.3573694</v>
      </c>
      <c r="F6621" t="s">
        <v>61</v>
      </c>
      <c r="G6621">
        <v>-234.75040000000001</v>
      </c>
      <c r="H6621">
        <v>2.9379080000000002</v>
      </c>
      <c r="I6621">
        <v>-83.556849999999997</v>
      </c>
      <c r="J6621">
        <v>-296.76139999999998</v>
      </c>
      <c r="K6621">
        <v>1.1364669999999999</v>
      </c>
      <c r="L6621">
        <v>-55.355130000000003</v>
      </c>
      <c r="M6621">
        <v>0.64657290000000001</v>
      </c>
      <c r="N6621">
        <v>-1.6519929999999999E-2</v>
      </c>
      <c r="O6621">
        <v>-0.7626735</v>
      </c>
      <c r="P6621">
        <v>0.70137450000000001</v>
      </c>
      <c r="Q6621">
        <v>0.163683299999999</v>
      </c>
      <c r="R6621">
        <v>-0.6937449</v>
      </c>
      <c r="S6621">
        <v>2.9534910000000001</v>
      </c>
      <c r="T6621">
        <v>8.5525870000000004E-2</v>
      </c>
      <c r="U6621">
        <v>-1.3493040000000001</v>
      </c>
      <c r="V6621">
        <v>-9.2994110000000005E-2</v>
      </c>
      <c r="W6621">
        <v>0.17656479999999999</v>
      </c>
      <c r="X6621">
        <v>0.97988620000000004</v>
      </c>
      <c r="Y6621">
        <v>-0.42443110000000001</v>
      </c>
      <c r="Z6621">
        <v>-3.4093390000000001E-2</v>
      </c>
      <c r="AA6621">
        <v>0.90481820000000002</v>
      </c>
      <c r="AB6621">
        <v>31</v>
      </c>
      <c r="AC6621">
        <v>62.010999999999903</v>
      </c>
      <c r="AD6621">
        <v>1.8014410000000001</v>
      </c>
      <c r="AE6621">
        <v>-28.201719999999899</v>
      </c>
      <c r="AF6621">
        <v>-29.043330748108001</v>
      </c>
      <c r="AG6621">
        <v>1.8014410000000001</v>
      </c>
      <c r="AH6621">
        <v>61.568681107299597</v>
      </c>
      <c r="AI6621">
        <v>88.484160837816106</v>
      </c>
      <c r="AJ6621">
        <v>115.25430525271599</v>
      </c>
      <c r="AK6621">
        <v>68.098918816034299</v>
      </c>
      <c r="AL6621">
        <v>79.830267318249795</v>
      </c>
      <c r="AM6621">
        <v>95.421302726468696</v>
      </c>
      <c r="AN6621">
        <v>0.99999999902208603</v>
      </c>
    </row>
    <row r="6622" spans="1:40" x14ac:dyDescent="0.25">
      <c r="A6622" t="str">
        <f>"20190303170422194"</f>
        <v>20190303170422194</v>
      </c>
      <c r="B6622" t="str">
        <f>"1551603862182779"</f>
        <v>1551603862182779</v>
      </c>
      <c r="C6622" t="s">
        <v>40</v>
      </c>
      <c r="D6622">
        <v>5.4327880000000004</v>
      </c>
      <c r="E6622">
        <v>0.37294300000000002</v>
      </c>
      <c r="F6622" t="s">
        <v>61</v>
      </c>
      <c r="G6622">
        <v>-234.75040000000001</v>
      </c>
      <c r="H6622">
        <v>2.692596</v>
      </c>
      <c r="I6622">
        <v>-82.43262</v>
      </c>
      <c r="J6622">
        <v>-296.55450000000002</v>
      </c>
      <c r="K6622">
        <v>1.1364529999999999</v>
      </c>
      <c r="L6622">
        <v>-55.575009999999999</v>
      </c>
      <c r="M6622">
        <v>0.66027190000000002</v>
      </c>
      <c r="N6622">
        <v>-1.6527500000000001E-2</v>
      </c>
      <c r="O6622">
        <v>-0.75084490000000004</v>
      </c>
      <c r="P6622">
        <v>0.71383580000000002</v>
      </c>
      <c r="Q6622">
        <v>0.1642517</v>
      </c>
      <c r="R6622">
        <v>-0.68077919999999903</v>
      </c>
      <c r="S6622">
        <v>2.9749759999999998</v>
      </c>
      <c r="T6622">
        <v>7.4655410000000005E-2</v>
      </c>
      <c r="U6622">
        <v>-1.299042</v>
      </c>
      <c r="V6622">
        <v>-9.3125949999999999E-2</v>
      </c>
      <c r="W6622">
        <v>0.17713779999999901</v>
      </c>
      <c r="X6622">
        <v>0.97977020000000004</v>
      </c>
      <c r="Y6622">
        <v>-0.4233922</v>
      </c>
      <c r="Z6622">
        <v>-3.0620769999999999E-2</v>
      </c>
      <c r="AA6622">
        <v>0.90542880000000003</v>
      </c>
      <c r="AB6622">
        <v>31</v>
      </c>
      <c r="AC6622">
        <v>61.804099999999998</v>
      </c>
      <c r="AD6622">
        <v>1.5561429999999901</v>
      </c>
      <c r="AE6622">
        <v>-26.857609999999902</v>
      </c>
      <c r="AF6622">
        <v>-28.660598381228802</v>
      </c>
      <c r="AG6622">
        <v>1.5561429999999901</v>
      </c>
      <c r="AH6622">
        <v>60.9492313432469</v>
      </c>
      <c r="AI6622">
        <v>88.676429971595695</v>
      </c>
      <c r="AJ6622">
        <v>115.18465701716499</v>
      </c>
      <c r="AK6622">
        <v>67.369579796367802</v>
      </c>
      <c r="AL6622">
        <v>79.7969104910986</v>
      </c>
      <c r="AM6622">
        <v>95.429581669223495</v>
      </c>
      <c r="AN6622">
        <v>0.99999994378013901</v>
      </c>
    </row>
    <row r="6623" spans="1:40" x14ac:dyDescent="0.25">
      <c r="A6623" t="str">
        <f>"20190303170422216"</f>
        <v>20190303170422216</v>
      </c>
      <c r="B6623" t="str">
        <f>"1551603862212059"</f>
        <v>1551603862212059</v>
      </c>
      <c r="C6623" t="s">
        <v>40</v>
      </c>
      <c r="D6623">
        <v>5.4795170000000004</v>
      </c>
      <c r="E6623">
        <v>0.36173499999999997</v>
      </c>
      <c r="F6623" t="s">
        <v>61</v>
      </c>
      <c r="G6623">
        <v>-234.75040000000001</v>
      </c>
      <c r="H6623">
        <v>2.0337420000000002</v>
      </c>
      <c r="I6623">
        <v>-83.905339999999995</v>
      </c>
      <c r="J6623">
        <v>-296.34199999999998</v>
      </c>
      <c r="K6623">
        <v>1.1364080000000001</v>
      </c>
      <c r="L6623">
        <v>-55.7924199999999</v>
      </c>
      <c r="M6623">
        <v>0.67380519999999999</v>
      </c>
      <c r="N6623">
        <v>-1.6526530000000001E-2</v>
      </c>
      <c r="O6623">
        <v>-0.7387243</v>
      </c>
      <c r="P6623">
        <v>0.72644880000000001</v>
      </c>
      <c r="Q6623">
        <v>0.1656079</v>
      </c>
      <c r="R6623">
        <v>-0.66696800000000001</v>
      </c>
      <c r="S6623">
        <v>2.9174799999999999</v>
      </c>
      <c r="T6623">
        <v>4.2356970000000001E-2</v>
      </c>
      <c r="U6623">
        <v>-1.3373409999999999</v>
      </c>
      <c r="V6623">
        <v>-9.3915890000000002E-2</v>
      </c>
      <c r="W6623">
        <v>0.17846809999999999</v>
      </c>
      <c r="X6623">
        <v>0.97945340000000003</v>
      </c>
      <c r="Y6623">
        <v>-0.39052049999999999</v>
      </c>
      <c r="Z6623">
        <v>-2.150115E-2</v>
      </c>
      <c r="AA6623">
        <v>0.92034309999999997</v>
      </c>
      <c r="AB6623">
        <v>31</v>
      </c>
      <c r="AC6623">
        <v>61.5915999999999</v>
      </c>
      <c r="AD6623">
        <v>0.89733399999999897</v>
      </c>
      <c r="AE6623">
        <v>-28.112919999999999</v>
      </c>
      <c r="AF6623">
        <v>-26.555540322791501</v>
      </c>
      <c r="AG6623">
        <v>0.89733399999999897</v>
      </c>
      <c r="AH6623">
        <v>62.265999929889297</v>
      </c>
      <c r="AI6623">
        <v>89.240527837942295</v>
      </c>
      <c r="AJ6623">
        <v>113.097540307988</v>
      </c>
      <c r="AK6623">
        <v>67.698276768407794</v>
      </c>
      <c r="AL6623">
        <v>79.719456437139897</v>
      </c>
      <c r="AM6623">
        <v>95.477119535991804</v>
      </c>
      <c r="AN6623">
        <v>1.00000000994183</v>
      </c>
    </row>
    <row r="6624" spans="1:40" x14ac:dyDescent="0.25">
      <c r="A6624" t="str">
        <f>"20190303170422239"</f>
        <v>20190303170422239</v>
      </c>
      <c r="B6624" t="str">
        <f>"1551603862232555"</f>
        <v>1551603862232555</v>
      </c>
      <c r="C6624" t="s">
        <v>40</v>
      </c>
      <c r="D6624">
        <v>5.4407129999999997</v>
      </c>
      <c r="E6624">
        <v>0.35905550000000003</v>
      </c>
      <c r="F6624" t="s">
        <v>61</v>
      </c>
      <c r="G6624">
        <v>-234.17910000000001</v>
      </c>
      <c r="H6624">
        <v>2.4321470000000001</v>
      </c>
      <c r="I6624">
        <v>-80.949439999999996</v>
      </c>
      <c r="J6624">
        <v>-296.12790000000001</v>
      </c>
      <c r="K6624">
        <v>1.1363460000000001</v>
      </c>
      <c r="L6624">
        <v>-56.003630000000001</v>
      </c>
      <c r="M6624">
        <v>0.68690739999999995</v>
      </c>
      <c r="N6624">
        <v>-1.6516619999999999E-2</v>
      </c>
      <c r="O6624">
        <v>-0.72655729999999996</v>
      </c>
      <c r="P6624">
        <v>0.73892869999999899</v>
      </c>
      <c r="Q6624">
        <v>0.16414479999999901</v>
      </c>
      <c r="R6624">
        <v>-0.65348390000000001</v>
      </c>
      <c r="S6624">
        <v>3.0005190000000002</v>
      </c>
      <c r="T6624">
        <v>6.2543749999999995E-2</v>
      </c>
      <c r="U6624">
        <v>-1.214294</v>
      </c>
      <c r="V6624">
        <v>-9.4584669999999996E-2</v>
      </c>
      <c r="W6624">
        <v>0.17698720000000001</v>
      </c>
      <c r="X6624">
        <v>0.97965769999999996</v>
      </c>
      <c r="Y6624">
        <v>-0.4154292</v>
      </c>
      <c r="Z6624">
        <v>-2.645488E-2</v>
      </c>
      <c r="AA6624">
        <v>0.90924070000000001</v>
      </c>
      <c r="AB6624">
        <v>31</v>
      </c>
      <c r="AC6624">
        <v>61.948799999999999</v>
      </c>
      <c r="AD6624">
        <v>1.295801</v>
      </c>
      <c r="AE6624">
        <v>-24.945809999999899</v>
      </c>
      <c r="AF6624">
        <v>-27.8672013865406</v>
      </c>
      <c r="AG6624">
        <v>1.295801</v>
      </c>
      <c r="AH6624">
        <v>60.663086304012701</v>
      </c>
      <c r="AI6624">
        <v>88.887999398447604</v>
      </c>
      <c r="AJ6624">
        <v>114.672942331679</v>
      </c>
      <c r="AK6624">
        <v>66.770278217764698</v>
      </c>
      <c r="AL6624">
        <v>79.805678021810806</v>
      </c>
      <c r="AM6624">
        <v>95.514739493567106</v>
      </c>
      <c r="AN6624">
        <v>0.99999996896606802</v>
      </c>
    </row>
    <row r="6625" spans="1:40" x14ac:dyDescent="0.25">
      <c r="A6625" t="str">
        <f>"20190303170422260"</f>
        <v>20190303170422260</v>
      </c>
      <c r="B6625" t="str">
        <f>"1551603862252075"</f>
        <v>1551603862252075</v>
      </c>
      <c r="C6625" t="s">
        <v>40</v>
      </c>
      <c r="D6625">
        <v>5.2791649999999999</v>
      </c>
      <c r="E6625">
        <v>0.35717700000000002</v>
      </c>
      <c r="F6625" t="s">
        <v>61</v>
      </c>
      <c r="G6625">
        <v>-227.48820000000001</v>
      </c>
      <c r="H6625">
        <v>2.3000769999999999</v>
      </c>
      <c r="I6625">
        <v>-81.815929999999994</v>
      </c>
      <c r="J6625">
        <v>-295.91090000000003</v>
      </c>
      <c r="K6625">
        <v>1.136253</v>
      </c>
      <c r="L6625">
        <v>-56.210389999999997</v>
      </c>
      <c r="M6625">
        <v>0.69967559999999995</v>
      </c>
      <c r="N6625">
        <v>-1.6498789999999999E-2</v>
      </c>
      <c r="O6625">
        <v>-0.71427030000000002</v>
      </c>
      <c r="P6625">
        <v>0.75031819999999905</v>
      </c>
      <c r="Q6625">
        <v>0.1620974</v>
      </c>
      <c r="R6625">
        <v>-0.64089580000000002</v>
      </c>
      <c r="S6625">
        <v>3.0380859999999998</v>
      </c>
      <c r="T6625">
        <v>5.1508430000000001E-2</v>
      </c>
      <c r="U6625">
        <v>-1.142487</v>
      </c>
      <c r="V6625">
        <v>-9.3993629999999995E-2</v>
      </c>
      <c r="W6625">
        <v>0.1749674</v>
      </c>
      <c r="X6625">
        <v>0.98007730000000004</v>
      </c>
      <c r="Y6625">
        <v>-0.42199019999999998</v>
      </c>
      <c r="Z6625">
        <v>-2.30203E-2</v>
      </c>
      <c r="AA6625">
        <v>0.90630809999999995</v>
      </c>
      <c r="AB6625">
        <v>31</v>
      </c>
      <c r="AC6625">
        <v>68.422700000000006</v>
      </c>
      <c r="AD6625">
        <v>1.163824</v>
      </c>
      <c r="AE6625">
        <v>-25.605540000000001</v>
      </c>
      <c r="AF6625">
        <v>-30.953086582885501</v>
      </c>
      <c r="AG6625">
        <v>1.163824</v>
      </c>
      <c r="AH6625">
        <v>66.1551815297301</v>
      </c>
      <c r="AI6625">
        <v>89.087102132227102</v>
      </c>
      <c r="AJ6625">
        <v>115.074237989957</v>
      </c>
      <c r="AK6625">
        <v>73.047628972760904</v>
      </c>
      <c r="AL6625">
        <v>79.923238533722994</v>
      </c>
      <c r="AM6625">
        <v>95.478157411160893</v>
      </c>
      <c r="AN6625">
        <v>0.99999995375931205</v>
      </c>
    </row>
    <row r="6626" spans="1:40" x14ac:dyDescent="0.25">
      <c r="A6626" t="str">
        <f>"20190303170422283"</f>
        <v>20190303170422283</v>
      </c>
      <c r="B6626" t="str">
        <f>"1551603862272571"</f>
        <v>1551603862272571</v>
      </c>
      <c r="C6626" t="s">
        <v>40</v>
      </c>
      <c r="D6626">
        <v>5.4145599999999998</v>
      </c>
      <c r="E6626">
        <v>0.35669410000000001</v>
      </c>
      <c r="F6626" t="s">
        <v>61</v>
      </c>
      <c r="G6626">
        <v>-223.22710000000001</v>
      </c>
      <c r="H6626">
        <v>2.4099059999999999</v>
      </c>
      <c r="I6626">
        <v>-81.815960000000004</v>
      </c>
      <c r="J6626">
        <v>-295.69310000000002</v>
      </c>
      <c r="K6626">
        <v>1.136137</v>
      </c>
      <c r="L6626">
        <v>-56.4107699999999</v>
      </c>
      <c r="M6626">
        <v>0.71197349999999904</v>
      </c>
      <c r="N6626">
        <v>-1.647554E-2</v>
      </c>
      <c r="O6626">
        <v>-0.70201329999999995</v>
      </c>
      <c r="P6626">
        <v>0.76049239999999996</v>
      </c>
      <c r="Q6626">
        <v>0.16139539999999999</v>
      </c>
      <c r="R6626">
        <v>-0.62897000000000003</v>
      </c>
      <c r="S6626">
        <v>3.064514</v>
      </c>
      <c r="T6626">
        <v>5.3700329999999998E-2</v>
      </c>
      <c r="U6626">
        <v>-1.07959</v>
      </c>
      <c r="V6626">
        <v>-9.2478870000000005E-2</v>
      </c>
      <c r="W6626">
        <v>0.17432320000000001</v>
      </c>
      <c r="X6626">
        <v>0.98033619999999999</v>
      </c>
      <c r="Y6626">
        <v>-0.42525590000000002</v>
      </c>
      <c r="Z6626">
        <v>-2.3175029999999999E-2</v>
      </c>
      <c r="AA6626">
        <v>0.90477649999999998</v>
      </c>
      <c r="AB6626">
        <v>31</v>
      </c>
      <c r="AC6626">
        <v>72.465999999999994</v>
      </c>
      <c r="AD6626">
        <v>1.2737689999999999</v>
      </c>
      <c r="AE6626">
        <v>-25.405190000000001</v>
      </c>
      <c r="AF6626">
        <v>-32.7796986193053</v>
      </c>
      <c r="AG6626">
        <v>1.2737689999999999</v>
      </c>
      <c r="AH6626">
        <v>69.418963959587103</v>
      </c>
      <c r="AI6626">
        <v>89.049424163716793</v>
      </c>
      <c r="AJ6626">
        <v>115.276724225233</v>
      </c>
      <c r="AK6626">
        <v>76.779708818543298</v>
      </c>
      <c r="AL6626">
        <v>79.960724975359099</v>
      </c>
      <c r="AM6626">
        <v>95.388982884409401</v>
      </c>
      <c r="AN6626">
        <v>0.99999999224257796</v>
      </c>
    </row>
    <row r="6627" spans="1:40" x14ac:dyDescent="0.25">
      <c r="A6627" t="str">
        <f>"20190303170422307"</f>
        <v>20190303170422307</v>
      </c>
      <c r="B6627" t="str">
        <f>"1551603862302827"</f>
        <v>1551603862302827</v>
      </c>
      <c r="C6627" t="s">
        <v>40</v>
      </c>
      <c r="D6627">
        <v>5.3648920000000002</v>
      </c>
      <c r="E6627">
        <v>0.35639130000000002</v>
      </c>
      <c r="F6627" t="s">
        <v>61</v>
      </c>
      <c r="G6627">
        <v>-219.59119999999999</v>
      </c>
      <c r="H6627">
        <v>2.4333459999999998</v>
      </c>
      <c r="I6627">
        <v>-81.815960000000004</v>
      </c>
      <c r="J6627">
        <v>-295.45</v>
      </c>
      <c r="K6627">
        <v>1.1359919999999999</v>
      </c>
      <c r="L6627">
        <v>-56.626620000000003</v>
      </c>
      <c r="M6627">
        <v>0.72509429999999997</v>
      </c>
      <c r="N6627">
        <v>-1.644116E-2</v>
      </c>
      <c r="O6627">
        <v>-0.68845330000000005</v>
      </c>
      <c r="P6627">
        <v>0.77175400000000005</v>
      </c>
      <c r="Q6627">
        <v>0.16209789999999999</v>
      </c>
      <c r="R6627">
        <v>-0.61491470000000004</v>
      </c>
      <c r="S6627">
        <v>3.0825499999999999</v>
      </c>
      <c r="T6627">
        <v>5.2544359999999998E-2</v>
      </c>
      <c r="U6627">
        <v>-1.029053</v>
      </c>
      <c r="V6627">
        <v>-9.1821810000000004E-2</v>
      </c>
      <c r="W6627">
        <v>0.175044899999999</v>
      </c>
      <c r="X6627">
        <v>0.98026939999999996</v>
      </c>
      <c r="Y6627">
        <v>-0.4231335</v>
      </c>
      <c r="Z6627">
        <v>-2.240462E-2</v>
      </c>
      <c r="AA6627">
        <v>0.90579030000000005</v>
      </c>
      <c r="AB6627">
        <v>31</v>
      </c>
      <c r="AC6627">
        <v>75.858800000000002</v>
      </c>
      <c r="AD6627">
        <v>1.2973539999999899</v>
      </c>
      <c r="AE6627">
        <v>-25.189340000000001</v>
      </c>
      <c r="AF6627">
        <v>-33.956239814817998</v>
      </c>
      <c r="AG6627">
        <v>1.2973539999999899</v>
      </c>
      <c r="AH6627">
        <v>72.337191261815093</v>
      </c>
      <c r="AI6627">
        <v>89.069880233944403</v>
      </c>
      <c r="AJ6627">
        <v>115.14611489191201</v>
      </c>
      <c r="AK6627">
        <v>79.921077253820698</v>
      </c>
      <c r="AL6627">
        <v>79.918729277322996</v>
      </c>
      <c r="AM6627">
        <v>95.351279850807302</v>
      </c>
      <c r="AN6627">
        <v>1.0000000291920199</v>
      </c>
    </row>
    <row r="6628" spans="1:40" x14ac:dyDescent="0.25">
      <c r="A6628" t="str">
        <f>"20190303170422322"</f>
        <v>20190303170422322</v>
      </c>
      <c r="B6628" t="str">
        <f>"1551603862312587"</f>
        <v>1551603862312587</v>
      </c>
      <c r="C6628" t="s">
        <v>40</v>
      </c>
      <c r="D6628">
        <v>5.4118430000000002</v>
      </c>
      <c r="E6628">
        <v>0.35678080000000001</v>
      </c>
      <c r="F6628" t="s">
        <v>45</v>
      </c>
      <c r="G6628">
        <v>-240.0787</v>
      </c>
      <c r="H6628">
        <v>2.3414640000000002</v>
      </c>
      <c r="I6628">
        <v>-73.948160000000001</v>
      </c>
      <c r="J6628">
        <v>-295.30380000000002</v>
      </c>
      <c r="K6628">
        <v>1.1358950000000001</v>
      </c>
      <c r="L6628">
        <v>-56.752659999999999</v>
      </c>
      <c r="M6628">
        <v>0.73267919999999997</v>
      </c>
      <c r="N6628">
        <v>-1.6415559999999999E-2</v>
      </c>
      <c r="O6628">
        <v>-0.68037630000000004</v>
      </c>
      <c r="P6628">
        <v>0.77849630000000003</v>
      </c>
      <c r="Q6628">
        <v>0.16248199999999999</v>
      </c>
      <c r="R6628">
        <v>-0.60625359999999995</v>
      </c>
      <c r="S6628">
        <v>3.1002809999999998</v>
      </c>
      <c r="T6628">
        <v>6.7494390000000001E-2</v>
      </c>
      <c r="U6628">
        <v>-0.96984859999999995</v>
      </c>
      <c r="V6628">
        <v>-9.1827660000000005E-2</v>
      </c>
      <c r="W6628">
        <v>0.17542369999999999</v>
      </c>
      <c r="X6628">
        <v>0.98020110000000005</v>
      </c>
      <c r="Y6628">
        <v>-0.43019560000000001</v>
      </c>
      <c r="Z6628">
        <v>-2.6024189999999999E-2</v>
      </c>
      <c r="AA6628">
        <v>0.90236050000000001</v>
      </c>
      <c r="AB6628">
        <v>31</v>
      </c>
      <c r="AC6628">
        <v>55.225099999999998</v>
      </c>
      <c r="AD6628">
        <v>1.2055689999999899</v>
      </c>
      <c r="AE6628">
        <v>-17.195499999999999</v>
      </c>
      <c r="AF6628">
        <v>-24.967580588415601</v>
      </c>
      <c r="AG6628">
        <v>1.2055689999999899</v>
      </c>
      <c r="AH6628">
        <v>52.1460632235096</v>
      </c>
      <c r="AI6628">
        <v>88.805434172687598</v>
      </c>
      <c r="AJ6628">
        <v>115.58514020599</v>
      </c>
      <c r="AK6628">
        <v>57.827721611378102</v>
      </c>
      <c r="AL6628">
        <v>79.896684184370102</v>
      </c>
      <c r="AM6628">
        <v>95.3519895366328</v>
      </c>
      <c r="AN6628">
        <v>0.999999995051987</v>
      </c>
    </row>
    <row r="6629" spans="1:40" x14ac:dyDescent="0.25">
      <c r="A6629" t="str">
        <f>"20190303170422339"</f>
        <v>20190303170422339</v>
      </c>
      <c r="B6629" t="str">
        <f>"1551603862332107"</f>
        <v>1551603862332107</v>
      </c>
      <c r="C6629" t="s">
        <v>40</v>
      </c>
      <c r="D6629">
        <v>5.4211980000000004</v>
      </c>
      <c r="E6629">
        <v>0.35768909999999998</v>
      </c>
      <c r="F6629" t="s">
        <v>61</v>
      </c>
      <c r="G6629">
        <v>-212.17869999999999</v>
      </c>
      <c r="H6629">
        <v>3.0206</v>
      </c>
      <c r="I6629">
        <v>-81.816159999999996</v>
      </c>
      <c r="J6629">
        <v>-295.11900000000003</v>
      </c>
      <c r="K6629">
        <v>1.1357520000000001</v>
      </c>
      <c r="L6629">
        <v>-56.908169999999998</v>
      </c>
      <c r="M6629">
        <v>0.74195299999999997</v>
      </c>
      <c r="N6629">
        <v>-1.6378299999999998E-2</v>
      </c>
      <c r="O6629">
        <v>-0.67025179999999995</v>
      </c>
      <c r="P6629">
        <v>0.78764129999999999</v>
      </c>
      <c r="Q6629">
        <v>0.1607912</v>
      </c>
      <c r="R6629">
        <v>-0.59478339999999996</v>
      </c>
      <c r="S6629">
        <v>3.1088870000000002</v>
      </c>
      <c r="T6629">
        <v>7.0488330000000002E-2</v>
      </c>
      <c r="U6629">
        <v>-0.93737789999999999</v>
      </c>
      <c r="V6629">
        <v>-9.2841370000000006E-2</v>
      </c>
      <c r="W6629">
        <v>0.1736916</v>
      </c>
      <c r="X6629">
        <v>0.98041400000000001</v>
      </c>
      <c r="Y6629">
        <v>-0.42710789999999998</v>
      </c>
      <c r="Z6629">
        <v>-2.641021E-2</v>
      </c>
      <c r="AA6629">
        <v>0.90381489999999998</v>
      </c>
      <c r="AB6629">
        <v>31</v>
      </c>
      <c r="AC6629">
        <v>82.940299999999993</v>
      </c>
      <c r="AD6629">
        <v>1.8848480000000001</v>
      </c>
      <c r="AE6629">
        <v>-24.907990000000002</v>
      </c>
      <c r="AF6629">
        <v>-37.097732386330797</v>
      </c>
      <c r="AG6629">
        <v>1.8848480000000001</v>
      </c>
      <c r="AH6629">
        <v>78.205877806205294</v>
      </c>
      <c r="AI6629">
        <v>88.752559533774004</v>
      </c>
      <c r="AJ6629">
        <v>115.377787161334</v>
      </c>
      <c r="AK6629">
        <v>86.579176039218794</v>
      </c>
      <c r="AL6629">
        <v>79.997473204989703</v>
      </c>
      <c r="AM6629">
        <v>95.409554851592503</v>
      </c>
      <c r="AN6629">
        <v>0.99999995164501698</v>
      </c>
    </row>
    <row r="6630" spans="1:40" x14ac:dyDescent="0.25">
      <c r="A6630" t="str">
        <f>"20190303170422352"</f>
        <v>20190303170422352</v>
      </c>
      <c r="B6630" t="str">
        <f>"1551603862342843"</f>
        <v>1551603862342843</v>
      </c>
      <c r="C6630" t="s">
        <v>40</v>
      </c>
      <c r="D6630">
        <v>5.4539279999999897</v>
      </c>
      <c r="E6630">
        <v>0.35825750000000001</v>
      </c>
      <c r="F6630" t="s">
        <v>61</v>
      </c>
      <c r="G6630">
        <v>-208.5154</v>
      </c>
      <c r="H6630">
        <v>2.9614449999999999</v>
      </c>
      <c r="I6630">
        <v>-81.816149999999993</v>
      </c>
      <c r="J6630">
        <v>-294.97989999999999</v>
      </c>
      <c r="K6630">
        <v>1.1356280000000001</v>
      </c>
      <c r="L6630">
        <v>-57.022669999999998</v>
      </c>
      <c r="M6630">
        <v>0.74870879999999995</v>
      </c>
      <c r="N6630">
        <v>-1.6347179999999999E-2</v>
      </c>
      <c r="O6630">
        <v>-0.66269750000000005</v>
      </c>
      <c r="P6630">
        <v>0.79443660000000005</v>
      </c>
      <c r="Q6630">
        <v>0.1594932</v>
      </c>
      <c r="R6630">
        <v>-0.58603130000000003</v>
      </c>
      <c r="S6630">
        <v>3.1181950000000001</v>
      </c>
      <c r="T6630">
        <v>6.5734860000000006E-2</v>
      </c>
      <c r="U6630">
        <v>-0.89682009999999901</v>
      </c>
      <c r="V6630">
        <v>-9.3831890000000001E-2</v>
      </c>
      <c r="W6630">
        <v>0.1723546</v>
      </c>
      <c r="X6630">
        <v>0.98055570000000003</v>
      </c>
      <c r="Y6630">
        <v>-0.4295544</v>
      </c>
      <c r="Z6630">
        <v>-2.4917249999999998E-2</v>
      </c>
      <c r="AA6630">
        <v>0.90269710000000003</v>
      </c>
      <c r="AB6630">
        <v>31</v>
      </c>
      <c r="AC6630">
        <v>86.464499999999902</v>
      </c>
      <c r="AD6630">
        <v>1.825817</v>
      </c>
      <c r="AE6630">
        <v>-24.793479999999899</v>
      </c>
      <c r="AF6630">
        <v>-38.7259307656347</v>
      </c>
      <c r="AG6630">
        <v>1.825817</v>
      </c>
      <c r="AH6630">
        <v>81.1447200991459</v>
      </c>
      <c r="AI6630">
        <v>88.836670731700096</v>
      </c>
      <c r="AJ6630">
        <v>115.51258732255801</v>
      </c>
      <c r="AK6630">
        <v>89.930511626204705</v>
      </c>
      <c r="AL6630">
        <v>80.075251278802099</v>
      </c>
      <c r="AM6630">
        <v>95.466136058103999</v>
      </c>
      <c r="AN6630">
        <v>1.00000000626231</v>
      </c>
    </row>
    <row r="6631" spans="1:40" x14ac:dyDescent="0.25">
      <c r="A6631" t="str">
        <f>"20190303170422368"</f>
        <v>20190303170422368</v>
      </c>
      <c r="B6631" t="str">
        <f>"1551603862352603"</f>
        <v>1551603862352603</v>
      </c>
      <c r="C6631" t="s">
        <v>40</v>
      </c>
      <c r="D6631">
        <v>5.4606070000000004</v>
      </c>
      <c r="E6631">
        <v>0.35879809999999901</v>
      </c>
      <c r="F6631" t="s">
        <v>61</v>
      </c>
      <c r="G6631">
        <v>-206.94280000000001</v>
      </c>
      <c r="H6631">
        <v>2.828138</v>
      </c>
      <c r="I6631">
        <v>-81.415710000000004</v>
      </c>
      <c r="J6631">
        <v>-294.82010000000002</v>
      </c>
      <c r="K6631">
        <v>1.135473</v>
      </c>
      <c r="L6631">
        <v>-57.150700000000001</v>
      </c>
      <c r="M6631">
        <v>0.75619449999999999</v>
      </c>
      <c r="N6631">
        <v>-1.6307470000000001E-2</v>
      </c>
      <c r="O6631">
        <v>-0.65414380000000005</v>
      </c>
      <c r="P6631">
        <v>0.80148399999999997</v>
      </c>
      <c r="Q6631">
        <v>0.1581639</v>
      </c>
      <c r="R6631">
        <v>-0.57672159999999995</v>
      </c>
      <c r="S6631">
        <v>3.1253660000000001</v>
      </c>
      <c r="T6631">
        <v>6.0085180000000002E-2</v>
      </c>
      <c r="U6631">
        <v>-0.86596679999999904</v>
      </c>
      <c r="V6631">
        <v>-9.4190960000000004E-2</v>
      </c>
      <c r="W6631">
        <v>0.171007299999999</v>
      </c>
      <c r="X6631">
        <v>0.98075710000000005</v>
      </c>
      <c r="Y6631">
        <v>-0.42814560000000002</v>
      </c>
      <c r="Z6631">
        <v>-2.3161649999999999E-2</v>
      </c>
      <c r="AA6631">
        <v>0.90341289999999996</v>
      </c>
      <c r="AB6631">
        <v>31</v>
      </c>
      <c r="AC6631">
        <v>87.877300000000005</v>
      </c>
      <c r="AD6631">
        <v>1.6926650000000001</v>
      </c>
      <c r="AE6631">
        <v>-24.26501</v>
      </c>
      <c r="AF6631">
        <v>-39.127037106699703</v>
      </c>
      <c r="AG6631">
        <v>1.6926650000000001</v>
      </c>
      <c r="AH6631">
        <v>82.307704772634693</v>
      </c>
      <c r="AI6631">
        <v>88.935951900337102</v>
      </c>
      <c r="AJ6631">
        <v>115.42525292663601</v>
      </c>
      <c r="AK6631">
        <v>91.150142141910393</v>
      </c>
      <c r="AL6631">
        <v>80.153608855129903</v>
      </c>
      <c r="AM6631">
        <v>95.485806237577805</v>
      </c>
      <c r="AN6631">
        <v>0.99999996139971004</v>
      </c>
    </row>
    <row r="6632" spans="1:40" x14ac:dyDescent="0.25">
      <c r="A6632" t="str">
        <f>"20190303170422380"</f>
        <v>20190303170422380</v>
      </c>
      <c r="B6632" t="str">
        <f>"1551603862372123"</f>
        <v>1551603862372123</v>
      </c>
      <c r="C6632" t="s">
        <v>40</v>
      </c>
      <c r="D6632">
        <v>5.459441</v>
      </c>
      <c r="E6632">
        <v>0.35949429999999999</v>
      </c>
      <c r="F6632" t="s">
        <v>61</v>
      </c>
      <c r="G6632">
        <v>-205.3038</v>
      </c>
      <c r="H6632">
        <v>2.684393</v>
      </c>
      <c r="I6632">
        <v>-80.949519999999893</v>
      </c>
      <c r="J6632">
        <v>-294.68049999999999</v>
      </c>
      <c r="K6632">
        <v>1.135332</v>
      </c>
      <c r="L6632">
        <v>-57.260680000000001</v>
      </c>
      <c r="M6632">
        <v>0.76255019999999996</v>
      </c>
      <c r="N6632">
        <v>-1.627143E-2</v>
      </c>
      <c r="O6632">
        <v>-0.64672450000000004</v>
      </c>
      <c r="P6632">
        <v>0.80736490000000005</v>
      </c>
      <c r="Q6632">
        <v>0.15713339999999901</v>
      </c>
      <c r="R6632">
        <v>-0.56874569999999902</v>
      </c>
      <c r="S6632">
        <v>3.1330260000000001</v>
      </c>
      <c r="T6632">
        <v>5.4211620000000002E-2</v>
      </c>
      <c r="U6632">
        <v>-0.83294679999999999</v>
      </c>
      <c r="V6632">
        <v>-9.437239E-2</v>
      </c>
      <c r="W6632">
        <v>0.16996510000000001</v>
      </c>
      <c r="X6632">
        <v>0.98092089999999998</v>
      </c>
      <c r="Y6632">
        <v>-0.42880309999999999</v>
      </c>
      <c r="Z6632">
        <v>-2.141347E-2</v>
      </c>
      <c r="AA6632">
        <v>0.90314419999999995</v>
      </c>
      <c r="AB6632">
        <v>31</v>
      </c>
      <c r="AC6632">
        <v>89.3767</v>
      </c>
      <c r="AD6632">
        <v>1.549061</v>
      </c>
      <c r="AE6632">
        <v>-23.6888399999999</v>
      </c>
      <c r="AF6632">
        <v>-39.7322787575878</v>
      </c>
      <c r="AG6632">
        <v>1.549061</v>
      </c>
      <c r="AH6632">
        <v>83.461994392418006</v>
      </c>
      <c r="AI6632">
        <v>89.039923831819806</v>
      </c>
      <c r="AJ6632">
        <v>115.456893630756</v>
      </c>
      <c r="AK6632">
        <v>92.449759725011702</v>
      </c>
      <c r="AL6632">
        <v>80.214210566832904</v>
      </c>
      <c r="AM6632">
        <v>95.495396128960394</v>
      </c>
      <c r="AN6632">
        <v>1.0000000476345601</v>
      </c>
    </row>
    <row r="6633" spans="1:40" x14ac:dyDescent="0.25">
      <c r="A6633" t="str">
        <f>"20190303170422393"</f>
        <v>20190303170422393</v>
      </c>
      <c r="B6633" t="str">
        <f>"1551603862382860"</f>
        <v>1551603862382860</v>
      </c>
      <c r="C6633" t="s">
        <v>40</v>
      </c>
      <c r="D6633">
        <v>5.495711</v>
      </c>
      <c r="E6633">
        <v>0.37480920000000001</v>
      </c>
      <c r="F6633" t="s">
        <v>61</v>
      </c>
      <c r="G6633">
        <v>-199.08879999999999</v>
      </c>
      <c r="H6633">
        <v>2.6407319999999999</v>
      </c>
      <c r="I6633">
        <v>-81.816040000000001</v>
      </c>
      <c r="J6633">
        <v>-294.54910000000001</v>
      </c>
      <c r="K6633">
        <v>1.1351929999999999</v>
      </c>
      <c r="L6633">
        <v>-57.362490000000001</v>
      </c>
      <c r="M6633">
        <v>0.76836839999999995</v>
      </c>
      <c r="N6633">
        <v>-1.6236850000000001E-2</v>
      </c>
      <c r="O6633">
        <v>-0.63980199999999998</v>
      </c>
      <c r="P6633">
        <v>0.81223679999999998</v>
      </c>
      <c r="Q6633">
        <v>0.1567943</v>
      </c>
      <c r="R6633">
        <v>-0.56186040000000004</v>
      </c>
      <c r="S6633">
        <v>3.1382750000000001</v>
      </c>
      <c r="T6633">
        <v>4.9422380000000002E-2</v>
      </c>
      <c r="U6633">
        <v>-0.80615230000000004</v>
      </c>
      <c r="V6633">
        <v>-9.3814540000000002E-2</v>
      </c>
      <c r="W6633">
        <v>0.1696414</v>
      </c>
      <c r="X6633">
        <v>0.98103039999999997</v>
      </c>
      <c r="Y6633">
        <v>-0.4282646</v>
      </c>
      <c r="Z6633">
        <v>-1.997579E-2</v>
      </c>
      <c r="AA6633">
        <v>0.90343249999999997</v>
      </c>
      <c r="AB6633">
        <v>31</v>
      </c>
      <c r="AC6633">
        <v>95.460300000000004</v>
      </c>
      <c r="AD6633">
        <v>1.50553899999999</v>
      </c>
      <c r="AE6633">
        <v>-24.45355</v>
      </c>
      <c r="AF6633">
        <v>-42.282056613440098</v>
      </c>
      <c r="AG6633">
        <v>1.50553899999999</v>
      </c>
      <c r="AH6633">
        <v>88.985060339420997</v>
      </c>
      <c r="AI6633">
        <v>89.124495945621703</v>
      </c>
      <c r="AJ6633">
        <v>115.415152890125</v>
      </c>
      <c r="AK6633">
        <v>98.531111445842697</v>
      </c>
      <c r="AL6633">
        <v>80.233030133525006</v>
      </c>
      <c r="AM6633">
        <v>95.462502998191397</v>
      </c>
      <c r="AN6633">
        <v>1.00000000911676</v>
      </c>
    </row>
    <row r="6634" spans="1:40" x14ac:dyDescent="0.25">
      <c r="A6634" t="str">
        <f>"20190303170422408"</f>
        <v>20190303170422408</v>
      </c>
      <c r="B6634" t="str">
        <f>"1551603862392619"</f>
        <v>1551603862392619</v>
      </c>
      <c r="C6634" t="s">
        <v>40</v>
      </c>
      <c r="D6634">
        <v>5.5176319999999999</v>
      </c>
      <c r="E6634">
        <v>0.37608269999999999</v>
      </c>
      <c r="F6634" t="s">
        <v>61</v>
      </c>
      <c r="G6634">
        <v>-209.0249</v>
      </c>
      <c r="H6634">
        <v>1.0154700000000001</v>
      </c>
      <c r="I6634">
        <v>-81.815510000000003</v>
      </c>
      <c r="J6634">
        <v>-294.40609999999998</v>
      </c>
      <c r="K6634">
        <v>1.1350439999999999</v>
      </c>
      <c r="L6634">
        <v>-57.470489999999998</v>
      </c>
      <c r="M6634">
        <v>0.77447690000000002</v>
      </c>
      <c r="N6634">
        <v>-1.619541E-2</v>
      </c>
      <c r="O6634">
        <v>-0.63239499999999904</v>
      </c>
      <c r="P6634">
        <v>0.81685099999999999</v>
      </c>
      <c r="Q6634">
        <v>0.1568002</v>
      </c>
      <c r="R6634">
        <v>-0.55512910000000004</v>
      </c>
      <c r="S6634">
        <v>3.08432</v>
      </c>
      <c r="T6634">
        <v>-4.3175219999999999E-3</v>
      </c>
      <c r="U6634">
        <v>-0.8818665</v>
      </c>
      <c r="V6634">
        <v>-9.2434639999999998E-2</v>
      </c>
      <c r="W6634">
        <v>0.16968699999999901</v>
      </c>
      <c r="X6634">
        <v>0.98115350000000001</v>
      </c>
      <c r="Y6634">
        <v>-0.39509620000000001</v>
      </c>
      <c r="Z6634">
        <v>-6.5933440000000001E-3</v>
      </c>
      <c r="AA6634">
        <v>0.91861610000000005</v>
      </c>
      <c r="AB6634">
        <v>31</v>
      </c>
      <c r="AC6634">
        <v>85.381199999999893</v>
      </c>
      <c r="AD6634">
        <v>-0.119573999999999</v>
      </c>
      <c r="AE6634">
        <v>-24.345020000000002</v>
      </c>
      <c r="AF6634">
        <v>-35.144530525936602</v>
      </c>
      <c r="AG6634">
        <v>-0.119573999999999</v>
      </c>
      <c r="AH6634">
        <v>81.531973424827299</v>
      </c>
      <c r="AI6634">
        <v>90.077165711184307</v>
      </c>
      <c r="AJ6634">
        <v>113.318560904671</v>
      </c>
      <c r="AK6634">
        <v>88.7840921245282</v>
      </c>
      <c r="AL6634">
        <v>80.230379073809203</v>
      </c>
      <c r="AM6634">
        <v>95.381960124499102</v>
      </c>
      <c r="AN6634">
        <v>1.00000001560158</v>
      </c>
    </row>
    <row r="6635" spans="1:40" x14ac:dyDescent="0.25">
      <c r="A6635" t="str">
        <f>"20190303170422419"</f>
        <v>20190303170422419</v>
      </c>
      <c r="B6635" t="str">
        <f>"1551603862412139"</f>
        <v>1551603862412139</v>
      </c>
      <c r="C6635" t="s">
        <v>40</v>
      </c>
      <c r="D6635">
        <v>5.4997780000000001</v>
      </c>
      <c r="E6635">
        <v>0.37797190000000003</v>
      </c>
      <c r="F6635" t="s">
        <v>61</v>
      </c>
      <c r="G6635">
        <v>-207.4854</v>
      </c>
      <c r="H6635">
        <v>0.93714620000000004</v>
      </c>
      <c r="I6635">
        <v>-81.815479999999994</v>
      </c>
      <c r="J6635">
        <v>-294.26670000000001</v>
      </c>
      <c r="K6635">
        <v>1.1348959999999999</v>
      </c>
      <c r="L6635">
        <v>-57.574280000000002</v>
      </c>
      <c r="M6635">
        <v>0.78027679999999999</v>
      </c>
      <c r="N6635">
        <v>-1.6154990000000001E-2</v>
      </c>
      <c r="O6635">
        <v>-0.6252257</v>
      </c>
      <c r="P6635">
        <v>0.82191879999999995</v>
      </c>
      <c r="Q6635">
        <v>0.1564846</v>
      </c>
      <c r="R6635">
        <v>-0.54768819999999996</v>
      </c>
      <c r="S6635">
        <v>3.086487</v>
      </c>
      <c r="T6635">
        <v>-7.0270300000000001E-3</v>
      </c>
      <c r="U6635">
        <v>-0.8644714</v>
      </c>
      <c r="V6635">
        <v>-9.2259629999999995E-2</v>
      </c>
      <c r="W6635">
        <v>0.1693702</v>
      </c>
      <c r="X6635">
        <v>0.98122469999999995</v>
      </c>
      <c r="Y6635">
        <v>-0.39159090000000002</v>
      </c>
      <c r="Z6635">
        <v>-5.8103460000000001E-3</v>
      </c>
      <c r="AA6635">
        <v>0.92012110000000003</v>
      </c>
      <c r="AB6635">
        <v>31</v>
      </c>
      <c r="AC6635">
        <v>86.781300000000002</v>
      </c>
      <c r="AD6635">
        <v>-0.1977498</v>
      </c>
      <c r="AE6635">
        <v>-24.241199999999999</v>
      </c>
      <c r="AF6635">
        <v>-35.3474949179517</v>
      </c>
      <c r="AG6635">
        <v>-0.1977498</v>
      </c>
      <c r="AH6635">
        <v>82.880071191774704</v>
      </c>
      <c r="AI6635">
        <v>90.125747312054798</v>
      </c>
      <c r="AJ6635">
        <v>113.09774738233401</v>
      </c>
      <c r="AK6635">
        <v>90.103222487942503</v>
      </c>
      <c r="AL6635">
        <v>80.248796895165299</v>
      </c>
      <c r="AM6635">
        <v>95.371442408223899</v>
      </c>
      <c r="AN6635">
        <v>1.0000000079329301</v>
      </c>
    </row>
    <row r="6636" spans="1:40" x14ac:dyDescent="0.25">
      <c r="A6636" t="str">
        <f>"20190303170422431"</f>
        <v>20190303170422431</v>
      </c>
      <c r="B6636" t="str">
        <f>"1551603862421899"</f>
        <v>1551603862421899</v>
      </c>
      <c r="C6636" t="s">
        <v>40</v>
      </c>
      <c r="D6636">
        <v>5.4951970000000001</v>
      </c>
      <c r="E6636">
        <v>0.37887569999999998</v>
      </c>
      <c r="F6636" t="s">
        <v>61</v>
      </c>
      <c r="G6636">
        <v>-206.94280000000001</v>
      </c>
      <c r="H6636">
        <v>0.75243280000000001</v>
      </c>
      <c r="I6636">
        <v>-81.599050000000005</v>
      </c>
      <c r="J6636">
        <v>-294.12979999999999</v>
      </c>
      <c r="K6636">
        <v>1.1347480000000001</v>
      </c>
      <c r="L6636">
        <v>-57.674439999999997</v>
      </c>
      <c r="M6636">
        <v>0.78580430000000001</v>
      </c>
      <c r="N6636">
        <v>-1.611435E-2</v>
      </c>
      <c r="O6636">
        <v>-0.61826530000000002</v>
      </c>
      <c r="P6636">
        <v>0.82692019999999899</v>
      </c>
      <c r="Q6636">
        <v>0.15592539999999999</v>
      </c>
      <c r="R6636">
        <v>-0.54026879999999999</v>
      </c>
      <c r="S6636">
        <v>3.0866699999999998</v>
      </c>
      <c r="T6636">
        <v>-1.351893E-2</v>
      </c>
      <c r="U6636">
        <v>-0.84921259999999998</v>
      </c>
      <c r="V6636">
        <v>-9.2351610000000001E-2</v>
      </c>
      <c r="W6636">
        <v>0.16880110000000001</v>
      </c>
      <c r="X6636">
        <v>0.98131409999999997</v>
      </c>
      <c r="Y6636">
        <v>-0.38765460000000002</v>
      </c>
      <c r="Z6636">
        <v>-4.1285619999999997E-3</v>
      </c>
      <c r="AA6636">
        <v>0.92179549999999999</v>
      </c>
      <c r="AB6636">
        <v>31</v>
      </c>
      <c r="AC6636">
        <v>87.186999999999898</v>
      </c>
      <c r="AD6636">
        <v>-0.38231519999999902</v>
      </c>
      <c r="AE6636">
        <v>-23.924610000000001</v>
      </c>
      <c r="AF6636">
        <v>-35.1085653301243</v>
      </c>
      <c r="AG6636">
        <v>-0.38231519999999902</v>
      </c>
      <c r="AH6636">
        <v>83.313001693187402</v>
      </c>
      <c r="AI6636">
        <v>90.242288679083899</v>
      </c>
      <c r="AJ6636">
        <v>112.850830094066</v>
      </c>
      <c r="AK6636">
        <v>90.409146526116601</v>
      </c>
      <c r="AL6636">
        <v>80.281880172375395</v>
      </c>
      <c r="AM6636">
        <v>95.376279235831603</v>
      </c>
      <c r="AN6636">
        <v>0.99999999704480602</v>
      </c>
    </row>
    <row r="6637" spans="1:40" x14ac:dyDescent="0.25">
      <c r="A6637" t="str">
        <f>"20190303170422445"</f>
        <v>20190303170422445</v>
      </c>
      <c r="B6637" t="str">
        <f>"1551603862432635"</f>
        <v>1551603862432635</v>
      </c>
      <c r="C6637" t="s">
        <v>40</v>
      </c>
      <c r="D6637">
        <v>5.5071190000000003</v>
      </c>
      <c r="E6637">
        <v>0.37977139999999998</v>
      </c>
      <c r="F6637" t="s">
        <v>61</v>
      </c>
      <c r="G6637">
        <v>-206.94280000000001</v>
      </c>
      <c r="H6637">
        <v>0.59719469999999997</v>
      </c>
      <c r="I6637">
        <v>-81.022900000000007</v>
      </c>
      <c r="J6637">
        <v>-294.00049999999999</v>
      </c>
      <c r="K6637">
        <v>1.134606</v>
      </c>
      <c r="L6637">
        <v>-57.766910000000003</v>
      </c>
      <c r="M6637">
        <v>0.79084989999999999</v>
      </c>
      <c r="N6637">
        <v>-1.607432E-2</v>
      </c>
      <c r="O6637">
        <v>-0.61179910000000004</v>
      </c>
      <c r="P6637">
        <v>0.83174599999999899</v>
      </c>
      <c r="Q6637">
        <v>0.15530649999999999</v>
      </c>
      <c r="R6637">
        <v>-0.53299049999999903</v>
      </c>
      <c r="S6637">
        <v>3.0907589999999998</v>
      </c>
      <c r="T6637">
        <v>-1.905608E-2</v>
      </c>
      <c r="U6637">
        <v>-0.82769780000000004</v>
      </c>
      <c r="V6637">
        <v>-9.2906180000000005E-2</v>
      </c>
      <c r="W6637">
        <v>0.16815529999999901</v>
      </c>
      <c r="X6637">
        <v>0.98137269999999999</v>
      </c>
      <c r="Y6637">
        <v>-0.38638630000000002</v>
      </c>
      <c r="Z6637">
        <v>-2.6887600000000001E-3</v>
      </c>
      <c r="AA6637">
        <v>0.92233310000000002</v>
      </c>
      <c r="AB6637">
        <v>31</v>
      </c>
      <c r="AC6637">
        <v>87.057699999999897</v>
      </c>
      <c r="AD6637">
        <v>-0.53741130000000004</v>
      </c>
      <c r="AE6637">
        <v>-23.255990000000001</v>
      </c>
      <c r="AF6637">
        <v>-34.873089020462203</v>
      </c>
      <c r="AG6637">
        <v>-0.53741130000000004</v>
      </c>
      <c r="AH6637">
        <v>83.085343300406393</v>
      </c>
      <c r="AI6637">
        <v>90.341715600325799</v>
      </c>
      <c r="AJ6637">
        <v>112.769065428524</v>
      </c>
      <c r="AK6637">
        <v>90.108797684137599</v>
      </c>
      <c r="AL6637">
        <v>80.319419092691305</v>
      </c>
      <c r="AM6637">
        <v>95.408051811694193</v>
      </c>
      <c r="AN6637">
        <v>1.00000006975278</v>
      </c>
    </row>
    <row r="6638" spans="1:40" x14ac:dyDescent="0.25">
      <c r="A6638" t="str">
        <f>"20190303170422457"</f>
        <v>20190303170422457</v>
      </c>
      <c r="B6638" t="str">
        <f>"1551603862442395"</f>
        <v>1551603862442395</v>
      </c>
      <c r="C6638" t="s">
        <v>40</v>
      </c>
      <c r="D6638">
        <v>5.5115610000000004</v>
      </c>
      <c r="E6638">
        <v>0.37977139999999998</v>
      </c>
      <c r="F6638" t="s">
        <v>61</v>
      </c>
      <c r="G6638">
        <v>-205.1035</v>
      </c>
      <c r="H6638">
        <v>0.43555450000000001</v>
      </c>
      <c r="I6638">
        <v>-80.948779999999999</v>
      </c>
      <c r="J6638">
        <v>-293.8732</v>
      </c>
      <c r="K6638">
        <v>1.134466</v>
      </c>
      <c r="L6638">
        <v>-57.85718</v>
      </c>
      <c r="M6638">
        <v>0.79572219999999905</v>
      </c>
      <c r="N6638">
        <v>-1.60360999999999E-2</v>
      </c>
      <c r="O6638">
        <v>-0.60544969999999998</v>
      </c>
      <c r="P6638">
        <v>0.83625419999999995</v>
      </c>
      <c r="Q6638">
        <v>0.154704799999999</v>
      </c>
      <c r="R6638">
        <v>-0.52606640000000005</v>
      </c>
      <c r="S6638">
        <v>3.0943299999999998</v>
      </c>
      <c r="T6638">
        <v>-2.4332400000000001E-2</v>
      </c>
      <c r="U6638">
        <v>-0.8069153</v>
      </c>
      <c r="V6638">
        <v>-9.3188469999999995E-2</v>
      </c>
      <c r="W6638">
        <v>0.16753760000000001</v>
      </c>
      <c r="X6638">
        <v>0.98145150000000003</v>
      </c>
      <c r="Y6638">
        <v>-0.3850616</v>
      </c>
      <c r="Z6638">
        <v>-1.3343960000000001E-3</v>
      </c>
      <c r="AA6638">
        <v>0.92288990000000004</v>
      </c>
      <c r="AB6638">
        <v>31</v>
      </c>
      <c r="AC6638">
        <v>88.7697</v>
      </c>
      <c r="AD6638">
        <v>-0.69891149999999902</v>
      </c>
      <c r="AE6638">
        <v>-23.0916</v>
      </c>
      <c r="AF6638">
        <v>-35.373578933194104</v>
      </c>
      <c r="AG6638">
        <v>-0.69891149999999902</v>
      </c>
      <c r="AH6638">
        <v>84.622778686439801</v>
      </c>
      <c r="AI6638">
        <v>90.436595157211897</v>
      </c>
      <c r="AJ6638">
        <v>112.685652296238</v>
      </c>
      <c r="AK6638">
        <v>91.721280172280203</v>
      </c>
      <c r="AL6638">
        <v>80.355319263546903</v>
      </c>
      <c r="AM6638">
        <v>95.423953074089397</v>
      </c>
      <c r="AN6638">
        <v>0.99999999260347505</v>
      </c>
    </row>
    <row r="6639" spans="1:40" x14ac:dyDescent="0.25">
      <c r="A6639" t="str">
        <f>"20190303170422467"</f>
        <v>20190303170422467</v>
      </c>
      <c r="B6639" t="str">
        <f>"1551603862461916"</f>
        <v>1551603862461916</v>
      </c>
      <c r="C6639" t="s">
        <v>40</v>
      </c>
      <c r="D6639">
        <v>5.5057700000000001</v>
      </c>
      <c r="E6639">
        <v>0.39022459999999998</v>
      </c>
      <c r="F6639" t="s">
        <v>61</v>
      </c>
      <c r="G6639">
        <v>-198.7876</v>
      </c>
      <c r="H6639">
        <v>0.31172470000000002</v>
      </c>
      <c r="I6639">
        <v>-81.815269999999998</v>
      </c>
      <c r="J6639">
        <v>-293.74400000000003</v>
      </c>
      <c r="K6639">
        <v>1.134323</v>
      </c>
      <c r="L6639">
        <v>-57.9465</v>
      </c>
      <c r="M6639">
        <v>0.80048350000000001</v>
      </c>
      <c r="N6639">
        <v>-1.5995829999999999E-2</v>
      </c>
      <c r="O6639">
        <v>-0.59914149999999999</v>
      </c>
      <c r="P6639">
        <v>0.84051830000000005</v>
      </c>
      <c r="Q6639">
        <v>0.15447369999999999</v>
      </c>
      <c r="R6639">
        <v>-0.51929499999999995</v>
      </c>
      <c r="S6639">
        <v>3.1008909999999998</v>
      </c>
      <c r="T6639">
        <v>-2.683079E-2</v>
      </c>
      <c r="U6639">
        <v>-0.78131099999999998</v>
      </c>
      <c r="V6639">
        <v>-9.3315449999999994E-2</v>
      </c>
      <c r="W6639">
        <v>0.16729459999999999</v>
      </c>
      <c r="X6639">
        <v>0.98148089999999999</v>
      </c>
      <c r="Y6639">
        <v>-0.38539499999999999</v>
      </c>
      <c r="Z6639">
        <v>-6.4398509999999995E-4</v>
      </c>
      <c r="AA6639">
        <v>0.92275149999999995</v>
      </c>
      <c r="AB6639">
        <v>31</v>
      </c>
      <c r="AC6639">
        <v>94.956400000000002</v>
      </c>
      <c r="AD6639">
        <v>-0.82259829999999901</v>
      </c>
      <c r="AE6639">
        <v>-23.868770000000001</v>
      </c>
      <c r="AF6639">
        <v>-37.787926581031599</v>
      </c>
      <c r="AG6639">
        <v>-0.82259829999999901</v>
      </c>
      <c r="AH6639">
        <v>90.316972349218304</v>
      </c>
      <c r="AI6639">
        <v>90.481395785824404</v>
      </c>
      <c r="AJ6639">
        <v>112.704059277288</v>
      </c>
      <c r="AK6639">
        <v>97.906892288470004</v>
      </c>
      <c r="AL6639">
        <v>80.369441591449601</v>
      </c>
      <c r="AM6639">
        <v>95.431137947326306</v>
      </c>
      <c r="AN6639">
        <v>1.0000000067313299</v>
      </c>
    </row>
    <row r="6640" spans="1:40" x14ac:dyDescent="0.25">
      <c r="A6640" t="str">
        <f>"20190303170422486"</f>
        <v>20190303170422486</v>
      </c>
      <c r="B6640" t="str">
        <f>"1551603862472651"</f>
        <v>1551603862472651</v>
      </c>
      <c r="C6640" t="s">
        <v>40</v>
      </c>
      <c r="D6640">
        <v>5.5096600000000002</v>
      </c>
      <c r="E6640">
        <v>0.39120559999999899</v>
      </c>
      <c r="F6640" t="s">
        <v>112</v>
      </c>
      <c r="G6640">
        <v>-238.6696</v>
      </c>
      <c r="H6640">
        <v>7.9986870000000002E-2</v>
      </c>
      <c r="I6640">
        <v>-72.819980000000001</v>
      </c>
      <c r="J6640">
        <v>-293.55029999999999</v>
      </c>
      <c r="K6640">
        <v>1.13411</v>
      </c>
      <c r="L6640">
        <v>-58.078279999999999</v>
      </c>
      <c r="M6640">
        <v>0.80741149999999995</v>
      </c>
      <c r="N6640">
        <v>-1.5936390000000002E-2</v>
      </c>
      <c r="O6640">
        <v>-0.58977360000000001</v>
      </c>
      <c r="P6640">
        <v>0.84610949999999996</v>
      </c>
      <c r="Q6640">
        <v>0.1545154</v>
      </c>
      <c r="R6640">
        <v>-0.51012120000000005</v>
      </c>
      <c r="S6640">
        <v>3.0681150000000001</v>
      </c>
      <c r="T6640">
        <v>-5.8735490000000001E-2</v>
      </c>
      <c r="U6640">
        <v>-0.82858279999999995</v>
      </c>
      <c r="V6640">
        <v>-9.2459449999999999E-2</v>
      </c>
      <c r="W6640">
        <v>0.16735239999999901</v>
      </c>
      <c r="X6640">
        <v>0.98155210000000004</v>
      </c>
      <c r="Y6640">
        <v>-0.35880600000000001</v>
      </c>
      <c r="Z6640">
        <v>6.6580290000000002E-3</v>
      </c>
      <c r="AA6640">
        <v>0.93338840000000001</v>
      </c>
      <c r="AB6640">
        <v>31</v>
      </c>
      <c r="AC6640">
        <v>54.880699999999898</v>
      </c>
      <c r="AD6640">
        <v>-1.05412313</v>
      </c>
      <c r="AE6640">
        <v>-14.7416999999999</v>
      </c>
      <c r="AF6640">
        <v>-20.460126685610302</v>
      </c>
      <c r="AG6640">
        <v>-1.05412313</v>
      </c>
      <c r="AH6640">
        <v>52.994065354412903</v>
      </c>
      <c r="AI6640">
        <v>91.063078846498001</v>
      </c>
      <c r="AJ6640">
        <v>111.11074487843</v>
      </c>
      <c r="AK6640">
        <v>56.816361396627798</v>
      </c>
      <c r="AL6640">
        <v>80.366082963859199</v>
      </c>
      <c r="AM6640">
        <v>95.381222872849705</v>
      </c>
      <c r="AN6640">
        <v>1.0000000503472299</v>
      </c>
    </row>
    <row r="6641" spans="1:40" x14ac:dyDescent="0.25">
      <c r="A6641" t="str">
        <f>"20190303170422499"</f>
        <v>20190303170422499</v>
      </c>
      <c r="B6641" t="str">
        <f>"1551603862492171"</f>
        <v>1551603862492171</v>
      </c>
      <c r="C6641" t="s">
        <v>40</v>
      </c>
      <c r="D6641">
        <v>5.5368110000000001</v>
      </c>
      <c r="E6641">
        <v>0.39162360000000002</v>
      </c>
      <c r="F6641" t="s">
        <v>113</v>
      </c>
      <c r="G6641">
        <v>-240.8357</v>
      </c>
      <c r="H6641">
        <v>7.9987669999999997E-2</v>
      </c>
      <c r="I6641">
        <v>-71.831990000000005</v>
      </c>
      <c r="J6641">
        <v>-293.40010000000001</v>
      </c>
      <c r="K6641">
        <v>1.13395</v>
      </c>
      <c r="L6641">
        <v>-58.178469999999997</v>
      </c>
      <c r="M6641">
        <v>0.81260140000000003</v>
      </c>
      <c r="N6641">
        <v>-1.589082E-2</v>
      </c>
      <c r="O6641">
        <v>-0.58260330000000005</v>
      </c>
      <c r="P6641">
        <v>0.850402199999999</v>
      </c>
      <c r="Q6641">
        <v>0.15422810000000001</v>
      </c>
      <c r="R6641">
        <v>-0.50302089999999999</v>
      </c>
      <c r="S6641">
        <v>3.0733950000000001</v>
      </c>
      <c r="T6641">
        <v>-6.1457989999999997E-2</v>
      </c>
      <c r="U6641">
        <v>-0.80187989999999998</v>
      </c>
      <c r="V6641">
        <v>-9.1937770000000002E-2</v>
      </c>
      <c r="W6641">
        <v>0.1670731</v>
      </c>
      <c r="X6641">
        <v>0.98164859999999998</v>
      </c>
      <c r="Y6641">
        <v>-0.35851470000000002</v>
      </c>
      <c r="Z6641">
        <v>7.3240029999999999E-3</v>
      </c>
      <c r="AA6641">
        <v>0.93349530000000003</v>
      </c>
      <c r="AB6641">
        <v>31</v>
      </c>
      <c r="AC6641">
        <v>52.564399999999999</v>
      </c>
      <c r="AD6641">
        <v>-1.0539623300000001</v>
      </c>
      <c r="AE6641">
        <v>-13.65352</v>
      </c>
      <c r="AF6641">
        <v>-19.5244346795685</v>
      </c>
      <c r="AG6641">
        <v>-1.0539623300000001</v>
      </c>
      <c r="AH6641">
        <v>50.655807046088299</v>
      </c>
      <c r="AI6641">
        <v>91.112211307782601</v>
      </c>
      <c r="AJ6641">
        <v>111.07832368291599</v>
      </c>
      <c r="AK6641">
        <v>54.298482240669699</v>
      </c>
      <c r="AL6641">
        <v>80.382313456086905</v>
      </c>
      <c r="AM6641">
        <v>95.350514393646705</v>
      </c>
      <c r="AN6641">
        <v>0.99999997408907104</v>
      </c>
    </row>
    <row r="6642" spans="1:40" x14ac:dyDescent="0.25">
      <c r="A6642" t="str">
        <f>"20190303170422511"</f>
        <v>20190303170422511</v>
      </c>
      <c r="B6642" t="str">
        <f>"1551603862501931"</f>
        <v>1551603862501931</v>
      </c>
      <c r="C6642" t="s">
        <v>40</v>
      </c>
      <c r="D6642">
        <v>5.5365140000000004</v>
      </c>
      <c r="E6642">
        <v>0.40034439999999999</v>
      </c>
      <c r="F6642" t="s">
        <v>112</v>
      </c>
      <c r="G6642">
        <v>-238.9632</v>
      </c>
      <c r="H6642">
        <v>7.9986760000000004E-2</v>
      </c>
      <c r="I6642">
        <v>-71.949550000000002</v>
      </c>
      <c r="J6642">
        <v>-293.25400000000002</v>
      </c>
      <c r="K6642">
        <v>1.1337950000000001</v>
      </c>
      <c r="L6642">
        <v>-58.274079999999998</v>
      </c>
      <c r="M6642">
        <v>0.8174882</v>
      </c>
      <c r="N6642">
        <v>-1.5846450000000002E-2</v>
      </c>
      <c r="O6642">
        <v>-0.5757274</v>
      </c>
      <c r="P6642">
        <v>0.8543984</v>
      </c>
      <c r="Q6642">
        <v>0.15401860000000001</v>
      </c>
      <c r="R6642">
        <v>-0.49626799999999999</v>
      </c>
      <c r="S6642">
        <v>3.0780029999999998</v>
      </c>
      <c r="T6642">
        <v>-5.9593800000000002E-2</v>
      </c>
      <c r="U6642">
        <v>-0.77865600000000001</v>
      </c>
      <c r="V6642">
        <v>-9.1380130000000004E-2</v>
      </c>
      <c r="W6642">
        <v>0.1668724</v>
      </c>
      <c r="X6642">
        <v>0.98173480000000002</v>
      </c>
      <c r="Y6642">
        <v>-0.35759400000000002</v>
      </c>
      <c r="Z6642">
        <v>6.9154180000000004E-3</v>
      </c>
      <c r="AA6642">
        <v>0.93385149999999995</v>
      </c>
      <c r="AB6642">
        <v>31</v>
      </c>
      <c r="AC6642">
        <v>54.290799999999997</v>
      </c>
      <c r="AD6642">
        <v>-1.05380824</v>
      </c>
      <c r="AE6642">
        <v>-13.675469999999899</v>
      </c>
      <c r="AF6642">
        <v>-20.0725745441584</v>
      </c>
      <c r="AG6642">
        <v>-1.05380824</v>
      </c>
      <c r="AH6642">
        <v>52.243481427587596</v>
      </c>
      <c r="AI6642">
        <v>91.078703161694406</v>
      </c>
      <c r="AJ6642">
        <v>111.01737641624899</v>
      </c>
      <c r="AK6642">
        <v>55.9767819038589</v>
      </c>
      <c r="AL6642">
        <v>80.393976427845203</v>
      </c>
      <c r="AM6642">
        <v>95.317783706866393</v>
      </c>
      <c r="AN6642">
        <v>0.99999997178580802</v>
      </c>
    </row>
    <row r="6643" spans="1:40" x14ac:dyDescent="0.25">
      <c r="A6643" t="str">
        <f>"20190303170422526"</f>
        <v>20190303170422526</v>
      </c>
      <c r="B6643" t="str">
        <f>"1551603862523001"</f>
        <v>1551603862523001</v>
      </c>
      <c r="C6643" t="s">
        <v>40</v>
      </c>
      <c r="D6643">
        <v>5.5153040000000004</v>
      </c>
      <c r="E6643">
        <v>0.40075329999999998</v>
      </c>
      <c r="F6643" t="s">
        <v>114</v>
      </c>
      <c r="G6643">
        <v>-251.66120000000001</v>
      </c>
      <c r="H6643" s="1">
        <v>-1.7906540000000001E-6</v>
      </c>
      <c r="I6643">
        <v>-69.377740000000003</v>
      </c>
      <c r="J6643">
        <v>-293.09379999999999</v>
      </c>
      <c r="K6643">
        <v>1.1336250000000001</v>
      </c>
      <c r="L6643">
        <v>-58.376710000000003</v>
      </c>
      <c r="M6643">
        <v>0.82266399999999995</v>
      </c>
      <c r="N6643">
        <v>-1.5797749999999999E-2</v>
      </c>
      <c r="O6643">
        <v>-0.56830849999999999</v>
      </c>
      <c r="P6643">
        <v>0.85884839999999996</v>
      </c>
      <c r="Q6643">
        <v>0.15369820000000001</v>
      </c>
      <c r="R6643">
        <v>-0.4886276</v>
      </c>
      <c r="S6643">
        <v>3.0528870000000001</v>
      </c>
      <c r="T6643">
        <v>-8.3220009999999997E-2</v>
      </c>
      <c r="U6643">
        <v>-0.81500240000000002</v>
      </c>
      <c r="V6643">
        <v>-9.120499E-2</v>
      </c>
      <c r="W6643">
        <v>0.16654749999999999</v>
      </c>
      <c r="X6643">
        <v>0.98180630000000002</v>
      </c>
      <c r="Y6643">
        <v>-0.33673829999999999</v>
      </c>
      <c r="Z6643">
        <v>1.199948E-2</v>
      </c>
      <c r="AA6643">
        <v>0.94152179999999996</v>
      </c>
      <c r="AB6643">
        <v>31</v>
      </c>
      <c r="AC6643">
        <v>41.432599999999901</v>
      </c>
      <c r="AD6643">
        <v>-1.1336267906540001</v>
      </c>
      <c r="AE6643">
        <v>-11.00103</v>
      </c>
      <c r="AF6643">
        <v>-14.4880237706576</v>
      </c>
      <c r="AG6643">
        <v>-1.1336267906540001</v>
      </c>
      <c r="AH6643">
        <v>40.313926194287703</v>
      </c>
      <c r="AI6643">
        <v>91.515862075974098</v>
      </c>
      <c r="AJ6643">
        <v>109.767428650155</v>
      </c>
      <c r="AK6643">
        <v>42.853244774207099</v>
      </c>
      <c r="AL6643">
        <v>80.412856450239701</v>
      </c>
      <c r="AM6643">
        <v>95.307265535420498</v>
      </c>
      <c r="AN6643">
        <v>1.0000000153384101</v>
      </c>
    </row>
    <row r="6644" spans="1:40" x14ac:dyDescent="0.25">
      <c r="A6644" t="str">
        <f>"20190303170422540"</f>
        <v>20190303170422540</v>
      </c>
      <c r="B6644" t="str">
        <f>"1551603862532187"</f>
        <v>1551603862532187</v>
      </c>
      <c r="C6644" t="s">
        <v>40</v>
      </c>
      <c r="D6644">
        <v>5.5175780000000003</v>
      </c>
      <c r="E6644">
        <v>0.4012307</v>
      </c>
      <c r="F6644" t="s">
        <v>114</v>
      </c>
      <c r="G6644">
        <v>-252.06020000000001</v>
      </c>
      <c r="H6644" s="1">
        <v>-1.8746579999999999E-6</v>
      </c>
      <c r="I6644">
        <v>-68.990430000000003</v>
      </c>
      <c r="J6644">
        <v>-292.92500000000001</v>
      </c>
      <c r="K6644">
        <v>1.1334489999999999</v>
      </c>
      <c r="L6644">
        <v>-58.483029999999999</v>
      </c>
      <c r="M6644">
        <v>0.82794500000000004</v>
      </c>
      <c r="N6644">
        <v>-1.5747199999999999E-2</v>
      </c>
      <c r="O6644">
        <v>-0.56058830000000004</v>
      </c>
      <c r="P6644">
        <v>0.86368199999999995</v>
      </c>
      <c r="Q6644">
        <v>0.15318989999999999</v>
      </c>
      <c r="R6644">
        <v>-0.48019440000000002</v>
      </c>
      <c r="S6644">
        <v>3.0581360000000002</v>
      </c>
      <c r="T6644">
        <v>-8.4486599999999995E-2</v>
      </c>
      <c r="U6644">
        <v>-0.79101560000000004</v>
      </c>
      <c r="V6644">
        <v>-9.1592969999999996E-2</v>
      </c>
      <c r="W6644">
        <v>0.1660171</v>
      </c>
      <c r="X6644">
        <v>0.98185999999999996</v>
      </c>
      <c r="Y6644">
        <v>-0.33523530000000001</v>
      </c>
      <c r="Z6644">
        <v>1.223715E-2</v>
      </c>
      <c r="AA6644">
        <v>0.94205499999999998</v>
      </c>
      <c r="AB6644">
        <v>31</v>
      </c>
      <c r="AC6644">
        <v>40.864800000000002</v>
      </c>
      <c r="AD6644">
        <v>-1.1334508746580001</v>
      </c>
      <c r="AE6644">
        <v>-10.507399999999899</v>
      </c>
      <c r="AF6644">
        <v>-14.200293424753299</v>
      </c>
      <c r="AG6644">
        <v>-1.1334508746580001</v>
      </c>
      <c r="AH6644">
        <v>39.700407519207403</v>
      </c>
      <c r="AI6644">
        <v>91.539865828139597</v>
      </c>
      <c r="AJ6644">
        <v>109.681435986605</v>
      </c>
      <c r="AK6644">
        <v>42.178850167180897</v>
      </c>
      <c r="AL6644">
        <v>80.443675080810195</v>
      </c>
      <c r="AM6644">
        <v>95.329422739049505</v>
      </c>
      <c r="AN6644">
        <v>1.0000000046229101</v>
      </c>
    </row>
    <row r="6645" spans="1:40" x14ac:dyDescent="0.25">
      <c r="A6645" t="str">
        <f>"20190303170422551"</f>
        <v>20190303170422551</v>
      </c>
      <c r="B6645" t="str">
        <f>"1551603862542924"</f>
        <v>1551603862542924</v>
      </c>
      <c r="C6645" t="s">
        <v>40</v>
      </c>
      <c r="D6645">
        <v>5.5221150000000003</v>
      </c>
      <c r="E6645">
        <v>0.40209099999999998</v>
      </c>
      <c r="F6645" t="s">
        <v>114</v>
      </c>
      <c r="G6645">
        <v>-253.94110000000001</v>
      </c>
      <c r="H6645" s="1">
        <v>-2.4122029999999998E-6</v>
      </c>
      <c r="I6645">
        <v>-68.223280000000003</v>
      </c>
      <c r="J6645">
        <v>-292.7928</v>
      </c>
      <c r="K6645">
        <v>1.1333059999999999</v>
      </c>
      <c r="L6645">
        <v>-58.564970000000002</v>
      </c>
      <c r="M6645">
        <v>0.83195980000000003</v>
      </c>
      <c r="N6645">
        <v>-1.570788E-2</v>
      </c>
      <c r="O6645">
        <v>-0.55461380000000005</v>
      </c>
      <c r="P6645">
        <v>0.86730169999999995</v>
      </c>
      <c r="Q6645">
        <v>0.1539855</v>
      </c>
      <c r="R6645">
        <v>-0.4733675</v>
      </c>
      <c r="S6645">
        <v>3.0636899999999998</v>
      </c>
      <c r="T6645">
        <v>-8.9076279999999994E-2</v>
      </c>
      <c r="U6645">
        <v>-0.76547240000000005</v>
      </c>
      <c r="V6645">
        <v>-9.2153879999999994E-2</v>
      </c>
      <c r="W6645">
        <v>0.16678680000000001</v>
      </c>
      <c r="X6645">
        <v>0.98167709999999997</v>
      </c>
      <c r="Y6645">
        <v>-0.33622079999999999</v>
      </c>
      <c r="Z6645">
        <v>1.3256530000000001E-2</v>
      </c>
      <c r="AA6645">
        <v>0.94168980000000002</v>
      </c>
      <c r="AB6645">
        <v>30</v>
      </c>
      <c r="AC6645">
        <v>38.851700000000001</v>
      </c>
      <c r="AD6645">
        <v>-1.1333084122029999</v>
      </c>
      <c r="AE6645">
        <v>-9.6583100000000002</v>
      </c>
      <c r="AF6645">
        <v>-13.5032074271966</v>
      </c>
      <c r="AG6645">
        <v>-1.1333084122029999</v>
      </c>
      <c r="AH6645">
        <v>37.6541530608377</v>
      </c>
      <c r="AI6645">
        <v>91.622823452278098</v>
      </c>
      <c r="AJ6645">
        <v>109.728410874435</v>
      </c>
      <c r="AK6645">
        <v>40.0181988788609</v>
      </c>
      <c r="AL6645">
        <v>80.398951429026994</v>
      </c>
      <c r="AM6645">
        <v>95.362863336963699</v>
      </c>
      <c r="AN6645">
        <v>1.0000000514588501</v>
      </c>
    </row>
    <row r="6646" spans="1:40" x14ac:dyDescent="0.25">
      <c r="A6646" t="str">
        <f>"20190303170422564"</f>
        <v>20190303170422564</v>
      </c>
      <c r="B6646" t="str">
        <f>"1551603862552684"</f>
        <v>1551603862552684</v>
      </c>
      <c r="C6646" t="s">
        <v>40</v>
      </c>
      <c r="D6646">
        <v>5.5083799999999998</v>
      </c>
      <c r="E6646">
        <v>0.40277689999999999</v>
      </c>
      <c r="F6646" t="s">
        <v>114</v>
      </c>
      <c r="G6646">
        <v>-253.7004</v>
      </c>
      <c r="H6646" s="1">
        <v>-2.3134370000000001E-6</v>
      </c>
      <c r="I6646">
        <v>-68.097259999999906</v>
      </c>
      <c r="J6646">
        <v>-292.66199999999998</v>
      </c>
      <c r="K6646">
        <v>1.1331659999999999</v>
      </c>
      <c r="L6646">
        <v>-58.644440000000003</v>
      </c>
      <c r="M6646">
        <v>0.83580399999999999</v>
      </c>
      <c r="N6646">
        <v>-1.5667839999999999E-2</v>
      </c>
      <c r="O6646">
        <v>-0.54880439999999997</v>
      </c>
      <c r="P6646">
        <v>0.87064399999999997</v>
      </c>
      <c r="Q6646">
        <v>0.15457299999999999</v>
      </c>
      <c r="R6646">
        <v>-0.4669973</v>
      </c>
      <c r="S6646">
        <v>3.0666500000000001</v>
      </c>
      <c r="T6646">
        <v>-8.8903780000000002E-2</v>
      </c>
      <c r="U6646">
        <v>-0.7477722</v>
      </c>
      <c r="V6646">
        <v>-9.2409279999999996E-2</v>
      </c>
      <c r="W6646">
        <v>0.1673576</v>
      </c>
      <c r="X6646">
        <v>0.98155590000000004</v>
      </c>
      <c r="Y6646">
        <v>-0.33499800000000002</v>
      </c>
      <c r="Z6646">
        <v>1.317547E-2</v>
      </c>
      <c r="AA6646">
        <v>0.94212669999999998</v>
      </c>
      <c r="AB6646">
        <v>30</v>
      </c>
      <c r="AC6646">
        <v>38.961599999999997</v>
      </c>
      <c r="AD6646">
        <v>-1.1331683134370001</v>
      </c>
      <c r="AE6646">
        <v>-9.4528199999999796</v>
      </c>
      <c r="AF6646">
        <v>-13.472484528268</v>
      </c>
      <c r="AG6646">
        <v>-1.1331683134370001</v>
      </c>
      <c r="AH6646">
        <v>37.7265049325961</v>
      </c>
      <c r="AI6646">
        <v>91.620284240262094</v>
      </c>
      <c r="AJ6646">
        <v>109.652117185561</v>
      </c>
      <c r="AK6646">
        <v>40.075941463928203</v>
      </c>
      <c r="AL6646">
        <v>80.365780401207203</v>
      </c>
      <c r="AM6646">
        <v>95.378299361344602</v>
      </c>
      <c r="AN6646">
        <v>1.00000001306634</v>
      </c>
    </row>
    <row r="6647" spans="1:40" x14ac:dyDescent="0.25">
      <c r="A6647" t="str">
        <f>"20190303170422574"</f>
        <v>20190303170422574</v>
      </c>
      <c r="B6647" t="str">
        <f>"1551603862562443"</f>
        <v>1551603862562443</v>
      </c>
      <c r="C6647" t="s">
        <v>40</v>
      </c>
      <c r="D6647">
        <v>5.5302989999999896</v>
      </c>
      <c r="E6647">
        <v>0.40277689999999999</v>
      </c>
      <c r="F6647" t="s">
        <v>114</v>
      </c>
      <c r="G6647">
        <v>-253.30500000000001</v>
      </c>
      <c r="H6647" s="1">
        <v>-2.1668690000000002E-6</v>
      </c>
      <c r="I6647">
        <v>-68.007509999999996</v>
      </c>
      <c r="J6647">
        <v>-292.54070000000002</v>
      </c>
      <c r="K6647">
        <v>1.1330340000000001</v>
      </c>
      <c r="L6647">
        <v>-58.717619999999997</v>
      </c>
      <c r="M6647">
        <v>0.83930709999999997</v>
      </c>
      <c r="N6647">
        <v>-1.5632009999999998E-2</v>
      </c>
      <c r="O6647">
        <v>-0.54343319999999995</v>
      </c>
      <c r="P6647">
        <v>0.87362850000000003</v>
      </c>
      <c r="Q6647">
        <v>0.15522159999999999</v>
      </c>
      <c r="R6647">
        <v>-0.46117239999999998</v>
      </c>
      <c r="S6647">
        <v>3.0697019999999999</v>
      </c>
      <c r="T6647">
        <v>-8.8382959999999997E-2</v>
      </c>
      <c r="U6647">
        <v>-0.73028559999999998</v>
      </c>
      <c r="V6647">
        <v>-9.2569020000000002E-2</v>
      </c>
      <c r="W6647">
        <v>0.16799410000000001</v>
      </c>
      <c r="X6647">
        <v>0.98143210000000003</v>
      </c>
      <c r="Y6647">
        <v>-0.33424680000000001</v>
      </c>
      <c r="Z6647">
        <v>1.3027489999999999E-2</v>
      </c>
      <c r="AA6647">
        <v>0.9423956</v>
      </c>
      <c r="AB6647">
        <v>30</v>
      </c>
      <c r="AC6647">
        <v>39.235700000000001</v>
      </c>
      <c r="AD6647">
        <v>-1.1330361668690001</v>
      </c>
      <c r="AE6647">
        <v>-9.2898899999999998</v>
      </c>
      <c r="AF6647">
        <v>-13.5158885149493</v>
      </c>
      <c r="AG6647">
        <v>-1.1330361668690001</v>
      </c>
      <c r="AH6647">
        <v>37.953899199445097</v>
      </c>
      <c r="AI6647">
        <v>91.610901238413106</v>
      </c>
      <c r="AJ6647">
        <v>109.601491021784</v>
      </c>
      <c r="AK6647">
        <v>40.3046086415141</v>
      </c>
      <c r="AL6647">
        <v>80.328787815858405</v>
      </c>
      <c r="AM6647">
        <v>95.388217305834303</v>
      </c>
      <c r="AN6647">
        <v>1.0000000040044901</v>
      </c>
    </row>
    <row r="6648" spans="1:40" x14ac:dyDescent="0.25">
      <c r="A6648" t="str">
        <f>"20190303170422585"</f>
        <v>20190303170422585</v>
      </c>
      <c r="B6648" t="str">
        <f>"1551603862572205"</f>
        <v>1551603862572205</v>
      </c>
      <c r="C6648" t="s">
        <v>40</v>
      </c>
      <c r="D6648">
        <v>5.5525520000000004</v>
      </c>
      <c r="E6648">
        <v>0.41018979999999999</v>
      </c>
      <c r="F6648" t="s">
        <v>114</v>
      </c>
      <c r="G6648">
        <v>-251.9494</v>
      </c>
      <c r="H6648" s="1">
        <v>-1.6849040000000001E-6</v>
      </c>
      <c r="I6648">
        <v>-68.084859999999907</v>
      </c>
      <c r="J6648">
        <v>-292.41550000000001</v>
      </c>
      <c r="K6648">
        <v>1.13289</v>
      </c>
      <c r="L6648">
        <v>-58.791319999999899</v>
      </c>
      <c r="M6648">
        <v>0.84279009999999999</v>
      </c>
      <c r="N6648">
        <v>-1.559367E-2</v>
      </c>
      <c r="O6648">
        <v>-0.53801669999999902</v>
      </c>
      <c r="P6648">
        <v>0.8766931</v>
      </c>
      <c r="Q6648">
        <v>0.1555443</v>
      </c>
      <c r="R6648">
        <v>-0.45520949999999999</v>
      </c>
      <c r="S6648">
        <v>3.074646</v>
      </c>
      <c r="T6648">
        <v>-8.5823300000000005E-2</v>
      </c>
      <c r="U6648">
        <v>-0.70953369999999905</v>
      </c>
      <c r="V6648">
        <v>-9.2852829999999997E-2</v>
      </c>
      <c r="W6648">
        <v>0.16830100000000001</v>
      </c>
      <c r="X6648">
        <v>0.98135269999999997</v>
      </c>
      <c r="Y6648">
        <v>-0.33456140000000001</v>
      </c>
      <c r="Z6648">
        <v>1.245359E-2</v>
      </c>
      <c r="AA6648">
        <v>0.94229169999999995</v>
      </c>
      <c r="AB6648">
        <v>30</v>
      </c>
      <c r="AC6648">
        <v>40.466099999999997</v>
      </c>
      <c r="AD6648">
        <v>-1.1328916849040001</v>
      </c>
      <c r="AE6648">
        <v>-9.2935400000000001</v>
      </c>
      <c r="AF6648">
        <v>-13.930255890323201</v>
      </c>
      <c r="AG6648">
        <v>-1.1328916849040001</v>
      </c>
      <c r="AH6648">
        <v>39.080162261713802</v>
      </c>
      <c r="AI6648">
        <v>91.564132106780903</v>
      </c>
      <c r="AJ6648">
        <v>109.61878102169</v>
      </c>
      <c r="AK6648">
        <v>41.504151059159</v>
      </c>
      <c r="AL6648">
        <v>80.310949703393604</v>
      </c>
      <c r="AM6648">
        <v>95.405074215209297</v>
      </c>
      <c r="AN6648">
        <v>0.99999999821864904</v>
      </c>
    </row>
    <row r="6649" spans="1:40" x14ac:dyDescent="0.25">
      <c r="A6649" t="str">
        <f>"20190303170422599"</f>
        <v>20190303170422599</v>
      </c>
      <c r="B6649" t="str">
        <f>"1551603862592700"</f>
        <v>1551603862592700</v>
      </c>
      <c r="C6649" t="s">
        <v>40</v>
      </c>
      <c r="D6649">
        <v>5.5951919999999999</v>
      </c>
      <c r="E6649">
        <v>0.41226210000000002</v>
      </c>
      <c r="F6649" t="s">
        <v>114</v>
      </c>
      <c r="G6649">
        <v>-253.26499999999999</v>
      </c>
      <c r="H6649" s="1">
        <v>-2.191275E-6</v>
      </c>
      <c r="I6649">
        <v>-68.291790000000006</v>
      </c>
      <c r="J6649">
        <v>-292.26620000000003</v>
      </c>
      <c r="K6649">
        <v>1.1327179999999999</v>
      </c>
      <c r="L6649">
        <v>-58.878570000000003</v>
      </c>
      <c r="M6649">
        <v>0.84686070000000002</v>
      </c>
      <c r="N6649">
        <v>-1.554943E-2</v>
      </c>
      <c r="O6649">
        <v>-0.53158749999999999</v>
      </c>
      <c r="P6649">
        <v>0.88033689999999998</v>
      </c>
      <c r="Q6649">
        <v>0.15450610000000001</v>
      </c>
      <c r="R6649">
        <v>-0.44848110000000002</v>
      </c>
      <c r="S6649">
        <v>3.0529480000000002</v>
      </c>
      <c r="T6649">
        <v>-8.8342790000000004E-2</v>
      </c>
      <c r="U6649">
        <v>-0.74084469999999902</v>
      </c>
      <c r="V6649">
        <v>-9.2896220000000002E-2</v>
      </c>
      <c r="W6649">
        <v>0.167258399999999</v>
      </c>
      <c r="X6649">
        <v>0.98152689999999998</v>
      </c>
      <c r="Y6649">
        <v>-0.31671149999999998</v>
      </c>
      <c r="Z6649">
        <v>1.269171E-2</v>
      </c>
      <c r="AA6649">
        <v>0.94843699999999997</v>
      </c>
      <c r="AB6649">
        <v>30</v>
      </c>
      <c r="AC6649">
        <v>39.001199999999997</v>
      </c>
      <c r="AD6649">
        <v>-1.132720191275</v>
      </c>
      <c r="AE6649">
        <v>-9.4132200000000097</v>
      </c>
      <c r="AF6649">
        <v>-12.752242152783699</v>
      </c>
      <c r="AG6649">
        <v>-1.132720191275</v>
      </c>
      <c r="AH6649">
        <v>38.006836056705801</v>
      </c>
      <c r="AI6649">
        <v>91.618463784003197</v>
      </c>
      <c r="AJ6649">
        <v>108.547888289604</v>
      </c>
      <c r="AK6649">
        <v>40.105140842493903</v>
      </c>
      <c r="AL6649">
        <v>80.371545933462997</v>
      </c>
      <c r="AM6649">
        <v>95.406630987107803</v>
      </c>
      <c r="AN6649">
        <v>1.0000000677422201</v>
      </c>
    </row>
    <row r="6650" spans="1:40" x14ac:dyDescent="0.25">
      <c r="A6650" t="str">
        <f>"20190303170422609"</f>
        <v>20190303170422609</v>
      </c>
      <c r="B6650" t="str">
        <f>"1551603862602460"</f>
        <v>1551603862602460</v>
      </c>
      <c r="C6650" t="s">
        <v>40</v>
      </c>
      <c r="D6650">
        <v>5.5714560000000004</v>
      </c>
      <c r="E6650">
        <v>0.41339930000000003</v>
      </c>
      <c r="F6650" t="s">
        <v>114</v>
      </c>
      <c r="G6650">
        <v>-256.23070000000001</v>
      </c>
      <c r="H6650" s="1">
        <v>-3.097516E-6</v>
      </c>
      <c r="I6650">
        <v>-67.521319999999903</v>
      </c>
      <c r="J6650">
        <v>-292.12880000000001</v>
      </c>
      <c r="K6650">
        <v>1.1325540000000001</v>
      </c>
      <c r="L6650">
        <v>-58.957210000000003</v>
      </c>
      <c r="M6650">
        <v>0.85047799999999996</v>
      </c>
      <c r="N6650">
        <v>-1.550815E-2</v>
      </c>
      <c r="O6650">
        <v>-0.52578190000000002</v>
      </c>
      <c r="P6650">
        <v>0.88361250000000002</v>
      </c>
      <c r="Q6650">
        <v>0.15313969999999999</v>
      </c>
      <c r="R6650">
        <v>-0.44246730000000001</v>
      </c>
      <c r="S6650">
        <v>3.051758</v>
      </c>
      <c r="T6650">
        <v>-9.5927360000000003E-2</v>
      </c>
      <c r="U6650">
        <v>-0.73193359999999996</v>
      </c>
      <c r="V6650">
        <v>-9.2893660000000003E-2</v>
      </c>
      <c r="W6650">
        <v>0.1658897</v>
      </c>
      <c r="X6650">
        <v>0.9817593</v>
      </c>
      <c r="Y6650">
        <v>-0.31271300000000002</v>
      </c>
      <c r="Z6650">
        <v>1.419904E-2</v>
      </c>
      <c r="AA6650">
        <v>0.94974150000000002</v>
      </c>
      <c r="AB6650">
        <v>30</v>
      </c>
      <c r="AC6650">
        <v>35.898099999999999</v>
      </c>
      <c r="AD6650">
        <v>-1.132557097516</v>
      </c>
      <c r="AE6650">
        <v>-8.5641099999999906</v>
      </c>
      <c r="AF6650">
        <v>-11.581471626809201</v>
      </c>
      <c r="AG6650">
        <v>-1.132557097516</v>
      </c>
      <c r="AH6650">
        <v>35.004647218322503</v>
      </c>
      <c r="AI6650">
        <v>91.759396228395801</v>
      </c>
      <c r="AJ6650">
        <v>108.307069093555</v>
      </c>
      <c r="AK6650">
        <v>36.8881891328503</v>
      </c>
      <c r="AL6650">
        <v>80.451076907662696</v>
      </c>
      <c r="AM6650">
        <v>95.405210645498897</v>
      </c>
      <c r="AN6650">
        <v>0.99999997388538697</v>
      </c>
    </row>
    <row r="6651" spans="1:40" x14ac:dyDescent="0.25">
      <c r="A6651" t="str">
        <f>"20190303170422620"</f>
        <v>20190303170422620</v>
      </c>
      <c r="B6651" t="str">
        <f>"1551603862612219"</f>
        <v>1551603862612219</v>
      </c>
      <c r="C6651" t="s">
        <v>40</v>
      </c>
      <c r="D6651">
        <v>5.5245709999999999</v>
      </c>
      <c r="E6651">
        <v>0.41339930000000003</v>
      </c>
      <c r="F6651" t="s">
        <v>114</v>
      </c>
      <c r="G6651">
        <v>-258.79140000000001</v>
      </c>
      <c r="H6651" s="1">
        <v>-3.87398E-6</v>
      </c>
      <c r="I6651">
        <v>-66.811059999999998</v>
      </c>
      <c r="J6651">
        <v>-292.01569999999998</v>
      </c>
      <c r="K6651">
        <v>1.13242</v>
      </c>
      <c r="L6651">
        <v>-59.021239999999999</v>
      </c>
      <c r="M6651">
        <v>0.85338549999999902</v>
      </c>
      <c r="N6651">
        <v>-1.547434E-2</v>
      </c>
      <c r="O6651">
        <v>-0.52105049999999997</v>
      </c>
      <c r="P6651">
        <v>0.88621700000000003</v>
      </c>
      <c r="Q6651">
        <v>0.15167429999999901</v>
      </c>
      <c r="R6651">
        <v>-0.43773770000000001</v>
      </c>
      <c r="S6651">
        <v>3.0529790000000001</v>
      </c>
      <c r="T6651">
        <v>-0.1037173</v>
      </c>
      <c r="U6651">
        <v>-0.7192383</v>
      </c>
      <c r="V6651">
        <v>-9.2724269999999998E-2</v>
      </c>
      <c r="W6651">
        <v>0.16442809999999999</v>
      </c>
      <c r="X6651">
        <v>0.98202120000000004</v>
      </c>
      <c r="Y6651">
        <v>-0.31121589999999999</v>
      </c>
      <c r="Z6651">
        <v>1.577305E-2</v>
      </c>
      <c r="AA6651">
        <v>0.95020830000000001</v>
      </c>
      <c r="AB6651">
        <v>30</v>
      </c>
      <c r="AC6651">
        <v>33.2242999999999</v>
      </c>
      <c r="AD6651">
        <v>-1.1324238739800001</v>
      </c>
      <c r="AE6651">
        <v>-7.78981999999999</v>
      </c>
      <c r="AF6651">
        <v>-10.6533647971906</v>
      </c>
      <c r="AG6651">
        <v>-1.1324238739800001</v>
      </c>
      <c r="AH6651">
        <v>32.380251500300503</v>
      </c>
      <c r="AI6651">
        <v>91.902714342359502</v>
      </c>
      <c r="AJ6651">
        <v>108.211623957813</v>
      </c>
      <c r="AK6651">
        <v>34.106557324876597</v>
      </c>
      <c r="AL6651">
        <v>80.535986876464193</v>
      </c>
      <c r="AM6651">
        <v>95.393982112635399</v>
      </c>
      <c r="AN6651">
        <v>1.00000001378304</v>
      </c>
    </row>
    <row r="6652" spans="1:40" x14ac:dyDescent="0.25">
      <c r="A6652" t="str">
        <f>"20190303170422630"</f>
        <v>20190303170422630</v>
      </c>
      <c r="B6652" t="str">
        <f>"1551603862621979"</f>
        <v>1551603862621979</v>
      </c>
      <c r="C6652" t="s">
        <v>40</v>
      </c>
      <c r="D6652">
        <v>5.5325280000000001</v>
      </c>
      <c r="E6652">
        <v>0.42111480000000001</v>
      </c>
      <c r="F6652" t="s">
        <v>115</v>
      </c>
      <c r="G6652">
        <v>-260.3005</v>
      </c>
      <c r="H6652" s="1">
        <v>-7.1305689999999898E-7</v>
      </c>
      <c r="I6652">
        <v>-66.317629999999994</v>
      </c>
      <c r="J6652">
        <v>-291.88709999999998</v>
      </c>
      <c r="K6652">
        <v>1.132269</v>
      </c>
      <c r="L6652">
        <v>-59.093110000000003</v>
      </c>
      <c r="M6652">
        <v>0.85661299999999996</v>
      </c>
      <c r="N6652">
        <v>-1.543603E-2</v>
      </c>
      <c r="O6652">
        <v>-0.51572859999999998</v>
      </c>
      <c r="P6652">
        <v>0.88900409999999996</v>
      </c>
      <c r="Q6652">
        <v>0.15053250000000001</v>
      </c>
      <c r="R6652">
        <v>-0.43244880000000002</v>
      </c>
      <c r="S6652">
        <v>3.0565190000000002</v>
      </c>
      <c r="T6652">
        <v>-0.1091356</v>
      </c>
      <c r="U6652">
        <v>-0.70318599999999998</v>
      </c>
      <c r="V6652">
        <v>-9.2469889999999999E-2</v>
      </c>
      <c r="W6652">
        <v>0.16329109999999999</v>
      </c>
      <c r="X6652">
        <v>0.98223490000000002</v>
      </c>
      <c r="Y6652">
        <v>-0.31024559999999901</v>
      </c>
      <c r="Z6652">
        <v>1.682411E-2</v>
      </c>
      <c r="AA6652">
        <v>0.95050760000000001</v>
      </c>
      <c r="AB6652">
        <v>30</v>
      </c>
      <c r="AC6652">
        <v>31.586599999999901</v>
      </c>
      <c r="AD6652">
        <v>-1.1322697130568999</v>
      </c>
      <c r="AE6652">
        <v>-7.2245200000000098</v>
      </c>
      <c r="AF6652">
        <v>-10.090377149894399</v>
      </c>
      <c r="AG6652">
        <v>-1.1322697130568999</v>
      </c>
      <c r="AH6652">
        <v>30.749502389069999</v>
      </c>
      <c r="AI6652">
        <v>92.003779784846699</v>
      </c>
      <c r="AJ6652">
        <v>108.16712846871999</v>
      </c>
      <c r="AK6652">
        <v>32.382551519385203</v>
      </c>
      <c r="AL6652">
        <v>80.602024937179394</v>
      </c>
      <c r="AM6652">
        <v>95.378107692913602</v>
      </c>
      <c r="AN6652">
        <v>1.00000003133691</v>
      </c>
    </row>
    <row r="6653" spans="1:40" x14ac:dyDescent="0.25">
      <c r="A6653" t="str">
        <f>"20190303170422643"</f>
        <v>20190303170422643</v>
      </c>
      <c r="B6653" t="str">
        <f>"1551603862632714"</f>
        <v>1551603862632714</v>
      </c>
      <c r="C6653" t="s">
        <v>40</v>
      </c>
      <c r="D6653">
        <v>5.5101449999999996</v>
      </c>
      <c r="E6653">
        <v>0.42143570000000002</v>
      </c>
      <c r="F6653" t="s">
        <v>115</v>
      </c>
      <c r="G6653">
        <v>-266.60849999999999</v>
      </c>
      <c r="H6653" s="1">
        <v>-3.003556E-6</v>
      </c>
      <c r="I6653">
        <v>-65.267020000000002</v>
      </c>
      <c r="J6653">
        <v>-291.74400000000003</v>
      </c>
      <c r="K6653">
        <v>1.1321030000000001</v>
      </c>
      <c r="L6653">
        <v>-59.171750000000003</v>
      </c>
      <c r="M6653">
        <v>0.86009199999999997</v>
      </c>
      <c r="N6653">
        <v>-1.5393830000000001E-2</v>
      </c>
      <c r="O6653">
        <v>-0.50990679999999999</v>
      </c>
      <c r="P6653">
        <v>0.89182729999999999</v>
      </c>
      <c r="Q6653">
        <v>0.1502472</v>
      </c>
      <c r="R6653">
        <v>-0.42669669999999998</v>
      </c>
      <c r="S6653">
        <v>3.0368040000000001</v>
      </c>
      <c r="T6653">
        <v>-0.13602330000000001</v>
      </c>
      <c r="U6653">
        <v>-0.741699199999999</v>
      </c>
      <c r="V6653">
        <v>-9.2099029999999998E-2</v>
      </c>
      <c r="W6653">
        <v>0.16301209999999999</v>
      </c>
      <c r="X6653">
        <v>0.98231599999999997</v>
      </c>
      <c r="Y6653">
        <v>-0.29079110000000002</v>
      </c>
      <c r="Z6653">
        <v>2.1856879999999999E-2</v>
      </c>
      <c r="AA6653">
        <v>0.95653690000000002</v>
      </c>
      <c r="AB6653">
        <v>30</v>
      </c>
      <c r="AC6653">
        <v>25.1355</v>
      </c>
      <c r="AD6653">
        <v>-1.132106003556</v>
      </c>
      <c r="AE6653">
        <v>-6.0952699999999904</v>
      </c>
      <c r="AF6653">
        <v>-7.5606805273234201</v>
      </c>
      <c r="AG6653">
        <v>-1.132106003556</v>
      </c>
      <c r="AH6653">
        <v>24.682500007173601</v>
      </c>
      <c r="AI6653">
        <v>92.511119585596305</v>
      </c>
      <c r="AJ6653">
        <v>107.030740630008</v>
      </c>
      <c r="AK6653">
        <v>25.839337465261401</v>
      </c>
      <c r="AL6653">
        <v>80.618226787627094</v>
      </c>
      <c r="AM6653">
        <v>95.356224283224606</v>
      </c>
      <c r="AN6653">
        <v>0.99999994996467401</v>
      </c>
    </row>
    <row r="6654" spans="1:40" x14ac:dyDescent="0.25">
      <c r="A6654" t="str">
        <f>"20190303170422654"</f>
        <v>20190303170422654</v>
      </c>
      <c r="B6654" t="str">
        <f>"1551603862642475"</f>
        <v>1551603862642475</v>
      </c>
      <c r="C6654" t="s">
        <v>40</v>
      </c>
      <c r="D6654">
        <v>5.4994839999999998</v>
      </c>
      <c r="E6654">
        <v>0.42220279999999999</v>
      </c>
      <c r="F6654" t="s">
        <v>115</v>
      </c>
      <c r="G6654">
        <v>-267.101</v>
      </c>
      <c r="H6654" s="1">
        <v>-3.1327449999999999E-6</v>
      </c>
      <c r="I6654">
        <v>-65.050479999999993</v>
      </c>
      <c r="J6654">
        <v>-291.61520000000002</v>
      </c>
      <c r="K6654">
        <v>1.1319549999999901</v>
      </c>
      <c r="L6654">
        <v>-59.241999999999997</v>
      </c>
      <c r="M6654">
        <v>0.86315989999999998</v>
      </c>
      <c r="N6654">
        <v>-1.535721E-2</v>
      </c>
      <c r="O6654">
        <v>-0.50469710000000001</v>
      </c>
      <c r="P6654">
        <v>0.894169199999999</v>
      </c>
      <c r="Q6654">
        <v>0.15049009999999999</v>
      </c>
      <c r="R6654">
        <v>-0.42168060000000002</v>
      </c>
      <c r="S6654">
        <v>3.0404049999999998</v>
      </c>
      <c r="T6654">
        <v>-0.13967660000000001</v>
      </c>
      <c r="U6654">
        <v>-0.72531129999999999</v>
      </c>
      <c r="V6654">
        <v>-9.1599089999999994E-2</v>
      </c>
      <c r="W6654">
        <v>0.16326570000000001</v>
      </c>
      <c r="X6654">
        <v>0.98232070000000005</v>
      </c>
      <c r="Y6654">
        <v>-0.29010989999999998</v>
      </c>
      <c r="Z6654">
        <v>2.2474190000000002E-2</v>
      </c>
      <c r="AA6654">
        <v>0.95672939999999995</v>
      </c>
      <c r="AB6654">
        <v>30</v>
      </c>
      <c r="AC6654">
        <v>24.514199999999999</v>
      </c>
      <c r="AD6654">
        <v>-1.1319581327449999</v>
      </c>
      <c r="AE6654">
        <v>-5.8084800000000003</v>
      </c>
      <c r="AF6654">
        <v>-7.3446387706657204</v>
      </c>
      <c r="AG6654">
        <v>-1.1319581327449999</v>
      </c>
      <c r="AH6654">
        <v>24.045494464178802</v>
      </c>
      <c r="AI6654">
        <v>92.577844865843204</v>
      </c>
      <c r="AJ6654">
        <v>106.98516633174199</v>
      </c>
      <c r="AK6654">
        <v>25.1676548751112</v>
      </c>
      <c r="AL6654">
        <v>80.603499937085104</v>
      </c>
      <c r="AM6654">
        <v>95.327291551355202</v>
      </c>
      <c r="AN6654">
        <v>1.0000000198668999</v>
      </c>
    </row>
    <row r="6655" spans="1:40" x14ac:dyDescent="0.25">
      <c r="A6655" t="str">
        <f>"20190303170422663"</f>
        <v>20190303170422663</v>
      </c>
      <c r="B6655" t="str">
        <f>"1551603862652235"</f>
        <v>1551603862652235</v>
      </c>
      <c r="C6655" t="s">
        <v>40</v>
      </c>
      <c r="D6655">
        <v>5.5121359999999999</v>
      </c>
      <c r="E6655">
        <v>0.42311460000000001</v>
      </c>
      <c r="F6655" t="s">
        <v>115</v>
      </c>
      <c r="G6655">
        <v>-266.96269999999998</v>
      </c>
      <c r="H6655" s="1">
        <v>-3.0822080000000001E-6</v>
      </c>
      <c r="I6655">
        <v>-65.030839999999998</v>
      </c>
      <c r="J6655">
        <v>-291.4984</v>
      </c>
      <c r="K6655">
        <v>1.131823</v>
      </c>
      <c r="L6655">
        <v>-59.304259999999999</v>
      </c>
      <c r="M6655">
        <v>0.86583509999999997</v>
      </c>
      <c r="N6655">
        <v>-1.532263E-2</v>
      </c>
      <c r="O6655">
        <v>-0.5000947</v>
      </c>
      <c r="P6655">
        <v>0.89605489999999999</v>
      </c>
      <c r="Q6655">
        <v>0.15143509999999999</v>
      </c>
      <c r="R6655">
        <v>-0.41731639999999998</v>
      </c>
      <c r="S6655">
        <v>3.0417480000000001</v>
      </c>
      <c r="T6655">
        <v>-0.13966679999999901</v>
      </c>
      <c r="U6655">
        <v>-0.71426389999999995</v>
      </c>
      <c r="V6655">
        <v>-9.1044390000000003E-2</v>
      </c>
      <c r="W6655">
        <v>0.16422020000000001</v>
      </c>
      <c r="X6655">
        <v>0.98221309999999995</v>
      </c>
      <c r="Y6655">
        <v>-0.28840349999999998</v>
      </c>
      <c r="Z6655">
        <v>2.2337800000000001E-2</v>
      </c>
      <c r="AA6655">
        <v>0.9572484</v>
      </c>
      <c r="AB6655">
        <v>30</v>
      </c>
      <c r="AC6655">
        <v>24.535699999999999</v>
      </c>
      <c r="AD6655">
        <v>-1.131826082208</v>
      </c>
      <c r="AE6655">
        <v>-5.7265799999999896</v>
      </c>
      <c r="AF6655">
        <v>-7.2980307872400401</v>
      </c>
      <c r="AG6655">
        <v>-1.131826082208</v>
      </c>
      <c r="AH6655">
        <v>24.061976512531601</v>
      </c>
      <c r="AI6655">
        <v>92.5773197099534</v>
      </c>
      <c r="AJ6655">
        <v>106.872623222184</v>
      </c>
      <c r="AK6655">
        <v>25.169843013842801</v>
      </c>
      <c r="AL6655">
        <v>80.548062353755796</v>
      </c>
      <c r="AM6655">
        <v>95.295791597570997</v>
      </c>
      <c r="AN6655">
        <v>0.99999996442506001</v>
      </c>
    </row>
    <row r="6656" spans="1:40" x14ac:dyDescent="0.25">
      <c r="A6656" t="str">
        <f>"20190303170422676"</f>
        <v>20190303170422676</v>
      </c>
      <c r="B6656" t="str">
        <f>"1551603862672732"</f>
        <v>1551603862672732</v>
      </c>
      <c r="C6656" t="s">
        <v>40</v>
      </c>
      <c r="D6656">
        <v>5.4756780000000003</v>
      </c>
      <c r="E6656">
        <v>0.42393419999999998</v>
      </c>
      <c r="F6656" t="s">
        <v>42</v>
      </c>
      <c r="G6656">
        <v>-266.66739999999999</v>
      </c>
      <c r="H6656" s="1">
        <v>-2.9885240000000001E-6</v>
      </c>
      <c r="I6656">
        <v>-65.069100000000006</v>
      </c>
      <c r="J6656">
        <v>-291.3648</v>
      </c>
      <c r="K6656">
        <v>1.131675</v>
      </c>
      <c r="L6656">
        <v>-59.375309999999999</v>
      </c>
      <c r="M6656">
        <v>0.86885299999999999</v>
      </c>
      <c r="N6656">
        <v>-1.5284819999999999E-2</v>
      </c>
      <c r="O6656">
        <v>-0.4948341</v>
      </c>
      <c r="P6656">
        <v>0.89823180000000002</v>
      </c>
      <c r="Q6656">
        <v>0.15232229999999999</v>
      </c>
      <c r="R6656">
        <v>-0.41228310000000001</v>
      </c>
      <c r="S6656">
        <v>3.0424799999999999</v>
      </c>
      <c r="T6656">
        <v>-0.13868</v>
      </c>
      <c r="U6656">
        <v>-0.70635990000000004</v>
      </c>
      <c r="V6656">
        <v>-9.0477489999999994E-2</v>
      </c>
      <c r="W6656">
        <v>0.16511799999999999</v>
      </c>
      <c r="X6656">
        <v>0.98211499999999996</v>
      </c>
      <c r="Y6656">
        <v>-0.28501759999999998</v>
      </c>
      <c r="Z6656">
        <v>2.1943460000000001E-2</v>
      </c>
      <c r="AA6656">
        <v>0.95827110000000004</v>
      </c>
      <c r="AB6656">
        <v>30</v>
      </c>
      <c r="AC6656">
        <v>24.697399999999998</v>
      </c>
      <c r="AD6656">
        <v>-1.131677988524</v>
      </c>
      <c r="AE6656">
        <v>-5.6937899999999999</v>
      </c>
      <c r="AF6656">
        <v>-7.2604243326149298</v>
      </c>
      <c r="AG6656">
        <v>-1.131677988524</v>
      </c>
      <c r="AH6656">
        <v>24.230420946248401</v>
      </c>
      <c r="AI6656">
        <v>92.561678864134905</v>
      </c>
      <c r="AJ6656">
        <v>106.680364549354</v>
      </c>
      <c r="AK6656">
        <v>25.3201057618591</v>
      </c>
      <c r="AL6656">
        <v>80.495910621281396</v>
      </c>
      <c r="AM6656">
        <v>95.263525146847101</v>
      </c>
      <c r="AN6656">
        <v>1.0000000016728501</v>
      </c>
    </row>
    <row r="6657" spans="1:40" x14ac:dyDescent="0.25">
      <c r="A6657" t="str">
        <f>"20190303170422686"</f>
        <v>20190303170422686</v>
      </c>
      <c r="B6657" t="str">
        <f>"1551603862672732"</f>
        <v>1551603862672732</v>
      </c>
      <c r="C6657" t="s">
        <v>40</v>
      </c>
      <c r="D6657">
        <v>5.4756780000000003</v>
      </c>
      <c r="E6657">
        <v>0.42393419999999998</v>
      </c>
      <c r="F6657" t="s">
        <v>42</v>
      </c>
      <c r="G6657">
        <v>-266.35059999999999</v>
      </c>
      <c r="H6657" s="1">
        <v>-2.8842529999999998E-6</v>
      </c>
      <c r="I6657">
        <v>-65.08905</v>
      </c>
      <c r="J6657">
        <v>-291.23770000000002</v>
      </c>
      <c r="K6657">
        <v>1.1315280000000001</v>
      </c>
      <c r="L6657">
        <v>-59.441279999999999</v>
      </c>
      <c r="M6657">
        <v>0.87160249999999995</v>
      </c>
      <c r="N6657">
        <v>-1.5246880000000001E-2</v>
      </c>
      <c r="O6657">
        <v>-0.48997629999999998</v>
      </c>
      <c r="P6657">
        <v>0.90019179999999999</v>
      </c>
      <c r="Q6657">
        <v>0.15322529999999901</v>
      </c>
      <c r="R6657">
        <v>-0.40764830000000002</v>
      </c>
      <c r="S6657">
        <v>3.044098</v>
      </c>
      <c r="T6657">
        <v>-0.1377196</v>
      </c>
      <c r="U6657">
        <v>-0.69534300000000004</v>
      </c>
      <c r="V6657">
        <v>-8.9937610000000001E-2</v>
      </c>
      <c r="W6657">
        <v>0.16602939999999999</v>
      </c>
      <c r="X6657">
        <v>0.98201099999999997</v>
      </c>
      <c r="Y6657">
        <v>-0.28308349999999999</v>
      </c>
      <c r="Z6657">
        <v>2.160492E-2</v>
      </c>
      <c r="AA6657">
        <v>0.95885189999999998</v>
      </c>
      <c r="AB6657">
        <v>30</v>
      </c>
      <c r="AC6657">
        <v>24.8871</v>
      </c>
      <c r="AD6657">
        <v>-1.1315308842530001</v>
      </c>
      <c r="AE6657">
        <v>-5.6477699999999897</v>
      </c>
      <c r="AF6657">
        <v>-7.2580544238350999</v>
      </c>
      <c r="AG6657">
        <v>-1.1315308842530001</v>
      </c>
      <c r="AH6657">
        <v>24.413776966343601</v>
      </c>
      <c r="AI6657">
        <v>92.543768865880395</v>
      </c>
      <c r="AJ6657">
        <v>106.556865483002</v>
      </c>
      <c r="AK6657">
        <v>25.4949450268821</v>
      </c>
      <c r="AL6657">
        <v>80.442961052764204</v>
      </c>
      <c r="AM6657">
        <v>95.232843537539296</v>
      </c>
      <c r="AN6657">
        <v>1.00000006973893</v>
      </c>
    </row>
    <row r="6658" spans="1:40" x14ac:dyDescent="0.25">
      <c r="A6658" t="str">
        <f>"20190303170422697"</f>
        <v>20190303170422697</v>
      </c>
      <c r="B6658" t="str">
        <f>"1551603862692251"</f>
        <v>1551603862692251</v>
      </c>
      <c r="C6658" t="s">
        <v>40</v>
      </c>
      <c r="D6658">
        <v>5.4464439999999996</v>
      </c>
      <c r="E6658">
        <v>0.43103580000000002</v>
      </c>
      <c r="F6658" t="s">
        <v>115</v>
      </c>
      <c r="G6658">
        <v>-265.65859999999998</v>
      </c>
      <c r="H6658" s="1">
        <v>-2.6589430000000002E-6</v>
      </c>
      <c r="I6658">
        <v>-65.14649</v>
      </c>
      <c r="J6658">
        <v>-291.10789999999997</v>
      </c>
      <c r="K6658">
        <v>1.1313740000000001</v>
      </c>
      <c r="L6658">
        <v>-59.508389999999999</v>
      </c>
      <c r="M6658">
        <v>0.87436650000000005</v>
      </c>
      <c r="N6658">
        <v>-1.520957E-2</v>
      </c>
      <c r="O6658">
        <v>-0.48502770000000001</v>
      </c>
      <c r="P6658">
        <v>0.90241309999999997</v>
      </c>
      <c r="Q6658">
        <v>0.1536747</v>
      </c>
      <c r="R6658">
        <v>-0.40253529999999998</v>
      </c>
      <c r="S6658">
        <v>3.0477289999999999</v>
      </c>
      <c r="T6658">
        <v>-0.13482089999999999</v>
      </c>
      <c r="U6658">
        <v>-0.67977909999999997</v>
      </c>
      <c r="V6658">
        <v>-8.984876E-2</v>
      </c>
      <c r="W6658">
        <v>0.1664775</v>
      </c>
      <c r="X6658">
        <v>0.98194320000000002</v>
      </c>
      <c r="Y6658">
        <v>-0.28258070000000002</v>
      </c>
      <c r="Z6658">
        <v>2.0917850000000002E-2</v>
      </c>
      <c r="AA6658">
        <v>0.95901539999999996</v>
      </c>
      <c r="AB6658">
        <v>30</v>
      </c>
      <c r="AC6658">
        <v>25.449299999999901</v>
      </c>
      <c r="AD6658">
        <v>-1.1313766589430001</v>
      </c>
      <c r="AE6658">
        <v>-5.6380999999999899</v>
      </c>
      <c r="AF6658">
        <v>-7.4007652736436897</v>
      </c>
      <c r="AG6658">
        <v>-1.1313766589430001</v>
      </c>
      <c r="AH6658">
        <v>24.9425520993438</v>
      </c>
      <c r="AI6658">
        <v>92.489965615046501</v>
      </c>
      <c r="AJ6658">
        <v>106.52627741089</v>
      </c>
      <c r="AK6658">
        <v>26.041932436139401</v>
      </c>
      <c r="AL6658">
        <v>80.416923818786799</v>
      </c>
      <c r="AM6658">
        <v>95.228061587130995</v>
      </c>
      <c r="AN6658">
        <v>1.0000000028530101</v>
      </c>
    </row>
    <row r="6659" spans="1:40" x14ac:dyDescent="0.25">
      <c r="A6659" t="str">
        <f>"20190303170422709"</f>
        <v>20190303170422709</v>
      </c>
      <c r="B6659" t="str">
        <f>"1551603862702011"</f>
        <v>1551603862702011</v>
      </c>
      <c r="C6659" t="s">
        <v>40</v>
      </c>
      <c r="D6659">
        <v>5.4556800000000001</v>
      </c>
      <c r="E6659">
        <v>0.43205650000000001</v>
      </c>
      <c r="F6659" t="s">
        <v>110</v>
      </c>
      <c r="G6659">
        <v>-270.21879999999999</v>
      </c>
      <c r="H6659" s="1">
        <v>-1.482367E-7</v>
      </c>
      <c r="I6659">
        <v>-64.431479999999993</v>
      </c>
      <c r="J6659">
        <v>-290.95679999999999</v>
      </c>
      <c r="K6659">
        <v>1.1311990000000001</v>
      </c>
      <c r="L6659">
        <v>-59.585050000000003</v>
      </c>
      <c r="M6659">
        <v>0.87746919999999995</v>
      </c>
      <c r="N6659">
        <v>-1.516516E-2</v>
      </c>
      <c r="O6659">
        <v>-0.47939290000000001</v>
      </c>
      <c r="P6659">
        <v>0.90532020000000002</v>
      </c>
      <c r="Q6659">
        <v>0.15312249999999999</v>
      </c>
      <c r="R6659">
        <v>-0.39616770000000001</v>
      </c>
      <c r="S6659">
        <v>3.0335390000000002</v>
      </c>
      <c r="T6659">
        <v>-0.1642991</v>
      </c>
      <c r="U6659">
        <v>-0.71493530000000005</v>
      </c>
      <c r="V6659">
        <v>-9.0405860000000005E-2</v>
      </c>
      <c r="W6659">
        <v>0.16590759999999999</v>
      </c>
      <c r="X6659">
        <v>0.98198850000000004</v>
      </c>
      <c r="Y6659">
        <v>-0.26460810000000001</v>
      </c>
      <c r="Z6659">
        <v>2.6007260000000001E-2</v>
      </c>
      <c r="AA6659">
        <v>0.96400529999999995</v>
      </c>
      <c r="AB6659">
        <v>30</v>
      </c>
      <c r="AC6659">
        <v>20.738</v>
      </c>
      <c r="AD6659">
        <v>-1.1311991482367001</v>
      </c>
      <c r="AE6659">
        <v>-4.8464299999999998</v>
      </c>
      <c r="AF6659">
        <v>-5.6737047022199798</v>
      </c>
      <c r="AG6659">
        <v>-1.1311991482367001</v>
      </c>
      <c r="AH6659">
        <v>20.464925350663101</v>
      </c>
      <c r="AI6659">
        <v>93.049026714269402</v>
      </c>
      <c r="AJ6659">
        <v>105.495524700034</v>
      </c>
      <c r="AK6659">
        <v>21.266962786659999</v>
      </c>
      <c r="AL6659">
        <v>80.450036986549193</v>
      </c>
      <c r="AM6659">
        <v>95.260055166220397</v>
      </c>
      <c r="AN6659">
        <v>0.99999998269617396</v>
      </c>
    </row>
    <row r="6660" spans="1:40" x14ac:dyDescent="0.25">
      <c r="A6660" t="str">
        <f>"20190303170422722"</f>
        <v>20190303170422722</v>
      </c>
      <c r="B6660" t="str">
        <f>"1551603862712748"</f>
        <v>1551603862712748</v>
      </c>
      <c r="C6660" t="s">
        <v>40</v>
      </c>
      <c r="D6660">
        <v>5.4781909999999998</v>
      </c>
      <c r="E6660">
        <v>0.4329962</v>
      </c>
      <c r="F6660" t="s">
        <v>110</v>
      </c>
      <c r="G6660">
        <v>-270.44990000000001</v>
      </c>
      <c r="H6660" s="1">
        <v>-2.234596E-7</v>
      </c>
      <c r="I6660">
        <v>-64.323999999999998</v>
      </c>
      <c r="J6660">
        <v>-290.81549999999999</v>
      </c>
      <c r="K6660">
        <v>1.1310340000000001</v>
      </c>
      <c r="L6660">
        <v>-59.655850000000001</v>
      </c>
      <c r="M6660">
        <v>0.88028469999999903</v>
      </c>
      <c r="N6660">
        <v>-1.5124780000000001E-2</v>
      </c>
      <c r="O6660">
        <v>-0.47420479999999998</v>
      </c>
      <c r="P6660">
        <v>0.90803509999999998</v>
      </c>
      <c r="Q6660">
        <v>0.1524886</v>
      </c>
      <c r="R6660">
        <v>-0.39015349999999999</v>
      </c>
      <c r="S6660">
        <v>3.035126</v>
      </c>
      <c r="T6660">
        <v>-0.16742279999999901</v>
      </c>
      <c r="U6660">
        <v>-0.7013855</v>
      </c>
      <c r="V6660">
        <v>-9.1088840000000004E-2</v>
      </c>
      <c r="W6660">
        <v>0.16525479999999901</v>
      </c>
      <c r="X6660">
        <v>0.98203549999999995</v>
      </c>
      <c r="Y6660">
        <v>-0.26308199999999998</v>
      </c>
      <c r="Z6660">
        <v>2.641255E-2</v>
      </c>
      <c r="AA6660">
        <v>0.96441189999999999</v>
      </c>
      <c r="AB6660">
        <v>30</v>
      </c>
      <c r="AC6660">
        <v>20.365599999999901</v>
      </c>
      <c r="AD6660">
        <v>-1.1310342234596</v>
      </c>
      <c r="AE6660">
        <v>-4.66814999999999</v>
      </c>
      <c r="AF6660">
        <v>-5.5325863017937502</v>
      </c>
      <c r="AG6660">
        <v>-1.1310342234596</v>
      </c>
      <c r="AH6660">
        <v>20.0846334744644</v>
      </c>
      <c r="AI6660">
        <v>93.107608857223397</v>
      </c>
      <c r="AJ6660">
        <v>105.400945382195</v>
      </c>
      <c r="AK6660">
        <v>20.863395011479099</v>
      </c>
      <c r="AL6660">
        <v>80.487963601323798</v>
      </c>
      <c r="AM6660">
        <v>95.299315163647606</v>
      </c>
      <c r="AN6660">
        <v>1.0000000244779099</v>
      </c>
    </row>
    <row r="6661" spans="1:40" x14ac:dyDescent="0.25">
      <c r="A6661" t="str">
        <f>"20190303170422735"</f>
        <v>20190303170422735</v>
      </c>
      <c r="B6661" t="str">
        <f>"1551603862722507"</f>
        <v>1551603862722507</v>
      </c>
      <c r="C6661" t="s">
        <v>40</v>
      </c>
      <c r="D6661">
        <v>5.4398289999999996</v>
      </c>
      <c r="E6661">
        <v>0.4329962</v>
      </c>
      <c r="F6661" t="s">
        <v>110</v>
      </c>
      <c r="G6661">
        <v>-270.68110000000001</v>
      </c>
      <c r="H6661" s="1">
        <v>-3.00432599999999E-7</v>
      </c>
      <c r="I6661">
        <v>-64.224090000000004</v>
      </c>
      <c r="J6661">
        <v>-290.65989999999999</v>
      </c>
      <c r="K6661">
        <v>1.1308530000000001</v>
      </c>
      <c r="L6661">
        <v>-59.733029999999999</v>
      </c>
      <c r="M6661">
        <v>0.88330629999999999</v>
      </c>
      <c r="N6661">
        <v>-1.5081880000000001E-2</v>
      </c>
      <c r="O6661">
        <v>-0.46855380000000002</v>
      </c>
      <c r="P6661">
        <v>0.911049</v>
      </c>
      <c r="Q6661">
        <v>0.15156120000000001</v>
      </c>
      <c r="R6661">
        <v>-0.38343090000000002</v>
      </c>
      <c r="S6661">
        <v>3.0364689999999999</v>
      </c>
      <c r="T6661">
        <v>-0.170570899999999</v>
      </c>
      <c r="U6661">
        <v>-0.6889343</v>
      </c>
      <c r="V6661">
        <v>-9.2030349999999997E-2</v>
      </c>
      <c r="W6661">
        <v>0.1643039</v>
      </c>
      <c r="X6661">
        <v>0.98210719999999996</v>
      </c>
      <c r="Y6661">
        <v>-0.26072400000000001</v>
      </c>
      <c r="Z6661">
        <v>2.6767699999999998E-2</v>
      </c>
      <c r="AA6661">
        <v>0.96504219999999996</v>
      </c>
      <c r="AB6661">
        <v>30</v>
      </c>
      <c r="AC6661">
        <v>19.9787999999999</v>
      </c>
      <c r="AD6661">
        <v>-1.1308533004326</v>
      </c>
      <c r="AE6661">
        <v>-4.4910599999999903</v>
      </c>
      <c r="AF6661">
        <v>-5.3783715537258399</v>
      </c>
      <c r="AG6661">
        <v>-1.1308533004326</v>
      </c>
      <c r="AH6661">
        <v>19.6938869542346</v>
      </c>
      <c r="AI6661">
        <v>93.170544939097397</v>
      </c>
      <c r="AJ6661">
        <v>105.274915607314</v>
      </c>
      <c r="AK6661">
        <v>20.446390711399399</v>
      </c>
      <c r="AL6661">
        <v>80.543200565238493</v>
      </c>
      <c r="AM6661">
        <v>95.353384549904604</v>
      </c>
      <c r="AN6661">
        <v>0.99999995458408497</v>
      </c>
    </row>
    <row r="6662" spans="1:40" x14ac:dyDescent="0.25">
      <c r="A6662" t="str">
        <f>"20190303170422747"</f>
        <v>20190303170422747</v>
      </c>
      <c r="B6662" t="str">
        <f>"1551603862742027"</f>
        <v>1551603862742027</v>
      </c>
      <c r="C6662" t="s">
        <v>40</v>
      </c>
      <c r="D6662">
        <v>5.4723230000000003</v>
      </c>
      <c r="E6662">
        <v>0.44001509999999999</v>
      </c>
      <c r="F6662" t="s">
        <v>110</v>
      </c>
      <c r="G6662">
        <v>-271.01069999999999</v>
      </c>
      <c r="H6662" s="1">
        <v>-4.0310040000000002E-7</v>
      </c>
      <c r="I6662">
        <v>-64.049800000000005</v>
      </c>
      <c r="J6662">
        <v>-290.5034</v>
      </c>
      <c r="K6662">
        <v>1.130668</v>
      </c>
      <c r="L6662">
        <v>-59.808929999999997</v>
      </c>
      <c r="M6662">
        <v>0.88620540000000003</v>
      </c>
      <c r="N6662">
        <v>-1.5037790000000001E-2</v>
      </c>
      <c r="O6662">
        <v>-0.46304840000000003</v>
      </c>
      <c r="P6662">
        <v>0.91372629999999999</v>
      </c>
      <c r="Q6662">
        <v>0.1514114</v>
      </c>
      <c r="R6662">
        <v>-0.37706659999999997</v>
      </c>
      <c r="S6662">
        <v>3.0408940000000002</v>
      </c>
      <c r="T6662">
        <v>-0.17501029999999901</v>
      </c>
      <c r="U6662">
        <v>-0.66806030000000005</v>
      </c>
      <c r="V6662">
        <v>-9.2702140000000002E-2</v>
      </c>
      <c r="W6662">
        <v>0.1641359</v>
      </c>
      <c r="X6662">
        <v>0.98207219999999995</v>
      </c>
      <c r="Y6662">
        <v>-0.26128580000000001</v>
      </c>
      <c r="Z6662">
        <v>2.743868E-2</v>
      </c>
      <c r="AA6662">
        <v>0.96487140000000005</v>
      </c>
      <c r="AB6662">
        <v>30</v>
      </c>
      <c r="AC6662">
        <v>19.492699999999999</v>
      </c>
      <c r="AD6662">
        <v>-1.1306684031004</v>
      </c>
      <c r="AE6662">
        <v>-4.2408700000000001</v>
      </c>
      <c r="AF6662">
        <v>-5.2515070472843801</v>
      </c>
      <c r="AG6662">
        <v>-1.1306684031004</v>
      </c>
      <c r="AH6662">
        <v>19.178828206788001</v>
      </c>
      <c r="AI6662">
        <v>93.254385446279201</v>
      </c>
      <c r="AJ6662">
        <v>105.31326643004699</v>
      </c>
      <c r="AK6662">
        <v>19.916932210833401</v>
      </c>
      <c r="AL6662">
        <v>80.552959581004401</v>
      </c>
      <c r="AM6662">
        <v>95.392423952716001</v>
      </c>
      <c r="AN6662">
        <v>1.00000004322111</v>
      </c>
    </row>
    <row r="6663" spans="1:40" x14ac:dyDescent="0.25">
      <c r="A6663" t="str">
        <f>"20190303170422759"</f>
        <v>20190303170422759</v>
      </c>
      <c r="B6663" t="str">
        <f>"1551603862752764"</f>
        <v>1551603862752764</v>
      </c>
      <c r="C6663" t="s">
        <v>40</v>
      </c>
      <c r="D6663">
        <v>5.415127</v>
      </c>
      <c r="E6663">
        <v>0.44063279999999999</v>
      </c>
      <c r="F6663" t="s">
        <v>110</v>
      </c>
      <c r="G6663">
        <v>-273.04680000000002</v>
      </c>
      <c r="H6663" s="1">
        <v>-1.231224E-6</v>
      </c>
      <c r="I6663">
        <v>-63.845880000000001</v>
      </c>
      <c r="J6663">
        <v>-290.35849999999999</v>
      </c>
      <c r="K6663">
        <v>1.1304940000000001</v>
      </c>
      <c r="L6663">
        <v>-59.878570000000003</v>
      </c>
      <c r="M6663">
        <v>0.88881669999999902</v>
      </c>
      <c r="N6663">
        <v>-1.4997659999999999E-2</v>
      </c>
      <c r="O6663">
        <v>-0.45801779999999997</v>
      </c>
      <c r="P6663">
        <v>0.91600420000000005</v>
      </c>
      <c r="Q6663">
        <v>0.15201589999999901</v>
      </c>
      <c r="R6663">
        <v>-0.37125170000000002</v>
      </c>
      <c r="S6663">
        <v>3.0268549999999999</v>
      </c>
      <c r="T6663">
        <v>-0.1960509</v>
      </c>
      <c r="U6663">
        <v>-0.69998169999999904</v>
      </c>
      <c r="V6663">
        <v>-9.3273040000000002E-2</v>
      </c>
      <c r="W6663">
        <v>0.16472529999999999</v>
      </c>
      <c r="X6663">
        <v>0.9819194</v>
      </c>
      <c r="Y6663">
        <v>-0.2449567</v>
      </c>
      <c r="Z6663">
        <v>3.063658E-2</v>
      </c>
      <c r="AA6663">
        <v>0.96904979999999996</v>
      </c>
      <c r="AB6663">
        <v>30</v>
      </c>
      <c r="AC6663">
        <v>17.311699999999899</v>
      </c>
      <c r="AD6663">
        <v>-1.130495231224</v>
      </c>
      <c r="AE6663">
        <v>-3.9673100000000101</v>
      </c>
      <c r="AF6663">
        <v>-4.3855811308053001</v>
      </c>
      <c r="AG6663">
        <v>-1.130495231224</v>
      </c>
      <c r="AH6663">
        <v>17.136528101481201</v>
      </c>
      <c r="AI6663">
        <v>93.656811355991096</v>
      </c>
      <c r="AJ6663">
        <v>104.355037414005</v>
      </c>
      <c r="AK6663">
        <v>17.724895957255999</v>
      </c>
      <c r="AL6663">
        <v>80.518723000474694</v>
      </c>
      <c r="AM6663">
        <v>95.426274515918195</v>
      </c>
      <c r="AN6663">
        <v>0.999999996273645</v>
      </c>
    </row>
    <row r="6664" spans="1:40" x14ac:dyDescent="0.25">
      <c r="A6664" t="str">
        <f>"20190303170422770"</f>
        <v>20190303170422770</v>
      </c>
      <c r="B6664" t="str">
        <f>"1551603862762523"</f>
        <v>1551603862762523</v>
      </c>
      <c r="C6664" t="s">
        <v>40</v>
      </c>
      <c r="D6664">
        <v>5.4107510000000003</v>
      </c>
      <c r="E6664">
        <v>0.44148670000000001</v>
      </c>
      <c r="F6664" t="s">
        <v>110</v>
      </c>
      <c r="G6664">
        <v>-272.75940000000003</v>
      </c>
      <c r="H6664" s="1">
        <v>-1.1112559999999999E-6</v>
      </c>
      <c r="I6664">
        <v>-63.860840000000003</v>
      </c>
      <c r="J6664">
        <v>-290.22399999999999</v>
      </c>
      <c r="K6664">
        <v>1.1303319999999999</v>
      </c>
      <c r="L6664">
        <v>-59.942349999999998</v>
      </c>
      <c r="M6664">
        <v>0.89115979999999995</v>
      </c>
      <c r="N6664">
        <v>-1.496018E-2</v>
      </c>
      <c r="O6664">
        <v>-0.45344319999999999</v>
      </c>
      <c r="P6664">
        <v>0.91790099999999997</v>
      </c>
      <c r="Q6664">
        <v>0.1526141</v>
      </c>
      <c r="R6664">
        <v>-0.36628850000000002</v>
      </c>
      <c r="S6664">
        <v>3.029541</v>
      </c>
      <c r="T6664">
        <v>-0.1946059</v>
      </c>
      <c r="U6664">
        <v>-0.68551640000000003</v>
      </c>
      <c r="V6664">
        <v>-9.3439709999999995E-2</v>
      </c>
      <c r="W6664">
        <v>0.1653183</v>
      </c>
      <c r="X6664">
        <v>0.98180389999999995</v>
      </c>
      <c r="Y6664">
        <v>-0.24458070000000001</v>
      </c>
      <c r="Z6664">
        <v>3.0184039999999999E-2</v>
      </c>
      <c r="AA6664">
        <v>0.96915899999999999</v>
      </c>
      <c r="AB6664">
        <v>30</v>
      </c>
      <c r="AC6664">
        <v>17.464599999999901</v>
      </c>
      <c r="AD6664">
        <v>-1.130333111256</v>
      </c>
      <c r="AE6664">
        <v>-3.9184899999999998</v>
      </c>
      <c r="AF6664">
        <v>-4.4101101806840903</v>
      </c>
      <c r="AG6664">
        <v>-1.130333111256</v>
      </c>
      <c r="AH6664">
        <v>17.2736112225761</v>
      </c>
      <c r="AI6664">
        <v>93.627880247178695</v>
      </c>
      <c r="AJ6664">
        <v>104.322179593304</v>
      </c>
      <c r="AK6664">
        <v>17.863492643290201</v>
      </c>
      <c r="AL6664">
        <v>80.484274429343898</v>
      </c>
      <c r="AM6664">
        <v>95.436548373159596</v>
      </c>
      <c r="AN6664">
        <v>1.0000000088874901</v>
      </c>
    </row>
    <row r="6665" spans="1:40" x14ac:dyDescent="0.25">
      <c r="A6665" t="str">
        <f>"20190303170422781"</f>
        <v>20190303170422781</v>
      </c>
      <c r="B6665" t="str">
        <f>"1551603862772284"</f>
        <v>1551603862772284</v>
      </c>
      <c r="C6665" t="s">
        <v>40</v>
      </c>
      <c r="D6665">
        <v>5.4254879999999996</v>
      </c>
      <c r="E6665">
        <v>0.44176690000000002</v>
      </c>
      <c r="F6665" t="s">
        <v>110</v>
      </c>
      <c r="G6665">
        <v>-272.4914</v>
      </c>
      <c r="H6665" s="1">
        <v>-1.003715E-6</v>
      </c>
      <c r="I6665">
        <v>-63.894329999999997</v>
      </c>
      <c r="J6665">
        <v>-290.10149999999999</v>
      </c>
      <c r="K6665">
        <v>1.130188</v>
      </c>
      <c r="L6665">
        <v>-59.999690000000001</v>
      </c>
      <c r="M6665">
        <v>0.89322509999999999</v>
      </c>
      <c r="N6665">
        <v>-1.4925620000000001E-2</v>
      </c>
      <c r="O6665">
        <v>-0.44936199999999998</v>
      </c>
      <c r="P6665">
        <v>0.91923840000000001</v>
      </c>
      <c r="Q6665">
        <v>0.154003</v>
      </c>
      <c r="R6665">
        <v>-0.36233070000000001</v>
      </c>
      <c r="S6665">
        <v>3.0308839999999999</v>
      </c>
      <c r="T6665">
        <v>-0.1931978</v>
      </c>
      <c r="U6665">
        <v>-0.67547609999999902</v>
      </c>
      <c r="V6665">
        <v>-9.3039720000000006E-2</v>
      </c>
      <c r="W6665">
        <v>0.166713</v>
      </c>
      <c r="X6665">
        <v>0.98160599999999998</v>
      </c>
      <c r="Y6665">
        <v>-0.24331620000000001</v>
      </c>
      <c r="Z6665">
        <v>2.9732359999999999E-2</v>
      </c>
      <c r="AA6665">
        <v>0.9694912</v>
      </c>
      <c r="AB6665">
        <v>30</v>
      </c>
      <c r="AC6665">
        <v>17.6100999999999</v>
      </c>
      <c r="AD6665">
        <v>-1.130189003715</v>
      </c>
      <c r="AE6665">
        <v>-3.8946399999999999</v>
      </c>
      <c r="AF6665">
        <v>-4.4176661228213998</v>
      </c>
      <c r="AG6665">
        <v>-1.130189003715</v>
      </c>
      <c r="AH6665">
        <v>17.413454093159999</v>
      </c>
      <c r="AI6665">
        <v>93.599751808965806</v>
      </c>
      <c r="AJ6665">
        <v>104.235200077545</v>
      </c>
      <c r="AK6665">
        <v>18.0005967848689</v>
      </c>
      <c r="AL6665">
        <v>80.403239173572501</v>
      </c>
      <c r="AM6665">
        <v>95.414499438007297</v>
      </c>
      <c r="AN6665">
        <v>0.99999997655133899</v>
      </c>
    </row>
    <row r="6666" spans="1:40" x14ac:dyDescent="0.25">
      <c r="A6666" t="str">
        <f>"20190303170422790"</f>
        <v>20190303170422790</v>
      </c>
      <c r="B6666" t="str">
        <f>"1551603862782043"</f>
        <v>1551603862782043</v>
      </c>
      <c r="C6666" t="s">
        <v>40</v>
      </c>
      <c r="D6666">
        <v>5.4404279999999998</v>
      </c>
      <c r="E6666">
        <v>0.44201319999999999</v>
      </c>
      <c r="F6666" t="s">
        <v>110</v>
      </c>
      <c r="G6666">
        <v>-272.07279999999997</v>
      </c>
      <c r="H6666" s="1">
        <v>-8.3657219999999896E-7</v>
      </c>
      <c r="I6666">
        <v>-63.950240000000001</v>
      </c>
      <c r="J6666">
        <v>-289.97379999999998</v>
      </c>
      <c r="K6666">
        <v>1.1300349999999999</v>
      </c>
      <c r="L6666">
        <v>-60.059049999999999</v>
      </c>
      <c r="M6666">
        <v>0.89532990000000001</v>
      </c>
      <c r="N6666">
        <v>-1.4889909999999999E-2</v>
      </c>
      <c r="O6666">
        <v>-0.44515500000000002</v>
      </c>
      <c r="P6666">
        <v>0.9205873</v>
      </c>
      <c r="Q6666">
        <v>0.15549499999999999</v>
      </c>
      <c r="R6666">
        <v>-0.35824660000000003</v>
      </c>
      <c r="S6666">
        <v>3.0334469999999998</v>
      </c>
      <c r="T6666">
        <v>-0.190161</v>
      </c>
      <c r="U6666">
        <v>-0.66470340000000006</v>
      </c>
      <c r="V6666">
        <v>-9.2631980000000003E-2</v>
      </c>
      <c r="W6666">
        <v>0.16821129999999901</v>
      </c>
      <c r="X6666">
        <v>0.98138899999999996</v>
      </c>
      <c r="Y6666">
        <v>-0.24225060000000001</v>
      </c>
      <c r="Z6666">
        <v>2.8983720000000001E-2</v>
      </c>
      <c r="AA6666">
        <v>0.96978070000000005</v>
      </c>
      <c r="AB6666">
        <v>30</v>
      </c>
      <c r="AC6666">
        <v>17.901</v>
      </c>
      <c r="AD6666">
        <v>-1.1300358365721901</v>
      </c>
      <c r="AE6666">
        <v>-3.8911899999999999</v>
      </c>
      <c r="AF6666">
        <v>-4.4683145514017104</v>
      </c>
      <c r="AG6666">
        <v>-1.1300358365721901</v>
      </c>
      <c r="AH6666">
        <v>17.694119578248799</v>
      </c>
      <c r="AI6666">
        <v>93.543296427516694</v>
      </c>
      <c r="AJ6666">
        <v>104.172649822612</v>
      </c>
      <c r="AK6666">
        <v>18.284547672052899</v>
      </c>
      <c r="AL6666">
        <v>80.316163945159403</v>
      </c>
      <c r="AM6666">
        <v>95.392095863886098</v>
      </c>
      <c r="AN6666">
        <v>1.0000000472437001</v>
      </c>
    </row>
    <row r="6667" spans="1:40" x14ac:dyDescent="0.25">
      <c r="A6667" t="str">
        <f>"20190303170422801"</f>
        <v>20190303170422801</v>
      </c>
      <c r="B6667" t="str">
        <f>"1551603862792779"</f>
        <v>1551603862792779</v>
      </c>
      <c r="C6667" t="s">
        <v>40</v>
      </c>
      <c r="D6667">
        <v>5.4547629999999998</v>
      </c>
      <c r="E6667">
        <v>0.44253949999999997</v>
      </c>
      <c r="F6667" t="s">
        <v>110</v>
      </c>
      <c r="G6667">
        <v>-271.5274</v>
      </c>
      <c r="H6667" s="1">
        <v>-6.1996419999999898E-7</v>
      </c>
      <c r="I6667">
        <v>-64.028189999999995</v>
      </c>
      <c r="J6667">
        <v>-289.85789999999997</v>
      </c>
      <c r="K6667">
        <v>1.129902</v>
      </c>
      <c r="L6667">
        <v>-60.11215</v>
      </c>
      <c r="M6667">
        <v>0.89717389999999997</v>
      </c>
      <c r="N6667">
        <v>-1.4857810000000001E-2</v>
      </c>
      <c r="O6667">
        <v>-0.44142740000000003</v>
      </c>
      <c r="P6667">
        <v>0.92191789999999996</v>
      </c>
      <c r="Q6667">
        <v>0.1556197</v>
      </c>
      <c r="R6667">
        <v>-0.3547535</v>
      </c>
      <c r="S6667">
        <v>3.0359799999999999</v>
      </c>
      <c r="T6667">
        <v>-0.1859866</v>
      </c>
      <c r="U6667">
        <v>-0.65325929999999999</v>
      </c>
      <c r="V6667">
        <v>-9.2202590000000001E-2</v>
      </c>
      <c r="W6667">
        <v>0.1683452</v>
      </c>
      <c r="X6667">
        <v>0.98140649999999996</v>
      </c>
      <c r="Y6667">
        <v>-0.2419259</v>
      </c>
      <c r="Z6667">
        <v>2.808747E-2</v>
      </c>
      <c r="AA6667">
        <v>0.96988819999999998</v>
      </c>
      <c r="AB6667">
        <v>30</v>
      </c>
      <c r="AC6667">
        <v>18.330499999999901</v>
      </c>
      <c r="AD6667">
        <v>-1.1299026199641999</v>
      </c>
      <c r="AE6667">
        <v>-3.9160400000000002</v>
      </c>
      <c r="AF6667">
        <v>-4.5621441498055804</v>
      </c>
      <c r="AG6667">
        <v>-1.1299026199641999</v>
      </c>
      <c r="AH6667">
        <v>18.1104922789978</v>
      </c>
      <c r="AI6667">
        <v>93.462138683181806</v>
      </c>
      <c r="AJ6667">
        <v>104.138986554627</v>
      </c>
      <c r="AK6667">
        <v>18.710418748971001</v>
      </c>
      <c r="AL6667">
        <v>80.308381286462506</v>
      </c>
      <c r="AM6667">
        <v>95.367152281889204</v>
      </c>
      <c r="AN6667">
        <v>1.00000007110399</v>
      </c>
    </row>
    <row r="6668" spans="1:40" x14ac:dyDescent="0.25">
      <c r="A6668" t="str">
        <f>"20190303170422813"</f>
        <v>20190303170422813</v>
      </c>
      <c r="B6668" t="str">
        <f>"1551603862802540"</f>
        <v>1551603862802540</v>
      </c>
      <c r="C6668" t="s">
        <v>40</v>
      </c>
      <c r="D6668">
        <v>5.472099</v>
      </c>
      <c r="E6668">
        <v>0.44301659999999998</v>
      </c>
      <c r="F6668" t="s">
        <v>110</v>
      </c>
      <c r="G6668">
        <v>-271.44139999999999</v>
      </c>
      <c r="H6668" s="1">
        <v>-5.8272159999999899E-7</v>
      </c>
      <c r="I6668">
        <v>-64.026780000000002</v>
      </c>
      <c r="J6668">
        <v>-289.72379999999998</v>
      </c>
      <c r="K6668">
        <v>1.129742</v>
      </c>
      <c r="L6668">
        <v>-60.17313</v>
      </c>
      <c r="M6668">
        <v>0.89926240000000002</v>
      </c>
      <c r="N6668">
        <v>-1.482173E-2</v>
      </c>
      <c r="O6668">
        <v>-0.4371584</v>
      </c>
      <c r="P6668">
        <v>0.92355759999999998</v>
      </c>
      <c r="Q6668">
        <v>0.1555773</v>
      </c>
      <c r="R6668">
        <v>-0.35048109999999999</v>
      </c>
      <c r="S6668">
        <v>3.0371090000000001</v>
      </c>
      <c r="T6668">
        <v>-0.18633449999999999</v>
      </c>
      <c r="U6668">
        <v>-0.64556880000000005</v>
      </c>
      <c r="V6668">
        <v>-9.2014600000000002E-2</v>
      </c>
      <c r="W6668">
        <v>0.16830809999999999</v>
      </c>
      <c r="X6668">
        <v>0.98143049999999998</v>
      </c>
      <c r="Y6668">
        <v>-0.23974039999999999</v>
      </c>
      <c r="Z6668">
        <v>2.7916059999999999E-2</v>
      </c>
      <c r="AA6668">
        <v>0.97043559999999995</v>
      </c>
      <c r="AB6668">
        <v>30</v>
      </c>
      <c r="AC6668">
        <v>18.282399999999999</v>
      </c>
      <c r="AD6668">
        <v>-1.1297425827216001</v>
      </c>
      <c r="AE6668">
        <v>-3.8536499999999898</v>
      </c>
      <c r="AF6668">
        <v>-4.51086747592361</v>
      </c>
      <c r="AG6668">
        <v>-1.1297425827216001</v>
      </c>
      <c r="AH6668">
        <v>18.061288355054899</v>
      </c>
      <c r="AI6668">
        <v>93.472816455736293</v>
      </c>
      <c r="AJ6668">
        <v>104.022942595497</v>
      </c>
      <c r="AK6668">
        <v>18.650318515591199</v>
      </c>
      <c r="AL6668">
        <v>80.3105376671149</v>
      </c>
      <c r="AM6668">
        <v>95.356142791915104</v>
      </c>
      <c r="AN6668">
        <v>1.0000000647345</v>
      </c>
    </row>
    <row r="6669" spans="1:40" x14ac:dyDescent="0.25">
      <c r="A6669" t="str">
        <f>"20190303170422826"</f>
        <v>20190303170422826</v>
      </c>
      <c r="B6669" t="str">
        <f>"1551603862822059"</f>
        <v>1551603862822059</v>
      </c>
      <c r="C6669" t="s">
        <v>40</v>
      </c>
      <c r="D6669">
        <v>5.4001519999999896</v>
      </c>
      <c r="E6669">
        <v>0.44784020000000002</v>
      </c>
      <c r="F6669" t="s">
        <v>110</v>
      </c>
      <c r="G6669">
        <v>-271.48140000000001</v>
      </c>
      <c r="H6669" s="1">
        <v>-5.9116389999999997E-7</v>
      </c>
      <c r="I6669">
        <v>-63.987430000000003</v>
      </c>
      <c r="J6669">
        <v>-289.55099999999999</v>
      </c>
      <c r="K6669">
        <v>1.1295389999999901</v>
      </c>
      <c r="L6669">
        <v>-60.250459999999997</v>
      </c>
      <c r="M6669">
        <v>0.90184180000000003</v>
      </c>
      <c r="N6669">
        <v>-1.477589E-2</v>
      </c>
      <c r="O6669">
        <v>-0.43181360000000002</v>
      </c>
      <c r="P6669">
        <v>0.92571829999999999</v>
      </c>
      <c r="Q6669">
        <v>0.1550367</v>
      </c>
      <c r="R6669">
        <v>-0.34497749999999999</v>
      </c>
      <c r="S6669">
        <v>3.03891</v>
      </c>
      <c r="T6669">
        <v>-0.18819830000000001</v>
      </c>
      <c r="U6669">
        <v>-0.63540649999999999</v>
      </c>
      <c r="V6669">
        <v>-9.1972609999999996E-2</v>
      </c>
      <c r="W6669">
        <v>0.1677698</v>
      </c>
      <c r="X6669">
        <v>0.98152660000000003</v>
      </c>
      <c r="Y6669">
        <v>-0.23719129999999999</v>
      </c>
      <c r="Z6669">
        <v>2.7950340000000001E-2</v>
      </c>
      <c r="AA6669">
        <v>0.97106079999999995</v>
      </c>
      <c r="AB6669">
        <v>30</v>
      </c>
      <c r="AC6669">
        <v>18.069599999999902</v>
      </c>
      <c r="AD6669">
        <v>-1.1295395911638999</v>
      </c>
      <c r="AE6669">
        <v>-3.7369699999999999</v>
      </c>
      <c r="AF6669">
        <v>-4.4164775319433502</v>
      </c>
      <c r="AG6669">
        <v>-1.1295395911638999</v>
      </c>
      <c r="AH6669">
        <v>17.844681770503399</v>
      </c>
      <c r="AI6669">
        <v>93.516089785014998</v>
      </c>
      <c r="AJ6669">
        <v>103.90110508175199</v>
      </c>
      <c r="AK6669">
        <v>18.4177577617011</v>
      </c>
      <c r="AL6669">
        <v>80.341824895180494</v>
      </c>
      <c r="AM6669">
        <v>95.353191642004006</v>
      </c>
      <c r="AN6669">
        <v>1.0000000666449</v>
      </c>
    </row>
    <row r="6670" spans="1:40" x14ac:dyDescent="0.25">
      <c r="A6670" t="str">
        <f>"20190303170422837"</f>
        <v>20190303170422837</v>
      </c>
      <c r="B6670" t="str">
        <f>"1551603862832795"</f>
        <v>1551603862832795</v>
      </c>
      <c r="C6670" t="s">
        <v>40</v>
      </c>
      <c r="D6670">
        <v>5.6036070000000002</v>
      </c>
      <c r="E6670">
        <v>0.44784020000000002</v>
      </c>
      <c r="F6670" t="s">
        <v>110</v>
      </c>
      <c r="G6670">
        <v>-272.58120000000002</v>
      </c>
      <c r="H6670" s="1">
        <v>-1.0466010000000001E-6</v>
      </c>
      <c r="I6670">
        <v>-63.913939999999997</v>
      </c>
      <c r="J6670">
        <v>-289.42110000000002</v>
      </c>
      <c r="K6670">
        <v>1.129386</v>
      </c>
      <c r="L6670">
        <v>-60.308140000000002</v>
      </c>
      <c r="M6670">
        <v>0.90373219999999999</v>
      </c>
      <c r="N6670">
        <v>-1.474263E-2</v>
      </c>
      <c r="O6670">
        <v>-0.42784450000000002</v>
      </c>
      <c r="P6670">
        <v>0.92751930000000005</v>
      </c>
      <c r="Q6670">
        <v>0.1539856</v>
      </c>
      <c r="R6670">
        <v>-0.34058260000000001</v>
      </c>
      <c r="S6670">
        <v>3.0306700000000002</v>
      </c>
      <c r="T6670">
        <v>-0.20172619999999999</v>
      </c>
      <c r="U6670">
        <v>-0.65426640000000003</v>
      </c>
      <c r="V6670">
        <v>-9.2303389999999999E-2</v>
      </c>
      <c r="W6670">
        <v>0.16671540000000001</v>
      </c>
      <c r="X6670">
        <v>0.98167510000000002</v>
      </c>
      <c r="Y6670">
        <v>-0.22647010000000001</v>
      </c>
      <c r="Z6670">
        <v>2.9771490000000001E-2</v>
      </c>
      <c r="AA6670">
        <v>0.97356299999999996</v>
      </c>
      <c r="AB6670">
        <v>30</v>
      </c>
      <c r="AC6670">
        <v>16.8399</v>
      </c>
      <c r="AD6670">
        <v>-1.1293870466010001</v>
      </c>
      <c r="AE6670">
        <v>-3.6057999999999999</v>
      </c>
      <c r="AF6670">
        <v>-3.9297091932858801</v>
      </c>
      <c r="AG6670">
        <v>-1.1293870466010001</v>
      </c>
      <c r="AH6670">
        <v>16.6915171274428</v>
      </c>
      <c r="AI6670">
        <v>93.768153093248102</v>
      </c>
      <c r="AJ6670">
        <v>103.24797909470099</v>
      </c>
      <c r="AK6670">
        <v>17.185018867040601</v>
      </c>
      <c r="AL6670">
        <v>80.403099659946804</v>
      </c>
      <c r="AM6670">
        <v>95.371524048689906</v>
      </c>
      <c r="AN6670">
        <v>0.99999997118132999</v>
      </c>
    </row>
    <row r="6671" spans="1:40" x14ac:dyDescent="0.25">
      <c r="A6671" t="str">
        <f>"20190303170422848"</f>
        <v>20190303170422848</v>
      </c>
      <c r="B6671" t="str">
        <f>"1551603862842556"</f>
        <v>1551603862842556</v>
      </c>
      <c r="C6671" t="s">
        <v>40</v>
      </c>
      <c r="D6671">
        <v>5.3827850000000002</v>
      </c>
      <c r="E6671">
        <v>0.42685509999999899</v>
      </c>
      <c r="F6671" t="s">
        <v>110</v>
      </c>
      <c r="G6671">
        <v>-272.76580000000001</v>
      </c>
      <c r="H6671" s="1">
        <v>-1.1062089999999999E-6</v>
      </c>
      <c r="I6671">
        <v>-63.825830000000003</v>
      </c>
      <c r="J6671">
        <v>-289.28269999999998</v>
      </c>
      <c r="K6671">
        <v>1.1292310000000001</v>
      </c>
      <c r="L6671">
        <v>-60.3686199999999</v>
      </c>
      <c r="M6671">
        <v>0.90566809999999998</v>
      </c>
      <c r="N6671">
        <v>-1.470746E-2</v>
      </c>
      <c r="O6671">
        <v>-0.42373230000000001</v>
      </c>
      <c r="P6671">
        <v>0.92921640000000005</v>
      </c>
      <c r="Q6671">
        <v>0.15333869999999999</v>
      </c>
      <c r="R6671">
        <v>-0.33622049999999998</v>
      </c>
      <c r="S6671">
        <v>3.033325</v>
      </c>
      <c r="T6671">
        <v>-0.20568819999999999</v>
      </c>
      <c r="U6671">
        <v>-0.64065550000000004</v>
      </c>
      <c r="V6671">
        <v>-9.2421779999999995E-2</v>
      </c>
      <c r="W6671">
        <v>0.16606750000000001</v>
      </c>
      <c r="X6671">
        <v>0.98177380000000003</v>
      </c>
      <c r="Y6671">
        <v>-0.22635549999999999</v>
      </c>
      <c r="Z6671">
        <v>3.0264470000000002E-2</v>
      </c>
      <c r="AA6671">
        <v>0.97357450000000001</v>
      </c>
      <c r="AB6671">
        <v>30</v>
      </c>
      <c r="AC6671">
        <v>16.5168999999999</v>
      </c>
      <c r="AD6671">
        <v>-1.1292321062089901</v>
      </c>
      <c r="AE6671">
        <v>-3.4572100000000101</v>
      </c>
      <c r="AF6671">
        <v>-3.8508332872164699</v>
      </c>
      <c r="AG6671">
        <v>-1.1292321062089901</v>
      </c>
      <c r="AH6671">
        <v>16.352310792665399</v>
      </c>
      <c r="AI6671">
        <v>93.845508525254601</v>
      </c>
      <c r="AJ6671">
        <v>103.251245609642</v>
      </c>
      <c r="AK6671">
        <v>16.8375220984428</v>
      </c>
      <c r="AL6671">
        <v>80.440746652026405</v>
      </c>
      <c r="AM6671">
        <v>95.377835756994202</v>
      </c>
      <c r="AN6671">
        <v>0.99999999717052901</v>
      </c>
    </row>
    <row r="6672" spans="1:40" x14ac:dyDescent="0.25">
      <c r="A6672" t="str">
        <f>"20190303170422858"</f>
        <v>20190303170422858</v>
      </c>
      <c r="B6672" t="str">
        <f>"1551603862852316"</f>
        <v>1551603862852316</v>
      </c>
      <c r="C6672" t="s">
        <v>40</v>
      </c>
      <c r="D6672">
        <v>5.3715380000000001</v>
      </c>
      <c r="E6672">
        <v>0.42137970000000002</v>
      </c>
      <c r="F6672" t="s">
        <v>114</v>
      </c>
      <c r="G6672">
        <v>-258.03730000000002</v>
      </c>
      <c r="H6672" s="1">
        <v>-3.3916569999999999E-6</v>
      </c>
      <c r="I6672">
        <v>-65.122579999999999</v>
      </c>
      <c r="J6672">
        <v>-289.16469999999998</v>
      </c>
      <c r="K6672">
        <v>1.129105</v>
      </c>
      <c r="L6672">
        <v>-60.419800000000002</v>
      </c>
      <c r="M6672">
        <v>0.90728339999999996</v>
      </c>
      <c r="N6672">
        <v>-1.4678510000000001E-2</v>
      </c>
      <c r="O6672">
        <v>-0.42026380000000002</v>
      </c>
      <c r="P6672">
        <v>0.93044709999999997</v>
      </c>
      <c r="Q6672">
        <v>0.15314910000000001</v>
      </c>
      <c r="R6672">
        <v>-0.33288669999999998</v>
      </c>
      <c r="S6672">
        <v>3.0774539999999999</v>
      </c>
      <c r="T6672">
        <v>-0.1112216</v>
      </c>
      <c r="U6672">
        <v>-0.46823120000000001</v>
      </c>
      <c r="V6672">
        <v>-9.21405E-2</v>
      </c>
      <c r="W6672">
        <v>0.165884</v>
      </c>
      <c r="X6672">
        <v>0.98183129999999996</v>
      </c>
      <c r="Y6672">
        <v>-0.27871580000000001</v>
      </c>
      <c r="Z6672">
        <v>1.5345279999999999E-2</v>
      </c>
      <c r="AA6672">
        <v>0.96025099999999997</v>
      </c>
      <c r="AB6672">
        <v>30</v>
      </c>
      <c r="AC6672">
        <v>31.127399999999898</v>
      </c>
      <c r="AD6672">
        <v>-1.1291083916569999</v>
      </c>
      <c r="AE6672">
        <v>-4.70277999999999</v>
      </c>
      <c r="AF6672">
        <v>-8.8045872658178901</v>
      </c>
      <c r="AG6672">
        <v>-1.1291083916569999</v>
      </c>
      <c r="AH6672">
        <v>30.1822059125913</v>
      </c>
      <c r="AI6672">
        <v>92.056772864281001</v>
      </c>
      <c r="AJ6672">
        <v>106.262730735532</v>
      </c>
      <c r="AK6672">
        <v>31.460470378422102</v>
      </c>
      <c r="AL6672">
        <v>80.451408694527501</v>
      </c>
      <c r="AM6672">
        <v>95.361252004009899</v>
      </c>
      <c r="AN6672">
        <v>1.0000000374279601</v>
      </c>
    </row>
    <row r="6673" spans="1:40" x14ac:dyDescent="0.25">
      <c r="A6673" t="str">
        <f>"20190303170422867"</f>
        <v>20190303170422867</v>
      </c>
      <c r="B6673" t="str">
        <f>"1551603862862075"</f>
        <v>1551603862862075</v>
      </c>
      <c r="C6673" t="s">
        <v>40</v>
      </c>
      <c r="D6673">
        <v>5.4007690000000004</v>
      </c>
      <c r="E6673">
        <v>0.4188714</v>
      </c>
      <c r="F6673" t="s">
        <v>114</v>
      </c>
      <c r="G6673">
        <v>-250.2259</v>
      </c>
      <c r="H6673" s="1">
        <v>-4.0803119999999999E-7</v>
      </c>
      <c r="I6673">
        <v>-65.667590000000004</v>
      </c>
      <c r="J6673">
        <v>-289.03969999999998</v>
      </c>
      <c r="K6673">
        <v>1.128981</v>
      </c>
      <c r="L6673">
        <v>-60.473419999999997</v>
      </c>
      <c r="M6673">
        <v>0.908945</v>
      </c>
      <c r="N6673">
        <v>-1.4648410000000001E-2</v>
      </c>
      <c r="O6673">
        <v>-0.41665859999999899</v>
      </c>
      <c r="P6673">
        <v>0.93162060000000002</v>
      </c>
      <c r="Q6673">
        <v>0.15382979999999999</v>
      </c>
      <c r="R6673">
        <v>-0.32927149999999999</v>
      </c>
      <c r="S6673">
        <v>3.0900270000000001</v>
      </c>
      <c r="T6673">
        <v>-8.9601159999999999E-2</v>
      </c>
      <c r="U6673">
        <v>-0.4164429</v>
      </c>
      <c r="V6673">
        <v>-9.196588E-2</v>
      </c>
      <c r="W6673">
        <v>0.166566299999999</v>
      </c>
      <c r="X6673">
        <v>0.9817321</v>
      </c>
      <c r="Y6673">
        <v>-0.29134490000000002</v>
      </c>
      <c r="Z6673">
        <v>1.1740459999999999E-2</v>
      </c>
      <c r="AA6673">
        <v>0.95654600000000001</v>
      </c>
      <c r="AB6673">
        <v>30</v>
      </c>
      <c r="AC6673">
        <v>38.813799999999901</v>
      </c>
      <c r="AD6673">
        <v>-1.1289814080312</v>
      </c>
      <c r="AE6673">
        <v>-5.1941699999999997</v>
      </c>
      <c r="AF6673">
        <v>-11.4426067755911</v>
      </c>
      <c r="AG6673">
        <v>-1.1289814080312</v>
      </c>
      <c r="AH6673">
        <v>37.4167235243128</v>
      </c>
      <c r="AI6673">
        <v>91.652757835187998</v>
      </c>
      <c r="AJ6673">
        <v>107.00443408753</v>
      </c>
      <c r="AK6673">
        <v>39.143569690759499</v>
      </c>
      <c r="AL6673">
        <v>80.411763744377893</v>
      </c>
      <c r="AM6673">
        <v>95.3516882399487</v>
      </c>
      <c r="AN6673">
        <v>0.99999998577513705</v>
      </c>
    </row>
    <row r="6674" spans="1:40" x14ac:dyDescent="0.25">
      <c r="A6674" t="str">
        <f>"20190303170422877"</f>
        <v>20190303170422877</v>
      </c>
      <c r="B6674" t="str">
        <f>"1551603862872812"</f>
        <v>1551603862872812</v>
      </c>
      <c r="C6674" t="s">
        <v>40</v>
      </c>
      <c r="D6674">
        <v>5.3681279999999996</v>
      </c>
      <c r="E6674">
        <v>0.4177806</v>
      </c>
      <c r="F6674" t="s">
        <v>113</v>
      </c>
      <c r="G6674">
        <v>-243.18020000000001</v>
      </c>
      <c r="H6674" s="1">
        <v>-1.896017E-6</v>
      </c>
      <c r="I6674">
        <v>-66.188670000000002</v>
      </c>
      <c r="J6674">
        <v>-288.93520000000001</v>
      </c>
      <c r="K6674">
        <v>1.128881</v>
      </c>
      <c r="L6674">
        <v>-60.518009999999997</v>
      </c>
      <c r="M6674">
        <v>0.91031099999999998</v>
      </c>
      <c r="N6674">
        <v>-1.4624180000000001E-2</v>
      </c>
      <c r="O6674">
        <v>-0.4136667</v>
      </c>
      <c r="P6674">
        <v>0.9322916</v>
      </c>
      <c r="Q6674">
        <v>0.15511849999999999</v>
      </c>
      <c r="R6674">
        <v>-0.32675799999999999</v>
      </c>
      <c r="S6674">
        <v>3.0964049999999999</v>
      </c>
      <c r="T6674">
        <v>-7.6228260000000006E-2</v>
      </c>
      <c r="U6674">
        <v>-0.38589479999999998</v>
      </c>
      <c r="V6674">
        <v>-9.1273729999999997E-2</v>
      </c>
      <c r="W6674">
        <v>0.16786479999999901</v>
      </c>
      <c r="X6674">
        <v>0.98157550000000005</v>
      </c>
      <c r="Y6674">
        <v>-0.29779139999999998</v>
      </c>
      <c r="Z6674">
        <v>9.4715019999999997E-3</v>
      </c>
      <c r="AA6674">
        <v>0.95458399999999999</v>
      </c>
      <c r="AB6674">
        <v>30</v>
      </c>
      <c r="AC6674">
        <v>45.755000000000003</v>
      </c>
      <c r="AD6674">
        <v>-1.1288828960169901</v>
      </c>
      <c r="AE6674">
        <v>-5.6706599999999998</v>
      </c>
      <c r="AF6674">
        <v>-13.758478618269899</v>
      </c>
      <c r="AG6674">
        <v>-1.1288828960169901</v>
      </c>
      <c r="AH6674">
        <v>43.975381896651001</v>
      </c>
      <c r="AI6674">
        <v>91.403448132740806</v>
      </c>
      <c r="AJ6674">
        <v>107.373218344139</v>
      </c>
      <c r="AK6674">
        <v>46.091260814156698</v>
      </c>
      <c r="AL6674">
        <v>80.336302584166603</v>
      </c>
      <c r="AM6674">
        <v>95.312484384254205</v>
      </c>
      <c r="AN6674">
        <v>0.99999997353370096</v>
      </c>
    </row>
    <row r="6675" spans="1:40" x14ac:dyDescent="0.25">
      <c r="A6675" t="str">
        <f>"20190303170422887"</f>
        <v>20190303170422887</v>
      </c>
      <c r="B6675" t="str">
        <f>"1551603862882571"</f>
        <v>1551603862882571</v>
      </c>
      <c r="C6675" t="s">
        <v>40</v>
      </c>
      <c r="D6675">
        <v>5.3910130000000001</v>
      </c>
      <c r="E6675">
        <v>0.41751139999999998</v>
      </c>
      <c r="F6675" t="s">
        <v>112</v>
      </c>
      <c r="G6675">
        <v>-234.55449999999999</v>
      </c>
      <c r="H6675" s="1">
        <v>-2.5965570000000001E-6</v>
      </c>
      <c r="I6675">
        <v>-66.994039999999998</v>
      </c>
      <c r="J6675">
        <v>-288.81349999999998</v>
      </c>
      <c r="K6675">
        <v>1.1287769999999999</v>
      </c>
      <c r="L6675">
        <v>-60.569180000000003</v>
      </c>
      <c r="M6675">
        <v>0.91185240000000001</v>
      </c>
      <c r="N6675">
        <v>-1.459681E-2</v>
      </c>
      <c r="O6675">
        <v>-0.41025850000000003</v>
      </c>
      <c r="P6675">
        <v>0.93313380000000001</v>
      </c>
      <c r="Q6675">
        <v>0.156221</v>
      </c>
      <c r="R6675">
        <v>-0.32381559999999998</v>
      </c>
      <c r="S6675">
        <v>3.0992130000000002</v>
      </c>
      <c r="T6675">
        <v>-6.4336299999999999E-2</v>
      </c>
      <c r="U6675">
        <v>-0.36907960000000001</v>
      </c>
      <c r="V6675">
        <v>-9.0593030000000005E-2</v>
      </c>
      <c r="W6675">
        <v>0.16897590000000001</v>
      </c>
      <c r="X6675">
        <v>0.98144790000000004</v>
      </c>
      <c r="Y6675">
        <v>-0.29947269999999998</v>
      </c>
      <c r="Z6675">
        <v>7.388408E-3</v>
      </c>
      <c r="AA6675">
        <v>0.95407629999999999</v>
      </c>
      <c r="AB6675">
        <v>30</v>
      </c>
      <c r="AC6675">
        <v>54.258999999999901</v>
      </c>
      <c r="AD6675">
        <v>-1.128779596557</v>
      </c>
      <c r="AE6675">
        <v>-6.42485999999999</v>
      </c>
      <c r="AF6675">
        <v>-16.396442288970899</v>
      </c>
      <c r="AG6675">
        <v>-1.128779596557</v>
      </c>
      <c r="AH6675">
        <v>52.095373412871602</v>
      </c>
      <c r="AI6675">
        <v>91.184022570955307</v>
      </c>
      <c r="AJ6675">
        <v>107.470818549146</v>
      </c>
      <c r="AK6675">
        <v>54.6264166327948</v>
      </c>
      <c r="AL6675">
        <v>80.271718601549594</v>
      </c>
      <c r="AM6675">
        <v>95.273770879896801</v>
      </c>
      <c r="AN6675">
        <v>0.99999996613989905</v>
      </c>
    </row>
    <row r="6676" spans="1:40" x14ac:dyDescent="0.25">
      <c r="A6676" t="str">
        <f>"20190303170422899"</f>
        <v>20190303170422899</v>
      </c>
      <c r="B6676" t="str">
        <f>"1551603862892331"</f>
        <v>1551603862892331</v>
      </c>
      <c r="C6676" t="s">
        <v>40</v>
      </c>
      <c r="D6676">
        <v>5.3705119999999997</v>
      </c>
      <c r="E6676">
        <v>0.41749350000000002</v>
      </c>
      <c r="F6676" t="s">
        <v>116</v>
      </c>
      <c r="G6676">
        <v>-227.875</v>
      </c>
      <c r="H6676" s="1">
        <v>-3.651411E-6</v>
      </c>
      <c r="I6676">
        <v>-67.586500000000001</v>
      </c>
      <c r="J6676">
        <v>-288.67140000000001</v>
      </c>
      <c r="K6676">
        <v>1.128655</v>
      </c>
      <c r="L6676">
        <v>-60.628509999999999</v>
      </c>
      <c r="M6676">
        <v>0.91361950000000003</v>
      </c>
      <c r="N6676">
        <v>-1.456614E-2</v>
      </c>
      <c r="O6676">
        <v>-0.40630929999999998</v>
      </c>
      <c r="P6676">
        <v>0.93415930000000003</v>
      </c>
      <c r="Q6676">
        <v>0.15735489999999999</v>
      </c>
      <c r="R6676">
        <v>-0.32029049999999998</v>
      </c>
      <c r="S6676">
        <v>3.1006770000000001</v>
      </c>
      <c r="T6676">
        <v>-5.7434680000000002E-2</v>
      </c>
      <c r="U6676">
        <v>-0.35705569999999998</v>
      </c>
      <c r="V6676">
        <v>-8.9938610000000002E-2</v>
      </c>
      <c r="W6676">
        <v>0.17011689999999999</v>
      </c>
      <c r="X6676">
        <v>0.98131100000000004</v>
      </c>
      <c r="Y6676">
        <v>-0.299068</v>
      </c>
      <c r="Z6676">
        <v>6.1677470000000003E-3</v>
      </c>
      <c r="AA6676">
        <v>0.9542119</v>
      </c>
      <c r="AB6676">
        <v>30</v>
      </c>
      <c r="AC6676">
        <v>60.796399999999998</v>
      </c>
      <c r="AD6676">
        <v>-1.128658651411</v>
      </c>
      <c r="AE6676">
        <v>-6.9579899999999997</v>
      </c>
      <c r="AF6676">
        <v>-18.340894429496199</v>
      </c>
      <c r="AG6676">
        <v>-1.128658651411</v>
      </c>
      <c r="AH6676">
        <v>58.358213030361398</v>
      </c>
      <c r="AI6676">
        <v>91.057012329080294</v>
      </c>
      <c r="AJ6676">
        <v>107.446957678966</v>
      </c>
      <c r="AK6676">
        <v>61.182867756606299</v>
      </c>
      <c r="AL6676">
        <v>80.205384023360594</v>
      </c>
      <c r="AM6676">
        <v>95.2366134454318</v>
      </c>
      <c r="AN6676">
        <v>0.99999999597767097</v>
      </c>
    </row>
    <row r="6677" spans="1:40" x14ac:dyDescent="0.25">
      <c r="A6677" t="str">
        <f>"20190303170422910"</f>
        <v>20190303170422910</v>
      </c>
      <c r="B6677" t="str">
        <f>"1551603862902092"</f>
        <v>1551603862902092</v>
      </c>
      <c r="C6677" t="s">
        <v>40</v>
      </c>
      <c r="D6677">
        <v>5.3705020000000001</v>
      </c>
      <c r="E6677">
        <v>0.4177129</v>
      </c>
      <c r="F6677" t="s">
        <v>116</v>
      </c>
      <c r="G6677">
        <v>-222.6653</v>
      </c>
      <c r="H6677" s="1">
        <v>-1.9297430000000001E-6</v>
      </c>
      <c r="I6677">
        <v>-67.969440000000006</v>
      </c>
      <c r="J6677">
        <v>-288.52190000000002</v>
      </c>
      <c r="K6677">
        <v>1.1285350000000001</v>
      </c>
      <c r="L6677">
        <v>-60.690219999999997</v>
      </c>
      <c r="M6677">
        <v>0.91542710000000005</v>
      </c>
      <c r="N6677">
        <v>-1.453515E-2</v>
      </c>
      <c r="O6677">
        <v>-0.40222140000000001</v>
      </c>
      <c r="P6677">
        <v>0.93542780000000003</v>
      </c>
      <c r="Q6677">
        <v>0.15770490000000001</v>
      </c>
      <c r="R6677">
        <v>-0.31639210000000001</v>
      </c>
      <c r="S6677">
        <v>3.1020810000000001</v>
      </c>
      <c r="T6677">
        <v>-5.3043369999999999E-2</v>
      </c>
      <c r="U6677">
        <v>-0.34500120000000001</v>
      </c>
      <c r="V6677">
        <v>-8.9572789999999999E-2</v>
      </c>
      <c r="W6677">
        <v>0.17046929999999999</v>
      </c>
      <c r="X6677">
        <v>0.98128329999999997</v>
      </c>
      <c r="Y6677">
        <v>-0.29852430000000002</v>
      </c>
      <c r="Z6677">
        <v>5.3978630000000001E-3</v>
      </c>
      <c r="AA6677">
        <v>0.95438679999999998</v>
      </c>
      <c r="AB6677">
        <v>30</v>
      </c>
      <c r="AC6677">
        <v>65.8566</v>
      </c>
      <c r="AD6677">
        <v>-1.1285369297429999</v>
      </c>
      <c r="AE6677">
        <v>-7.2792199999999996</v>
      </c>
      <c r="AF6677">
        <v>-19.821681763797599</v>
      </c>
      <c r="AG6677">
        <v>-1.1285369297429999</v>
      </c>
      <c r="AH6677">
        <v>63.203114292181503</v>
      </c>
      <c r="AI6677">
        <v>90.976081781826494</v>
      </c>
      <c r="AJ6677">
        <v>107.412402911783</v>
      </c>
      <c r="AK6677">
        <v>66.248066536145899</v>
      </c>
      <c r="AL6677">
        <v>80.184893647299901</v>
      </c>
      <c r="AM6677">
        <v>95.215577939032997</v>
      </c>
      <c r="AN6677">
        <v>0.99999999090488201</v>
      </c>
    </row>
    <row r="6678" spans="1:40" x14ac:dyDescent="0.25">
      <c r="A6678" t="str">
        <f>"20190303170422924"</f>
        <v>20190303170422924</v>
      </c>
      <c r="B6678" t="str">
        <f>"1551603862912828"</f>
        <v>1551603862912828</v>
      </c>
      <c r="C6678" t="s">
        <v>40</v>
      </c>
      <c r="D6678">
        <v>5.3287500000000003</v>
      </c>
      <c r="E6678">
        <v>0.41790680000000002</v>
      </c>
      <c r="F6678" t="s">
        <v>117</v>
      </c>
      <c r="G6678">
        <v>-218.11670000000001</v>
      </c>
      <c r="H6678" s="1">
        <v>-4.0172079999999996E-6</v>
      </c>
      <c r="I6678">
        <v>-68.249979999999994</v>
      </c>
      <c r="J6678">
        <v>-288.36689999999999</v>
      </c>
      <c r="K6678">
        <v>1.1284179999999999</v>
      </c>
      <c r="L6678">
        <v>-60.753230000000002</v>
      </c>
      <c r="M6678">
        <v>0.91724930000000005</v>
      </c>
      <c r="N6678">
        <v>-1.450453E-2</v>
      </c>
      <c r="O6678">
        <v>-0.39804980000000001</v>
      </c>
      <c r="P6678">
        <v>0.93688910000000003</v>
      </c>
      <c r="Q6678">
        <v>0.15742700000000001</v>
      </c>
      <c r="R6678">
        <v>-0.3121794</v>
      </c>
      <c r="S6678">
        <v>3.1027529999999999</v>
      </c>
      <c r="T6678">
        <v>-4.9734710000000001E-2</v>
      </c>
      <c r="U6678">
        <v>-0.33316040000000002</v>
      </c>
      <c r="V6678">
        <v>-8.9485010000000004E-2</v>
      </c>
      <c r="W6678">
        <v>0.17018839999999999</v>
      </c>
      <c r="X6678">
        <v>0.98134010000000005</v>
      </c>
      <c r="Y6678">
        <v>-0.29780899999999999</v>
      </c>
      <c r="Z6678">
        <v>4.8248520000000001E-3</v>
      </c>
      <c r="AA6678">
        <v>0.9546133</v>
      </c>
      <c r="AB6678">
        <v>30</v>
      </c>
      <c r="AC6678">
        <v>70.250199999999893</v>
      </c>
      <c r="AD6678">
        <v>-1.128422017208</v>
      </c>
      <c r="AE6678">
        <v>-7.4967499999999996</v>
      </c>
      <c r="AF6678">
        <v>-21.083525996697499</v>
      </c>
      <c r="AG6678">
        <v>-1.128422017208</v>
      </c>
      <c r="AH6678">
        <v>67.410912275745403</v>
      </c>
      <c r="AI6678">
        <v>90.915295936766</v>
      </c>
      <c r="AJ6678">
        <v>107.367664148871</v>
      </c>
      <c r="AK6678">
        <v>70.640070063318802</v>
      </c>
      <c r="AL6678">
        <v>80.201227041661397</v>
      </c>
      <c r="AM6678">
        <v>95.210194973832103</v>
      </c>
      <c r="AN6678">
        <v>1.0000000251886301</v>
      </c>
    </row>
    <row r="6679" spans="1:40" x14ac:dyDescent="0.25">
      <c r="A6679" t="str">
        <f>"20190303170422937"</f>
        <v>20190303170422937</v>
      </c>
      <c r="B6679" t="str">
        <f>"1551603862932347"</f>
        <v>1551603862932347</v>
      </c>
      <c r="C6679" t="s">
        <v>40</v>
      </c>
      <c r="D6679">
        <v>5.3096350000000001</v>
      </c>
      <c r="E6679">
        <v>0.41840630000000001</v>
      </c>
      <c r="F6679" t="s">
        <v>117</v>
      </c>
      <c r="G6679">
        <v>-219.64570000000001</v>
      </c>
      <c r="H6679" s="1">
        <v>-4.4661669999999901E-6</v>
      </c>
      <c r="I6679">
        <v>-67.847740000000002</v>
      </c>
      <c r="J6679">
        <v>-288.21179999999998</v>
      </c>
      <c r="K6679">
        <v>1.128304</v>
      </c>
      <c r="L6679">
        <v>-60.815860000000001</v>
      </c>
      <c r="M6679">
        <v>0.91903780000000002</v>
      </c>
      <c r="N6679">
        <v>-1.447525E-2</v>
      </c>
      <c r="O6679">
        <v>-0.39390389999999997</v>
      </c>
      <c r="P6679">
        <v>0.93849910000000003</v>
      </c>
      <c r="Q6679">
        <v>0.15661169999999999</v>
      </c>
      <c r="R6679">
        <v>-0.30772090000000002</v>
      </c>
      <c r="S6679">
        <v>3.103882</v>
      </c>
      <c r="T6679">
        <v>-5.0966619999999997E-2</v>
      </c>
      <c r="U6679">
        <v>-0.32043460000000001</v>
      </c>
      <c r="V6679">
        <v>-8.9714089999999996E-2</v>
      </c>
      <c r="W6679">
        <v>0.16936599999999999</v>
      </c>
      <c r="X6679">
        <v>0.98146140000000004</v>
      </c>
      <c r="Y6679">
        <v>-0.29740329999999998</v>
      </c>
      <c r="Z6679">
        <v>5.0398359999999998E-3</v>
      </c>
      <c r="AA6679">
        <v>0.95473869999999905</v>
      </c>
      <c r="AB6679">
        <v>30</v>
      </c>
      <c r="AC6679">
        <v>68.566099999999906</v>
      </c>
      <c r="AD6679">
        <v>-1.128308466167</v>
      </c>
      <c r="AE6679">
        <v>-7.0318800000000001</v>
      </c>
      <c r="AF6679">
        <v>-20.542535650736799</v>
      </c>
      <c r="AG6679">
        <v>-1.128308466167</v>
      </c>
      <c r="AH6679">
        <v>65.773980400191903</v>
      </c>
      <c r="AI6679">
        <v>90.938094536943495</v>
      </c>
      <c r="AJ6679">
        <v>107.34463329782101</v>
      </c>
      <c r="AK6679">
        <v>68.916509985934795</v>
      </c>
      <c r="AL6679">
        <v>80.249040689480594</v>
      </c>
      <c r="AM6679">
        <v>95.222817286769597</v>
      </c>
      <c r="AN6679">
        <v>0.99999996979524297</v>
      </c>
    </row>
    <row r="6680" spans="1:40" x14ac:dyDescent="0.25">
      <c r="A6680" t="str">
        <f>"20190303170422946"</f>
        <v>20190303170422946</v>
      </c>
      <c r="B6680" t="str">
        <f>"1551603862942107"</f>
        <v>1551603862942107</v>
      </c>
      <c r="C6680" t="s">
        <v>40</v>
      </c>
      <c r="D6680">
        <v>5.3229579999999999</v>
      </c>
      <c r="E6680">
        <v>0.41879369999999999</v>
      </c>
      <c r="F6680" t="s">
        <v>116</v>
      </c>
      <c r="G6680">
        <v>-225.9854</v>
      </c>
      <c r="H6680" s="1">
        <v>-2.9320839999999998E-6</v>
      </c>
      <c r="I6680">
        <v>-67.015810000000002</v>
      </c>
      <c r="J6680">
        <v>-288.07319999999999</v>
      </c>
      <c r="K6680">
        <v>1.1282179999999999</v>
      </c>
      <c r="L6680">
        <v>-60.870849999999997</v>
      </c>
      <c r="M6680">
        <v>0.92059299999999999</v>
      </c>
      <c r="N6680">
        <v>-1.445075E-2</v>
      </c>
      <c r="O6680">
        <v>-0.39025569999999998</v>
      </c>
      <c r="P6680">
        <v>0.9401834</v>
      </c>
      <c r="Q6680">
        <v>0.15520139999999999</v>
      </c>
      <c r="R6680">
        <v>-0.30326150000000002</v>
      </c>
      <c r="S6680">
        <v>3.104584</v>
      </c>
      <c r="T6680">
        <v>-5.6293129999999997E-2</v>
      </c>
      <c r="U6680">
        <v>-0.3093262</v>
      </c>
      <c r="V6680">
        <v>-9.0514780000000003E-2</v>
      </c>
      <c r="W6680">
        <v>0.16793810000000001</v>
      </c>
      <c r="X6680">
        <v>0.98163319999999998</v>
      </c>
      <c r="Y6680">
        <v>-0.29700650000000001</v>
      </c>
      <c r="Z6680">
        <v>5.9465899999999999E-3</v>
      </c>
      <c r="AA6680">
        <v>0.95485690000000001</v>
      </c>
      <c r="AB6680">
        <v>30</v>
      </c>
      <c r="AC6680">
        <v>62.087799999999902</v>
      </c>
      <c r="AD6680">
        <v>-1.128220932084</v>
      </c>
      <c r="AE6680">
        <v>-6.1449600000000002</v>
      </c>
      <c r="AF6680">
        <v>-18.568980060330102</v>
      </c>
      <c r="AG6680">
        <v>-1.128220932084</v>
      </c>
      <c r="AH6680">
        <v>59.542454643350297</v>
      </c>
      <c r="AI6680">
        <v>91.036306998323099</v>
      </c>
      <c r="AJ6680">
        <v>107.320673170687</v>
      </c>
      <c r="AK6680">
        <v>62.380957093554997</v>
      </c>
      <c r="AL6680">
        <v>80.332041948564793</v>
      </c>
      <c r="AM6680">
        <v>95.2682522347597</v>
      </c>
      <c r="AN6680">
        <v>0.99999993508614704</v>
      </c>
    </row>
    <row r="6681" spans="1:40" x14ac:dyDescent="0.25">
      <c r="A6681" t="str">
        <f>"20190303170422957"</f>
        <v>20190303170422957</v>
      </c>
      <c r="B6681" t="str">
        <f>"1551603862952843"</f>
        <v>1551603862952843</v>
      </c>
      <c r="C6681" t="s">
        <v>40</v>
      </c>
      <c r="D6681">
        <v>5.308853</v>
      </c>
      <c r="E6681">
        <v>0.41927979999999998</v>
      </c>
      <c r="F6681" t="s">
        <v>112</v>
      </c>
      <c r="G6681">
        <v>-232.0025</v>
      </c>
      <c r="H6681" s="1">
        <v>-1.4053779999999999E-6</v>
      </c>
      <c r="I6681">
        <v>-66.243549999999999</v>
      </c>
      <c r="J6681">
        <v>-287.9477</v>
      </c>
      <c r="K6681">
        <v>1.128142</v>
      </c>
      <c r="L6681">
        <v>-60.920380000000002</v>
      </c>
      <c r="M6681">
        <v>0.92198219999999997</v>
      </c>
      <c r="N6681">
        <v>-1.4429529999999999E-2</v>
      </c>
      <c r="O6681">
        <v>-0.38696370000000002</v>
      </c>
      <c r="P6681">
        <v>0.94153969999999998</v>
      </c>
      <c r="Q6681">
        <v>0.1544943</v>
      </c>
      <c r="R6681">
        <v>-0.29939060000000001</v>
      </c>
      <c r="S6681">
        <v>3.1052249999999999</v>
      </c>
      <c r="T6681">
        <v>-6.2481399999999999E-2</v>
      </c>
      <c r="U6681">
        <v>-0.29754639999999999</v>
      </c>
      <c r="V6681">
        <v>-9.1049840000000007E-2</v>
      </c>
      <c r="W6681">
        <v>0.16721839999999999</v>
      </c>
      <c r="X6681">
        <v>0.98170659999999998</v>
      </c>
      <c r="Y6681">
        <v>-0.2971837</v>
      </c>
      <c r="Z6681">
        <v>6.9968230000000001E-3</v>
      </c>
      <c r="AA6681">
        <v>0.9547947</v>
      </c>
      <c r="AB6681">
        <v>30</v>
      </c>
      <c r="AC6681">
        <v>55.9452</v>
      </c>
      <c r="AD6681">
        <v>-1.128143405378</v>
      </c>
      <c r="AE6681">
        <v>-5.3231699999999904</v>
      </c>
      <c r="AF6681">
        <v>-16.735889926712801</v>
      </c>
      <c r="AG6681">
        <v>-1.128143405378</v>
      </c>
      <c r="AH6681">
        <v>53.624319603917698</v>
      </c>
      <c r="AI6681">
        <v>91.150492057520296</v>
      </c>
      <c r="AJ6681">
        <v>107.332889583483</v>
      </c>
      <c r="AK6681">
        <v>56.1865675421204</v>
      </c>
      <c r="AL6681">
        <v>80.373869431990897</v>
      </c>
      <c r="AM6681">
        <v>95.298823720308604</v>
      </c>
      <c r="AN6681">
        <v>0.99999995757307103</v>
      </c>
    </row>
    <row r="6682" spans="1:40" x14ac:dyDescent="0.25">
      <c r="A6682" t="str">
        <f>"20190303170422966"</f>
        <v>20190303170422966</v>
      </c>
      <c r="B6682" t="str">
        <f>"1551603862962605"</f>
        <v>1551603862962605</v>
      </c>
      <c r="C6682" t="s">
        <v>40</v>
      </c>
      <c r="D6682">
        <v>5.3178869999999998</v>
      </c>
      <c r="E6682">
        <v>0.41982059999999999</v>
      </c>
      <c r="F6682" t="s">
        <v>112</v>
      </c>
      <c r="G6682">
        <v>-235.1062</v>
      </c>
      <c r="H6682" s="1">
        <v>-2.5776850000000001E-6</v>
      </c>
      <c r="I6682">
        <v>-65.829169999999905</v>
      </c>
      <c r="J6682">
        <v>-287.83249999999998</v>
      </c>
      <c r="K6682">
        <v>1.1280870000000001</v>
      </c>
      <c r="L6682">
        <v>-60.965209999999999</v>
      </c>
      <c r="M6682">
        <v>0.92323379999999999</v>
      </c>
      <c r="N6682">
        <v>-1.4411119999999999E-2</v>
      </c>
      <c r="O6682">
        <v>-0.38396819999999998</v>
      </c>
      <c r="P6682">
        <v>0.9425673</v>
      </c>
      <c r="Q6682">
        <v>0.15437339999999999</v>
      </c>
      <c r="R6682">
        <v>-0.29620210000000002</v>
      </c>
      <c r="S6682">
        <v>3.1053769999999998</v>
      </c>
      <c r="T6682">
        <v>-6.6298599999999999E-2</v>
      </c>
      <c r="U6682">
        <v>-0.28848269999999998</v>
      </c>
      <c r="V6682">
        <v>-9.1166529999999996E-2</v>
      </c>
      <c r="W6682">
        <v>0.16709099999999999</v>
      </c>
      <c r="X6682">
        <v>0.98171750000000002</v>
      </c>
      <c r="Y6682">
        <v>-0.29683789999999999</v>
      </c>
      <c r="Z6682">
        <v>7.6289919999999898E-3</v>
      </c>
      <c r="AA6682">
        <v>0.95489740000000001</v>
      </c>
      <c r="AB6682">
        <v>30</v>
      </c>
      <c r="AC6682">
        <v>52.726299999999902</v>
      </c>
      <c r="AD6682">
        <v>-1.128089577685</v>
      </c>
      <c r="AE6682">
        <v>-4.8639599999999898</v>
      </c>
      <c r="AF6682">
        <v>-15.749138765811299</v>
      </c>
      <c r="AG6682">
        <v>-1.128089577685</v>
      </c>
      <c r="AH6682">
        <v>50.528625612790997</v>
      </c>
      <c r="AI6682">
        <v>91.221040754995997</v>
      </c>
      <c r="AJ6682">
        <v>107.311601415905</v>
      </c>
      <c r="AK6682">
        <v>52.938171145947898</v>
      </c>
      <c r="AL6682">
        <v>80.381273433967394</v>
      </c>
      <c r="AM6682">
        <v>95.3055174222239</v>
      </c>
      <c r="AN6682">
        <v>0.99999999413974505</v>
      </c>
    </row>
    <row r="6683" spans="1:40" x14ac:dyDescent="0.25">
      <c r="A6683" t="str">
        <f>"20190303170422977"</f>
        <v>20190303170422977</v>
      </c>
      <c r="B6683" t="str">
        <f>"1551603862972364"</f>
        <v>1551603862972364</v>
      </c>
      <c r="C6683" t="s">
        <v>40</v>
      </c>
      <c r="D6683">
        <v>5.2803309999999897</v>
      </c>
      <c r="E6683">
        <v>0.42032160000000002</v>
      </c>
      <c r="F6683" t="s">
        <v>112</v>
      </c>
      <c r="G6683">
        <v>-236.375</v>
      </c>
      <c r="H6683" s="1">
        <v>-2.9752290000000001E-6</v>
      </c>
      <c r="I6683">
        <v>-65.636200000000002</v>
      </c>
      <c r="J6683">
        <v>-287.70409999999998</v>
      </c>
      <c r="K6683">
        <v>1.1280289999999999</v>
      </c>
      <c r="L6683">
        <v>-61.014890000000001</v>
      </c>
      <c r="M6683">
        <v>0.92461269999999995</v>
      </c>
      <c r="N6683">
        <v>-1.439138E-2</v>
      </c>
      <c r="O6683">
        <v>-0.38063669999999999</v>
      </c>
      <c r="P6683">
        <v>0.94352429999999998</v>
      </c>
      <c r="Q6683">
        <v>0.1546565</v>
      </c>
      <c r="R6683">
        <v>-0.29299029999999998</v>
      </c>
      <c r="S6683">
        <v>3.1053769999999998</v>
      </c>
      <c r="T6683">
        <v>-6.8078520000000003E-2</v>
      </c>
      <c r="U6683">
        <v>-0.2818909</v>
      </c>
      <c r="V6683">
        <v>-9.0930419999999998E-2</v>
      </c>
      <c r="W6683">
        <v>0.16737170000000001</v>
      </c>
      <c r="X6683">
        <v>0.9816916</v>
      </c>
      <c r="Y6683">
        <v>-0.29539860000000001</v>
      </c>
      <c r="Z6683">
        <v>7.8920819999999999E-3</v>
      </c>
      <c r="AA6683">
        <v>0.95534149999999995</v>
      </c>
      <c r="AB6683">
        <v>30</v>
      </c>
      <c r="AC6683">
        <v>51.329099999999897</v>
      </c>
      <c r="AD6683">
        <v>-1.128031975229</v>
      </c>
      <c r="AE6683">
        <v>-4.6213100000000003</v>
      </c>
      <c r="AF6683">
        <v>-15.2590875693611</v>
      </c>
      <c r="AG6683">
        <v>-1.128031975229</v>
      </c>
      <c r="AH6683">
        <v>49.200103402993498</v>
      </c>
      <c r="AI6683">
        <v>91.254486276782998</v>
      </c>
      <c r="AJ6683">
        <v>107.23093198279901</v>
      </c>
      <c r="AK6683">
        <v>51.524386308347502</v>
      </c>
      <c r="AL6683">
        <v>80.364960966028605</v>
      </c>
      <c r="AM6683">
        <v>95.291993722384106</v>
      </c>
      <c r="AN6683">
        <v>1.0000000123764099</v>
      </c>
    </row>
    <row r="6684" spans="1:40" x14ac:dyDescent="0.25">
      <c r="A6684" t="str">
        <f>"20190303170422987"</f>
        <v>20190303170422987</v>
      </c>
      <c r="B6684" t="str">
        <f>"1551603862982123"</f>
        <v>1551603862982123</v>
      </c>
      <c r="C6684" t="s">
        <v>40</v>
      </c>
      <c r="D6684">
        <v>5.2810680000000003</v>
      </c>
      <c r="E6684">
        <v>0.42084850000000001</v>
      </c>
      <c r="F6684" t="s">
        <v>112</v>
      </c>
      <c r="G6684">
        <v>-235.35290000000001</v>
      </c>
      <c r="H6684" s="1">
        <v>-2.6278800000000002E-6</v>
      </c>
      <c r="I6684">
        <v>-65.638850000000005</v>
      </c>
      <c r="J6684">
        <v>-287.57170000000002</v>
      </c>
      <c r="K6684">
        <v>1.12798</v>
      </c>
      <c r="L6684">
        <v>-61.065370000000001</v>
      </c>
      <c r="M6684">
        <v>0.92601080000000002</v>
      </c>
      <c r="N6684">
        <v>-1.4372279999999999E-2</v>
      </c>
      <c r="O6684">
        <v>-0.37722329999999998</v>
      </c>
      <c r="P6684">
        <v>0.94421449999999996</v>
      </c>
      <c r="Q6684">
        <v>0.15514729999999999</v>
      </c>
      <c r="R6684">
        <v>-0.29049720000000001</v>
      </c>
      <c r="S6684">
        <v>3.1054080000000002</v>
      </c>
      <c r="T6684">
        <v>-6.6913490000000006E-2</v>
      </c>
      <c r="U6684">
        <v>-0.27429199999999998</v>
      </c>
      <c r="V6684">
        <v>-8.9853909999999995E-2</v>
      </c>
      <c r="W6684">
        <v>0.16787279999999999</v>
      </c>
      <c r="X6684">
        <v>0.9817051</v>
      </c>
      <c r="Y6684">
        <v>-0.29419849999999997</v>
      </c>
      <c r="Z6684">
        <v>7.6666919999999897E-3</v>
      </c>
      <c r="AA6684">
        <v>0.95571360000000005</v>
      </c>
      <c r="AB6684">
        <v>30</v>
      </c>
      <c r="AC6684">
        <v>52.218800000000002</v>
      </c>
      <c r="AD6684">
        <v>-1.12798262787999</v>
      </c>
      <c r="AE6684">
        <v>-4.5734800000000098</v>
      </c>
      <c r="AF6684">
        <v>-15.4574959452129</v>
      </c>
      <c r="AG6684">
        <v>-1.12798262787999</v>
      </c>
      <c r="AH6684">
        <v>50.062387963839299</v>
      </c>
      <c r="AI6684">
        <v>91.233311540571805</v>
      </c>
      <c r="AJ6684">
        <v>107.158839196366</v>
      </c>
      <c r="AK6684">
        <v>52.4065760601381</v>
      </c>
      <c r="AL6684">
        <v>80.335837416927305</v>
      </c>
      <c r="AM6684">
        <v>95.229620632686306</v>
      </c>
      <c r="AN6684">
        <v>0.99999995274406706</v>
      </c>
    </row>
    <row r="6685" spans="1:40" x14ac:dyDescent="0.25">
      <c r="A6685" t="str">
        <f>"20190303170422998"</f>
        <v>20190303170422998</v>
      </c>
      <c r="B6685" t="str">
        <f>"1551603862992860"</f>
        <v>1551603862992860</v>
      </c>
      <c r="C6685" t="s">
        <v>40</v>
      </c>
      <c r="D6685">
        <v>5.2654209999999999</v>
      </c>
      <c r="E6685">
        <v>0.42145700000000003</v>
      </c>
      <c r="F6685" t="s">
        <v>112</v>
      </c>
      <c r="G6685">
        <v>-234.39070000000001</v>
      </c>
      <c r="H6685" s="1">
        <v>-2.2795069999999999E-6</v>
      </c>
      <c r="I6685">
        <v>-65.678340000000006</v>
      </c>
      <c r="J6685">
        <v>-287.43729999999999</v>
      </c>
      <c r="K6685">
        <v>1.127926</v>
      </c>
      <c r="L6685">
        <v>-61.116239999999998</v>
      </c>
      <c r="M6685">
        <v>0.92741220000000002</v>
      </c>
      <c r="N6685">
        <v>-1.435386E-2</v>
      </c>
      <c r="O6685">
        <v>-0.37376569999999998</v>
      </c>
      <c r="P6685">
        <v>0.94489849999999997</v>
      </c>
      <c r="Q6685">
        <v>0.15564500000000001</v>
      </c>
      <c r="R6685">
        <v>-0.28799609999999998</v>
      </c>
      <c r="S6685">
        <v>3.1051639999999998</v>
      </c>
      <c r="T6685">
        <v>-6.5861230000000007E-2</v>
      </c>
      <c r="U6685">
        <v>-0.26934809999999998</v>
      </c>
      <c r="V6685">
        <v>-8.8743169999999996E-2</v>
      </c>
      <c r="W6685">
        <v>0.16838139999999999</v>
      </c>
      <c r="X6685">
        <v>0.98171909999999896</v>
      </c>
      <c r="Y6685">
        <v>-0.2921395</v>
      </c>
      <c r="Z6685">
        <v>7.4469439999999996E-3</v>
      </c>
      <c r="AA6685">
        <v>0.95634669999999999</v>
      </c>
      <c r="AB6685">
        <v>30</v>
      </c>
      <c r="AC6685">
        <v>53.046599999999899</v>
      </c>
      <c r="AD6685">
        <v>-1.127928279507</v>
      </c>
      <c r="AE6685">
        <v>-4.5621</v>
      </c>
      <c r="AF6685">
        <v>-15.590660562836</v>
      </c>
      <c r="AG6685">
        <v>-1.127928279507</v>
      </c>
      <c r="AH6685">
        <v>50.883623088883198</v>
      </c>
      <c r="AI6685">
        <v>91.214160888553096</v>
      </c>
      <c r="AJ6685">
        <v>107.034980483902</v>
      </c>
      <c r="AK6685">
        <v>53.230480156023397</v>
      </c>
      <c r="AL6685">
        <v>80.306276629839701</v>
      </c>
      <c r="AM6685">
        <v>95.165252652364103</v>
      </c>
      <c r="AN6685">
        <v>1.0000000186961999</v>
      </c>
    </row>
    <row r="6686" spans="1:40" x14ac:dyDescent="0.25">
      <c r="A6686" t="str">
        <f>"20190303170423009"</f>
        <v>20190303170423009</v>
      </c>
      <c r="B6686" t="str">
        <f>"1551603863002620"</f>
        <v>1551603863002620</v>
      </c>
      <c r="C6686" t="s">
        <v>40</v>
      </c>
      <c r="D6686">
        <v>5.2670300000000001</v>
      </c>
      <c r="E6686">
        <v>0.42195719999999998</v>
      </c>
      <c r="F6686" t="s">
        <v>112</v>
      </c>
      <c r="G6686">
        <v>-234.2047</v>
      </c>
      <c r="H6686" s="1">
        <v>-2.19478E-6</v>
      </c>
      <c r="I6686">
        <v>-65.659649999999999</v>
      </c>
      <c r="J6686">
        <v>-287.29969999999997</v>
      </c>
      <c r="K6686">
        <v>1.1278840000000001</v>
      </c>
      <c r="L6686">
        <v>-61.167630000000003</v>
      </c>
      <c r="M6686">
        <v>0.92882690000000001</v>
      </c>
      <c r="N6686">
        <v>-1.433623E-2</v>
      </c>
      <c r="O6686">
        <v>-0.37023650000000002</v>
      </c>
      <c r="P6686">
        <v>0.9456483</v>
      </c>
      <c r="Q6686">
        <v>0.15611939999999999</v>
      </c>
      <c r="R6686">
        <v>-0.2852653</v>
      </c>
      <c r="S6686">
        <v>3.1049799999999999</v>
      </c>
      <c r="T6686">
        <v>-6.579053E-2</v>
      </c>
      <c r="U6686">
        <v>-0.26501459999999999</v>
      </c>
      <c r="V6686">
        <v>-8.7802829999999998E-2</v>
      </c>
      <c r="W6686">
        <v>0.16886319999999999</v>
      </c>
      <c r="X6686">
        <v>0.98172090000000001</v>
      </c>
      <c r="Y6686">
        <v>-0.2898232</v>
      </c>
      <c r="Z6686">
        <v>7.3842359999999998E-3</v>
      </c>
      <c r="AA6686">
        <v>0.95705169999999995</v>
      </c>
      <c r="AB6686">
        <v>30</v>
      </c>
      <c r="AC6686">
        <v>53.094999999999899</v>
      </c>
      <c r="AD6686">
        <v>-1.1278861947799901</v>
      </c>
      <c r="AE6686">
        <v>-4.4920199999999904</v>
      </c>
      <c r="AF6686">
        <v>-15.480053683798999</v>
      </c>
      <c r="AG6686">
        <v>-1.1278861947799901</v>
      </c>
      <c r="AH6686">
        <v>50.961580244304102</v>
      </c>
      <c r="AI6686">
        <v>91.213151877555603</v>
      </c>
      <c r="AJ6686">
        <v>106.896646301619</v>
      </c>
      <c r="AK6686">
        <v>53.272758989171201</v>
      </c>
      <c r="AL6686">
        <v>80.278270522756998</v>
      </c>
      <c r="AM6686">
        <v>95.110802705592405</v>
      </c>
      <c r="AN6686">
        <v>1.0000000213835201</v>
      </c>
    </row>
    <row r="6687" spans="1:40" x14ac:dyDescent="0.25">
      <c r="A6687" t="str">
        <f>"20190303170423021"</f>
        <v>20190303170423021</v>
      </c>
      <c r="B6687" t="str">
        <f>"1551603863012380"</f>
        <v>1551603863012380</v>
      </c>
      <c r="C6687" t="s">
        <v>40</v>
      </c>
      <c r="D6687">
        <v>5.2654040000000002</v>
      </c>
      <c r="E6687">
        <v>0.42238310000000001</v>
      </c>
      <c r="F6687" t="s">
        <v>112</v>
      </c>
      <c r="G6687">
        <v>-233.1499</v>
      </c>
      <c r="H6687" s="1">
        <v>-1.7516249999999999E-6</v>
      </c>
      <c r="I6687">
        <v>-65.694850000000002</v>
      </c>
      <c r="J6687">
        <v>-287.1671</v>
      </c>
      <c r="K6687">
        <v>1.127848</v>
      </c>
      <c r="L6687">
        <v>-61.21658</v>
      </c>
      <c r="M6687">
        <v>0.93017209999999995</v>
      </c>
      <c r="N6687">
        <v>-1.4320319999999999E-2</v>
      </c>
      <c r="O6687">
        <v>-0.36684420000000001</v>
      </c>
      <c r="P6687">
        <v>0.94654150000000004</v>
      </c>
      <c r="Q6687">
        <v>0.15588540000000001</v>
      </c>
      <c r="R6687">
        <v>-0.282416</v>
      </c>
      <c r="S6687">
        <v>3.104797</v>
      </c>
      <c r="T6687">
        <v>-6.4669850000000001E-2</v>
      </c>
      <c r="U6687">
        <v>-0.25958249999999999</v>
      </c>
      <c r="V6687">
        <v>-8.7169189999999994E-2</v>
      </c>
      <c r="W6687">
        <v>0.1686328</v>
      </c>
      <c r="X6687">
        <v>0.98181689999999999</v>
      </c>
      <c r="Y6687">
        <v>-0.28799180000000002</v>
      </c>
      <c r="Z6687">
        <v>7.1607909999999997E-3</v>
      </c>
      <c r="AA6687">
        <v>0.95760610000000002</v>
      </c>
      <c r="AB6687">
        <v>30</v>
      </c>
      <c r="AC6687">
        <v>54.017200000000003</v>
      </c>
      <c r="AD6687">
        <v>-1.1278497516249999</v>
      </c>
      <c r="AE6687">
        <v>-4.4782699999999904</v>
      </c>
      <c r="AF6687">
        <v>-15.6451666822805</v>
      </c>
      <c r="AG6687">
        <v>-1.1278497516249999</v>
      </c>
      <c r="AH6687">
        <v>51.8709853264115</v>
      </c>
      <c r="AI6687">
        <v>91.192558538502695</v>
      </c>
      <c r="AJ6687">
        <v>106.78419950865501</v>
      </c>
      <c r="AK6687">
        <v>54.190796306304399</v>
      </c>
      <c r="AL6687">
        <v>80.291662905381003</v>
      </c>
      <c r="AM6687">
        <v>95.073619654237106</v>
      </c>
      <c r="AN6687">
        <v>0.99999995702335198</v>
      </c>
    </row>
    <row r="6688" spans="1:40" x14ac:dyDescent="0.25">
      <c r="A6688" t="str">
        <f>"20190303170423030"</f>
        <v>20190303170423030</v>
      </c>
      <c r="B6688" t="str">
        <f>"1551603863022139"</f>
        <v>1551603863022139</v>
      </c>
      <c r="C6688" t="s">
        <v>40</v>
      </c>
      <c r="D6688">
        <v>5.2559820000000004</v>
      </c>
      <c r="E6688">
        <v>0.42279430000000001</v>
      </c>
      <c r="F6688" t="s">
        <v>112</v>
      </c>
      <c r="G6688">
        <v>-234.68690000000001</v>
      </c>
      <c r="H6688" s="1">
        <v>-2.3592689999999998E-6</v>
      </c>
      <c r="I6688">
        <v>-65.500550000000004</v>
      </c>
      <c r="J6688">
        <v>-287.03489999999999</v>
      </c>
      <c r="K6688">
        <v>1.1278189999999999</v>
      </c>
      <c r="L6688">
        <v>-61.264949999999999</v>
      </c>
      <c r="M6688">
        <v>0.93149930000000003</v>
      </c>
      <c r="N6688">
        <v>-1.430533E-2</v>
      </c>
      <c r="O6688">
        <v>-0.36346230000000002</v>
      </c>
      <c r="P6688">
        <v>0.94773379999999996</v>
      </c>
      <c r="Q6688">
        <v>0.1550154</v>
      </c>
      <c r="R6688">
        <v>-0.27887499999999998</v>
      </c>
      <c r="S6688">
        <v>3.104797</v>
      </c>
      <c r="T6688">
        <v>-6.6725019999999996E-2</v>
      </c>
      <c r="U6688">
        <v>-0.25344850000000002</v>
      </c>
      <c r="V6688">
        <v>-8.7296650000000003E-2</v>
      </c>
      <c r="W6688">
        <v>0.1677553</v>
      </c>
      <c r="X6688">
        <v>0.98195589999999999</v>
      </c>
      <c r="Y6688">
        <v>-0.286385</v>
      </c>
      <c r="Z6688">
        <v>7.4525819999999897E-3</v>
      </c>
      <c r="AA6688">
        <v>0.95808570000000004</v>
      </c>
      <c r="AB6688">
        <v>30</v>
      </c>
      <c r="AC6688">
        <v>52.3479999999999</v>
      </c>
      <c r="AD6688">
        <v>-1.1278213592690001</v>
      </c>
      <c r="AE6688">
        <v>-4.2355999999999998</v>
      </c>
      <c r="AF6688">
        <v>-15.0756539319094</v>
      </c>
      <c r="AG6688">
        <v>-1.1278213592690001</v>
      </c>
      <c r="AH6688">
        <v>50.283554632766702</v>
      </c>
      <c r="AI6688">
        <v>91.230776765740401</v>
      </c>
      <c r="AJ6688">
        <v>106.689404223038</v>
      </c>
      <c r="AK6688">
        <v>52.506982288068599</v>
      </c>
      <c r="AL6688">
        <v>80.342666662541902</v>
      </c>
      <c r="AM6688">
        <v>95.0802840930305</v>
      </c>
      <c r="AN6688">
        <v>0.99999996766206001</v>
      </c>
    </row>
    <row r="6689" spans="1:40" x14ac:dyDescent="0.25">
      <c r="A6689" t="str">
        <f>"20190303170423043"</f>
        <v>20190303170423043</v>
      </c>
      <c r="B6689" t="str">
        <f>"1551603863032876"</f>
        <v>1551603863032876</v>
      </c>
      <c r="C6689" t="s">
        <v>40</v>
      </c>
      <c r="D6689">
        <v>5.2464740000000001</v>
      </c>
      <c r="E6689">
        <v>0.42326409999999998</v>
      </c>
      <c r="F6689" t="s">
        <v>112</v>
      </c>
      <c r="G6689">
        <v>-237.5095</v>
      </c>
      <c r="H6689" s="1">
        <v>-3.2794249999999999E-6</v>
      </c>
      <c r="I6689">
        <v>-65.174700000000001</v>
      </c>
      <c r="J6689">
        <v>-286.89</v>
      </c>
      <c r="K6689">
        <v>1.1277870000000001</v>
      </c>
      <c r="L6689">
        <v>-61.3172</v>
      </c>
      <c r="M6689">
        <v>0.93293490000000001</v>
      </c>
      <c r="N6689">
        <v>-1.429005E-2</v>
      </c>
      <c r="O6689">
        <v>-0.35976140000000001</v>
      </c>
      <c r="P6689">
        <v>0.94901869999999999</v>
      </c>
      <c r="Q6689">
        <v>0.15449209999999999</v>
      </c>
      <c r="R6689">
        <v>-0.27476420000000001</v>
      </c>
      <c r="S6689">
        <v>3.104889</v>
      </c>
      <c r="T6689">
        <v>-7.0706370000000004E-2</v>
      </c>
      <c r="U6689">
        <v>-0.24511720000000001</v>
      </c>
      <c r="V6689">
        <v>-8.7664839999999994E-2</v>
      </c>
      <c r="W6689">
        <v>0.16721839999999999</v>
      </c>
      <c r="X6689">
        <v>0.98201470000000002</v>
      </c>
      <c r="Y6689">
        <v>-0.2851245</v>
      </c>
      <c r="Z6689">
        <v>8.0501329999999992E-3</v>
      </c>
      <c r="AA6689">
        <v>0.95845670000000005</v>
      </c>
      <c r="AB6689">
        <v>30</v>
      </c>
      <c r="AC6689">
        <v>49.380499999999898</v>
      </c>
      <c r="AD6689">
        <v>-1.1277902794249901</v>
      </c>
      <c r="AE6689">
        <v>-3.8574999999999999</v>
      </c>
      <c r="AF6689">
        <v>-14.1605066414934</v>
      </c>
      <c r="AG6689">
        <v>-1.1277902794249901</v>
      </c>
      <c r="AH6689">
        <v>47.436824231943703</v>
      </c>
      <c r="AI6689">
        <v>91.305041701449596</v>
      </c>
      <c r="AJ6689">
        <v>106.621045924553</v>
      </c>
      <c r="AK6689">
        <v>49.518119435924298</v>
      </c>
      <c r="AL6689">
        <v>80.373869788343796</v>
      </c>
      <c r="AM6689">
        <v>95.101294453093303</v>
      </c>
      <c r="AN6689">
        <v>0.999999994243437</v>
      </c>
    </row>
    <row r="6690" spans="1:40" x14ac:dyDescent="0.25">
      <c r="A6690" t="str">
        <f>"20190303170423054"</f>
        <v>20190303170423054</v>
      </c>
      <c r="B6690" t="str">
        <f>"1551603863042635"</f>
        <v>1551603863042635</v>
      </c>
      <c r="C6690" t="s">
        <v>40</v>
      </c>
      <c r="D6690">
        <v>5.2212899999999998</v>
      </c>
      <c r="E6690">
        <v>0.42369240000000002</v>
      </c>
      <c r="F6690" t="s">
        <v>112</v>
      </c>
      <c r="G6690">
        <v>-239.41820000000001</v>
      </c>
      <c r="H6690" s="1">
        <v>-3.8832070000000003E-6</v>
      </c>
      <c r="I6690">
        <v>-64.916780000000003</v>
      </c>
      <c r="J6690">
        <v>-286.74619999999999</v>
      </c>
      <c r="K6690">
        <v>1.127758</v>
      </c>
      <c r="L6690">
        <v>-61.368740000000003</v>
      </c>
      <c r="M6690">
        <v>0.93434490000000003</v>
      </c>
      <c r="N6690">
        <v>-1.427552E-2</v>
      </c>
      <c r="O6690">
        <v>-0.35608430000000002</v>
      </c>
      <c r="P6690">
        <v>0.9502661</v>
      </c>
      <c r="Q6690">
        <v>0.1542007</v>
      </c>
      <c r="R6690">
        <v>-0.27058579999999999</v>
      </c>
      <c r="S6690">
        <v>3.1050110000000002</v>
      </c>
      <c r="T6690">
        <v>-7.3765869999999997E-2</v>
      </c>
      <c r="U6690">
        <v>-0.23544309999999999</v>
      </c>
      <c r="V6690">
        <v>-8.8119000000000003E-2</v>
      </c>
      <c r="W6690">
        <v>0.16691239999999999</v>
      </c>
      <c r="X6690">
        <v>0.98202610000000001</v>
      </c>
      <c r="Y6690">
        <v>-0.28431000000000001</v>
      </c>
      <c r="Z6690">
        <v>8.5002489999999997E-3</v>
      </c>
      <c r="AA6690">
        <v>0.95869479999999996</v>
      </c>
      <c r="AB6690">
        <v>30</v>
      </c>
      <c r="AC6690">
        <v>47.327999999999903</v>
      </c>
      <c r="AD6690">
        <v>-1.127761883207</v>
      </c>
      <c r="AE6690">
        <v>-3.5480399999999999</v>
      </c>
      <c r="AF6690">
        <v>-13.5314026277059</v>
      </c>
      <c r="AG6690">
        <v>-1.127761883207</v>
      </c>
      <c r="AH6690">
        <v>45.463037445700898</v>
      </c>
      <c r="AI6690">
        <v>91.361972267575396</v>
      </c>
      <c r="AJ6690">
        <v>106.57486067291001</v>
      </c>
      <c r="AK6690">
        <v>47.447428568126803</v>
      </c>
      <c r="AL6690">
        <v>80.391652117691194</v>
      </c>
      <c r="AM6690">
        <v>95.127522695077005</v>
      </c>
      <c r="AN6690">
        <v>0.99999998425798398</v>
      </c>
    </row>
    <row r="6691" spans="1:40" x14ac:dyDescent="0.25">
      <c r="A6691" t="str">
        <f>"20190303170423066"</f>
        <v>20190303170423066</v>
      </c>
      <c r="B6691" t="str">
        <f>"1551603863052396"</f>
        <v>1551603863052396</v>
      </c>
      <c r="C6691" t="s">
        <v>40</v>
      </c>
      <c r="D6691">
        <v>5.2462540000000004</v>
      </c>
      <c r="E6691">
        <v>0.42410940000000003</v>
      </c>
      <c r="F6691" t="s">
        <v>113</v>
      </c>
      <c r="G6691">
        <v>-240.60900000000001</v>
      </c>
      <c r="H6691" s="1">
        <v>-4.009845E-7</v>
      </c>
      <c r="I6691">
        <v>-64.715469999999996</v>
      </c>
      <c r="J6691">
        <v>-286.6087</v>
      </c>
      <c r="K6691">
        <v>1.127739</v>
      </c>
      <c r="L6691">
        <v>-61.416960000000003</v>
      </c>
      <c r="M6691">
        <v>0.93567480000000003</v>
      </c>
      <c r="N6691">
        <v>-1.426291E-2</v>
      </c>
      <c r="O6691">
        <v>-0.35257519999999998</v>
      </c>
      <c r="P6691">
        <v>0.95138860000000003</v>
      </c>
      <c r="Q6691">
        <v>0.15435850000000001</v>
      </c>
      <c r="R6691">
        <v>-0.26652049999999999</v>
      </c>
      <c r="S6691">
        <v>3.105194</v>
      </c>
      <c r="T6691">
        <v>-7.59021E-2</v>
      </c>
      <c r="U6691">
        <v>-0.22525020000000001</v>
      </c>
      <c r="V6691">
        <v>-8.8617409999999994E-2</v>
      </c>
      <c r="W6691">
        <v>0.16705390000000001</v>
      </c>
      <c r="X6691">
        <v>0.98195719999999997</v>
      </c>
      <c r="Y6691">
        <v>-0.28383799999999998</v>
      </c>
      <c r="Z6691">
        <v>8.80535E-3</v>
      </c>
      <c r="AA6691">
        <v>0.95883180000000001</v>
      </c>
      <c r="AB6691">
        <v>30</v>
      </c>
      <c r="AC6691">
        <v>45.999699999999898</v>
      </c>
      <c r="AD6691">
        <v>-1.1277394009845001</v>
      </c>
      <c r="AE6691">
        <v>-3.2985099999999998</v>
      </c>
      <c r="AF6691">
        <v>-13.1255077803911</v>
      </c>
      <c r="AG6691">
        <v>-1.1277394009845001</v>
      </c>
      <c r="AH6691">
        <v>44.1818096186419</v>
      </c>
      <c r="AI6691">
        <v>91.401637360768405</v>
      </c>
      <c r="AJ6691">
        <v>106.54560267367</v>
      </c>
      <c r="AK6691">
        <v>46.1040459377217</v>
      </c>
      <c r="AL6691">
        <v>80.383429435768207</v>
      </c>
      <c r="AM6691">
        <v>95.156728429518097</v>
      </c>
      <c r="AN6691">
        <v>0.99999999674607898</v>
      </c>
    </row>
    <row r="6692" spans="1:40" x14ac:dyDescent="0.25">
      <c r="A6692" t="str">
        <f>"20190303170423077"</f>
        <v>20190303170423077</v>
      </c>
      <c r="B6692" t="str">
        <f>"1551603863071915"</f>
        <v>1551603863071915</v>
      </c>
      <c r="C6692" t="s">
        <v>40</v>
      </c>
      <c r="D6692">
        <v>5.2230530000000002</v>
      </c>
      <c r="E6692">
        <v>0.43416369999999999</v>
      </c>
      <c r="F6692" t="s">
        <v>113</v>
      </c>
      <c r="G6692">
        <v>-240.83619999999999</v>
      </c>
      <c r="H6692" s="1">
        <v>-4.6482099999999998E-7</v>
      </c>
      <c r="I6692">
        <v>-64.588969999999904</v>
      </c>
      <c r="J6692">
        <v>-286.46629999999999</v>
      </c>
      <c r="K6692">
        <v>1.127721</v>
      </c>
      <c r="L6692">
        <v>-61.466669999999901</v>
      </c>
      <c r="M6692">
        <v>0.9370387</v>
      </c>
      <c r="N6692">
        <v>-1.4250290000000001E-2</v>
      </c>
      <c r="O6692">
        <v>-0.34893469999999999</v>
      </c>
      <c r="P6692">
        <v>0.95236299999999996</v>
      </c>
      <c r="Q6692">
        <v>0.15512089999999901</v>
      </c>
      <c r="R6692">
        <v>-0.26256869999999999</v>
      </c>
      <c r="S6692">
        <v>3.1054379999999999</v>
      </c>
      <c r="T6692">
        <v>-7.6511620000000002E-2</v>
      </c>
      <c r="U6692">
        <v>-0.21521000000000001</v>
      </c>
      <c r="V6692">
        <v>-8.8835839999999999E-2</v>
      </c>
      <c r="W6692">
        <v>0.16780320000000001</v>
      </c>
      <c r="X6692">
        <v>0.98180970000000001</v>
      </c>
      <c r="Y6692">
        <v>-0.2831978</v>
      </c>
      <c r="Z6692">
        <v>8.8631159999999903E-3</v>
      </c>
      <c r="AA6692">
        <v>0.9590206</v>
      </c>
      <c r="AB6692">
        <v>30</v>
      </c>
      <c r="AC6692">
        <v>45.630099999999999</v>
      </c>
      <c r="AD6692">
        <v>-1.1277214648210001</v>
      </c>
      <c r="AE6692">
        <v>-3.1222999999999899</v>
      </c>
      <c r="AF6692">
        <v>-12.9896318366941</v>
      </c>
      <c r="AG6692">
        <v>-1.1277214648210001</v>
      </c>
      <c r="AH6692">
        <v>43.824457261653599</v>
      </c>
      <c r="AI6692">
        <v>91.413300687452505</v>
      </c>
      <c r="AJ6692">
        <v>106.50989883195101</v>
      </c>
      <c r="AK6692">
        <v>45.722919255375402</v>
      </c>
      <c r="AL6692">
        <v>80.339883082775501</v>
      </c>
      <c r="AM6692">
        <v>95.170142690873405</v>
      </c>
      <c r="AN6692">
        <v>1.0000000037064101</v>
      </c>
    </row>
    <row r="6693" spans="1:40" x14ac:dyDescent="0.25">
      <c r="A6693" t="str">
        <f>"20190303170423088"</f>
        <v>20190303170423088</v>
      </c>
      <c r="B6693" t="str">
        <f>"1551603863082651"</f>
        <v>1551603863082651</v>
      </c>
      <c r="C6693" t="s">
        <v>40</v>
      </c>
      <c r="D6693">
        <v>5.2251640000000004</v>
      </c>
      <c r="E6693">
        <v>0.43483729999999998</v>
      </c>
      <c r="F6693" t="s">
        <v>113</v>
      </c>
      <c r="G6693">
        <v>-248.95419999999999</v>
      </c>
      <c r="H6693" s="1">
        <v>-3.7152469999999998E-6</v>
      </c>
      <c r="I6693">
        <v>-64.860019999999906</v>
      </c>
      <c r="J6693">
        <v>-286.3211</v>
      </c>
      <c r="K6693">
        <v>1.12771</v>
      </c>
      <c r="L6693">
        <v>-61.516480000000001</v>
      </c>
      <c r="M6693">
        <v>0.93841200000000002</v>
      </c>
      <c r="N6693">
        <v>-1.4238539999999999E-2</v>
      </c>
      <c r="O6693">
        <v>-0.34522540000000002</v>
      </c>
      <c r="P6693">
        <v>0.95329149999999996</v>
      </c>
      <c r="Q6693">
        <v>0.15568979999999999</v>
      </c>
      <c r="R6693">
        <v>-0.25883679999999998</v>
      </c>
      <c r="S6693">
        <v>3.0881349999999999</v>
      </c>
      <c r="T6693">
        <v>-9.2838530000000002E-2</v>
      </c>
      <c r="U6693">
        <v>-0.27935789999999999</v>
      </c>
      <c r="V6693">
        <v>-8.8765430000000006E-2</v>
      </c>
      <c r="W6693">
        <v>0.16836400000000001</v>
      </c>
      <c r="X6693">
        <v>0.98172000000000004</v>
      </c>
      <c r="Y6693">
        <v>-0.2590961</v>
      </c>
      <c r="Z6693">
        <v>1.088333E-2</v>
      </c>
      <c r="AA6693">
        <v>0.96579020000000004</v>
      </c>
      <c r="AB6693">
        <v>30</v>
      </c>
      <c r="AC6693">
        <v>37.366900000000001</v>
      </c>
      <c r="AD6693">
        <v>-1.127713715247</v>
      </c>
      <c r="AE6693">
        <v>-3.3435399999999902</v>
      </c>
      <c r="AF6693">
        <v>-9.7545588623628294</v>
      </c>
      <c r="AG6693">
        <v>-1.127713715247</v>
      </c>
      <c r="AH6693">
        <v>36.190786444178897</v>
      </c>
      <c r="AI6693">
        <v>91.723312431344297</v>
      </c>
      <c r="AJ6693">
        <v>105.084555811928</v>
      </c>
      <c r="AK6693">
        <v>37.499282396747603</v>
      </c>
      <c r="AL6693">
        <v>80.307287325922303</v>
      </c>
      <c r="AM6693">
        <v>95.166536562824305</v>
      </c>
      <c r="AN6693">
        <v>0.99999994822954097</v>
      </c>
    </row>
    <row r="6694" spans="1:40" x14ac:dyDescent="0.25">
      <c r="A6694" t="str">
        <f>"20190303170423100"</f>
        <v>20190303170423100</v>
      </c>
      <c r="B6694" t="str">
        <f>"1551603863092412"</f>
        <v>1551603863092412</v>
      </c>
      <c r="C6694" t="s">
        <v>40</v>
      </c>
      <c r="D6694">
        <v>5.1997339999999896</v>
      </c>
      <c r="E6694">
        <v>0.4358918</v>
      </c>
      <c r="F6694" t="s">
        <v>113</v>
      </c>
      <c r="G6694">
        <v>-248.43790000000001</v>
      </c>
      <c r="H6694" s="1">
        <v>-3.538466E-6</v>
      </c>
      <c r="I6694">
        <v>-64.853960000000001</v>
      </c>
      <c r="J6694">
        <v>-286.18529999999998</v>
      </c>
      <c r="K6694">
        <v>1.127704</v>
      </c>
      <c r="L6694">
        <v>-61.562620000000003</v>
      </c>
      <c r="M6694">
        <v>0.93968269999999998</v>
      </c>
      <c r="N6694">
        <v>-1.4228029999999999E-2</v>
      </c>
      <c r="O6694">
        <v>-0.34175129999999998</v>
      </c>
      <c r="P6694">
        <v>0.95399979999999995</v>
      </c>
      <c r="Q6694">
        <v>0.15670689999999901</v>
      </c>
      <c r="R6694">
        <v>-0.25559209999999999</v>
      </c>
      <c r="S6694">
        <v>3.088104</v>
      </c>
      <c r="T6694">
        <v>-9.1927049999999996E-2</v>
      </c>
      <c r="U6694">
        <v>-0.27206419999999998</v>
      </c>
      <c r="V6694">
        <v>-8.8424500000000003E-2</v>
      </c>
      <c r="W6694">
        <v>0.16937769999999999</v>
      </c>
      <c r="X6694">
        <v>0.98157640000000002</v>
      </c>
      <c r="Y6694">
        <v>-0.25779030000000003</v>
      </c>
      <c r="Z6694">
        <v>1.0676369999999999E-2</v>
      </c>
      <c r="AA6694">
        <v>0.9661419</v>
      </c>
      <c r="AB6694">
        <v>30</v>
      </c>
      <c r="AC6694">
        <v>37.747399999999899</v>
      </c>
      <c r="AD6694">
        <v>-1.127707538466</v>
      </c>
      <c r="AE6694">
        <v>-3.2913399999999999</v>
      </c>
      <c r="AF6694">
        <v>-9.7997203092172693</v>
      </c>
      <c r="AG6694">
        <v>-1.127707538466</v>
      </c>
      <c r="AH6694">
        <v>36.566713476569603</v>
      </c>
      <c r="AI6694">
        <v>91.706253328557295</v>
      </c>
      <c r="AJ6694">
        <v>105.00248372332101</v>
      </c>
      <c r="AK6694">
        <v>37.873879876621302</v>
      </c>
      <c r="AL6694">
        <v>80.248360437157004</v>
      </c>
      <c r="AM6694">
        <v>95.147548631580605</v>
      </c>
      <c r="AN6694">
        <v>0.99999996324724905</v>
      </c>
    </row>
    <row r="6695" spans="1:40" x14ac:dyDescent="0.25">
      <c r="A6695" t="str">
        <f>"20190303170423111"</f>
        <v>20190303170423111</v>
      </c>
      <c r="B6695" t="str">
        <f>"1551603863102172"</f>
        <v>1551603863102172</v>
      </c>
      <c r="C6695" t="s">
        <v>40</v>
      </c>
      <c r="D6695">
        <v>5.2953780000000004</v>
      </c>
      <c r="E6695">
        <v>0.43675209999999998</v>
      </c>
      <c r="F6695" t="s">
        <v>113</v>
      </c>
      <c r="G6695">
        <v>-248.309</v>
      </c>
      <c r="H6695" s="1">
        <v>-3.496957E-6</v>
      </c>
      <c r="I6695">
        <v>-64.867099999999994</v>
      </c>
      <c r="J6695">
        <v>-286.0335</v>
      </c>
      <c r="K6695">
        <v>1.1276980000000001</v>
      </c>
      <c r="L6695">
        <v>-61.61356</v>
      </c>
      <c r="M6695">
        <v>0.94108700000000001</v>
      </c>
      <c r="N6695">
        <v>-1.4216889999999999E-2</v>
      </c>
      <c r="O6695">
        <v>-0.3378659</v>
      </c>
      <c r="P6695">
        <v>0.9550419</v>
      </c>
      <c r="Q6695">
        <v>0.15695729999999999</v>
      </c>
      <c r="R6695">
        <v>-0.25151459999999998</v>
      </c>
      <c r="S6695">
        <v>3.0875849999999998</v>
      </c>
      <c r="T6695">
        <v>-9.1928120000000002E-2</v>
      </c>
      <c r="U6695">
        <v>-0.26937870000000003</v>
      </c>
      <c r="V6695">
        <v>-8.8545289999999999E-2</v>
      </c>
      <c r="W6695">
        <v>0.1696184</v>
      </c>
      <c r="X6695">
        <v>0.98152399999999995</v>
      </c>
      <c r="Y6695">
        <v>-0.25461879999999998</v>
      </c>
      <c r="Z6695">
        <v>1.05615E-2</v>
      </c>
      <c r="AA6695">
        <v>0.96698379999999995</v>
      </c>
      <c r="AB6695">
        <v>30</v>
      </c>
      <c r="AC6695">
        <v>37.7244999999999</v>
      </c>
      <c r="AD6695">
        <v>-1.1277014969569901</v>
      </c>
      <c r="AE6695">
        <v>-3.2535399999999899</v>
      </c>
      <c r="AF6695">
        <v>-9.6763527403513105</v>
      </c>
      <c r="AG6695">
        <v>-1.1277014969569901</v>
      </c>
      <c r="AH6695">
        <v>36.572552264128703</v>
      </c>
      <c r="AI6695">
        <v>91.707420779060001</v>
      </c>
      <c r="AJ6695">
        <v>104.819720281065</v>
      </c>
      <c r="AK6695">
        <v>37.847788470852102</v>
      </c>
      <c r="AL6695">
        <v>80.234367385811098</v>
      </c>
      <c r="AM6695">
        <v>95.154816153496398</v>
      </c>
      <c r="AN6695">
        <v>1.0000000162878699</v>
      </c>
    </row>
    <row r="6696" spans="1:40" x14ac:dyDescent="0.25">
      <c r="A6696" t="str">
        <f>"20190303170423124"</f>
        <v>20190303170423124</v>
      </c>
      <c r="B6696" t="str">
        <f>"1551603863111932"</f>
        <v>1551603863111932</v>
      </c>
      <c r="C6696" t="s">
        <v>40</v>
      </c>
      <c r="D6696">
        <v>5.182023</v>
      </c>
      <c r="E6696">
        <v>0.43728329999999999</v>
      </c>
      <c r="F6696" t="s">
        <v>113</v>
      </c>
      <c r="G6696">
        <v>-248.46639999999999</v>
      </c>
      <c r="H6696" s="1">
        <v>-3.5404550000000001E-6</v>
      </c>
      <c r="I6696">
        <v>-64.810429999999997</v>
      </c>
      <c r="J6696">
        <v>-285.88650000000001</v>
      </c>
      <c r="K6696">
        <v>1.1276900000000001</v>
      </c>
      <c r="L6696">
        <v>-61.662050000000001</v>
      </c>
      <c r="M6696">
        <v>0.94242969999999904</v>
      </c>
      <c r="N6696">
        <v>-1.420693E-2</v>
      </c>
      <c r="O6696">
        <v>-0.33410250000000002</v>
      </c>
      <c r="P6696">
        <v>0.95599639999999997</v>
      </c>
      <c r="Q6696">
        <v>0.15722420000000001</v>
      </c>
      <c r="R6696">
        <v>-0.2476922</v>
      </c>
      <c r="S6696">
        <v>3.0872799999999998</v>
      </c>
      <c r="T6696">
        <v>-9.2674969999999995E-2</v>
      </c>
      <c r="U6696">
        <v>-0.26272579999999901</v>
      </c>
      <c r="V6696">
        <v>-8.8532840000000002E-2</v>
      </c>
      <c r="W6696">
        <v>0.169877799999999</v>
      </c>
      <c r="X6696">
        <v>0.98148020000000002</v>
      </c>
      <c r="Y6696">
        <v>-0.25281209999999998</v>
      </c>
      <c r="Z6696">
        <v>1.0587360000000001E-2</v>
      </c>
      <c r="AA6696">
        <v>0.96745749999999997</v>
      </c>
      <c r="AB6696">
        <v>30</v>
      </c>
      <c r="AC6696">
        <v>37.420099999999998</v>
      </c>
      <c r="AD6696">
        <v>-1.1276935404549999</v>
      </c>
      <c r="AE6696">
        <v>-3.14838</v>
      </c>
      <c r="AF6696">
        <v>-9.5273925011392997</v>
      </c>
      <c r="AG6696">
        <v>-1.1276935404549999</v>
      </c>
      <c r="AH6696">
        <v>36.2886349097814</v>
      </c>
      <c r="AI6696">
        <v>91.721621881885596</v>
      </c>
      <c r="AJ6696">
        <v>104.710705411315</v>
      </c>
      <c r="AK6696">
        <v>37.5354222596117</v>
      </c>
      <c r="AL6696">
        <v>80.219285404707094</v>
      </c>
      <c r="AM6696">
        <v>95.154324029573601</v>
      </c>
      <c r="AN6696">
        <v>0.99999995684167198</v>
      </c>
    </row>
    <row r="6697" spans="1:40" x14ac:dyDescent="0.25">
      <c r="A6697" t="str">
        <f>"20190303170423136"</f>
        <v>20190303170423136</v>
      </c>
      <c r="B6697" t="str">
        <f>"1551603863122668"</f>
        <v>1551603863122668</v>
      </c>
      <c r="C6697" t="s">
        <v>40</v>
      </c>
      <c r="D6697">
        <v>5.2242389999999999</v>
      </c>
      <c r="E6697">
        <v>0.43794129999999998</v>
      </c>
      <c r="F6697" t="s">
        <v>113</v>
      </c>
      <c r="G6697">
        <v>-248.22620000000001</v>
      </c>
      <c r="H6697" s="1">
        <v>-3.4518129999999999E-6</v>
      </c>
      <c r="I6697">
        <v>-64.771619999999999</v>
      </c>
      <c r="J6697">
        <v>-285.73779999999999</v>
      </c>
      <c r="K6697">
        <v>1.127683</v>
      </c>
      <c r="L6697">
        <v>-61.710749999999997</v>
      </c>
      <c r="M6697">
        <v>0.94377270000000002</v>
      </c>
      <c r="N6697">
        <v>-1.419726E-2</v>
      </c>
      <c r="O6697">
        <v>-0.33029039999999998</v>
      </c>
      <c r="P6697">
        <v>0.95705839999999998</v>
      </c>
      <c r="Q6697">
        <v>0.15724399999999999</v>
      </c>
      <c r="R6697">
        <v>-0.24354390000000001</v>
      </c>
      <c r="S6697">
        <v>3.0872190000000002</v>
      </c>
      <c r="T6697">
        <v>-9.2442990000000003E-2</v>
      </c>
      <c r="U6697">
        <v>-0.25491329999999901</v>
      </c>
      <c r="V6697">
        <v>-8.8816329999999999E-2</v>
      </c>
      <c r="W6697">
        <v>0.16988619999999999</v>
      </c>
      <c r="X6697">
        <v>0.98145320000000003</v>
      </c>
      <c r="Y6697">
        <v>-0.25133290000000003</v>
      </c>
      <c r="Z6697">
        <v>1.047418E-2</v>
      </c>
      <c r="AA6697">
        <v>0.96784400000000004</v>
      </c>
      <c r="AB6697">
        <v>30</v>
      </c>
      <c r="AC6697">
        <v>37.511599999999902</v>
      </c>
      <c r="AD6697">
        <v>-1.1276864518130001</v>
      </c>
      <c r="AE6697">
        <v>-3.06087</v>
      </c>
      <c r="AF6697">
        <v>-9.4933895922724201</v>
      </c>
      <c r="AG6697">
        <v>-1.1276864518130001</v>
      </c>
      <c r="AH6697">
        <v>36.384401619525804</v>
      </c>
      <c r="AI6697">
        <v>91.717765813696502</v>
      </c>
      <c r="AJ6697">
        <v>104.623537545693</v>
      </c>
      <c r="AK6697">
        <v>37.619420568307802</v>
      </c>
      <c r="AL6697">
        <v>80.2187976707893</v>
      </c>
      <c r="AM6697">
        <v>95.170880782836207</v>
      </c>
      <c r="AN6697">
        <v>1.00000002260767</v>
      </c>
    </row>
    <row r="6698" spans="1:40" x14ac:dyDescent="0.25">
      <c r="A6698" t="str">
        <f>"20190303170423150"</f>
        <v>20190303170423150</v>
      </c>
      <c r="B6698" t="str">
        <f>"1551603863142189"</f>
        <v>1551603863142189</v>
      </c>
      <c r="C6698" t="s">
        <v>40</v>
      </c>
      <c r="D6698">
        <v>5.2169179999999997</v>
      </c>
      <c r="E6698">
        <v>0.4384401</v>
      </c>
      <c r="F6698" t="s">
        <v>113</v>
      </c>
      <c r="G6698">
        <v>-249.1165</v>
      </c>
      <c r="H6698" s="1">
        <v>-3.731745E-6</v>
      </c>
      <c r="I6698">
        <v>-64.641710000000003</v>
      </c>
      <c r="J6698">
        <v>-285.54910000000001</v>
      </c>
      <c r="K6698">
        <v>1.127675</v>
      </c>
      <c r="L6698">
        <v>-61.771210000000004</v>
      </c>
      <c r="M6698">
        <v>0.94545190000000001</v>
      </c>
      <c r="N6698">
        <v>-1.418588E-2</v>
      </c>
      <c r="O6698">
        <v>-0.32545259999999998</v>
      </c>
      <c r="P6698">
        <v>0.95836279999999996</v>
      </c>
      <c r="Q6698">
        <v>0.156906399999999</v>
      </c>
      <c r="R6698">
        <v>-0.2385815</v>
      </c>
      <c r="S6698">
        <v>3.0873719999999998</v>
      </c>
      <c r="T6698">
        <v>-9.5070000000000002E-2</v>
      </c>
      <c r="U6698">
        <v>-0.24710080000000001</v>
      </c>
      <c r="V6698">
        <v>-8.8882059999999999E-2</v>
      </c>
      <c r="W6698">
        <v>0.16953989999999999</v>
      </c>
      <c r="X6698">
        <v>0.98150709999999997</v>
      </c>
      <c r="Y6698">
        <v>-0.2488021</v>
      </c>
      <c r="Z6698">
        <v>1.073429E-2</v>
      </c>
      <c r="AA6698">
        <v>0.96849479999999999</v>
      </c>
      <c r="AB6698">
        <v>30</v>
      </c>
      <c r="AC6698">
        <v>36.432600000000001</v>
      </c>
      <c r="AD6698">
        <v>-1.1276787317450001</v>
      </c>
      <c r="AE6698">
        <v>-2.8704999999999998</v>
      </c>
      <c r="AF6698">
        <v>-9.13538695284144</v>
      </c>
      <c r="AG6698">
        <v>-1.1276787317450001</v>
      </c>
      <c r="AH6698">
        <v>35.349386520723201</v>
      </c>
      <c r="AI6698">
        <v>91.769087433005296</v>
      </c>
      <c r="AJ6698">
        <v>104.48999389369</v>
      </c>
      <c r="AK6698">
        <v>36.528154641203301</v>
      </c>
      <c r="AL6698">
        <v>80.238930972815695</v>
      </c>
      <c r="AM6698">
        <v>95.174404182704194</v>
      </c>
      <c r="AN6698">
        <v>0.99999999281613094</v>
      </c>
    </row>
    <row r="6699" spans="1:40" x14ac:dyDescent="0.25">
      <c r="A6699" t="str">
        <f>"20190303170423164"</f>
        <v>20190303170423164</v>
      </c>
      <c r="B6699" t="str">
        <f>"1551603863151948"</f>
        <v>1551603863151948</v>
      </c>
      <c r="C6699" t="s">
        <v>40</v>
      </c>
      <c r="D6699">
        <v>5.235595</v>
      </c>
      <c r="E6699">
        <v>0.4384401</v>
      </c>
      <c r="F6699" t="s">
        <v>114</v>
      </c>
      <c r="G6699">
        <v>-250.43459999999999</v>
      </c>
      <c r="H6699" s="1">
        <v>-2.2640509999999999E-7</v>
      </c>
      <c r="I6699">
        <v>-64.4482</v>
      </c>
      <c r="J6699">
        <v>-285.38209999999998</v>
      </c>
      <c r="K6699">
        <v>1.1276649999999999</v>
      </c>
      <c r="L6699">
        <v>-61.823909999999998</v>
      </c>
      <c r="M6699">
        <v>0.94691650000000005</v>
      </c>
      <c r="N6699">
        <v>-1.417653E-2</v>
      </c>
      <c r="O6699">
        <v>-0.32116709999999998</v>
      </c>
      <c r="P6699">
        <v>0.959422</v>
      </c>
      <c r="Q6699">
        <v>0.15714819999999999</v>
      </c>
      <c r="R6699">
        <v>-0.23412450000000001</v>
      </c>
      <c r="S6699">
        <v>3.087952</v>
      </c>
      <c r="T6699">
        <v>-9.9167110000000003E-2</v>
      </c>
      <c r="U6699">
        <v>-0.2354126</v>
      </c>
      <c r="V6699">
        <v>-8.8985640000000005E-2</v>
      </c>
      <c r="W6699">
        <v>0.16977249999999999</v>
      </c>
      <c r="X6699">
        <v>0.98145749999999998</v>
      </c>
      <c r="Y6699">
        <v>-0.24805489999999999</v>
      </c>
      <c r="Z6699">
        <v>1.1240989999999999E-2</v>
      </c>
      <c r="AA6699">
        <v>0.96868069999999895</v>
      </c>
      <c r="AB6699">
        <v>30</v>
      </c>
      <c r="AC6699">
        <v>34.947499999999899</v>
      </c>
      <c r="AD6699">
        <v>-1.1276652264050999</v>
      </c>
      <c r="AE6699">
        <v>-2.6242899999999998</v>
      </c>
      <c r="AF6699">
        <v>-8.7308419559148795</v>
      </c>
      <c r="AG6699">
        <v>-1.1276652264050999</v>
      </c>
      <c r="AH6699">
        <v>33.903506301808797</v>
      </c>
      <c r="AI6699">
        <v>91.844866613539693</v>
      </c>
      <c r="AJ6699">
        <v>104.44105722901099</v>
      </c>
      <c r="AK6699">
        <v>35.027802809750902</v>
      </c>
      <c r="AL6699">
        <v>80.225407858863207</v>
      </c>
      <c r="AM6699">
        <v>95.180661836823703</v>
      </c>
      <c r="AN6699">
        <v>0.99999998509435395</v>
      </c>
    </row>
    <row r="6700" spans="1:40" x14ac:dyDescent="0.25">
      <c r="A6700" t="str">
        <f>"20190303170423178"</f>
        <v>20190303170423178</v>
      </c>
      <c r="B6700" t="str">
        <f>"1551603863172444"</f>
        <v>1551603863172444</v>
      </c>
      <c r="C6700" t="s">
        <v>40</v>
      </c>
      <c r="D6700">
        <v>5.1937769999999999</v>
      </c>
      <c r="E6700">
        <v>0.4113908</v>
      </c>
      <c r="F6700" t="s">
        <v>114</v>
      </c>
      <c r="G6700">
        <v>-250.00819999999999</v>
      </c>
      <c r="H6700" s="1">
        <v>-2.3025899999999998E-8</v>
      </c>
      <c r="I6700">
        <v>-64.356179999999995</v>
      </c>
      <c r="J6700">
        <v>-285.20339999999999</v>
      </c>
      <c r="K6700">
        <v>1.1276630000000001</v>
      </c>
      <c r="L6700">
        <v>-61.879489999999997</v>
      </c>
      <c r="M6700">
        <v>0.94845939999999995</v>
      </c>
      <c r="N6700">
        <v>-1.416709E-2</v>
      </c>
      <c r="O6700">
        <v>-0.31658209999999998</v>
      </c>
      <c r="P6700">
        <v>0.96006670000000005</v>
      </c>
      <c r="Q6700">
        <v>0.158804</v>
      </c>
      <c r="R6700">
        <v>-0.23033339999999999</v>
      </c>
      <c r="S6700">
        <v>3.0890200000000001</v>
      </c>
      <c r="T6700">
        <v>-9.8473190000000002E-2</v>
      </c>
      <c r="U6700">
        <v>-0.2211304</v>
      </c>
      <c r="V6700">
        <v>-8.8044499999999998E-2</v>
      </c>
      <c r="W6700">
        <v>0.17143340000000001</v>
      </c>
      <c r="X6700">
        <v>0.98125370000000001</v>
      </c>
      <c r="Y6700">
        <v>-0.24785199999999999</v>
      </c>
      <c r="Z6700">
        <v>1.10677E-2</v>
      </c>
      <c r="AA6700">
        <v>0.96873469999999995</v>
      </c>
      <c r="AB6700">
        <v>30</v>
      </c>
      <c r="AC6700">
        <v>35.1952</v>
      </c>
      <c r="AD6700">
        <v>-1.1276630230258999</v>
      </c>
      <c r="AE6700">
        <v>-2.4766900000000001</v>
      </c>
      <c r="AF6700">
        <v>-8.7850381520196095</v>
      </c>
      <c r="AG6700">
        <v>-1.1276630230258999</v>
      </c>
      <c r="AH6700">
        <v>34.133851891342204</v>
      </c>
      <c r="AI6700">
        <v>91.832488183102498</v>
      </c>
      <c r="AJ6700">
        <v>104.432993300034</v>
      </c>
      <c r="AK6700">
        <v>35.264264690562101</v>
      </c>
      <c r="AL6700">
        <v>80.128829920836495</v>
      </c>
      <c r="AM6700">
        <v>95.127222003751399</v>
      </c>
      <c r="AN6700">
        <v>1.0000000341897399</v>
      </c>
    </row>
    <row r="6701" spans="1:40" x14ac:dyDescent="0.25">
      <c r="A6701" t="str">
        <f>"20190303170423189"</f>
        <v>20190303170423189</v>
      </c>
      <c r="B6701" t="str">
        <f>"1551603863182204"</f>
        <v>1551603863182204</v>
      </c>
      <c r="C6701" t="s">
        <v>40</v>
      </c>
      <c r="D6701">
        <v>5.1624059999999998</v>
      </c>
      <c r="E6701">
        <v>0.40990559999999998</v>
      </c>
      <c r="F6701" t="s">
        <v>55</v>
      </c>
      <c r="G6701">
        <v>-157.3501</v>
      </c>
      <c r="H6701">
        <v>0.68719390000000002</v>
      </c>
      <c r="I6701">
        <v>-61.820839999999997</v>
      </c>
      <c r="J6701">
        <v>-285.06689999999998</v>
      </c>
      <c r="K6701">
        <v>1.1276619999999999</v>
      </c>
      <c r="L6701">
        <v>-61.921199999999999</v>
      </c>
      <c r="M6701">
        <v>0.94962159999999995</v>
      </c>
      <c r="N6701">
        <v>-1.4160290000000001E-2</v>
      </c>
      <c r="O6701">
        <v>-0.31307869999999999</v>
      </c>
      <c r="P6701">
        <v>0.9604994</v>
      </c>
      <c r="Q6701">
        <v>0.16024360000000001</v>
      </c>
      <c r="R6701">
        <v>-0.22751469999999999</v>
      </c>
      <c r="S6701">
        <v>3.1269529999999999</v>
      </c>
      <c r="T6701">
        <v>-1.077318E-2</v>
      </c>
      <c r="U6701">
        <v>1.4343260000000001E-3</v>
      </c>
      <c r="V6701">
        <v>-8.724353E-2</v>
      </c>
      <c r="W6701">
        <v>0.17287729999999901</v>
      </c>
      <c r="X6701">
        <v>0.9810719</v>
      </c>
      <c r="Y6701">
        <v>-0.31351849999999998</v>
      </c>
      <c r="Z6701">
        <v>-6.6591139999999996E-4</v>
      </c>
      <c r="AA6701">
        <v>0.94958189999999998</v>
      </c>
      <c r="AB6701">
        <v>30</v>
      </c>
      <c r="AC6701">
        <v>127.716799999999</v>
      </c>
      <c r="AD6701">
        <v>-0.44046809999999997</v>
      </c>
      <c r="AE6701">
        <v>0.100359999999994</v>
      </c>
      <c r="AF6701">
        <v>-40.084256554999001</v>
      </c>
      <c r="AG6701">
        <v>-0.44046809999999997</v>
      </c>
      <c r="AH6701">
        <v>121.261929035584</v>
      </c>
      <c r="AI6701">
        <v>90.197602472501401</v>
      </c>
      <c r="AJ6701">
        <v>108.291782838313</v>
      </c>
      <c r="AK6701">
        <v>127.71607991613701</v>
      </c>
      <c r="AL6701">
        <v>80.044846648533493</v>
      </c>
      <c r="AM6701">
        <v>95.081759805547406</v>
      </c>
      <c r="AN6701">
        <v>1.0000000336758701</v>
      </c>
    </row>
    <row r="6702" spans="1:40" x14ac:dyDescent="0.25">
      <c r="A6702" t="str">
        <f>"20190303170423199"</f>
        <v>20190303170423199</v>
      </c>
      <c r="B6702" t="str">
        <f>"1551603863191964"</f>
        <v>1551603863191964</v>
      </c>
      <c r="C6702" t="s">
        <v>40</v>
      </c>
      <c r="D6702">
        <v>5.1683760000000003</v>
      </c>
      <c r="E6702">
        <v>0.40940919999999997</v>
      </c>
      <c r="F6702" t="s">
        <v>55</v>
      </c>
      <c r="G6702">
        <v>-157.3501</v>
      </c>
      <c r="H6702">
        <v>1.142773</v>
      </c>
      <c r="I6702">
        <v>-60.994349999999997</v>
      </c>
      <c r="J6702">
        <v>-284.93349999999998</v>
      </c>
      <c r="K6702">
        <v>1.1276569999999999</v>
      </c>
      <c r="L6702">
        <v>-61.961519999999901</v>
      </c>
      <c r="M6702">
        <v>0.95074429999999999</v>
      </c>
      <c r="N6702">
        <v>-1.415393E-2</v>
      </c>
      <c r="O6702">
        <v>-0.30965330000000002</v>
      </c>
      <c r="P6702">
        <v>0.96097129999999997</v>
      </c>
      <c r="Q6702">
        <v>0.16110439999999901</v>
      </c>
      <c r="R6702">
        <v>-0.22489980000000001</v>
      </c>
      <c r="S6702">
        <v>3.1286930000000002</v>
      </c>
      <c r="T6702">
        <v>3.6966800000000003E-4</v>
      </c>
      <c r="U6702">
        <v>2.2705079999999999E-2</v>
      </c>
      <c r="V6702">
        <v>-8.6340319999999998E-2</v>
      </c>
      <c r="W6702">
        <v>0.1737456</v>
      </c>
      <c r="X6702">
        <v>0.98099840000000005</v>
      </c>
      <c r="Y6702">
        <v>-0.31654500000000002</v>
      </c>
      <c r="Z6702">
        <v>-2.2514800000000001E-3</v>
      </c>
      <c r="AA6702">
        <v>0.94857480000000005</v>
      </c>
      <c r="AB6702">
        <v>30</v>
      </c>
      <c r="AC6702">
        <v>127.583399999999</v>
      </c>
      <c r="AD6702">
        <v>1.51160000000001E-2</v>
      </c>
      <c r="AE6702">
        <v>0.96716999999999598</v>
      </c>
      <c r="AF6702">
        <v>-40.430197074461702</v>
      </c>
      <c r="AG6702">
        <v>1.51160000000001E-2</v>
      </c>
      <c r="AH6702">
        <v>121.011809675346</v>
      </c>
      <c r="AI6702">
        <v>89.993211827504396</v>
      </c>
      <c r="AJ6702">
        <v>108.474538325802</v>
      </c>
      <c r="AK6702">
        <v>127.58706495909099</v>
      </c>
      <c r="AL6702">
        <v>79.994332180765099</v>
      </c>
      <c r="AM6702">
        <v>95.029795768601701</v>
      </c>
      <c r="AN6702">
        <v>1.00000002258981</v>
      </c>
    </row>
    <row r="6703" spans="1:40" x14ac:dyDescent="0.25">
      <c r="A6703" t="str">
        <f>"20190303170423210"</f>
        <v>20190303170423210</v>
      </c>
      <c r="B6703" t="str">
        <f>"1551603863202700"</f>
        <v>1551603863202700</v>
      </c>
      <c r="C6703" t="s">
        <v>40</v>
      </c>
      <c r="D6703">
        <v>5.1553209999999998</v>
      </c>
      <c r="E6703">
        <v>0.40914089999999997</v>
      </c>
      <c r="F6703" t="s">
        <v>55</v>
      </c>
      <c r="G6703">
        <v>-157.3501</v>
      </c>
      <c r="H6703">
        <v>1.490348</v>
      </c>
      <c r="I6703">
        <v>-60.511699999999998</v>
      </c>
      <c r="J6703">
        <v>-284.79320000000001</v>
      </c>
      <c r="K6703">
        <v>1.1276520000000001</v>
      </c>
      <c r="L6703">
        <v>-62.003329999999998</v>
      </c>
      <c r="M6703">
        <v>0.95191029999999999</v>
      </c>
      <c r="N6703">
        <v>-1.41476E-2</v>
      </c>
      <c r="O6703">
        <v>-0.30605019999999999</v>
      </c>
      <c r="P6703">
        <v>0.96158580000000005</v>
      </c>
      <c r="Q6703">
        <v>0.161540299999999</v>
      </c>
      <c r="R6703">
        <v>-0.2219411</v>
      </c>
      <c r="S6703">
        <v>3.1286619999999998</v>
      </c>
      <c r="T6703">
        <v>8.8936090000000002E-3</v>
      </c>
      <c r="U6703">
        <v>3.5552979999999998E-2</v>
      </c>
      <c r="V6703">
        <v>-8.5622950000000003E-2</v>
      </c>
      <c r="W6703">
        <v>0.17418800000000001</v>
      </c>
      <c r="X6703">
        <v>0.98098280000000004</v>
      </c>
      <c r="Y6703">
        <v>-0.3168395</v>
      </c>
      <c r="Z6703">
        <v>-3.4497759999999999E-3</v>
      </c>
      <c r="AA6703">
        <v>0.94847289999999995</v>
      </c>
      <c r="AB6703">
        <v>30</v>
      </c>
      <c r="AC6703">
        <v>127.4431</v>
      </c>
      <c r="AD6703">
        <v>0.36269599999999902</v>
      </c>
      <c r="AE6703">
        <v>1.49163</v>
      </c>
      <c r="AF6703">
        <v>-40.427600933654297</v>
      </c>
      <c r="AG6703">
        <v>0.36269599999999902</v>
      </c>
      <c r="AH6703">
        <v>120.86899803851701</v>
      </c>
      <c r="AI6703">
        <v>89.836949674139106</v>
      </c>
      <c r="AJ6703">
        <v>108.493775678955</v>
      </c>
      <c r="AK6703">
        <v>127.451312870736</v>
      </c>
      <c r="AL6703">
        <v>79.968591815315406</v>
      </c>
      <c r="AM6703">
        <v>94.988295694928794</v>
      </c>
      <c r="AN6703">
        <v>1.0000000014032699</v>
      </c>
    </row>
    <row r="6704" spans="1:40" x14ac:dyDescent="0.25">
      <c r="A6704" t="str">
        <f>"20190303170423222"</f>
        <v>20190303170423222</v>
      </c>
      <c r="B6704" t="str">
        <f>"1551603863212460"</f>
        <v>1551603863212460</v>
      </c>
      <c r="C6704" t="s">
        <v>40</v>
      </c>
      <c r="D6704">
        <v>5.1682639999999997</v>
      </c>
      <c r="E6704">
        <v>0.4091417</v>
      </c>
      <c r="F6704" t="s">
        <v>55</v>
      </c>
      <c r="G6704">
        <v>-157.3501</v>
      </c>
      <c r="H6704">
        <v>1.6092249999999999</v>
      </c>
      <c r="I6704">
        <v>-60.069159999999997</v>
      </c>
      <c r="J6704">
        <v>-284.65530000000001</v>
      </c>
      <c r="K6704">
        <v>1.127645</v>
      </c>
      <c r="L6704">
        <v>-62.043790000000001</v>
      </c>
      <c r="M6704">
        <v>0.95304029999999995</v>
      </c>
      <c r="N6704">
        <v>-1.4141620000000001E-2</v>
      </c>
      <c r="O6704">
        <v>-0.30251289999999997</v>
      </c>
      <c r="P6704">
        <v>0.96238520000000005</v>
      </c>
      <c r="Q6704">
        <v>0.16125909999999999</v>
      </c>
      <c r="R6704">
        <v>-0.21865580000000001</v>
      </c>
      <c r="S6704">
        <v>3.1288450000000001</v>
      </c>
      <c r="T6704">
        <v>1.1822579999999999E-2</v>
      </c>
      <c r="U6704">
        <v>4.7485350000000003E-2</v>
      </c>
      <c r="V6704">
        <v>-8.5335359999999999E-2</v>
      </c>
      <c r="W6704">
        <v>0.17390720000000001</v>
      </c>
      <c r="X6704">
        <v>0.98105770000000003</v>
      </c>
      <c r="Y6704">
        <v>-0.31692949999999998</v>
      </c>
      <c r="Z6704">
        <v>-3.8142969999999999E-3</v>
      </c>
      <c r="AA6704">
        <v>0.94844139999999999</v>
      </c>
      <c r="AB6704">
        <v>30</v>
      </c>
      <c r="AC6704">
        <v>127.3052</v>
      </c>
      <c r="AD6704">
        <v>0.48157999999999901</v>
      </c>
      <c r="AE6704">
        <v>1.9746300000000001</v>
      </c>
      <c r="AF6704">
        <v>-40.396831866102197</v>
      </c>
      <c r="AG6704">
        <v>0.48157999999999901</v>
      </c>
      <c r="AH6704">
        <v>120.73999029824201</v>
      </c>
      <c r="AI6704">
        <v>89.783281075867293</v>
      </c>
      <c r="AJ6704">
        <v>108.49905951426</v>
      </c>
      <c r="AK6704">
        <v>127.319602580805</v>
      </c>
      <c r="AL6704">
        <v>79.984930065194504</v>
      </c>
      <c r="AM6704">
        <v>94.971247479987596</v>
      </c>
      <c r="AN6704">
        <v>1.0000000243037199</v>
      </c>
    </row>
    <row r="6705" spans="1:40" x14ac:dyDescent="0.25">
      <c r="A6705" t="str">
        <f>"20190303170423232"</f>
        <v>20190303170423232</v>
      </c>
      <c r="B6705" t="str">
        <f>"1551603863222220"</f>
        <v>1551603863222220</v>
      </c>
      <c r="C6705" t="s">
        <v>40</v>
      </c>
      <c r="D6705">
        <v>5.1776179999999998</v>
      </c>
      <c r="E6705">
        <v>0.40942729999999999</v>
      </c>
      <c r="F6705" t="s">
        <v>55</v>
      </c>
      <c r="G6705">
        <v>-157.3501</v>
      </c>
      <c r="H6705">
        <v>1.5189109999999999</v>
      </c>
      <c r="I6705">
        <v>-59.685780000000001</v>
      </c>
      <c r="J6705">
        <v>-284.51170000000002</v>
      </c>
      <c r="K6705">
        <v>1.1276330000000001</v>
      </c>
      <c r="L6705">
        <v>-62.085509999999999</v>
      </c>
      <c r="M6705">
        <v>0.95420210000000005</v>
      </c>
      <c r="N6705">
        <v>-1.413559E-2</v>
      </c>
      <c r="O6705">
        <v>-0.29882900000000001</v>
      </c>
      <c r="P6705">
        <v>0.96339889999999995</v>
      </c>
      <c r="Q6705">
        <v>0.16020989999999999</v>
      </c>
      <c r="R6705">
        <v>-0.21493209999999999</v>
      </c>
      <c r="S6705">
        <v>3.128784</v>
      </c>
      <c r="T6705">
        <v>9.6156599999999998E-3</v>
      </c>
      <c r="U6705">
        <v>5.7952879999999998E-2</v>
      </c>
      <c r="V6705">
        <v>-8.5372920000000005E-2</v>
      </c>
      <c r="W6705">
        <v>0.17285619999999999</v>
      </c>
      <c r="X6705">
        <v>0.98124020000000001</v>
      </c>
      <c r="Y6705">
        <v>-0.31644159999999999</v>
      </c>
      <c r="Z6705">
        <v>-3.4279789999999998E-3</v>
      </c>
      <c r="AA6705">
        <v>0.94860580000000005</v>
      </c>
      <c r="AB6705">
        <v>30</v>
      </c>
      <c r="AC6705">
        <v>127.16160000000001</v>
      </c>
      <c r="AD6705">
        <v>0.39127800000000001</v>
      </c>
      <c r="AE6705">
        <v>2.3997299999999901</v>
      </c>
      <c r="AF6705">
        <v>-40.293040916279701</v>
      </c>
      <c r="AG6705">
        <v>0.39127800000000001</v>
      </c>
      <c r="AH6705">
        <v>120.631653722198</v>
      </c>
      <c r="AI6705">
        <v>89.823730367435104</v>
      </c>
      <c r="AJ6705">
        <v>108.470203303224</v>
      </c>
      <c r="AK6705">
        <v>127.183639374357</v>
      </c>
      <c r="AL6705">
        <v>80.046074390200701</v>
      </c>
      <c r="AM6705">
        <v>94.972504216906202</v>
      </c>
      <c r="AN6705">
        <v>1.0000000657218999</v>
      </c>
    </row>
    <row r="6706" spans="1:40" x14ac:dyDescent="0.25">
      <c r="A6706" t="str">
        <f>"20190303170423244"</f>
        <v>20190303170423244</v>
      </c>
      <c r="B6706" t="str">
        <f>"1551603863231980"</f>
        <v>1551603863231980</v>
      </c>
      <c r="C6706" t="s">
        <v>40</v>
      </c>
      <c r="D6706">
        <v>5.1714219999999997</v>
      </c>
      <c r="E6706">
        <v>0.40979749999999998</v>
      </c>
      <c r="F6706" t="s">
        <v>55</v>
      </c>
      <c r="G6706">
        <v>-157.3501</v>
      </c>
      <c r="H6706">
        <v>1.3202100000000001</v>
      </c>
      <c r="I6706">
        <v>-59.348849999999999</v>
      </c>
      <c r="J6706">
        <v>-284.37450000000001</v>
      </c>
      <c r="K6706">
        <v>1.1276219999999999</v>
      </c>
      <c r="L6706">
        <v>-62.124569999999999</v>
      </c>
      <c r="M6706">
        <v>0.95529629999999999</v>
      </c>
      <c r="N6706">
        <v>-1.413009E-2</v>
      </c>
      <c r="O6706">
        <v>-0.29531289999999999</v>
      </c>
      <c r="P6706">
        <v>0.96429889999999996</v>
      </c>
      <c r="Q6706">
        <v>0.1595599</v>
      </c>
      <c r="R6706">
        <v>-0.21134990000000001</v>
      </c>
      <c r="S6706">
        <v>3.128174</v>
      </c>
      <c r="T6706">
        <v>4.7368999999999996E-3</v>
      </c>
      <c r="U6706">
        <v>6.7321779999999998E-2</v>
      </c>
      <c r="V6706">
        <v>-8.5424009999999995E-2</v>
      </c>
      <c r="W6706">
        <v>0.1722033</v>
      </c>
      <c r="X6706">
        <v>0.98135050000000001</v>
      </c>
      <c r="Y6706">
        <v>-0.3157972</v>
      </c>
      <c r="Z6706">
        <v>-2.6667599999999998E-3</v>
      </c>
      <c r="AA6706">
        <v>0.94882299999999997</v>
      </c>
      <c r="AB6706">
        <v>30</v>
      </c>
      <c r="AC6706">
        <v>127.0244</v>
      </c>
      <c r="AD6706">
        <v>0.19258800000000001</v>
      </c>
      <c r="AE6706">
        <v>2.7757200000000002</v>
      </c>
      <c r="AF6706">
        <v>-40.167488993644298</v>
      </c>
      <c r="AG6706">
        <v>0.19258800000000001</v>
      </c>
      <c r="AH6706">
        <v>120.537966901736</v>
      </c>
      <c r="AI6706">
        <v>89.913151623453004</v>
      </c>
      <c r="AJ6706">
        <v>108.429886379309</v>
      </c>
      <c r="AK6706">
        <v>127.054577749077</v>
      </c>
      <c r="AL6706">
        <v>80.084051859430502</v>
      </c>
      <c r="AM6706">
        <v>94.974908580061694</v>
      </c>
      <c r="AN6706">
        <v>1.0000000209328099</v>
      </c>
    </row>
    <row r="6707" spans="1:40" x14ac:dyDescent="0.25">
      <c r="A6707" t="str">
        <f>"20190303170423256"</f>
        <v>20190303170423256</v>
      </c>
      <c r="B6707" t="str">
        <f>"1551603863252476"</f>
        <v>1551603863252476</v>
      </c>
      <c r="C6707" t="s">
        <v>40</v>
      </c>
      <c r="D6707">
        <v>5.1508529999999997</v>
      </c>
      <c r="E6707">
        <v>0.41047539999999999</v>
      </c>
      <c r="F6707" t="s">
        <v>55</v>
      </c>
      <c r="G6707">
        <v>-157.3501</v>
      </c>
      <c r="H6707">
        <v>1.1519079999999999</v>
      </c>
      <c r="I6707">
        <v>-59.050719999999998</v>
      </c>
      <c r="J6707">
        <v>-284.23169999999999</v>
      </c>
      <c r="K6707">
        <v>1.12761</v>
      </c>
      <c r="L6707">
        <v>-62.165010000000002</v>
      </c>
      <c r="M6707">
        <v>0.95642020000000005</v>
      </c>
      <c r="N6707">
        <v>-1.41245E-2</v>
      </c>
      <c r="O6707">
        <v>-0.29165219999999997</v>
      </c>
      <c r="P6707">
        <v>0.96513780000000005</v>
      </c>
      <c r="Q6707">
        <v>0.15923190000000001</v>
      </c>
      <c r="R6707">
        <v>-0.2077368</v>
      </c>
      <c r="S6707">
        <v>3.1275629999999999</v>
      </c>
      <c r="T6707">
        <v>5.9747700000000001E-4</v>
      </c>
      <c r="U6707">
        <v>7.5683589999999995E-2</v>
      </c>
      <c r="V6707">
        <v>-8.5347569999999998E-2</v>
      </c>
      <c r="W6707">
        <v>0.171874</v>
      </c>
      <c r="X6707">
        <v>0.98141489999999998</v>
      </c>
      <c r="Y6707">
        <v>-0.3147065</v>
      </c>
      <c r="Z6707">
        <v>-2.0234089999999999E-3</v>
      </c>
      <c r="AA6707">
        <v>0.94918689999999994</v>
      </c>
      <c r="AB6707">
        <v>30</v>
      </c>
      <c r="AC6707">
        <v>126.88160000000001</v>
      </c>
      <c r="AD6707">
        <v>2.42979999999999E-2</v>
      </c>
      <c r="AE6707">
        <v>3.1142899999999898</v>
      </c>
      <c r="AF6707">
        <v>-39.987853071815699</v>
      </c>
      <c r="AG6707">
        <v>2.42979999999999E-2</v>
      </c>
      <c r="AH6707">
        <v>120.455841065036</v>
      </c>
      <c r="AI6707">
        <v>89.989031083175703</v>
      </c>
      <c r="AJ6707">
        <v>108.36467280362299</v>
      </c>
      <c r="AK6707">
        <v>126.919811811912</v>
      </c>
      <c r="AL6707">
        <v>80.103205145931298</v>
      </c>
      <c r="AM6707">
        <v>94.970154665193306</v>
      </c>
      <c r="AN6707">
        <v>1.0000000427614499</v>
      </c>
    </row>
    <row r="6708" spans="1:40" x14ac:dyDescent="0.25">
      <c r="A6708" t="str">
        <f>"20190303170423267"</f>
        <v>20190303170423267</v>
      </c>
      <c r="B6708" t="str">
        <f>"1551603863262236"</f>
        <v>1551603863262236</v>
      </c>
      <c r="C6708" t="s">
        <v>40</v>
      </c>
      <c r="D6708">
        <v>5.1581289999999997</v>
      </c>
      <c r="E6708">
        <v>0.41067779999999998</v>
      </c>
      <c r="F6708" t="s">
        <v>55</v>
      </c>
      <c r="G6708">
        <v>-157.3501</v>
      </c>
      <c r="H6708">
        <v>1.015341</v>
      </c>
      <c r="I6708">
        <v>-58.845759999999999</v>
      </c>
      <c r="J6708">
        <v>-284.08139999999997</v>
      </c>
      <c r="K6708">
        <v>1.1276010000000001</v>
      </c>
      <c r="L6708">
        <v>-62.206510000000002</v>
      </c>
      <c r="M6708">
        <v>0.9575804</v>
      </c>
      <c r="N6708">
        <v>-1.4118550000000001E-2</v>
      </c>
      <c r="O6708">
        <v>-0.28782049999999998</v>
      </c>
      <c r="P6708">
        <v>0.96589539999999996</v>
      </c>
      <c r="Q6708">
        <v>0.15931219999999999</v>
      </c>
      <c r="R6708">
        <v>-0.20412269999999999</v>
      </c>
      <c r="S6708">
        <v>3.126404</v>
      </c>
      <c r="T6708">
        <v>-2.7668480000000001E-3</v>
      </c>
      <c r="U6708">
        <v>8.1787109999999996E-2</v>
      </c>
      <c r="V6708">
        <v>-8.5080999999999907E-2</v>
      </c>
      <c r="W6708">
        <v>0.17195579999999999</v>
      </c>
      <c r="X6708">
        <v>0.98142370000000001</v>
      </c>
      <c r="Y6708">
        <v>-0.31276799999999999</v>
      </c>
      <c r="Z6708">
        <v>-1.504282E-3</v>
      </c>
      <c r="AA6708">
        <v>0.94982840000000002</v>
      </c>
      <c r="AB6708">
        <v>30</v>
      </c>
      <c r="AC6708">
        <v>126.731299999999</v>
      </c>
      <c r="AD6708">
        <v>-0.11226</v>
      </c>
      <c r="AE6708">
        <v>3.3607499999999901</v>
      </c>
      <c r="AF6708">
        <v>-39.697976207478497</v>
      </c>
      <c r="AG6708">
        <v>-0.11226</v>
      </c>
      <c r="AH6708">
        <v>120.400010468012</v>
      </c>
      <c r="AI6708">
        <v>90.050735431006103</v>
      </c>
      <c r="AJ6708">
        <v>108.248286102539</v>
      </c>
      <c r="AK6708">
        <v>126.775803834858</v>
      </c>
      <c r="AL6708">
        <v>80.098447354435706</v>
      </c>
      <c r="AM6708">
        <v>94.954664341723202</v>
      </c>
      <c r="AN6708">
        <v>1.0000000263181601</v>
      </c>
    </row>
    <row r="6709" spans="1:40" x14ac:dyDescent="0.25">
      <c r="A6709" t="str">
        <f>"20190303170423278"</f>
        <v>20190303170423278</v>
      </c>
      <c r="B6709" t="str">
        <f>"1551603863271996"</f>
        <v>1551603863271996</v>
      </c>
      <c r="C6709" t="s">
        <v>40</v>
      </c>
      <c r="D6709">
        <v>5.1263319999999997</v>
      </c>
      <c r="E6709">
        <v>0.4111031</v>
      </c>
      <c r="F6709" t="s">
        <v>55</v>
      </c>
      <c r="G6709">
        <v>-157.3501</v>
      </c>
      <c r="H6709">
        <v>1.0046029999999999</v>
      </c>
      <c r="I6709">
        <v>-58.483519999999999</v>
      </c>
      <c r="J6709">
        <v>-283.94400000000002</v>
      </c>
      <c r="K6709">
        <v>1.127589</v>
      </c>
      <c r="L6709">
        <v>-62.244140000000002</v>
      </c>
      <c r="M6709">
        <v>0.95862539999999996</v>
      </c>
      <c r="N6709">
        <v>-1.411302E-2</v>
      </c>
      <c r="O6709">
        <v>-0.28432059999999998</v>
      </c>
      <c r="P6709">
        <v>0.96641429999999995</v>
      </c>
      <c r="Q6709">
        <v>0.1600808</v>
      </c>
      <c r="R6709">
        <v>-0.20104150000000001</v>
      </c>
      <c r="S6709">
        <v>3.1258240000000002</v>
      </c>
      <c r="T6709">
        <v>-3.0342339999999998E-3</v>
      </c>
      <c r="U6709">
        <v>9.1827389999999995E-2</v>
      </c>
      <c r="V6709">
        <v>-8.4592509999999996E-2</v>
      </c>
      <c r="W6709">
        <v>0.172728399999999</v>
      </c>
      <c r="X6709">
        <v>0.98133020000000004</v>
      </c>
      <c r="Y6709">
        <v>-0.31235190000000002</v>
      </c>
      <c r="Z6709">
        <v>-1.4204759999999999E-3</v>
      </c>
      <c r="AA6709">
        <v>0.94996539999999996</v>
      </c>
      <c r="AB6709">
        <v>30</v>
      </c>
      <c r="AC6709">
        <v>126.5939</v>
      </c>
      <c r="AD6709">
        <v>-0.122985999999999</v>
      </c>
      <c r="AE6709">
        <v>3.7606199999999999</v>
      </c>
      <c r="AF6709">
        <v>-39.602185479684898</v>
      </c>
      <c r="AG6709">
        <v>-0.122985999999999</v>
      </c>
      <c r="AH6709">
        <v>120.298771540516</v>
      </c>
      <c r="AI6709">
        <v>90.055638352823294</v>
      </c>
      <c r="AJ6709">
        <v>108.221471789208</v>
      </c>
      <c r="AK6709">
        <v>126.649684778451</v>
      </c>
      <c r="AL6709">
        <v>80.053507724109906</v>
      </c>
      <c r="AM6709">
        <v>94.926824748331995</v>
      </c>
      <c r="AN6709">
        <v>0.99999997717334899</v>
      </c>
    </row>
    <row r="6710" spans="1:40" x14ac:dyDescent="0.25">
      <c r="A6710" t="str">
        <f>"20190303170423288"</f>
        <v>20190303170423288</v>
      </c>
      <c r="B6710" t="str">
        <f>"1551603863282732"</f>
        <v>1551603863282732</v>
      </c>
      <c r="C6710" t="s">
        <v>40</v>
      </c>
      <c r="D6710">
        <v>5.1331100000000003</v>
      </c>
      <c r="E6710">
        <v>0.41137010000000002</v>
      </c>
      <c r="F6710" t="s">
        <v>55</v>
      </c>
      <c r="G6710">
        <v>-157.3501</v>
      </c>
      <c r="H6710">
        <v>1.0869180000000001</v>
      </c>
      <c r="I6710">
        <v>-58.244759999999999</v>
      </c>
      <c r="J6710">
        <v>-283.80779999999999</v>
      </c>
      <c r="K6710">
        <v>1.127572</v>
      </c>
      <c r="L6710">
        <v>-62.280819999999999</v>
      </c>
      <c r="M6710">
        <v>0.95964419999999995</v>
      </c>
      <c r="N6710">
        <v>-1.410719E-2</v>
      </c>
      <c r="O6710">
        <v>-0.28086329999999998</v>
      </c>
      <c r="P6710">
        <v>0.96688130000000005</v>
      </c>
      <c r="Q6710">
        <v>0.16095229999999999</v>
      </c>
      <c r="R6710">
        <v>-0.1980787</v>
      </c>
      <c r="S6710">
        <v>3.1249690000000001</v>
      </c>
      <c r="T6710">
        <v>-1.004457E-3</v>
      </c>
      <c r="U6710">
        <v>9.8724370000000006E-2</v>
      </c>
      <c r="V6710">
        <v>-8.4024840000000003E-2</v>
      </c>
      <c r="W6710">
        <v>0.17360519999999999</v>
      </c>
      <c r="X6710">
        <v>0.98122419999999999</v>
      </c>
      <c r="Y6710">
        <v>-0.311029</v>
      </c>
      <c r="Z6710">
        <v>-1.6637760000000001E-3</v>
      </c>
      <c r="AA6710">
        <v>0.95039890000000005</v>
      </c>
      <c r="AB6710">
        <v>30</v>
      </c>
      <c r="AC6710">
        <v>126.4577</v>
      </c>
      <c r="AD6710">
        <v>-4.0653999999999899E-2</v>
      </c>
      <c r="AE6710">
        <v>4.0360599999999902</v>
      </c>
      <c r="AF6710">
        <v>-39.394420752942203</v>
      </c>
      <c r="AG6710">
        <v>-4.0653999999999899E-2</v>
      </c>
      <c r="AH6710">
        <v>120.23275750667401</v>
      </c>
      <c r="AI6710">
        <v>90.018410245599796</v>
      </c>
      <c r="AJ6710">
        <v>108.14145083431799</v>
      </c>
      <c r="AK6710">
        <v>126.522085095316</v>
      </c>
      <c r="AL6710">
        <v>80.002499759226495</v>
      </c>
      <c r="AM6710">
        <v>94.894449820657698</v>
      </c>
      <c r="AN6710">
        <v>0.99999993493484995</v>
      </c>
    </row>
    <row r="6711" spans="1:40" x14ac:dyDescent="0.25">
      <c r="A6711" t="str">
        <f>"20190303170423300"</f>
        <v>20190303170423300</v>
      </c>
      <c r="B6711" t="str">
        <f>"1551603863292492"</f>
        <v>1551603863292492</v>
      </c>
      <c r="C6711" t="s">
        <v>40</v>
      </c>
      <c r="D6711">
        <v>5.117839</v>
      </c>
      <c r="E6711">
        <v>0.41174769999999999</v>
      </c>
      <c r="F6711" t="s">
        <v>55</v>
      </c>
      <c r="G6711">
        <v>-157.3501</v>
      </c>
      <c r="H6711">
        <v>1.1634979999999999</v>
      </c>
      <c r="I6711">
        <v>-57.971319999999999</v>
      </c>
      <c r="J6711">
        <v>-283.6712</v>
      </c>
      <c r="K6711">
        <v>1.127553</v>
      </c>
      <c r="L6711">
        <v>-62.31711</v>
      </c>
      <c r="M6711">
        <v>0.96064870000000002</v>
      </c>
      <c r="N6711">
        <v>-1.410136E-2</v>
      </c>
      <c r="O6711">
        <v>-0.27740819999999999</v>
      </c>
      <c r="P6711">
        <v>0.96737989999999996</v>
      </c>
      <c r="Q6711">
        <v>0.162246</v>
      </c>
      <c r="R6711">
        <v>-0.19455810000000001</v>
      </c>
      <c r="S6711">
        <v>3.1244200000000002</v>
      </c>
      <c r="T6711">
        <v>8.8715549999999999E-4</v>
      </c>
      <c r="U6711">
        <v>0.1064758</v>
      </c>
      <c r="V6711">
        <v>-8.4014240000000004E-2</v>
      </c>
      <c r="W6711">
        <v>0.17489549999999901</v>
      </c>
      <c r="X6711">
        <v>0.98099599999999998</v>
      </c>
      <c r="Y6711">
        <v>-0.30996879999999999</v>
      </c>
      <c r="Z6711">
        <v>-1.881239E-3</v>
      </c>
      <c r="AA6711">
        <v>0.9507449</v>
      </c>
      <c r="AB6711">
        <v>30</v>
      </c>
      <c r="AC6711">
        <v>126.3211</v>
      </c>
      <c r="AD6711">
        <v>3.5944999999999797E-2</v>
      </c>
      <c r="AE6711">
        <v>4.34579</v>
      </c>
      <c r="AF6711">
        <v>-39.2211814230158</v>
      </c>
      <c r="AG6711">
        <v>3.5944999999999797E-2</v>
      </c>
      <c r="AH6711">
        <v>120.15657509945601</v>
      </c>
      <c r="AI6711">
        <v>89.983705974455106</v>
      </c>
      <c r="AJ6711">
        <v>108.07757693876</v>
      </c>
      <c r="AK6711">
        <v>126.395826291422</v>
      </c>
      <c r="AL6711">
        <v>79.927422987629797</v>
      </c>
      <c r="AM6711">
        <v>94.894968246032406</v>
      </c>
      <c r="AN6711">
        <v>0.99999999022951302</v>
      </c>
    </row>
    <row r="6712" spans="1:40" x14ac:dyDescent="0.25">
      <c r="A6712" t="str">
        <f>"20190303170423312"</f>
        <v>20190303170423312</v>
      </c>
      <c r="B6712" t="str">
        <f>"1551603863302252"</f>
        <v>1551603863302252</v>
      </c>
      <c r="C6712" t="s">
        <v>40</v>
      </c>
      <c r="D6712">
        <v>5.1225750000000003</v>
      </c>
      <c r="E6712">
        <v>0.41208450000000002</v>
      </c>
      <c r="F6712" t="s">
        <v>55</v>
      </c>
      <c r="G6712">
        <v>-157.3501</v>
      </c>
      <c r="H6712">
        <v>1.2975570000000001</v>
      </c>
      <c r="I6712">
        <v>-57.667929999999998</v>
      </c>
      <c r="J6712">
        <v>-283.52550000000002</v>
      </c>
      <c r="K6712">
        <v>1.1275269999999999</v>
      </c>
      <c r="L6712">
        <v>-62.355319999999899</v>
      </c>
      <c r="M6712">
        <v>0.96170089999999997</v>
      </c>
      <c r="N6712">
        <v>-1.4095170000000001E-2</v>
      </c>
      <c r="O6712">
        <v>-0.27373839999999999</v>
      </c>
      <c r="P6712">
        <v>0.96803519999999998</v>
      </c>
      <c r="Q6712">
        <v>0.16269839999999999</v>
      </c>
      <c r="R6712">
        <v>-0.1908852</v>
      </c>
      <c r="S6712">
        <v>3.123535</v>
      </c>
      <c r="T6712">
        <v>4.2031999999999998E-3</v>
      </c>
      <c r="U6712">
        <v>0.1149597</v>
      </c>
      <c r="V6712">
        <v>-8.3965269999999995E-2</v>
      </c>
      <c r="W6712">
        <v>0.17534720000000001</v>
      </c>
      <c r="X6712">
        <v>0.98091950000000006</v>
      </c>
      <c r="Y6712">
        <v>-0.3089249</v>
      </c>
      <c r="Z6712">
        <v>-2.2848500000000002E-3</v>
      </c>
      <c r="AA6712">
        <v>0.95108369999999998</v>
      </c>
      <c r="AB6712">
        <v>30</v>
      </c>
      <c r="AC6712">
        <v>126.1754</v>
      </c>
      <c r="AD6712">
        <v>0.17002999999999999</v>
      </c>
      <c r="AE6712">
        <v>4.6873899999999802</v>
      </c>
      <c r="AF6712">
        <v>-39.050727732053197</v>
      </c>
      <c r="AG6712">
        <v>0.17002999999999999</v>
      </c>
      <c r="AH6712">
        <v>120.07158712003699</v>
      </c>
      <c r="AI6712">
        <v>89.922843140519305</v>
      </c>
      <c r="AJ6712">
        <v>108.01601318433499</v>
      </c>
      <c r="AK6712">
        <v>126.262323280258</v>
      </c>
      <c r="AL6712">
        <v>79.901135720746595</v>
      </c>
      <c r="AM6712">
        <v>94.8925086064597</v>
      </c>
      <c r="AN6712">
        <v>0.99999993629712902</v>
      </c>
    </row>
    <row r="6713" spans="1:40" x14ac:dyDescent="0.25">
      <c r="A6713" t="str">
        <f>"20190303170423323"</f>
        <v>20190303170423323</v>
      </c>
      <c r="B6713" t="str">
        <f>"1551603863312011"</f>
        <v>1551603863312011</v>
      </c>
      <c r="C6713" t="s">
        <v>40</v>
      </c>
      <c r="D6713">
        <v>5.1324610000000002</v>
      </c>
      <c r="E6713">
        <v>0.41245989999999999</v>
      </c>
      <c r="F6713" t="s">
        <v>55</v>
      </c>
      <c r="G6713">
        <v>-157.3501</v>
      </c>
      <c r="H6713">
        <v>1.3038689999999999</v>
      </c>
      <c r="I6713">
        <v>-57.341729999999998</v>
      </c>
      <c r="J6713">
        <v>-283.38240000000002</v>
      </c>
      <c r="K6713">
        <v>1.1274959999999901</v>
      </c>
      <c r="L6713">
        <v>-62.392150000000001</v>
      </c>
      <c r="M6713">
        <v>0.96271249999999997</v>
      </c>
      <c r="N6713">
        <v>-1.4088669999999999E-2</v>
      </c>
      <c r="O6713">
        <v>-0.27015929999999999</v>
      </c>
      <c r="P6713">
        <v>0.96875100000000003</v>
      </c>
      <c r="Q6713">
        <v>0.1629042</v>
      </c>
      <c r="R6713">
        <v>-0.18704009999999999</v>
      </c>
      <c r="S6713">
        <v>3.1228030000000002</v>
      </c>
      <c r="T6713">
        <v>4.3638940000000001E-3</v>
      </c>
      <c r="U6713">
        <v>0.1240845</v>
      </c>
      <c r="V6713">
        <v>-8.41914E-2</v>
      </c>
      <c r="W6713">
        <v>0.17554900000000001</v>
      </c>
      <c r="X6713">
        <v>0.98086410000000002</v>
      </c>
      <c r="Y6713">
        <v>-0.30817060000000002</v>
      </c>
      <c r="Z6713">
        <v>-2.253545E-3</v>
      </c>
      <c r="AA6713">
        <v>0.95132850000000002</v>
      </c>
      <c r="AB6713">
        <v>30</v>
      </c>
      <c r="AC6713">
        <v>126.03230000000001</v>
      </c>
      <c r="AD6713">
        <v>0.176373</v>
      </c>
      <c r="AE6713">
        <v>5.0504199999999901</v>
      </c>
      <c r="AF6713">
        <v>-38.914688651540899</v>
      </c>
      <c r="AG6713">
        <v>0.176373</v>
      </c>
      <c r="AH6713">
        <v>119.980132430049</v>
      </c>
      <c r="AI6713">
        <v>89.919882936394501</v>
      </c>
      <c r="AJ6713">
        <v>107.970096074232</v>
      </c>
      <c r="AK6713">
        <v>126.13332738897201</v>
      </c>
      <c r="AL6713">
        <v>79.889392042754494</v>
      </c>
      <c r="AM6713">
        <v>94.905896311664804</v>
      </c>
      <c r="AN6713">
        <v>1.00000001295188</v>
      </c>
    </row>
    <row r="6714" spans="1:40" x14ac:dyDescent="0.25">
      <c r="A6714" t="str">
        <f>"20190303170423334"</f>
        <v>20190303170423334</v>
      </c>
      <c r="B6714" t="str">
        <f>"1551603863322748"</f>
        <v>1551603863322748</v>
      </c>
      <c r="C6714" t="s">
        <v>40</v>
      </c>
      <c r="D6714">
        <v>5.112215</v>
      </c>
      <c r="E6714">
        <v>0.412858</v>
      </c>
      <c r="F6714" t="s">
        <v>55</v>
      </c>
      <c r="G6714">
        <v>-157.3501</v>
      </c>
      <c r="H6714">
        <v>1.2663089999999999</v>
      </c>
      <c r="I6714">
        <v>-57.014470000000003</v>
      </c>
      <c r="J6714">
        <v>-283.24110000000002</v>
      </c>
      <c r="K6714">
        <v>1.1274569999999999</v>
      </c>
      <c r="L6714">
        <v>-62.428220000000003</v>
      </c>
      <c r="M6714">
        <v>0.96369360000000004</v>
      </c>
      <c r="N6714">
        <v>-1.4082280000000001E-2</v>
      </c>
      <c r="O6714">
        <v>-0.26663910000000002</v>
      </c>
      <c r="P6714">
        <v>0.96950789999999998</v>
      </c>
      <c r="Q6714">
        <v>0.16269520000000001</v>
      </c>
      <c r="R6714">
        <v>-0.18326200000000001</v>
      </c>
      <c r="S6714">
        <v>3.121918</v>
      </c>
      <c r="T6714">
        <v>3.437996E-3</v>
      </c>
      <c r="U6714">
        <v>0.1332092</v>
      </c>
      <c r="V6714">
        <v>-8.4422419999999998E-2</v>
      </c>
      <c r="W6714">
        <v>0.175337299999999</v>
      </c>
      <c r="X6714">
        <v>0.98088209999999998</v>
      </c>
      <c r="Y6714">
        <v>-0.30748140000000002</v>
      </c>
      <c r="Z6714">
        <v>-2.0769680000000002E-3</v>
      </c>
      <c r="AA6714">
        <v>0.95155190000000001</v>
      </c>
      <c r="AB6714">
        <v>29</v>
      </c>
      <c r="AC6714">
        <v>125.89100000000001</v>
      </c>
      <c r="AD6714">
        <v>0.138851999999999</v>
      </c>
      <c r="AE6714">
        <v>5.4137500000000003</v>
      </c>
      <c r="AF6714">
        <v>-38.788456888836201</v>
      </c>
      <c r="AG6714">
        <v>0.138851999999999</v>
      </c>
      <c r="AH6714">
        <v>119.888571692884</v>
      </c>
      <c r="AI6714">
        <v>89.9368636834445</v>
      </c>
      <c r="AJ6714">
        <v>107.928342786961</v>
      </c>
      <c r="AK6714">
        <v>126.00727475132</v>
      </c>
      <c r="AL6714">
        <v>79.901712565238697</v>
      </c>
      <c r="AM6714">
        <v>94.919202222201804</v>
      </c>
      <c r="AN6714">
        <v>1.00000000393517</v>
      </c>
    </row>
    <row r="6715" spans="1:40" x14ac:dyDescent="0.25">
      <c r="A6715" t="str">
        <f>"20190303170423347"</f>
        <v>20190303170423347</v>
      </c>
      <c r="B6715" t="str">
        <f>"1551603863342268"</f>
        <v>1551603863342268</v>
      </c>
      <c r="C6715" t="s">
        <v>40</v>
      </c>
      <c r="D6715">
        <v>5.1242150000000004</v>
      </c>
      <c r="E6715">
        <v>0.42124060000000002</v>
      </c>
      <c r="F6715" t="s">
        <v>55</v>
      </c>
      <c r="G6715">
        <v>-157.3501</v>
      </c>
      <c r="H6715">
        <v>1.2033430000000001</v>
      </c>
      <c r="I6715">
        <v>-56.687980000000003</v>
      </c>
      <c r="J6715">
        <v>-283.08179999999999</v>
      </c>
      <c r="K6715">
        <v>1.12741</v>
      </c>
      <c r="L6715">
        <v>-62.467930000000003</v>
      </c>
      <c r="M6715">
        <v>0.96477120000000005</v>
      </c>
      <c r="N6715">
        <v>-1.4074440000000001E-2</v>
      </c>
      <c r="O6715">
        <v>-0.26271369999999999</v>
      </c>
      <c r="P6715">
        <v>0.97036960000000005</v>
      </c>
      <c r="Q6715">
        <v>0.16226380000000001</v>
      </c>
      <c r="R6715">
        <v>-0.17903429999999901</v>
      </c>
      <c r="S6715">
        <v>3.120911</v>
      </c>
      <c r="T6715">
        <v>1.880765E-3</v>
      </c>
      <c r="U6715">
        <v>0.1423035</v>
      </c>
      <c r="V6715">
        <v>-8.469749E-2</v>
      </c>
      <c r="W6715">
        <v>0.1749049</v>
      </c>
      <c r="X6715">
        <v>0.98093560000000002</v>
      </c>
      <c r="Y6715">
        <v>-0.30638949999999998</v>
      </c>
      <c r="Z6715">
        <v>-1.815306E-3</v>
      </c>
      <c r="AA6715">
        <v>0.95190450000000004</v>
      </c>
      <c r="AB6715">
        <v>29</v>
      </c>
      <c r="AC6715">
        <v>125.7317</v>
      </c>
      <c r="AD6715">
        <v>7.5933E-2</v>
      </c>
      <c r="AE6715">
        <v>5.7799500000000004</v>
      </c>
      <c r="AF6715">
        <v>-38.611578935120498</v>
      </c>
      <c r="AG6715">
        <v>7.5933E-2</v>
      </c>
      <c r="AH6715">
        <v>119.795670403378</v>
      </c>
      <c r="AI6715">
        <v>89.965433922577603</v>
      </c>
      <c r="AJ6715">
        <v>107.864752617234</v>
      </c>
      <c r="AK6715">
        <v>125.864460595826</v>
      </c>
      <c r="AL6715">
        <v>79.926876279793802</v>
      </c>
      <c r="AM6715">
        <v>94.934883386513803</v>
      </c>
      <c r="AN6715">
        <v>1.00000002010183</v>
      </c>
    </row>
    <row r="6716" spans="1:40" x14ac:dyDescent="0.25">
      <c r="A6716" t="str">
        <f>"20190303170423358"</f>
        <v>20190303170423358</v>
      </c>
      <c r="B6716" t="str">
        <f>"1551603863352028"</f>
        <v>1551603863352028</v>
      </c>
      <c r="C6716" t="s">
        <v>40</v>
      </c>
      <c r="D6716">
        <v>5.1069889999999996</v>
      </c>
      <c r="E6716">
        <v>0.4215545</v>
      </c>
      <c r="F6716" t="s">
        <v>55</v>
      </c>
      <c r="G6716">
        <v>-157.3501</v>
      </c>
      <c r="H6716">
        <v>4.9206260000000002E-2</v>
      </c>
      <c r="I6716">
        <v>-58.799509999999998</v>
      </c>
      <c r="J6716">
        <v>-282.9375</v>
      </c>
      <c r="K6716">
        <v>1.1273629999999999</v>
      </c>
      <c r="L6716">
        <v>-62.503570000000003</v>
      </c>
      <c r="M6716">
        <v>0.96572690000000005</v>
      </c>
      <c r="N6716">
        <v>-1.4067369999999999E-2</v>
      </c>
      <c r="O6716">
        <v>-0.25917889999999999</v>
      </c>
      <c r="P6716">
        <v>0.97100229999999998</v>
      </c>
      <c r="Q6716">
        <v>0.1621138</v>
      </c>
      <c r="R6716">
        <v>-0.17570959999999999</v>
      </c>
      <c r="S6716">
        <v>3.1127929999999999</v>
      </c>
      <c r="T6716">
        <v>-2.6694059999999999E-2</v>
      </c>
      <c r="U6716">
        <v>9.0820310000000001E-2</v>
      </c>
      <c r="V6716">
        <v>-8.4449910000000003E-2</v>
      </c>
      <c r="W6716">
        <v>0.17476079999999999</v>
      </c>
      <c r="X6716">
        <v>0.98098260000000004</v>
      </c>
      <c r="Y6716">
        <v>-0.2872305</v>
      </c>
      <c r="Z6716">
        <v>1.783445E-3</v>
      </c>
      <c r="AA6716">
        <v>0.95785989999999999</v>
      </c>
      <c r="AB6716">
        <v>29</v>
      </c>
      <c r="AC6716">
        <v>125.5874</v>
      </c>
      <c r="AD6716">
        <v>-1.0781567399999901</v>
      </c>
      <c r="AE6716">
        <v>3.7040599999999899</v>
      </c>
      <c r="AF6716">
        <v>-36.127628658615997</v>
      </c>
      <c r="AG6716">
        <v>-1.0781567399999901</v>
      </c>
      <c r="AH6716">
        <v>120.326160744877</v>
      </c>
      <c r="AI6716">
        <v>90.491689541631203</v>
      </c>
      <c r="AJ6716">
        <v>106.712253042596</v>
      </c>
      <c r="AK6716">
        <v>125.637386689046</v>
      </c>
      <c r="AL6716">
        <v>79.935261477926502</v>
      </c>
      <c r="AM6716">
        <v>94.920294518387095</v>
      </c>
      <c r="AN6716">
        <v>0.99999999300920395</v>
      </c>
    </row>
    <row r="6717" spans="1:40" x14ac:dyDescent="0.25">
      <c r="A6717" t="str">
        <f>"20190303170423367"</f>
        <v>20190303170423367</v>
      </c>
      <c r="B6717" t="str">
        <f>"1551603863362764"</f>
        <v>1551603863362764</v>
      </c>
      <c r="C6717" t="s">
        <v>40</v>
      </c>
      <c r="D6717">
        <v>5.1091699999999998</v>
      </c>
      <c r="E6717">
        <v>0.42207640000000002</v>
      </c>
      <c r="F6717" t="s">
        <v>55</v>
      </c>
      <c r="G6717">
        <v>-157.3501</v>
      </c>
      <c r="H6717">
        <v>0.13528870000000001</v>
      </c>
      <c r="I6717">
        <v>-58.506590000000003</v>
      </c>
      <c r="J6717">
        <v>-282.80650000000003</v>
      </c>
      <c r="K6717">
        <v>1.127319</v>
      </c>
      <c r="L6717">
        <v>-62.535310000000003</v>
      </c>
      <c r="M6717">
        <v>0.96657400000000004</v>
      </c>
      <c r="N6717">
        <v>-1.406059E-2</v>
      </c>
      <c r="O6717">
        <v>-0.25600260000000002</v>
      </c>
      <c r="P6717">
        <v>0.97147950000000005</v>
      </c>
      <c r="Q6717">
        <v>0.16207939999999901</v>
      </c>
      <c r="R6717">
        <v>-0.17308470000000001</v>
      </c>
      <c r="S6717">
        <v>3.1115719999999998</v>
      </c>
      <c r="T6717">
        <v>-2.458024E-2</v>
      </c>
      <c r="U6717">
        <v>9.9029539999999999E-2</v>
      </c>
      <c r="V6717">
        <v>-8.3856650000000005E-2</v>
      </c>
      <c r="W6717">
        <v>0.1747378</v>
      </c>
      <c r="X6717">
        <v>0.98103759999999995</v>
      </c>
      <c r="Y6717">
        <v>-0.28661910000000002</v>
      </c>
      <c r="Z6717">
        <v>1.5285170000000001E-3</v>
      </c>
      <c r="AA6717">
        <v>0.95804339999999999</v>
      </c>
      <c r="AB6717">
        <v>29</v>
      </c>
      <c r="AC6717">
        <v>125.4564</v>
      </c>
      <c r="AD6717">
        <v>-0.99203030000000003</v>
      </c>
      <c r="AE6717">
        <v>4.0287199999999901</v>
      </c>
      <c r="AF6717">
        <v>-36.012525490960599</v>
      </c>
      <c r="AG6717">
        <v>-0.99203030000000003</v>
      </c>
      <c r="AH6717">
        <v>120.23588827685801</v>
      </c>
      <c r="AI6717">
        <v>90.452844420898899</v>
      </c>
      <c r="AJ6717">
        <v>106.673778942184</v>
      </c>
      <c r="AK6717">
        <v>125.517150007791</v>
      </c>
      <c r="AL6717">
        <v>79.936599992239707</v>
      </c>
      <c r="AM6717">
        <v>94.885624803746197</v>
      </c>
      <c r="AN6717">
        <v>1.0000000045559101</v>
      </c>
    </row>
    <row r="6718" spans="1:40" x14ac:dyDescent="0.25">
      <c r="A6718" t="str">
        <f>"20190303170423379"</f>
        <v>20190303170423379</v>
      </c>
      <c r="B6718" t="str">
        <f>"1551603863372524"</f>
        <v>1551603863372524</v>
      </c>
      <c r="C6718" t="s">
        <v>40</v>
      </c>
      <c r="D6718">
        <v>5.0731659999999996</v>
      </c>
      <c r="E6718">
        <v>0.42254029999999998</v>
      </c>
      <c r="F6718" t="s">
        <v>55</v>
      </c>
      <c r="G6718">
        <v>-157.3501</v>
      </c>
      <c r="H6718">
        <v>0.17717929999999901</v>
      </c>
      <c r="I6718">
        <v>-58.363799999999998</v>
      </c>
      <c r="J6718">
        <v>-282.673</v>
      </c>
      <c r="K6718">
        <v>1.1272709999999999</v>
      </c>
      <c r="L6718">
        <v>-62.56729</v>
      </c>
      <c r="M6718">
        <v>0.96742090000000003</v>
      </c>
      <c r="N6718">
        <v>-1.405377E-2</v>
      </c>
      <c r="O6718">
        <v>-0.25278349999999999</v>
      </c>
      <c r="P6718">
        <v>0.9718637</v>
      </c>
      <c r="Q6718">
        <v>0.16246089999999999</v>
      </c>
      <c r="R6718">
        <v>-0.17055100000000001</v>
      </c>
      <c r="S6718">
        <v>3.1104430000000001</v>
      </c>
      <c r="T6718">
        <v>-2.3557310000000001E-2</v>
      </c>
      <c r="U6718">
        <v>0.1034241</v>
      </c>
      <c r="V6718">
        <v>-8.3116739999999995E-2</v>
      </c>
      <c r="W6718">
        <v>0.17513219999999999</v>
      </c>
      <c r="X6718">
        <v>0.98103019999999996</v>
      </c>
      <c r="Y6718">
        <v>-0.28479339999999997</v>
      </c>
      <c r="Z6718">
        <v>1.4028420000000001E-3</v>
      </c>
      <c r="AA6718">
        <v>0.95858790000000005</v>
      </c>
      <c r="AB6718">
        <v>29</v>
      </c>
      <c r="AC6718">
        <v>125.3229</v>
      </c>
      <c r="AD6718">
        <v>-0.95009169999999998</v>
      </c>
      <c r="AE6718">
        <v>4.2034900000000004</v>
      </c>
      <c r="AF6718">
        <v>-35.747580082719701</v>
      </c>
      <c r="AG6718">
        <v>-0.95009169999999998</v>
      </c>
      <c r="AH6718">
        <v>120.182377733994</v>
      </c>
      <c r="AI6718">
        <v>90.434140381621205</v>
      </c>
      <c r="AJ6718">
        <v>106.564817100382</v>
      </c>
      <c r="AK6718">
        <v>125.38977659205401</v>
      </c>
      <c r="AL6718">
        <v>79.913648239771106</v>
      </c>
      <c r="AM6718">
        <v>94.842758718770497</v>
      </c>
      <c r="AN6718">
        <v>0.99999996662855295</v>
      </c>
    </row>
    <row r="6719" spans="1:40" x14ac:dyDescent="0.25">
      <c r="A6719" t="str">
        <f>"20190303170423389"</f>
        <v>20190303170423389</v>
      </c>
      <c r="B6719" t="str">
        <f>"1551603863382283"</f>
        <v>1551603863382283</v>
      </c>
      <c r="C6719" t="s">
        <v>40</v>
      </c>
      <c r="D6719">
        <v>5.0367759999999997</v>
      </c>
      <c r="E6719">
        <v>0.4231162</v>
      </c>
      <c r="F6719" t="s">
        <v>55</v>
      </c>
      <c r="G6719">
        <v>-157.3501</v>
      </c>
      <c r="H6719">
        <v>0.20234350000000001</v>
      </c>
      <c r="I6719">
        <v>-58.193849999999998</v>
      </c>
      <c r="J6719">
        <v>-282.53570000000002</v>
      </c>
      <c r="K6719">
        <v>1.1272219999999999</v>
      </c>
      <c r="L6719">
        <v>-62.599670000000003</v>
      </c>
      <c r="M6719">
        <v>0.96827260000000004</v>
      </c>
      <c r="N6719">
        <v>-1.4046690000000001E-2</v>
      </c>
      <c r="O6719">
        <v>-0.24950159999999999</v>
      </c>
      <c r="P6719">
        <v>0.97224449999999996</v>
      </c>
      <c r="Q6719">
        <v>0.1628463</v>
      </c>
      <c r="R6719">
        <v>-0.1679937</v>
      </c>
      <c r="S6719">
        <v>3.1097109999999999</v>
      </c>
      <c r="T6719">
        <v>-2.2951249999999999E-2</v>
      </c>
      <c r="U6719">
        <v>0.10852050000000001</v>
      </c>
      <c r="V6719">
        <v>-8.2337530000000006E-2</v>
      </c>
      <c r="W6719">
        <v>0.1755302</v>
      </c>
      <c r="X6719">
        <v>0.98102480000000003</v>
      </c>
      <c r="Y6719">
        <v>-0.28311979999999998</v>
      </c>
      <c r="Z6719">
        <v>1.3335949999999999E-3</v>
      </c>
      <c r="AA6719">
        <v>0.95908360000000004</v>
      </c>
      <c r="AB6719">
        <v>29</v>
      </c>
      <c r="AC6719">
        <v>125.18559999999999</v>
      </c>
      <c r="AD6719">
        <v>-0.92487850000000005</v>
      </c>
      <c r="AE6719">
        <v>4.4058199999999896</v>
      </c>
      <c r="AF6719">
        <v>-35.5016063492142</v>
      </c>
      <c r="AG6719">
        <v>-0.92487850000000005</v>
      </c>
      <c r="AH6719">
        <v>120.11981927753099</v>
      </c>
      <c r="AI6719">
        <v>90.423058010844599</v>
      </c>
      <c r="AJ6719">
        <v>106.465129731413</v>
      </c>
      <c r="AK6719">
        <v>125.25969198781</v>
      </c>
      <c r="AL6719">
        <v>79.890485949153799</v>
      </c>
      <c r="AM6719">
        <v>94.797597597860801</v>
      </c>
      <c r="AN6719">
        <v>0.99999998908679</v>
      </c>
    </row>
    <row r="6720" spans="1:40" x14ac:dyDescent="0.25">
      <c r="A6720" t="str">
        <f>"20190303170423400"</f>
        <v>20190303170423400</v>
      </c>
      <c r="B6720" t="str">
        <f>"1551603863392044"</f>
        <v>1551603863392044</v>
      </c>
      <c r="C6720" t="s">
        <v>40</v>
      </c>
      <c r="D6720">
        <v>5.068918</v>
      </c>
      <c r="E6720">
        <v>0.42359590000000003</v>
      </c>
      <c r="F6720" t="s">
        <v>55</v>
      </c>
      <c r="G6720">
        <v>-157.3501</v>
      </c>
      <c r="H6720">
        <v>0.2668257</v>
      </c>
      <c r="I6720">
        <v>-58.062480000000001</v>
      </c>
      <c r="J6720">
        <v>-282.39940000000001</v>
      </c>
      <c r="K6720">
        <v>1.1271719999999901</v>
      </c>
      <c r="L6720">
        <v>-62.63138</v>
      </c>
      <c r="M6720">
        <v>0.9690995</v>
      </c>
      <c r="N6720">
        <v>-1.4039690000000001E-2</v>
      </c>
      <c r="O6720">
        <v>-0.2462704</v>
      </c>
      <c r="P6720">
        <v>0.97262249999999995</v>
      </c>
      <c r="Q6720">
        <v>0.16324620000000001</v>
      </c>
      <c r="R6720">
        <v>-0.1653974</v>
      </c>
      <c r="S6720">
        <v>3.1087039999999999</v>
      </c>
      <c r="T6720">
        <v>-2.136648E-2</v>
      </c>
      <c r="U6720">
        <v>0.11267089999999901</v>
      </c>
      <c r="V6720">
        <v>-8.1651719999999997E-2</v>
      </c>
      <c r="W6720">
        <v>0.1759415</v>
      </c>
      <c r="X6720">
        <v>0.98100849999999995</v>
      </c>
      <c r="Y6720">
        <v>-0.28121119999999999</v>
      </c>
      <c r="Z6720">
        <v>1.141846E-3</v>
      </c>
      <c r="AA6720">
        <v>0.95964519999999998</v>
      </c>
      <c r="AB6720">
        <v>29</v>
      </c>
      <c r="AC6720">
        <v>125.0493</v>
      </c>
      <c r="AD6720">
        <v>-0.86034629999999901</v>
      </c>
      <c r="AE6720">
        <v>4.5688999999999904</v>
      </c>
      <c r="AF6720">
        <v>-35.225465564992298</v>
      </c>
      <c r="AG6720">
        <v>-0.86034629999999901</v>
      </c>
      <c r="AH6720">
        <v>120.066184110609</v>
      </c>
      <c r="AI6720">
        <v>90.393947785795007</v>
      </c>
      <c r="AJ6720">
        <v>106.350830531207</v>
      </c>
      <c r="AK6720">
        <v>125.129781374815</v>
      </c>
      <c r="AL6720">
        <v>79.866548233588304</v>
      </c>
      <c r="AM6720">
        <v>94.757900103206097</v>
      </c>
      <c r="AN6720">
        <v>1.00000004593672</v>
      </c>
    </row>
    <row r="6721" spans="1:40" x14ac:dyDescent="0.25">
      <c r="A6721" t="str">
        <f>"20190303170423411"</f>
        <v>20190303170423411</v>
      </c>
      <c r="B6721" t="str">
        <f>"1551603863402780"</f>
        <v>1551603863402780</v>
      </c>
      <c r="C6721" t="s">
        <v>40</v>
      </c>
      <c r="D6721">
        <v>5.0716099999999997</v>
      </c>
      <c r="E6721">
        <v>0.42359590000000003</v>
      </c>
      <c r="F6721" t="s">
        <v>55</v>
      </c>
      <c r="G6721">
        <v>-157.3501</v>
      </c>
      <c r="H6721">
        <v>0.34153410000000001</v>
      </c>
      <c r="I6721">
        <v>-57.887709999999998</v>
      </c>
      <c r="J6721">
        <v>-282.25799999999998</v>
      </c>
      <c r="K6721">
        <v>1.1271230000000001</v>
      </c>
      <c r="L6721">
        <v>-62.663879999999999</v>
      </c>
      <c r="M6721">
        <v>0.9699392</v>
      </c>
      <c r="N6721">
        <v>-1.403251E-2</v>
      </c>
      <c r="O6721">
        <v>-0.2429423</v>
      </c>
      <c r="P6721">
        <v>0.97311139999999996</v>
      </c>
      <c r="Q6721">
        <v>0.16281599999999999</v>
      </c>
      <c r="R6721">
        <v>-0.16292699999999999</v>
      </c>
      <c r="S6721">
        <v>3.1077270000000001</v>
      </c>
      <c r="T6721">
        <v>-1.9525170000000001E-2</v>
      </c>
      <c r="U6721">
        <v>0.11788940000000001</v>
      </c>
      <c r="V6721">
        <v>-8.0764279999999994E-2</v>
      </c>
      <c r="W6721">
        <v>0.17552789999999999</v>
      </c>
      <c r="X6721">
        <v>0.98115600000000003</v>
      </c>
      <c r="Y6721">
        <v>-0.27953810000000001</v>
      </c>
      <c r="Z6721">
        <v>9.258612E-4</v>
      </c>
      <c r="AA6721">
        <v>0.96013409999999999</v>
      </c>
      <c r="AB6721">
        <v>29</v>
      </c>
      <c r="AC6721">
        <v>124.907899999999</v>
      </c>
      <c r="AD6721">
        <v>-0.78558889999999904</v>
      </c>
      <c r="AE6721">
        <v>4.7761699999999996</v>
      </c>
      <c r="AF6721">
        <v>-34.980070994703503</v>
      </c>
      <c r="AG6721">
        <v>-0.78558889999999904</v>
      </c>
      <c r="AH6721">
        <v>119.999815369731</v>
      </c>
      <c r="AI6721">
        <v>90.360099267624406</v>
      </c>
      <c r="AJ6721">
        <v>106.25145860964101</v>
      </c>
      <c r="AK6721">
        <v>124.99671277871199</v>
      </c>
      <c r="AL6721">
        <v>79.8906199648426</v>
      </c>
      <c r="AM6721">
        <v>94.705717597499898</v>
      </c>
      <c r="AN6721">
        <v>1.0000000044691599</v>
      </c>
    </row>
    <row r="6722" spans="1:40" x14ac:dyDescent="0.25">
      <c r="A6722" t="str">
        <f>"20190303170423423"</f>
        <v>20190303170423423</v>
      </c>
      <c r="B6722" t="str">
        <f>"1551603863412540"</f>
        <v>1551603863412540</v>
      </c>
      <c r="C6722" t="s">
        <v>40</v>
      </c>
      <c r="D6722">
        <v>5.0595299999999996</v>
      </c>
      <c r="E6722">
        <v>0.42883589999999999</v>
      </c>
      <c r="F6722" t="s">
        <v>55</v>
      </c>
      <c r="G6722">
        <v>-157.3501</v>
      </c>
      <c r="H6722">
        <v>0.30307869999999998</v>
      </c>
      <c r="I6722">
        <v>-57.596409999999999</v>
      </c>
      <c r="J6722">
        <v>-282.1146</v>
      </c>
      <c r="K6722">
        <v>1.1270720000000001</v>
      </c>
      <c r="L6722">
        <v>-62.696199999999997</v>
      </c>
      <c r="M6722">
        <v>0.9707692</v>
      </c>
      <c r="N6722">
        <v>-1.402524E-2</v>
      </c>
      <c r="O6722">
        <v>-0.23960490000000001</v>
      </c>
      <c r="P6722">
        <v>0.97368869999999996</v>
      </c>
      <c r="Q6722">
        <v>0.16224040000000001</v>
      </c>
      <c r="R6722">
        <v>-0.16002729999999901</v>
      </c>
      <c r="S6722">
        <v>3.1074519999999999</v>
      </c>
      <c r="T6722">
        <v>-2.0501019999999998E-2</v>
      </c>
      <c r="U6722">
        <v>0.12606809999999999</v>
      </c>
      <c r="V6722">
        <v>-8.0306509999999998E-2</v>
      </c>
      <c r="W6722">
        <v>0.17496220000000001</v>
      </c>
      <c r="X6722">
        <v>0.98129460000000002</v>
      </c>
      <c r="Y6722">
        <v>-0.2787617</v>
      </c>
      <c r="Z6722">
        <v>1.0652179999999999E-3</v>
      </c>
      <c r="AA6722">
        <v>0.96035979999999999</v>
      </c>
      <c r="AB6722">
        <v>29</v>
      </c>
      <c r="AC6722">
        <v>124.7645</v>
      </c>
      <c r="AD6722">
        <v>-0.82399329999999904</v>
      </c>
      <c r="AE6722">
        <v>5.0997899999999898</v>
      </c>
      <c r="AF6722">
        <v>-34.846813862495701</v>
      </c>
      <c r="AG6722">
        <v>-0.82399329999999904</v>
      </c>
      <c r="AH6722">
        <v>119.902168623847</v>
      </c>
      <c r="AI6722">
        <v>90.378098873887694</v>
      </c>
      <c r="AJ6722">
        <v>106.205293814889</v>
      </c>
      <c r="AK6722">
        <v>124.86596590755801</v>
      </c>
      <c r="AL6722">
        <v>79.923541605124399</v>
      </c>
      <c r="AM6722">
        <v>94.678506511315902</v>
      </c>
      <c r="AN6722">
        <v>0.99999999948318996</v>
      </c>
    </row>
    <row r="6723" spans="1:40" x14ac:dyDescent="0.25">
      <c r="A6723" t="str">
        <f>"20190303170423434"</f>
        <v>20190303170423434</v>
      </c>
      <c r="B6723" t="str">
        <f>"1551603863422300"</f>
        <v>1551603863422300</v>
      </c>
      <c r="C6723" t="s">
        <v>40</v>
      </c>
      <c r="D6723">
        <v>5.0470759999999997</v>
      </c>
      <c r="E6723">
        <v>0.42932169999999997</v>
      </c>
      <c r="F6723" t="s">
        <v>55</v>
      </c>
      <c r="G6723">
        <v>-157.3501</v>
      </c>
      <c r="H6723">
        <v>0.27920630000000002</v>
      </c>
      <c r="I6723">
        <v>-58.909599999999998</v>
      </c>
      <c r="J6723">
        <v>-281.97379999999998</v>
      </c>
      <c r="K6723">
        <v>1.127019</v>
      </c>
      <c r="L6723">
        <v>-62.72766</v>
      </c>
      <c r="M6723">
        <v>0.97156980000000004</v>
      </c>
      <c r="N6723">
        <v>-1.4018330000000001E-2</v>
      </c>
      <c r="O6723">
        <v>-0.2363384</v>
      </c>
      <c r="P6723">
        <v>0.97428789999999998</v>
      </c>
      <c r="Q6723">
        <v>0.16154360000000001</v>
      </c>
      <c r="R6723">
        <v>-0.15705810000000001</v>
      </c>
      <c r="S6723">
        <v>3.1000369999999999</v>
      </c>
      <c r="T6723">
        <v>-2.1067499999999999E-2</v>
      </c>
      <c r="U6723">
        <v>9.408569E-2</v>
      </c>
      <c r="V6723">
        <v>-7.9994960000000004E-2</v>
      </c>
      <c r="W6723">
        <v>0.17427339999999999</v>
      </c>
      <c r="X6723">
        <v>0.98144260000000005</v>
      </c>
      <c r="Y6723">
        <v>-0.26570460000000001</v>
      </c>
      <c r="Z6723">
        <v>1.027884E-3</v>
      </c>
      <c r="AA6723">
        <v>0.96405390000000002</v>
      </c>
      <c r="AB6723">
        <v>29</v>
      </c>
      <c r="AC6723">
        <v>124.6237</v>
      </c>
      <c r="AD6723">
        <v>-0.84781269999999997</v>
      </c>
      <c r="AE6723">
        <v>3.81806</v>
      </c>
      <c r="AF6723">
        <v>-33.164599371118697</v>
      </c>
      <c r="AG6723">
        <v>-0.84781269999999997</v>
      </c>
      <c r="AH6723">
        <v>120.184508400026</v>
      </c>
      <c r="AI6723">
        <v>90.389611327327003</v>
      </c>
      <c r="AJ6723">
        <v>105.426703142132</v>
      </c>
      <c r="AK6723">
        <v>124.679290570555</v>
      </c>
      <c r="AL6723">
        <v>79.963622681569305</v>
      </c>
      <c r="AM6723">
        <v>94.659736607792794</v>
      </c>
      <c r="AN6723">
        <v>0.99999999433386</v>
      </c>
    </row>
    <row r="6724" spans="1:40" x14ac:dyDescent="0.25">
      <c r="A6724" t="str">
        <f>"20190303170423445"</f>
        <v>20190303170423445</v>
      </c>
      <c r="B6724" t="str">
        <f>"1551603863442796"</f>
        <v>1551603863442796</v>
      </c>
      <c r="C6724" t="s">
        <v>40</v>
      </c>
      <c r="D6724">
        <v>5.0394379999999996</v>
      </c>
      <c r="E6724">
        <v>0.4293013</v>
      </c>
      <c r="F6724" t="s">
        <v>55</v>
      </c>
      <c r="G6724">
        <v>-157.3501</v>
      </c>
      <c r="H6724">
        <v>7.1608069999999996E-2</v>
      </c>
      <c r="I6724">
        <v>-58.7239199999999</v>
      </c>
      <c r="J6724">
        <v>-281.82940000000002</v>
      </c>
      <c r="K6724">
        <v>1.1269690000000001</v>
      </c>
      <c r="L6724">
        <v>-62.759160000000001</v>
      </c>
      <c r="M6724">
        <v>0.97236730000000005</v>
      </c>
      <c r="N6724">
        <v>-1.401111E-2</v>
      </c>
      <c r="O6724">
        <v>-0.23303599999999999</v>
      </c>
      <c r="P6724">
        <v>0.97486360000000005</v>
      </c>
      <c r="Q6724">
        <v>0.1608359</v>
      </c>
      <c r="R6724">
        <v>-0.15418399999999999</v>
      </c>
      <c r="S6724">
        <v>3.0995789999999999</v>
      </c>
      <c r="T6724">
        <v>-2.6250119999999998E-2</v>
      </c>
      <c r="U6724">
        <v>9.9578860000000005E-2</v>
      </c>
      <c r="V6724">
        <v>-7.9551440000000001E-2</v>
      </c>
      <c r="W6724">
        <v>0.17357520000000001</v>
      </c>
      <c r="X6724">
        <v>0.98160239999999999</v>
      </c>
      <c r="Y6724">
        <v>-0.26413609999999998</v>
      </c>
      <c r="Z6724">
        <v>1.64615799999999E-3</v>
      </c>
      <c r="AA6724">
        <v>0.96448400000000001</v>
      </c>
      <c r="AB6724">
        <v>29</v>
      </c>
      <c r="AC6724">
        <v>124.47929999999999</v>
      </c>
      <c r="AD6724">
        <v>-1.05536093</v>
      </c>
      <c r="AE6724">
        <v>4.0352399999999999</v>
      </c>
      <c r="AF6724">
        <v>-32.932757590785002</v>
      </c>
      <c r="AG6724">
        <v>-1.05536093</v>
      </c>
      <c r="AH6724">
        <v>120.102395622779</v>
      </c>
      <c r="AI6724">
        <v>90.485533525994697</v>
      </c>
      <c r="AJ6724">
        <v>105.33393062459599</v>
      </c>
      <c r="AK6724">
        <v>124.540217373974</v>
      </c>
      <c r="AL6724">
        <v>80.004246057420801</v>
      </c>
      <c r="AM6724">
        <v>94.633263120105497</v>
      </c>
      <c r="AN6724">
        <v>1.0000000266734299</v>
      </c>
    </row>
    <row r="6725" spans="1:40" x14ac:dyDescent="0.25">
      <c r="A6725" t="str">
        <f>"20190303170423457"</f>
        <v>20190303170423457</v>
      </c>
      <c r="B6725" t="str">
        <f>"1551603863452556"</f>
        <v>1551603863452556</v>
      </c>
      <c r="C6725" t="s">
        <v>40</v>
      </c>
      <c r="D6725">
        <v>5.0433820000000003</v>
      </c>
      <c r="E6725">
        <v>0.4295255</v>
      </c>
      <c r="F6725" t="s">
        <v>44</v>
      </c>
      <c r="G6725">
        <v>-154.00559999999999</v>
      </c>
      <c r="H6725">
        <v>-0.05</v>
      </c>
      <c r="I6725">
        <v>-58.285899999999998</v>
      </c>
      <c r="J6725">
        <v>-281.67649999999998</v>
      </c>
      <c r="K6725">
        <v>1.126916</v>
      </c>
      <c r="L6725">
        <v>-62.792209999999997</v>
      </c>
      <c r="M6725">
        <v>0.97319630000000001</v>
      </c>
      <c r="N6725">
        <v>-1.4003750000000001E-2</v>
      </c>
      <c r="O6725">
        <v>-0.2295497</v>
      </c>
      <c r="P6725">
        <v>0.97545389999999998</v>
      </c>
      <c r="Q6725">
        <v>0.1600085</v>
      </c>
      <c r="R6725">
        <v>-0.1512857</v>
      </c>
      <c r="S6725">
        <v>3.099243</v>
      </c>
      <c r="T6725">
        <v>-2.8537030000000001E-2</v>
      </c>
      <c r="U6725">
        <v>0.1084595</v>
      </c>
      <c r="V6725">
        <v>-7.8950670000000001E-2</v>
      </c>
      <c r="W6725">
        <v>0.17275989999999999</v>
      </c>
      <c r="X6725">
        <v>0.98179470000000002</v>
      </c>
      <c r="Y6725">
        <v>-0.2634415</v>
      </c>
      <c r="Z6725">
        <v>1.926269E-3</v>
      </c>
      <c r="AA6725">
        <v>0.96467349999999996</v>
      </c>
      <c r="AB6725">
        <v>29</v>
      </c>
      <c r="AC6725">
        <v>127.6709</v>
      </c>
      <c r="AD6725">
        <v>-1.1769160000000001</v>
      </c>
      <c r="AE6725">
        <v>4.5063099999999903</v>
      </c>
      <c r="AF6725">
        <v>-33.692782023280998</v>
      </c>
      <c r="AG6725">
        <v>-1.1769160000000001</v>
      </c>
      <c r="AH6725">
        <v>123.21603818600001</v>
      </c>
      <c r="AI6725">
        <v>90.527874143268704</v>
      </c>
      <c r="AJ6725">
        <v>105.293375594891</v>
      </c>
      <c r="AK6725">
        <v>127.744983298731</v>
      </c>
      <c r="AL6725">
        <v>80.051675712042694</v>
      </c>
      <c r="AM6725">
        <v>94.597526677269698</v>
      </c>
      <c r="AN6725">
        <v>1.0000000121447701</v>
      </c>
    </row>
    <row r="6726" spans="1:40" x14ac:dyDescent="0.25">
      <c r="A6726" t="str">
        <f>"20190303170423468"</f>
        <v>20190303170423468</v>
      </c>
      <c r="B6726" t="str">
        <f>"1551603863462315"</f>
        <v>1551603863462315</v>
      </c>
      <c r="C6726" t="s">
        <v>40</v>
      </c>
      <c r="D6726">
        <v>5.0122559999999998</v>
      </c>
      <c r="E6726">
        <v>0.4299578</v>
      </c>
      <c r="F6726" t="s">
        <v>75</v>
      </c>
      <c r="G6726">
        <v>-175.39840000000001</v>
      </c>
      <c r="H6726">
        <v>7.9986580000000002E-2</v>
      </c>
      <c r="I6726">
        <v>-58.831169999999901</v>
      </c>
      <c r="J6726">
        <v>-281.54180000000002</v>
      </c>
      <c r="K6726">
        <v>1.126876</v>
      </c>
      <c r="L6726">
        <v>-62.820680000000003</v>
      </c>
      <c r="M6726">
        <v>0.97390849999999995</v>
      </c>
      <c r="N6726">
        <v>-1.39973999999999E-2</v>
      </c>
      <c r="O6726">
        <v>-0.22650960000000001</v>
      </c>
      <c r="P6726">
        <v>0.97596419999999995</v>
      </c>
      <c r="Q6726">
        <v>0.159165</v>
      </c>
      <c r="R6726">
        <v>-0.14886469999999999</v>
      </c>
      <c r="S6726">
        <v>3.0983890000000001</v>
      </c>
      <c r="T6726">
        <v>-3.052175E-2</v>
      </c>
      <c r="U6726">
        <v>0.1154785</v>
      </c>
      <c r="V6726">
        <v>-7.8323190000000001E-2</v>
      </c>
      <c r="W6726">
        <v>0.171928</v>
      </c>
      <c r="X6726">
        <v>0.9819909</v>
      </c>
      <c r="Y6726">
        <v>-0.26261879999999999</v>
      </c>
      <c r="Z6726">
        <v>2.162845E-3</v>
      </c>
      <c r="AA6726">
        <v>0.96489729999999996</v>
      </c>
      <c r="AB6726">
        <v>29</v>
      </c>
      <c r="AC6726">
        <v>106.1434</v>
      </c>
      <c r="AD6726">
        <v>-1.0468894200000001</v>
      </c>
      <c r="AE6726">
        <v>3.9895100000000001</v>
      </c>
      <c r="AF6726">
        <v>-27.927936065275599</v>
      </c>
      <c r="AG6726">
        <v>-1.0468894200000001</v>
      </c>
      <c r="AH6726">
        <v>102.47036793712699</v>
      </c>
      <c r="AI6726">
        <v>90.564744512463307</v>
      </c>
      <c r="AJ6726">
        <v>105.245475686894</v>
      </c>
      <c r="AK6726">
        <v>106.213190779177</v>
      </c>
      <c r="AL6726">
        <v>80.100063429090994</v>
      </c>
      <c r="AM6726">
        <v>94.560234025393697</v>
      </c>
      <c r="AN6726">
        <v>0.999999943479291</v>
      </c>
    </row>
    <row r="6727" spans="1:40" x14ac:dyDescent="0.25">
      <c r="A6727" t="str">
        <f>"20190303170423489"</f>
        <v>20190303170423489</v>
      </c>
      <c r="B6727" t="str">
        <f>"1551603863482812"</f>
        <v>1551603863482812</v>
      </c>
      <c r="C6727" t="s">
        <v>40</v>
      </c>
      <c r="D6727">
        <v>4.9881019999999996</v>
      </c>
      <c r="E6727">
        <v>0.43063689999999999</v>
      </c>
      <c r="F6727" t="s">
        <v>75</v>
      </c>
      <c r="G6727">
        <v>-184.41419999999999</v>
      </c>
      <c r="H6727" s="1">
        <v>-1.36940299999999E-5</v>
      </c>
      <c r="I6727">
        <v>-59.064439999999998</v>
      </c>
      <c r="J6727">
        <v>-281.26530000000002</v>
      </c>
      <c r="K6727">
        <v>1.1268009999999999</v>
      </c>
      <c r="L6727">
        <v>-62.878079999999997</v>
      </c>
      <c r="M6727">
        <v>0.97533020000000004</v>
      </c>
      <c r="N6727">
        <v>-1.3984999999999999E-2</v>
      </c>
      <c r="O6727">
        <v>-0.22030810000000001</v>
      </c>
      <c r="P6727">
        <v>0.97659969999999996</v>
      </c>
      <c r="Q6727">
        <v>0.15907829999999901</v>
      </c>
      <c r="R6727">
        <v>-0.144732</v>
      </c>
      <c r="S6727">
        <v>3.0980530000000002</v>
      </c>
      <c r="T6727">
        <v>-3.59441E-2</v>
      </c>
      <c r="U6727">
        <v>0.119812</v>
      </c>
      <c r="V6727">
        <v>-7.6198379999999996E-2</v>
      </c>
      <c r="W6727">
        <v>0.1718721</v>
      </c>
      <c r="X6727">
        <v>0.98216789999999998</v>
      </c>
      <c r="Y6727">
        <v>-0.25782149999999998</v>
      </c>
      <c r="Z6727">
        <v>2.7446770000000001E-3</v>
      </c>
      <c r="AA6727">
        <v>0.96618870000000001</v>
      </c>
      <c r="AB6727">
        <v>29</v>
      </c>
      <c r="AC6727">
        <v>96.851100000000002</v>
      </c>
      <c r="AD6727">
        <v>-1.1268146940299999</v>
      </c>
      <c r="AE6727">
        <v>3.8136399999999999</v>
      </c>
      <c r="AF6727">
        <v>-25.055701421531001</v>
      </c>
      <c r="AG6727">
        <v>-1.1268146940299999</v>
      </c>
      <c r="AH6727">
        <v>93.618119718061607</v>
      </c>
      <c r="AI6727">
        <v>90.666151904744694</v>
      </c>
      <c r="AJ6727">
        <v>104.98332601069799</v>
      </c>
      <c r="AK6727">
        <v>96.919607018522896</v>
      </c>
      <c r="AL6727">
        <v>80.103315203210698</v>
      </c>
      <c r="AM6727">
        <v>94.436225031609695</v>
      </c>
      <c r="AN6727">
        <v>0.999999997831722</v>
      </c>
    </row>
    <row r="6728" spans="1:40" x14ac:dyDescent="0.25">
      <c r="A6728" t="str">
        <f>"20190303170423501"</f>
        <v>20190303170423501</v>
      </c>
      <c r="B6728" t="str">
        <f>"1551603863492572"</f>
        <v>1551603863492572</v>
      </c>
      <c r="C6728" t="s">
        <v>40</v>
      </c>
      <c r="D6728">
        <v>5.0159699999999896</v>
      </c>
      <c r="E6728">
        <v>0.43080869999999999</v>
      </c>
      <c r="F6728" t="s">
        <v>75</v>
      </c>
      <c r="G6728">
        <v>-188.673</v>
      </c>
      <c r="H6728" s="1">
        <v>-1.2743719999999999E-5</v>
      </c>
      <c r="I6728">
        <v>-59.036110000000001</v>
      </c>
      <c r="J6728">
        <v>-281.12459999999999</v>
      </c>
      <c r="K6728">
        <v>1.126771</v>
      </c>
      <c r="L6728">
        <v>-62.906519999999901</v>
      </c>
      <c r="M6728">
        <v>0.97603269999999998</v>
      </c>
      <c r="N6728">
        <v>-1.3979190000000001E-2</v>
      </c>
      <c r="O6728">
        <v>-0.21717520000000001</v>
      </c>
      <c r="P6728">
        <v>0.97681410000000002</v>
      </c>
      <c r="Q6728">
        <v>0.1592122</v>
      </c>
      <c r="R6728">
        <v>-0.1431307</v>
      </c>
      <c r="S6728">
        <v>3.0971069999999998</v>
      </c>
      <c r="T6728">
        <v>-3.7690639999999997E-2</v>
      </c>
      <c r="U6728">
        <v>0.1285095</v>
      </c>
      <c r="V6728">
        <v>-7.4635279999999998E-2</v>
      </c>
      <c r="W6728">
        <v>0.17202719999999999</v>
      </c>
      <c r="X6728">
        <v>0.98226080000000004</v>
      </c>
      <c r="Y6728">
        <v>-0.25743700000000003</v>
      </c>
      <c r="Z6728">
        <v>2.945133E-3</v>
      </c>
      <c r="AA6728">
        <v>0.9662906</v>
      </c>
      <c r="AB6728">
        <v>29</v>
      </c>
      <c r="AC6728">
        <v>92.4515999999999</v>
      </c>
      <c r="AD6728">
        <v>-1.1267837437199999</v>
      </c>
      <c r="AE6728">
        <v>3.8704099999999899</v>
      </c>
      <c r="AF6728">
        <v>-23.854631693087601</v>
      </c>
      <c r="AG6728">
        <v>-1.1267837437199999</v>
      </c>
      <c r="AH6728">
        <v>89.390694394845795</v>
      </c>
      <c r="AI6728">
        <v>90.697768652937</v>
      </c>
      <c r="AJ6728">
        <v>104.94165732086</v>
      </c>
      <c r="AK6728">
        <v>92.525722581402704</v>
      </c>
      <c r="AL6728">
        <v>80.094294598366403</v>
      </c>
      <c r="AM6728">
        <v>94.345165060853006</v>
      </c>
      <c r="AN6728">
        <v>1.0000000308885699</v>
      </c>
    </row>
    <row r="6729" spans="1:40" x14ac:dyDescent="0.25">
      <c r="A6729" t="str">
        <f>"20190303170423512"</f>
        <v>20190303170423512</v>
      </c>
      <c r="B6729" t="str">
        <f>"1551603863502332"</f>
        <v>1551603863502332</v>
      </c>
      <c r="C6729" t="s">
        <v>40</v>
      </c>
      <c r="D6729">
        <v>5.0154569999999996</v>
      </c>
      <c r="E6729">
        <v>0.43117929999999999</v>
      </c>
      <c r="F6729" t="s">
        <v>75</v>
      </c>
      <c r="G6729">
        <v>-187.7525</v>
      </c>
      <c r="H6729" s="1">
        <v>-1.290799E-5</v>
      </c>
      <c r="I6729">
        <v>-58.908459999999998</v>
      </c>
      <c r="J6729">
        <v>-280.9828</v>
      </c>
      <c r="K6729">
        <v>1.1267430000000001</v>
      </c>
      <c r="L6729">
        <v>-62.934840000000001</v>
      </c>
      <c r="M6729">
        <v>0.97672859999999995</v>
      </c>
      <c r="N6729">
        <v>-1.3973660000000001E-2</v>
      </c>
      <c r="O6729">
        <v>-0.21402370000000001</v>
      </c>
      <c r="P6729">
        <v>0.97706990000000005</v>
      </c>
      <c r="Q6729">
        <v>0.1592421</v>
      </c>
      <c r="R6729">
        <v>-0.1413384</v>
      </c>
      <c r="S6729">
        <v>3.0967709999999999</v>
      </c>
      <c r="T6729">
        <v>-3.7370800000000003E-2</v>
      </c>
      <c r="U6729">
        <v>0.13259889999999999</v>
      </c>
      <c r="V6729">
        <v>-7.325052E-2</v>
      </c>
      <c r="W6729">
        <v>0.1720756</v>
      </c>
      <c r="X6729">
        <v>0.98235649999999997</v>
      </c>
      <c r="Y6729">
        <v>-0.2555964</v>
      </c>
      <c r="Z6729">
        <v>2.894045E-3</v>
      </c>
      <c r="AA6729">
        <v>0.96677919999999995</v>
      </c>
      <c r="AB6729">
        <v>29</v>
      </c>
      <c r="AC6729">
        <v>93.2303</v>
      </c>
      <c r="AD6729">
        <v>-1.12675590799</v>
      </c>
      <c r="AE6729">
        <v>4.0263799999999996</v>
      </c>
      <c r="AF6729">
        <v>-23.885022403671002</v>
      </c>
      <c r="AG6729">
        <v>-1.12675590799</v>
      </c>
      <c r="AH6729">
        <v>90.194610017432893</v>
      </c>
      <c r="AI6729">
        <v>90.691883478350206</v>
      </c>
      <c r="AJ6729">
        <v>104.83240358561901</v>
      </c>
      <c r="AK6729">
        <v>93.310404298217904</v>
      </c>
      <c r="AL6729">
        <v>80.091478914016903</v>
      </c>
      <c r="AM6729">
        <v>94.264432515694594</v>
      </c>
      <c r="AN6729">
        <v>0.99999997194393897</v>
      </c>
    </row>
    <row r="6730" spans="1:40" x14ac:dyDescent="0.25">
      <c r="A6730" t="str">
        <f>"20190303170423524"</f>
        <v>20190303170423524</v>
      </c>
      <c r="B6730" t="str">
        <f>"1551603863512092"</f>
        <v>1551603863512092</v>
      </c>
      <c r="C6730" t="s">
        <v>40</v>
      </c>
      <c r="D6730">
        <v>5.0322469999999999</v>
      </c>
      <c r="E6730">
        <v>0.43130370000000001</v>
      </c>
      <c r="F6730" t="s">
        <v>75</v>
      </c>
      <c r="G6730">
        <v>-188.14279999999999</v>
      </c>
      <c r="H6730" s="1">
        <v>-1.281015E-5</v>
      </c>
      <c r="I6730">
        <v>-58.870939999999997</v>
      </c>
      <c r="J6730">
        <v>-280.83280000000002</v>
      </c>
      <c r="K6730">
        <v>1.1267180000000001</v>
      </c>
      <c r="L6730">
        <v>-62.96414</v>
      </c>
      <c r="M6730">
        <v>0.9774505</v>
      </c>
      <c r="N6730">
        <v>-1.39682E-2</v>
      </c>
      <c r="O6730">
        <v>-0.2107029</v>
      </c>
      <c r="P6730">
        <v>0.97750349999999997</v>
      </c>
      <c r="Q6730">
        <v>0.15885569999999999</v>
      </c>
      <c r="R6730">
        <v>-0.13875129999999999</v>
      </c>
      <c r="S6730">
        <v>3.0961609999999999</v>
      </c>
      <c r="T6730">
        <v>-3.7576680000000001E-2</v>
      </c>
      <c r="U6730">
        <v>0.1355286</v>
      </c>
      <c r="V6730">
        <v>-7.2508680000000006E-2</v>
      </c>
      <c r="W6730">
        <v>0.1716993</v>
      </c>
      <c r="X6730">
        <v>0.98247739999999995</v>
      </c>
      <c r="Y6730">
        <v>-0.25323119999999999</v>
      </c>
      <c r="Z6730">
        <v>2.894668E-3</v>
      </c>
      <c r="AA6730">
        <v>0.96740139999999997</v>
      </c>
      <c r="AB6730">
        <v>29</v>
      </c>
      <c r="AC6730">
        <v>92.69</v>
      </c>
      <c r="AD6730">
        <v>-1.12673081015</v>
      </c>
      <c r="AE6730">
        <v>4.0931999999999897</v>
      </c>
      <c r="AF6730">
        <v>-23.5297743972232</v>
      </c>
      <c r="AG6730">
        <v>-1.12673081015</v>
      </c>
      <c r="AH6730">
        <v>89.732946123426203</v>
      </c>
      <c r="AI6730">
        <v>90.695872317941195</v>
      </c>
      <c r="AJ6730">
        <v>104.69329499366999</v>
      </c>
      <c r="AK6730">
        <v>92.773495274741407</v>
      </c>
      <c r="AL6730">
        <v>80.113365336157301</v>
      </c>
      <c r="AM6730">
        <v>94.220884069899498</v>
      </c>
      <c r="AN6730">
        <v>0.99999999990329602</v>
      </c>
    </row>
    <row r="6731" spans="1:40" x14ac:dyDescent="0.25">
      <c r="A6731" t="str">
        <f>"20190303170423536"</f>
        <v>20190303170423536</v>
      </c>
      <c r="B6731" t="str">
        <f>"1551603863532589"</f>
        <v>1551603863532589</v>
      </c>
      <c r="C6731" t="s">
        <v>40</v>
      </c>
      <c r="D6731">
        <v>5.0339229999999997</v>
      </c>
      <c r="E6731">
        <v>0.43166919999999998</v>
      </c>
      <c r="F6731" t="s">
        <v>75</v>
      </c>
      <c r="G6731">
        <v>-186.61969999999999</v>
      </c>
      <c r="H6731" s="1">
        <v>-1.3069980000000001E-5</v>
      </c>
      <c r="I6731">
        <v>-58.620710000000003</v>
      </c>
      <c r="J6731">
        <v>-280.68889999999999</v>
      </c>
      <c r="K6731">
        <v>1.126695</v>
      </c>
      <c r="L6731">
        <v>-62.991999999999997</v>
      </c>
      <c r="M6731">
        <v>0.97813110000000003</v>
      </c>
      <c r="N6731">
        <v>-1.396318E-2</v>
      </c>
      <c r="O6731">
        <v>-0.20752019999999999</v>
      </c>
      <c r="P6731">
        <v>0.97804869999999999</v>
      </c>
      <c r="Q6731">
        <v>0.1575657</v>
      </c>
      <c r="R6731">
        <v>-0.13635920000000001</v>
      </c>
      <c r="S6731">
        <v>3.0953059999999999</v>
      </c>
      <c r="T6731">
        <v>-3.7017939999999999E-2</v>
      </c>
      <c r="U6731">
        <v>0.1427002</v>
      </c>
      <c r="V6731">
        <v>-7.1730730000000006E-2</v>
      </c>
      <c r="W6731">
        <v>0.1704214</v>
      </c>
      <c r="X6731">
        <v>0.98275699999999999</v>
      </c>
      <c r="Y6731">
        <v>-0.25233169999999999</v>
      </c>
      <c r="Z6731">
        <v>2.8318290000000001E-3</v>
      </c>
      <c r="AA6731">
        <v>0.96763659999999996</v>
      </c>
      <c r="AB6731">
        <v>29</v>
      </c>
      <c r="AC6731">
        <v>94.069199999999995</v>
      </c>
      <c r="AD6731">
        <v>-1.1267080699800001</v>
      </c>
      <c r="AE6731">
        <v>4.3712900000000001</v>
      </c>
      <c r="AF6731">
        <v>-23.7958670814897</v>
      </c>
      <c r="AG6731">
        <v>-1.1267080699800001</v>
      </c>
      <c r="AH6731">
        <v>91.100718315852305</v>
      </c>
      <c r="AI6731">
        <v>90.685582354182401</v>
      </c>
      <c r="AJ6731">
        <v>104.638810389966</v>
      </c>
      <c r="AK6731">
        <v>94.163972085395599</v>
      </c>
      <c r="AL6731">
        <v>80.187679319098095</v>
      </c>
      <c r="AM6731">
        <v>94.174575178141595</v>
      </c>
      <c r="AN6731">
        <v>1.0000000361266399</v>
      </c>
    </row>
    <row r="6732" spans="1:40" x14ac:dyDescent="0.25">
      <c r="A6732" t="str">
        <f>"20190303170423547"</f>
        <v>20190303170423547</v>
      </c>
      <c r="B6732" t="str">
        <f>"1551603863532589"</f>
        <v>1551603863532589</v>
      </c>
      <c r="C6732" t="s">
        <v>40</v>
      </c>
      <c r="D6732">
        <v>5.0339229999999997</v>
      </c>
      <c r="E6732">
        <v>0.43166919999999998</v>
      </c>
      <c r="F6732" t="s">
        <v>75</v>
      </c>
      <c r="G6732">
        <v>-194.08160000000001</v>
      </c>
      <c r="H6732" s="1">
        <v>-7.153432E-6</v>
      </c>
      <c r="I6732">
        <v>-58.88091</v>
      </c>
      <c r="J6732">
        <v>-280.541</v>
      </c>
      <c r="K6732">
        <v>1.126674</v>
      </c>
      <c r="L6732">
        <v>-63.01981</v>
      </c>
      <c r="M6732">
        <v>0.97881759999999995</v>
      </c>
      <c r="N6732">
        <v>-1.395827E-2</v>
      </c>
      <c r="O6732">
        <v>-0.2042581</v>
      </c>
      <c r="P6732">
        <v>0.9785393</v>
      </c>
      <c r="Q6732">
        <v>0.15685929999999901</v>
      </c>
      <c r="R6732">
        <v>-0.1336261</v>
      </c>
      <c r="S6732">
        <v>3.0942989999999999</v>
      </c>
      <c r="T6732">
        <v>-4.0254709999999999E-2</v>
      </c>
      <c r="U6732">
        <v>0.14688109999999999</v>
      </c>
      <c r="V6732">
        <v>-7.1205690000000002E-2</v>
      </c>
      <c r="W6732">
        <v>0.16972179999999901</v>
      </c>
      <c r="X6732">
        <v>0.98291620000000002</v>
      </c>
      <c r="Y6732">
        <v>-0.25041980000000003</v>
      </c>
      <c r="Z6732">
        <v>3.1602039999999998E-3</v>
      </c>
      <c r="AA6732">
        <v>0.9681322</v>
      </c>
      <c r="AB6732">
        <v>29</v>
      </c>
      <c r="AC6732">
        <v>86.459399999999903</v>
      </c>
      <c r="AD6732">
        <v>-1.126681153432</v>
      </c>
      <c r="AE6732">
        <v>4.1388999999999996</v>
      </c>
      <c r="AF6732">
        <v>-21.7096969940688</v>
      </c>
      <c r="AG6732">
        <v>-1.126681153432</v>
      </c>
      <c r="AH6732">
        <v>83.776543389098606</v>
      </c>
      <c r="AI6732">
        <v>90.745870504676304</v>
      </c>
      <c r="AJ6732">
        <v>104.527951930973</v>
      </c>
      <c r="AK6732">
        <v>86.551080733987902</v>
      </c>
      <c r="AL6732">
        <v>80.228355659490305</v>
      </c>
      <c r="AM6732">
        <v>94.143456945851</v>
      </c>
      <c r="AN6732">
        <v>0.99999999795302796</v>
      </c>
    </row>
    <row r="6733" spans="1:40" x14ac:dyDescent="0.25">
      <c r="A6733" t="str">
        <f>"20190303170423558"</f>
        <v>20190303170423558</v>
      </c>
      <c r="B6733" t="str">
        <f>"1551603863552108"</f>
        <v>1551603863552108</v>
      </c>
      <c r="C6733" t="s">
        <v>40</v>
      </c>
      <c r="D6733">
        <v>4.9617990000000001</v>
      </c>
      <c r="E6733">
        <v>0.4657444</v>
      </c>
      <c r="F6733" t="s">
        <v>75</v>
      </c>
      <c r="G6733">
        <v>-199.35069999999999</v>
      </c>
      <c r="H6733" s="1">
        <v>-7.7221810000000001E-6</v>
      </c>
      <c r="I6733">
        <v>-58.949069999999899</v>
      </c>
      <c r="J6733">
        <v>-280.39879999999999</v>
      </c>
      <c r="K6733">
        <v>1.126657</v>
      </c>
      <c r="L6733">
        <v>-63.046329999999998</v>
      </c>
      <c r="M6733">
        <v>0.97946699999999998</v>
      </c>
      <c r="N6733">
        <v>-1.3953790000000001E-2</v>
      </c>
      <c r="O6733">
        <v>-0.2011213</v>
      </c>
      <c r="P6733">
        <v>0.97884640000000001</v>
      </c>
      <c r="Q6733">
        <v>0.15681529999999999</v>
      </c>
      <c r="R6733">
        <v>-0.13140950000000001</v>
      </c>
      <c r="S6733">
        <v>3.0938720000000002</v>
      </c>
      <c r="T6733">
        <v>-4.2933819999999998E-2</v>
      </c>
      <c r="U6733">
        <v>0.155120799999999</v>
      </c>
      <c r="V6733">
        <v>-7.0275219999999999E-2</v>
      </c>
      <c r="W6733">
        <v>0.169688899999999</v>
      </c>
      <c r="X6733">
        <v>0.9829888</v>
      </c>
      <c r="Y6733">
        <v>-0.24989259999999999</v>
      </c>
      <c r="Z6733">
        <v>3.4400160000000002E-3</v>
      </c>
      <c r="AA6733">
        <v>0.9682674</v>
      </c>
      <c r="AB6733">
        <v>29</v>
      </c>
      <c r="AC6733">
        <v>81.048100000000005</v>
      </c>
      <c r="AD6733">
        <v>-1.126664722181</v>
      </c>
      <c r="AE6733">
        <v>4.0972600000000101</v>
      </c>
      <c r="AF6733">
        <v>-20.3116921024058</v>
      </c>
      <c r="AG6733">
        <v>-1.126664722181</v>
      </c>
      <c r="AH6733">
        <v>78.552397825211102</v>
      </c>
      <c r="AI6733">
        <v>90.795565673587603</v>
      </c>
      <c r="AJ6733">
        <v>104.497717019584</v>
      </c>
      <c r="AK6733">
        <v>81.143782346827905</v>
      </c>
      <c r="AL6733">
        <v>80.230268013253905</v>
      </c>
      <c r="AM6733">
        <v>94.089196824242094</v>
      </c>
      <c r="AN6733">
        <v>0.99999995512734796</v>
      </c>
    </row>
    <row r="6734" spans="1:40" x14ac:dyDescent="0.25">
      <c r="A6734" t="str">
        <f>"20190303170423569"</f>
        <v>20190303170423569</v>
      </c>
      <c r="B6734" t="str">
        <f>"1551603863562844"</f>
        <v>1551603863562844</v>
      </c>
      <c r="C6734" t="s">
        <v>40</v>
      </c>
      <c r="D6734">
        <v>4.9265030000000003</v>
      </c>
      <c r="E6734">
        <v>0.4657444</v>
      </c>
      <c r="F6734" t="s">
        <v>114</v>
      </c>
      <c r="G6734">
        <v>-253.97130000000001</v>
      </c>
      <c r="H6734" s="1">
        <v>-1.632384E-6</v>
      </c>
      <c r="I6734">
        <v>-63.947920000000003</v>
      </c>
      <c r="J6734">
        <v>-280.25479999999999</v>
      </c>
      <c r="K6734">
        <v>1.126644</v>
      </c>
      <c r="L6734">
        <v>-63.072510000000001</v>
      </c>
      <c r="M6734">
        <v>0.98011360000000003</v>
      </c>
      <c r="N6734">
        <v>-1.3949619999999999E-2</v>
      </c>
      <c r="O6734">
        <v>-0.19794680000000001</v>
      </c>
      <c r="P6734">
        <v>0.97910549999999996</v>
      </c>
      <c r="Q6734">
        <v>0.1568686</v>
      </c>
      <c r="R6734">
        <v>-0.12940209999999999</v>
      </c>
      <c r="S6734">
        <v>3.0718079999999999</v>
      </c>
      <c r="T6734">
        <v>-0.13095709999999999</v>
      </c>
      <c r="U6734">
        <v>-0.1047974</v>
      </c>
      <c r="V6734">
        <v>-6.9097409999999998E-2</v>
      </c>
      <c r="W6734">
        <v>0.16975509999999999</v>
      </c>
      <c r="X6734">
        <v>0.98306090000000002</v>
      </c>
      <c r="Y6734">
        <v>-0.16415350000000001</v>
      </c>
      <c r="Z6734">
        <v>1.0249930000000001E-2</v>
      </c>
      <c r="AA6734">
        <v>0.98638150000000002</v>
      </c>
      <c r="AB6734">
        <v>29</v>
      </c>
      <c r="AC6734">
        <v>26.283499999999901</v>
      </c>
      <c r="AD6734">
        <v>-1.126645632384</v>
      </c>
      <c r="AE6734">
        <v>-0.87540999999999503</v>
      </c>
      <c r="AF6734">
        <v>-4.3371954149916903</v>
      </c>
      <c r="AG6734">
        <v>-1.126645632384</v>
      </c>
      <c r="AH6734">
        <v>25.889105085870099</v>
      </c>
      <c r="AI6734">
        <v>92.457626744941194</v>
      </c>
      <c r="AJ6734">
        <v>99.510430223163198</v>
      </c>
      <c r="AK6734">
        <v>26.274062430389801</v>
      </c>
      <c r="AL6734">
        <v>80.226419533721796</v>
      </c>
      <c r="AM6734">
        <v>94.020594810433806</v>
      </c>
      <c r="AN6734">
        <v>0.99999998957676395</v>
      </c>
    </row>
    <row r="6735" spans="1:40" x14ac:dyDescent="0.25">
      <c r="A6735" t="str">
        <f>"20190303170423580"</f>
        <v>20190303170423580</v>
      </c>
      <c r="B6735" t="str">
        <f>"1551603863572605"</f>
        <v>1551603863572605</v>
      </c>
      <c r="C6735" t="s">
        <v>40</v>
      </c>
      <c r="D6735">
        <v>5.0372649999999997</v>
      </c>
      <c r="E6735">
        <v>0.52979160000000003</v>
      </c>
      <c r="F6735" t="s">
        <v>114</v>
      </c>
      <c r="G6735">
        <v>-253.7448</v>
      </c>
      <c r="H6735" s="1">
        <v>-1.5286569999999999E-6</v>
      </c>
      <c r="I6735">
        <v>-63.918399999999998</v>
      </c>
      <c r="J6735">
        <v>-280.11860000000001</v>
      </c>
      <c r="K6735">
        <v>1.1266419999999999</v>
      </c>
      <c r="L6735">
        <v>-63.096919999999997</v>
      </c>
      <c r="M6735">
        <v>0.98071520000000001</v>
      </c>
      <c r="N6735">
        <v>-1.3945829999999999E-2</v>
      </c>
      <c r="O6735">
        <v>-0.19494449999999999</v>
      </c>
      <c r="P6735">
        <v>0.97916570000000003</v>
      </c>
      <c r="Q6735">
        <v>0.1579122</v>
      </c>
      <c r="R6735">
        <v>-0.12766569999999999</v>
      </c>
      <c r="S6735">
        <v>3.0719910000000001</v>
      </c>
      <c r="T6735">
        <v>-0.13055600000000001</v>
      </c>
      <c r="U6735">
        <v>-9.8022460000000006E-2</v>
      </c>
      <c r="V6735">
        <v>-6.7803660000000002E-2</v>
      </c>
      <c r="W6735">
        <v>0.17081189999999999</v>
      </c>
      <c r="X6735">
        <v>0.98296790000000001</v>
      </c>
      <c r="Y6735">
        <v>-0.1633116</v>
      </c>
      <c r="Z6735">
        <v>1.010758E-2</v>
      </c>
      <c r="AA6735">
        <v>0.98652269999999997</v>
      </c>
      <c r="AB6735">
        <v>29</v>
      </c>
      <c r="AC6735">
        <v>26.373799999999999</v>
      </c>
      <c r="AD6735">
        <v>-1.126643528657</v>
      </c>
      <c r="AE6735">
        <v>-0.82148000000000099</v>
      </c>
      <c r="AF6735">
        <v>-4.3283198108874696</v>
      </c>
      <c r="AG6735">
        <v>-1.126643528657</v>
      </c>
      <c r="AH6735">
        <v>25.980494175168499</v>
      </c>
      <c r="AI6735">
        <v>92.449357877716395</v>
      </c>
      <c r="AJ6735">
        <v>99.458540198407903</v>
      </c>
      <c r="AK6735">
        <v>26.3626583563181</v>
      </c>
      <c r="AL6735">
        <v>80.164971689975104</v>
      </c>
      <c r="AM6735">
        <v>93.945927069715694</v>
      </c>
      <c r="AN6735">
        <v>0.99999996696070703</v>
      </c>
    </row>
    <row r="6736" spans="1:40" x14ac:dyDescent="0.25">
      <c r="A6736" t="str">
        <f>"20190303170423591"</f>
        <v>20190303170423591</v>
      </c>
      <c r="B6736" t="str">
        <f>"1551603863582364"</f>
        <v>1551603863582364</v>
      </c>
      <c r="C6736" t="s">
        <v>40</v>
      </c>
      <c r="D6736">
        <v>4.8354470000000003</v>
      </c>
      <c r="E6736">
        <v>0.54080299999999903</v>
      </c>
      <c r="F6736" t="s">
        <v>43</v>
      </c>
      <c r="G6736">
        <v>-279.22989999999999</v>
      </c>
      <c r="H6736">
        <v>1.020654</v>
      </c>
      <c r="I6736">
        <v>-63.269390000000001</v>
      </c>
      <c r="J6736">
        <v>-279.98349999999999</v>
      </c>
      <c r="K6736">
        <v>1.126641</v>
      </c>
      <c r="L6736">
        <v>-63.120730000000002</v>
      </c>
      <c r="M6736">
        <v>0.98130309999999998</v>
      </c>
      <c r="N6736">
        <v>-1.394221E-2</v>
      </c>
      <c r="O6736">
        <v>-0.1919633</v>
      </c>
      <c r="P6736">
        <v>0.97924259999999996</v>
      </c>
      <c r="Q6736">
        <v>0.15916759999999999</v>
      </c>
      <c r="R6736">
        <v>-0.125498</v>
      </c>
      <c r="S6736">
        <v>3.0453800000000002</v>
      </c>
      <c r="T6736">
        <v>-0.36329400000000001</v>
      </c>
      <c r="U6736">
        <v>-0.59082029999999996</v>
      </c>
      <c r="V6736">
        <v>-6.6962850000000004E-2</v>
      </c>
      <c r="W6736">
        <v>0.17207320000000001</v>
      </c>
      <c r="X6736">
        <v>0.98280559999999995</v>
      </c>
      <c r="Y6736">
        <v>-5.53014E-4</v>
      </c>
      <c r="Z6736">
        <v>1.97688E-2</v>
      </c>
      <c r="AA6736">
        <v>0.99980440000000004</v>
      </c>
      <c r="AB6736">
        <v>29</v>
      </c>
      <c r="AC6736">
        <v>0.75360000000000504</v>
      </c>
      <c r="AD6736">
        <v>-0.105986999999999</v>
      </c>
      <c r="AE6736">
        <v>-0.14865999999999899</v>
      </c>
      <c r="AF6736">
        <v>1.19435491733549E-3</v>
      </c>
      <c r="AG6736">
        <v>-0.105986999999999</v>
      </c>
      <c r="AH6736">
        <v>0.75377088097650202</v>
      </c>
      <c r="AI6736">
        <v>98.003822233617697</v>
      </c>
      <c r="AJ6736">
        <v>89.909214536589602</v>
      </c>
      <c r="AK6736">
        <v>0.76118671274580196</v>
      </c>
      <c r="AL6736">
        <v>80.091619071233396</v>
      </c>
      <c r="AM6736">
        <v>93.897788290402005</v>
      </c>
      <c r="AN6736">
        <v>1.00000002841486</v>
      </c>
    </row>
    <row r="6737" spans="1:40" x14ac:dyDescent="0.25">
      <c r="A6737" t="str">
        <f>"20190303170423602"</f>
        <v>20190303170423602</v>
      </c>
      <c r="B6737" t="str">
        <f>"1551603863592124"</f>
        <v>1551603863592124</v>
      </c>
      <c r="C6737" t="s">
        <v>40</v>
      </c>
      <c r="D6737">
        <v>4.8491070000000001</v>
      </c>
      <c r="E6737">
        <v>0.54798249999999904</v>
      </c>
      <c r="F6737" t="s">
        <v>43</v>
      </c>
      <c r="G6737">
        <v>-279.23090000000002</v>
      </c>
      <c r="H6737">
        <v>1.025657</v>
      </c>
      <c r="I6737">
        <v>-63.285980000000002</v>
      </c>
      <c r="J6737">
        <v>-279.84070000000003</v>
      </c>
      <c r="K6737">
        <v>1.1266430000000001</v>
      </c>
      <c r="L6737">
        <v>-63.145359999999997</v>
      </c>
      <c r="M6737">
        <v>0.98191399999999995</v>
      </c>
      <c r="N6737">
        <v>-1.3938610000000001E-2</v>
      </c>
      <c r="O6737">
        <v>-0.1888145</v>
      </c>
      <c r="P6737">
        <v>0.97935439999999996</v>
      </c>
      <c r="Q6737">
        <v>0.16027620000000001</v>
      </c>
      <c r="R6737">
        <v>-0.1231946</v>
      </c>
      <c r="S6737">
        <v>3.0443730000000002</v>
      </c>
      <c r="T6737">
        <v>-0.40859649999999997</v>
      </c>
      <c r="U6737">
        <v>-0.66833500000000001</v>
      </c>
      <c r="V6737">
        <v>-6.6095370000000001E-2</v>
      </c>
      <c r="W6737">
        <v>0.1731887</v>
      </c>
      <c r="X6737">
        <v>0.98266830000000005</v>
      </c>
      <c r="Y6737">
        <v>2.7138410000000002E-2</v>
      </c>
      <c r="Z6737">
        <v>2.009524E-2</v>
      </c>
      <c r="AA6737">
        <v>0.99942969999999998</v>
      </c>
      <c r="AB6737">
        <v>29</v>
      </c>
      <c r="AC6737">
        <v>0.609800000000007</v>
      </c>
      <c r="AD6737">
        <v>-0.10098600000000001</v>
      </c>
      <c r="AE6737">
        <v>-0.14062000000000499</v>
      </c>
      <c r="AF6737">
        <v>2.2357688226313201E-2</v>
      </c>
      <c r="AG6737">
        <v>-0.10098600000000001</v>
      </c>
      <c r="AH6737">
        <v>0.60951104706744996</v>
      </c>
      <c r="AI6737">
        <v>99.401301932306396</v>
      </c>
      <c r="AJ6737">
        <v>87.899255302436003</v>
      </c>
      <c r="AK6737">
        <v>0.61822467996359098</v>
      </c>
      <c r="AL6737">
        <v>80.0267307100697</v>
      </c>
      <c r="AM6737">
        <v>93.8479824272206</v>
      </c>
      <c r="AN6737">
        <v>0.99999995578400702</v>
      </c>
    </row>
    <row r="6738" spans="1:40" x14ac:dyDescent="0.25">
      <c r="A6738" t="str">
        <f>"20190303170423612"</f>
        <v>20190303170423612</v>
      </c>
      <c r="B6738" t="str">
        <f>"1551603863601884"</f>
        <v>1551603863601884</v>
      </c>
      <c r="C6738" t="s">
        <v>40</v>
      </c>
      <c r="D6738">
        <v>4.840058</v>
      </c>
      <c r="E6738">
        <v>0.55304580000000003</v>
      </c>
      <c r="F6738" t="s">
        <v>43</v>
      </c>
      <c r="G6738">
        <v>-278.99180000000001</v>
      </c>
      <c r="H6738">
        <v>1.001627</v>
      </c>
      <c r="I6738">
        <v>-63.344940000000001</v>
      </c>
      <c r="J6738">
        <v>-279.69909999999999</v>
      </c>
      <c r="K6738">
        <v>1.126638</v>
      </c>
      <c r="L6738">
        <v>-63.169460000000001</v>
      </c>
      <c r="M6738">
        <v>0.9825102</v>
      </c>
      <c r="N6738">
        <v>-1.393518E-2</v>
      </c>
      <c r="O6738">
        <v>-0.18568760000000001</v>
      </c>
      <c r="P6738">
        <v>0.97957459999999996</v>
      </c>
      <c r="Q6738">
        <v>0.16081819999999999</v>
      </c>
      <c r="R6738">
        <v>-0.1207138</v>
      </c>
      <c r="S6738">
        <v>3.0466609999999998</v>
      </c>
      <c r="T6738">
        <v>-0.44888640000000002</v>
      </c>
      <c r="U6738">
        <v>-0.71578980000000003</v>
      </c>
      <c r="V6738">
        <v>-6.5441379999999993E-2</v>
      </c>
      <c r="W6738">
        <v>0.1737358</v>
      </c>
      <c r="X6738">
        <v>0.98261549999999998</v>
      </c>
      <c r="Y6738">
        <v>4.4973470000000002E-2</v>
      </c>
      <c r="Z6738">
        <v>2.0453909999999999E-2</v>
      </c>
      <c r="AA6738">
        <v>0.99877879999999997</v>
      </c>
      <c r="AB6738">
        <v>29</v>
      </c>
      <c r="AC6738">
        <v>0.70729999999997495</v>
      </c>
      <c r="AD6738">
        <v>-0.12501099999999901</v>
      </c>
      <c r="AE6738">
        <v>-0.17548</v>
      </c>
      <c r="AF6738">
        <v>3.9903778844458997E-2</v>
      </c>
      <c r="AG6738">
        <v>-0.12501099999999901</v>
      </c>
      <c r="AH6738">
        <v>0.70678577972720802</v>
      </c>
      <c r="AI6738">
        <v>100.014688476917</v>
      </c>
      <c r="AJ6738">
        <v>86.768619870823798</v>
      </c>
      <c r="AK6738">
        <v>0.71886452138888102</v>
      </c>
      <c r="AL6738">
        <v>79.994901734666797</v>
      </c>
      <c r="AM6738">
        <v>93.810224844629204</v>
      </c>
      <c r="AN6738">
        <v>0.99999996162909599</v>
      </c>
    </row>
    <row r="6739" spans="1:40" x14ac:dyDescent="0.25">
      <c r="A6739" t="str">
        <f>"20190303170423624"</f>
        <v>20190303170423624</v>
      </c>
      <c r="B6739" t="str">
        <f>"1551603863612620"</f>
        <v>1551603863612620</v>
      </c>
      <c r="C6739" t="s">
        <v>40</v>
      </c>
      <c r="D6739">
        <v>4.8248800000000003</v>
      </c>
      <c r="E6739">
        <v>0.55689630000000001</v>
      </c>
      <c r="F6739" t="s">
        <v>43</v>
      </c>
      <c r="G6739">
        <v>-278.98570000000001</v>
      </c>
      <c r="H6739">
        <v>1.0136480000000001</v>
      </c>
      <c r="I6739">
        <v>-63.344290000000001</v>
      </c>
      <c r="J6739">
        <v>-279.55939999999998</v>
      </c>
      <c r="K6739">
        <v>1.1266339999999999</v>
      </c>
      <c r="L6739">
        <v>-63.192540000000001</v>
      </c>
      <c r="M6739">
        <v>0.98308799999999996</v>
      </c>
      <c r="N6739">
        <v>-1.393207E-2</v>
      </c>
      <c r="O6739">
        <v>-0.1826035</v>
      </c>
      <c r="P6739">
        <v>0.97993249999999998</v>
      </c>
      <c r="Q6739">
        <v>0.16042310000000001</v>
      </c>
      <c r="R6739">
        <v>-0.11830839999999899</v>
      </c>
      <c r="S6739">
        <v>3.0498660000000002</v>
      </c>
      <c r="T6739">
        <v>-0.48332730000000002</v>
      </c>
      <c r="U6739">
        <v>-0.74679569999999995</v>
      </c>
      <c r="V6739">
        <v>-6.4772540000000003E-2</v>
      </c>
      <c r="W6739">
        <v>0.173348799999999</v>
      </c>
      <c r="X6739">
        <v>0.98272820000000005</v>
      </c>
      <c r="Y6739">
        <v>5.7470519999999997E-2</v>
      </c>
      <c r="Z6739">
        <v>2.0685039999999998E-2</v>
      </c>
      <c r="AA6739">
        <v>0.99813289999999999</v>
      </c>
      <c r="AB6739">
        <v>29</v>
      </c>
      <c r="AC6739">
        <v>0.57369999999997301</v>
      </c>
      <c r="AD6739">
        <v>-0.112986</v>
      </c>
      <c r="AE6739">
        <v>-0.151749999999999</v>
      </c>
      <c r="AF6739">
        <v>4.2874093225497102E-2</v>
      </c>
      <c r="AG6739">
        <v>-0.112986</v>
      </c>
      <c r="AH6739">
        <v>0.57106391460440298</v>
      </c>
      <c r="AI6739">
        <v>101.16091360452501</v>
      </c>
      <c r="AJ6739">
        <v>85.706426903518903</v>
      </c>
      <c r="AK6739">
        <v>0.58371056066274296</v>
      </c>
      <c r="AL6739">
        <v>80.017417241650506</v>
      </c>
      <c r="AM6739">
        <v>93.770964357570193</v>
      </c>
      <c r="AN6739">
        <v>1.00000000173736</v>
      </c>
    </row>
    <row r="6740" spans="1:40" x14ac:dyDescent="0.25">
      <c r="A6740" t="str">
        <f>"20190303170423636"</f>
        <v>20190303170423636</v>
      </c>
      <c r="B6740" t="str">
        <f>"1551603863622380"</f>
        <v>1551603863622380</v>
      </c>
      <c r="C6740" t="s">
        <v>40</v>
      </c>
      <c r="D6740">
        <v>4.7806709999999999</v>
      </c>
      <c r="E6740">
        <v>0.55931229999999998</v>
      </c>
      <c r="F6740" t="s">
        <v>43</v>
      </c>
      <c r="G6740">
        <v>-278.74529999999999</v>
      </c>
      <c r="H6740">
        <v>0.98995259999999996</v>
      </c>
      <c r="I6740">
        <v>-63.397820000000003</v>
      </c>
      <c r="J6740">
        <v>-279.41329999999999</v>
      </c>
      <c r="K6740">
        <v>1.126627</v>
      </c>
      <c r="L6740">
        <v>-63.21649</v>
      </c>
      <c r="M6740">
        <v>0.98368270000000002</v>
      </c>
      <c r="N6740">
        <v>-1.3928909999999999E-2</v>
      </c>
      <c r="O6740">
        <v>-0.17937330000000001</v>
      </c>
      <c r="P6740">
        <v>0.98026749999999996</v>
      </c>
      <c r="Q6740">
        <v>0.1601456</v>
      </c>
      <c r="R6740">
        <v>-0.11588610000000001</v>
      </c>
      <c r="S6740">
        <v>3.05246</v>
      </c>
      <c r="T6740">
        <v>-0.51247229999999999</v>
      </c>
      <c r="U6740">
        <v>-0.76962280000000005</v>
      </c>
      <c r="V6740">
        <v>-6.3973349999999998E-2</v>
      </c>
      <c r="W6740">
        <v>0.17308019999999999</v>
      </c>
      <c r="X6740">
        <v>0.98282789999999998</v>
      </c>
      <c r="Y6740">
        <v>6.7551139999999996E-2</v>
      </c>
      <c r="Z6740">
        <v>2.067509E-2</v>
      </c>
      <c r="AA6740">
        <v>0.99750159999999999</v>
      </c>
      <c r="AB6740">
        <v>29</v>
      </c>
      <c r="AC6740">
        <v>0.66800000000000603</v>
      </c>
      <c r="AD6740">
        <v>-0.1366744</v>
      </c>
      <c r="AE6740">
        <v>-0.181329999999995</v>
      </c>
      <c r="AF6740">
        <v>5.6358130046819298E-2</v>
      </c>
      <c r="AG6740">
        <v>-0.1366744</v>
      </c>
      <c r="AH6740">
        <v>0.66381111029876605</v>
      </c>
      <c r="AI6740">
        <v>101.593672964424</v>
      </c>
      <c r="AJ6740">
        <v>85.147177036839395</v>
      </c>
      <c r="AK6740">
        <v>0.68007449635596195</v>
      </c>
      <c r="AL6740">
        <v>80.033043200598698</v>
      </c>
      <c r="AM6740">
        <v>93.724191678775298</v>
      </c>
      <c r="AN6740">
        <v>1.0000000130803299</v>
      </c>
    </row>
    <row r="6741" spans="1:40" x14ac:dyDescent="0.25">
      <c r="A6741" t="str">
        <f>"20190303170423646"</f>
        <v>20190303170423646</v>
      </c>
      <c r="B6741" t="str">
        <f>"1551603863641900"</f>
        <v>1551603863641900</v>
      </c>
      <c r="C6741" t="s">
        <v>40</v>
      </c>
      <c r="D6741">
        <v>4.7768879999999996</v>
      </c>
      <c r="E6741">
        <v>0.56270679999999995</v>
      </c>
      <c r="F6741" t="s">
        <v>43</v>
      </c>
      <c r="G6741">
        <v>-278.50349999999997</v>
      </c>
      <c r="H6741">
        <v>0.96810110000000005</v>
      </c>
      <c r="I6741">
        <v>-63.449159999999999</v>
      </c>
      <c r="J6741">
        <v>-279.26900000000001</v>
      </c>
      <c r="K6741">
        <v>1.126619</v>
      </c>
      <c r="L6741">
        <v>-63.239379999999997</v>
      </c>
      <c r="M6741">
        <v>0.9842592</v>
      </c>
      <c r="N6741">
        <v>-1.3925939999999999E-2</v>
      </c>
      <c r="O6741">
        <v>-0.1761819</v>
      </c>
      <c r="P6741">
        <v>0.9806108</v>
      </c>
      <c r="Q6741">
        <v>0.1597565</v>
      </c>
      <c r="R6741">
        <v>-0.1134927</v>
      </c>
      <c r="S6741">
        <v>3.0550540000000002</v>
      </c>
      <c r="T6741">
        <v>-0.53251769999999998</v>
      </c>
      <c r="U6741">
        <v>-0.78100590000000003</v>
      </c>
      <c r="V6741">
        <v>-6.3186530000000005E-2</v>
      </c>
      <c r="W6741">
        <v>0.1727003</v>
      </c>
      <c r="X6741">
        <v>0.98294559999999997</v>
      </c>
      <c r="Y6741">
        <v>7.4034150000000007E-2</v>
      </c>
      <c r="Z6741">
        <v>2.0470809999999999E-2</v>
      </c>
      <c r="AA6741">
        <v>0.99704559999999998</v>
      </c>
      <c r="AB6741">
        <v>29</v>
      </c>
      <c r="AC6741">
        <v>0.76550000000003104</v>
      </c>
      <c r="AD6741">
        <v>-0.15851789999999999</v>
      </c>
      <c r="AE6741">
        <v>-0.209779999999994</v>
      </c>
      <c r="AF6741">
        <v>6.8870634011018006E-2</v>
      </c>
      <c r="AG6741">
        <v>-0.15851789999999999</v>
      </c>
      <c r="AH6741">
        <v>0.76016664492673303</v>
      </c>
      <c r="AI6741">
        <v>101.73240032063499</v>
      </c>
      <c r="AJ6741">
        <v>84.823170714740598</v>
      </c>
      <c r="AK6741">
        <v>0.77956681362706504</v>
      </c>
      <c r="AL6741">
        <v>80.055142447738206</v>
      </c>
      <c r="AM6741">
        <v>93.678074440525293</v>
      </c>
      <c r="AN6741">
        <v>0.99999999187644495</v>
      </c>
    </row>
    <row r="6742" spans="1:40" x14ac:dyDescent="0.25">
      <c r="A6742" t="str">
        <f>"20190303170423659"</f>
        <v>20190303170423659</v>
      </c>
      <c r="B6742" t="str">
        <f>"1551603863652635"</f>
        <v>1551603863652635</v>
      </c>
      <c r="C6742" t="s">
        <v>40</v>
      </c>
      <c r="D6742">
        <v>4.7772199999999998</v>
      </c>
      <c r="E6742">
        <v>0.5637799</v>
      </c>
      <c r="F6742" t="s">
        <v>43</v>
      </c>
      <c r="G6742">
        <v>-278.49400000000003</v>
      </c>
      <c r="H6742">
        <v>0.98468599999999995</v>
      </c>
      <c r="I6742">
        <v>-63.442329999999998</v>
      </c>
      <c r="J6742">
        <v>-279.11770000000001</v>
      </c>
      <c r="K6742">
        <v>1.1266130000000001</v>
      </c>
      <c r="L6742">
        <v>-63.263060000000003</v>
      </c>
      <c r="M6742">
        <v>0.98485299999999998</v>
      </c>
      <c r="N6742">
        <v>-1.39228999999999E-2</v>
      </c>
      <c r="O6742">
        <v>-0.17283219999999999</v>
      </c>
      <c r="P6742">
        <v>0.9808943</v>
      </c>
      <c r="Q6742">
        <v>0.15934329999999999</v>
      </c>
      <c r="R6742">
        <v>-0.111609</v>
      </c>
      <c r="S6742">
        <v>3.0579529999999999</v>
      </c>
      <c r="T6742">
        <v>-0.56021980000000005</v>
      </c>
      <c r="U6742">
        <v>-0.80047609999999902</v>
      </c>
      <c r="V6742">
        <v>-6.1731250000000001E-2</v>
      </c>
      <c r="W6742">
        <v>0.17230529999999999</v>
      </c>
      <c r="X6742">
        <v>0.98310739999999996</v>
      </c>
      <c r="Y6742">
        <v>8.3074289999999995E-2</v>
      </c>
      <c r="Z6742">
        <v>2.021763E-2</v>
      </c>
      <c r="AA6742">
        <v>0.99633819999999995</v>
      </c>
      <c r="AB6742">
        <v>29</v>
      </c>
      <c r="AC6742">
        <v>0.62369999999998504</v>
      </c>
      <c r="AD6742">
        <v>-0.141926999999999</v>
      </c>
      <c r="AE6742">
        <v>-0.17927000000000901</v>
      </c>
      <c r="AF6742">
        <v>6.5626851455658997E-2</v>
      </c>
      <c r="AG6742">
        <v>-0.141926999999999</v>
      </c>
      <c r="AH6742">
        <v>0.61584289123810998</v>
      </c>
      <c r="AI6742">
        <v>102.907168148864</v>
      </c>
      <c r="AJ6742">
        <v>83.917272498906897</v>
      </c>
      <c r="AK6742">
        <v>0.63538383961940503</v>
      </c>
      <c r="AL6742">
        <v>80.078118917159998</v>
      </c>
      <c r="AM6742">
        <v>93.592997607025097</v>
      </c>
      <c r="AN6742">
        <v>1.0000000117847001</v>
      </c>
    </row>
    <row r="6743" spans="1:40" x14ac:dyDescent="0.25">
      <c r="A6743" t="str">
        <f>"20190303170423669"</f>
        <v>20190303170423669</v>
      </c>
      <c r="B6743" t="str">
        <f>"1551603863662397"</f>
        <v>1551603863662397</v>
      </c>
      <c r="C6743" t="s">
        <v>40</v>
      </c>
      <c r="D6743">
        <v>4.7636750000000001</v>
      </c>
      <c r="E6743">
        <v>0.56461749999999999</v>
      </c>
      <c r="F6743" t="s">
        <v>43</v>
      </c>
      <c r="G6743">
        <v>-278.25080000000003</v>
      </c>
      <c r="H6743">
        <v>0.96504730000000005</v>
      </c>
      <c r="I6743">
        <v>-63.490859999999998</v>
      </c>
      <c r="J6743">
        <v>-278.98660000000001</v>
      </c>
      <c r="K6743">
        <v>1.1266080000000001</v>
      </c>
      <c r="L6743">
        <v>-63.283050000000003</v>
      </c>
      <c r="M6743">
        <v>0.98535790000000001</v>
      </c>
      <c r="N6743">
        <v>-1.392032E-2</v>
      </c>
      <c r="O6743">
        <v>-0.1699301</v>
      </c>
      <c r="P6743">
        <v>0.98102619999999896</v>
      </c>
      <c r="Q6743">
        <v>0.15959200000000001</v>
      </c>
      <c r="R6743">
        <v>-0.11008279999999999</v>
      </c>
      <c r="S6743">
        <v>3.059631</v>
      </c>
      <c r="T6743">
        <v>-0.57025360000000003</v>
      </c>
      <c r="U6743">
        <v>-0.80383300000000002</v>
      </c>
      <c r="V6743">
        <v>-6.03548E-2</v>
      </c>
      <c r="W6743">
        <v>0.17256969999999999</v>
      </c>
      <c r="X6743">
        <v>0.98314650000000003</v>
      </c>
      <c r="Y6743">
        <v>8.6834010000000003E-2</v>
      </c>
      <c r="Z6743">
        <v>1.976723E-2</v>
      </c>
      <c r="AA6743">
        <v>0.99602659999999998</v>
      </c>
      <c r="AB6743">
        <v>29</v>
      </c>
      <c r="AC6743">
        <v>0.73579999999998302</v>
      </c>
      <c r="AD6743">
        <v>-0.1615607</v>
      </c>
      <c r="AE6743">
        <v>-0.207809999999994</v>
      </c>
      <c r="AF6743">
        <v>7.6332137064750505E-2</v>
      </c>
      <c r="AG6743">
        <v>-0.1615607</v>
      </c>
      <c r="AH6743">
        <v>0.72791177358176096</v>
      </c>
      <c r="AI6743">
        <v>102.44788436091901</v>
      </c>
      <c r="AJ6743">
        <v>84.013583516731899</v>
      </c>
      <c r="AK6743">
        <v>0.74952251804219105</v>
      </c>
      <c r="AL6743">
        <v>80.062739638222297</v>
      </c>
      <c r="AM6743">
        <v>93.512946447479607</v>
      </c>
      <c r="AN6743">
        <v>1.00000002185168</v>
      </c>
    </row>
    <row r="6744" spans="1:40" x14ac:dyDescent="0.25">
      <c r="A6744" t="str">
        <f>"20190303170423680"</f>
        <v>20190303170423680</v>
      </c>
      <c r="B6744" t="str">
        <f>"1551603863672156"</f>
        <v>1551603863672156</v>
      </c>
      <c r="C6744" t="s">
        <v>40</v>
      </c>
      <c r="D6744">
        <v>4.7813730000000003</v>
      </c>
      <c r="E6744">
        <v>0.56533059999999902</v>
      </c>
      <c r="F6744" t="s">
        <v>43</v>
      </c>
      <c r="G6744">
        <v>-278.23860000000002</v>
      </c>
      <c r="H6744">
        <v>0.98583270000000001</v>
      </c>
      <c r="I6744">
        <v>-63.480139999999999</v>
      </c>
      <c r="J6744">
        <v>-278.8467</v>
      </c>
      <c r="K6744">
        <v>1.1266050000000001</v>
      </c>
      <c r="L6744">
        <v>-63.304020000000001</v>
      </c>
      <c r="M6744">
        <v>0.98588739999999997</v>
      </c>
      <c r="N6744">
        <v>-1.391765E-2</v>
      </c>
      <c r="O6744">
        <v>-0.1668306</v>
      </c>
      <c r="P6744">
        <v>0.98107670000000002</v>
      </c>
      <c r="Q6744">
        <v>0.1604225</v>
      </c>
      <c r="R6744">
        <v>-0.10841190000000001</v>
      </c>
      <c r="S6744">
        <v>3.0612490000000001</v>
      </c>
      <c r="T6744">
        <v>-0.57617779999999996</v>
      </c>
      <c r="U6744">
        <v>-0.80648799999999998</v>
      </c>
      <c r="V6744">
        <v>-5.8919319999999997E-2</v>
      </c>
      <c r="W6744">
        <v>0.1734146</v>
      </c>
      <c r="X6744">
        <v>0.98308490000000004</v>
      </c>
      <c r="Y6744">
        <v>9.0558360000000004E-2</v>
      </c>
      <c r="Z6744">
        <v>1.9104070000000001E-2</v>
      </c>
      <c r="AA6744">
        <v>0.99570789999999998</v>
      </c>
      <c r="AB6744">
        <v>29</v>
      </c>
      <c r="AC6744">
        <v>0.60809999999997899</v>
      </c>
      <c r="AD6744">
        <v>-0.14077229999999899</v>
      </c>
      <c r="AE6744">
        <v>-0.17612000000001099</v>
      </c>
      <c r="AF6744">
        <v>6.8790593705504E-2</v>
      </c>
      <c r="AG6744">
        <v>-0.14077229999999899</v>
      </c>
      <c r="AH6744">
        <v>0.599328760170043</v>
      </c>
      <c r="AI6744">
        <v>103.134992089447</v>
      </c>
      <c r="AJ6744">
        <v>83.452278554472002</v>
      </c>
      <c r="AK6744">
        <v>0.61947070067647803</v>
      </c>
      <c r="AL6744">
        <v>80.013589338248394</v>
      </c>
      <c r="AM6744">
        <v>93.429810682766302</v>
      </c>
      <c r="AN6744">
        <v>1.00000001518521</v>
      </c>
    </row>
    <row r="6745" spans="1:40" x14ac:dyDescent="0.25">
      <c r="A6745" t="str">
        <f>"20190303170423690"</f>
        <v>20190303170423690</v>
      </c>
      <c r="B6745" t="str">
        <f>"1551603863681916"</f>
        <v>1551603863681916</v>
      </c>
      <c r="C6745" t="s">
        <v>40</v>
      </c>
      <c r="D6745">
        <v>4.7543129999999998</v>
      </c>
      <c r="E6745">
        <v>0.5657953</v>
      </c>
      <c r="F6745" t="s">
        <v>43</v>
      </c>
      <c r="G6745">
        <v>-277.99579999999997</v>
      </c>
      <c r="H6745">
        <v>0.9654874</v>
      </c>
      <c r="I6745">
        <v>-63.528390000000002</v>
      </c>
      <c r="J6745">
        <v>-278.70979999999997</v>
      </c>
      <c r="K6745">
        <v>1.1266069999999999</v>
      </c>
      <c r="L6745">
        <v>-63.324129999999997</v>
      </c>
      <c r="M6745">
        <v>0.98639600000000005</v>
      </c>
      <c r="N6745">
        <v>-1.391513E-2</v>
      </c>
      <c r="O6745">
        <v>-0.1637969</v>
      </c>
      <c r="P6745">
        <v>0.98107460000000002</v>
      </c>
      <c r="Q6745">
        <v>0.1617159</v>
      </c>
      <c r="R6745">
        <v>-0.1064924</v>
      </c>
      <c r="S6745">
        <v>3.063599</v>
      </c>
      <c r="T6745">
        <v>-0.5804416</v>
      </c>
      <c r="U6745">
        <v>-0.80703740000000002</v>
      </c>
      <c r="V6745">
        <v>-5.7794770000000002E-2</v>
      </c>
      <c r="W6745">
        <v>0.17471809999999999</v>
      </c>
      <c r="X6745">
        <v>0.98292080000000004</v>
      </c>
      <c r="Y6745">
        <v>9.3519199999999997E-2</v>
      </c>
      <c r="Z6745">
        <v>1.8447350000000001E-2</v>
      </c>
      <c r="AA6745">
        <v>0.99544659999999996</v>
      </c>
      <c r="AB6745">
        <v>29</v>
      </c>
      <c r="AC6745">
        <v>0.71399999999999797</v>
      </c>
      <c r="AD6745">
        <v>-0.161119599999999</v>
      </c>
      <c r="AE6745">
        <v>-0.204259999999997</v>
      </c>
      <c r="AF6745">
        <v>8.0738158504606999E-2</v>
      </c>
      <c r="AG6745">
        <v>-0.161119599999999</v>
      </c>
      <c r="AH6745">
        <v>0.70464805837536204</v>
      </c>
      <c r="AI6745">
        <v>102.79846638296</v>
      </c>
      <c r="AJ6745">
        <v>83.463588251247401</v>
      </c>
      <c r="AK6745">
        <v>0.72732871654778197</v>
      </c>
      <c r="AL6745">
        <v>79.937746048176706</v>
      </c>
      <c r="AM6745">
        <v>93.365060649945207</v>
      </c>
      <c r="AN6745">
        <v>0.99999997448980105</v>
      </c>
    </row>
    <row r="6746" spans="1:40" x14ac:dyDescent="0.25">
      <c r="A6746" t="str">
        <f>"20190303170423703"</f>
        <v>20190303170423703</v>
      </c>
      <c r="B6746" t="str">
        <f>"1551603863692653"</f>
        <v>1551603863692653</v>
      </c>
      <c r="C6746" t="s">
        <v>40</v>
      </c>
      <c r="D6746">
        <v>4.7795019999999999</v>
      </c>
      <c r="E6746">
        <v>0.56652400000000003</v>
      </c>
      <c r="F6746" t="s">
        <v>43</v>
      </c>
      <c r="G6746">
        <v>-277.98219999999998</v>
      </c>
      <c r="H6746">
        <v>0.98867260000000001</v>
      </c>
      <c r="I6746">
        <v>-63.515279999999997</v>
      </c>
      <c r="J6746">
        <v>-278.56509999999997</v>
      </c>
      <c r="K6746">
        <v>1.1266080000000001</v>
      </c>
      <c r="L6746">
        <v>-63.344819999999999</v>
      </c>
      <c r="M6746">
        <v>0.98692340000000001</v>
      </c>
      <c r="N6746">
        <v>-1.3912580000000001E-2</v>
      </c>
      <c r="O6746">
        <v>-0.1605885</v>
      </c>
      <c r="P6746">
        <v>0.98115520000000001</v>
      </c>
      <c r="Q6746">
        <v>0.1629813</v>
      </c>
      <c r="R6746">
        <v>-0.103787</v>
      </c>
      <c r="S6746">
        <v>3.066376</v>
      </c>
      <c r="T6746">
        <v>-0.5817215</v>
      </c>
      <c r="U6746">
        <v>-0.80465699999999996</v>
      </c>
      <c r="V6746">
        <v>-5.7287159999999997E-2</v>
      </c>
      <c r="W6746">
        <v>0.17598559999999999</v>
      </c>
      <c r="X6746">
        <v>0.98272440000000005</v>
      </c>
      <c r="Y6746">
        <v>9.5730720000000005E-2</v>
      </c>
      <c r="Z6746">
        <v>1.7720989999999999E-2</v>
      </c>
      <c r="AA6746">
        <v>0.99524950000000001</v>
      </c>
      <c r="AB6746">
        <v>29</v>
      </c>
      <c r="AC6746">
        <v>0.58289999999999498</v>
      </c>
      <c r="AD6746">
        <v>-0.13793540000000001</v>
      </c>
      <c r="AE6746">
        <v>-0.170460000000005</v>
      </c>
      <c r="AF6746">
        <v>7.0970129338725693E-2</v>
      </c>
      <c r="AG6746">
        <v>-0.13793540000000001</v>
      </c>
      <c r="AH6746">
        <v>0.57314405421856396</v>
      </c>
      <c r="AI6746">
        <v>103.432893118905</v>
      </c>
      <c r="AJ6746">
        <v>82.941224210124702</v>
      </c>
      <c r="AK6746">
        <v>0.59376513935865904</v>
      </c>
      <c r="AL6746">
        <v>79.863980950679903</v>
      </c>
      <c r="AM6746">
        <v>93.336237552799801</v>
      </c>
      <c r="AN6746">
        <v>0.99999999823179198</v>
      </c>
    </row>
    <row r="6747" spans="1:40" x14ac:dyDescent="0.25">
      <c r="A6747" t="str">
        <f>"20190303170423713"</f>
        <v>20190303170423713</v>
      </c>
      <c r="B6747" t="str">
        <f>"1551603863702412"</f>
        <v>1551603863702412</v>
      </c>
      <c r="C6747" t="s">
        <v>40</v>
      </c>
      <c r="D6747">
        <v>4.7557039999999997</v>
      </c>
      <c r="E6747">
        <v>0.56707299999999905</v>
      </c>
      <c r="F6747" t="s">
        <v>43</v>
      </c>
      <c r="G6747">
        <v>-277.73829999999998</v>
      </c>
      <c r="H6747">
        <v>0.96992250000000002</v>
      </c>
      <c r="I6747">
        <v>-63.560760000000002</v>
      </c>
      <c r="J6747">
        <v>-278.4264</v>
      </c>
      <c r="K6747">
        <v>1.126611</v>
      </c>
      <c r="L6747">
        <v>-63.364379999999997</v>
      </c>
      <c r="M6747">
        <v>0.98741880000000004</v>
      </c>
      <c r="N6747">
        <v>-1.3910219999999999E-2</v>
      </c>
      <c r="O6747">
        <v>-0.1575145</v>
      </c>
      <c r="P6747">
        <v>0.98122240000000005</v>
      </c>
      <c r="Q6747">
        <v>0.16407149999999901</v>
      </c>
      <c r="R6747">
        <v>-0.1014057</v>
      </c>
      <c r="S6747">
        <v>3.0694889999999999</v>
      </c>
      <c r="T6747">
        <v>-0.581839</v>
      </c>
      <c r="U6747">
        <v>-0.80139159999999998</v>
      </c>
      <c r="V6747">
        <v>-5.6593110000000002E-2</v>
      </c>
      <c r="W6747">
        <v>0.17708009999999999</v>
      </c>
      <c r="X6747">
        <v>0.982568</v>
      </c>
      <c r="Y6747">
        <v>9.7516539999999999E-2</v>
      </c>
      <c r="Z6747">
        <v>1.7016590000000002E-2</v>
      </c>
      <c r="AA6747">
        <v>0.99508839999999998</v>
      </c>
      <c r="AB6747">
        <v>29</v>
      </c>
      <c r="AC6747">
        <v>0.68810000000001903</v>
      </c>
      <c r="AD6747">
        <v>-0.15668850000000001</v>
      </c>
      <c r="AE6747">
        <v>-0.19637999999999001</v>
      </c>
      <c r="AF6747">
        <v>8.16184542895452E-2</v>
      </c>
      <c r="AG6747">
        <v>-0.15668850000000001</v>
      </c>
      <c r="AH6747">
        <v>0.67793886404956405</v>
      </c>
      <c r="AI6747">
        <v>102.92380166664</v>
      </c>
      <c r="AJ6747">
        <v>83.135083288556103</v>
      </c>
      <c r="AK6747">
        <v>0.70058115982495395</v>
      </c>
      <c r="AL6747">
        <v>79.800270225265194</v>
      </c>
      <c r="AM6747">
        <v>93.296431220572899</v>
      </c>
      <c r="AN6747">
        <v>1.00000000826974</v>
      </c>
    </row>
    <row r="6748" spans="1:40" x14ac:dyDescent="0.25">
      <c r="A6748" t="str">
        <f>"20190303170423724"</f>
        <v>20190303170423724</v>
      </c>
      <c r="B6748" t="str">
        <f>"1551603863712173"</f>
        <v>1551603863712173</v>
      </c>
      <c r="C6748" t="s">
        <v>40</v>
      </c>
      <c r="D6748">
        <v>4.765091</v>
      </c>
      <c r="E6748">
        <v>0.56744439999999996</v>
      </c>
      <c r="F6748" t="s">
        <v>43</v>
      </c>
      <c r="G6748">
        <v>-277.72430000000003</v>
      </c>
      <c r="H6748">
        <v>0.99367559999999999</v>
      </c>
      <c r="I6748">
        <v>-63.546779999999998</v>
      </c>
      <c r="J6748">
        <v>-278.2826</v>
      </c>
      <c r="K6748">
        <v>1.1266130000000001</v>
      </c>
      <c r="L6748">
        <v>-63.38391</v>
      </c>
      <c r="M6748">
        <v>0.98792219999999997</v>
      </c>
      <c r="N6748">
        <v>-1.390797E-2</v>
      </c>
      <c r="O6748">
        <v>-0.1543254</v>
      </c>
      <c r="P6748">
        <v>0.98136230000000002</v>
      </c>
      <c r="Q6748">
        <v>0.16485030000000001</v>
      </c>
      <c r="R6748">
        <v>-9.8753649999999998E-2</v>
      </c>
      <c r="S6748">
        <v>3.0722659999999999</v>
      </c>
      <c r="T6748">
        <v>-0.58194729999999995</v>
      </c>
      <c r="U6748">
        <v>-0.79791259999999997</v>
      </c>
      <c r="V6748">
        <v>-5.6061710000000001E-2</v>
      </c>
      <c r="W6748">
        <v>0.17786289999999999</v>
      </c>
      <c r="X6748">
        <v>0.98245700000000002</v>
      </c>
      <c r="Y6748">
        <v>9.9376980000000004E-2</v>
      </c>
      <c r="Z6748">
        <v>1.6287869999999999E-2</v>
      </c>
      <c r="AA6748">
        <v>0.99491660000000004</v>
      </c>
      <c r="AB6748">
        <v>29</v>
      </c>
      <c r="AC6748">
        <v>0.55829999999997404</v>
      </c>
      <c r="AD6748">
        <v>-0.13293739999999901</v>
      </c>
      <c r="AE6748">
        <v>-0.16287000000000501</v>
      </c>
      <c r="AF6748">
        <v>7.1038471950294904E-2</v>
      </c>
      <c r="AG6748">
        <v>-0.13293739999999901</v>
      </c>
      <c r="AH6748">
        <v>0.54810891386597504</v>
      </c>
      <c r="AI6748">
        <v>103.52425543365</v>
      </c>
      <c r="AJ6748">
        <v>82.615260798090702</v>
      </c>
      <c r="AK6748">
        <v>0.56845597742932696</v>
      </c>
      <c r="AL6748">
        <v>79.754694944850598</v>
      </c>
      <c r="AM6748">
        <v>93.265913726733402</v>
      </c>
      <c r="AN6748">
        <v>0.99999994168676498</v>
      </c>
    </row>
    <row r="6749" spans="1:40" x14ac:dyDescent="0.25">
      <c r="A6749" t="str">
        <f>"20190303170423737"</f>
        <v>20190303170423737</v>
      </c>
      <c r="B6749" t="str">
        <f>"1551603863732668"</f>
        <v>1551603863732668</v>
      </c>
      <c r="C6749" t="s">
        <v>40</v>
      </c>
      <c r="D6749">
        <v>4.7543939999999996</v>
      </c>
      <c r="E6749">
        <v>0.56814010000000004</v>
      </c>
      <c r="F6749" t="s">
        <v>43</v>
      </c>
      <c r="G6749">
        <v>-277.48050000000001</v>
      </c>
      <c r="H6749">
        <v>0.97479899999999997</v>
      </c>
      <c r="I6749">
        <v>-63.590940000000003</v>
      </c>
      <c r="J6749">
        <v>-278.13189999999997</v>
      </c>
      <c r="K6749">
        <v>1.126617</v>
      </c>
      <c r="L6749">
        <v>-63.404139999999998</v>
      </c>
      <c r="M6749">
        <v>0.98843840000000005</v>
      </c>
      <c r="N6749">
        <v>-1.390567E-2</v>
      </c>
      <c r="O6749">
        <v>-0.15098410000000001</v>
      </c>
      <c r="P6749">
        <v>0.98157059999999996</v>
      </c>
      <c r="Q6749">
        <v>0.16532849999999999</v>
      </c>
      <c r="R6749">
        <v>-9.5842049999999998E-2</v>
      </c>
      <c r="S6749">
        <v>3.0750730000000002</v>
      </c>
      <c r="T6749">
        <v>-0.58253239999999995</v>
      </c>
      <c r="U6749">
        <v>-0.79260249999999999</v>
      </c>
      <c r="V6749">
        <v>-5.5645E-2</v>
      </c>
      <c r="W6749">
        <v>0.17834330000000001</v>
      </c>
      <c r="X6749">
        <v>0.98239370000000004</v>
      </c>
      <c r="Y6749">
        <v>0.10083839999999999</v>
      </c>
      <c r="Z6749">
        <v>1.558991E-2</v>
      </c>
      <c r="AA6749">
        <v>0.99478069999999996</v>
      </c>
      <c r="AB6749">
        <v>29</v>
      </c>
      <c r="AC6749">
        <v>0.65139999999996601</v>
      </c>
      <c r="AD6749">
        <v>-0.15181800000000001</v>
      </c>
      <c r="AE6749">
        <v>-0.186799999999998</v>
      </c>
      <c r="AF6749">
        <v>8.2173204404983699E-2</v>
      </c>
      <c r="AG6749">
        <v>-0.15181800000000001</v>
      </c>
      <c r="AH6749">
        <v>0.64001436089303299</v>
      </c>
      <c r="AI6749">
        <v>103.23969795520701</v>
      </c>
      <c r="AJ6749">
        <v>82.6836645645445</v>
      </c>
      <c r="AK6749">
        <v>0.66288726250811303</v>
      </c>
      <c r="AL6749">
        <v>79.726723850960795</v>
      </c>
      <c r="AM6749">
        <v>93.241898394078703</v>
      </c>
      <c r="AN6749">
        <v>1.00000004023978</v>
      </c>
    </row>
    <row r="6750" spans="1:40" x14ac:dyDescent="0.25">
      <c r="A6750" t="str">
        <f>"20190303170423748"</f>
        <v>20190303170423748</v>
      </c>
      <c r="B6750" t="str">
        <f>"1551603863742429"</f>
        <v>1551603863742429</v>
      </c>
      <c r="C6750" t="s">
        <v>40</v>
      </c>
      <c r="D6750">
        <v>4.7573499999999997</v>
      </c>
      <c r="E6750">
        <v>0.56847130000000001</v>
      </c>
      <c r="F6750" t="s">
        <v>43</v>
      </c>
      <c r="G6750">
        <v>-277.23630000000003</v>
      </c>
      <c r="H6750">
        <v>0.95595319999999995</v>
      </c>
      <c r="I6750">
        <v>-63.633769999999998</v>
      </c>
      <c r="J6750">
        <v>-277.98829999999998</v>
      </c>
      <c r="K6750">
        <v>1.1266130000000001</v>
      </c>
      <c r="L6750">
        <v>-63.422730000000001</v>
      </c>
      <c r="M6750">
        <v>0.98891980000000002</v>
      </c>
      <c r="N6750">
        <v>-1.3903469999999999E-2</v>
      </c>
      <c r="O6750">
        <v>-0.14779870000000001</v>
      </c>
      <c r="P6750">
        <v>0.98188730000000002</v>
      </c>
      <c r="Q6750">
        <v>0.16526150000000001</v>
      </c>
      <c r="R6750">
        <v>-9.2662350000000004E-2</v>
      </c>
      <c r="S6750">
        <v>3.078125</v>
      </c>
      <c r="T6750">
        <v>-0.58675869999999997</v>
      </c>
      <c r="U6750">
        <v>-0.78872679999999995</v>
      </c>
      <c r="V6750">
        <v>-5.5660689999999999E-2</v>
      </c>
      <c r="W6750">
        <v>0.17827479999999901</v>
      </c>
      <c r="X6750">
        <v>0.98240519999999998</v>
      </c>
      <c r="Y6750">
        <v>0.10256170000000001</v>
      </c>
      <c r="Z6750">
        <v>1.499699E-2</v>
      </c>
      <c r="AA6750">
        <v>0.99461359999999999</v>
      </c>
      <c r="AB6750">
        <v>29</v>
      </c>
      <c r="AC6750">
        <v>0.75199999999995204</v>
      </c>
      <c r="AD6750">
        <v>-0.170659799999999</v>
      </c>
      <c r="AE6750">
        <v>-0.21103999999999601</v>
      </c>
      <c r="AF6750">
        <v>9.3120647740204898E-2</v>
      </c>
      <c r="AG6750">
        <v>-0.170659799999999</v>
      </c>
      <c r="AH6750">
        <v>0.73962273152368296</v>
      </c>
      <c r="AI6750">
        <v>102.894615066398</v>
      </c>
      <c r="AJ6750">
        <v>82.824052776052099</v>
      </c>
      <c r="AK6750">
        <v>0.76474702180403997</v>
      </c>
      <c r="AL6750">
        <v>79.7307120818257</v>
      </c>
      <c r="AM6750">
        <v>93.242772669522793</v>
      </c>
      <c r="AN6750">
        <v>0.99999999685667795</v>
      </c>
    </row>
    <row r="6751" spans="1:40" x14ac:dyDescent="0.25">
      <c r="A6751" t="str">
        <f>"20190303170423760"</f>
        <v>20190303170423760</v>
      </c>
      <c r="B6751" t="str">
        <f>"1551603863752188"</f>
        <v>1551603863752188</v>
      </c>
      <c r="C6751" t="s">
        <v>40</v>
      </c>
      <c r="D6751">
        <v>4.7422779999999998</v>
      </c>
      <c r="E6751">
        <v>0.5687603</v>
      </c>
      <c r="F6751" t="s">
        <v>43</v>
      </c>
      <c r="G6751">
        <v>-277.22219999999999</v>
      </c>
      <c r="H6751">
        <v>0.98015509999999995</v>
      </c>
      <c r="I6751">
        <v>-63.6171199999999</v>
      </c>
      <c r="J6751">
        <v>-277.83350000000002</v>
      </c>
      <c r="K6751">
        <v>1.1266080000000001</v>
      </c>
      <c r="L6751">
        <v>-63.44238</v>
      </c>
      <c r="M6751">
        <v>0.98942730000000001</v>
      </c>
      <c r="N6751">
        <v>-1.3900620000000001E-2</v>
      </c>
      <c r="O6751">
        <v>-0.14436160000000001</v>
      </c>
      <c r="P6751">
        <v>0.98217719999999997</v>
      </c>
      <c r="Q6751">
        <v>0.16527520000000001</v>
      </c>
      <c r="R6751">
        <v>-8.9510870000000006E-2</v>
      </c>
      <c r="S6751">
        <v>3.0807500000000001</v>
      </c>
      <c r="T6751">
        <v>-0.58915519999999999</v>
      </c>
      <c r="U6751">
        <v>-0.78115840000000003</v>
      </c>
      <c r="V6751">
        <v>-5.5396800000000003E-2</v>
      </c>
      <c r="W6751">
        <v>0.17828939999999999</v>
      </c>
      <c r="X6751">
        <v>0.98241750000000005</v>
      </c>
      <c r="Y6751">
        <v>0.1034583</v>
      </c>
      <c r="Z6751">
        <v>1.4387469999999999E-2</v>
      </c>
      <c r="AA6751">
        <v>0.99452969999999896</v>
      </c>
      <c r="AB6751">
        <v>29</v>
      </c>
      <c r="AC6751">
        <v>0.61130000000002804</v>
      </c>
      <c r="AD6751">
        <v>-0.1464529</v>
      </c>
      <c r="AE6751">
        <v>-0.17473999999998499</v>
      </c>
      <c r="AF6751">
        <v>8.0387039443799005E-2</v>
      </c>
      <c r="AG6751">
        <v>-0.1464529</v>
      </c>
      <c r="AH6751">
        <v>0.59837323047231294</v>
      </c>
      <c r="AI6751">
        <v>103.63502183428299</v>
      </c>
      <c r="AJ6751">
        <v>82.348545267409406</v>
      </c>
      <c r="AK6751">
        <v>0.62125763655251798</v>
      </c>
      <c r="AL6751">
        <v>79.729862287340396</v>
      </c>
      <c r="AM6751">
        <v>93.227390784209703</v>
      </c>
      <c r="AN6751">
        <v>1.0000000299544201</v>
      </c>
    </row>
    <row r="6752" spans="1:40" x14ac:dyDescent="0.25">
      <c r="A6752" t="str">
        <f>"20190303170423770"</f>
        <v>20190303170423770</v>
      </c>
      <c r="B6752" t="str">
        <f>"1551603863761948"</f>
        <v>1551603863761948</v>
      </c>
      <c r="C6752" t="s">
        <v>40</v>
      </c>
      <c r="D6752">
        <v>4.8273489999999999</v>
      </c>
      <c r="E6752">
        <v>0.5687603</v>
      </c>
      <c r="F6752" t="s">
        <v>43</v>
      </c>
      <c r="G6752">
        <v>-276.97730000000001</v>
      </c>
      <c r="H6752">
        <v>0.96238849999999998</v>
      </c>
      <c r="I6752">
        <v>-63.657179999999997</v>
      </c>
      <c r="J6752">
        <v>-277.69229999999999</v>
      </c>
      <c r="K6752">
        <v>1.1266080000000001</v>
      </c>
      <c r="L6752">
        <v>-63.45984</v>
      </c>
      <c r="M6752">
        <v>0.98987919999999996</v>
      </c>
      <c r="N6752">
        <v>-1.3897400000000001E-2</v>
      </c>
      <c r="O6752">
        <v>-0.14123060000000001</v>
      </c>
      <c r="P6752">
        <v>0.982433</v>
      </c>
      <c r="Q6752">
        <v>0.16513520000000001</v>
      </c>
      <c r="R6752">
        <v>-8.6924570000000007E-2</v>
      </c>
      <c r="S6752">
        <v>3.0835569999999999</v>
      </c>
      <c r="T6752">
        <v>-0.59170389999999995</v>
      </c>
      <c r="U6752">
        <v>-0.77322389999999996</v>
      </c>
      <c r="V6752">
        <v>-5.4873489999999997E-2</v>
      </c>
      <c r="W6752">
        <v>0.17815420000000001</v>
      </c>
      <c r="X6752">
        <v>0.98247130000000005</v>
      </c>
      <c r="Y6752">
        <v>0.1039327</v>
      </c>
      <c r="Z6752">
        <v>1.387064E-2</v>
      </c>
      <c r="AA6752">
        <v>0.99448760000000003</v>
      </c>
      <c r="AB6752">
        <v>29</v>
      </c>
      <c r="AC6752">
        <v>0.71499999999997499</v>
      </c>
      <c r="AD6752">
        <v>-0.16421949999999999</v>
      </c>
      <c r="AE6752">
        <v>-0.19734000000000401</v>
      </c>
      <c r="AF6752">
        <v>8.9962240144992406E-2</v>
      </c>
      <c r="AG6752">
        <v>-0.16421949999999999</v>
      </c>
      <c r="AH6752">
        <v>0.70132755216528297</v>
      </c>
      <c r="AI6752">
        <v>103.075264175317</v>
      </c>
      <c r="AJ6752">
        <v>82.690346214667898</v>
      </c>
      <c r="AK6752">
        <v>0.72589364528028699</v>
      </c>
      <c r="AL6752">
        <v>79.737733748138396</v>
      </c>
      <c r="AM6752">
        <v>93.196791835280607</v>
      </c>
      <c r="AN6752">
        <v>0.99999993710305302</v>
      </c>
    </row>
    <row r="6753" spans="1:40" x14ac:dyDescent="0.25">
      <c r="A6753" t="str">
        <f>"20190303170423781"</f>
        <v>20190303170423781</v>
      </c>
      <c r="B6753" t="str">
        <f>"1551603863772685"</f>
        <v>1551603863772685</v>
      </c>
      <c r="C6753" t="s">
        <v>40</v>
      </c>
      <c r="D6753">
        <v>4.7773180000000002</v>
      </c>
      <c r="E6753">
        <v>0.58472440000000003</v>
      </c>
      <c r="F6753" t="s">
        <v>43</v>
      </c>
      <c r="G6753">
        <v>-276.96319999999997</v>
      </c>
      <c r="H6753">
        <v>0.98668960000000006</v>
      </c>
      <c r="I6753">
        <v>-63.640639999999998</v>
      </c>
      <c r="J6753">
        <v>-277.57159999999999</v>
      </c>
      <c r="K6753">
        <v>1.1266069999999999</v>
      </c>
      <c r="L6753">
        <v>-63.474330000000002</v>
      </c>
      <c r="M6753">
        <v>0.99025830000000004</v>
      </c>
      <c r="N6753">
        <v>-1.388958E-2</v>
      </c>
      <c r="O6753">
        <v>-0.1385487</v>
      </c>
      <c r="P6753">
        <v>0.9825547</v>
      </c>
      <c r="Q6753">
        <v>0.16533129999999999</v>
      </c>
      <c r="R6753">
        <v>-8.5156190000000007E-2</v>
      </c>
      <c r="S6753">
        <v>3.0856020000000002</v>
      </c>
      <c r="T6753">
        <v>-0.59242109999999903</v>
      </c>
      <c r="U6753">
        <v>-0.76464840000000001</v>
      </c>
      <c r="V6753">
        <v>-5.3974809999999998E-2</v>
      </c>
      <c r="W6753">
        <v>0.1783546</v>
      </c>
      <c r="X6753">
        <v>0.98248480000000005</v>
      </c>
      <c r="Y6753">
        <v>0.1038332</v>
      </c>
      <c r="Z6753">
        <v>1.3439889999999999E-2</v>
      </c>
      <c r="AA6753">
        <v>0.9945039</v>
      </c>
      <c r="AB6753">
        <v>29</v>
      </c>
      <c r="AC6753">
        <v>0.60840000000001704</v>
      </c>
      <c r="AD6753">
        <v>-0.139917399999999</v>
      </c>
      <c r="AE6753">
        <v>-0.16631000000000201</v>
      </c>
      <c r="AF6753">
        <v>7.66333235980068E-2</v>
      </c>
      <c r="AG6753">
        <v>-0.139917399999999</v>
      </c>
      <c r="AH6753">
        <v>0.59623380961533901</v>
      </c>
      <c r="AI6753">
        <v>103.102540964466</v>
      </c>
      <c r="AJ6753">
        <v>82.675985906428593</v>
      </c>
      <c r="AK6753">
        <v>0.61720685417196797</v>
      </c>
      <c r="AL6753">
        <v>79.726065574772704</v>
      </c>
      <c r="AM6753">
        <v>93.144499812727602</v>
      </c>
      <c r="AN6753">
        <v>1.0000000128433599</v>
      </c>
    </row>
    <row r="6754" spans="1:40" x14ac:dyDescent="0.25">
      <c r="A6754" t="str">
        <f>"20190303170423791"</f>
        <v>20190303170423791</v>
      </c>
      <c r="B6754" t="str">
        <f>"1551603863782445"</f>
        <v>1551603863782445</v>
      </c>
      <c r="C6754" t="s">
        <v>40</v>
      </c>
      <c r="D6754">
        <v>4.7432480000000004</v>
      </c>
      <c r="E6754">
        <v>0.58444439999999998</v>
      </c>
      <c r="F6754" t="s">
        <v>43</v>
      </c>
      <c r="G6754">
        <v>-276.72989999999999</v>
      </c>
      <c r="H6754">
        <v>0.95242740000000004</v>
      </c>
      <c r="I6754">
        <v>-63.715470000000003</v>
      </c>
      <c r="J6754">
        <v>-277.43279999999999</v>
      </c>
      <c r="K6754">
        <v>1.1266039999999999</v>
      </c>
      <c r="L6754">
        <v>-63.490659999999998</v>
      </c>
      <c r="M6754">
        <v>0.99068509999999999</v>
      </c>
      <c r="N6754">
        <v>-1.387681E-2</v>
      </c>
      <c r="O6754">
        <v>-0.13546540000000001</v>
      </c>
      <c r="P6754">
        <v>0.98263480000000003</v>
      </c>
      <c r="Q6754">
        <v>0.1659437</v>
      </c>
      <c r="R6754">
        <v>-8.3018110000000006E-2</v>
      </c>
      <c r="S6754">
        <v>3.0841059999999998</v>
      </c>
      <c r="T6754">
        <v>-0.63836190000000004</v>
      </c>
      <c r="U6754">
        <v>-0.88354489999999997</v>
      </c>
      <c r="V6754">
        <v>-5.3043559999999997E-2</v>
      </c>
      <c r="W6754">
        <v>0.17896500000000001</v>
      </c>
      <c r="X6754">
        <v>0.98242450000000003</v>
      </c>
      <c r="Y6754">
        <v>0.14194279999999901</v>
      </c>
      <c r="Z6754">
        <v>9.9121969999999993E-3</v>
      </c>
      <c r="AA6754">
        <v>0.98982519999999996</v>
      </c>
      <c r="AB6754">
        <v>29</v>
      </c>
      <c r="AC6754">
        <v>0.70289999999999897</v>
      </c>
      <c r="AD6754">
        <v>-0.17417659999999999</v>
      </c>
      <c r="AE6754">
        <v>-0.22480999999999801</v>
      </c>
      <c r="AF6754">
        <v>0.12078138926342601</v>
      </c>
      <c r="AG6754">
        <v>-0.17417659999999999</v>
      </c>
      <c r="AH6754">
        <v>0.68852212018787395</v>
      </c>
      <c r="AI6754">
        <v>103.99131336768301</v>
      </c>
      <c r="AJ6754">
        <v>80.050339271575695</v>
      </c>
      <c r="AK6754">
        <v>0.72040845495313899</v>
      </c>
      <c r="AL6754">
        <v>79.690520147443706</v>
      </c>
      <c r="AM6754">
        <v>93.090541835878199</v>
      </c>
      <c r="AN6754">
        <v>0.999999994341361</v>
      </c>
    </row>
    <row r="6755" spans="1:40" x14ac:dyDescent="0.25">
      <c r="A6755" t="str">
        <f>"20190303170423803"</f>
        <v>20190303170423803</v>
      </c>
      <c r="B6755" t="str">
        <f>"1551603863792204"</f>
        <v>1551603863792204</v>
      </c>
      <c r="C6755" t="s">
        <v>40</v>
      </c>
      <c r="D6755">
        <v>4.735697</v>
      </c>
      <c r="E6755">
        <v>0.58420799999999995</v>
      </c>
      <c r="F6755" t="s">
        <v>43</v>
      </c>
      <c r="G6755">
        <v>-276.71550000000002</v>
      </c>
      <c r="H6755">
        <v>0.978213</v>
      </c>
      <c r="I6755">
        <v>-63.6937199999999</v>
      </c>
      <c r="J6755">
        <v>-277.2878</v>
      </c>
      <c r="K6755">
        <v>1.1266020000000001</v>
      </c>
      <c r="L6755">
        <v>-63.507109999999997</v>
      </c>
      <c r="M6755">
        <v>0.99112089999999997</v>
      </c>
      <c r="N6755">
        <v>-1.3852349999999999E-2</v>
      </c>
      <c r="O6755">
        <v>-0.132241</v>
      </c>
      <c r="P6755">
        <v>0.98272150000000003</v>
      </c>
      <c r="Q6755">
        <v>0.16655110000000001</v>
      </c>
      <c r="R6755">
        <v>-8.0744659999999996E-2</v>
      </c>
      <c r="S6755">
        <v>3.0870669999999998</v>
      </c>
      <c r="T6755">
        <v>-0.63869730000000002</v>
      </c>
      <c r="U6755">
        <v>-0.87380979999999997</v>
      </c>
      <c r="V6755">
        <v>-5.2110249999999997E-2</v>
      </c>
      <c r="W6755">
        <v>0.17955929999999901</v>
      </c>
      <c r="X6755">
        <v>0.98236599999999996</v>
      </c>
      <c r="Y6755">
        <v>0.14197089999999901</v>
      </c>
      <c r="Z6755">
        <v>9.3223300000000002E-3</v>
      </c>
      <c r="AA6755">
        <v>0.98982689999999995</v>
      </c>
      <c r="AB6755">
        <v>29</v>
      </c>
      <c r="AC6755">
        <v>0.57229999999998404</v>
      </c>
      <c r="AD6755">
        <v>-0.14838899999999999</v>
      </c>
      <c r="AE6755">
        <v>-0.186609999999994</v>
      </c>
      <c r="AF6755">
        <v>0.10302161073714899</v>
      </c>
      <c r="AG6755">
        <v>-0.14838899999999999</v>
      </c>
      <c r="AH6755">
        <v>0.558041680814093</v>
      </c>
      <c r="AI6755">
        <v>104.654233689197</v>
      </c>
      <c r="AJ6755">
        <v>79.540236742441095</v>
      </c>
      <c r="AK6755">
        <v>0.58655201399849799</v>
      </c>
      <c r="AL6755">
        <v>79.655908550233306</v>
      </c>
      <c r="AM6755">
        <v>93.036446381709595</v>
      </c>
      <c r="AN6755">
        <v>0.99999998916377597</v>
      </c>
    </row>
    <row r="6756" spans="1:40" x14ac:dyDescent="0.25">
      <c r="A6756" t="str">
        <f>"20190303170423814"</f>
        <v>20190303170423814</v>
      </c>
      <c r="B6756" t="str">
        <f>"1551603863802941"</f>
        <v>1551603863802941</v>
      </c>
      <c r="C6756" t="s">
        <v>40</v>
      </c>
      <c r="D6756">
        <v>4.7378039999999997</v>
      </c>
      <c r="E6756">
        <v>0.58429430000000004</v>
      </c>
      <c r="F6756" t="s">
        <v>43</v>
      </c>
      <c r="G6756">
        <v>-276.47160000000002</v>
      </c>
      <c r="H6756">
        <v>0.95781340000000004</v>
      </c>
      <c r="I6756">
        <v>-63.735520000000001</v>
      </c>
      <c r="J6756">
        <v>-277.14080000000001</v>
      </c>
      <c r="K6756">
        <v>1.1265969999999901</v>
      </c>
      <c r="L6756">
        <v>-63.523589999999999</v>
      </c>
      <c r="M6756">
        <v>0.9915524</v>
      </c>
      <c r="N6756">
        <v>-1.3822900000000001E-2</v>
      </c>
      <c r="O6756">
        <v>-0.12896939999999901</v>
      </c>
      <c r="P6756">
        <v>0.98286589999999996</v>
      </c>
      <c r="Q6756">
        <v>0.16694210000000001</v>
      </c>
      <c r="R6756">
        <v>-7.8135860000000001E-2</v>
      </c>
      <c r="S6756">
        <v>3.0900270000000001</v>
      </c>
      <c r="T6756">
        <v>-0.63911750000000001</v>
      </c>
      <c r="U6756">
        <v>-0.86465449999999999</v>
      </c>
      <c r="V6756">
        <v>-5.1468710000000001E-2</v>
      </c>
      <c r="W6756">
        <v>0.17992849999999999</v>
      </c>
      <c r="X6756">
        <v>0.98233230000000005</v>
      </c>
      <c r="Y6756">
        <v>0.14221210000000001</v>
      </c>
      <c r="Z6756">
        <v>8.7022750000000006E-3</v>
      </c>
      <c r="AA6756">
        <v>0.98979790000000001</v>
      </c>
      <c r="AB6756">
        <v>29</v>
      </c>
      <c r="AC6756">
        <v>0.66919999999998903</v>
      </c>
      <c r="AD6756">
        <v>-0.16878359999999901</v>
      </c>
      <c r="AE6756">
        <v>-0.21192999999998799</v>
      </c>
      <c r="AF6756">
        <v>0.117076422785773</v>
      </c>
      <c r="AG6756">
        <v>-0.16878359999999901</v>
      </c>
      <c r="AH6756">
        <v>0.65318159391181896</v>
      </c>
      <c r="AI6756">
        <v>104.270514402515</v>
      </c>
      <c r="AJ6756">
        <v>79.838196999450602</v>
      </c>
      <c r="AK6756">
        <v>0.68471964118641904</v>
      </c>
      <c r="AL6756">
        <v>79.634405052296202</v>
      </c>
      <c r="AM6756">
        <v>92.999235437835196</v>
      </c>
      <c r="AN6756">
        <v>1.0000000204223001</v>
      </c>
    </row>
    <row r="6757" spans="1:40" x14ac:dyDescent="0.25">
      <c r="A6757" t="str">
        <f>"20190303170423826"</f>
        <v>20190303170423826</v>
      </c>
      <c r="B6757" t="str">
        <f>"1551603863812700"</f>
        <v>1551603863812700</v>
      </c>
      <c r="C6757" t="s">
        <v>40</v>
      </c>
      <c r="D6757">
        <v>4.7365110000000001</v>
      </c>
      <c r="E6757">
        <v>0.58480449999999995</v>
      </c>
      <c r="F6757" t="s">
        <v>43</v>
      </c>
      <c r="G6757">
        <v>-276.45620000000002</v>
      </c>
      <c r="H6757">
        <v>0.98523470000000002</v>
      </c>
      <c r="I6757">
        <v>-63.71331</v>
      </c>
      <c r="J6757">
        <v>-276.99689999999998</v>
      </c>
      <c r="K6757">
        <v>1.1265879999999999</v>
      </c>
      <c r="L6757">
        <v>-63.538910000000001</v>
      </c>
      <c r="M6757">
        <v>0.99196410000000002</v>
      </c>
      <c r="N6757">
        <v>-1.378247E-2</v>
      </c>
      <c r="O6757">
        <v>-0.1257672</v>
      </c>
      <c r="P6757">
        <v>0.98311689999999996</v>
      </c>
      <c r="Q6757">
        <v>0.1667814</v>
      </c>
      <c r="R6757">
        <v>-7.5267719999999996E-2</v>
      </c>
      <c r="S6757">
        <v>3.0926209999999998</v>
      </c>
      <c r="T6757">
        <v>-0.63869679999999995</v>
      </c>
      <c r="U6757">
        <v>-0.85690309999999903</v>
      </c>
      <c r="V6757">
        <v>-5.1162819999999998E-2</v>
      </c>
      <c r="W6757">
        <v>0.1797329</v>
      </c>
      <c r="X6757">
        <v>0.98238409999999998</v>
      </c>
      <c r="Y6757">
        <v>0.14282590000000001</v>
      </c>
      <c r="Z6757">
        <v>8.0427699999999994E-3</v>
      </c>
      <c r="AA6757">
        <v>0.98971520000000002</v>
      </c>
      <c r="AB6757">
        <v>29</v>
      </c>
      <c r="AC6757">
        <v>0.54069999999995799</v>
      </c>
      <c r="AD6757">
        <v>-0.14135329999999899</v>
      </c>
      <c r="AE6757">
        <v>-0.174400000000005</v>
      </c>
      <c r="AF6757">
        <v>9.8884848450811802E-2</v>
      </c>
      <c r="AG6757">
        <v>-0.14135329999999899</v>
      </c>
      <c r="AH6757">
        <v>0.52579326572236595</v>
      </c>
      <c r="AI6757">
        <v>104.79972932199099</v>
      </c>
      <c r="AJ6757">
        <v>79.348913378142001</v>
      </c>
      <c r="AK6757">
        <v>0.55336925009709403</v>
      </c>
      <c r="AL6757">
        <v>79.645797986160801</v>
      </c>
      <c r="AM6757">
        <v>92.981285645236497</v>
      </c>
      <c r="AN6757">
        <v>1.00000003471278</v>
      </c>
    </row>
    <row r="6758" spans="1:40" x14ac:dyDescent="0.25">
      <c r="A6758" t="str">
        <f>"20190303170423837"</f>
        <v>20190303170423837</v>
      </c>
      <c r="B6758" t="str">
        <f>"1551603863832220"</f>
        <v>1551603863832220</v>
      </c>
      <c r="C6758" t="s">
        <v>40</v>
      </c>
      <c r="D6758">
        <v>4.7231839999999998</v>
      </c>
      <c r="E6758">
        <v>0.58464459999999996</v>
      </c>
      <c r="F6758" t="s">
        <v>43</v>
      </c>
      <c r="G6758">
        <v>-276.21260000000001</v>
      </c>
      <c r="H6758">
        <v>0.96476070000000003</v>
      </c>
      <c r="I6758">
        <v>-63.754890000000003</v>
      </c>
      <c r="J6758">
        <v>-276.8571</v>
      </c>
      <c r="K6758">
        <v>1.126579</v>
      </c>
      <c r="L6758">
        <v>-63.55359</v>
      </c>
      <c r="M6758">
        <v>0.99235419999999996</v>
      </c>
      <c r="N6758">
        <v>-1.3741160000000001E-2</v>
      </c>
      <c r="O6758">
        <v>-0.1226568</v>
      </c>
      <c r="P6758">
        <v>0.98342689999999999</v>
      </c>
      <c r="Q6758">
        <v>0.16614129999999999</v>
      </c>
      <c r="R6758">
        <v>-7.2587020000000002E-2</v>
      </c>
      <c r="S6758">
        <v>3.0945429999999998</v>
      </c>
      <c r="T6758">
        <v>-0.63864770000000004</v>
      </c>
      <c r="U6758">
        <v>-0.85220339999999895</v>
      </c>
      <c r="V6758">
        <v>-5.0764900000000002E-2</v>
      </c>
      <c r="W6758">
        <v>0.17905879999999999</v>
      </c>
      <c r="X6758">
        <v>0.98252779999999995</v>
      </c>
      <c r="Y6758">
        <v>0.1442927</v>
      </c>
      <c r="Z6758">
        <v>7.3158769999999897E-3</v>
      </c>
      <c r="AA6758">
        <v>0.98950800000000005</v>
      </c>
      <c r="AB6758">
        <v>29</v>
      </c>
      <c r="AC6758">
        <v>0.64449999999999297</v>
      </c>
      <c r="AD6758">
        <v>-0.161818299999999</v>
      </c>
      <c r="AE6758">
        <v>-0.201300000000003</v>
      </c>
      <c r="AF6758">
        <v>0.114162912664574</v>
      </c>
      <c r="AG6758">
        <v>-0.161818299999999</v>
      </c>
      <c r="AH6758">
        <v>0.62824201648358402</v>
      </c>
      <c r="AI6758">
        <v>104.22067976388099</v>
      </c>
      <c r="AJ6758">
        <v>79.700707303817097</v>
      </c>
      <c r="AK6758">
        <v>0.65871569293459897</v>
      </c>
      <c r="AL6758">
        <v>79.685057659662604</v>
      </c>
      <c r="AM6758">
        <v>92.957708095991904</v>
      </c>
      <c r="AN6758">
        <v>1.00000000335114</v>
      </c>
    </row>
    <row r="6759" spans="1:40" x14ac:dyDescent="0.25">
      <c r="A6759" t="str">
        <f>"20190303170423847"</f>
        <v>20190303170423847</v>
      </c>
      <c r="B6759" t="str">
        <f>"1551603863842957"</f>
        <v>1551603863842957</v>
      </c>
      <c r="C6759" t="s">
        <v>40</v>
      </c>
      <c r="D6759">
        <v>4.6929800000000004</v>
      </c>
      <c r="E6759">
        <v>0.584893</v>
      </c>
      <c r="F6759" t="s">
        <v>43</v>
      </c>
      <c r="G6759">
        <v>-275.96850000000001</v>
      </c>
      <c r="H6759">
        <v>0.94272449999999997</v>
      </c>
      <c r="I6759">
        <v>-63.795560000000002</v>
      </c>
      <c r="J6759">
        <v>-276.71359999999999</v>
      </c>
      <c r="K6759">
        <v>1.1265639999999999</v>
      </c>
      <c r="L6759">
        <v>-63.568019999999997</v>
      </c>
      <c r="M6759">
        <v>0.99274450000000003</v>
      </c>
      <c r="N6759">
        <v>-1.369074E-2</v>
      </c>
      <c r="O6759">
        <v>-0.119461999999999</v>
      </c>
      <c r="P6759">
        <v>0.98363610000000001</v>
      </c>
      <c r="Q6759">
        <v>0.16601340000000001</v>
      </c>
      <c r="R6759">
        <v>-7.0002110000000006E-2</v>
      </c>
      <c r="S6759">
        <v>3.0966490000000002</v>
      </c>
      <c r="T6759">
        <v>-0.64089410000000002</v>
      </c>
      <c r="U6759">
        <v>-0.84262079999999995</v>
      </c>
      <c r="V6759">
        <v>-5.0182699999999997E-2</v>
      </c>
      <c r="W6759">
        <v>0.17888899999999999</v>
      </c>
      <c r="X6759">
        <v>0.98258860000000003</v>
      </c>
      <c r="Y6759">
        <v>0.14439730000000001</v>
      </c>
      <c r="Z6759">
        <v>6.7562100000000003E-3</v>
      </c>
      <c r="AA6759">
        <v>0.98949670000000001</v>
      </c>
      <c r="AB6759">
        <v>29</v>
      </c>
      <c r="AC6759">
        <v>0.745099999999979</v>
      </c>
      <c r="AD6759">
        <v>-0.18383949999999899</v>
      </c>
      <c r="AE6759">
        <v>-0.22753999999999699</v>
      </c>
      <c r="AF6759">
        <v>0.12967027655948399</v>
      </c>
      <c r="AG6759">
        <v>-0.18383949999999899</v>
      </c>
      <c r="AH6759">
        <v>0.726494407609934</v>
      </c>
      <c r="AI6759">
        <v>103.988408706179</v>
      </c>
      <c r="AJ6759">
        <v>79.879980463174306</v>
      </c>
      <c r="AK6759">
        <v>0.76052972767129301</v>
      </c>
      <c r="AL6759">
        <v>79.694945768408701</v>
      </c>
      <c r="AM6759">
        <v>92.923666053892703</v>
      </c>
      <c r="AN6759">
        <v>0.99999996727512397</v>
      </c>
    </row>
    <row r="6760" spans="1:40" x14ac:dyDescent="0.25">
      <c r="A6760" t="str">
        <f>"20190303170423859"</f>
        <v>20190303170423859</v>
      </c>
      <c r="B6760" t="str">
        <f>"1551603863852716"</f>
        <v>1551603863852716</v>
      </c>
      <c r="C6760" t="s">
        <v>40</v>
      </c>
      <c r="D6760">
        <v>4.6962080000000004</v>
      </c>
      <c r="E6760">
        <v>0.58493949999999995</v>
      </c>
      <c r="F6760" t="s">
        <v>43</v>
      </c>
      <c r="G6760">
        <v>-275.95429999999999</v>
      </c>
      <c r="H6760">
        <v>0.96980310000000003</v>
      </c>
      <c r="I6760">
        <v>-63.773159999999997</v>
      </c>
      <c r="J6760">
        <v>-276.56650000000002</v>
      </c>
      <c r="K6760">
        <v>1.1265480000000001</v>
      </c>
      <c r="L6760">
        <v>-63.5824</v>
      </c>
      <c r="M6760">
        <v>0.99313379999999996</v>
      </c>
      <c r="N6760">
        <v>-1.3637369999999999E-2</v>
      </c>
      <c r="O6760">
        <v>-0.11618589999999999</v>
      </c>
      <c r="P6760">
        <v>0.98391470000000003</v>
      </c>
      <c r="Q6760">
        <v>0.1654407</v>
      </c>
      <c r="R6760">
        <v>-6.7390450000000005E-2</v>
      </c>
      <c r="S6760">
        <v>3.0984189999999998</v>
      </c>
      <c r="T6760">
        <v>-0.64001070000000004</v>
      </c>
      <c r="U6760">
        <v>-0.83651730000000002</v>
      </c>
      <c r="V6760">
        <v>-4.955064E-2</v>
      </c>
      <c r="W6760">
        <v>0.17827390000000001</v>
      </c>
      <c r="X6760">
        <v>0.98273250000000001</v>
      </c>
      <c r="Y6760">
        <v>0.1456257</v>
      </c>
      <c r="Z6760">
        <v>6.0139420000000004E-3</v>
      </c>
      <c r="AA6760">
        <v>0.98932149999999996</v>
      </c>
      <c r="AB6760">
        <v>29</v>
      </c>
      <c r="AC6760">
        <v>0.61220000000002905</v>
      </c>
      <c r="AD6760">
        <v>-0.15674489999999899</v>
      </c>
      <c r="AE6760">
        <v>-0.19075999999999699</v>
      </c>
      <c r="AF6760">
        <v>0.11166021919760701</v>
      </c>
      <c r="AG6760">
        <v>-0.15674489999999899</v>
      </c>
      <c r="AH6760">
        <v>0.59468481824336406</v>
      </c>
      <c r="AI6760">
        <v>104.52319625682399</v>
      </c>
      <c r="AJ6760">
        <v>79.365749899445305</v>
      </c>
      <c r="AK6760">
        <v>0.625049599053076</v>
      </c>
      <c r="AL6760">
        <v>79.730764602689007</v>
      </c>
      <c r="AM6760">
        <v>92.886482641067204</v>
      </c>
      <c r="AN6760">
        <v>1.0000000079509299</v>
      </c>
    </row>
    <row r="6761" spans="1:40" x14ac:dyDescent="0.25">
      <c r="A6761" t="str">
        <f>"20190303170423868"</f>
        <v>20190303170423868</v>
      </c>
      <c r="B6761" t="str">
        <f>"1551603863862477"</f>
        <v>1551603863862477</v>
      </c>
      <c r="C6761" t="s">
        <v>40</v>
      </c>
      <c r="D6761">
        <v>4.7175549999999999</v>
      </c>
      <c r="E6761">
        <v>0.58481519999999898</v>
      </c>
      <c r="F6761" t="s">
        <v>43</v>
      </c>
      <c r="G6761">
        <v>-275.70940000000002</v>
      </c>
      <c r="H6761">
        <v>0.94921679999999997</v>
      </c>
      <c r="I6761">
        <v>-63.811729999999997</v>
      </c>
      <c r="J6761">
        <v>-276.43869999999998</v>
      </c>
      <c r="K6761">
        <v>1.1265309999999999</v>
      </c>
      <c r="L6761">
        <v>-63.594540000000002</v>
      </c>
      <c r="M6761">
        <v>0.99346380000000001</v>
      </c>
      <c r="N6761">
        <v>-1.3588899999999999E-2</v>
      </c>
      <c r="O6761">
        <v>-0.11333749999999999</v>
      </c>
      <c r="P6761">
        <v>0.98408019999999996</v>
      </c>
      <c r="Q6761">
        <v>0.16518559999999999</v>
      </c>
      <c r="R6761">
        <v>-6.5576809999999999E-2</v>
      </c>
      <c r="S6761">
        <v>3.1001889999999999</v>
      </c>
      <c r="T6761">
        <v>-0.64166529999999999</v>
      </c>
      <c r="U6761">
        <v>-0.829070999999999</v>
      </c>
      <c r="V6761">
        <v>-4.8541479999999998E-2</v>
      </c>
      <c r="W6761">
        <v>0.1779849</v>
      </c>
      <c r="X6761">
        <v>0.98283520000000002</v>
      </c>
      <c r="Y6761">
        <v>0.14604420000000001</v>
      </c>
      <c r="Z6761">
        <v>5.4700869999999898E-3</v>
      </c>
      <c r="AA6761">
        <v>0.98926289999999995</v>
      </c>
      <c r="AB6761">
        <v>29</v>
      </c>
      <c r="AC6761">
        <v>0.72929999999996598</v>
      </c>
      <c r="AD6761">
        <v>-0.17731419999999901</v>
      </c>
      <c r="AE6761">
        <v>-0.21719000000000199</v>
      </c>
      <c r="AF6761">
        <v>0.126269645090064</v>
      </c>
      <c r="AG6761">
        <v>-0.17731419999999901</v>
      </c>
      <c r="AH6761">
        <v>0.71063314416533496</v>
      </c>
      <c r="AI6761">
        <v>103.802389779839</v>
      </c>
      <c r="AJ6761">
        <v>79.924492886328693</v>
      </c>
      <c r="AK6761">
        <v>0.74322527835046204</v>
      </c>
      <c r="AL6761">
        <v>79.747591761821695</v>
      </c>
      <c r="AM6761">
        <v>92.827497255738606</v>
      </c>
      <c r="AN6761">
        <v>0.99999996513381895</v>
      </c>
    </row>
    <row r="6762" spans="1:40" x14ac:dyDescent="0.25">
      <c r="A6762" t="str">
        <f>"20190303170423881"</f>
        <v>20190303170423881</v>
      </c>
      <c r="B6762" t="str">
        <f>"1551603863872744"</f>
        <v>1551603863872744</v>
      </c>
      <c r="C6762" t="s">
        <v>40</v>
      </c>
      <c r="D6762">
        <v>4.6888629999999996</v>
      </c>
      <c r="E6762">
        <v>0.58472789999999997</v>
      </c>
      <c r="F6762" t="s">
        <v>43</v>
      </c>
      <c r="G6762">
        <v>-275.69690000000003</v>
      </c>
      <c r="H6762">
        <v>0.97293620000000003</v>
      </c>
      <c r="I6762">
        <v>-63.791310000000003</v>
      </c>
      <c r="J6762">
        <v>-276.2978</v>
      </c>
      <c r="K6762">
        <v>1.1265149999999999</v>
      </c>
      <c r="L6762">
        <v>-63.607419999999998</v>
      </c>
      <c r="M6762">
        <v>0.99381759999999997</v>
      </c>
      <c r="N6762">
        <v>-1.353646E-2</v>
      </c>
      <c r="O6762">
        <v>-0.11019660000000001</v>
      </c>
      <c r="P6762">
        <v>0.98423870000000002</v>
      </c>
      <c r="Q6762">
        <v>0.16508010000000001</v>
      </c>
      <c r="R6762">
        <v>-6.3426199999999905E-2</v>
      </c>
      <c r="S6762">
        <v>3.1015929999999998</v>
      </c>
      <c r="T6762">
        <v>-0.64254719999999999</v>
      </c>
      <c r="U6762">
        <v>-0.82220459999999995</v>
      </c>
      <c r="V6762">
        <v>-4.7578229999999999E-2</v>
      </c>
      <c r="W6762">
        <v>0.17784079999999999</v>
      </c>
      <c r="X6762">
        <v>0.98290840000000002</v>
      </c>
      <c r="Y6762">
        <v>0.14694079999999901</v>
      </c>
      <c r="Z6762">
        <v>4.80957E-3</v>
      </c>
      <c r="AA6762">
        <v>0.98913359999999995</v>
      </c>
      <c r="AB6762">
        <v>29</v>
      </c>
      <c r="AC6762">
        <v>0.60089999999996702</v>
      </c>
      <c r="AD6762">
        <v>-0.15357879999999999</v>
      </c>
      <c r="AE6762">
        <v>-0.183889999999998</v>
      </c>
      <c r="AF6762">
        <v>0.109977881822309</v>
      </c>
      <c r="AG6762">
        <v>-0.15357879999999999</v>
      </c>
      <c r="AH6762">
        <v>0.58270190555505397</v>
      </c>
      <c r="AI6762">
        <v>104.520037117665</v>
      </c>
      <c r="AJ6762">
        <v>79.3118474456993</v>
      </c>
      <c r="AK6762">
        <v>0.61255456331420199</v>
      </c>
      <c r="AL6762">
        <v>79.755982097377995</v>
      </c>
      <c r="AM6762">
        <v>92.771271101149395</v>
      </c>
      <c r="AN6762">
        <v>0.999999980452566</v>
      </c>
    </row>
    <row r="6763" spans="1:40" x14ac:dyDescent="0.25">
      <c r="A6763" t="str">
        <f>"20190303170423892"</f>
        <v>20190303170423892</v>
      </c>
      <c r="B6763" t="str">
        <f>"1551603863882504"</f>
        <v>1551603863882504</v>
      </c>
      <c r="C6763" t="s">
        <v>40</v>
      </c>
      <c r="D6763">
        <v>4.6806979999999996</v>
      </c>
      <c r="E6763">
        <v>0.58461549999999995</v>
      </c>
      <c r="F6763" t="s">
        <v>43</v>
      </c>
      <c r="G6763">
        <v>-275.45249999999999</v>
      </c>
      <c r="H6763">
        <v>0.9513971</v>
      </c>
      <c r="I6763">
        <v>-63.829360000000001</v>
      </c>
      <c r="J6763">
        <v>-276.15109999999999</v>
      </c>
      <c r="K6763">
        <v>1.126501</v>
      </c>
      <c r="L6763">
        <v>-63.620480000000001</v>
      </c>
      <c r="M6763">
        <v>0.99417549999999999</v>
      </c>
      <c r="N6763">
        <v>-1.348281E-2</v>
      </c>
      <c r="O6763">
        <v>-0.1069264</v>
      </c>
      <c r="P6763">
        <v>0.98444390000000004</v>
      </c>
      <c r="Q6763">
        <v>0.16485079999999999</v>
      </c>
      <c r="R6763">
        <v>-6.0780769999999998E-2</v>
      </c>
      <c r="S6763">
        <v>3.1033940000000002</v>
      </c>
      <c r="T6763">
        <v>-0.64309530000000004</v>
      </c>
      <c r="U6763">
        <v>-0.81451419999999997</v>
      </c>
      <c r="V6763">
        <v>-4.6983469999999999E-2</v>
      </c>
      <c r="W6763">
        <v>0.17756720000000001</v>
      </c>
      <c r="X6763">
        <v>0.98298649999999999</v>
      </c>
      <c r="Y6763">
        <v>0.14768899999999999</v>
      </c>
      <c r="Z6763">
        <v>4.13496E-3</v>
      </c>
      <c r="AA6763">
        <v>0.98902520000000005</v>
      </c>
      <c r="AB6763">
        <v>29</v>
      </c>
      <c r="AC6763">
        <v>0.698599999999999</v>
      </c>
      <c r="AD6763">
        <v>-0.17510389999999901</v>
      </c>
      <c r="AE6763">
        <v>-0.20887999999999299</v>
      </c>
      <c r="AF6763">
        <v>0.12572610651861499</v>
      </c>
      <c r="AG6763">
        <v>-0.17510389999999901</v>
      </c>
      <c r="AH6763">
        <v>0.67784017613103098</v>
      </c>
      <c r="AI6763">
        <v>104.251423779215</v>
      </c>
      <c r="AJ6763">
        <v>79.492166888322103</v>
      </c>
      <c r="AK6763">
        <v>0.71129159564336697</v>
      </c>
      <c r="AL6763">
        <v>79.771912045351101</v>
      </c>
      <c r="AM6763">
        <v>92.736464235627395</v>
      </c>
      <c r="AN6763">
        <v>1.0000000080756599</v>
      </c>
    </row>
    <row r="6764" spans="1:40" x14ac:dyDescent="0.25">
      <c r="A6764" t="str">
        <f>"20190303170423903"</f>
        <v>20190303170423903</v>
      </c>
      <c r="B6764" t="str">
        <f>"1551603863892264"</f>
        <v>1551603863892264</v>
      </c>
      <c r="C6764" t="s">
        <v>40</v>
      </c>
      <c r="D6764">
        <v>4.6829919999999996</v>
      </c>
      <c r="E6764">
        <v>0.58453429999999995</v>
      </c>
      <c r="F6764" t="s">
        <v>43</v>
      </c>
      <c r="G6764">
        <v>-275.43799999999999</v>
      </c>
      <c r="H6764">
        <v>0.97878200000000004</v>
      </c>
      <c r="I6764">
        <v>-63.805500000000002</v>
      </c>
      <c r="J6764">
        <v>-276.0104</v>
      </c>
      <c r="K6764">
        <v>1.1264890000000001</v>
      </c>
      <c r="L6764">
        <v>-63.632350000000002</v>
      </c>
      <c r="M6764">
        <v>0.99450870000000002</v>
      </c>
      <c r="N6764">
        <v>-1.3433290000000001E-2</v>
      </c>
      <c r="O6764">
        <v>-0.10378809999999999</v>
      </c>
      <c r="P6764">
        <v>0.98463049999999996</v>
      </c>
      <c r="Q6764">
        <v>0.16477030000000001</v>
      </c>
      <c r="R6764">
        <v>-5.7910429999999999E-2</v>
      </c>
      <c r="S6764">
        <v>3.1054379999999999</v>
      </c>
      <c r="T6764">
        <v>-0.64342489999999997</v>
      </c>
      <c r="U6764">
        <v>-0.80529790000000001</v>
      </c>
      <c r="V6764">
        <v>-4.6744090000000002E-2</v>
      </c>
      <c r="W6764">
        <v>0.1774414</v>
      </c>
      <c r="X6764">
        <v>0.98302060000000002</v>
      </c>
      <c r="Y6764">
        <v>0.14784530000000001</v>
      </c>
      <c r="Z6764">
        <v>3.544485E-3</v>
      </c>
      <c r="AA6764">
        <v>0.98900410000000005</v>
      </c>
      <c r="AB6764">
        <v>29</v>
      </c>
      <c r="AC6764">
        <v>0.57240000000001601</v>
      </c>
      <c r="AD6764">
        <v>-0.14770699999999901</v>
      </c>
      <c r="AE6764">
        <v>-0.173149999999999</v>
      </c>
      <c r="AF6764">
        <v>0.106315123984198</v>
      </c>
      <c r="AG6764">
        <v>-0.14770699999999901</v>
      </c>
      <c r="AH6764">
        <v>0.55351273524019695</v>
      </c>
      <c r="AI6764">
        <v>104.68490768800299</v>
      </c>
      <c r="AJ6764">
        <v>79.127413635103395</v>
      </c>
      <c r="AK6764">
        <v>0.58266337752587405</v>
      </c>
      <c r="AL6764">
        <v>79.779235873206005</v>
      </c>
      <c r="AM6764">
        <v>92.722448726429207</v>
      </c>
      <c r="AN6764">
        <v>0.99999998020412295</v>
      </c>
    </row>
    <row r="6765" spans="1:40" x14ac:dyDescent="0.25">
      <c r="A6765" t="str">
        <f>"20190303170423913"</f>
        <v>20190303170423913</v>
      </c>
      <c r="B6765" t="str">
        <f>"1551603863902999"</f>
        <v>1551603863902999</v>
      </c>
      <c r="C6765" t="s">
        <v>40</v>
      </c>
      <c r="D6765">
        <v>4.6940730000000004</v>
      </c>
      <c r="E6765">
        <v>0.58449589999999996</v>
      </c>
      <c r="F6765" t="s">
        <v>43</v>
      </c>
      <c r="G6765">
        <v>-275.1936</v>
      </c>
      <c r="H6765">
        <v>0.95735420000000004</v>
      </c>
      <c r="I6765">
        <v>-63.841479999999997</v>
      </c>
      <c r="J6765">
        <v>-275.87040000000002</v>
      </c>
      <c r="K6765">
        <v>1.126477</v>
      </c>
      <c r="L6765">
        <v>-63.644010000000002</v>
      </c>
      <c r="M6765">
        <v>0.9948304</v>
      </c>
      <c r="N6765">
        <v>-1.338463E-2</v>
      </c>
      <c r="O6765">
        <v>-0.1006649</v>
      </c>
      <c r="P6765">
        <v>0.98481909999999895</v>
      </c>
      <c r="Q6765">
        <v>0.16473869999999999</v>
      </c>
      <c r="R6765">
        <v>-5.4705869999999997E-2</v>
      </c>
      <c r="S6765">
        <v>3.1076969999999999</v>
      </c>
      <c r="T6765">
        <v>-0.64350490000000005</v>
      </c>
      <c r="U6765">
        <v>-0.79577640000000005</v>
      </c>
      <c r="V6765">
        <v>-4.6854470000000002E-2</v>
      </c>
      <c r="W6765">
        <v>0.1773612</v>
      </c>
      <c r="X6765">
        <v>0.98302979999999995</v>
      </c>
      <c r="Y6765">
        <v>0.14788119999999999</v>
      </c>
      <c r="Z6765">
        <v>2.966387E-3</v>
      </c>
      <c r="AA6765">
        <v>0.98900069999999995</v>
      </c>
      <c r="AB6765">
        <v>29</v>
      </c>
      <c r="AC6765">
        <v>0.67680000000001395</v>
      </c>
      <c r="AD6765">
        <v>-0.16912279999999999</v>
      </c>
      <c r="AE6765">
        <v>-0.197470000000009</v>
      </c>
      <c r="AF6765">
        <v>0.121347777431628</v>
      </c>
      <c r="AG6765">
        <v>-0.16912279999999999</v>
      </c>
      <c r="AH6765">
        <v>0.65552016265913204</v>
      </c>
      <c r="AI6765">
        <v>104.234934405667</v>
      </c>
      <c r="AJ6765">
        <v>79.512312775078698</v>
      </c>
      <c r="AK6765">
        <v>0.68777502733095097</v>
      </c>
      <c r="AL6765">
        <v>79.783904868226202</v>
      </c>
      <c r="AM6765">
        <v>92.7288422233635</v>
      </c>
      <c r="AN6765">
        <v>0.99999996215622899</v>
      </c>
    </row>
    <row r="6766" spans="1:40" x14ac:dyDescent="0.25">
      <c r="A6766" t="str">
        <f>"20190303170423926"</f>
        <v>20190303170423926</v>
      </c>
      <c r="B6766" t="str">
        <f>"1551603863922520"</f>
        <v>1551603863922520</v>
      </c>
      <c r="C6766" t="s">
        <v>40</v>
      </c>
      <c r="D6766">
        <v>4.6460489999999997</v>
      </c>
      <c r="E6766">
        <v>0.58425389999999999</v>
      </c>
      <c r="F6766" t="s">
        <v>43</v>
      </c>
      <c r="G6766">
        <v>-275.17950000000002</v>
      </c>
      <c r="H6766">
        <v>0.9836068</v>
      </c>
      <c r="I6766">
        <v>-63.818539999999999</v>
      </c>
      <c r="J6766">
        <v>-275.72039999999998</v>
      </c>
      <c r="K6766">
        <v>1.126466</v>
      </c>
      <c r="L6766">
        <v>-63.655669999999901</v>
      </c>
      <c r="M6766">
        <v>0.99516400000000005</v>
      </c>
      <c r="N6766">
        <v>-1.333496E-2</v>
      </c>
      <c r="O6766">
        <v>-9.7319130000000004E-2</v>
      </c>
      <c r="P6766">
        <v>0.98499139999999996</v>
      </c>
      <c r="Q6766">
        <v>0.16499629999999901</v>
      </c>
      <c r="R6766">
        <v>-5.0679450000000001E-2</v>
      </c>
      <c r="S6766">
        <v>3.1101679999999998</v>
      </c>
      <c r="T6766">
        <v>-0.64311099999999999</v>
      </c>
      <c r="U6766">
        <v>-0.78579709999999903</v>
      </c>
      <c r="V6766">
        <v>-4.7565679999999999E-2</v>
      </c>
      <c r="W6766">
        <v>0.1775611</v>
      </c>
      <c r="X6766">
        <v>0.98295960000000004</v>
      </c>
      <c r="Y6766">
        <v>0.14798049999999999</v>
      </c>
      <c r="Z6766">
        <v>2.3361660000000002E-3</v>
      </c>
      <c r="AA6766">
        <v>0.98898750000000002</v>
      </c>
      <c r="AB6766">
        <v>29</v>
      </c>
      <c r="AC6766">
        <v>0.54089999999996496</v>
      </c>
      <c r="AD6766">
        <v>-0.14285919999999899</v>
      </c>
      <c r="AE6766">
        <v>-0.16287000000001201</v>
      </c>
      <c r="AF6766">
        <v>0.102872699111239</v>
      </c>
      <c r="AG6766">
        <v>-0.14285919999999899</v>
      </c>
      <c r="AH6766">
        <v>0.520870309815884</v>
      </c>
      <c r="AI6766">
        <v>105.060035466898</v>
      </c>
      <c r="AJ6766">
        <v>78.827777683354697</v>
      </c>
      <c r="AK6766">
        <v>0.54981580815284603</v>
      </c>
      <c r="AL6766">
        <v>79.772267178847599</v>
      </c>
      <c r="AM6766">
        <v>92.770397159166293</v>
      </c>
      <c r="AN6766">
        <v>1.00000000668961</v>
      </c>
    </row>
    <row r="6767" spans="1:40" x14ac:dyDescent="0.25">
      <c r="A6767" t="str">
        <f>"20190303170423938"</f>
        <v>20190303170423938</v>
      </c>
      <c r="B6767" t="str">
        <f>"1551603863932279"</f>
        <v>1551603863932279</v>
      </c>
      <c r="C6767" t="s">
        <v>40</v>
      </c>
      <c r="D6767">
        <v>4.6432289999999998</v>
      </c>
      <c r="E6767">
        <v>0.58416389999999996</v>
      </c>
      <c r="F6767" t="s">
        <v>43</v>
      </c>
      <c r="G6767">
        <v>-274.93419999999998</v>
      </c>
      <c r="H6767">
        <v>0.96432189999999995</v>
      </c>
      <c r="I6767">
        <v>-63.850560000000002</v>
      </c>
      <c r="J6767">
        <v>-275.57060000000001</v>
      </c>
      <c r="K6767">
        <v>1.126452</v>
      </c>
      <c r="L6767">
        <v>-63.667079999999999</v>
      </c>
      <c r="M6767">
        <v>0.99548519999999896</v>
      </c>
      <c r="N6767">
        <v>-1.3286269999999999E-2</v>
      </c>
      <c r="O6767">
        <v>-9.3982460000000004E-2</v>
      </c>
      <c r="P6767">
        <v>0.98524540000000005</v>
      </c>
      <c r="Q6767">
        <v>0.16452320000000001</v>
      </c>
      <c r="R6767">
        <v>-4.7157999999999999E-2</v>
      </c>
      <c r="S6767">
        <v>3.1137079999999999</v>
      </c>
      <c r="T6767">
        <v>-0.64275000000000004</v>
      </c>
      <c r="U6767">
        <v>-0.77078250000000004</v>
      </c>
      <c r="V6767">
        <v>-4.7783510000000001E-2</v>
      </c>
      <c r="W6767">
        <v>0.1770388</v>
      </c>
      <c r="X6767">
        <v>0.98304329999999995</v>
      </c>
      <c r="Y6767">
        <v>0.14651649999999999</v>
      </c>
      <c r="Z6767">
        <v>1.87604E-3</v>
      </c>
      <c r="AA6767">
        <v>0.98920640000000004</v>
      </c>
      <c r="AB6767">
        <v>29</v>
      </c>
      <c r="AC6767">
        <v>0.63640000000003705</v>
      </c>
      <c r="AD6767">
        <v>-0.162130099999999</v>
      </c>
      <c r="AE6767">
        <v>-0.18347999999998801</v>
      </c>
      <c r="AF6767">
        <v>0.11590662226221</v>
      </c>
      <c r="AG6767">
        <v>-0.162130099999999</v>
      </c>
      <c r="AH6767">
        <v>0.61403372606630302</v>
      </c>
      <c r="AI6767">
        <v>104.545181112279</v>
      </c>
      <c r="AJ6767">
        <v>79.310474202570205</v>
      </c>
      <c r="AK6767">
        <v>0.64556791366758004</v>
      </c>
      <c r="AL6767">
        <v>79.802675114307405</v>
      </c>
      <c r="AM6767">
        <v>92.782827876434197</v>
      </c>
      <c r="AN6767">
        <v>1.0000000651041201</v>
      </c>
    </row>
    <row r="6768" spans="1:40" x14ac:dyDescent="0.25">
      <c r="A6768" t="str">
        <f>"20190303170423949"</f>
        <v>20190303170423949</v>
      </c>
      <c r="B6768" t="str">
        <f>"1551603863942039"</f>
        <v>1551603863942039</v>
      </c>
      <c r="C6768" t="s">
        <v>40</v>
      </c>
      <c r="D6768">
        <v>4.6436979999999997</v>
      </c>
      <c r="E6768">
        <v>0.58408249999999995</v>
      </c>
      <c r="F6768" t="s">
        <v>43</v>
      </c>
      <c r="G6768">
        <v>-274.68819999999999</v>
      </c>
      <c r="H6768">
        <v>0.94408250000000005</v>
      </c>
      <c r="I6768">
        <v>-63.881880000000002</v>
      </c>
      <c r="J6768">
        <v>-275.42160000000001</v>
      </c>
      <c r="K6768">
        <v>1.1264379999999901</v>
      </c>
      <c r="L6768">
        <v>-63.677799999999998</v>
      </c>
      <c r="M6768">
        <v>0.99579229999999996</v>
      </c>
      <c r="N6768">
        <v>-1.324004E-2</v>
      </c>
      <c r="O6768">
        <v>-9.0677499999999994E-2</v>
      </c>
      <c r="P6768">
        <v>0.98553159999999895</v>
      </c>
      <c r="Q6768">
        <v>0.16389029999999999</v>
      </c>
      <c r="R6768">
        <v>-4.3213099999999997E-2</v>
      </c>
      <c r="S6768">
        <v>3.1161799999999999</v>
      </c>
      <c r="T6768">
        <v>-0.6441673</v>
      </c>
      <c r="U6768">
        <v>-0.75845340000000006</v>
      </c>
      <c r="V6768">
        <v>-4.8455169999999999E-2</v>
      </c>
      <c r="W6768">
        <v>0.1763545</v>
      </c>
      <c r="X6768">
        <v>0.98313329999999999</v>
      </c>
      <c r="Y6768">
        <v>0.14587729999999999</v>
      </c>
      <c r="Z6768">
        <v>1.34328299999999E-3</v>
      </c>
      <c r="AA6768">
        <v>0.98930180000000001</v>
      </c>
      <c r="AB6768">
        <v>29</v>
      </c>
      <c r="AC6768">
        <v>0.73340000000001704</v>
      </c>
      <c r="AD6768">
        <v>-0.182355499999999</v>
      </c>
      <c r="AE6768">
        <v>-0.20408000000000401</v>
      </c>
      <c r="AF6768">
        <v>0.129310467639002</v>
      </c>
      <c r="AG6768">
        <v>-0.182355499999999</v>
      </c>
      <c r="AH6768">
        <v>0.70824552170262201</v>
      </c>
      <c r="AI6768">
        <v>104.213408200133</v>
      </c>
      <c r="AJ6768">
        <v>79.652985269656597</v>
      </c>
      <c r="AK6768">
        <v>0.74268865915206095</v>
      </c>
      <c r="AL6768">
        <v>79.842508204542796</v>
      </c>
      <c r="AM6768">
        <v>92.821623480907704</v>
      </c>
      <c r="AN6768">
        <v>0.99999994936943304</v>
      </c>
    </row>
    <row r="6769" spans="1:40" x14ac:dyDescent="0.25">
      <c r="A6769" t="str">
        <f>"20190303170423960"</f>
        <v>20190303170423960</v>
      </c>
      <c r="B6769" t="str">
        <f>"1551603863952776"</f>
        <v>1551603863952776</v>
      </c>
      <c r="C6769" t="s">
        <v>40</v>
      </c>
      <c r="D6769">
        <v>4.6453920000000002</v>
      </c>
      <c r="E6769">
        <v>0.58393919999999999</v>
      </c>
      <c r="F6769" t="s">
        <v>43</v>
      </c>
      <c r="G6769">
        <v>-274.67419999999998</v>
      </c>
      <c r="H6769">
        <v>0.97173010000000004</v>
      </c>
      <c r="I6769">
        <v>-63.856490000000001</v>
      </c>
      <c r="J6769">
        <v>-275.28300000000002</v>
      </c>
      <c r="K6769">
        <v>1.126422</v>
      </c>
      <c r="L6769">
        <v>-63.687350000000002</v>
      </c>
      <c r="M6769">
        <v>0.99606729999999999</v>
      </c>
      <c r="N6769">
        <v>-1.3198420000000001E-2</v>
      </c>
      <c r="O6769">
        <v>-8.7612280000000001E-2</v>
      </c>
      <c r="P6769">
        <v>0.98573120000000003</v>
      </c>
      <c r="Q6769">
        <v>0.16341259999999999</v>
      </c>
      <c r="R6769">
        <v>-4.03793E-2</v>
      </c>
      <c r="S6769">
        <v>3.118744</v>
      </c>
      <c r="T6769">
        <v>-0.64563729999999997</v>
      </c>
      <c r="U6769">
        <v>-0.74545289999999997</v>
      </c>
      <c r="V6769">
        <v>-4.8251990000000002E-2</v>
      </c>
      <c r="W6769">
        <v>0.175841</v>
      </c>
      <c r="X6769">
        <v>0.98323530000000003</v>
      </c>
      <c r="Y6769">
        <v>0.14480219999999999</v>
      </c>
      <c r="Z6769">
        <v>8.9901589999999995E-4</v>
      </c>
      <c r="AA6769">
        <v>0.98946020000000001</v>
      </c>
      <c r="AB6769">
        <v>29</v>
      </c>
      <c r="AC6769">
        <v>0.60880000000002998</v>
      </c>
      <c r="AD6769">
        <v>-0.15469189999999999</v>
      </c>
      <c r="AE6769">
        <v>-0.16913999999999799</v>
      </c>
      <c r="AF6769">
        <v>0.108635220150561</v>
      </c>
      <c r="AG6769">
        <v>-0.15469189999999999</v>
      </c>
      <c r="AH6769">
        <v>0.58614671343893499</v>
      </c>
      <c r="AI6769">
        <v>104.54706104043601</v>
      </c>
      <c r="AJ6769">
        <v>79.500061607689204</v>
      </c>
      <c r="AK6769">
        <v>0.61587268542941298</v>
      </c>
      <c r="AL6769">
        <v>79.872397014864902</v>
      </c>
      <c r="AM6769">
        <v>92.809519958431807</v>
      </c>
      <c r="AN6769">
        <v>0.99999998349302499</v>
      </c>
    </row>
    <row r="6770" spans="1:40" x14ac:dyDescent="0.25">
      <c r="A6770" t="str">
        <f>"20190303170423970"</f>
        <v>20190303170423970</v>
      </c>
      <c r="B6770" t="str">
        <f>"1551603863962535"</f>
        <v>1551603863962535</v>
      </c>
      <c r="C6770" t="s">
        <v>40</v>
      </c>
      <c r="D6770">
        <v>4.6188570000000002</v>
      </c>
      <c r="E6770">
        <v>0.58383699999999905</v>
      </c>
      <c r="F6770" t="s">
        <v>43</v>
      </c>
      <c r="G6770">
        <v>-274.42939999999999</v>
      </c>
      <c r="H6770">
        <v>0.94961240000000002</v>
      </c>
      <c r="I6770">
        <v>-63.888800000000003</v>
      </c>
      <c r="J6770">
        <v>-275.14550000000003</v>
      </c>
      <c r="K6770">
        <v>1.126412</v>
      </c>
      <c r="L6770">
        <v>-63.696469999999998</v>
      </c>
      <c r="M6770">
        <v>0.99632969999999998</v>
      </c>
      <c r="N6770">
        <v>-1.31585E-2</v>
      </c>
      <c r="O6770">
        <v>-8.4581500000000004E-2</v>
      </c>
      <c r="P6770">
        <v>0.98589070000000001</v>
      </c>
      <c r="Q6770">
        <v>0.16317190000000001</v>
      </c>
      <c r="R6770">
        <v>-3.7343309999999998E-2</v>
      </c>
      <c r="S6770">
        <v>3.1204529999999999</v>
      </c>
      <c r="T6770">
        <v>-0.64666959999999996</v>
      </c>
      <c r="U6770">
        <v>-0.73556519999999903</v>
      </c>
      <c r="V6770">
        <v>-4.8282560000000002E-2</v>
      </c>
      <c r="W6770">
        <v>0.17556260000000001</v>
      </c>
      <c r="X6770">
        <v>0.98328360000000004</v>
      </c>
      <c r="Y6770">
        <v>0.14466789999999999</v>
      </c>
      <c r="Z6770">
        <v>3.5537870000000002E-4</v>
      </c>
      <c r="AA6770">
        <v>0.98948020000000003</v>
      </c>
      <c r="AB6770">
        <v>29</v>
      </c>
      <c r="AC6770">
        <v>0.71610000000003904</v>
      </c>
      <c r="AD6770">
        <v>-0.1767996</v>
      </c>
      <c r="AE6770">
        <v>-0.192330000000005</v>
      </c>
      <c r="AF6770">
        <v>0.124015755776683</v>
      </c>
      <c r="AG6770">
        <v>-0.1767996</v>
      </c>
      <c r="AH6770">
        <v>0.69054193210815296</v>
      </c>
      <c r="AI6770">
        <v>104.143966907456</v>
      </c>
      <c r="AJ6770">
        <v>79.818675022238395</v>
      </c>
      <c r="AK6770">
        <v>0.72352343862564905</v>
      </c>
      <c r="AL6770">
        <v>79.888600753558407</v>
      </c>
      <c r="AM6770">
        <v>92.811159199840404</v>
      </c>
      <c r="AN6770">
        <v>1.00000003507393</v>
      </c>
    </row>
    <row r="6771" spans="1:40" x14ac:dyDescent="0.25">
      <c r="A6771" t="str">
        <f>"20190303170423982"</f>
        <v>20190303170423982</v>
      </c>
      <c r="B6771" t="str">
        <f>"1551603863972802"</f>
        <v>1551603863972802</v>
      </c>
      <c r="C6771" t="s">
        <v>40</v>
      </c>
      <c r="D6771">
        <v>4.6331939999999996</v>
      </c>
      <c r="E6771">
        <v>0.58376790000000001</v>
      </c>
      <c r="F6771" t="s">
        <v>43</v>
      </c>
      <c r="G6771">
        <v>-274.4162</v>
      </c>
      <c r="H6771">
        <v>0.97543159999999896</v>
      </c>
      <c r="I6771">
        <v>-63.866219999999998</v>
      </c>
      <c r="J6771">
        <v>-275.00850000000003</v>
      </c>
      <c r="K6771">
        <v>1.12639</v>
      </c>
      <c r="L6771">
        <v>-63.70505</v>
      </c>
      <c r="M6771">
        <v>0.99657980000000002</v>
      </c>
      <c r="N6771">
        <v>-1.3120440000000001E-2</v>
      </c>
      <c r="O6771">
        <v>-8.1588880000000003E-2</v>
      </c>
      <c r="P6771">
        <v>0.98599210000000004</v>
      </c>
      <c r="Q6771">
        <v>0.16319800000000001</v>
      </c>
      <c r="R6771">
        <v>-3.4438610000000001E-2</v>
      </c>
      <c r="S6771">
        <v>3.1224980000000002</v>
      </c>
      <c r="T6771">
        <v>-0.64681699999999998</v>
      </c>
      <c r="U6771">
        <v>-0.72589110000000001</v>
      </c>
      <c r="V6771">
        <v>-4.8216519999999999E-2</v>
      </c>
      <c r="W6771">
        <v>0.17555470000000001</v>
      </c>
      <c r="X6771">
        <v>0.98328819999999995</v>
      </c>
      <c r="Y6771">
        <v>0.1445389</v>
      </c>
      <c r="Z6771">
        <v>-1.8681589999999999E-4</v>
      </c>
      <c r="AA6771">
        <v>0.98949909999999996</v>
      </c>
      <c r="AB6771">
        <v>29</v>
      </c>
      <c r="AC6771">
        <v>0.59230000000002203</v>
      </c>
      <c r="AD6771">
        <v>-0.15095839999999999</v>
      </c>
      <c r="AE6771">
        <v>-0.16116999999999801</v>
      </c>
      <c r="AF6771">
        <v>0.10589861611043801</v>
      </c>
      <c r="AG6771">
        <v>-0.15095839999999999</v>
      </c>
      <c r="AH6771">
        <v>0.56905927006409496</v>
      </c>
      <c r="AI6771">
        <v>104.617124127509</v>
      </c>
      <c r="AJ6771">
        <v>79.458176677131704</v>
      </c>
      <c r="AK6771">
        <v>0.59819011047537896</v>
      </c>
      <c r="AL6771">
        <v>79.889060018133705</v>
      </c>
      <c r="AM6771">
        <v>92.807307190840405</v>
      </c>
      <c r="AN6771">
        <v>0.99999998487611996</v>
      </c>
    </row>
    <row r="6772" spans="1:40" x14ac:dyDescent="0.25">
      <c r="A6772" t="str">
        <f>"20190303170423992"</f>
        <v>20190303170423992</v>
      </c>
      <c r="B6772" t="str">
        <f>"1551603863982562"</f>
        <v>1551603863982562</v>
      </c>
      <c r="C6772" t="s">
        <v>40</v>
      </c>
      <c r="D6772">
        <v>4.6376650000000001</v>
      </c>
      <c r="E6772">
        <v>0.58369499999999996</v>
      </c>
      <c r="F6772" t="s">
        <v>43</v>
      </c>
      <c r="G6772">
        <v>-274.17140000000001</v>
      </c>
      <c r="H6772">
        <v>0.95342519999999997</v>
      </c>
      <c r="I6772">
        <v>-63.89714</v>
      </c>
      <c r="J6772">
        <v>-274.87119999999999</v>
      </c>
      <c r="K6772">
        <v>1.1263650000000001</v>
      </c>
      <c r="L6772">
        <v>-63.713410000000003</v>
      </c>
      <c r="M6772">
        <v>0.99682029999999999</v>
      </c>
      <c r="N6772">
        <v>-1.3083279999999999E-2</v>
      </c>
      <c r="O6772">
        <v>-7.8602459999999999E-2</v>
      </c>
      <c r="P6772">
        <v>0.98604179999999997</v>
      </c>
      <c r="Q6772">
        <v>0.16355410000000001</v>
      </c>
      <c r="R6772">
        <v>-3.1177090000000001E-2</v>
      </c>
      <c r="S6772">
        <v>3.1244510000000001</v>
      </c>
      <c r="T6772">
        <v>-0.64569009999999905</v>
      </c>
      <c r="U6772">
        <v>-0.71685790000000005</v>
      </c>
      <c r="V6772">
        <v>-4.8511930000000002E-2</v>
      </c>
      <c r="W6772">
        <v>0.17587249999999999</v>
      </c>
      <c r="X6772">
        <v>0.98321689999999995</v>
      </c>
      <c r="Y6772">
        <v>0.1446036</v>
      </c>
      <c r="Z6772">
        <v>-7.5171519999999998E-4</v>
      </c>
      <c r="AA6772">
        <v>0.98948939999999996</v>
      </c>
      <c r="AB6772">
        <v>29</v>
      </c>
      <c r="AC6772">
        <v>0.69979999999998199</v>
      </c>
      <c r="AD6772">
        <v>-0.17293979999999901</v>
      </c>
      <c r="AE6772">
        <v>-0.183730000000004</v>
      </c>
      <c r="AF6772">
        <v>0.121224726287657</v>
      </c>
      <c r="AG6772">
        <v>-0.17293979999999901</v>
      </c>
      <c r="AH6772">
        <v>0.67359249547604205</v>
      </c>
      <c r="AI6772">
        <v>104.180838666743</v>
      </c>
      <c r="AJ6772">
        <v>79.797832528120693</v>
      </c>
      <c r="AK6772">
        <v>0.70592525004365703</v>
      </c>
      <c r="AL6772">
        <v>79.870563876956695</v>
      </c>
      <c r="AM6772">
        <v>92.824683551647695</v>
      </c>
      <c r="AN6772">
        <v>1.0000000080270901</v>
      </c>
    </row>
    <row r="6773" spans="1:40" x14ac:dyDescent="0.25">
      <c r="A6773" t="str">
        <f>"20190303170424004"</f>
        <v>20190303170424004</v>
      </c>
      <c r="B6773" t="str">
        <f>"1551603863992322"</f>
        <v>1551603863992322</v>
      </c>
      <c r="C6773" t="s">
        <v>40</v>
      </c>
      <c r="D6773">
        <v>4.6452989999999996</v>
      </c>
      <c r="E6773">
        <v>0.58367219999999997</v>
      </c>
      <c r="F6773" t="s">
        <v>43</v>
      </c>
      <c r="G6773">
        <v>-274.15800000000002</v>
      </c>
      <c r="H6773">
        <v>0.97955020000000004</v>
      </c>
      <c r="I6773">
        <v>-63.874630000000003</v>
      </c>
      <c r="J6773">
        <v>-274.7294</v>
      </c>
      <c r="K6773">
        <v>1.1263299999999901</v>
      </c>
      <c r="L6773">
        <v>-63.721440000000001</v>
      </c>
      <c r="M6773">
        <v>0.99705540000000004</v>
      </c>
      <c r="N6773">
        <v>-1.3046769999999999E-2</v>
      </c>
      <c r="O6773">
        <v>-7.5568590000000005E-2</v>
      </c>
      <c r="P6773">
        <v>0.98608479999999998</v>
      </c>
      <c r="Q6773">
        <v>0.16386729999999899</v>
      </c>
      <c r="R6773">
        <v>-2.8006059999999999E-2</v>
      </c>
      <c r="S6773">
        <v>3.1268919999999998</v>
      </c>
      <c r="T6773">
        <v>-0.64374259999999905</v>
      </c>
      <c r="U6773">
        <v>-0.70672609999999902</v>
      </c>
      <c r="V6773">
        <v>-4.866417E-2</v>
      </c>
      <c r="W6773">
        <v>0.17615129999999901</v>
      </c>
      <c r="X6773">
        <v>0.98315949999999996</v>
      </c>
      <c r="Y6773">
        <v>0.14436060000000001</v>
      </c>
      <c r="Z6773">
        <v>-1.291419E-3</v>
      </c>
      <c r="AA6773">
        <v>0.98952430000000002</v>
      </c>
      <c r="AB6773">
        <v>29</v>
      </c>
      <c r="AC6773">
        <v>0.57139999999998203</v>
      </c>
      <c r="AD6773">
        <v>-0.14677979999999899</v>
      </c>
      <c r="AE6773">
        <v>-0.15319000000000199</v>
      </c>
      <c r="AF6773">
        <v>0.10321432526265401</v>
      </c>
      <c r="AG6773">
        <v>-0.14677979999999899</v>
      </c>
      <c r="AH6773">
        <v>0.54763036168330304</v>
      </c>
      <c r="AI6773">
        <v>104.755989627926</v>
      </c>
      <c r="AJ6773">
        <v>79.326419164475695</v>
      </c>
      <c r="AK6773">
        <v>0.57627816171086199</v>
      </c>
      <c r="AL6773">
        <v>79.854336822329998</v>
      </c>
      <c r="AM6773">
        <v>92.833698702827704</v>
      </c>
      <c r="AN6773">
        <v>1.00000004218686</v>
      </c>
    </row>
    <row r="6774" spans="1:40" x14ac:dyDescent="0.25">
      <c r="A6774" t="str">
        <f>"20190303170424015"</f>
        <v>20190303170424015</v>
      </c>
      <c r="B6774" t="str">
        <f>"1551603864012818"</f>
        <v>1551603864012818</v>
      </c>
      <c r="C6774" t="s">
        <v>40</v>
      </c>
      <c r="D6774">
        <v>4.81996</v>
      </c>
      <c r="E6774">
        <v>0.560706699999999</v>
      </c>
      <c r="F6774" t="s">
        <v>43</v>
      </c>
      <c r="G6774">
        <v>-273.9128</v>
      </c>
      <c r="H6774">
        <v>0.95876430000000001</v>
      </c>
      <c r="I6774">
        <v>-63.903500000000001</v>
      </c>
      <c r="J6774">
        <v>-274.5813</v>
      </c>
      <c r="K6774">
        <v>1.126288</v>
      </c>
      <c r="L6774">
        <v>-63.729640000000003</v>
      </c>
      <c r="M6774">
        <v>0.9972898</v>
      </c>
      <c r="N6774">
        <v>-1.300957E-2</v>
      </c>
      <c r="O6774">
        <v>-7.2413989999999998E-2</v>
      </c>
      <c r="P6774">
        <v>0.9860778</v>
      </c>
      <c r="Q6774">
        <v>0.16447500000000001</v>
      </c>
      <c r="R6774">
        <v>-2.4471960000000001E-2</v>
      </c>
      <c r="S6774">
        <v>3.1292420000000001</v>
      </c>
      <c r="T6774">
        <v>-0.64222429999999997</v>
      </c>
      <c r="U6774">
        <v>-0.69720459999999995</v>
      </c>
      <c r="V6774">
        <v>-4.9058959999999999E-2</v>
      </c>
      <c r="W6774">
        <v>0.1767215</v>
      </c>
      <c r="X6774">
        <v>0.98303750000000001</v>
      </c>
      <c r="Y6774">
        <v>0.1444172</v>
      </c>
      <c r="Z6774">
        <v>-1.882194E-3</v>
      </c>
      <c r="AA6774">
        <v>0.98951509999999998</v>
      </c>
      <c r="AB6774">
        <v>29</v>
      </c>
      <c r="AC6774">
        <v>0.66849999999999399</v>
      </c>
      <c r="AD6774">
        <v>-0.167523699999999</v>
      </c>
      <c r="AE6774">
        <v>-0.17385999999999699</v>
      </c>
      <c r="AF6774">
        <v>0.118047096560689</v>
      </c>
      <c r="AG6774">
        <v>-0.167523699999999</v>
      </c>
      <c r="AH6774">
        <v>0.64159687275300403</v>
      </c>
      <c r="AI6774">
        <v>104.402020971704</v>
      </c>
      <c r="AJ6774">
        <v>79.574772624867293</v>
      </c>
      <c r="AK6774">
        <v>0.67353237056175197</v>
      </c>
      <c r="AL6774">
        <v>79.821145622866695</v>
      </c>
      <c r="AM6774">
        <v>92.857003207909997</v>
      </c>
      <c r="AN6774">
        <v>0.99999999826239006</v>
      </c>
    </row>
    <row r="6775" spans="1:40" x14ac:dyDescent="0.25">
      <c r="A6775" t="str">
        <f>"20190303170424027"</f>
        <v>20190303170424027</v>
      </c>
      <c r="B6775" t="str">
        <f>"1551603864012818"</f>
        <v>1551603864012818</v>
      </c>
      <c r="C6775" t="s">
        <v>40</v>
      </c>
      <c r="D6775">
        <v>4.81996</v>
      </c>
      <c r="E6775">
        <v>0.560706699999999</v>
      </c>
      <c r="F6775" t="s">
        <v>43</v>
      </c>
      <c r="G6775">
        <v>-273.65940000000001</v>
      </c>
      <c r="H6775">
        <v>0.95017149999999995</v>
      </c>
      <c r="I6775">
        <v>-63.87865</v>
      </c>
      <c r="J6775">
        <v>-274.43529999999998</v>
      </c>
      <c r="K6775">
        <v>1.126231</v>
      </c>
      <c r="L6775">
        <v>-63.73706</v>
      </c>
      <c r="M6775">
        <v>0.997506</v>
      </c>
      <c r="N6775">
        <v>-1.297773E-2</v>
      </c>
      <c r="O6775">
        <v>-6.9379679999999999E-2</v>
      </c>
      <c r="P6775">
        <v>0.98609539999999996</v>
      </c>
      <c r="Q6775">
        <v>0.1648396</v>
      </c>
      <c r="R6775">
        <v>-2.106119E-2</v>
      </c>
      <c r="S6775">
        <v>3.1295169999999999</v>
      </c>
      <c r="T6775">
        <v>-0.59783759999999997</v>
      </c>
      <c r="U6775">
        <v>-0.50564579999999903</v>
      </c>
      <c r="V6775">
        <v>-4.9442189999999997E-2</v>
      </c>
      <c r="W6775">
        <v>0.1770562</v>
      </c>
      <c r="X6775">
        <v>0.98295809999999995</v>
      </c>
      <c r="Y6775">
        <v>8.9986899999999995E-2</v>
      </c>
      <c r="Z6775">
        <v>3.0796840000000001E-3</v>
      </c>
      <c r="AA6775">
        <v>0.9959382</v>
      </c>
      <c r="AB6775">
        <v>29</v>
      </c>
      <c r="AC6775">
        <v>0.77589999999997805</v>
      </c>
      <c r="AD6775">
        <v>-0.17605949999999901</v>
      </c>
      <c r="AE6775">
        <v>-0.14158999999999999</v>
      </c>
      <c r="AF6775">
        <v>8.3263606186101499E-2</v>
      </c>
      <c r="AG6775">
        <v>-0.17605949999999901</v>
      </c>
      <c r="AH6775">
        <v>0.74664963692080799</v>
      </c>
      <c r="AI6775">
        <v>103.189073619962</v>
      </c>
      <c r="AJ6775">
        <v>83.636876682074003</v>
      </c>
      <c r="AK6775">
        <v>0.77163168414039296</v>
      </c>
      <c r="AL6775">
        <v>79.801661775205005</v>
      </c>
      <c r="AM6775">
        <v>92.879515811732304</v>
      </c>
      <c r="AN6775">
        <v>1.0000000272330201</v>
      </c>
    </row>
    <row r="6776" spans="1:40" x14ac:dyDescent="0.25">
      <c r="A6776" t="str">
        <f>"20190303170424038"</f>
        <v>20190303170424038</v>
      </c>
      <c r="B6776" t="str">
        <f>"1551603864032338"</f>
        <v>1551603864032338</v>
      </c>
      <c r="C6776" t="s">
        <v>40</v>
      </c>
      <c r="D6776">
        <v>4.6609669999999896</v>
      </c>
      <c r="E6776">
        <v>0.50356089999999998</v>
      </c>
      <c r="F6776" t="s">
        <v>43</v>
      </c>
      <c r="G6776">
        <v>-273.64589999999998</v>
      </c>
      <c r="H6776">
        <v>0.97588149999999996</v>
      </c>
      <c r="I6776">
        <v>-63.862000000000002</v>
      </c>
      <c r="J6776">
        <v>-274.29239999999999</v>
      </c>
      <c r="K6776">
        <v>1.126174</v>
      </c>
      <c r="L6776">
        <v>-63.744109999999999</v>
      </c>
      <c r="M6776">
        <v>0.9977068</v>
      </c>
      <c r="N6776">
        <v>-1.2948650000000001E-2</v>
      </c>
      <c r="O6776">
        <v>-6.6434549999999995E-2</v>
      </c>
      <c r="P6776">
        <v>0.98609380000000002</v>
      </c>
      <c r="Q6776">
        <v>0.16523779999999999</v>
      </c>
      <c r="R6776">
        <v>-1.776639E-2</v>
      </c>
      <c r="S6776">
        <v>3.1314090000000001</v>
      </c>
      <c r="T6776">
        <v>-0.59642240000000002</v>
      </c>
      <c r="U6776">
        <v>-0.49542239999999999</v>
      </c>
      <c r="V6776">
        <v>-4.9799240000000002E-2</v>
      </c>
      <c r="W6776">
        <v>0.1774279</v>
      </c>
      <c r="X6776">
        <v>0.982873</v>
      </c>
      <c r="Y6776">
        <v>8.9626940000000002E-2</v>
      </c>
      <c r="Z6776">
        <v>2.5948849999999999E-3</v>
      </c>
      <c r="AA6776">
        <v>0.99597199999999997</v>
      </c>
      <c r="AB6776">
        <v>29</v>
      </c>
      <c r="AC6776">
        <v>0.64650000000000296</v>
      </c>
      <c r="AD6776">
        <v>-0.150292499999999</v>
      </c>
      <c r="AE6776">
        <v>-0.117889999999995</v>
      </c>
      <c r="AF6776">
        <v>7.0964290159461096E-2</v>
      </c>
      <c r="AG6776">
        <v>-0.150292499999999</v>
      </c>
      <c r="AH6776">
        <v>0.62045226004437903</v>
      </c>
      <c r="AI6776">
        <v>103.53156758073401</v>
      </c>
      <c r="AJ6776">
        <v>83.475142825344605</v>
      </c>
      <c r="AK6776">
        <v>0.64232762125590104</v>
      </c>
      <c r="AL6776">
        <v>79.780021825709696</v>
      </c>
      <c r="AM6776">
        <v>92.900525731952797</v>
      </c>
      <c r="AN6776">
        <v>0.99999997906599303</v>
      </c>
    </row>
    <row r="6777" spans="1:40" x14ac:dyDescent="0.25">
      <c r="A6777" t="str">
        <f>"20190303170424048"</f>
        <v>20190303170424048</v>
      </c>
      <c r="B6777" t="str">
        <f>"1551603864042098"</f>
        <v>1551603864042098</v>
      </c>
      <c r="C6777" t="s">
        <v>40</v>
      </c>
      <c r="D6777">
        <v>4.7972229999999998</v>
      </c>
      <c r="E6777">
        <v>0.49570510000000001</v>
      </c>
      <c r="F6777" t="s">
        <v>42</v>
      </c>
      <c r="G6777">
        <v>-263.36219999999997</v>
      </c>
      <c r="H6777" s="1">
        <v>-1.382066E-6</v>
      </c>
      <c r="I6777">
        <v>-63.895470000000003</v>
      </c>
      <c r="J6777">
        <v>-274.14929999999998</v>
      </c>
      <c r="K6777">
        <v>1.126107</v>
      </c>
      <c r="L6777">
        <v>-63.7506699999999</v>
      </c>
      <c r="M6777">
        <v>0.99789550000000005</v>
      </c>
      <c r="N6777">
        <v>-1.2924120000000001E-2</v>
      </c>
      <c r="O6777">
        <v>-6.3543219999999997E-2</v>
      </c>
      <c r="P6777">
        <v>0.98610489999999995</v>
      </c>
      <c r="Q6777">
        <v>0.16546839999999999</v>
      </c>
      <c r="R6777">
        <v>-1.474867E-2</v>
      </c>
      <c r="S6777">
        <v>3.0949399999999998</v>
      </c>
      <c r="T6777">
        <v>-0.31888179999999999</v>
      </c>
      <c r="U6777">
        <v>-4.2877199999999997E-2</v>
      </c>
      <c r="V6777">
        <v>-4.9928519999999997E-2</v>
      </c>
      <c r="W6777">
        <v>0.17763989999999999</v>
      </c>
      <c r="X6777">
        <v>0.98282809999999998</v>
      </c>
      <c r="Y6777">
        <v>-4.9167990000000002E-2</v>
      </c>
      <c r="Z6777">
        <v>8.5504599999999993E-3</v>
      </c>
      <c r="AA6777">
        <v>0.99875389999999997</v>
      </c>
      <c r="AB6777">
        <v>29</v>
      </c>
      <c r="AC6777">
        <v>10.787100000000001</v>
      </c>
      <c r="AD6777">
        <v>-1.1261083820660001</v>
      </c>
      <c r="AE6777">
        <v>-0.14480000000000301</v>
      </c>
      <c r="AF6777">
        <v>-0.53516568834204503</v>
      </c>
      <c r="AG6777">
        <v>-1.1261083820660001</v>
      </c>
      <c r="AH6777">
        <v>10.6583633672529</v>
      </c>
      <c r="AI6777">
        <v>96.023672041589194</v>
      </c>
      <c r="AJ6777">
        <v>92.874456881814794</v>
      </c>
      <c r="AK6777">
        <v>10.7310405865665</v>
      </c>
      <c r="AL6777">
        <v>79.767678571414805</v>
      </c>
      <c r="AM6777">
        <v>92.908175281264405</v>
      </c>
      <c r="AN6777">
        <v>0.99999993266550202</v>
      </c>
    </row>
    <row r="6778" spans="1:40" x14ac:dyDescent="0.25">
      <c r="A6778" t="str">
        <f>"20190303170424060"</f>
        <v>20190303170424060</v>
      </c>
      <c r="B6778" t="str">
        <f>"1551603864052834"</f>
        <v>1551603864052834</v>
      </c>
      <c r="C6778" t="s">
        <v>40</v>
      </c>
      <c r="D6778">
        <v>4.7051970000000001</v>
      </c>
      <c r="E6778">
        <v>0.48917529999999998</v>
      </c>
      <c r="F6778" t="s">
        <v>115</v>
      </c>
      <c r="G6778">
        <v>-260.51260000000002</v>
      </c>
      <c r="H6778" s="1">
        <v>-9.0808270000000002E-8</v>
      </c>
      <c r="I6778">
        <v>-63.637039999999999</v>
      </c>
      <c r="J6778">
        <v>-274.01350000000002</v>
      </c>
      <c r="K6778">
        <v>1.126036</v>
      </c>
      <c r="L6778">
        <v>-63.756619999999998</v>
      </c>
      <c r="M6778">
        <v>0.9980639</v>
      </c>
      <c r="N6778">
        <v>-1.2902240000000001E-2</v>
      </c>
      <c r="O6778">
        <v>-6.0846810000000001E-2</v>
      </c>
      <c r="P6778">
        <v>0.98611919999999997</v>
      </c>
      <c r="Q6778">
        <v>0.16558610000000001</v>
      </c>
      <c r="R6778">
        <v>-1.2254849999999999E-2</v>
      </c>
      <c r="S6778">
        <v>3.0854189999999999</v>
      </c>
      <c r="T6778">
        <v>-0.2547914</v>
      </c>
      <c r="U6778">
        <v>2.5695800000000001E-2</v>
      </c>
      <c r="V6778">
        <v>-4.9727439999999998E-2</v>
      </c>
      <c r="W6778">
        <v>0.17774699999999999</v>
      </c>
      <c r="X6778">
        <v>0.982819</v>
      </c>
      <c r="Y6778">
        <v>-6.8744260000000001E-2</v>
      </c>
      <c r="Z6778">
        <v>7.5077030000000001E-3</v>
      </c>
      <c r="AA6778">
        <v>0.99760599999999999</v>
      </c>
      <c r="AB6778">
        <v>29</v>
      </c>
      <c r="AC6778">
        <v>13.5009</v>
      </c>
      <c r="AD6778">
        <v>-1.1260360908082701</v>
      </c>
      <c r="AE6778">
        <v>0.11957999999999901</v>
      </c>
      <c r="AF6778">
        <v>-0.93441376677954302</v>
      </c>
      <c r="AG6778">
        <v>-1.1260360908082701</v>
      </c>
      <c r="AH6778">
        <v>13.3755662355528</v>
      </c>
      <c r="AI6778">
        <v>94.800513345885406</v>
      </c>
      <c r="AJ6778">
        <v>93.996176540525596</v>
      </c>
      <c r="AK6778">
        <v>13.4553654163315</v>
      </c>
      <c r="AL6778">
        <v>79.761443661090794</v>
      </c>
      <c r="AM6778">
        <v>92.896509777566393</v>
      </c>
      <c r="AN6778">
        <v>1.00000000052947</v>
      </c>
    </row>
    <row r="6779" spans="1:40" x14ac:dyDescent="0.25">
      <c r="A6779" t="str">
        <f>"20190303170424070"</f>
        <v>20190303170424070</v>
      </c>
      <c r="B6779" t="str">
        <f>"1551603864062594"</f>
        <v>1551603864062594</v>
      </c>
      <c r="C6779" t="s">
        <v>40</v>
      </c>
      <c r="D6779">
        <v>4.7382210000000002</v>
      </c>
      <c r="E6779">
        <v>0.4845004</v>
      </c>
      <c r="F6779" t="s">
        <v>114</v>
      </c>
      <c r="G6779">
        <v>-257.90320000000003</v>
      </c>
      <c r="H6779" s="1">
        <v>-3.1051600000000001E-6</v>
      </c>
      <c r="I6779">
        <v>-63.320590000000003</v>
      </c>
      <c r="J6779">
        <v>-273.87509999999997</v>
      </c>
      <c r="K6779">
        <v>1.125958</v>
      </c>
      <c r="L6779">
        <v>-63.762360000000001</v>
      </c>
      <c r="M6779">
        <v>0.99822509999999998</v>
      </c>
      <c r="N6779">
        <v>-1.2881470000000001E-2</v>
      </c>
      <c r="O6779">
        <v>-5.8145780000000001E-2</v>
      </c>
      <c r="P6779">
        <v>0.98618609999999896</v>
      </c>
      <c r="Q6779">
        <v>0.16533629999999999</v>
      </c>
      <c r="R6779">
        <v>-1.005633E-2</v>
      </c>
      <c r="S6779">
        <v>3.0793759999999999</v>
      </c>
      <c r="T6779">
        <v>-0.21523419999999999</v>
      </c>
      <c r="U6779">
        <v>8.3343509999999996E-2</v>
      </c>
      <c r="V6779">
        <v>-4.9224530000000002E-2</v>
      </c>
      <c r="W6779">
        <v>0.1774917</v>
      </c>
      <c r="X6779">
        <v>0.9828905</v>
      </c>
      <c r="Y6779">
        <v>-8.4799440000000004E-2</v>
      </c>
      <c r="Z6779">
        <v>6.8156579999999996E-3</v>
      </c>
      <c r="AA6779">
        <v>0.99637469999999995</v>
      </c>
      <c r="AB6779">
        <v>29</v>
      </c>
      <c r="AC6779">
        <v>15.9718999999999</v>
      </c>
      <c r="AD6779">
        <v>-1.12596110516</v>
      </c>
      <c r="AE6779">
        <v>0.441769999999998</v>
      </c>
      <c r="AF6779">
        <v>-1.36302926888256</v>
      </c>
      <c r="AG6779">
        <v>-1.12596110516</v>
      </c>
      <c r="AH6779">
        <v>15.8405204375709</v>
      </c>
      <c r="AI6779">
        <v>94.050888064427099</v>
      </c>
      <c r="AJ6779">
        <v>94.918016031972101</v>
      </c>
      <c r="AK6779">
        <v>15.938874644442899</v>
      </c>
      <c r="AL6779">
        <v>79.776308096100195</v>
      </c>
      <c r="AM6779">
        <v>92.867057320086502</v>
      </c>
      <c r="AN6779">
        <v>1.00000004645642</v>
      </c>
    </row>
    <row r="6780" spans="1:40" x14ac:dyDescent="0.25">
      <c r="A6780" t="str">
        <f>"20190303170424083"</f>
        <v>20190303170424083</v>
      </c>
      <c r="B6780" t="str">
        <f>"1551603864072354"</f>
        <v>1551603864072354</v>
      </c>
      <c r="C6780" t="s">
        <v>40</v>
      </c>
      <c r="D6780">
        <v>4.7365459999999997</v>
      </c>
      <c r="E6780">
        <v>0.48060609999999998</v>
      </c>
      <c r="F6780" t="s">
        <v>114</v>
      </c>
      <c r="G6780">
        <v>-255.30289999999999</v>
      </c>
      <c r="H6780" s="1">
        <v>-1.993896E-6</v>
      </c>
      <c r="I6780">
        <v>-63.004530000000003</v>
      </c>
      <c r="J6780">
        <v>-273.72629999999998</v>
      </c>
      <c r="K6780">
        <v>1.125869</v>
      </c>
      <c r="L6780">
        <v>-63.768129999999999</v>
      </c>
      <c r="M6780">
        <v>0.99838570000000004</v>
      </c>
      <c r="N6780">
        <v>-1.2859880000000001E-2</v>
      </c>
      <c r="O6780">
        <v>-5.532368E-2</v>
      </c>
      <c r="P6780">
        <v>0.98622759999999998</v>
      </c>
      <c r="Q6780">
        <v>0.1652023</v>
      </c>
      <c r="R6780">
        <v>-7.9698800000000004E-3</v>
      </c>
      <c r="S6780">
        <v>3.0745849999999999</v>
      </c>
      <c r="T6780">
        <v>-0.1864007</v>
      </c>
      <c r="U6780">
        <v>0.12545780000000001</v>
      </c>
      <c r="V6780">
        <v>-4.8485689999999998E-2</v>
      </c>
      <c r="W6780">
        <v>0.17735509999999999</v>
      </c>
      <c r="X6780">
        <v>0.98295180000000004</v>
      </c>
      <c r="Y6780">
        <v>-9.5714869999999994E-2</v>
      </c>
      <c r="Z6780">
        <v>6.1524750000000001E-3</v>
      </c>
      <c r="AA6780">
        <v>0.99538979999999999</v>
      </c>
      <c r="AB6780">
        <v>29</v>
      </c>
      <c r="AC6780">
        <v>18.423399999999901</v>
      </c>
      <c r="AD6780">
        <v>-1.1258709938959901</v>
      </c>
      <c r="AE6780">
        <v>0.76360000000000305</v>
      </c>
      <c r="AF6780">
        <v>-1.77514686478879</v>
      </c>
      <c r="AG6780">
        <v>-1.1258709938959901</v>
      </c>
      <c r="AH6780">
        <v>18.284762568961199</v>
      </c>
      <c r="AI6780">
        <v>93.507050478445706</v>
      </c>
      <c r="AJ6780">
        <v>95.545091311736698</v>
      </c>
      <c r="AK6780">
        <v>18.4051969315666</v>
      </c>
      <c r="AL6780">
        <v>79.784260056569806</v>
      </c>
      <c r="AM6780">
        <v>92.823918326183502</v>
      </c>
      <c r="AN6780">
        <v>0.99999996737701202</v>
      </c>
    </row>
    <row r="6781" spans="1:40" x14ac:dyDescent="0.25">
      <c r="A6781" t="str">
        <f>"20190303170424093"</f>
        <v>20190303170424093</v>
      </c>
      <c r="B6781" t="str">
        <f>"1551603864082114"</f>
        <v>1551603864082114</v>
      </c>
      <c r="C6781" t="s">
        <v>40</v>
      </c>
      <c r="D6781">
        <v>4.7217390000000004</v>
      </c>
      <c r="E6781">
        <v>0.47784769999999999</v>
      </c>
      <c r="F6781" t="s">
        <v>114</v>
      </c>
      <c r="G6781">
        <v>-252.82490000000001</v>
      </c>
      <c r="H6781" s="1">
        <v>-8.5595659999999899E-7</v>
      </c>
      <c r="I6781">
        <v>-62.66789</v>
      </c>
      <c r="J6781">
        <v>-273.58519999999999</v>
      </c>
      <c r="K6781">
        <v>1.125783</v>
      </c>
      <c r="L6781">
        <v>-63.773409999999998</v>
      </c>
      <c r="M6781">
        <v>0.99852870000000005</v>
      </c>
      <c r="N6781">
        <v>-1.284005E-2</v>
      </c>
      <c r="O6781">
        <v>-5.2686610000000002E-2</v>
      </c>
      <c r="P6781">
        <v>0.98630280000000004</v>
      </c>
      <c r="Q6781">
        <v>0.164828</v>
      </c>
      <c r="R6781">
        <v>-6.2353230000000001E-3</v>
      </c>
      <c r="S6781">
        <v>3.0709230000000001</v>
      </c>
      <c r="T6781">
        <v>-0.16541710000000001</v>
      </c>
      <c r="U6781">
        <v>0.16165160000000001</v>
      </c>
      <c r="V6781">
        <v>-4.7578219999999997E-2</v>
      </c>
      <c r="W6781">
        <v>0.176982</v>
      </c>
      <c r="X6781">
        <v>0.98306340000000003</v>
      </c>
      <c r="Y6781">
        <v>-0.1048796</v>
      </c>
      <c r="Z6781">
        <v>5.653422E-3</v>
      </c>
      <c r="AA6781">
        <v>0.99446889999999999</v>
      </c>
      <c r="AB6781">
        <v>29</v>
      </c>
      <c r="AC6781">
        <v>20.760299999999901</v>
      </c>
      <c r="AD6781">
        <v>-1.1257838559566</v>
      </c>
      <c r="AE6781">
        <v>1.1055199999999901</v>
      </c>
      <c r="AF6781">
        <v>-2.1914381000406502</v>
      </c>
      <c r="AG6781">
        <v>-1.1257838559566</v>
      </c>
      <c r="AH6781">
        <v>20.612766840387099</v>
      </c>
      <c r="AI6781">
        <v>93.108667748993497</v>
      </c>
      <c r="AJ6781">
        <v>96.068582515960102</v>
      </c>
      <c r="AK6781">
        <v>20.7594784870141</v>
      </c>
      <c r="AL6781">
        <v>79.805980871738697</v>
      </c>
      <c r="AM6781">
        <v>92.770834253254705</v>
      </c>
      <c r="AN6781">
        <v>0.99999998188096395</v>
      </c>
    </row>
    <row r="6782" spans="1:40" x14ac:dyDescent="0.25">
      <c r="A6782" t="str">
        <f>"20190303170424105"</f>
        <v>20190303170424105</v>
      </c>
      <c r="B6782" t="str">
        <f>"1551603864092851"</f>
        <v>1551603864092851</v>
      </c>
      <c r="C6782" t="s">
        <v>40</v>
      </c>
      <c r="D6782">
        <v>4.7526210000000004</v>
      </c>
      <c r="E6782">
        <v>0.4760529</v>
      </c>
      <c r="F6782" t="s">
        <v>114</v>
      </c>
      <c r="G6782">
        <v>-250.88059999999999</v>
      </c>
      <c r="H6782" s="1">
        <v>4.1891159999999999E-8</v>
      </c>
      <c r="I6782">
        <v>-62.381210000000003</v>
      </c>
      <c r="J6782">
        <v>-273.44150000000002</v>
      </c>
      <c r="K6782">
        <v>1.1256870000000001</v>
      </c>
      <c r="L6782">
        <v>-63.778230000000001</v>
      </c>
      <c r="M6782">
        <v>0.99866160000000004</v>
      </c>
      <c r="N6782">
        <v>-1.2820750000000001E-2</v>
      </c>
      <c r="O6782">
        <v>-5.0109319999999999E-2</v>
      </c>
      <c r="P6782">
        <v>0.98633119999999996</v>
      </c>
      <c r="Q6782">
        <v>0.16471810000000001</v>
      </c>
      <c r="R6782">
        <v>-4.3508039999999998E-3</v>
      </c>
      <c r="S6782">
        <v>3.068298</v>
      </c>
      <c r="T6782">
        <v>-0.15213789999999999</v>
      </c>
      <c r="U6782">
        <v>0.1881409</v>
      </c>
      <c r="V6782">
        <v>-4.6876479999999998E-2</v>
      </c>
      <c r="W6782">
        <v>0.17687130000000001</v>
      </c>
      <c r="X6782">
        <v>0.98311700000000002</v>
      </c>
      <c r="Y6782">
        <v>-0.1109405</v>
      </c>
      <c r="Z6782">
        <v>5.2979809999999898E-3</v>
      </c>
      <c r="AA6782">
        <v>0.9938129</v>
      </c>
      <c r="AB6782">
        <v>29</v>
      </c>
      <c r="AC6782">
        <v>22.5609</v>
      </c>
      <c r="AD6782">
        <v>-1.12568695810884</v>
      </c>
      <c r="AE6782">
        <v>1.3970200000000099</v>
      </c>
      <c r="AF6782">
        <v>-2.5196200148176899</v>
      </c>
      <c r="AG6782">
        <v>-1.12568695810884</v>
      </c>
      <c r="AH6782">
        <v>22.406973094966901</v>
      </c>
      <c r="AI6782">
        <v>92.858038925348296</v>
      </c>
      <c r="AJ6782">
        <v>96.415846347499496</v>
      </c>
      <c r="AK6782">
        <v>22.5762729303421</v>
      </c>
      <c r="AL6782">
        <v>79.812424835223993</v>
      </c>
      <c r="AM6782">
        <v>92.729880375939999</v>
      </c>
      <c r="AN6782">
        <v>0.999999948414938</v>
      </c>
    </row>
    <row r="6783" spans="1:40" x14ac:dyDescent="0.25">
      <c r="A6783" t="str">
        <f>"20190303170424118"</f>
        <v>20190303170424118</v>
      </c>
      <c r="B6783" t="str">
        <f>"1551603864102611"</f>
        <v>1551603864102611</v>
      </c>
      <c r="C6783" t="s">
        <v>40</v>
      </c>
      <c r="D6783">
        <v>4.7345920000000001</v>
      </c>
      <c r="E6783">
        <v>0.47462599999999999</v>
      </c>
      <c r="F6783" t="s">
        <v>113</v>
      </c>
      <c r="G6783">
        <v>-249.416</v>
      </c>
      <c r="H6783" s="1">
        <v>-3.3917539999999999E-6</v>
      </c>
      <c r="I6783">
        <v>-62.150370000000002</v>
      </c>
      <c r="J6783">
        <v>-273.29149999999998</v>
      </c>
      <c r="K6783">
        <v>1.125589</v>
      </c>
      <c r="L6783">
        <v>-63.783140000000003</v>
      </c>
      <c r="M6783">
        <v>0.9987914</v>
      </c>
      <c r="N6783">
        <v>-1.280188E-2</v>
      </c>
      <c r="O6783">
        <v>-4.7454700000000002E-2</v>
      </c>
      <c r="P6783">
        <v>0.98639730000000003</v>
      </c>
      <c r="Q6783">
        <v>0.16436220000000001</v>
      </c>
      <c r="R6783">
        <v>-2.3453300000000001E-3</v>
      </c>
      <c r="S6783">
        <v>3.0664980000000002</v>
      </c>
      <c r="T6783">
        <v>-0.14367769999999999</v>
      </c>
      <c r="U6783">
        <v>0.2077637</v>
      </c>
      <c r="V6783">
        <v>-4.6217069999999999E-2</v>
      </c>
      <c r="W6783">
        <v>0.17651549999999999</v>
      </c>
      <c r="X6783">
        <v>0.98321219999999998</v>
      </c>
      <c r="Y6783">
        <v>-0.1146846</v>
      </c>
      <c r="Z6783">
        <v>5.0310679999999997E-3</v>
      </c>
      <c r="AA6783">
        <v>0.99338919999999997</v>
      </c>
      <c r="AB6783">
        <v>29</v>
      </c>
      <c r="AC6783">
        <v>23.875499999999899</v>
      </c>
      <c r="AD6783">
        <v>-1.1255923917540001</v>
      </c>
      <c r="AE6783">
        <v>1.6327700000000001</v>
      </c>
      <c r="AF6783">
        <v>-2.75792651656108</v>
      </c>
      <c r="AG6783">
        <v>-1.1255923917540001</v>
      </c>
      <c r="AH6783">
        <v>23.718637116764999</v>
      </c>
      <c r="AI6783">
        <v>92.698835814132707</v>
      </c>
      <c r="AJ6783">
        <v>96.632384615074599</v>
      </c>
      <c r="AK6783">
        <v>23.904954791421499</v>
      </c>
      <c r="AL6783">
        <v>79.833136927679107</v>
      </c>
      <c r="AM6783">
        <v>92.691275878377098</v>
      </c>
      <c r="AN6783">
        <v>0.99999998476423702</v>
      </c>
    </row>
    <row r="6784" spans="1:40" x14ac:dyDescent="0.25">
      <c r="A6784" t="str">
        <f>"20190303170424127"</f>
        <v>20190303170424127</v>
      </c>
      <c r="B6784" t="str">
        <f>"1551603864122130"</f>
        <v>1551603864122130</v>
      </c>
      <c r="C6784" t="s">
        <v>40</v>
      </c>
      <c r="D6784">
        <v>4.7736080000000003</v>
      </c>
      <c r="E6784">
        <v>0.47330870000000003</v>
      </c>
      <c r="F6784" t="s">
        <v>113</v>
      </c>
      <c r="G6784">
        <v>-248.3004</v>
      </c>
      <c r="H6784" s="1">
        <v>-2.9647690000000002E-6</v>
      </c>
      <c r="I6784">
        <v>-61.950130000000001</v>
      </c>
      <c r="J6784">
        <v>-273.14729999999997</v>
      </c>
      <c r="K6784">
        <v>1.125491</v>
      </c>
      <c r="L6784">
        <v>-63.78745</v>
      </c>
      <c r="M6784">
        <v>0.99890489999999998</v>
      </c>
      <c r="N6784">
        <v>-1.278786E-2</v>
      </c>
      <c r="O6784">
        <v>-4.5008140000000002E-2</v>
      </c>
      <c r="P6784">
        <v>0.98641089999999998</v>
      </c>
      <c r="Q6784">
        <v>0.1642972</v>
      </c>
      <c r="R6784">
        <v>-4.3361259999999998E-4</v>
      </c>
      <c r="S6784">
        <v>3.0649109999999999</v>
      </c>
      <c r="T6784">
        <v>-0.1380422</v>
      </c>
      <c r="U6784">
        <v>0.22479250000000001</v>
      </c>
      <c r="V6784">
        <v>-4.5670460000000003E-2</v>
      </c>
      <c r="W6784">
        <v>0.1764531</v>
      </c>
      <c r="X6784">
        <v>0.98324889999999998</v>
      </c>
      <c r="Y6784">
        <v>-0.1177885</v>
      </c>
      <c r="Z6784">
        <v>4.8515520000000003E-3</v>
      </c>
      <c r="AA6784">
        <v>0.99302690000000005</v>
      </c>
      <c r="AB6784">
        <v>29</v>
      </c>
      <c r="AC6784">
        <v>24.846899999999899</v>
      </c>
      <c r="AD6784">
        <v>-1.1254939647689901</v>
      </c>
      <c r="AE6784">
        <v>1.8373199999999901</v>
      </c>
      <c r="AF6784">
        <v>-2.9478462562588499</v>
      </c>
      <c r="AG6784">
        <v>-1.1254939647689901</v>
      </c>
      <c r="AH6784">
        <v>24.6886339730689</v>
      </c>
      <c r="AI6784">
        <v>92.591781956033202</v>
      </c>
      <c r="AJ6784">
        <v>96.808935001589703</v>
      </c>
      <c r="AK6784">
        <v>24.889459248272999</v>
      </c>
      <c r="AL6784">
        <v>79.836768773452107</v>
      </c>
      <c r="AM6784">
        <v>92.659392965257993</v>
      </c>
      <c r="AN6784">
        <v>0.99999994338371401</v>
      </c>
    </row>
    <row r="6785" spans="1:40" x14ac:dyDescent="0.25">
      <c r="A6785" t="str">
        <f>"20190303170424139"</f>
        <v>20190303170424139</v>
      </c>
      <c r="B6785" t="str">
        <f>"1551603864132866"</f>
        <v>1551603864132866</v>
      </c>
      <c r="C6785" t="s">
        <v>40</v>
      </c>
      <c r="D6785">
        <v>4.7264799999999996</v>
      </c>
      <c r="E6785">
        <v>0.47267609999999899</v>
      </c>
      <c r="F6785" t="s">
        <v>113</v>
      </c>
      <c r="G6785">
        <v>-246.72309999999999</v>
      </c>
      <c r="H6785" s="1">
        <v>-2.2246540000000001E-6</v>
      </c>
      <c r="I6785">
        <v>-61.711620000000003</v>
      </c>
      <c r="J6785">
        <v>-272.99950000000001</v>
      </c>
      <c r="K6785">
        <v>1.1253919999999999</v>
      </c>
      <c r="L6785">
        <v>-63.791600000000003</v>
      </c>
      <c r="M6785">
        <v>0.99901309999999999</v>
      </c>
      <c r="N6785">
        <v>-1.277474E-2</v>
      </c>
      <c r="O6785">
        <v>-4.2543490000000003E-2</v>
      </c>
      <c r="P6785">
        <v>0.98643639999999999</v>
      </c>
      <c r="Q6785">
        <v>0.1641386</v>
      </c>
      <c r="R6785">
        <v>1.404811E-3</v>
      </c>
      <c r="S6785">
        <v>3.063202</v>
      </c>
      <c r="T6785">
        <v>-0.1304717</v>
      </c>
      <c r="U6785">
        <v>0.24063109999999999</v>
      </c>
      <c r="V6785">
        <v>-4.503219E-2</v>
      </c>
      <c r="W6785">
        <v>0.17629909999999999</v>
      </c>
      <c r="X6785">
        <v>0.98330600000000001</v>
      </c>
      <c r="Y6785">
        <v>-0.1204993</v>
      </c>
      <c r="Z6785">
        <v>4.5988799999999996E-3</v>
      </c>
      <c r="AA6785">
        <v>0.9927028</v>
      </c>
      <c r="AB6785">
        <v>29</v>
      </c>
      <c r="AC6785">
        <v>26.276399999999999</v>
      </c>
      <c r="AD6785">
        <v>-1.1253942246540001</v>
      </c>
      <c r="AE6785">
        <v>2.0799799999999999</v>
      </c>
      <c r="AF6785">
        <v>-3.1902617683321099</v>
      </c>
      <c r="AG6785">
        <v>-1.1253942246540001</v>
      </c>
      <c r="AH6785">
        <v>26.116501080718301</v>
      </c>
      <c r="AI6785">
        <v>92.449240175134406</v>
      </c>
      <c r="AJ6785">
        <v>96.964463100874696</v>
      </c>
      <c r="AK6785">
        <v>26.3346902584885</v>
      </c>
      <c r="AL6785">
        <v>79.845733233261299</v>
      </c>
      <c r="AM6785">
        <v>92.622126658178701</v>
      </c>
      <c r="AN6785">
        <v>0.99999998021650205</v>
      </c>
    </row>
    <row r="6786" spans="1:40" x14ac:dyDescent="0.25">
      <c r="A6786" t="str">
        <f>"20190303170424150"</f>
        <v>20190303170424150</v>
      </c>
      <c r="B6786" t="str">
        <f>"1551603864142626"</f>
        <v>1551603864142626</v>
      </c>
      <c r="C6786" t="s">
        <v>40</v>
      </c>
      <c r="D6786">
        <v>4.7475250000000004</v>
      </c>
      <c r="E6786">
        <v>0.47205599999999998</v>
      </c>
      <c r="F6786" t="s">
        <v>113</v>
      </c>
      <c r="G6786">
        <v>-246.06890000000001</v>
      </c>
      <c r="H6786" s="1">
        <v>-1.9100119999999998E-6</v>
      </c>
      <c r="I6786">
        <v>-61.583779999999997</v>
      </c>
      <c r="J6786">
        <v>-272.85719999999998</v>
      </c>
      <c r="K6786">
        <v>1.1253029999999999</v>
      </c>
      <c r="L6786">
        <v>-63.795290000000001</v>
      </c>
      <c r="M6786">
        <v>0.99910860000000001</v>
      </c>
      <c r="N6786">
        <v>-1.276365E-2</v>
      </c>
      <c r="O6786">
        <v>-4.023728E-2</v>
      </c>
      <c r="P6786">
        <v>0.98643080000000005</v>
      </c>
      <c r="Q6786">
        <v>0.1641521</v>
      </c>
      <c r="R6786">
        <v>2.933845E-3</v>
      </c>
      <c r="S6786">
        <v>3.062195</v>
      </c>
      <c r="T6786">
        <v>-0.1279653</v>
      </c>
      <c r="U6786">
        <v>0.25103760000000003</v>
      </c>
      <c r="V6786">
        <v>-4.4245720000000002E-2</v>
      </c>
      <c r="W6786">
        <v>0.176318899999999</v>
      </c>
      <c r="X6786">
        <v>0.98333820000000005</v>
      </c>
      <c r="Y6786">
        <v>-0.1215907</v>
      </c>
      <c r="Z6786">
        <v>4.4787469999999999E-3</v>
      </c>
      <c r="AA6786">
        <v>0.99257019999999996</v>
      </c>
      <c r="AB6786">
        <v>29</v>
      </c>
      <c r="AC6786">
        <v>26.7882999999999</v>
      </c>
      <c r="AD6786">
        <v>-1.1253049100120001</v>
      </c>
      <c r="AE6786">
        <v>2.2115099999999899</v>
      </c>
      <c r="AF6786">
        <v>-3.2819427266729102</v>
      </c>
      <c r="AG6786">
        <v>-1.1253049100120001</v>
      </c>
      <c r="AH6786">
        <v>26.6309343767938</v>
      </c>
      <c r="AI6786">
        <v>92.401479412958594</v>
      </c>
      <c r="AJ6786">
        <v>97.025592108870399</v>
      </c>
      <c r="AK6786">
        <v>26.855988624192499</v>
      </c>
      <c r="AL6786">
        <v>79.844581201768307</v>
      </c>
      <c r="AM6786">
        <v>92.576310218518103</v>
      </c>
      <c r="AN6786">
        <v>1.0000000269073801</v>
      </c>
    </row>
    <row r="6787" spans="1:40" x14ac:dyDescent="0.25">
      <c r="A6787" t="str">
        <f>"20190303170424162"</f>
        <v>20190303170424162</v>
      </c>
      <c r="B6787" t="str">
        <f>"1551603864152386"</f>
        <v>1551603864152386</v>
      </c>
      <c r="C6787" t="s">
        <v>40</v>
      </c>
      <c r="D6787">
        <v>4.7543730000000002</v>
      </c>
      <c r="E6787">
        <v>0.4716996</v>
      </c>
      <c r="F6787" t="s">
        <v>113</v>
      </c>
      <c r="G6787">
        <v>-245.32830000000001</v>
      </c>
      <c r="H6787" s="1">
        <v>-1.5572659999999901E-6</v>
      </c>
      <c r="I6787">
        <v>-61.452109999999998</v>
      </c>
      <c r="J6787">
        <v>-272.70960000000002</v>
      </c>
      <c r="K6787">
        <v>1.125216</v>
      </c>
      <c r="L6787">
        <v>-63.798830000000002</v>
      </c>
      <c r="M6787">
        <v>0.99919999999999998</v>
      </c>
      <c r="N6787">
        <v>-1.275282E-2</v>
      </c>
      <c r="O6787">
        <v>-3.7902239999999997E-2</v>
      </c>
      <c r="P6787">
        <v>0.98648259999999999</v>
      </c>
      <c r="Q6787">
        <v>0.16381089999999901</v>
      </c>
      <c r="R6787">
        <v>4.2445759999999999E-3</v>
      </c>
      <c r="S6787">
        <v>3.0612789999999999</v>
      </c>
      <c r="T6787">
        <v>-0.12513640000000001</v>
      </c>
      <c r="U6787">
        <v>0.26055909999999999</v>
      </c>
      <c r="V6787">
        <v>-4.3212050000000002E-2</v>
      </c>
      <c r="W6787">
        <v>0.17598699999999901</v>
      </c>
      <c r="X6787">
        <v>0.98344359999999997</v>
      </c>
      <c r="Y6787">
        <v>-0.1223674</v>
      </c>
      <c r="Z6787">
        <v>4.341574E-3</v>
      </c>
      <c r="AA6787">
        <v>0.99247540000000001</v>
      </c>
      <c r="AB6787">
        <v>29</v>
      </c>
      <c r="AC6787">
        <v>27.3813</v>
      </c>
      <c r="AD6787">
        <v>-1.1252175572659999</v>
      </c>
      <c r="AE6787">
        <v>2.3467199999999999</v>
      </c>
      <c r="AF6787">
        <v>-3.37726880795972</v>
      </c>
      <c r="AG6787">
        <v>-1.1252175572659999</v>
      </c>
      <c r="AH6787">
        <v>27.2270245200225</v>
      </c>
      <c r="AI6787">
        <v>92.348551021470399</v>
      </c>
      <c r="AJ6787">
        <v>97.070911683906999</v>
      </c>
      <c r="AK6787">
        <v>27.458749486571701</v>
      </c>
      <c r="AL6787">
        <v>79.863899584404393</v>
      </c>
      <c r="AM6787">
        <v>92.515931326156803</v>
      </c>
      <c r="AN6787">
        <v>1.0000000099075801</v>
      </c>
    </row>
    <row r="6788" spans="1:40" x14ac:dyDescent="0.25">
      <c r="A6788" t="str">
        <f>"20190303170424173"</f>
        <v>20190303170424173</v>
      </c>
      <c r="B6788" t="str">
        <f>"1551603864162146"</f>
        <v>1551603864162146</v>
      </c>
      <c r="C6788" t="s">
        <v>40</v>
      </c>
      <c r="D6788">
        <v>4.7766159999999998</v>
      </c>
      <c r="E6788">
        <v>0.47166150000000001</v>
      </c>
      <c r="F6788" t="s">
        <v>113</v>
      </c>
      <c r="G6788">
        <v>-244.80760000000001</v>
      </c>
      <c r="H6788" s="1">
        <v>-1.3093969999999901E-6</v>
      </c>
      <c r="I6788">
        <v>-61.360109999999999</v>
      </c>
      <c r="J6788">
        <v>-272.56490000000002</v>
      </c>
      <c r="K6788">
        <v>1.1251329999999999</v>
      </c>
      <c r="L6788">
        <v>-63.802059999999997</v>
      </c>
      <c r="M6788">
        <v>0.99928300000000003</v>
      </c>
      <c r="N6788">
        <v>-1.274279E-2</v>
      </c>
      <c r="O6788">
        <v>-3.5653039999999997E-2</v>
      </c>
      <c r="P6788">
        <v>0.98651549999999999</v>
      </c>
      <c r="Q6788">
        <v>0.1635896</v>
      </c>
      <c r="R6788">
        <v>5.0600849999999998E-3</v>
      </c>
      <c r="S6788">
        <v>3.0604550000000001</v>
      </c>
      <c r="T6788">
        <v>-0.1234205</v>
      </c>
      <c r="U6788">
        <v>0.26748660000000002</v>
      </c>
      <c r="V6788">
        <v>-4.1771589999999997E-2</v>
      </c>
      <c r="W6788">
        <v>0.17577860000000001</v>
      </c>
      <c r="X6788">
        <v>0.9835431</v>
      </c>
      <c r="Y6788">
        <v>-0.1223905</v>
      </c>
      <c r="Z6788">
        <v>4.2254570000000002E-3</v>
      </c>
      <c r="AA6788">
        <v>0.99247300000000005</v>
      </c>
      <c r="AB6788">
        <v>29</v>
      </c>
      <c r="AC6788">
        <v>27.757300000000001</v>
      </c>
      <c r="AD6788">
        <v>-1.1251343093970001</v>
      </c>
      <c r="AE6788">
        <v>2.4419499999999901</v>
      </c>
      <c r="AF6788">
        <v>-3.4245261945190002</v>
      </c>
      <c r="AG6788">
        <v>-1.1251343093970001</v>
      </c>
      <c r="AH6788">
        <v>27.6075672170678</v>
      </c>
      <c r="AI6788">
        <v>92.316042365350995</v>
      </c>
      <c r="AJ6788">
        <v>97.071023014966499</v>
      </c>
      <c r="AK6788">
        <v>27.8418942336193</v>
      </c>
      <c r="AL6788">
        <v>79.876029068061499</v>
      </c>
      <c r="AM6788">
        <v>92.431920244729</v>
      </c>
      <c r="AN6788">
        <v>1.00000000575334</v>
      </c>
    </row>
    <row r="6789" spans="1:40" x14ac:dyDescent="0.25">
      <c r="A6789" t="str">
        <f>"20190303170424184"</f>
        <v>20190303170424184</v>
      </c>
      <c r="B6789" t="str">
        <f>"1551603864172413"</f>
        <v>1551603864172413</v>
      </c>
      <c r="C6789" t="s">
        <v>40</v>
      </c>
      <c r="D6789">
        <v>4.7878480000000003</v>
      </c>
      <c r="E6789">
        <v>0.4716648</v>
      </c>
      <c r="F6789" t="s">
        <v>113</v>
      </c>
      <c r="G6789">
        <v>-244.5471</v>
      </c>
      <c r="H6789" s="1">
        <v>-1.1877760000000001E-6</v>
      </c>
      <c r="I6789">
        <v>-61.322960000000002</v>
      </c>
      <c r="J6789">
        <v>-272.43090000000001</v>
      </c>
      <c r="K6789">
        <v>1.125065</v>
      </c>
      <c r="L6789">
        <v>-63.804690000000001</v>
      </c>
      <c r="M6789">
        <v>0.99935309999999999</v>
      </c>
      <c r="N6789">
        <v>-1.2734189999999999E-2</v>
      </c>
      <c r="O6789">
        <v>-3.3635400000000003E-2</v>
      </c>
      <c r="P6789">
        <v>0.9865659</v>
      </c>
      <c r="Q6789">
        <v>0.16326669999999999</v>
      </c>
      <c r="R6789">
        <v>5.6431569999999898E-3</v>
      </c>
      <c r="S6789">
        <v>3.0599980000000002</v>
      </c>
      <c r="T6789">
        <v>-0.1228828</v>
      </c>
      <c r="U6789">
        <v>0.27075199999999999</v>
      </c>
      <c r="V6789">
        <v>-4.0333069999999999E-2</v>
      </c>
      <c r="W6789">
        <v>0.17546729999999899</v>
      </c>
      <c r="X6789">
        <v>0.9836587</v>
      </c>
      <c r="Y6789">
        <v>-0.1214534</v>
      </c>
      <c r="Z6789">
        <v>4.1287490000000001E-3</v>
      </c>
      <c r="AA6789">
        <v>0.99258860000000004</v>
      </c>
      <c r="AB6789">
        <v>29</v>
      </c>
      <c r="AC6789">
        <v>27.883800000000001</v>
      </c>
      <c r="AD6789">
        <v>-1.125066187776</v>
      </c>
      <c r="AE6789">
        <v>2.4817300000000002</v>
      </c>
      <c r="AF6789">
        <v>-3.41277199880563</v>
      </c>
      <c r="AG6789">
        <v>-1.125066187776</v>
      </c>
      <c r="AH6789">
        <v>27.7397340633302</v>
      </c>
      <c r="AI6789">
        <v>92.305164329842498</v>
      </c>
      <c r="AJ6789">
        <v>97.013756740108306</v>
      </c>
      <c r="AK6789">
        <v>27.971514663081599</v>
      </c>
      <c r="AL6789">
        <v>79.894146617377402</v>
      </c>
      <c r="AM6789">
        <v>92.347990122397107</v>
      </c>
      <c r="AN6789">
        <v>0.99999998399530199</v>
      </c>
    </row>
    <row r="6790" spans="1:40" x14ac:dyDescent="0.25">
      <c r="A6790" t="str">
        <f>"20190303170424193"</f>
        <v>20190303170424193</v>
      </c>
      <c r="B6790" t="str">
        <f>"1551603864182172"</f>
        <v>1551603864182172</v>
      </c>
      <c r="C6790" t="s">
        <v>40</v>
      </c>
      <c r="D6790">
        <v>4.7492210000000004</v>
      </c>
      <c r="E6790">
        <v>0.47151369999999998</v>
      </c>
      <c r="F6790" t="s">
        <v>113</v>
      </c>
      <c r="G6790">
        <v>-244.31659999999999</v>
      </c>
      <c r="H6790" s="1">
        <v>-1.082377E-6</v>
      </c>
      <c r="I6790">
        <v>-61.298470000000002</v>
      </c>
      <c r="J6790">
        <v>-272.29669999999999</v>
      </c>
      <c r="K6790">
        <v>1.1249979999999999</v>
      </c>
      <c r="L6790">
        <v>-63.807279999999999</v>
      </c>
      <c r="M6790">
        <v>0.99941880000000005</v>
      </c>
      <c r="N6790">
        <v>-1.272596E-2</v>
      </c>
      <c r="O6790">
        <v>-3.1626719999999997E-2</v>
      </c>
      <c r="P6790">
        <v>0.98659070000000004</v>
      </c>
      <c r="Q6790">
        <v>0.1630885</v>
      </c>
      <c r="R6790">
        <v>6.3858129999999997E-3</v>
      </c>
      <c r="S6790">
        <v>3.0595699999999999</v>
      </c>
      <c r="T6790">
        <v>-0.12243660000000001</v>
      </c>
      <c r="U6790">
        <v>0.27273560000000002</v>
      </c>
      <c r="V6790">
        <v>-3.9063590000000002E-2</v>
      </c>
      <c r="W6790">
        <v>0.17529929999999999</v>
      </c>
      <c r="X6790">
        <v>0.9837399</v>
      </c>
      <c r="Y6790">
        <v>-0.120111999999999</v>
      </c>
      <c r="Z6790">
        <v>4.0252059999999999E-3</v>
      </c>
      <c r="AA6790">
        <v>0.99275219999999997</v>
      </c>
      <c r="AB6790">
        <v>29</v>
      </c>
      <c r="AC6790">
        <v>27.9801</v>
      </c>
      <c r="AD6790">
        <v>-1.124999082377</v>
      </c>
      <c r="AE6790">
        <v>2.50881</v>
      </c>
      <c r="AF6790">
        <v>-3.3871131807959798</v>
      </c>
      <c r="AG6790">
        <v>-1.124999082377</v>
      </c>
      <c r="AH6790">
        <v>27.842097948452199</v>
      </c>
      <c r="AI6790">
        <v>92.296941394878004</v>
      </c>
      <c r="AJ6790">
        <v>96.936198486926799</v>
      </c>
      <c r="AK6790">
        <v>28.069922992521299</v>
      </c>
      <c r="AL6790">
        <v>79.903924014149496</v>
      </c>
      <c r="AM6790">
        <v>92.273978665784</v>
      </c>
      <c r="AN6790">
        <v>0.99999999974809395</v>
      </c>
    </row>
    <row r="6791" spans="1:40" x14ac:dyDescent="0.25">
      <c r="A6791" t="str">
        <f>"20190303170424206"</f>
        <v>20190303170424206</v>
      </c>
      <c r="B6791" t="str">
        <f>"1551603864202669"</f>
        <v>1551603864202669</v>
      </c>
      <c r="C6791" t="s">
        <v>40</v>
      </c>
      <c r="D6791">
        <v>4.7281380000000004</v>
      </c>
      <c r="E6791">
        <v>0.47149740000000001</v>
      </c>
      <c r="F6791" t="s">
        <v>113</v>
      </c>
      <c r="G6791">
        <v>-243.988</v>
      </c>
      <c r="H6791" s="1">
        <v>-9.2803230000000001E-7</v>
      </c>
      <c r="I6791">
        <v>-61.248309999999996</v>
      </c>
      <c r="J6791">
        <v>-272.15679999999998</v>
      </c>
      <c r="K6791">
        <v>1.1249400000000001</v>
      </c>
      <c r="L6791">
        <v>-63.809510000000003</v>
      </c>
      <c r="M6791">
        <v>0.99948110000000001</v>
      </c>
      <c r="N6791">
        <v>-1.2712330000000001E-2</v>
      </c>
      <c r="O6791">
        <v>-2.9600250000000002E-2</v>
      </c>
      <c r="P6791">
        <v>0.98658509999999999</v>
      </c>
      <c r="Q6791">
        <v>0.16308349999999999</v>
      </c>
      <c r="R6791">
        <v>7.3447499999999997E-3</v>
      </c>
      <c r="S6791">
        <v>3.0590820000000001</v>
      </c>
      <c r="T6791">
        <v>-0.121569</v>
      </c>
      <c r="U6791">
        <v>0.27651979999999998</v>
      </c>
      <c r="V6791">
        <v>-3.79969E-2</v>
      </c>
      <c r="W6791">
        <v>0.17529600000000001</v>
      </c>
      <c r="X6791">
        <v>0.9837823</v>
      </c>
      <c r="Y6791">
        <v>-0.1193347</v>
      </c>
      <c r="Z6791">
        <v>3.9243079999999996E-3</v>
      </c>
      <c r="AA6791">
        <v>0.99284629999999996</v>
      </c>
      <c r="AB6791">
        <v>29</v>
      </c>
      <c r="AC6791">
        <v>28.168799999999901</v>
      </c>
      <c r="AD6791">
        <v>-1.1249409280322999</v>
      </c>
      <c r="AE6791">
        <v>2.5611999999999902</v>
      </c>
      <c r="AF6791">
        <v>-3.3885883287304299</v>
      </c>
      <c r="AG6791">
        <v>-1.1249409280322999</v>
      </c>
      <c r="AH6791">
        <v>28.036289276584501</v>
      </c>
      <c r="AI6791">
        <v>92.281145993388293</v>
      </c>
      <c r="AJ6791">
        <v>96.891589904147196</v>
      </c>
      <c r="AK6791">
        <v>28.262723494976498</v>
      </c>
      <c r="AL6791">
        <v>79.904116402323396</v>
      </c>
      <c r="AM6791">
        <v>92.211851567908099</v>
      </c>
      <c r="AN6791">
        <v>1.0000000329094401</v>
      </c>
    </row>
    <row r="6792" spans="1:40" x14ac:dyDescent="0.25">
      <c r="A6792" t="str">
        <f>"20190303170424218"</f>
        <v>20190303170424218</v>
      </c>
      <c r="B6792" t="str">
        <f>"1551603864212429"</f>
        <v>1551603864212429</v>
      </c>
      <c r="C6792" t="s">
        <v>40</v>
      </c>
      <c r="D6792">
        <v>4.7641809999999998</v>
      </c>
      <c r="E6792">
        <v>0.47144380000000002</v>
      </c>
      <c r="F6792" t="s">
        <v>113</v>
      </c>
      <c r="G6792">
        <v>-243.4965</v>
      </c>
      <c r="H6792" s="1">
        <v>-7.0069169999999998E-7</v>
      </c>
      <c r="I6792">
        <v>-61.186259999999997</v>
      </c>
      <c r="J6792">
        <v>-272.00060000000002</v>
      </c>
      <c r="K6792">
        <v>1.1248720000000001</v>
      </c>
      <c r="L6792">
        <v>-63.811860000000003</v>
      </c>
      <c r="M6792">
        <v>0.99954529999999997</v>
      </c>
      <c r="N6792">
        <v>-1.26967E-2</v>
      </c>
      <c r="O6792">
        <v>-2.7353039999999999E-2</v>
      </c>
      <c r="P6792">
        <v>0.98658650000000003</v>
      </c>
      <c r="Q6792">
        <v>0.16299469999999999</v>
      </c>
      <c r="R6792">
        <v>8.9503369999999992E-3</v>
      </c>
      <c r="S6792">
        <v>3.0585330000000002</v>
      </c>
      <c r="T6792">
        <v>-0.1200498</v>
      </c>
      <c r="U6792">
        <v>0.27993770000000001</v>
      </c>
      <c r="V6792">
        <v>-3.7356250000000001E-2</v>
      </c>
      <c r="W6792">
        <v>0.1752031</v>
      </c>
      <c r="X6792">
        <v>0.98382340000000001</v>
      </c>
      <c r="Y6792">
        <v>-0.1182238</v>
      </c>
      <c r="Z6792">
        <v>3.7917630000000001E-3</v>
      </c>
      <c r="AA6792">
        <v>0.99297979999999997</v>
      </c>
      <c r="AB6792">
        <v>29</v>
      </c>
      <c r="AC6792">
        <v>28.504100000000001</v>
      </c>
      <c r="AD6792">
        <v>-1.1248727006917001</v>
      </c>
      <c r="AE6792">
        <v>2.6255999999999902</v>
      </c>
      <c r="AF6792">
        <v>-3.3991048667449499</v>
      </c>
      <c r="AG6792">
        <v>-1.1248727006917001</v>
      </c>
      <c r="AH6792">
        <v>28.377786226357799</v>
      </c>
      <c r="AI6792">
        <v>92.253876150321602</v>
      </c>
      <c r="AJ6792">
        <v>96.8303740895755</v>
      </c>
      <c r="AK6792">
        <v>28.602762167258501</v>
      </c>
      <c r="AL6792">
        <v>79.909523014324606</v>
      </c>
      <c r="AM6792">
        <v>92.1745038060171</v>
      </c>
      <c r="AN6792">
        <v>1.00000004902561</v>
      </c>
    </row>
    <row r="6793" spans="1:40" x14ac:dyDescent="0.25">
      <c r="A6793" t="str">
        <f>"20190303170424228"</f>
        <v>20190303170424228</v>
      </c>
      <c r="B6793" t="str">
        <f>"1551603864222188"</f>
        <v>1551603864222188</v>
      </c>
      <c r="C6793" t="s">
        <v>40</v>
      </c>
      <c r="D6793">
        <v>4.7162860000000002</v>
      </c>
      <c r="E6793">
        <v>0.47138750000000001</v>
      </c>
      <c r="F6793" t="s">
        <v>113</v>
      </c>
      <c r="G6793">
        <v>-243.25</v>
      </c>
      <c r="H6793" s="1">
        <v>-5.7934680000000005E-7</v>
      </c>
      <c r="I6793">
        <v>-61.127630000000003</v>
      </c>
      <c r="J6793">
        <v>-271.86020000000002</v>
      </c>
      <c r="K6793">
        <v>1.124817</v>
      </c>
      <c r="L6793">
        <v>-63.813600000000001</v>
      </c>
      <c r="M6793">
        <v>0.99959739999999997</v>
      </c>
      <c r="N6793">
        <v>-1.2681629999999999E-2</v>
      </c>
      <c r="O6793">
        <v>-2.538019E-2</v>
      </c>
      <c r="P6793">
        <v>0.98661209999999999</v>
      </c>
      <c r="Q6793">
        <v>0.16276060000000001</v>
      </c>
      <c r="R6793">
        <v>1.027904E-2</v>
      </c>
      <c r="S6793">
        <v>3.0579529999999999</v>
      </c>
      <c r="T6793">
        <v>-0.1196431</v>
      </c>
      <c r="U6793">
        <v>0.28549190000000002</v>
      </c>
      <c r="V6793">
        <v>-3.6714190000000001E-2</v>
      </c>
      <c r="W6793">
        <v>0.1749646</v>
      </c>
      <c r="X6793">
        <v>0.98389000000000004</v>
      </c>
      <c r="Y6793">
        <v>-0.118071</v>
      </c>
      <c r="Z6793">
        <v>3.7242500000000001E-3</v>
      </c>
      <c r="AA6793">
        <v>0.99299820000000005</v>
      </c>
      <c r="AB6793">
        <v>29</v>
      </c>
      <c r="AC6793">
        <v>28.610199999999999</v>
      </c>
      <c r="AD6793">
        <v>-1.1248175793468</v>
      </c>
      <c r="AE6793">
        <v>2.68596999999999</v>
      </c>
      <c r="AF6793">
        <v>-3.4060766206783399</v>
      </c>
      <c r="AG6793">
        <v>-1.1248175793468</v>
      </c>
      <c r="AH6793">
        <v>28.489155753275899</v>
      </c>
      <c r="AI6793">
        <v>92.245023595985401</v>
      </c>
      <c r="AJ6793">
        <v>96.817747661483594</v>
      </c>
      <c r="AK6793">
        <v>28.7140830964033</v>
      </c>
      <c r="AL6793">
        <v>79.923402328515493</v>
      </c>
      <c r="AM6793">
        <v>92.137019981688795</v>
      </c>
      <c r="AN6793">
        <v>1.00000003755025</v>
      </c>
    </row>
    <row r="6794" spans="1:40" x14ac:dyDescent="0.25">
      <c r="A6794" t="str">
        <f>"20190303170424239"</f>
        <v>20190303170424239</v>
      </c>
      <c r="B6794" t="str">
        <f>"1551603864232924"</f>
        <v>1551603864232924</v>
      </c>
      <c r="C6794" t="s">
        <v>40</v>
      </c>
      <c r="D6794">
        <v>4.7420879999999999</v>
      </c>
      <c r="E6794">
        <v>0.4713116</v>
      </c>
      <c r="F6794" t="s">
        <v>113</v>
      </c>
      <c r="G6794">
        <v>-243.1636</v>
      </c>
      <c r="H6794" s="1">
        <v>-5.3213980000000001E-7</v>
      </c>
      <c r="I6794">
        <v>-61.089590000000001</v>
      </c>
      <c r="J6794">
        <v>-271.7226</v>
      </c>
      <c r="K6794">
        <v>1.1247670000000001</v>
      </c>
      <c r="L6794">
        <v>-63.815159999999999</v>
      </c>
      <c r="M6794">
        <v>0.99964439999999999</v>
      </c>
      <c r="N6794">
        <v>-1.2666449999999999E-2</v>
      </c>
      <c r="O6794">
        <v>-2.3462750000000001E-2</v>
      </c>
      <c r="P6794">
        <v>0.98663500000000004</v>
      </c>
      <c r="Q6794">
        <v>0.1625201</v>
      </c>
      <c r="R6794">
        <v>1.1776679999999999E-2</v>
      </c>
      <c r="S6794">
        <v>3.0574650000000001</v>
      </c>
      <c r="T6794">
        <v>-0.11984309999999999</v>
      </c>
      <c r="U6794">
        <v>0.29022219999999999</v>
      </c>
      <c r="V6794">
        <v>-3.6297780000000002E-2</v>
      </c>
      <c r="W6794">
        <v>0.1747176</v>
      </c>
      <c r="X6794">
        <v>0.98394930000000003</v>
      </c>
      <c r="Y6794">
        <v>-0.1177044</v>
      </c>
      <c r="Z6794">
        <v>3.6693490000000001E-3</v>
      </c>
      <c r="AA6794">
        <v>0.99304190000000003</v>
      </c>
      <c r="AB6794">
        <v>29</v>
      </c>
      <c r="AC6794">
        <v>28.559000000000001</v>
      </c>
      <c r="AD6794">
        <v>-1.1247675321398001</v>
      </c>
      <c r="AE6794">
        <v>2.7255699999999901</v>
      </c>
      <c r="AF6794">
        <v>-3.3897356842403599</v>
      </c>
      <c r="AG6794">
        <v>-1.1247675321398001</v>
      </c>
      <c r="AH6794">
        <v>28.4434618610535</v>
      </c>
      <c r="AI6794">
        <v>92.248627640673007</v>
      </c>
      <c r="AJ6794">
        <v>96.796143293910603</v>
      </c>
      <c r="AK6794">
        <v>28.6668089024846</v>
      </c>
      <c r="AL6794">
        <v>79.937775370186202</v>
      </c>
      <c r="AM6794">
        <v>92.112676912006094</v>
      </c>
      <c r="AN6794">
        <v>0.99999999677658902</v>
      </c>
    </row>
    <row r="6795" spans="1:40" x14ac:dyDescent="0.25">
      <c r="A6795" t="str">
        <f>"20190303170424249"</f>
        <v>20190303170424249</v>
      </c>
      <c r="B6795" t="str">
        <f>"1551603864242683"</f>
        <v>1551603864242683</v>
      </c>
      <c r="C6795" t="s">
        <v>40</v>
      </c>
      <c r="D6795">
        <v>4.7823659999999997</v>
      </c>
      <c r="E6795">
        <v>0.47152670000000002</v>
      </c>
      <c r="F6795" t="s">
        <v>113</v>
      </c>
      <c r="G6795">
        <v>-242.93279999999999</v>
      </c>
      <c r="H6795" s="1">
        <v>-4.174943E-7</v>
      </c>
      <c r="I6795">
        <v>-61.030819999999999</v>
      </c>
      <c r="J6795">
        <v>-271.58199999999999</v>
      </c>
      <c r="K6795">
        <v>1.1247180000000001</v>
      </c>
      <c r="L6795">
        <v>-63.81644</v>
      </c>
      <c r="M6795">
        <v>0.99968820000000003</v>
      </c>
      <c r="N6795">
        <v>-1.2650160000000001E-2</v>
      </c>
      <c r="O6795">
        <v>-2.153064E-2</v>
      </c>
      <c r="P6795">
        <v>0.98660740000000002</v>
      </c>
      <c r="Q6795">
        <v>0.16258300000000001</v>
      </c>
      <c r="R6795">
        <v>1.314617E-2</v>
      </c>
      <c r="S6795">
        <v>3.0567929999999999</v>
      </c>
      <c r="T6795">
        <v>-0.1194236</v>
      </c>
      <c r="U6795">
        <v>0.29562379999999999</v>
      </c>
      <c r="V6795">
        <v>-3.5741439999999999E-2</v>
      </c>
      <c r="W6795">
        <v>0.1747725</v>
      </c>
      <c r="X6795">
        <v>0.9839599</v>
      </c>
      <c r="Y6795">
        <v>-0.117546</v>
      </c>
      <c r="Z6795">
        <v>3.6030099999999998E-3</v>
      </c>
      <c r="AA6795">
        <v>0.99306090000000002</v>
      </c>
      <c r="AB6795">
        <v>29</v>
      </c>
      <c r="AC6795">
        <v>28.6492</v>
      </c>
      <c r="AD6795">
        <v>-1.1247184174942999</v>
      </c>
      <c r="AE6795">
        <v>2.7856200000000002</v>
      </c>
      <c r="AF6795">
        <v>-3.3966731353483199</v>
      </c>
      <c r="AG6795">
        <v>-1.1247184174942999</v>
      </c>
      <c r="AH6795">
        <v>28.539004017518</v>
      </c>
      <c r="AI6795">
        <v>92.241050650407502</v>
      </c>
      <c r="AJ6795">
        <v>96.787336781114504</v>
      </c>
      <c r="AK6795">
        <v>28.7624256664655</v>
      </c>
      <c r="AL6795">
        <v>79.934580517470295</v>
      </c>
      <c r="AM6795">
        <v>92.080301965815394</v>
      </c>
      <c r="AN6795">
        <v>0.99999998104876597</v>
      </c>
    </row>
    <row r="6796" spans="1:40" x14ac:dyDescent="0.25">
      <c r="A6796" t="str">
        <f>"20190303170424261"</f>
        <v>20190303170424261</v>
      </c>
      <c r="B6796" t="str">
        <f>"1551603864252444"</f>
        <v>1551603864252444</v>
      </c>
      <c r="C6796" t="s">
        <v>40</v>
      </c>
      <c r="D6796">
        <v>4.7514050000000001</v>
      </c>
      <c r="E6796">
        <v>0.47175709999999998</v>
      </c>
      <c r="F6796" t="s">
        <v>113</v>
      </c>
      <c r="G6796">
        <v>-242.49449999999999</v>
      </c>
      <c r="H6796" s="1">
        <v>-2.153663E-7</v>
      </c>
      <c r="I6796">
        <v>-60.977789999999999</v>
      </c>
      <c r="J6796">
        <v>-271.44400000000002</v>
      </c>
      <c r="K6796">
        <v>1.124673</v>
      </c>
      <c r="L6796">
        <v>-63.817469999999901</v>
      </c>
      <c r="M6796">
        <v>0.99972709999999998</v>
      </c>
      <c r="N6796">
        <v>-1.263424E-2</v>
      </c>
      <c r="O6796">
        <v>-1.9650359999999999E-2</v>
      </c>
      <c r="P6796">
        <v>0.98656730000000004</v>
      </c>
      <c r="Q6796">
        <v>0.162719899999999</v>
      </c>
      <c r="R6796">
        <v>1.439935E-2</v>
      </c>
      <c r="S6796">
        <v>3.0562130000000001</v>
      </c>
      <c r="T6796">
        <v>-0.1181736</v>
      </c>
      <c r="U6796">
        <v>0.29824830000000002</v>
      </c>
      <c r="V6796">
        <v>-3.5122220000000003E-2</v>
      </c>
      <c r="W6796">
        <v>0.1749021</v>
      </c>
      <c r="X6796">
        <v>0.98395920000000003</v>
      </c>
      <c r="Y6796">
        <v>-0.1165451</v>
      </c>
      <c r="Z6796">
        <v>3.4956950000000001E-3</v>
      </c>
      <c r="AA6796">
        <v>0.99317929999999999</v>
      </c>
      <c r="AB6796">
        <v>29</v>
      </c>
      <c r="AC6796">
        <v>28.9495</v>
      </c>
      <c r="AD6796">
        <v>-1.1246732153662999</v>
      </c>
      <c r="AE6796">
        <v>2.8396799999999902</v>
      </c>
      <c r="AF6796">
        <v>-3.4029580235434498</v>
      </c>
      <c r="AG6796">
        <v>-1.1246732153662999</v>
      </c>
      <c r="AH6796">
        <v>28.844983812123701</v>
      </c>
      <c r="AI6796">
        <v>92.217483425359106</v>
      </c>
      <c r="AJ6796">
        <v>96.728312534535206</v>
      </c>
      <c r="AK6796">
        <v>29.066786961634399</v>
      </c>
      <c r="AL6796">
        <v>79.927039127907193</v>
      </c>
      <c r="AM6796">
        <v>92.044293062658795</v>
      </c>
      <c r="AN6796">
        <v>1.00000001109338</v>
      </c>
    </row>
    <row r="6797" spans="1:40" x14ac:dyDescent="0.25">
      <c r="A6797" t="str">
        <f>"20190303170424271"</f>
        <v>20190303170424271</v>
      </c>
      <c r="B6797" t="str">
        <f>"1551603864262204"</f>
        <v>1551603864262204</v>
      </c>
      <c r="C6797" t="s">
        <v>40</v>
      </c>
      <c r="D6797">
        <v>4.7790039999999996</v>
      </c>
      <c r="E6797">
        <v>0.47198430000000002</v>
      </c>
      <c r="F6797" t="s">
        <v>113</v>
      </c>
      <c r="G6797">
        <v>-241.9357</v>
      </c>
      <c r="H6797" s="1">
        <v>4.0812210000000003E-8</v>
      </c>
      <c r="I6797">
        <v>-60.915999999999997</v>
      </c>
      <c r="J6797">
        <v>-271.30590000000001</v>
      </c>
      <c r="K6797">
        <v>1.124633</v>
      </c>
      <c r="L6797">
        <v>-63.818300000000001</v>
      </c>
      <c r="M6797">
        <v>0.99976220000000005</v>
      </c>
      <c r="N6797">
        <v>-1.261837E-2</v>
      </c>
      <c r="O6797">
        <v>-1.7781999999999999E-2</v>
      </c>
      <c r="P6797">
        <v>0.98653139999999995</v>
      </c>
      <c r="Q6797">
        <v>0.16283829999999999</v>
      </c>
      <c r="R6797">
        <v>1.548046E-2</v>
      </c>
      <c r="S6797">
        <v>3.055634</v>
      </c>
      <c r="T6797">
        <v>-0.1164615</v>
      </c>
      <c r="U6797">
        <v>0.30044559999999998</v>
      </c>
      <c r="V6797">
        <v>-3.4344069999999997E-2</v>
      </c>
      <c r="W6797">
        <v>0.1750139</v>
      </c>
      <c r="X6797">
        <v>0.98396680000000003</v>
      </c>
      <c r="Y6797">
        <v>-0.11541940000000001</v>
      </c>
      <c r="Z6797">
        <v>3.3760109999999999E-3</v>
      </c>
      <c r="AA6797">
        <v>0.9933111</v>
      </c>
      <c r="AB6797">
        <v>29</v>
      </c>
      <c r="AC6797">
        <v>29.370200000000001</v>
      </c>
      <c r="AD6797">
        <v>-1.1246329591877899</v>
      </c>
      <c r="AE6797">
        <v>2.9022999999999901</v>
      </c>
      <c r="AF6797">
        <v>-3.4191786623330098</v>
      </c>
      <c r="AG6797">
        <v>-1.1246329591877899</v>
      </c>
      <c r="AH6797">
        <v>29.271438487064199</v>
      </c>
      <c r="AI6797">
        <v>92.185424803467896</v>
      </c>
      <c r="AJ6797">
        <v>96.662492139658795</v>
      </c>
      <c r="AK6797">
        <v>29.4919089432988</v>
      </c>
      <c r="AL6797">
        <v>79.920533220610807</v>
      </c>
      <c r="AM6797">
        <v>91.999022483037095</v>
      </c>
      <c r="AN6797">
        <v>1.0000000219198</v>
      </c>
    </row>
    <row r="6798" spans="1:40" x14ac:dyDescent="0.25">
      <c r="A6798" t="str">
        <f>"20190303170424283"</f>
        <v>20190303170424283</v>
      </c>
      <c r="B6798" t="str">
        <f>"1551603864272941"</f>
        <v>1551603864272941</v>
      </c>
      <c r="C6798" t="s">
        <v>40</v>
      </c>
      <c r="D6798">
        <v>4.7732900000000003</v>
      </c>
      <c r="E6798">
        <v>0.47221190000000002</v>
      </c>
      <c r="F6798" t="s">
        <v>113</v>
      </c>
      <c r="G6798">
        <v>-241.43289999999999</v>
      </c>
      <c r="H6798" s="1">
        <v>2.705432E-7</v>
      </c>
      <c r="I6798">
        <v>-60.863219999999998</v>
      </c>
      <c r="J6798">
        <v>-271.15719999999999</v>
      </c>
      <c r="K6798">
        <v>1.124595</v>
      </c>
      <c r="L6798">
        <v>-63.818849999999998</v>
      </c>
      <c r="M6798">
        <v>0.99979600000000002</v>
      </c>
      <c r="N6798">
        <v>-1.260203E-2</v>
      </c>
      <c r="O6798">
        <v>-1.5788690000000001E-2</v>
      </c>
      <c r="P6798">
        <v>0.9865159</v>
      </c>
      <c r="Q6798">
        <v>0.16282260000000001</v>
      </c>
      <c r="R6798">
        <v>1.6599450000000002E-2</v>
      </c>
      <c r="S6798">
        <v>3.0551759999999999</v>
      </c>
      <c r="T6798">
        <v>-0.1150185</v>
      </c>
      <c r="U6798">
        <v>0.30221559999999997</v>
      </c>
      <c r="V6798">
        <v>-3.3480410000000002E-2</v>
      </c>
      <c r="W6798">
        <v>0.1749918</v>
      </c>
      <c r="X6798">
        <v>0.9840004</v>
      </c>
      <c r="Y6798">
        <v>-0.1140278</v>
      </c>
      <c r="Z6798">
        <v>3.2554620000000002E-3</v>
      </c>
      <c r="AA6798">
        <v>0.99347220000000003</v>
      </c>
      <c r="AB6798">
        <v>29</v>
      </c>
      <c r="AC6798">
        <v>29.724299999999999</v>
      </c>
      <c r="AD6798">
        <v>-1.1245947294567999</v>
      </c>
      <c r="AE6798">
        <v>2.95562999999999</v>
      </c>
      <c r="AF6798">
        <v>-3.41975931551156</v>
      </c>
      <c r="AG6798">
        <v>-1.1245947294567999</v>
      </c>
      <c r="AH6798">
        <v>29.631924448326998</v>
      </c>
      <c r="AI6798">
        <v>92.159136407018906</v>
      </c>
      <c r="AJ6798">
        <v>96.583263412494404</v>
      </c>
      <c r="AK6798">
        <v>29.849797546933399</v>
      </c>
      <c r="AL6798">
        <v>79.921818343346303</v>
      </c>
      <c r="AM6798">
        <v>91.948725269927095</v>
      </c>
      <c r="AN6798">
        <v>0.99999992756058098</v>
      </c>
    </row>
    <row r="6799" spans="1:40" x14ac:dyDescent="0.25">
      <c r="A6799" t="str">
        <f>"20190303170424294"</f>
        <v>20190303170424294</v>
      </c>
      <c r="B6799" t="str">
        <f>"1551603864282700"</f>
        <v>1551603864282700</v>
      </c>
      <c r="C6799" t="s">
        <v>40</v>
      </c>
      <c r="D6799">
        <v>4.8246859999999998</v>
      </c>
      <c r="E6799">
        <v>0.47244370000000002</v>
      </c>
      <c r="F6799" t="s">
        <v>113</v>
      </c>
      <c r="G6799">
        <v>-241.06720000000001</v>
      </c>
      <c r="H6799" s="1">
        <v>4.3782090000000002E-7</v>
      </c>
      <c r="I6799">
        <v>-60.824150000000003</v>
      </c>
      <c r="J6799">
        <v>-271.01609999999999</v>
      </c>
      <c r="K6799">
        <v>1.1245620000000001</v>
      </c>
      <c r="L6799">
        <v>-63.819240000000001</v>
      </c>
      <c r="M6799">
        <v>0.99982420000000005</v>
      </c>
      <c r="N6799">
        <v>-1.258688E-2</v>
      </c>
      <c r="O6799">
        <v>-1.3903250000000001E-2</v>
      </c>
      <c r="P6799">
        <v>0.98651120000000003</v>
      </c>
      <c r="Q6799">
        <v>0.16275599999999901</v>
      </c>
      <c r="R6799">
        <v>1.7494470000000002E-2</v>
      </c>
      <c r="S6799">
        <v>3.0547490000000002</v>
      </c>
      <c r="T6799">
        <v>-0.1141691</v>
      </c>
      <c r="U6799">
        <v>0.30401610000000001</v>
      </c>
      <c r="V6799">
        <v>-3.250157E-2</v>
      </c>
      <c r="W6799">
        <v>0.1749214</v>
      </c>
      <c r="X6799">
        <v>0.98404579999999997</v>
      </c>
      <c r="Y6799">
        <v>-0.112751</v>
      </c>
      <c r="Z6799">
        <v>3.156505E-3</v>
      </c>
      <c r="AA6799">
        <v>0.99361820000000001</v>
      </c>
      <c r="AB6799">
        <v>29</v>
      </c>
      <c r="AC6799">
        <v>29.948899999999899</v>
      </c>
      <c r="AD6799">
        <v>-1.1245615621791001</v>
      </c>
      <c r="AE6799">
        <v>2.99508999999999</v>
      </c>
      <c r="AF6799">
        <v>-3.4064650663141798</v>
      </c>
      <c r="AG6799">
        <v>-1.1245615621791001</v>
      </c>
      <c r="AH6799">
        <v>29.862672018584199</v>
      </c>
      <c r="AI6799">
        <v>92.142729427576498</v>
      </c>
      <c r="AJ6799">
        <v>96.507658236829997</v>
      </c>
      <c r="AK6799">
        <v>30.077363964361702</v>
      </c>
      <c r="AL6799">
        <v>79.925915814798898</v>
      </c>
      <c r="AM6799">
        <v>91.891706750992697</v>
      </c>
      <c r="AN6799">
        <v>0.99999999236403203</v>
      </c>
    </row>
    <row r="6800" spans="1:40" x14ac:dyDescent="0.25">
      <c r="A6800" t="str">
        <f>"20190303170424306"</f>
        <v>20190303170424306</v>
      </c>
      <c r="B6800" t="str">
        <f>"1551603864292460"</f>
        <v>1551603864292460</v>
      </c>
      <c r="C6800" t="s">
        <v>40</v>
      </c>
      <c r="D6800">
        <v>4.7656080000000003</v>
      </c>
      <c r="E6800">
        <v>0.47269060000000002</v>
      </c>
      <c r="F6800" t="s">
        <v>113</v>
      </c>
      <c r="G6800">
        <v>-240.73560000000001</v>
      </c>
      <c r="H6800" s="1">
        <v>5.8800700000000001E-7</v>
      </c>
      <c r="I6800">
        <v>-60.794280000000001</v>
      </c>
      <c r="J6800">
        <v>-270.86989999999997</v>
      </c>
      <c r="K6800">
        <v>1.124533</v>
      </c>
      <c r="L6800">
        <v>-63.819180000000003</v>
      </c>
      <c r="M6800">
        <v>0.9998494</v>
      </c>
      <c r="N6800">
        <v>-1.2569189999999999E-2</v>
      </c>
      <c r="O6800">
        <v>-1.196675E-2</v>
      </c>
      <c r="P6800">
        <v>0.98647200000000002</v>
      </c>
      <c r="Q6800">
        <v>0.16288440000000001</v>
      </c>
      <c r="R6800">
        <v>1.8486550000000001E-2</v>
      </c>
      <c r="S6800">
        <v>3.0543209999999998</v>
      </c>
      <c r="T6800">
        <v>-0.1134319</v>
      </c>
      <c r="U6800">
        <v>0.30511470000000002</v>
      </c>
      <c r="V6800">
        <v>-3.1571799999999997E-2</v>
      </c>
      <c r="W6800">
        <v>0.17504059999999999</v>
      </c>
      <c r="X6800">
        <v>0.98405489999999995</v>
      </c>
      <c r="Y6800">
        <v>-0.1111972</v>
      </c>
      <c r="Z6800">
        <v>3.0531489999999998E-3</v>
      </c>
      <c r="AA6800">
        <v>0.9937937</v>
      </c>
      <c r="AB6800">
        <v>29</v>
      </c>
      <c r="AC6800">
        <v>30.1342999999999</v>
      </c>
      <c r="AD6800">
        <v>-1.124532411993</v>
      </c>
      <c r="AE6800">
        <v>3.0248999999999899</v>
      </c>
      <c r="AF6800">
        <v>-3.3806605987866201</v>
      </c>
      <c r="AG6800">
        <v>-1.124532411993</v>
      </c>
      <c r="AH6800">
        <v>30.0545049019406</v>
      </c>
      <c r="AI6800">
        <v>92.129387730154903</v>
      </c>
      <c r="AJ6800">
        <v>96.417899656920198</v>
      </c>
      <c r="AK6800">
        <v>30.264941832598701</v>
      </c>
      <c r="AL6800">
        <v>79.918979400712502</v>
      </c>
      <c r="AM6800">
        <v>91.837611503875095</v>
      </c>
      <c r="AN6800">
        <v>1.0000000182088</v>
      </c>
    </row>
    <row r="6801" spans="1:40" x14ac:dyDescent="0.25">
      <c r="A6801" t="str">
        <f>"20190303170424318"</f>
        <v>20190303170424318</v>
      </c>
      <c r="B6801" t="str">
        <f>"1551603864312956"</f>
        <v>1551603864312956</v>
      </c>
      <c r="C6801" t="s">
        <v>40</v>
      </c>
      <c r="D6801">
        <v>4.7693519999999996</v>
      </c>
      <c r="E6801">
        <v>0.47309469999999998</v>
      </c>
      <c r="F6801" t="s">
        <v>113</v>
      </c>
      <c r="G6801">
        <v>-240.2261</v>
      </c>
      <c r="H6801" s="1">
        <v>8.1988340000000001E-7</v>
      </c>
      <c r="I6801">
        <v>-60.744329999999998</v>
      </c>
      <c r="J6801">
        <v>-270.71030000000002</v>
      </c>
      <c r="K6801">
        <v>1.1245050000000001</v>
      </c>
      <c r="L6801">
        <v>-63.818969999999901</v>
      </c>
      <c r="M6801">
        <v>0.99987269999999995</v>
      </c>
      <c r="N6801">
        <v>-1.254982E-2</v>
      </c>
      <c r="O6801">
        <v>-9.8578740000000008E-3</v>
      </c>
      <c r="P6801">
        <v>0.9864404</v>
      </c>
      <c r="Q6801">
        <v>0.16292029999999999</v>
      </c>
      <c r="R6801">
        <v>1.981289E-2</v>
      </c>
      <c r="S6801">
        <v>3.0538940000000001</v>
      </c>
      <c r="T6801">
        <v>-0.1120683</v>
      </c>
      <c r="U6801">
        <v>0.306427</v>
      </c>
      <c r="V6801">
        <v>-3.0805869999999999E-2</v>
      </c>
      <c r="W6801">
        <v>0.17506550000000001</v>
      </c>
      <c r="X6801">
        <v>0.98407469999999997</v>
      </c>
      <c r="Y6801">
        <v>-0.109541899999999</v>
      </c>
      <c r="Z6801">
        <v>2.9310389999999999E-3</v>
      </c>
      <c r="AA6801">
        <v>0.99397780000000002</v>
      </c>
      <c r="AB6801">
        <v>29</v>
      </c>
      <c r="AC6801">
        <v>30.484200000000001</v>
      </c>
      <c r="AD6801">
        <v>-1.12450418011659</v>
      </c>
      <c r="AE6801">
        <v>3.0746399999999801</v>
      </c>
      <c r="AF6801">
        <v>-3.3704834976279101</v>
      </c>
      <c r="AG6801">
        <v>-1.12450418011659</v>
      </c>
      <c r="AH6801">
        <v>30.411441650966601</v>
      </c>
      <c r="AI6801">
        <v>92.104748829779993</v>
      </c>
      <c r="AJ6801">
        <v>96.324250336624999</v>
      </c>
      <c r="AK6801">
        <v>30.618302564790099</v>
      </c>
      <c r="AL6801">
        <v>79.917529901126997</v>
      </c>
      <c r="AM6801">
        <v>91.793024566573493</v>
      </c>
      <c r="AN6801">
        <v>0.99999997304839805</v>
      </c>
    </row>
    <row r="6802" spans="1:40" x14ac:dyDescent="0.25">
      <c r="A6802" t="str">
        <f>"20190303170424329"</f>
        <v>20190303170424329</v>
      </c>
      <c r="B6802" t="str">
        <f>"1551603864322716"</f>
        <v>1551603864322716</v>
      </c>
      <c r="C6802" t="s">
        <v>40</v>
      </c>
      <c r="D6802">
        <v>4.7717470000000004</v>
      </c>
      <c r="E6802">
        <v>0.47331590000000001</v>
      </c>
      <c r="F6802" t="s">
        <v>112</v>
      </c>
      <c r="G6802">
        <v>-239.7296</v>
      </c>
      <c r="H6802" s="1">
        <v>-3.2410200000000001E-6</v>
      </c>
      <c r="I6802">
        <v>-60.69894</v>
      </c>
      <c r="J6802">
        <v>-270.57029999999997</v>
      </c>
      <c r="K6802">
        <v>1.1244799999999999</v>
      </c>
      <c r="L6802">
        <v>-63.818480000000001</v>
      </c>
      <c r="M6802">
        <v>0.99988929999999998</v>
      </c>
      <c r="N6802">
        <v>-1.2532720000000001E-2</v>
      </c>
      <c r="O6802">
        <v>-8.0182469999999992E-3</v>
      </c>
      <c r="P6802">
        <v>0.98643930000000002</v>
      </c>
      <c r="Q6802">
        <v>0.16280710000000001</v>
      </c>
      <c r="R6802">
        <v>2.0766819999999998E-2</v>
      </c>
      <c r="S6802">
        <v>3.053375</v>
      </c>
      <c r="T6802">
        <v>-0.1108285</v>
      </c>
      <c r="U6802">
        <v>0.30749510000000002</v>
      </c>
      <c r="V6802">
        <v>-2.9936529999999999E-2</v>
      </c>
      <c r="W6802">
        <v>0.17494390000000001</v>
      </c>
      <c r="X6802">
        <v>0.98412319999999998</v>
      </c>
      <c r="Y6802">
        <v>-0.1080778</v>
      </c>
      <c r="Z6802">
        <v>2.8251800000000001E-3</v>
      </c>
      <c r="AA6802">
        <v>0.99413839999999998</v>
      </c>
      <c r="AB6802">
        <v>29</v>
      </c>
      <c r="AC6802">
        <v>30.840699999999899</v>
      </c>
      <c r="AD6802">
        <v>-1.1244832410200001</v>
      </c>
      <c r="AE6802">
        <v>3.1195400000000002</v>
      </c>
      <c r="AF6802">
        <v>-3.3623228567440702</v>
      </c>
      <c r="AG6802">
        <v>-1.1244832410200001</v>
      </c>
      <c r="AH6802">
        <v>30.774196160469199</v>
      </c>
      <c r="AI6802">
        <v>92.080277200503005</v>
      </c>
      <c r="AJ6802">
        <v>96.235282052668197</v>
      </c>
      <c r="AK6802">
        <v>30.977747285355601</v>
      </c>
      <c r="AL6802">
        <v>79.9246067350077</v>
      </c>
      <c r="AM6802">
        <v>91.742371334720403</v>
      </c>
      <c r="AN6802">
        <v>1.00000001837694</v>
      </c>
    </row>
    <row r="6803" spans="1:40" x14ac:dyDescent="0.25">
      <c r="A6803" t="str">
        <f>"20190303170424339"</f>
        <v>20190303170424339</v>
      </c>
      <c r="B6803" t="str">
        <f>"1551603864332476"</f>
        <v>1551603864332476</v>
      </c>
      <c r="C6803" t="s">
        <v>40</v>
      </c>
      <c r="D6803">
        <v>4.772532</v>
      </c>
      <c r="E6803">
        <v>0.47356969999999998</v>
      </c>
      <c r="F6803" t="s">
        <v>112</v>
      </c>
      <c r="G6803">
        <v>-239.61580000000001</v>
      </c>
      <c r="H6803" s="1">
        <v>-3.1930510000000001E-6</v>
      </c>
      <c r="I6803">
        <v>-60.687109999999997</v>
      </c>
      <c r="J6803">
        <v>-270.44630000000001</v>
      </c>
      <c r="K6803">
        <v>1.1244620000000001</v>
      </c>
      <c r="L6803">
        <v>-63.817839999999997</v>
      </c>
      <c r="M6803">
        <v>0.99990129999999999</v>
      </c>
      <c r="N6803">
        <v>-1.251698E-2</v>
      </c>
      <c r="O6803">
        <v>-6.3917380000000001E-3</v>
      </c>
      <c r="P6803">
        <v>0.98638729999999997</v>
      </c>
      <c r="Q6803">
        <v>0.1630152</v>
      </c>
      <c r="R6803">
        <v>2.1593609999999999E-2</v>
      </c>
      <c r="S6803">
        <v>3.0530089999999999</v>
      </c>
      <c r="T6803">
        <v>-0.1109067</v>
      </c>
      <c r="U6803">
        <v>0.3088379</v>
      </c>
      <c r="V6803">
        <v>-2.915274E-2</v>
      </c>
      <c r="W6803">
        <v>0.17514299999999999</v>
      </c>
      <c r="X6803">
        <v>0.98411130000000002</v>
      </c>
      <c r="Y6803">
        <v>-0.10690669999999999</v>
      </c>
      <c r="Z6803">
        <v>2.759086E-3</v>
      </c>
      <c r="AA6803">
        <v>0.99426519999999996</v>
      </c>
      <c r="AB6803">
        <v>29</v>
      </c>
      <c r="AC6803">
        <v>30.830500000000001</v>
      </c>
      <c r="AD6803">
        <v>-1.1244651930509999</v>
      </c>
      <c r="AE6803">
        <v>3.1307299999999998</v>
      </c>
      <c r="AF6803">
        <v>-3.3233661789608999</v>
      </c>
      <c r="AG6803">
        <v>-1.1244651930509999</v>
      </c>
      <c r="AH6803">
        <v>30.7693448027754</v>
      </c>
      <c r="AI6803">
        <v>92.080850290308604</v>
      </c>
      <c r="AJ6803">
        <v>96.164562188760101</v>
      </c>
      <c r="AK6803">
        <v>30.968722355336599</v>
      </c>
      <c r="AL6803">
        <v>79.913020088984396</v>
      </c>
      <c r="AM6803">
        <v>91.696800578373001</v>
      </c>
      <c r="AN6803">
        <v>1.0000000017430899</v>
      </c>
    </row>
    <row r="6804" spans="1:40" x14ac:dyDescent="0.25">
      <c r="A6804" t="str">
        <f>"20190303170424351"</f>
        <v>20190303170424351</v>
      </c>
      <c r="B6804" t="str">
        <f>"1551603864342238"</f>
        <v>1551603864342238</v>
      </c>
      <c r="C6804" t="s">
        <v>40</v>
      </c>
      <c r="D6804">
        <v>4.8317160000000001</v>
      </c>
      <c r="E6804">
        <v>0.47383069999999999</v>
      </c>
      <c r="F6804" t="s">
        <v>112</v>
      </c>
      <c r="G6804">
        <v>-239.17949999999999</v>
      </c>
      <c r="H6804" s="1">
        <v>-2.9958019999999998E-6</v>
      </c>
      <c r="I6804">
        <v>-60.64931</v>
      </c>
      <c r="J6804">
        <v>-270.29050000000001</v>
      </c>
      <c r="K6804">
        <v>1.1244419999999999</v>
      </c>
      <c r="L6804">
        <v>-63.816740000000003</v>
      </c>
      <c r="M6804">
        <v>0.99991249999999998</v>
      </c>
      <c r="N6804">
        <v>-1.2496139999999999E-2</v>
      </c>
      <c r="O6804">
        <v>-4.3551509999999998E-3</v>
      </c>
      <c r="P6804">
        <v>0.98636440000000003</v>
      </c>
      <c r="Q6804">
        <v>0.16301940000000001</v>
      </c>
      <c r="R6804">
        <v>2.2585540000000001E-2</v>
      </c>
      <c r="S6804">
        <v>3.052765</v>
      </c>
      <c r="T6804">
        <v>-0.1097882</v>
      </c>
      <c r="U6804">
        <v>0.30935669999999998</v>
      </c>
      <c r="V6804">
        <v>-2.8129299999999999E-2</v>
      </c>
      <c r="W6804">
        <v>0.17513500000000001</v>
      </c>
      <c r="X6804">
        <v>0.98414250000000003</v>
      </c>
      <c r="Y6804">
        <v>-0.1050606</v>
      </c>
      <c r="Z6804">
        <v>2.6440700000000001E-3</v>
      </c>
      <c r="AA6804">
        <v>0.99446230000000002</v>
      </c>
      <c r="AB6804">
        <v>29</v>
      </c>
      <c r="AC6804">
        <v>31.111000000000001</v>
      </c>
      <c r="AD6804">
        <v>-1.124444995802</v>
      </c>
      <c r="AE6804">
        <v>3.16743</v>
      </c>
      <c r="AF6804">
        <v>-3.2986387704211402</v>
      </c>
      <c r="AG6804">
        <v>-1.124444995802</v>
      </c>
      <c r="AH6804">
        <v>31.056755444253302</v>
      </c>
      <c r="AI6804">
        <v>92.061964767535301</v>
      </c>
      <c r="AJ6804">
        <v>96.0628400311722</v>
      </c>
      <c r="AK6804">
        <v>31.2516792030519</v>
      </c>
      <c r="AL6804">
        <v>79.913485562222803</v>
      </c>
      <c r="AM6804">
        <v>91.637213603830702</v>
      </c>
      <c r="AN6804">
        <v>0.99999999302486997</v>
      </c>
    </row>
    <row r="6805" spans="1:40" x14ac:dyDescent="0.25">
      <c r="A6805" t="str">
        <f>"20190303170424363"</f>
        <v>20190303170424363</v>
      </c>
      <c r="B6805" t="str">
        <f>"1551603864352972"</f>
        <v>1551603864352972</v>
      </c>
      <c r="C6805" t="s">
        <v>40</v>
      </c>
      <c r="D6805">
        <v>4.7732190000000001</v>
      </c>
      <c r="E6805">
        <v>0.4740663</v>
      </c>
      <c r="F6805" t="s">
        <v>112</v>
      </c>
      <c r="G6805">
        <v>-238.95750000000001</v>
      </c>
      <c r="H6805" s="1">
        <v>-2.8949119999999999E-6</v>
      </c>
      <c r="I6805">
        <v>-60.628030000000003</v>
      </c>
      <c r="J6805">
        <v>-270.1422</v>
      </c>
      <c r="K6805">
        <v>1.124425</v>
      </c>
      <c r="L6805">
        <v>-63.815399999999997</v>
      </c>
      <c r="M6805">
        <v>0.99991940000000001</v>
      </c>
      <c r="N6805">
        <v>-1.247211E-2</v>
      </c>
      <c r="O6805">
        <v>-2.4210519999999999E-3</v>
      </c>
      <c r="P6805">
        <v>0.98634809999999995</v>
      </c>
      <c r="Q6805">
        <v>0.16305120000000001</v>
      </c>
      <c r="R6805">
        <v>2.306938E-2</v>
      </c>
      <c r="S6805">
        <v>3.05246</v>
      </c>
      <c r="T6805">
        <v>-0.1095433</v>
      </c>
      <c r="U6805">
        <v>0.31063839999999998</v>
      </c>
      <c r="V6805">
        <v>-2.6700229999999998E-2</v>
      </c>
      <c r="W6805">
        <v>0.17515510000000001</v>
      </c>
      <c r="X6805">
        <v>0.98417869999999996</v>
      </c>
      <c r="Y6805">
        <v>-0.1035624</v>
      </c>
      <c r="Z6805">
        <v>2.557199E-3</v>
      </c>
      <c r="AA6805">
        <v>0.9946197</v>
      </c>
      <c r="AB6805">
        <v>29</v>
      </c>
      <c r="AC6805">
        <v>31.1846999999999</v>
      </c>
      <c r="AD6805">
        <v>-1.1244278949119999</v>
      </c>
      <c r="AE6805">
        <v>3.1873699999999898</v>
      </c>
      <c r="AF6805">
        <v>-3.2586734696545201</v>
      </c>
      <c r="AG6805">
        <v>-1.1244278949119999</v>
      </c>
      <c r="AH6805">
        <v>31.136828429305002</v>
      </c>
      <c r="AI6805">
        <v>92.056969008090206</v>
      </c>
      <c r="AJ6805">
        <v>95.974629386428504</v>
      </c>
      <c r="AK6805">
        <v>31.327070969189901</v>
      </c>
      <c r="AL6805">
        <v>79.912315524369902</v>
      </c>
      <c r="AM6805">
        <v>91.554021987560006</v>
      </c>
      <c r="AN6805">
        <v>0.99999996243587497</v>
      </c>
    </row>
    <row r="6806" spans="1:40" x14ac:dyDescent="0.25">
      <c r="A6806" t="str">
        <f>"20190303170424373"</f>
        <v>20190303170424373</v>
      </c>
      <c r="B6806" t="str">
        <f>"1551603864362732"</f>
        <v>1551603864362732</v>
      </c>
      <c r="C6806" t="s">
        <v>40</v>
      </c>
      <c r="D6806">
        <v>4.775442</v>
      </c>
      <c r="E6806">
        <v>0.47427849999999999</v>
      </c>
      <c r="F6806" t="s">
        <v>112</v>
      </c>
      <c r="G6806">
        <v>-238.7928</v>
      </c>
      <c r="H6806" s="1">
        <v>-2.8231600000000001E-6</v>
      </c>
      <c r="I6806">
        <v>-60.623939999999997</v>
      </c>
      <c r="J6806">
        <v>-270.00830000000002</v>
      </c>
      <c r="K6806">
        <v>1.1244080000000001</v>
      </c>
      <c r="L6806">
        <v>-63.814059999999998</v>
      </c>
      <c r="M6806">
        <v>0.99992250000000005</v>
      </c>
      <c r="N6806">
        <v>-1.2448600000000001E-2</v>
      </c>
      <c r="O6806">
        <v>-6.7671579999999999E-4</v>
      </c>
      <c r="P6806">
        <v>0.98631389999999997</v>
      </c>
      <c r="Q6806">
        <v>0.16323770000000001</v>
      </c>
      <c r="R6806">
        <v>2.3211639999999999E-2</v>
      </c>
      <c r="S6806">
        <v>3.0523380000000002</v>
      </c>
      <c r="T6806">
        <v>-0.1094798</v>
      </c>
      <c r="U6806">
        <v>0.31073000000000001</v>
      </c>
      <c r="V6806">
        <v>-2.5118350000000001E-2</v>
      </c>
      <c r="W6806">
        <v>0.17533029999999999</v>
      </c>
      <c r="X6806">
        <v>0.98418919999999999</v>
      </c>
      <c r="Y6806">
        <v>-0.1018628</v>
      </c>
      <c r="Z6806">
        <v>2.4732500000000002E-3</v>
      </c>
      <c r="AA6806">
        <v>0.9947954</v>
      </c>
      <c r="AB6806">
        <v>29</v>
      </c>
      <c r="AC6806">
        <v>31.215499999999999</v>
      </c>
      <c r="AD6806">
        <v>-1.1244108231600001</v>
      </c>
      <c r="AE6806">
        <v>3.1901199999999901</v>
      </c>
      <c r="AF6806">
        <v>-3.2071266688510098</v>
      </c>
      <c r="AG6806">
        <v>-1.1244108231600001</v>
      </c>
      <c r="AH6806">
        <v>31.173304398360699</v>
      </c>
      <c r="AI6806">
        <v>92.054907358149293</v>
      </c>
      <c r="AJ6806">
        <v>95.873955308363094</v>
      </c>
      <c r="AK6806">
        <v>31.358011229702502</v>
      </c>
      <c r="AL6806">
        <v>79.9021200440218</v>
      </c>
      <c r="AM6806">
        <v>91.461978132650003</v>
      </c>
      <c r="AN6806">
        <v>1.0000000135007201</v>
      </c>
    </row>
    <row r="6807" spans="1:40" x14ac:dyDescent="0.25">
      <c r="A6807" t="str">
        <f>"20190303170424384"</f>
        <v>20190303170424384</v>
      </c>
      <c r="B6807" t="str">
        <f>"1551603864372493"</f>
        <v>1551603864372493</v>
      </c>
      <c r="C6807" t="s">
        <v>40</v>
      </c>
      <c r="D6807">
        <v>4.8287610000000001</v>
      </c>
      <c r="E6807">
        <v>0.47449400000000003</v>
      </c>
      <c r="F6807" t="s">
        <v>112</v>
      </c>
      <c r="G6807">
        <v>-238.39410000000001</v>
      </c>
      <c r="H6807" s="1">
        <v>-2.6460070000000001E-6</v>
      </c>
      <c r="I6807">
        <v>-60.60098</v>
      </c>
      <c r="J6807">
        <v>-269.86790000000002</v>
      </c>
      <c r="K6807">
        <v>1.1243920000000001</v>
      </c>
      <c r="L6807">
        <v>-63.81223</v>
      </c>
      <c r="M6807">
        <v>0.99992219999999998</v>
      </c>
      <c r="N6807">
        <v>-1.242357E-2</v>
      </c>
      <c r="O6807">
        <v>1.1450519999999999E-3</v>
      </c>
      <c r="P6807">
        <v>0.98632969999999998</v>
      </c>
      <c r="Q6807">
        <v>0.163105</v>
      </c>
      <c r="R6807">
        <v>2.3463060000000001E-2</v>
      </c>
      <c r="S6807">
        <v>3.0523069999999999</v>
      </c>
      <c r="T6807">
        <v>-0.10856010000000001</v>
      </c>
      <c r="U6807">
        <v>0.31021120000000002</v>
      </c>
      <c r="V6807">
        <v>-2.3566980000000001E-2</v>
      </c>
      <c r="W6807">
        <v>0.1751847</v>
      </c>
      <c r="X6807">
        <v>0.9842535</v>
      </c>
      <c r="Y6807">
        <v>-9.9887279999999995E-2</v>
      </c>
      <c r="Z6807">
        <v>2.3671439999999998E-3</v>
      </c>
      <c r="AA6807">
        <v>0.99499599999999999</v>
      </c>
      <c r="AB6807">
        <v>29</v>
      </c>
      <c r="AC6807">
        <v>31.473800000000001</v>
      </c>
      <c r="AD6807">
        <v>-1.124394646007</v>
      </c>
      <c r="AE6807">
        <v>3.2112500000000002</v>
      </c>
      <c r="AF6807">
        <v>-3.17120039799706</v>
      </c>
      <c r="AG6807">
        <v>-1.124394646007</v>
      </c>
      <c r="AH6807">
        <v>31.437747327978499</v>
      </c>
      <c r="AI6807">
        <v>92.038019839402494</v>
      </c>
      <c r="AJ6807">
        <v>95.760077660843606</v>
      </c>
      <c r="AK6807">
        <v>31.6172853411239</v>
      </c>
      <c r="AL6807">
        <v>79.9105934908183</v>
      </c>
      <c r="AM6807">
        <v>91.371628885591406</v>
      </c>
      <c r="AN6807">
        <v>1.0000000169613299</v>
      </c>
    </row>
    <row r="6808" spans="1:40" x14ac:dyDescent="0.25">
      <c r="A6808" t="str">
        <f>"20190303170424396"</f>
        <v>20190303170424396</v>
      </c>
      <c r="B6808" t="str">
        <f>"1551603864382252"</f>
        <v>1551603864382252</v>
      </c>
      <c r="C6808" t="s">
        <v>40</v>
      </c>
      <c r="D6808">
        <v>4.8232720000000002</v>
      </c>
      <c r="E6808">
        <v>0.47468149999999998</v>
      </c>
      <c r="F6808" t="s">
        <v>112</v>
      </c>
      <c r="G6808">
        <v>-238.27760000000001</v>
      </c>
      <c r="H6808" s="1">
        <v>-2.596645E-6</v>
      </c>
      <c r="I6808">
        <v>-60.603360000000002</v>
      </c>
      <c r="J6808">
        <v>-269.72410000000002</v>
      </c>
      <c r="K6808">
        <v>1.124377</v>
      </c>
      <c r="L6808">
        <v>-63.810299999999998</v>
      </c>
      <c r="M6808">
        <v>0.99991859999999999</v>
      </c>
      <c r="N6808">
        <v>-1.239789E-2</v>
      </c>
      <c r="O6808">
        <v>3.0069329999999998E-3</v>
      </c>
      <c r="P6808">
        <v>0.98625649999999998</v>
      </c>
      <c r="Q6808">
        <v>0.16352410000000001</v>
      </c>
      <c r="R6808">
        <v>2.362705E-2</v>
      </c>
      <c r="S6808">
        <v>3.0521850000000001</v>
      </c>
      <c r="T6808">
        <v>-0.1086365</v>
      </c>
      <c r="U6808">
        <v>0.31002809999999997</v>
      </c>
      <c r="V6808">
        <v>-2.1892640000000001E-2</v>
      </c>
      <c r="W6808">
        <v>0.17559079999999999</v>
      </c>
      <c r="X6808">
        <v>0.98421979999999998</v>
      </c>
      <c r="Y6808">
        <v>-9.7981380000000007E-2</v>
      </c>
      <c r="Z6808">
        <v>2.2783920000000002E-3</v>
      </c>
      <c r="AA6808">
        <v>0.9951856</v>
      </c>
      <c r="AB6808">
        <v>29</v>
      </c>
      <c r="AC6808">
        <v>31.4465</v>
      </c>
      <c r="AD6808">
        <v>-1.1243795966450001</v>
      </c>
      <c r="AE6808">
        <v>3.2069399999999999</v>
      </c>
      <c r="AF6808">
        <v>-3.1084276683218999</v>
      </c>
      <c r="AG6808">
        <v>-1.1243795966450001</v>
      </c>
      <c r="AH6808">
        <v>31.416251139074902</v>
      </c>
      <c r="AI6808">
        <v>92.039774753482604</v>
      </c>
      <c r="AJ6808">
        <v>95.650642080079805</v>
      </c>
      <c r="AK6808">
        <v>31.589672167972299</v>
      </c>
      <c r="AL6808">
        <v>79.886959319496796</v>
      </c>
      <c r="AM6808">
        <v>91.274257090833004</v>
      </c>
      <c r="AN6808">
        <v>1.0000000157214199</v>
      </c>
    </row>
    <row r="6809" spans="1:40" x14ac:dyDescent="0.25">
      <c r="A6809" t="str">
        <f>"20190303170424406"</f>
        <v>20190303170424406</v>
      </c>
      <c r="B6809" t="str">
        <f>"1551603864392012"</f>
        <v>1551603864392012</v>
      </c>
      <c r="C6809" t="s">
        <v>40</v>
      </c>
      <c r="D6809">
        <v>4.8285289999999996</v>
      </c>
      <c r="E6809">
        <v>0.47490110000000002</v>
      </c>
      <c r="F6809" t="s">
        <v>112</v>
      </c>
      <c r="G6809">
        <v>-237.66210000000001</v>
      </c>
      <c r="H6809" s="1">
        <v>-2.320381E-6</v>
      </c>
      <c r="I6809">
        <v>-60.557310000000001</v>
      </c>
      <c r="J6809">
        <v>-269.5806</v>
      </c>
      <c r="K6809">
        <v>1.1243570000000001</v>
      </c>
      <c r="L6809">
        <v>-63.807920000000003</v>
      </c>
      <c r="M6809">
        <v>0.99991180000000002</v>
      </c>
      <c r="N6809">
        <v>-1.237134E-2</v>
      </c>
      <c r="O6809">
        <v>4.8530120000000003E-3</v>
      </c>
      <c r="P6809">
        <v>0.9862109</v>
      </c>
      <c r="Q6809">
        <v>0.163751799999999</v>
      </c>
      <c r="R6809">
        <v>2.394514E-2</v>
      </c>
      <c r="S6809">
        <v>3.0521240000000001</v>
      </c>
      <c r="T6809">
        <v>-0.1070348</v>
      </c>
      <c r="U6809">
        <v>0.30966189999999999</v>
      </c>
      <c r="V6809">
        <v>-2.038628E-2</v>
      </c>
      <c r="W6809">
        <v>0.17580299999999999</v>
      </c>
      <c r="X6809">
        <v>0.98421420000000004</v>
      </c>
      <c r="Y6809">
        <v>-9.6031850000000002E-2</v>
      </c>
      <c r="Z6809">
        <v>2.1650419999999998E-3</v>
      </c>
      <c r="AA6809">
        <v>0.99537589999999998</v>
      </c>
      <c r="AB6809">
        <v>29</v>
      </c>
      <c r="AC6809">
        <v>31.918499999999899</v>
      </c>
      <c r="AD6809">
        <v>-1.1243593203810001</v>
      </c>
      <c r="AE6809">
        <v>3.2506099999999898</v>
      </c>
      <c r="AF6809">
        <v>-3.0918618058962601</v>
      </c>
      <c r="AG6809">
        <v>-1.1243593203810001</v>
      </c>
      <c r="AH6809">
        <v>31.894729667486299</v>
      </c>
      <c r="AI6809">
        <v>92.0095537813622</v>
      </c>
      <c r="AJ6809">
        <v>95.536928218933596</v>
      </c>
      <c r="AK6809">
        <v>32.063960670355698</v>
      </c>
      <c r="AL6809">
        <v>79.8746082976065</v>
      </c>
      <c r="AM6809">
        <v>91.1866124274177</v>
      </c>
      <c r="AN6809">
        <v>0.99999994335143705</v>
      </c>
    </row>
    <row r="6810" spans="1:40" x14ac:dyDescent="0.25">
      <c r="A6810" t="str">
        <f>"20190303170424418"</f>
        <v>20190303170424418</v>
      </c>
      <c r="B6810" t="str">
        <f>"1551603864412508"</f>
        <v>1551603864412508</v>
      </c>
      <c r="C6810" t="s">
        <v>40</v>
      </c>
      <c r="D6810">
        <v>4.9581480000000004</v>
      </c>
      <c r="E6810">
        <v>0.4992278</v>
      </c>
      <c r="F6810" t="s">
        <v>112</v>
      </c>
      <c r="G6810">
        <v>-237.2637</v>
      </c>
      <c r="H6810" s="1">
        <v>-2.142161E-6</v>
      </c>
      <c r="I6810">
        <v>-60.529949999999999</v>
      </c>
      <c r="J6810">
        <v>-269.43459999999999</v>
      </c>
      <c r="K6810">
        <v>1.124339</v>
      </c>
      <c r="L6810">
        <v>-63.80536</v>
      </c>
      <c r="M6810">
        <v>0.99990120000000005</v>
      </c>
      <c r="N6810">
        <v>-1.234445E-2</v>
      </c>
      <c r="O6810">
        <v>6.7272190000000004E-3</v>
      </c>
      <c r="P6810">
        <v>0.98621740000000002</v>
      </c>
      <c r="Q6810">
        <v>0.16370019999999999</v>
      </c>
      <c r="R6810">
        <v>2.4031529999999999E-2</v>
      </c>
      <c r="S6810">
        <v>3.052063</v>
      </c>
      <c r="T6810">
        <v>-0.10618619999999999</v>
      </c>
      <c r="U6810">
        <v>0.30957030000000002</v>
      </c>
      <c r="V6810">
        <v>-1.8617640000000001E-2</v>
      </c>
      <c r="W6810">
        <v>0.1757387</v>
      </c>
      <c r="X6810">
        <v>0.98426080000000005</v>
      </c>
      <c r="Y6810">
        <v>-9.4141539999999996E-2</v>
      </c>
      <c r="Z6810">
        <v>2.0652600000000002E-3</v>
      </c>
      <c r="AA6810">
        <v>0.99555669999999996</v>
      </c>
      <c r="AB6810">
        <v>29</v>
      </c>
      <c r="AC6810">
        <v>32.170899999999897</v>
      </c>
      <c r="AD6810">
        <v>-1.1243411421609999</v>
      </c>
      <c r="AE6810">
        <v>3.2754099999999999</v>
      </c>
      <c r="AF6810">
        <v>-3.05520525295359</v>
      </c>
      <c r="AG6810">
        <v>-1.1243411421609999</v>
      </c>
      <c r="AH6810">
        <v>32.153337768093202</v>
      </c>
      <c r="AI6810">
        <v>91.993735581475406</v>
      </c>
      <c r="AJ6810">
        <v>95.427939506063893</v>
      </c>
      <c r="AK6810">
        <v>32.317728134426801</v>
      </c>
      <c r="AL6810">
        <v>79.878351412072007</v>
      </c>
      <c r="AM6810">
        <v>91.0836406407185</v>
      </c>
      <c r="AN6810">
        <v>1.0000000148067401</v>
      </c>
    </row>
    <row r="6811" spans="1:40" x14ac:dyDescent="0.25">
      <c r="A6811" t="str">
        <f>"20190303170424429"</f>
        <v>20190303170424429</v>
      </c>
      <c r="B6811" t="str">
        <f>"1551603864422268"</f>
        <v>1551603864422268</v>
      </c>
      <c r="C6811" t="s">
        <v>40</v>
      </c>
      <c r="D6811">
        <v>4.8555060000000001</v>
      </c>
      <c r="E6811">
        <v>0.50003909999999996</v>
      </c>
      <c r="F6811" t="s">
        <v>75</v>
      </c>
      <c r="G6811">
        <v>-203.9434</v>
      </c>
      <c r="H6811" s="1">
        <v>-3.7516179999999999E-6</v>
      </c>
      <c r="I6811">
        <v>-61.386290000000002</v>
      </c>
      <c r="J6811">
        <v>-269.29050000000001</v>
      </c>
      <c r="K6811">
        <v>1.1243179999999999</v>
      </c>
      <c r="L6811">
        <v>-63.802520000000001</v>
      </c>
      <c r="M6811">
        <v>0.99988750000000004</v>
      </c>
      <c r="N6811">
        <v>-1.231817E-2</v>
      </c>
      <c r="O6811">
        <v>8.5677989999999992E-3</v>
      </c>
      <c r="P6811">
        <v>0.98622609999999999</v>
      </c>
      <c r="Q6811">
        <v>0.16359460000000001</v>
      </c>
      <c r="R6811">
        <v>2.4392319999999999E-2</v>
      </c>
      <c r="S6811">
        <v>3.0478519999999998</v>
      </c>
      <c r="T6811">
        <v>-5.2325009999999998E-2</v>
      </c>
      <c r="U6811">
        <v>0.11257929999999999</v>
      </c>
      <c r="V6811">
        <v>-1.7156020000000001E-2</v>
      </c>
      <c r="W6811">
        <v>0.17561849999999901</v>
      </c>
      <c r="X6811">
        <v>0.98430879999999998</v>
      </c>
      <c r="Y6811">
        <v>-2.8341080000000001E-2</v>
      </c>
      <c r="Z6811">
        <v>3.7630809999999998E-4</v>
      </c>
      <c r="AA6811">
        <v>0.99959830000000005</v>
      </c>
      <c r="AB6811">
        <v>29</v>
      </c>
      <c r="AC6811">
        <v>65.347099999999998</v>
      </c>
      <c r="AD6811">
        <v>-1.124321751618</v>
      </c>
      <c r="AE6811">
        <v>2.4162299999999899</v>
      </c>
      <c r="AF6811">
        <v>-1.85566946953413</v>
      </c>
      <c r="AG6811">
        <v>-1.124321751618</v>
      </c>
      <c r="AH6811">
        <v>65.346086787822003</v>
      </c>
      <c r="AI6811">
        <v>90.985316607813303</v>
      </c>
      <c r="AJ6811">
        <v>91.626623225650107</v>
      </c>
      <c r="AK6811">
        <v>65.382097450776897</v>
      </c>
      <c r="AL6811">
        <v>79.885347015900095</v>
      </c>
      <c r="AM6811">
        <v>90.998536251557496</v>
      </c>
      <c r="AN6811">
        <v>1.0000000001609599</v>
      </c>
    </row>
    <row r="6812" spans="1:40" x14ac:dyDescent="0.25">
      <c r="A6812" t="str">
        <f>"20190303170424440"</f>
        <v>20190303170424440</v>
      </c>
      <c r="B6812" t="str">
        <f>"1551603864432028"</f>
        <v>1551603864432028</v>
      </c>
      <c r="C6812" t="s">
        <v>40</v>
      </c>
      <c r="D6812">
        <v>4.8606210000000001</v>
      </c>
      <c r="E6812">
        <v>0.50098019999999999</v>
      </c>
      <c r="F6812" t="s">
        <v>75</v>
      </c>
      <c r="G6812">
        <v>-199.3708</v>
      </c>
      <c r="H6812" s="1">
        <v>-6.0189449999999998E-6</v>
      </c>
      <c r="I6812">
        <v>-61.342030000000001</v>
      </c>
      <c r="J6812">
        <v>-269.14679999999998</v>
      </c>
      <c r="K6812">
        <v>1.124298</v>
      </c>
      <c r="L6812">
        <v>-63.799410000000002</v>
      </c>
      <c r="M6812">
        <v>0.9998705</v>
      </c>
      <c r="N6812">
        <v>-1.229272E-2</v>
      </c>
      <c r="O6812">
        <v>1.0391020000000001E-2</v>
      </c>
      <c r="P6812">
        <v>0.98627089999999995</v>
      </c>
      <c r="Q6812">
        <v>0.16323099999999999</v>
      </c>
      <c r="R6812">
        <v>2.5011269999999999E-2</v>
      </c>
      <c r="S6812">
        <v>3.0473940000000002</v>
      </c>
      <c r="T6812">
        <v>-4.9002770000000001E-2</v>
      </c>
      <c r="U6812">
        <v>0.1072388</v>
      </c>
      <c r="V6812">
        <v>-1.5966350000000001E-2</v>
      </c>
      <c r="W6812">
        <v>0.1752397</v>
      </c>
      <c r="X6812">
        <v>0.9843963</v>
      </c>
      <c r="Y6812">
        <v>-2.4775709999999999E-2</v>
      </c>
      <c r="Z6812">
        <v>3.1216289999999998E-4</v>
      </c>
      <c r="AA6812">
        <v>0.99969300000000005</v>
      </c>
      <c r="AB6812">
        <v>29</v>
      </c>
      <c r="AC6812">
        <v>69.775999999999897</v>
      </c>
      <c r="AD6812">
        <v>-1.124304018945</v>
      </c>
      <c r="AE6812">
        <v>2.4573799999999899</v>
      </c>
      <c r="AF6812">
        <v>-1.73169970377238</v>
      </c>
      <c r="AG6812">
        <v>-1.124304018945</v>
      </c>
      <c r="AH6812">
        <v>69.779674494449097</v>
      </c>
      <c r="AI6812">
        <v>90.922797075464004</v>
      </c>
      <c r="AJ6812">
        <v>91.421599112478503</v>
      </c>
      <c r="AK6812">
        <v>69.8102128341</v>
      </c>
      <c r="AL6812">
        <v>79.907392292622703</v>
      </c>
      <c r="AM6812">
        <v>90.929223588792993</v>
      </c>
      <c r="AN6812">
        <v>0.99999997612105096</v>
      </c>
    </row>
    <row r="6813" spans="1:40" x14ac:dyDescent="0.25">
      <c r="A6813" t="str">
        <f>"20190303170424450"</f>
        <v>20190303170424450</v>
      </c>
      <c r="B6813" t="str">
        <f>"1551603864442767"</f>
        <v>1551603864442767</v>
      </c>
      <c r="C6813" t="s">
        <v>40</v>
      </c>
      <c r="D6813">
        <v>4.9074109999999997</v>
      </c>
      <c r="E6813">
        <v>0.50145819999999997</v>
      </c>
      <c r="F6813" t="s">
        <v>75</v>
      </c>
      <c r="G6813">
        <v>-199.9324</v>
      </c>
      <c r="H6813" s="1">
        <v>-5.79853E-6</v>
      </c>
      <c r="I6813">
        <v>-61.485700000000001</v>
      </c>
      <c r="J6813">
        <v>-269.01459999999997</v>
      </c>
      <c r="K6813">
        <v>1.124277</v>
      </c>
      <c r="L6813">
        <v>-63.796419999999998</v>
      </c>
      <c r="M6813">
        <v>0.99985210000000002</v>
      </c>
      <c r="N6813">
        <v>-1.226998E-2</v>
      </c>
      <c r="O6813">
        <v>1.2058599999999999E-2</v>
      </c>
      <c r="P6813">
        <v>0.98635039999999996</v>
      </c>
      <c r="Q6813">
        <v>0.162748</v>
      </c>
      <c r="R6813">
        <v>2.502246E-2</v>
      </c>
      <c r="S6813">
        <v>3.0473629999999998</v>
      </c>
      <c r="T6813">
        <v>-4.9500700000000002E-2</v>
      </c>
      <c r="U6813">
        <v>0.10186770000000001</v>
      </c>
      <c r="V6813">
        <v>-1.432049E-2</v>
      </c>
      <c r="W6813">
        <v>0.1747476</v>
      </c>
      <c r="X6813">
        <v>0.98450910000000003</v>
      </c>
      <c r="Y6813">
        <v>-2.1349420000000001E-2</v>
      </c>
      <c r="Z6813">
        <v>2.5650759999999999E-4</v>
      </c>
      <c r="AA6813">
        <v>0.99977210000000005</v>
      </c>
      <c r="AB6813">
        <v>29</v>
      </c>
      <c r="AC6813">
        <v>69.082199999999901</v>
      </c>
      <c r="AD6813">
        <v>-1.1242827985299999</v>
      </c>
      <c r="AE6813">
        <v>2.3107199999999901</v>
      </c>
      <c r="AF6813">
        <v>-1.47706393280405</v>
      </c>
      <c r="AG6813">
        <v>-1.1242827985299999</v>
      </c>
      <c r="AH6813">
        <v>69.086764616405105</v>
      </c>
      <c r="AI6813">
        <v>90.932107050838098</v>
      </c>
      <c r="AJ6813">
        <v>91.224787971706206</v>
      </c>
      <c r="AK6813">
        <v>69.111697814734796</v>
      </c>
      <c r="AL6813">
        <v>79.936029511055494</v>
      </c>
      <c r="AM6813">
        <v>90.833355199352397</v>
      </c>
      <c r="AN6813">
        <v>0.99999998406120405</v>
      </c>
    </row>
    <row r="6814" spans="1:40" x14ac:dyDescent="0.25">
      <c r="A6814" t="str">
        <f>"20190303170424462"</f>
        <v>20190303170424462</v>
      </c>
      <c r="B6814" t="str">
        <f>"1551603864452524"</f>
        <v>1551603864452524</v>
      </c>
      <c r="C6814" t="s">
        <v>40</v>
      </c>
      <c r="D6814">
        <v>4.9111379999999896</v>
      </c>
      <c r="E6814">
        <v>0.50189510000000004</v>
      </c>
      <c r="F6814" t="s">
        <v>75</v>
      </c>
      <c r="G6814">
        <v>-198.3364</v>
      </c>
      <c r="H6814" s="1">
        <v>-6.4505859999999997E-6</v>
      </c>
      <c r="I6814">
        <v>-61.520560000000003</v>
      </c>
      <c r="J6814">
        <v>-268.87369999999999</v>
      </c>
      <c r="K6814">
        <v>1.124255</v>
      </c>
      <c r="L6814">
        <v>-63.792909999999999</v>
      </c>
      <c r="M6814">
        <v>0.99982959999999999</v>
      </c>
      <c r="N6814">
        <v>-1.2244680000000001E-2</v>
      </c>
      <c r="O6814">
        <v>1.3814969999999999E-2</v>
      </c>
      <c r="P6814">
        <v>0.98636210000000002</v>
      </c>
      <c r="Q6814">
        <v>0.16268050000000001</v>
      </c>
      <c r="R6814">
        <v>2.499703E-2</v>
      </c>
      <c r="S6814">
        <v>3.0469970000000002</v>
      </c>
      <c r="T6814">
        <v>-4.8468829999999997E-2</v>
      </c>
      <c r="U6814">
        <v>9.8114010000000001E-2</v>
      </c>
      <c r="V6814">
        <v>-1.255176E-2</v>
      </c>
      <c r="W6814">
        <v>0.17466789999999999</v>
      </c>
      <c r="X6814">
        <v>0.98454739999999996</v>
      </c>
      <c r="Y6814">
        <v>-1.8367620000000001E-2</v>
      </c>
      <c r="Z6814">
        <v>2.080052E-4</v>
      </c>
      <c r="AA6814">
        <v>0.99983129999999998</v>
      </c>
      <c r="AB6814">
        <v>29</v>
      </c>
      <c r="AC6814">
        <v>70.537299999999902</v>
      </c>
      <c r="AD6814">
        <v>-1.124261450586</v>
      </c>
      <c r="AE6814">
        <v>2.2723499999999999</v>
      </c>
      <c r="AF6814">
        <v>-1.2972601671193</v>
      </c>
      <c r="AG6814">
        <v>-1.124261450586</v>
      </c>
      <c r="AH6814">
        <v>70.544060105789995</v>
      </c>
      <c r="AI6814">
        <v>90.912891846888598</v>
      </c>
      <c r="AJ6814">
        <v>91.0535140121263</v>
      </c>
      <c r="AK6814">
        <v>70.564943590707898</v>
      </c>
      <c r="AL6814">
        <v>79.940667499075701</v>
      </c>
      <c r="AM6814">
        <v>90.730410658940698</v>
      </c>
      <c r="AN6814">
        <v>1.0000000024081299</v>
      </c>
    </row>
    <row r="6815" spans="1:40" x14ac:dyDescent="0.25">
      <c r="A6815" t="str">
        <f>"20190303170424473"</f>
        <v>20190303170424473</v>
      </c>
      <c r="B6815" t="str">
        <f>"1551603864462284"</f>
        <v>1551603864462284</v>
      </c>
      <c r="C6815" t="s">
        <v>40</v>
      </c>
      <c r="D6815">
        <v>4.3815410000000004</v>
      </c>
      <c r="E6815">
        <v>0.5019827</v>
      </c>
      <c r="F6815" t="s">
        <v>75</v>
      </c>
      <c r="G6815">
        <v>-196.79320000000001</v>
      </c>
      <c r="H6815" s="1">
        <v>-7.0809490000000001E-6</v>
      </c>
      <c r="I6815">
        <v>-61.55124</v>
      </c>
      <c r="J6815">
        <v>-268.7312</v>
      </c>
      <c r="K6815">
        <v>1.1242259999999999</v>
      </c>
      <c r="L6815">
        <v>-63.789219999999901</v>
      </c>
      <c r="M6815">
        <v>0.99980400000000003</v>
      </c>
      <c r="N6815">
        <v>-1.221852E-2</v>
      </c>
      <c r="O6815">
        <v>1.5579300000000001E-2</v>
      </c>
      <c r="P6815">
        <v>0.9864058</v>
      </c>
      <c r="Q6815">
        <v>0.16242039999999999</v>
      </c>
      <c r="R6815">
        <v>2.4965770000000002E-2</v>
      </c>
      <c r="S6815">
        <v>3.0469059999999999</v>
      </c>
      <c r="T6815">
        <v>-4.7523500000000003E-2</v>
      </c>
      <c r="U6815">
        <v>9.4757079999999994E-2</v>
      </c>
      <c r="V6815">
        <v>-1.076594E-2</v>
      </c>
      <c r="W6815">
        <v>0.17439549999999901</v>
      </c>
      <c r="X6815">
        <v>0.98461679999999996</v>
      </c>
      <c r="Y6815">
        <v>-1.550444E-2</v>
      </c>
      <c r="Z6815">
        <v>1.630669E-4</v>
      </c>
      <c r="AA6815">
        <v>0.99987979999999999</v>
      </c>
      <c r="AB6815">
        <v>29</v>
      </c>
      <c r="AC6815">
        <v>71.937999999999903</v>
      </c>
      <c r="AD6815">
        <v>-1.124233080949</v>
      </c>
      <c r="AE6815">
        <v>2.2379799999999901</v>
      </c>
      <c r="AF6815">
        <v>-1.1166085774512899</v>
      </c>
      <c r="AG6815">
        <v>-1.124233080949</v>
      </c>
      <c r="AH6815">
        <v>71.946582327229294</v>
      </c>
      <c r="AI6815">
        <v>90.895119857098393</v>
      </c>
      <c r="AJ6815">
        <v>90.889157216817907</v>
      </c>
      <c r="AK6815">
        <v>71.964028676167999</v>
      </c>
      <c r="AL6815">
        <v>79.956517816975605</v>
      </c>
      <c r="AM6815">
        <v>90.626455230035106</v>
      </c>
      <c r="AN6815">
        <v>0.99999996936328595</v>
      </c>
    </row>
    <row r="6816" spans="1:40" x14ac:dyDescent="0.25">
      <c r="A6816" t="str">
        <f>"20190303170424484"</f>
        <v>20190303170424484</v>
      </c>
      <c r="B6816" t="str">
        <f>"1551603864472044"</f>
        <v>1551603864472044</v>
      </c>
      <c r="C6816" t="s">
        <v>40</v>
      </c>
      <c r="D6816">
        <v>4.8514400000000002</v>
      </c>
      <c r="E6816">
        <v>0.50222129999999998</v>
      </c>
      <c r="F6816" t="s">
        <v>75</v>
      </c>
      <c r="G6816">
        <v>-197.3811</v>
      </c>
      <c r="H6816" s="1">
        <v>-6.8435330000000001E-6</v>
      </c>
      <c r="I6816">
        <v>-61.586680000000001</v>
      </c>
      <c r="J6816">
        <v>-268.58569999999997</v>
      </c>
      <c r="K6816">
        <v>1.1241920000000001</v>
      </c>
      <c r="L6816">
        <v>-63.7851</v>
      </c>
      <c r="M6816">
        <v>0.99977539999999998</v>
      </c>
      <c r="N6816">
        <v>-1.2192039999999999E-2</v>
      </c>
      <c r="O6816">
        <v>1.7342509999999998E-2</v>
      </c>
      <c r="P6816">
        <v>0.98640410000000001</v>
      </c>
      <c r="Q6816">
        <v>0.1624457</v>
      </c>
      <c r="R6816">
        <v>2.487528E-2</v>
      </c>
      <c r="S6816">
        <v>3.046875</v>
      </c>
      <c r="T6816">
        <v>-4.800832E-2</v>
      </c>
      <c r="U6816">
        <v>9.4055180000000002E-2</v>
      </c>
      <c r="V6816">
        <v>-8.9221630000000003E-3</v>
      </c>
      <c r="W6816">
        <v>0.1744077</v>
      </c>
      <c r="X6816">
        <v>0.98463310000000004</v>
      </c>
      <c r="Y6816">
        <v>-1.351165E-2</v>
      </c>
      <c r="Z6816">
        <v>1.270849E-4</v>
      </c>
      <c r="AA6816">
        <v>0.99990869999999998</v>
      </c>
      <c r="AB6816">
        <v>29</v>
      </c>
      <c r="AC6816">
        <v>71.2045999999999</v>
      </c>
      <c r="AD6816">
        <v>-1.1241988435329999</v>
      </c>
      <c r="AE6816">
        <v>2.1984199999999898</v>
      </c>
      <c r="AF6816">
        <v>-0.96289141655367105</v>
      </c>
      <c r="AG6816">
        <v>-1.1241988435329999</v>
      </c>
      <c r="AH6816">
        <v>71.214284027736198</v>
      </c>
      <c r="AI6816">
        <v>90.904321578900095</v>
      </c>
      <c r="AJ6816">
        <v>90.774651510002997</v>
      </c>
      <c r="AK6816">
        <v>71.229665396539303</v>
      </c>
      <c r="AL6816">
        <v>79.955808201621707</v>
      </c>
      <c r="AM6816">
        <v>90.519166269404195</v>
      </c>
      <c r="AN6816">
        <v>0.99999999621374902</v>
      </c>
    </row>
    <row r="6817" spans="1:40" x14ac:dyDescent="0.25">
      <c r="A6817" t="str">
        <f>"20190303170424495"</f>
        <v>20190303170424495</v>
      </c>
      <c r="B6817" t="str">
        <f>"1551603864482781"</f>
        <v>1551603864482781</v>
      </c>
      <c r="C6817" t="s">
        <v>40</v>
      </c>
      <c r="D6817">
        <v>4.9091579999999997</v>
      </c>
      <c r="E6817">
        <v>0.50243490000000002</v>
      </c>
      <c r="F6817" t="s">
        <v>75</v>
      </c>
      <c r="G6817">
        <v>-194.6028</v>
      </c>
      <c r="H6817" s="1">
        <v>-7.9734280000000005E-6</v>
      </c>
      <c r="I6817">
        <v>-61.557450000000003</v>
      </c>
      <c r="J6817">
        <v>-268.44279999999998</v>
      </c>
      <c r="K6817">
        <v>1.1241570000000001</v>
      </c>
      <c r="L6817">
        <v>-63.78098</v>
      </c>
      <c r="M6817">
        <v>0.99974430000000003</v>
      </c>
      <c r="N6817">
        <v>-1.216627E-2</v>
      </c>
      <c r="O6817">
        <v>1.906453E-2</v>
      </c>
      <c r="P6817">
        <v>0.98633979999999999</v>
      </c>
      <c r="Q6817">
        <v>0.16289719999999999</v>
      </c>
      <c r="R6817">
        <v>2.4461090000000001E-2</v>
      </c>
      <c r="S6817">
        <v>3.0466609999999998</v>
      </c>
      <c r="T6817">
        <v>-4.6295290000000003E-2</v>
      </c>
      <c r="U6817">
        <v>9.1735839999999999E-2</v>
      </c>
      <c r="V6817">
        <v>-6.7984830000000001E-3</v>
      </c>
      <c r="W6817">
        <v>0.17484769999999999</v>
      </c>
      <c r="X6817">
        <v>0.98457209999999995</v>
      </c>
      <c r="Y6817">
        <v>-1.103167E-2</v>
      </c>
      <c r="Z6817" s="1">
        <v>9.3270999999999995E-5</v>
      </c>
      <c r="AA6817">
        <v>0.99993909999999997</v>
      </c>
      <c r="AB6817">
        <v>29</v>
      </c>
      <c r="AC6817">
        <v>73.839999999999904</v>
      </c>
      <c r="AD6817">
        <v>-1.1241649734279999</v>
      </c>
      <c r="AE6817">
        <v>2.2235299999999998</v>
      </c>
      <c r="AF6817">
        <v>-0.81510807784469896</v>
      </c>
      <c r="AG6817">
        <v>-1.1241649734279999</v>
      </c>
      <c r="AH6817">
        <v>73.851869768988095</v>
      </c>
      <c r="AI6817">
        <v>90.8720295476422</v>
      </c>
      <c r="AJ6817">
        <v>90.632351714563995</v>
      </c>
      <c r="AK6817">
        <v>73.864922774220901</v>
      </c>
      <c r="AL6817">
        <v>79.930205488408802</v>
      </c>
      <c r="AM6817">
        <v>90.395621806093402</v>
      </c>
      <c r="AN6817">
        <v>1.0000000788323899</v>
      </c>
    </row>
    <row r="6818" spans="1:40" x14ac:dyDescent="0.25">
      <c r="A6818" t="str">
        <f>"20190303170424507"</f>
        <v>20190303170424507</v>
      </c>
      <c r="B6818" t="str">
        <f>"1551603864492540"</f>
        <v>1551603864492540</v>
      </c>
      <c r="C6818" t="s">
        <v>40</v>
      </c>
      <c r="D6818">
        <v>4.7949029999999997</v>
      </c>
      <c r="E6818">
        <v>0.50258709999999995</v>
      </c>
      <c r="F6818" t="s">
        <v>75</v>
      </c>
      <c r="G6818">
        <v>-191.0804</v>
      </c>
      <c r="H6818" s="1">
        <v>-9.407432E-6</v>
      </c>
      <c r="I6818">
        <v>-61.532139999999998</v>
      </c>
      <c r="J6818">
        <v>-268.29140000000001</v>
      </c>
      <c r="K6818">
        <v>1.1241129999999999</v>
      </c>
      <c r="L6818">
        <v>-63.776209999999999</v>
      </c>
      <c r="M6818">
        <v>0.99970939999999997</v>
      </c>
      <c r="N6818">
        <v>-1.214078E-2</v>
      </c>
      <c r="O6818">
        <v>2.083337E-2</v>
      </c>
      <c r="P6818">
        <v>0.98627640000000005</v>
      </c>
      <c r="Q6818">
        <v>0.16330890000000001</v>
      </c>
      <c r="R6818">
        <v>2.4270570000000002E-2</v>
      </c>
      <c r="S6818">
        <v>3.0466310000000001</v>
      </c>
      <c r="T6818">
        <v>-4.4271110000000002E-2</v>
      </c>
      <c r="U6818">
        <v>8.8562009999999997E-2</v>
      </c>
      <c r="V6818">
        <v>-4.8474319999999996E-3</v>
      </c>
      <c r="W6818">
        <v>0.17524670000000001</v>
      </c>
      <c r="X6818">
        <v>0.98451259999999996</v>
      </c>
      <c r="Y6818">
        <v>-8.2226139999999996E-3</v>
      </c>
      <c r="Z6818" s="1">
        <v>5.9963909999999998E-5</v>
      </c>
      <c r="AA6818">
        <v>0.99996620000000003</v>
      </c>
      <c r="AB6818">
        <v>29</v>
      </c>
      <c r="AC6818">
        <v>77.210999999999999</v>
      </c>
      <c r="AD6818">
        <v>-1.124122407432</v>
      </c>
      <c r="AE6818">
        <v>2.24406999999999</v>
      </c>
      <c r="AF6818">
        <v>-0.63476480056184903</v>
      </c>
      <c r="AG6818">
        <v>-1.124122407432</v>
      </c>
      <c r="AH6818">
        <v>77.224639494738796</v>
      </c>
      <c r="AI6818">
        <v>90.833940387618</v>
      </c>
      <c r="AJ6818">
        <v>90.470944574729501</v>
      </c>
      <c r="AK6818">
        <v>77.235429193028395</v>
      </c>
      <c r="AL6818">
        <v>79.906984973050299</v>
      </c>
      <c r="AM6818">
        <v>90.282104211506905</v>
      </c>
      <c r="AN6818">
        <v>0.99999998150832203</v>
      </c>
    </row>
    <row r="6819" spans="1:40" x14ac:dyDescent="0.25">
      <c r="A6819" t="str">
        <f>"20190303170424518"</f>
        <v>20190303170424518</v>
      </c>
      <c r="B6819" t="str">
        <f>"1551603864512060"</f>
        <v>1551603864512060</v>
      </c>
      <c r="C6819" t="s">
        <v>40</v>
      </c>
      <c r="D6819">
        <v>4.9100390000000003</v>
      </c>
      <c r="E6819">
        <v>0.50276699999999996</v>
      </c>
      <c r="F6819" t="s">
        <v>75</v>
      </c>
      <c r="G6819">
        <v>-188.1953</v>
      </c>
      <c r="H6819" s="1">
        <v>-1.06517899999999E-5</v>
      </c>
      <c r="I6819">
        <v>-61.500929999999997</v>
      </c>
      <c r="J6819">
        <v>-268.14859999999999</v>
      </c>
      <c r="K6819">
        <v>1.1240709999999901</v>
      </c>
      <c r="L6819">
        <v>-63.771610000000003</v>
      </c>
      <c r="M6819">
        <v>0.9996739</v>
      </c>
      <c r="N6819">
        <v>-1.2117380000000001E-2</v>
      </c>
      <c r="O6819">
        <v>2.2482220000000001E-2</v>
      </c>
      <c r="P6819">
        <v>0.98621800000000004</v>
      </c>
      <c r="Q6819">
        <v>0.1636639</v>
      </c>
      <c r="R6819">
        <v>2.4253830000000001E-2</v>
      </c>
      <c r="S6819">
        <v>3.0467219999999999</v>
      </c>
      <c r="T6819">
        <v>-4.2759779999999997E-2</v>
      </c>
      <c r="U6819">
        <v>8.6547849999999996E-2</v>
      </c>
      <c r="V6819">
        <v>-3.1881819999999999E-3</v>
      </c>
      <c r="W6819">
        <v>0.17558940000000001</v>
      </c>
      <c r="X6819">
        <v>0.98445830000000001</v>
      </c>
      <c r="Y6819">
        <v>-5.9123869999999999E-3</v>
      </c>
      <c r="Z6819" s="1">
        <v>3.432324E-5</v>
      </c>
      <c r="AA6819">
        <v>0.9999825</v>
      </c>
      <c r="AB6819">
        <v>29</v>
      </c>
      <c r="AC6819">
        <v>79.953299999999899</v>
      </c>
      <c r="AD6819">
        <v>-1.1240816517900001</v>
      </c>
      <c r="AE6819">
        <v>2.2706799999999898</v>
      </c>
      <c r="AF6819">
        <v>-0.47235320180747298</v>
      </c>
      <c r="AG6819">
        <v>-1.1240816517900001</v>
      </c>
      <c r="AH6819">
        <v>79.968347990671205</v>
      </c>
      <c r="AI6819">
        <v>90.805315745869706</v>
      </c>
      <c r="AJ6819">
        <v>90.338428026083704</v>
      </c>
      <c r="AK6819">
        <v>79.977642860140804</v>
      </c>
      <c r="AL6819">
        <v>79.887040364644207</v>
      </c>
      <c r="AM6819">
        <v>90.185552536164394</v>
      </c>
      <c r="AN6819">
        <v>0.99999997316785705</v>
      </c>
    </row>
    <row r="6820" spans="1:40" x14ac:dyDescent="0.25">
      <c r="A6820" t="str">
        <f>"20190303170424529"</f>
        <v>20190303170424529</v>
      </c>
      <c r="B6820" t="str">
        <f>"1551603864522796"</f>
        <v>1551603864522796</v>
      </c>
      <c r="C6820" t="s">
        <v>40</v>
      </c>
      <c r="D6820">
        <v>4.909408</v>
      </c>
      <c r="E6820">
        <v>0.50284510000000004</v>
      </c>
      <c r="F6820" t="s">
        <v>75</v>
      </c>
      <c r="G6820">
        <v>-185.44130000000001</v>
      </c>
      <c r="H6820" s="1">
        <v>-1.038936E-5</v>
      </c>
      <c r="I6820">
        <v>-61.46604</v>
      </c>
      <c r="J6820">
        <v>-268.00760000000002</v>
      </c>
      <c r="K6820">
        <v>1.124026</v>
      </c>
      <c r="L6820">
        <v>-63.766820000000003</v>
      </c>
      <c r="M6820">
        <v>0.99963709999999995</v>
      </c>
      <c r="N6820">
        <v>-1.2095409999999999E-2</v>
      </c>
      <c r="O6820">
        <v>2.4071559999999999E-2</v>
      </c>
      <c r="P6820">
        <v>0.98613649999999997</v>
      </c>
      <c r="Q6820">
        <v>0.16412119999999999</v>
      </c>
      <c r="R6820">
        <v>2.4476120000000001E-2</v>
      </c>
      <c r="S6820">
        <v>3.0466920000000002</v>
      </c>
      <c r="T6820">
        <v>-4.1407819999999998E-2</v>
      </c>
      <c r="U6820">
        <v>8.4930420000000006E-2</v>
      </c>
      <c r="V6820">
        <v>-1.826697E-3</v>
      </c>
      <c r="W6820">
        <v>0.176033</v>
      </c>
      <c r="X6820">
        <v>0.9843826</v>
      </c>
      <c r="Y6820">
        <v>-3.7927669999999998E-3</v>
      </c>
      <c r="Z6820" s="1">
        <v>1.28373E-5</v>
      </c>
      <c r="AA6820">
        <v>0.99999280000000002</v>
      </c>
      <c r="AB6820">
        <v>29</v>
      </c>
      <c r="AC6820">
        <v>82.566299999999998</v>
      </c>
      <c r="AD6820">
        <v>-1.1240363893600001</v>
      </c>
      <c r="AE6820">
        <v>2.3007799999999898</v>
      </c>
      <c r="AF6820">
        <v>-0.31241039385357</v>
      </c>
      <c r="AG6820">
        <v>-1.1240363893600001</v>
      </c>
      <c r="AH6820">
        <v>82.582465876248307</v>
      </c>
      <c r="AI6820">
        <v>90.779803594357006</v>
      </c>
      <c r="AJ6820">
        <v>90.216749541995398</v>
      </c>
      <c r="AK6820">
        <v>82.590706064668694</v>
      </c>
      <c r="AL6820">
        <v>79.861222370925603</v>
      </c>
      <c r="AM6820">
        <v>90.106322387670701</v>
      </c>
      <c r="AN6820">
        <v>1.00000002854684</v>
      </c>
    </row>
    <row r="6821" spans="1:40" x14ac:dyDescent="0.25">
      <c r="A6821" t="str">
        <f>"20190303170424540"</f>
        <v>20190303170424540</v>
      </c>
      <c r="B6821" t="str">
        <f>"1551603864532556"</f>
        <v>1551603864532556</v>
      </c>
      <c r="C6821" t="s">
        <v>40</v>
      </c>
      <c r="D6821">
        <v>4.8472900000000001</v>
      </c>
      <c r="E6821">
        <v>0.50284740000000006</v>
      </c>
      <c r="F6821" t="s">
        <v>75</v>
      </c>
      <c r="G6821">
        <v>-182.5446</v>
      </c>
      <c r="H6821" s="1">
        <v>-1.01287E-5</v>
      </c>
      <c r="I6821">
        <v>-61.387050000000002</v>
      </c>
      <c r="J6821">
        <v>-267.86579999999998</v>
      </c>
      <c r="K6821">
        <v>1.1239749999999999</v>
      </c>
      <c r="L6821">
        <v>-63.761809999999997</v>
      </c>
      <c r="M6821">
        <v>0.99959849999999995</v>
      </c>
      <c r="N6821">
        <v>-1.2074079999999999E-2</v>
      </c>
      <c r="O6821">
        <v>2.56341E-2</v>
      </c>
      <c r="P6821">
        <v>0.98601559999999999</v>
      </c>
      <c r="Q6821">
        <v>0.16478309999999999</v>
      </c>
      <c r="R6821">
        <v>2.489421E-2</v>
      </c>
      <c r="S6821">
        <v>3.0467529999999998</v>
      </c>
      <c r="T6821">
        <v>-4.0071849999999999E-2</v>
      </c>
      <c r="U6821">
        <v>8.4838869999999997E-2</v>
      </c>
      <c r="V6821">
        <v>-6.8787389999999996E-4</v>
      </c>
      <c r="W6821">
        <v>0.17667929999999901</v>
      </c>
      <c r="X6821">
        <v>0.98426820000000004</v>
      </c>
      <c r="Y6821">
        <v>-2.199342E-3</v>
      </c>
      <c r="Z6821" s="1">
        <v>2.4294620000000002E-7</v>
      </c>
      <c r="AA6821">
        <v>0.99999760000000004</v>
      </c>
      <c r="AB6821">
        <v>29</v>
      </c>
      <c r="AC6821">
        <v>85.321199999999905</v>
      </c>
      <c r="AD6821">
        <v>-1.1239851287</v>
      </c>
      <c r="AE6821">
        <v>2.37475999999999</v>
      </c>
      <c r="AF6821">
        <v>-0.18665559690787301</v>
      </c>
      <c r="AG6821">
        <v>-1.1239851287</v>
      </c>
      <c r="AH6821">
        <v>85.339239427818598</v>
      </c>
      <c r="AI6821">
        <v>90.754585195766893</v>
      </c>
      <c r="AJ6821">
        <v>90.125318211681304</v>
      </c>
      <c r="AK6821">
        <v>85.346845102791804</v>
      </c>
      <c r="AL6821">
        <v>79.823601856899202</v>
      </c>
      <c r="AM6821">
        <v>90.040042200784995</v>
      </c>
      <c r="AN6821">
        <v>0.999999968875115</v>
      </c>
    </row>
    <row r="6822" spans="1:40" x14ac:dyDescent="0.25">
      <c r="A6822" t="str">
        <f>"20190303170424551"</f>
        <v>20190303170424551</v>
      </c>
      <c r="B6822" t="str">
        <f>"1551603864542316"</f>
        <v>1551603864542316</v>
      </c>
      <c r="C6822" t="s">
        <v>40</v>
      </c>
      <c r="D6822">
        <v>4.7849360000000001</v>
      </c>
      <c r="E6822">
        <v>0.50285950000000001</v>
      </c>
      <c r="F6822" t="s">
        <v>75</v>
      </c>
      <c r="G6822">
        <v>-179.95769999999999</v>
      </c>
      <c r="H6822">
        <v>3.8048409999999998E-2</v>
      </c>
      <c r="I6822">
        <v>-61.281280000000002</v>
      </c>
      <c r="J6822">
        <v>-267.72669999999999</v>
      </c>
      <c r="K6822">
        <v>1.1239239999999999</v>
      </c>
      <c r="L6822">
        <v>-63.756709999999998</v>
      </c>
      <c r="M6822">
        <v>0.99955919999999998</v>
      </c>
      <c r="N6822">
        <v>-1.2053919999999999E-2</v>
      </c>
      <c r="O6822">
        <v>2.7133210000000001E-2</v>
      </c>
      <c r="P6822">
        <v>0.98599740000000002</v>
      </c>
      <c r="Q6822">
        <v>0.1648193</v>
      </c>
      <c r="R6822">
        <v>2.5379450000000001E-2</v>
      </c>
      <c r="S6822">
        <v>3.0466310000000001</v>
      </c>
      <c r="T6822">
        <v>-3.7634969999999997E-2</v>
      </c>
      <c r="U6822">
        <v>8.5968020000000006E-2</v>
      </c>
      <c r="V6822">
        <v>3.2810450000000002E-4</v>
      </c>
      <c r="W6822">
        <v>0.17670179999999999</v>
      </c>
      <c r="X6822">
        <v>0.98426440000000004</v>
      </c>
      <c r="Y6822">
        <v>0</v>
      </c>
      <c r="Z6822">
        <v>0</v>
      </c>
      <c r="AA6822">
        <v>1</v>
      </c>
      <c r="AB6822">
        <v>29</v>
      </c>
      <c r="AC6822">
        <v>87.768999999999906</v>
      </c>
      <c r="AD6822">
        <v>-1.0858755899999999</v>
      </c>
      <c r="AE6822">
        <v>2.47542999999999</v>
      </c>
      <c r="AF6822">
        <v>-9.2876660907049893E-2</v>
      </c>
      <c r="AG6822">
        <v>-1.0858755899999999</v>
      </c>
      <c r="AH6822">
        <v>87.790425320346102</v>
      </c>
      <c r="AI6822">
        <v>90.708652234025607</v>
      </c>
      <c r="AJ6822">
        <v>90.060615251384405</v>
      </c>
      <c r="AK6822">
        <v>87.797189760255804</v>
      </c>
      <c r="AL6822">
        <v>79.822292635316799</v>
      </c>
      <c r="AM6822">
        <v>89.980900454803702</v>
      </c>
      <c r="AN6822">
        <v>1.0000000214415801</v>
      </c>
    </row>
    <row r="6823" spans="1:40" x14ac:dyDescent="0.25">
      <c r="A6823" t="str">
        <f>"20190303170424563"</f>
        <v>20190303170424563</v>
      </c>
      <c r="B6823" t="str">
        <f>"1551603864552077"</f>
        <v>1551603864552077</v>
      </c>
      <c r="C6823" t="s">
        <v>40</v>
      </c>
      <c r="D6823">
        <v>4.7901230000000004</v>
      </c>
      <c r="E6823">
        <v>0.50290170000000001</v>
      </c>
      <c r="F6823" t="s">
        <v>75</v>
      </c>
      <c r="G6823">
        <v>-179.95330000000001</v>
      </c>
      <c r="H6823">
        <v>5.4389519999999997E-2</v>
      </c>
      <c r="I6823">
        <v>-61.222720000000002</v>
      </c>
      <c r="J6823">
        <v>-267.57859999999999</v>
      </c>
      <c r="K6823">
        <v>1.123861</v>
      </c>
      <c r="L6823">
        <v>-63.751100000000001</v>
      </c>
      <c r="M6823">
        <v>0.99951650000000003</v>
      </c>
      <c r="N6823">
        <v>-1.2033449999999999E-2</v>
      </c>
      <c r="O6823">
        <v>2.8672110000000001E-2</v>
      </c>
      <c r="P6823">
        <v>0.98594349999999997</v>
      </c>
      <c r="Q6823">
        <v>0.16506189999999901</v>
      </c>
      <c r="R6823">
        <v>2.5888540000000002E-2</v>
      </c>
      <c r="S6823">
        <v>3.0465089999999999</v>
      </c>
      <c r="T6823">
        <v>-3.7122250000000002E-2</v>
      </c>
      <c r="U6823">
        <v>8.7951660000000001E-2</v>
      </c>
      <c r="V6823">
        <v>1.3611020000000001E-3</v>
      </c>
      <c r="W6823">
        <v>0.17692949999999999</v>
      </c>
      <c r="X6823">
        <v>0.98422259999999995</v>
      </c>
      <c r="Y6823">
        <v>0</v>
      </c>
      <c r="Z6823">
        <v>0</v>
      </c>
      <c r="AA6823">
        <v>1</v>
      </c>
      <c r="AB6823">
        <v>29</v>
      </c>
      <c r="AC6823">
        <v>87.625299999999896</v>
      </c>
      <c r="AD6823">
        <v>-1.06947148</v>
      </c>
      <c r="AE6823">
        <v>2.5283799999999998</v>
      </c>
      <c r="AF6823">
        <v>-1.4754159372927201E-2</v>
      </c>
      <c r="AG6823">
        <v>-1.06947148</v>
      </c>
      <c r="AH6823">
        <v>87.648723093657196</v>
      </c>
      <c r="AI6823">
        <v>90.699076476470395</v>
      </c>
      <c r="AJ6823">
        <v>90.009644761777494</v>
      </c>
      <c r="AK6823">
        <v>87.655248826755098</v>
      </c>
      <c r="AL6823">
        <v>79.809037456899702</v>
      </c>
      <c r="AM6823">
        <v>89.920764519762102</v>
      </c>
      <c r="AN6823">
        <v>1.0000000134598299</v>
      </c>
    </row>
    <row r="6824" spans="1:40" x14ac:dyDescent="0.25">
      <c r="A6824" t="str">
        <f>"20190303170424575"</f>
        <v>20190303170424575</v>
      </c>
      <c r="B6824" t="str">
        <f>"1551603864562812"</f>
        <v>1551603864562812</v>
      </c>
      <c r="C6824" t="s">
        <v>40</v>
      </c>
      <c r="D6824">
        <v>4.8479049999999999</v>
      </c>
      <c r="E6824">
        <v>0.50291059999999999</v>
      </c>
      <c r="F6824" t="s">
        <v>75</v>
      </c>
      <c r="G6824">
        <v>-179.94149999999999</v>
      </c>
      <c r="H6824">
        <v>6.6200670000000003E-2</v>
      </c>
      <c r="I6824">
        <v>-61.167549999999999</v>
      </c>
      <c r="J6824">
        <v>-267.42200000000003</v>
      </c>
      <c r="K6824">
        <v>1.1237950000000001</v>
      </c>
      <c r="L6824">
        <v>-63.74503</v>
      </c>
      <c r="M6824">
        <v>0.99946959999999996</v>
      </c>
      <c r="N6824">
        <v>-1.2012460000000001E-2</v>
      </c>
      <c r="O6824">
        <v>3.0270330000000002E-2</v>
      </c>
      <c r="P6824">
        <v>0.98591629999999997</v>
      </c>
      <c r="Q6824">
        <v>0.16516140000000001</v>
      </c>
      <c r="R6824">
        <v>2.6284729999999999E-2</v>
      </c>
      <c r="S6824">
        <v>3.04657</v>
      </c>
      <c r="T6824">
        <v>-3.6767960000000002E-2</v>
      </c>
      <c r="U6824">
        <v>8.9813229999999994E-2</v>
      </c>
      <c r="V6824">
        <v>2.5694670000000002E-3</v>
      </c>
      <c r="W6824">
        <v>0.17701439999999999</v>
      </c>
      <c r="X6824">
        <v>0.98420490000000005</v>
      </c>
      <c r="Y6824">
        <v>0</v>
      </c>
      <c r="Z6824">
        <v>0</v>
      </c>
      <c r="AA6824">
        <v>1</v>
      </c>
      <c r="AB6824">
        <v>29</v>
      </c>
      <c r="AC6824">
        <v>87.480500000000006</v>
      </c>
      <c r="AD6824">
        <v>-1.0575943299999999</v>
      </c>
      <c r="AE6824">
        <v>2.57748</v>
      </c>
      <c r="AF6824">
        <v>7.1945381985464005E-2</v>
      </c>
      <c r="AG6824">
        <v>-1.0575943299999999</v>
      </c>
      <c r="AH6824">
        <v>87.505654592351306</v>
      </c>
      <c r="AI6824">
        <v>90.692443490322304</v>
      </c>
      <c r="AJ6824">
        <v>89.952892577815703</v>
      </c>
      <c r="AK6824">
        <v>87.512074981346004</v>
      </c>
      <c r="AL6824">
        <v>79.804094818352496</v>
      </c>
      <c r="AM6824">
        <v>89.850418058040802</v>
      </c>
      <c r="AN6824">
        <v>0.99999999257601702</v>
      </c>
    </row>
    <row r="6825" spans="1:40" x14ac:dyDescent="0.25">
      <c r="A6825" t="str">
        <f>"20190303170424586"</f>
        <v>20190303170424586</v>
      </c>
      <c r="B6825" t="str">
        <f>"1551603864572572"</f>
        <v>1551603864572572</v>
      </c>
      <c r="C6825" t="s">
        <v>40</v>
      </c>
      <c r="D6825">
        <v>4.8470950000000004</v>
      </c>
      <c r="E6825">
        <v>0.50294479999999997</v>
      </c>
      <c r="F6825" t="s">
        <v>75</v>
      </c>
      <c r="G6825">
        <v>-179.93639999999999</v>
      </c>
      <c r="H6825">
        <v>7.1323919999999999E-2</v>
      </c>
      <c r="I6825">
        <v>-61.119489999999999</v>
      </c>
      <c r="J6825">
        <v>-267.2842</v>
      </c>
      <c r="K6825">
        <v>1.1237299999999999</v>
      </c>
      <c r="L6825">
        <v>-63.739379999999997</v>
      </c>
      <c r="M6825">
        <v>0.99942880000000001</v>
      </c>
      <c r="N6825">
        <v>-1.19953E-2</v>
      </c>
      <c r="O6825">
        <v>3.1593530000000002E-2</v>
      </c>
      <c r="P6825">
        <v>0.98589079999999996</v>
      </c>
      <c r="Q6825">
        <v>0.16538139999999901</v>
      </c>
      <c r="R6825">
        <v>2.5851409999999998E-2</v>
      </c>
      <c r="S6825">
        <v>3.04657</v>
      </c>
      <c r="T6825">
        <v>-3.66509E-2</v>
      </c>
      <c r="U6825">
        <v>9.1430659999999997E-2</v>
      </c>
      <c r="V6825">
        <v>4.3343829999999998E-3</v>
      </c>
      <c r="W6825">
        <v>0.1772261</v>
      </c>
      <c r="X6825">
        <v>0.98416060000000005</v>
      </c>
      <c r="Y6825">
        <v>1.5988160000000001E-3</v>
      </c>
      <c r="Z6825" s="1">
        <v>-2.0097920000000001E-5</v>
      </c>
      <c r="AA6825">
        <v>0.99999870000000002</v>
      </c>
      <c r="AB6825">
        <v>29</v>
      </c>
      <c r="AC6825">
        <v>87.347800000000007</v>
      </c>
      <c r="AD6825">
        <v>-1.0524060799999999</v>
      </c>
      <c r="AE6825">
        <v>2.6198899999999998</v>
      </c>
      <c r="AF6825">
        <v>0.141221503191267</v>
      </c>
      <c r="AG6825">
        <v>-1.0524060799999999</v>
      </c>
      <c r="AH6825">
        <v>87.374294902076997</v>
      </c>
      <c r="AI6825">
        <v>90.690082046593801</v>
      </c>
      <c r="AJ6825">
        <v>89.907393941518706</v>
      </c>
      <c r="AK6825">
        <v>87.380746802172098</v>
      </c>
      <c r="AL6825">
        <v>79.791770334538199</v>
      </c>
      <c r="AM6825">
        <v>89.747662884431193</v>
      </c>
      <c r="AN6825">
        <v>0.99999998199478002</v>
      </c>
    </row>
    <row r="6826" spans="1:40" x14ac:dyDescent="0.25">
      <c r="A6826" t="str">
        <f>"20190303170424597"</f>
        <v>20190303170424597</v>
      </c>
      <c r="B6826" t="str">
        <f>"1551603864582333"</f>
        <v>1551603864582333</v>
      </c>
      <c r="C6826" t="s">
        <v>40</v>
      </c>
      <c r="D6826">
        <v>4.8441900000000002</v>
      </c>
      <c r="E6826">
        <v>0.50300219999999995</v>
      </c>
      <c r="F6826" t="s">
        <v>75</v>
      </c>
      <c r="G6826">
        <v>-178.7217</v>
      </c>
      <c r="H6826">
        <v>7.9986489999999993E-2</v>
      </c>
      <c r="I6826">
        <v>-61.126820000000002</v>
      </c>
      <c r="J6826">
        <v>-267.14519999999999</v>
      </c>
      <c r="K6826">
        <v>1.123672</v>
      </c>
      <c r="L6826">
        <v>-63.733699999999999</v>
      </c>
      <c r="M6826">
        <v>0.99938649999999996</v>
      </c>
      <c r="N6826">
        <v>-1.197835E-2</v>
      </c>
      <c r="O6826">
        <v>3.2914619999999999E-2</v>
      </c>
      <c r="P6826">
        <v>0.98587519999999995</v>
      </c>
      <c r="Q6826">
        <v>0.16555010000000001</v>
      </c>
      <c r="R6826">
        <v>2.5366989999999999E-2</v>
      </c>
      <c r="S6826">
        <v>3.0466310000000001</v>
      </c>
      <c r="T6826">
        <v>-3.5905720000000002E-2</v>
      </c>
      <c r="U6826">
        <v>8.9874270000000006E-2</v>
      </c>
      <c r="V6826">
        <v>6.149369E-3</v>
      </c>
      <c r="W6826">
        <v>0.17738660000000001</v>
      </c>
      <c r="X6826">
        <v>0.98412200000000005</v>
      </c>
      <c r="Y6826">
        <v>3.4314319999999999E-3</v>
      </c>
      <c r="Z6826" s="1">
        <v>-3.4194840000000003E-5</v>
      </c>
      <c r="AA6826">
        <v>0.9999941</v>
      </c>
      <c r="AB6826">
        <v>29</v>
      </c>
      <c r="AC6826">
        <v>88.423499999999905</v>
      </c>
      <c r="AD6826">
        <v>-1.04368551</v>
      </c>
      <c r="AE6826">
        <v>2.6068799999999999</v>
      </c>
      <c r="AF6826">
        <v>0.30512460893077398</v>
      </c>
      <c r="AG6826">
        <v>-1.04368551</v>
      </c>
      <c r="AH6826">
        <v>88.4490812301365</v>
      </c>
      <c r="AI6826">
        <v>90.676045958953907</v>
      </c>
      <c r="AJ6826">
        <v>89.802346358778706</v>
      </c>
      <c r="AK6826">
        <v>88.4557649389007</v>
      </c>
      <c r="AL6826">
        <v>79.7824261444771</v>
      </c>
      <c r="AM6826">
        <v>89.641987167356604</v>
      </c>
      <c r="AN6826">
        <v>0.99999996574132799</v>
      </c>
    </row>
    <row r="6827" spans="1:40" x14ac:dyDescent="0.25">
      <c r="A6827" t="str">
        <f>"20190303170424607"</f>
        <v>20190303170424607</v>
      </c>
      <c r="B6827" t="str">
        <f>"1551603864602828"</f>
        <v>1551603864602828</v>
      </c>
      <c r="C6827" t="s">
        <v>40</v>
      </c>
      <c r="D6827">
        <v>4.8446530000000001</v>
      </c>
      <c r="E6827">
        <v>0.50306139999999999</v>
      </c>
      <c r="F6827" t="s">
        <v>75</v>
      </c>
      <c r="G6827">
        <v>-176.9709</v>
      </c>
      <c r="H6827">
        <v>7.9986500000000002E-2</v>
      </c>
      <c r="I6827">
        <v>-61.132309999999997</v>
      </c>
      <c r="J6827">
        <v>-267.00220000000002</v>
      </c>
      <c r="K6827">
        <v>1.123605</v>
      </c>
      <c r="L6827">
        <v>-63.727600000000002</v>
      </c>
      <c r="M6827">
        <v>0.99934330000000005</v>
      </c>
      <c r="N6827">
        <v>-1.1961899999999999E-2</v>
      </c>
      <c r="O6827">
        <v>3.4204440000000003E-2</v>
      </c>
      <c r="P6827">
        <v>0.98579600000000001</v>
      </c>
      <c r="Q6827">
        <v>0.16612009999999999</v>
      </c>
      <c r="R6827">
        <v>2.4707219999999998E-2</v>
      </c>
      <c r="S6827">
        <v>3.0466310000000001</v>
      </c>
      <c r="T6827">
        <v>-3.526199E-2</v>
      </c>
      <c r="U6827">
        <v>8.7890629999999997E-2</v>
      </c>
      <c r="V6827">
        <v>8.1057209999999998E-3</v>
      </c>
      <c r="W6827">
        <v>0.17794779999999999</v>
      </c>
      <c r="X6827">
        <v>0.98400650000000001</v>
      </c>
      <c r="Y6827">
        <v>5.3723390000000003E-3</v>
      </c>
      <c r="Z6827" s="1">
        <v>-4.9716789999999997E-5</v>
      </c>
      <c r="AA6827">
        <v>0.99998560000000003</v>
      </c>
      <c r="AB6827">
        <v>29</v>
      </c>
      <c r="AC6827">
        <v>90.031300000000002</v>
      </c>
      <c r="AD6827">
        <v>-1.0436185</v>
      </c>
      <c r="AE6827">
        <v>2.5952899999999999</v>
      </c>
      <c r="AF6827">
        <v>0.48585404733707199</v>
      </c>
      <c r="AG6827">
        <v>-1.0436185</v>
      </c>
      <c r="AH6827">
        <v>90.055297540821201</v>
      </c>
      <c r="AI6827">
        <v>90.6639408284354</v>
      </c>
      <c r="AJ6827">
        <v>89.6908886311885</v>
      </c>
      <c r="AK6827">
        <v>90.062654906985102</v>
      </c>
      <c r="AL6827">
        <v>79.749751836001494</v>
      </c>
      <c r="AM6827">
        <v>89.528038586109901</v>
      </c>
      <c r="AN6827">
        <v>0.999999957140009</v>
      </c>
    </row>
    <row r="6828" spans="1:40" x14ac:dyDescent="0.25">
      <c r="A6828" t="str">
        <f>"20190303170424619"</f>
        <v>20190303170424619</v>
      </c>
      <c r="B6828" t="str">
        <f>"1551603864612588"</f>
        <v>1551603864612588</v>
      </c>
      <c r="C6828" t="s">
        <v>40</v>
      </c>
      <c r="D6828">
        <v>4.8402159999999999</v>
      </c>
      <c r="E6828">
        <v>0.50313560000000002</v>
      </c>
      <c r="F6828" t="s">
        <v>44</v>
      </c>
      <c r="G6828">
        <v>-160.3047</v>
      </c>
      <c r="H6828">
        <v>-0.05</v>
      </c>
      <c r="I6828">
        <v>-60.73621</v>
      </c>
      <c r="J6828">
        <v>-266.86180000000002</v>
      </c>
      <c r="K6828">
        <v>1.123537</v>
      </c>
      <c r="L6828">
        <v>-63.721530000000001</v>
      </c>
      <c r="M6828">
        <v>0.99930050000000004</v>
      </c>
      <c r="N6828">
        <v>-1.1946399999999999E-2</v>
      </c>
      <c r="O6828">
        <v>3.5439119999999998E-2</v>
      </c>
      <c r="P6828">
        <v>0.98568619999999996</v>
      </c>
      <c r="Q6828">
        <v>0.1668974</v>
      </c>
      <c r="R6828">
        <v>2.3832929999999999E-2</v>
      </c>
      <c r="S6828">
        <v>3.0467219999999999</v>
      </c>
      <c r="T6828">
        <v>-3.3512E-2</v>
      </c>
      <c r="U6828">
        <v>8.54187E-2</v>
      </c>
      <c r="V6828">
        <v>1.0220140000000001E-2</v>
      </c>
      <c r="W6828">
        <v>0.17871719999999999</v>
      </c>
      <c r="X6828">
        <v>0.98384740000000004</v>
      </c>
      <c r="Y6828">
        <v>7.419134E-3</v>
      </c>
      <c r="Z6828" s="1">
        <v>-5.1310139999999998E-5</v>
      </c>
      <c r="AA6828">
        <v>0.99997250000000004</v>
      </c>
      <c r="AB6828">
        <v>29</v>
      </c>
      <c r="AC6828">
        <v>106.55710000000001</v>
      </c>
      <c r="AD6828">
        <v>-1.1735370000000001</v>
      </c>
      <c r="AE6828">
        <v>2.9853200000000002</v>
      </c>
      <c r="AF6828">
        <v>0.79301851742224505</v>
      </c>
      <c r="AG6828">
        <v>-1.1735370000000001</v>
      </c>
      <c r="AH6828">
        <v>106.583042459909</v>
      </c>
      <c r="AI6828">
        <v>90.630814600951794</v>
      </c>
      <c r="AJ6828">
        <v>89.573705397620998</v>
      </c>
      <c r="AK6828">
        <v>106.59245286356</v>
      </c>
      <c r="AL6828">
        <v>79.704950725945594</v>
      </c>
      <c r="AM6828">
        <v>89.404836739334996</v>
      </c>
      <c r="AN6828">
        <v>0.99999999766210901</v>
      </c>
    </row>
    <row r="6829" spans="1:40" x14ac:dyDescent="0.25">
      <c r="A6829" t="str">
        <f>"20190303170424629"</f>
        <v>20190303170424629</v>
      </c>
      <c r="B6829" t="str">
        <f>"1551603864622349"</f>
        <v>1551603864622349</v>
      </c>
      <c r="C6829" t="s">
        <v>40</v>
      </c>
      <c r="D6829">
        <v>4.7811870000000001</v>
      </c>
      <c r="E6829">
        <v>0.50319480000000005</v>
      </c>
      <c r="F6829" t="s">
        <v>44</v>
      </c>
      <c r="G6829">
        <v>-152.52680000000001</v>
      </c>
      <c r="H6829">
        <v>-0.05</v>
      </c>
      <c r="I6829">
        <v>-60.637569999999997</v>
      </c>
      <c r="J6829">
        <v>-266.72329999999999</v>
      </c>
      <c r="K6829">
        <v>1.1234690000000001</v>
      </c>
      <c r="L6829">
        <v>-63.715389999999999</v>
      </c>
      <c r="M6829">
        <v>0.9992588</v>
      </c>
      <c r="N6829">
        <v>-1.1932089999999999E-2</v>
      </c>
      <c r="O6829">
        <v>3.6601109999999999E-2</v>
      </c>
      <c r="P6829">
        <v>0.985514</v>
      </c>
      <c r="Q6829">
        <v>0.1680855</v>
      </c>
      <c r="R6829">
        <v>2.2575439999999999E-2</v>
      </c>
      <c r="S6829">
        <v>3.0469059999999999</v>
      </c>
      <c r="T6829">
        <v>-3.1273479999999999E-2</v>
      </c>
      <c r="U6829">
        <v>8.2183839999999994E-2</v>
      </c>
      <c r="V6829">
        <v>1.2641599999999999E-2</v>
      </c>
      <c r="W6829">
        <v>0.17989849999999999</v>
      </c>
      <c r="X6829">
        <v>0.98360400000000003</v>
      </c>
      <c r="Y6829">
        <v>9.6442469999999999E-3</v>
      </c>
      <c r="Z6829" s="1">
        <v>-4.5731890000000001E-5</v>
      </c>
      <c r="AA6829">
        <v>0.99995350000000005</v>
      </c>
      <c r="AB6829">
        <v>29</v>
      </c>
      <c r="AC6829">
        <v>114.1965</v>
      </c>
      <c r="AD6829">
        <v>-1.1734690000000001</v>
      </c>
      <c r="AE6829">
        <v>3.07782</v>
      </c>
      <c r="AF6829">
        <v>1.1041419533313599</v>
      </c>
      <c r="AG6829">
        <v>-1.1734690000000001</v>
      </c>
      <c r="AH6829">
        <v>114.220579737628</v>
      </c>
      <c r="AI6829">
        <v>90.588591959566998</v>
      </c>
      <c r="AJ6829">
        <v>89.446153192224102</v>
      </c>
      <c r="AK6829">
        <v>114.23194384473599</v>
      </c>
      <c r="AL6829">
        <v>79.636152796700998</v>
      </c>
      <c r="AM6829">
        <v>89.263656462191904</v>
      </c>
      <c r="AN6829">
        <v>1.0000000545844001</v>
      </c>
    </row>
    <row r="6830" spans="1:40" x14ac:dyDescent="0.25">
      <c r="A6830" t="str">
        <f>"20190303170424641"</f>
        <v>20190303170424641</v>
      </c>
      <c r="B6830" t="str">
        <f>"1551603864632107"</f>
        <v>1551603864632107</v>
      </c>
      <c r="C6830" t="s">
        <v>40</v>
      </c>
      <c r="D6830">
        <v>4.8458209999999999</v>
      </c>
      <c r="E6830">
        <v>0.50323899999999999</v>
      </c>
      <c r="F6830" t="s">
        <v>55</v>
      </c>
      <c r="G6830">
        <v>-157.3501</v>
      </c>
      <c r="H6830">
        <v>0.1124487</v>
      </c>
      <c r="I6830">
        <v>-60.929789999999997</v>
      </c>
      <c r="J6830">
        <v>-266.5729</v>
      </c>
      <c r="K6830">
        <v>1.123394</v>
      </c>
      <c r="L6830">
        <v>-63.708620000000003</v>
      </c>
      <c r="M6830">
        <v>0.99921420000000005</v>
      </c>
      <c r="N6830">
        <v>-1.1917219999999999E-2</v>
      </c>
      <c r="O6830">
        <v>3.7805690000000003E-2</v>
      </c>
      <c r="P6830">
        <v>0.98538139999999996</v>
      </c>
      <c r="Q6830">
        <v>0.16902490000000001</v>
      </c>
      <c r="R6830">
        <v>2.1313439999999999E-2</v>
      </c>
      <c r="S6830">
        <v>3.0471189999999999</v>
      </c>
      <c r="T6830">
        <v>-2.8167370000000001E-2</v>
      </c>
      <c r="U6830">
        <v>7.76062E-2</v>
      </c>
      <c r="V6830">
        <v>1.511624E-2</v>
      </c>
      <c r="W6830">
        <v>0.18082899999999999</v>
      </c>
      <c r="X6830">
        <v>0.98339840000000001</v>
      </c>
      <c r="Y6830">
        <v>1.235253E-2</v>
      </c>
      <c r="Z6830" s="1">
        <v>-2.938998E-5</v>
      </c>
      <c r="AA6830">
        <v>0.99992369999999997</v>
      </c>
      <c r="AB6830">
        <v>29</v>
      </c>
      <c r="AC6830">
        <v>109.22280000000001</v>
      </c>
      <c r="AD6830">
        <v>-1.0109452999999999</v>
      </c>
      <c r="AE6830">
        <v>2.7788299999999899</v>
      </c>
      <c r="AF6830">
        <v>1.35257697206259</v>
      </c>
      <c r="AG6830">
        <v>-1.0109452999999999</v>
      </c>
      <c r="AH6830">
        <v>109.240417031478</v>
      </c>
      <c r="AI6830">
        <v>90.530177456860002</v>
      </c>
      <c r="AJ6830">
        <v>89.290619770560596</v>
      </c>
      <c r="AK6830">
        <v>109.253467624951</v>
      </c>
      <c r="AL6830">
        <v>79.581949791451294</v>
      </c>
      <c r="AM6830">
        <v>89.119351272338704</v>
      </c>
      <c r="AN6830">
        <v>1.00000002053764</v>
      </c>
    </row>
    <row r="6831" spans="1:40" x14ac:dyDescent="0.25">
      <c r="A6831" t="str">
        <f>"20190303170424651"</f>
        <v>20190303170424651</v>
      </c>
      <c r="B6831" t="str">
        <f>"1551603864642844"</f>
        <v>1551603864642844</v>
      </c>
      <c r="C6831" t="s">
        <v>40</v>
      </c>
      <c r="D6831">
        <v>4.8401239999999897</v>
      </c>
      <c r="E6831">
        <v>0.50328490000000004</v>
      </c>
      <c r="F6831" t="s">
        <v>55</v>
      </c>
      <c r="G6831">
        <v>-157.3501</v>
      </c>
      <c r="H6831">
        <v>0.21079919999999999</v>
      </c>
      <c r="I6831">
        <v>-61.076839999999997</v>
      </c>
      <c r="J6831">
        <v>-266.44200000000001</v>
      </c>
      <c r="K6831">
        <v>1.123327</v>
      </c>
      <c r="L6831">
        <v>-63.702640000000002</v>
      </c>
      <c r="M6831">
        <v>0.9991757</v>
      </c>
      <c r="N6831">
        <v>-1.190478E-2</v>
      </c>
      <c r="O6831">
        <v>3.8813390000000003E-2</v>
      </c>
      <c r="P6831">
        <v>0.98519369999999995</v>
      </c>
      <c r="Q6831">
        <v>0.1702785</v>
      </c>
      <c r="R6831">
        <v>1.996529E-2</v>
      </c>
      <c r="S6831">
        <v>3.047272</v>
      </c>
      <c r="T6831">
        <v>-2.5461549999999999E-2</v>
      </c>
      <c r="U6831">
        <v>7.3425290000000004E-2</v>
      </c>
      <c r="V6831">
        <v>1.747541E-2</v>
      </c>
      <c r="W6831">
        <v>0.1820754</v>
      </c>
      <c r="X6831">
        <v>0.98312929999999998</v>
      </c>
      <c r="Y6831">
        <v>1.4733110000000001E-2</v>
      </c>
      <c r="Z6831" s="1">
        <v>-1.1254070000000001E-5</v>
      </c>
      <c r="AA6831">
        <v>0.99989150000000004</v>
      </c>
      <c r="AB6831">
        <v>29</v>
      </c>
      <c r="AC6831">
        <v>109.0919</v>
      </c>
      <c r="AD6831">
        <v>-0.9125278</v>
      </c>
      <c r="AE6831">
        <v>2.6257999999999901</v>
      </c>
      <c r="AF6831">
        <v>1.61059219491767</v>
      </c>
      <c r="AG6831">
        <v>-0.9125278</v>
      </c>
      <c r="AH6831">
        <v>109.103978959221</v>
      </c>
      <c r="AI6831">
        <v>90.479149134457799</v>
      </c>
      <c r="AJ6831">
        <v>89.154261522609801</v>
      </c>
      <c r="AK6831">
        <v>109.11968172121</v>
      </c>
      <c r="AL6831">
        <v>79.509330946162706</v>
      </c>
      <c r="AM6831">
        <v>88.981658054081805</v>
      </c>
      <c r="AN6831">
        <v>1.0000000308791499</v>
      </c>
    </row>
    <row r="6832" spans="1:40" x14ac:dyDescent="0.25">
      <c r="A6832" t="str">
        <f>"20190303170424663"</f>
        <v>20190303170424663</v>
      </c>
      <c r="B6832" t="str">
        <f>"1551603864652604"</f>
        <v>1551603864652604</v>
      </c>
      <c r="C6832" t="s">
        <v>40</v>
      </c>
      <c r="D6832">
        <v>4.8419980000000002</v>
      </c>
      <c r="E6832">
        <v>0.50333589999999995</v>
      </c>
      <c r="F6832" t="s">
        <v>55</v>
      </c>
      <c r="G6832">
        <v>-157.3501</v>
      </c>
      <c r="H6832">
        <v>0.3382349</v>
      </c>
      <c r="I6832">
        <v>-61.223840000000003</v>
      </c>
      <c r="J6832">
        <v>-266.30020000000002</v>
      </c>
      <c r="K6832">
        <v>1.1232530000000001</v>
      </c>
      <c r="L6832">
        <v>-63.696010000000001</v>
      </c>
      <c r="M6832">
        <v>0.99913540000000001</v>
      </c>
      <c r="N6832">
        <v>-1.189196E-2</v>
      </c>
      <c r="O6832">
        <v>3.9835179999999998E-2</v>
      </c>
      <c r="P6832">
        <v>0.98506579999999999</v>
      </c>
      <c r="Q6832">
        <v>0.17114579999999999</v>
      </c>
      <c r="R6832">
        <v>1.8823469999999998E-2</v>
      </c>
      <c r="S6832">
        <v>3.0474549999999998</v>
      </c>
      <c r="T6832">
        <v>-2.1931889999999999E-2</v>
      </c>
      <c r="U6832">
        <v>6.9244379999999994E-2</v>
      </c>
      <c r="V6832">
        <v>1.9650569999999999E-2</v>
      </c>
      <c r="W6832">
        <v>0.18293380000000001</v>
      </c>
      <c r="X6832">
        <v>0.98292880000000005</v>
      </c>
      <c r="Y6832">
        <v>1.7127969999999999E-2</v>
      </c>
      <c r="Z6832" s="1">
        <v>2.3783130000000001E-5</v>
      </c>
      <c r="AA6832">
        <v>0.99985329999999994</v>
      </c>
      <c r="AB6832">
        <v>29</v>
      </c>
      <c r="AC6832">
        <v>108.95010000000001</v>
      </c>
      <c r="AD6832">
        <v>-0.78501809999999905</v>
      </c>
      <c r="AE6832">
        <v>2.47216999999999</v>
      </c>
      <c r="AF6832">
        <v>1.8700496677939999</v>
      </c>
      <c r="AG6832">
        <v>-0.78501809999999905</v>
      </c>
      <c r="AH6832">
        <v>108.956442755116</v>
      </c>
      <c r="AI6832">
        <v>90.412741289895806</v>
      </c>
      <c r="AJ6832">
        <v>89.016713177814907</v>
      </c>
      <c r="AK6832">
        <v>108.975317191676</v>
      </c>
      <c r="AL6832">
        <v>79.459307498094006</v>
      </c>
      <c r="AM6832">
        <v>88.854703652047505</v>
      </c>
      <c r="AN6832">
        <v>0.99999997297660204</v>
      </c>
    </row>
    <row r="6833" spans="1:40" x14ac:dyDescent="0.25">
      <c r="A6833" t="str">
        <f>"20190303170424674"</f>
        <v>20190303170424674</v>
      </c>
      <c r="B6833" t="str">
        <f>"1551603864662203"</f>
        <v>1551603864662203</v>
      </c>
      <c r="C6833" t="s">
        <v>40</v>
      </c>
      <c r="D6833">
        <v>4.8401290000000001</v>
      </c>
      <c r="E6833">
        <v>0.50339840000000002</v>
      </c>
      <c r="F6833" t="s">
        <v>55</v>
      </c>
      <c r="G6833">
        <v>-157.3501</v>
      </c>
      <c r="H6833">
        <v>0.440527</v>
      </c>
      <c r="I6833">
        <v>-61.344909999999999</v>
      </c>
      <c r="J6833">
        <v>-266.1497</v>
      </c>
      <c r="K6833">
        <v>1.12317</v>
      </c>
      <c r="L6833">
        <v>-63.688929999999999</v>
      </c>
      <c r="M6833">
        <v>0.99909320000000001</v>
      </c>
      <c r="N6833">
        <v>-1.187878E-2</v>
      </c>
      <c r="O6833">
        <v>4.0886989999999998E-2</v>
      </c>
      <c r="P6833">
        <v>0.98487930000000001</v>
      </c>
      <c r="Q6833">
        <v>0.17230999999999999</v>
      </c>
      <c r="R6833">
        <v>1.7953690000000001E-2</v>
      </c>
      <c r="S6833">
        <v>3.047577</v>
      </c>
      <c r="T6833">
        <v>-1.9097920000000001E-2</v>
      </c>
      <c r="U6833">
        <v>6.5765379999999998E-2</v>
      </c>
      <c r="V6833">
        <v>2.1582770000000001E-2</v>
      </c>
      <c r="W6833">
        <v>0.18408550000000001</v>
      </c>
      <c r="X6833">
        <v>0.98267320000000002</v>
      </c>
      <c r="Y6833">
        <v>1.9322120000000002E-2</v>
      </c>
      <c r="Z6833" s="1">
        <v>5.4383140000000001E-5</v>
      </c>
      <c r="AA6833">
        <v>0.99981330000000002</v>
      </c>
      <c r="AB6833">
        <v>29</v>
      </c>
      <c r="AC6833">
        <v>108.7996</v>
      </c>
      <c r="AD6833">
        <v>-0.682642999999999</v>
      </c>
      <c r="AE6833">
        <v>2.34402</v>
      </c>
      <c r="AF6833">
        <v>2.1066593841132502</v>
      </c>
      <c r="AG6833">
        <v>-0.682642999999999</v>
      </c>
      <c r="AH6833">
        <v>108.80017200462299</v>
      </c>
      <c r="AI6833">
        <v>90.359417814560203</v>
      </c>
      <c r="AJ6833">
        <v>88.890740626147306</v>
      </c>
      <c r="AK6833">
        <v>108.822706470027</v>
      </c>
      <c r="AL6833">
        <v>79.392179758825506</v>
      </c>
      <c r="AM6833">
        <v>88.741796511496403</v>
      </c>
      <c r="AN6833">
        <v>0.99999995263468</v>
      </c>
    </row>
    <row r="6834" spans="1:40" x14ac:dyDescent="0.25">
      <c r="A6834" t="str">
        <f>"20190303170424686"</f>
        <v>20190303170424686</v>
      </c>
      <c r="B6834" t="str">
        <f>"1551603864672560"</f>
        <v>1551603864672560</v>
      </c>
      <c r="C6834" t="s">
        <v>40</v>
      </c>
      <c r="D6834">
        <v>4.7241390000000001</v>
      </c>
      <c r="E6834">
        <v>0.50337109999999996</v>
      </c>
      <c r="F6834" t="s">
        <v>55</v>
      </c>
      <c r="G6834">
        <v>-157.3501</v>
      </c>
      <c r="H6834">
        <v>0.57138199999999995</v>
      </c>
      <c r="I6834">
        <v>-61.432619999999901</v>
      </c>
      <c r="J6834">
        <v>-265.99900000000002</v>
      </c>
      <c r="K6834">
        <v>1.123084</v>
      </c>
      <c r="L6834">
        <v>-63.681669999999997</v>
      </c>
      <c r="M6834">
        <v>0.99905379999999999</v>
      </c>
      <c r="N6834">
        <v>-1.186682E-2</v>
      </c>
      <c r="O6834">
        <v>4.1842200000000003E-2</v>
      </c>
      <c r="P6834">
        <v>0.98479119999999998</v>
      </c>
      <c r="Q6834">
        <v>0.1729224</v>
      </c>
      <c r="R6834">
        <v>1.686257E-2</v>
      </c>
      <c r="S6834">
        <v>3.0476070000000002</v>
      </c>
      <c r="T6834">
        <v>-1.5456799999999901E-2</v>
      </c>
      <c r="U6834">
        <v>6.3201900000000005E-2</v>
      </c>
      <c r="V6834">
        <v>2.364815E-2</v>
      </c>
      <c r="W6834">
        <v>0.18468770000000001</v>
      </c>
      <c r="X6834">
        <v>0.98251270000000002</v>
      </c>
      <c r="Y6834">
        <v>2.1118689999999999E-2</v>
      </c>
      <c r="Z6834">
        <v>1.056691E-4</v>
      </c>
      <c r="AA6834">
        <v>0.99977700000000003</v>
      </c>
      <c r="AB6834">
        <v>29</v>
      </c>
      <c r="AC6834">
        <v>108.6489</v>
      </c>
      <c r="AD6834">
        <v>-0.55170200000000003</v>
      </c>
      <c r="AE6834">
        <v>2.24905</v>
      </c>
      <c r="AF6834">
        <v>2.2992895992158999</v>
      </c>
      <c r="AG6834">
        <v>-0.55170200000000003</v>
      </c>
      <c r="AH6834">
        <v>108.64504700073201</v>
      </c>
      <c r="AI6834">
        <v>90.290881627827602</v>
      </c>
      <c r="AJ6834">
        <v>88.787612222300595</v>
      </c>
      <c r="AK6834">
        <v>108.67077502967</v>
      </c>
      <c r="AL6834">
        <v>79.357074753958699</v>
      </c>
      <c r="AM6834">
        <v>88.621211072663897</v>
      </c>
      <c r="AN6834">
        <v>0.99999999359550096</v>
      </c>
    </row>
    <row r="6835" spans="1:40" x14ac:dyDescent="0.25">
      <c r="A6835" t="str">
        <f>"20190303170424697"</f>
        <v>20190303170424697</v>
      </c>
      <c r="B6835" t="str">
        <f>"1551603864692805"</f>
        <v>1551603864692805</v>
      </c>
      <c r="C6835" t="s">
        <v>40</v>
      </c>
      <c r="D6835">
        <v>4.6668029999999998</v>
      </c>
      <c r="E6835">
        <v>0.50336970000000003</v>
      </c>
      <c r="F6835" t="s">
        <v>55</v>
      </c>
      <c r="G6835">
        <v>-157.3501</v>
      </c>
      <c r="H6835">
        <v>0.63433070000000003</v>
      </c>
      <c r="I6835">
        <v>-61.530799999999999</v>
      </c>
      <c r="J6835">
        <v>-265.8503</v>
      </c>
      <c r="K6835">
        <v>1.122997</v>
      </c>
      <c r="L6835">
        <v>-63.6744699999999</v>
      </c>
      <c r="M6835">
        <v>0.99901519999999999</v>
      </c>
      <c r="N6835">
        <v>-1.185545E-2</v>
      </c>
      <c r="O6835">
        <v>4.2757169999999997E-2</v>
      </c>
      <c r="P6835">
        <v>0.98463389999999995</v>
      </c>
      <c r="Q6835">
        <v>0.17393900000000001</v>
      </c>
      <c r="R6835">
        <v>1.5552450000000001E-2</v>
      </c>
      <c r="S6835">
        <v>3.0476679999999998</v>
      </c>
      <c r="T6835">
        <v>-1.3710379999999999E-2</v>
      </c>
      <c r="U6835">
        <v>6.0333249999999998E-2</v>
      </c>
      <c r="V6835">
        <v>2.5887500000000001E-2</v>
      </c>
      <c r="W6835">
        <v>0.18569289999999999</v>
      </c>
      <c r="X6835">
        <v>0.9822668</v>
      </c>
      <c r="Y6835">
        <v>2.2975249999999999E-2</v>
      </c>
      <c r="Z6835">
        <v>1.2689709999999901E-4</v>
      </c>
      <c r="AA6835">
        <v>0.99973599999999996</v>
      </c>
      <c r="AB6835">
        <v>29</v>
      </c>
      <c r="AC6835">
        <v>108.50020000000001</v>
      </c>
      <c r="AD6835">
        <v>-0.488666299999999</v>
      </c>
      <c r="AE6835">
        <v>2.14366999999999</v>
      </c>
      <c r="AF6835">
        <v>2.4977273556824802</v>
      </c>
      <c r="AG6835">
        <v>-0.488666299999999</v>
      </c>
      <c r="AH6835">
        <v>108.490425864153</v>
      </c>
      <c r="AI6835">
        <v>90.258003505562201</v>
      </c>
      <c r="AJ6835">
        <v>88.681137452491996</v>
      </c>
      <c r="AK6835">
        <v>108.520274331027</v>
      </c>
      <c r="AL6835">
        <v>79.298467794971103</v>
      </c>
      <c r="AM6835">
        <v>88.490327449414394</v>
      </c>
      <c r="AN6835">
        <v>1.0000000410744401</v>
      </c>
    </row>
    <row r="6836" spans="1:40" x14ac:dyDescent="0.25">
      <c r="A6836" t="str">
        <f>"20190303170424708"</f>
        <v>20190303170424708</v>
      </c>
      <c r="B6836" t="str">
        <f>"1551603864702564"</f>
        <v>1551603864702564</v>
      </c>
      <c r="C6836" t="s">
        <v>40</v>
      </c>
      <c r="D6836">
        <v>4.7183950000000001</v>
      </c>
      <c r="E6836">
        <v>0.50337359999999998</v>
      </c>
      <c r="F6836" t="s">
        <v>55</v>
      </c>
      <c r="G6836">
        <v>-157.3501</v>
      </c>
      <c r="H6836">
        <v>0.74877209999999905</v>
      </c>
      <c r="I6836">
        <v>-61.654820000000001</v>
      </c>
      <c r="J6836">
        <v>-265.70749999999998</v>
      </c>
      <c r="K6836">
        <v>1.1229169999999999</v>
      </c>
      <c r="L6836">
        <v>-63.667450000000002</v>
      </c>
      <c r="M6836">
        <v>0.99898039999999999</v>
      </c>
      <c r="N6836">
        <v>-1.184526E-2</v>
      </c>
      <c r="O6836">
        <v>4.3564869999999999E-2</v>
      </c>
      <c r="P6836">
        <v>0.98454929999999996</v>
      </c>
      <c r="Q6836">
        <v>0.17455970000000001</v>
      </c>
      <c r="R6836">
        <v>1.384729E-2</v>
      </c>
      <c r="S6836">
        <v>3.0477910000000001</v>
      </c>
      <c r="T6836">
        <v>-1.051259E-2</v>
      </c>
      <c r="U6836">
        <v>5.673218E-2</v>
      </c>
      <c r="V6836">
        <v>2.8418869999999999E-2</v>
      </c>
      <c r="W6836">
        <v>0.18630469999999999</v>
      </c>
      <c r="X6836">
        <v>0.98208090000000003</v>
      </c>
      <c r="Y6836">
        <v>2.496489E-2</v>
      </c>
      <c r="Z6836">
        <v>1.7505869999999901E-4</v>
      </c>
      <c r="AA6836">
        <v>0.99968829999999997</v>
      </c>
      <c r="AB6836">
        <v>29</v>
      </c>
      <c r="AC6836">
        <v>108.357399999999</v>
      </c>
      <c r="AD6836">
        <v>-0.3741449</v>
      </c>
      <c r="AE6836">
        <v>2.0126300000000001</v>
      </c>
      <c r="AF6836">
        <v>2.7101558973299502</v>
      </c>
      <c r="AG6836">
        <v>-0.3741449</v>
      </c>
      <c r="AH6836">
        <v>108.34090596576</v>
      </c>
      <c r="AI6836">
        <v>90.197802800270907</v>
      </c>
      <c r="AJ6836">
        <v>88.567040617009098</v>
      </c>
      <c r="AK6836">
        <v>108.37544387395</v>
      </c>
      <c r="AL6836">
        <v>79.2627910663671</v>
      </c>
      <c r="AM6836">
        <v>88.342471537045498</v>
      </c>
      <c r="AN6836">
        <v>0.99999998377948796</v>
      </c>
    </row>
    <row r="6837" spans="1:40" x14ac:dyDescent="0.25">
      <c r="A6837" t="str">
        <f>"20190303170424719"</f>
        <v>20190303170424719</v>
      </c>
      <c r="B6837" t="str">
        <f>"1551603864712324"</f>
        <v>1551603864712324</v>
      </c>
      <c r="C6837" t="s">
        <v>40</v>
      </c>
      <c r="D6837">
        <v>4.838813</v>
      </c>
      <c r="E6837">
        <v>0.50340309999999999</v>
      </c>
      <c r="F6837" t="s">
        <v>55</v>
      </c>
      <c r="G6837">
        <v>-157.3501</v>
      </c>
      <c r="H6837">
        <v>0.80721039999999999</v>
      </c>
      <c r="I6837">
        <v>-61.830640000000002</v>
      </c>
      <c r="J6837">
        <v>-265.57060000000001</v>
      </c>
      <c r="K6837">
        <v>1.122844</v>
      </c>
      <c r="L6837">
        <v>-63.660710000000002</v>
      </c>
      <c r="M6837">
        <v>0.99894799999999995</v>
      </c>
      <c r="N6837">
        <v>-1.1835979999999999E-2</v>
      </c>
      <c r="O6837">
        <v>4.4307369999999999E-2</v>
      </c>
      <c r="P6837">
        <v>0.98443199999999997</v>
      </c>
      <c r="Q6837">
        <v>0.17535429999999999</v>
      </c>
      <c r="R6837">
        <v>1.2035209999999999E-2</v>
      </c>
      <c r="S6837">
        <v>3.0479129999999999</v>
      </c>
      <c r="T6837">
        <v>-8.8808540000000005E-3</v>
      </c>
      <c r="U6837">
        <v>5.1666259999999999E-2</v>
      </c>
      <c r="V6837">
        <v>3.0987210000000001E-2</v>
      </c>
      <c r="W6837">
        <v>0.1870908</v>
      </c>
      <c r="X6837">
        <v>0.9818538</v>
      </c>
      <c r="Y6837">
        <v>2.736947E-2</v>
      </c>
      <c r="Z6837">
        <v>1.936737E-4</v>
      </c>
      <c r="AA6837">
        <v>0.9996254</v>
      </c>
      <c r="AB6837">
        <v>29</v>
      </c>
      <c r="AC6837">
        <v>108.2205</v>
      </c>
      <c r="AD6837">
        <v>-0.31563360000000001</v>
      </c>
      <c r="AE6837">
        <v>1.8300699999999901</v>
      </c>
      <c r="AF6837">
        <v>2.96700306606474</v>
      </c>
      <c r="AG6837">
        <v>-0.31563360000000001</v>
      </c>
      <c r="AH6837">
        <v>108.194377962367</v>
      </c>
      <c r="AI6837">
        <v>90.167084706080999</v>
      </c>
      <c r="AJ6837">
        <v>88.429177536516093</v>
      </c>
      <c r="AK6837">
        <v>108.235512445902</v>
      </c>
      <c r="AL6837">
        <v>79.216945254714503</v>
      </c>
      <c r="AM6837">
        <v>88.192350793160102</v>
      </c>
      <c r="AN6837">
        <v>1.0000000296013301</v>
      </c>
    </row>
    <row r="6838" spans="1:40" x14ac:dyDescent="0.25">
      <c r="A6838" t="str">
        <f>"20190303170424729"</f>
        <v>20190303170424729</v>
      </c>
      <c r="B6838" t="str">
        <f>"1551603864722084"</f>
        <v>1551603864722084</v>
      </c>
      <c r="C6838" t="s">
        <v>40</v>
      </c>
      <c r="D6838">
        <v>4.7778330000000002</v>
      </c>
      <c r="E6838">
        <v>0.50339979999999995</v>
      </c>
      <c r="F6838" t="s">
        <v>55</v>
      </c>
      <c r="G6838">
        <v>-157.3501</v>
      </c>
      <c r="H6838">
        <v>0.89138220000000001</v>
      </c>
      <c r="I6838">
        <v>-62.032159999999998</v>
      </c>
      <c r="J6838">
        <v>-265.43520000000001</v>
      </c>
      <c r="K6838">
        <v>1.1227739999999999</v>
      </c>
      <c r="L6838">
        <v>-63.653930000000003</v>
      </c>
      <c r="M6838">
        <v>0.9989171</v>
      </c>
      <c r="N6838">
        <v>-1.182736E-2</v>
      </c>
      <c r="O6838">
        <v>4.499852E-2</v>
      </c>
      <c r="P6838">
        <v>0.98431809999999997</v>
      </c>
      <c r="Q6838">
        <v>0.17611309999999999</v>
      </c>
      <c r="R6838">
        <v>1.0102430000000001E-2</v>
      </c>
      <c r="S6838">
        <v>3.048035</v>
      </c>
      <c r="T6838">
        <v>-6.5196749999999999E-3</v>
      </c>
      <c r="U6838">
        <v>4.586792E-2</v>
      </c>
      <c r="V6838">
        <v>3.3623500000000001E-2</v>
      </c>
      <c r="W6838">
        <v>0.18784120000000001</v>
      </c>
      <c r="X6838">
        <v>0.98162369999999999</v>
      </c>
      <c r="Y6838">
        <v>2.9962599999999999E-2</v>
      </c>
      <c r="Z6838">
        <v>2.2692249999999999E-4</v>
      </c>
      <c r="AA6838">
        <v>0.99955099999999997</v>
      </c>
      <c r="AB6838">
        <v>29</v>
      </c>
      <c r="AC6838">
        <v>108.0851</v>
      </c>
      <c r="AD6838">
        <v>-0.23139179999999901</v>
      </c>
      <c r="AE6838">
        <v>1.6217699999999999</v>
      </c>
      <c r="AF6838">
        <v>3.2438675762708198</v>
      </c>
      <c r="AG6838">
        <v>-0.23139179999999901</v>
      </c>
      <c r="AH6838">
        <v>108.048087532803</v>
      </c>
      <c r="AI6838">
        <v>90.1226470798712</v>
      </c>
      <c r="AJ6838">
        <v>88.280357251953404</v>
      </c>
      <c r="AK6838">
        <v>108.097018638414</v>
      </c>
      <c r="AL6838">
        <v>79.173173866115505</v>
      </c>
      <c r="AM6838">
        <v>88.038217957319006</v>
      </c>
      <c r="AN6838">
        <v>0.99999997228568904</v>
      </c>
    </row>
    <row r="6839" spans="1:40" x14ac:dyDescent="0.25">
      <c r="A6839" t="str">
        <f>"20190303170424741"</f>
        <v>20190303170424741</v>
      </c>
      <c r="B6839" t="str">
        <f>"1551603864732820"</f>
        <v>1551603864732820</v>
      </c>
      <c r="C6839" t="s">
        <v>40</v>
      </c>
      <c r="D6839">
        <v>4.722575</v>
      </c>
      <c r="E6839">
        <v>0.50341650000000004</v>
      </c>
      <c r="F6839" t="s">
        <v>55</v>
      </c>
      <c r="G6839">
        <v>-157.3501</v>
      </c>
      <c r="H6839">
        <v>0.95183090000000004</v>
      </c>
      <c r="I6839">
        <v>-62.237459999999999</v>
      </c>
      <c r="J6839">
        <v>-265.28919999999999</v>
      </c>
      <c r="K6839">
        <v>1.1227049999999901</v>
      </c>
      <c r="L6839">
        <v>-63.64658</v>
      </c>
      <c r="M6839">
        <v>0.99888500000000002</v>
      </c>
      <c r="N6839">
        <v>-1.181861E-2</v>
      </c>
      <c r="O6839">
        <v>4.5704090000000003E-2</v>
      </c>
      <c r="P6839">
        <v>0.98409720000000001</v>
      </c>
      <c r="Q6839">
        <v>0.17744869999999999</v>
      </c>
      <c r="R6839">
        <v>8.0311719999999996E-3</v>
      </c>
      <c r="S6839">
        <v>3.0482480000000001</v>
      </c>
      <c r="T6839">
        <v>-4.8215389999999997E-3</v>
      </c>
      <c r="U6839">
        <v>3.9947509999999999E-2</v>
      </c>
      <c r="V6839">
        <v>3.640533E-2</v>
      </c>
      <c r="W6839">
        <v>0.18916640000000001</v>
      </c>
      <c r="X6839">
        <v>0.98126999999999998</v>
      </c>
      <c r="Y6839">
        <v>3.261037E-2</v>
      </c>
      <c r="Z6839">
        <v>2.4956380000000001E-4</v>
      </c>
      <c r="AA6839">
        <v>0.99946809999999997</v>
      </c>
      <c r="AB6839">
        <v>29</v>
      </c>
      <c r="AC6839">
        <v>107.9391</v>
      </c>
      <c r="AD6839">
        <v>-0.170874099999999</v>
      </c>
      <c r="AE6839">
        <v>1.4091199999999999</v>
      </c>
      <c r="AF6839">
        <v>3.5259473117175402</v>
      </c>
      <c r="AG6839">
        <v>-0.170874099999999</v>
      </c>
      <c r="AH6839">
        <v>107.890426951805</v>
      </c>
      <c r="AI6839">
        <v>90.090695095162403</v>
      </c>
      <c r="AJ6839">
        <v>88.1281933040853</v>
      </c>
      <c r="AK6839">
        <v>107.948162236537</v>
      </c>
      <c r="AL6839">
        <v>79.095860223647094</v>
      </c>
      <c r="AM6839">
        <v>87.875288621636599</v>
      </c>
      <c r="AN6839">
        <v>1.00000004392068</v>
      </c>
    </row>
    <row r="6840" spans="1:40" x14ac:dyDescent="0.25">
      <c r="A6840" t="str">
        <f>"20190303170424751"</f>
        <v>20190303170424751</v>
      </c>
      <c r="B6840" t="str">
        <f>"1551603864742580"</f>
        <v>1551603864742580</v>
      </c>
      <c r="C6840" t="s">
        <v>40</v>
      </c>
      <c r="D6840">
        <v>4.7807559999999896</v>
      </c>
      <c r="E6840">
        <v>0.5033917</v>
      </c>
      <c r="F6840" t="s">
        <v>55</v>
      </c>
      <c r="G6840">
        <v>-157.3501</v>
      </c>
      <c r="H6840">
        <v>1.079018</v>
      </c>
      <c r="I6840">
        <v>-62.467680000000001</v>
      </c>
      <c r="J6840">
        <v>-265.15039999999999</v>
      </c>
      <c r="K6840">
        <v>1.1226480000000001</v>
      </c>
      <c r="L6840">
        <v>-63.639530000000001</v>
      </c>
      <c r="M6840">
        <v>0.99885579999999996</v>
      </c>
      <c r="N6840">
        <v>-1.181071E-2</v>
      </c>
      <c r="O6840">
        <v>4.634448E-2</v>
      </c>
      <c r="P6840">
        <v>0.98392619999999997</v>
      </c>
      <c r="Q6840">
        <v>0.17845800000000001</v>
      </c>
      <c r="R6840">
        <v>6.4992729999999999E-3</v>
      </c>
      <c r="S6840">
        <v>3.0484619999999998</v>
      </c>
      <c r="T6840">
        <v>-1.2344120000000001E-3</v>
      </c>
      <c r="U6840">
        <v>3.329468E-2</v>
      </c>
      <c r="V6840">
        <v>3.8583770000000003E-2</v>
      </c>
      <c r="W6840">
        <v>0.19016549999999999</v>
      </c>
      <c r="X6840">
        <v>0.98099360000000002</v>
      </c>
      <c r="Y6840">
        <v>3.5432440000000003E-2</v>
      </c>
      <c r="Z6840">
        <v>3.1235840000000002E-4</v>
      </c>
      <c r="AA6840">
        <v>0.99937200000000004</v>
      </c>
      <c r="AB6840">
        <v>29</v>
      </c>
      <c r="AC6840">
        <v>107.80029999999999</v>
      </c>
      <c r="AD6840">
        <v>-4.3629999999999801E-2</v>
      </c>
      <c r="AE6840">
        <v>1.1718500000000001</v>
      </c>
      <c r="AF6840">
        <v>3.8257054829260002</v>
      </c>
      <c r="AG6840">
        <v>-4.3629999999999801E-2</v>
      </c>
      <c r="AH6840">
        <v>107.738749217343</v>
      </c>
      <c r="AI6840">
        <v>90.023187945169795</v>
      </c>
      <c r="AJ6840">
        <v>87.966333181347693</v>
      </c>
      <c r="AK6840">
        <v>107.806660318073</v>
      </c>
      <c r="AL6840">
        <v>79.037557632685093</v>
      </c>
      <c r="AM6840">
        <v>87.747642499472406</v>
      </c>
      <c r="AN6840">
        <v>1.00000003396931</v>
      </c>
    </row>
    <row r="6841" spans="1:40" x14ac:dyDescent="0.25">
      <c r="A6841" t="str">
        <f>"20190303170424765"</f>
        <v>20190303170424765</v>
      </c>
      <c r="B6841" t="str">
        <f>"1551603864752340"</f>
        <v>1551603864752340</v>
      </c>
      <c r="C6841" t="s">
        <v>40</v>
      </c>
      <c r="D6841">
        <v>4.7774890000000001</v>
      </c>
      <c r="E6841">
        <v>0.50337339999999997</v>
      </c>
      <c r="F6841" t="s">
        <v>55</v>
      </c>
      <c r="G6841">
        <v>-157.3501</v>
      </c>
      <c r="H6841">
        <v>1.1690160000000001</v>
      </c>
      <c r="I6841">
        <v>-62.611109999999996</v>
      </c>
      <c r="J6841">
        <v>-264.99369999999999</v>
      </c>
      <c r="K6841">
        <v>1.122595</v>
      </c>
      <c r="L6841">
        <v>-63.631529999999998</v>
      </c>
      <c r="M6841">
        <v>0.9988245</v>
      </c>
      <c r="N6841">
        <v>-1.1802480000000001E-2</v>
      </c>
      <c r="O6841">
        <v>4.701818E-2</v>
      </c>
      <c r="P6841">
        <v>0.98370000000000002</v>
      </c>
      <c r="Q6841">
        <v>0.17974519999999999</v>
      </c>
      <c r="R6841">
        <v>5.1140860000000003E-3</v>
      </c>
      <c r="S6841">
        <v>3.048584</v>
      </c>
      <c r="T6841">
        <v>1.310706E-3</v>
      </c>
      <c r="U6841">
        <v>2.9083250000000001E-2</v>
      </c>
      <c r="V6841">
        <v>4.0644590000000001E-2</v>
      </c>
      <c r="W6841">
        <v>0.1914401</v>
      </c>
      <c r="X6841">
        <v>0.98066240000000005</v>
      </c>
      <c r="Y6841">
        <v>3.7486940000000003E-2</v>
      </c>
      <c r="Z6841">
        <v>3.6215569999999999E-4</v>
      </c>
      <c r="AA6841">
        <v>0.99929699999999999</v>
      </c>
      <c r="AB6841">
        <v>29</v>
      </c>
      <c r="AC6841">
        <v>107.64360000000001</v>
      </c>
      <c r="AD6841">
        <v>4.6420999999999997E-2</v>
      </c>
      <c r="AE6841">
        <v>1.0204200000000001</v>
      </c>
      <c r="AF6841">
        <v>4.0422656759101301</v>
      </c>
      <c r="AG6841">
        <v>4.6420999999999997E-2</v>
      </c>
      <c r="AH6841">
        <v>107.57249488751501</v>
      </c>
      <c r="AI6841">
        <v>89.975292463157601</v>
      </c>
      <c r="AJ6841">
        <v>87.848001539611104</v>
      </c>
      <c r="AK6841">
        <v>107.648426477252</v>
      </c>
      <c r="AL6841">
        <v>78.963161484044093</v>
      </c>
      <c r="AM6841">
        <v>87.626674165740695</v>
      </c>
      <c r="AN6841">
        <v>1.0000000186790099</v>
      </c>
    </row>
    <row r="6842" spans="1:40" x14ac:dyDescent="0.25">
      <c r="A6842" t="str">
        <f>"20190303170424776"</f>
        <v>20190303170424776</v>
      </c>
      <c r="B6842" t="str">
        <f>"1551603864762100"</f>
        <v>1551603864762100</v>
      </c>
      <c r="C6842" t="s">
        <v>40</v>
      </c>
      <c r="D6842">
        <v>4.7172130000000001</v>
      </c>
      <c r="E6842">
        <v>0.50333470000000002</v>
      </c>
      <c r="F6842" t="s">
        <v>55</v>
      </c>
      <c r="G6842">
        <v>-157.3501</v>
      </c>
      <c r="H6842">
        <v>1.2920780000000001</v>
      </c>
      <c r="I6842">
        <v>-62.737189999999998</v>
      </c>
      <c r="J6842">
        <v>-264.84530000000001</v>
      </c>
      <c r="K6842">
        <v>1.1225459999999901</v>
      </c>
      <c r="L6842">
        <v>-63.623869999999997</v>
      </c>
      <c r="M6842">
        <v>0.99879519999999999</v>
      </c>
      <c r="N6842">
        <v>-1.179499E-2</v>
      </c>
      <c r="O6842">
        <v>4.763759E-2</v>
      </c>
      <c r="P6842">
        <v>0.98353080000000004</v>
      </c>
      <c r="Q6842">
        <v>0.18069379999999999</v>
      </c>
      <c r="R6842">
        <v>4.1480830000000003E-3</v>
      </c>
      <c r="S6842">
        <v>3.0487060000000001</v>
      </c>
      <c r="T6842">
        <v>4.7996039999999998E-3</v>
      </c>
      <c r="U6842">
        <v>2.5329589999999999E-2</v>
      </c>
      <c r="V6842">
        <v>4.2233720000000002E-2</v>
      </c>
      <c r="W6842">
        <v>0.19237699999999999</v>
      </c>
      <c r="X6842">
        <v>0.98041180000000006</v>
      </c>
      <c r="Y6842">
        <v>3.9336719999999999E-2</v>
      </c>
      <c r="Z6842">
        <v>4.3601319999999997E-4</v>
      </c>
      <c r="AA6842">
        <v>0.9992259</v>
      </c>
      <c r="AB6842">
        <v>29</v>
      </c>
      <c r="AC6842">
        <v>107.4952</v>
      </c>
      <c r="AD6842">
        <v>0.16953199999999999</v>
      </c>
      <c r="AE6842">
        <v>0.88667999999999103</v>
      </c>
      <c r="AF6842">
        <v>4.2354839739714096</v>
      </c>
      <c r="AG6842">
        <v>0.16953199999999999</v>
      </c>
      <c r="AH6842">
        <v>107.415117269335</v>
      </c>
      <c r="AI6842">
        <v>89.909641046588803</v>
      </c>
      <c r="AJ6842">
        <v>87.741940720199295</v>
      </c>
      <c r="AK6842">
        <v>107.49872317184899</v>
      </c>
      <c r="AL6842">
        <v>78.908463601520396</v>
      </c>
      <c r="AM6842">
        <v>87.5333642674873</v>
      </c>
      <c r="AN6842">
        <v>0.999999947406637</v>
      </c>
    </row>
    <row r="6843" spans="1:40" x14ac:dyDescent="0.25">
      <c r="A6843" t="str">
        <f>"20190303170424787"</f>
        <v>20190303170424787</v>
      </c>
      <c r="B6843" t="str">
        <f>"1551603864772836"</f>
        <v>1551603864772836</v>
      </c>
      <c r="C6843" t="s">
        <v>40</v>
      </c>
      <c r="D6843">
        <v>4.7778700000000001</v>
      </c>
      <c r="E6843">
        <v>0.50334889999999999</v>
      </c>
      <c r="F6843" t="s">
        <v>55</v>
      </c>
      <c r="G6843">
        <v>-157.3501</v>
      </c>
      <c r="H6843">
        <v>1.381324</v>
      </c>
      <c r="I6843">
        <v>-62.807200000000002</v>
      </c>
      <c r="J6843">
        <v>-264.69490000000002</v>
      </c>
      <c r="K6843">
        <v>1.122506</v>
      </c>
      <c r="L6843">
        <v>-63.616030000000002</v>
      </c>
      <c r="M6843">
        <v>0.99876710000000002</v>
      </c>
      <c r="N6843">
        <v>-1.1788140000000001E-2</v>
      </c>
      <c r="O6843">
        <v>4.8222349999999997E-2</v>
      </c>
      <c r="P6843">
        <v>0.98337200000000002</v>
      </c>
      <c r="Q6843">
        <v>0.1815763</v>
      </c>
      <c r="R6843">
        <v>3.1571849999999999E-3</v>
      </c>
      <c r="S6843">
        <v>3.0488279999999999</v>
      </c>
      <c r="T6843">
        <v>7.33900099999999E-3</v>
      </c>
      <c r="U6843">
        <v>2.3162840000000001E-2</v>
      </c>
      <c r="V6843">
        <v>4.3809819999999999E-2</v>
      </c>
      <c r="W6843">
        <v>0.19324910000000001</v>
      </c>
      <c r="X6843">
        <v>0.98017109999999996</v>
      </c>
      <c r="Y6843">
        <v>4.0631670000000002E-2</v>
      </c>
      <c r="Z6843">
        <v>4.9409390000000001E-4</v>
      </c>
      <c r="AA6843">
        <v>0.99917409999999995</v>
      </c>
      <c r="AB6843">
        <v>29</v>
      </c>
      <c r="AC6843">
        <v>107.34480000000001</v>
      </c>
      <c r="AD6843">
        <v>0.25881799999999999</v>
      </c>
      <c r="AE6843">
        <v>0.80883000000000005</v>
      </c>
      <c r="AF6843">
        <v>4.3688637234063998</v>
      </c>
      <c r="AG6843">
        <v>0.25881799999999999</v>
      </c>
      <c r="AH6843">
        <v>107.25828336510401</v>
      </c>
      <c r="AI6843">
        <v>89.861858091054401</v>
      </c>
      <c r="AJ6843">
        <v>87.667507369664307</v>
      </c>
      <c r="AK6843">
        <v>107.347535171609</v>
      </c>
      <c r="AL6843">
        <v>78.857540430477897</v>
      </c>
      <c r="AM6843">
        <v>87.440805726350504</v>
      </c>
      <c r="AN6843">
        <v>0.99999995012722398</v>
      </c>
    </row>
    <row r="6844" spans="1:40" x14ac:dyDescent="0.25">
      <c r="A6844" t="str">
        <f>"20190303170424798"</f>
        <v>20190303170424798</v>
      </c>
      <c r="B6844" t="str">
        <f>"1551603864792357"</f>
        <v>1551603864792357</v>
      </c>
      <c r="C6844" t="s">
        <v>40</v>
      </c>
      <c r="D6844">
        <v>4.7173089999999904</v>
      </c>
      <c r="E6844">
        <v>0.50331130000000002</v>
      </c>
      <c r="F6844" t="s">
        <v>55</v>
      </c>
      <c r="G6844">
        <v>-157.3501</v>
      </c>
      <c r="H6844">
        <v>1.4668840000000001</v>
      </c>
      <c r="I6844">
        <v>-62.888599999999997</v>
      </c>
      <c r="J6844">
        <v>-264.55900000000003</v>
      </c>
      <c r="K6844">
        <v>1.1224719999999999</v>
      </c>
      <c r="L6844">
        <v>-63.608919999999998</v>
      </c>
      <c r="M6844">
        <v>0.99874189999999996</v>
      </c>
      <c r="N6844">
        <v>-1.178218E-2</v>
      </c>
      <c r="O6844">
        <v>4.8742750000000001E-2</v>
      </c>
      <c r="P6844">
        <v>0.98325660000000004</v>
      </c>
      <c r="Q6844">
        <v>0.18221780000000001</v>
      </c>
      <c r="R6844">
        <v>1.7913110000000001E-3</v>
      </c>
      <c r="S6844">
        <v>3.0488279999999999</v>
      </c>
      <c r="T6844">
        <v>9.7805259999999995E-3</v>
      </c>
      <c r="U6844">
        <v>2.0660399999999999E-2</v>
      </c>
      <c r="V6844">
        <v>4.5696340000000002E-2</v>
      </c>
      <c r="W6844">
        <v>0.19388250000000001</v>
      </c>
      <c r="X6844">
        <v>0.97995989999999999</v>
      </c>
      <c r="Y6844">
        <v>4.1971830000000002E-2</v>
      </c>
      <c r="Z6844">
        <v>5.5085819999999995E-4</v>
      </c>
      <c r="AA6844">
        <v>0.99911859999999997</v>
      </c>
      <c r="AB6844">
        <v>29</v>
      </c>
      <c r="AC6844">
        <v>107.2089</v>
      </c>
      <c r="AD6844">
        <v>0.344412</v>
      </c>
      <c r="AE6844">
        <v>0.72032000000000096</v>
      </c>
      <c r="AF6844">
        <v>4.5065090174335198</v>
      </c>
      <c r="AG6844">
        <v>0.344412</v>
      </c>
      <c r="AH6844">
        <v>107.115457526022</v>
      </c>
      <c r="AI6844">
        <v>89.815938374725704</v>
      </c>
      <c r="AJ6844">
        <v>87.590900760505505</v>
      </c>
      <c r="AK6844">
        <v>107.210766642903</v>
      </c>
      <c r="AL6844">
        <v>78.820550165390102</v>
      </c>
      <c r="AM6844">
        <v>87.330184442414506</v>
      </c>
      <c r="AN6844">
        <v>0.99999999245182702</v>
      </c>
    </row>
    <row r="6845" spans="1:40" x14ac:dyDescent="0.25">
      <c r="A6845" t="str">
        <f>"20190303170424809"</f>
        <v>20190303170424809</v>
      </c>
      <c r="B6845" t="str">
        <f>"1551603864802116"</f>
        <v>1551603864802116</v>
      </c>
      <c r="C6845" t="s">
        <v>40</v>
      </c>
      <c r="D6845">
        <v>4.8376460000000003</v>
      </c>
      <c r="E6845">
        <v>0.50331490000000001</v>
      </c>
      <c r="F6845" t="s">
        <v>55</v>
      </c>
      <c r="G6845">
        <v>-157.3501</v>
      </c>
      <c r="H6845">
        <v>1.495895</v>
      </c>
      <c r="I6845">
        <v>-63.003729999999997</v>
      </c>
      <c r="J6845">
        <v>-264.40260000000001</v>
      </c>
      <c r="K6845">
        <v>1.1224400000000001</v>
      </c>
      <c r="L6845">
        <v>-63.6006199999999</v>
      </c>
      <c r="M6845">
        <v>0.99871370000000004</v>
      </c>
      <c r="N6845">
        <v>-1.1775860000000001E-2</v>
      </c>
      <c r="O6845">
        <v>4.9319750000000002E-2</v>
      </c>
      <c r="P6845">
        <v>0.98316029999999999</v>
      </c>
      <c r="Q6845">
        <v>0.1827454</v>
      </c>
      <c r="R6845">
        <v>3.8580219999999999E-4</v>
      </c>
      <c r="S6845">
        <v>3.0491329999999999</v>
      </c>
      <c r="T6845">
        <v>1.0619999999999999E-2</v>
      </c>
      <c r="U6845">
        <v>1.721191E-2</v>
      </c>
      <c r="V6845">
        <v>4.7678239999999997E-2</v>
      </c>
      <c r="W6845">
        <v>0.1944022</v>
      </c>
      <c r="X6845">
        <v>0.97976249999999998</v>
      </c>
      <c r="Y6845">
        <v>4.3679379999999997E-2</v>
      </c>
      <c r="Z6845">
        <v>5.7158139999999996E-4</v>
      </c>
      <c r="AA6845">
        <v>0.99904539999999997</v>
      </c>
      <c r="AB6845">
        <v>29</v>
      </c>
      <c r="AC6845">
        <v>107.05249999999999</v>
      </c>
      <c r="AD6845">
        <v>0.37345499999999998</v>
      </c>
      <c r="AE6845">
        <v>0.59688999999998704</v>
      </c>
      <c r="AF6845">
        <v>4.6839477121892799</v>
      </c>
      <c r="AG6845">
        <v>0.37345499999999998</v>
      </c>
      <c r="AH6845">
        <v>106.950342381729</v>
      </c>
      <c r="AI6845">
        <v>89.800123898708307</v>
      </c>
      <c r="AJ6845">
        <v>87.492303025577698</v>
      </c>
      <c r="AK6845">
        <v>107.05351264847199</v>
      </c>
      <c r="AL6845">
        <v>78.790196018971699</v>
      </c>
      <c r="AM6845">
        <v>87.214009895637602</v>
      </c>
      <c r="AN6845">
        <v>0.99999999317029298</v>
      </c>
    </row>
    <row r="6846" spans="1:40" x14ac:dyDescent="0.25">
      <c r="A6846" t="str">
        <f>"20190303170424821"</f>
        <v>20190303170424821</v>
      </c>
      <c r="B6846" t="str">
        <f>"1551603864812852"</f>
        <v>1551603864812852</v>
      </c>
      <c r="C6846" t="s">
        <v>40</v>
      </c>
      <c r="D6846">
        <v>4.7166009999999998</v>
      </c>
      <c r="E6846">
        <v>0.50330010000000003</v>
      </c>
      <c r="F6846" t="s">
        <v>55</v>
      </c>
      <c r="G6846">
        <v>-157.3501</v>
      </c>
      <c r="H6846">
        <v>1.5407219999999999</v>
      </c>
      <c r="I6846">
        <v>-63.138820000000003</v>
      </c>
      <c r="J6846">
        <v>-264.26280000000003</v>
      </c>
      <c r="K6846">
        <v>1.122414</v>
      </c>
      <c r="L6846">
        <v>-63.593169999999901</v>
      </c>
      <c r="M6846">
        <v>0.99868860000000004</v>
      </c>
      <c r="N6846">
        <v>-1.1770600000000001E-2</v>
      </c>
      <c r="O6846">
        <v>4.9825479999999998E-2</v>
      </c>
      <c r="P6846">
        <v>0.98303019999999997</v>
      </c>
      <c r="Q6846">
        <v>0.18343690000000001</v>
      </c>
      <c r="R6846">
        <v>-1.625238E-3</v>
      </c>
      <c r="S6846">
        <v>3.0491640000000002</v>
      </c>
      <c r="T6846">
        <v>1.19133E-2</v>
      </c>
      <c r="U6846">
        <v>1.3153079999999999E-2</v>
      </c>
      <c r="V6846">
        <v>5.0188480000000001E-2</v>
      </c>
      <c r="W6846">
        <v>0.19508790000000001</v>
      </c>
      <c r="X6846">
        <v>0.97950079999999995</v>
      </c>
      <c r="Y6846">
        <v>4.5514770000000003E-2</v>
      </c>
      <c r="Z6846">
        <v>6.023243E-4</v>
      </c>
      <c r="AA6846">
        <v>0.9989635</v>
      </c>
      <c r="AB6846">
        <v>29</v>
      </c>
      <c r="AC6846">
        <v>106.9127</v>
      </c>
      <c r="AD6846">
        <v>0.41830799999999901</v>
      </c>
      <c r="AE6846">
        <v>0.45434999999999798</v>
      </c>
      <c r="AF6846">
        <v>4.8734853356255297</v>
      </c>
      <c r="AG6846">
        <v>0.41830799999999901</v>
      </c>
      <c r="AH6846">
        <v>106.800894381863</v>
      </c>
      <c r="AI6846">
        <v>89.775823535424905</v>
      </c>
      <c r="AJ6846">
        <v>87.387319861571697</v>
      </c>
      <c r="AK6846">
        <v>106.912847131041</v>
      </c>
      <c r="AL6846">
        <v>78.750141429850302</v>
      </c>
      <c r="AM6846">
        <v>87.066796167511399</v>
      </c>
      <c r="AN6846">
        <v>0.99999999472587997</v>
      </c>
    </row>
    <row r="6847" spans="1:40" x14ac:dyDescent="0.25">
      <c r="A6847" t="str">
        <f>"20190303170424831"</f>
        <v>20190303170424831</v>
      </c>
      <c r="B6847" t="str">
        <f>"1551603864822613"</f>
        <v>1551603864822613</v>
      </c>
      <c r="C6847" t="s">
        <v>40</v>
      </c>
      <c r="D6847">
        <v>4.715166</v>
      </c>
      <c r="E6847">
        <v>0.5032934</v>
      </c>
      <c r="F6847" t="s">
        <v>55</v>
      </c>
      <c r="G6847">
        <v>-157.3501</v>
      </c>
      <c r="H6847">
        <v>1.5959989999999999</v>
      </c>
      <c r="I6847">
        <v>-63.332090000000001</v>
      </c>
      <c r="J6847">
        <v>-264.12729999999999</v>
      </c>
      <c r="K6847">
        <v>1.122393</v>
      </c>
      <c r="L6847">
        <v>-63.585880000000003</v>
      </c>
      <c r="M6847">
        <v>0.99866449999999996</v>
      </c>
      <c r="N6847">
        <v>-1.176579E-2</v>
      </c>
      <c r="O6847">
        <v>5.0308140000000001E-2</v>
      </c>
      <c r="P6847">
        <v>0.98285140000000004</v>
      </c>
      <c r="Q6847">
        <v>0.18435670000000001</v>
      </c>
      <c r="R6847">
        <v>-3.964052E-3</v>
      </c>
      <c r="S6847">
        <v>3.0492859999999999</v>
      </c>
      <c r="T6847">
        <v>1.350665E-2</v>
      </c>
      <c r="U6847">
        <v>7.446289E-3</v>
      </c>
      <c r="V6847">
        <v>5.2998740000000003E-2</v>
      </c>
      <c r="W6847">
        <v>0.1960016</v>
      </c>
      <c r="X6847">
        <v>0.97917030000000005</v>
      </c>
      <c r="Y6847">
        <v>4.7866770000000003E-2</v>
      </c>
      <c r="Z6847">
        <v>6.3929039999999996E-4</v>
      </c>
      <c r="AA6847">
        <v>0.99885349999999995</v>
      </c>
      <c r="AB6847">
        <v>29</v>
      </c>
      <c r="AC6847">
        <v>106.77719999999999</v>
      </c>
      <c r="AD6847">
        <v>0.47360600000000003</v>
      </c>
      <c r="AE6847">
        <v>0.25379000000000201</v>
      </c>
      <c r="AF6847">
        <v>5.1185645515482996</v>
      </c>
      <c r="AG6847">
        <v>0.47360600000000003</v>
      </c>
      <c r="AH6847">
        <v>106.65264438393901</v>
      </c>
      <c r="AI6847">
        <v>89.745864246382993</v>
      </c>
      <c r="AJ6847">
        <v>87.252320442700395</v>
      </c>
      <c r="AK6847">
        <v>106.77645133548199</v>
      </c>
      <c r="AL6847">
        <v>78.696759617069304</v>
      </c>
      <c r="AM6847">
        <v>86.901821945585695</v>
      </c>
      <c r="AN6847">
        <v>0.99999998502311804</v>
      </c>
    </row>
    <row r="6848" spans="1:40" x14ac:dyDescent="0.25">
      <c r="A6848" t="str">
        <f>"20190303170424842"</f>
        <v>20190303170424842</v>
      </c>
      <c r="B6848" t="str">
        <f>"1551603864832372"</f>
        <v>1551603864832372</v>
      </c>
      <c r="C6848" t="s">
        <v>40</v>
      </c>
      <c r="D6848">
        <v>4.5521060000000002</v>
      </c>
      <c r="E6848">
        <v>0.50327569999999999</v>
      </c>
      <c r="F6848" t="s">
        <v>55</v>
      </c>
      <c r="G6848">
        <v>-157.3501</v>
      </c>
      <c r="H6848">
        <v>1.6748559999999999</v>
      </c>
      <c r="I6848">
        <v>-63.562359999999998</v>
      </c>
      <c r="J6848">
        <v>-263.99549999999999</v>
      </c>
      <c r="K6848">
        <v>1.1223749999999999</v>
      </c>
      <c r="L6848">
        <v>-63.578769999999999</v>
      </c>
      <c r="M6848">
        <v>0.99864129999999995</v>
      </c>
      <c r="N6848">
        <v>-1.176148E-2</v>
      </c>
      <c r="O6848">
        <v>5.0768010000000002E-2</v>
      </c>
      <c r="P6848">
        <v>0.98265179999999996</v>
      </c>
      <c r="Q6848">
        <v>0.18536559999999999</v>
      </c>
      <c r="R6848">
        <v>-5.9283579999999999E-3</v>
      </c>
      <c r="S6848">
        <v>3.0494080000000001</v>
      </c>
      <c r="T6848">
        <v>1.5776990000000001E-2</v>
      </c>
      <c r="U6848">
        <v>6.7138669999999997E-4</v>
      </c>
      <c r="V6848">
        <v>5.5409479999999997E-2</v>
      </c>
      <c r="W6848">
        <v>0.19700500000000001</v>
      </c>
      <c r="X6848">
        <v>0.97883549999999997</v>
      </c>
      <c r="Y6848">
        <v>5.0545220000000002E-2</v>
      </c>
      <c r="Z6848">
        <v>6.9338750000000002E-4</v>
      </c>
      <c r="AA6848">
        <v>0.99872150000000004</v>
      </c>
      <c r="AB6848">
        <v>29</v>
      </c>
      <c r="AC6848">
        <v>106.6454</v>
      </c>
      <c r="AD6848">
        <v>0.552481</v>
      </c>
      <c r="AE6848">
        <v>1.64100000000004E-2</v>
      </c>
      <c r="AF6848">
        <v>5.3980150840235401</v>
      </c>
      <c r="AG6848">
        <v>0.552481</v>
      </c>
      <c r="AH6848">
        <v>106.505833632082</v>
      </c>
      <c r="AI6848">
        <v>89.703171486658107</v>
      </c>
      <c r="AJ6848">
        <v>87.098571456370195</v>
      </c>
      <c r="AK6848">
        <v>106.643970292593</v>
      </c>
      <c r="AL6848">
        <v>78.638126698731696</v>
      </c>
      <c r="AM6848">
        <v>86.760083993632705</v>
      </c>
      <c r="AN6848">
        <v>1.0000000582795501</v>
      </c>
    </row>
    <row r="6849" spans="1:40" x14ac:dyDescent="0.25">
      <c r="A6849" t="str">
        <f>"20190303170424851"</f>
        <v>20190303170424851</v>
      </c>
      <c r="B6849" t="str">
        <f>"1551603864842132"</f>
        <v>1551603864842132</v>
      </c>
      <c r="C6849" t="s">
        <v>40</v>
      </c>
      <c r="D6849">
        <v>4.7712300000000001</v>
      </c>
      <c r="E6849">
        <v>0.50325779999999998</v>
      </c>
      <c r="F6849" t="s">
        <v>55</v>
      </c>
      <c r="G6849">
        <v>-157.3501</v>
      </c>
      <c r="H6849">
        <v>1.76921699999999</v>
      </c>
      <c r="I6849">
        <v>-63.751660000000001</v>
      </c>
      <c r="J6849">
        <v>-263.85520000000002</v>
      </c>
      <c r="K6849">
        <v>1.122352</v>
      </c>
      <c r="L6849">
        <v>-63.571109999999997</v>
      </c>
      <c r="M6849">
        <v>0.99861659999999997</v>
      </c>
      <c r="N6849">
        <v>-1.1757109999999999E-2</v>
      </c>
      <c r="O6849">
        <v>5.1252609999999997E-2</v>
      </c>
      <c r="P6849">
        <v>0.98245190000000004</v>
      </c>
      <c r="Q6849">
        <v>0.18634110000000001</v>
      </c>
      <c r="R6849">
        <v>-8.0930050000000003E-3</v>
      </c>
      <c r="S6849">
        <v>3.0494379999999999</v>
      </c>
      <c r="T6849">
        <v>1.8495319999999999E-2</v>
      </c>
      <c r="U6849">
        <v>-4.9438479999999998E-3</v>
      </c>
      <c r="V6849">
        <v>5.804438E-2</v>
      </c>
      <c r="W6849">
        <v>0.1979754</v>
      </c>
      <c r="X6849">
        <v>0.97848690000000005</v>
      </c>
      <c r="Y6849">
        <v>5.2867949999999997E-2</v>
      </c>
      <c r="Z6849">
        <v>7.6306050000000004E-4</v>
      </c>
      <c r="AA6849">
        <v>0.99860119999999997</v>
      </c>
      <c r="AB6849">
        <v>29</v>
      </c>
      <c r="AC6849">
        <v>106.5051</v>
      </c>
      <c r="AD6849">
        <v>0.64686499999999902</v>
      </c>
      <c r="AE6849">
        <v>-0.18055000000000301</v>
      </c>
      <c r="AF6849">
        <v>5.63914585080345</v>
      </c>
      <c r="AG6849">
        <v>0.64686499999999902</v>
      </c>
      <c r="AH6849">
        <v>106.351925868941</v>
      </c>
      <c r="AI6849">
        <v>89.652002649987793</v>
      </c>
      <c r="AJ6849">
        <v>86.9648225165745</v>
      </c>
      <c r="AK6849">
        <v>106.503288851976</v>
      </c>
      <c r="AL6849">
        <v>78.581409284402994</v>
      </c>
      <c r="AM6849">
        <v>86.605161243623101</v>
      </c>
      <c r="AN6849">
        <v>1.00000001126317</v>
      </c>
    </row>
    <row r="6850" spans="1:40" x14ac:dyDescent="0.25">
      <c r="A6850" t="str">
        <f>"20190303170424863"</f>
        <v>20190303170424863</v>
      </c>
      <c r="B6850" t="str">
        <f>"1551603864852868"</f>
        <v>1551603864852868</v>
      </c>
      <c r="C6850" t="s">
        <v>40</v>
      </c>
      <c r="D6850">
        <v>4.6515709999999997</v>
      </c>
      <c r="E6850">
        <v>0.50321749999999998</v>
      </c>
      <c r="F6850" t="s">
        <v>55</v>
      </c>
      <c r="G6850">
        <v>-157.3501</v>
      </c>
      <c r="H6850">
        <v>1.8566309999999999</v>
      </c>
      <c r="I6850">
        <v>-63.95055</v>
      </c>
      <c r="J6850">
        <v>-263.71159999999998</v>
      </c>
      <c r="K6850">
        <v>1.1223289999999999</v>
      </c>
      <c r="L6850">
        <v>-63.563200000000002</v>
      </c>
      <c r="M6850">
        <v>0.99859169999999997</v>
      </c>
      <c r="N6850">
        <v>-1.1753069999999999E-2</v>
      </c>
      <c r="O6850">
        <v>5.1735709999999997E-2</v>
      </c>
      <c r="P6850">
        <v>0.98227299999999995</v>
      </c>
      <c r="Q6850">
        <v>0.1872086</v>
      </c>
      <c r="R6850">
        <v>-9.6499189999999999E-3</v>
      </c>
      <c r="S6850">
        <v>3.0494690000000002</v>
      </c>
      <c r="T6850">
        <v>2.1023389999999999E-2</v>
      </c>
      <c r="U6850">
        <v>-1.0864260000000001E-2</v>
      </c>
      <c r="V6850">
        <v>6.0071920000000001E-2</v>
      </c>
      <c r="W6850">
        <v>0.19883680000000001</v>
      </c>
      <c r="X6850">
        <v>0.9781898</v>
      </c>
      <c r="Y6850">
        <v>5.5288770000000001E-2</v>
      </c>
      <c r="Z6850">
        <v>8.3046279999999997E-4</v>
      </c>
      <c r="AA6850">
        <v>0.99847010000000003</v>
      </c>
      <c r="AB6850">
        <v>29</v>
      </c>
      <c r="AC6850">
        <v>106.361499999999</v>
      </c>
      <c r="AD6850">
        <v>0.73430200000000001</v>
      </c>
      <c r="AE6850">
        <v>-0.38734999999999697</v>
      </c>
      <c r="AF6850">
        <v>5.8896180158045803</v>
      </c>
      <c r="AG6850">
        <v>0.73430200000000001</v>
      </c>
      <c r="AH6850">
        <v>106.19393956408</v>
      </c>
      <c r="AI6850">
        <v>89.604429579792196</v>
      </c>
      <c r="AJ6850">
        <v>86.825573060254996</v>
      </c>
      <c r="AK6850">
        <v>106.35967092812299</v>
      </c>
      <c r="AL6850">
        <v>78.531053454060398</v>
      </c>
      <c r="AM6850">
        <v>86.485804268775297</v>
      </c>
      <c r="AN6850">
        <v>0.99999999671538298</v>
      </c>
    </row>
    <row r="6851" spans="1:40" x14ac:dyDescent="0.25">
      <c r="A6851" t="str">
        <f>"20190303170424876"</f>
        <v>20190303170424876</v>
      </c>
      <c r="B6851" t="str">
        <f>"1551603864862628"</f>
        <v>1551603864862628</v>
      </c>
      <c r="C6851" t="s">
        <v>40</v>
      </c>
      <c r="D6851">
        <v>4.7650439999999996</v>
      </c>
      <c r="E6851">
        <v>0.50318240000000003</v>
      </c>
      <c r="F6851" t="s">
        <v>55</v>
      </c>
      <c r="G6851">
        <v>-157.3501</v>
      </c>
      <c r="H6851">
        <v>1.9345920000000001</v>
      </c>
      <c r="I6851">
        <v>-64.069850000000002</v>
      </c>
      <c r="J6851">
        <v>-263.55650000000003</v>
      </c>
      <c r="K6851">
        <v>1.122309</v>
      </c>
      <c r="L6851">
        <v>-63.554630000000003</v>
      </c>
      <c r="M6851">
        <v>0.99856489999999998</v>
      </c>
      <c r="N6851">
        <v>-1.174888E-2</v>
      </c>
      <c r="O6851">
        <v>5.225254E-2</v>
      </c>
      <c r="P6851">
        <v>0.98216840000000005</v>
      </c>
      <c r="Q6851">
        <v>0.18768460000000001</v>
      </c>
      <c r="R6851">
        <v>-1.095148E-2</v>
      </c>
      <c r="S6851">
        <v>3.0495610000000002</v>
      </c>
      <c r="T6851">
        <v>2.3288369999999999E-2</v>
      </c>
      <c r="U6851">
        <v>-1.452637E-2</v>
      </c>
      <c r="V6851">
        <v>6.1882930000000003E-2</v>
      </c>
      <c r="W6851">
        <v>0.19930639999999999</v>
      </c>
      <c r="X6851">
        <v>0.97798130000000005</v>
      </c>
      <c r="Y6851">
        <v>5.7003489999999997E-2</v>
      </c>
      <c r="Z6851">
        <v>8.9577399999999903E-4</v>
      </c>
      <c r="AA6851">
        <v>0.99837359999999997</v>
      </c>
      <c r="AB6851">
        <v>29</v>
      </c>
      <c r="AC6851">
        <v>106.2064</v>
      </c>
      <c r="AD6851">
        <v>0.81228299999999898</v>
      </c>
      <c r="AE6851">
        <v>-0.51521999999999901</v>
      </c>
      <c r="AF6851">
        <v>6.0640979586224004</v>
      </c>
      <c r="AG6851">
        <v>0.81228299999999898</v>
      </c>
      <c r="AH6851">
        <v>106.02816643225</v>
      </c>
      <c r="AI6851">
        <v>89.561781071951401</v>
      </c>
      <c r="AJ6851">
        <v>86.726632822198695</v>
      </c>
      <c r="AK6851">
        <v>106.204543992753</v>
      </c>
      <c r="AL6851">
        <v>78.503597642401203</v>
      </c>
      <c r="AM6851">
        <v>86.379368440109204</v>
      </c>
      <c r="AN6851">
        <v>0.99999998062801698</v>
      </c>
    </row>
    <row r="6852" spans="1:40" x14ac:dyDescent="0.25">
      <c r="A6852" t="str">
        <f>"20190303170424887"</f>
        <v>20190303170424887</v>
      </c>
      <c r="B6852" t="str">
        <f>"1551603864872388"</f>
        <v>1551603864872388</v>
      </c>
      <c r="C6852" t="s">
        <v>40</v>
      </c>
      <c r="D6852">
        <v>4.6533290000000003</v>
      </c>
      <c r="E6852">
        <v>0.50318240000000003</v>
      </c>
      <c r="F6852" t="s">
        <v>55</v>
      </c>
      <c r="G6852">
        <v>-157.3501</v>
      </c>
      <c r="H6852">
        <v>1.967338</v>
      </c>
      <c r="I6852">
        <v>-64.166799999999995</v>
      </c>
      <c r="J6852">
        <v>-263.40969999999999</v>
      </c>
      <c r="K6852">
        <v>1.122288</v>
      </c>
      <c r="L6852">
        <v>-63.546419999999998</v>
      </c>
      <c r="M6852">
        <v>0.99854019999999999</v>
      </c>
      <c r="N6852">
        <v>-1.1745129999999999E-2</v>
      </c>
      <c r="O6852">
        <v>5.272375E-2</v>
      </c>
      <c r="P6852">
        <v>0.9820065</v>
      </c>
      <c r="Q6852">
        <v>0.18845139999999999</v>
      </c>
      <c r="R6852">
        <v>-1.2226900000000001E-2</v>
      </c>
      <c r="S6852">
        <v>3.0495909999999999</v>
      </c>
      <c r="T6852">
        <v>2.4263380000000001E-2</v>
      </c>
      <c r="U6852">
        <v>-1.7578130000000001E-2</v>
      </c>
      <c r="V6852">
        <v>6.3619780000000001E-2</v>
      </c>
      <c r="W6852">
        <v>0.2000661</v>
      </c>
      <c r="X6852">
        <v>0.97771470000000005</v>
      </c>
      <c r="Y6852">
        <v>5.847314E-2</v>
      </c>
      <c r="Z6852">
        <v>9.2798480000000003E-4</v>
      </c>
      <c r="AA6852">
        <v>0.99828859999999997</v>
      </c>
      <c r="AB6852">
        <v>29</v>
      </c>
      <c r="AC6852">
        <v>106.0596</v>
      </c>
      <c r="AD6852">
        <v>0.84504999999999997</v>
      </c>
      <c r="AE6852">
        <v>-0.62037999999999704</v>
      </c>
      <c r="AF6852">
        <v>6.2113675127047898</v>
      </c>
      <c r="AG6852">
        <v>0.84504999999999997</v>
      </c>
      <c r="AH6852">
        <v>105.87263316886499</v>
      </c>
      <c r="AI6852">
        <v>89.543473489388802</v>
      </c>
      <c r="AJ6852">
        <v>86.642402680037193</v>
      </c>
      <c r="AK6852">
        <v>106.058048492273</v>
      </c>
      <c r="AL6852">
        <v>78.459175332615601</v>
      </c>
      <c r="AM6852">
        <v>86.277018955967506</v>
      </c>
      <c r="AN6852">
        <v>0.99999997768627402</v>
      </c>
    </row>
    <row r="6853" spans="1:40" x14ac:dyDescent="0.25">
      <c r="A6853" t="str">
        <f>"20190303170424897"</f>
        <v>20190303170424897</v>
      </c>
      <c r="B6853" t="str">
        <f>"1551603864892885"</f>
        <v>1551603864892885</v>
      </c>
      <c r="C6853" t="s">
        <v>40</v>
      </c>
      <c r="D6853">
        <v>4.647545</v>
      </c>
      <c r="E6853">
        <v>0.5002394</v>
      </c>
      <c r="F6853" t="s">
        <v>55</v>
      </c>
      <c r="G6853">
        <v>-157.3501</v>
      </c>
      <c r="H6853">
        <v>2.0498120000000002</v>
      </c>
      <c r="I6853">
        <v>-64.271319999999903</v>
      </c>
      <c r="J6853">
        <v>-263.26909999999998</v>
      </c>
      <c r="K6853">
        <v>1.1222669999999999</v>
      </c>
      <c r="L6853">
        <v>-63.538510000000002</v>
      </c>
      <c r="M6853">
        <v>0.99851659999999998</v>
      </c>
      <c r="N6853">
        <v>-1.1741710000000001E-2</v>
      </c>
      <c r="O6853">
        <v>5.3169099999999997E-2</v>
      </c>
      <c r="P6853">
        <v>0.98188889999999995</v>
      </c>
      <c r="Q6853">
        <v>0.18895890000000001</v>
      </c>
      <c r="R6853">
        <v>-1.3747880000000001E-2</v>
      </c>
      <c r="S6853">
        <v>3.0495909999999999</v>
      </c>
      <c r="T6853">
        <v>2.666903E-2</v>
      </c>
      <c r="U6853">
        <v>-2.0843509999999999E-2</v>
      </c>
      <c r="V6853">
        <v>6.5578849999999994E-2</v>
      </c>
      <c r="W6853">
        <v>0.20056789999999999</v>
      </c>
      <c r="X6853">
        <v>0.97748239999999997</v>
      </c>
      <c r="Y6853">
        <v>5.9986169999999998E-2</v>
      </c>
      <c r="Z6853">
        <v>9.9938780000000007E-4</v>
      </c>
      <c r="AA6853">
        <v>0.99819869999999999</v>
      </c>
      <c r="AB6853">
        <v>29</v>
      </c>
      <c r="AC6853">
        <v>105.918999999999</v>
      </c>
      <c r="AD6853">
        <v>0.92754499999999895</v>
      </c>
      <c r="AE6853">
        <v>-0.73280999999999297</v>
      </c>
      <c r="AF6853">
        <v>6.3632908841425397</v>
      </c>
      <c r="AG6853">
        <v>0.92754499999999895</v>
      </c>
      <c r="AH6853">
        <v>105.72208671354799</v>
      </c>
      <c r="AI6853">
        <v>89.498240556707003</v>
      </c>
      <c r="AJ6853">
        <v>86.555588229585197</v>
      </c>
      <c r="AK6853">
        <v>105.917474619017</v>
      </c>
      <c r="AL6853">
        <v>78.429829238972005</v>
      </c>
      <c r="AM6853">
        <v>86.161803877579999</v>
      </c>
      <c r="AN6853">
        <v>0.99999995519374496</v>
      </c>
    </row>
    <row r="6854" spans="1:40" x14ac:dyDescent="0.25">
      <c r="A6854" t="str">
        <f>"20190303170424908"</f>
        <v>20190303170424908</v>
      </c>
      <c r="B6854" t="str">
        <f>"1551603864902645"</f>
        <v>1551603864902645</v>
      </c>
      <c r="C6854" t="s">
        <v>40</v>
      </c>
      <c r="D6854">
        <v>4.6479210000000002</v>
      </c>
      <c r="E6854">
        <v>0.50043409999999999</v>
      </c>
      <c r="F6854" t="s">
        <v>55</v>
      </c>
      <c r="G6854">
        <v>-157.3501</v>
      </c>
      <c r="H6854">
        <v>1.3340860000000001</v>
      </c>
      <c r="I6854">
        <v>-63.52158</v>
      </c>
      <c r="J6854">
        <v>-263.1277</v>
      </c>
      <c r="K6854">
        <v>1.1222479999999999</v>
      </c>
      <c r="L6854">
        <v>-63.530520000000003</v>
      </c>
      <c r="M6854">
        <v>0.99849330000000003</v>
      </c>
      <c r="N6854">
        <v>-1.173864E-2</v>
      </c>
      <c r="O6854">
        <v>5.3602980000000001E-2</v>
      </c>
      <c r="P6854">
        <v>0.98182610000000003</v>
      </c>
      <c r="Q6854">
        <v>0.1891823</v>
      </c>
      <c r="R6854">
        <v>-1.509335E-2</v>
      </c>
      <c r="S6854">
        <v>3.0541079999999998</v>
      </c>
      <c r="T6854">
        <v>6.1070919999999997E-3</v>
      </c>
      <c r="U6854">
        <v>4.8828130000000002E-4</v>
      </c>
      <c r="V6854">
        <v>6.7355490000000004E-2</v>
      </c>
      <c r="W6854">
        <v>0.20078599999999999</v>
      </c>
      <c r="X6854">
        <v>0.97731690000000004</v>
      </c>
      <c r="Y6854">
        <v>5.3442490000000002E-2</v>
      </c>
      <c r="Z6854">
        <v>4.7637029999999999E-4</v>
      </c>
      <c r="AA6854">
        <v>0.99857079999999998</v>
      </c>
      <c r="AB6854">
        <v>29</v>
      </c>
      <c r="AC6854">
        <v>105.77760000000001</v>
      </c>
      <c r="AD6854">
        <v>0.211838</v>
      </c>
      <c r="AE6854">
        <v>8.9399999999883999E-3</v>
      </c>
      <c r="AF6854">
        <v>5.6614355713844997</v>
      </c>
      <c r="AG6854">
        <v>0.211838</v>
      </c>
      <c r="AH6854">
        <v>105.625561010666</v>
      </c>
      <c r="AI6854">
        <v>89.885254952371398</v>
      </c>
      <c r="AJ6854">
        <v>86.931933277038397</v>
      </c>
      <c r="AK6854">
        <v>105.777388258953</v>
      </c>
      <c r="AL6854">
        <v>78.417074675902001</v>
      </c>
      <c r="AM6854">
        <v>86.057478857880298</v>
      </c>
      <c r="AN6854">
        <v>1.0000000514273699</v>
      </c>
    </row>
    <row r="6855" spans="1:40" x14ac:dyDescent="0.25">
      <c r="A6855" t="str">
        <f>"20190303170424920"</f>
        <v>20190303170424920</v>
      </c>
      <c r="B6855" t="str">
        <f>"1551603864912404"</f>
        <v>1551603864912404</v>
      </c>
      <c r="C6855" t="s">
        <v>40</v>
      </c>
      <c r="D6855">
        <v>4.6492449999999996</v>
      </c>
      <c r="E6855">
        <v>0.50010559999999904</v>
      </c>
      <c r="F6855" t="s">
        <v>55</v>
      </c>
      <c r="G6855">
        <v>-157.3501</v>
      </c>
      <c r="H6855">
        <v>1.3371420000000001</v>
      </c>
      <c r="I6855">
        <v>-63.689050000000002</v>
      </c>
      <c r="J6855">
        <v>-262.99040000000002</v>
      </c>
      <c r="K6855">
        <v>1.1222270000000001</v>
      </c>
      <c r="L6855">
        <v>-63.522709999999996</v>
      </c>
      <c r="M6855">
        <v>0.99847140000000001</v>
      </c>
      <c r="N6855">
        <v>-1.1735789999999999E-2</v>
      </c>
      <c r="O6855">
        <v>5.4011160000000003E-2</v>
      </c>
      <c r="P6855">
        <v>0.98170119999999905</v>
      </c>
      <c r="Q6855">
        <v>0.1897083</v>
      </c>
      <c r="R6855">
        <v>-1.6548E-2</v>
      </c>
      <c r="S6855">
        <v>3.0542600000000002</v>
      </c>
      <c r="T6855">
        <v>6.2043669999999997E-3</v>
      </c>
      <c r="U6855">
        <v>-4.5776369999999999E-3</v>
      </c>
      <c r="V6855">
        <v>6.9212300000000004E-2</v>
      </c>
      <c r="W6855">
        <v>0.2013054</v>
      </c>
      <c r="X6855">
        <v>0.97708019999999995</v>
      </c>
      <c r="Y6855">
        <v>5.5506840000000002E-2</v>
      </c>
      <c r="Z6855">
        <v>4.7444350000000002E-4</v>
      </c>
      <c r="AA6855">
        <v>0.99845819999999996</v>
      </c>
      <c r="AB6855">
        <v>29</v>
      </c>
      <c r="AC6855">
        <v>105.6403</v>
      </c>
      <c r="AD6855">
        <v>0.21491499999999999</v>
      </c>
      <c r="AE6855">
        <v>-0.16634000000000501</v>
      </c>
      <c r="AF6855">
        <v>5.8722207691508199</v>
      </c>
      <c r="AG6855">
        <v>0.21491499999999999</v>
      </c>
      <c r="AH6855">
        <v>105.476657607183</v>
      </c>
      <c r="AI6855">
        <v>89.883437086368403</v>
      </c>
      <c r="AJ6855">
        <v>86.813451371367293</v>
      </c>
      <c r="AK6855">
        <v>105.640212349284</v>
      </c>
      <c r="AL6855">
        <v>78.386693897513695</v>
      </c>
      <c r="AM6855">
        <v>85.9481730660723</v>
      </c>
      <c r="AN6855">
        <v>0.99999996188624396</v>
      </c>
    </row>
    <row r="6856" spans="1:40" x14ac:dyDescent="0.25">
      <c r="A6856" t="str">
        <f>"20190303170424930"</f>
        <v>20190303170424930</v>
      </c>
      <c r="B6856" t="str">
        <f>"1551603864922165"</f>
        <v>1551603864922165</v>
      </c>
      <c r="C6856" t="s">
        <v>40</v>
      </c>
      <c r="D6856">
        <v>4.5327929999999999</v>
      </c>
      <c r="E6856">
        <v>0.49972250000000001</v>
      </c>
      <c r="F6856" t="s">
        <v>55</v>
      </c>
      <c r="G6856">
        <v>-157.3501</v>
      </c>
      <c r="H6856">
        <v>1.342889</v>
      </c>
      <c r="I6856">
        <v>-63.727449999999997</v>
      </c>
      <c r="J6856">
        <v>-262.84550000000002</v>
      </c>
      <c r="K6856">
        <v>1.1222049999999999</v>
      </c>
      <c r="L6856">
        <v>-63.514429999999997</v>
      </c>
      <c r="M6856">
        <v>0.99844909999999998</v>
      </c>
      <c r="N6856">
        <v>-1.1732920000000001E-2</v>
      </c>
      <c r="O6856">
        <v>5.4424840000000002E-2</v>
      </c>
      <c r="P6856">
        <v>0.98155530000000002</v>
      </c>
      <c r="Q6856">
        <v>0.19031960000000001</v>
      </c>
      <c r="R6856">
        <v>-1.8110919999999999E-2</v>
      </c>
      <c r="S6856">
        <v>3.0545960000000001</v>
      </c>
      <c r="T6856">
        <v>6.3798429999999996E-3</v>
      </c>
      <c r="U6856">
        <v>-5.9204100000000001E-3</v>
      </c>
      <c r="V6856">
        <v>7.1183150000000001E-2</v>
      </c>
      <c r="W6856">
        <v>0.2019098</v>
      </c>
      <c r="X6856">
        <v>0.97681390000000001</v>
      </c>
      <c r="Y6856">
        <v>5.6359159999999998E-2</v>
      </c>
      <c r="Z6856">
        <v>4.806554E-4</v>
      </c>
      <c r="AA6856">
        <v>0.99841049999999998</v>
      </c>
      <c r="AB6856">
        <v>29</v>
      </c>
      <c r="AC6856">
        <v>105.4954</v>
      </c>
      <c r="AD6856">
        <v>0.22068399999999999</v>
      </c>
      <c r="AE6856">
        <v>-0.21301999999999299</v>
      </c>
      <c r="AF6856">
        <v>5.9546427316054897</v>
      </c>
      <c r="AG6856">
        <v>0.22068399999999999</v>
      </c>
      <c r="AH6856">
        <v>105.32696533368301</v>
      </c>
      <c r="AI6856">
        <v>89.880143845933205</v>
      </c>
      <c r="AJ6856">
        <v>86.764236926182804</v>
      </c>
      <c r="AK6856">
        <v>105.49538424922601</v>
      </c>
      <c r="AL6856">
        <v>78.351338819077995</v>
      </c>
      <c r="AM6856">
        <v>85.832064380638499</v>
      </c>
      <c r="AN6856">
        <v>1.00000000170658</v>
      </c>
    </row>
    <row r="6857" spans="1:40" x14ac:dyDescent="0.25">
      <c r="A6857" t="str">
        <f>"20190303170424942"</f>
        <v>20190303170424942</v>
      </c>
      <c r="B6857" t="str">
        <f>"1551603864932901"</f>
        <v>1551603864932901</v>
      </c>
      <c r="C6857" t="s">
        <v>40</v>
      </c>
      <c r="D6857">
        <v>4.59396</v>
      </c>
      <c r="E6857">
        <v>0.49940380000000001</v>
      </c>
      <c r="F6857" t="s">
        <v>55</v>
      </c>
      <c r="G6857">
        <v>-157.3501</v>
      </c>
      <c r="H6857">
        <v>1.358584</v>
      </c>
      <c r="I6857">
        <v>-63.763150000000003</v>
      </c>
      <c r="J6857">
        <v>-262.702</v>
      </c>
      <c r="K6857">
        <v>1.1221760000000001</v>
      </c>
      <c r="L6857">
        <v>-63.5062</v>
      </c>
      <c r="M6857">
        <v>0.99842830000000005</v>
      </c>
      <c r="N6857">
        <v>-1.1730290000000001E-2</v>
      </c>
      <c r="O6857">
        <v>5.4805199999999998E-2</v>
      </c>
      <c r="P6857">
        <v>0.98146080000000002</v>
      </c>
      <c r="Q6857">
        <v>0.19068370000000001</v>
      </c>
      <c r="R6857">
        <v>-1.9354159999999999E-2</v>
      </c>
      <c r="S6857">
        <v>3.0549010000000001</v>
      </c>
      <c r="T6857">
        <v>6.844401E-3</v>
      </c>
      <c r="U6857">
        <v>-7.2021480000000002E-3</v>
      </c>
      <c r="V6857">
        <v>7.2807540000000004E-2</v>
      </c>
      <c r="W6857">
        <v>0.2022661</v>
      </c>
      <c r="X6857">
        <v>0.97662040000000006</v>
      </c>
      <c r="Y6857">
        <v>5.7158100000000003E-2</v>
      </c>
      <c r="Z6857">
        <v>4.9465260000000004E-4</v>
      </c>
      <c r="AA6857">
        <v>0.99836499999999995</v>
      </c>
      <c r="AB6857">
        <v>29</v>
      </c>
      <c r="AC6857">
        <v>105.3519</v>
      </c>
      <c r="AD6857">
        <v>0.23640799999999901</v>
      </c>
      <c r="AE6857">
        <v>-0.25695000000000301</v>
      </c>
      <c r="AF6857">
        <v>6.0307618218959202</v>
      </c>
      <c r="AG6857">
        <v>0.23640799999999901</v>
      </c>
      <c r="AH6857">
        <v>105.17892846059701</v>
      </c>
      <c r="AI6857">
        <v>89.871429126325495</v>
      </c>
      <c r="AJ6857">
        <v>86.718360984257899</v>
      </c>
      <c r="AK6857">
        <v>105.351948102606</v>
      </c>
      <c r="AL6857">
        <v>78.330493754002902</v>
      </c>
      <c r="AM6857">
        <v>85.736457871740598</v>
      </c>
      <c r="AN6857">
        <v>0.99999995939311004</v>
      </c>
    </row>
    <row r="6858" spans="1:40" x14ac:dyDescent="0.25">
      <c r="A6858" t="str">
        <f>"20190303170424953"</f>
        <v>20190303170424953</v>
      </c>
      <c r="B6858" t="str">
        <f>"1551603864942661"</f>
        <v>1551603864942661</v>
      </c>
      <c r="C6858" t="s">
        <v>40</v>
      </c>
      <c r="D6858">
        <v>4.5999739999999996</v>
      </c>
      <c r="E6858">
        <v>0.49907760000000001</v>
      </c>
      <c r="F6858" t="s">
        <v>55</v>
      </c>
      <c r="G6858">
        <v>-157.3501</v>
      </c>
      <c r="H6858">
        <v>1.3062309999999999</v>
      </c>
      <c r="I6858">
        <v>-63.7787199999999</v>
      </c>
      <c r="J6858">
        <v>-262.55759999999998</v>
      </c>
      <c r="K6858">
        <v>1.1221399999999999</v>
      </c>
      <c r="L6858">
        <v>-63.497860000000003</v>
      </c>
      <c r="M6858">
        <v>0.99840810000000002</v>
      </c>
      <c r="N6858">
        <v>-1.172778E-2</v>
      </c>
      <c r="O6858">
        <v>5.5171209999999998E-2</v>
      </c>
      <c r="P6858">
        <v>0.98134089999999996</v>
      </c>
      <c r="Q6858">
        <v>0.19115860000000001</v>
      </c>
      <c r="R6858">
        <v>-2.070543E-2</v>
      </c>
      <c r="S6858">
        <v>3.05545</v>
      </c>
      <c r="T6858">
        <v>5.3374769999999898E-3</v>
      </c>
      <c r="U6858">
        <v>-7.9040529999999994E-3</v>
      </c>
      <c r="V6858">
        <v>7.4525510000000003E-2</v>
      </c>
      <c r="W6858">
        <v>0.20273169999999999</v>
      </c>
      <c r="X6858">
        <v>0.97639430000000005</v>
      </c>
      <c r="Y6858">
        <v>5.7753239999999997E-2</v>
      </c>
      <c r="Z6858">
        <v>4.5540419999999998E-4</v>
      </c>
      <c r="AA6858">
        <v>0.99833079999999996</v>
      </c>
      <c r="AB6858">
        <v>29</v>
      </c>
      <c r="AC6858">
        <v>105.207499999999</v>
      </c>
      <c r="AD6858">
        <v>0.184091</v>
      </c>
      <c r="AE6858">
        <v>-0.280859999999997</v>
      </c>
      <c r="AF6858">
        <v>6.0852374255372599</v>
      </c>
      <c r="AG6858">
        <v>0.184091</v>
      </c>
      <c r="AH6858">
        <v>105.031419324805</v>
      </c>
      <c r="AI6858">
        <v>89.899744587685504</v>
      </c>
      <c r="AJ6858">
        <v>86.684143751110994</v>
      </c>
      <c r="AK6858">
        <v>105.207713830329</v>
      </c>
      <c r="AL6858">
        <v>78.303253083483099</v>
      </c>
      <c r="AM6858">
        <v>85.635232681708203</v>
      </c>
      <c r="AN6858">
        <v>1.0000000114490699</v>
      </c>
    </row>
    <row r="6859" spans="1:40" x14ac:dyDescent="0.25">
      <c r="A6859" t="str">
        <f>"20190303170424965"</f>
        <v>20190303170424965</v>
      </c>
      <c r="B6859" t="str">
        <f>"1551603864952421"</f>
        <v>1551603864952421</v>
      </c>
      <c r="C6859" t="s">
        <v>40</v>
      </c>
      <c r="D6859">
        <v>4.6017469999999996</v>
      </c>
      <c r="E6859">
        <v>0.49894949999999999</v>
      </c>
      <c r="F6859" t="s">
        <v>55</v>
      </c>
      <c r="G6859">
        <v>-157.3501</v>
      </c>
      <c r="H6859">
        <v>1.301631</v>
      </c>
      <c r="I6859">
        <v>-63.808860000000003</v>
      </c>
      <c r="J6859">
        <v>-262.4144</v>
      </c>
      <c r="K6859">
        <v>1.1221000000000001</v>
      </c>
      <c r="L6859">
        <v>-63.489620000000002</v>
      </c>
      <c r="M6859">
        <v>0.99839100000000003</v>
      </c>
      <c r="N6859">
        <v>-1.1725350000000001E-2</v>
      </c>
      <c r="O6859">
        <v>5.5481309999999999E-2</v>
      </c>
      <c r="P6859">
        <v>0.98128939999999998</v>
      </c>
      <c r="Q6859">
        <v>0.19133839999999999</v>
      </c>
      <c r="R6859">
        <v>-2.1461999999999998E-2</v>
      </c>
      <c r="S6859">
        <v>3.055847</v>
      </c>
      <c r="T6859">
        <v>5.2129029999999996E-3</v>
      </c>
      <c r="U6859">
        <v>-9.0332030000000001E-3</v>
      </c>
      <c r="V6859">
        <v>7.5603749999999997E-2</v>
      </c>
      <c r="W6859">
        <v>0.2029012</v>
      </c>
      <c r="X6859">
        <v>0.97627620000000004</v>
      </c>
      <c r="Y6859">
        <v>5.843185E-2</v>
      </c>
      <c r="Z6859">
        <v>4.526625E-4</v>
      </c>
      <c r="AA6859">
        <v>0.99829129999999999</v>
      </c>
      <c r="AB6859">
        <v>29</v>
      </c>
      <c r="AC6859">
        <v>105.0643</v>
      </c>
      <c r="AD6859">
        <v>0.179530999999999</v>
      </c>
      <c r="AE6859">
        <v>-0.31924000000000002</v>
      </c>
      <c r="AF6859">
        <v>6.1482352823298001</v>
      </c>
      <c r="AG6859">
        <v>0.179530999999999</v>
      </c>
      <c r="AH6859">
        <v>104.884430632497</v>
      </c>
      <c r="AI6859">
        <v>89.902094801657299</v>
      </c>
      <c r="AJ6859">
        <v>86.645209658650799</v>
      </c>
      <c r="AK6859">
        <v>105.064631620588</v>
      </c>
      <c r="AL6859">
        <v>78.293335443268305</v>
      </c>
      <c r="AM6859">
        <v>85.571798787727701</v>
      </c>
      <c r="AN6859">
        <v>1.0000000213309701</v>
      </c>
    </row>
    <row r="6860" spans="1:40" x14ac:dyDescent="0.25">
      <c r="A6860" t="str">
        <f>"20190303170424978"</f>
        <v>20190303170424978</v>
      </c>
      <c r="B6860" t="str">
        <f>"1551603864972917"</f>
        <v>1551603864972917</v>
      </c>
      <c r="C6860" t="s">
        <v>40</v>
      </c>
      <c r="D6860">
        <v>4.5406000000000004</v>
      </c>
      <c r="E6860">
        <v>0.49847089999999999</v>
      </c>
      <c r="F6860" t="s">
        <v>55</v>
      </c>
      <c r="G6860">
        <v>-157.3501</v>
      </c>
      <c r="H6860">
        <v>1.2734019999999999</v>
      </c>
      <c r="I6860">
        <v>-63.837940000000003</v>
      </c>
      <c r="J6860">
        <v>-262.23689999999999</v>
      </c>
      <c r="K6860">
        <v>1.1220399999999999</v>
      </c>
      <c r="L6860">
        <v>-63.479370000000003</v>
      </c>
      <c r="M6860">
        <v>0.99837140000000002</v>
      </c>
      <c r="N6860">
        <v>-1.1722460000000001E-2</v>
      </c>
      <c r="O6860">
        <v>5.5831310000000002E-2</v>
      </c>
      <c r="P6860">
        <v>0.98125879999999999</v>
      </c>
      <c r="Q6860">
        <v>0.19147220000000001</v>
      </c>
      <c r="R6860">
        <v>-2.1668699999999999E-2</v>
      </c>
      <c r="S6860">
        <v>3.0561219999999998</v>
      </c>
      <c r="T6860">
        <v>4.4004919999999998E-3</v>
      </c>
      <c r="U6860">
        <v>-1.013184E-2</v>
      </c>
      <c r="V6860">
        <v>7.6181529999999997E-2</v>
      </c>
      <c r="W6860">
        <v>0.2030207</v>
      </c>
      <c r="X6860">
        <v>0.97620640000000003</v>
      </c>
      <c r="Y6860">
        <v>5.914051E-2</v>
      </c>
      <c r="Z6860">
        <v>4.310297E-4</v>
      </c>
      <c r="AA6860">
        <v>0.99824959999999996</v>
      </c>
      <c r="AB6860">
        <v>29</v>
      </c>
      <c r="AC6860">
        <v>104.88679999999999</v>
      </c>
      <c r="AD6860">
        <v>0.151362</v>
      </c>
      <c r="AE6860">
        <v>-0.35857000000000699</v>
      </c>
      <c r="AF6860">
        <v>6.2143675185290697</v>
      </c>
      <c r="AG6860">
        <v>0.151362</v>
      </c>
      <c r="AH6860">
        <v>104.70293788744701</v>
      </c>
      <c r="AI6860">
        <v>89.917316906019806</v>
      </c>
      <c r="AJ6860">
        <v>86.603344420727893</v>
      </c>
      <c r="AK6860">
        <v>104.887303694837</v>
      </c>
      <c r="AL6860">
        <v>78.286342606132195</v>
      </c>
      <c r="AM6860">
        <v>85.537775924683302</v>
      </c>
      <c r="AN6860">
        <v>0.99999998277129498</v>
      </c>
    </row>
    <row r="6861" spans="1:40" x14ac:dyDescent="0.25">
      <c r="A6861" t="str">
        <f>"20190303170424988"</f>
        <v>20190303170424988</v>
      </c>
      <c r="B6861" t="str">
        <f>"1551603864982676"</f>
        <v>1551603864982676</v>
      </c>
      <c r="C6861" t="s">
        <v>40</v>
      </c>
      <c r="D6861">
        <v>4.4505929999999996</v>
      </c>
      <c r="E6861">
        <v>0.49831880000000001</v>
      </c>
      <c r="F6861" t="s">
        <v>55</v>
      </c>
      <c r="G6861">
        <v>-157.3501</v>
      </c>
      <c r="H6861">
        <v>1.214745</v>
      </c>
      <c r="I6861">
        <v>-63.711849999999998</v>
      </c>
      <c r="J6861">
        <v>-262.10329999999999</v>
      </c>
      <c r="K6861">
        <v>1.1219870000000001</v>
      </c>
      <c r="L6861">
        <v>-63.471620000000001</v>
      </c>
      <c r="M6861">
        <v>0.99836009999999997</v>
      </c>
      <c r="N6861">
        <v>-1.172051E-2</v>
      </c>
      <c r="O6861">
        <v>5.6035969999999997E-2</v>
      </c>
      <c r="P6861">
        <v>0.9812592</v>
      </c>
      <c r="Q6861">
        <v>0.19149289999999999</v>
      </c>
      <c r="R6861">
        <v>-2.1475950000000001E-2</v>
      </c>
      <c r="S6861">
        <v>3.05661</v>
      </c>
      <c r="T6861">
        <v>2.7010440000000001E-3</v>
      </c>
      <c r="U6861">
        <v>-6.7749019999999898E-3</v>
      </c>
      <c r="V6861">
        <v>7.6217610000000005E-2</v>
      </c>
      <c r="W6861">
        <v>0.20302909999999999</v>
      </c>
      <c r="X6861">
        <v>0.97620180000000001</v>
      </c>
      <c r="Y6861">
        <v>5.8248500000000002E-2</v>
      </c>
      <c r="Z6861">
        <v>3.9091089999999999E-4</v>
      </c>
      <c r="AA6861">
        <v>0.99830200000000002</v>
      </c>
      <c r="AB6861">
        <v>29</v>
      </c>
      <c r="AC6861">
        <v>104.75320000000001</v>
      </c>
      <c r="AD6861">
        <v>9.2757999999999896E-2</v>
      </c>
      <c r="AE6861">
        <v>-0.240230000000003</v>
      </c>
      <c r="AF6861">
        <v>6.1101972385094303</v>
      </c>
      <c r="AG6861">
        <v>9.2757999999999896E-2</v>
      </c>
      <c r="AH6861">
        <v>104.575039576021</v>
      </c>
      <c r="AI6861">
        <v>89.949265218448303</v>
      </c>
      <c r="AJ6861">
        <v>86.656076470148705</v>
      </c>
      <c r="AK6861">
        <v>104.753434390794</v>
      </c>
      <c r="AL6861">
        <v>78.285850659052699</v>
      </c>
      <c r="AM6861">
        <v>85.535650179938102</v>
      </c>
      <c r="AN6861">
        <v>0.99999994692207905</v>
      </c>
    </row>
    <row r="6862" spans="1:40" x14ac:dyDescent="0.25">
      <c r="A6862" t="str">
        <f>"20190303170424999"</f>
        <v>20190303170424999</v>
      </c>
      <c r="B6862" t="str">
        <f>"1551603864992436"</f>
        <v>1551603864992436</v>
      </c>
      <c r="C6862" t="s">
        <v>40</v>
      </c>
      <c r="D6862">
        <v>4.4423690000000002</v>
      </c>
      <c r="E6862">
        <v>0.49807810000000002</v>
      </c>
      <c r="F6862" t="s">
        <v>55</v>
      </c>
      <c r="G6862">
        <v>-157.3501</v>
      </c>
      <c r="H6862">
        <v>1.209743</v>
      </c>
      <c r="I6862">
        <v>-63.641039999999997</v>
      </c>
      <c r="J6862">
        <v>-261.96190000000001</v>
      </c>
      <c r="K6862">
        <v>1.1219250000000001</v>
      </c>
      <c r="L6862">
        <v>-63.463439999999999</v>
      </c>
      <c r="M6862">
        <v>0.9983495</v>
      </c>
      <c r="N6862">
        <v>-1.1718610000000001E-2</v>
      </c>
      <c r="O6862">
        <v>5.6222010000000003E-2</v>
      </c>
      <c r="P6862">
        <v>0.98121579999999997</v>
      </c>
      <c r="Q6862">
        <v>0.19173180000000001</v>
      </c>
      <c r="R6862">
        <v>-2.1316700000000001E-2</v>
      </c>
      <c r="S6862">
        <v>3.056702</v>
      </c>
      <c r="T6862">
        <v>2.5601389999999999E-3</v>
      </c>
      <c r="U6862">
        <v>-4.9438479999999998E-3</v>
      </c>
      <c r="V6862">
        <v>7.6269500000000004E-2</v>
      </c>
      <c r="W6862">
        <v>0.20325360000000001</v>
      </c>
      <c r="X6862">
        <v>0.97615099999999999</v>
      </c>
      <c r="Y6862">
        <v>5.7836470000000001E-2</v>
      </c>
      <c r="Z6862">
        <v>3.9151620000000002E-4</v>
      </c>
      <c r="AA6862">
        <v>0.99832600000000005</v>
      </c>
      <c r="AB6862">
        <v>29</v>
      </c>
      <c r="AC6862">
        <v>104.6118</v>
      </c>
      <c r="AD6862">
        <v>8.7817999999999896E-2</v>
      </c>
      <c r="AE6862">
        <v>-0.17759999999999801</v>
      </c>
      <c r="AF6862">
        <v>6.0592044321065597</v>
      </c>
      <c r="AG6862">
        <v>8.7817999999999896E-2</v>
      </c>
      <c r="AH6862">
        <v>104.436252607339</v>
      </c>
      <c r="AI6862">
        <v>89.951902214873499</v>
      </c>
      <c r="AJ6862">
        <v>86.6795237945081</v>
      </c>
      <c r="AK6862">
        <v>104.611913896148</v>
      </c>
      <c r="AL6862">
        <v>78.272713509663802</v>
      </c>
      <c r="AM6862">
        <v>85.532391542156404</v>
      </c>
      <c r="AN6862">
        <v>0.99999991867210103</v>
      </c>
    </row>
    <row r="6863" spans="1:40" x14ac:dyDescent="0.25">
      <c r="A6863" t="str">
        <f>"20190303170425010"</f>
        <v>20190303170425010</v>
      </c>
      <c r="B6863" t="str">
        <f>"1551603865002197"</f>
        <v>1551603865002197</v>
      </c>
      <c r="C6863" t="s">
        <v>40</v>
      </c>
      <c r="D6863">
        <v>4.4827760000000003</v>
      </c>
      <c r="E6863">
        <v>0.49794040000000001</v>
      </c>
      <c r="F6863" t="s">
        <v>55</v>
      </c>
      <c r="G6863">
        <v>-157.3501</v>
      </c>
      <c r="H6863">
        <v>1.2249650000000001</v>
      </c>
      <c r="I6863">
        <v>-63.544899999999998</v>
      </c>
      <c r="J6863">
        <v>-261.81450000000001</v>
      </c>
      <c r="K6863">
        <v>1.121858</v>
      </c>
      <c r="L6863">
        <v>-63.45496</v>
      </c>
      <c r="M6863">
        <v>0.99834140000000005</v>
      </c>
      <c r="N6863">
        <v>-1.1716829999999999E-2</v>
      </c>
      <c r="O6863">
        <v>5.6367479999999998E-2</v>
      </c>
      <c r="P6863">
        <v>0.98115280000000005</v>
      </c>
      <c r="Q6863">
        <v>0.19209580000000001</v>
      </c>
      <c r="R6863">
        <v>-2.0945060000000001E-2</v>
      </c>
      <c r="S6863">
        <v>3.0567929999999999</v>
      </c>
      <c r="T6863">
        <v>3.0102729999999999E-3</v>
      </c>
      <c r="U6863">
        <v>-2.380371E-3</v>
      </c>
      <c r="V6863">
        <v>7.6071490000000005E-2</v>
      </c>
      <c r="W6863">
        <v>0.20360239999999999</v>
      </c>
      <c r="X6863">
        <v>0.97609380000000001</v>
      </c>
      <c r="Y6863">
        <v>5.7144569999999999E-2</v>
      </c>
      <c r="Z6863">
        <v>4.0956599999999999E-4</v>
      </c>
      <c r="AA6863">
        <v>0.99836579999999997</v>
      </c>
      <c r="AB6863">
        <v>29</v>
      </c>
      <c r="AC6863">
        <v>104.4644</v>
      </c>
      <c r="AD6863">
        <v>0.10310699999999901</v>
      </c>
      <c r="AE6863">
        <v>-8.9939999999998493E-2</v>
      </c>
      <c r="AF6863">
        <v>5.9785899939376703</v>
      </c>
      <c r="AG6863">
        <v>0.10310699999999901</v>
      </c>
      <c r="AH6863">
        <v>104.29311653302901</v>
      </c>
      <c r="AI6863">
        <v>89.943448700366503</v>
      </c>
      <c r="AJ6863">
        <v>86.719117203633502</v>
      </c>
      <c r="AK6863">
        <v>104.464387834042</v>
      </c>
      <c r="AL6863">
        <v>78.252302396275198</v>
      </c>
      <c r="AM6863">
        <v>85.543683443886195</v>
      </c>
      <c r="AN6863">
        <v>0.99999995763750904</v>
      </c>
    </row>
    <row r="6864" spans="1:40" x14ac:dyDescent="0.25">
      <c r="A6864" t="str">
        <f>"20190303170425021"</f>
        <v>20190303170425021</v>
      </c>
      <c r="B6864" t="str">
        <f>"1551603865012933"</f>
        <v>1551603865012933</v>
      </c>
      <c r="C6864" t="s">
        <v>40</v>
      </c>
      <c r="D6864">
        <v>4.5426659999999996</v>
      </c>
      <c r="E6864">
        <v>0.49782920000000003</v>
      </c>
      <c r="F6864" t="s">
        <v>55</v>
      </c>
      <c r="G6864">
        <v>-157.3501</v>
      </c>
      <c r="H6864">
        <v>1.2379990000000001</v>
      </c>
      <c r="I6864">
        <v>-63.45496</v>
      </c>
      <c r="J6864">
        <v>-261.68090000000001</v>
      </c>
      <c r="K6864">
        <v>1.121794</v>
      </c>
      <c r="L6864">
        <v>-63.447270000000003</v>
      </c>
      <c r="M6864">
        <v>0.99833680000000002</v>
      </c>
      <c r="N6864">
        <v>-1.171546E-2</v>
      </c>
      <c r="O6864">
        <v>5.644884E-2</v>
      </c>
      <c r="P6864">
        <v>0.98112049999999995</v>
      </c>
      <c r="Q6864">
        <v>0.19225519999999999</v>
      </c>
      <c r="R6864">
        <v>-2.1003319999999999E-2</v>
      </c>
      <c r="S6864">
        <v>3.0569459999999999</v>
      </c>
      <c r="T6864">
        <v>3.398061E-3</v>
      </c>
      <c r="U6864">
        <v>0</v>
      </c>
      <c r="V6864">
        <v>7.624061E-2</v>
      </c>
      <c r="W6864">
        <v>0.2037476</v>
      </c>
      <c r="X6864">
        <v>0.97605039999999998</v>
      </c>
      <c r="Y6864">
        <v>5.6448400000000003E-2</v>
      </c>
      <c r="Z6864">
        <v>4.2503460000000001E-4</v>
      </c>
      <c r="AA6864">
        <v>0.99840549999999995</v>
      </c>
      <c r="AB6864">
        <v>29</v>
      </c>
      <c r="AC6864">
        <v>104.3308</v>
      </c>
      <c r="AD6864">
        <v>0.116205</v>
      </c>
      <c r="AE6864">
        <v>-7.6900000000037399E-3</v>
      </c>
      <c r="AF6864">
        <v>5.8974269965237598</v>
      </c>
      <c r="AG6864">
        <v>0.116205</v>
      </c>
      <c r="AH6864">
        <v>104.163857625584</v>
      </c>
      <c r="AI6864">
        <v>89.936183164062797</v>
      </c>
      <c r="AJ6864">
        <v>86.759554247966804</v>
      </c>
      <c r="AK6864">
        <v>104.330735568308</v>
      </c>
      <c r="AL6864">
        <v>78.243806021685202</v>
      </c>
      <c r="AM6864">
        <v>85.533618539724003</v>
      </c>
      <c r="AN6864">
        <v>1.00000004922954</v>
      </c>
    </row>
    <row r="6865" spans="1:40" x14ac:dyDescent="0.25">
      <c r="A6865" t="str">
        <f>"20190303170425031"</f>
        <v>20190303170425031</v>
      </c>
      <c r="B6865" t="str">
        <f>"1551603865022693"</f>
        <v>1551603865022693</v>
      </c>
      <c r="C6865" t="s">
        <v>40</v>
      </c>
      <c r="D6865">
        <v>4.3886089999999998</v>
      </c>
      <c r="E6865">
        <v>0.49770890000000001</v>
      </c>
      <c r="F6865" t="s">
        <v>55</v>
      </c>
      <c r="G6865">
        <v>-157.3501</v>
      </c>
      <c r="H6865">
        <v>1.245079</v>
      </c>
      <c r="I6865">
        <v>-63.416020000000003</v>
      </c>
      <c r="J6865">
        <v>-261.54090000000002</v>
      </c>
      <c r="K6865">
        <v>1.1217200000000001</v>
      </c>
      <c r="L6865">
        <v>-63.439239999999998</v>
      </c>
      <c r="M6865">
        <v>0.99833419999999895</v>
      </c>
      <c r="N6865">
        <v>-1.1714179999999999E-2</v>
      </c>
      <c r="O6865">
        <v>5.6497609999999997E-2</v>
      </c>
      <c r="P6865">
        <v>0.98102129999999998</v>
      </c>
      <c r="Q6865">
        <v>0.19270909999999999</v>
      </c>
      <c r="R6865">
        <v>-2.1472209999999999E-2</v>
      </c>
      <c r="S6865">
        <v>3.057007</v>
      </c>
      <c r="T6865">
        <v>3.6118029999999998E-3</v>
      </c>
      <c r="U6865">
        <v>9.1552729999999996E-4</v>
      </c>
      <c r="V6865">
        <v>7.6786969999999996E-2</v>
      </c>
      <c r="W6865">
        <v>0.20418500000000001</v>
      </c>
      <c r="X6865">
        <v>0.97591609999999995</v>
      </c>
      <c r="Y6865">
        <v>5.6198119999999997E-2</v>
      </c>
      <c r="Z6865">
        <v>4.3286399999999998E-4</v>
      </c>
      <c r="AA6865">
        <v>0.99841950000000002</v>
      </c>
      <c r="AB6865">
        <v>29</v>
      </c>
      <c r="AC6865">
        <v>104.1908</v>
      </c>
      <c r="AD6865">
        <v>0.123359</v>
      </c>
      <c r="AE6865">
        <v>2.3220000000009101E-2</v>
      </c>
      <c r="AF6865">
        <v>5.8637428708767096</v>
      </c>
      <c r="AG6865">
        <v>0.123359</v>
      </c>
      <c r="AH6865">
        <v>104.02552296687</v>
      </c>
      <c r="AI6865">
        <v>89.9321633340505</v>
      </c>
      <c r="AJ6865">
        <v>86.773747895342098</v>
      </c>
      <c r="AK6865">
        <v>104.190729560885</v>
      </c>
      <c r="AL6865">
        <v>78.218206032825805</v>
      </c>
      <c r="AM6865">
        <v>85.501125703714905</v>
      </c>
      <c r="AN6865">
        <v>0.99999999361299496</v>
      </c>
    </row>
    <row r="6866" spans="1:40" x14ac:dyDescent="0.25">
      <c r="A6866" t="str">
        <f>"20190303170425043"</f>
        <v>20190303170425043</v>
      </c>
      <c r="B6866" t="str">
        <f>"1551603865032452"</f>
        <v>1551603865032452</v>
      </c>
      <c r="C6866" t="s">
        <v>40</v>
      </c>
      <c r="D6866">
        <v>4.4549440000000002</v>
      </c>
      <c r="E6866">
        <v>0.49746950000000001</v>
      </c>
      <c r="F6866" t="s">
        <v>55</v>
      </c>
      <c r="G6866">
        <v>-157.3501</v>
      </c>
      <c r="H6866">
        <v>1.2984910000000001</v>
      </c>
      <c r="I6866">
        <v>-63.423630000000003</v>
      </c>
      <c r="J6866">
        <v>-261.39699999999999</v>
      </c>
      <c r="K6866">
        <v>1.1216410000000001</v>
      </c>
      <c r="L6866">
        <v>-63.431089999999998</v>
      </c>
      <c r="M6866">
        <v>0.998336</v>
      </c>
      <c r="N6866">
        <v>-1.1713070000000001E-2</v>
      </c>
      <c r="O6866">
        <v>5.646404E-2</v>
      </c>
      <c r="P6866">
        <v>0.98093540000000001</v>
      </c>
      <c r="Q6866">
        <v>0.1931117</v>
      </c>
      <c r="R6866">
        <v>-2.1758719999999999E-2</v>
      </c>
      <c r="S6866">
        <v>3.0570680000000001</v>
      </c>
      <c r="T6866">
        <v>5.1860810000000004E-3</v>
      </c>
      <c r="U6866">
        <v>4.577637E-4</v>
      </c>
      <c r="V6866">
        <v>7.7076749999999999E-2</v>
      </c>
      <c r="W6866">
        <v>0.2045701</v>
      </c>
      <c r="X6866">
        <v>0.97581260000000003</v>
      </c>
      <c r="Y6866">
        <v>5.6313809999999999E-2</v>
      </c>
      <c r="Z6866">
        <v>4.753515E-4</v>
      </c>
      <c r="AA6866">
        <v>0.99841299999999999</v>
      </c>
      <c r="AB6866">
        <v>29</v>
      </c>
      <c r="AC6866">
        <v>104.04689999999999</v>
      </c>
      <c r="AD6866">
        <v>0.17685000000000001</v>
      </c>
      <c r="AE6866">
        <v>7.4600000000017899E-3</v>
      </c>
      <c r="AF6866">
        <v>5.8678458739341197</v>
      </c>
      <c r="AG6866">
        <v>0.17685000000000001</v>
      </c>
      <c r="AH6866">
        <v>103.881005426822</v>
      </c>
      <c r="AI6866">
        <v>89.902613359007702</v>
      </c>
      <c r="AJ6866">
        <v>86.767013260653499</v>
      </c>
      <c r="AK6866">
        <v>104.046749971395</v>
      </c>
      <c r="AL6866">
        <v>78.195665614353999</v>
      </c>
      <c r="AM6866">
        <v>85.483740877828794</v>
      </c>
      <c r="AN6866">
        <v>0.99999999076166601</v>
      </c>
    </row>
    <row r="6867" spans="1:40" x14ac:dyDescent="0.25">
      <c r="A6867" t="str">
        <f>"20190303170425053"</f>
        <v>20190303170425053</v>
      </c>
      <c r="B6867" t="str">
        <f>"1551603865042213"</f>
        <v>1551603865042213</v>
      </c>
      <c r="C6867" t="s">
        <v>40</v>
      </c>
      <c r="D6867">
        <v>4.4635829999999999</v>
      </c>
      <c r="E6867">
        <v>0.49746950000000001</v>
      </c>
      <c r="F6867" t="s">
        <v>55</v>
      </c>
      <c r="G6867">
        <v>-157.3501</v>
      </c>
      <c r="H6867">
        <v>1.347788</v>
      </c>
      <c r="I6867">
        <v>-63.39058</v>
      </c>
      <c r="J6867">
        <v>-261.25470000000001</v>
      </c>
      <c r="K6867">
        <v>1.1215599999999999</v>
      </c>
      <c r="L6867">
        <v>-63.423000000000002</v>
      </c>
      <c r="M6867">
        <v>0.99833959999999999</v>
      </c>
      <c r="N6867">
        <v>-1.171203E-2</v>
      </c>
      <c r="O6867">
        <v>5.6399959999999999E-2</v>
      </c>
      <c r="P6867">
        <v>0.98080040000000002</v>
      </c>
      <c r="Q6867">
        <v>0.1937236</v>
      </c>
      <c r="R6867">
        <v>-2.2401480000000001E-2</v>
      </c>
      <c r="S6867">
        <v>3.0569760000000001</v>
      </c>
      <c r="T6867">
        <v>6.6437719999999896E-3</v>
      </c>
      <c r="U6867">
        <v>1.190186E-3</v>
      </c>
      <c r="V6867">
        <v>7.7690469999999998E-2</v>
      </c>
      <c r="W6867">
        <v>0.20516329999999999</v>
      </c>
      <c r="X6867">
        <v>0.97563940000000005</v>
      </c>
      <c r="Y6867">
        <v>5.6010259999999999E-2</v>
      </c>
      <c r="Z6867">
        <v>5.1622370000000003E-4</v>
      </c>
      <c r="AA6867">
        <v>0.99843009999999999</v>
      </c>
      <c r="AB6867">
        <v>29</v>
      </c>
      <c r="AC6867">
        <v>103.9046</v>
      </c>
      <c r="AD6867">
        <v>0.22622799999999901</v>
      </c>
      <c r="AE6867">
        <v>3.2419999999994703E-2</v>
      </c>
      <c r="AF6867">
        <v>5.8282209893207098</v>
      </c>
      <c r="AG6867">
        <v>0.22622799999999901</v>
      </c>
      <c r="AH6867">
        <v>103.74052455442801</v>
      </c>
      <c r="AI6867">
        <v>89.875251433138104</v>
      </c>
      <c r="AJ6867">
        <v>86.784460053431403</v>
      </c>
      <c r="AK6867">
        <v>103.9043587817</v>
      </c>
      <c r="AL6867">
        <v>78.160941526055595</v>
      </c>
      <c r="AM6867">
        <v>85.4471262094753</v>
      </c>
      <c r="AN6867">
        <v>1.0000000138140299</v>
      </c>
    </row>
    <row r="6868" spans="1:40" x14ac:dyDescent="0.25">
      <c r="A6868" t="str">
        <f>"20190303170425065"</f>
        <v>20190303170425065</v>
      </c>
      <c r="B6868" t="str">
        <f>"1551603865052949"</f>
        <v>1551603865052949</v>
      </c>
      <c r="C6868" t="s">
        <v>40</v>
      </c>
      <c r="D6868">
        <v>4.4259339999999998</v>
      </c>
      <c r="E6868">
        <v>0.49736219999999998</v>
      </c>
      <c r="F6868" t="s">
        <v>55</v>
      </c>
      <c r="G6868">
        <v>-157.3501</v>
      </c>
      <c r="H6868">
        <v>1.4113610000000001</v>
      </c>
      <c r="I6868">
        <v>-63.459299999999999</v>
      </c>
      <c r="J6868">
        <v>-261.1071</v>
      </c>
      <c r="K6868">
        <v>1.1214649999999999</v>
      </c>
      <c r="L6868">
        <v>-63.414760000000001</v>
      </c>
      <c r="M6868">
        <v>0.99835039999999997</v>
      </c>
      <c r="N6868">
        <v>-1.17114E-2</v>
      </c>
      <c r="O6868">
        <v>5.6206680000000002E-2</v>
      </c>
      <c r="P6868">
        <v>0.98065159999999996</v>
      </c>
      <c r="Q6868">
        <v>0.1944468</v>
      </c>
      <c r="R6868">
        <v>-2.2652289999999999E-2</v>
      </c>
      <c r="S6868">
        <v>3.057007</v>
      </c>
      <c r="T6868">
        <v>8.5257289999999993E-3</v>
      </c>
      <c r="U6868">
        <v>-1.0681149999999999E-3</v>
      </c>
      <c r="V6868">
        <v>7.779498E-2</v>
      </c>
      <c r="W6868">
        <v>0.2058642</v>
      </c>
      <c r="X6868">
        <v>0.9754834</v>
      </c>
      <c r="Y6868">
        <v>5.6554180000000003E-2</v>
      </c>
      <c r="Z6868">
        <v>5.62916E-4</v>
      </c>
      <c r="AA6868">
        <v>0.99839940000000005</v>
      </c>
      <c r="AB6868">
        <v>29</v>
      </c>
      <c r="AC6868">
        <v>103.75700000000001</v>
      </c>
      <c r="AD6868">
        <v>0.28989599999999999</v>
      </c>
      <c r="AE6868">
        <v>-4.4539999999997797E-2</v>
      </c>
      <c r="AF6868">
        <v>5.8766605624610602</v>
      </c>
      <c r="AG6868">
        <v>0.28989599999999999</v>
      </c>
      <c r="AH6868">
        <v>103.58964145141</v>
      </c>
      <c r="AI6868">
        <v>89.839915357920901</v>
      </c>
      <c r="AJ6868">
        <v>86.753079473975305</v>
      </c>
      <c r="AK6868">
        <v>103.756604585389</v>
      </c>
      <c r="AL6868">
        <v>78.119906782029801</v>
      </c>
      <c r="AM6868">
        <v>85.440301438762802</v>
      </c>
      <c r="AN6868">
        <v>0.99999999571520004</v>
      </c>
    </row>
    <row r="6869" spans="1:40" x14ac:dyDescent="0.25">
      <c r="A6869" t="str">
        <f>"20190303170425077"</f>
        <v>20190303170425077</v>
      </c>
      <c r="B6869" t="str">
        <f>"1551603865072468"</f>
        <v>1551603865072468</v>
      </c>
      <c r="C6869" t="s">
        <v>40</v>
      </c>
      <c r="D6869">
        <v>4.5407640000000002</v>
      </c>
      <c r="E6869">
        <v>0.4972298</v>
      </c>
      <c r="F6869" t="s">
        <v>55</v>
      </c>
      <c r="G6869">
        <v>-157.3501</v>
      </c>
      <c r="H6869">
        <v>1.4780040000000001</v>
      </c>
      <c r="I6869">
        <v>-63.468620000000001</v>
      </c>
      <c r="J6869">
        <v>-260.9579</v>
      </c>
      <c r="K6869">
        <v>1.1213649999999999</v>
      </c>
      <c r="L6869">
        <v>-63.406519999999901</v>
      </c>
      <c r="M6869">
        <v>0.99836360000000002</v>
      </c>
      <c r="N6869">
        <v>-1.171093E-2</v>
      </c>
      <c r="O6869">
        <v>5.5973530000000001E-2</v>
      </c>
      <c r="P6869">
        <v>0.98042910000000005</v>
      </c>
      <c r="Q6869">
        <v>0.1955094</v>
      </c>
      <c r="R6869">
        <v>-2.313399E-2</v>
      </c>
      <c r="S6869">
        <v>3.0570680000000001</v>
      </c>
      <c r="T6869">
        <v>1.0504360000000001E-2</v>
      </c>
      <c r="U6869">
        <v>-1.586914E-3</v>
      </c>
      <c r="V6869">
        <v>7.8090149999999997E-2</v>
      </c>
      <c r="W6869">
        <v>0.2069028</v>
      </c>
      <c r="X6869">
        <v>0.97524010000000005</v>
      </c>
      <c r="Y6869">
        <v>5.6490020000000002E-2</v>
      </c>
      <c r="Z6869">
        <v>6.1429349999999998E-4</v>
      </c>
      <c r="AA6869">
        <v>0.99840300000000004</v>
      </c>
      <c r="AB6869">
        <v>29</v>
      </c>
      <c r="AC6869">
        <v>103.6078</v>
      </c>
      <c r="AD6869">
        <v>0.35663899999999998</v>
      </c>
      <c r="AE6869">
        <v>-6.2100000000000898E-2</v>
      </c>
      <c r="AF6869">
        <v>5.8616250204419096</v>
      </c>
      <c r="AG6869">
        <v>0.35663899999999998</v>
      </c>
      <c r="AH6869">
        <v>103.44064506342799</v>
      </c>
      <c r="AI6869">
        <v>89.802774817650004</v>
      </c>
      <c r="AJ6869">
        <v>86.756714084989994</v>
      </c>
      <c r="AK6869">
        <v>103.607204818944</v>
      </c>
      <c r="AL6869">
        <v>78.059090684252496</v>
      </c>
      <c r="AM6869">
        <v>85.421937395495405</v>
      </c>
      <c r="AN6869">
        <v>1.00000004641143</v>
      </c>
    </row>
    <row r="6870" spans="1:40" x14ac:dyDescent="0.25">
      <c r="A6870" t="str">
        <f>"20190303170425088"</f>
        <v>20190303170425088</v>
      </c>
      <c r="B6870" t="str">
        <f>"1551603865072468"</f>
        <v>1551603865072468</v>
      </c>
      <c r="C6870" t="s">
        <v>40</v>
      </c>
      <c r="D6870">
        <v>4.5407640000000002</v>
      </c>
      <c r="E6870">
        <v>0.4972298</v>
      </c>
      <c r="F6870" t="s">
        <v>55</v>
      </c>
      <c r="G6870">
        <v>-157.3501</v>
      </c>
      <c r="H6870">
        <v>1.5973029999999999</v>
      </c>
      <c r="I6870">
        <v>-63.497540000000001</v>
      </c>
      <c r="J6870">
        <v>-260.80790000000002</v>
      </c>
      <c r="K6870">
        <v>1.1212470000000001</v>
      </c>
      <c r="L6870">
        <v>-63.398350000000001</v>
      </c>
      <c r="M6870">
        <v>0.99838360000000004</v>
      </c>
      <c r="N6870">
        <v>-1.1711259999999999E-2</v>
      </c>
      <c r="O6870">
        <v>5.5614709999999998E-2</v>
      </c>
      <c r="P6870">
        <v>0.9802244</v>
      </c>
      <c r="Q6870">
        <v>0.19651679999999999</v>
      </c>
      <c r="R6870">
        <v>-2.3266289999999999E-2</v>
      </c>
      <c r="S6870">
        <v>3.057007</v>
      </c>
      <c r="T6870">
        <v>1.4042260000000001E-2</v>
      </c>
      <c r="U6870">
        <v>-2.6855469999999999E-3</v>
      </c>
      <c r="V6870">
        <v>7.7922619999999998E-2</v>
      </c>
      <c r="W6870">
        <v>0.20788519999999999</v>
      </c>
      <c r="X6870">
        <v>0.97504449999999998</v>
      </c>
      <c r="Y6870">
        <v>5.6489169999999998E-2</v>
      </c>
      <c r="Z6870">
        <v>7.0589389999999995E-4</v>
      </c>
      <c r="AA6870">
        <v>0.99840300000000004</v>
      </c>
      <c r="AB6870">
        <v>29</v>
      </c>
      <c r="AC6870">
        <v>103.45780000000001</v>
      </c>
      <c r="AD6870">
        <v>0.47605599999999998</v>
      </c>
      <c r="AE6870">
        <v>-9.9190000000000098E-2</v>
      </c>
      <c r="AF6870">
        <v>5.8530828024973598</v>
      </c>
      <c r="AG6870">
        <v>0.47605599999999998</v>
      </c>
      <c r="AH6870">
        <v>103.289953030137</v>
      </c>
      <c r="AI6870">
        <v>89.736352676339806</v>
      </c>
      <c r="AJ6870">
        <v>86.756715754584604</v>
      </c>
      <c r="AK6870">
        <v>103.456752339207</v>
      </c>
      <c r="AL6870">
        <v>78.001551521987594</v>
      </c>
      <c r="AM6870">
        <v>85.430804739173894</v>
      </c>
      <c r="AN6870">
        <v>0.99999998403347701</v>
      </c>
    </row>
    <row r="6871" spans="1:40" x14ac:dyDescent="0.25">
      <c r="A6871" t="str">
        <f>"20190303170425099"</f>
        <v>20190303170425099</v>
      </c>
      <c r="B6871" t="str">
        <f>"1551603865092985"</f>
        <v>1551603865092985</v>
      </c>
      <c r="C6871" t="s">
        <v>40</v>
      </c>
      <c r="D6871">
        <v>4.4484120000000003</v>
      </c>
      <c r="E6871">
        <v>0.4972356</v>
      </c>
      <c r="F6871" t="s">
        <v>55</v>
      </c>
      <c r="G6871">
        <v>-157.3501</v>
      </c>
      <c r="H6871">
        <v>1.7003820000000001</v>
      </c>
      <c r="I6871">
        <v>-63.525379999999998</v>
      </c>
      <c r="J6871">
        <v>-260.66890000000001</v>
      </c>
      <c r="K6871">
        <v>1.121138</v>
      </c>
      <c r="L6871">
        <v>-63.390929999999997</v>
      </c>
      <c r="M6871">
        <v>0.99840519999999999</v>
      </c>
      <c r="N6871">
        <v>-1.1711859999999999E-2</v>
      </c>
      <c r="O6871">
        <v>5.522842E-2</v>
      </c>
      <c r="P6871">
        <v>0.98001649999999996</v>
      </c>
      <c r="Q6871">
        <v>0.1975828</v>
      </c>
      <c r="R6871">
        <v>-2.3005649999999999E-2</v>
      </c>
      <c r="S6871">
        <v>3.057007</v>
      </c>
      <c r="T6871">
        <v>1.7111899999999999E-2</v>
      </c>
      <c r="U6871">
        <v>-3.7536620000000001E-3</v>
      </c>
      <c r="V6871">
        <v>7.7332689999999996E-2</v>
      </c>
      <c r="W6871">
        <v>0.208928</v>
      </c>
      <c r="X6871">
        <v>0.97486859999999997</v>
      </c>
      <c r="Y6871">
        <v>5.645087E-2</v>
      </c>
      <c r="Z6871">
        <v>7.8351630000000005E-4</v>
      </c>
      <c r="AA6871">
        <v>0.99840510000000005</v>
      </c>
      <c r="AB6871">
        <v>29</v>
      </c>
      <c r="AC6871">
        <v>103.3188</v>
      </c>
      <c r="AD6871">
        <v>0.57924399999999998</v>
      </c>
      <c r="AE6871">
        <v>-0.13445000000000101</v>
      </c>
      <c r="AF6871">
        <v>5.8405858324705902</v>
      </c>
      <c r="AG6871">
        <v>0.57924399999999998</v>
      </c>
      <c r="AH6871">
        <v>103.150419542479</v>
      </c>
      <c r="AI6871">
        <v>89.678771880666105</v>
      </c>
      <c r="AJ6871">
        <v>86.7592572058808</v>
      </c>
      <c r="AK6871">
        <v>103.317263892669</v>
      </c>
      <c r="AL6871">
        <v>77.940462542739397</v>
      </c>
      <c r="AM6871">
        <v>85.464437180263701</v>
      </c>
      <c r="AN6871">
        <v>1.00000002069629</v>
      </c>
    </row>
    <row r="6872" spans="1:40" x14ac:dyDescent="0.25">
      <c r="A6872" t="str">
        <f>"20190303170425110"</f>
        <v>20190303170425110</v>
      </c>
      <c r="B6872" t="str">
        <f>"1551603865102744"</f>
        <v>1551603865102744</v>
      </c>
      <c r="C6872" t="s">
        <v>40</v>
      </c>
      <c r="D6872">
        <v>4.4829929999999996</v>
      </c>
      <c r="E6872">
        <v>0.49723020000000001</v>
      </c>
      <c r="F6872" t="s">
        <v>55</v>
      </c>
      <c r="G6872">
        <v>-157.3501</v>
      </c>
      <c r="H6872">
        <v>1.787704</v>
      </c>
      <c r="I6872">
        <v>-63.510559999999998</v>
      </c>
      <c r="J6872">
        <v>-260.51679999999999</v>
      </c>
      <c r="K6872">
        <v>1.121014</v>
      </c>
      <c r="L6872">
        <v>-63.382899999999999</v>
      </c>
      <c r="M6872">
        <v>0.99843320000000002</v>
      </c>
      <c r="N6872">
        <v>-1.171298E-2</v>
      </c>
      <c r="O6872">
        <v>5.4718950000000002E-2</v>
      </c>
      <c r="P6872">
        <v>0.97975829999999997</v>
      </c>
      <c r="Q6872">
        <v>0.1988288</v>
      </c>
      <c r="R6872">
        <v>-2.325694E-2</v>
      </c>
      <c r="S6872">
        <v>3.057159</v>
      </c>
      <c r="T6872">
        <v>1.9722819999999999E-2</v>
      </c>
      <c r="U6872">
        <v>-3.540039E-3</v>
      </c>
      <c r="V6872">
        <v>7.7139639999999995E-2</v>
      </c>
      <c r="W6872">
        <v>0.21014820000000001</v>
      </c>
      <c r="X6872">
        <v>0.97462159999999998</v>
      </c>
      <c r="Y6872">
        <v>5.5870799999999998E-2</v>
      </c>
      <c r="Z6872">
        <v>8.4704210000000003E-4</v>
      </c>
      <c r="AA6872">
        <v>0.99843760000000004</v>
      </c>
      <c r="AB6872">
        <v>29</v>
      </c>
      <c r="AC6872">
        <v>103.16670000000001</v>
      </c>
      <c r="AD6872">
        <v>0.66669</v>
      </c>
      <c r="AE6872">
        <v>-0.127659999999998</v>
      </c>
      <c r="AF6872">
        <v>5.7727878184611399</v>
      </c>
      <c r="AG6872">
        <v>0.66669</v>
      </c>
      <c r="AH6872">
        <v>103.00082675074999</v>
      </c>
      <c r="AI6872">
        <v>89.629729773168805</v>
      </c>
      <c r="AJ6872">
        <v>86.792154778232799</v>
      </c>
      <c r="AK6872">
        <v>103.164625071248</v>
      </c>
      <c r="AL6872">
        <v>77.868963045783502</v>
      </c>
      <c r="AM6872">
        <v>85.474570663230296</v>
      </c>
      <c r="AN6872">
        <v>1.0000000266045601</v>
      </c>
    </row>
    <row r="6873" spans="1:40" x14ac:dyDescent="0.25">
      <c r="A6873" t="str">
        <f>"20190303170425121"</f>
        <v>20190303170425121</v>
      </c>
      <c r="B6873" t="str">
        <f>"1551603865112505"</f>
        <v>1551603865112505</v>
      </c>
      <c r="C6873" t="s">
        <v>40</v>
      </c>
      <c r="D6873">
        <v>4.353478</v>
      </c>
      <c r="E6873">
        <v>0.49726320000000002</v>
      </c>
      <c r="F6873" t="s">
        <v>55</v>
      </c>
      <c r="G6873">
        <v>-157.3501</v>
      </c>
      <c r="H6873">
        <v>1.881392</v>
      </c>
      <c r="I6873">
        <v>-63.531190000000002</v>
      </c>
      <c r="J6873">
        <v>-260.38510000000002</v>
      </c>
      <c r="K6873">
        <v>1.120906</v>
      </c>
      <c r="L6873">
        <v>-63.376159999999999</v>
      </c>
      <c r="M6873">
        <v>0.9984615</v>
      </c>
      <c r="N6873">
        <v>-1.171409E-2</v>
      </c>
      <c r="O6873">
        <v>5.419732E-2</v>
      </c>
      <c r="P6873">
        <v>0.97955420000000004</v>
      </c>
      <c r="Q6873">
        <v>0.1997758</v>
      </c>
      <c r="R6873">
        <v>-2.3739050000000001E-2</v>
      </c>
      <c r="S6873">
        <v>3.057312</v>
      </c>
      <c r="T6873">
        <v>2.2532940000000001E-2</v>
      </c>
      <c r="U6873">
        <v>-4.3945310000000001E-3</v>
      </c>
      <c r="V6873">
        <v>7.7159469999999994E-2</v>
      </c>
      <c r="W6873">
        <v>0.2110725</v>
      </c>
      <c r="X6873">
        <v>0.97442019999999996</v>
      </c>
      <c r="Y6873">
        <v>5.5627269999999999E-2</v>
      </c>
      <c r="Z6873">
        <v>9.1356230000000003E-4</v>
      </c>
      <c r="AA6873">
        <v>0.99845119999999998</v>
      </c>
      <c r="AB6873">
        <v>29</v>
      </c>
      <c r="AC6873">
        <v>103.035</v>
      </c>
      <c r="AD6873">
        <v>0.760485999999999</v>
      </c>
      <c r="AE6873">
        <v>-0.155030000000003</v>
      </c>
      <c r="AF6873">
        <v>5.7390936813344604</v>
      </c>
      <c r="AG6873">
        <v>0.760485999999999</v>
      </c>
      <c r="AH6873">
        <v>102.869536207843</v>
      </c>
      <c r="AI6873">
        <v>89.577093500097106</v>
      </c>
      <c r="AJ6873">
        <v>86.806777455573197</v>
      </c>
      <c r="AK6873">
        <v>103.032310538277</v>
      </c>
      <c r="AL6873">
        <v>77.814788562591701</v>
      </c>
      <c r="AM6873">
        <v>85.472480464501402</v>
      </c>
      <c r="AN6873">
        <v>0.99999995511748396</v>
      </c>
    </row>
    <row r="6874" spans="1:40" x14ac:dyDescent="0.25">
      <c r="A6874" t="str">
        <f>"20190303170425132"</f>
        <v>20190303170425132</v>
      </c>
      <c r="B6874" t="str">
        <f>"1551603865122266"</f>
        <v>1551603865122266</v>
      </c>
      <c r="C6874" t="s">
        <v>40</v>
      </c>
      <c r="D6874">
        <v>4.4798589999999896</v>
      </c>
      <c r="E6874">
        <v>0.49733110000000003</v>
      </c>
      <c r="F6874" t="s">
        <v>55</v>
      </c>
      <c r="G6874">
        <v>-157.3501</v>
      </c>
      <c r="H6874">
        <v>1.960191</v>
      </c>
      <c r="I6874">
        <v>-63.579790000000003</v>
      </c>
      <c r="J6874">
        <v>-260.24059999999997</v>
      </c>
      <c r="K6874">
        <v>1.1207929999999999</v>
      </c>
      <c r="L6874">
        <v>-63.368839999999999</v>
      </c>
      <c r="M6874">
        <v>0.99849529999999997</v>
      </c>
      <c r="N6874">
        <v>-1.171531E-2</v>
      </c>
      <c r="O6874">
        <v>5.3570369999999999E-2</v>
      </c>
      <c r="P6874">
        <v>0.97929440000000001</v>
      </c>
      <c r="Q6874">
        <v>0.2009532</v>
      </c>
      <c r="R6874">
        <v>-2.4501559999999999E-2</v>
      </c>
      <c r="S6874">
        <v>3.0574340000000002</v>
      </c>
      <c r="T6874">
        <v>2.490413E-2</v>
      </c>
      <c r="U6874">
        <v>-6.0424800000000002E-3</v>
      </c>
      <c r="V6874">
        <v>7.7360579999999998E-2</v>
      </c>
      <c r="W6874">
        <v>0.2122241</v>
      </c>
      <c r="X6874">
        <v>0.97415410000000002</v>
      </c>
      <c r="Y6874">
        <v>5.5537669999999997E-2</v>
      </c>
      <c r="Z6874">
        <v>9.6485739999999998E-4</v>
      </c>
      <c r="AA6874">
        <v>0.99845609999999996</v>
      </c>
      <c r="AB6874">
        <v>29</v>
      </c>
      <c r="AC6874">
        <v>102.89049999999899</v>
      </c>
      <c r="AD6874">
        <v>0.83939799999999998</v>
      </c>
      <c r="AE6874">
        <v>-0.210949999999996</v>
      </c>
      <c r="AF6874">
        <v>5.7225269108042598</v>
      </c>
      <c r="AG6874">
        <v>0.83939799999999998</v>
      </c>
      <c r="AH6874">
        <v>102.724598507723</v>
      </c>
      <c r="AI6874">
        <v>89.532551640636598</v>
      </c>
      <c r="AJ6874">
        <v>86.811493000256505</v>
      </c>
      <c r="AK6874">
        <v>102.887292907434</v>
      </c>
      <c r="AL6874">
        <v>77.7472775047097</v>
      </c>
      <c r="AM6874">
        <v>85.459494335887499</v>
      </c>
      <c r="AN6874">
        <v>0.99999996925277701</v>
      </c>
    </row>
    <row r="6875" spans="1:40" x14ac:dyDescent="0.25">
      <c r="A6875" t="str">
        <f>"20190303170425143"</f>
        <v>20190303170425143</v>
      </c>
      <c r="B6875" t="str">
        <f>"1551603865132024"</f>
        <v>1551603865132024</v>
      </c>
      <c r="C6875" t="s">
        <v>40</v>
      </c>
      <c r="D6875">
        <v>4.5915699999999999</v>
      </c>
      <c r="E6875">
        <v>0.49738290000000002</v>
      </c>
      <c r="F6875" t="s">
        <v>55</v>
      </c>
      <c r="G6875">
        <v>-157.3501</v>
      </c>
      <c r="H6875">
        <v>2.06623</v>
      </c>
      <c r="I6875">
        <v>-63.6646</v>
      </c>
      <c r="J6875">
        <v>-260.09519999999998</v>
      </c>
      <c r="K6875">
        <v>1.120673</v>
      </c>
      <c r="L6875">
        <v>-63.361690000000003</v>
      </c>
      <c r="M6875">
        <v>0.99853499999999995</v>
      </c>
      <c r="N6875">
        <v>-1.171703E-2</v>
      </c>
      <c r="O6875">
        <v>5.2826159999999997E-2</v>
      </c>
      <c r="P6875">
        <v>0.97911040000000005</v>
      </c>
      <c r="Q6875">
        <v>0.20172709999999999</v>
      </c>
      <c r="R6875">
        <v>-2.547959E-2</v>
      </c>
      <c r="S6875">
        <v>3.0574340000000002</v>
      </c>
      <c r="T6875">
        <v>2.8093460000000001E-2</v>
      </c>
      <c r="U6875">
        <v>-8.7890629999999997E-3</v>
      </c>
      <c r="V6875">
        <v>7.7665979999999996E-2</v>
      </c>
      <c r="W6875">
        <v>0.2129733</v>
      </c>
      <c r="X6875">
        <v>0.97396629999999995</v>
      </c>
      <c r="Y6875">
        <v>5.5689290000000002E-2</v>
      </c>
      <c r="Z6875">
        <v>1.0339660000000001E-3</v>
      </c>
      <c r="AA6875">
        <v>0.99844759999999999</v>
      </c>
      <c r="AB6875">
        <v>29</v>
      </c>
      <c r="AC6875">
        <v>102.745099999999</v>
      </c>
      <c r="AD6875">
        <v>0.94555699999999998</v>
      </c>
      <c r="AE6875">
        <v>-0.30290999999999701</v>
      </c>
      <c r="AF6875">
        <v>5.7300033053533204</v>
      </c>
      <c r="AG6875">
        <v>0.94555699999999998</v>
      </c>
      <c r="AH6875">
        <v>102.57692948056101</v>
      </c>
      <c r="AI6875">
        <v>89.4726828963488</v>
      </c>
      <c r="AJ6875">
        <v>86.802749268098793</v>
      </c>
      <c r="AK6875">
        <v>102.74119659406099</v>
      </c>
      <c r="AL6875">
        <v>77.703347527789504</v>
      </c>
      <c r="AM6875">
        <v>85.440769725804302</v>
      </c>
      <c r="AN6875">
        <v>0.99999999224896996</v>
      </c>
    </row>
    <row r="6876" spans="1:40" x14ac:dyDescent="0.25">
      <c r="A6876" t="str">
        <f>"20190303170425154"</f>
        <v>20190303170425154</v>
      </c>
      <c r="B6876" t="str">
        <f>"1551603865142761"</f>
        <v>1551603865142761</v>
      </c>
      <c r="C6876" t="s">
        <v>40</v>
      </c>
      <c r="D6876">
        <v>4.4739139999999997</v>
      </c>
      <c r="E6876">
        <v>0.49738290000000002</v>
      </c>
      <c r="F6876" t="s">
        <v>55</v>
      </c>
      <c r="G6876">
        <v>-157.3501</v>
      </c>
      <c r="H6876">
        <v>2.1224889999999998</v>
      </c>
      <c r="I6876">
        <v>-63.774970000000003</v>
      </c>
      <c r="J6876">
        <v>-259.95229999999998</v>
      </c>
      <c r="K6876">
        <v>1.1205579999999999</v>
      </c>
      <c r="L6876">
        <v>-63.354770000000002</v>
      </c>
      <c r="M6876">
        <v>0.9985752</v>
      </c>
      <c r="N6876">
        <v>-1.17187E-2</v>
      </c>
      <c r="O6876">
        <v>5.2061679999999999E-2</v>
      </c>
      <c r="P6876">
        <v>0.9789312</v>
      </c>
      <c r="Q6876">
        <v>0.202457</v>
      </c>
      <c r="R6876">
        <v>-2.6552289999999999E-2</v>
      </c>
      <c r="S6876">
        <v>3.0575559999999999</v>
      </c>
      <c r="T6876">
        <v>2.9812100000000001E-2</v>
      </c>
      <c r="U6876">
        <v>-1.229858E-2</v>
      </c>
      <c r="V6876">
        <v>7.8045409999999996E-2</v>
      </c>
      <c r="W6876">
        <v>0.21367910000000001</v>
      </c>
      <c r="X6876">
        <v>0.97378129999999996</v>
      </c>
      <c r="Y6876">
        <v>5.6070250000000002E-2</v>
      </c>
      <c r="Z6876">
        <v>1.0625140000000001E-3</v>
      </c>
      <c r="AA6876">
        <v>0.99842629999999999</v>
      </c>
      <c r="AB6876">
        <v>29</v>
      </c>
      <c r="AC6876">
        <v>102.602199999999</v>
      </c>
      <c r="AD6876">
        <v>1.0019309999999999</v>
      </c>
      <c r="AE6876">
        <v>-0.42020000000000102</v>
      </c>
      <c r="AF6876">
        <v>5.7610899614787803</v>
      </c>
      <c r="AG6876">
        <v>1.0019309999999999</v>
      </c>
      <c r="AH6876">
        <v>102.431393678989</v>
      </c>
      <c r="AI6876">
        <v>89.440464383625496</v>
      </c>
      <c r="AJ6876">
        <v>86.780881999012095</v>
      </c>
      <c r="AK6876">
        <v>102.59816974143899</v>
      </c>
      <c r="AL6876">
        <v>77.661954605316396</v>
      </c>
      <c r="AM6876">
        <v>85.417723941833202</v>
      </c>
      <c r="AN6876">
        <v>0.99999993201428095</v>
      </c>
    </row>
    <row r="6877" spans="1:40" x14ac:dyDescent="0.25">
      <c r="A6877" t="str">
        <f>"20190303170425166"</f>
        <v>20190303170425166</v>
      </c>
      <c r="B6877" t="str">
        <f>"1551603865162280"</f>
        <v>1551603865162280</v>
      </c>
      <c r="C6877" t="s">
        <v>40</v>
      </c>
      <c r="D6877">
        <v>4.6356250000000001</v>
      </c>
      <c r="E6877">
        <v>0.46312989999999998</v>
      </c>
      <c r="F6877" t="s">
        <v>55</v>
      </c>
      <c r="G6877">
        <v>-157.3501</v>
      </c>
      <c r="H6877">
        <v>2.1965400000000002</v>
      </c>
      <c r="I6877">
        <v>-63.888319999999901</v>
      </c>
      <c r="J6877">
        <v>-259.8073</v>
      </c>
      <c r="K6877">
        <v>1.120439</v>
      </c>
      <c r="L6877">
        <v>-63.348080000000003</v>
      </c>
      <c r="M6877">
        <v>0.99862229999999996</v>
      </c>
      <c r="N6877">
        <v>-1.172081E-2</v>
      </c>
      <c r="O6877">
        <v>5.1150420000000002E-2</v>
      </c>
      <c r="P6877">
        <v>0.97869850000000003</v>
      </c>
      <c r="Q6877">
        <v>0.20338039999999999</v>
      </c>
      <c r="R6877">
        <v>-2.803667E-2</v>
      </c>
      <c r="S6877">
        <v>3.0574949999999999</v>
      </c>
      <c r="T6877">
        <v>3.2063130000000002E-2</v>
      </c>
      <c r="U6877">
        <v>-1.5899659999999999E-2</v>
      </c>
      <c r="V6877">
        <v>7.8689430000000005E-2</v>
      </c>
      <c r="W6877">
        <v>0.21457760000000001</v>
      </c>
      <c r="X6877">
        <v>0.97353199999999995</v>
      </c>
      <c r="Y6877">
        <v>5.6334339999999997E-2</v>
      </c>
      <c r="Z6877">
        <v>1.101124E-3</v>
      </c>
      <c r="AA6877">
        <v>0.99841139999999995</v>
      </c>
      <c r="AB6877">
        <v>29</v>
      </c>
      <c r="AC6877">
        <v>102.4572</v>
      </c>
      <c r="AD6877">
        <v>1.076101</v>
      </c>
      <c r="AE6877">
        <v>-0.54023999999998995</v>
      </c>
      <c r="AF6877">
        <v>5.7799833225932398</v>
      </c>
      <c r="AG6877">
        <v>1.076101</v>
      </c>
      <c r="AH6877">
        <v>102.28414285859201</v>
      </c>
      <c r="AI6877">
        <v>89.398190444364701</v>
      </c>
      <c r="AJ6877">
        <v>86.7657076623195</v>
      </c>
      <c r="AK6877">
        <v>102.452974973343</v>
      </c>
      <c r="AL6877">
        <v>77.609253591628899</v>
      </c>
      <c r="AM6877">
        <v>85.378896709106996</v>
      </c>
      <c r="AN6877">
        <v>1.0000000639197399</v>
      </c>
    </row>
    <row r="6878" spans="1:40" x14ac:dyDescent="0.25">
      <c r="A6878" t="str">
        <f>"20190303170425177"</f>
        <v>20190303170425177</v>
      </c>
      <c r="B6878" t="str">
        <f>"1551603865172041"</f>
        <v>1551603865172041</v>
      </c>
      <c r="C6878" t="s">
        <v>40</v>
      </c>
      <c r="D6878">
        <v>4.5501579999999997</v>
      </c>
      <c r="E6878">
        <v>0.45393830000000002</v>
      </c>
      <c r="F6878" t="s">
        <v>55</v>
      </c>
      <c r="G6878">
        <v>-157.3501</v>
      </c>
      <c r="H6878">
        <v>2.1436500000000001</v>
      </c>
      <c r="I6878">
        <v>-54.864789999999999</v>
      </c>
      <c r="J6878">
        <v>-259.65600000000001</v>
      </c>
      <c r="K6878">
        <v>1.12032</v>
      </c>
      <c r="L6878">
        <v>-63.341189999999997</v>
      </c>
      <c r="M6878">
        <v>0.998672</v>
      </c>
      <c r="N6878">
        <v>-1.1722929999999999E-2</v>
      </c>
      <c r="O6878">
        <v>5.0168009999999999E-2</v>
      </c>
      <c r="P6878">
        <v>0.97853599999999996</v>
      </c>
      <c r="Q6878">
        <v>0.2040322</v>
      </c>
      <c r="R6878">
        <v>-2.894681E-2</v>
      </c>
      <c r="S6878">
        <v>3.0661930000000002</v>
      </c>
      <c r="T6878">
        <v>3.062057E-2</v>
      </c>
      <c r="U6878">
        <v>0.25387569999999998</v>
      </c>
      <c r="V6878">
        <v>7.8695909999999994E-2</v>
      </c>
      <c r="W6878">
        <v>0.2152067</v>
      </c>
      <c r="X6878">
        <v>0.97339249999999999</v>
      </c>
      <c r="Y6878">
        <v>-3.2423750000000001E-2</v>
      </c>
      <c r="Z6878">
        <v>1.1160709999999999E-3</v>
      </c>
      <c r="AA6878">
        <v>0.99947359999999996</v>
      </c>
      <c r="AB6878">
        <v>29</v>
      </c>
      <c r="AC6878">
        <v>102.30589999999999</v>
      </c>
      <c r="AD6878">
        <v>1.0233299999999901</v>
      </c>
      <c r="AE6878">
        <v>8.4763999999999999</v>
      </c>
      <c r="AF6878">
        <v>-3.33255775681021</v>
      </c>
      <c r="AG6878">
        <v>1.0233299999999901</v>
      </c>
      <c r="AH6878">
        <v>102.592136609649</v>
      </c>
      <c r="AI6878">
        <v>89.428809642573697</v>
      </c>
      <c r="AJ6878">
        <v>91.860516643134901</v>
      </c>
      <c r="AK6878">
        <v>102.65134991623</v>
      </c>
      <c r="AL6878">
        <v>77.572345334025201</v>
      </c>
      <c r="AM6878">
        <v>85.377858364142398</v>
      </c>
      <c r="AN6878">
        <v>0.99999996451593298</v>
      </c>
    </row>
    <row r="6879" spans="1:40" x14ac:dyDescent="0.25">
      <c r="A6879" t="str">
        <f>"20190303170425189"</f>
        <v>20190303170425189</v>
      </c>
      <c r="B6879" t="str">
        <f>"1551603865182776"</f>
        <v>1551603865182776</v>
      </c>
      <c r="C6879" t="s">
        <v>40</v>
      </c>
      <c r="D6879">
        <v>4.5299889999999996</v>
      </c>
      <c r="E6879">
        <v>0.44620219999999999</v>
      </c>
      <c r="F6879" t="s">
        <v>55</v>
      </c>
      <c r="G6879">
        <v>-157.9383</v>
      </c>
      <c r="H6879">
        <v>2.6082559999999999</v>
      </c>
      <c r="I6879">
        <v>-52.59525</v>
      </c>
      <c r="J6879">
        <v>-259.50459999999998</v>
      </c>
      <c r="K6879">
        <v>1.120206</v>
      </c>
      <c r="L6879">
        <v>-63.334629999999997</v>
      </c>
      <c r="M6879">
        <v>0.99872609999999995</v>
      </c>
      <c r="N6879">
        <v>-1.172544E-2</v>
      </c>
      <c r="O6879">
        <v>4.908071E-2</v>
      </c>
      <c r="P6879">
        <v>0.97839169999999998</v>
      </c>
      <c r="Q6879">
        <v>0.20460420000000001</v>
      </c>
      <c r="R6879">
        <v>-2.977987E-2</v>
      </c>
      <c r="S6879">
        <v>3.066071</v>
      </c>
      <c r="T6879">
        <v>4.4850109999999999E-2</v>
      </c>
      <c r="U6879">
        <v>0.32391360000000002</v>
      </c>
      <c r="V6879">
        <v>7.8520820000000005E-2</v>
      </c>
      <c r="W6879">
        <v>0.21575900000000001</v>
      </c>
      <c r="X6879">
        <v>0.97328440000000005</v>
      </c>
      <c r="Y6879">
        <v>-5.6136510000000001E-2</v>
      </c>
      <c r="Z6879">
        <v>1.210268E-3</v>
      </c>
      <c r="AA6879">
        <v>0.99842240000000004</v>
      </c>
      <c r="AB6879">
        <v>29</v>
      </c>
      <c r="AC6879">
        <v>101.566299999999</v>
      </c>
      <c r="AD6879">
        <v>1.4880500000000001</v>
      </c>
      <c r="AE6879">
        <v>10.739380000000001</v>
      </c>
      <c r="AF6879">
        <v>-5.7399285527575197</v>
      </c>
      <c r="AG6879">
        <v>1.4880500000000001</v>
      </c>
      <c r="AH6879">
        <v>101.94936793734099</v>
      </c>
      <c r="AI6879">
        <v>89.165093899228395</v>
      </c>
      <c r="AJ6879">
        <v>93.222450999828993</v>
      </c>
      <c r="AK6879">
        <v>102.121666141014</v>
      </c>
      <c r="AL6879">
        <v>77.539939962014202</v>
      </c>
      <c r="AM6879">
        <v>85.387587703420095</v>
      </c>
      <c r="AN6879">
        <v>0.99999999426891595</v>
      </c>
    </row>
    <row r="6880" spans="1:40" x14ac:dyDescent="0.25">
      <c r="A6880" t="str">
        <f>"20190303170425200"</f>
        <v>20190303170425200</v>
      </c>
      <c r="B6880" t="str">
        <f>"1551603865192537"</f>
        <v>1551603865192537</v>
      </c>
      <c r="C6880" t="s">
        <v>40</v>
      </c>
      <c r="D6880">
        <v>4.5272019999999999</v>
      </c>
      <c r="E6880">
        <v>0.43964140000000002</v>
      </c>
      <c r="F6880" t="s">
        <v>55</v>
      </c>
      <c r="G6880">
        <v>-157.3501</v>
      </c>
      <c r="H6880">
        <v>3.0421830000000001</v>
      </c>
      <c r="I6880">
        <v>-50.590330000000002</v>
      </c>
      <c r="J6880">
        <v>-259.36529999999999</v>
      </c>
      <c r="K6880">
        <v>1.120106</v>
      </c>
      <c r="L6880">
        <v>-63.328740000000003</v>
      </c>
      <c r="M6880">
        <v>0.99877680000000002</v>
      </c>
      <c r="N6880">
        <v>-1.1727670000000001E-2</v>
      </c>
      <c r="O6880">
        <v>4.8036330000000002E-2</v>
      </c>
      <c r="P6880">
        <v>0.97822180000000003</v>
      </c>
      <c r="Q6880">
        <v>0.20531949999999999</v>
      </c>
      <c r="R6880">
        <v>-3.043278E-2</v>
      </c>
      <c r="S6880">
        <v>3.0658259999999999</v>
      </c>
      <c r="T6880">
        <v>5.7681080000000003E-2</v>
      </c>
      <c r="U6880">
        <v>0.38247680000000001</v>
      </c>
      <c r="V6880">
        <v>7.8199599999999994E-2</v>
      </c>
      <c r="W6880">
        <v>0.2164568</v>
      </c>
      <c r="X6880">
        <v>0.97315529999999995</v>
      </c>
      <c r="Y6880">
        <v>-7.5999360000000002E-2</v>
      </c>
      <c r="Z6880">
        <v>1.1962559999999999E-3</v>
      </c>
      <c r="AA6880">
        <v>0.99710710000000002</v>
      </c>
      <c r="AB6880">
        <v>29</v>
      </c>
      <c r="AC6880">
        <v>102.01519999999999</v>
      </c>
      <c r="AD6880">
        <v>1.922077</v>
      </c>
      <c r="AE6880">
        <v>12.73841</v>
      </c>
      <c r="AF6880">
        <v>-7.8201966320532499</v>
      </c>
      <c r="AG6880">
        <v>1.922077</v>
      </c>
      <c r="AH6880">
        <v>102.473546621426</v>
      </c>
      <c r="AI6880">
        <v>88.928554588902699</v>
      </c>
      <c r="AJ6880">
        <v>94.364028382239098</v>
      </c>
      <c r="AK6880">
        <v>102.789482013149</v>
      </c>
      <c r="AL6880">
        <v>77.498991157706101</v>
      </c>
      <c r="AM6880">
        <v>85.405768866846699</v>
      </c>
      <c r="AN6880">
        <v>0.99999998081224395</v>
      </c>
    </row>
    <row r="6881" spans="1:40" x14ac:dyDescent="0.25">
      <c r="A6881" t="str">
        <f>"20190303170425211"</f>
        <v>20190303170425211</v>
      </c>
      <c r="B6881" t="str">
        <f>"1551603865202296"</f>
        <v>1551603865202296</v>
      </c>
      <c r="C6881" t="s">
        <v>40</v>
      </c>
      <c r="D6881">
        <v>4.5316769999999904</v>
      </c>
      <c r="E6881">
        <v>0.4347666</v>
      </c>
      <c r="F6881" t="s">
        <v>55</v>
      </c>
      <c r="G6881">
        <v>-157.3501</v>
      </c>
      <c r="H6881">
        <v>3.499422</v>
      </c>
      <c r="I6881">
        <v>-48.954909999999998</v>
      </c>
      <c r="J6881">
        <v>-259.22190000000001</v>
      </c>
      <c r="K6881">
        <v>1.120009</v>
      </c>
      <c r="L6881">
        <v>-63.322850000000003</v>
      </c>
      <c r="M6881">
        <v>0.99883049999999995</v>
      </c>
      <c r="N6881">
        <v>-1.172993E-2</v>
      </c>
      <c r="O6881">
        <v>4.6905219999999997E-2</v>
      </c>
      <c r="P6881">
        <v>0.97799610000000003</v>
      </c>
      <c r="Q6881">
        <v>0.20628070000000001</v>
      </c>
      <c r="R6881">
        <v>-3.1178689999999998E-2</v>
      </c>
      <c r="S6881">
        <v>3.0652159999999999</v>
      </c>
      <c r="T6881">
        <v>7.1489810000000001E-2</v>
      </c>
      <c r="U6881">
        <v>0.43188480000000001</v>
      </c>
      <c r="V6881">
        <v>7.7883279999999999E-2</v>
      </c>
      <c r="W6881">
        <v>0.21740180000000001</v>
      </c>
      <c r="X6881">
        <v>0.97297</v>
      </c>
      <c r="Y6881">
        <v>-9.2933399999999999E-2</v>
      </c>
      <c r="Z6881">
        <v>1.104772E-3</v>
      </c>
      <c r="AA6881">
        <v>0.99567169999999905</v>
      </c>
      <c r="AB6881">
        <v>29</v>
      </c>
      <c r="AC6881">
        <v>101.87179999999999</v>
      </c>
      <c r="AD6881">
        <v>2.379413</v>
      </c>
      <c r="AE6881">
        <v>14.367940000000001</v>
      </c>
      <c r="AF6881">
        <v>-9.5683576866775102</v>
      </c>
      <c r="AG6881">
        <v>2.379413</v>
      </c>
      <c r="AH6881">
        <v>102.37887346821201</v>
      </c>
      <c r="AI6881">
        <v>88.674388970955405</v>
      </c>
      <c r="AJ6881">
        <v>95.339369218053207</v>
      </c>
      <c r="AK6881">
        <v>102.852558585895</v>
      </c>
      <c r="AL6881">
        <v>77.443525911229401</v>
      </c>
      <c r="AM6881">
        <v>85.423405875070799</v>
      </c>
      <c r="AN6881">
        <v>0.99999998442339899</v>
      </c>
    </row>
    <row r="6882" spans="1:40" x14ac:dyDescent="0.25">
      <c r="A6882" t="str">
        <f>"20190303170425220"</f>
        <v>20190303170425220</v>
      </c>
      <c r="B6882" t="str">
        <f>"1551603865212056"</f>
        <v>1551603865212056</v>
      </c>
      <c r="C6882" t="s">
        <v>40</v>
      </c>
      <c r="D6882">
        <v>4.5030669999999997</v>
      </c>
      <c r="E6882">
        <v>0.43111569999999999</v>
      </c>
      <c r="F6882" t="s">
        <v>55</v>
      </c>
      <c r="G6882">
        <v>-157.3501</v>
      </c>
      <c r="H6882">
        <v>3.8933599999999999</v>
      </c>
      <c r="I6882">
        <v>-47.76737</v>
      </c>
      <c r="J6882">
        <v>-259.08629999999999</v>
      </c>
      <c r="K6882">
        <v>1.119928</v>
      </c>
      <c r="L6882">
        <v>-63.317570000000003</v>
      </c>
      <c r="M6882">
        <v>0.99888220000000005</v>
      </c>
      <c r="N6882">
        <v>-1.173188E-2</v>
      </c>
      <c r="O6882">
        <v>4.5790810000000001E-2</v>
      </c>
      <c r="P6882">
        <v>0.97797900000000004</v>
      </c>
      <c r="Q6882">
        <v>0.20628389999999999</v>
      </c>
      <c r="R6882">
        <v>-3.1691240000000002E-2</v>
      </c>
      <c r="S6882">
        <v>3.064819</v>
      </c>
      <c r="T6882">
        <v>8.3435770000000006E-2</v>
      </c>
      <c r="U6882">
        <v>0.46798709999999999</v>
      </c>
      <c r="V6882">
        <v>7.734945E-2</v>
      </c>
      <c r="W6882">
        <v>0.2173939</v>
      </c>
      <c r="X6882">
        <v>0.97301439999999995</v>
      </c>
      <c r="Y6882">
        <v>-0.10553170000000001</v>
      </c>
      <c r="Z6882">
        <v>9.6714170000000005E-4</v>
      </c>
      <c r="AA6882">
        <v>0.99441550000000001</v>
      </c>
      <c r="AB6882">
        <v>29</v>
      </c>
      <c r="AC6882">
        <v>101.7362</v>
      </c>
      <c r="AD6882">
        <v>2.7734320000000001</v>
      </c>
      <c r="AE6882">
        <v>15.550199999999901</v>
      </c>
      <c r="AF6882">
        <v>-10.867091297268299</v>
      </c>
      <c r="AG6882">
        <v>2.7734320000000001</v>
      </c>
      <c r="AH6882">
        <v>102.267308209655</v>
      </c>
      <c r="AI6882">
        <v>88.455243980441693</v>
      </c>
      <c r="AJ6882">
        <v>96.065581594949805</v>
      </c>
      <c r="AK6882">
        <v>102.88045454200901</v>
      </c>
      <c r="AL6882">
        <v>77.443990270071595</v>
      </c>
      <c r="AM6882">
        <v>85.454849552217397</v>
      </c>
      <c r="AN6882">
        <v>1.00000003388993</v>
      </c>
    </row>
    <row r="6883" spans="1:40" x14ac:dyDescent="0.25">
      <c r="A6883" t="str">
        <f>"20190303170425232"</f>
        <v>20190303170425232</v>
      </c>
      <c r="B6883" t="str">
        <f>"1551603865222793"</f>
        <v>1551603865222793</v>
      </c>
      <c r="C6883" t="s">
        <v>40</v>
      </c>
      <c r="D6883">
        <v>4.5331939999999999</v>
      </c>
      <c r="E6883">
        <v>0.42845159999999999</v>
      </c>
      <c r="F6883" t="s">
        <v>55</v>
      </c>
      <c r="G6883">
        <v>-157.3501</v>
      </c>
      <c r="H6883">
        <v>4.1148860000000003</v>
      </c>
      <c r="I6883">
        <v>-46.866709999999998</v>
      </c>
      <c r="J6883">
        <v>-258.9402</v>
      </c>
      <c r="K6883">
        <v>1.1198440000000001</v>
      </c>
      <c r="L6883">
        <v>-63.311950000000003</v>
      </c>
      <c r="M6883">
        <v>0.99893799999999999</v>
      </c>
      <c r="N6883">
        <v>-1.1733800000000001E-2</v>
      </c>
      <c r="O6883">
        <v>4.4556289999999998E-2</v>
      </c>
      <c r="P6883">
        <v>0.9780162</v>
      </c>
      <c r="Q6883">
        <v>0.20599629999999999</v>
      </c>
      <c r="R6883">
        <v>-3.2406249999999998E-2</v>
      </c>
      <c r="S6883">
        <v>3.064575</v>
      </c>
      <c r="T6883">
        <v>9.0215680000000006E-2</v>
      </c>
      <c r="U6883">
        <v>0.4955444</v>
      </c>
      <c r="V6883">
        <v>7.6901639999999993E-2</v>
      </c>
      <c r="W6883">
        <v>0.2170965</v>
      </c>
      <c r="X6883">
        <v>0.97311630000000005</v>
      </c>
      <c r="Y6883">
        <v>-0.1154887</v>
      </c>
      <c r="Z6883">
        <v>8.1481229999999895E-4</v>
      </c>
      <c r="AA6883">
        <v>0.99330850000000004</v>
      </c>
      <c r="AB6883">
        <v>29</v>
      </c>
      <c r="AC6883">
        <v>101.59010000000001</v>
      </c>
      <c r="AD6883">
        <v>2.99504199999999</v>
      </c>
      <c r="AE6883">
        <v>16.445239999999998</v>
      </c>
      <c r="AF6883">
        <v>-11.892043917510801</v>
      </c>
      <c r="AG6883">
        <v>2.99504199999999</v>
      </c>
      <c r="AH6883">
        <v>102.13547788098499</v>
      </c>
      <c r="AI6883">
        <v>88.331592679816097</v>
      </c>
      <c r="AJ6883">
        <v>96.641273819813193</v>
      </c>
      <c r="AK6883">
        <v>102.86907614582201</v>
      </c>
      <c r="AL6883">
        <v>77.461447066436193</v>
      </c>
      <c r="AM6883">
        <v>85.481525366291606</v>
      </c>
      <c r="AN6883">
        <v>1.0000000429363101</v>
      </c>
    </row>
    <row r="6884" spans="1:40" x14ac:dyDescent="0.25">
      <c r="A6884" t="str">
        <f>"20190303170425244"</f>
        <v>20190303170425244</v>
      </c>
      <c r="B6884" t="str">
        <f>"1551603865232553"</f>
        <v>1551603865232553</v>
      </c>
      <c r="C6884" t="s">
        <v>40</v>
      </c>
      <c r="D6884">
        <v>4.5356489999999896</v>
      </c>
      <c r="E6884">
        <v>0.42630259999999998</v>
      </c>
      <c r="F6884" t="s">
        <v>55</v>
      </c>
      <c r="G6884">
        <v>-157.3501</v>
      </c>
      <c r="H6884">
        <v>4.2224149999999998</v>
      </c>
      <c r="I6884">
        <v>-46.245460000000001</v>
      </c>
      <c r="J6884">
        <v>-258.79489999999998</v>
      </c>
      <c r="K6884">
        <v>1.119772</v>
      </c>
      <c r="L6884">
        <v>-63.306730000000002</v>
      </c>
      <c r="M6884">
        <v>0.9989941</v>
      </c>
      <c r="N6884">
        <v>-1.1735560000000001E-2</v>
      </c>
      <c r="O6884">
        <v>4.3281119999999999E-2</v>
      </c>
      <c r="P6884">
        <v>0.97808209999999995</v>
      </c>
      <c r="Q6884">
        <v>0.2055332</v>
      </c>
      <c r="R6884">
        <v>-3.334082E-2</v>
      </c>
      <c r="S6884">
        <v>3.0647739999999999</v>
      </c>
      <c r="T6884">
        <v>9.3597890000000003E-2</v>
      </c>
      <c r="U6884">
        <v>0.51486209999999999</v>
      </c>
      <c r="V6884">
        <v>7.6626479999999997E-2</v>
      </c>
      <c r="W6884">
        <v>0.21662490000000001</v>
      </c>
      <c r="X6884">
        <v>0.97324310000000003</v>
      </c>
      <c r="Y6884">
        <v>-0.1228345</v>
      </c>
      <c r="Z6884">
        <v>6.7935049999999996E-4</v>
      </c>
      <c r="AA6884">
        <v>0.9924269</v>
      </c>
      <c r="AB6884">
        <v>29</v>
      </c>
      <c r="AC6884">
        <v>101.4448</v>
      </c>
      <c r="AD6884">
        <v>3.102643</v>
      </c>
      <c r="AE6884">
        <v>17.06127</v>
      </c>
      <c r="AF6884">
        <v>-12.6428327523356</v>
      </c>
      <c r="AG6884">
        <v>3.102643</v>
      </c>
      <c r="AH6884">
        <v>101.995424470738</v>
      </c>
      <c r="AI6884">
        <v>88.270857375497997</v>
      </c>
      <c r="AJ6884">
        <v>97.066050255601695</v>
      </c>
      <c r="AK6884">
        <v>102.822829306312</v>
      </c>
      <c r="AL6884">
        <v>77.489126520857596</v>
      </c>
      <c r="AM6884">
        <v>85.498210409646404</v>
      </c>
      <c r="AN6884">
        <v>1.0000000482174001</v>
      </c>
    </row>
    <row r="6885" spans="1:40" x14ac:dyDescent="0.25">
      <c r="A6885" t="str">
        <f>"20190303170425255"</f>
        <v>20190303170425255</v>
      </c>
      <c r="B6885" t="str">
        <f>"1551603865242313"</f>
        <v>1551603865242313</v>
      </c>
      <c r="C6885" t="s">
        <v>40</v>
      </c>
      <c r="D6885">
        <v>4.5052629999999896</v>
      </c>
      <c r="E6885">
        <v>0.42449690000000001</v>
      </c>
      <c r="F6885" t="s">
        <v>55</v>
      </c>
      <c r="G6885">
        <v>-157.3501</v>
      </c>
      <c r="H6885">
        <v>4.2922209999999996</v>
      </c>
      <c r="I6885">
        <v>-45.787849999999999</v>
      </c>
      <c r="J6885">
        <v>-258.6497</v>
      </c>
      <c r="K6885">
        <v>1.119702</v>
      </c>
      <c r="L6885">
        <v>-63.301609999999997</v>
      </c>
      <c r="M6885">
        <v>0.99904899999999996</v>
      </c>
      <c r="N6885">
        <v>-1.173713E-2</v>
      </c>
      <c r="O6885">
        <v>4.1993269999999999E-2</v>
      </c>
      <c r="P6885">
        <v>0.97827140000000001</v>
      </c>
      <c r="Q6885">
        <v>0.2045043</v>
      </c>
      <c r="R6885">
        <v>-3.4109090000000002E-2</v>
      </c>
      <c r="S6885">
        <v>3.0651250000000001</v>
      </c>
      <c r="T6885">
        <v>9.5853919999999995E-2</v>
      </c>
      <c r="U6885">
        <v>0.5293274</v>
      </c>
      <c r="V6885">
        <v>7.6172899999999905E-2</v>
      </c>
      <c r="W6885">
        <v>0.2155909</v>
      </c>
      <c r="X6885">
        <v>0.97350820000000005</v>
      </c>
      <c r="Y6885">
        <v>-0.12864100000000001</v>
      </c>
      <c r="Z6885">
        <v>5.559009E-4</v>
      </c>
      <c r="AA6885">
        <v>0.99169110000000005</v>
      </c>
      <c r="AB6885">
        <v>29</v>
      </c>
      <c r="AC6885">
        <v>101.2996</v>
      </c>
      <c r="AD6885">
        <v>3.1725189999999901</v>
      </c>
      <c r="AE6885">
        <v>17.513759999999898</v>
      </c>
      <c r="AF6885">
        <v>-13.2315134112186</v>
      </c>
      <c r="AG6885">
        <v>3.1725189999999901</v>
      </c>
      <c r="AH6885">
        <v>101.848744560038</v>
      </c>
      <c r="AI6885">
        <v>88.230710929733306</v>
      </c>
      <c r="AJ6885">
        <v>97.402030906321201</v>
      </c>
      <c r="AK6885">
        <v>102.753611091837</v>
      </c>
      <c r="AL6885">
        <v>77.549803353524695</v>
      </c>
      <c r="AM6885">
        <v>85.5259632941505</v>
      </c>
      <c r="AN6885">
        <v>0.99999998116222899</v>
      </c>
    </row>
    <row r="6886" spans="1:40" x14ac:dyDescent="0.25">
      <c r="A6886" t="str">
        <f>"20190303170425266"</f>
        <v>20190303170425266</v>
      </c>
      <c r="B6886" t="str">
        <f>"1551603865262809"</f>
        <v>1551603865262809</v>
      </c>
      <c r="C6886" t="s">
        <v>40</v>
      </c>
      <c r="D6886">
        <v>4.5162250000000004</v>
      </c>
      <c r="E6886">
        <v>0.4218903</v>
      </c>
      <c r="F6886" t="s">
        <v>55</v>
      </c>
      <c r="G6886">
        <v>-157.3501</v>
      </c>
      <c r="H6886">
        <v>4.2690190000000001</v>
      </c>
      <c r="I6886">
        <v>-45.414920000000002</v>
      </c>
      <c r="J6886">
        <v>-258.4941</v>
      </c>
      <c r="K6886">
        <v>1.11965</v>
      </c>
      <c r="L6886">
        <v>-63.296509999999998</v>
      </c>
      <c r="M6886">
        <v>0.99910779999999999</v>
      </c>
      <c r="N6886">
        <v>-1.173855E-2</v>
      </c>
      <c r="O6886">
        <v>4.0568470000000002E-2</v>
      </c>
      <c r="P6886">
        <v>0.97845479999999996</v>
      </c>
      <c r="Q6886">
        <v>0.20351269999999999</v>
      </c>
      <c r="R6886">
        <v>-3.4772570000000003E-2</v>
      </c>
      <c r="S6886">
        <v>3.0655519999999998</v>
      </c>
      <c r="T6886">
        <v>9.5304609999999998E-2</v>
      </c>
      <c r="U6886">
        <v>0.5412903</v>
      </c>
      <c r="V6886">
        <v>7.5472789999999998E-2</v>
      </c>
      <c r="W6886">
        <v>0.2145985</v>
      </c>
      <c r="X6886">
        <v>0.97378200000000004</v>
      </c>
      <c r="Y6886">
        <v>-0.13378329999999999</v>
      </c>
      <c r="Z6886">
        <v>4.5107049999999998E-4</v>
      </c>
      <c r="AA6886">
        <v>0.99101050000000002</v>
      </c>
      <c r="AB6886">
        <v>29</v>
      </c>
      <c r="AC6886">
        <v>101.143999999999</v>
      </c>
      <c r="AD6886">
        <v>3.1493690000000001</v>
      </c>
      <c r="AE6886">
        <v>17.8815899999999</v>
      </c>
      <c r="AF6886">
        <v>-13.750399528939001</v>
      </c>
      <c r="AG6886">
        <v>3.1493690000000001</v>
      </c>
      <c r="AH6886">
        <v>101.69059641585901</v>
      </c>
      <c r="AI6886">
        <v>88.242098067077293</v>
      </c>
      <c r="AJ6886">
        <v>97.700714586635797</v>
      </c>
      <c r="AK6886">
        <v>102.66435316952401</v>
      </c>
      <c r="AL6886">
        <v>77.608027006974794</v>
      </c>
      <c r="AM6886">
        <v>85.568161271524602</v>
      </c>
      <c r="AN6886">
        <v>1.00000002087831</v>
      </c>
    </row>
    <row r="6887" spans="1:40" x14ac:dyDescent="0.25">
      <c r="A6887" t="str">
        <f>"20190303170425278"</f>
        <v>20190303170425278</v>
      </c>
      <c r="B6887" t="str">
        <f>"1551603865272568"</f>
        <v>1551603865272568</v>
      </c>
      <c r="C6887" t="s">
        <v>40</v>
      </c>
      <c r="D6887">
        <v>4.5315589999999997</v>
      </c>
      <c r="E6887">
        <v>0.42083700000000002</v>
      </c>
      <c r="F6887" t="s">
        <v>55</v>
      </c>
      <c r="G6887">
        <v>-157.3501</v>
      </c>
      <c r="H6887">
        <v>4.2831140000000003</v>
      </c>
      <c r="I6887">
        <v>-44.829889999999999</v>
      </c>
      <c r="J6887">
        <v>-258.34989999999999</v>
      </c>
      <c r="K6887">
        <v>1.119602</v>
      </c>
      <c r="L6887">
        <v>-63.291899999999998</v>
      </c>
      <c r="M6887">
        <v>0.99916079999999996</v>
      </c>
      <c r="N6887">
        <v>-1.1739690000000001E-2</v>
      </c>
      <c r="O6887">
        <v>3.9241749999999999E-2</v>
      </c>
      <c r="P6887">
        <v>0.97852300000000003</v>
      </c>
      <c r="Q6887">
        <v>0.2031046</v>
      </c>
      <c r="R6887">
        <v>-3.5230659999999997E-2</v>
      </c>
      <c r="S6887">
        <v>3.0660099999999999</v>
      </c>
      <c r="T6887">
        <v>9.5894460000000001E-2</v>
      </c>
      <c r="U6887">
        <v>0.5597839</v>
      </c>
      <c r="V6887">
        <v>7.4657050000000003E-2</v>
      </c>
      <c r="W6887">
        <v>0.21418960000000001</v>
      </c>
      <c r="X6887">
        <v>0.97393490000000005</v>
      </c>
      <c r="Y6887">
        <v>-0.14085780000000001</v>
      </c>
      <c r="Z6887">
        <v>3.2250120000000001E-4</v>
      </c>
      <c r="AA6887">
        <v>0.99002979999999996</v>
      </c>
      <c r="AB6887">
        <v>29</v>
      </c>
      <c r="AC6887">
        <v>100.99979999999999</v>
      </c>
      <c r="AD6887">
        <v>3.1635119999999999</v>
      </c>
      <c r="AE6887">
        <v>18.462009999999999</v>
      </c>
      <c r="AF6887">
        <v>-14.4703682608696</v>
      </c>
      <c r="AG6887">
        <v>3.1635119999999999</v>
      </c>
      <c r="AH6887">
        <v>101.550119181973</v>
      </c>
      <c r="AI6887">
        <v>88.233518537105496</v>
      </c>
      <c r="AJ6887">
        <v>98.109758219625405</v>
      </c>
      <c r="AK6887">
        <v>102.624685488689</v>
      </c>
      <c r="AL6887">
        <v>77.632013038370701</v>
      </c>
      <c r="AM6887">
        <v>85.616560174859501</v>
      </c>
      <c r="AN6887">
        <v>1.0000000246504299</v>
      </c>
    </row>
    <row r="6888" spans="1:40" x14ac:dyDescent="0.25">
      <c r="A6888" t="str">
        <f>"20190303170425288"</f>
        <v>20190303170425288</v>
      </c>
      <c r="B6888" t="str">
        <f>"1551603865282328"</f>
        <v>1551603865282328</v>
      </c>
      <c r="C6888" t="s">
        <v>40</v>
      </c>
      <c r="D6888">
        <v>4.548349</v>
      </c>
      <c r="E6888">
        <v>0.41986869999999998</v>
      </c>
      <c r="F6888" t="s">
        <v>55</v>
      </c>
      <c r="G6888">
        <v>-157.3501</v>
      </c>
      <c r="H6888">
        <v>4.2590539999999999</v>
      </c>
      <c r="I6888">
        <v>-44.625190000000003</v>
      </c>
      <c r="J6888">
        <v>-258.20760000000001</v>
      </c>
      <c r="K6888">
        <v>1.1195679999999999</v>
      </c>
      <c r="L6888">
        <v>-63.287599999999998</v>
      </c>
      <c r="M6888">
        <v>0.99921199999999999</v>
      </c>
      <c r="N6888">
        <v>-1.174063E-2</v>
      </c>
      <c r="O6888">
        <v>3.7915619999999997E-2</v>
      </c>
      <c r="P6888">
        <v>0.9786108</v>
      </c>
      <c r="Q6888">
        <v>0.20263020000000001</v>
      </c>
      <c r="R6888">
        <v>-3.5524529999999999E-2</v>
      </c>
      <c r="S6888">
        <v>3.0664669999999998</v>
      </c>
      <c r="T6888">
        <v>9.5316650000000003E-2</v>
      </c>
      <c r="U6888">
        <v>0.56674190000000002</v>
      </c>
      <c r="V6888">
        <v>7.3671529999999999E-2</v>
      </c>
      <c r="W6888">
        <v>0.21371780000000001</v>
      </c>
      <c r="X6888">
        <v>0.97411360000000002</v>
      </c>
      <c r="Y6888">
        <v>-0.1443161</v>
      </c>
      <c r="Z6888">
        <v>2.3978859999999999E-4</v>
      </c>
      <c r="AA6888">
        <v>0.98953159999999896</v>
      </c>
      <c r="AB6888">
        <v>29</v>
      </c>
      <c r="AC6888">
        <v>100.8575</v>
      </c>
      <c r="AD6888">
        <v>3.1394860000000002</v>
      </c>
      <c r="AE6888">
        <v>18.662409999999898</v>
      </c>
      <c r="AF6888">
        <v>-14.810774930274601</v>
      </c>
      <c r="AG6888">
        <v>3.1394860000000002</v>
      </c>
      <c r="AH6888">
        <v>101.397616946466</v>
      </c>
      <c r="AI6888">
        <v>88.245176568004993</v>
      </c>
      <c r="AJ6888">
        <v>98.310214683681394</v>
      </c>
      <c r="AK6888">
        <v>102.521666728559</v>
      </c>
      <c r="AL6888">
        <v>77.659686292695895</v>
      </c>
      <c r="AM6888">
        <v>85.674993788150701</v>
      </c>
      <c r="AN6888">
        <v>1.0000000490371601</v>
      </c>
    </row>
    <row r="6889" spans="1:40" x14ac:dyDescent="0.25">
      <c r="A6889" t="str">
        <f>"20190303170425299"</f>
        <v>20190303170425299</v>
      </c>
      <c r="B6889" t="str">
        <f>"1551603865292088"</f>
        <v>1551603865292088</v>
      </c>
      <c r="C6889" t="s">
        <v>40</v>
      </c>
      <c r="D6889">
        <v>4.5330190000000004</v>
      </c>
      <c r="E6889">
        <v>0.4190295</v>
      </c>
      <c r="F6889" t="s">
        <v>55</v>
      </c>
      <c r="G6889">
        <v>-157.3501</v>
      </c>
      <c r="H6889">
        <v>4.2427679999999999</v>
      </c>
      <c r="I6889">
        <v>-44.427959999999999</v>
      </c>
      <c r="J6889">
        <v>-258.06709999999998</v>
      </c>
      <c r="K6889">
        <v>1.119543</v>
      </c>
      <c r="L6889">
        <v>-63.283540000000002</v>
      </c>
      <c r="M6889">
        <v>0.99926099999999995</v>
      </c>
      <c r="N6889">
        <v>-1.174152E-2</v>
      </c>
      <c r="O6889">
        <v>3.660277E-2</v>
      </c>
      <c r="P6889">
        <v>0.97862309999999997</v>
      </c>
      <c r="Q6889">
        <v>0.20247670000000001</v>
      </c>
      <c r="R6889">
        <v>-3.6058380000000001E-2</v>
      </c>
      <c r="S6889">
        <v>3.0667270000000002</v>
      </c>
      <c r="T6889">
        <v>9.4964980000000004E-2</v>
      </c>
      <c r="U6889">
        <v>0.57345579999999996</v>
      </c>
      <c r="V6889">
        <v>7.2934639999999995E-2</v>
      </c>
      <c r="W6889">
        <v>0.213565</v>
      </c>
      <c r="X6889">
        <v>0.97420249999999997</v>
      </c>
      <c r="Y6889">
        <v>-0.1476925</v>
      </c>
      <c r="Z6889">
        <v>1.56811E-4</v>
      </c>
      <c r="AA6889">
        <v>0.9890333</v>
      </c>
      <c r="AB6889">
        <v>29</v>
      </c>
      <c r="AC6889">
        <v>100.716999999999</v>
      </c>
      <c r="AD6889">
        <v>3.1232250000000001</v>
      </c>
      <c r="AE6889">
        <v>18.85558</v>
      </c>
      <c r="AF6889">
        <v>-15.142100209361899</v>
      </c>
      <c r="AG6889">
        <v>3.1232250000000001</v>
      </c>
      <c r="AH6889">
        <v>101.245651128139</v>
      </c>
      <c r="AI6889">
        <v>88.252523687977103</v>
      </c>
      <c r="AJ6889">
        <v>98.505998264755505</v>
      </c>
      <c r="AK6889">
        <v>102.419332186418</v>
      </c>
      <c r="AL6889">
        <v>77.668647266468696</v>
      </c>
      <c r="AM6889">
        <v>85.718481692051199</v>
      </c>
      <c r="AN6889">
        <v>0.99999999097158898</v>
      </c>
    </row>
    <row r="6890" spans="1:40" x14ac:dyDescent="0.25">
      <c r="A6890" t="str">
        <f>"20190303170425310"</f>
        <v>20190303170425310</v>
      </c>
      <c r="B6890" t="str">
        <f>"1551603865302824"</f>
        <v>1551603865302824</v>
      </c>
      <c r="C6890" t="s">
        <v>40</v>
      </c>
      <c r="D6890">
        <v>4.5311539999999999</v>
      </c>
      <c r="E6890">
        <v>0.41825790000000002</v>
      </c>
      <c r="F6890" t="s">
        <v>55</v>
      </c>
      <c r="G6890">
        <v>-157.3501</v>
      </c>
      <c r="H6890">
        <v>4.2589459999999999</v>
      </c>
      <c r="I6890">
        <v>-44.284869999999998</v>
      </c>
      <c r="J6890">
        <v>-257.92380000000003</v>
      </c>
      <c r="K6890">
        <v>1.119521</v>
      </c>
      <c r="L6890">
        <v>-63.279600000000002</v>
      </c>
      <c r="M6890">
        <v>0.99930940000000001</v>
      </c>
      <c r="N6890">
        <v>-1.174244E-2</v>
      </c>
      <c r="O6890">
        <v>3.5257570000000002E-2</v>
      </c>
      <c r="P6890">
        <v>0.97866370000000003</v>
      </c>
      <c r="Q6890">
        <v>0.20216580000000001</v>
      </c>
      <c r="R6890">
        <v>-3.6700110000000001E-2</v>
      </c>
      <c r="S6890">
        <v>3.067062</v>
      </c>
      <c r="T6890">
        <v>9.5601320000000004E-2</v>
      </c>
      <c r="U6890">
        <v>0.57855219999999996</v>
      </c>
      <c r="V6890">
        <v>7.2270440000000005E-2</v>
      </c>
      <c r="W6890">
        <v>0.21325659999999999</v>
      </c>
      <c r="X6890">
        <v>0.97431959999999995</v>
      </c>
      <c r="Y6890">
        <v>-0.15058879999999999</v>
      </c>
      <c r="Z6890" s="1">
        <v>6.488035E-5</v>
      </c>
      <c r="AA6890">
        <v>0.98859649999999999</v>
      </c>
      <c r="AB6890">
        <v>29</v>
      </c>
      <c r="AC6890">
        <v>100.5737</v>
      </c>
      <c r="AD6890">
        <v>3.1394250000000001</v>
      </c>
      <c r="AE6890">
        <v>18.994730000000001</v>
      </c>
      <c r="AF6890">
        <v>-15.422180642243699</v>
      </c>
      <c r="AG6890">
        <v>3.1394250000000001</v>
      </c>
      <c r="AH6890">
        <v>101.08581032247901</v>
      </c>
      <c r="AI6890">
        <v>88.241470240993905</v>
      </c>
      <c r="AJ6890">
        <v>98.674454289485396</v>
      </c>
      <c r="AK6890">
        <v>102.303669013603</v>
      </c>
      <c r="AL6890">
        <v>77.686734549968193</v>
      </c>
      <c r="AM6890">
        <v>85.757837579878696</v>
      </c>
      <c r="AN6890">
        <v>1.0000000384427501</v>
      </c>
    </row>
    <row r="6891" spans="1:40" x14ac:dyDescent="0.25">
      <c r="A6891" t="str">
        <f>"20190303170425322"</f>
        <v>20190303170425322</v>
      </c>
      <c r="B6891" t="str">
        <f>"1551603865312584"</f>
        <v>1551603865312584</v>
      </c>
      <c r="C6891" t="s">
        <v>40</v>
      </c>
      <c r="D6891">
        <v>4.5433960000000004</v>
      </c>
      <c r="E6891">
        <v>0.417549</v>
      </c>
      <c r="F6891" t="s">
        <v>55</v>
      </c>
      <c r="G6891">
        <v>-157.3501</v>
      </c>
      <c r="H6891">
        <v>4.2625250000000001</v>
      </c>
      <c r="I6891">
        <v>-44.16534</v>
      </c>
      <c r="J6891">
        <v>-257.7758</v>
      </c>
      <c r="K6891">
        <v>1.1195059999999999</v>
      </c>
      <c r="L6891">
        <v>-63.275730000000003</v>
      </c>
      <c r="M6891">
        <v>0.99935750000000001</v>
      </c>
      <c r="N6891">
        <v>-1.174328E-2</v>
      </c>
      <c r="O6891">
        <v>3.3868410000000002E-2</v>
      </c>
      <c r="P6891">
        <v>0.97872230000000005</v>
      </c>
      <c r="Q6891">
        <v>0.20174800000000001</v>
      </c>
      <c r="R6891">
        <v>-3.7427389999999998E-2</v>
      </c>
      <c r="S6891">
        <v>3.0674589999999999</v>
      </c>
      <c r="T6891">
        <v>9.5859769999999997E-2</v>
      </c>
      <c r="U6891">
        <v>0.58297730000000003</v>
      </c>
      <c r="V6891">
        <v>7.1646619999999994E-2</v>
      </c>
      <c r="W6891">
        <v>0.2128419</v>
      </c>
      <c r="X6891">
        <v>0.97445630000000005</v>
      </c>
      <c r="Y6891">
        <v>-0.1533137</v>
      </c>
      <c r="Z6891" s="1">
        <v>-2.3163159999999999E-5</v>
      </c>
      <c r="AA6891">
        <v>0.98817759999999999</v>
      </c>
      <c r="AB6891">
        <v>29</v>
      </c>
      <c r="AC6891">
        <v>100.42570000000001</v>
      </c>
      <c r="AD6891">
        <v>3.1430189999999998</v>
      </c>
      <c r="AE6891">
        <v>19.110389999999999</v>
      </c>
      <c r="AF6891">
        <v>-15.683107436110999</v>
      </c>
      <c r="AG6891">
        <v>3.1430189999999998</v>
      </c>
      <c r="AH6891">
        <v>100.91996437371201</v>
      </c>
      <c r="AI6891">
        <v>88.237318669725198</v>
      </c>
      <c r="AJ6891">
        <v>98.833192612489896</v>
      </c>
      <c r="AK6891">
        <v>102.17963415709799</v>
      </c>
      <c r="AL6891">
        <v>77.7110529125749</v>
      </c>
      <c r="AM6891">
        <v>85.794910757676206</v>
      </c>
      <c r="AN6891">
        <v>0.99999999658136196</v>
      </c>
    </row>
    <row r="6892" spans="1:40" x14ac:dyDescent="0.25">
      <c r="A6892" t="str">
        <f>"20190303170425332"</f>
        <v>20190303170425332</v>
      </c>
      <c r="B6892" t="str">
        <f>"1551603865322345"</f>
        <v>1551603865322345</v>
      </c>
      <c r="C6892" t="s">
        <v>40</v>
      </c>
      <c r="D6892">
        <v>4.5750229999999998</v>
      </c>
      <c r="E6892">
        <v>0.41697600000000001</v>
      </c>
      <c r="F6892" t="s">
        <v>55</v>
      </c>
      <c r="G6892">
        <v>-157.3501</v>
      </c>
      <c r="H6892">
        <v>4.2589189999999997</v>
      </c>
      <c r="I6892">
        <v>-44.076349999999998</v>
      </c>
      <c r="J6892">
        <v>-257.63249999999999</v>
      </c>
      <c r="K6892">
        <v>1.1194919999999999</v>
      </c>
      <c r="L6892">
        <v>-63.272190000000002</v>
      </c>
      <c r="M6892">
        <v>0.99940189999999995</v>
      </c>
      <c r="N6892">
        <v>-1.1744009999999999E-2</v>
      </c>
      <c r="O6892">
        <v>3.25229E-2</v>
      </c>
      <c r="P6892">
        <v>0.97881750000000001</v>
      </c>
      <c r="Q6892">
        <v>0.201151</v>
      </c>
      <c r="R6892">
        <v>-3.8136179999999999E-2</v>
      </c>
      <c r="S6892">
        <v>3.0678860000000001</v>
      </c>
      <c r="T6892">
        <v>9.5904710000000004E-2</v>
      </c>
      <c r="U6892">
        <v>0.58651730000000002</v>
      </c>
      <c r="V6892">
        <v>7.1045029999999995E-2</v>
      </c>
      <c r="W6892">
        <v>0.2122493</v>
      </c>
      <c r="X6892">
        <v>0.97462959999999998</v>
      </c>
      <c r="Y6892">
        <v>-0.15571679999999999</v>
      </c>
      <c r="Z6892">
        <v>-1.0358520000000001E-4</v>
      </c>
      <c r="AA6892">
        <v>0.9878017</v>
      </c>
      <c r="AB6892">
        <v>29</v>
      </c>
      <c r="AC6892">
        <v>100.2824</v>
      </c>
      <c r="AD6892">
        <v>3.139427</v>
      </c>
      <c r="AE6892">
        <v>19.19584</v>
      </c>
      <c r="AF6892">
        <v>-15.9089435428959</v>
      </c>
      <c r="AG6892">
        <v>3.139427</v>
      </c>
      <c r="AH6892">
        <v>100.758431178308</v>
      </c>
      <c r="AI6892">
        <v>88.237181963710697</v>
      </c>
      <c r="AJ6892">
        <v>98.972469917505293</v>
      </c>
      <c r="AK6892">
        <v>102.054945691295</v>
      </c>
      <c r="AL6892">
        <v>77.745800490549001</v>
      </c>
      <c r="AM6892">
        <v>85.830833095704904</v>
      </c>
      <c r="AN6892">
        <v>1.0000000094171699</v>
      </c>
    </row>
    <row r="6893" spans="1:40" x14ac:dyDescent="0.25">
      <c r="A6893" t="str">
        <f>"20190303170425344"</f>
        <v>20190303170425344</v>
      </c>
      <c r="B6893" t="str">
        <f>"1551603865332104"</f>
        <v>1551603865332104</v>
      </c>
      <c r="C6893" t="s">
        <v>40</v>
      </c>
      <c r="D6893">
        <v>4.5217890000000001</v>
      </c>
      <c r="E6893">
        <v>0.41642849999999998</v>
      </c>
      <c r="F6893" t="s">
        <v>55</v>
      </c>
      <c r="G6893">
        <v>-157.3501</v>
      </c>
      <c r="H6893">
        <v>4.2541419999999999</v>
      </c>
      <c r="I6893">
        <v>-44.021140000000003</v>
      </c>
      <c r="J6893">
        <v>-257.47890000000001</v>
      </c>
      <c r="K6893">
        <v>1.119483</v>
      </c>
      <c r="L6893">
        <v>-63.268650000000001</v>
      </c>
      <c r="M6893">
        <v>0.9994478</v>
      </c>
      <c r="N6893">
        <v>-1.174473E-2</v>
      </c>
      <c r="O6893">
        <v>3.1084790000000001E-2</v>
      </c>
      <c r="P6893">
        <v>0.97895840000000001</v>
      </c>
      <c r="Q6893">
        <v>0.200374</v>
      </c>
      <c r="R6893">
        <v>-3.8611609999999998E-2</v>
      </c>
      <c r="S6893">
        <v>3.0681609999999999</v>
      </c>
      <c r="T6893">
        <v>9.5904589999999998E-2</v>
      </c>
      <c r="U6893">
        <v>0.58898930000000005</v>
      </c>
      <c r="V6893">
        <v>7.0117760000000001E-2</v>
      </c>
      <c r="W6893">
        <v>0.2114789</v>
      </c>
      <c r="X6893">
        <v>0.97486419999999996</v>
      </c>
      <c r="Y6893">
        <v>-0.15788729999999901</v>
      </c>
      <c r="Z6893">
        <v>-1.8519789999999999E-4</v>
      </c>
      <c r="AA6893">
        <v>0.98745709999999998</v>
      </c>
      <c r="AB6893">
        <v>29</v>
      </c>
      <c r="AC6893">
        <v>100.1288</v>
      </c>
      <c r="AD6893">
        <v>3.1346590000000001</v>
      </c>
      <c r="AE6893">
        <v>19.247509999999998</v>
      </c>
      <c r="AF6893">
        <v>-16.110283384321299</v>
      </c>
      <c r="AG6893">
        <v>3.1346590000000001</v>
      </c>
      <c r="AH6893">
        <v>100.58368482191</v>
      </c>
      <c r="AI6893">
        <v>88.237423502708495</v>
      </c>
      <c r="AJ6893">
        <v>99.099659740567205</v>
      </c>
      <c r="AK6893">
        <v>101.913909600813</v>
      </c>
      <c r="AL6893">
        <v>77.790966559693004</v>
      </c>
      <c r="AM6893">
        <v>85.886047193620499</v>
      </c>
      <c r="AN6893">
        <v>1.0000000169271299</v>
      </c>
    </row>
    <row r="6894" spans="1:40" x14ac:dyDescent="0.25">
      <c r="A6894" t="str">
        <f>"20190303170425355"</f>
        <v>20190303170425355</v>
      </c>
      <c r="B6894" t="str">
        <f>"1551603865342841"</f>
        <v>1551603865342841</v>
      </c>
      <c r="C6894" t="s">
        <v>40</v>
      </c>
      <c r="D6894">
        <v>4.5687160000000002</v>
      </c>
      <c r="E6894">
        <v>0.415906</v>
      </c>
      <c r="F6894" t="s">
        <v>55</v>
      </c>
      <c r="G6894">
        <v>-157.3501</v>
      </c>
      <c r="H6894">
        <v>4.178007</v>
      </c>
      <c r="I6894">
        <v>-43.9664</v>
      </c>
      <c r="J6894">
        <v>-257.34120000000001</v>
      </c>
      <c r="K6894">
        <v>1.119478</v>
      </c>
      <c r="L6894">
        <v>-63.265529999999998</v>
      </c>
      <c r="M6894">
        <v>0.99948689999999996</v>
      </c>
      <c r="N6894">
        <v>-1.17452999999999E-2</v>
      </c>
      <c r="O6894">
        <v>2.9797270000000001E-2</v>
      </c>
      <c r="P6894">
        <v>0.97914020000000002</v>
      </c>
      <c r="Q6894">
        <v>0.1994069</v>
      </c>
      <c r="R6894">
        <v>-3.9000229999999997E-2</v>
      </c>
      <c r="S6894">
        <v>3.0686339999999999</v>
      </c>
      <c r="T6894">
        <v>9.3733549999999999E-2</v>
      </c>
      <c r="U6894">
        <v>0.59155269999999904</v>
      </c>
      <c r="V6894">
        <v>6.9250140000000002E-2</v>
      </c>
      <c r="W6894">
        <v>0.2105197</v>
      </c>
      <c r="X6894">
        <v>0.97513380000000005</v>
      </c>
      <c r="Y6894">
        <v>-0.1599264</v>
      </c>
      <c r="Z6894">
        <v>-2.2387549999999999E-4</v>
      </c>
      <c r="AA6894">
        <v>0.98712889999999998</v>
      </c>
      <c r="AB6894">
        <v>29</v>
      </c>
      <c r="AC6894">
        <v>99.991100000000003</v>
      </c>
      <c r="AD6894">
        <v>3.0585290000000001</v>
      </c>
      <c r="AE6894">
        <v>19.299130000000002</v>
      </c>
      <c r="AF6894">
        <v>-16.296192229808401</v>
      </c>
      <c r="AG6894">
        <v>3.0585290000000001</v>
      </c>
      <c r="AH6894">
        <v>100.43120382281001</v>
      </c>
      <c r="AI6894">
        <v>88.278161187354996</v>
      </c>
      <c r="AJ6894">
        <v>99.216613641383006</v>
      </c>
      <c r="AK6894">
        <v>101.790702827584</v>
      </c>
      <c r="AL6894">
        <v>77.847190610034602</v>
      </c>
      <c r="AM6894">
        <v>85.937900291971502</v>
      </c>
      <c r="AN6894">
        <v>1.00000002694027</v>
      </c>
    </row>
    <row r="6895" spans="1:40" x14ac:dyDescent="0.25">
      <c r="A6895" t="str">
        <f>"20190303170425367"</f>
        <v>20190303170425367</v>
      </c>
      <c r="B6895" t="str">
        <f>"1551603865362360"</f>
        <v>1551603865362360</v>
      </c>
      <c r="C6895" t="s">
        <v>40</v>
      </c>
      <c r="D6895">
        <v>4.5666580000000003</v>
      </c>
      <c r="E6895">
        <v>0.41495330000000002</v>
      </c>
      <c r="F6895" t="s">
        <v>55</v>
      </c>
      <c r="G6895">
        <v>-157.3501</v>
      </c>
      <c r="H6895">
        <v>4.0771160000000002</v>
      </c>
      <c r="I6895">
        <v>-43.916049999999998</v>
      </c>
      <c r="J6895">
        <v>-257.18360000000001</v>
      </c>
      <c r="K6895">
        <v>1.1194759999999999</v>
      </c>
      <c r="L6895">
        <v>-63.262390000000003</v>
      </c>
      <c r="M6895">
        <v>0.99952969999999997</v>
      </c>
      <c r="N6895">
        <v>-1.174246E-2</v>
      </c>
      <c r="O6895">
        <v>2.833155E-2</v>
      </c>
      <c r="P6895">
        <v>0.97920819999999997</v>
      </c>
      <c r="Q6895">
        <v>0.19900670000000001</v>
      </c>
      <c r="R6895">
        <v>-3.9343290000000003E-2</v>
      </c>
      <c r="S6895">
        <v>3.0690770000000001</v>
      </c>
      <c r="T6895">
        <v>9.0779540000000006E-2</v>
      </c>
      <c r="U6895">
        <v>0.59390259999999995</v>
      </c>
      <c r="V6895">
        <v>6.8160090000000007E-2</v>
      </c>
      <c r="W6895">
        <v>0.2101239</v>
      </c>
      <c r="X6895">
        <v>0.97529589999999999</v>
      </c>
      <c r="Y6895">
        <v>-0.16207639999999901</v>
      </c>
      <c r="Z6895">
        <v>-2.5470460000000001E-4</v>
      </c>
      <c r="AA6895">
        <v>0.98677820000000005</v>
      </c>
      <c r="AB6895">
        <v>29</v>
      </c>
      <c r="AC6895">
        <v>99.833500000000001</v>
      </c>
      <c r="AD6895">
        <v>2.95764</v>
      </c>
      <c r="AE6895">
        <v>19.346340000000001</v>
      </c>
      <c r="AF6895">
        <v>-16.495986151012399</v>
      </c>
      <c r="AG6895">
        <v>2.95764</v>
      </c>
      <c r="AH6895">
        <v>100.256760071909</v>
      </c>
      <c r="AI6895">
        <v>88.332633411999794</v>
      </c>
      <c r="AJ6895">
        <v>99.343580358598004</v>
      </c>
      <c r="AK6895">
        <v>101.647838804277</v>
      </c>
      <c r="AL6895">
        <v>77.8703864561366</v>
      </c>
      <c r="AM6895">
        <v>86.002294199090898</v>
      </c>
      <c r="AN6895">
        <v>0.99999997188841305</v>
      </c>
    </row>
    <row r="6896" spans="1:40" x14ac:dyDescent="0.25">
      <c r="A6896" t="str">
        <f>"20190303170425377"</f>
        <v>20190303170425377</v>
      </c>
      <c r="B6896" t="str">
        <f>"1551603865372121"</f>
        <v>1551603865372121</v>
      </c>
      <c r="C6896" t="s">
        <v>40</v>
      </c>
      <c r="D6896">
        <v>4.5728239999999998</v>
      </c>
      <c r="E6896">
        <v>0.4145316</v>
      </c>
      <c r="F6896" t="s">
        <v>55</v>
      </c>
      <c r="G6896">
        <v>-157.3501</v>
      </c>
      <c r="H6896">
        <v>4.0354029999999996</v>
      </c>
      <c r="I6896">
        <v>-43.756010000000003</v>
      </c>
      <c r="J6896">
        <v>-257.0403</v>
      </c>
      <c r="K6896">
        <v>1.1194729999999999</v>
      </c>
      <c r="L6896">
        <v>-63.25958</v>
      </c>
      <c r="M6896">
        <v>0.99956650000000002</v>
      </c>
      <c r="N6896">
        <v>-1.173866E-2</v>
      </c>
      <c r="O6896">
        <v>2.7000860000000002E-2</v>
      </c>
      <c r="P6896">
        <v>0.97912900000000003</v>
      </c>
      <c r="Q6896">
        <v>0.1993616</v>
      </c>
      <c r="R6896">
        <v>-3.9515729999999999E-2</v>
      </c>
      <c r="S6896">
        <v>3.0695800000000002</v>
      </c>
      <c r="T6896">
        <v>8.9655399999999996E-2</v>
      </c>
      <c r="U6896">
        <v>0.59976200000000002</v>
      </c>
      <c r="V6896">
        <v>6.7031199999999999E-2</v>
      </c>
      <c r="W6896">
        <v>0.21048059999999999</v>
      </c>
      <c r="X6896">
        <v>0.97529730000000003</v>
      </c>
      <c r="Y6896">
        <v>-0.16517319999999999</v>
      </c>
      <c r="Z6896">
        <v>-3.1574560000000002E-4</v>
      </c>
      <c r="AA6896">
        <v>0.98626449999999999</v>
      </c>
      <c r="AB6896">
        <v>29</v>
      </c>
      <c r="AC6896">
        <v>99.690200000000004</v>
      </c>
      <c r="AD6896">
        <v>2.9159299999999901</v>
      </c>
      <c r="AE6896">
        <v>19.50357</v>
      </c>
      <c r="AF6896">
        <v>-16.790715806000801</v>
      </c>
      <c r="AG6896">
        <v>2.9159299999999901</v>
      </c>
      <c r="AH6896">
        <v>100.098015873968</v>
      </c>
      <c r="AI6896">
        <v>88.354381398761006</v>
      </c>
      <c r="AJ6896">
        <v>99.522300041285206</v>
      </c>
      <c r="AK6896">
        <v>101.538384697354</v>
      </c>
      <c r="AL6896">
        <v>77.849482432485303</v>
      </c>
      <c r="AM6896">
        <v>86.068301756026798</v>
      </c>
      <c r="AN6896">
        <v>1.0000000440685399</v>
      </c>
    </row>
    <row r="6897" spans="1:40" x14ac:dyDescent="0.25">
      <c r="A6897" t="str">
        <f>"20190303170425389"</f>
        <v>20190303170425389</v>
      </c>
      <c r="B6897" t="str">
        <f>"1551603865382856"</f>
        <v>1551603865382856</v>
      </c>
      <c r="C6897" t="s">
        <v>40</v>
      </c>
      <c r="D6897">
        <v>4.5818409999999998</v>
      </c>
      <c r="E6897">
        <v>0.41411019999999998</v>
      </c>
      <c r="F6897" t="s">
        <v>55</v>
      </c>
      <c r="G6897">
        <v>-157.3501</v>
      </c>
      <c r="H6897">
        <v>4.0522179999999999</v>
      </c>
      <c r="I6897">
        <v>-43.710590000000003</v>
      </c>
      <c r="J6897">
        <v>-256.89319999999998</v>
      </c>
      <c r="K6897">
        <v>1.119475</v>
      </c>
      <c r="L6897">
        <v>-63.256990000000002</v>
      </c>
      <c r="M6897">
        <v>0.9996024</v>
      </c>
      <c r="N6897">
        <v>-1.173184E-2</v>
      </c>
      <c r="O6897">
        <v>2.5640590000000001E-2</v>
      </c>
      <c r="P6897">
        <v>0.97892109999999999</v>
      </c>
      <c r="Q6897">
        <v>0.20032330000000001</v>
      </c>
      <c r="R6897">
        <v>-3.9802570000000002E-2</v>
      </c>
      <c r="S6897">
        <v>3.069855</v>
      </c>
      <c r="T6897">
        <v>9.0310100000000004E-2</v>
      </c>
      <c r="U6897">
        <v>0.60198969999999996</v>
      </c>
      <c r="V6897">
        <v>6.5987370000000004E-2</v>
      </c>
      <c r="W6897">
        <v>0.21143980000000001</v>
      </c>
      <c r="X6897">
        <v>0.97516099999999994</v>
      </c>
      <c r="Y6897">
        <v>-0.16718549999999999</v>
      </c>
      <c r="Z6897">
        <v>-4.0073529999999998E-4</v>
      </c>
      <c r="AA6897">
        <v>0.98592539999999995</v>
      </c>
      <c r="AB6897">
        <v>29</v>
      </c>
      <c r="AC6897">
        <v>99.543099999999896</v>
      </c>
      <c r="AD6897">
        <v>2.9327429999999999</v>
      </c>
      <c r="AE6897">
        <v>19.546399999999998</v>
      </c>
      <c r="AF6897">
        <v>-16.973267313394501</v>
      </c>
      <c r="AG6897">
        <v>2.9327429999999999</v>
      </c>
      <c r="AH6897">
        <v>99.928065557182506</v>
      </c>
      <c r="AI6897">
        <v>88.342659148575507</v>
      </c>
      <c r="AJ6897">
        <v>99.639962640705093</v>
      </c>
      <c r="AK6897">
        <v>101.401731103549</v>
      </c>
      <c r="AL6897">
        <v>77.793259053481506</v>
      </c>
      <c r="AM6897">
        <v>86.128800404030102</v>
      </c>
      <c r="AN6897">
        <v>1.00000004897227</v>
      </c>
    </row>
    <row r="6898" spans="1:40" x14ac:dyDescent="0.25">
      <c r="A6898" t="str">
        <f>"20190303170425400"</f>
        <v>20190303170425400</v>
      </c>
      <c r="B6898" t="str">
        <f>"1551603865392616"</f>
        <v>1551603865392616</v>
      </c>
      <c r="C6898" t="s">
        <v>40</v>
      </c>
      <c r="D6898">
        <v>4.570271</v>
      </c>
      <c r="E6898">
        <v>0.41375800000000001</v>
      </c>
      <c r="F6898" t="s">
        <v>55</v>
      </c>
      <c r="G6898">
        <v>-157.3501</v>
      </c>
      <c r="H6898">
        <v>4.1580909999999998</v>
      </c>
      <c r="I6898">
        <v>-43.662509999999997</v>
      </c>
      <c r="J6898">
        <v>-256.75049999999999</v>
      </c>
      <c r="K6898">
        <v>1.1194789999999999</v>
      </c>
      <c r="L6898">
        <v>-63.254640000000002</v>
      </c>
      <c r="M6898">
        <v>0.99963550000000001</v>
      </c>
      <c r="N6898">
        <v>-1.172344E-2</v>
      </c>
      <c r="O6898">
        <v>2.4323609999999999E-2</v>
      </c>
      <c r="P6898">
        <v>0.97869499999999998</v>
      </c>
      <c r="Q6898">
        <v>0.2013278</v>
      </c>
      <c r="R6898">
        <v>-4.0291790000000001E-2</v>
      </c>
      <c r="S6898">
        <v>3.0699920000000001</v>
      </c>
      <c r="T6898">
        <v>9.3712690000000001E-2</v>
      </c>
      <c r="U6898">
        <v>0.60430909999999904</v>
      </c>
      <c r="V6898">
        <v>6.5188189999999993E-2</v>
      </c>
      <c r="W6898">
        <v>0.21243799999999999</v>
      </c>
      <c r="X6898">
        <v>0.97499780000000003</v>
      </c>
      <c r="Y6898">
        <v>-0.16918810000000001</v>
      </c>
      <c r="Z6898">
        <v>-5.3848559999999999E-4</v>
      </c>
      <c r="AA6898">
        <v>0.9855836</v>
      </c>
      <c r="AB6898">
        <v>29</v>
      </c>
      <c r="AC6898">
        <v>99.400400000000005</v>
      </c>
      <c r="AD6898">
        <v>3.0386120000000001</v>
      </c>
      <c r="AE6898">
        <v>19.592130000000001</v>
      </c>
      <c r="AF6898">
        <v>-17.152960335739301</v>
      </c>
      <c r="AG6898">
        <v>3.0386120000000001</v>
      </c>
      <c r="AH6898">
        <v>99.757834735180694</v>
      </c>
      <c r="AI6898">
        <v>88.280534420883498</v>
      </c>
      <c r="AJ6898">
        <v>99.756375994384101</v>
      </c>
      <c r="AK6898">
        <v>101.267382716339</v>
      </c>
      <c r="AL6898">
        <v>77.734737054958899</v>
      </c>
      <c r="AM6898">
        <v>86.174906668095105</v>
      </c>
      <c r="AN6898">
        <v>1.0000000569821501</v>
      </c>
    </row>
    <row r="6899" spans="1:40" x14ac:dyDescent="0.25">
      <c r="A6899" t="str">
        <f>"20190303170425411"</f>
        <v>20190303170425411</v>
      </c>
      <c r="B6899" t="str">
        <f>"1551603865402376"</f>
        <v>1551603865402376</v>
      </c>
      <c r="C6899" t="s">
        <v>40</v>
      </c>
      <c r="D6899">
        <v>4.5748410000000002</v>
      </c>
      <c r="E6899">
        <v>0.4134179</v>
      </c>
      <c r="F6899" t="s">
        <v>55</v>
      </c>
      <c r="G6899">
        <v>-157.3501</v>
      </c>
      <c r="H6899">
        <v>4.2842449999999896</v>
      </c>
      <c r="I6899">
        <v>-43.643680000000003</v>
      </c>
      <c r="J6899">
        <v>-256.60520000000002</v>
      </c>
      <c r="K6899">
        <v>1.1194820000000001</v>
      </c>
      <c r="L6899">
        <v>-63.252409999999998</v>
      </c>
      <c r="M6899">
        <v>0.99966719999999998</v>
      </c>
      <c r="N6899">
        <v>-1.1713100000000001E-2</v>
      </c>
      <c r="O6899">
        <v>2.2985499999999999E-2</v>
      </c>
      <c r="P6899">
        <v>0.97846699999999998</v>
      </c>
      <c r="Q6899">
        <v>0.20236399999999999</v>
      </c>
      <c r="R6899">
        <v>-4.0634190000000001E-2</v>
      </c>
      <c r="S6899">
        <v>3.0701290000000001</v>
      </c>
      <c r="T6899">
        <v>9.7747799999999996E-2</v>
      </c>
      <c r="U6899">
        <v>0.6057129</v>
      </c>
      <c r="V6899">
        <v>6.4221959999999995E-2</v>
      </c>
      <c r="W6899">
        <v>0.21346709999999999</v>
      </c>
      <c r="X6899">
        <v>0.97483710000000001</v>
      </c>
      <c r="Y6899">
        <v>-0.17092679999999999</v>
      </c>
      <c r="Z6899">
        <v>-6.9263810000000001E-4</v>
      </c>
      <c r="AA6899">
        <v>0.98528349999999998</v>
      </c>
      <c r="AB6899">
        <v>29</v>
      </c>
      <c r="AC6899">
        <v>99.255099999999999</v>
      </c>
      <c r="AD6899">
        <v>3.1647630000000002</v>
      </c>
      <c r="AE6899">
        <v>19.608729999999898</v>
      </c>
      <c r="AF6899">
        <v>-17.305031554633899</v>
      </c>
      <c r="AG6899">
        <v>3.1647630000000002</v>
      </c>
      <c r="AH6899">
        <v>99.582181957728395</v>
      </c>
      <c r="AI6899">
        <v>88.206588619422405</v>
      </c>
      <c r="AJ6899">
        <v>99.858206663645205</v>
      </c>
      <c r="AK6899">
        <v>101.124135622586</v>
      </c>
      <c r="AL6899">
        <v>77.674389257385698</v>
      </c>
      <c r="AM6899">
        <v>86.230818775888807</v>
      </c>
      <c r="AN6899">
        <v>1.0000000172325301</v>
      </c>
    </row>
    <row r="6900" spans="1:40" x14ac:dyDescent="0.25">
      <c r="A6900" t="str">
        <f>"20190303170425422"</f>
        <v>20190303170425422</v>
      </c>
      <c r="B6900" t="str">
        <f>"1551603865412136"</f>
        <v>1551603865412136</v>
      </c>
      <c r="C6900" t="s">
        <v>40</v>
      </c>
      <c r="D6900">
        <v>4.5697109999999999</v>
      </c>
      <c r="E6900">
        <v>0.41306789999999999</v>
      </c>
      <c r="F6900" t="s">
        <v>55</v>
      </c>
      <c r="G6900">
        <v>-157.3501</v>
      </c>
      <c r="H6900">
        <v>4.4188510000000001</v>
      </c>
      <c r="I6900">
        <v>-43.602240000000002</v>
      </c>
      <c r="J6900">
        <v>-256.4649</v>
      </c>
      <c r="K6900">
        <v>1.1194839999999999</v>
      </c>
      <c r="L6900">
        <v>-63.250520000000002</v>
      </c>
      <c r="M6900">
        <v>0.99969609999999998</v>
      </c>
      <c r="N6900">
        <v>-1.1700840000000001E-2</v>
      </c>
      <c r="O6900">
        <v>2.1697299999999999E-2</v>
      </c>
      <c r="P6900">
        <v>0.97830859999999997</v>
      </c>
      <c r="Q6900">
        <v>0.20314769999999999</v>
      </c>
      <c r="R6900">
        <v>-4.0538699999999997E-2</v>
      </c>
      <c r="S6900">
        <v>3.07016</v>
      </c>
      <c r="T6900">
        <v>0.1020554</v>
      </c>
      <c r="U6900">
        <v>0.60781859999999999</v>
      </c>
      <c r="V6900">
        <v>6.2867149999999997E-2</v>
      </c>
      <c r="W6900">
        <v>0.21424499999999999</v>
      </c>
      <c r="X6900">
        <v>0.97475480000000003</v>
      </c>
      <c r="Y6900">
        <v>-0.17283789999999999</v>
      </c>
      <c r="Z6900">
        <v>-8.5798699999999897E-4</v>
      </c>
      <c r="AA6900">
        <v>0.98494990000000004</v>
      </c>
      <c r="AB6900">
        <v>29</v>
      </c>
      <c r="AC6900">
        <v>99.114800000000002</v>
      </c>
      <c r="AD6900">
        <v>3.2993669999999899</v>
      </c>
      <c r="AE6900">
        <v>19.64828</v>
      </c>
      <c r="AF6900">
        <v>-17.4743516922859</v>
      </c>
      <c r="AG6900">
        <v>3.2993669999999899</v>
      </c>
      <c r="AH6900">
        <v>99.411813403247805</v>
      </c>
      <c r="AI6900">
        <v>88.127797290322405</v>
      </c>
      <c r="AJ6900">
        <v>99.969458872653902</v>
      </c>
      <c r="AK6900">
        <v>100.989838269939</v>
      </c>
      <c r="AL6900">
        <v>77.628763851678698</v>
      </c>
      <c r="AM6900">
        <v>86.309799747553896</v>
      </c>
      <c r="AN6900">
        <v>1.0000000593485701</v>
      </c>
    </row>
    <row r="6901" spans="1:40" x14ac:dyDescent="0.25">
      <c r="A6901" t="str">
        <f>"20190303170425432"</f>
        <v>20190303170425432</v>
      </c>
      <c r="B6901" t="str">
        <f>"1551603865422873"</f>
        <v>1551603865422873</v>
      </c>
      <c r="C6901" t="s">
        <v>40</v>
      </c>
      <c r="D6901">
        <v>4.5990440000000001</v>
      </c>
      <c r="E6901">
        <v>0.41275899999999999</v>
      </c>
      <c r="F6901" t="s">
        <v>55</v>
      </c>
      <c r="G6901">
        <v>-157.3501</v>
      </c>
      <c r="H6901">
        <v>4.529598</v>
      </c>
      <c r="I6901">
        <v>-43.517389999999999</v>
      </c>
      <c r="J6901">
        <v>-256.32080000000002</v>
      </c>
      <c r="K6901">
        <v>1.11948799999999</v>
      </c>
      <c r="L6901">
        <v>-63.248660000000001</v>
      </c>
      <c r="M6901">
        <v>0.99972419999999995</v>
      </c>
      <c r="N6901">
        <v>-1.168718E-2</v>
      </c>
      <c r="O6901">
        <v>2.037479E-2</v>
      </c>
      <c r="P6901">
        <v>0.97821239999999998</v>
      </c>
      <c r="Q6901">
        <v>0.2036037</v>
      </c>
      <c r="R6901">
        <v>-4.0574800000000001E-2</v>
      </c>
      <c r="S6901">
        <v>3.0699459999999998</v>
      </c>
      <c r="T6901">
        <v>0.10562290000000001</v>
      </c>
      <c r="U6901">
        <v>0.61120609999999997</v>
      </c>
      <c r="V6901">
        <v>6.1610289999999998E-2</v>
      </c>
      <c r="W6901">
        <v>0.214694</v>
      </c>
      <c r="X6901">
        <v>0.97473620000000005</v>
      </c>
      <c r="Y6901">
        <v>-0.1751926</v>
      </c>
      <c r="Z6901">
        <v>-1.0202500000000001E-3</v>
      </c>
      <c r="AA6901">
        <v>0.98453369999999996</v>
      </c>
      <c r="AB6901">
        <v>29</v>
      </c>
      <c r="AC6901">
        <v>98.970699999999994</v>
      </c>
      <c r="AD6901">
        <v>3.41011</v>
      </c>
      <c r="AE6901">
        <v>19.731269999999999</v>
      </c>
      <c r="AF6901">
        <v>-17.690329613776299</v>
      </c>
      <c r="AG6901">
        <v>3.41011</v>
      </c>
      <c r="AH6901">
        <v>99.238887466037795</v>
      </c>
      <c r="AI6901">
        <v>88.062459914458501</v>
      </c>
      <c r="AJ6901">
        <v>100.107381685261</v>
      </c>
      <c r="AK6901">
        <v>100.86096072095</v>
      </c>
      <c r="AL6901">
        <v>77.602424424049005</v>
      </c>
      <c r="AM6901">
        <v>86.383308772251397</v>
      </c>
      <c r="AN6901">
        <v>1.0000000005301599</v>
      </c>
    </row>
    <row r="6902" spans="1:40" x14ac:dyDescent="0.25">
      <c r="A6902" t="str">
        <f>"20190303170425445"</f>
        <v>20190303170425445</v>
      </c>
      <c r="B6902" t="str">
        <f>"1551603865432633"</f>
        <v>1551603865432633</v>
      </c>
      <c r="C6902" t="s">
        <v>40</v>
      </c>
      <c r="D6902">
        <v>4.5844519999999997</v>
      </c>
      <c r="E6902">
        <v>0.41240379999999899</v>
      </c>
      <c r="F6902" t="s">
        <v>55</v>
      </c>
      <c r="G6902">
        <v>-157.3501</v>
      </c>
      <c r="H6902">
        <v>4.5991720000000003</v>
      </c>
      <c r="I6902">
        <v>-43.457830000000001</v>
      </c>
      <c r="J6902">
        <v>-256.17129999999997</v>
      </c>
      <c r="K6902">
        <v>1.1194850000000001</v>
      </c>
      <c r="L6902">
        <v>-63.247039999999998</v>
      </c>
      <c r="M6902">
        <v>0.99975130000000001</v>
      </c>
      <c r="N6902">
        <v>-1.166998E-2</v>
      </c>
      <c r="O6902">
        <v>1.9006490000000001E-2</v>
      </c>
      <c r="P6902">
        <v>0.97813450000000002</v>
      </c>
      <c r="Q6902">
        <v>0.2038944</v>
      </c>
      <c r="R6902">
        <v>-4.0987660000000002E-2</v>
      </c>
      <c r="S6902">
        <v>3.0698240000000001</v>
      </c>
      <c r="T6902">
        <v>0.10793030000000001</v>
      </c>
      <c r="U6902">
        <v>0.61386109999999905</v>
      </c>
      <c r="V6902">
        <v>6.0684540000000002E-2</v>
      </c>
      <c r="W6902">
        <v>0.21497340000000001</v>
      </c>
      <c r="X6902">
        <v>0.97473270000000001</v>
      </c>
      <c r="Y6902">
        <v>-0.17736070000000001</v>
      </c>
      <c r="Z6902">
        <v>-1.160285E-3</v>
      </c>
      <c r="AA6902">
        <v>0.98414520000000005</v>
      </c>
      <c r="AB6902">
        <v>29</v>
      </c>
      <c r="AC6902">
        <v>98.821199999999905</v>
      </c>
      <c r="AD6902">
        <v>3.4796870000000002</v>
      </c>
      <c r="AE6902">
        <v>19.789210000000001</v>
      </c>
      <c r="AF6902">
        <v>-17.885941397423501</v>
      </c>
      <c r="AG6902">
        <v>3.4796870000000002</v>
      </c>
      <c r="AH6902">
        <v>99.061406673103406</v>
      </c>
      <c r="AI6902">
        <v>88.020208679809102</v>
      </c>
      <c r="AJ6902">
        <v>100.23472103059601</v>
      </c>
      <c r="AK6902">
        <v>100.723271458705</v>
      </c>
      <c r="AL6902">
        <v>77.586033332549803</v>
      </c>
      <c r="AM6902">
        <v>86.437499033259101</v>
      </c>
      <c r="AN6902">
        <v>1.00000000627593</v>
      </c>
    </row>
    <row r="6903" spans="1:40" x14ac:dyDescent="0.25">
      <c r="A6903" t="str">
        <f>"20190303170425457"</f>
        <v>20190303170425457</v>
      </c>
      <c r="B6903" t="str">
        <f>"1551603865452152"</f>
        <v>1551603865452152</v>
      </c>
      <c r="C6903" t="s">
        <v>40</v>
      </c>
      <c r="D6903">
        <v>4.6156249999999996</v>
      </c>
      <c r="E6903">
        <v>0.41185090000000002</v>
      </c>
      <c r="F6903" t="s">
        <v>55</v>
      </c>
      <c r="G6903">
        <v>-157.3501</v>
      </c>
      <c r="H6903">
        <v>4.6356710000000003</v>
      </c>
      <c r="I6903">
        <v>-43.43965</v>
      </c>
      <c r="J6903">
        <v>-256.01940000000002</v>
      </c>
      <c r="K6903">
        <v>1.119483</v>
      </c>
      <c r="L6903">
        <v>-63.245480000000001</v>
      </c>
      <c r="M6903">
        <v>0.99977689999999997</v>
      </c>
      <c r="N6903">
        <v>-1.1651989999999999E-2</v>
      </c>
      <c r="O6903">
        <v>1.7617219999999999E-2</v>
      </c>
      <c r="P6903">
        <v>0.97809389999999996</v>
      </c>
      <c r="Q6903">
        <v>0.2039735</v>
      </c>
      <c r="R6903">
        <v>-4.1559169999999999E-2</v>
      </c>
      <c r="S6903">
        <v>3.070084</v>
      </c>
      <c r="T6903">
        <v>0.10923670000000001</v>
      </c>
      <c r="U6903">
        <v>0.61535640000000003</v>
      </c>
      <c r="V6903">
        <v>5.9896480000000002E-2</v>
      </c>
      <c r="W6903">
        <v>0.2150396</v>
      </c>
      <c r="X6903">
        <v>0.97476689999999999</v>
      </c>
      <c r="Y6903">
        <v>-0.17916889999999999</v>
      </c>
      <c r="Z6903">
        <v>-1.2773319999999999E-3</v>
      </c>
      <c r="AA6903">
        <v>0.98381750000000001</v>
      </c>
      <c r="AB6903">
        <v>29</v>
      </c>
      <c r="AC6903">
        <v>98.669300000000007</v>
      </c>
      <c r="AD6903">
        <v>3.5161880000000001</v>
      </c>
      <c r="AE6903">
        <v>19.80583</v>
      </c>
      <c r="AF6903">
        <v>-18.042333943138999</v>
      </c>
      <c r="AG6903">
        <v>3.5161880000000001</v>
      </c>
      <c r="AH6903">
        <v>98.882222360628504</v>
      </c>
      <c r="AI6903">
        <v>87.996507309275302</v>
      </c>
      <c r="AJ6903">
        <v>100.340598227344</v>
      </c>
      <c r="AK6903">
        <v>100.576256100253</v>
      </c>
      <c r="AL6903">
        <v>77.582150243083404</v>
      </c>
      <c r="AM6903">
        <v>86.483768513153905</v>
      </c>
      <c r="AN6903">
        <v>1.0000000636100701</v>
      </c>
    </row>
    <row r="6904" spans="1:40" x14ac:dyDescent="0.25">
      <c r="A6904" t="str">
        <f>"20190303170425466"</f>
        <v>20190303170425466</v>
      </c>
      <c r="B6904" t="str">
        <f>"1551603865462889"</f>
        <v>1551603865462889</v>
      </c>
      <c r="C6904" t="s">
        <v>40</v>
      </c>
      <c r="D6904">
        <v>4.6146659999999997</v>
      </c>
      <c r="E6904">
        <v>0.41161429999999999</v>
      </c>
      <c r="F6904" t="s">
        <v>55</v>
      </c>
      <c r="G6904">
        <v>-157.3501</v>
      </c>
      <c r="H6904">
        <v>4.628584</v>
      </c>
      <c r="I6904">
        <v>-43.396769999999997</v>
      </c>
      <c r="J6904">
        <v>-255.874</v>
      </c>
      <c r="K6904">
        <v>1.11948</v>
      </c>
      <c r="L6904">
        <v>-63.244289999999999</v>
      </c>
      <c r="M6904">
        <v>0.99979969999999996</v>
      </c>
      <c r="N6904">
        <v>-1.1634510000000001E-2</v>
      </c>
      <c r="O6904">
        <v>1.6289649999999999E-2</v>
      </c>
      <c r="P6904">
        <v>0.97821749999999996</v>
      </c>
      <c r="Q6904">
        <v>0.20321839999999999</v>
      </c>
      <c r="R6904">
        <v>-4.2342419999999999E-2</v>
      </c>
      <c r="S6904">
        <v>3.0706630000000001</v>
      </c>
      <c r="T6904">
        <v>0.1092051</v>
      </c>
      <c r="U6904">
        <v>0.61770630000000004</v>
      </c>
      <c r="V6904">
        <v>5.9378599999999997E-2</v>
      </c>
      <c r="W6904">
        <v>0.21427299999999999</v>
      </c>
      <c r="X6904">
        <v>0.97496729999999998</v>
      </c>
      <c r="Y6904">
        <v>-0.1811605</v>
      </c>
      <c r="Z6904">
        <v>-1.3631089999999999E-3</v>
      </c>
      <c r="AA6904">
        <v>0.98345260000000001</v>
      </c>
      <c r="AB6904">
        <v>29</v>
      </c>
      <c r="AC6904">
        <v>98.523899999999998</v>
      </c>
      <c r="AD6904">
        <v>3.5091039999999998</v>
      </c>
      <c r="AE6904">
        <v>19.847519999999999</v>
      </c>
      <c r="AF6904">
        <v>-18.2176489962979</v>
      </c>
      <c r="AG6904">
        <v>3.5091039999999998</v>
      </c>
      <c r="AH6904">
        <v>98.713816288356</v>
      </c>
      <c r="AI6904">
        <v>87.997873542979306</v>
      </c>
      <c r="AJ6904">
        <v>100.456294233728</v>
      </c>
      <c r="AK6904">
        <v>100.44209312856</v>
      </c>
      <c r="AL6904">
        <v>77.627120510468998</v>
      </c>
      <c r="AM6904">
        <v>86.514810184332802</v>
      </c>
      <c r="AN6904">
        <v>0.99999998636812504</v>
      </c>
    </row>
    <row r="6905" spans="1:40" x14ac:dyDescent="0.25">
      <c r="A6905" t="str">
        <f>"20190303170425478"</f>
        <v>20190303170425478</v>
      </c>
      <c r="B6905" t="str">
        <f>"1551603865472649"</f>
        <v>1551603865472649</v>
      </c>
      <c r="C6905" t="s">
        <v>40</v>
      </c>
      <c r="D6905">
        <v>4.609674</v>
      </c>
      <c r="E6905">
        <v>0.41140690000000002</v>
      </c>
      <c r="F6905" t="s">
        <v>55</v>
      </c>
      <c r="G6905">
        <v>-157.3501</v>
      </c>
      <c r="H6905">
        <v>4.520505</v>
      </c>
      <c r="I6905">
        <v>-43.467149999999997</v>
      </c>
      <c r="J6905">
        <v>-255.7294</v>
      </c>
      <c r="K6905">
        <v>1.119478</v>
      </c>
      <c r="L6905">
        <v>-63.243259999999999</v>
      </c>
      <c r="M6905">
        <v>0.9998205</v>
      </c>
      <c r="N6905">
        <v>-1.1617499999999999E-2</v>
      </c>
      <c r="O6905">
        <v>1.497155E-2</v>
      </c>
      <c r="P6905">
        <v>0.97828649999999995</v>
      </c>
      <c r="Q6905">
        <v>0.2027216</v>
      </c>
      <c r="R6905">
        <v>-4.3124389999999999E-2</v>
      </c>
      <c r="S6905">
        <v>3.0714570000000001</v>
      </c>
      <c r="T6905">
        <v>0.1060253</v>
      </c>
      <c r="U6905">
        <v>0.61654659999999994</v>
      </c>
      <c r="V6905">
        <v>5.8868839999999999E-2</v>
      </c>
      <c r="W6905">
        <v>0.21376390000000001</v>
      </c>
      <c r="X6905">
        <v>0.97511000000000003</v>
      </c>
      <c r="Y6905">
        <v>-0.18205370000000001</v>
      </c>
      <c r="Z6905">
        <v>-1.358518E-3</v>
      </c>
      <c r="AA6905">
        <v>0.98328760000000004</v>
      </c>
      <c r="AB6905">
        <v>29</v>
      </c>
      <c r="AC6905">
        <v>98.379300000000001</v>
      </c>
      <c r="AD6905">
        <v>3.4010269999999898</v>
      </c>
      <c r="AE6905">
        <v>19.776109999999999</v>
      </c>
      <c r="AF6905">
        <v>-18.279905059181001</v>
      </c>
      <c r="AG6905">
        <v>3.4010269999999898</v>
      </c>
      <c r="AH6905">
        <v>98.551164869610503</v>
      </c>
      <c r="AI6905">
        <v>88.056614281302998</v>
      </c>
      <c r="AJ6905">
        <v>100.508164624465</v>
      </c>
      <c r="AK6905">
        <v>100.28984998884199</v>
      </c>
      <c r="AL6905">
        <v>77.656982218011706</v>
      </c>
      <c r="AM6905">
        <v>86.545161862431002</v>
      </c>
      <c r="AN6905">
        <v>1.0000000286830699</v>
      </c>
    </row>
    <row r="6906" spans="1:40" x14ac:dyDescent="0.25">
      <c r="A6906" t="str">
        <f>"20190303170425489"</f>
        <v>20190303170425489</v>
      </c>
      <c r="B6906" t="str">
        <f>"1551603865482409"</f>
        <v>1551603865482409</v>
      </c>
      <c r="C6906" t="s">
        <v>40</v>
      </c>
      <c r="D6906">
        <v>4.5900169999999996</v>
      </c>
      <c r="E6906">
        <v>0.411159</v>
      </c>
      <c r="F6906" t="s">
        <v>55</v>
      </c>
      <c r="G6906">
        <v>-157.3501</v>
      </c>
      <c r="H6906">
        <v>4.4176279999999997</v>
      </c>
      <c r="I6906">
        <v>-43.54392</v>
      </c>
      <c r="J6906">
        <v>-255.58529999999999</v>
      </c>
      <c r="K6906">
        <v>1.1194770000000001</v>
      </c>
      <c r="L6906">
        <v>-63.242400000000004</v>
      </c>
      <c r="M6906">
        <v>0.99983940000000004</v>
      </c>
      <c r="N6906">
        <v>-1.1601230000000001E-2</v>
      </c>
      <c r="O6906">
        <v>1.365792E-2</v>
      </c>
      <c r="P6906">
        <v>0.97824820000000001</v>
      </c>
      <c r="Q6906">
        <v>0.20265269999999999</v>
      </c>
      <c r="R6906">
        <v>-4.4297019999999999E-2</v>
      </c>
      <c r="S6906">
        <v>3.0723569999999998</v>
      </c>
      <c r="T6906">
        <v>0.1029996</v>
      </c>
      <c r="U6906">
        <v>0.61520390000000003</v>
      </c>
      <c r="V6906">
        <v>5.8754590000000002E-2</v>
      </c>
      <c r="W6906">
        <v>0.2136805</v>
      </c>
      <c r="X6906">
        <v>0.97513510000000003</v>
      </c>
      <c r="Y6906">
        <v>-0.18287929999999999</v>
      </c>
      <c r="Z6906">
        <v>-1.3530809999999999E-3</v>
      </c>
      <c r="AA6906">
        <v>0.98313439999999996</v>
      </c>
      <c r="AB6906">
        <v>29</v>
      </c>
      <c r="AC6906">
        <v>98.235200000000006</v>
      </c>
      <c r="AD6906">
        <v>3.2981509999999998</v>
      </c>
      <c r="AE6906">
        <v>19.69848</v>
      </c>
      <c r="AF6906">
        <v>-18.3349949969117</v>
      </c>
      <c r="AG6906">
        <v>3.2981509999999998</v>
      </c>
      <c r="AH6906">
        <v>98.388476478085195</v>
      </c>
      <c r="AI6906">
        <v>88.112535450841705</v>
      </c>
      <c r="AJ6906">
        <v>100.556159865903</v>
      </c>
      <c r="AK6906">
        <v>100.136617404595</v>
      </c>
      <c r="AL6906">
        <v>77.6618728528872</v>
      </c>
      <c r="AM6906">
        <v>86.5519392049153</v>
      </c>
      <c r="AN6906">
        <v>0.99999996058916296</v>
      </c>
    </row>
    <row r="6907" spans="1:40" x14ac:dyDescent="0.25">
      <c r="A6907" t="str">
        <f>"20190303170425500"</f>
        <v>20190303170425500</v>
      </c>
      <c r="B6907" t="str">
        <f>"1551603865492168"</f>
        <v>1551603865492168</v>
      </c>
      <c r="C6907" t="s">
        <v>40</v>
      </c>
      <c r="D6907">
        <v>4.6371919999999998</v>
      </c>
      <c r="E6907">
        <v>0.41093879999999999</v>
      </c>
      <c r="F6907" t="s">
        <v>55</v>
      </c>
      <c r="G6907">
        <v>-157.3501</v>
      </c>
      <c r="H6907">
        <v>4.373094</v>
      </c>
      <c r="I6907">
        <v>-43.646659999999997</v>
      </c>
      <c r="J6907">
        <v>-255.43960000000001</v>
      </c>
      <c r="K6907">
        <v>1.119472</v>
      </c>
      <c r="L6907">
        <v>-63.241759999999999</v>
      </c>
      <c r="M6907">
        <v>0.99985690000000005</v>
      </c>
      <c r="N6907">
        <v>-1.158353E-2</v>
      </c>
      <c r="O6907">
        <v>1.233238E-2</v>
      </c>
      <c r="P6907">
        <v>0.97827240000000004</v>
      </c>
      <c r="Q6907">
        <v>0.20235420000000001</v>
      </c>
      <c r="R6907">
        <v>-4.5119810000000003E-2</v>
      </c>
      <c r="S6907">
        <v>3.0733640000000002</v>
      </c>
      <c r="T6907">
        <v>0.1017913</v>
      </c>
      <c r="U6907">
        <v>0.61306759999999905</v>
      </c>
      <c r="V6907">
        <v>5.8278499999999997E-2</v>
      </c>
      <c r="W6907">
        <v>0.21336840000000001</v>
      </c>
      <c r="X6907">
        <v>0.97523210000000005</v>
      </c>
      <c r="Y6907">
        <v>-0.18346370000000001</v>
      </c>
      <c r="Z6907">
        <v>-1.3889149999999999E-3</v>
      </c>
      <c r="AA6907">
        <v>0.9830255</v>
      </c>
      <c r="AB6907">
        <v>29</v>
      </c>
      <c r="AC6907">
        <v>98.089500000000001</v>
      </c>
      <c r="AD6907">
        <v>3.253622</v>
      </c>
      <c r="AE6907">
        <v>19.595099999999999</v>
      </c>
      <c r="AF6907">
        <v>-18.3644215991308</v>
      </c>
      <c r="AG6907">
        <v>3.253622</v>
      </c>
      <c r="AH6907">
        <v>98.219791360235106</v>
      </c>
      <c r="AI6907">
        <v>88.135013155990094</v>
      </c>
      <c r="AJ6907">
        <v>100.590467632182</v>
      </c>
      <c r="AK6907">
        <v>99.974824089055701</v>
      </c>
      <c r="AL6907">
        <v>77.680178161713897</v>
      </c>
      <c r="AM6907">
        <v>86.580151714657703</v>
      </c>
      <c r="AN6907">
        <v>1.0000000532755999</v>
      </c>
    </row>
    <row r="6908" spans="1:40" x14ac:dyDescent="0.25">
      <c r="A6908" t="str">
        <f>"20190303170425511"</f>
        <v>20190303170425511</v>
      </c>
      <c r="B6908" t="str">
        <f>"1551603865502905"</f>
        <v>1551603865502905</v>
      </c>
      <c r="C6908" t="s">
        <v>40</v>
      </c>
      <c r="D6908">
        <v>4.61233</v>
      </c>
      <c r="E6908">
        <v>0.41070879999999998</v>
      </c>
      <c r="F6908" t="s">
        <v>55</v>
      </c>
      <c r="G6908">
        <v>-157.3501</v>
      </c>
      <c r="H6908">
        <v>4.31813</v>
      </c>
      <c r="I6908">
        <v>-43.717709999999997</v>
      </c>
      <c r="J6908">
        <v>-255.29839999999999</v>
      </c>
      <c r="K6908">
        <v>1.119472</v>
      </c>
      <c r="L6908">
        <v>-63.241269999999901</v>
      </c>
      <c r="M6908">
        <v>0.99987219999999999</v>
      </c>
      <c r="N6908">
        <v>-1.1565270000000001E-2</v>
      </c>
      <c r="O6908">
        <v>1.104802E-2</v>
      </c>
      <c r="P6908">
        <v>0.97814920000000005</v>
      </c>
      <c r="Q6908">
        <v>0.20281560000000001</v>
      </c>
      <c r="R6908">
        <v>-4.5723130000000001E-2</v>
      </c>
      <c r="S6908">
        <v>3.0740970000000001</v>
      </c>
      <c r="T6908">
        <v>0.10024429999999999</v>
      </c>
      <c r="U6908">
        <v>0.61187740000000002</v>
      </c>
      <c r="V6908">
        <v>5.7625059999999999E-2</v>
      </c>
      <c r="W6908">
        <v>0.21381559999999999</v>
      </c>
      <c r="X6908">
        <v>0.97517290000000001</v>
      </c>
      <c r="Y6908">
        <v>-0.1843159</v>
      </c>
      <c r="Z6908">
        <v>-1.4157569999999999E-3</v>
      </c>
      <c r="AA6908">
        <v>0.98286600000000002</v>
      </c>
      <c r="AB6908">
        <v>29</v>
      </c>
      <c r="AC6908">
        <v>97.948300000000003</v>
      </c>
      <c r="AD6908">
        <v>3.198658</v>
      </c>
      <c r="AE6908">
        <v>19.52356</v>
      </c>
      <c r="AF6908">
        <v>-18.4212665413413</v>
      </c>
      <c r="AG6908">
        <v>3.198658</v>
      </c>
      <c r="AH6908">
        <v>98.057454694185907</v>
      </c>
      <c r="AI6908">
        <v>88.163759143833303</v>
      </c>
      <c r="AJ6908">
        <v>100.639688919858</v>
      </c>
      <c r="AK6908">
        <v>99.8240396652551</v>
      </c>
      <c r="AL6908">
        <v>77.653949202991697</v>
      </c>
      <c r="AM6908">
        <v>86.618202016473901</v>
      </c>
      <c r="AN6908">
        <v>0.99999997161888599</v>
      </c>
    </row>
    <row r="6909" spans="1:40" x14ac:dyDescent="0.25">
      <c r="A6909" t="str">
        <f>"20190303170425523"</f>
        <v>20190303170425523</v>
      </c>
      <c r="B6909" t="str">
        <f>"1551603865512665"</f>
        <v>1551603865512665</v>
      </c>
      <c r="C6909" t="s">
        <v>40</v>
      </c>
      <c r="D6909">
        <v>4.6147030000000004</v>
      </c>
      <c r="E6909">
        <v>0.41045949999999998</v>
      </c>
      <c r="F6909" t="s">
        <v>55</v>
      </c>
      <c r="G6909">
        <v>-157.3501</v>
      </c>
      <c r="H6909">
        <v>4.3508319999999996</v>
      </c>
      <c r="I6909">
        <v>-43.751350000000002</v>
      </c>
      <c r="J6909">
        <v>-255.1523</v>
      </c>
      <c r="K6909">
        <v>1.1194740000000001</v>
      </c>
      <c r="L6909">
        <v>-63.241</v>
      </c>
      <c r="M6909">
        <v>0.9998861</v>
      </c>
      <c r="N6909">
        <v>-1.1546259999999999E-2</v>
      </c>
      <c r="O6909">
        <v>9.7235689999999996E-3</v>
      </c>
      <c r="P6909">
        <v>0.97803470000000003</v>
      </c>
      <c r="Q6909">
        <v>0.20322979999999999</v>
      </c>
      <c r="R6909">
        <v>-4.6326060000000002E-2</v>
      </c>
      <c r="S6909">
        <v>3.0745849999999999</v>
      </c>
      <c r="T6909">
        <v>0.1014313</v>
      </c>
      <c r="U6909">
        <v>0.61178589999999999</v>
      </c>
      <c r="V6909">
        <v>5.6932209999999997E-2</v>
      </c>
      <c r="W6909">
        <v>0.2142143</v>
      </c>
      <c r="X6909">
        <v>0.9751261</v>
      </c>
      <c r="Y6909">
        <v>-0.18555630000000001</v>
      </c>
      <c r="Z6909">
        <v>-1.5197279999999999E-3</v>
      </c>
      <c r="AA6909">
        <v>0.98263250000000002</v>
      </c>
      <c r="AB6909">
        <v>29</v>
      </c>
      <c r="AC6909">
        <v>97.802199999999999</v>
      </c>
      <c r="AD6909">
        <v>3.2313580000000002</v>
      </c>
      <c r="AE6909">
        <v>19.489650000000001</v>
      </c>
      <c r="AF6909">
        <v>-18.518235855234298</v>
      </c>
      <c r="AG6909">
        <v>3.2313580000000002</v>
      </c>
      <c r="AH6909">
        <v>97.884325695275095</v>
      </c>
      <c r="AI6909">
        <v>88.142168760266699</v>
      </c>
      <c r="AJ6909">
        <v>100.712885472416</v>
      </c>
      <c r="AK6909">
        <v>99.673005124421493</v>
      </c>
      <c r="AL6909">
        <v>77.630563604100303</v>
      </c>
      <c r="AM6909">
        <v>86.658610102490698</v>
      </c>
      <c r="AN6909">
        <v>0.99999997688059095</v>
      </c>
    </row>
    <row r="6910" spans="1:40" x14ac:dyDescent="0.25">
      <c r="A6910" t="str">
        <f>"20190303170425534"</f>
        <v>20190303170425534</v>
      </c>
      <c r="B6910" t="str">
        <f>"1551603865522425"</f>
        <v>1551603865522425</v>
      </c>
      <c r="C6910" t="s">
        <v>40</v>
      </c>
      <c r="D6910">
        <v>4.6304420000000004</v>
      </c>
      <c r="E6910">
        <v>0.41045949999999998</v>
      </c>
      <c r="F6910" t="s">
        <v>55</v>
      </c>
      <c r="G6910">
        <v>-157.3501</v>
      </c>
      <c r="H6910">
        <v>4.3921519999999896</v>
      </c>
      <c r="I6910">
        <v>-43.781669999999998</v>
      </c>
      <c r="J6910">
        <v>-255.00530000000001</v>
      </c>
      <c r="K6910">
        <v>1.1194809999999999</v>
      </c>
      <c r="L6910">
        <v>-63.240839999999999</v>
      </c>
      <c r="M6910">
        <v>0.99989839999999997</v>
      </c>
      <c r="N6910">
        <v>-1.152707E-2</v>
      </c>
      <c r="O6910">
        <v>8.391552E-3</v>
      </c>
      <c r="P6910">
        <v>0.97792869999999998</v>
      </c>
      <c r="Q6910">
        <v>0.20368890000000001</v>
      </c>
      <c r="R6910">
        <v>-4.6545919999999998E-2</v>
      </c>
      <c r="S6910">
        <v>3.0749819999999999</v>
      </c>
      <c r="T6910">
        <v>0.102894899999999</v>
      </c>
      <c r="U6910">
        <v>0.61181640000000004</v>
      </c>
      <c r="V6910">
        <v>5.5849339999999997E-2</v>
      </c>
      <c r="W6910">
        <v>0.2146605</v>
      </c>
      <c r="X6910">
        <v>0.97509060000000003</v>
      </c>
      <c r="Y6910">
        <v>-0.18684629999999999</v>
      </c>
      <c r="Z6910">
        <v>-1.6336530000000001E-3</v>
      </c>
      <c r="AA6910">
        <v>0.98238780000000003</v>
      </c>
      <c r="AB6910">
        <v>29</v>
      </c>
      <c r="AC6910">
        <v>97.655199999999994</v>
      </c>
      <c r="AD6910">
        <v>3.2726709999999901</v>
      </c>
      <c r="AE6910">
        <v>19.45917</v>
      </c>
      <c r="AF6910">
        <v>-18.618839629997399</v>
      </c>
      <c r="AG6910">
        <v>3.2726709999999901</v>
      </c>
      <c r="AH6910">
        <v>97.709518994144901</v>
      </c>
      <c r="AI6910">
        <v>88.115541707314705</v>
      </c>
      <c r="AJ6910">
        <v>100.78854326512599</v>
      </c>
      <c r="AK6910">
        <v>99.521463346903005</v>
      </c>
      <c r="AL6910">
        <v>77.604389375994899</v>
      </c>
      <c r="AM6910">
        <v>86.721905464237693</v>
      </c>
      <c r="AN6910">
        <v>0.99999997862352197</v>
      </c>
    </row>
    <row r="6911" spans="1:40" x14ac:dyDescent="0.25">
      <c r="A6911" t="str">
        <f>"20190303170425545"</f>
        <v>20190303170425545</v>
      </c>
      <c r="B6911" t="str">
        <f>"1551603865532185"</f>
        <v>1551603865532185</v>
      </c>
      <c r="C6911" t="s">
        <v>40</v>
      </c>
      <c r="D6911">
        <v>4.6150729999999998</v>
      </c>
      <c r="E6911">
        <v>0.40029999999999999</v>
      </c>
      <c r="F6911" t="s">
        <v>55</v>
      </c>
      <c r="G6911">
        <v>-157.3501</v>
      </c>
      <c r="H6911">
        <v>4.436248</v>
      </c>
      <c r="I6911">
        <v>-43.830550000000002</v>
      </c>
      <c r="J6911">
        <v>-254.85679999999999</v>
      </c>
      <c r="K6911">
        <v>1.1194869999999999</v>
      </c>
      <c r="L6911">
        <v>-63.241</v>
      </c>
      <c r="M6911">
        <v>0.99990900000000005</v>
      </c>
      <c r="N6911">
        <v>-1.1506219999999999E-2</v>
      </c>
      <c r="O6911">
        <v>7.0548159999999898E-3</v>
      </c>
      <c r="P6911">
        <v>0.97782380000000002</v>
      </c>
      <c r="Q6911">
        <v>0.20411850000000001</v>
      </c>
      <c r="R6911">
        <v>-4.6868859999999998E-2</v>
      </c>
      <c r="S6911">
        <v>3.075043</v>
      </c>
      <c r="T6911">
        <v>0.1044402</v>
      </c>
      <c r="U6911">
        <v>0.61120609999999997</v>
      </c>
      <c r="V6911">
        <v>5.4864059999999999E-2</v>
      </c>
      <c r="W6911">
        <v>0.21507490000000001</v>
      </c>
      <c r="X6911">
        <v>0.97505520000000001</v>
      </c>
      <c r="Y6911">
        <v>-0.1879641</v>
      </c>
      <c r="Z6911">
        <v>-1.75055E-3</v>
      </c>
      <c r="AA6911">
        <v>0.98217429999999994</v>
      </c>
      <c r="AB6911">
        <v>29</v>
      </c>
      <c r="AC6911">
        <v>97.506699999999995</v>
      </c>
      <c r="AD6911">
        <v>3.3167610000000001</v>
      </c>
      <c r="AE6911">
        <v>19.410450000000001</v>
      </c>
      <c r="AF6911">
        <v>-18.7012157914691</v>
      </c>
      <c r="AG6911">
        <v>3.3167610000000001</v>
      </c>
      <c r="AH6911">
        <v>97.532668944197198</v>
      </c>
      <c r="AI6911">
        <v>88.087131778331099</v>
      </c>
      <c r="AJ6911">
        <v>100.854328414327</v>
      </c>
      <c r="AK6911">
        <v>99.364771860999994</v>
      </c>
      <c r="AL6911">
        <v>77.580077941084994</v>
      </c>
      <c r="AM6911">
        <v>86.779497299997402</v>
      </c>
      <c r="AN6911">
        <v>0.99999996036836603</v>
      </c>
    </row>
    <row r="6912" spans="1:40" x14ac:dyDescent="0.25">
      <c r="A6912" t="str">
        <f>"20190303170425557"</f>
        <v>20190303170425557</v>
      </c>
      <c r="B6912" t="str">
        <f>"1551603865552681"</f>
        <v>1551603865552681</v>
      </c>
      <c r="C6912" t="s">
        <v>40</v>
      </c>
      <c r="D6912">
        <v>4.6357160000000004</v>
      </c>
      <c r="E6912">
        <v>0.39992369999999999</v>
      </c>
      <c r="F6912" t="s">
        <v>55</v>
      </c>
      <c r="G6912">
        <v>-157.3501</v>
      </c>
      <c r="H6912">
        <v>4.6275810000000002</v>
      </c>
      <c r="I6912">
        <v>-41.355960000000003</v>
      </c>
      <c r="J6912">
        <v>-254.7028</v>
      </c>
      <c r="K6912">
        <v>1.1194919999999999</v>
      </c>
      <c r="L6912">
        <v>-63.241269999999901</v>
      </c>
      <c r="M6912">
        <v>0.99991810000000003</v>
      </c>
      <c r="N6912">
        <v>-1.148453E-2</v>
      </c>
      <c r="O6912">
        <v>5.6721540000000004E-3</v>
      </c>
      <c r="P6912">
        <v>0.97775409999999996</v>
      </c>
      <c r="Q6912">
        <v>0.2043432</v>
      </c>
      <c r="R6912">
        <v>-4.7341469999999997E-2</v>
      </c>
      <c r="S6912">
        <v>3.078049</v>
      </c>
      <c r="T6912">
        <v>0.1107413</v>
      </c>
      <c r="U6912">
        <v>0.6908569</v>
      </c>
      <c r="V6912">
        <v>5.3982389999999998E-2</v>
      </c>
      <c r="W6912">
        <v>0.215284</v>
      </c>
      <c r="X6912">
        <v>0.97505830000000004</v>
      </c>
      <c r="Y6912">
        <v>-0.2133777</v>
      </c>
      <c r="Z6912">
        <v>-2.283668E-3</v>
      </c>
      <c r="AA6912">
        <v>0.97696709999999998</v>
      </c>
      <c r="AB6912">
        <v>29</v>
      </c>
      <c r="AC6912">
        <v>97.352699999999999</v>
      </c>
      <c r="AD6912">
        <v>3.508089</v>
      </c>
      <c r="AE6912">
        <v>21.88531</v>
      </c>
      <c r="AF6912">
        <v>-21.3063864122058</v>
      </c>
      <c r="AG6912">
        <v>3.508089</v>
      </c>
      <c r="AH6912">
        <v>97.354943747096399</v>
      </c>
      <c r="AI6912">
        <v>87.983971103397707</v>
      </c>
      <c r="AJ6912">
        <v>102.344699415731</v>
      </c>
      <c r="AK6912">
        <v>99.720879771382101</v>
      </c>
      <c r="AL6912">
        <v>77.567810432534003</v>
      </c>
      <c r="AM6912">
        <v>86.8311547677867</v>
      </c>
      <c r="AN6912">
        <v>0.99999999374250104</v>
      </c>
    </row>
    <row r="6913" spans="1:40" x14ac:dyDescent="0.25">
      <c r="A6913" t="str">
        <f>"20190303170425567"</f>
        <v>20190303170425567</v>
      </c>
      <c r="B6913" t="str">
        <f>"1551603865562441"</f>
        <v>1551603865562441</v>
      </c>
      <c r="C6913" t="s">
        <v>40</v>
      </c>
      <c r="D6913">
        <v>4.6229800000000001</v>
      </c>
      <c r="E6913">
        <v>0.3999064</v>
      </c>
      <c r="F6913" t="s">
        <v>55</v>
      </c>
      <c r="G6913">
        <v>-157.3501</v>
      </c>
      <c r="H6913">
        <v>4.7213459999999996</v>
      </c>
      <c r="I6913">
        <v>-41.35454</v>
      </c>
      <c r="J6913">
        <v>-254.5591</v>
      </c>
      <c r="K6913">
        <v>1.1194959999999901</v>
      </c>
      <c r="L6913">
        <v>-63.241759999999999</v>
      </c>
      <c r="M6913">
        <v>0.9999247</v>
      </c>
      <c r="N6913">
        <v>-1.146455E-2</v>
      </c>
      <c r="O6913">
        <v>4.3923419999999996E-3</v>
      </c>
      <c r="P6913">
        <v>0.97778799999999999</v>
      </c>
      <c r="Q6913">
        <v>0.20408370000000001</v>
      </c>
      <c r="R6913">
        <v>-4.7760619999999997E-2</v>
      </c>
      <c r="S6913">
        <v>3.0779719999999999</v>
      </c>
      <c r="T6913">
        <v>0.1138783</v>
      </c>
      <c r="U6913">
        <v>0.69198609999999905</v>
      </c>
      <c r="V6913">
        <v>5.3144520000000001E-2</v>
      </c>
      <c r="W6913">
        <v>0.2150116</v>
      </c>
      <c r="X6913">
        <v>0.97516440000000004</v>
      </c>
      <c r="Y6913">
        <v>-0.21496599999999999</v>
      </c>
      <c r="Z6913">
        <v>-2.4684260000000001E-3</v>
      </c>
      <c r="AA6913">
        <v>0.9766184</v>
      </c>
      <c r="AB6913">
        <v>29</v>
      </c>
      <c r="AC6913">
        <v>97.209000000000003</v>
      </c>
      <c r="AD6913">
        <v>3.6018500000000002</v>
      </c>
      <c r="AE6913">
        <v>21.887219999999999</v>
      </c>
      <c r="AF6913">
        <v>-21.432001365551798</v>
      </c>
      <c r="AG6913">
        <v>3.6018500000000002</v>
      </c>
      <c r="AH6913">
        <v>97.177227360797204</v>
      </c>
      <c r="AI6913">
        <v>87.927087695074107</v>
      </c>
      <c r="AJ6913">
        <v>102.43722771898901</v>
      </c>
      <c r="AK6913">
        <v>99.577695913731603</v>
      </c>
      <c r="AL6913">
        <v>77.583791739032506</v>
      </c>
      <c r="AM6913">
        <v>86.880579807836597</v>
      </c>
      <c r="AN6913">
        <v>0.99999996758397403</v>
      </c>
    </row>
    <row r="6914" spans="1:40" x14ac:dyDescent="0.25">
      <c r="A6914" t="str">
        <f>"20190303170425579"</f>
        <v>20190303170425579</v>
      </c>
      <c r="B6914" t="str">
        <f>"1551603865572201"</f>
        <v>1551603865572201</v>
      </c>
      <c r="C6914" t="s">
        <v>40</v>
      </c>
      <c r="D6914">
        <v>4.6176789999999999</v>
      </c>
      <c r="E6914">
        <v>0.39973589999999998</v>
      </c>
      <c r="F6914" t="s">
        <v>55</v>
      </c>
      <c r="G6914">
        <v>-157.3501</v>
      </c>
      <c r="H6914">
        <v>4.6648639999999997</v>
      </c>
      <c r="I6914">
        <v>-41.43394</v>
      </c>
      <c r="J6914">
        <v>-254.41309999999999</v>
      </c>
      <c r="K6914">
        <v>1.119502</v>
      </c>
      <c r="L6914">
        <v>-63.242400000000004</v>
      </c>
      <c r="M6914">
        <v>0.99992979999999998</v>
      </c>
      <c r="N6914">
        <v>-1.1444869999999999E-2</v>
      </c>
      <c r="O6914">
        <v>3.0989659999999999E-3</v>
      </c>
      <c r="P6914">
        <v>0.97792120000000005</v>
      </c>
      <c r="Q6914">
        <v>0.2032379</v>
      </c>
      <c r="R6914">
        <v>-4.8628810000000001E-2</v>
      </c>
      <c r="S6914">
        <v>3.07843</v>
      </c>
      <c r="T6914">
        <v>0.1122745</v>
      </c>
      <c r="U6914">
        <v>0.69061280000000003</v>
      </c>
      <c r="V6914">
        <v>5.2738979999999998E-2</v>
      </c>
      <c r="W6914">
        <v>0.21415190000000001</v>
      </c>
      <c r="X6914">
        <v>0.97537560000000001</v>
      </c>
      <c r="Y6914">
        <v>-0.21578459999999999</v>
      </c>
      <c r="Z6914">
        <v>-2.4885459999999999E-3</v>
      </c>
      <c r="AA6914">
        <v>0.97643780000000002</v>
      </c>
      <c r="AB6914">
        <v>29</v>
      </c>
      <c r="AC6914">
        <v>97.063000000000002</v>
      </c>
      <c r="AD6914">
        <v>3.5453619999999999</v>
      </c>
      <c r="AE6914">
        <v>21.80846</v>
      </c>
      <c r="AF6914">
        <v>-21.4802594003826</v>
      </c>
      <c r="AG6914">
        <v>3.5453619999999999</v>
      </c>
      <c r="AH6914">
        <v>97.006917179871294</v>
      </c>
      <c r="AI6914">
        <v>87.956370984455205</v>
      </c>
      <c r="AJ6914">
        <v>102.48555549840501</v>
      </c>
      <c r="AK6914">
        <v>99.419882902572198</v>
      </c>
      <c r="AL6914">
        <v>77.634224074915906</v>
      </c>
      <c r="AM6914">
        <v>86.905006291737195</v>
      </c>
      <c r="AN6914">
        <v>0.99999999868020495</v>
      </c>
    </row>
    <row r="6915" spans="1:40" x14ac:dyDescent="0.25">
      <c r="A6915" t="str">
        <f>"20190303170425589"</f>
        <v>20190303170425589</v>
      </c>
      <c r="B6915" t="str">
        <f>"1551603865582468"</f>
        <v>1551603865582468</v>
      </c>
      <c r="C6915" t="s">
        <v>40</v>
      </c>
      <c r="D6915">
        <v>4.6248950000000004</v>
      </c>
      <c r="E6915">
        <v>0.39961340000000001</v>
      </c>
      <c r="F6915" t="s">
        <v>55</v>
      </c>
      <c r="G6915">
        <v>-157.3501</v>
      </c>
      <c r="H6915">
        <v>4.5587839999999904</v>
      </c>
      <c r="I6915">
        <v>-41.528320000000001</v>
      </c>
      <c r="J6915">
        <v>-254.27520000000001</v>
      </c>
      <c r="K6915">
        <v>1.1195079999999999</v>
      </c>
      <c r="L6915">
        <v>-63.243160000000003</v>
      </c>
      <c r="M6915">
        <v>0.99993290000000001</v>
      </c>
      <c r="N6915">
        <v>-1.142719E-2</v>
      </c>
      <c r="O6915">
        <v>1.8877919999999999E-3</v>
      </c>
      <c r="P6915">
        <v>0.97802509999999998</v>
      </c>
      <c r="Q6915">
        <v>0.20247039999999999</v>
      </c>
      <c r="R6915">
        <v>-4.9726699999999999E-2</v>
      </c>
      <c r="S6915">
        <v>3.0792999999999999</v>
      </c>
      <c r="T6915">
        <v>0.1091095</v>
      </c>
      <c r="U6915">
        <v>0.68887330000000002</v>
      </c>
      <c r="V6915">
        <v>5.2642639999999997E-2</v>
      </c>
      <c r="W6915">
        <v>0.21337120000000001</v>
      </c>
      <c r="X6915">
        <v>0.97555190000000003</v>
      </c>
      <c r="Y6915">
        <v>-0.21638769999999999</v>
      </c>
      <c r="Z6915">
        <v>-2.4466269999999998E-3</v>
      </c>
      <c r="AA6915">
        <v>0.97630439999999996</v>
      </c>
      <c r="AB6915">
        <v>29</v>
      </c>
      <c r="AC6915">
        <v>96.9251</v>
      </c>
      <c r="AD6915">
        <v>3.439276</v>
      </c>
      <c r="AE6915">
        <v>21.714839999999899</v>
      </c>
      <c r="AF6915">
        <v>-21.5060307720601</v>
      </c>
      <c r="AG6915">
        <v>3.439276</v>
      </c>
      <c r="AH6915">
        <v>96.849807252688606</v>
      </c>
      <c r="AI6915">
        <v>88.014520585903895</v>
      </c>
      <c r="AJ6915">
        <v>102.51970353321001</v>
      </c>
      <c r="AK6915">
        <v>99.2684398177785</v>
      </c>
      <c r="AL6915">
        <v>77.680013448861303</v>
      </c>
      <c r="AM6915">
        <v>86.911206275978103</v>
      </c>
      <c r="AN6915">
        <v>1.0000000130646001</v>
      </c>
    </row>
    <row r="6916" spans="1:40" x14ac:dyDescent="0.25">
      <c r="A6916" t="str">
        <f>"20190303170425601"</f>
        <v>20190303170425601</v>
      </c>
      <c r="B6916" t="str">
        <f>"1551603865592228"</f>
        <v>1551603865592228</v>
      </c>
      <c r="C6916" t="s">
        <v>40</v>
      </c>
      <c r="D6916">
        <v>4.658544</v>
      </c>
      <c r="E6916">
        <v>0.39954440000000002</v>
      </c>
      <c r="F6916" t="s">
        <v>55</v>
      </c>
      <c r="G6916">
        <v>-157.3501</v>
      </c>
      <c r="H6916">
        <v>4.4245330000000003</v>
      </c>
      <c r="I6916">
        <v>-41.657919999999997</v>
      </c>
      <c r="J6916">
        <v>-254.12180000000001</v>
      </c>
      <c r="K6916">
        <v>1.119521</v>
      </c>
      <c r="L6916">
        <v>-63.244230000000002</v>
      </c>
      <c r="M6916">
        <v>0.99993469999999995</v>
      </c>
      <c r="N6916">
        <v>-1.1408339999999999E-2</v>
      </c>
      <c r="O6916">
        <v>5.5410680000000001E-4</v>
      </c>
      <c r="P6916">
        <v>0.97804270000000004</v>
      </c>
      <c r="Q6916">
        <v>0.2020335</v>
      </c>
      <c r="R6916">
        <v>-5.1138000000000003E-2</v>
      </c>
      <c r="S6916">
        <v>3.0805359999999999</v>
      </c>
      <c r="T6916">
        <v>0.1050416</v>
      </c>
      <c r="U6916">
        <v>0.68603519999999996</v>
      </c>
      <c r="V6916">
        <v>5.2739170000000002E-2</v>
      </c>
      <c r="W6916">
        <v>0.21291840000000001</v>
      </c>
      <c r="X6916">
        <v>0.9756456</v>
      </c>
      <c r="Y6916">
        <v>-0.2167559</v>
      </c>
      <c r="Z6916">
        <v>-2.373244E-3</v>
      </c>
      <c r="AA6916">
        <v>0.9762229</v>
      </c>
      <c r="AB6916">
        <v>29</v>
      </c>
      <c r="AC6916">
        <v>96.771699999999996</v>
      </c>
      <c r="AD6916">
        <v>3.3050120000000001</v>
      </c>
      <c r="AE6916">
        <v>21.586310000000001</v>
      </c>
      <c r="AF6916">
        <v>-21.508782534307699</v>
      </c>
      <c r="AG6916">
        <v>3.3050120000000001</v>
      </c>
      <c r="AH6916">
        <v>96.6762283204733</v>
      </c>
      <c r="AI6916">
        <v>88.088721707456898</v>
      </c>
      <c r="AJ6916">
        <v>102.543025625456</v>
      </c>
      <c r="AK6916">
        <v>99.095125776703</v>
      </c>
      <c r="AL6916">
        <v>77.706567014457306</v>
      </c>
      <c r="AM6916">
        <v>86.905850009853495</v>
      </c>
      <c r="AN6916">
        <v>1.0000000009551</v>
      </c>
    </row>
    <row r="6917" spans="1:40" x14ac:dyDescent="0.25">
      <c r="A6917" t="str">
        <f>"20190303170425613"</f>
        <v>20190303170425613</v>
      </c>
      <c r="B6917" t="str">
        <f>"1551603865602964"</f>
        <v>1551603865602964</v>
      </c>
      <c r="C6917" t="s">
        <v>40</v>
      </c>
      <c r="D6917">
        <v>4.6652239999999896</v>
      </c>
      <c r="E6917">
        <v>0.39945560000000002</v>
      </c>
      <c r="F6917" t="s">
        <v>45</v>
      </c>
      <c r="G6917">
        <v>-177.5967</v>
      </c>
      <c r="H6917">
        <v>3.6705730000000001</v>
      </c>
      <c r="I6917">
        <v>-46.31644</v>
      </c>
      <c r="J6917">
        <v>-253.96709999999999</v>
      </c>
      <c r="K6917">
        <v>1.1195329999999999</v>
      </c>
      <c r="L6917">
        <v>-63.245420000000003</v>
      </c>
      <c r="M6917">
        <v>0.99993500000000002</v>
      </c>
      <c r="N6917">
        <v>-1.1390000000000001E-2</v>
      </c>
      <c r="O6917">
        <v>-7.8108509999999997E-4</v>
      </c>
      <c r="P6917">
        <v>0.97806720000000003</v>
      </c>
      <c r="Q6917">
        <v>0.201546</v>
      </c>
      <c r="R6917">
        <v>-5.2572969999999997E-2</v>
      </c>
      <c r="S6917">
        <v>3.0817570000000001</v>
      </c>
      <c r="T6917">
        <v>0.1027339</v>
      </c>
      <c r="U6917">
        <v>0.68170169999999997</v>
      </c>
      <c r="V6917">
        <v>5.2856460000000001E-2</v>
      </c>
      <c r="W6917">
        <v>0.21241560000000001</v>
      </c>
      <c r="X6917">
        <v>0.97574879999999997</v>
      </c>
      <c r="Y6917">
        <v>-0.216672</v>
      </c>
      <c r="Z6917">
        <v>-2.3529919999999999E-3</v>
      </c>
      <c r="AA6917">
        <v>0.97624160000000004</v>
      </c>
      <c r="AB6917">
        <v>29</v>
      </c>
      <c r="AC6917">
        <v>76.370399999999904</v>
      </c>
      <c r="AD6917">
        <v>2.55104</v>
      </c>
      <c r="AE6917">
        <v>16.9289799999999</v>
      </c>
      <c r="AF6917">
        <v>-16.970581656773199</v>
      </c>
      <c r="AG6917">
        <v>2.55104</v>
      </c>
      <c r="AH6917">
        <v>76.276030589641707</v>
      </c>
      <c r="AI6917">
        <v>88.130152917896396</v>
      </c>
      <c r="AJ6917">
        <v>102.54337560327799</v>
      </c>
      <c r="AK6917">
        <v>78.182742912760204</v>
      </c>
      <c r="AL6917">
        <v>77.736049205816201</v>
      </c>
      <c r="AM6917">
        <v>86.899309486948994</v>
      </c>
      <c r="AN6917">
        <v>0.99999995659426399</v>
      </c>
    </row>
    <row r="6918" spans="1:40" x14ac:dyDescent="0.25">
      <c r="A6918" t="str">
        <f>"20190303170425624"</f>
        <v>20190303170425624</v>
      </c>
      <c r="B6918" t="str">
        <f>"1551603865612724"</f>
        <v>1551603865612724</v>
      </c>
      <c r="C6918" t="s">
        <v>40</v>
      </c>
      <c r="D6918">
        <v>4.684412</v>
      </c>
      <c r="E6918">
        <v>0.39944449999999998</v>
      </c>
      <c r="F6918" t="s">
        <v>55</v>
      </c>
      <c r="G6918">
        <v>-157.3501</v>
      </c>
      <c r="H6918">
        <v>4.2832879999999998</v>
      </c>
      <c r="I6918">
        <v>-42.005670000000002</v>
      </c>
      <c r="J6918">
        <v>-253.8244</v>
      </c>
      <c r="K6918">
        <v>1.119551</v>
      </c>
      <c r="L6918">
        <v>-63.2468</v>
      </c>
      <c r="M6918">
        <v>0.99993339999999997</v>
      </c>
      <c r="N6918">
        <v>-1.1373940000000001E-2</v>
      </c>
      <c r="O6918">
        <v>-1.9824629999999998E-3</v>
      </c>
      <c r="P6918">
        <v>0.97789470000000001</v>
      </c>
      <c r="Q6918">
        <v>0.20194870000000001</v>
      </c>
      <c r="R6918">
        <v>-5.4208329999999999E-2</v>
      </c>
      <c r="S6918">
        <v>3.082932</v>
      </c>
      <c r="T6918">
        <v>0.10095079999999999</v>
      </c>
      <c r="U6918">
        <v>0.67773439999999996</v>
      </c>
      <c r="V6918">
        <v>5.3306909999999999E-2</v>
      </c>
      <c r="W6918">
        <v>0.2128023</v>
      </c>
      <c r="X6918">
        <v>0.97564010000000001</v>
      </c>
      <c r="Y6918">
        <v>-0.2165706</v>
      </c>
      <c r="Z6918">
        <v>-2.3430790000000001E-3</v>
      </c>
      <c r="AA6918">
        <v>0.97626420000000003</v>
      </c>
      <c r="AB6918">
        <v>29</v>
      </c>
      <c r="AC6918">
        <v>96.474299999999999</v>
      </c>
      <c r="AD6918">
        <v>3.1637369999999998</v>
      </c>
      <c r="AE6918">
        <v>21.241129999999998</v>
      </c>
      <c r="AF6918">
        <v>-21.410396784514699</v>
      </c>
      <c r="AG6918">
        <v>3.1637369999999998</v>
      </c>
      <c r="AH6918">
        <v>96.3331893342679</v>
      </c>
      <c r="AI6918">
        <v>88.163763965247398</v>
      </c>
      <c r="AJ6918">
        <v>102.530520146954</v>
      </c>
      <c r="AK6918">
        <v>98.734480753116003</v>
      </c>
      <c r="AL6918">
        <v>77.713375379043399</v>
      </c>
      <c r="AM6918">
        <v>86.872589491895098</v>
      </c>
      <c r="AN6918">
        <v>1.0000000251335199</v>
      </c>
    </row>
    <row r="6919" spans="1:40" x14ac:dyDescent="0.25">
      <c r="A6919" t="str">
        <f>"20190303170425636"</f>
        <v>20190303170425636</v>
      </c>
      <c r="B6919" t="str">
        <f>"1551603865622484"</f>
        <v>1551603865622484</v>
      </c>
      <c r="C6919" t="s">
        <v>40</v>
      </c>
      <c r="D6919">
        <v>4.6573890000000002</v>
      </c>
      <c r="E6919">
        <v>0.39928259999999899</v>
      </c>
      <c r="F6919" t="s">
        <v>55</v>
      </c>
      <c r="G6919">
        <v>-157.3501</v>
      </c>
      <c r="H6919">
        <v>4.3024529999999999</v>
      </c>
      <c r="I6919">
        <v>-42.196350000000002</v>
      </c>
      <c r="J6919">
        <v>-253.6807</v>
      </c>
      <c r="K6919">
        <v>1.1195729999999999</v>
      </c>
      <c r="L6919">
        <v>-63.24823</v>
      </c>
      <c r="M6919">
        <v>0.99993050000000006</v>
      </c>
      <c r="N6919">
        <v>-1.135798E-2</v>
      </c>
      <c r="O6919">
        <v>-3.187751E-3</v>
      </c>
      <c r="P6919">
        <v>0.97777380000000003</v>
      </c>
      <c r="Q6919">
        <v>0.20221359999999999</v>
      </c>
      <c r="R6919">
        <v>-5.5389010000000002E-2</v>
      </c>
      <c r="S6919">
        <v>3.0841059999999998</v>
      </c>
      <c r="T6919">
        <v>0.1017507</v>
      </c>
      <c r="U6919">
        <v>0.67294309999999902</v>
      </c>
      <c r="V6919">
        <v>5.329797E-2</v>
      </c>
      <c r="W6919">
        <v>0.2130544</v>
      </c>
      <c r="X6919">
        <v>0.97558549999999999</v>
      </c>
      <c r="Y6919">
        <v>-0.21621950000000001</v>
      </c>
      <c r="Z6919">
        <v>-2.4216250000000002E-3</v>
      </c>
      <c r="AA6919">
        <v>0.97634180000000004</v>
      </c>
      <c r="AB6919">
        <v>29</v>
      </c>
      <c r="AC6919">
        <v>96.330600000000004</v>
      </c>
      <c r="AD6919">
        <v>3.1828799999999999</v>
      </c>
      <c r="AE6919">
        <v>21.051880000000001</v>
      </c>
      <c r="AF6919">
        <v>-21.336638867277401</v>
      </c>
      <c r="AG6919">
        <v>3.1828799999999999</v>
      </c>
      <c r="AH6919">
        <v>96.162800307708906</v>
      </c>
      <c r="AI6919">
        <v>88.149243966282796</v>
      </c>
      <c r="AJ6919">
        <v>102.510142051283</v>
      </c>
      <c r="AK6919">
        <v>98.552864221529902</v>
      </c>
      <c r="AL6919">
        <v>77.698591279079693</v>
      </c>
      <c r="AM6919">
        <v>86.872938289760796</v>
      </c>
      <c r="AN6919">
        <v>0.99999995938786401</v>
      </c>
    </row>
    <row r="6920" spans="1:40" x14ac:dyDescent="0.25">
      <c r="A6920" t="str">
        <f>"20190303170425646"</f>
        <v>20190303170425646</v>
      </c>
      <c r="B6920" t="str">
        <f>"1551603865632246"</f>
        <v>1551603865632246</v>
      </c>
      <c r="C6920" t="s">
        <v>40</v>
      </c>
      <c r="D6920">
        <v>4.6651509999999998</v>
      </c>
      <c r="E6920">
        <v>0.39915689999999998</v>
      </c>
      <c r="F6920" t="s">
        <v>55</v>
      </c>
      <c r="G6920">
        <v>-157.3501</v>
      </c>
      <c r="H6920">
        <v>4.3748959999999997</v>
      </c>
      <c r="I6920">
        <v>-42.298439999999999</v>
      </c>
      <c r="J6920">
        <v>-253.53569999999999</v>
      </c>
      <c r="K6920">
        <v>1.1196060000000001</v>
      </c>
      <c r="L6920">
        <v>-63.249940000000002</v>
      </c>
      <c r="M6920">
        <v>0.99992630000000005</v>
      </c>
      <c r="N6920">
        <v>-1.13429E-2</v>
      </c>
      <c r="O6920">
        <v>-4.3551809999999996E-3</v>
      </c>
      <c r="P6920">
        <v>0.97762470000000001</v>
      </c>
      <c r="Q6920">
        <v>0.20260159999999999</v>
      </c>
      <c r="R6920">
        <v>-5.6593030000000002E-2</v>
      </c>
      <c r="S6920">
        <v>3.084625</v>
      </c>
      <c r="T6920">
        <v>0.1042387</v>
      </c>
      <c r="U6920">
        <v>0.67083740000000003</v>
      </c>
      <c r="V6920">
        <v>5.3344889999999999E-2</v>
      </c>
      <c r="W6920">
        <v>0.21343029999999999</v>
      </c>
      <c r="X6920">
        <v>0.97550079999999995</v>
      </c>
      <c r="Y6920">
        <v>-0.21668280000000001</v>
      </c>
      <c r="Z6920">
        <v>-2.5687869999999999E-3</v>
      </c>
      <c r="AA6920">
        <v>0.97623870000000001</v>
      </c>
      <c r="AB6920">
        <v>29</v>
      </c>
      <c r="AC6920">
        <v>96.185599999999994</v>
      </c>
      <c r="AD6920">
        <v>3.25529</v>
      </c>
      <c r="AE6920">
        <v>20.951499999999999</v>
      </c>
      <c r="AF6920">
        <v>-21.346890599867699</v>
      </c>
      <c r="AG6920">
        <v>3.25529</v>
      </c>
      <c r="AH6920">
        <v>95.988468831326898</v>
      </c>
      <c r="AI6920">
        <v>88.103939134007504</v>
      </c>
      <c r="AJ6920">
        <v>102.537976508615</v>
      </c>
      <c r="AK6920">
        <v>98.387360976140798</v>
      </c>
      <c r="AL6920">
        <v>77.676547145524793</v>
      </c>
      <c r="AM6920">
        <v>86.869919690277001</v>
      </c>
      <c r="AN6920">
        <v>0.99999999052392097</v>
      </c>
    </row>
    <row r="6921" spans="1:40" x14ac:dyDescent="0.25">
      <c r="A6921" t="str">
        <f>"20190303170425658"</f>
        <v>20190303170425658</v>
      </c>
      <c r="B6921" t="str">
        <f>"1551603865652740"</f>
        <v>1551603865652740</v>
      </c>
      <c r="C6921" t="s">
        <v>40</v>
      </c>
      <c r="D6921">
        <v>4.6678030000000001</v>
      </c>
      <c r="E6921">
        <v>0.39901789999999998</v>
      </c>
      <c r="F6921" t="s">
        <v>55</v>
      </c>
      <c r="G6921">
        <v>-157.3501</v>
      </c>
      <c r="H6921">
        <v>4.4320459999999997</v>
      </c>
      <c r="I6921">
        <v>-42.41816</v>
      </c>
      <c r="J6921">
        <v>-253.37889999999999</v>
      </c>
      <c r="K6921">
        <v>1.119642</v>
      </c>
      <c r="L6921">
        <v>-63.251860000000001</v>
      </c>
      <c r="M6921">
        <v>0.99992020000000004</v>
      </c>
      <c r="N6921">
        <v>-1.132699E-2</v>
      </c>
      <c r="O6921">
        <v>-5.6029819999999899E-3</v>
      </c>
      <c r="P6921">
        <v>0.97761569999999998</v>
      </c>
      <c r="Q6921">
        <v>0.20241700000000001</v>
      </c>
      <c r="R6921">
        <v>-5.7403669999999997E-2</v>
      </c>
      <c r="S6921">
        <v>3.0853120000000001</v>
      </c>
      <c r="T6921">
        <v>0.1062512</v>
      </c>
      <c r="U6921">
        <v>0.6682129</v>
      </c>
      <c r="V6921">
        <v>5.2914370000000002E-2</v>
      </c>
      <c r="W6921">
        <v>0.21323790000000001</v>
      </c>
      <c r="X6921">
        <v>0.9755663</v>
      </c>
      <c r="Y6921">
        <v>-0.21705749999999999</v>
      </c>
      <c r="Z6921">
        <v>-2.7033629999999999E-3</v>
      </c>
      <c r="AA6921">
        <v>0.97615510000000005</v>
      </c>
      <c r="AB6921">
        <v>29</v>
      </c>
      <c r="AC6921">
        <v>96.028800000000004</v>
      </c>
      <c r="AD6921">
        <v>3.3124039999999999</v>
      </c>
      <c r="AE6921">
        <v>20.8337</v>
      </c>
      <c r="AF6921">
        <v>-21.347197377920899</v>
      </c>
      <c r="AG6921">
        <v>3.3124039999999999</v>
      </c>
      <c r="AH6921">
        <v>95.801690778322097</v>
      </c>
      <c r="AI6921">
        <v>88.067118063419997</v>
      </c>
      <c r="AJ6921">
        <v>102.561820642558</v>
      </c>
      <c r="AK6921">
        <v>98.207122003123402</v>
      </c>
      <c r="AL6921">
        <v>77.687830339123394</v>
      </c>
      <c r="AM6921">
        <v>86.895339435910799</v>
      </c>
      <c r="AN6921">
        <v>0.99999996912229705</v>
      </c>
    </row>
    <row r="6922" spans="1:40" x14ac:dyDescent="0.25">
      <c r="A6922" t="str">
        <f>"20190303170425668"</f>
        <v>20190303170425668</v>
      </c>
      <c r="B6922" t="str">
        <f>"1551603865662500"</f>
        <v>1551603865662500</v>
      </c>
      <c r="C6922" t="s">
        <v>40</v>
      </c>
      <c r="D6922">
        <v>4.6707549999999998</v>
      </c>
      <c r="E6922">
        <v>0.39579150000000002</v>
      </c>
      <c r="F6922" t="s">
        <v>55</v>
      </c>
      <c r="G6922">
        <v>-157.3501</v>
      </c>
      <c r="H6922">
        <v>4.438949</v>
      </c>
      <c r="I6922">
        <v>-42.498910000000002</v>
      </c>
      <c r="J6922">
        <v>-253.23990000000001</v>
      </c>
      <c r="K6922">
        <v>1.1196759999999999</v>
      </c>
      <c r="L6922">
        <v>-63.253749999999997</v>
      </c>
      <c r="M6922">
        <v>0.99991390000000002</v>
      </c>
      <c r="N6922">
        <v>-1.1313719999999999E-2</v>
      </c>
      <c r="O6922">
        <v>-6.6734200000000002E-3</v>
      </c>
      <c r="P6922">
        <v>0.97771450000000004</v>
      </c>
      <c r="Q6922">
        <v>0.2017148</v>
      </c>
      <c r="R6922">
        <v>-5.8188579999999997E-2</v>
      </c>
      <c r="S6922">
        <v>3.0857700000000001</v>
      </c>
      <c r="T6922">
        <v>0.10666109999999999</v>
      </c>
      <c r="U6922">
        <v>0.66687010000000002</v>
      </c>
      <c r="V6922">
        <v>5.2627880000000002E-2</v>
      </c>
      <c r="W6922">
        <v>0.21253069999999999</v>
      </c>
      <c r="X6922">
        <v>0.9757361</v>
      </c>
      <c r="Y6922">
        <v>-0.21766450000000001</v>
      </c>
      <c r="Z6922">
        <v>-2.7748310000000002E-3</v>
      </c>
      <c r="AA6922">
        <v>0.97601970000000005</v>
      </c>
      <c r="AB6922">
        <v>29</v>
      </c>
      <c r="AC6922">
        <v>95.889799999999994</v>
      </c>
      <c r="AD6922">
        <v>3.3192729999999999</v>
      </c>
      <c r="AE6922">
        <v>20.754839999999898</v>
      </c>
      <c r="AF6922">
        <v>-21.369871381547501</v>
      </c>
      <c r="AG6922">
        <v>3.3192729999999999</v>
      </c>
      <c r="AH6922">
        <v>95.639679803457199</v>
      </c>
      <c r="AI6922">
        <v>88.060087545547006</v>
      </c>
      <c r="AJ6922">
        <v>102.59536124376901</v>
      </c>
      <c r="AK6922">
        <v>98.054257067300398</v>
      </c>
      <c r="AL6922">
        <v>77.729300463115706</v>
      </c>
      <c r="AM6922">
        <v>86.912652452182201</v>
      </c>
      <c r="AN6922">
        <v>0.99999996451949602</v>
      </c>
    </row>
    <row r="6923" spans="1:40" x14ac:dyDescent="0.25">
      <c r="A6923" t="str">
        <f>"20190303170425679"</f>
        <v>20190303170425679</v>
      </c>
      <c r="B6923" t="str">
        <f>"1551603865672260"</f>
        <v>1551603865672260</v>
      </c>
      <c r="C6923" t="s">
        <v>40</v>
      </c>
      <c r="D6923">
        <v>4.667205</v>
      </c>
      <c r="E6923">
        <v>0.39571089999999998</v>
      </c>
      <c r="F6923" t="s">
        <v>45</v>
      </c>
      <c r="G6923">
        <v>-177.589</v>
      </c>
      <c r="H6923">
        <v>4.0120230000000001</v>
      </c>
      <c r="I6923">
        <v>-46.350140000000003</v>
      </c>
      <c r="J6923">
        <v>-253.0994</v>
      </c>
      <c r="K6923">
        <v>1.119713</v>
      </c>
      <c r="L6923">
        <v>-63.255769999999998</v>
      </c>
      <c r="M6923">
        <v>0.99990619999999997</v>
      </c>
      <c r="N6923">
        <v>-1.13008E-2</v>
      </c>
      <c r="O6923">
        <v>-7.7315319999999898E-3</v>
      </c>
      <c r="P6923">
        <v>0.97794320000000001</v>
      </c>
      <c r="Q6923">
        <v>0.20037759999999999</v>
      </c>
      <c r="R6923">
        <v>-5.8957969999999998E-2</v>
      </c>
      <c r="S6923">
        <v>3.0850520000000001</v>
      </c>
      <c r="T6923">
        <v>0.11795020000000001</v>
      </c>
      <c r="U6923">
        <v>0.68933109999999997</v>
      </c>
      <c r="V6923">
        <v>5.2332669999999998E-2</v>
      </c>
      <c r="W6923">
        <v>0.2111914</v>
      </c>
      <c r="X6923">
        <v>0.97604270000000004</v>
      </c>
      <c r="Y6923">
        <v>-0.2254863</v>
      </c>
      <c r="Z6923">
        <v>-3.3447450000000001E-3</v>
      </c>
      <c r="AA6923">
        <v>0.97424060000000001</v>
      </c>
      <c r="AB6923">
        <v>29</v>
      </c>
      <c r="AC6923">
        <v>75.510399999999905</v>
      </c>
      <c r="AD6923">
        <v>2.8923099999999899</v>
      </c>
      <c r="AE6923">
        <v>16.905629999999899</v>
      </c>
      <c r="AF6923">
        <v>-17.464572836465901</v>
      </c>
      <c r="AG6923">
        <v>2.8923099999999899</v>
      </c>
      <c r="AH6923">
        <v>75.272263236866195</v>
      </c>
      <c r="AI6923">
        <v>87.856398909183994</v>
      </c>
      <c r="AJ6923">
        <v>103.06256791275599</v>
      </c>
      <c r="AK6923">
        <v>77.3258713128822</v>
      </c>
      <c r="AL6923">
        <v>77.807818721427907</v>
      </c>
      <c r="AM6923">
        <v>86.930899889897304</v>
      </c>
      <c r="AN6923">
        <v>0.99999993400328702</v>
      </c>
    </row>
    <row r="6924" spans="1:40" x14ac:dyDescent="0.25">
      <c r="A6924" t="str">
        <f>"20190303170425690"</f>
        <v>20190303170425690</v>
      </c>
      <c r="B6924" t="str">
        <f>"1551603865682517"</f>
        <v>1551603865682517</v>
      </c>
      <c r="C6924" t="s">
        <v>40</v>
      </c>
      <c r="D6924">
        <v>4.6678089999999903</v>
      </c>
      <c r="E6924">
        <v>0.39548489999999997</v>
      </c>
      <c r="F6924" t="s">
        <v>45</v>
      </c>
      <c r="G6924">
        <v>-177.50120000000001</v>
      </c>
      <c r="H6924">
        <v>3.909287</v>
      </c>
      <c r="I6924">
        <v>-46.412799999999997</v>
      </c>
      <c r="J6924">
        <v>-252.95</v>
      </c>
      <c r="K6924">
        <v>1.1197520000000001</v>
      </c>
      <c r="L6924">
        <v>-63.258029999999998</v>
      </c>
      <c r="M6924">
        <v>0.99989740000000005</v>
      </c>
      <c r="N6924">
        <v>-1.128782E-2</v>
      </c>
      <c r="O6924">
        <v>-8.8206389999999999E-3</v>
      </c>
      <c r="P6924">
        <v>0.97815390000000002</v>
      </c>
      <c r="Q6924">
        <v>0.19903660000000001</v>
      </c>
      <c r="R6924">
        <v>-5.9995970000000003E-2</v>
      </c>
      <c r="S6924">
        <v>3.085785</v>
      </c>
      <c r="T6924">
        <v>0.11386549999999999</v>
      </c>
      <c r="U6924">
        <v>0.6875</v>
      </c>
      <c r="V6924">
        <v>5.2272260000000001E-2</v>
      </c>
      <c r="W6924">
        <v>0.20984700000000001</v>
      </c>
      <c r="X6924">
        <v>0.97633590000000003</v>
      </c>
      <c r="Y6924">
        <v>-0.22595560000000001</v>
      </c>
      <c r="Z6924">
        <v>-3.24581E-3</v>
      </c>
      <c r="AA6924">
        <v>0.9741322</v>
      </c>
      <c r="AB6924">
        <v>29</v>
      </c>
      <c r="AC6924">
        <v>75.448799999999906</v>
      </c>
      <c r="AD6924">
        <v>2.7895349999999999</v>
      </c>
      <c r="AE6924">
        <v>16.845230000000001</v>
      </c>
      <c r="AF6924">
        <v>-17.487353952457099</v>
      </c>
      <c r="AG6924">
        <v>2.7895349999999999</v>
      </c>
      <c r="AH6924">
        <v>75.199354912666195</v>
      </c>
      <c r="AI6924">
        <v>87.930739837328701</v>
      </c>
      <c r="AJ6924">
        <v>103.09126556311099</v>
      </c>
      <c r="AK6924">
        <v>77.2562750399984</v>
      </c>
      <c r="AL6924">
        <v>77.886613437025801</v>
      </c>
      <c r="AM6924">
        <v>86.935354785115507</v>
      </c>
      <c r="AN6924">
        <v>0.99999997110165795</v>
      </c>
    </row>
    <row r="6925" spans="1:40" x14ac:dyDescent="0.25">
      <c r="A6925" t="str">
        <f>"20190303170425702"</f>
        <v>20190303170425702</v>
      </c>
      <c r="B6925" t="str">
        <f>"1551603865692278"</f>
        <v>1551603865692278</v>
      </c>
      <c r="C6925" t="s">
        <v>40</v>
      </c>
      <c r="D6925">
        <v>4.6590400000000001</v>
      </c>
      <c r="E6925">
        <v>0.39524350000000003</v>
      </c>
      <c r="F6925" t="s">
        <v>55</v>
      </c>
      <c r="G6925">
        <v>-157.3501</v>
      </c>
      <c r="H6925">
        <v>4.5220379999999896</v>
      </c>
      <c r="I6925">
        <v>-42.023670000000003</v>
      </c>
      <c r="J6925">
        <v>-252.80709999999999</v>
      </c>
      <c r="K6925">
        <v>1.1197950000000001</v>
      </c>
      <c r="L6925">
        <v>-63.260309999999997</v>
      </c>
      <c r="M6925">
        <v>0.99988829999999995</v>
      </c>
      <c r="N6925">
        <v>-1.1279900000000001E-2</v>
      </c>
      <c r="O6925">
        <v>-9.8217990000000008E-3</v>
      </c>
      <c r="P6925">
        <v>0.97842200000000001</v>
      </c>
      <c r="Q6925">
        <v>0.19734450000000001</v>
      </c>
      <c r="R6925">
        <v>-6.120486E-2</v>
      </c>
      <c r="S6925">
        <v>3.0867</v>
      </c>
      <c r="T6925">
        <v>0.1098512</v>
      </c>
      <c r="U6925">
        <v>0.68560790000000005</v>
      </c>
      <c r="V6925">
        <v>5.2465919999999999E-2</v>
      </c>
      <c r="W6925">
        <v>0.20815620000000001</v>
      </c>
      <c r="X6925">
        <v>0.97668739999999998</v>
      </c>
      <c r="Y6925">
        <v>-0.2263085</v>
      </c>
      <c r="Z6925">
        <v>-3.1399750000000001E-3</v>
      </c>
      <c r="AA6925">
        <v>0.97405059999999999</v>
      </c>
      <c r="AB6925">
        <v>29</v>
      </c>
      <c r="AC6925">
        <v>95.456999999999994</v>
      </c>
      <c r="AD6925">
        <v>3.4022429999999901</v>
      </c>
      <c r="AE6925">
        <v>21.236639999999898</v>
      </c>
      <c r="AF6925">
        <v>-22.146428079869501</v>
      </c>
      <c r="AG6925">
        <v>3.4022429999999901</v>
      </c>
      <c r="AH6925">
        <v>95.128654467820496</v>
      </c>
      <c r="AI6925">
        <v>88.005013691894803</v>
      </c>
      <c r="AJ6925">
        <v>103.105311645227</v>
      </c>
      <c r="AK6925">
        <v>97.731778020180698</v>
      </c>
      <c r="AL6925">
        <v>77.985677015646999</v>
      </c>
      <c r="AM6925">
        <v>86.925127438246705</v>
      </c>
      <c r="AN6925">
        <v>0.99999997683932296</v>
      </c>
    </row>
    <row r="6926" spans="1:40" x14ac:dyDescent="0.25">
      <c r="A6926" t="str">
        <f>"20190303170425712"</f>
        <v>20190303170425712</v>
      </c>
      <c r="B6926" t="str">
        <f>"1551603865702037"</f>
        <v>1551603865702037</v>
      </c>
      <c r="C6926" t="s">
        <v>40</v>
      </c>
      <c r="D6926">
        <v>4.6522259999999998</v>
      </c>
      <c r="E6926">
        <v>0.39492460000000001</v>
      </c>
      <c r="F6926" t="s">
        <v>55</v>
      </c>
      <c r="G6926">
        <v>-157.3501</v>
      </c>
      <c r="H6926">
        <v>4.3479219999999996</v>
      </c>
      <c r="I6926">
        <v>-42.131790000000002</v>
      </c>
      <c r="J6926">
        <v>-252.6627</v>
      </c>
      <c r="K6926">
        <v>1.119842</v>
      </c>
      <c r="L6926">
        <v>-63.262729999999998</v>
      </c>
      <c r="M6926">
        <v>0.99987820000000005</v>
      </c>
      <c r="N6926">
        <v>-1.1274859999999999E-2</v>
      </c>
      <c r="O6926">
        <v>-1.080685E-2</v>
      </c>
      <c r="P6926">
        <v>0.97854549999999996</v>
      </c>
      <c r="Q6926">
        <v>0.1963261</v>
      </c>
      <c r="R6926">
        <v>-6.2491440000000002E-2</v>
      </c>
      <c r="S6926">
        <v>3.0878749999999999</v>
      </c>
      <c r="T6926">
        <v>0.1044238</v>
      </c>
      <c r="U6926">
        <v>0.68347170000000002</v>
      </c>
      <c r="V6926">
        <v>5.2755759999999999E-2</v>
      </c>
      <c r="W6926">
        <v>0.20714070000000001</v>
      </c>
      <c r="X6926">
        <v>0.97688770000000003</v>
      </c>
      <c r="Y6926">
        <v>-0.22655800000000001</v>
      </c>
      <c r="Z6926">
        <v>-2.9726090000000002E-3</v>
      </c>
      <c r="AA6926">
        <v>0.97399309999999995</v>
      </c>
      <c r="AB6926">
        <v>29</v>
      </c>
      <c r="AC6926">
        <v>95.312600000000003</v>
      </c>
      <c r="AD6926">
        <v>3.2280799999999998</v>
      </c>
      <c r="AE6926">
        <v>21.130939999999999</v>
      </c>
      <c r="AF6926">
        <v>-22.135598738647399</v>
      </c>
      <c r="AG6926">
        <v>3.2280799999999998</v>
      </c>
      <c r="AH6926">
        <v>94.9748216150563</v>
      </c>
      <c r="AI6926">
        <v>88.104108338027501</v>
      </c>
      <c r="AJ6926">
        <v>103.11960794778101</v>
      </c>
      <c r="AK6926">
        <v>97.573674589084604</v>
      </c>
      <c r="AL6926">
        <v>78.045157737606502</v>
      </c>
      <c r="AM6926">
        <v>86.908806354166302</v>
      </c>
      <c r="AN6926">
        <v>1.0000000091104699</v>
      </c>
    </row>
    <row r="6927" spans="1:40" x14ac:dyDescent="0.25">
      <c r="A6927" t="str">
        <f>"20190303170425724"</f>
        <v>20190303170425724</v>
      </c>
      <c r="B6927" t="str">
        <f>"1551603865712774"</f>
        <v>1551603865712774</v>
      </c>
      <c r="C6927" t="s">
        <v>40</v>
      </c>
      <c r="D6927">
        <v>4.6741599999999996</v>
      </c>
      <c r="E6927">
        <v>0.39492460000000001</v>
      </c>
      <c r="F6927" t="s">
        <v>55</v>
      </c>
      <c r="G6927">
        <v>-157.3501</v>
      </c>
      <c r="H6927">
        <v>4.2812070000000002</v>
      </c>
      <c r="I6927">
        <v>-42.226840000000003</v>
      </c>
      <c r="J6927">
        <v>-252.51400000000001</v>
      </c>
      <c r="K6927">
        <v>1.1198969999999999</v>
      </c>
      <c r="L6927">
        <v>-63.265320000000003</v>
      </c>
      <c r="M6927">
        <v>0.99986730000000001</v>
      </c>
      <c r="N6927">
        <v>-1.1272020000000001E-2</v>
      </c>
      <c r="O6927">
        <v>-1.1762140000000001E-2</v>
      </c>
      <c r="P6927">
        <v>0.9785182</v>
      </c>
      <c r="Q6927">
        <v>0.1960595</v>
      </c>
      <c r="R6927">
        <v>-6.3741889999999995E-2</v>
      </c>
      <c r="S6927">
        <v>3.0887600000000002</v>
      </c>
      <c r="T6927">
        <v>0.102448499999999</v>
      </c>
      <c r="U6927">
        <v>0.68170169999999997</v>
      </c>
      <c r="V6927">
        <v>5.3041060000000001E-2</v>
      </c>
      <c r="W6927">
        <v>0.20687810000000001</v>
      </c>
      <c r="X6927">
        <v>0.97692789999999996</v>
      </c>
      <c r="Y6927">
        <v>-0.22690060000000001</v>
      </c>
      <c r="Z6927">
        <v>-2.9393620000000001E-3</v>
      </c>
      <c r="AA6927">
        <v>0.97391349999999999</v>
      </c>
      <c r="AB6927">
        <v>29</v>
      </c>
      <c r="AC6927">
        <v>95.163899999999998</v>
      </c>
      <c r="AD6927">
        <v>3.1613099999999998</v>
      </c>
      <c r="AE6927">
        <v>21.03848</v>
      </c>
      <c r="AF6927">
        <v>-22.1331399051647</v>
      </c>
      <c r="AG6927">
        <v>3.1613099999999998</v>
      </c>
      <c r="AH6927">
        <v>94.810091025050795</v>
      </c>
      <c r="AI6927">
        <v>88.140227564952099</v>
      </c>
      <c r="AJ6927">
        <v>103.14020342357099</v>
      </c>
      <c r="AK6927">
        <v>97.4105904055412</v>
      </c>
      <c r="AL6927">
        <v>78.060536770013101</v>
      </c>
      <c r="AM6927">
        <v>86.892249683597598</v>
      </c>
      <c r="AN6927">
        <v>1.0000000120519701</v>
      </c>
    </row>
    <row r="6928" spans="1:40" x14ac:dyDescent="0.25">
      <c r="A6928" t="str">
        <f>"20190303170425735"</f>
        <v>20190303170425735</v>
      </c>
      <c r="B6928" t="str">
        <f>"1551603865722533"</f>
        <v>1551603865722533</v>
      </c>
      <c r="C6928" t="s">
        <v>40</v>
      </c>
      <c r="D6928">
        <v>4.6587449999999997</v>
      </c>
      <c r="E6928">
        <v>0.39274819999999999</v>
      </c>
      <c r="F6928" t="s">
        <v>55</v>
      </c>
      <c r="G6928">
        <v>-157.3501</v>
      </c>
      <c r="H6928">
        <v>4.2479529999999999</v>
      </c>
      <c r="I6928">
        <v>-42.389519999999997</v>
      </c>
      <c r="J6928">
        <v>-252.36279999999999</v>
      </c>
      <c r="K6928">
        <v>1.119956</v>
      </c>
      <c r="L6928">
        <v>-63.268070000000002</v>
      </c>
      <c r="M6928">
        <v>0.99985570000000001</v>
      </c>
      <c r="N6928">
        <v>-1.126986E-2</v>
      </c>
      <c r="O6928">
        <v>-1.271503E-2</v>
      </c>
      <c r="P6928">
        <v>0.97837890000000005</v>
      </c>
      <c r="Q6928">
        <v>0.1964303</v>
      </c>
      <c r="R6928">
        <v>-6.4731819999999995E-2</v>
      </c>
      <c r="S6928">
        <v>3.089645</v>
      </c>
      <c r="T6928">
        <v>0.10155649999999999</v>
      </c>
      <c r="U6928">
        <v>0.6777649</v>
      </c>
      <c r="V6928">
        <v>5.3070720000000002E-2</v>
      </c>
      <c r="W6928">
        <v>0.2072532</v>
      </c>
      <c r="X6928">
        <v>0.97684680000000002</v>
      </c>
      <c r="Y6928">
        <v>-0.22658739999999999</v>
      </c>
      <c r="Z6928">
        <v>-2.941768E-3</v>
      </c>
      <c r="AA6928">
        <v>0.97398640000000003</v>
      </c>
      <c r="AB6928">
        <v>29</v>
      </c>
      <c r="AC6928">
        <v>95.012699999999995</v>
      </c>
      <c r="AD6928">
        <v>3.1279970000000001</v>
      </c>
      <c r="AE6928">
        <v>20.878549999999901</v>
      </c>
      <c r="AF6928">
        <v>-22.062217308967401</v>
      </c>
      <c r="AG6928">
        <v>3.1279970000000001</v>
      </c>
      <c r="AH6928">
        <v>94.641677687158193</v>
      </c>
      <c r="AI6928">
        <v>88.156403334774794</v>
      </c>
      <c r="AJ6928">
        <v>103.122056212188</v>
      </c>
      <c r="AK6928">
        <v>97.229486027953698</v>
      </c>
      <c r="AL6928">
        <v>78.038569240560804</v>
      </c>
      <c r="AM6928">
        <v>86.890257622110497</v>
      </c>
      <c r="AN6928">
        <v>1.00000003045089</v>
      </c>
    </row>
    <row r="6929" spans="1:40" x14ac:dyDescent="0.25">
      <c r="A6929" t="str">
        <f>"20190303170425746"</f>
        <v>20190303170425746</v>
      </c>
      <c r="B6929" t="str">
        <f>"1551603865732294"</f>
        <v>1551603865732294</v>
      </c>
      <c r="C6929" t="s">
        <v>40</v>
      </c>
      <c r="D6929">
        <v>4.6620119999999998</v>
      </c>
      <c r="E6929">
        <v>0.39259189999999999</v>
      </c>
      <c r="F6929" t="s">
        <v>55</v>
      </c>
      <c r="G6929">
        <v>-157.3501</v>
      </c>
      <c r="H6929">
        <v>4.9136699999999998</v>
      </c>
      <c r="I6929">
        <v>-42.011040000000001</v>
      </c>
      <c r="J6929">
        <v>-252.21279999999999</v>
      </c>
      <c r="K6929">
        <v>1.1200209999999999</v>
      </c>
      <c r="L6929">
        <v>-63.270899999999997</v>
      </c>
      <c r="M6929">
        <v>0.99984419999999996</v>
      </c>
      <c r="N6929">
        <v>-1.126747E-2</v>
      </c>
      <c r="O6929">
        <v>-1.358588E-2</v>
      </c>
      <c r="P6929">
        <v>0.97818179999999999</v>
      </c>
      <c r="Q6929">
        <v>0.19717489999999999</v>
      </c>
      <c r="R6929">
        <v>-6.5442570000000005E-2</v>
      </c>
      <c r="S6929">
        <v>3.08725</v>
      </c>
      <c r="T6929">
        <v>0.1232685</v>
      </c>
      <c r="U6929">
        <v>0.69070430000000005</v>
      </c>
      <c r="V6929">
        <v>5.2902890000000001E-2</v>
      </c>
      <c r="W6929">
        <v>0.20800179999999999</v>
      </c>
      <c r="X6929">
        <v>0.97669669999999997</v>
      </c>
      <c r="Y6929">
        <v>-0.23142799999999999</v>
      </c>
      <c r="Z6929">
        <v>-3.9288839999999997E-3</v>
      </c>
      <c r="AA6929">
        <v>0.97284409999999999</v>
      </c>
      <c r="AB6929">
        <v>29</v>
      </c>
      <c r="AC6929">
        <v>94.862700000000004</v>
      </c>
      <c r="AD6929">
        <v>3.7936489999999998</v>
      </c>
      <c r="AE6929">
        <v>21.25986</v>
      </c>
      <c r="AF6929">
        <v>-22.5124908988745</v>
      </c>
      <c r="AG6929">
        <v>3.7936489999999998</v>
      </c>
      <c r="AH6929">
        <v>94.421307554733502</v>
      </c>
      <c r="AI6929">
        <v>87.761883190132494</v>
      </c>
      <c r="AJ6929">
        <v>103.410428811082</v>
      </c>
      <c r="AK6929">
        <v>97.142098698518396</v>
      </c>
      <c r="AL6929">
        <v>77.994721172510694</v>
      </c>
      <c r="AM6929">
        <v>86.899597139999202</v>
      </c>
      <c r="AN6929">
        <v>0.99999995418223997</v>
      </c>
    </row>
    <row r="6930" spans="1:40" x14ac:dyDescent="0.25">
      <c r="A6930" t="str">
        <f>"20190303170425757"</f>
        <v>20190303170425757</v>
      </c>
      <c r="B6930" t="str">
        <f>"1551603865752789"</f>
        <v>1551603865752789</v>
      </c>
      <c r="C6930" t="s">
        <v>40</v>
      </c>
      <c r="D6930">
        <v>4.6689629999999998</v>
      </c>
      <c r="E6930">
        <v>0.39463429999999999</v>
      </c>
      <c r="F6930" t="s">
        <v>55</v>
      </c>
      <c r="G6930">
        <v>-157.3501</v>
      </c>
      <c r="H6930">
        <v>4.9761749999999996</v>
      </c>
      <c r="I6930">
        <v>-42.081829999999997</v>
      </c>
      <c r="J6930">
        <v>-252.06399999999999</v>
      </c>
      <c r="K6930">
        <v>1.1200870000000001</v>
      </c>
      <c r="L6930">
        <v>-63.273800000000001</v>
      </c>
      <c r="M6930">
        <v>0.99983250000000001</v>
      </c>
      <c r="N6930">
        <v>-1.126535E-2</v>
      </c>
      <c r="O6930">
        <v>-1.4431370000000001E-2</v>
      </c>
      <c r="P6930">
        <v>0.97798680000000004</v>
      </c>
      <c r="Q6930">
        <v>0.1979698</v>
      </c>
      <c r="R6930">
        <v>-6.5956580000000001E-2</v>
      </c>
      <c r="S6930">
        <v>3.0877530000000002</v>
      </c>
      <c r="T6930">
        <v>0.12551590000000001</v>
      </c>
      <c r="U6930">
        <v>0.68969729999999996</v>
      </c>
      <c r="V6930">
        <v>5.2564069999999997E-2</v>
      </c>
      <c r="W6930">
        <v>0.20880209999999999</v>
      </c>
      <c r="X6930">
        <v>0.97654430000000003</v>
      </c>
      <c r="Y6930">
        <v>-0.23190720000000001</v>
      </c>
      <c r="Z6930">
        <v>-4.0716140000000003E-3</v>
      </c>
      <c r="AA6930">
        <v>0.97272939999999997</v>
      </c>
      <c r="AB6930">
        <v>29</v>
      </c>
      <c r="AC6930">
        <v>94.713899999999995</v>
      </c>
      <c r="AD6930">
        <v>3.8560880000000002</v>
      </c>
      <c r="AE6930">
        <v>21.191970000000001</v>
      </c>
      <c r="AF6930">
        <v>-22.521150602959199</v>
      </c>
      <c r="AG6930">
        <v>3.8560880000000002</v>
      </c>
      <c r="AH6930">
        <v>94.249411983044894</v>
      </c>
      <c r="AI6930">
        <v>87.721210894507706</v>
      </c>
      <c r="AJ6930">
        <v>103.438981540849</v>
      </c>
      <c r="AK6930">
        <v>96.979499371231199</v>
      </c>
      <c r="AL6930">
        <v>77.947838932234902</v>
      </c>
      <c r="AM6930">
        <v>86.918935671482203</v>
      </c>
      <c r="AN6930">
        <v>1.0000000341409301</v>
      </c>
    </row>
    <row r="6931" spans="1:40" x14ac:dyDescent="0.25">
      <c r="A6931" t="str">
        <f>"20190303170425768"</f>
        <v>20190303170425768</v>
      </c>
      <c r="B6931" t="str">
        <f>"1551603865762550"</f>
        <v>1551603865762550</v>
      </c>
      <c r="C6931" t="s">
        <v>40</v>
      </c>
      <c r="D6931">
        <v>4.6746650000000001</v>
      </c>
      <c r="E6931">
        <v>0.39449849999999997</v>
      </c>
      <c r="F6931" t="s">
        <v>55</v>
      </c>
      <c r="G6931">
        <v>-157.3501</v>
      </c>
      <c r="H6931">
        <v>4.2182120000000003</v>
      </c>
      <c r="I6931">
        <v>-42.643839999999997</v>
      </c>
      <c r="J6931">
        <v>-251.9196</v>
      </c>
      <c r="K6931">
        <v>1.120147</v>
      </c>
      <c r="L6931">
        <v>-63.276699999999998</v>
      </c>
      <c r="M6931">
        <v>0.99982110000000002</v>
      </c>
      <c r="N6931">
        <v>-1.126372E-2</v>
      </c>
      <c r="O6931">
        <v>-1.5203619999999999E-2</v>
      </c>
      <c r="P6931">
        <v>0.97784159999999998</v>
      </c>
      <c r="Q6931">
        <v>0.1986694</v>
      </c>
      <c r="R6931">
        <v>-6.6002939999999996E-2</v>
      </c>
      <c r="S6931">
        <v>3.0924839999999998</v>
      </c>
      <c r="T6931">
        <v>0.1011555</v>
      </c>
      <c r="U6931">
        <v>0.67358399999999996</v>
      </c>
      <c r="V6931">
        <v>5.1830000000000001E-2</v>
      </c>
      <c r="W6931">
        <v>0.20950849999999999</v>
      </c>
      <c r="X6931">
        <v>0.97643219999999997</v>
      </c>
      <c r="Y6931">
        <v>-0.22756589999999999</v>
      </c>
      <c r="Z6931">
        <v>-3.0418139999999999E-3</v>
      </c>
      <c r="AA6931">
        <v>0.97375789999999995</v>
      </c>
      <c r="AB6931">
        <v>29</v>
      </c>
      <c r="AC6931">
        <v>94.569500000000005</v>
      </c>
      <c r="AD6931">
        <v>3.0980650000000001</v>
      </c>
      <c r="AE6931">
        <v>20.632859999999901</v>
      </c>
      <c r="AF6931">
        <v>-22.045780300262798</v>
      </c>
      <c r="AG6931">
        <v>3.0980650000000001</v>
      </c>
      <c r="AH6931">
        <v>94.148405492373001</v>
      </c>
      <c r="AI6931">
        <v>88.164897880815602</v>
      </c>
      <c r="AJ6931">
        <v>103.17892704720801</v>
      </c>
      <c r="AK6931">
        <v>96.744698524249799</v>
      </c>
      <c r="AL6931">
        <v>77.906449357666503</v>
      </c>
      <c r="AM6931">
        <v>86.961534166151793</v>
      </c>
      <c r="AN6931">
        <v>1.00000000083454</v>
      </c>
    </row>
    <row r="6932" spans="1:40" x14ac:dyDescent="0.25">
      <c r="A6932" t="str">
        <f>"20190303170425780"</f>
        <v>20190303170425780</v>
      </c>
      <c r="B6932" t="str">
        <f>"1551603865772309"</f>
        <v>1551603865772309</v>
      </c>
      <c r="C6932" t="s">
        <v>40</v>
      </c>
      <c r="D6932">
        <v>4.6699739999999998</v>
      </c>
      <c r="E6932">
        <v>0.39411800000000002</v>
      </c>
      <c r="F6932" t="s">
        <v>55</v>
      </c>
      <c r="G6932">
        <v>-157.3501</v>
      </c>
      <c r="H6932">
        <v>4.3469480000000003</v>
      </c>
      <c r="I6932">
        <v>-42.63552</v>
      </c>
      <c r="J6932">
        <v>-251.77969999999999</v>
      </c>
      <c r="K6932">
        <v>1.1202019999999999</v>
      </c>
      <c r="L6932">
        <v>-63.2795699999999</v>
      </c>
      <c r="M6932">
        <v>0.99980990000000003</v>
      </c>
      <c r="N6932">
        <v>-1.1262609999999999E-2</v>
      </c>
      <c r="O6932">
        <v>-1.5924580000000001E-2</v>
      </c>
      <c r="P6932">
        <v>0.97791099999999997</v>
      </c>
      <c r="Q6932">
        <v>0.19840050000000001</v>
      </c>
      <c r="R6932">
        <v>-6.5784609999999993E-2</v>
      </c>
      <c r="S6932">
        <v>3.0921020000000001</v>
      </c>
      <c r="T6932">
        <v>0.1055048</v>
      </c>
      <c r="U6932">
        <v>0.67489619999999995</v>
      </c>
      <c r="V6932">
        <v>5.0876749999999998E-2</v>
      </c>
      <c r="W6932">
        <v>0.2092493</v>
      </c>
      <c r="X6932">
        <v>0.97653789999999996</v>
      </c>
      <c r="Y6932">
        <v>-0.22867699999999999</v>
      </c>
      <c r="Z6932">
        <v>-3.266063E-3</v>
      </c>
      <c r="AA6932">
        <v>0.9734969</v>
      </c>
      <c r="AB6932">
        <v>29</v>
      </c>
      <c r="AC6932">
        <v>94.429599999999994</v>
      </c>
      <c r="AD6932">
        <v>3.2267459999999999</v>
      </c>
      <c r="AE6932">
        <v>20.64405</v>
      </c>
      <c r="AF6932">
        <v>-22.120627797412102</v>
      </c>
      <c r="AG6932">
        <v>3.2267459999999999</v>
      </c>
      <c r="AH6932">
        <v>93.984120786406606</v>
      </c>
      <c r="AI6932">
        <v>88.085905372405506</v>
      </c>
      <c r="AJ6932">
        <v>103.24439995463599</v>
      </c>
      <c r="AK6932">
        <v>96.606154171947196</v>
      </c>
      <c r="AL6932">
        <v>77.921636953464699</v>
      </c>
      <c r="AM6932">
        <v>87.017637609935804</v>
      </c>
      <c r="AN6932">
        <v>0.99999999168873099</v>
      </c>
    </row>
    <row r="6933" spans="1:40" x14ac:dyDescent="0.25">
      <c r="A6933" t="str">
        <f>"20190303170425790"</f>
        <v>20190303170425790</v>
      </c>
      <c r="B6933" t="str">
        <f>"1551603865782069"</f>
        <v>1551603865782069</v>
      </c>
      <c r="C6933" t="s">
        <v>40</v>
      </c>
      <c r="D6933">
        <v>4.6501250000000001</v>
      </c>
      <c r="E6933">
        <v>0.39389459999999998</v>
      </c>
      <c r="F6933" t="s">
        <v>55</v>
      </c>
      <c r="G6933">
        <v>-157.3501</v>
      </c>
      <c r="H6933">
        <v>4.401751</v>
      </c>
      <c r="I6933">
        <v>-42.555770000000003</v>
      </c>
      <c r="J6933">
        <v>-251.6336</v>
      </c>
      <c r="K6933">
        <v>1.1202559999999999</v>
      </c>
      <c r="L6933">
        <v>-63.282649999999997</v>
      </c>
      <c r="M6933">
        <v>0.99979810000000002</v>
      </c>
      <c r="N6933">
        <v>-1.1262019999999999E-2</v>
      </c>
      <c r="O6933">
        <v>-1.6643270000000002E-2</v>
      </c>
      <c r="P6933">
        <v>0.97793410000000003</v>
      </c>
      <c r="Q6933">
        <v>0.19818559999999999</v>
      </c>
      <c r="R6933">
        <v>-6.6089300000000004E-2</v>
      </c>
      <c r="S6933">
        <v>3.0916290000000002</v>
      </c>
      <c r="T6933">
        <v>0.1074373</v>
      </c>
      <c r="U6933">
        <v>0.67849729999999997</v>
      </c>
      <c r="V6933">
        <v>5.0449050000000002E-2</v>
      </c>
      <c r="W6933">
        <v>0.2090427</v>
      </c>
      <c r="X6933">
        <v>0.97660429999999998</v>
      </c>
      <c r="Y6933">
        <v>-0.23048370000000001</v>
      </c>
      <c r="Z6933">
        <v>-3.399848E-3</v>
      </c>
      <c r="AA6933">
        <v>0.97307030000000005</v>
      </c>
      <c r="AB6933">
        <v>29</v>
      </c>
      <c r="AC6933">
        <v>94.283500000000004</v>
      </c>
      <c r="AD6933">
        <v>3.2814949999999898</v>
      </c>
      <c r="AE6933">
        <v>20.726879999999898</v>
      </c>
      <c r="AF6933">
        <v>-22.267563522352599</v>
      </c>
      <c r="AG6933">
        <v>3.2814949999999898</v>
      </c>
      <c r="AH6933">
        <v>93.8170474577947</v>
      </c>
      <c r="AI6933">
        <v>88.050855182430595</v>
      </c>
      <c r="AJ6933">
        <v>103.352133172279</v>
      </c>
      <c r="AK6933">
        <v>96.479277507427199</v>
      </c>
      <c r="AL6933">
        <v>77.933741557504106</v>
      </c>
      <c r="AM6933">
        <v>87.042865129869298</v>
      </c>
      <c r="AN6933">
        <v>0.99999995792384</v>
      </c>
    </row>
    <row r="6934" spans="1:40" x14ac:dyDescent="0.25">
      <c r="A6934" t="str">
        <f>"20190303170425802"</f>
        <v>20190303170425802</v>
      </c>
      <c r="B6934" t="str">
        <f>"1551603865792806"</f>
        <v>1551603865792806</v>
      </c>
      <c r="C6934" t="s">
        <v>40</v>
      </c>
      <c r="D6934">
        <v>4.6990339999999904</v>
      </c>
      <c r="E6934">
        <v>0.39390540000000002</v>
      </c>
      <c r="F6934" t="s">
        <v>55</v>
      </c>
      <c r="G6934">
        <v>-157.3501</v>
      </c>
      <c r="H6934">
        <v>4.430447</v>
      </c>
      <c r="I6934">
        <v>-42.573140000000002</v>
      </c>
      <c r="J6934">
        <v>-251.48220000000001</v>
      </c>
      <c r="K6934">
        <v>1.120309</v>
      </c>
      <c r="L6934">
        <v>-63.285919999999997</v>
      </c>
      <c r="M6934">
        <v>0.99978599999999995</v>
      </c>
      <c r="N6934">
        <v>-1.1263820000000001E-2</v>
      </c>
      <c r="O6934">
        <v>-1.7350689999999998E-2</v>
      </c>
      <c r="P6934">
        <v>0.97801919999999998</v>
      </c>
      <c r="Q6934">
        <v>0.1976765</v>
      </c>
      <c r="R6934">
        <v>-6.6351740000000006E-2</v>
      </c>
      <c r="S6934">
        <v>3.0916139999999999</v>
      </c>
      <c r="T6934">
        <v>0.1085424</v>
      </c>
      <c r="U6934">
        <v>0.67907709999999999</v>
      </c>
      <c r="V6934">
        <v>4.9989400000000003E-2</v>
      </c>
      <c r="W6934">
        <v>0.20854420000000001</v>
      </c>
      <c r="X6934">
        <v>0.97673460000000001</v>
      </c>
      <c r="Y6934">
        <v>-0.23134360000000001</v>
      </c>
      <c r="Z6934">
        <v>-3.4885480000000002E-3</v>
      </c>
      <c r="AA6934">
        <v>0.9728658</v>
      </c>
      <c r="AB6934">
        <v>29</v>
      </c>
      <c r="AC6934">
        <v>94.132099999999994</v>
      </c>
      <c r="AD6934">
        <v>3.3101379999999998</v>
      </c>
      <c r="AE6934">
        <v>20.712779999999899</v>
      </c>
      <c r="AF6934">
        <v>-22.316700535932998</v>
      </c>
      <c r="AG6934">
        <v>3.3101379999999998</v>
      </c>
      <c r="AH6934">
        <v>93.648070267905098</v>
      </c>
      <c r="AI6934">
        <v>88.030732336142407</v>
      </c>
      <c r="AJ6934">
        <v>103.40381137628501</v>
      </c>
      <c r="AK6934">
        <v>96.327323233296795</v>
      </c>
      <c r="AL6934">
        <v>77.962948343619303</v>
      </c>
      <c r="AM6934">
        <v>87.070151148618606</v>
      </c>
      <c r="AN6934">
        <v>1.0000000511515701</v>
      </c>
    </row>
    <row r="6935" spans="1:40" x14ac:dyDescent="0.25">
      <c r="A6935" t="str">
        <f>"20190303170425814"</f>
        <v>20190303170425814</v>
      </c>
      <c r="B6935" t="str">
        <f>"1551603865802566"</f>
        <v>1551603865802566</v>
      </c>
      <c r="C6935" t="s">
        <v>40</v>
      </c>
      <c r="D6935">
        <v>4.9665489999999997</v>
      </c>
      <c r="E6935">
        <v>0.39390540000000002</v>
      </c>
      <c r="F6935" t="s">
        <v>55</v>
      </c>
      <c r="G6935">
        <v>-157.3501</v>
      </c>
      <c r="H6935">
        <v>4.439584</v>
      </c>
      <c r="I6935">
        <v>-42.652619999999999</v>
      </c>
      <c r="J6935">
        <v>-251.32689999999999</v>
      </c>
      <c r="K6935">
        <v>1.12036</v>
      </c>
      <c r="L6935">
        <v>-63.289369999999998</v>
      </c>
      <c r="M6935">
        <v>0.99977360000000004</v>
      </c>
      <c r="N6935">
        <v>-1.1267070000000001E-2</v>
      </c>
      <c r="O6935">
        <v>-1.8055760000000001E-2</v>
      </c>
      <c r="P6935">
        <v>0.97810739999999996</v>
      </c>
      <c r="Q6935">
        <v>0.1971745</v>
      </c>
      <c r="R6935">
        <v>-6.6545709999999994E-2</v>
      </c>
      <c r="S6935">
        <v>3.09137</v>
      </c>
      <c r="T6935">
        <v>0.1090068</v>
      </c>
      <c r="U6935">
        <v>0.67761229999999995</v>
      </c>
      <c r="V6935">
        <v>4.9463849999999997E-2</v>
      </c>
      <c r="W6935">
        <v>0.2080545</v>
      </c>
      <c r="X6935">
        <v>0.97686569999999995</v>
      </c>
      <c r="Y6935">
        <v>-0.231604</v>
      </c>
      <c r="Z6935">
        <v>-3.544083E-3</v>
      </c>
      <c r="AA6935">
        <v>0.97280370000000005</v>
      </c>
      <c r="AB6935">
        <v>29</v>
      </c>
      <c r="AC6935">
        <v>93.976799999999997</v>
      </c>
      <c r="AD6935">
        <v>3.31922399999999</v>
      </c>
      <c r="AE6935">
        <v>20.636749999999999</v>
      </c>
      <c r="AF6935">
        <v>-22.303772053604</v>
      </c>
      <c r="AG6935">
        <v>3.31922399999999</v>
      </c>
      <c r="AH6935">
        <v>93.477595803426496</v>
      </c>
      <c r="AI6935">
        <v>88.021864970422897</v>
      </c>
      <c r="AJ6935">
        <v>103.419874086532</v>
      </c>
      <c r="AK6935">
        <v>96.158912290905704</v>
      </c>
      <c r="AL6935">
        <v>77.991634362150094</v>
      </c>
      <c r="AM6935">
        <v>87.101288903747601</v>
      </c>
      <c r="AN6935">
        <v>0.99999997163178</v>
      </c>
    </row>
    <row r="6936" spans="1:40" x14ac:dyDescent="0.25">
      <c r="A6936" t="str">
        <f>"20190303170425825"</f>
        <v>20190303170425825</v>
      </c>
      <c r="B6936" t="str">
        <f>"1551603865812326"</f>
        <v>1551603865812326</v>
      </c>
      <c r="C6936" t="s">
        <v>40</v>
      </c>
      <c r="D6936">
        <v>4.8135870000000001</v>
      </c>
      <c r="E6936">
        <v>0.43167860000000002</v>
      </c>
      <c r="F6936" t="s">
        <v>55</v>
      </c>
      <c r="G6936">
        <v>-157.3501</v>
      </c>
      <c r="H6936">
        <v>4.3715640000000002</v>
      </c>
      <c r="I6936">
        <v>-42.719670000000001</v>
      </c>
      <c r="J6936">
        <v>-251.1763</v>
      </c>
      <c r="K6936">
        <v>1.120404</v>
      </c>
      <c r="L6936">
        <v>-63.292789999999997</v>
      </c>
      <c r="M6936">
        <v>0.99976169999999998</v>
      </c>
      <c r="N6936">
        <v>-1.127119E-2</v>
      </c>
      <c r="O6936">
        <v>-1.8695900000000001E-2</v>
      </c>
      <c r="P6936">
        <v>0.97811060000000005</v>
      </c>
      <c r="Q6936">
        <v>0.1969862</v>
      </c>
      <c r="R6936">
        <v>-6.7051639999999996E-2</v>
      </c>
      <c r="S6936">
        <v>3.0916290000000002</v>
      </c>
      <c r="T6936">
        <v>0.1069566</v>
      </c>
      <c r="U6936">
        <v>0.67669679999999999</v>
      </c>
      <c r="V6936">
        <v>4.9320559999999999E-2</v>
      </c>
      <c r="W6936">
        <v>0.20787630000000001</v>
      </c>
      <c r="X6936">
        <v>0.97691090000000003</v>
      </c>
      <c r="Y6936">
        <v>-0.2319389</v>
      </c>
      <c r="Z6936">
        <v>-3.4886819999999999E-3</v>
      </c>
      <c r="AA6936">
        <v>0.97272409999999998</v>
      </c>
      <c r="AB6936">
        <v>29</v>
      </c>
      <c r="AC6936">
        <v>93.8262</v>
      </c>
      <c r="AD6936">
        <v>3.25116</v>
      </c>
      <c r="AE6936">
        <v>20.573119999999999</v>
      </c>
      <c r="AF6936">
        <v>-22.2982553841955</v>
      </c>
      <c r="AG6936">
        <v>3.25116</v>
      </c>
      <c r="AH6936">
        <v>93.318235457725706</v>
      </c>
      <c r="AI6936">
        <v>88.059243633867496</v>
      </c>
      <c r="AJ6936">
        <v>103.43875613506501</v>
      </c>
      <c r="AK6936">
        <v>96.000392204760999</v>
      </c>
      <c r="AL6936">
        <v>78.002072917473896</v>
      </c>
      <c r="AM6936">
        <v>87.109805317354002</v>
      </c>
      <c r="AN6936">
        <v>0.99999999013960605</v>
      </c>
    </row>
    <row r="6937" spans="1:40" x14ac:dyDescent="0.25">
      <c r="A6937" t="str">
        <f>"20190303170425836"</f>
        <v>20190303170425836</v>
      </c>
      <c r="B6937" t="str">
        <f>"1551603865822085"</f>
        <v>1551603865822085</v>
      </c>
      <c r="C6937" t="s">
        <v>40</v>
      </c>
      <c r="D6937">
        <v>4.7855619999999996</v>
      </c>
      <c r="E6937">
        <v>0.44305149999999999</v>
      </c>
      <c r="F6937" t="s">
        <v>55</v>
      </c>
      <c r="G6937">
        <v>-157.9383</v>
      </c>
      <c r="H6937">
        <v>1.1701539999999999</v>
      </c>
      <c r="I6937">
        <v>-51.842480000000002</v>
      </c>
      <c r="J6937">
        <v>-251.03290000000001</v>
      </c>
      <c r="K6937">
        <v>1.1204369999999999</v>
      </c>
      <c r="L6937">
        <v>-63.296080000000003</v>
      </c>
      <c r="M6937">
        <v>0.99975029999999998</v>
      </c>
      <c r="N6937">
        <v>-1.1275200000000001E-2</v>
      </c>
      <c r="O6937">
        <v>-1.9298320000000001E-2</v>
      </c>
      <c r="P6937">
        <v>0.97809559999999995</v>
      </c>
      <c r="Q6937">
        <v>0.1970481</v>
      </c>
      <c r="R6937">
        <v>-6.7090650000000002E-2</v>
      </c>
      <c r="S6937">
        <v>3.0928339999999999</v>
      </c>
      <c r="T6937">
        <v>1.6496179999999901E-3</v>
      </c>
      <c r="U6937">
        <v>0.37982179999999999</v>
      </c>
      <c r="V6937">
        <v>4.8749849999999997E-2</v>
      </c>
      <c r="W6937">
        <v>0.20794860000000001</v>
      </c>
      <c r="X6937">
        <v>0.97692420000000002</v>
      </c>
      <c r="Y6937">
        <v>-0.14102329999999999</v>
      </c>
      <c r="Z6937">
        <v>5.3357719999999999E-4</v>
      </c>
      <c r="AA6937">
        <v>0.9900061</v>
      </c>
      <c r="AB6937">
        <v>29</v>
      </c>
      <c r="AC6937">
        <v>93.0946</v>
      </c>
      <c r="AD6937">
        <v>4.9716999999999997E-2</v>
      </c>
      <c r="AE6937">
        <v>11.4536</v>
      </c>
      <c r="AF6937">
        <v>-13.2481463995917</v>
      </c>
      <c r="AG6937">
        <v>4.9716999999999997E-2</v>
      </c>
      <c r="AH6937">
        <v>92.856185445757404</v>
      </c>
      <c r="AI6937">
        <v>89.969630275994305</v>
      </c>
      <c r="AJ6937">
        <v>98.119808362077194</v>
      </c>
      <c r="AK6937">
        <v>93.796519286922305</v>
      </c>
      <c r="AL6937">
        <v>77.997838375865001</v>
      </c>
      <c r="AM6937">
        <v>87.143232140898107</v>
      </c>
      <c r="AN6937">
        <v>1.0000000303313099</v>
      </c>
    </row>
    <row r="6938" spans="1:40" x14ac:dyDescent="0.25">
      <c r="A6938" t="str">
        <f>"20190303170425849"</f>
        <v>20190303170425849</v>
      </c>
      <c r="B6938" t="str">
        <f>"1551603865842582"</f>
        <v>1551603865842582</v>
      </c>
      <c r="C6938" t="s">
        <v>40</v>
      </c>
      <c r="D6938">
        <v>4.8272449999999996</v>
      </c>
      <c r="E6938">
        <v>0.46006570000000002</v>
      </c>
      <c r="F6938" t="s">
        <v>55</v>
      </c>
      <c r="G6938">
        <v>-157.9383</v>
      </c>
      <c r="H6938">
        <v>0.73890679999999997</v>
      </c>
      <c r="I6938">
        <v>-54.578699999999998</v>
      </c>
      <c r="J6938">
        <v>-250.86580000000001</v>
      </c>
      <c r="K6938">
        <v>1.120479</v>
      </c>
      <c r="L6938">
        <v>-63.300080000000001</v>
      </c>
      <c r="M6938">
        <v>0.99973710000000005</v>
      </c>
      <c r="N6938">
        <v>-1.127971E-2</v>
      </c>
      <c r="O6938">
        <v>-1.9968349999999999E-2</v>
      </c>
      <c r="P6938">
        <v>0.97808090000000003</v>
      </c>
      <c r="Q6938">
        <v>0.19725690000000001</v>
      </c>
      <c r="R6938">
        <v>-6.6691669999999995E-2</v>
      </c>
      <c r="S6938">
        <v>3.089569</v>
      </c>
      <c r="T6938">
        <v>-1.2662649999999999E-2</v>
      </c>
      <c r="U6938">
        <v>0.28930660000000002</v>
      </c>
      <c r="V6938">
        <v>4.767627E-2</v>
      </c>
      <c r="W6938">
        <v>0.2081692</v>
      </c>
      <c r="X6938">
        <v>0.97693010000000002</v>
      </c>
      <c r="Y6938">
        <v>-0.113091899999999</v>
      </c>
      <c r="Z6938">
        <v>7.2745579999999995E-4</v>
      </c>
      <c r="AA6938">
        <v>0.99358429999999998</v>
      </c>
      <c r="AB6938">
        <v>29</v>
      </c>
      <c r="AC6938">
        <v>92.927499999999995</v>
      </c>
      <c r="AD6938">
        <v>-0.38157219999999997</v>
      </c>
      <c r="AE6938">
        <v>8.7213799999999999</v>
      </c>
      <c r="AF6938">
        <v>-10.57519078524</v>
      </c>
      <c r="AG6938">
        <v>-0.38157219999999997</v>
      </c>
      <c r="AH6938">
        <v>92.733256590192696</v>
      </c>
      <c r="AI6938">
        <v>90.2342370903676</v>
      </c>
      <c r="AJ6938">
        <v>96.505837518077996</v>
      </c>
      <c r="AK6938">
        <v>93.335079875203206</v>
      </c>
      <c r="AL6938">
        <v>77.984914934761804</v>
      </c>
      <c r="AM6938">
        <v>87.206060557637997</v>
      </c>
      <c r="AN6938">
        <v>0.99999993141787902</v>
      </c>
    </row>
    <row r="6939" spans="1:40" x14ac:dyDescent="0.25">
      <c r="A6939" t="str">
        <f>"20190303170425860"</f>
        <v>20190303170425860</v>
      </c>
      <c r="B6939" t="str">
        <f>"1551603865852342"</f>
        <v>1551603865852342</v>
      </c>
      <c r="C6939" t="s">
        <v>40</v>
      </c>
      <c r="D6939">
        <v>4.7702839999999904</v>
      </c>
      <c r="E6939">
        <v>0.4658931</v>
      </c>
      <c r="F6939" t="s">
        <v>55</v>
      </c>
      <c r="G6939">
        <v>-157.3501</v>
      </c>
      <c r="H6939">
        <v>0.41639799999999899</v>
      </c>
      <c r="I6939">
        <v>-58.59684</v>
      </c>
      <c r="J6939">
        <v>-250.72900000000001</v>
      </c>
      <c r="K6939">
        <v>1.1205099999999999</v>
      </c>
      <c r="L6939">
        <v>-63.303339999999999</v>
      </c>
      <c r="M6939">
        <v>0.99972589999999995</v>
      </c>
      <c r="N6939">
        <v>-1.1283410000000001E-2</v>
      </c>
      <c r="O6939">
        <v>-2.0507919999999999E-2</v>
      </c>
      <c r="P6939">
        <v>0.97810569999999997</v>
      </c>
      <c r="Q6939">
        <v>0.19729070000000001</v>
      </c>
      <c r="R6939">
        <v>-6.6220719999999997E-2</v>
      </c>
      <c r="S6939">
        <v>3.0824889999999998</v>
      </c>
      <c r="T6939">
        <v>-2.3208739999999999E-2</v>
      </c>
      <c r="U6939">
        <v>0.15502929999999901</v>
      </c>
      <c r="V6939">
        <v>4.6662700000000001E-2</v>
      </c>
      <c r="W6939">
        <v>0.20821310000000001</v>
      </c>
      <c r="X6939">
        <v>0.9769698</v>
      </c>
      <c r="Y6939">
        <v>-7.0697700000000002E-2</v>
      </c>
      <c r="Z6939">
        <v>5.8818779999999897E-4</v>
      </c>
      <c r="AA6939">
        <v>0.99749759999999998</v>
      </c>
      <c r="AB6939">
        <v>29</v>
      </c>
      <c r="AC6939">
        <v>93.378900000000002</v>
      </c>
      <c r="AD6939">
        <v>-0.70411199999999996</v>
      </c>
      <c r="AE6939">
        <v>4.7065000000000001</v>
      </c>
      <c r="AF6939">
        <v>-6.6202637479485498</v>
      </c>
      <c r="AG6939">
        <v>-0.70411199999999996</v>
      </c>
      <c r="AH6939">
        <v>93.257443414962097</v>
      </c>
      <c r="AI6939">
        <v>90.431500304483293</v>
      </c>
      <c r="AJ6939">
        <v>94.060565040594696</v>
      </c>
      <c r="AK6939">
        <v>93.494782838914603</v>
      </c>
      <c r="AL6939">
        <v>77.982344702421798</v>
      </c>
      <c r="AM6939">
        <v>87.265477913477099</v>
      </c>
      <c r="AN6939">
        <v>1.0000000463474601</v>
      </c>
    </row>
    <row r="6940" spans="1:40" x14ac:dyDescent="0.25">
      <c r="A6940" t="str">
        <f>"20190303170425869"</f>
        <v>20190303170425869</v>
      </c>
      <c r="B6940" t="str">
        <f>"1551603865862102"</f>
        <v>1551603865862102</v>
      </c>
      <c r="C6940" t="s">
        <v>40</v>
      </c>
      <c r="D6940">
        <v>4.7686890000000002</v>
      </c>
      <c r="E6940">
        <v>0.46980620000000001</v>
      </c>
      <c r="F6940" t="s">
        <v>55</v>
      </c>
      <c r="G6940">
        <v>-157.3501</v>
      </c>
      <c r="H6940">
        <v>0.35089589999999998</v>
      </c>
      <c r="I6940">
        <v>-59.975879999999997</v>
      </c>
      <c r="J6940">
        <v>-250.58529999999999</v>
      </c>
      <c r="K6940">
        <v>1.1205400000000001</v>
      </c>
      <c r="L6940">
        <v>-63.30688</v>
      </c>
      <c r="M6940">
        <v>0.9997144</v>
      </c>
      <c r="N6940">
        <v>-1.128729E-2</v>
      </c>
      <c r="O6940">
        <v>-2.1064119999999999E-2</v>
      </c>
      <c r="P6940">
        <v>0.97814659999999998</v>
      </c>
      <c r="Q6940">
        <v>0.1973406</v>
      </c>
      <c r="R6940">
        <v>-6.547008E-2</v>
      </c>
      <c r="S6940">
        <v>3.0796809999999999</v>
      </c>
      <c r="T6940">
        <v>-2.538288E-2</v>
      </c>
      <c r="U6940">
        <v>0.1097412</v>
      </c>
      <c r="V6940">
        <v>4.5354369999999998E-2</v>
      </c>
      <c r="W6940">
        <v>0.20827280000000001</v>
      </c>
      <c r="X6940">
        <v>0.97701870000000002</v>
      </c>
      <c r="Y6940">
        <v>-5.6650890000000002E-2</v>
      </c>
      <c r="Z6940">
        <v>4.8910230000000004E-4</v>
      </c>
      <c r="AA6940">
        <v>0.998394</v>
      </c>
      <c r="AB6940">
        <v>29</v>
      </c>
      <c r="AC6940">
        <v>93.235200000000006</v>
      </c>
      <c r="AD6940">
        <v>-0.76964409999999905</v>
      </c>
      <c r="AE6940">
        <v>3.331</v>
      </c>
      <c r="AF6940">
        <v>-5.2939431373100598</v>
      </c>
      <c r="AG6940">
        <v>-0.76964409999999905</v>
      </c>
      <c r="AH6940">
        <v>93.138003322735401</v>
      </c>
      <c r="AI6940">
        <v>90.472688874478294</v>
      </c>
      <c r="AJ6940">
        <v>93.253178806331903</v>
      </c>
      <c r="AK6940">
        <v>93.291510058137703</v>
      </c>
      <c r="AL6940">
        <v>77.978847631177501</v>
      </c>
      <c r="AM6940">
        <v>87.342169821767797</v>
      </c>
      <c r="AN6940">
        <v>1.0000000591238101</v>
      </c>
    </row>
    <row r="6941" spans="1:40" x14ac:dyDescent="0.25">
      <c r="A6941" t="str">
        <f>"20190303170425881"</f>
        <v>20190303170425881</v>
      </c>
      <c r="B6941" t="str">
        <f>"1551603865872838"</f>
        <v>1551603865872838</v>
      </c>
      <c r="C6941" t="s">
        <v>40</v>
      </c>
      <c r="D6941">
        <v>4.7111489999999998</v>
      </c>
      <c r="E6941">
        <v>0.47279700000000002</v>
      </c>
      <c r="F6941" t="s">
        <v>55</v>
      </c>
      <c r="G6941">
        <v>-157.3501</v>
      </c>
      <c r="H6941">
        <v>0.30863950000000001</v>
      </c>
      <c r="I6941">
        <v>-60.868139999999997</v>
      </c>
      <c r="J6941">
        <v>-250.4409</v>
      </c>
      <c r="K6941">
        <v>1.1205609999999999</v>
      </c>
      <c r="L6941">
        <v>-63.310519999999997</v>
      </c>
      <c r="M6941">
        <v>0.9997028</v>
      </c>
      <c r="N6941">
        <v>-1.1291320000000001E-2</v>
      </c>
      <c r="O6941">
        <v>-2.1616699999999999E-2</v>
      </c>
      <c r="P6941">
        <v>0.9781879</v>
      </c>
      <c r="Q6941">
        <v>0.19741069999999999</v>
      </c>
      <c r="R6941">
        <v>-6.4635520000000002E-2</v>
      </c>
      <c r="S6941">
        <v>3.0777890000000001</v>
      </c>
      <c r="T6941">
        <v>-2.6802300000000001E-2</v>
      </c>
      <c r="U6941">
        <v>8.0505370000000007E-2</v>
      </c>
      <c r="V6941">
        <v>4.3968390000000003E-2</v>
      </c>
      <c r="W6941">
        <v>0.2083525</v>
      </c>
      <c r="X6941">
        <v>0.97706499999999996</v>
      </c>
      <c r="Y6941">
        <v>-4.7748289999999999E-2</v>
      </c>
      <c r="Z6941">
        <v>4.2166630000000001E-4</v>
      </c>
      <c r="AA6941">
        <v>0.99885930000000001</v>
      </c>
      <c r="AB6941">
        <v>29</v>
      </c>
      <c r="AC6941">
        <v>93.090800000000002</v>
      </c>
      <c r="AD6941">
        <v>-0.81192149999999996</v>
      </c>
      <c r="AE6941">
        <v>2.4423799999999898</v>
      </c>
      <c r="AF6941">
        <v>-4.4539143646852297</v>
      </c>
      <c r="AG6941">
        <v>-0.81192149999999996</v>
      </c>
      <c r="AH6941">
        <v>93.0091749711478</v>
      </c>
      <c r="AI6941">
        <v>90.499577068725998</v>
      </c>
      <c r="AJ6941">
        <v>92.741618772751906</v>
      </c>
      <c r="AK6941">
        <v>93.119295521947095</v>
      </c>
      <c r="AL6941">
        <v>77.974177997822494</v>
      </c>
      <c r="AM6941">
        <v>87.423400956910299</v>
      </c>
      <c r="AN6941">
        <v>0.99999999890022095</v>
      </c>
    </row>
    <row r="6942" spans="1:40" x14ac:dyDescent="0.25">
      <c r="A6942" t="str">
        <f>"20190303170425892"</f>
        <v>20190303170425892</v>
      </c>
      <c r="B6942" t="str">
        <f>"1551603865882128"</f>
        <v>1551603865882128</v>
      </c>
      <c r="C6942" t="s">
        <v>40</v>
      </c>
      <c r="D6942">
        <v>4.555631</v>
      </c>
      <c r="E6942">
        <v>0.4751515</v>
      </c>
      <c r="F6942" t="s">
        <v>55</v>
      </c>
      <c r="G6942">
        <v>-157.3501</v>
      </c>
      <c r="H6942">
        <v>0.2438784</v>
      </c>
      <c r="I6942">
        <v>-61.53669</v>
      </c>
      <c r="J6942">
        <v>-250.2927</v>
      </c>
      <c r="K6942">
        <v>1.1205780000000001</v>
      </c>
      <c r="L6942">
        <v>-63.314300000000003</v>
      </c>
      <c r="M6942">
        <v>0.99969039999999998</v>
      </c>
      <c r="N6942">
        <v>-1.129556E-2</v>
      </c>
      <c r="O6942">
        <v>-2.2179339999999999E-2</v>
      </c>
      <c r="P6942">
        <v>0.97819730000000005</v>
      </c>
      <c r="Q6942">
        <v>0.19750090000000001</v>
      </c>
      <c r="R6942">
        <v>-6.4215999999999995E-2</v>
      </c>
      <c r="S6942">
        <v>3.0766140000000002</v>
      </c>
      <c r="T6942">
        <v>-2.8974650000000001E-2</v>
      </c>
      <c r="U6942">
        <v>5.8624269999999999E-2</v>
      </c>
      <c r="V6942">
        <v>4.2989409999999999E-2</v>
      </c>
      <c r="W6942">
        <v>0.20845140000000001</v>
      </c>
      <c r="X6942">
        <v>0.9770875</v>
      </c>
      <c r="Y6942">
        <v>-4.1219329999999998E-2</v>
      </c>
      <c r="Z6942">
        <v>3.8524799999999998E-4</v>
      </c>
      <c r="AA6942">
        <v>0.99914999999999998</v>
      </c>
      <c r="AB6942">
        <v>29</v>
      </c>
      <c r="AC6942">
        <v>92.942599999999999</v>
      </c>
      <c r="AD6942">
        <v>-0.87669959999999902</v>
      </c>
      <c r="AE6942">
        <v>1.7776099999999999</v>
      </c>
      <c r="AF6942">
        <v>-3.83836789404659</v>
      </c>
      <c r="AG6942">
        <v>-0.87669959999999902</v>
      </c>
      <c r="AH6942">
        <v>92.872044904085399</v>
      </c>
      <c r="AI6942">
        <v>90.540387075960197</v>
      </c>
      <c r="AJ6942">
        <v>92.366666844546103</v>
      </c>
      <c r="AK6942">
        <v>92.955464578179203</v>
      </c>
      <c r="AL6942">
        <v>77.968384601788898</v>
      </c>
      <c r="AM6942">
        <v>87.4807535123647</v>
      </c>
      <c r="AN6942">
        <v>1.0000000290951701</v>
      </c>
    </row>
    <row r="6943" spans="1:40" x14ac:dyDescent="0.25">
      <c r="A6943" t="str">
        <f>"20190303170425903"</f>
        <v>20190303170425903</v>
      </c>
      <c r="B6943" t="str">
        <f>"1551603865892864"</f>
        <v>1551603865892864</v>
      </c>
      <c r="C6943" t="s">
        <v>40</v>
      </c>
      <c r="D6943">
        <v>4.7678240000000001</v>
      </c>
      <c r="E6943">
        <v>0.47700120000000001</v>
      </c>
      <c r="F6943" t="s">
        <v>55</v>
      </c>
      <c r="G6943">
        <v>-157.3501</v>
      </c>
      <c r="H6943">
        <v>0.20811750000000001</v>
      </c>
      <c r="I6943">
        <v>-62.088679999999997</v>
      </c>
      <c r="J6943">
        <v>-250.15029999999999</v>
      </c>
      <c r="K6943">
        <v>1.1205909999999999</v>
      </c>
      <c r="L6943">
        <v>-63.318019999999997</v>
      </c>
      <c r="M6943">
        <v>0.99967819999999996</v>
      </c>
      <c r="N6943">
        <v>-1.12946E-2</v>
      </c>
      <c r="O6943">
        <v>-2.2716409999999999E-2</v>
      </c>
      <c r="P6943">
        <v>0.97823020000000005</v>
      </c>
      <c r="Q6943">
        <v>0.19747670000000001</v>
      </c>
      <c r="R6943">
        <v>-6.3787990000000003E-2</v>
      </c>
      <c r="S6943">
        <v>3.0756380000000001</v>
      </c>
      <c r="T6943">
        <v>-3.0195590000000001E-2</v>
      </c>
      <c r="U6943">
        <v>4.0557860000000001E-2</v>
      </c>
      <c r="V6943">
        <v>4.2029120000000003E-2</v>
      </c>
      <c r="W6943">
        <v>0.2084299</v>
      </c>
      <c r="X6943">
        <v>0.97713380000000005</v>
      </c>
      <c r="Y6943">
        <v>-3.5894410000000002E-2</v>
      </c>
      <c r="Z6943">
        <v>3.4534350000000003E-4</v>
      </c>
      <c r="AA6943">
        <v>0.99935560000000001</v>
      </c>
      <c r="AB6943">
        <v>29</v>
      </c>
      <c r="AC6943">
        <v>92.800200000000004</v>
      </c>
      <c r="AD6943">
        <v>-0.91247350000000005</v>
      </c>
      <c r="AE6943">
        <v>1.2293399999999901</v>
      </c>
      <c r="AF6943">
        <v>-3.3369219194728998</v>
      </c>
      <c r="AG6943">
        <v>-0.91247350000000005</v>
      </c>
      <c r="AH6943">
        <v>92.739357204058805</v>
      </c>
      <c r="AI6943">
        <v>90.563357214714401</v>
      </c>
      <c r="AJ6943">
        <v>92.060711885908404</v>
      </c>
      <c r="AK6943">
        <v>92.803857842262502</v>
      </c>
      <c r="AL6943">
        <v>77.969643363632898</v>
      </c>
      <c r="AM6943">
        <v>87.537074474036601</v>
      </c>
      <c r="AN6943">
        <v>0.99999996662221102</v>
      </c>
    </row>
    <row r="6944" spans="1:40" x14ac:dyDescent="0.25">
      <c r="A6944" t="str">
        <f>"20190303170425915"</f>
        <v>20190303170425915</v>
      </c>
      <c r="B6944" t="str">
        <f>"1551603865902625"</f>
        <v>1551603865902625</v>
      </c>
      <c r="C6944" t="s">
        <v>40</v>
      </c>
      <c r="D6944">
        <v>4.7129399999999997</v>
      </c>
      <c r="E6944">
        <v>0.47848800000000002</v>
      </c>
      <c r="F6944" t="s">
        <v>55</v>
      </c>
      <c r="G6944">
        <v>-157.3501</v>
      </c>
      <c r="H6944">
        <v>0.1488237</v>
      </c>
      <c r="I6944">
        <v>-62.515839999999997</v>
      </c>
      <c r="J6944">
        <v>-249.99930000000001</v>
      </c>
      <c r="K6944">
        <v>1.1205969999999901</v>
      </c>
      <c r="L6944">
        <v>-63.322020000000002</v>
      </c>
      <c r="M6944">
        <v>0.99966509999999997</v>
      </c>
      <c r="N6944">
        <v>-1.129222E-2</v>
      </c>
      <c r="O6944">
        <v>-2.3285190000000001E-2</v>
      </c>
      <c r="P6944">
        <v>0.97826559999999996</v>
      </c>
      <c r="Q6944">
        <v>0.19742779999999999</v>
      </c>
      <c r="R6944">
        <v>-6.3396889999999997E-2</v>
      </c>
      <c r="S6944">
        <v>3.0749970000000002</v>
      </c>
      <c r="T6944">
        <v>-3.2200810000000003E-2</v>
      </c>
      <c r="U6944">
        <v>2.658081E-2</v>
      </c>
      <c r="V6944">
        <v>4.1074409999999999E-2</v>
      </c>
      <c r="W6944">
        <v>0.20838280000000001</v>
      </c>
      <c r="X6944">
        <v>0.97718450000000001</v>
      </c>
      <c r="Y6944">
        <v>-3.1923670000000001E-2</v>
      </c>
      <c r="Z6944">
        <v>3.2826570000000002E-4</v>
      </c>
      <c r="AA6944">
        <v>0.99949030000000005</v>
      </c>
      <c r="AB6944">
        <v>29</v>
      </c>
      <c r="AC6944">
        <v>92.649199999999993</v>
      </c>
      <c r="AD6944">
        <v>-0.97177329999999895</v>
      </c>
      <c r="AE6944">
        <v>0.80617999999999002</v>
      </c>
      <c r="AF6944">
        <v>-2.9631271839417201</v>
      </c>
      <c r="AG6944">
        <v>-0.97177329999999895</v>
      </c>
      <c r="AH6944">
        <v>92.595116982666397</v>
      </c>
      <c r="AI6944">
        <v>90.600981806692701</v>
      </c>
      <c r="AJ6944">
        <v>91.832891084230198</v>
      </c>
      <c r="AK6944">
        <v>92.647612786776506</v>
      </c>
      <c r="AL6944">
        <v>77.972403266311503</v>
      </c>
      <c r="AM6944">
        <v>87.593079086320699</v>
      </c>
      <c r="AN6944">
        <v>1.0000000227664601</v>
      </c>
    </row>
    <row r="6945" spans="1:40" x14ac:dyDescent="0.25">
      <c r="A6945" t="str">
        <f>"20190303170425926"</f>
        <v>20190303170425926</v>
      </c>
      <c r="B6945" t="str">
        <f>"1551603865912384"</f>
        <v>1551603865912384</v>
      </c>
      <c r="C6945" t="s">
        <v>40</v>
      </c>
      <c r="D6945">
        <v>4.6326720000000003</v>
      </c>
      <c r="E6945">
        <v>0.4797554</v>
      </c>
      <c r="F6945" t="s">
        <v>55</v>
      </c>
      <c r="G6945">
        <v>-157.3501</v>
      </c>
      <c r="H6945">
        <v>0.1245441</v>
      </c>
      <c r="I6945">
        <v>-62.858499999999999</v>
      </c>
      <c r="J6945">
        <v>-249.84809999999999</v>
      </c>
      <c r="K6945">
        <v>1.1206</v>
      </c>
      <c r="L6945">
        <v>-63.326169999999998</v>
      </c>
      <c r="M6945">
        <v>0.99965179999999998</v>
      </c>
      <c r="N6945">
        <v>-1.128762E-2</v>
      </c>
      <c r="O6945">
        <v>-2.3855580000000001E-2</v>
      </c>
      <c r="P6945">
        <v>0.97823110000000002</v>
      </c>
      <c r="Q6945">
        <v>0.1976241</v>
      </c>
      <c r="R6945">
        <v>-6.3315140000000006E-2</v>
      </c>
      <c r="S6945">
        <v>3.0743260000000001</v>
      </c>
      <c r="T6945">
        <v>-3.3052089999999999E-2</v>
      </c>
      <c r="U6945">
        <v>1.538086E-2</v>
      </c>
      <c r="V6945">
        <v>4.0432250000000003E-2</v>
      </c>
      <c r="W6945">
        <v>0.2085764</v>
      </c>
      <c r="X6945">
        <v>0.97716990000000004</v>
      </c>
      <c r="Y6945">
        <v>-2.8854899999999999E-2</v>
      </c>
      <c r="Z6945">
        <v>3.0512429999999998E-4</v>
      </c>
      <c r="AA6945">
        <v>0.99958349999999996</v>
      </c>
      <c r="AB6945">
        <v>29</v>
      </c>
      <c r="AC6945">
        <v>92.498000000000005</v>
      </c>
      <c r="AD6945">
        <v>-0.99605589999999999</v>
      </c>
      <c r="AE6945">
        <v>0.46766999999999798</v>
      </c>
      <c r="AF6945">
        <v>-2.6739606112341798</v>
      </c>
      <c r="AG6945">
        <v>-0.99605589999999999</v>
      </c>
      <c r="AH6945">
        <v>92.449795804216706</v>
      </c>
      <c r="AI6945">
        <v>90.617023944718596</v>
      </c>
      <c r="AJ6945">
        <v>91.656725744181202</v>
      </c>
      <c r="AK6945">
        <v>92.493821074424801</v>
      </c>
      <c r="AL6945">
        <v>77.961060669705006</v>
      </c>
      <c r="AM6945">
        <v>87.630630459932405</v>
      </c>
      <c r="AN6945">
        <v>0.99999994747151399</v>
      </c>
    </row>
    <row r="6946" spans="1:40" x14ac:dyDescent="0.25">
      <c r="A6946" t="str">
        <f>"20190303170425937"</f>
        <v>20190303170425937</v>
      </c>
      <c r="B6946" t="str">
        <f>"1551603865932880"</f>
        <v>1551603865932880</v>
      </c>
      <c r="C6946" t="s">
        <v>40</v>
      </c>
      <c r="D6946">
        <v>4.7600730000000002</v>
      </c>
      <c r="E6946">
        <v>0.48180010000000001</v>
      </c>
      <c r="F6946" t="s">
        <v>55</v>
      </c>
      <c r="G6946">
        <v>-157.3501</v>
      </c>
      <c r="H6946">
        <v>0.1189499</v>
      </c>
      <c r="I6946">
        <v>-63.169130000000003</v>
      </c>
      <c r="J6946">
        <v>-249.70179999999999</v>
      </c>
      <c r="K6946">
        <v>1.1206050000000001</v>
      </c>
      <c r="L6946">
        <v>-63.33023</v>
      </c>
      <c r="M6946">
        <v>0.99963840000000004</v>
      </c>
      <c r="N6946">
        <v>-1.128263E-2</v>
      </c>
      <c r="O6946">
        <v>-2.4407979999999999E-2</v>
      </c>
      <c r="P6946">
        <v>0.97820410000000002</v>
      </c>
      <c r="Q6946">
        <v>0.1978017</v>
      </c>
      <c r="R6946">
        <v>-6.3178360000000003E-2</v>
      </c>
      <c r="S6946">
        <v>3.0738219999999998</v>
      </c>
      <c r="T6946">
        <v>-3.3286690000000001E-2</v>
      </c>
      <c r="U6946">
        <v>5.2185060000000004E-3</v>
      </c>
      <c r="V6946">
        <v>3.9752429999999998E-2</v>
      </c>
      <c r="W6946">
        <v>0.20875079999999999</v>
      </c>
      <c r="X6946">
        <v>0.97716060000000005</v>
      </c>
      <c r="Y6946">
        <v>-2.6103589999999999E-2</v>
      </c>
      <c r="Z6946">
        <v>2.774826E-4</v>
      </c>
      <c r="AA6946">
        <v>0.99965919999999997</v>
      </c>
      <c r="AB6946">
        <v>29</v>
      </c>
      <c r="AC6946">
        <v>92.351699999999994</v>
      </c>
      <c r="AD6946">
        <v>-1.00165509999999</v>
      </c>
      <c r="AE6946">
        <v>0.16110000000000399</v>
      </c>
      <c r="AF6946">
        <v>-2.4150298585355601</v>
      </c>
      <c r="AG6946">
        <v>-1.00165509999999</v>
      </c>
      <c r="AH6946">
        <v>92.309391748778296</v>
      </c>
      <c r="AI6946">
        <v>90.621483119960004</v>
      </c>
      <c r="AJ6946">
        <v>91.498649903832202</v>
      </c>
      <c r="AK6946">
        <v>92.346410256091602</v>
      </c>
      <c r="AL6946">
        <v>77.950843960402295</v>
      </c>
      <c r="AM6946">
        <v>87.670402166956904</v>
      </c>
      <c r="AN6946">
        <v>0.99999999519195204</v>
      </c>
    </row>
    <row r="6947" spans="1:40" x14ac:dyDescent="0.25">
      <c r="A6947" t="str">
        <f>"20190303170425948"</f>
        <v>20190303170425948</v>
      </c>
      <c r="B6947" t="str">
        <f>"1551603865942640"</f>
        <v>1551603865942640</v>
      </c>
      <c r="C6947" t="s">
        <v>40</v>
      </c>
      <c r="D6947">
        <v>4.7646430000000004</v>
      </c>
      <c r="E6947">
        <v>0.48254599999999997</v>
      </c>
      <c r="F6947" t="s">
        <v>55</v>
      </c>
      <c r="G6947">
        <v>-157.3501</v>
      </c>
      <c r="H6947">
        <v>6.9590570000000004E-2</v>
      </c>
      <c r="I6947">
        <v>-63.658540000000002</v>
      </c>
      <c r="J6947">
        <v>-249.55170000000001</v>
      </c>
      <c r="K6947">
        <v>1.1206039999999999</v>
      </c>
      <c r="L6947">
        <v>-63.334470000000003</v>
      </c>
      <c r="M6947">
        <v>0.99962450000000003</v>
      </c>
      <c r="N6947">
        <v>-1.127569E-2</v>
      </c>
      <c r="O6947">
        <v>-2.497804E-2</v>
      </c>
      <c r="P6947">
        <v>0.97818819999999995</v>
      </c>
      <c r="Q6947">
        <v>0.19787730000000001</v>
      </c>
      <c r="R6947">
        <v>-6.3187030000000005E-2</v>
      </c>
      <c r="S6947">
        <v>3.0732270000000002</v>
      </c>
      <c r="T6947">
        <v>-3.4975649999999997E-2</v>
      </c>
      <c r="U6947">
        <v>-1.0925290000000001E-2</v>
      </c>
      <c r="V6947">
        <v>3.9201609999999998E-2</v>
      </c>
      <c r="W6947">
        <v>0.20882120000000001</v>
      </c>
      <c r="X6947">
        <v>0.97716780000000003</v>
      </c>
      <c r="Y6947">
        <v>-2.142285E-2</v>
      </c>
      <c r="Z6947">
        <v>2.4524639999999999E-4</v>
      </c>
      <c r="AA6947">
        <v>0.99977050000000001</v>
      </c>
      <c r="AB6947">
        <v>29</v>
      </c>
      <c r="AC6947">
        <v>92.201599999999999</v>
      </c>
      <c r="AD6947">
        <v>-1.05101343</v>
      </c>
      <c r="AE6947">
        <v>-0.32407000000000602</v>
      </c>
      <c r="AF6947">
        <v>-1.97893544306294</v>
      </c>
      <c r="AG6947">
        <v>-1.05101343</v>
      </c>
      <c r="AH6947">
        <v>92.168948407261595</v>
      </c>
      <c r="AI6947">
        <v>90.653171716975095</v>
      </c>
      <c r="AJ6947">
        <v>91.229993749850195</v>
      </c>
      <c r="AK6947">
        <v>92.1961814025846</v>
      </c>
      <c r="AL6947">
        <v>77.946719308746594</v>
      </c>
      <c r="AM6947">
        <v>87.702663760147502</v>
      </c>
      <c r="AN6947">
        <v>0.99999998457643602</v>
      </c>
    </row>
    <row r="6948" spans="1:40" x14ac:dyDescent="0.25">
      <c r="A6948" t="str">
        <f>"20190303170425960"</f>
        <v>20190303170425960</v>
      </c>
      <c r="B6948" t="str">
        <f>"1551603865952400"</f>
        <v>1551603865952400</v>
      </c>
      <c r="C6948" t="s">
        <v>40</v>
      </c>
      <c r="D6948">
        <v>4.7077600000000004</v>
      </c>
      <c r="E6948">
        <v>0.48329179999999999</v>
      </c>
      <c r="F6948" t="s">
        <v>55</v>
      </c>
      <c r="G6948">
        <v>-157.3501</v>
      </c>
      <c r="H6948">
        <v>5.8275220000000003E-2</v>
      </c>
      <c r="I6948">
        <v>-63.847239999999999</v>
      </c>
      <c r="J6948">
        <v>-249.40870000000001</v>
      </c>
      <c r="K6948">
        <v>1.1206050000000001</v>
      </c>
      <c r="L6948">
        <v>-63.338590000000003</v>
      </c>
      <c r="M6948">
        <v>0.99961080000000002</v>
      </c>
      <c r="N6948">
        <v>-1.126868E-2</v>
      </c>
      <c r="O6948">
        <v>-2.5523199999999999E-2</v>
      </c>
      <c r="P6948">
        <v>0.97813879999999997</v>
      </c>
      <c r="Q6948">
        <v>0.19804060000000001</v>
      </c>
      <c r="R6948">
        <v>-6.3439170000000003E-2</v>
      </c>
      <c r="S6948">
        <v>3.0729519999999999</v>
      </c>
      <c r="T6948">
        <v>-3.5406590000000002E-2</v>
      </c>
      <c r="U6948">
        <v>-1.7089839999999999E-2</v>
      </c>
      <c r="V6948">
        <v>3.8919670000000003E-2</v>
      </c>
      <c r="W6948">
        <v>0.20897879999999999</v>
      </c>
      <c r="X6948">
        <v>0.97714540000000005</v>
      </c>
      <c r="Y6948">
        <v>-1.9962319999999999E-2</v>
      </c>
      <c r="Z6948">
        <v>2.3387399999999999E-4</v>
      </c>
      <c r="AA6948">
        <v>0.99980069999999999</v>
      </c>
      <c r="AB6948">
        <v>29</v>
      </c>
      <c r="AC6948">
        <v>92.058599999999998</v>
      </c>
      <c r="AD6948">
        <v>-1.06232977999999</v>
      </c>
      <c r="AE6948">
        <v>-0.50864999999999505</v>
      </c>
      <c r="AF6948">
        <v>-1.84104962567752</v>
      </c>
      <c r="AG6948">
        <v>-1.06232977999999</v>
      </c>
      <c r="AH6948">
        <v>92.029334761745005</v>
      </c>
      <c r="AI6948">
        <v>90.661225417580994</v>
      </c>
      <c r="AJ6948">
        <v>91.146050934928496</v>
      </c>
      <c r="AK6948">
        <v>92.053878055055407</v>
      </c>
      <c r="AL6948">
        <v>77.9374860385022</v>
      </c>
      <c r="AM6948">
        <v>87.719116577593795</v>
      </c>
      <c r="AN6948">
        <v>1.00000000615175</v>
      </c>
    </row>
    <row r="6949" spans="1:40" x14ac:dyDescent="0.25">
      <c r="A6949" t="str">
        <f>"20190303170425969"</f>
        <v>20190303170425969</v>
      </c>
      <c r="B6949" t="str">
        <f>"1551603865962160"</f>
        <v>1551603865962160</v>
      </c>
      <c r="C6949" t="s">
        <v>40</v>
      </c>
      <c r="D6949">
        <v>4.764297</v>
      </c>
      <c r="E6949">
        <v>0.48396739999999999</v>
      </c>
      <c r="F6949" t="s">
        <v>44</v>
      </c>
      <c r="G6949">
        <v>-149.82050000000001</v>
      </c>
      <c r="H6949">
        <v>-0.05</v>
      </c>
      <c r="I6949">
        <v>-64.122910000000005</v>
      </c>
      <c r="J6949">
        <v>-249.26599999999999</v>
      </c>
      <c r="K6949">
        <v>1.1206039999999999</v>
      </c>
      <c r="L6949">
        <v>-63.342799999999997</v>
      </c>
      <c r="M6949">
        <v>0.9995967</v>
      </c>
      <c r="N6949">
        <v>-1.1261210000000001E-2</v>
      </c>
      <c r="O6949">
        <v>-2.6068959999999999E-2</v>
      </c>
      <c r="P6949">
        <v>0.97812540000000003</v>
      </c>
      <c r="Q6949">
        <v>0.19814180000000001</v>
      </c>
      <c r="R6949">
        <v>-6.3330109999999995E-2</v>
      </c>
      <c r="S6949">
        <v>3.0728</v>
      </c>
      <c r="T6949">
        <v>-3.6119100000000001E-2</v>
      </c>
      <c r="U6949">
        <v>-2.420044E-2</v>
      </c>
      <c r="V6949">
        <v>3.827556E-2</v>
      </c>
      <c r="W6949">
        <v>0.20907390000000001</v>
      </c>
      <c r="X6949">
        <v>0.97715050000000003</v>
      </c>
      <c r="Y6949">
        <v>-1.819457E-2</v>
      </c>
      <c r="Z6949">
        <v>2.2215900000000001E-4</v>
      </c>
      <c r="AA6949">
        <v>0.99983440000000001</v>
      </c>
      <c r="AB6949">
        <v>29</v>
      </c>
      <c r="AC6949">
        <v>99.445499999999896</v>
      </c>
      <c r="AD6949">
        <v>-1.170604</v>
      </c>
      <c r="AE6949">
        <v>-0.78011000000000696</v>
      </c>
      <c r="AF6949">
        <v>-1.8125092223166901</v>
      </c>
      <c r="AG6949">
        <v>-1.170604</v>
      </c>
      <c r="AH6949">
        <v>99.418261874862694</v>
      </c>
      <c r="AI6949">
        <v>90.674488028083701</v>
      </c>
      <c r="AJ6949">
        <v>91.044452231321898</v>
      </c>
      <c r="AK6949">
        <v>99.441672842046302</v>
      </c>
      <c r="AL6949">
        <v>77.931914135608295</v>
      </c>
      <c r="AM6949">
        <v>87.756837391267695</v>
      </c>
      <c r="AN6949">
        <v>1.00000000690238</v>
      </c>
    </row>
    <row r="6950" spans="1:40" x14ac:dyDescent="0.25">
      <c r="A6950" t="str">
        <f>"20190303170425981"</f>
        <v>20190303170425981</v>
      </c>
      <c r="B6950" t="str">
        <f>"1551603865972896"</f>
        <v>1551603865972896</v>
      </c>
      <c r="C6950" t="s">
        <v>40</v>
      </c>
      <c r="D6950">
        <v>4.7070179999999997</v>
      </c>
      <c r="E6950">
        <v>0.48448330000000001</v>
      </c>
      <c r="F6950" t="s">
        <v>44</v>
      </c>
      <c r="G6950">
        <v>-151.55600000000001</v>
      </c>
      <c r="H6950">
        <v>-0.05</v>
      </c>
      <c r="I6950">
        <v>-64.278319999999994</v>
      </c>
      <c r="J6950">
        <v>-249.11699999999999</v>
      </c>
      <c r="K6950">
        <v>1.1206020000000001</v>
      </c>
      <c r="L6950">
        <v>-63.347259999999999</v>
      </c>
      <c r="M6950">
        <v>0.99958190000000002</v>
      </c>
      <c r="N6950">
        <v>-1.124959E-2</v>
      </c>
      <c r="O6950">
        <v>-2.6641539999999998E-2</v>
      </c>
      <c r="P6950">
        <v>0.97813649999999996</v>
      </c>
      <c r="Q6950">
        <v>0.1981261</v>
      </c>
      <c r="R6950">
        <v>-6.3207570000000005E-2</v>
      </c>
      <c r="S6950">
        <v>3.0726619999999998</v>
      </c>
      <c r="T6950">
        <v>-3.6811709999999997E-2</v>
      </c>
      <c r="U6950">
        <v>-2.9418949999999999E-2</v>
      </c>
      <c r="V6950">
        <v>3.7591369999999999E-2</v>
      </c>
      <c r="W6950">
        <v>0.2090487</v>
      </c>
      <c r="X6950">
        <v>0.97718240000000001</v>
      </c>
      <c r="Y6950">
        <v>-1.7069040000000001E-2</v>
      </c>
      <c r="Z6950">
        <v>2.176371E-4</v>
      </c>
      <c r="AA6950">
        <v>0.99985429999999997</v>
      </c>
      <c r="AB6950">
        <v>29</v>
      </c>
      <c r="AC6950">
        <v>97.561000000000007</v>
      </c>
      <c r="AD6950">
        <v>-1.1706019999999999</v>
      </c>
      <c r="AE6950">
        <v>-0.931059999999995</v>
      </c>
      <c r="AF6950">
        <v>-1.66836972738755</v>
      </c>
      <c r="AG6950">
        <v>-1.1706019999999999</v>
      </c>
      <c r="AH6950">
        <v>97.5371319537647</v>
      </c>
      <c r="AI6950">
        <v>90.687507665963807</v>
      </c>
      <c r="AJ6950">
        <v>90.979947032900398</v>
      </c>
      <c r="AK6950">
        <v>97.558422887804895</v>
      </c>
      <c r="AL6950">
        <v>77.933389997997295</v>
      </c>
      <c r="AM6950">
        <v>87.796966743701205</v>
      </c>
      <c r="AN6950">
        <v>0.99999995646996198</v>
      </c>
    </row>
    <row r="6951" spans="1:40" x14ac:dyDescent="0.25">
      <c r="A6951" t="str">
        <f>"20190303170425992"</f>
        <v>20190303170425992</v>
      </c>
      <c r="B6951" t="str">
        <f>"1551603865982656"</f>
        <v>1551603865982656</v>
      </c>
      <c r="C6951" t="s">
        <v>40</v>
      </c>
      <c r="D6951">
        <v>4.7054589999999896</v>
      </c>
      <c r="E6951">
        <v>0.48495939999999998</v>
      </c>
      <c r="F6951" t="s">
        <v>44</v>
      </c>
      <c r="G6951">
        <v>-153.7895</v>
      </c>
      <c r="H6951">
        <v>-0.05</v>
      </c>
      <c r="I6951">
        <v>-64.384959999999893</v>
      </c>
      <c r="J6951">
        <v>-248.97130000000001</v>
      </c>
      <c r="K6951">
        <v>1.1205959999999999</v>
      </c>
      <c r="L6951">
        <v>-63.351649999999999</v>
      </c>
      <c r="M6951">
        <v>0.99956679999999998</v>
      </c>
      <c r="N6951">
        <v>-1.123586E-2</v>
      </c>
      <c r="O6951">
        <v>-2.7202779999999999E-2</v>
      </c>
      <c r="P6951">
        <v>0.97824630000000001</v>
      </c>
      <c r="Q6951">
        <v>0.19761110000000001</v>
      </c>
      <c r="R6951">
        <v>-6.3123570000000004E-2</v>
      </c>
      <c r="S6951">
        <v>3.0725560000000001</v>
      </c>
      <c r="T6951">
        <v>-3.7730340000000001E-2</v>
      </c>
      <c r="U6951">
        <v>-3.3447270000000001E-2</v>
      </c>
      <c r="V6951">
        <v>3.6952819999999997E-2</v>
      </c>
      <c r="W6951">
        <v>0.20852319999999999</v>
      </c>
      <c r="X6951">
        <v>0.9773191</v>
      </c>
      <c r="Y6951">
        <v>-1.631937E-2</v>
      </c>
      <c r="Z6951">
        <v>2.2017870000000001E-4</v>
      </c>
      <c r="AA6951">
        <v>0.99986679999999994</v>
      </c>
      <c r="AB6951">
        <v>29</v>
      </c>
      <c r="AC6951">
        <v>95.181799999999996</v>
      </c>
      <c r="AD6951">
        <v>-1.170596</v>
      </c>
      <c r="AE6951">
        <v>-1.03330999999999</v>
      </c>
      <c r="AF6951">
        <v>-1.55621007159945</v>
      </c>
      <c r="AG6951">
        <v>-1.170596</v>
      </c>
      <c r="AH6951">
        <v>95.160291207031193</v>
      </c>
      <c r="AI6951">
        <v>90.704683237702895</v>
      </c>
      <c r="AJ6951">
        <v>90.936906777100205</v>
      </c>
      <c r="AK6951">
        <v>95.180213843997805</v>
      </c>
      <c r="AL6951">
        <v>77.964178337854904</v>
      </c>
      <c r="AM6951">
        <v>87.834655500251301</v>
      </c>
      <c r="AN6951">
        <v>1.0000000295345</v>
      </c>
    </row>
    <row r="6952" spans="1:40" x14ac:dyDescent="0.25">
      <c r="A6952" t="str">
        <f>"20190303170426005"</f>
        <v>20190303170426005</v>
      </c>
      <c r="B6952" t="str">
        <f>"1551603865992416"</f>
        <v>1551603865992416</v>
      </c>
      <c r="C6952" t="s">
        <v>40</v>
      </c>
      <c r="D6952">
        <v>4.8221290000000003</v>
      </c>
      <c r="E6952">
        <v>0.48545349999999998</v>
      </c>
      <c r="F6952" t="s">
        <v>44</v>
      </c>
      <c r="G6952">
        <v>-160.53530000000001</v>
      </c>
      <c r="H6952">
        <v>-0.05</v>
      </c>
      <c r="I6952">
        <v>-64.424130000000005</v>
      </c>
      <c r="J6952">
        <v>-248.8176</v>
      </c>
      <c r="K6952">
        <v>1.1205860000000001</v>
      </c>
      <c r="L6952">
        <v>-63.356479999999998</v>
      </c>
      <c r="M6952">
        <v>0.99955079999999996</v>
      </c>
      <c r="N6952">
        <v>-1.1211749999999999E-2</v>
      </c>
      <c r="O6952">
        <v>-2.7797209999999999E-2</v>
      </c>
      <c r="P6952">
        <v>0.9783712</v>
      </c>
      <c r="Q6952">
        <v>0.19697799999999999</v>
      </c>
      <c r="R6952">
        <v>-6.3164940000000003E-2</v>
      </c>
      <c r="S6952">
        <v>3.07254</v>
      </c>
      <c r="T6952">
        <v>-4.0670159999999997E-2</v>
      </c>
      <c r="U6952">
        <v>-3.7261959999999997E-2</v>
      </c>
      <c r="V6952">
        <v>3.6406609999999999E-2</v>
      </c>
      <c r="W6952">
        <v>0.20786930000000001</v>
      </c>
      <c r="X6952">
        <v>0.97747890000000004</v>
      </c>
      <c r="Y6952">
        <v>-1.5672499999999999E-2</v>
      </c>
      <c r="Z6952">
        <v>2.4775509999999998E-4</v>
      </c>
      <c r="AA6952">
        <v>0.99987720000000002</v>
      </c>
      <c r="AB6952">
        <v>29</v>
      </c>
      <c r="AC6952">
        <v>88.282299999999907</v>
      </c>
      <c r="AD6952">
        <v>-1.1705859999999999</v>
      </c>
      <c r="AE6952">
        <v>-1.06765</v>
      </c>
      <c r="AF6952">
        <v>-1.38667449740228</v>
      </c>
      <c r="AG6952">
        <v>-1.1705859999999999</v>
      </c>
      <c r="AH6952">
        <v>88.262345782091899</v>
      </c>
      <c r="AI6952">
        <v>90.7597512884753</v>
      </c>
      <c r="AJ6952">
        <v>90.900090062082398</v>
      </c>
      <c r="AK6952">
        <v>88.280999205393499</v>
      </c>
      <c r="AL6952">
        <v>78.002483594821797</v>
      </c>
      <c r="AM6952">
        <v>87.8669807136515</v>
      </c>
      <c r="AN6952">
        <v>1.0000000435396901</v>
      </c>
    </row>
    <row r="6953" spans="1:40" x14ac:dyDescent="0.25">
      <c r="A6953" t="str">
        <f>"20190303170426015"</f>
        <v>20190303170426015</v>
      </c>
      <c r="B6953" t="str">
        <f>"1551603866002176"</f>
        <v>1551603866002176</v>
      </c>
      <c r="C6953" t="s">
        <v>40</v>
      </c>
      <c r="D6953">
        <v>4.7039080000000002</v>
      </c>
      <c r="E6953">
        <v>0.48581980000000002</v>
      </c>
      <c r="F6953" t="s">
        <v>75</v>
      </c>
      <c r="G6953">
        <v>-175.37540000000001</v>
      </c>
      <c r="H6953">
        <v>7.9986559999999998E-2</v>
      </c>
      <c r="I6953">
        <v>-64.348569999999995</v>
      </c>
      <c r="J6953">
        <v>-248.66919999999999</v>
      </c>
      <c r="K6953">
        <v>1.1205780000000001</v>
      </c>
      <c r="L6953">
        <v>-63.361150000000002</v>
      </c>
      <c r="M6953">
        <v>0.99953499999999995</v>
      </c>
      <c r="N6953">
        <v>-1.118566E-2</v>
      </c>
      <c r="O6953">
        <v>-2.837245E-2</v>
      </c>
      <c r="P6953">
        <v>0.97849790000000003</v>
      </c>
      <c r="Q6953">
        <v>0.19632440000000001</v>
      </c>
      <c r="R6953">
        <v>-6.3240679999999994E-2</v>
      </c>
      <c r="S6953">
        <v>3.0724179999999999</v>
      </c>
      <c r="T6953">
        <v>-4.3532969999999997E-2</v>
      </c>
      <c r="U6953">
        <v>-4.1503909999999998E-2</v>
      </c>
      <c r="V6953">
        <v>3.591333E-2</v>
      </c>
      <c r="W6953">
        <v>0.2071934</v>
      </c>
      <c r="X6953">
        <v>0.97764059999999997</v>
      </c>
      <c r="Y6953">
        <v>-1.486696E-2</v>
      </c>
      <c r="Z6953">
        <v>2.7298289999999999E-4</v>
      </c>
      <c r="AA6953">
        <v>0.99988940000000004</v>
      </c>
      <c r="AB6953">
        <v>30</v>
      </c>
      <c r="AC6953">
        <v>73.293799999999905</v>
      </c>
      <c r="AD6953">
        <v>-1.04059144</v>
      </c>
      <c r="AE6953">
        <v>-0.98741999999999297</v>
      </c>
      <c r="AF6953">
        <v>-1.0924118442786399</v>
      </c>
      <c r="AG6953">
        <v>-1.04059144</v>
      </c>
      <c r="AH6953">
        <v>73.277539167693305</v>
      </c>
      <c r="AI6953">
        <v>90.813494397981103</v>
      </c>
      <c r="AJ6953">
        <v>90.854094620144295</v>
      </c>
      <c r="AK6953">
        <v>73.293068844573199</v>
      </c>
      <c r="AL6953">
        <v>78.042071272125</v>
      </c>
      <c r="AM6953">
        <v>87.896202945649904</v>
      </c>
      <c r="AN6953">
        <v>1.0000000075218001</v>
      </c>
    </row>
    <row r="6954" spans="1:40" x14ac:dyDescent="0.25">
      <c r="A6954" t="str">
        <f>"20190303170426027"</f>
        <v>20190303170426027</v>
      </c>
      <c r="B6954" t="str">
        <f>"1551603866012913"</f>
        <v>1551603866012913</v>
      </c>
      <c r="C6954" t="s">
        <v>40</v>
      </c>
      <c r="D6954">
        <v>4.7052009999999997</v>
      </c>
      <c r="E6954">
        <v>0.48614420000000003</v>
      </c>
      <c r="F6954" t="s">
        <v>75</v>
      </c>
      <c r="G6954">
        <v>-179.9126</v>
      </c>
      <c r="H6954">
        <v>7.9986479999999999E-2</v>
      </c>
      <c r="I6954">
        <v>-64.365919999999903</v>
      </c>
      <c r="J6954">
        <v>-248.5153</v>
      </c>
      <c r="K6954">
        <v>1.120566</v>
      </c>
      <c r="L6954">
        <v>-63.366120000000002</v>
      </c>
      <c r="M6954">
        <v>0.99951820000000002</v>
      </c>
      <c r="N6954">
        <v>-1.114791E-2</v>
      </c>
      <c r="O6954">
        <v>-2.8969910000000001E-2</v>
      </c>
      <c r="P6954">
        <v>0.97860329999999995</v>
      </c>
      <c r="Q6954">
        <v>0.1957073</v>
      </c>
      <c r="R6954">
        <v>-6.3517210000000004E-2</v>
      </c>
      <c r="S6954">
        <v>3.0723419999999999</v>
      </c>
      <c r="T6954">
        <v>-4.649818E-2</v>
      </c>
      <c r="U6954">
        <v>-4.4891359999999998E-2</v>
      </c>
      <c r="V6954">
        <v>3.5599980000000003E-2</v>
      </c>
      <c r="W6954">
        <v>0.20654120000000001</v>
      </c>
      <c r="X6954">
        <v>0.9777901</v>
      </c>
      <c r="Y6954">
        <v>-1.4361779999999999E-2</v>
      </c>
      <c r="Z6954">
        <v>3.0406610000000001E-4</v>
      </c>
      <c r="AA6954">
        <v>0.99989680000000003</v>
      </c>
      <c r="AB6954">
        <v>30</v>
      </c>
      <c r="AC6954">
        <v>68.602699999999999</v>
      </c>
      <c r="AD6954">
        <v>-1.0405795200000001</v>
      </c>
      <c r="AE6954">
        <v>-0.99979999999999303</v>
      </c>
      <c r="AF6954">
        <v>-0.98792982245839001</v>
      </c>
      <c r="AG6954">
        <v>-1.0405795200000001</v>
      </c>
      <c r="AH6954">
        <v>68.587091916121807</v>
      </c>
      <c r="AI6954">
        <v>90.869114824239006</v>
      </c>
      <c r="AJ6954">
        <v>90.825232467515704</v>
      </c>
      <c r="AK6954">
        <v>68.602099010030997</v>
      </c>
      <c r="AL6954">
        <v>78.080266311905106</v>
      </c>
      <c r="AM6954">
        <v>87.914861234874706</v>
      </c>
      <c r="AN6954">
        <v>1.00000005276572</v>
      </c>
    </row>
    <row r="6955" spans="1:40" x14ac:dyDescent="0.25">
      <c r="A6955" t="str">
        <f>"20190303170426039"</f>
        <v>20190303170426039</v>
      </c>
      <c r="B6955" t="str">
        <f>"1551603866032432"</f>
        <v>1551603866032432</v>
      </c>
      <c r="C6955" t="s">
        <v>40</v>
      </c>
      <c r="D6955">
        <v>4.7634800000000004</v>
      </c>
      <c r="E6955">
        <v>0.48684949999999999</v>
      </c>
      <c r="F6955" t="s">
        <v>75</v>
      </c>
      <c r="G6955">
        <v>-179.95769999999999</v>
      </c>
      <c r="H6955">
        <v>2.5790569999999999E-2</v>
      </c>
      <c r="I6955">
        <v>-64.453669999999903</v>
      </c>
      <c r="J6955">
        <v>-248.3708</v>
      </c>
      <c r="K6955">
        <v>1.1205579999999999</v>
      </c>
      <c r="L6955">
        <v>-63.370849999999997</v>
      </c>
      <c r="M6955">
        <v>0.99950209999999995</v>
      </c>
      <c r="N6955">
        <v>-1.111039E-2</v>
      </c>
      <c r="O6955">
        <v>-2.9531370000000001E-2</v>
      </c>
      <c r="P6955">
        <v>0.97859390000000002</v>
      </c>
      <c r="Q6955">
        <v>0.1956465</v>
      </c>
      <c r="R6955">
        <v>-6.3848989999999994E-2</v>
      </c>
      <c r="S6955">
        <v>3.0722499999999999</v>
      </c>
      <c r="T6955">
        <v>-4.9059869999999998E-2</v>
      </c>
      <c r="U6955">
        <v>-4.873657E-2</v>
      </c>
      <c r="V6955">
        <v>3.5381259999999998E-2</v>
      </c>
      <c r="W6955">
        <v>0.20644509999999999</v>
      </c>
      <c r="X6955">
        <v>0.97781830000000003</v>
      </c>
      <c r="Y6955">
        <v>-1.3671610000000001E-2</v>
      </c>
      <c r="Z6955">
        <v>3.2840480000000002E-4</v>
      </c>
      <c r="AA6955">
        <v>0.99990650000000003</v>
      </c>
      <c r="AB6955">
        <v>30</v>
      </c>
      <c r="AC6955">
        <v>68.4131</v>
      </c>
      <c r="AD6955">
        <v>-1.0947674300000001</v>
      </c>
      <c r="AE6955">
        <v>-1.0828199999999899</v>
      </c>
      <c r="AF6955">
        <v>-0.93786950807289104</v>
      </c>
      <c r="AG6955">
        <v>-1.0947674300000001</v>
      </c>
      <c r="AH6955">
        <v>68.397726864841601</v>
      </c>
      <c r="AI6955">
        <v>90.9169062482149</v>
      </c>
      <c r="AJ6955">
        <v>90.785590393090402</v>
      </c>
      <c r="AK6955">
        <v>68.412916581720395</v>
      </c>
      <c r="AL6955">
        <v>78.085893325662497</v>
      </c>
      <c r="AM6955">
        <v>87.927720469078594</v>
      </c>
      <c r="AN6955">
        <v>1.00000002034404</v>
      </c>
    </row>
    <row r="6956" spans="1:40" x14ac:dyDescent="0.25">
      <c r="A6956" t="str">
        <f>"20190303170426050"</f>
        <v>20190303170426050</v>
      </c>
      <c r="B6956" t="str">
        <f>"1551603866042193"</f>
        <v>1551603866042193</v>
      </c>
      <c r="C6956" t="s">
        <v>40</v>
      </c>
      <c r="D6956">
        <v>4.7655240000000001</v>
      </c>
      <c r="E6956">
        <v>0.48713709999999999</v>
      </c>
      <c r="F6956" t="s">
        <v>75</v>
      </c>
      <c r="G6956">
        <v>-180.33160000000001</v>
      </c>
      <c r="H6956" s="1">
        <v>-8.7363839999999995E-6</v>
      </c>
      <c r="I6956">
        <v>-64.608409999999907</v>
      </c>
      <c r="J6956">
        <v>-248.2063</v>
      </c>
      <c r="K6956">
        <v>1.120547</v>
      </c>
      <c r="L6956">
        <v>-63.376309999999997</v>
      </c>
      <c r="M6956">
        <v>0.99948369999999997</v>
      </c>
      <c r="N6956">
        <v>-1.106241E-2</v>
      </c>
      <c r="O6956">
        <v>-3.0171679999999999E-2</v>
      </c>
      <c r="P6956">
        <v>0.97856109999999996</v>
      </c>
      <c r="Q6956">
        <v>0.19568920000000001</v>
      </c>
      <c r="R6956">
        <v>-6.4221070000000005E-2</v>
      </c>
      <c r="S6956">
        <v>3.0721129999999999</v>
      </c>
      <c r="T6956">
        <v>-5.0596000000000002E-2</v>
      </c>
      <c r="U6956">
        <v>-5.5877690000000001E-2</v>
      </c>
      <c r="V6956">
        <v>3.512676E-2</v>
      </c>
      <c r="W6956">
        <v>0.20644090000000001</v>
      </c>
      <c r="X6956">
        <v>0.97782829999999998</v>
      </c>
      <c r="Y6956">
        <v>-1.1987980000000001E-2</v>
      </c>
      <c r="Z6956">
        <v>3.2796380000000002E-4</v>
      </c>
      <c r="AA6956">
        <v>0.99992809999999999</v>
      </c>
      <c r="AB6956">
        <v>30</v>
      </c>
      <c r="AC6956">
        <v>67.874699999999905</v>
      </c>
      <c r="AD6956">
        <v>-1.120555736384</v>
      </c>
      <c r="AE6956">
        <v>-1.23209999999999</v>
      </c>
      <c r="AF6956">
        <v>-0.81625726965377798</v>
      </c>
      <c r="AG6956">
        <v>-1.120555736384</v>
      </c>
      <c r="AH6956">
        <v>67.862481757094201</v>
      </c>
      <c r="AI6956">
        <v>90.945922343855599</v>
      </c>
      <c r="AJ6956">
        <v>90.689126600375701</v>
      </c>
      <c r="AK6956">
        <v>67.876640689714094</v>
      </c>
      <c r="AL6956">
        <v>78.086138528740193</v>
      </c>
      <c r="AM6956">
        <v>87.942634693873998</v>
      </c>
      <c r="AN6956">
        <v>0.99999995937089803</v>
      </c>
    </row>
    <row r="6957" spans="1:40" x14ac:dyDescent="0.25">
      <c r="A6957" t="str">
        <f>"20190303170426061"</f>
        <v>20190303170426061</v>
      </c>
      <c r="B6957" t="str">
        <f>"1551603866052929"</f>
        <v>1551603866052929</v>
      </c>
      <c r="C6957" t="s">
        <v>40</v>
      </c>
      <c r="D6957">
        <v>4.7638249999999998</v>
      </c>
      <c r="E6957">
        <v>0.48743950000000003</v>
      </c>
      <c r="F6957" t="s">
        <v>75</v>
      </c>
      <c r="G6957">
        <v>-180.62629999999999</v>
      </c>
      <c r="H6957" s="1">
        <v>-8.7370770000000002E-6</v>
      </c>
      <c r="I6957">
        <v>-64.687449999999998</v>
      </c>
      <c r="J6957">
        <v>-248.06710000000001</v>
      </c>
      <c r="K6957">
        <v>1.12053799999999</v>
      </c>
      <c r="L6957">
        <v>-63.381070000000001</v>
      </c>
      <c r="M6957">
        <v>0.99946760000000001</v>
      </c>
      <c r="N6957">
        <v>-1.101686E-2</v>
      </c>
      <c r="O6957">
        <v>-3.0713899999999999E-2</v>
      </c>
      <c r="P6957">
        <v>0.97853380000000001</v>
      </c>
      <c r="Q6957">
        <v>0.1956685</v>
      </c>
      <c r="R6957">
        <v>-6.4696359999999994E-2</v>
      </c>
      <c r="S6957">
        <v>3.0719759999999998</v>
      </c>
      <c r="T6957">
        <v>-5.093694E-2</v>
      </c>
      <c r="U6957">
        <v>-5.960083E-2</v>
      </c>
      <c r="V6957">
        <v>3.5071199999999997E-2</v>
      </c>
      <c r="W6957">
        <v>0.20637559999999999</v>
      </c>
      <c r="X6957">
        <v>0.97784409999999999</v>
      </c>
      <c r="Y6957">
        <v>-1.131826E-2</v>
      </c>
      <c r="Z6957">
        <v>3.268654E-4</v>
      </c>
      <c r="AA6957">
        <v>0.99993589999999999</v>
      </c>
      <c r="AB6957">
        <v>30</v>
      </c>
      <c r="AC6957">
        <v>67.440799999999996</v>
      </c>
      <c r="AD6957">
        <v>-1.1205467370769999</v>
      </c>
      <c r="AE6957">
        <v>-1.3063800000000001</v>
      </c>
      <c r="AF6957">
        <v>-0.76552064248160201</v>
      </c>
      <c r="AG6957">
        <v>-1.1205467370769999</v>
      </c>
      <c r="AH6957">
        <v>67.430496814482296</v>
      </c>
      <c r="AI6957">
        <v>90.951981033693599</v>
      </c>
      <c r="AJ6957">
        <v>90.650435927681698</v>
      </c>
      <c r="AK6957">
        <v>67.444151321607904</v>
      </c>
      <c r="AL6957">
        <v>78.089962541051094</v>
      </c>
      <c r="AM6957">
        <v>87.945919200883495</v>
      </c>
      <c r="AN6957">
        <v>0.999999980624804</v>
      </c>
    </row>
    <row r="6958" spans="1:40" x14ac:dyDescent="0.25">
      <c r="A6958" t="str">
        <f>"20190303170426070"</f>
        <v>20190303170426070</v>
      </c>
      <c r="B6958" t="str">
        <f>"1551603866062689"</f>
        <v>1551603866062689</v>
      </c>
      <c r="C6958" t="s">
        <v>40</v>
      </c>
      <c r="D6958">
        <v>4.7652919999999996</v>
      </c>
      <c r="E6958">
        <v>0.48769210000000002</v>
      </c>
      <c r="F6958" t="s">
        <v>75</v>
      </c>
      <c r="G6958">
        <v>-180.90260000000001</v>
      </c>
      <c r="H6958" s="1">
        <v>-8.7326169999999999E-6</v>
      </c>
      <c r="I6958">
        <v>-64.775630000000007</v>
      </c>
      <c r="J6958">
        <v>-247.9402</v>
      </c>
      <c r="K6958">
        <v>1.1205290000000001</v>
      </c>
      <c r="L6958">
        <v>-63.385440000000003</v>
      </c>
      <c r="M6958">
        <v>0.99945269999999997</v>
      </c>
      <c r="N6958">
        <v>-1.0972340000000001E-2</v>
      </c>
      <c r="O6958">
        <v>-3.1208090000000001E-2</v>
      </c>
      <c r="P6958">
        <v>0.97847899999999999</v>
      </c>
      <c r="Q6958">
        <v>0.1958637</v>
      </c>
      <c r="R6958">
        <v>-6.4932699999999996E-2</v>
      </c>
      <c r="S6958">
        <v>3.0718380000000001</v>
      </c>
      <c r="T6958">
        <v>-5.1249379999999997E-2</v>
      </c>
      <c r="U6958">
        <v>-6.3781740000000003E-2</v>
      </c>
      <c r="V6958">
        <v>3.4825189999999999E-2</v>
      </c>
      <c r="W6958">
        <v>0.20652770000000001</v>
      </c>
      <c r="X6958">
        <v>0.97782080000000005</v>
      </c>
      <c r="Y6958">
        <v>-1.045154E-2</v>
      </c>
      <c r="Z6958">
        <v>3.2252840000000001E-4</v>
      </c>
      <c r="AA6958">
        <v>0.99994530000000004</v>
      </c>
      <c r="AB6958">
        <v>30</v>
      </c>
      <c r="AC6958">
        <v>67.037599999999998</v>
      </c>
      <c r="AD6958">
        <v>-1.1205377326170001</v>
      </c>
      <c r="AE6958">
        <v>-1.39019</v>
      </c>
      <c r="AF6958">
        <v>-0.70253239659612399</v>
      </c>
      <c r="AG6958">
        <v>-1.1205377326170001</v>
      </c>
      <c r="AH6958">
        <v>67.029610861068704</v>
      </c>
      <c r="AI6958">
        <v>90.957674934814094</v>
      </c>
      <c r="AJ6958">
        <v>90.600490842472894</v>
      </c>
      <c r="AK6958">
        <v>67.042657232278501</v>
      </c>
      <c r="AL6958">
        <v>78.081056221169007</v>
      </c>
      <c r="AM6958">
        <v>87.960266955588395</v>
      </c>
      <c r="AN6958">
        <v>1.00000000081923</v>
      </c>
    </row>
    <row r="6959" spans="1:40" x14ac:dyDescent="0.25">
      <c r="A6959" t="str">
        <f>"20190303170426082"</f>
        <v>20190303170426082</v>
      </c>
      <c r="B6959" t="str">
        <f>"1551603866072448"</f>
        <v>1551603866072448</v>
      </c>
      <c r="C6959" t="s">
        <v>40</v>
      </c>
      <c r="D6959">
        <v>4.7640099999999999</v>
      </c>
      <c r="E6959">
        <v>0.48796410000000001</v>
      </c>
      <c r="F6959" t="s">
        <v>75</v>
      </c>
      <c r="G6959">
        <v>-180.03819999999999</v>
      </c>
      <c r="H6959" s="1">
        <v>-8.6143160000000003E-6</v>
      </c>
      <c r="I6959">
        <v>-64.863529999999997</v>
      </c>
      <c r="J6959">
        <v>-247.7895</v>
      </c>
      <c r="K6959">
        <v>1.1205179999999999</v>
      </c>
      <c r="L6959">
        <v>-63.390720000000002</v>
      </c>
      <c r="M6959">
        <v>0.99943490000000001</v>
      </c>
      <c r="N6959">
        <v>-1.091309E-2</v>
      </c>
      <c r="O6959">
        <v>-3.1795169999999998E-2</v>
      </c>
      <c r="P6959">
        <v>0.97845159999999998</v>
      </c>
      <c r="Q6959">
        <v>0.1959417</v>
      </c>
      <c r="R6959">
        <v>-6.5111379999999996E-2</v>
      </c>
      <c r="S6959">
        <v>3.0716860000000001</v>
      </c>
      <c r="T6959">
        <v>-5.0689819999999997E-2</v>
      </c>
      <c r="U6959">
        <v>-6.6864010000000001E-2</v>
      </c>
      <c r="V6959">
        <v>3.4429729999999999E-2</v>
      </c>
      <c r="W6959">
        <v>0.2065487</v>
      </c>
      <c r="X6959">
        <v>0.97783039999999999</v>
      </c>
      <c r="Y6959">
        <v>-1.003508E-2</v>
      </c>
      <c r="Z6959">
        <v>3.1502119999999998E-4</v>
      </c>
      <c r="AA6959">
        <v>0.99994959999999999</v>
      </c>
      <c r="AB6959">
        <v>30</v>
      </c>
      <c r="AC6959">
        <v>67.751300000000001</v>
      </c>
      <c r="AD6959">
        <v>-1.120526614316</v>
      </c>
      <c r="AE6959">
        <v>-1.4728100000000099</v>
      </c>
      <c r="AF6959">
        <v>-0.68204048987979604</v>
      </c>
      <c r="AG6959">
        <v>-1.120526614316</v>
      </c>
      <c r="AH6959">
        <v>67.745350478343596</v>
      </c>
      <c r="AI6959">
        <v>90.947553433995907</v>
      </c>
      <c r="AJ6959">
        <v>90.576817759902198</v>
      </c>
      <c r="AK6959">
        <v>67.758049489022596</v>
      </c>
      <c r="AL6959">
        <v>78.0798268658572</v>
      </c>
      <c r="AM6959">
        <v>87.983429842205496</v>
      </c>
      <c r="AN6959">
        <v>1.00000003147186</v>
      </c>
    </row>
    <row r="6960" spans="1:40" x14ac:dyDescent="0.25">
      <c r="A6960" t="str">
        <f>"20190303170426092"</f>
        <v>20190303170426092</v>
      </c>
      <c r="B6960" t="str">
        <f>"1551603866082209"</f>
        <v>1551603866082209</v>
      </c>
      <c r="C6960" t="s">
        <v>40</v>
      </c>
      <c r="D6960">
        <v>4.638331</v>
      </c>
      <c r="E6960">
        <v>0.4882262</v>
      </c>
      <c r="F6960" t="s">
        <v>75</v>
      </c>
      <c r="G6960">
        <v>-180.12989999999999</v>
      </c>
      <c r="H6960" s="1">
        <v>-8.6004819999999907E-6</v>
      </c>
      <c r="I6960">
        <v>-64.926739999999995</v>
      </c>
      <c r="J6960">
        <v>-247.6387</v>
      </c>
      <c r="K6960">
        <v>1.1205050000000001</v>
      </c>
      <c r="L6960">
        <v>-63.396059999999999</v>
      </c>
      <c r="M6960">
        <v>0.99941679999999999</v>
      </c>
      <c r="N6960">
        <v>-1.08501E-2</v>
      </c>
      <c r="O6960">
        <v>-3.2382950000000001E-2</v>
      </c>
      <c r="P6960">
        <v>0.97838499999999995</v>
      </c>
      <c r="Q6960">
        <v>0.19625319999999999</v>
      </c>
      <c r="R6960">
        <v>-6.5176170000000005E-2</v>
      </c>
      <c r="S6960">
        <v>3.071609</v>
      </c>
      <c r="T6960">
        <v>-5.0869579999999998E-2</v>
      </c>
      <c r="U6960">
        <v>-6.9732669999999997E-2</v>
      </c>
      <c r="V6960">
        <v>3.3921310000000003E-2</v>
      </c>
      <c r="W6960">
        <v>0.2067988</v>
      </c>
      <c r="X6960">
        <v>0.97779530000000003</v>
      </c>
      <c r="Y6960">
        <v>-9.6892190000000007E-3</v>
      </c>
      <c r="Z6960">
        <v>3.174777E-4</v>
      </c>
      <c r="AA6960">
        <v>0.99995299999999998</v>
      </c>
      <c r="AB6960">
        <v>30</v>
      </c>
      <c r="AC6960">
        <v>67.508799999999994</v>
      </c>
      <c r="AD6960">
        <v>-1.12051360048199</v>
      </c>
      <c r="AE6960">
        <v>-1.53067999999999</v>
      </c>
      <c r="AF6960">
        <v>-0.65620463183210198</v>
      </c>
      <c r="AG6960">
        <v>-1.12051360048199</v>
      </c>
      <c r="AH6960">
        <v>67.504373113934307</v>
      </c>
      <c r="AI6960">
        <v>90.950927613531405</v>
      </c>
      <c r="AJ6960">
        <v>90.556950164128807</v>
      </c>
      <c r="AK6960">
        <v>67.516861188542805</v>
      </c>
      <c r="AL6960">
        <v>78.065180893459299</v>
      </c>
      <c r="AM6960">
        <v>88.013113001635901</v>
      </c>
      <c r="AN6960">
        <v>1.0000000238278199</v>
      </c>
    </row>
    <row r="6961" spans="1:40" x14ac:dyDescent="0.25">
      <c r="A6961" t="str">
        <f>"20190303170426105"</f>
        <v>20190303170426105</v>
      </c>
      <c r="B6961" t="str">
        <f>"1551603866092945"</f>
        <v>1551603866092945</v>
      </c>
      <c r="C6961" t="s">
        <v>40</v>
      </c>
      <c r="D6961">
        <v>4.7656549999999998</v>
      </c>
      <c r="E6961">
        <v>0.48841329999999999</v>
      </c>
      <c r="F6961" t="s">
        <v>75</v>
      </c>
      <c r="G6961">
        <v>-179.95769999999999</v>
      </c>
      <c r="H6961">
        <v>1.555842E-2</v>
      </c>
      <c r="I6961">
        <v>-64.98639</v>
      </c>
      <c r="J6961">
        <v>-247.4906</v>
      </c>
      <c r="K6961">
        <v>1.1204879999999999</v>
      </c>
      <c r="L6961">
        <v>-63.401429999999998</v>
      </c>
      <c r="M6961">
        <v>0.99939849999999997</v>
      </c>
      <c r="N6961">
        <v>-1.078321E-2</v>
      </c>
      <c r="O6961">
        <v>-3.2959860000000001E-2</v>
      </c>
      <c r="P6961">
        <v>0.97839330000000002</v>
      </c>
      <c r="Q6961">
        <v>0.19628860000000001</v>
      </c>
      <c r="R6961">
        <v>-6.4939990000000003E-2</v>
      </c>
      <c r="S6961">
        <v>3.0715330000000001</v>
      </c>
      <c r="T6961">
        <v>-5.0145269999999999E-2</v>
      </c>
      <c r="U6961">
        <v>-7.2174070000000007E-2</v>
      </c>
      <c r="V6961">
        <v>3.3120040000000003E-2</v>
      </c>
      <c r="W6961">
        <v>0.2067708</v>
      </c>
      <c r="X6961">
        <v>0.9778287</v>
      </c>
      <c r="Y6961">
        <v>-9.4716039999999998E-3</v>
      </c>
      <c r="Z6961">
        <v>3.1079350000000003E-4</v>
      </c>
      <c r="AA6961">
        <v>0.99995509999999999</v>
      </c>
      <c r="AB6961">
        <v>30</v>
      </c>
      <c r="AC6961">
        <v>67.532899999999998</v>
      </c>
      <c r="AD6961">
        <v>-1.1049295800000001</v>
      </c>
      <c r="AE6961">
        <v>-1.5849599999999899</v>
      </c>
      <c r="AF6961">
        <v>-0.64173391252788303</v>
      </c>
      <c r="AG6961">
        <v>-1.1049295800000001</v>
      </c>
      <c r="AH6961">
        <v>67.530379082395797</v>
      </c>
      <c r="AI6961">
        <v>90.937345478533203</v>
      </c>
      <c r="AJ6961">
        <v>90.544459227399997</v>
      </c>
      <c r="AK6961">
        <v>67.542466573284997</v>
      </c>
      <c r="AL6961">
        <v>78.066820734549907</v>
      </c>
      <c r="AM6961">
        <v>88.060076040889797</v>
      </c>
      <c r="AN6961">
        <v>1.00000003366296</v>
      </c>
    </row>
    <row r="6962" spans="1:40" x14ac:dyDescent="0.25">
      <c r="A6962" t="str">
        <f>"20190303170426116"</f>
        <v>20190303170426116</v>
      </c>
      <c r="B6962" t="str">
        <f>"1551603866102704"</f>
        <v>1551603866102704</v>
      </c>
      <c r="C6962" t="s">
        <v>40</v>
      </c>
      <c r="D6962">
        <v>4.6472470000000001</v>
      </c>
      <c r="E6962">
        <v>0.48863240000000002</v>
      </c>
      <c r="F6962" t="s">
        <v>75</v>
      </c>
      <c r="G6962">
        <v>-179.95769999999999</v>
      </c>
      <c r="H6962">
        <v>1.246746E-2</v>
      </c>
      <c r="I6962">
        <v>-65.009119999999996</v>
      </c>
      <c r="J6962">
        <v>-247.3417</v>
      </c>
      <c r="K6962">
        <v>1.1204780000000001</v>
      </c>
      <c r="L6962">
        <v>-63.406889999999997</v>
      </c>
      <c r="M6962">
        <v>0.99938009999999999</v>
      </c>
      <c r="N6962">
        <v>-1.0715179999999999E-2</v>
      </c>
      <c r="O6962">
        <v>-3.3539869999999999E-2</v>
      </c>
      <c r="P6962">
        <v>0.97851299999999997</v>
      </c>
      <c r="Q6962">
        <v>0.195742</v>
      </c>
      <c r="R6962">
        <v>-6.4788810000000002E-2</v>
      </c>
      <c r="S6962">
        <v>3.0714869999999999</v>
      </c>
      <c r="T6962">
        <v>-5.0394300000000003E-2</v>
      </c>
      <c r="U6962">
        <v>-7.3120119999999997E-2</v>
      </c>
      <c r="V6962">
        <v>3.2395680000000003E-2</v>
      </c>
      <c r="W6962">
        <v>0.20616100000000001</v>
      </c>
      <c r="X6962">
        <v>0.97798169999999995</v>
      </c>
      <c r="Y6962">
        <v>-9.7436290000000002E-3</v>
      </c>
      <c r="Z6962">
        <v>3.2275549999999999E-4</v>
      </c>
      <c r="AA6962">
        <v>0.99995250000000002</v>
      </c>
      <c r="AB6962">
        <v>30</v>
      </c>
      <c r="AC6962">
        <v>67.384</v>
      </c>
      <c r="AD6962">
        <v>-1.10801054</v>
      </c>
      <c r="AE6962">
        <v>-1.6022299999999901</v>
      </c>
      <c r="AF6962">
        <v>-0.65867354905355302</v>
      </c>
      <c r="AG6962">
        <v>-1.10801054</v>
      </c>
      <c r="AH6962">
        <v>67.381617421367295</v>
      </c>
      <c r="AI6962">
        <v>90.942031028790595</v>
      </c>
      <c r="AJ6962">
        <v>90.5600639147941</v>
      </c>
      <c r="AK6962">
        <v>67.393945607305696</v>
      </c>
      <c r="AL6962">
        <v>78.102528935999004</v>
      </c>
      <c r="AM6962">
        <v>88.1027689043339</v>
      </c>
      <c r="AN6962">
        <v>1.0000000217692699</v>
      </c>
    </row>
    <row r="6963" spans="1:40" x14ac:dyDescent="0.25">
      <c r="A6963" t="str">
        <f>"20190303170426128"</f>
        <v>20190303170426128</v>
      </c>
      <c r="B6963" t="str">
        <f>"1551603866122224"</f>
        <v>1551603866122224</v>
      </c>
      <c r="C6963" t="s">
        <v>40</v>
      </c>
      <c r="D6963">
        <v>4.5948699999999896</v>
      </c>
      <c r="E6963">
        <v>0.48894690000000002</v>
      </c>
      <c r="F6963" t="s">
        <v>75</v>
      </c>
      <c r="G6963">
        <v>-181.85769999999999</v>
      </c>
      <c r="H6963" s="1">
        <v>-8.7477609999999995E-6</v>
      </c>
      <c r="I6963">
        <v>-64.996409999999997</v>
      </c>
      <c r="J6963">
        <v>-247.18520000000001</v>
      </c>
      <c r="K6963">
        <v>1.120463</v>
      </c>
      <c r="L6963">
        <v>-63.412750000000003</v>
      </c>
      <c r="M6963">
        <v>0.99936009999999997</v>
      </c>
      <c r="N6963">
        <v>-1.064287E-2</v>
      </c>
      <c r="O6963">
        <v>-3.4148820000000003E-2</v>
      </c>
      <c r="P6963">
        <v>0.9785045</v>
      </c>
      <c r="Q6963">
        <v>0.19573660000000001</v>
      </c>
      <c r="R6963">
        <v>-6.4932959999999998E-2</v>
      </c>
      <c r="S6963">
        <v>3.0714419999999998</v>
      </c>
      <c r="T6963">
        <v>-5.2554969999999999E-2</v>
      </c>
      <c r="U6963">
        <v>-7.455444E-2</v>
      </c>
      <c r="V6963">
        <v>3.1943149999999997E-2</v>
      </c>
      <c r="W6963">
        <v>0.20608580000000001</v>
      </c>
      <c r="X6963">
        <v>0.9780124</v>
      </c>
      <c r="Y6963">
        <v>-9.8855079999999994E-3</v>
      </c>
      <c r="Z6963">
        <v>3.5773839999999902E-4</v>
      </c>
      <c r="AA6963">
        <v>0.99995109999999998</v>
      </c>
      <c r="AB6963">
        <v>30</v>
      </c>
      <c r="AC6963">
        <v>65.327500000000001</v>
      </c>
      <c r="AD6963">
        <v>-1.120471747761</v>
      </c>
      <c r="AE6963">
        <v>-1.5836599999999901</v>
      </c>
      <c r="AF6963">
        <v>-0.648056598341751</v>
      </c>
      <c r="AG6963">
        <v>-1.120471747761</v>
      </c>
      <c r="AH6963">
        <v>65.324271529910703</v>
      </c>
      <c r="AI6963">
        <v>90.982618680189304</v>
      </c>
      <c r="AJ6963">
        <v>90.568390416765794</v>
      </c>
      <c r="AK6963">
        <v>65.337094251318604</v>
      </c>
      <c r="AL6963">
        <v>78.106931727348993</v>
      </c>
      <c r="AM6963">
        <v>88.129310734628703</v>
      </c>
      <c r="AN6963">
        <v>0.99999998817366098</v>
      </c>
    </row>
    <row r="6964" spans="1:40" x14ac:dyDescent="0.25">
      <c r="A6964" t="str">
        <f>"20190303170426138"</f>
        <v>20190303170426138</v>
      </c>
      <c r="B6964" t="str">
        <f>"1551603866132961"</f>
        <v>1551603866132961</v>
      </c>
      <c r="C6964" t="s">
        <v>40</v>
      </c>
      <c r="D6964">
        <v>4.704834</v>
      </c>
      <c r="E6964">
        <v>0.48909000000000002</v>
      </c>
      <c r="F6964" t="s">
        <v>75</v>
      </c>
      <c r="G6964">
        <v>-182.29689999999999</v>
      </c>
      <c r="H6964" s="1">
        <v>-8.7708400000000002E-6</v>
      </c>
      <c r="I6964">
        <v>-65.053609999999907</v>
      </c>
      <c r="J6964">
        <v>-247.04069999999999</v>
      </c>
      <c r="K6964">
        <v>1.1204529999999999</v>
      </c>
      <c r="L6964">
        <v>-63.418210000000002</v>
      </c>
      <c r="M6964">
        <v>0.99934149999999999</v>
      </c>
      <c r="N6964">
        <v>-1.0576189999999999E-2</v>
      </c>
      <c r="O6964">
        <v>-3.471109E-2</v>
      </c>
      <c r="P6964">
        <v>0.97853749999999995</v>
      </c>
      <c r="Q6964">
        <v>0.19552539999999999</v>
      </c>
      <c r="R6964">
        <v>-6.5073469999999994E-2</v>
      </c>
      <c r="S6964">
        <v>3.0713810000000001</v>
      </c>
      <c r="T6964">
        <v>-5.3035739999999998E-2</v>
      </c>
      <c r="U6964">
        <v>-7.7667239999999999E-2</v>
      </c>
      <c r="V6964">
        <v>3.1531339999999998E-2</v>
      </c>
      <c r="W6964">
        <v>0.20581050000000001</v>
      </c>
      <c r="X6964">
        <v>0.9780837</v>
      </c>
      <c r="Y6964">
        <v>-9.4348069999999999E-3</v>
      </c>
      <c r="Z6964">
        <v>3.6328450000000002E-4</v>
      </c>
      <c r="AA6964">
        <v>0.99995540000000005</v>
      </c>
      <c r="AB6964">
        <v>30</v>
      </c>
      <c r="AC6964">
        <v>64.743799999999993</v>
      </c>
      <c r="AD6964">
        <v>-1.12046177084</v>
      </c>
      <c r="AE6964">
        <v>-1.63539999999999</v>
      </c>
      <c r="AF6964">
        <v>-0.61285558726839495</v>
      </c>
      <c r="AG6964">
        <v>-1.12046177084</v>
      </c>
      <c r="AH6964">
        <v>64.742172015701101</v>
      </c>
      <c r="AI6964">
        <v>90.991447229705997</v>
      </c>
      <c r="AJ6964">
        <v>90.542351125145203</v>
      </c>
      <c r="AK6964">
        <v>64.754767113019497</v>
      </c>
      <c r="AL6964">
        <v>78.123050411232498</v>
      </c>
      <c r="AM6964">
        <v>88.153545309872996</v>
      </c>
      <c r="AN6964">
        <v>0.99999995575906597</v>
      </c>
    </row>
    <row r="6965" spans="1:40" x14ac:dyDescent="0.25">
      <c r="A6965" t="str">
        <f>"20190303170426148"</f>
        <v>20190303170426148</v>
      </c>
      <c r="B6965" t="str">
        <f>"1551603866142720"</f>
        <v>1551603866142720</v>
      </c>
      <c r="C6965" t="s">
        <v>40</v>
      </c>
      <c r="D6965">
        <v>4.5939240000000003</v>
      </c>
      <c r="E6965">
        <v>0.48921720000000002</v>
      </c>
      <c r="F6965" t="s">
        <v>75</v>
      </c>
      <c r="G6965">
        <v>-183.44059999999999</v>
      </c>
      <c r="H6965" s="1">
        <v>-8.8811500000000005E-6</v>
      </c>
      <c r="I6965">
        <v>-65.064440000000005</v>
      </c>
      <c r="J6965">
        <v>-246.90029999999999</v>
      </c>
      <c r="K6965">
        <v>1.120441</v>
      </c>
      <c r="L6965">
        <v>-63.423609999999996</v>
      </c>
      <c r="M6965">
        <v>0.99932299999999996</v>
      </c>
      <c r="N6965">
        <v>-1.05115E-2</v>
      </c>
      <c r="O6965">
        <v>-3.525727E-2</v>
      </c>
      <c r="P6965">
        <v>0.97853480000000004</v>
      </c>
      <c r="Q6965">
        <v>0.1955229</v>
      </c>
      <c r="R6965">
        <v>-6.5119930000000006E-2</v>
      </c>
      <c r="S6965">
        <v>3.0713499999999998</v>
      </c>
      <c r="T6965">
        <v>-5.4108860000000002E-2</v>
      </c>
      <c r="U6965">
        <v>-7.9498289999999999E-2</v>
      </c>
      <c r="V6965">
        <v>3.1042790000000001E-2</v>
      </c>
      <c r="W6965">
        <v>0.20574619999999999</v>
      </c>
      <c r="X6965">
        <v>0.97811289999999995</v>
      </c>
      <c r="Y6965">
        <v>-9.3851290000000007E-3</v>
      </c>
      <c r="Z6965">
        <v>3.821664E-4</v>
      </c>
      <c r="AA6965">
        <v>0.99995590000000001</v>
      </c>
      <c r="AB6965">
        <v>30</v>
      </c>
      <c r="AC6965">
        <v>63.459699999999998</v>
      </c>
      <c r="AD6965">
        <v>-1.1204498811499899</v>
      </c>
      <c r="AE6965">
        <v>-1.64083</v>
      </c>
      <c r="AF6965">
        <v>-0.59754348224506904</v>
      </c>
      <c r="AG6965">
        <v>-1.1204498811499899</v>
      </c>
      <c r="AH6965">
        <v>63.458326056510998</v>
      </c>
      <c r="AI6965">
        <v>91.011491137858002</v>
      </c>
      <c r="AJ6965">
        <v>90.539499068143598</v>
      </c>
      <c r="AK6965">
        <v>63.4710297068182</v>
      </c>
      <c r="AL6965">
        <v>78.126815625062505</v>
      </c>
      <c r="AM6965">
        <v>88.182189365434695</v>
      </c>
      <c r="AN6965">
        <v>0.99999999938591699</v>
      </c>
    </row>
    <row r="6966" spans="1:40" x14ac:dyDescent="0.25">
      <c r="A6966" t="str">
        <f>"20190303170426160"</f>
        <v>20190303170426160</v>
      </c>
      <c r="B6966" t="str">
        <f>"1551603866152480"</f>
        <v>1551603866152480</v>
      </c>
      <c r="C6966" t="s">
        <v>40</v>
      </c>
      <c r="D6966">
        <v>4.6128980000000004</v>
      </c>
      <c r="E6966">
        <v>0.48928529999999998</v>
      </c>
      <c r="F6966" t="s">
        <v>75</v>
      </c>
      <c r="G6966">
        <v>-183.6721</v>
      </c>
      <c r="H6966" s="1">
        <v>-8.8953019999999998E-6</v>
      </c>
      <c r="I6966">
        <v>-65.089129999999997</v>
      </c>
      <c r="J6966">
        <v>-246.75</v>
      </c>
      <c r="K6966">
        <v>1.1204289999999999</v>
      </c>
      <c r="L6966">
        <v>-63.429470000000002</v>
      </c>
      <c r="M6966">
        <v>0.99930289999999999</v>
      </c>
      <c r="N6966">
        <v>-1.044381E-2</v>
      </c>
      <c r="O6966">
        <v>-3.5841940000000003E-2</v>
      </c>
      <c r="P6966">
        <v>0.97854390000000002</v>
      </c>
      <c r="Q6966">
        <v>0.195359</v>
      </c>
      <c r="R6966">
        <v>-6.5473799999999999E-2</v>
      </c>
      <c r="S6966">
        <v>3.0713200000000001</v>
      </c>
      <c r="T6966">
        <v>-5.4425950000000001E-2</v>
      </c>
      <c r="U6966">
        <v>-8.0902100000000005E-2</v>
      </c>
      <c r="V6966">
        <v>3.0823039999999999E-2</v>
      </c>
      <c r="W6966">
        <v>0.20551659999999999</v>
      </c>
      <c r="X6966">
        <v>0.97816809999999998</v>
      </c>
      <c r="Y6966">
        <v>-9.5130509999999998E-3</v>
      </c>
      <c r="Z6966">
        <v>3.9440379999999999E-4</v>
      </c>
      <c r="AA6966">
        <v>0.99995469999999997</v>
      </c>
      <c r="AB6966">
        <v>30</v>
      </c>
      <c r="AC6966">
        <v>63.0779</v>
      </c>
      <c r="AD6966">
        <v>-1.120437895302</v>
      </c>
      <c r="AE6966">
        <v>-1.6596600000000099</v>
      </c>
      <c r="AF6966">
        <v>-0.60217424269612096</v>
      </c>
      <c r="AG6966">
        <v>-1.120437895302</v>
      </c>
      <c r="AH6966">
        <v>63.076966879434202</v>
      </c>
      <c r="AI6966">
        <v>91.017593123794896</v>
      </c>
      <c r="AJ6966">
        <v>90.546966606753998</v>
      </c>
      <c r="AK6966">
        <v>63.0897911361659</v>
      </c>
      <c r="AL6966">
        <v>78.140257800277595</v>
      </c>
      <c r="AM6966">
        <v>88.195150782527193</v>
      </c>
      <c r="AN6966">
        <v>0.99999998226400499</v>
      </c>
    </row>
    <row r="6967" spans="1:40" x14ac:dyDescent="0.25">
      <c r="A6967" t="str">
        <f>"20190303170426170"</f>
        <v>20190303170426170</v>
      </c>
      <c r="B6967" t="str">
        <f>"1551603866162240"</f>
        <v>1551603866162240</v>
      </c>
      <c r="C6967" t="s">
        <v>40</v>
      </c>
      <c r="D6967">
        <v>4.5889430000000004</v>
      </c>
      <c r="E6967">
        <v>0.48940459999999902</v>
      </c>
      <c r="F6967" t="s">
        <v>75</v>
      </c>
      <c r="G6967">
        <v>-184.46680000000001</v>
      </c>
      <c r="H6967" s="1">
        <v>-8.9669730000000002E-6</v>
      </c>
      <c r="I6967">
        <v>-65.110339999999994</v>
      </c>
      <c r="J6967">
        <v>-246.61009999999999</v>
      </c>
      <c r="K6967">
        <v>1.1204179999999999</v>
      </c>
      <c r="L6967">
        <v>-63.435000000000002</v>
      </c>
      <c r="M6967">
        <v>0.9992839</v>
      </c>
      <c r="N6967">
        <v>-1.038244E-2</v>
      </c>
      <c r="O6967">
        <v>-3.6386010000000003E-2</v>
      </c>
      <c r="P6967">
        <v>0.97852229999999996</v>
      </c>
      <c r="Q6967">
        <v>0.19532250000000001</v>
      </c>
      <c r="R6967">
        <v>-6.5903379999999998E-2</v>
      </c>
      <c r="S6967">
        <v>3.071259</v>
      </c>
      <c r="T6967">
        <v>-5.5250050000000002E-2</v>
      </c>
      <c r="U6967">
        <v>-8.2885739999999999E-2</v>
      </c>
      <c r="V6967">
        <v>3.072018E-2</v>
      </c>
      <c r="W6967">
        <v>0.2054204</v>
      </c>
      <c r="X6967">
        <v>0.97819160000000005</v>
      </c>
      <c r="Y6967">
        <v>-9.411417E-3</v>
      </c>
      <c r="Z6967">
        <v>4.0989189999999999E-4</v>
      </c>
      <c r="AA6967">
        <v>0.9999557</v>
      </c>
      <c r="AB6967">
        <v>30</v>
      </c>
      <c r="AC6967">
        <v>62.143299999999897</v>
      </c>
      <c r="AD6967">
        <v>-1.120426966973</v>
      </c>
      <c r="AE6967">
        <v>-1.6753400000000001</v>
      </c>
      <c r="AF6967">
        <v>-0.58684744375970599</v>
      </c>
      <c r="AG6967">
        <v>-1.120426966973</v>
      </c>
      <c r="AH6967">
        <v>62.1429209059947</v>
      </c>
      <c r="AI6967">
        <v>91.032875818685795</v>
      </c>
      <c r="AJ6967">
        <v>90.541057320506596</v>
      </c>
      <c r="AK6967">
        <v>62.155791083689699</v>
      </c>
      <c r="AL6967">
        <v>78.1458904940162</v>
      </c>
      <c r="AM6967">
        <v>88.201212993130497</v>
      </c>
      <c r="AN6967">
        <v>1.0000000382529699</v>
      </c>
    </row>
    <row r="6968" spans="1:40" x14ac:dyDescent="0.25">
      <c r="A6968" t="str">
        <f>"20190303170426181"</f>
        <v>20190303170426181</v>
      </c>
      <c r="B6968" t="str">
        <f>"1551603866172976"</f>
        <v>1551603866172976</v>
      </c>
      <c r="C6968" t="s">
        <v>40</v>
      </c>
      <c r="D6968">
        <v>4.7033009999999997</v>
      </c>
      <c r="E6968">
        <v>0.48954439999999999</v>
      </c>
      <c r="F6968" t="s">
        <v>75</v>
      </c>
      <c r="G6968">
        <v>-184.48609999999999</v>
      </c>
      <c r="H6968" s="1">
        <v>-8.9504729999999996E-6</v>
      </c>
      <c r="I6968">
        <v>-65.161029999999997</v>
      </c>
      <c r="J6968">
        <v>-246.4639</v>
      </c>
      <c r="K6968">
        <v>1.1204099999999999</v>
      </c>
      <c r="L6968">
        <v>-63.440860000000001</v>
      </c>
      <c r="M6968">
        <v>0.99926369999999998</v>
      </c>
      <c r="N6968">
        <v>-1.0321200000000001E-2</v>
      </c>
      <c r="O6968">
        <v>-3.695416E-2</v>
      </c>
      <c r="P6968">
        <v>0.97857459999999996</v>
      </c>
      <c r="Q6968">
        <v>0.1950489</v>
      </c>
      <c r="R6968">
        <v>-6.5939860000000003E-2</v>
      </c>
      <c r="S6968">
        <v>3.0711360000000001</v>
      </c>
      <c r="T6968">
        <v>-5.5388930000000003E-2</v>
      </c>
      <c r="U6968">
        <v>-8.5327150000000004E-2</v>
      </c>
      <c r="V6968">
        <v>3.0197410000000001E-2</v>
      </c>
      <c r="W6968">
        <v>0.20508860000000001</v>
      </c>
      <c r="X6968">
        <v>0.97827739999999996</v>
      </c>
      <c r="Y6968">
        <v>-9.1845439999999993E-3</v>
      </c>
      <c r="Z6968">
        <v>4.1486410000000001E-4</v>
      </c>
      <c r="AA6968">
        <v>0.99995769999999995</v>
      </c>
      <c r="AB6968">
        <v>30</v>
      </c>
      <c r="AC6968">
        <v>61.977800000000002</v>
      </c>
      <c r="AD6968">
        <v>-1.120418950473</v>
      </c>
      <c r="AE6968">
        <v>-1.72017000000001</v>
      </c>
      <c r="AF6968">
        <v>-0.57127796249249996</v>
      </c>
      <c r="AG6968">
        <v>-1.120418950473</v>
      </c>
      <c r="AH6968">
        <v>61.978793721556201</v>
      </c>
      <c r="AI6968">
        <v>91.035605178230497</v>
      </c>
      <c r="AJ6968">
        <v>90.528098197930206</v>
      </c>
      <c r="AK6968">
        <v>61.991552394775702</v>
      </c>
      <c r="AL6968">
        <v>78.165313676113897</v>
      </c>
      <c r="AM6968">
        <v>88.231958608591398</v>
      </c>
      <c r="AN6968">
        <v>0.99999994438571205</v>
      </c>
    </row>
    <row r="6969" spans="1:40" x14ac:dyDescent="0.25">
      <c r="A6969" t="str">
        <f>"20190303170426193"</f>
        <v>20190303170426193</v>
      </c>
      <c r="B6969" t="str">
        <f>"1551603866182737"</f>
        <v>1551603866182737</v>
      </c>
      <c r="C6969" t="s">
        <v>40</v>
      </c>
      <c r="D6969">
        <v>4.5834580000000003</v>
      </c>
      <c r="E6969">
        <v>0.489672</v>
      </c>
      <c r="F6969" t="s">
        <v>75</v>
      </c>
      <c r="G6969">
        <v>-185.58629999999999</v>
      </c>
      <c r="H6969" s="1">
        <v>-9.0643329999999992E-6</v>
      </c>
      <c r="I6969">
        <v>-65.164339999999996</v>
      </c>
      <c r="J6969">
        <v>-246.30709999999999</v>
      </c>
      <c r="K6969">
        <v>1.120401</v>
      </c>
      <c r="L6969">
        <v>-63.447200000000002</v>
      </c>
      <c r="M6969">
        <v>0.99924159999999995</v>
      </c>
      <c r="N6969">
        <v>-1.0257469999999999E-2</v>
      </c>
      <c r="O6969">
        <v>-3.7563310000000003E-2</v>
      </c>
      <c r="P6969">
        <v>0.97853140000000005</v>
      </c>
      <c r="Q6969">
        <v>0.1951592</v>
      </c>
      <c r="R6969">
        <v>-6.6251870000000004E-2</v>
      </c>
      <c r="S6969">
        <v>3.071075</v>
      </c>
      <c r="T6969">
        <v>-5.652153E-2</v>
      </c>
      <c r="U6969">
        <v>-8.6944579999999994E-2</v>
      </c>
      <c r="V6969">
        <v>2.9914699999999999E-2</v>
      </c>
      <c r="W6969">
        <v>0.20513719999999999</v>
      </c>
      <c r="X6969">
        <v>0.97827600000000003</v>
      </c>
      <c r="Y6969">
        <v>-9.2670730000000007E-3</v>
      </c>
      <c r="Z6969">
        <v>4.3837900000000003E-4</v>
      </c>
      <c r="AA6969">
        <v>0.99995699999999998</v>
      </c>
      <c r="AB6969">
        <v>30</v>
      </c>
      <c r="AC6969">
        <v>60.720799999999997</v>
      </c>
      <c r="AD6969">
        <v>-1.1204100643329999</v>
      </c>
      <c r="AE6969">
        <v>-1.7171399999999899</v>
      </c>
      <c r="AF6969">
        <v>-0.56487407339197404</v>
      </c>
      <c r="AG6969">
        <v>-1.1204100643329999</v>
      </c>
      <c r="AH6969">
        <v>60.721789193554301</v>
      </c>
      <c r="AI6969">
        <v>91.057029256811703</v>
      </c>
      <c r="AJ6969">
        <v>90.532987700566594</v>
      </c>
      <c r="AK6969">
        <v>60.734751866600199</v>
      </c>
      <c r="AL6969">
        <v>78.162469832116301</v>
      </c>
      <c r="AM6969">
        <v>88.248498256436307</v>
      </c>
      <c r="AN6969">
        <v>1.0000000461379599</v>
      </c>
    </row>
    <row r="6970" spans="1:40" x14ac:dyDescent="0.25">
      <c r="A6970" t="str">
        <f>"20190303170426205"</f>
        <v>20190303170426205</v>
      </c>
      <c r="B6970" t="str">
        <f>"1551603866192497"</f>
        <v>1551603866192497</v>
      </c>
      <c r="C6970" t="s">
        <v>40</v>
      </c>
      <c r="D6970">
        <v>4.703392</v>
      </c>
      <c r="E6970">
        <v>0.4897994</v>
      </c>
      <c r="F6970" t="s">
        <v>75</v>
      </c>
      <c r="G6970">
        <v>-185.07570000000001</v>
      </c>
      <c r="H6970" s="1">
        <v>-8.9873770000000001E-6</v>
      </c>
      <c r="I6970">
        <v>-65.221519999999998</v>
      </c>
      <c r="J6970">
        <v>-246.1583</v>
      </c>
      <c r="K6970">
        <v>1.1203909999999999</v>
      </c>
      <c r="L6970">
        <v>-63.453400000000002</v>
      </c>
      <c r="M6970">
        <v>0.99922040000000001</v>
      </c>
      <c r="N6970">
        <v>-1.0201109999999999E-2</v>
      </c>
      <c r="O6970">
        <v>-3.8141380000000003E-2</v>
      </c>
      <c r="P6970">
        <v>0.978487</v>
      </c>
      <c r="Q6970">
        <v>0.19527459999999999</v>
      </c>
      <c r="R6970">
        <v>-6.6566180000000003E-2</v>
      </c>
      <c r="S6970">
        <v>3.070999</v>
      </c>
      <c r="T6970">
        <v>-5.6192989999999998E-2</v>
      </c>
      <c r="U6970">
        <v>-8.8989260000000001E-2</v>
      </c>
      <c r="V6970">
        <v>2.9664449999999998E-2</v>
      </c>
      <c r="W6970">
        <v>0.20519780000000001</v>
      </c>
      <c r="X6970">
        <v>0.97827090000000005</v>
      </c>
      <c r="Y6970">
        <v>-9.179665E-3</v>
      </c>
      <c r="Z6970">
        <v>4.3915650000000002E-4</v>
      </c>
      <c r="AA6970">
        <v>0.99995769999999995</v>
      </c>
      <c r="AB6970">
        <v>30</v>
      </c>
      <c r="AC6970">
        <v>61.0825999999999</v>
      </c>
      <c r="AD6970">
        <v>-1.1203999873770001</v>
      </c>
      <c r="AE6970">
        <v>-1.7681199999999899</v>
      </c>
      <c r="AF6970">
        <v>-0.56287309970921195</v>
      </c>
      <c r="AG6970">
        <v>-1.1203999873770001</v>
      </c>
      <c r="AH6970">
        <v>61.085056422029197</v>
      </c>
      <c r="AI6970">
        <v>91.050736022619901</v>
      </c>
      <c r="AJ6970">
        <v>90.527941565040607</v>
      </c>
      <c r="AK6970">
        <v>61.097923371752898</v>
      </c>
      <c r="AL6970">
        <v>78.158922108908897</v>
      </c>
      <c r="AM6970">
        <v>88.263132299414195</v>
      </c>
      <c r="AN6970">
        <v>1.0000000352527201</v>
      </c>
    </row>
    <row r="6971" spans="1:40" x14ac:dyDescent="0.25">
      <c r="A6971" t="str">
        <f>"20190303170426216"</f>
        <v>20190303170426216</v>
      </c>
      <c r="B6971" t="str">
        <f>"1551603866202258"</f>
        <v>1551603866202258</v>
      </c>
      <c r="C6971" t="s">
        <v>40</v>
      </c>
      <c r="D6971">
        <v>4.643097</v>
      </c>
      <c r="E6971">
        <v>0.48990440000000002</v>
      </c>
      <c r="F6971" t="s">
        <v>75</v>
      </c>
      <c r="G6971">
        <v>-184.52189999999999</v>
      </c>
      <c r="H6971" s="1">
        <v>-8.9083629999999997E-6</v>
      </c>
      <c r="I6971">
        <v>-65.286689999999993</v>
      </c>
      <c r="J6971">
        <v>-246.00470000000001</v>
      </c>
      <c r="K6971">
        <v>1.120385</v>
      </c>
      <c r="L6971">
        <v>-63.459809999999997</v>
      </c>
      <c r="M6971">
        <v>0.99919800000000003</v>
      </c>
      <c r="N6971">
        <v>-1.014404E-2</v>
      </c>
      <c r="O6971">
        <v>-3.8738300000000003E-2</v>
      </c>
      <c r="P6971">
        <v>0.97841670000000003</v>
      </c>
      <c r="Q6971">
        <v>0.19547680000000001</v>
      </c>
      <c r="R6971">
        <v>-6.7005399999999896E-2</v>
      </c>
      <c r="S6971">
        <v>3.0708769999999999</v>
      </c>
      <c r="T6971">
        <v>-5.5821059999999999E-2</v>
      </c>
      <c r="U6971">
        <v>-9.1339110000000001E-2</v>
      </c>
      <c r="V6971">
        <v>2.9522050000000001E-2</v>
      </c>
      <c r="W6971">
        <v>0.20534340000000001</v>
      </c>
      <c r="X6971">
        <v>0.97824460000000002</v>
      </c>
      <c r="Y6971">
        <v>-9.0114140000000006E-3</v>
      </c>
      <c r="Z6971">
        <v>4.3831950000000001E-4</v>
      </c>
      <c r="AA6971">
        <v>0.9999593</v>
      </c>
      <c r="AB6971">
        <v>30</v>
      </c>
      <c r="AC6971">
        <v>61.482799999999997</v>
      </c>
      <c r="AD6971">
        <v>-1.1203939083629999</v>
      </c>
      <c r="AE6971">
        <v>-1.8268800000000001</v>
      </c>
      <c r="AF6971">
        <v>-0.55616835286078503</v>
      </c>
      <c r="AG6971">
        <v>-1.1203939083629999</v>
      </c>
      <c r="AH6971">
        <v>61.487019337421003</v>
      </c>
      <c r="AI6971">
        <v>91.043864455917799</v>
      </c>
      <c r="AJ6971">
        <v>90.518243210300099</v>
      </c>
      <c r="AK6971">
        <v>61.499741078698897</v>
      </c>
      <c r="AL6971">
        <v>78.150397672598103</v>
      </c>
      <c r="AM6971">
        <v>88.271418373850693</v>
      </c>
      <c r="AN6971">
        <v>0.99999998039446103</v>
      </c>
    </row>
    <row r="6972" spans="1:40" x14ac:dyDescent="0.25">
      <c r="A6972" t="str">
        <f>"20190303170426227"</f>
        <v>20190303170426227</v>
      </c>
      <c r="B6972" t="str">
        <f>"1551603866212993"</f>
        <v>1551603866212993</v>
      </c>
      <c r="C6972" t="s">
        <v>40</v>
      </c>
      <c r="D6972">
        <v>4.6405859999999999</v>
      </c>
      <c r="E6972">
        <v>0.48999939999999997</v>
      </c>
      <c r="F6972" t="s">
        <v>75</v>
      </c>
      <c r="G6972">
        <v>-183.30459999999999</v>
      </c>
      <c r="H6972" s="1">
        <v>-8.7561249999999906E-6</v>
      </c>
      <c r="I6972">
        <v>-65.370949999999993</v>
      </c>
      <c r="J6972">
        <v>-245.85230000000001</v>
      </c>
      <c r="K6972">
        <v>1.1203780000000001</v>
      </c>
      <c r="L6972">
        <v>-63.466279999999998</v>
      </c>
      <c r="M6972">
        <v>0.99917540000000005</v>
      </c>
      <c r="N6972">
        <v>-1.009206E-2</v>
      </c>
      <c r="O6972">
        <v>-3.9329759999999998E-2</v>
      </c>
      <c r="P6972">
        <v>0.97833009999999998</v>
      </c>
      <c r="Q6972">
        <v>0.1957364</v>
      </c>
      <c r="R6972">
        <v>-6.7511299999999996E-2</v>
      </c>
      <c r="S6972">
        <v>3.0707239999999998</v>
      </c>
      <c r="T6972">
        <v>-5.4871080000000003E-2</v>
      </c>
      <c r="U6972">
        <v>-9.3597410000000006E-2</v>
      </c>
      <c r="V6972">
        <v>2.9452030000000001E-2</v>
      </c>
      <c r="W6972">
        <v>0.20555200000000001</v>
      </c>
      <c r="X6972">
        <v>0.97820289999999999</v>
      </c>
      <c r="Y6972">
        <v>-8.8672649999999992E-3</v>
      </c>
      <c r="Z6972">
        <v>4.2933020000000003E-4</v>
      </c>
      <c r="AA6972">
        <v>0.99996059999999998</v>
      </c>
      <c r="AB6972">
        <v>30</v>
      </c>
      <c r="AC6972">
        <v>62.547699999999999</v>
      </c>
      <c r="AD6972">
        <v>-1.120386756125</v>
      </c>
      <c r="AE6972">
        <v>-1.9046699999999801</v>
      </c>
      <c r="AF6972">
        <v>-0.55673646948655697</v>
      </c>
      <c r="AG6972">
        <v>-1.120386756125</v>
      </c>
      <c r="AH6972">
        <v>62.554162621592198</v>
      </c>
      <c r="AI6972">
        <v>91.026055269196704</v>
      </c>
      <c r="AJ6972">
        <v>90.509923024491698</v>
      </c>
      <c r="AK6972">
        <v>62.566672304577303</v>
      </c>
      <c r="AL6972">
        <v>78.138185256002899</v>
      </c>
      <c r="AM6972">
        <v>88.275442252982202</v>
      </c>
      <c r="AN6972">
        <v>0.99999998017176495</v>
      </c>
    </row>
    <row r="6973" spans="1:40" x14ac:dyDescent="0.25">
      <c r="A6973" t="str">
        <f>"20190303170426239"</f>
        <v>20190303170426239</v>
      </c>
      <c r="B6973" t="str">
        <f>"1551603866232512"</f>
        <v>1551603866232512</v>
      </c>
      <c r="C6973" t="s">
        <v>40</v>
      </c>
      <c r="D6973">
        <v>4.5560260000000001</v>
      </c>
      <c r="E6973">
        <v>0.49014659999999899</v>
      </c>
      <c r="F6973" t="s">
        <v>75</v>
      </c>
      <c r="G6973">
        <v>-182.45269999999999</v>
      </c>
      <c r="H6973" s="1">
        <v>-8.6416639999999903E-6</v>
      </c>
      <c r="I6973">
        <v>-65.451700000000002</v>
      </c>
      <c r="J6973">
        <v>-245.6986</v>
      </c>
      <c r="K6973">
        <v>1.1203689999999999</v>
      </c>
      <c r="L6973">
        <v>-63.472929999999998</v>
      </c>
      <c r="M6973">
        <v>0.99915220000000005</v>
      </c>
      <c r="N6973">
        <v>-1.004126E-2</v>
      </c>
      <c r="O6973">
        <v>-3.9926709999999997E-2</v>
      </c>
      <c r="P6973">
        <v>0.97831140000000005</v>
      </c>
      <c r="Q6973">
        <v>0.19569810000000001</v>
      </c>
      <c r="R6973">
        <v>-6.7893490000000001E-2</v>
      </c>
      <c r="S6973">
        <v>3.0706790000000002</v>
      </c>
      <c r="T6973">
        <v>-5.4264550000000002E-2</v>
      </c>
      <c r="U6973">
        <v>-9.6160889999999999E-2</v>
      </c>
      <c r="V6973">
        <v>2.924993E-2</v>
      </c>
      <c r="W6973">
        <v>0.20546429999999999</v>
      </c>
      <c r="X6973">
        <v>0.97822739999999997</v>
      </c>
      <c r="Y6973">
        <v>-8.6303530000000003E-3</v>
      </c>
      <c r="Z6973">
        <v>4.2372360000000002E-4</v>
      </c>
      <c r="AA6973">
        <v>0.99996269999999998</v>
      </c>
      <c r="AB6973">
        <v>30</v>
      </c>
      <c r="AC6973">
        <v>63.245899999999999</v>
      </c>
      <c r="AD6973">
        <v>-1.1203776416639999</v>
      </c>
      <c r="AE6973">
        <v>-1.9787699999999899</v>
      </c>
      <c r="AF6973">
        <v>-0.54796413182931902</v>
      </c>
      <c r="AG6973">
        <v>-1.1203776416639999</v>
      </c>
      <c r="AH6973">
        <v>63.254642681651298</v>
      </c>
      <c r="AI6973">
        <v>91.014689012545404</v>
      </c>
      <c r="AJ6973">
        <v>90.496331105752603</v>
      </c>
      <c r="AK6973">
        <v>63.2669371119947</v>
      </c>
      <c r="AL6973">
        <v>78.1433198251639</v>
      </c>
      <c r="AM6973">
        <v>88.287311975751805</v>
      </c>
      <c r="AN6973">
        <v>0.99999999154512698</v>
      </c>
    </row>
    <row r="6974" spans="1:40" x14ac:dyDescent="0.25">
      <c r="A6974" t="str">
        <f>"20190303170426250"</f>
        <v>20190303170426250</v>
      </c>
      <c r="B6974" t="str">
        <f>"1551603866242272"</f>
        <v>1551603866242272</v>
      </c>
      <c r="C6974" t="s">
        <v>40</v>
      </c>
      <c r="D6974">
        <v>4.529083</v>
      </c>
      <c r="E6974">
        <v>0.49020900000000001</v>
      </c>
      <c r="F6974" t="s">
        <v>75</v>
      </c>
      <c r="G6974">
        <v>-182.4479</v>
      </c>
      <c r="H6974" s="1">
        <v>-8.6209950000000006E-6</v>
      </c>
      <c r="I6974">
        <v>-65.507199999999997</v>
      </c>
      <c r="J6974">
        <v>-245.54929999999999</v>
      </c>
      <c r="K6974">
        <v>1.1203639999999999</v>
      </c>
      <c r="L6974">
        <v>-63.479430000000001</v>
      </c>
      <c r="M6974">
        <v>0.99912939999999995</v>
      </c>
      <c r="N6974">
        <v>-9.9951929999999994E-3</v>
      </c>
      <c r="O6974">
        <v>-4.0506529999999999E-2</v>
      </c>
      <c r="P6974">
        <v>0.97834600000000005</v>
      </c>
      <c r="Q6974">
        <v>0.1953424</v>
      </c>
      <c r="R6974">
        <v>-6.8417060000000002E-2</v>
      </c>
      <c r="S6974">
        <v>3.070541</v>
      </c>
      <c r="T6974">
        <v>-5.4389359999999998E-2</v>
      </c>
      <c r="U6974">
        <v>-9.8754880000000003E-2</v>
      </c>
      <c r="V6974">
        <v>2.9202820000000001E-2</v>
      </c>
      <c r="W6974">
        <v>0.2050643</v>
      </c>
      <c r="X6974">
        <v>0.97831270000000004</v>
      </c>
      <c r="Y6974">
        <v>-8.3653229999999992E-3</v>
      </c>
      <c r="Z6974">
        <v>4.2797370000000003E-4</v>
      </c>
      <c r="AA6974">
        <v>0.99996490000000005</v>
      </c>
      <c r="AB6974">
        <v>30</v>
      </c>
      <c r="AC6974">
        <v>63.101399999999899</v>
      </c>
      <c r="AD6974">
        <v>-1.120372620995</v>
      </c>
      <c r="AE6974">
        <v>-2.0277699999999799</v>
      </c>
      <c r="AF6974">
        <v>-0.52987367486081605</v>
      </c>
      <c r="AG6974">
        <v>-1.120372620995</v>
      </c>
      <c r="AH6974">
        <v>63.111872756206502</v>
      </c>
      <c r="AI6974">
        <v>91.016981691646805</v>
      </c>
      <c r="AJ6974">
        <v>90.481031707814296</v>
      </c>
      <c r="AK6974">
        <v>63.124040457790599</v>
      </c>
      <c r="AL6974">
        <v>78.166736330267497</v>
      </c>
      <c r="AM6974">
        <v>88.290217797833407</v>
      </c>
      <c r="AN6974">
        <v>0.99999995540586495</v>
      </c>
    </row>
    <row r="6975" spans="1:40" x14ac:dyDescent="0.25">
      <c r="A6975" t="str">
        <f>"20190303170426260"</f>
        <v>20190303170426260</v>
      </c>
      <c r="B6975" t="str">
        <f>"1551603866253009"</f>
        <v>1551603866253009</v>
      </c>
      <c r="C6975" t="s">
        <v>40</v>
      </c>
      <c r="D6975">
        <v>4.5433760000000003</v>
      </c>
      <c r="E6975">
        <v>0.49024430000000002</v>
      </c>
      <c r="F6975" t="s">
        <v>75</v>
      </c>
      <c r="G6975">
        <v>-183.55240000000001</v>
      </c>
      <c r="H6975" s="1">
        <v>-8.7243390000000005E-6</v>
      </c>
      <c r="I6975">
        <v>-65.526469999999904</v>
      </c>
      <c r="J6975">
        <v>-245.40690000000001</v>
      </c>
      <c r="K6975">
        <v>1.1203590000000001</v>
      </c>
      <c r="L6975">
        <v>-63.485750000000003</v>
      </c>
      <c r="M6975">
        <v>0.99910719999999997</v>
      </c>
      <c r="N6975">
        <v>-9.9536179999999991E-3</v>
      </c>
      <c r="O6975">
        <v>-4.1059070000000003E-2</v>
      </c>
      <c r="P6975">
        <v>0.97838230000000004</v>
      </c>
      <c r="Q6975">
        <v>0.1950499</v>
      </c>
      <c r="R6975">
        <v>-6.8731520000000004E-2</v>
      </c>
      <c r="S6975">
        <v>3.0704039999999999</v>
      </c>
      <c r="T6975">
        <v>-5.5486679999999997E-2</v>
      </c>
      <c r="U6975">
        <v>-0.10137939999999999</v>
      </c>
      <c r="V6975">
        <v>2.8973639999999998E-2</v>
      </c>
      <c r="W6975">
        <v>0.204732</v>
      </c>
      <c r="X6975">
        <v>0.97838910000000001</v>
      </c>
      <c r="Y6975">
        <v>-8.0629039999999992E-3</v>
      </c>
      <c r="Z6975">
        <v>4.4569979999999998E-4</v>
      </c>
      <c r="AA6975">
        <v>0.99996739999999995</v>
      </c>
      <c r="AB6975">
        <v>30</v>
      </c>
      <c r="AC6975">
        <v>61.854500000000002</v>
      </c>
      <c r="AD6975">
        <v>-1.120367724339</v>
      </c>
      <c r="AE6975">
        <v>-2.0407199999999799</v>
      </c>
      <c r="AF6975">
        <v>-0.50065090547755298</v>
      </c>
      <c r="AG6975">
        <v>-1.120367724339</v>
      </c>
      <c r="AH6975">
        <v>61.865853610207203</v>
      </c>
      <c r="AI6975">
        <v>91.037458001648105</v>
      </c>
      <c r="AJ6975">
        <v>90.4636573498383</v>
      </c>
      <c r="AK6975">
        <v>61.878022900594303</v>
      </c>
      <c r="AL6975">
        <v>78.1861883312</v>
      </c>
      <c r="AM6975">
        <v>88.303760467125699</v>
      </c>
      <c r="AN6975">
        <v>0.99999994731882802</v>
      </c>
    </row>
    <row r="6976" spans="1:40" x14ac:dyDescent="0.25">
      <c r="A6976" t="str">
        <f>"20190303170426270"</f>
        <v>20190303170426270</v>
      </c>
      <c r="B6976" t="str">
        <f>"1551603866262769"</f>
        <v>1551603866262769</v>
      </c>
      <c r="C6976" t="s">
        <v>40</v>
      </c>
      <c r="D6976">
        <v>4.522748</v>
      </c>
      <c r="E6976">
        <v>0.49032300000000001</v>
      </c>
      <c r="F6976" t="s">
        <v>75</v>
      </c>
      <c r="G6976">
        <v>-184.4391</v>
      </c>
      <c r="H6976" s="1">
        <v>-8.8125969999999994E-6</v>
      </c>
      <c r="I6976">
        <v>-65.527339999999995</v>
      </c>
      <c r="J6976">
        <v>-245.26300000000001</v>
      </c>
      <c r="K6976">
        <v>1.12035</v>
      </c>
      <c r="L6976">
        <v>-63.492190000000001</v>
      </c>
      <c r="M6976">
        <v>0.99908450000000004</v>
      </c>
      <c r="N6976">
        <v>-9.9138230000000004E-3</v>
      </c>
      <c r="O6976">
        <v>-4.1617580000000001E-2</v>
      </c>
      <c r="P6976">
        <v>0.97841579999999995</v>
      </c>
      <c r="Q6976">
        <v>0.19476950000000001</v>
      </c>
      <c r="R6976">
        <v>-6.9045280000000001E-2</v>
      </c>
      <c r="S6976">
        <v>3.0703130000000001</v>
      </c>
      <c r="T6976">
        <v>-5.6421279999999997E-2</v>
      </c>
      <c r="U6976">
        <v>-0.10281369999999999</v>
      </c>
      <c r="V6976">
        <v>2.8737829999999999E-2</v>
      </c>
      <c r="W6976">
        <v>0.20441419999999999</v>
      </c>
      <c r="X6976">
        <v>0.97846259999999996</v>
      </c>
      <c r="Y6976">
        <v>-8.1540640000000008E-3</v>
      </c>
      <c r="Z6976">
        <v>4.6690499999999999E-4</v>
      </c>
      <c r="AA6976">
        <v>0.99996660000000004</v>
      </c>
      <c r="AB6976">
        <v>30</v>
      </c>
      <c r="AC6976">
        <v>60.823900000000002</v>
      </c>
      <c r="AD6976">
        <v>-1.1203588125970001</v>
      </c>
      <c r="AE6976">
        <v>-2.03514999999999</v>
      </c>
      <c r="AF6976">
        <v>-0.49791239944323801</v>
      </c>
      <c r="AG6976">
        <v>-1.1203588125970001</v>
      </c>
      <c r="AH6976">
        <v>60.8352825081841</v>
      </c>
      <c r="AI6976">
        <v>91.055019785591497</v>
      </c>
      <c r="AJ6976">
        <v>90.468932515647396</v>
      </c>
      <c r="AK6976">
        <v>60.847635274323203</v>
      </c>
      <c r="AL6976">
        <v>78.204791494081206</v>
      </c>
      <c r="AM6976">
        <v>88.317684124580893</v>
      </c>
      <c r="AN6976">
        <v>1.00000004381675</v>
      </c>
    </row>
    <row r="6977" spans="1:40" x14ac:dyDescent="0.25">
      <c r="A6977" t="str">
        <f>"20190303170426283"</f>
        <v>20190303170426283</v>
      </c>
      <c r="B6977" t="str">
        <f>"1551603866272528"</f>
        <v>1551603866272528</v>
      </c>
      <c r="C6977" t="s">
        <v>40</v>
      </c>
      <c r="D6977">
        <v>4.6448470000000004</v>
      </c>
      <c r="E6977">
        <v>0.49041509999999999</v>
      </c>
      <c r="F6977" t="s">
        <v>75</v>
      </c>
      <c r="G6977">
        <v>-185.55099999999999</v>
      </c>
      <c r="H6977" s="1">
        <v>-8.9316760000000006E-6</v>
      </c>
      <c r="I6977">
        <v>-65.530950000000004</v>
      </c>
      <c r="J6977">
        <v>-245.10749999999999</v>
      </c>
      <c r="K6977">
        <v>1.1203430000000001</v>
      </c>
      <c r="L6977">
        <v>-63.49924</v>
      </c>
      <c r="M6977">
        <v>0.99905960000000005</v>
      </c>
      <c r="N6977">
        <v>-9.8739139999999993E-3</v>
      </c>
      <c r="O6977">
        <v>-4.222091E-2</v>
      </c>
      <c r="P6977">
        <v>0.97847300000000004</v>
      </c>
      <c r="Q6977">
        <v>0.19429440000000001</v>
      </c>
      <c r="R6977">
        <v>-6.9572380000000003E-2</v>
      </c>
      <c r="S6977">
        <v>3.0702509999999998</v>
      </c>
      <c r="T6977">
        <v>-5.760622E-2</v>
      </c>
      <c r="U6977">
        <v>-0.1048279</v>
      </c>
      <c r="V6977">
        <v>2.8669770000000001E-2</v>
      </c>
      <c r="W6977">
        <v>0.2039012</v>
      </c>
      <c r="X6977">
        <v>0.97857159999999999</v>
      </c>
      <c r="Y6977">
        <v>-8.1017659999999998E-3</v>
      </c>
      <c r="Z6977">
        <v>4.9062659999999996E-4</v>
      </c>
      <c r="AA6977">
        <v>0.99996700000000005</v>
      </c>
      <c r="AB6977">
        <v>30</v>
      </c>
      <c r="AC6977">
        <v>59.5565</v>
      </c>
      <c r="AD6977">
        <v>-1.120351931676</v>
      </c>
      <c r="AE6977">
        <v>-2.0317099999999999</v>
      </c>
      <c r="AF6977">
        <v>-0.48458255026840702</v>
      </c>
      <c r="AG6977">
        <v>-1.120351931676</v>
      </c>
      <c r="AH6977">
        <v>59.568117907066103</v>
      </c>
      <c r="AI6977">
        <v>91.077451311135405</v>
      </c>
      <c r="AJ6977">
        <v>90.4660869521649</v>
      </c>
      <c r="AK6977">
        <v>59.580623357673602</v>
      </c>
      <c r="AL6977">
        <v>78.234816281218599</v>
      </c>
      <c r="AM6977">
        <v>88.321852920802399</v>
      </c>
      <c r="AN6977">
        <v>1.00000001569992</v>
      </c>
    </row>
    <row r="6978" spans="1:40" x14ac:dyDescent="0.25">
      <c r="A6978" t="str">
        <f>"20190303170426294"</f>
        <v>20190303170426294</v>
      </c>
      <c r="B6978" t="str">
        <f>"1551603866282288"</f>
        <v>1551603866282288</v>
      </c>
      <c r="C6978" t="s">
        <v>40</v>
      </c>
      <c r="D6978">
        <v>4.5507759999999999</v>
      </c>
      <c r="E6978">
        <v>0.490483</v>
      </c>
      <c r="F6978" t="s">
        <v>75</v>
      </c>
      <c r="G6978">
        <v>-186.90289999999999</v>
      </c>
      <c r="H6978" s="1">
        <v>-9.0800059999999992E-6</v>
      </c>
      <c r="I6978">
        <v>-65.541589999999999</v>
      </c>
      <c r="J6978">
        <v>-244.95959999999999</v>
      </c>
      <c r="K6978">
        <v>1.120339</v>
      </c>
      <c r="L6978">
        <v>-63.506010000000003</v>
      </c>
      <c r="M6978">
        <v>0.99903569999999997</v>
      </c>
      <c r="N6978">
        <v>-9.8374499999999993E-3</v>
      </c>
      <c r="O6978">
        <v>-4.2793860000000003E-2</v>
      </c>
      <c r="P6978">
        <v>0.97845890000000002</v>
      </c>
      <c r="Q6978">
        <v>0.19433420000000001</v>
      </c>
      <c r="R6978">
        <v>-6.9663279999999994E-2</v>
      </c>
      <c r="S6978">
        <v>3.0700989999999999</v>
      </c>
      <c r="T6978">
        <v>-5.909491E-2</v>
      </c>
      <c r="U6978">
        <v>-0.10772710000000001</v>
      </c>
      <c r="V6978">
        <v>2.8199450000000001E-2</v>
      </c>
      <c r="W6978">
        <v>0.2039058</v>
      </c>
      <c r="X6978">
        <v>0.97858429999999996</v>
      </c>
      <c r="Y6978">
        <v>-7.7301519999999997E-3</v>
      </c>
      <c r="Z6978">
        <v>5.1443470000000005E-4</v>
      </c>
      <c r="AA6978">
        <v>0.99997000000000003</v>
      </c>
      <c r="AB6978">
        <v>30</v>
      </c>
      <c r="AC6978">
        <v>58.056699999999999</v>
      </c>
      <c r="AD6978">
        <v>-1.1203480800059999</v>
      </c>
      <c r="AE6978">
        <v>-2.0355799999999999</v>
      </c>
      <c r="AF6978">
        <v>-0.45070729029443102</v>
      </c>
      <c r="AG6978">
        <v>-1.1203480800059999</v>
      </c>
      <c r="AH6978">
        <v>58.069027062349598</v>
      </c>
      <c r="AI6978">
        <v>91.105259105630097</v>
      </c>
      <c r="AJ6978">
        <v>90.444696739351699</v>
      </c>
      <c r="AK6978">
        <v>58.081582458209397</v>
      </c>
      <c r="AL6978">
        <v>78.234546975523401</v>
      </c>
      <c r="AM6978">
        <v>88.349388533486902</v>
      </c>
      <c r="AN6978">
        <v>1.0000000082302101</v>
      </c>
    </row>
    <row r="6979" spans="1:40" x14ac:dyDescent="0.25">
      <c r="A6979" t="str">
        <f>"20190303170426304"</f>
        <v>20190303170426304</v>
      </c>
      <c r="B6979" t="str">
        <f>"1551603866293025"</f>
        <v>1551603866293025</v>
      </c>
      <c r="C6979" t="s">
        <v>40</v>
      </c>
      <c r="D6979">
        <v>4.5448060000000003</v>
      </c>
      <c r="E6979">
        <v>0.49053770000000002</v>
      </c>
      <c r="F6979" t="s">
        <v>75</v>
      </c>
      <c r="G6979">
        <v>-186.77260000000001</v>
      </c>
      <c r="H6979" s="1">
        <v>-9.0534119999999999E-6</v>
      </c>
      <c r="I6979">
        <v>-65.575599999999994</v>
      </c>
      <c r="J6979">
        <v>-244.81020000000001</v>
      </c>
      <c r="K6979">
        <v>1.120344</v>
      </c>
      <c r="L6979">
        <v>-63.512970000000003</v>
      </c>
      <c r="M6979">
        <v>0.99901110000000004</v>
      </c>
      <c r="N6979">
        <v>-9.8042100000000007E-3</v>
      </c>
      <c r="O6979">
        <v>-4.336955E-2</v>
      </c>
      <c r="P6979">
        <v>0.97845079999999995</v>
      </c>
      <c r="Q6979">
        <v>0.19430500000000001</v>
      </c>
      <c r="R6979">
        <v>-6.985632E-2</v>
      </c>
      <c r="S6979">
        <v>3.0699770000000002</v>
      </c>
      <c r="T6979">
        <v>-5.9110160000000002E-2</v>
      </c>
      <c r="U6979">
        <v>-0.109191899999999</v>
      </c>
      <c r="V6979">
        <v>2.782749E-2</v>
      </c>
      <c r="W6979">
        <v>0.2038452</v>
      </c>
      <c r="X6979">
        <v>0.97860760000000002</v>
      </c>
      <c r="Y6979">
        <v>-7.8283750000000003E-3</v>
      </c>
      <c r="Z6979">
        <v>5.2283590000000001E-4</v>
      </c>
      <c r="AA6979">
        <v>0.9999692</v>
      </c>
      <c r="AB6979">
        <v>30</v>
      </c>
      <c r="AC6979">
        <v>58.037599999999998</v>
      </c>
      <c r="AD6979">
        <v>-1.1203530534119901</v>
      </c>
      <c r="AE6979">
        <v>-2.0626299999999902</v>
      </c>
      <c r="AF6979">
        <v>-0.456326388843177</v>
      </c>
      <c r="AG6979">
        <v>-1.1203530534119901</v>
      </c>
      <c r="AH6979">
        <v>58.050841865710296</v>
      </c>
      <c r="AI6979">
        <v>91.1056093068498</v>
      </c>
      <c r="AJ6979">
        <v>90.450381713845601</v>
      </c>
      <c r="AK6979">
        <v>58.063445179003502</v>
      </c>
      <c r="AL6979">
        <v>78.238093906521897</v>
      </c>
      <c r="AM6979">
        <v>88.371187594206702</v>
      </c>
      <c r="AN6979">
        <v>1.00000003477024</v>
      </c>
    </row>
    <row r="6980" spans="1:40" x14ac:dyDescent="0.25">
      <c r="A6980" t="str">
        <f>"20190303170426316"</f>
        <v>20190303170426316</v>
      </c>
      <c r="B6980" t="str">
        <f>"1551603866302785"</f>
        <v>1551603866302785</v>
      </c>
      <c r="C6980" t="s">
        <v>40</v>
      </c>
      <c r="D6980">
        <v>4.622655</v>
      </c>
      <c r="E6980">
        <v>0.4904616</v>
      </c>
      <c r="F6980" t="s">
        <v>75</v>
      </c>
      <c r="G6980">
        <v>-186.8347</v>
      </c>
      <c r="H6980" s="1">
        <v>-9.053108E-6</v>
      </c>
      <c r="I6980">
        <v>-65.596360000000004</v>
      </c>
      <c r="J6980">
        <v>-244.65700000000001</v>
      </c>
      <c r="K6980">
        <v>1.1203430000000001</v>
      </c>
      <c r="L6980">
        <v>-63.520200000000003</v>
      </c>
      <c r="M6980">
        <v>0.99898549999999997</v>
      </c>
      <c r="N6980">
        <v>-9.7710169999999999E-3</v>
      </c>
      <c r="O6980">
        <v>-4.395835E-2</v>
      </c>
      <c r="P6980">
        <v>0.97840110000000002</v>
      </c>
      <c r="Q6980">
        <v>0.19455990000000001</v>
      </c>
      <c r="R6980">
        <v>-6.9840440000000004E-2</v>
      </c>
      <c r="S6980">
        <v>3.0699770000000002</v>
      </c>
      <c r="T6980">
        <v>-5.9326049999999998E-2</v>
      </c>
      <c r="U6980">
        <v>-0.110321</v>
      </c>
      <c r="V6980">
        <v>2.7236260000000002E-2</v>
      </c>
      <c r="W6980">
        <v>0.20406879999999999</v>
      </c>
      <c r="X6980">
        <v>0.97857760000000005</v>
      </c>
      <c r="Y6980">
        <v>-8.0502750000000008E-3</v>
      </c>
      <c r="Z6980">
        <v>5.3629350000000003E-4</v>
      </c>
      <c r="AA6980">
        <v>0.99996750000000001</v>
      </c>
      <c r="AB6980">
        <v>30</v>
      </c>
      <c r="AC6980">
        <v>57.822299999999998</v>
      </c>
      <c r="AD6980">
        <v>-1.120352053108</v>
      </c>
      <c r="AE6980">
        <v>-2.0761599999999998</v>
      </c>
      <c r="AF6980">
        <v>-0.46756622405409298</v>
      </c>
      <c r="AG6980">
        <v>-1.120352053108</v>
      </c>
      <c r="AH6980">
        <v>57.835985624540101</v>
      </c>
      <c r="AI6980">
        <v>91.109712567583998</v>
      </c>
      <c r="AJ6980">
        <v>90.463188919302794</v>
      </c>
      <c r="AK6980">
        <v>57.848725483443303</v>
      </c>
      <c r="AL6980">
        <v>78.225007126004201</v>
      </c>
      <c r="AM6980">
        <v>88.405726860123295</v>
      </c>
      <c r="AN6980">
        <v>1.0000000041069901</v>
      </c>
    </row>
    <row r="6981" spans="1:40" x14ac:dyDescent="0.25">
      <c r="A6981" t="str">
        <f>"20190303170426327"</f>
        <v>20190303170426327</v>
      </c>
      <c r="B6981" t="str">
        <f>"1551603866322304"</f>
        <v>1551603866322304</v>
      </c>
      <c r="C6981" t="s">
        <v>40</v>
      </c>
      <c r="D6981">
        <v>4.4991960000000004</v>
      </c>
      <c r="E6981">
        <v>0.49052760000000001</v>
      </c>
      <c r="F6981" t="s">
        <v>75</v>
      </c>
      <c r="G6981">
        <v>-185.95939999999999</v>
      </c>
      <c r="H6981" s="1">
        <v>-8.9446620000000003E-6</v>
      </c>
      <c r="I6981">
        <v>-65.624830000000003</v>
      </c>
      <c r="J6981">
        <v>-244.5034</v>
      </c>
      <c r="K6981">
        <v>1.1203459999999901</v>
      </c>
      <c r="L6981">
        <v>-63.527529999999999</v>
      </c>
      <c r="M6981">
        <v>0.99896010000000002</v>
      </c>
      <c r="N6981">
        <v>-9.7412019999999992E-3</v>
      </c>
      <c r="O6981">
        <v>-4.4540450000000002E-2</v>
      </c>
      <c r="P6981">
        <v>0.97832209999999997</v>
      </c>
      <c r="Q6981">
        <v>0.195048</v>
      </c>
      <c r="R6981">
        <v>-6.9586910000000002E-2</v>
      </c>
      <c r="S6981">
        <v>3.0700229999999999</v>
      </c>
      <c r="T6981">
        <v>-5.8597089999999998E-2</v>
      </c>
      <c r="U6981">
        <v>-0.11007690000000001</v>
      </c>
      <c r="V6981">
        <v>2.6414460000000001E-2</v>
      </c>
      <c r="W6981">
        <v>0.2045286</v>
      </c>
      <c r="X6981">
        <v>0.97850409999999999</v>
      </c>
      <c r="Y6981">
        <v>-8.7128099999999997E-3</v>
      </c>
      <c r="Z6981">
        <v>5.4105599999999896E-4</v>
      </c>
      <c r="AA6981">
        <v>0.99996189999999996</v>
      </c>
      <c r="AB6981">
        <v>30</v>
      </c>
      <c r="AC6981">
        <v>58.543999999999997</v>
      </c>
      <c r="AD6981">
        <v>-1.12035494466199</v>
      </c>
      <c r="AE6981">
        <v>-2.09729999999999</v>
      </c>
      <c r="AF6981">
        <v>-0.51229402265533597</v>
      </c>
      <c r="AG6981">
        <v>-1.12035494466199</v>
      </c>
      <c r="AH6981">
        <v>58.557895661713999</v>
      </c>
      <c r="AI6981">
        <v>91.0960319352276</v>
      </c>
      <c r="AJ6981">
        <v>90.501239606236993</v>
      </c>
      <c r="AK6981">
        <v>58.5708526888235</v>
      </c>
      <c r="AL6981">
        <v>78.198094535421802</v>
      </c>
      <c r="AM6981">
        <v>88.4536910832133</v>
      </c>
      <c r="AN6981">
        <v>0.99999997281593</v>
      </c>
    </row>
    <row r="6982" spans="1:40" x14ac:dyDescent="0.25">
      <c r="A6982" t="str">
        <f>"20190303170426338"</f>
        <v>20190303170426338</v>
      </c>
      <c r="B6982" t="str">
        <f>"1551603866333040"</f>
        <v>1551603866333040</v>
      </c>
      <c r="C6982" t="s">
        <v>40</v>
      </c>
      <c r="D6982">
        <v>4.5064529999999996</v>
      </c>
      <c r="E6982">
        <v>0.4905661</v>
      </c>
      <c r="F6982" t="s">
        <v>75</v>
      </c>
      <c r="G6982">
        <v>-184.5215</v>
      </c>
      <c r="H6982" s="1">
        <v>-8.7651140000000001E-6</v>
      </c>
      <c r="I6982">
        <v>-65.68056</v>
      </c>
      <c r="J6982">
        <v>-244.3519</v>
      </c>
      <c r="K6982">
        <v>1.1203510000000001</v>
      </c>
      <c r="L6982">
        <v>-63.534849999999999</v>
      </c>
      <c r="M6982">
        <v>0.99893480000000001</v>
      </c>
      <c r="N6982">
        <v>-9.7129020000000007E-3</v>
      </c>
      <c r="O6982">
        <v>-4.511134E-2</v>
      </c>
      <c r="P6982">
        <v>0.9782092</v>
      </c>
      <c r="Q6982">
        <v>0.19557430000000001</v>
      </c>
      <c r="R6982">
        <v>-6.9696770000000005E-2</v>
      </c>
      <c r="S6982">
        <v>3.070068</v>
      </c>
      <c r="T6982">
        <v>-5.7343360000000003E-2</v>
      </c>
      <c r="U6982">
        <v>-0.11019900000000001</v>
      </c>
      <c r="V6982">
        <v>2.5967810000000001E-2</v>
      </c>
      <c r="W6982">
        <v>0.2050275</v>
      </c>
      <c r="X6982">
        <v>0.9784117</v>
      </c>
      <c r="Y6982">
        <v>-9.2451660000000008E-3</v>
      </c>
      <c r="Z6982">
        <v>5.3488250000000004E-4</v>
      </c>
      <c r="AA6982">
        <v>0.99995710000000004</v>
      </c>
      <c r="AB6982">
        <v>30</v>
      </c>
      <c r="AC6982">
        <v>59.830399999999997</v>
      </c>
      <c r="AD6982">
        <v>-1.120359765114</v>
      </c>
      <c r="AE6982">
        <v>-2.1457099999999998</v>
      </c>
      <c r="AF6982">
        <v>-0.55543679431913895</v>
      </c>
      <c r="AG6982">
        <v>-1.120359765114</v>
      </c>
      <c r="AH6982">
        <v>59.845327567149198</v>
      </c>
      <c r="AI6982">
        <v>91.0724584101592</v>
      </c>
      <c r="AJ6982">
        <v>90.531758646079894</v>
      </c>
      <c r="AK6982">
        <v>59.858390787383797</v>
      </c>
      <c r="AL6982">
        <v>78.168891468892994</v>
      </c>
      <c r="AM6982">
        <v>88.479682212408207</v>
      </c>
      <c r="AN6982">
        <v>1.00000002880466</v>
      </c>
    </row>
    <row r="6983" spans="1:40" x14ac:dyDescent="0.25">
      <c r="A6983" t="str">
        <f>"20190303170426349"</f>
        <v>20190303170426349</v>
      </c>
      <c r="B6983" t="str">
        <f>"1551603866342800"</f>
        <v>1551603866342800</v>
      </c>
      <c r="C6983" t="s">
        <v>40</v>
      </c>
      <c r="D6983">
        <v>4.5858249999999998</v>
      </c>
      <c r="E6983">
        <v>0.49061440000000001</v>
      </c>
      <c r="F6983" t="s">
        <v>75</v>
      </c>
      <c r="G6983">
        <v>-182.63140000000001</v>
      </c>
      <c r="H6983" s="1">
        <v>-8.5440289999999992E-6</v>
      </c>
      <c r="I6983">
        <v>-65.769319999999993</v>
      </c>
      <c r="J6983">
        <v>-244.20169999999999</v>
      </c>
      <c r="K6983">
        <v>1.120357</v>
      </c>
      <c r="L6983">
        <v>-63.542180000000002</v>
      </c>
      <c r="M6983">
        <v>0.99890979999999996</v>
      </c>
      <c r="N6983">
        <v>-9.6871240000000001E-3</v>
      </c>
      <c r="O6983">
        <v>-4.5669689999999999E-2</v>
      </c>
      <c r="P6983">
        <v>0.97822100000000001</v>
      </c>
      <c r="Q6983">
        <v>0.19552430000000001</v>
      </c>
      <c r="R6983">
        <v>-6.9673109999999996E-2</v>
      </c>
      <c r="S6983">
        <v>3.070068</v>
      </c>
      <c r="T6983">
        <v>-5.5728319999999998E-2</v>
      </c>
      <c r="U6983">
        <v>-0.11114499999999999</v>
      </c>
      <c r="V6983">
        <v>2.5392140000000001E-2</v>
      </c>
      <c r="W6983">
        <v>0.20495469999999999</v>
      </c>
      <c r="X6983">
        <v>0.97844200000000003</v>
      </c>
      <c r="Y6983">
        <v>-9.4965729999999995E-3</v>
      </c>
      <c r="Z6983">
        <v>5.1798760000000001E-4</v>
      </c>
      <c r="AA6983">
        <v>0.99995480000000003</v>
      </c>
      <c r="AB6983">
        <v>30</v>
      </c>
      <c r="AC6983">
        <v>61.570299999999897</v>
      </c>
      <c r="AD6983">
        <v>-1.1203655440289999</v>
      </c>
      <c r="AE6983">
        <v>-2.2271399999999901</v>
      </c>
      <c r="AF6983">
        <v>-0.58701787677630501</v>
      </c>
      <c r="AG6983">
        <v>-1.1203655440289999</v>
      </c>
      <c r="AH6983">
        <v>61.5874030257757</v>
      </c>
      <c r="AI6983">
        <v>91.042132313966107</v>
      </c>
      <c r="AJ6983">
        <v>90.546095901376503</v>
      </c>
      <c r="AK6983">
        <v>61.600389774734602</v>
      </c>
      <c r="AL6983">
        <v>78.173152379876996</v>
      </c>
      <c r="AM6983">
        <v>88.513416250535002</v>
      </c>
      <c r="AN6983">
        <v>0.99999996859493401</v>
      </c>
    </row>
    <row r="6984" spans="1:40" x14ac:dyDescent="0.25">
      <c r="A6984" t="str">
        <f>"20190303170426361"</f>
        <v>20190303170426361</v>
      </c>
      <c r="B6984" t="str">
        <f>"1551603866352560"</f>
        <v>1551603866352560</v>
      </c>
      <c r="C6984" t="s">
        <v>40</v>
      </c>
      <c r="D6984">
        <v>4.5834580000000003</v>
      </c>
      <c r="E6984">
        <v>0.49065890000000001</v>
      </c>
      <c r="F6984" t="s">
        <v>75</v>
      </c>
      <c r="G6984">
        <v>-182.44049999999999</v>
      </c>
      <c r="H6984" s="1">
        <v>-8.5206249999999994E-6</v>
      </c>
      <c r="I6984">
        <v>-65.781229999999994</v>
      </c>
      <c r="J6984">
        <v>-244.0515</v>
      </c>
      <c r="K6984">
        <v>1.1203559999999999</v>
      </c>
      <c r="L6984">
        <v>-63.54956</v>
      </c>
      <c r="M6984">
        <v>0.99888469999999996</v>
      </c>
      <c r="N6984">
        <v>-9.66296E-3</v>
      </c>
      <c r="O6984">
        <v>-4.6216920000000002E-2</v>
      </c>
      <c r="P6984">
        <v>0.97831979999999996</v>
      </c>
      <c r="Q6984">
        <v>0.1949555</v>
      </c>
      <c r="R6984">
        <v>-6.9879280000000002E-2</v>
      </c>
      <c r="S6984">
        <v>3.0699920000000001</v>
      </c>
      <c r="T6984">
        <v>-5.5690530000000002E-2</v>
      </c>
      <c r="U6984">
        <v>-0.1112976</v>
      </c>
      <c r="V6984">
        <v>2.50499E-2</v>
      </c>
      <c r="W6984">
        <v>0.2043652</v>
      </c>
      <c r="X6984">
        <v>0.97857419999999995</v>
      </c>
      <c r="Y6984">
        <v>-9.9936910000000007E-3</v>
      </c>
      <c r="Z6984">
        <v>5.2990709999999996E-4</v>
      </c>
      <c r="AA6984">
        <v>0.99994989999999995</v>
      </c>
      <c r="AB6984">
        <v>30</v>
      </c>
      <c r="AC6984">
        <v>61.610999999999997</v>
      </c>
      <c r="AD6984">
        <v>-1.1203645206249999</v>
      </c>
      <c r="AE6984">
        <v>-2.2316699999999998</v>
      </c>
      <c r="AF6984">
        <v>-0.61811437357261301</v>
      </c>
      <c r="AG6984">
        <v>-1.1203645206249999</v>
      </c>
      <c r="AH6984">
        <v>61.627951583040797</v>
      </c>
      <c r="AI6984">
        <v>91.041440761230206</v>
      </c>
      <c r="AJ6984">
        <v>90.574644401973501</v>
      </c>
      <c r="AK6984">
        <v>61.641233751114299</v>
      </c>
      <c r="AL6984">
        <v>78.207659590799906</v>
      </c>
      <c r="AM6984">
        <v>88.533641930741496</v>
      </c>
      <c r="AN6984">
        <v>1.00000004868334</v>
      </c>
    </row>
    <row r="6985" spans="1:40" x14ac:dyDescent="0.25">
      <c r="A6985" t="str">
        <f>"20190303170426371"</f>
        <v>20190303170426371</v>
      </c>
      <c r="B6985" t="str">
        <f>"1551603866362320"</f>
        <v>1551603866362320</v>
      </c>
      <c r="C6985" t="s">
        <v>40</v>
      </c>
      <c r="D6985">
        <v>4.5278660000000004</v>
      </c>
      <c r="E6985">
        <v>0.49069560000000001</v>
      </c>
      <c r="F6985" t="s">
        <v>75</v>
      </c>
      <c r="G6985">
        <v>-184.1533</v>
      </c>
      <c r="H6985" s="1">
        <v>-8.7083820000000003E-6</v>
      </c>
      <c r="I6985">
        <v>-65.735429999999994</v>
      </c>
      <c r="J6985">
        <v>-243.90629999999999</v>
      </c>
      <c r="K6985">
        <v>1.1203650000000001</v>
      </c>
      <c r="L6985">
        <v>-63.556789999999999</v>
      </c>
      <c r="M6985">
        <v>0.99886079999999999</v>
      </c>
      <c r="N6985">
        <v>-9.640984E-3</v>
      </c>
      <c r="O6985">
        <v>-4.6737069999999999E-2</v>
      </c>
      <c r="P6985">
        <v>0.97838440000000004</v>
      </c>
      <c r="Q6985">
        <v>0.19446479999999999</v>
      </c>
      <c r="R6985">
        <v>-7.0340369999999999E-2</v>
      </c>
      <c r="S6985">
        <v>3.0699160000000001</v>
      </c>
      <c r="T6985">
        <v>-5.7421090000000001E-2</v>
      </c>
      <c r="U6985">
        <v>-0.11203</v>
      </c>
      <c r="V6985">
        <v>2.498968E-2</v>
      </c>
      <c r="W6985">
        <v>0.20385449999999999</v>
      </c>
      <c r="X6985">
        <v>0.97868219999999995</v>
      </c>
      <c r="Y6985">
        <v>-1.0274780000000001E-2</v>
      </c>
      <c r="Z6985">
        <v>5.683525E-4</v>
      </c>
      <c r="AA6985">
        <v>0.99994709999999998</v>
      </c>
      <c r="AB6985">
        <v>30</v>
      </c>
      <c r="AC6985">
        <v>59.752999999999901</v>
      </c>
      <c r="AD6985">
        <v>-1.120373708382</v>
      </c>
      <c r="AE6985">
        <v>-2.1786400000000001</v>
      </c>
      <c r="AF6985">
        <v>-0.61633424888258104</v>
      </c>
      <c r="AG6985">
        <v>-1.120373708382</v>
      </c>
      <c r="AH6985">
        <v>59.768540724772897</v>
      </c>
      <c r="AI6985">
        <v>91.073838435039605</v>
      </c>
      <c r="AJ6985">
        <v>90.590814150192799</v>
      </c>
      <c r="AK6985">
        <v>59.782217803637998</v>
      </c>
      <c r="AL6985">
        <v>78.237549151867995</v>
      </c>
      <c r="AM6985">
        <v>88.537326881637199</v>
      </c>
      <c r="AN6985">
        <v>0.99999999493679603</v>
      </c>
    </row>
    <row r="6986" spans="1:40" x14ac:dyDescent="0.25">
      <c r="A6986" t="str">
        <f>"20190303170426382"</f>
        <v>20190303170426382</v>
      </c>
      <c r="B6986" t="str">
        <f>"1551603866373057"</f>
        <v>1551603866373057</v>
      </c>
      <c r="C6986" t="s">
        <v>40</v>
      </c>
      <c r="D6986">
        <v>4.5399649999999996</v>
      </c>
      <c r="E6986">
        <v>0.49069980000000002</v>
      </c>
      <c r="F6986" t="s">
        <v>75</v>
      </c>
      <c r="G6986">
        <v>-185.39089999999999</v>
      </c>
      <c r="H6986" s="1">
        <v>-8.8468380000000004E-6</v>
      </c>
      <c r="I6986">
        <v>-65.721360000000004</v>
      </c>
      <c r="J6986">
        <v>-243.7551</v>
      </c>
      <c r="K6986">
        <v>1.120384</v>
      </c>
      <c r="L6986">
        <v>-63.564390000000003</v>
      </c>
      <c r="M6986">
        <v>0.99883659999999996</v>
      </c>
      <c r="N6986">
        <v>-9.6199440000000001E-3</v>
      </c>
      <c r="O6986">
        <v>-4.7255220000000001E-2</v>
      </c>
      <c r="P6986">
        <v>0.97856339999999997</v>
      </c>
      <c r="Q6986">
        <v>0.1934303</v>
      </c>
      <c r="R6986">
        <v>-7.0699810000000002E-2</v>
      </c>
      <c r="S6986">
        <v>3.0697779999999999</v>
      </c>
      <c r="T6986">
        <v>-5.8776019999999998E-2</v>
      </c>
      <c r="U6986">
        <v>-0.1135559</v>
      </c>
      <c r="V6986">
        <v>2.4819999999999998E-2</v>
      </c>
      <c r="W6986">
        <v>0.20280309999999999</v>
      </c>
      <c r="X6986">
        <v>0.97890500000000003</v>
      </c>
      <c r="Y6986">
        <v>-1.0295159999999999E-2</v>
      </c>
      <c r="Z6986">
        <v>5.9734489999999996E-4</v>
      </c>
      <c r="AA6986">
        <v>0.99994680000000002</v>
      </c>
      <c r="AB6986">
        <v>30</v>
      </c>
      <c r="AC6986">
        <v>58.364199999999997</v>
      </c>
      <c r="AD6986">
        <v>-1.120392846838</v>
      </c>
      <c r="AE6986">
        <v>-2.1569699999999998</v>
      </c>
      <c r="AF6986">
        <v>-0.60335837381085</v>
      </c>
      <c r="AG6986">
        <v>-1.120392846838</v>
      </c>
      <c r="AH6986">
        <v>58.379441114171797</v>
      </c>
      <c r="AI6986">
        <v>91.099402014693695</v>
      </c>
      <c r="AJ6986">
        <v>90.592137521626199</v>
      </c>
      <c r="AK6986">
        <v>58.393308403117103</v>
      </c>
      <c r="AL6986">
        <v>78.299076009475698</v>
      </c>
      <c r="AM6986">
        <v>88.547584670928899</v>
      </c>
      <c r="AN6986">
        <v>1.0000000643972999</v>
      </c>
    </row>
    <row r="6987" spans="1:40" x14ac:dyDescent="0.25">
      <c r="A6987" t="str">
        <f>"20190303170426393"</f>
        <v>20190303170426393</v>
      </c>
      <c r="B6987" t="str">
        <f>"1551603866382817"</f>
        <v>1551603866382817</v>
      </c>
      <c r="C6987" t="s">
        <v>40</v>
      </c>
      <c r="D6987">
        <v>4.5503530000000003</v>
      </c>
      <c r="E6987">
        <v>0.49068810000000002</v>
      </c>
      <c r="F6987" t="s">
        <v>75</v>
      </c>
      <c r="G6987">
        <v>-188.42930000000001</v>
      </c>
      <c r="H6987" s="1">
        <v>-9.2196039999999999E-6</v>
      </c>
      <c r="I6987">
        <v>-65.633030000000005</v>
      </c>
      <c r="J6987">
        <v>-243.601</v>
      </c>
      <c r="K6987">
        <v>1.120404</v>
      </c>
      <c r="L6987">
        <v>-63.572139999999997</v>
      </c>
      <c r="M6987">
        <v>0.99881209999999998</v>
      </c>
      <c r="N6987">
        <v>-9.5993699999999994E-3</v>
      </c>
      <c r="O6987">
        <v>-4.7772259999999997E-2</v>
      </c>
      <c r="P6987">
        <v>0.97865080000000004</v>
      </c>
      <c r="Q6987">
        <v>0.19280120000000001</v>
      </c>
      <c r="R6987">
        <v>-7.1208209999999994E-2</v>
      </c>
      <c r="S6987">
        <v>3.0697019999999999</v>
      </c>
      <c r="T6987">
        <v>-6.2164070000000002E-2</v>
      </c>
      <c r="U6987">
        <v>-0.11477660000000001</v>
      </c>
      <c r="V6987">
        <v>2.480332E-2</v>
      </c>
      <c r="W6987">
        <v>0.20215630000000001</v>
      </c>
      <c r="X6987">
        <v>0.97903910000000005</v>
      </c>
      <c r="Y6987">
        <v>-1.04139E-2</v>
      </c>
      <c r="Z6987">
        <v>6.6326429999999902E-4</v>
      </c>
      <c r="AA6987">
        <v>0.99994559999999999</v>
      </c>
      <c r="AB6987">
        <v>30</v>
      </c>
      <c r="AC6987">
        <v>55.171699999999902</v>
      </c>
      <c r="AD6987">
        <v>-1.120413219604</v>
      </c>
      <c r="AE6987">
        <v>-2.0608900000000001</v>
      </c>
      <c r="AF6987">
        <v>-0.57702390481257404</v>
      </c>
      <c r="AG6987">
        <v>-1.120413219604</v>
      </c>
      <c r="AH6987">
        <v>55.184433406731003</v>
      </c>
      <c r="AI6987">
        <v>91.163056657667198</v>
      </c>
      <c r="AJ6987">
        <v>90.599078898991905</v>
      </c>
      <c r="AK6987">
        <v>55.198822204747401</v>
      </c>
      <c r="AL6987">
        <v>78.336917621551905</v>
      </c>
      <c r="AM6987">
        <v>88.548759052704696</v>
      </c>
      <c r="AN6987">
        <v>0.99999996682075998</v>
      </c>
    </row>
    <row r="6988" spans="1:40" x14ac:dyDescent="0.25">
      <c r="A6988" t="str">
        <f>"20190303170426405"</f>
        <v>20190303170426405</v>
      </c>
      <c r="B6988" t="str">
        <f>"1551603866392577"</f>
        <v>1551603866392577</v>
      </c>
      <c r="C6988" t="s">
        <v>40</v>
      </c>
      <c r="D6988">
        <v>4.4656650000000004</v>
      </c>
      <c r="E6988">
        <v>0.49072510000000003</v>
      </c>
      <c r="F6988" t="s">
        <v>75</v>
      </c>
      <c r="G6988">
        <v>-190.136</v>
      </c>
      <c r="H6988" s="1">
        <v>-1.0177389999999999E-5</v>
      </c>
      <c r="I6988">
        <v>-65.598339999999993</v>
      </c>
      <c r="J6988">
        <v>-243.4477</v>
      </c>
      <c r="K6988">
        <v>1.1204369999999999</v>
      </c>
      <c r="L6988">
        <v>-63.579990000000002</v>
      </c>
      <c r="M6988">
        <v>0.9987897</v>
      </c>
      <c r="N6988">
        <v>-9.5811049999999995E-3</v>
      </c>
      <c r="O6988">
        <v>-4.8242790000000001E-2</v>
      </c>
      <c r="P6988">
        <v>0.97858290000000003</v>
      </c>
      <c r="Q6988">
        <v>0.19289190000000001</v>
      </c>
      <c r="R6988">
        <v>-7.1890990000000002E-2</v>
      </c>
      <c r="S6988">
        <v>3.0696560000000002</v>
      </c>
      <c r="T6988">
        <v>-6.4327839999999997E-2</v>
      </c>
      <c r="U6988">
        <v>-0.11633300000000001</v>
      </c>
      <c r="V6988">
        <v>2.5010589999999999E-2</v>
      </c>
      <c r="W6988">
        <v>0.20223060000000001</v>
      </c>
      <c r="X6988">
        <v>0.97901850000000001</v>
      </c>
      <c r="Y6988">
        <v>-1.0377529999999999E-2</v>
      </c>
      <c r="Z6988">
        <v>7.0612850000000005E-4</v>
      </c>
      <c r="AA6988">
        <v>0.99994590000000005</v>
      </c>
      <c r="AB6988">
        <v>30</v>
      </c>
      <c r="AC6988">
        <v>53.311700000000002</v>
      </c>
      <c r="AD6988">
        <v>-1.12044717739</v>
      </c>
      <c r="AE6988">
        <v>-2.0183499999999999</v>
      </c>
      <c r="AF6988">
        <v>-0.55577832817594297</v>
      </c>
      <c r="AG6988">
        <v>-1.12044717739</v>
      </c>
      <c r="AH6988">
        <v>53.323475698071697</v>
      </c>
      <c r="AI6988">
        <v>91.203671796640293</v>
      </c>
      <c r="AJ6988">
        <v>90.597159114281695</v>
      </c>
      <c r="AK6988">
        <v>53.3381416244533</v>
      </c>
      <c r="AL6988">
        <v>78.332570969640201</v>
      </c>
      <c r="AM6988">
        <v>88.536606169379496</v>
      </c>
      <c r="AN6988">
        <v>0.99999998426537895</v>
      </c>
    </row>
    <row r="6989" spans="1:40" x14ac:dyDescent="0.25">
      <c r="A6989" t="str">
        <f>"20190303170426417"</f>
        <v>20190303170426417</v>
      </c>
      <c r="B6989" t="str">
        <f>"1551603866402336"</f>
        <v>1551603866402336</v>
      </c>
      <c r="C6989" t="s">
        <v>40</v>
      </c>
      <c r="D6989">
        <v>4.5684310000000004</v>
      </c>
      <c r="E6989">
        <v>0.49071540000000002</v>
      </c>
      <c r="F6989" t="s">
        <v>75</v>
      </c>
      <c r="G6989">
        <v>-189.8552</v>
      </c>
      <c r="H6989" s="1">
        <v>-9.3712350000000001E-6</v>
      </c>
      <c r="I6989">
        <v>-65.657969999999906</v>
      </c>
      <c r="J6989">
        <v>-243.28790000000001</v>
      </c>
      <c r="K6989">
        <v>1.1204700000000001</v>
      </c>
      <c r="L6989">
        <v>-63.588200000000001</v>
      </c>
      <c r="M6989">
        <v>0.99876679999999995</v>
      </c>
      <c r="N6989">
        <v>-9.5627209999999997E-3</v>
      </c>
      <c r="O6989">
        <v>-4.871719E-2</v>
      </c>
      <c r="P6989">
        <v>0.97851580000000005</v>
      </c>
      <c r="Q6989">
        <v>0.1931464</v>
      </c>
      <c r="R6989">
        <v>-7.2119559999999999E-2</v>
      </c>
      <c r="S6989">
        <v>3.0695649999999999</v>
      </c>
      <c r="T6989">
        <v>-6.4174770000000006E-2</v>
      </c>
      <c r="U6989">
        <v>-0.1190186</v>
      </c>
      <c r="V6989">
        <v>2.475832E-2</v>
      </c>
      <c r="W6989">
        <v>0.20246919999999999</v>
      </c>
      <c r="X6989">
        <v>0.97897559999999995</v>
      </c>
      <c r="Y6989">
        <v>-9.9779129999999997E-3</v>
      </c>
      <c r="Z6989">
        <v>7.0354619999999995E-4</v>
      </c>
      <c r="AA6989">
        <v>0.99995000000000001</v>
      </c>
      <c r="AB6989">
        <v>30</v>
      </c>
      <c r="AC6989">
        <v>53.432699999999997</v>
      </c>
      <c r="AD6989">
        <v>-1.1204793712350001</v>
      </c>
      <c r="AE6989">
        <v>-2.0697699999999899</v>
      </c>
      <c r="AF6989">
        <v>-0.53566276219880804</v>
      </c>
      <c r="AG6989">
        <v>-1.1204793712350001</v>
      </c>
      <c r="AH6989">
        <v>53.446619605857897</v>
      </c>
      <c r="AI6989">
        <v>91.200938693464195</v>
      </c>
      <c r="AJ6989">
        <v>90.574221310498999</v>
      </c>
      <c r="AK6989">
        <v>53.461047089534702</v>
      </c>
      <c r="AL6989">
        <v>78.318611467901604</v>
      </c>
      <c r="AM6989">
        <v>88.551296955283902</v>
      </c>
      <c r="AN6989">
        <v>0.99999998837661097</v>
      </c>
    </row>
    <row r="6990" spans="1:40" x14ac:dyDescent="0.25">
      <c r="A6990" t="str">
        <f>"20190303170426428"</f>
        <v>20190303170426428</v>
      </c>
      <c r="B6990" t="str">
        <f>"1551603866422833"</f>
        <v>1551603866422833</v>
      </c>
      <c r="C6990" t="s">
        <v>40</v>
      </c>
      <c r="D6990">
        <v>4.5257250000000004</v>
      </c>
      <c r="E6990">
        <v>0.49077470000000001</v>
      </c>
      <c r="F6990" t="s">
        <v>75</v>
      </c>
      <c r="G6990">
        <v>-189.13239999999999</v>
      </c>
      <c r="H6990" s="1">
        <v>-9.2742869999999997E-6</v>
      </c>
      <c r="I6990">
        <v>-65.702529999999996</v>
      </c>
      <c r="J6990">
        <v>-243.1337</v>
      </c>
      <c r="K6990">
        <v>1.1205130000000001</v>
      </c>
      <c r="L6990">
        <v>-63.596130000000002</v>
      </c>
      <c r="M6990">
        <v>0.99874719999999995</v>
      </c>
      <c r="N6990">
        <v>-9.5467490000000002E-3</v>
      </c>
      <c r="O6990">
        <v>-4.912234E-2</v>
      </c>
      <c r="P6990">
        <v>0.97831729999999995</v>
      </c>
      <c r="Q6990">
        <v>0.19383010000000001</v>
      </c>
      <c r="R6990">
        <v>-7.2975490000000004E-2</v>
      </c>
      <c r="S6990">
        <v>3.0695800000000002</v>
      </c>
      <c r="T6990">
        <v>-6.3509700000000002E-2</v>
      </c>
      <c r="U6990">
        <v>-0.1198425</v>
      </c>
      <c r="V6990">
        <v>2.5202720000000001E-2</v>
      </c>
      <c r="W6990">
        <v>0.20313780000000001</v>
      </c>
      <c r="X6990">
        <v>0.97882570000000002</v>
      </c>
      <c r="Y6990">
        <v>-1.0115809999999999E-2</v>
      </c>
      <c r="Z6990">
        <v>6.9919000000000003E-4</v>
      </c>
      <c r="AA6990">
        <v>0.99994859999999997</v>
      </c>
      <c r="AB6990">
        <v>30</v>
      </c>
      <c r="AC6990">
        <v>54.001300000000001</v>
      </c>
      <c r="AD6990">
        <v>-1.12052227428699</v>
      </c>
      <c r="AE6990">
        <v>-2.1063999999999998</v>
      </c>
      <c r="AF6990">
        <v>-0.54869821323698098</v>
      </c>
      <c r="AG6990">
        <v>-1.12052227428699</v>
      </c>
      <c r="AH6990">
        <v>54.016356143168402</v>
      </c>
      <c r="AI6990">
        <v>91.188319326069404</v>
      </c>
      <c r="AJ6990">
        <v>90.581990582915395</v>
      </c>
      <c r="AK6990">
        <v>54.030763189890102</v>
      </c>
      <c r="AL6990">
        <v>78.279490061861694</v>
      </c>
      <c r="AM6990">
        <v>88.525079071129198</v>
      </c>
      <c r="AN6990">
        <v>0.99999994693236205</v>
      </c>
    </row>
    <row r="6991" spans="1:40" x14ac:dyDescent="0.25">
      <c r="A6991" t="str">
        <f>"20190303170426440"</f>
        <v>20190303170426440</v>
      </c>
      <c r="B6991" t="str">
        <f>"1551603866432592"</f>
        <v>1551603866432592</v>
      </c>
      <c r="C6991" t="s">
        <v>40</v>
      </c>
      <c r="D6991">
        <v>4.5852269999999997</v>
      </c>
      <c r="E6991">
        <v>0.49080800000000002</v>
      </c>
      <c r="F6991" t="s">
        <v>75</v>
      </c>
      <c r="G6991">
        <v>-186.89789999999999</v>
      </c>
      <c r="H6991" s="1">
        <v>-8.9729769999999906E-6</v>
      </c>
      <c r="I6991">
        <v>-65.844899999999996</v>
      </c>
      <c r="J6991">
        <v>-242.9759</v>
      </c>
      <c r="K6991">
        <v>1.1205609999999999</v>
      </c>
      <c r="L6991">
        <v>-63.604309999999998</v>
      </c>
      <c r="M6991">
        <v>0.99872830000000001</v>
      </c>
      <c r="N6991">
        <v>-9.5313280000000004E-3</v>
      </c>
      <c r="O6991">
        <v>-4.9506439999999999E-2</v>
      </c>
      <c r="P6991">
        <v>0.97820779999999996</v>
      </c>
      <c r="Q6991">
        <v>0.19416130000000001</v>
      </c>
      <c r="R6991">
        <v>-7.3558239999999997E-2</v>
      </c>
      <c r="S6991">
        <v>3.0694430000000001</v>
      </c>
      <c r="T6991">
        <v>-6.1159970000000001E-2</v>
      </c>
      <c r="U6991">
        <v>-0.1227417</v>
      </c>
      <c r="V6991">
        <v>2.5387799999999999E-2</v>
      </c>
      <c r="W6991">
        <v>0.20345630000000001</v>
      </c>
      <c r="X6991">
        <v>0.97875480000000004</v>
      </c>
      <c r="Y6991">
        <v>-9.556363E-3</v>
      </c>
      <c r="Z6991">
        <v>6.5420599999999995E-4</v>
      </c>
      <c r="AA6991">
        <v>0.99995409999999996</v>
      </c>
      <c r="AB6991">
        <v>30</v>
      </c>
      <c r="AC6991">
        <v>56.078000000000003</v>
      </c>
      <c r="AD6991">
        <v>-1.120569972977</v>
      </c>
      <c r="AE6991">
        <v>-2.2405899999999899</v>
      </c>
      <c r="AF6991">
        <v>-0.53829138096329399</v>
      </c>
      <c r="AG6991">
        <v>-1.120569972977</v>
      </c>
      <c r="AH6991">
        <v>56.097796006321097</v>
      </c>
      <c r="AI6991">
        <v>91.144295193590096</v>
      </c>
      <c r="AJ6991">
        <v>90.549769865040005</v>
      </c>
      <c r="AK6991">
        <v>56.111568784360003</v>
      </c>
      <c r="AL6991">
        <v>78.260852564296101</v>
      </c>
      <c r="AM6991">
        <v>88.514145024786004</v>
      </c>
      <c r="AN6991">
        <v>0.99999998246078403</v>
      </c>
    </row>
    <row r="6992" spans="1:40" x14ac:dyDescent="0.25">
      <c r="A6992" t="str">
        <f>"20190303170426451"</f>
        <v>20190303170426451</v>
      </c>
      <c r="B6992" t="str">
        <f>"1551603866442352"</f>
        <v>1551603866442352</v>
      </c>
      <c r="C6992" t="s">
        <v>40</v>
      </c>
      <c r="D6992">
        <v>4.5302179999999996</v>
      </c>
      <c r="E6992">
        <v>0.49082999999999999</v>
      </c>
      <c r="F6992" t="s">
        <v>75</v>
      </c>
      <c r="G6992">
        <v>-185.5829</v>
      </c>
      <c r="H6992" s="1">
        <v>-8.7975309999999998E-6</v>
      </c>
      <c r="I6992">
        <v>-65.923330000000007</v>
      </c>
      <c r="J6992">
        <v>-242.81800000000001</v>
      </c>
      <c r="K6992">
        <v>1.1206160000000001</v>
      </c>
      <c r="L6992">
        <v>-63.612490000000001</v>
      </c>
      <c r="M6992">
        <v>0.99871129999999997</v>
      </c>
      <c r="N6992">
        <v>-9.5171179999999998E-3</v>
      </c>
      <c r="O6992">
        <v>-4.9850560000000002E-2</v>
      </c>
      <c r="P6992">
        <v>0.97807219999999995</v>
      </c>
      <c r="Q6992">
        <v>0.19452810000000001</v>
      </c>
      <c r="R6992">
        <v>-7.4388029999999994E-2</v>
      </c>
      <c r="S6992">
        <v>3.0694119999999998</v>
      </c>
      <c r="T6992">
        <v>-5.9928769999999999E-2</v>
      </c>
      <c r="U6992">
        <v>-0.12402340000000001</v>
      </c>
      <c r="V6992">
        <v>2.58573E-2</v>
      </c>
      <c r="W6992">
        <v>0.20381060000000001</v>
      </c>
      <c r="X6992">
        <v>0.97866880000000001</v>
      </c>
      <c r="Y6992">
        <v>-9.4838990000000005E-3</v>
      </c>
      <c r="Z6992">
        <v>6.3546930000000005E-4</v>
      </c>
      <c r="AA6992">
        <v>0.99995480000000003</v>
      </c>
      <c r="AB6992">
        <v>30</v>
      </c>
      <c r="AC6992">
        <v>57.235099999999903</v>
      </c>
      <c r="AD6992">
        <v>-1.120624797531</v>
      </c>
      <c r="AE6992">
        <v>-2.3108399999999998</v>
      </c>
      <c r="AF6992">
        <v>-0.54515584292160102</v>
      </c>
      <c r="AG6992">
        <v>-1.120624797531</v>
      </c>
      <c r="AH6992">
        <v>57.257220504457102</v>
      </c>
      <c r="AI6992">
        <v>91.121185510168701</v>
      </c>
      <c r="AJ6992">
        <v>90.545506486390593</v>
      </c>
      <c r="AK6992">
        <v>57.2707804619942</v>
      </c>
      <c r="AL6992">
        <v>78.240118320944603</v>
      </c>
      <c r="AM6992">
        <v>88.486546650253601</v>
      </c>
      <c r="AN6992">
        <v>0.99999999036454501</v>
      </c>
    </row>
    <row r="6993" spans="1:40" x14ac:dyDescent="0.25">
      <c r="A6993" t="str">
        <f>"20190303170426460"</f>
        <v>20190303170426460</v>
      </c>
      <c r="B6993" t="str">
        <f>"1551603866453089"</f>
        <v>1551603866453089</v>
      </c>
      <c r="C6993" t="s">
        <v>40</v>
      </c>
      <c r="D6993">
        <v>4.64459</v>
      </c>
      <c r="E6993">
        <v>0.49085269999999998</v>
      </c>
      <c r="F6993" t="s">
        <v>75</v>
      </c>
      <c r="G6993">
        <v>-184.1242</v>
      </c>
      <c r="H6993" s="1">
        <v>-8.6027490000000005E-6</v>
      </c>
      <c r="I6993">
        <v>-66.017969999999906</v>
      </c>
      <c r="J6993">
        <v>-242.6859</v>
      </c>
      <c r="K6993">
        <v>1.1206560000000001</v>
      </c>
      <c r="L6993">
        <v>-63.619320000000002</v>
      </c>
      <c r="M6993">
        <v>0.99869940000000001</v>
      </c>
      <c r="N6993">
        <v>-9.5062299999999992E-3</v>
      </c>
      <c r="O6993">
        <v>-5.0092129999999999E-2</v>
      </c>
      <c r="P6993">
        <v>0.97808249999999997</v>
      </c>
      <c r="Q6993">
        <v>0.1942181</v>
      </c>
      <c r="R6993">
        <v>-7.5061550000000005E-2</v>
      </c>
      <c r="S6993">
        <v>3.069366</v>
      </c>
      <c r="T6993">
        <v>-5.860257E-2</v>
      </c>
      <c r="U6993">
        <v>-0.1257935</v>
      </c>
      <c r="V6993">
        <v>2.626506E-2</v>
      </c>
      <c r="W6993">
        <v>0.2034936</v>
      </c>
      <c r="X6993">
        <v>0.97872389999999998</v>
      </c>
      <c r="Y6993">
        <v>-9.1498550000000001E-3</v>
      </c>
      <c r="Z6993">
        <v>6.0993219999999995E-4</v>
      </c>
      <c r="AA6993">
        <v>0.99995800000000001</v>
      </c>
      <c r="AB6993">
        <v>30</v>
      </c>
      <c r="AC6993">
        <v>58.561700000000002</v>
      </c>
      <c r="AD6993">
        <v>-1.1206646027489999</v>
      </c>
      <c r="AE6993">
        <v>-2.3986499999999902</v>
      </c>
      <c r="AF6993">
        <v>-0.53777765330432603</v>
      </c>
      <c r="AG6993">
        <v>-1.1206646027489999</v>
      </c>
      <c r="AH6993">
        <v>58.5869151121653</v>
      </c>
      <c r="AI6993">
        <v>91.095787660653798</v>
      </c>
      <c r="AJ6993">
        <v>90.525911365234407</v>
      </c>
      <c r="AK6993">
        <v>58.600099968484002</v>
      </c>
      <c r="AL6993">
        <v>78.2586698043973</v>
      </c>
      <c r="AM6993">
        <v>88.462777923628806</v>
      </c>
      <c r="AN6993">
        <v>0.99999998552448599</v>
      </c>
    </row>
    <row r="6994" spans="1:40" x14ac:dyDescent="0.25">
      <c r="A6994" t="str">
        <f>"20190303170426471"</f>
        <v>20190303170426471</v>
      </c>
      <c r="B6994" t="str">
        <f>"1551603866462848"</f>
        <v>1551603866462848</v>
      </c>
      <c r="C6994" t="s">
        <v>40</v>
      </c>
      <c r="D6994">
        <v>4.5047600000000001</v>
      </c>
      <c r="E6994">
        <v>0.49087750000000002</v>
      </c>
      <c r="F6994" t="s">
        <v>75</v>
      </c>
      <c r="G6994">
        <v>-184.70699999999999</v>
      </c>
      <c r="H6994" s="1">
        <v>-8.6633179999999998E-6</v>
      </c>
      <c r="I6994">
        <v>-66.025019999999998</v>
      </c>
      <c r="J6994">
        <v>-242.5352</v>
      </c>
      <c r="K6994">
        <v>1.1207129999999901</v>
      </c>
      <c r="L6994">
        <v>-63.6271699999999</v>
      </c>
      <c r="M6994">
        <v>0.99868710000000005</v>
      </c>
      <c r="N6994">
        <v>-9.4944390000000004E-3</v>
      </c>
      <c r="O6994">
        <v>-5.0338800000000003E-2</v>
      </c>
      <c r="P6994">
        <v>0.97809950000000001</v>
      </c>
      <c r="Q6994">
        <v>0.1938822</v>
      </c>
      <c r="R6994">
        <v>-7.5704400000000005E-2</v>
      </c>
      <c r="S6994">
        <v>3.0692140000000001</v>
      </c>
      <c r="T6994">
        <v>-5.9324259999999997E-2</v>
      </c>
      <c r="U6994">
        <v>-0.12734989999999999</v>
      </c>
      <c r="V6994">
        <v>2.6631849999999999E-2</v>
      </c>
      <c r="W6994">
        <v>0.20315</v>
      </c>
      <c r="X6994">
        <v>0.97878540000000003</v>
      </c>
      <c r="Y6994">
        <v>-8.8884649999999999E-3</v>
      </c>
      <c r="Z6994">
        <v>6.2199779999999995E-4</v>
      </c>
      <c r="AA6994">
        <v>0.99996030000000002</v>
      </c>
      <c r="AB6994">
        <v>31</v>
      </c>
      <c r="AC6994">
        <v>57.828200000000002</v>
      </c>
      <c r="AD6994">
        <v>-1.1207216633179999</v>
      </c>
      <c r="AE6994">
        <v>-2.39785</v>
      </c>
      <c r="AF6994">
        <v>-0.51613006602648603</v>
      </c>
      <c r="AG6994">
        <v>-1.1207216633179999</v>
      </c>
      <c r="AH6994">
        <v>57.8538969097022</v>
      </c>
      <c r="AI6994">
        <v>91.1097270927241</v>
      </c>
      <c r="AJ6994">
        <v>90.511137391650607</v>
      </c>
      <c r="AK6994">
        <v>57.867052758284899</v>
      </c>
      <c r="AL6994">
        <v>78.278777019709395</v>
      </c>
      <c r="AM6994">
        <v>88.441419113865095</v>
      </c>
      <c r="AN6994">
        <v>1.0000000185937901</v>
      </c>
    </row>
    <row r="6995" spans="1:40" x14ac:dyDescent="0.25">
      <c r="A6995" t="str">
        <f>"20190303170426483"</f>
        <v>20190303170426483</v>
      </c>
      <c r="B6995" t="str">
        <f>"1551603866472610"</f>
        <v>1551603866472610</v>
      </c>
      <c r="C6995" t="s">
        <v>40</v>
      </c>
      <c r="D6995">
        <v>4.5242760000000004</v>
      </c>
      <c r="E6995">
        <v>0.49083840000000001</v>
      </c>
      <c r="F6995" t="s">
        <v>75</v>
      </c>
      <c r="G6995">
        <v>-185.5428</v>
      </c>
      <c r="H6995" s="1">
        <v>-8.756182E-6</v>
      </c>
      <c r="I6995">
        <v>-66.028279999999995</v>
      </c>
      <c r="J6995">
        <v>-242.38249999999999</v>
      </c>
      <c r="K6995">
        <v>1.1207769999999999</v>
      </c>
      <c r="L6995">
        <v>-63.635100000000001</v>
      </c>
      <c r="M6995">
        <v>0.99867799999999995</v>
      </c>
      <c r="N6995">
        <v>-9.4860659999999996E-3</v>
      </c>
      <c r="O6995">
        <v>-5.0521660000000003E-2</v>
      </c>
      <c r="P6995">
        <v>0.97823769999999999</v>
      </c>
      <c r="Q6995">
        <v>0.19301570000000001</v>
      </c>
      <c r="R6995">
        <v>-7.6133240000000005E-2</v>
      </c>
      <c r="S6995">
        <v>3.0691069999999998</v>
      </c>
      <c r="T6995">
        <v>-6.0352089999999997E-2</v>
      </c>
      <c r="U6995">
        <v>-0.129303</v>
      </c>
      <c r="V6995">
        <v>2.6837980000000001E-2</v>
      </c>
      <c r="W6995">
        <v>0.2022815</v>
      </c>
      <c r="X6995">
        <v>0.97895960000000004</v>
      </c>
      <c r="Y6995">
        <v>-8.4347539999999992E-3</v>
      </c>
      <c r="Z6995">
        <v>6.3597099999999896E-4</v>
      </c>
      <c r="AA6995">
        <v>0.99996419999999997</v>
      </c>
      <c r="AB6995">
        <v>31</v>
      </c>
      <c r="AC6995">
        <v>56.839699999999901</v>
      </c>
      <c r="AD6995">
        <v>-1.120785756182</v>
      </c>
      <c r="AE6995">
        <v>-2.3931800000000001</v>
      </c>
      <c r="AF6995">
        <v>-0.481454546564418</v>
      </c>
      <c r="AG6995">
        <v>-1.120785756182</v>
      </c>
      <c r="AH6995">
        <v>56.8659489377238</v>
      </c>
      <c r="AI6995">
        <v>91.129070755388796</v>
      </c>
      <c r="AJ6995">
        <v>90.485082109274899</v>
      </c>
      <c r="AK6995">
        <v>56.879030475030703</v>
      </c>
      <c r="AL6995">
        <v>78.329593142047003</v>
      </c>
      <c r="AM6995">
        <v>88.429641093253593</v>
      </c>
      <c r="AN6995">
        <v>0.99999999042244503</v>
      </c>
    </row>
    <row r="6996" spans="1:40" x14ac:dyDescent="0.25">
      <c r="A6996" t="str">
        <f>"20190303170426494"</f>
        <v>20190303170426494</v>
      </c>
      <c r="B6996" t="str">
        <f>"1551603866482368"</f>
        <v>1551603866482368</v>
      </c>
      <c r="C6996" t="s">
        <v>40</v>
      </c>
      <c r="D6996">
        <v>4.6393709999999997</v>
      </c>
      <c r="E6996">
        <v>0.49087130000000001</v>
      </c>
      <c r="F6996" t="s">
        <v>75</v>
      </c>
      <c r="G6996">
        <v>-187.77289999999999</v>
      </c>
      <c r="H6996" s="1">
        <v>-9.0333610000000006E-6</v>
      </c>
      <c r="I6996">
        <v>-65.953249999999997</v>
      </c>
      <c r="J6996">
        <v>-242.2321</v>
      </c>
      <c r="K6996">
        <v>1.120838</v>
      </c>
      <c r="L6996">
        <v>-63.642879999999998</v>
      </c>
      <c r="M6996">
        <v>0.99867010000000001</v>
      </c>
      <c r="N6996">
        <v>-9.4789680000000008E-3</v>
      </c>
      <c r="O6996">
        <v>-5.068106E-2</v>
      </c>
      <c r="P6996">
        <v>0.97855029999999998</v>
      </c>
      <c r="Q6996">
        <v>0.19133240000000001</v>
      </c>
      <c r="R6996">
        <v>-7.6366630000000005E-2</v>
      </c>
      <c r="S6996">
        <v>3.0690460000000002</v>
      </c>
      <c r="T6996">
        <v>-6.2987799999999997E-2</v>
      </c>
      <c r="U6996">
        <v>-0.13027949999999999</v>
      </c>
      <c r="V6996">
        <v>2.6862469999999999E-2</v>
      </c>
      <c r="W6996">
        <v>0.20059869999999999</v>
      </c>
      <c r="X6996">
        <v>0.97930510000000004</v>
      </c>
      <c r="Y6996">
        <v>-8.2752889999999999E-3</v>
      </c>
      <c r="Z6996">
        <v>6.8262770000000002E-4</v>
      </c>
      <c r="AA6996">
        <v>0.99996549999999995</v>
      </c>
      <c r="AB6996">
        <v>31</v>
      </c>
      <c r="AC6996">
        <v>54.459200000000003</v>
      </c>
      <c r="AD6996">
        <v>-1.1208470333609999</v>
      </c>
      <c r="AE6996">
        <v>-2.31036999999999</v>
      </c>
      <c r="AF6996">
        <v>-0.45258143061286699</v>
      </c>
      <c r="AG6996">
        <v>-1.1208470333609999</v>
      </c>
      <c r="AH6996">
        <v>54.483267530475899</v>
      </c>
      <c r="AI6996">
        <v>91.178500030770607</v>
      </c>
      <c r="AJ6996">
        <v>90.475933449335301</v>
      </c>
      <c r="AK6996">
        <v>54.496674841873997</v>
      </c>
      <c r="AL6996">
        <v>78.428027915557493</v>
      </c>
      <c r="AM6996">
        <v>88.428763090928598</v>
      </c>
      <c r="AN6996">
        <v>0.99999995481109905</v>
      </c>
    </row>
    <row r="6997" spans="1:40" x14ac:dyDescent="0.25">
      <c r="A6997" t="str">
        <f>"20190303170426506"</f>
        <v>20190303170426506</v>
      </c>
      <c r="B6997" t="str">
        <f>"1551603866493104"</f>
        <v>1551603866493104</v>
      </c>
      <c r="C6997" t="s">
        <v>40</v>
      </c>
      <c r="D6997">
        <v>4.5851009999999999</v>
      </c>
      <c r="E6997">
        <v>0.49090139999999999</v>
      </c>
      <c r="F6997" t="s">
        <v>75</v>
      </c>
      <c r="G6997">
        <v>-191.6567</v>
      </c>
      <c r="H6997" s="1">
        <v>-9.5309110000000006E-6</v>
      </c>
      <c r="I6997">
        <v>-65.805549999999997</v>
      </c>
      <c r="J6997">
        <v>-242.0693</v>
      </c>
      <c r="K6997">
        <v>1.120911</v>
      </c>
      <c r="L6997">
        <v>-63.65128</v>
      </c>
      <c r="M6997">
        <v>0.99866619999999995</v>
      </c>
      <c r="N6997">
        <v>-9.4737569999999993E-3</v>
      </c>
      <c r="O6997">
        <v>-5.0756540000000003E-2</v>
      </c>
      <c r="P6997">
        <v>0.97879899999999997</v>
      </c>
      <c r="Q6997">
        <v>0.18999460000000001</v>
      </c>
      <c r="R6997">
        <v>-7.6518779999999995E-2</v>
      </c>
      <c r="S6997">
        <v>3.0688019999999998</v>
      </c>
      <c r="T6997">
        <v>-6.8010570000000006E-2</v>
      </c>
      <c r="U6997">
        <v>-0.1312256</v>
      </c>
      <c r="V6997">
        <v>2.6887129999999999E-2</v>
      </c>
      <c r="W6997">
        <v>0.19926340000000001</v>
      </c>
      <c r="X6997">
        <v>0.97957709999999998</v>
      </c>
      <c r="Y6997">
        <v>-8.0385300000000003E-3</v>
      </c>
      <c r="Z6997">
        <v>7.6977149999999999E-4</v>
      </c>
      <c r="AA6997">
        <v>0.99996739999999995</v>
      </c>
      <c r="AB6997">
        <v>31</v>
      </c>
      <c r="AC6997">
        <v>50.412599999999998</v>
      </c>
      <c r="AD6997">
        <v>-1.120920530911</v>
      </c>
      <c r="AE6997">
        <v>-2.1542699999999799</v>
      </c>
      <c r="AF6997">
        <v>-0.40718981969407197</v>
      </c>
      <c r="AG6997">
        <v>-1.120920530911</v>
      </c>
      <c r="AH6997">
        <v>50.4320755839573</v>
      </c>
      <c r="AI6997">
        <v>91.273224430384403</v>
      </c>
      <c r="AJ6997">
        <v>90.462597482124806</v>
      </c>
      <c r="AK6997">
        <v>50.446174424745699</v>
      </c>
      <c r="AL6997">
        <v>78.506112687451505</v>
      </c>
      <c r="AM6997">
        <v>88.427757872502298</v>
      </c>
      <c r="AN6997">
        <v>1.0000000575918</v>
      </c>
    </row>
    <row r="6998" spans="1:40" x14ac:dyDescent="0.25">
      <c r="A6998" t="str">
        <f>"20190303170426518"</f>
        <v>20190303170426518</v>
      </c>
      <c r="B6998" t="str">
        <f>"1551603866513097"</f>
        <v>1551603866513097</v>
      </c>
      <c r="C6998" t="s">
        <v>40</v>
      </c>
      <c r="D6998">
        <v>4.5015980000000004</v>
      </c>
      <c r="E6998">
        <v>0.4909039</v>
      </c>
      <c r="F6998" t="s">
        <v>75</v>
      </c>
      <c r="G6998">
        <v>-194.35910000000001</v>
      </c>
      <c r="H6998" s="1">
        <v>-8.3408569999999906E-6</v>
      </c>
      <c r="I6998">
        <v>-65.705280000000002</v>
      </c>
      <c r="J6998">
        <v>-241.91489999999999</v>
      </c>
      <c r="K6998">
        <v>1.1209789999999999</v>
      </c>
      <c r="L6998">
        <v>-63.659210000000002</v>
      </c>
      <c r="M6998">
        <v>0.998664</v>
      </c>
      <c r="N6998">
        <v>-9.4691459999999995E-3</v>
      </c>
      <c r="O6998">
        <v>-5.0800020000000001E-2</v>
      </c>
      <c r="P6998">
        <v>0.97900390000000004</v>
      </c>
      <c r="Q6998">
        <v>0.18888389999999999</v>
      </c>
      <c r="R6998">
        <v>-7.6643439999999993E-2</v>
      </c>
      <c r="S6998">
        <v>3.0686490000000002</v>
      </c>
      <c r="T6998">
        <v>-7.2095870000000006E-2</v>
      </c>
      <c r="U6998">
        <v>-0.13211059999999999</v>
      </c>
      <c r="V6998">
        <v>2.6920079999999999E-2</v>
      </c>
      <c r="W6998">
        <v>0.19815579999999999</v>
      </c>
      <c r="X6998">
        <v>0.97980080000000003</v>
      </c>
      <c r="Y6998">
        <v>-7.7909750000000003E-3</v>
      </c>
      <c r="Z6998">
        <v>8.3939529999999896E-4</v>
      </c>
      <c r="AA6998">
        <v>0.99996929999999995</v>
      </c>
      <c r="AB6998">
        <v>31</v>
      </c>
      <c r="AC6998">
        <v>47.555799999999898</v>
      </c>
      <c r="AD6998">
        <v>-1.1209873408569999</v>
      </c>
      <c r="AE6998">
        <v>-2.0460699999999998</v>
      </c>
      <c r="AF6998">
        <v>-0.37230933653416898</v>
      </c>
      <c r="AG6998">
        <v>-1.1209873408569999</v>
      </c>
      <c r="AH6998">
        <v>47.571953563711403</v>
      </c>
      <c r="AI6998">
        <v>91.349828818689602</v>
      </c>
      <c r="AJ6998">
        <v>90.448401138731199</v>
      </c>
      <c r="AK6998">
        <v>47.586615688955497</v>
      </c>
      <c r="AL6998">
        <v>78.570864197302697</v>
      </c>
      <c r="AM6998">
        <v>88.426191289247896</v>
      </c>
      <c r="AN6998">
        <v>1.00000000973074</v>
      </c>
    </row>
    <row r="6999" spans="1:40" x14ac:dyDescent="0.25">
      <c r="A6999" t="str">
        <f>"20190303170426528"</f>
        <v>20190303170426528</v>
      </c>
      <c r="B6999" t="str">
        <f>"1551603866522366"</f>
        <v>1551603866522366</v>
      </c>
      <c r="C6999" t="s">
        <v>40</v>
      </c>
      <c r="D6999">
        <v>4.4792439999999996</v>
      </c>
      <c r="E6999">
        <v>0.49087589999999998</v>
      </c>
      <c r="F6999" t="s">
        <v>75</v>
      </c>
      <c r="G6999">
        <v>-196.297</v>
      </c>
      <c r="H6999" s="1">
        <v>-7.5197829999999997E-6</v>
      </c>
      <c r="I6999">
        <v>-65.630009999999999</v>
      </c>
      <c r="J6999">
        <v>-241.76349999999999</v>
      </c>
      <c r="K6999">
        <v>1.1210580000000001</v>
      </c>
      <c r="L6999">
        <v>-63.666930000000001</v>
      </c>
      <c r="M6999">
        <v>0.99866569999999999</v>
      </c>
      <c r="N6999">
        <v>-9.4653329999999994E-3</v>
      </c>
      <c r="O6999">
        <v>-5.0766730000000003E-2</v>
      </c>
      <c r="P6999">
        <v>0.97912679999999996</v>
      </c>
      <c r="Q6999">
        <v>0.18824460000000001</v>
      </c>
      <c r="R6999">
        <v>-7.6648209999999994E-2</v>
      </c>
      <c r="S6999">
        <v>3.0685419999999999</v>
      </c>
      <c r="T6999">
        <v>-7.5404520000000003E-2</v>
      </c>
      <c r="U6999">
        <v>-0.1325684</v>
      </c>
      <c r="V6999">
        <v>2.6912229999999999E-2</v>
      </c>
      <c r="W6999">
        <v>0.19751869999999999</v>
      </c>
      <c r="X6999">
        <v>0.97992959999999996</v>
      </c>
      <c r="Y6999">
        <v>-7.6062809999999899E-3</v>
      </c>
      <c r="Z6999">
        <v>8.9486669999999896E-4</v>
      </c>
      <c r="AA6999">
        <v>0.99997069999999999</v>
      </c>
      <c r="AB6999">
        <v>31</v>
      </c>
      <c r="AC6999">
        <v>45.466500000000003</v>
      </c>
      <c r="AD6999">
        <v>-1.121065519783</v>
      </c>
      <c r="AE6999">
        <v>-1.9630799999999899</v>
      </c>
      <c r="AF6999">
        <v>-0.34752954630886301</v>
      </c>
      <c r="AG6999">
        <v>-1.121065519783</v>
      </c>
      <c r="AH6999">
        <v>45.479932265643697</v>
      </c>
      <c r="AI6999">
        <v>91.411995159035101</v>
      </c>
      <c r="AJ6999">
        <v>90.437810430293595</v>
      </c>
      <c r="AK6999">
        <v>45.495074497936002</v>
      </c>
      <c r="AL6999">
        <v>78.608102835673606</v>
      </c>
      <c r="AM6999">
        <v>88.426856681359894</v>
      </c>
      <c r="AN6999">
        <v>0.99999996296471005</v>
      </c>
    </row>
    <row r="7000" spans="1:40" x14ac:dyDescent="0.25">
      <c r="A7000" t="str">
        <f>"20190303170426540"</f>
        <v>20190303170426540</v>
      </c>
      <c r="B7000" t="str">
        <f>"1551603866532994"</f>
        <v>1551603866532994</v>
      </c>
      <c r="C7000" t="s">
        <v>40</v>
      </c>
      <c r="D7000">
        <v>4.5073879999999997</v>
      </c>
      <c r="E7000">
        <v>0.49086229999999997</v>
      </c>
      <c r="F7000" t="s">
        <v>75</v>
      </c>
      <c r="G7000">
        <v>-197.2413</v>
      </c>
      <c r="H7000" s="1">
        <v>-7.132688E-6</v>
      </c>
      <c r="I7000">
        <v>-65.587360000000004</v>
      </c>
      <c r="J7000">
        <v>-241.6063</v>
      </c>
      <c r="K7000">
        <v>1.121138</v>
      </c>
      <c r="L7000">
        <v>-63.674900000000001</v>
      </c>
      <c r="M7000">
        <v>0.99866969999999999</v>
      </c>
      <c r="N7000">
        <v>-9.4633210000000002E-3</v>
      </c>
      <c r="O7000">
        <v>-5.0689789999999998E-2</v>
      </c>
      <c r="P7000">
        <v>0.97912339999999998</v>
      </c>
      <c r="Q7000">
        <v>0.18821460000000001</v>
      </c>
      <c r="R7000">
        <v>-7.6767059999999998E-2</v>
      </c>
      <c r="S7000">
        <v>3.068451</v>
      </c>
      <c r="T7000">
        <v>-7.7263239999999997E-2</v>
      </c>
      <c r="U7000">
        <v>-0.13235469999999999</v>
      </c>
      <c r="V7000">
        <v>2.7066380000000001E-2</v>
      </c>
      <c r="W7000">
        <v>0.1974921</v>
      </c>
      <c r="X7000">
        <v>0.97993079999999999</v>
      </c>
      <c r="Y7000">
        <v>-7.596851E-3</v>
      </c>
      <c r="Z7000">
        <v>9.2664539999999995E-4</v>
      </c>
      <c r="AA7000">
        <v>0.99997069999999999</v>
      </c>
      <c r="AB7000">
        <v>31</v>
      </c>
      <c r="AC7000">
        <v>44.365000000000002</v>
      </c>
      <c r="AD7000">
        <v>-1.121145132688</v>
      </c>
      <c r="AE7000">
        <v>-1.91246</v>
      </c>
      <c r="AF7000">
        <v>-0.33873590384209601</v>
      </c>
      <c r="AG7000">
        <v>-1.121145132688</v>
      </c>
      <c r="AH7000">
        <v>44.376620591102203</v>
      </c>
      <c r="AI7000">
        <v>91.447188889184105</v>
      </c>
      <c r="AJ7000">
        <v>90.437342016371403</v>
      </c>
      <c r="AK7000">
        <v>44.392073205784598</v>
      </c>
      <c r="AL7000">
        <v>78.609658482401201</v>
      </c>
      <c r="AM7000">
        <v>88.417852409939499</v>
      </c>
      <c r="AN7000">
        <v>1.00000004563867</v>
      </c>
    </row>
    <row r="7001" spans="1:40" x14ac:dyDescent="0.25">
      <c r="A7001" t="str">
        <f>"20190303170426550"</f>
        <v>20190303170426550</v>
      </c>
      <c r="B7001" t="str">
        <f>"1551603866542753"</f>
        <v>1551603866542753</v>
      </c>
      <c r="C7001" t="s">
        <v>40</v>
      </c>
      <c r="D7001">
        <v>4.5045019999999996</v>
      </c>
      <c r="E7001">
        <v>0.49082009999999998</v>
      </c>
      <c r="F7001" t="s">
        <v>75</v>
      </c>
      <c r="G7001">
        <v>-197.01400000000001</v>
      </c>
      <c r="H7001" s="1">
        <v>-7.2260559999999998E-6</v>
      </c>
      <c r="I7001">
        <v>-65.601019999999906</v>
      </c>
      <c r="J7001">
        <v>-241.4648</v>
      </c>
      <c r="K7001">
        <v>1.121216</v>
      </c>
      <c r="L7001">
        <v>-63.682040000000001</v>
      </c>
      <c r="M7001">
        <v>0.99867550000000005</v>
      </c>
      <c r="N7001">
        <v>-9.4636400000000006E-3</v>
      </c>
      <c r="O7001">
        <v>-5.0574010000000003E-2</v>
      </c>
      <c r="P7001">
        <v>0.97910410000000003</v>
      </c>
      <c r="Q7001">
        <v>0.1884381</v>
      </c>
      <c r="R7001">
        <v>-7.6463130000000004E-2</v>
      </c>
      <c r="S7001">
        <v>3.0684200000000001</v>
      </c>
      <c r="T7001">
        <v>-7.7146649999999997E-2</v>
      </c>
      <c r="U7001">
        <v>-0.13253779999999901</v>
      </c>
      <c r="V7001">
        <v>2.6841960000000002E-2</v>
      </c>
      <c r="W7001">
        <v>0.19772120000000001</v>
      </c>
      <c r="X7001">
        <v>0.97989079999999995</v>
      </c>
      <c r="Y7001">
        <v>-7.4210569999999896E-3</v>
      </c>
      <c r="Z7001">
        <v>9.1972569999999995E-4</v>
      </c>
      <c r="AA7001">
        <v>0.99997199999999997</v>
      </c>
      <c r="AB7001">
        <v>31</v>
      </c>
      <c r="AC7001">
        <v>44.450800000000001</v>
      </c>
      <c r="AD7001">
        <v>-1.121223226056</v>
      </c>
      <c r="AE7001">
        <v>-1.9189799999999899</v>
      </c>
      <c r="AF7001">
        <v>-0.33142126293164298</v>
      </c>
      <c r="AG7001">
        <v>-1.121223226056</v>
      </c>
      <c r="AH7001">
        <v>44.462730177586202</v>
      </c>
      <c r="AI7001">
        <v>91.444489870861403</v>
      </c>
      <c r="AJ7001">
        <v>90.427069769685502</v>
      </c>
      <c r="AK7001">
        <v>44.478099739321301</v>
      </c>
      <c r="AL7001">
        <v>78.596268280572005</v>
      </c>
      <c r="AM7001">
        <v>88.430900132320104</v>
      </c>
      <c r="AN7001">
        <v>1.0000000718353499</v>
      </c>
    </row>
    <row r="7002" spans="1:40" x14ac:dyDescent="0.25">
      <c r="A7002" t="str">
        <f>"20190303170426562"</f>
        <v>20190303170426562</v>
      </c>
      <c r="B7002" t="str">
        <f>"1551603866552514"</f>
        <v>1551603866552514</v>
      </c>
      <c r="C7002" t="s">
        <v>40</v>
      </c>
      <c r="D7002">
        <v>4.4161919999999997</v>
      </c>
      <c r="E7002">
        <v>0.49084660000000002</v>
      </c>
      <c r="F7002" t="s">
        <v>75</v>
      </c>
      <c r="G7002">
        <v>-196.31290000000001</v>
      </c>
      <c r="H7002" s="1">
        <v>-7.5122330000000001E-6</v>
      </c>
      <c r="I7002">
        <v>-65.611639999999994</v>
      </c>
      <c r="J7002">
        <v>-241.3098</v>
      </c>
      <c r="K7002">
        <v>1.1213010000000001</v>
      </c>
      <c r="L7002">
        <v>-63.68976</v>
      </c>
      <c r="M7002">
        <v>0.99868469999999998</v>
      </c>
      <c r="N7002">
        <v>-9.4650910000000001E-3</v>
      </c>
      <c r="O7002">
        <v>-5.0393449999999999E-2</v>
      </c>
      <c r="P7002">
        <v>0.97908470000000003</v>
      </c>
      <c r="Q7002">
        <v>0.18867030000000001</v>
      </c>
      <c r="R7002">
        <v>-7.6138319999999995E-2</v>
      </c>
      <c r="S7002">
        <v>3.0684809999999998</v>
      </c>
      <c r="T7002">
        <v>-7.6197269999999998E-2</v>
      </c>
      <c r="U7002">
        <v>-0.131134</v>
      </c>
      <c r="V7002">
        <v>2.6656829999999999E-2</v>
      </c>
      <c r="W7002">
        <v>0.19795950000000001</v>
      </c>
      <c r="X7002">
        <v>0.97984769999999999</v>
      </c>
      <c r="Y7002">
        <v>-7.6979700000000002E-3</v>
      </c>
      <c r="Z7002">
        <v>9.0485559999999997E-4</v>
      </c>
      <c r="AA7002">
        <v>0.99997000000000003</v>
      </c>
      <c r="AB7002">
        <v>31</v>
      </c>
      <c r="AC7002">
        <v>44.996899999999897</v>
      </c>
      <c r="AD7002">
        <v>-1.121308512233</v>
      </c>
      <c r="AE7002">
        <v>-1.92188</v>
      </c>
      <c r="AF7002">
        <v>-0.34799673012217203</v>
      </c>
      <c r="AG7002">
        <v>-1.121308512233</v>
      </c>
      <c r="AH7002">
        <v>45.008679176803298</v>
      </c>
      <c r="AI7002">
        <v>91.427081188379603</v>
      </c>
      <c r="AJ7002">
        <v>90.442988929798602</v>
      </c>
      <c r="AK7002">
        <v>45.023989558280903</v>
      </c>
      <c r="AL7002">
        <v>78.582338929531801</v>
      </c>
      <c r="AM7002">
        <v>88.441648408783706</v>
      </c>
      <c r="AN7002">
        <v>1.00000003271059</v>
      </c>
    </row>
    <row r="7003" spans="1:40" x14ac:dyDescent="0.25">
      <c r="A7003" t="str">
        <f>"20190303170426573"</f>
        <v>20190303170426573</v>
      </c>
      <c r="B7003" t="str">
        <f>"1551603866562273"</f>
        <v>1551603866562273</v>
      </c>
      <c r="C7003" t="s">
        <v>40</v>
      </c>
      <c r="D7003">
        <v>4.5238250000000004</v>
      </c>
      <c r="E7003">
        <v>0.49079469999999997</v>
      </c>
      <c r="F7003" t="s">
        <v>75</v>
      </c>
      <c r="G7003">
        <v>-195.5701</v>
      </c>
      <c r="H7003" s="1">
        <v>-7.8158749999999906E-6</v>
      </c>
      <c r="I7003">
        <v>-65.630390000000006</v>
      </c>
      <c r="J7003">
        <v>-241.16</v>
      </c>
      <c r="K7003">
        <v>1.121381</v>
      </c>
      <c r="L7003">
        <v>-63.697200000000002</v>
      </c>
      <c r="M7003">
        <v>0.99869509999999995</v>
      </c>
      <c r="N7003">
        <v>-9.4671789999999992E-3</v>
      </c>
      <c r="O7003">
        <v>-5.0184109999999997E-2</v>
      </c>
      <c r="P7003">
        <v>0.97903309999999999</v>
      </c>
      <c r="Q7003">
        <v>0.1891379</v>
      </c>
      <c r="R7003">
        <v>-7.5638369999999996E-2</v>
      </c>
      <c r="S7003">
        <v>3.0684659999999999</v>
      </c>
      <c r="T7003">
        <v>-7.5223449999999997E-2</v>
      </c>
      <c r="U7003">
        <v>-0.130188</v>
      </c>
      <c r="V7003">
        <v>2.632864E-2</v>
      </c>
      <c r="W7003">
        <v>0.198433</v>
      </c>
      <c r="X7003">
        <v>0.97976079999999999</v>
      </c>
      <c r="Y7003">
        <v>-7.7961990000000002E-3</v>
      </c>
      <c r="Z7003">
        <v>8.8611369999999905E-4</v>
      </c>
      <c r="AA7003">
        <v>0.9999692</v>
      </c>
      <c r="AB7003">
        <v>31</v>
      </c>
      <c r="AC7003">
        <v>45.5899</v>
      </c>
      <c r="AD7003">
        <v>-1.1213888158750001</v>
      </c>
      <c r="AE7003">
        <v>-1.93319</v>
      </c>
      <c r="AF7003">
        <v>-0.35702156986759997</v>
      </c>
      <c r="AG7003">
        <v>-1.1213888158750001</v>
      </c>
      <c r="AH7003">
        <v>45.601929695921903</v>
      </c>
      <c r="AI7003">
        <v>91.408623113618802</v>
      </c>
      <c r="AJ7003">
        <v>90.448564597071098</v>
      </c>
      <c r="AK7003">
        <v>45.617112680106402</v>
      </c>
      <c r="AL7003">
        <v>78.554660372688801</v>
      </c>
      <c r="AM7003">
        <v>88.460688575613403</v>
      </c>
      <c r="AN7003">
        <v>1.0000000389949399</v>
      </c>
    </row>
    <row r="7004" spans="1:40" x14ac:dyDescent="0.25">
      <c r="A7004" t="str">
        <f>"20190303170426583"</f>
        <v>20190303170426583</v>
      </c>
      <c r="B7004" t="str">
        <f>"1551603866573009"</f>
        <v>1551603866573009</v>
      </c>
      <c r="C7004" t="s">
        <v>40</v>
      </c>
      <c r="D7004">
        <v>4.4830959999999997</v>
      </c>
      <c r="E7004">
        <v>0.49079469999999997</v>
      </c>
      <c r="F7004" t="s">
        <v>75</v>
      </c>
      <c r="G7004">
        <v>-194.37299999999999</v>
      </c>
      <c r="H7004" s="1">
        <v>-8.3301390000000001E-6</v>
      </c>
      <c r="I7004">
        <v>-65.652439999999999</v>
      </c>
      <c r="J7004">
        <v>-241.0068</v>
      </c>
      <c r="K7004">
        <v>1.121462</v>
      </c>
      <c r="L7004">
        <v>-63.704709999999999</v>
      </c>
      <c r="M7004">
        <v>0.99870930000000002</v>
      </c>
      <c r="N7004">
        <v>-9.4695779999999993E-3</v>
      </c>
      <c r="O7004">
        <v>-4.9901830000000001E-2</v>
      </c>
      <c r="P7004">
        <v>0.97905520000000001</v>
      </c>
      <c r="Q7004">
        <v>0.18937470000000001</v>
      </c>
      <c r="R7004">
        <v>-7.4756119999999995E-2</v>
      </c>
      <c r="S7004">
        <v>3.0685579999999999</v>
      </c>
      <c r="T7004">
        <v>-7.3547119999999994E-2</v>
      </c>
      <c r="U7004">
        <v>-0.12823490000000001</v>
      </c>
      <c r="V7004">
        <v>2.5686190000000001E-2</v>
      </c>
      <c r="W7004">
        <v>0.19867650000000001</v>
      </c>
      <c r="X7004">
        <v>0.9797285</v>
      </c>
      <c r="Y7004">
        <v>-8.1505880000000003E-3</v>
      </c>
      <c r="Z7004">
        <v>8.5832249999999997E-4</v>
      </c>
      <c r="AA7004">
        <v>0.99996640000000003</v>
      </c>
      <c r="AB7004">
        <v>31</v>
      </c>
      <c r="AC7004">
        <v>46.633800000000001</v>
      </c>
      <c r="AD7004">
        <v>-1.1214703301389899</v>
      </c>
      <c r="AE7004">
        <v>-1.94773</v>
      </c>
      <c r="AF7004">
        <v>-0.38169263486468402</v>
      </c>
      <c r="AG7004">
        <v>-1.1214703301389899</v>
      </c>
      <c r="AH7004">
        <v>46.645964997283897</v>
      </c>
      <c r="AI7004">
        <v>91.377203596560605</v>
      </c>
      <c r="AJ7004">
        <v>90.468827024232397</v>
      </c>
      <c r="AK7004">
        <v>46.6610055131341</v>
      </c>
      <c r="AL7004">
        <v>78.540425359069403</v>
      </c>
      <c r="AM7004">
        <v>88.498182693793296</v>
      </c>
      <c r="AN7004">
        <v>1.0000000328606</v>
      </c>
    </row>
    <row r="7005" spans="1:40" x14ac:dyDescent="0.25">
      <c r="A7005" t="str">
        <f>"20190303170426595"</f>
        <v>20190303170426595</v>
      </c>
      <c r="B7005" t="str">
        <f>"1551603866582769"</f>
        <v>1551603866582769</v>
      </c>
      <c r="C7005" t="s">
        <v>40</v>
      </c>
      <c r="D7005">
        <v>4.6120780000000003</v>
      </c>
      <c r="E7005">
        <v>0.46421119999999999</v>
      </c>
      <c r="F7005" t="s">
        <v>75</v>
      </c>
      <c r="G7005">
        <v>-193.75139999999999</v>
      </c>
      <c r="H7005" s="1">
        <v>-8.6006649999999998E-6</v>
      </c>
      <c r="I7005">
        <v>-65.639009999999999</v>
      </c>
      <c r="J7005">
        <v>-240.85149999999999</v>
      </c>
      <c r="K7005">
        <v>1.121548</v>
      </c>
      <c r="L7005">
        <v>-63.712249999999997</v>
      </c>
      <c r="M7005">
        <v>0.99872450000000002</v>
      </c>
      <c r="N7005">
        <v>-9.4720429999999994E-3</v>
      </c>
      <c r="O7005">
        <v>-4.9596319999999999E-2</v>
      </c>
      <c r="P7005">
        <v>0.97911939999999997</v>
      </c>
      <c r="Q7005">
        <v>0.1893659</v>
      </c>
      <c r="R7005">
        <v>-7.3932109999999995E-2</v>
      </c>
      <c r="S7005">
        <v>3.068695</v>
      </c>
      <c r="T7005">
        <v>-7.2826619999999995E-2</v>
      </c>
      <c r="U7005">
        <v>-0.12561040000000001</v>
      </c>
      <c r="V7005">
        <v>2.5122599999999998E-2</v>
      </c>
      <c r="W7005">
        <v>0.19867460000000001</v>
      </c>
      <c r="X7005">
        <v>0.97974349999999999</v>
      </c>
      <c r="Y7005">
        <v>-8.7003659999999993E-3</v>
      </c>
      <c r="Z7005">
        <v>8.5030320000000002E-4</v>
      </c>
      <c r="AA7005">
        <v>0.99996180000000001</v>
      </c>
      <c r="AB7005">
        <v>31</v>
      </c>
      <c r="AC7005">
        <v>47.100099999999998</v>
      </c>
      <c r="AD7005">
        <v>-1.121556600665</v>
      </c>
      <c r="AE7005">
        <v>-1.92676</v>
      </c>
      <c r="AF7005">
        <v>-0.411474729623314</v>
      </c>
      <c r="AG7005">
        <v>-1.121556600665</v>
      </c>
      <c r="AH7005">
        <v>47.111027040368398</v>
      </c>
      <c r="AI7005">
        <v>91.363712028722304</v>
      </c>
      <c r="AJ7005">
        <v>90.500417150653405</v>
      </c>
      <c r="AK7005">
        <v>47.1261718099395</v>
      </c>
      <c r="AL7005">
        <v>78.540536445694002</v>
      </c>
      <c r="AM7005">
        <v>88.531142492014595</v>
      </c>
      <c r="AN7005">
        <v>1.00000003375408</v>
      </c>
    </row>
    <row r="7006" spans="1:40" x14ac:dyDescent="0.25">
      <c r="A7006" t="str">
        <f>"20190303170426607"</f>
        <v>20190303170426607</v>
      </c>
      <c r="B7006" t="str">
        <f>"1551603866602289"</f>
        <v>1551603866602289</v>
      </c>
      <c r="C7006" t="s">
        <v>40</v>
      </c>
      <c r="D7006">
        <v>4.568079</v>
      </c>
      <c r="E7006">
        <v>0.45215</v>
      </c>
      <c r="F7006" t="s">
        <v>44</v>
      </c>
      <c r="G7006">
        <v>-165.89009999999999</v>
      </c>
      <c r="H7006">
        <v>-0.05</v>
      </c>
      <c r="I7006">
        <v>-61.587220000000002</v>
      </c>
      <c r="J7006">
        <v>-240.69130000000001</v>
      </c>
      <c r="K7006">
        <v>1.1216269999999999</v>
      </c>
      <c r="L7006">
        <v>-63.719850000000001</v>
      </c>
      <c r="M7006">
        <v>0.99874419999999997</v>
      </c>
      <c r="N7006">
        <v>-9.4751869999999995E-3</v>
      </c>
      <c r="O7006">
        <v>-4.919917E-2</v>
      </c>
      <c r="P7006">
        <v>0.97917799999999999</v>
      </c>
      <c r="Q7006">
        <v>0.18953510000000001</v>
      </c>
      <c r="R7006">
        <v>-7.2714959999999995E-2</v>
      </c>
      <c r="S7006">
        <v>3.0798800000000002</v>
      </c>
      <c r="T7006">
        <v>-4.8134450000000002E-2</v>
      </c>
      <c r="U7006">
        <v>8.7310789999999999E-2</v>
      </c>
      <c r="V7006">
        <v>2.4256659999999999E-2</v>
      </c>
      <c r="W7006">
        <v>0.19885079999999999</v>
      </c>
      <c r="X7006">
        <v>0.97972950000000003</v>
      </c>
      <c r="Y7006">
        <v>-7.746857E-2</v>
      </c>
      <c r="Z7006">
        <v>1.2748200000000001E-3</v>
      </c>
      <c r="AA7006">
        <v>0.99699400000000005</v>
      </c>
      <c r="AB7006">
        <v>31</v>
      </c>
      <c r="AC7006">
        <v>74.801199999999994</v>
      </c>
      <c r="AD7006">
        <v>-1.171627</v>
      </c>
      <c r="AE7006">
        <v>2.1326299999999998</v>
      </c>
      <c r="AF7006">
        <v>-5.8089447284717703</v>
      </c>
      <c r="AG7006">
        <v>-1.171627</v>
      </c>
      <c r="AH7006">
        <v>74.587394262166995</v>
      </c>
      <c r="AI7006">
        <v>90.897217939591002</v>
      </c>
      <c r="AJ7006">
        <v>94.453266398156401</v>
      </c>
      <c r="AK7006">
        <v>74.822429334428307</v>
      </c>
      <c r="AL7006">
        <v>78.530234538568195</v>
      </c>
      <c r="AM7006">
        <v>88.581730598866002</v>
      </c>
      <c r="AN7006">
        <v>0.99999995969262201</v>
      </c>
    </row>
    <row r="7007" spans="1:40" x14ac:dyDescent="0.25">
      <c r="A7007" t="str">
        <f>"20190303170426618"</f>
        <v>20190303170426618</v>
      </c>
      <c r="B7007" t="str">
        <f>"1551603866613026"</f>
        <v>1551603866613026</v>
      </c>
      <c r="C7007" t="s">
        <v>40</v>
      </c>
      <c r="D7007">
        <v>4.5637790000000003</v>
      </c>
      <c r="E7007">
        <v>0.44934200000000002</v>
      </c>
      <c r="F7007" t="s">
        <v>55</v>
      </c>
      <c r="G7007">
        <v>-157.3501</v>
      </c>
      <c r="H7007">
        <v>0.14315320000000001</v>
      </c>
      <c r="I7007">
        <v>-58.685299999999998</v>
      </c>
      <c r="J7007">
        <v>-240.5333</v>
      </c>
      <c r="K7007">
        <v>1.1217010000000001</v>
      </c>
      <c r="L7007">
        <v>-63.727330000000002</v>
      </c>
      <c r="M7007">
        <v>0.99876430000000005</v>
      </c>
      <c r="N7007">
        <v>-9.478373E-3</v>
      </c>
      <c r="O7007">
        <v>-4.8788709999999999E-2</v>
      </c>
      <c r="P7007">
        <v>0.97916789999999998</v>
      </c>
      <c r="Q7007">
        <v>0.18987409999999999</v>
      </c>
      <c r="R7007">
        <v>-7.1959140000000005E-2</v>
      </c>
      <c r="S7007">
        <v>3.0846559999999998</v>
      </c>
      <c r="T7007">
        <v>-3.6216379999999999E-2</v>
      </c>
      <c r="U7007">
        <v>0.18634029999999999</v>
      </c>
      <c r="V7007">
        <v>2.386953E-2</v>
      </c>
      <c r="W7007">
        <v>0.19919609999999999</v>
      </c>
      <c r="X7007">
        <v>0.97966889999999995</v>
      </c>
      <c r="Y7007">
        <v>-0.1089155</v>
      </c>
      <c r="Z7007">
        <v>1.2657860000000001E-3</v>
      </c>
      <c r="AA7007">
        <v>0.99405019999999999</v>
      </c>
      <c r="AB7007">
        <v>31</v>
      </c>
      <c r="AC7007">
        <v>83.183199999999999</v>
      </c>
      <c r="AD7007">
        <v>-0.97854779999999997</v>
      </c>
      <c r="AE7007">
        <v>5.0420299999999996</v>
      </c>
      <c r="AF7007">
        <v>-9.09335394791181</v>
      </c>
      <c r="AG7007">
        <v>-0.97854779999999997</v>
      </c>
      <c r="AH7007">
        <v>82.826704794738106</v>
      </c>
      <c r="AI7007">
        <v>90.672841279362601</v>
      </c>
      <c r="AJ7007">
        <v>96.265280104165896</v>
      </c>
      <c r="AK7007">
        <v>83.330124618732995</v>
      </c>
      <c r="AL7007">
        <v>78.510046872986095</v>
      </c>
      <c r="AM7007">
        <v>88.604270488415096</v>
      </c>
      <c r="AN7007">
        <v>0.99999999717242005</v>
      </c>
    </row>
    <row r="7008" spans="1:40" x14ac:dyDescent="0.25">
      <c r="A7008" t="str">
        <f>"20190303170426629"</f>
        <v>20190303170426629</v>
      </c>
      <c r="B7008" t="str">
        <f>"1551603866622785"</f>
        <v>1551603866622785</v>
      </c>
      <c r="C7008" t="s">
        <v>40</v>
      </c>
      <c r="D7008">
        <v>4.5375259999999997</v>
      </c>
      <c r="E7008">
        <v>0.44760420000000001</v>
      </c>
      <c r="F7008" t="s">
        <v>55</v>
      </c>
      <c r="G7008">
        <v>-157.3501</v>
      </c>
      <c r="H7008">
        <v>0.21824650000000001</v>
      </c>
      <c r="I7008">
        <v>-58.044440000000002</v>
      </c>
      <c r="J7008">
        <v>-240.37520000000001</v>
      </c>
      <c r="K7008">
        <v>1.121775</v>
      </c>
      <c r="L7008">
        <v>-63.734679999999997</v>
      </c>
      <c r="M7008">
        <v>0.99878659999999997</v>
      </c>
      <c r="N7008">
        <v>-9.4818969999999995E-3</v>
      </c>
      <c r="O7008">
        <v>-4.8329570000000002E-2</v>
      </c>
      <c r="P7008">
        <v>0.97911530000000002</v>
      </c>
      <c r="Q7008">
        <v>0.19047269999999999</v>
      </c>
      <c r="R7008">
        <v>-7.1088280000000004E-2</v>
      </c>
      <c r="S7008">
        <v>3.0858150000000002</v>
      </c>
      <c r="T7008">
        <v>-3.351581E-2</v>
      </c>
      <c r="U7008">
        <v>0.21081539999999999</v>
      </c>
      <c r="V7008">
        <v>2.341907E-2</v>
      </c>
      <c r="W7008">
        <v>0.1998007</v>
      </c>
      <c r="X7008">
        <v>0.9795566</v>
      </c>
      <c r="Y7008">
        <v>-0.1162855</v>
      </c>
      <c r="Z7008">
        <v>1.249418E-3</v>
      </c>
      <c r="AA7008">
        <v>0.99321499999999996</v>
      </c>
      <c r="AB7008">
        <v>31</v>
      </c>
      <c r="AC7008">
        <v>83.025099999999995</v>
      </c>
      <c r="AD7008">
        <v>-0.90352849999999996</v>
      </c>
      <c r="AE7008">
        <v>5.6902400000000002</v>
      </c>
      <c r="AF7008">
        <v>-9.6951943131897806</v>
      </c>
      <c r="AG7008">
        <v>-0.90352849999999996</v>
      </c>
      <c r="AH7008">
        <v>82.6433108584297</v>
      </c>
      <c r="AI7008">
        <v>90.622116328376805</v>
      </c>
      <c r="AJ7008">
        <v>96.690997964882001</v>
      </c>
      <c r="AK7008">
        <v>83.214962513744197</v>
      </c>
      <c r="AL7008">
        <v>78.474694689257603</v>
      </c>
      <c r="AM7008">
        <v>88.630443298981206</v>
      </c>
      <c r="AN7008">
        <v>0.99999995258185603</v>
      </c>
    </row>
    <row r="7009" spans="1:40" x14ac:dyDescent="0.25">
      <c r="A7009" t="str">
        <f>"20190303170426641"</f>
        <v>20190303170426641</v>
      </c>
      <c r="B7009" t="str">
        <f>"1551603866632545"</f>
        <v>1551603866632545</v>
      </c>
      <c r="C7009" t="s">
        <v>40</v>
      </c>
      <c r="D7009">
        <v>4.5435759999999998</v>
      </c>
      <c r="E7009">
        <v>0.44641360000000002</v>
      </c>
      <c r="F7009" t="s">
        <v>55</v>
      </c>
      <c r="G7009">
        <v>-157.3501</v>
      </c>
      <c r="H7009">
        <v>0.276781099999999</v>
      </c>
      <c r="I7009">
        <v>-57.618319999999997</v>
      </c>
      <c r="J7009">
        <v>-240.21969999999999</v>
      </c>
      <c r="K7009">
        <v>1.1218379999999999</v>
      </c>
      <c r="L7009">
        <v>-63.741790000000002</v>
      </c>
      <c r="M7009">
        <v>0.99880970000000002</v>
      </c>
      <c r="N7009">
        <v>-9.4853960000000001E-3</v>
      </c>
      <c r="O7009">
        <v>-4.7848439999999999E-2</v>
      </c>
      <c r="P7009">
        <v>0.97905430000000004</v>
      </c>
      <c r="Q7009">
        <v>0.19101190000000001</v>
      </c>
      <c r="R7009">
        <v>-7.0479829999999993E-2</v>
      </c>
      <c r="S7009">
        <v>3.0866090000000002</v>
      </c>
      <c r="T7009">
        <v>-3.1414869999999998E-2</v>
      </c>
      <c r="U7009">
        <v>0.22738649999999999</v>
      </c>
      <c r="V7009">
        <v>2.3255089999999999E-2</v>
      </c>
      <c r="W7009">
        <v>0.20034589999999999</v>
      </c>
      <c r="X7009">
        <v>0.97944920000000002</v>
      </c>
      <c r="Y7009">
        <v>-0.1210946</v>
      </c>
      <c r="Z7009">
        <v>1.2237299999999999E-3</v>
      </c>
      <c r="AA7009">
        <v>0.99264019999999997</v>
      </c>
      <c r="AB7009">
        <v>31</v>
      </c>
      <c r="AC7009">
        <v>82.869599999999906</v>
      </c>
      <c r="AD7009">
        <v>-0.845056899999999</v>
      </c>
      <c r="AE7009">
        <v>6.1234700000000002</v>
      </c>
      <c r="AF7009">
        <v>-10.080771964595799</v>
      </c>
      <c r="AG7009">
        <v>-0.845056899999999</v>
      </c>
      <c r="AH7009">
        <v>82.473132017700493</v>
      </c>
      <c r="AI7009">
        <v>90.582721241763196</v>
      </c>
      <c r="AJ7009">
        <v>96.968751285863803</v>
      </c>
      <c r="AK7009">
        <v>83.091236537769007</v>
      </c>
      <c r="AL7009">
        <v>78.442813037043393</v>
      </c>
      <c r="AM7009">
        <v>88.639880232205599</v>
      </c>
      <c r="AN7009">
        <v>1.0000000071191699</v>
      </c>
    </row>
    <row r="7010" spans="1:40" x14ac:dyDescent="0.25">
      <c r="A7010" t="str">
        <f>"20190303170426651"</f>
        <v>20190303170426651</v>
      </c>
      <c r="B7010" t="str">
        <f>"1551603866642306"</f>
        <v>1551603866642306</v>
      </c>
      <c r="C7010" t="s">
        <v>40</v>
      </c>
      <c r="D7010">
        <v>4.5010309999999896</v>
      </c>
      <c r="E7010">
        <v>0.44544590000000001</v>
      </c>
      <c r="F7010" t="s">
        <v>55</v>
      </c>
      <c r="G7010">
        <v>-157.3501</v>
      </c>
      <c r="H7010">
        <v>0.38133929999999999</v>
      </c>
      <c r="I7010">
        <v>-57.332410000000003</v>
      </c>
      <c r="J7010">
        <v>-240.06970000000001</v>
      </c>
      <c r="K7010">
        <v>1.1218980000000001</v>
      </c>
      <c r="L7010">
        <v>-63.748570000000001</v>
      </c>
      <c r="M7010">
        <v>0.99883279999999997</v>
      </c>
      <c r="N7010">
        <v>-9.4887900000000004E-3</v>
      </c>
      <c r="O7010">
        <v>-4.7359760000000001E-2</v>
      </c>
      <c r="P7010">
        <v>0.97903790000000002</v>
      </c>
      <c r="Q7010">
        <v>0.19132209999999999</v>
      </c>
      <c r="R7010">
        <v>-6.9863159999999994E-2</v>
      </c>
      <c r="S7010">
        <v>3.0867610000000001</v>
      </c>
      <c r="T7010">
        <v>-2.7583119999999999E-2</v>
      </c>
      <c r="U7010">
        <v>0.23873900000000001</v>
      </c>
      <c r="V7010">
        <v>2.3091649999999998E-2</v>
      </c>
      <c r="W7010">
        <v>0.2006617</v>
      </c>
      <c r="X7010">
        <v>0.97938840000000005</v>
      </c>
      <c r="Y7010">
        <v>-0.12423670000000001</v>
      </c>
      <c r="Z7010">
        <v>1.1185839999999999E-3</v>
      </c>
      <c r="AA7010">
        <v>0.99225200000000002</v>
      </c>
      <c r="AB7010">
        <v>31</v>
      </c>
      <c r="AC7010">
        <v>82.7196</v>
      </c>
      <c r="AD7010">
        <v>-0.74055869999999901</v>
      </c>
      <c r="AE7010">
        <v>6.4161599999999899</v>
      </c>
      <c r="AF7010">
        <v>-10.325893974517401</v>
      </c>
      <c r="AG7010">
        <v>-0.74055869999999901</v>
      </c>
      <c r="AH7010">
        <v>82.3163320588489</v>
      </c>
      <c r="AI7010">
        <v>90.511439466530305</v>
      </c>
      <c r="AJ7010">
        <v>97.149928630144601</v>
      </c>
      <c r="AK7010">
        <v>82.964757802236704</v>
      </c>
      <c r="AL7010">
        <v>78.424343777601706</v>
      </c>
      <c r="AM7010">
        <v>88.6493519783144</v>
      </c>
      <c r="AN7010">
        <v>0.99999999010058604</v>
      </c>
    </row>
    <row r="7011" spans="1:40" x14ac:dyDescent="0.25">
      <c r="A7011" t="str">
        <f>"20190303170426662"</f>
        <v>20190303170426662</v>
      </c>
      <c r="B7011" t="str">
        <f>"1551603866653043"</f>
        <v>1551603866653043</v>
      </c>
      <c r="C7011" t="s">
        <v>40</v>
      </c>
      <c r="D7011">
        <v>4.5188730000000001</v>
      </c>
      <c r="E7011">
        <v>0.4447084</v>
      </c>
      <c r="F7011" t="s">
        <v>55</v>
      </c>
      <c r="G7011">
        <v>-157.3501</v>
      </c>
      <c r="H7011">
        <v>0.41820980000000002</v>
      </c>
      <c r="I7011">
        <v>-57.08981</v>
      </c>
      <c r="J7011">
        <v>-239.9205</v>
      </c>
      <c r="K7011">
        <v>1.1219479999999999</v>
      </c>
      <c r="L7011">
        <v>-63.755189999999999</v>
      </c>
      <c r="M7011">
        <v>0.99885710000000005</v>
      </c>
      <c r="N7011">
        <v>-9.4920960000000002E-3</v>
      </c>
      <c r="O7011">
        <v>-4.6844919999999998E-2</v>
      </c>
      <c r="P7011">
        <v>0.97902239999999996</v>
      </c>
      <c r="Q7011">
        <v>0.19162209999999999</v>
      </c>
      <c r="R7011">
        <v>-6.9254029999999994E-2</v>
      </c>
      <c r="S7011">
        <v>3.087097</v>
      </c>
      <c r="T7011">
        <v>-2.6262400000000002E-2</v>
      </c>
      <c r="U7011">
        <v>0.24850459999999999</v>
      </c>
      <c r="V7011">
        <v>2.2965070000000001E-2</v>
      </c>
      <c r="W7011">
        <v>0.20096720000000001</v>
      </c>
      <c r="X7011">
        <v>0.9793288</v>
      </c>
      <c r="Y7011">
        <v>-0.12683649999999999</v>
      </c>
      <c r="Z7011">
        <v>1.095691E-3</v>
      </c>
      <c r="AA7011">
        <v>0.991923</v>
      </c>
      <c r="AB7011">
        <v>31</v>
      </c>
      <c r="AC7011">
        <v>82.570400000000006</v>
      </c>
      <c r="AD7011">
        <v>-0.70373819999999898</v>
      </c>
      <c r="AE7011">
        <v>6.6653799999999901</v>
      </c>
      <c r="AF7011">
        <v>-10.5254802428727</v>
      </c>
      <c r="AG7011">
        <v>-0.70373819999999898</v>
      </c>
      <c r="AH7011">
        <v>82.161561113867194</v>
      </c>
      <c r="AI7011">
        <v>90.486765574957403</v>
      </c>
      <c r="AJ7011">
        <v>97.300234316544405</v>
      </c>
      <c r="AK7011">
        <v>82.836001270371398</v>
      </c>
      <c r="AL7011">
        <v>78.4064766897814</v>
      </c>
      <c r="AM7011">
        <v>88.656671300550499</v>
      </c>
      <c r="AN7011">
        <v>1.0000000542126899</v>
      </c>
    </row>
    <row r="7012" spans="1:40" x14ac:dyDescent="0.25">
      <c r="A7012" t="str">
        <f>"20190303170426673"</f>
        <v>20190303170426673</v>
      </c>
      <c r="B7012" t="str">
        <f>"1551603866662801"</f>
        <v>1551603866662801</v>
      </c>
      <c r="C7012" t="s">
        <v>40</v>
      </c>
      <c r="D7012">
        <v>4.5438109999999998</v>
      </c>
      <c r="E7012">
        <v>0.4441254</v>
      </c>
      <c r="F7012" t="s">
        <v>55</v>
      </c>
      <c r="G7012">
        <v>-157.3501</v>
      </c>
      <c r="H7012">
        <v>0.42325689999999999</v>
      </c>
      <c r="I7012">
        <v>-56.893900000000002</v>
      </c>
      <c r="J7012">
        <v>-239.7655</v>
      </c>
      <c r="K7012">
        <v>1.1219969999999999</v>
      </c>
      <c r="L7012">
        <v>-63.761989999999997</v>
      </c>
      <c r="M7012">
        <v>0.99888259999999995</v>
      </c>
      <c r="N7012">
        <v>-9.4954719999999996E-3</v>
      </c>
      <c r="O7012">
        <v>-4.6297449999999997E-2</v>
      </c>
      <c r="P7012">
        <v>0.97906439999999995</v>
      </c>
      <c r="Q7012">
        <v>0.1917507</v>
      </c>
      <c r="R7012">
        <v>-6.8298940000000002E-2</v>
      </c>
      <c r="S7012">
        <v>3.0875240000000002</v>
      </c>
      <c r="T7012">
        <v>-2.612662E-2</v>
      </c>
      <c r="U7012">
        <v>0.25656129999999999</v>
      </c>
      <c r="V7012">
        <v>2.2522819999999999E-2</v>
      </c>
      <c r="W7012">
        <v>0.2011008</v>
      </c>
      <c r="X7012">
        <v>0.97931159999999995</v>
      </c>
      <c r="Y7012">
        <v>-0.12885260000000001</v>
      </c>
      <c r="Z7012">
        <v>1.1094690000000001E-3</v>
      </c>
      <c r="AA7012">
        <v>0.99166319999999997</v>
      </c>
      <c r="AB7012">
        <v>31</v>
      </c>
      <c r="AC7012">
        <v>82.415400000000005</v>
      </c>
      <c r="AD7012">
        <v>-0.69874009999999898</v>
      </c>
      <c r="AE7012">
        <v>6.8680899999999996</v>
      </c>
      <c r="AF7012">
        <v>-10.6757573394269</v>
      </c>
      <c r="AG7012">
        <v>-0.69874009999999898</v>
      </c>
      <c r="AH7012">
        <v>82.003174644230398</v>
      </c>
      <c r="AI7012">
        <v>90.484114152702304</v>
      </c>
      <c r="AJ7012">
        <v>97.417455024119505</v>
      </c>
      <c r="AK7012">
        <v>82.698129871417507</v>
      </c>
      <c r="AL7012">
        <v>78.398661914926805</v>
      </c>
      <c r="AM7012">
        <v>88.682508124517895</v>
      </c>
      <c r="AN7012">
        <v>1.00000000953797</v>
      </c>
    </row>
    <row r="7013" spans="1:40" x14ac:dyDescent="0.25">
      <c r="A7013" t="str">
        <f>"20190303170426686"</f>
        <v>20190303170426686</v>
      </c>
      <c r="B7013" t="str">
        <f>"1551603866682322"</f>
        <v>1551603866682322</v>
      </c>
      <c r="C7013" t="s">
        <v>40</v>
      </c>
      <c r="D7013">
        <v>4.5188309999999996</v>
      </c>
      <c r="E7013">
        <v>0.44323509999999999</v>
      </c>
      <c r="F7013" t="s">
        <v>55</v>
      </c>
      <c r="G7013">
        <v>-157.3501</v>
      </c>
      <c r="H7013">
        <v>0.43096489999999998</v>
      </c>
      <c r="I7013">
        <v>-56.707799999999999</v>
      </c>
      <c r="J7013">
        <v>-239.60599999999999</v>
      </c>
      <c r="K7013">
        <v>1.122037</v>
      </c>
      <c r="L7013">
        <v>-63.768830000000001</v>
      </c>
      <c r="M7013">
        <v>0.99890979999999996</v>
      </c>
      <c r="N7013">
        <v>-9.4988079999999992E-3</v>
      </c>
      <c r="O7013">
        <v>-4.570726E-2</v>
      </c>
      <c r="P7013">
        <v>0.97916760000000003</v>
      </c>
      <c r="Q7013">
        <v>0.19160160000000001</v>
      </c>
      <c r="R7013">
        <v>-6.7231260000000001E-2</v>
      </c>
      <c r="S7013">
        <v>3.0876619999999999</v>
      </c>
      <c r="T7013">
        <v>-2.5889990000000002E-2</v>
      </c>
      <c r="U7013">
        <v>0.26428220000000002</v>
      </c>
      <c r="V7013">
        <v>2.2011949999999999E-2</v>
      </c>
      <c r="W7013">
        <v>0.20095650000000001</v>
      </c>
      <c r="X7013">
        <v>0.97935280000000002</v>
      </c>
      <c r="Y7013">
        <v>-0.13072510000000001</v>
      </c>
      <c r="Z7013">
        <v>1.1184420000000001E-3</v>
      </c>
      <c r="AA7013">
        <v>0.99141800000000002</v>
      </c>
      <c r="AB7013">
        <v>31</v>
      </c>
      <c r="AC7013">
        <v>82.255899999999997</v>
      </c>
      <c r="AD7013">
        <v>-0.69107209999999997</v>
      </c>
      <c r="AE7013">
        <v>7.0610299999999997</v>
      </c>
      <c r="AF7013">
        <v>-10.812753169070101</v>
      </c>
      <c r="AG7013">
        <v>-0.69107209999999997</v>
      </c>
      <c r="AH7013">
        <v>81.841435333587896</v>
      </c>
      <c r="AI7013">
        <v>90.479628467053303</v>
      </c>
      <c r="AJ7013">
        <v>97.526233516775207</v>
      </c>
      <c r="AK7013">
        <v>82.555519192871003</v>
      </c>
      <c r="AL7013">
        <v>78.407101577606298</v>
      </c>
      <c r="AM7013">
        <v>88.712435880565494</v>
      </c>
      <c r="AN7013">
        <v>0.99999997385144501</v>
      </c>
    </row>
    <row r="7014" spans="1:40" x14ac:dyDescent="0.25">
      <c r="A7014" t="str">
        <f>"20190303170426697"</f>
        <v>20190303170426697</v>
      </c>
      <c r="B7014" t="str">
        <f>"1551603866692364"</f>
        <v>1551603866692364</v>
      </c>
      <c r="C7014" t="s">
        <v>40</v>
      </c>
      <c r="D7014">
        <v>4.4962849999999897</v>
      </c>
      <c r="E7014">
        <v>0.4428742</v>
      </c>
      <c r="F7014" t="s">
        <v>55</v>
      </c>
      <c r="G7014">
        <v>-157.3501</v>
      </c>
      <c r="H7014">
        <v>0.39745760000000002</v>
      </c>
      <c r="I7014">
        <v>-56.450229999999998</v>
      </c>
      <c r="J7014">
        <v>-239.45060000000001</v>
      </c>
      <c r="K7014">
        <v>1.1220699999999999</v>
      </c>
      <c r="L7014">
        <v>-63.775480000000002</v>
      </c>
      <c r="M7014">
        <v>0.99893620000000005</v>
      </c>
      <c r="N7014">
        <v>-9.5019909999999996E-3</v>
      </c>
      <c r="O7014">
        <v>-4.5126529999999998E-2</v>
      </c>
      <c r="P7014">
        <v>0.97925390000000001</v>
      </c>
      <c r="Q7014">
        <v>0.1915086</v>
      </c>
      <c r="R7014">
        <v>-6.6230109999999995E-2</v>
      </c>
      <c r="S7014">
        <v>3.0879970000000001</v>
      </c>
      <c r="T7014">
        <v>-2.720237E-2</v>
      </c>
      <c r="U7014">
        <v>0.27474979999999999</v>
      </c>
      <c r="V7014">
        <v>2.1561259999999999E-2</v>
      </c>
      <c r="W7014">
        <v>0.2008682</v>
      </c>
      <c r="X7014">
        <v>0.97938099999999995</v>
      </c>
      <c r="Y7014">
        <v>-0.13347339999999999</v>
      </c>
      <c r="Z7014">
        <v>1.191117E-3</v>
      </c>
      <c r="AA7014">
        <v>0.99105169999999998</v>
      </c>
      <c r="AB7014">
        <v>31</v>
      </c>
      <c r="AC7014">
        <v>82.100499999999997</v>
      </c>
      <c r="AD7014">
        <v>-0.72461240000000005</v>
      </c>
      <c r="AE7014">
        <v>7.3252499999999898</v>
      </c>
      <c r="AF7014">
        <v>-11.0220126723761</v>
      </c>
      <c r="AG7014">
        <v>-0.72461240000000005</v>
      </c>
      <c r="AH7014">
        <v>81.679964617540506</v>
      </c>
      <c r="AI7014">
        <v>90.503712997116295</v>
      </c>
      <c r="AJ7014">
        <v>97.685152990701496</v>
      </c>
      <c r="AK7014">
        <v>82.423458107524993</v>
      </c>
      <c r="AL7014">
        <v>78.412266792015402</v>
      </c>
      <c r="AM7014">
        <v>88.738826181607607</v>
      </c>
      <c r="AN7014">
        <v>1.00000003243251</v>
      </c>
    </row>
    <row r="7015" spans="1:40" x14ac:dyDescent="0.25">
      <c r="A7015" t="str">
        <f>"20190303170426707"</f>
        <v>20190303170426707</v>
      </c>
      <c r="B7015" t="str">
        <f>"1551603866703101"</f>
        <v>1551603866703101</v>
      </c>
      <c r="C7015" t="s">
        <v>40</v>
      </c>
      <c r="D7015">
        <v>4.4980669999999998</v>
      </c>
      <c r="E7015">
        <v>0.4426562</v>
      </c>
      <c r="F7015" t="s">
        <v>55</v>
      </c>
      <c r="G7015">
        <v>-157.3501</v>
      </c>
      <c r="H7015">
        <v>0.39478920000000001</v>
      </c>
      <c r="I7015">
        <v>-56.317100000000003</v>
      </c>
      <c r="J7015">
        <v>-239.29419999999999</v>
      </c>
      <c r="K7015">
        <v>1.1220969999999999</v>
      </c>
      <c r="L7015">
        <v>-63.781979999999997</v>
      </c>
      <c r="M7015">
        <v>0.99896289999999999</v>
      </c>
      <c r="N7015">
        <v>-9.5050710000000004E-3</v>
      </c>
      <c r="O7015">
        <v>-4.4527049999999999E-2</v>
      </c>
      <c r="P7015">
        <v>0.97931950000000001</v>
      </c>
      <c r="Q7015">
        <v>0.19152169999999999</v>
      </c>
      <c r="R7015">
        <v>-6.5211649999999996E-2</v>
      </c>
      <c r="S7015">
        <v>3.0878909999999999</v>
      </c>
      <c r="T7015">
        <v>-2.73546E-2</v>
      </c>
      <c r="U7015">
        <v>0.28051759999999998</v>
      </c>
      <c r="V7015">
        <v>2.111673E-2</v>
      </c>
      <c r="W7015">
        <v>0.20088500000000001</v>
      </c>
      <c r="X7015">
        <v>0.97938720000000001</v>
      </c>
      <c r="Y7015">
        <v>-0.1347177</v>
      </c>
      <c r="Z7015">
        <v>1.2085469999999999E-3</v>
      </c>
      <c r="AA7015">
        <v>0.99088330000000002</v>
      </c>
      <c r="AB7015">
        <v>31</v>
      </c>
      <c r="AC7015">
        <v>81.944099999999906</v>
      </c>
      <c r="AD7015">
        <v>-0.72730779999999995</v>
      </c>
      <c r="AE7015">
        <v>7.46488</v>
      </c>
      <c r="AF7015">
        <v>-11.1055019369446</v>
      </c>
      <c r="AG7015">
        <v>-0.72730779999999995</v>
      </c>
      <c r="AH7015">
        <v>81.524045260605504</v>
      </c>
      <c r="AI7015">
        <v>90.506467056121096</v>
      </c>
      <c r="AJ7015">
        <v>97.757290925130604</v>
      </c>
      <c r="AK7015">
        <v>82.280198745267199</v>
      </c>
      <c r="AL7015">
        <v>78.411283736993695</v>
      </c>
      <c r="AM7015">
        <v>88.764827566866401</v>
      </c>
      <c r="AN7015">
        <v>0.99999999351736601</v>
      </c>
    </row>
    <row r="7016" spans="1:40" x14ac:dyDescent="0.25">
      <c r="A7016" t="str">
        <f>"20190303170426718"</f>
        <v>20190303170426718</v>
      </c>
      <c r="B7016" t="str">
        <f>"1551603866712860"</f>
        <v>1551603866712860</v>
      </c>
      <c r="C7016" t="s">
        <v>40</v>
      </c>
      <c r="D7016">
        <v>4.4864300000000004</v>
      </c>
      <c r="E7016">
        <v>0.44252039999999998</v>
      </c>
      <c r="F7016" t="s">
        <v>55</v>
      </c>
      <c r="G7016">
        <v>-157.3501</v>
      </c>
      <c r="H7016">
        <v>0.38462570000000001</v>
      </c>
      <c r="I7016">
        <v>-56.213639999999998</v>
      </c>
      <c r="J7016">
        <v>-239.14429999999999</v>
      </c>
      <c r="K7016">
        <v>1.1221219999999901</v>
      </c>
      <c r="L7016">
        <v>-63.788150000000002</v>
      </c>
      <c r="M7016">
        <v>0.9989886</v>
      </c>
      <c r="N7016">
        <v>-9.5079540000000008E-3</v>
      </c>
      <c r="O7016">
        <v>-4.3949660000000002E-2</v>
      </c>
      <c r="P7016">
        <v>0.97938239999999999</v>
      </c>
      <c r="Q7016">
        <v>0.1915444</v>
      </c>
      <c r="R7016">
        <v>-6.4196210000000004E-2</v>
      </c>
      <c r="S7016">
        <v>3.0877840000000001</v>
      </c>
      <c r="T7016">
        <v>-2.7789830000000001E-2</v>
      </c>
      <c r="U7016">
        <v>0.28518680000000002</v>
      </c>
      <c r="V7016">
        <v>2.0655099999999999E-2</v>
      </c>
      <c r="W7016">
        <v>0.2009107</v>
      </c>
      <c r="X7016">
        <v>0.97939180000000003</v>
      </c>
      <c r="Y7016">
        <v>-0.13563349999999999</v>
      </c>
      <c r="Z7016">
        <v>1.2331639999999999E-3</v>
      </c>
      <c r="AA7016">
        <v>0.99075829999999998</v>
      </c>
      <c r="AB7016">
        <v>31</v>
      </c>
      <c r="AC7016">
        <v>81.794199999999904</v>
      </c>
      <c r="AD7016">
        <v>-0.73749629999999899</v>
      </c>
      <c r="AE7016">
        <v>7.5745099999999903</v>
      </c>
      <c r="AF7016">
        <v>-11.161280207322999</v>
      </c>
      <c r="AG7016">
        <v>-0.73749629999999899</v>
      </c>
      <c r="AH7016">
        <v>81.375687459088198</v>
      </c>
      <c r="AI7016">
        <v>90.514433304691096</v>
      </c>
      <c r="AJ7016">
        <v>97.809812042898201</v>
      </c>
      <c r="AK7016">
        <v>82.140858201616695</v>
      </c>
      <c r="AL7016">
        <v>78.409780903342593</v>
      </c>
      <c r="AM7016">
        <v>88.791827085577097</v>
      </c>
      <c r="AN7016">
        <v>1.0000000202188699</v>
      </c>
    </row>
    <row r="7017" spans="1:40" x14ac:dyDescent="0.25">
      <c r="A7017" t="str">
        <f>"20190303170426729"</f>
        <v>20190303170426729</v>
      </c>
      <c r="B7017" t="str">
        <f>"1551603866722620"</f>
        <v>1551603866722620</v>
      </c>
      <c r="C7017" t="s">
        <v>40</v>
      </c>
      <c r="D7017">
        <v>4.4800700000000004</v>
      </c>
      <c r="E7017">
        <v>0.44235269999999999</v>
      </c>
      <c r="F7017" t="s">
        <v>55</v>
      </c>
      <c r="G7017">
        <v>-157.3501</v>
      </c>
      <c r="H7017">
        <v>0.38367839999999998</v>
      </c>
      <c r="I7017">
        <v>-56.132040000000003</v>
      </c>
      <c r="J7017">
        <v>-238.99469999999999</v>
      </c>
      <c r="K7017">
        <v>1.1221410000000001</v>
      </c>
      <c r="L7017">
        <v>-63.79419</v>
      </c>
      <c r="M7017">
        <v>0.99901399999999996</v>
      </c>
      <c r="N7017">
        <v>-9.5107309999999997E-3</v>
      </c>
      <c r="O7017">
        <v>-4.3368150000000001E-2</v>
      </c>
      <c r="P7017">
        <v>0.97938809999999998</v>
      </c>
      <c r="Q7017">
        <v>0.1917778</v>
      </c>
      <c r="R7017">
        <v>-6.3406729999999994E-2</v>
      </c>
      <c r="S7017">
        <v>3.087555</v>
      </c>
      <c r="T7017">
        <v>-2.7875420000000001E-2</v>
      </c>
      <c r="U7017">
        <v>0.28900150000000002</v>
      </c>
      <c r="V7017">
        <v>2.042826E-2</v>
      </c>
      <c r="W7017">
        <v>0.2011471</v>
      </c>
      <c r="X7017">
        <v>0.979348</v>
      </c>
      <c r="Y7017">
        <v>-0.13627700000000001</v>
      </c>
      <c r="Z7017">
        <v>1.242649E-3</v>
      </c>
      <c r="AA7017">
        <v>0.99067000000000005</v>
      </c>
      <c r="AB7017">
        <v>31</v>
      </c>
      <c r="AC7017">
        <v>81.644599999999997</v>
      </c>
      <c r="AD7017">
        <v>-0.73846259999999997</v>
      </c>
      <c r="AE7017">
        <v>7.6621499999999898</v>
      </c>
      <c r="AF7017">
        <v>-11.1949676451895</v>
      </c>
      <c r="AG7017">
        <v>-0.73846259999999997</v>
      </c>
      <c r="AH7017">
        <v>81.228882977903297</v>
      </c>
      <c r="AI7017">
        <v>90.515992066767197</v>
      </c>
      <c r="AJ7017">
        <v>97.847072246379696</v>
      </c>
      <c r="AK7017">
        <v>82.000024740400903</v>
      </c>
      <c r="AL7017">
        <v>78.395953521067497</v>
      </c>
      <c r="AM7017">
        <v>88.805038280011502</v>
      </c>
      <c r="AN7017">
        <v>0.99999998737451801</v>
      </c>
    </row>
    <row r="7018" spans="1:40" x14ac:dyDescent="0.25">
      <c r="A7018" t="str">
        <f>"20190303170426741"</f>
        <v>20190303170426741</v>
      </c>
      <c r="B7018" t="str">
        <f>"1551603866732381"</f>
        <v>1551603866732381</v>
      </c>
      <c r="C7018" t="s">
        <v>40</v>
      </c>
      <c r="D7018">
        <v>4.489096</v>
      </c>
      <c r="E7018">
        <v>0.44223119999999999</v>
      </c>
      <c r="F7018" t="s">
        <v>55</v>
      </c>
      <c r="G7018">
        <v>-157.3501</v>
      </c>
      <c r="H7018">
        <v>0.3859921</v>
      </c>
      <c r="I7018">
        <v>-56.057580000000002</v>
      </c>
      <c r="J7018">
        <v>-238.8407</v>
      </c>
      <c r="K7018">
        <v>1.1221570000000001</v>
      </c>
      <c r="L7018">
        <v>-63.8003199999999</v>
      </c>
      <c r="M7018">
        <v>0.99903980000000003</v>
      </c>
      <c r="N7018">
        <v>-9.5135010000000006E-3</v>
      </c>
      <c r="O7018">
        <v>-4.2767939999999997E-2</v>
      </c>
      <c r="P7018">
        <v>0.97937390000000002</v>
      </c>
      <c r="Q7018">
        <v>0.192188</v>
      </c>
      <c r="R7018">
        <v>-6.2376069999999999E-2</v>
      </c>
      <c r="S7018">
        <v>3.0875240000000002</v>
      </c>
      <c r="T7018">
        <v>-2.783942E-2</v>
      </c>
      <c r="U7018">
        <v>0.292572</v>
      </c>
      <c r="V7018">
        <v>1.998045E-2</v>
      </c>
      <c r="W7018">
        <v>0.2015586</v>
      </c>
      <c r="X7018">
        <v>0.9792727</v>
      </c>
      <c r="Y7018">
        <v>-0.1368183</v>
      </c>
      <c r="Z7018">
        <v>1.246748E-3</v>
      </c>
      <c r="AA7018">
        <v>0.99059540000000001</v>
      </c>
      <c r="AB7018">
        <v>31</v>
      </c>
      <c r="AC7018">
        <v>81.490600000000001</v>
      </c>
      <c r="AD7018">
        <v>-0.73616490000000001</v>
      </c>
      <c r="AE7018">
        <v>7.7427399999999897</v>
      </c>
      <c r="AF7018">
        <v>-11.220090146149699</v>
      </c>
      <c r="AG7018">
        <v>-0.73616490000000001</v>
      </c>
      <c r="AH7018">
        <v>81.078318570003603</v>
      </c>
      <c r="AI7018">
        <v>90.5153023292292</v>
      </c>
      <c r="AJ7018">
        <v>97.878882912194896</v>
      </c>
      <c r="AK7018">
        <v>81.854298016577701</v>
      </c>
      <c r="AL7018">
        <v>78.371884109051805</v>
      </c>
      <c r="AM7018">
        <v>88.831135965342895</v>
      </c>
      <c r="AN7018">
        <v>1.0000000542907199</v>
      </c>
    </row>
    <row r="7019" spans="1:40" x14ac:dyDescent="0.25">
      <c r="A7019" t="str">
        <f>"20190303170426751"</f>
        <v>20190303170426751</v>
      </c>
      <c r="B7019" t="str">
        <f>"1551603866742140"</f>
        <v>1551603866742140</v>
      </c>
      <c r="C7019" t="s">
        <v>40</v>
      </c>
      <c r="D7019">
        <v>4.488626</v>
      </c>
      <c r="E7019">
        <v>0.44214290000000001</v>
      </c>
      <c r="F7019" t="s">
        <v>55</v>
      </c>
      <c r="G7019">
        <v>-157.3501</v>
      </c>
      <c r="H7019">
        <v>0.40726040000000002</v>
      </c>
      <c r="I7019">
        <v>-55.974910000000001</v>
      </c>
      <c r="J7019">
        <v>-238.68340000000001</v>
      </c>
      <c r="K7019">
        <v>1.1221680000000001</v>
      </c>
      <c r="L7019">
        <v>-63.806550000000001</v>
      </c>
      <c r="M7019">
        <v>0.99906589999999995</v>
      </c>
      <c r="N7019">
        <v>-9.5162470000000002E-3</v>
      </c>
      <c r="O7019">
        <v>-4.2153690000000001E-2</v>
      </c>
      <c r="P7019">
        <v>0.97928020000000005</v>
      </c>
      <c r="Q7019">
        <v>0.192907</v>
      </c>
      <c r="R7019">
        <v>-6.1621639999999998E-2</v>
      </c>
      <c r="S7019">
        <v>3.087402</v>
      </c>
      <c r="T7019">
        <v>-2.708578E-2</v>
      </c>
      <c r="U7019">
        <v>0.29647829999999997</v>
      </c>
      <c r="V7019">
        <v>1.9826259999999998E-2</v>
      </c>
      <c r="W7019">
        <v>0.2022796</v>
      </c>
      <c r="X7019">
        <v>0.97912710000000003</v>
      </c>
      <c r="Y7019">
        <v>-0.137455299999999</v>
      </c>
      <c r="Z7019">
        <v>1.226066E-3</v>
      </c>
      <c r="AA7019">
        <v>0.99050720000000003</v>
      </c>
      <c r="AB7019">
        <v>31</v>
      </c>
      <c r="AC7019">
        <v>81.333299999999994</v>
      </c>
      <c r="AD7019">
        <v>-0.71490759999999998</v>
      </c>
      <c r="AE7019">
        <v>7.8316400000000002</v>
      </c>
      <c r="AF7019">
        <v>-11.252470411811601</v>
      </c>
      <c r="AG7019">
        <v>-0.71490759999999998</v>
      </c>
      <c r="AH7019">
        <v>80.924657028750701</v>
      </c>
      <c r="AI7019">
        <v>90.501328302761195</v>
      </c>
      <c r="AJ7019">
        <v>97.916147148822304</v>
      </c>
      <c r="AK7019">
        <v>81.706360208163503</v>
      </c>
      <c r="AL7019">
        <v>78.329704386415898</v>
      </c>
      <c r="AM7019">
        <v>88.839981239717503</v>
      </c>
      <c r="AN7019">
        <v>0.999999997558078</v>
      </c>
    </row>
    <row r="7020" spans="1:40" x14ac:dyDescent="0.25">
      <c r="A7020" t="str">
        <f>"20190303170426763"</f>
        <v>20190303170426763</v>
      </c>
      <c r="B7020" t="str">
        <f>"1551603866752876"</f>
        <v>1551603866752876</v>
      </c>
      <c r="C7020" t="s">
        <v>40</v>
      </c>
      <c r="D7020">
        <v>4.4935809999999998</v>
      </c>
      <c r="E7020">
        <v>0.44213839999999999</v>
      </c>
      <c r="F7020" t="s">
        <v>55</v>
      </c>
      <c r="G7020">
        <v>-157.3501</v>
      </c>
      <c r="H7020">
        <v>0.46877550000000001</v>
      </c>
      <c r="I7020">
        <v>-55.920929999999998</v>
      </c>
      <c r="J7020">
        <v>-238.5257</v>
      </c>
      <c r="K7020">
        <v>1.122177</v>
      </c>
      <c r="L7020">
        <v>-63.812620000000003</v>
      </c>
      <c r="M7020">
        <v>0.99909159999999997</v>
      </c>
      <c r="N7020">
        <v>-9.5189060000000006E-3</v>
      </c>
      <c r="O7020">
        <v>-4.153958E-2</v>
      </c>
      <c r="P7020">
        <v>0.97929619999999995</v>
      </c>
      <c r="Q7020">
        <v>0.1931293</v>
      </c>
      <c r="R7020">
        <v>-6.0664349999999999E-2</v>
      </c>
      <c r="S7020">
        <v>3.087189</v>
      </c>
      <c r="T7020">
        <v>-2.4801730000000001E-2</v>
      </c>
      <c r="U7020">
        <v>0.29931639999999998</v>
      </c>
      <c r="V7020">
        <v>1.9466799999999999E-2</v>
      </c>
      <c r="W7020">
        <v>0.2025033</v>
      </c>
      <c r="X7020">
        <v>0.97908810000000002</v>
      </c>
      <c r="Y7020">
        <v>-0.137756399999999</v>
      </c>
      <c r="Z7020">
        <v>1.14791E-3</v>
      </c>
      <c r="AA7020">
        <v>0.9904655</v>
      </c>
      <c r="AB7020">
        <v>31</v>
      </c>
      <c r="AC7020">
        <v>81.175600000000003</v>
      </c>
      <c r="AD7020">
        <v>-0.65340149999999997</v>
      </c>
      <c r="AE7020">
        <v>7.8916899999999899</v>
      </c>
      <c r="AF7020">
        <v>-11.256308092730499</v>
      </c>
      <c r="AG7020">
        <v>-0.65340149999999997</v>
      </c>
      <c r="AH7020">
        <v>80.772511101837907</v>
      </c>
      <c r="AI7020">
        <v>90.459042778304806</v>
      </c>
      <c r="AJ7020">
        <v>97.933539124492796</v>
      </c>
      <c r="AK7020">
        <v>81.555686221717295</v>
      </c>
      <c r="AL7020">
        <v>78.316616789342604</v>
      </c>
      <c r="AM7020">
        <v>88.860962010332898</v>
      </c>
      <c r="AN7020">
        <v>1.00000002518736</v>
      </c>
    </row>
    <row r="7021" spans="1:40" x14ac:dyDescent="0.25">
      <c r="A7021" t="str">
        <f>"20190303170426774"</f>
        <v>20190303170426774</v>
      </c>
      <c r="B7021" t="str">
        <f>"1551603866762636"</f>
        <v>1551603866762636</v>
      </c>
      <c r="C7021" t="s">
        <v>40</v>
      </c>
      <c r="D7021">
        <v>4.4928919999999897</v>
      </c>
      <c r="E7021">
        <v>0.44214029999999999</v>
      </c>
      <c r="F7021" t="s">
        <v>55</v>
      </c>
      <c r="G7021">
        <v>-157.3501</v>
      </c>
      <c r="H7021">
        <v>0.47882459999999999</v>
      </c>
      <c r="I7021">
        <v>-55.861449999999998</v>
      </c>
      <c r="J7021">
        <v>-238.3741</v>
      </c>
      <c r="K7021">
        <v>1.122185</v>
      </c>
      <c r="L7021">
        <v>-63.818420000000003</v>
      </c>
      <c r="M7021">
        <v>0.99911589999999995</v>
      </c>
      <c r="N7021">
        <v>-9.5214259999999995E-3</v>
      </c>
      <c r="O7021">
        <v>-4.0949079999999999E-2</v>
      </c>
      <c r="P7021">
        <v>0.9792997</v>
      </c>
      <c r="Q7021">
        <v>0.1934343</v>
      </c>
      <c r="R7021">
        <v>-5.9632499999999998E-2</v>
      </c>
      <c r="S7021">
        <v>3.0869599999999999</v>
      </c>
      <c r="T7021">
        <v>-2.446628E-2</v>
      </c>
      <c r="U7021">
        <v>0.30236819999999998</v>
      </c>
      <c r="V7021">
        <v>1.9010229999999999E-2</v>
      </c>
      <c r="W7021">
        <v>0.20281009999999999</v>
      </c>
      <c r="X7021">
        <v>0.9790335</v>
      </c>
      <c r="Y7021">
        <v>-0.1381482</v>
      </c>
      <c r="Z7021">
        <v>1.1404399999999999E-3</v>
      </c>
      <c r="AA7021">
        <v>0.99041089999999998</v>
      </c>
      <c r="AB7021">
        <v>31</v>
      </c>
      <c r="AC7021">
        <v>81.024000000000001</v>
      </c>
      <c r="AD7021">
        <v>-0.64336039999999906</v>
      </c>
      <c r="AE7021">
        <v>7.9569699999999903</v>
      </c>
      <c r="AF7021">
        <v>-11.267600286964299</v>
      </c>
      <c r="AG7021">
        <v>-0.64336039999999906</v>
      </c>
      <c r="AH7021">
        <v>80.625153542068404</v>
      </c>
      <c r="AI7021">
        <v>90.452790358651498</v>
      </c>
      <c r="AJ7021">
        <v>97.955725177457893</v>
      </c>
      <c r="AK7021">
        <v>81.411228417910493</v>
      </c>
      <c r="AL7021">
        <v>78.298665186383801</v>
      </c>
      <c r="AM7021">
        <v>88.887607943361004</v>
      </c>
      <c r="AN7021">
        <v>0.999999959814455</v>
      </c>
    </row>
    <row r="7022" spans="1:40" x14ac:dyDescent="0.25">
      <c r="A7022" t="str">
        <f>"20190303170426786"</f>
        <v>20190303170426786</v>
      </c>
      <c r="B7022" t="str">
        <f>"1551603866772396"</f>
        <v>1551603866772396</v>
      </c>
      <c r="C7022" t="s">
        <v>40</v>
      </c>
      <c r="D7022">
        <v>4.4700360000000003</v>
      </c>
      <c r="E7022">
        <v>0.44216470000000002</v>
      </c>
      <c r="F7022" t="s">
        <v>55</v>
      </c>
      <c r="G7022">
        <v>-157.3501</v>
      </c>
      <c r="H7022">
        <v>0.50945949999999995</v>
      </c>
      <c r="I7022">
        <v>-55.786749999999998</v>
      </c>
      <c r="J7022">
        <v>-238.2141</v>
      </c>
      <c r="K7022">
        <v>1.1221920000000001</v>
      </c>
      <c r="L7022">
        <v>-63.824339999999999</v>
      </c>
      <c r="M7022">
        <v>0.9991411</v>
      </c>
      <c r="N7022">
        <v>-9.5239399999999998E-3</v>
      </c>
      <c r="O7022">
        <v>-4.0329749999999998E-2</v>
      </c>
      <c r="P7022">
        <v>0.97934869999999996</v>
      </c>
      <c r="Q7022">
        <v>0.19364110000000001</v>
      </c>
      <c r="R7022">
        <v>-5.813513E-2</v>
      </c>
      <c r="S7022">
        <v>3.0866389999999999</v>
      </c>
      <c r="T7022">
        <v>-2.3342729999999999E-2</v>
      </c>
      <c r="U7022">
        <v>0.3059692</v>
      </c>
      <c r="V7022">
        <v>1.8116790000000001E-2</v>
      </c>
      <c r="W7022">
        <v>0.203017</v>
      </c>
      <c r="X7022">
        <v>0.97900759999999998</v>
      </c>
      <c r="Y7022">
        <v>-0.13868910000000001</v>
      </c>
      <c r="Z7022">
        <v>1.1064919999999999E-3</v>
      </c>
      <c r="AA7022">
        <v>0.99033530000000003</v>
      </c>
      <c r="AB7022">
        <v>31</v>
      </c>
      <c r="AC7022">
        <v>80.863999999999905</v>
      </c>
      <c r="AD7022">
        <v>-0.61273250000000001</v>
      </c>
      <c r="AE7022">
        <v>8.0375899999999998</v>
      </c>
      <c r="AF7022">
        <v>-11.291780842957801</v>
      </c>
      <c r="AG7022">
        <v>-0.61273250000000001</v>
      </c>
      <c r="AH7022">
        <v>80.469461388782904</v>
      </c>
      <c r="AI7022">
        <v>90.432036042391104</v>
      </c>
      <c r="AJ7022">
        <v>97.987805487155995</v>
      </c>
      <c r="AK7022">
        <v>81.260162268621997</v>
      </c>
      <c r="AL7022">
        <v>78.286559321186999</v>
      </c>
      <c r="AM7022">
        <v>88.939847717180996</v>
      </c>
      <c r="AN7022">
        <v>1.0000000006133301</v>
      </c>
    </row>
    <row r="7023" spans="1:40" x14ac:dyDescent="0.25">
      <c r="A7023" t="str">
        <f>"20190303170426796"</f>
        <v>20190303170426796</v>
      </c>
      <c r="B7023" t="str">
        <f>"1551603866792893"</f>
        <v>1551603866792893</v>
      </c>
      <c r="C7023" t="s">
        <v>40</v>
      </c>
      <c r="D7023">
        <v>4.4683780000000004</v>
      </c>
      <c r="E7023">
        <v>0.44221690000000002</v>
      </c>
      <c r="F7023" t="s">
        <v>55</v>
      </c>
      <c r="G7023">
        <v>-157.3501</v>
      </c>
      <c r="H7023">
        <v>0.52006579999999902</v>
      </c>
      <c r="I7023">
        <v>-55.686750000000004</v>
      </c>
      <c r="J7023">
        <v>-238.05609999999999</v>
      </c>
      <c r="K7023">
        <v>1.1221890000000001</v>
      </c>
      <c r="L7023">
        <v>-63.830199999999998</v>
      </c>
      <c r="M7023">
        <v>0.99916550000000004</v>
      </c>
      <c r="N7023">
        <v>-9.5263970000000007E-3</v>
      </c>
      <c r="O7023">
        <v>-3.9719020000000001E-2</v>
      </c>
      <c r="P7023">
        <v>0.97937719999999995</v>
      </c>
      <c r="Q7023">
        <v>0.19385730000000001</v>
      </c>
      <c r="R7023">
        <v>-5.6918690000000001E-2</v>
      </c>
      <c r="S7023">
        <v>3.0862430000000001</v>
      </c>
      <c r="T7023">
        <v>-2.2981410000000001E-2</v>
      </c>
      <c r="U7023">
        <v>0.3105774</v>
      </c>
      <c r="V7023">
        <v>1.749622E-2</v>
      </c>
      <c r="W7023">
        <v>0.203234</v>
      </c>
      <c r="X7023">
        <v>0.97897389999999995</v>
      </c>
      <c r="Y7023">
        <v>-0.1395604</v>
      </c>
      <c r="Z7023">
        <v>1.102542E-3</v>
      </c>
      <c r="AA7023">
        <v>0.99021289999999995</v>
      </c>
      <c r="AB7023">
        <v>31</v>
      </c>
      <c r="AC7023">
        <v>80.705999999999904</v>
      </c>
      <c r="AD7023">
        <v>-0.60212319999999997</v>
      </c>
      <c r="AE7023">
        <v>8.1434499999999908</v>
      </c>
      <c r="AF7023">
        <v>-11.342106979211</v>
      </c>
      <c r="AG7023">
        <v>-0.60212319999999997</v>
      </c>
      <c r="AH7023">
        <v>80.314418247318997</v>
      </c>
      <c r="AI7023">
        <v>90.425322590139402</v>
      </c>
      <c r="AJ7023">
        <v>98.038229336078501</v>
      </c>
      <c r="AK7023">
        <v>81.113572979379498</v>
      </c>
      <c r="AL7023">
        <v>78.273861849076496</v>
      </c>
      <c r="AM7023">
        <v>88.976118921483703</v>
      </c>
      <c r="AN7023">
        <v>1.00000003667574</v>
      </c>
    </row>
    <row r="7024" spans="1:40" x14ac:dyDescent="0.25">
      <c r="A7024" t="str">
        <f>"20190303170426808"</f>
        <v>20190303170426808</v>
      </c>
      <c r="B7024" t="str">
        <f>"1551603866802653"</f>
        <v>1551603866802653</v>
      </c>
      <c r="C7024" t="s">
        <v>40</v>
      </c>
      <c r="D7024">
        <v>4.50387</v>
      </c>
      <c r="E7024">
        <v>0.44232290000000002</v>
      </c>
      <c r="F7024" t="s">
        <v>55</v>
      </c>
      <c r="G7024">
        <v>-157.3501</v>
      </c>
      <c r="H7024">
        <v>0.52550079999999999</v>
      </c>
      <c r="I7024">
        <v>-55.614330000000002</v>
      </c>
      <c r="J7024">
        <v>-237.89570000000001</v>
      </c>
      <c r="K7024">
        <v>1.1221920000000001</v>
      </c>
      <c r="L7024">
        <v>-63.835999999999999</v>
      </c>
      <c r="M7024">
        <v>0.99918989999999996</v>
      </c>
      <c r="N7024">
        <v>-9.5288360000000006E-3</v>
      </c>
      <c r="O7024">
        <v>-3.9102320000000003E-2</v>
      </c>
      <c r="P7024">
        <v>0.97944209999999998</v>
      </c>
      <c r="Q7024">
        <v>0.19388549999999999</v>
      </c>
      <c r="R7024">
        <v>-5.5693630000000001E-2</v>
      </c>
      <c r="S7024">
        <v>3.0859380000000001</v>
      </c>
      <c r="T7024">
        <v>-2.2816179999999998E-2</v>
      </c>
      <c r="U7024">
        <v>0.31414789999999998</v>
      </c>
      <c r="V7024">
        <v>1.6872539999999998E-2</v>
      </c>
      <c r="W7024">
        <v>0.2032639</v>
      </c>
      <c r="X7024">
        <v>0.97897860000000003</v>
      </c>
      <c r="Y7024">
        <v>-0.1400932</v>
      </c>
      <c r="Z7024">
        <v>1.102684E-3</v>
      </c>
      <c r="AA7024">
        <v>0.99013770000000001</v>
      </c>
      <c r="AB7024">
        <v>31</v>
      </c>
      <c r="AC7024">
        <v>80.545599999999993</v>
      </c>
      <c r="AD7024">
        <v>-0.59669119999999998</v>
      </c>
      <c r="AE7024">
        <v>8.2216699999999996</v>
      </c>
      <c r="AF7024">
        <v>-11.3644267774238</v>
      </c>
      <c r="AG7024">
        <v>-0.59669119999999998</v>
      </c>
      <c r="AH7024">
        <v>80.158139438257805</v>
      </c>
      <c r="AI7024">
        <v>90.422274992523398</v>
      </c>
      <c r="AJ7024">
        <v>98.069335591494493</v>
      </c>
      <c r="AK7024">
        <v>80.961926573981501</v>
      </c>
      <c r="AL7024">
        <v>78.272111718227293</v>
      </c>
      <c r="AM7024">
        <v>89.012614136701103</v>
      </c>
      <c r="AN7024">
        <v>0.99999999745361001</v>
      </c>
    </row>
    <row r="7025" spans="1:40" x14ac:dyDescent="0.25">
      <c r="A7025" t="str">
        <f>"20190303170426820"</f>
        <v>20190303170426820</v>
      </c>
      <c r="B7025" t="str">
        <f>"1551603866812412"</f>
        <v>1551603866812412</v>
      </c>
      <c r="C7025" t="s">
        <v>40</v>
      </c>
      <c r="D7025">
        <v>4.5027350000000004</v>
      </c>
      <c r="E7025">
        <v>0.44235429999999998</v>
      </c>
      <c r="F7025" t="s">
        <v>55</v>
      </c>
      <c r="G7025">
        <v>-157.3501</v>
      </c>
      <c r="H7025">
        <v>0.51588880000000004</v>
      </c>
      <c r="I7025">
        <v>-55.559130000000003</v>
      </c>
      <c r="J7025">
        <v>-237.73920000000001</v>
      </c>
      <c r="K7025">
        <v>1.1221939999999999</v>
      </c>
      <c r="L7025">
        <v>-63.841549999999998</v>
      </c>
      <c r="M7025">
        <v>0.99921320000000002</v>
      </c>
      <c r="N7025">
        <v>-9.5311630000000005E-3</v>
      </c>
      <c r="O7025">
        <v>-3.8501609999999999E-2</v>
      </c>
      <c r="P7025">
        <v>0.97959240000000003</v>
      </c>
      <c r="Q7025">
        <v>0.19330990000000001</v>
      </c>
      <c r="R7025">
        <v>-5.5046230000000002E-2</v>
      </c>
      <c r="S7025">
        <v>3.0856170000000001</v>
      </c>
      <c r="T7025">
        <v>-2.3227569999999999E-2</v>
      </c>
      <c r="U7025">
        <v>0.31707760000000001</v>
      </c>
      <c r="V7025">
        <v>1.6808779999999999E-2</v>
      </c>
      <c r="W7025">
        <v>0.2026915</v>
      </c>
      <c r="X7025">
        <v>0.97909840000000004</v>
      </c>
      <c r="Y7025">
        <v>-0.14043839999999999</v>
      </c>
      <c r="Z7025">
        <v>1.1215120000000001E-3</v>
      </c>
      <c r="AA7025">
        <v>0.99008879999999999</v>
      </c>
      <c r="AB7025">
        <v>31</v>
      </c>
      <c r="AC7025">
        <v>80.389099999999999</v>
      </c>
      <c r="AD7025">
        <v>-0.60630519999999999</v>
      </c>
      <c r="AE7025">
        <v>8.2824199999999895</v>
      </c>
      <c r="AF7025">
        <v>-11.370888324995301</v>
      </c>
      <c r="AG7025">
        <v>-0.60630519999999999</v>
      </c>
      <c r="AH7025">
        <v>80.006084947612905</v>
      </c>
      <c r="AI7025">
        <v>90.429873014749404</v>
      </c>
      <c r="AJ7025">
        <v>98.089004922648698</v>
      </c>
      <c r="AK7025">
        <v>80.812364994100406</v>
      </c>
      <c r="AL7025">
        <v>78.305605404569206</v>
      </c>
      <c r="AM7025">
        <v>89.016464989541404</v>
      </c>
      <c r="AN7025">
        <v>1.0000000280699399</v>
      </c>
    </row>
    <row r="7026" spans="1:40" x14ac:dyDescent="0.25">
      <c r="A7026" t="str">
        <f>"20190303170426830"</f>
        <v>20190303170426830</v>
      </c>
      <c r="B7026" t="str">
        <f>"1551603866822173"</f>
        <v>1551603866822173</v>
      </c>
      <c r="C7026" t="s">
        <v>40</v>
      </c>
      <c r="D7026">
        <v>4.4846490000000001</v>
      </c>
      <c r="E7026">
        <v>0.44244220000000001</v>
      </c>
      <c r="F7026" t="s">
        <v>55</v>
      </c>
      <c r="G7026">
        <v>-157.3501</v>
      </c>
      <c r="H7026">
        <v>0.45968599999999998</v>
      </c>
      <c r="I7026">
        <v>-55.53969</v>
      </c>
      <c r="J7026">
        <v>-237.57570000000001</v>
      </c>
      <c r="K7026">
        <v>1.1221969999999999</v>
      </c>
      <c r="L7026">
        <v>-63.847259999999999</v>
      </c>
      <c r="M7026">
        <v>0.99923700000000004</v>
      </c>
      <c r="N7026">
        <v>-9.5335200000000002E-3</v>
      </c>
      <c r="O7026">
        <v>-3.7876350000000003E-2</v>
      </c>
      <c r="P7026">
        <v>0.97971779999999997</v>
      </c>
      <c r="Q7026">
        <v>0.19295100000000001</v>
      </c>
      <c r="R7026">
        <v>-5.406408E-2</v>
      </c>
      <c r="S7026">
        <v>3.0854189999999999</v>
      </c>
      <c r="T7026">
        <v>-2.5428530000000001E-2</v>
      </c>
      <c r="U7026">
        <v>0.31863399999999997</v>
      </c>
      <c r="V7026">
        <v>1.6435439999999999E-2</v>
      </c>
      <c r="W7026">
        <v>0.20233470000000001</v>
      </c>
      <c r="X7026">
        <v>0.97917849999999995</v>
      </c>
      <c r="Y7026">
        <v>-0.14031830000000001</v>
      </c>
      <c r="Z7026">
        <v>1.1987390000000001E-3</v>
      </c>
      <c r="AA7026">
        <v>0.99010569999999998</v>
      </c>
      <c r="AB7026">
        <v>31</v>
      </c>
      <c r="AC7026">
        <v>80.2256</v>
      </c>
      <c r="AD7026">
        <v>-0.66251099999999896</v>
      </c>
      <c r="AE7026">
        <v>8.3075699999999895</v>
      </c>
      <c r="AF7026">
        <v>-11.3396339785096</v>
      </c>
      <c r="AG7026">
        <v>-0.66251099999999896</v>
      </c>
      <c r="AH7026">
        <v>79.847965303353803</v>
      </c>
      <c r="AI7026">
        <v>90.470658797077206</v>
      </c>
      <c r="AJ7026">
        <v>98.082828297533595</v>
      </c>
      <c r="AK7026">
        <v>80.651867818899802</v>
      </c>
      <c r="AL7026">
        <v>78.326480696606495</v>
      </c>
      <c r="AM7026">
        <v>89.038384802257497</v>
      </c>
      <c r="AN7026">
        <v>0.99999999468716605</v>
      </c>
    </row>
    <row r="7027" spans="1:40" x14ac:dyDescent="0.25">
      <c r="A7027" t="str">
        <f>"20190303170426843"</f>
        <v>20190303170426843</v>
      </c>
      <c r="B7027" t="str">
        <f>"1551603866832908"</f>
        <v>1551603866832908</v>
      </c>
      <c r="C7027" t="s">
        <v>40</v>
      </c>
      <c r="D7027">
        <v>4.475231</v>
      </c>
      <c r="E7027">
        <v>0.44251030000000002</v>
      </c>
      <c r="F7027" t="s">
        <v>55</v>
      </c>
      <c r="G7027">
        <v>-157.3501</v>
      </c>
      <c r="H7027">
        <v>0.41560940000000002</v>
      </c>
      <c r="I7027">
        <v>-55.504399999999997</v>
      </c>
      <c r="J7027">
        <v>-237.416</v>
      </c>
      <c r="K7027">
        <v>1.1221939999999999</v>
      </c>
      <c r="L7027">
        <v>-63.85275</v>
      </c>
      <c r="M7027">
        <v>0.99925989999999998</v>
      </c>
      <c r="N7027">
        <v>-9.5357559999999994E-3</v>
      </c>
      <c r="O7027">
        <v>-3.7267179999999997E-2</v>
      </c>
      <c r="P7027">
        <v>0.97986229999999996</v>
      </c>
      <c r="Q7027">
        <v>0.19236539999999999</v>
      </c>
      <c r="R7027">
        <v>-5.3532940000000001E-2</v>
      </c>
      <c r="S7027">
        <v>3.0851440000000001</v>
      </c>
      <c r="T7027">
        <v>-2.7173159999999998E-2</v>
      </c>
      <c r="U7027">
        <v>0.32083129999999999</v>
      </c>
      <c r="V7027">
        <v>1.6497029999999999E-2</v>
      </c>
      <c r="W7027">
        <v>0.20175280000000001</v>
      </c>
      <c r="X7027">
        <v>0.97929750000000004</v>
      </c>
      <c r="Y7027">
        <v>-0.1404204</v>
      </c>
      <c r="Z7027">
        <v>1.2612070000000001E-3</v>
      </c>
      <c r="AA7027">
        <v>0.9900911</v>
      </c>
      <c r="AB7027">
        <v>31</v>
      </c>
      <c r="AC7027">
        <v>80.065899999999999</v>
      </c>
      <c r="AD7027">
        <v>-0.70658460000000001</v>
      </c>
      <c r="AE7027">
        <v>8.3483499999999999</v>
      </c>
      <c r="AF7027">
        <v>-11.3256434136362</v>
      </c>
      <c r="AG7027">
        <v>-0.70658460000000001</v>
      </c>
      <c r="AH7027">
        <v>79.6930027266433</v>
      </c>
      <c r="AI7027">
        <v>90.502936839623999</v>
      </c>
      <c r="AJ7027">
        <v>98.088477784398194</v>
      </c>
      <c r="AK7027">
        <v>80.496857976684893</v>
      </c>
      <c r="AL7027">
        <v>78.360522882567494</v>
      </c>
      <c r="AM7027">
        <v>89.034899202698398</v>
      </c>
      <c r="AN7027">
        <v>0.99999996890645504</v>
      </c>
    </row>
    <row r="7028" spans="1:40" x14ac:dyDescent="0.25">
      <c r="A7028" t="str">
        <f>"20190303170426858"</f>
        <v>20190303170426858</v>
      </c>
      <c r="B7028" t="str">
        <f>"1551603866852429"</f>
        <v>1551603866852429</v>
      </c>
      <c r="C7028" t="s">
        <v>40</v>
      </c>
      <c r="D7028">
        <v>4.4965659999999996</v>
      </c>
      <c r="E7028">
        <v>0.44267719999999999</v>
      </c>
      <c r="F7028" t="s">
        <v>55</v>
      </c>
      <c r="G7028">
        <v>-157.3501</v>
      </c>
      <c r="H7028">
        <v>0.34892079999999998</v>
      </c>
      <c r="I7028">
        <v>-55.504989999999999</v>
      </c>
      <c r="J7028">
        <v>-237.23320000000001</v>
      </c>
      <c r="K7028">
        <v>1.1221920000000001</v>
      </c>
      <c r="L7028">
        <v>-63.858919999999998</v>
      </c>
      <c r="M7028">
        <v>0.99928570000000005</v>
      </c>
      <c r="N7028">
        <v>-9.5382729999999999E-3</v>
      </c>
      <c r="O7028">
        <v>-3.6570760000000001E-2</v>
      </c>
      <c r="P7028">
        <v>0.97999170000000002</v>
      </c>
      <c r="Q7028">
        <v>0.19185720000000001</v>
      </c>
      <c r="R7028">
        <v>-5.2983460000000003E-2</v>
      </c>
      <c r="S7028">
        <v>3.0850979999999999</v>
      </c>
      <c r="T7028">
        <v>-2.979648E-2</v>
      </c>
      <c r="U7028">
        <v>0.32165529999999998</v>
      </c>
      <c r="V7028">
        <v>1.6626809999999999E-2</v>
      </c>
      <c r="W7028">
        <v>0.20124890000000001</v>
      </c>
      <c r="X7028">
        <v>0.97939900000000002</v>
      </c>
      <c r="Y7028">
        <v>-0.1399918</v>
      </c>
      <c r="Z7028">
        <v>1.3482559999999999E-3</v>
      </c>
      <c r="AA7028">
        <v>0.99015180000000003</v>
      </c>
      <c r="AB7028">
        <v>31</v>
      </c>
      <c r="AC7028">
        <v>79.883099999999999</v>
      </c>
      <c r="AD7028">
        <v>-0.77327119999999905</v>
      </c>
      <c r="AE7028">
        <v>8.3539299999999894</v>
      </c>
      <c r="AF7028">
        <v>-11.268814892978201</v>
      </c>
      <c r="AG7028">
        <v>-0.77327119999999905</v>
      </c>
      <c r="AH7028">
        <v>79.516764851917003</v>
      </c>
      <c r="AI7028">
        <v>90.551651098091199</v>
      </c>
      <c r="AJ7028">
        <v>98.066029166598398</v>
      </c>
      <c r="AK7028">
        <v>80.315005011243201</v>
      </c>
      <c r="AL7028">
        <v>78.389999027557906</v>
      </c>
      <c r="AM7028">
        <v>89.027409118149194</v>
      </c>
      <c r="AN7028">
        <v>0.99999998588149297</v>
      </c>
    </row>
    <row r="7029" spans="1:40" x14ac:dyDescent="0.25">
      <c r="A7029" t="str">
        <f>"20190303170426868"</f>
        <v>20190303170426868</v>
      </c>
      <c r="B7029" t="str">
        <f>"1551603866862188"</f>
        <v>1551603866862188</v>
      </c>
      <c r="C7029" t="s">
        <v>40</v>
      </c>
      <c r="D7029">
        <v>4.4663399999999998</v>
      </c>
      <c r="E7029">
        <v>0.44274629999999998</v>
      </c>
      <c r="F7029" t="s">
        <v>55</v>
      </c>
      <c r="G7029">
        <v>-157.3501</v>
      </c>
      <c r="H7029">
        <v>0.28322219999999998</v>
      </c>
      <c r="I7029">
        <v>-55.521320000000003</v>
      </c>
      <c r="J7029">
        <v>-237.06010000000001</v>
      </c>
      <c r="K7029">
        <v>1.1221939999999999</v>
      </c>
      <c r="L7029">
        <v>-63.86459</v>
      </c>
      <c r="M7029">
        <v>0.99930949999999996</v>
      </c>
      <c r="N7029">
        <v>-9.5405490000000006E-3</v>
      </c>
      <c r="O7029">
        <v>-3.591213E-2</v>
      </c>
      <c r="P7029">
        <v>0.98001240000000001</v>
      </c>
      <c r="Q7029">
        <v>0.19191320000000001</v>
      </c>
      <c r="R7029">
        <v>-5.2393530000000001E-2</v>
      </c>
      <c r="S7029">
        <v>3.0850219999999999</v>
      </c>
      <c r="T7029">
        <v>-3.2401079999999999E-2</v>
      </c>
      <c r="U7029">
        <v>0.32199100000000003</v>
      </c>
      <c r="V7029">
        <v>1.66819E-2</v>
      </c>
      <c r="W7029">
        <v>0.20130680000000001</v>
      </c>
      <c r="X7029">
        <v>0.97938619999999998</v>
      </c>
      <c r="Y7029">
        <v>-0.1394466</v>
      </c>
      <c r="Z7029">
        <v>1.4319929999999999E-3</v>
      </c>
      <c r="AA7029">
        <v>0.99022849999999996</v>
      </c>
      <c r="AB7029">
        <v>31</v>
      </c>
      <c r="AC7029">
        <v>79.709999999999994</v>
      </c>
      <c r="AD7029">
        <v>-0.83897180000000005</v>
      </c>
      <c r="AE7029">
        <v>8.3432700000000004</v>
      </c>
      <c r="AF7029">
        <v>-11.1993463676577</v>
      </c>
      <c r="AG7029">
        <v>-0.83897180000000005</v>
      </c>
      <c r="AH7029">
        <v>79.350244985307697</v>
      </c>
      <c r="AI7029">
        <v>90.599822577369395</v>
      </c>
      <c r="AJ7029">
        <v>98.033557704817795</v>
      </c>
      <c r="AK7029">
        <v>80.141066950548606</v>
      </c>
      <c r="AL7029">
        <v>78.386612704613398</v>
      </c>
      <c r="AM7029">
        <v>89.024174481193199</v>
      </c>
      <c r="AN7029">
        <v>1.00000002113214</v>
      </c>
    </row>
    <row r="7030" spans="1:40" x14ac:dyDescent="0.25">
      <c r="A7030" t="str">
        <f>"20190303170426877"</f>
        <v>20190303170426877</v>
      </c>
      <c r="B7030" t="str">
        <f>"1551603866872925"</f>
        <v>1551603866872925</v>
      </c>
      <c r="C7030" t="s">
        <v>40</v>
      </c>
      <c r="D7030">
        <v>4.5259090000000004</v>
      </c>
      <c r="E7030">
        <v>0.44276690000000002</v>
      </c>
      <c r="F7030" t="s">
        <v>55</v>
      </c>
      <c r="G7030">
        <v>-157.3501</v>
      </c>
      <c r="H7030">
        <v>0.278007</v>
      </c>
      <c r="I7030">
        <v>-55.51464</v>
      </c>
      <c r="J7030">
        <v>-236.93879999999999</v>
      </c>
      <c r="K7030">
        <v>1.1221939999999999</v>
      </c>
      <c r="L7030">
        <v>-63.868560000000002</v>
      </c>
      <c r="M7030">
        <v>0.99932589999999999</v>
      </c>
      <c r="N7030">
        <v>-9.5421210000000006E-3</v>
      </c>
      <c r="O7030">
        <v>-3.5450790000000003E-2</v>
      </c>
      <c r="P7030">
        <v>0.98007739999999999</v>
      </c>
      <c r="Q7030">
        <v>0.19171540000000001</v>
      </c>
      <c r="R7030">
        <v>-5.1898720000000002E-2</v>
      </c>
      <c r="S7030">
        <v>3.084854</v>
      </c>
      <c r="T7030">
        <v>-3.2671569999999997E-2</v>
      </c>
      <c r="U7030">
        <v>0.32315060000000001</v>
      </c>
      <c r="V7030">
        <v>1.6637659999999999E-2</v>
      </c>
      <c r="W7030">
        <v>0.20111109999999999</v>
      </c>
      <c r="X7030">
        <v>0.97942720000000005</v>
      </c>
      <c r="Y7030">
        <v>-0.13936309999999999</v>
      </c>
      <c r="Z7030">
        <v>1.440017E-3</v>
      </c>
      <c r="AA7030">
        <v>0.99024029999999996</v>
      </c>
      <c r="AB7030">
        <v>31</v>
      </c>
      <c r="AC7030">
        <v>79.588699999999903</v>
      </c>
      <c r="AD7030">
        <v>-0.84418700000000002</v>
      </c>
      <c r="AE7030">
        <v>8.3539199999999898</v>
      </c>
      <c r="AF7030">
        <v>-11.1690362128701</v>
      </c>
      <c r="AG7030">
        <v>-0.84418700000000002</v>
      </c>
      <c r="AH7030">
        <v>79.233684198235494</v>
      </c>
      <c r="AI7030">
        <v>90.604453347131596</v>
      </c>
      <c r="AJ7030">
        <v>98.023731438995597</v>
      </c>
      <c r="AK7030">
        <v>80.0214766999528</v>
      </c>
      <c r="AL7030">
        <v>78.398060091022401</v>
      </c>
      <c r="AM7030">
        <v>89.026802581804304</v>
      </c>
      <c r="AN7030">
        <v>1.0000000631866599</v>
      </c>
    </row>
    <row r="7031" spans="1:40" x14ac:dyDescent="0.25">
      <c r="A7031" t="str">
        <f>"20190303170426886"</f>
        <v>20190303170426886</v>
      </c>
      <c r="B7031" t="str">
        <f>"1551603866882685"</f>
        <v>1551603866882685</v>
      </c>
      <c r="C7031" t="s">
        <v>40</v>
      </c>
      <c r="D7031">
        <v>4.4850050000000001</v>
      </c>
      <c r="E7031">
        <v>0.44282450000000001</v>
      </c>
      <c r="F7031" t="s">
        <v>55</v>
      </c>
      <c r="G7031">
        <v>-157.3501</v>
      </c>
      <c r="H7031">
        <v>0.24707509999999999</v>
      </c>
      <c r="I7031">
        <v>-55.498040000000003</v>
      </c>
      <c r="J7031">
        <v>-236.7989</v>
      </c>
      <c r="K7031">
        <v>1.1221939999999999</v>
      </c>
      <c r="L7031">
        <v>-63.872990000000001</v>
      </c>
      <c r="M7031">
        <v>0.99934460000000003</v>
      </c>
      <c r="N7031">
        <v>-9.5438520000000002E-3</v>
      </c>
      <c r="O7031">
        <v>-3.4918999999999999E-2</v>
      </c>
      <c r="P7031">
        <v>0.98008189999999995</v>
      </c>
      <c r="Q7031">
        <v>0.19190940000000001</v>
      </c>
      <c r="R7031">
        <v>-5.1093680000000002E-2</v>
      </c>
      <c r="S7031">
        <v>3.084778</v>
      </c>
      <c r="T7031">
        <v>-3.3919449999999997E-2</v>
      </c>
      <c r="U7031">
        <v>0.32443240000000001</v>
      </c>
      <c r="V7031">
        <v>1.6354009999999999E-2</v>
      </c>
      <c r="W7031">
        <v>0.2013054</v>
      </c>
      <c r="X7031">
        <v>0.97939200000000004</v>
      </c>
      <c r="Y7031">
        <v>-0.139244799999999</v>
      </c>
      <c r="Z7031">
        <v>1.480529E-3</v>
      </c>
      <c r="AA7031">
        <v>0.9902569</v>
      </c>
      <c r="AB7031">
        <v>31</v>
      </c>
      <c r="AC7031">
        <v>79.448800000000006</v>
      </c>
      <c r="AD7031">
        <v>-0.87511890000000003</v>
      </c>
      <c r="AE7031">
        <v>8.3749499999999895</v>
      </c>
      <c r="AF7031">
        <v>-11.1429038846314</v>
      </c>
      <c r="AG7031">
        <v>-0.87511890000000003</v>
      </c>
      <c r="AH7031">
        <v>79.098393861219094</v>
      </c>
      <c r="AI7031">
        <v>90.627678814568498</v>
      </c>
      <c r="AJ7031">
        <v>98.018716058307206</v>
      </c>
      <c r="AK7031">
        <v>79.884204017413893</v>
      </c>
      <c r="AL7031">
        <v>78.386694389730906</v>
      </c>
      <c r="AM7031">
        <v>89.043356820217596</v>
      </c>
      <c r="AN7031">
        <v>1.00000000368812</v>
      </c>
    </row>
    <row r="7032" spans="1:40" x14ac:dyDescent="0.25">
      <c r="A7032" t="str">
        <f>"20190303170426898"</f>
        <v>20190303170426898</v>
      </c>
      <c r="B7032" t="str">
        <f>"1551603866892444"</f>
        <v>1551603866892444</v>
      </c>
      <c r="C7032" t="s">
        <v>40</v>
      </c>
      <c r="D7032">
        <v>4.4684939999999997</v>
      </c>
      <c r="E7032">
        <v>0.44287140000000003</v>
      </c>
      <c r="F7032" t="s">
        <v>55</v>
      </c>
      <c r="G7032">
        <v>-157.3501</v>
      </c>
      <c r="H7032">
        <v>0.25176690000000002</v>
      </c>
      <c r="I7032">
        <v>-55.472709999999999</v>
      </c>
      <c r="J7032">
        <v>-236.64590000000001</v>
      </c>
      <c r="K7032">
        <v>1.12219</v>
      </c>
      <c r="L7032">
        <v>-63.877809999999997</v>
      </c>
      <c r="M7032">
        <v>0.99936469999999999</v>
      </c>
      <c r="N7032">
        <v>-9.5457279999999999E-3</v>
      </c>
      <c r="O7032">
        <v>-3.43375E-2</v>
      </c>
      <c r="P7032">
        <v>0.9801242</v>
      </c>
      <c r="Q7032">
        <v>0.19197120000000001</v>
      </c>
      <c r="R7032">
        <v>-5.0037350000000001E-2</v>
      </c>
      <c r="S7032">
        <v>3.0846100000000001</v>
      </c>
      <c r="T7032">
        <v>-3.3795239999999997E-2</v>
      </c>
      <c r="U7032">
        <v>0.32614140000000003</v>
      </c>
      <c r="V7032">
        <v>1.586688E-2</v>
      </c>
      <c r="W7032">
        <v>0.20136799999999999</v>
      </c>
      <c r="X7032">
        <v>0.97938720000000001</v>
      </c>
      <c r="Y7032">
        <v>-0.1392168</v>
      </c>
      <c r="Z7032">
        <v>1.4753469999999999E-3</v>
      </c>
      <c r="AA7032">
        <v>0.99026080000000005</v>
      </c>
      <c r="AB7032">
        <v>31</v>
      </c>
      <c r="AC7032">
        <v>79.2958</v>
      </c>
      <c r="AD7032">
        <v>-0.87042310000000001</v>
      </c>
      <c r="AE7032">
        <v>8.4050999999999902</v>
      </c>
      <c r="AF7032">
        <v>-11.1217614201838</v>
      </c>
      <c r="AG7032">
        <v>-0.87042310000000001</v>
      </c>
      <c r="AH7032">
        <v>78.951003949281201</v>
      </c>
      <c r="AI7032">
        <v>90.625476839607003</v>
      </c>
      <c r="AJ7032">
        <v>98.0184463194622</v>
      </c>
      <c r="AK7032">
        <v>79.7352634538817</v>
      </c>
      <c r="AL7032">
        <v>78.383033334615504</v>
      </c>
      <c r="AM7032">
        <v>89.071842337798898</v>
      </c>
      <c r="AN7032">
        <v>1.00000005841438</v>
      </c>
    </row>
    <row r="7033" spans="1:40" x14ac:dyDescent="0.25">
      <c r="A7033" t="str">
        <f>"20190303170426909"</f>
        <v>20190303170426909</v>
      </c>
      <c r="B7033" t="str">
        <f>"1551603866902204"</f>
        <v>1551603866902204</v>
      </c>
      <c r="C7033" t="s">
        <v>40</v>
      </c>
      <c r="D7033">
        <v>4.4829420000000004</v>
      </c>
      <c r="E7033">
        <v>0.44292160000000003</v>
      </c>
      <c r="F7033" t="s">
        <v>55</v>
      </c>
      <c r="G7033">
        <v>-157.3501</v>
      </c>
      <c r="H7033">
        <v>0.2465456</v>
      </c>
      <c r="I7033">
        <v>-55.425400000000003</v>
      </c>
      <c r="J7033">
        <v>-236.48589999999999</v>
      </c>
      <c r="K7033">
        <v>1.1221920000000001</v>
      </c>
      <c r="L7033">
        <v>-63.8827199999999</v>
      </c>
      <c r="M7033">
        <v>0.99938539999999998</v>
      </c>
      <c r="N7033">
        <v>-9.5476559999999999E-3</v>
      </c>
      <c r="O7033">
        <v>-3.3729780000000001E-2</v>
      </c>
      <c r="P7033">
        <v>0.98025189999999995</v>
      </c>
      <c r="Q7033">
        <v>0.19166810000000001</v>
      </c>
      <c r="R7033">
        <v>-4.8678760000000001E-2</v>
      </c>
      <c r="S7033">
        <v>3.0843050000000001</v>
      </c>
      <c r="T7033">
        <v>-3.406E-2</v>
      </c>
      <c r="U7033">
        <v>0.3287659</v>
      </c>
      <c r="V7033">
        <v>1.5101430000000001E-2</v>
      </c>
      <c r="W7033">
        <v>0.2010663</v>
      </c>
      <c r="X7033">
        <v>0.97946129999999998</v>
      </c>
      <c r="Y7033">
        <v>-0.1394579</v>
      </c>
      <c r="Z7033">
        <v>1.4859910000000001E-3</v>
      </c>
      <c r="AA7033">
        <v>0.99022690000000002</v>
      </c>
      <c r="AB7033">
        <v>31</v>
      </c>
      <c r="AC7033">
        <v>79.135799999999904</v>
      </c>
      <c r="AD7033">
        <v>-0.87564640000000005</v>
      </c>
      <c r="AE7033">
        <v>8.4573199999999797</v>
      </c>
      <c r="AF7033">
        <v>-11.120515818520699</v>
      </c>
      <c r="AG7033">
        <v>-0.87564640000000005</v>
      </c>
      <c r="AH7033">
        <v>78.795951649363602</v>
      </c>
      <c r="AI7033">
        <v>90.630445245478299</v>
      </c>
      <c r="AJ7033">
        <v>98.033130927410198</v>
      </c>
      <c r="AK7033">
        <v>79.581622407542397</v>
      </c>
      <c r="AL7033">
        <v>78.400680597534304</v>
      </c>
      <c r="AM7033">
        <v>89.116678063977702</v>
      </c>
      <c r="AN7033">
        <v>1.0000000741907</v>
      </c>
    </row>
    <row r="7034" spans="1:40" x14ac:dyDescent="0.25">
      <c r="A7034" t="str">
        <f>"20190303170426919"</f>
        <v>20190303170426919</v>
      </c>
      <c r="B7034" t="str">
        <f>"1551603866912941"</f>
        <v>1551603866912941</v>
      </c>
      <c r="C7034" t="s">
        <v>40</v>
      </c>
      <c r="D7034">
        <v>4.4813879999999999</v>
      </c>
      <c r="E7034">
        <v>0.44298189999999998</v>
      </c>
      <c r="F7034" t="s">
        <v>55</v>
      </c>
      <c r="G7034">
        <v>-157.3501</v>
      </c>
      <c r="H7034">
        <v>0.2153516</v>
      </c>
      <c r="I7034">
        <v>-55.353749999999998</v>
      </c>
      <c r="J7034">
        <v>-236.33619999999999</v>
      </c>
      <c r="K7034">
        <v>1.1221939999999999</v>
      </c>
      <c r="L7034">
        <v>-63.887239999999998</v>
      </c>
      <c r="M7034">
        <v>0.99940450000000003</v>
      </c>
      <c r="N7034">
        <v>-9.5494550000000001E-3</v>
      </c>
      <c r="O7034">
        <v>-3.3161160000000002E-2</v>
      </c>
      <c r="P7034">
        <v>0.98033239999999999</v>
      </c>
      <c r="Q7034">
        <v>0.19152250000000001</v>
      </c>
      <c r="R7034">
        <v>-4.762458E-2</v>
      </c>
      <c r="S7034">
        <v>3.0838619999999999</v>
      </c>
      <c r="T7034">
        <v>-3.5339589999999997E-2</v>
      </c>
      <c r="U7034">
        <v>0.33236690000000002</v>
      </c>
      <c r="V7034">
        <v>1.460301E-2</v>
      </c>
      <c r="W7034">
        <v>0.20092099999999999</v>
      </c>
      <c r="X7034">
        <v>0.9794986</v>
      </c>
      <c r="Y7034">
        <v>-0.1400516</v>
      </c>
      <c r="Z7034">
        <v>1.5341679999999901E-3</v>
      </c>
      <c r="AA7034">
        <v>0.990143</v>
      </c>
      <c r="AB7034">
        <v>31</v>
      </c>
      <c r="AC7034">
        <v>78.986099999999993</v>
      </c>
      <c r="AD7034">
        <v>-0.90684240000000005</v>
      </c>
      <c r="AE7034">
        <v>8.5334900000000005</v>
      </c>
      <c r="AF7034">
        <v>-11.146733818898401</v>
      </c>
      <c r="AG7034">
        <v>-0.90684240000000005</v>
      </c>
      <c r="AH7034">
        <v>78.649414270377903</v>
      </c>
      <c r="AI7034">
        <v>90.654066026468698</v>
      </c>
      <c r="AJ7034">
        <v>98.066626602665195</v>
      </c>
      <c r="AK7034">
        <v>79.440558929562798</v>
      </c>
      <c r="AL7034">
        <v>78.409178255577501</v>
      </c>
      <c r="AM7034">
        <v>89.145860076206205</v>
      </c>
      <c r="AN7034">
        <v>1.0000000017720101</v>
      </c>
    </row>
    <row r="7035" spans="1:40" x14ac:dyDescent="0.25">
      <c r="A7035" t="str">
        <f>"20190303170426930"</f>
        <v>20190303170426930</v>
      </c>
      <c r="B7035" t="str">
        <f>"1551603866922701"</f>
        <v>1551603866922701</v>
      </c>
      <c r="C7035" t="s">
        <v>40</v>
      </c>
      <c r="D7035">
        <v>4.4864980000000001</v>
      </c>
      <c r="E7035">
        <v>0.44308110000000001</v>
      </c>
      <c r="F7035" t="s">
        <v>55</v>
      </c>
      <c r="G7035">
        <v>-157.3501</v>
      </c>
      <c r="H7035">
        <v>0.1881275</v>
      </c>
      <c r="I7035">
        <v>-55.31653</v>
      </c>
      <c r="J7035">
        <v>-236.17699999999999</v>
      </c>
      <c r="K7035">
        <v>1.12219</v>
      </c>
      <c r="L7035">
        <v>-63.891939999999998</v>
      </c>
      <c r="M7035">
        <v>0.99942439999999999</v>
      </c>
      <c r="N7035">
        <v>-9.5513520000000008E-3</v>
      </c>
      <c r="O7035">
        <v>-3.2556179999999997E-2</v>
      </c>
      <c r="P7035">
        <v>0.98038239999999999</v>
      </c>
      <c r="Q7035">
        <v>0.19149720000000001</v>
      </c>
      <c r="R7035">
        <v>-4.6683370000000002E-2</v>
      </c>
      <c r="S7035">
        <v>3.0835720000000002</v>
      </c>
      <c r="T7035">
        <v>-3.6466119999999998E-2</v>
      </c>
      <c r="U7035">
        <v>0.33459470000000002</v>
      </c>
      <c r="V7035">
        <v>1.4254370000000001E-2</v>
      </c>
      <c r="W7035">
        <v>0.2008972</v>
      </c>
      <c r="X7035">
        <v>0.97950859999999995</v>
      </c>
      <c r="Y7035">
        <v>-0.1401684</v>
      </c>
      <c r="Z7035">
        <v>1.5718030000000001E-3</v>
      </c>
      <c r="AA7035">
        <v>0.99012639999999996</v>
      </c>
      <c r="AB7035">
        <v>31</v>
      </c>
      <c r="AC7035">
        <v>78.826899999999995</v>
      </c>
      <c r="AD7035">
        <v>-0.93406250000000002</v>
      </c>
      <c r="AE7035">
        <v>8.5754099999999909</v>
      </c>
      <c r="AF7035">
        <v>-11.1357379972722</v>
      </c>
      <c r="AG7035">
        <v>-0.93406250000000002</v>
      </c>
      <c r="AH7035">
        <v>78.495022626765802</v>
      </c>
      <c r="AI7035">
        <v>90.675008878240206</v>
      </c>
      <c r="AJ7035">
        <v>98.074415721082303</v>
      </c>
      <c r="AK7035">
        <v>79.286478738018602</v>
      </c>
      <c r="AL7035">
        <v>78.410570078656804</v>
      </c>
      <c r="AM7035">
        <v>89.166257862352793</v>
      </c>
      <c r="AN7035">
        <v>0.99999998475294805</v>
      </c>
    </row>
    <row r="7036" spans="1:40" x14ac:dyDescent="0.25">
      <c r="A7036" t="str">
        <f>"20190303170426942"</f>
        <v>20190303170426942</v>
      </c>
      <c r="B7036" t="str">
        <f>"1551603866932461"</f>
        <v>1551603866932461</v>
      </c>
      <c r="C7036" t="s">
        <v>40</v>
      </c>
      <c r="D7036">
        <v>4.5184350000000002</v>
      </c>
      <c r="E7036">
        <v>0.44319069999999999</v>
      </c>
      <c r="F7036" t="s">
        <v>55</v>
      </c>
      <c r="G7036">
        <v>-157.3501</v>
      </c>
      <c r="H7036">
        <v>0.1751394</v>
      </c>
      <c r="I7036">
        <v>-55.2894199999999</v>
      </c>
      <c r="J7036">
        <v>-236.02180000000001</v>
      </c>
      <c r="K7036">
        <v>1.1221890000000001</v>
      </c>
      <c r="L7036">
        <v>-63.896450000000002</v>
      </c>
      <c r="M7036">
        <v>0.99944339999999998</v>
      </c>
      <c r="N7036">
        <v>-9.5531230000000002E-3</v>
      </c>
      <c r="O7036">
        <v>-3.1966809999999998E-2</v>
      </c>
      <c r="P7036">
        <v>0.98039069999999995</v>
      </c>
      <c r="Q7036">
        <v>0.1916293</v>
      </c>
      <c r="R7036">
        <v>-4.5962379999999997E-2</v>
      </c>
      <c r="S7036">
        <v>3.083313</v>
      </c>
      <c r="T7036">
        <v>-3.7044639999999997E-2</v>
      </c>
      <c r="U7036">
        <v>0.33648679999999997</v>
      </c>
      <c r="V7036">
        <v>1.411126E-2</v>
      </c>
      <c r="W7036">
        <v>0.20103070000000001</v>
      </c>
      <c r="X7036">
        <v>0.97948329999999995</v>
      </c>
      <c r="Y7036">
        <v>-0.1401935</v>
      </c>
      <c r="Z7036">
        <v>1.589987E-3</v>
      </c>
      <c r="AA7036">
        <v>0.99012290000000003</v>
      </c>
      <c r="AB7036">
        <v>31</v>
      </c>
      <c r="AC7036">
        <v>78.671700000000001</v>
      </c>
      <c r="AD7036">
        <v>-0.94704960000000005</v>
      </c>
      <c r="AE7036">
        <v>8.60703</v>
      </c>
      <c r="AF7036">
        <v>-11.116036741485001</v>
      </c>
      <c r="AG7036">
        <v>-0.94704960000000005</v>
      </c>
      <c r="AH7036">
        <v>78.345118883165398</v>
      </c>
      <c r="AI7036">
        <v>90.685700711846096</v>
      </c>
      <c r="AJ7036">
        <v>98.075537603646197</v>
      </c>
      <c r="AK7036">
        <v>79.135458731217497</v>
      </c>
      <c r="AL7036">
        <v>78.402762000841406</v>
      </c>
      <c r="AM7036">
        <v>89.174605926546803</v>
      </c>
      <c r="AN7036">
        <v>1.0000000024900799</v>
      </c>
    </row>
    <row r="7037" spans="1:40" x14ac:dyDescent="0.25">
      <c r="A7037" t="str">
        <f>"20190303170426952"</f>
        <v>20190303170426952</v>
      </c>
      <c r="B7037" t="str">
        <f>"1551603866942221"</f>
        <v>1551603866942221</v>
      </c>
      <c r="C7037" t="s">
        <v>40</v>
      </c>
      <c r="D7037">
        <v>4.5266599999999997</v>
      </c>
      <c r="E7037">
        <v>0.44319069999999999</v>
      </c>
      <c r="F7037" t="s">
        <v>55</v>
      </c>
      <c r="G7037">
        <v>-157.3501</v>
      </c>
      <c r="H7037">
        <v>0.17304900000000001</v>
      </c>
      <c r="I7037">
        <v>-55.274500000000003</v>
      </c>
      <c r="J7037">
        <v>-235.864</v>
      </c>
      <c r="K7037">
        <v>1.122187</v>
      </c>
      <c r="L7037">
        <v>-63.900939999999999</v>
      </c>
      <c r="M7037">
        <v>0.99946219999999997</v>
      </c>
      <c r="N7037">
        <v>-9.5548809999999994E-3</v>
      </c>
      <c r="O7037">
        <v>-3.1367560000000003E-2</v>
      </c>
      <c r="P7037">
        <v>0.98035890000000003</v>
      </c>
      <c r="Q7037">
        <v>0.19189400000000001</v>
      </c>
      <c r="R7037">
        <v>-4.5534169999999999E-2</v>
      </c>
      <c r="S7037">
        <v>3.0831149999999998</v>
      </c>
      <c r="T7037">
        <v>-3.7197229999999998E-2</v>
      </c>
      <c r="U7037">
        <v>0.33789059999999999</v>
      </c>
      <c r="V7037">
        <v>1.427138E-2</v>
      </c>
      <c r="W7037">
        <v>0.20129659999999999</v>
      </c>
      <c r="X7037">
        <v>0.97942640000000003</v>
      </c>
      <c r="Y7037">
        <v>-0.14005209999999901</v>
      </c>
      <c r="Z7037">
        <v>1.5921310000000001E-3</v>
      </c>
      <c r="AA7037">
        <v>0.99014290000000005</v>
      </c>
      <c r="AB7037">
        <v>32</v>
      </c>
      <c r="AC7037">
        <v>78.513900000000007</v>
      </c>
      <c r="AD7037">
        <v>-0.94913799999999904</v>
      </c>
      <c r="AE7037">
        <v>8.6264400000000006</v>
      </c>
      <c r="AF7037">
        <v>-11.083496288391601</v>
      </c>
      <c r="AG7037">
        <v>-0.94913799999999904</v>
      </c>
      <c r="AH7037">
        <v>78.193367586962694</v>
      </c>
      <c r="AI7037">
        <v>90.688559683387695</v>
      </c>
      <c r="AJ7037">
        <v>98.067629750315405</v>
      </c>
      <c r="AK7037">
        <v>78.980677937756994</v>
      </c>
      <c r="AL7037">
        <v>78.387209477538306</v>
      </c>
      <c r="AM7037">
        <v>89.165193036550605</v>
      </c>
      <c r="AN7037">
        <v>1.0000000332378101</v>
      </c>
    </row>
    <row r="7038" spans="1:40" x14ac:dyDescent="0.25">
      <c r="A7038" t="str">
        <f>"20190303170426964"</f>
        <v>20190303170426964</v>
      </c>
      <c r="B7038" t="str">
        <f>"1551603866952957"</f>
        <v>1551603866952957</v>
      </c>
      <c r="C7038" t="s">
        <v>40</v>
      </c>
      <c r="D7038">
        <v>4.4132959999999999</v>
      </c>
      <c r="E7038">
        <v>0.4773057</v>
      </c>
      <c r="F7038" t="s">
        <v>55</v>
      </c>
      <c r="G7038">
        <v>-157.3501</v>
      </c>
      <c r="H7038">
        <v>0.20658029999999999</v>
      </c>
      <c r="I7038">
        <v>-55.248350000000002</v>
      </c>
      <c r="J7038">
        <v>-235.708</v>
      </c>
      <c r="K7038">
        <v>1.122193</v>
      </c>
      <c r="L7038">
        <v>-63.905270000000002</v>
      </c>
      <c r="M7038">
        <v>0.99948079999999995</v>
      </c>
      <c r="N7038">
        <v>-9.5565519999999994E-3</v>
      </c>
      <c r="O7038">
        <v>-3.077473E-2</v>
      </c>
      <c r="P7038">
        <v>0.98036440000000002</v>
      </c>
      <c r="Q7038">
        <v>0.19185340000000001</v>
      </c>
      <c r="R7038">
        <v>-4.5586349999999998E-2</v>
      </c>
      <c r="S7038">
        <v>3.082932</v>
      </c>
      <c r="T7038">
        <v>-3.5953039999999999E-2</v>
      </c>
      <c r="U7038">
        <v>0.3397522</v>
      </c>
      <c r="V7038">
        <v>1.490496E-2</v>
      </c>
      <c r="W7038">
        <v>0.2012592</v>
      </c>
      <c r="X7038">
        <v>0.97942459999999998</v>
      </c>
      <c r="Y7038">
        <v>-0.14006279999999999</v>
      </c>
      <c r="Z7038">
        <v>1.550327E-3</v>
      </c>
      <c r="AA7038">
        <v>0.99014139999999995</v>
      </c>
      <c r="AB7038">
        <v>32</v>
      </c>
      <c r="AC7038">
        <v>78.357900000000001</v>
      </c>
      <c r="AD7038">
        <v>-0.91561269999999995</v>
      </c>
      <c r="AE7038">
        <v>8.6569199999999906</v>
      </c>
      <c r="AF7038">
        <v>-11.0628799356373</v>
      </c>
      <c r="AG7038">
        <v>-0.91561269999999995</v>
      </c>
      <c r="AH7038">
        <v>78.043828005764993</v>
      </c>
      <c r="AI7038">
        <v>90.665512656139299</v>
      </c>
      <c r="AJ7038">
        <v>98.068047235734497</v>
      </c>
      <c r="AK7038">
        <v>78.829339391372201</v>
      </c>
      <c r="AL7038">
        <v>78.389396546433503</v>
      </c>
      <c r="AM7038">
        <v>89.128135656673095</v>
      </c>
      <c r="AN7038">
        <v>0.99999998525120004</v>
      </c>
    </row>
    <row r="7039" spans="1:40" x14ac:dyDescent="0.25">
      <c r="A7039" t="str">
        <f>"20190303170426976"</f>
        <v>20190303170426976</v>
      </c>
      <c r="B7039" t="str">
        <f>"1551603866962716"</f>
        <v>1551603866962716</v>
      </c>
      <c r="C7039" t="s">
        <v>40</v>
      </c>
      <c r="D7039">
        <v>4.6078099999999997</v>
      </c>
      <c r="E7039">
        <v>0.48703560000000001</v>
      </c>
      <c r="F7039" t="s">
        <v>75</v>
      </c>
      <c r="G7039">
        <v>-206.27119999999999</v>
      </c>
      <c r="H7039" s="1">
        <v>-2.7372299999999998E-6</v>
      </c>
      <c r="I7039">
        <v>-63.224200000000003</v>
      </c>
      <c r="J7039">
        <v>-235.54409999999999</v>
      </c>
      <c r="K7039">
        <v>1.122193</v>
      </c>
      <c r="L7039">
        <v>-63.909759999999999</v>
      </c>
      <c r="M7039">
        <v>0.99949969999999999</v>
      </c>
      <c r="N7039">
        <v>-9.5582879999999999E-3</v>
      </c>
      <c r="O7039">
        <v>-3.0152109999999999E-2</v>
      </c>
      <c r="P7039">
        <v>0.98040349999999998</v>
      </c>
      <c r="Q7039">
        <v>0.19176109999999999</v>
      </c>
      <c r="R7039">
        <v>-4.513379E-2</v>
      </c>
      <c r="S7039">
        <v>3.0864410000000002</v>
      </c>
      <c r="T7039">
        <v>-0.1176618</v>
      </c>
      <c r="U7039">
        <v>7.1411130000000003E-2</v>
      </c>
      <c r="V7039">
        <v>1.5061959999999999E-2</v>
      </c>
      <c r="W7039">
        <v>0.2011695</v>
      </c>
      <c r="X7039">
        <v>0.97944059999999999</v>
      </c>
      <c r="Y7039">
        <v>-5.320515E-2</v>
      </c>
      <c r="Z7039">
        <v>2.1288370000000002E-3</v>
      </c>
      <c r="AA7039">
        <v>0.99858130000000001</v>
      </c>
      <c r="AB7039">
        <v>32</v>
      </c>
      <c r="AC7039">
        <v>29.2729</v>
      </c>
      <c r="AD7039">
        <v>-1.12219573723</v>
      </c>
      <c r="AE7039">
        <v>0.68555999999999495</v>
      </c>
      <c r="AF7039">
        <v>-1.56562859288916</v>
      </c>
      <c r="AG7039">
        <v>-1.12219573723</v>
      </c>
      <c r="AH7039">
        <v>29.196033391281698</v>
      </c>
      <c r="AI7039">
        <v>92.198015440549895</v>
      </c>
      <c r="AJ7039">
        <v>93.069529105517901</v>
      </c>
      <c r="AK7039">
        <v>29.259509256793201</v>
      </c>
      <c r="AL7039">
        <v>78.394642987060294</v>
      </c>
      <c r="AM7039">
        <v>89.118967785752204</v>
      </c>
      <c r="AN7039">
        <v>0.99999995964882504</v>
      </c>
    </row>
    <row r="7040" spans="1:40" x14ac:dyDescent="0.25">
      <c r="A7040" t="str">
        <f>"20190303170426987"</f>
        <v>20190303170426987</v>
      </c>
      <c r="B7040" t="str">
        <f>"1551603866972477"</f>
        <v>1551603866972477</v>
      </c>
      <c r="C7040" t="s">
        <v>40</v>
      </c>
      <c r="D7040">
        <v>4.5252160000000003</v>
      </c>
      <c r="E7040">
        <v>0.48703560000000001</v>
      </c>
      <c r="F7040" t="s">
        <v>117</v>
      </c>
      <c r="G7040">
        <v>-215.57689999999999</v>
      </c>
      <c r="H7040" s="1">
        <v>-2.3040540000000001E-6</v>
      </c>
      <c r="I7040">
        <v>-63.926049999999996</v>
      </c>
      <c r="J7040">
        <v>-235.3827</v>
      </c>
      <c r="K7040">
        <v>1.1221920000000001</v>
      </c>
      <c r="L7040">
        <v>-63.914000000000001</v>
      </c>
      <c r="M7040">
        <v>0.99951789999999996</v>
      </c>
      <c r="N7040">
        <v>-9.5599940000000005E-3</v>
      </c>
      <c r="O7040">
        <v>-2.9538910000000002E-2</v>
      </c>
      <c r="P7040">
        <v>0.98049969999999997</v>
      </c>
      <c r="Q7040">
        <v>0.1914315</v>
      </c>
      <c r="R7040">
        <v>-4.4435290000000002E-2</v>
      </c>
      <c r="S7040">
        <v>3.0938720000000002</v>
      </c>
      <c r="T7040">
        <v>-0.17388190000000001</v>
      </c>
      <c r="U7040">
        <v>-2.532959E-3</v>
      </c>
      <c r="V7040">
        <v>1.4963280000000001E-2</v>
      </c>
      <c r="W7040">
        <v>0.20084160000000001</v>
      </c>
      <c r="X7040">
        <v>0.97950950000000003</v>
      </c>
      <c r="Y7040">
        <v>-2.863692E-2</v>
      </c>
      <c r="Z7040">
        <v>2.3175119999999999E-3</v>
      </c>
      <c r="AA7040">
        <v>0.99958720000000001</v>
      </c>
      <c r="AB7040">
        <v>32</v>
      </c>
      <c r="AC7040">
        <v>19.805800000000001</v>
      </c>
      <c r="AD7040">
        <v>-1.1221943040539999</v>
      </c>
      <c r="AE7040">
        <v>-1.2050000000002101E-2</v>
      </c>
      <c r="AF7040">
        <v>-0.57119003176125005</v>
      </c>
      <c r="AG7040">
        <v>-1.1221943040539999</v>
      </c>
      <c r="AH7040">
        <v>19.734159153881699</v>
      </c>
      <c r="AI7040">
        <v>93.253292735325502</v>
      </c>
      <c r="AJ7040">
        <v>91.657919311491</v>
      </c>
      <c r="AK7040">
        <v>19.7742917855272</v>
      </c>
      <c r="AL7040">
        <v>78.413822821830706</v>
      </c>
      <c r="AM7040">
        <v>89.124800616603494</v>
      </c>
      <c r="AN7040">
        <v>1.0000000543145799</v>
      </c>
    </row>
    <row r="7041" spans="1:40" x14ac:dyDescent="0.25">
      <c r="A7041" t="str">
        <f>"20190303170426998"</f>
        <v>20190303170426998</v>
      </c>
      <c r="B7041" t="str">
        <f>"1551603866992972"</f>
        <v>1551603866992972</v>
      </c>
      <c r="C7041" t="s">
        <v>40</v>
      </c>
      <c r="D7041">
        <v>4.4748960000000002</v>
      </c>
      <c r="E7041">
        <v>0.54656919999999898</v>
      </c>
      <c r="F7041" t="s">
        <v>117</v>
      </c>
      <c r="G7041">
        <v>-215.54</v>
      </c>
      <c r="H7041" s="1">
        <v>-2.2861710000000001E-6</v>
      </c>
      <c r="I7041">
        <v>-63.91845</v>
      </c>
      <c r="J7041">
        <v>-235.2234</v>
      </c>
      <c r="K7041">
        <v>1.122196</v>
      </c>
      <c r="L7041">
        <v>-63.91818</v>
      </c>
      <c r="M7041">
        <v>0.99953559999999997</v>
      </c>
      <c r="N7041">
        <v>-9.5616759999999999E-3</v>
      </c>
      <c r="O7041">
        <v>-2.8934399999999999E-2</v>
      </c>
      <c r="P7041">
        <v>0.98061699999999996</v>
      </c>
      <c r="Q7041">
        <v>0.1910386</v>
      </c>
      <c r="R7041">
        <v>-4.3526969999999998E-2</v>
      </c>
      <c r="S7041">
        <v>3.0937809999999999</v>
      </c>
      <c r="T7041">
        <v>-0.17496689999999901</v>
      </c>
      <c r="U7041">
        <v>-7.0190429999999896E-4</v>
      </c>
      <c r="V7041">
        <v>1.464588E-2</v>
      </c>
      <c r="W7041">
        <v>0.20045109999999999</v>
      </c>
      <c r="X7041">
        <v>0.97959419999999997</v>
      </c>
      <c r="Y7041">
        <v>-2.8623550000000001E-2</v>
      </c>
      <c r="Z7041">
        <v>2.304099E-3</v>
      </c>
      <c r="AA7041">
        <v>0.99958760000000002</v>
      </c>
      <c r="AB7041">
        <v>32</v>
      </c>
      <c r="AC7041">
        <v>19.683399999999999</v>
      </c>
      <c r="AD7041">
        <v>-1.122198286171</v>
      </c>
      <c r="AE7041">
        <v>-2.6999999999333102E-4</v>
      </c>
      <c r="AF7041">
        <v>-0.56743909369180301</v>
      </c>
      <c r="AG7041">
        <v>-1.122198286171</v>
      </c>
      <c r="AH7041">
        <v>19.611420589693498</v>
      </c>
      <c r="AI7041">
        <v>93.273621950525097</v>
      </c>
      <c r="AJ7041">
        <v>91.657340263122293</v>
      </c>
      <c r="AK7041">
        <v>19.6516954399459</v>
      </c>
      <c r="AL7041">
        <v>78.436660294400099</v>
      </c>
      <c r="AM7041">
        <v>89.143436543011902</v>
      </c>
      <c r="AN7041">
        <v>0.99999997098291105</v>
      </c>
    </row>
    <row r="7042" spans="1:40" x14ac:dyDescent="0.25">
      <c r="A7042" t="str">
        <f>"20190303170427009"</f>
        <v>20190303170427009</v>
      </c>
      <c r="B7042" t="str">
        <f>"1551603867002733"</f>
        <v>1551603867002733</v>
      </c>
      <c r="C7042" t="s">
        <v>40</v>
      </c>
      <c r="D7042">
        <v>4.4870510000000001</v>
      </c>
      <c r="E7042">
        <v>0.54847579999999996</v>
      </c>
      <c r="F7042" t="s">
        <v>43</v>
      </c>
      <c r="G7042">
        <v>-234.3015</v>
      </c>
      <c r="H7042">
        <v>0.97676470000000004</v>
      </c>
      <c r="I7042">
        <v>-64.053830000000005</v>
      </c>
      <c r="J7042">
        <v>-235.0703</v>
      </c>
      <c r="K7042">
        <v>1.1221950000000001</v>
      </c>
      <c r="L7042">
        <v>-63.922060000000002</v>
      </c>
      <c r="M7042">
        <v>0.99955240000000001</v>
      </c>
      <c r="N7042">
        <v>-9.5632789999999992E-3</v>
      </c>
      <c r="O7042">
        <v>-2.8352550000000001E-2</v>
      </c>
      <c r="P7042">
        <v>0.98073469999999996</v>
      </c>
      <c r="Q7042">
        <v>0.1907392</v>
      </c>
      <c r="R7042">
        <v>-4.2172319999999999E-2</v>
      </c>
      <c r="S7042">
        <v>3.135208</v>
      </c>
      <c r="T7042">
        <v>-0.49451220000000001</v>
      </c>
      <c r="U7042">
        <v>-0.46057130000000002</v>
      </c>
      <c r="V7042">
        <v>1.3859679999999999E-2</v>
      </c>
      <c r="W7042">
        <v>0.2001521</v>
      </c>
      <c r="X7042">
        <v>0.97966679999999995</v>
      </c>
      <c r="Y7042">
        <v>0.1160436</v>
      </c>
      <c r="Z7042">
        <v>-5.4590200000000002E-3</v>
      </c>
      <c r="AA7042">
        <v>0.99322920000000003</v>
      </c>
      <c r="AB7042">
        <v>32</v>
      </c>
      <c r="AC7042">
        <v>0.76879999999999804</v>
      </c>
      <c r="AD7042">
        <v>-0.14543030000000001</v>
      </c>
      <c r="AE7042">
        <v>-0.13177000000000999</v>
      </c>
      <c r="AF7042">
        <v>0.106225929370846</v>
      </c>
      <c r="AG7042">
        <v>-0.14543030000000001</v>
      </c>
      <c r="AH7042">
        <v>0.74628451565180098</v>
      </c>
      <c r="AI7042">
        <v>100.91978802508299</v>
      </c>
      <c r="AJ7042">
        <v>81.898952943076395</v>
      </c>
      <c r="AK7042">
        <v>0.76770730003721699</v>
      </c>
      <c r="AL7042">
        <v>78.454146393332095</v>
      </c>
      <c r="AM7042">
        <v>89.189471158246505</v>
      </c>
      <c r="AN7042">
        <v>0.99999999644317605</v>
      </c>
    </row>
    <row r="7043" spans="1:40" x14ac:dyDescent="0.25">
      <c r="A7043" t="str">
        <f>"20190303170427020"</f>
        <v>20190303170427020</v>
      </c>
      <c r="B7043" t="str">
        <f>"1551603867012493"</f>
        <v>1551603867012493</v>
      </c>
      <c r="C7043" t="s">
        <v>40</v>
      </c>
      <c r="D7043">
        <v>4.4845280000000001</v>
      </c>
      <c r="E7043">
        <v>0.54976650000000005</v>
      </c>
      <c r="F7043" t="s">
        <v>43</v>
      </c>
      <c r="G7043">
        <v>-234.29390000000001</v>
      </c>
      <c r="H7043">
        <v>0.99200750000000004</v>
      </c>
      <c r="I7043">
        <v>-64.038830000000004</v>
      </c>
      <c r="J7043">
        <v>-234.91749999999999</v>
      </c>
      <c r="K7043">
        <v>1.122193</v>
      </c>
      <c r="L7043">
        <v>-63.925809999999998</v>
      </c>
      <c r="M7043">
        <v>0.99956869999999998</v>
      </c>
      <c r="N7043">
        <v>-9.5648409999999993E-3</v>
      </c>
      <c r="O7043">
        <v>-2.7772720000000001E-2</v>
      </c>
      <c r="P7043">
        <v>0.98083109999999996</v>
      </c>
      <c r="Q7043">
        <v>0.19047620000000001</v>
      </c>
      <c r="R7043">
        <v>-4.1106429999999999E-2</v>
      </c>
      <c r="S7043">
        <v>3.1410979999999999</v>
      </c>
      <c r="T7043">
        <v>-0.52673349999999997</v>
      </c>
      <c r="U7043">
        <v>-0.47167969999999998</v>
      </c>
      <c r="V7043">
        <v>1.3360810000000001E-2</v>
      </c>
      <c r="W7043">
        <v>0.1998895</v>
      </c>
      <c r="X7043">
        <v>0.97972729999999997</v>
      </c>
      <c r="Y7043">
        <v>0.119585</v>
      </c>
      <c r="Z7043">
        <v>-6.147736E-3</v>
      </c>
      <c r="AA7043">
        <v>0.99280489999999999</v>
      </c>
      <c r="AB7043">
        <v>32</v>
      </c>
      <c r="AC7043">
        <v>0.62359999999998195</v>
      </c>
      <c r="AD7043">
        <v>-0.13018549999999901</v>
      </c>
      <c r="AE7043">
        <v>-0.11302000000000501</v>
      </c>
      <c r="AF7043">
        <v>9.1783592161355801E-2</v>
      </c>
      <c r="AG7043">
        <v>-0.13018549999999901</v>
      </c>
      <c r="AH7043">
        <v>0.60113272195103296</v>
      </c>
      <c r="AI7043">
        <v>102.083811705258</v>
      </c>
      <c r="AJ7043">
        <v>81.318873317218006</v>
      </c>
      <c r="AK7043">
        <v>0.62187863896466899</v>
      </c>
      <c r="AL7043">
        <v>78.469502079637394</v>
      </c>
      <c r="AM7043">
        <v>89.218690166775701</v>
      </c>
      <c r="AN7043">
        <v>0.99999995290969701</v>
      </c>
    </row>
    <row r="7044" spans="1:40" x14ac:dyDescent="0.25">
      <c r="A7044" t="str">
        <f>"20190303170427031"</f>
        <v>20190303170427031</v>
      </c>
      <c r="B7044" t="str">
        <f>"1551603867022252"</f>
        <v>1551603867022252</v>
      </c>
      <c r="C7044" t="s">
        <v>40</v>
      </c>
      <c r="D7044">
        <v>4.4510459999999998</v>
      </c>
      <c r="E7044">
        <v>0.5503922</v>
      </c>
      <c r="F7044" t="s">
        <v>43</v>
      </c>
      <c r="G7044">
        <v>-234.0231</v>
      </c>
      <c r="H7044">
        <v>0.96617699999999995</v>
      </c>
      <c r="I7044">
        <v>-64.061880000000002</v>
      </c>
      <c r="J7044">
        <v>-234.7559</v>
      </c>
      <c r="K7044">
        <v>1.12219</v>
      </c>
      <c r="L7044">
        <v>-63.929749999999999</v>
      </c>
      <c r="M7044">
        <v>0.99958539999999996</v>
      </c>
      <c r="N7044">
        <v>-9.5664489999999994E-3</v>
      </c>
      <c r="O7044">
        <v>-2.7158680000000001E-2</v>
      </c>
      <c r="P7044">
        <v>0.98093949999999996</v>
      </c>
      <c r="Q7044">
        <v>0.1900762</v>
      </c>
      <c r="R7044">
        <v>-4.0364230000000001E-2</v>
      </c>
      <c r="S7044">
        <v>3.1451259999999999</v>
      </c>
      <c r="T7044">
        <v>-0.54866919999999897</v>
      </c>
      <c r="U7044">
        <v>-0.47857670000000002</v>
      </c>
      <c r="V7044">
        <v>1.321924E-2</v>
      </c>
      <c r="W7044">
        <v>0.1994919</v>
      </c>
      <c r="X7044">
        <v>0.97981030000000002</v>
      </c>
      <c r="Y7044">
        <v>0.1219833</v>
      </c>
      <c r="Z7044">
        <v>-6.6760119999999899E-3</v>
      </c>
      <c r="AA7044">
        <v>0.99250970000000005</v>
      </c>
      <c r="AB7044">
        <v>32</v>
      </c>
      <c r="AC7044">
        <v>0.73279999999999701</v>
      </c>
      <c r="AD7044">
        <v>-0.15601299999999901</v>
      </c>
      <c r="AE7044">
        <v>-0.132130000000003</v>
      </c>
      <c r="AF7044">
        <v>0.107461021406638</v>
      </c>
      <c r="AG7044">
        <v>-0.15601299999999901</v>
      </c>
      <c r="AH7044">
        <v>0.70516229977914102</v>
      </c>
      <c r="AI7044">
        <v>102.33739172653</v>
      </c>
      <c r="AJ7044">
        <v>81.335251650233801</v>
      </c>
      <c r="AK7044">
        <v>0.73016559513617596</v>
      </c>
      <c r="AL7044">
        <v>78.492751636298095</v>
      </c>
      <c r="AM7044">
        <v>89.227033324758494</v>
      </c>
      <c r="AN7044">
        <v>0.99999999522893801</v>
      </c>
    </row>
    <row r="7045" spans="1:40" x14ac:dyDescent="0.25">
      <c r="A7045" t="str">
        <f>"20190303170427043"</f>
        <v>20190303170427043</v>
      </c>
      <c r="B7045" t="str">
        <f>"1551603867032988"</f>
        <v>1551603867032988</v>
      </c>
      <c r="C7045" t="s">
        <v>40</v>
      </c>
      <c r="D7045">
        <v>4.4642660000000003</v>
      </c>
      <c r="E7045">
        <v>0.55106750000000004</v>
      </c>
      <c r="F7045" t="s">
        <v>43</v>
      </c>
      <c r="G7045">
        <v>-234.01220000000001</v>
      </c>
      <c r="H7045">
        <v>0.98844750000000003</v>
      </c>
      <c r="I7045">
        <v>-64.043329999999997</v>
      </c>
      <c r="J7045">
        <v>-234.59790000000001</v>
      </c>
      <c r="K7045">
        <v>1.122188</v>
      </c>
      <c r="L7045">
        <v>-63.933439999999997</v>
      </c>
      <c r="M7045">
        <v>0.99960139999999997</v>
      </c>
      <c r="N7045">
        <v>-9.5680069999999999E-3</v>
      </c>
      <c r="O7045">
        <v>-2.6559070000000001E-2</v>
      </c>
      <c r="P7045">
        <v>0.98099579999999997</v>
      </c>
      <c r="Q7045">
        <v>0.1898958</v>
      </c>
      <c r="R7045">
        <v>-3.9836160000000002E-2</v>
      </c>
      <c r="S7045">
        <v>3.148209</v>
      </c>
      <c r="T7045">
        <v>-0.56620219999999999</v>
      </c>
      <c r="U7045">
        <v>-0.48095700000000002</v>
      </c>
      <c r="V7045">
        <v>1.3278699999999999E-2</v>
      </c>
      <c r="W7045">
        <v>0.1993134</v>
      </c>
      <c r="X7045">
        <v>0.97984579999999999</v>
      </c>
      <c r="Y7045">
        <v>0.1230497</v>
      </c>
      <c r="Z7045">
        <v>-7.0539909999999999E-3</v>
      </c>
      <c r="AA7045">
        <v>0.99237540000000002</v>
      </c>
      <c r="AB7045">
        <v>32</v>
      </c>
      <c r="AC7045">
        <v>0.585700000000002</v>
      </c>
      <c r="AD7045">
        <v>-0.13374049999999901</v>
      </c>
      <c r="AE7045">
        <v>-0.109890000000007</v>
      </c>
      <c r="AF7045">
        <v>8.9773219520805705E-2</v>
      </c>
      <c r="AG7045">
        <v>-0.13374049999999901</v>
      </c>
      <c r="AH7045">
        <v>0.560196391805725</v>
      </c>
      <c r="AI7045">
        <v>103.264229161714</v>
      </c>
      <c r="AJ7045">
        <v>80.895582940047404</v>
      </c>
      <c r="AK7045">
        <v>0.58289428687844702</v>
      </c>
      <c r="AL7045">
        <v>78.503188277655099</v>
      </c>
      <c r="AM7045">
        <v>89.223585080854704</v>
      </c>
      <c r="AN7045">
        <v>0.99999997353544401</v>
      </c>
    </row>
    <row r="7046" spans="1:40" x14ac:dyDescent="0.25">
      <c r="A7046" t="str">
        <f>"20190303170427054"</f>
        <v>20190303170427054</v>
      </c>
      <c r="B7046" t="str">
        <f>"1551603867042749"</f>
        <v>1551603867042749</v>
      </c>
      <c r="C7046" t="s">
        <v>40</v>
      </c>
      <c r="D7046">
        <v>4.4674579999999997</v>
      </c>
      <c r="E7046">
        <v>0.55147789999999997</v>
      </c>
      <c r="F7046" t="s">
        <v>43</v>
      </c>
      <c r="G7046">
        <v>-233.74</v>
      </c>
      <c r="H7046">
        <v>0.96480520000000003</v>
      </c>
      <c r="I7046">
        <v>-64.065579999999997</v>
      </c>
      <c r="J7046">
        <v>-234.43780000000001</v>
      </c>
      <c r="K7046">
        <v>1.12219</v>
      </c>
      <c r="L7046">
        <v>-63.937190000000001</v>
      </c>
      <c r="M7046">
        <v>0.99961730000000004</v>
      </c>
      <c r="N7046">
        <v>-9.5695829999999996E-3</v>
      </c>
      <c r="O7046">
        <v>-2.5951220000000001E-2</v>
      </c>
      <c r="P7046">
        <v>0.98108269999999997</v>
      </c>
      <c r="Q7046">
        <v>0.1894911</v>
      </c>
      <c r="R7046">
        <v>-3.962189E-2</v>
      </c>
      <c r="S7046">
        <v>3.1503450000000002</v>
      </c>
      <c r="T7046">
        <v>-0.57795859999999899</v>
      </c>
      <c r="U7046">
        <v>-0.48428339999999998</v>
      </c>
      <c r="V7046">
        <v>1.3659370000000001E-2</v>
      </c>
      <c r="W7046">
        <v>0.19891200000000001</v>
      </c>
      <c r="X7046">
        <v>0.97992219999999997</v>
      </c>
      <c r="Y7046">
        <v>0.1244792</v>
      </c>
      <c r="Z7046">
        <v>-7.4167319999999997E-3</v>
      </c>
      <c r="AA7046">
        <v>0.99219449999999998</v>
      </c>
      <c r="AB7046">
        <v>32</v>
      </c>
      <c r="AC7046">
        <v>0.69779999999999998</v>
      </c>
      <c r="AD7046">
        <v>-0.15738479999999999</v>
      </c>
      <c r="AE7046">
        <v>-0.12839000000001</v>
      </c>
      <c r="AF7046">
        <v>0.105067376395981</v>
      </c>
      <c r="AG7046">
        <v>-0.15738479999999999</v>
      </c>
      <c r="AH7046">
        <v>0.66802706507445897</v>
      </c>
      <c r="AI7046">
        <v>103.10152977414801</v>
      </c>
      <c r="AJ7046">
        <v>81.061735052720095</v>
      </c>
      <c r="AK7046">
        <v>0.694312097349434</v>
      </c>
      <c r="AL7046">
        <v>78.526657496479103</v>
      </c>
      <c r="AM7046">
        <v>89.201392142020694</v>
      </c>
      <c r="AN7046">
        <v>1.00000004009281</v>
      </c>
    </row>
    <row r="7047" spans="1:40" x14ac:dyDescent="0.25">
      <c r="A7047" t="str">
        <f>"20190303170427066"</f>
        <v>20190303170427066</v>
      </c>
      <c r="B7047" t="str">
        <f>"1551603867052508"</f>
        <v>1551603867052508</v>
      </c>
      <c r="C7047" t="s">
        <v>40</v>
      </c>
      <c r="D7047">
        <v>4.4707619999999997</v>
      </c>
      <c r="E7047">
        <v>0.55212430000000001</v>
      </c>
      <c r="F7047" t="s">
        <v>43</v>
      </c>
      <c r="G7047">
        <v>-233.72790000000001</v>
      </c>
      <c r="H7047">
        <v>0.98951960000000005</v>
      </c>
      <c r="I7047">
        <v>-64.046930000000003</v>
      </c>
      <c r="J7047">
        <v>-234.27610000000001</v>
      </c>
      <c r="K7047">
        <v>1.1221950000000001</v>
      </c>
      <c r="L7047">
        <v>-63.940769999999901</v>
      </c>
      <c r="M7047">
        <v>0.99963329999999995</v>
      </c>
      <c r="N7047">
        <v>-9.5711560000000008E-3</v>
      </c>
      <c r="O7047">
        <v>-2.5337660000000001E-2</v>
      </c>
      <c r="P7047">
        <v>0.98120580000000002</v>
      </c>
      <c r="Q7047">
        <v>0.18894430000000001</v>
      </c>
      <c r="R7047">
        <v>-3.9184129999999998E-2</v>
      </c>
      <c r="S7047">
        <v>3.1520079999999999</v>
      </c>
      <c r="T7047">
        <v>-0.58907010000000004</v>
      </c>
      <c r="U7047">
        <v>-0.48608400000000002</v>
      </c>
      <c r="V7047">
        <v>1.38221E-2</v>
      </c>
      <c r="W7047">
        <v>0.19836799999999999</v>
      </c>
      <c r="X7047">
        <v>0.98003010000000002</v>
      </c>
      <c r="Y7047">
        <v>0.12547320000000001</v>
      </c>
      <c r="Z7047">
        <v>-7.7409330000000002E-3</v>
      </c>
      <c r="AA7047">
        <v>0.99206680000000003</v>
      </c>
      <c r="AB7047">
        <v>32</v>
      </c>
      <c r="AC7047">
        <v>0.54820000000000801</v>
      </c>
      <c r="AD7047">
        <v>-0.1326754</v>
      </c>
      <c r="AE7047">
        <v>-0.106160000000009</v>
      </c>
      <c r="AF7047">
        <v>8.7306171486177905E-2</v>
      </c>
      <c r="AG7047">
        <v>-0.1326754</v>
      </c>
      <c r="AH7047">
        <v>0.52128406298500596</v>
      </c>
      <c r="AI7047">
        <v>104.091246762944</v>
      </c>
      <c r="AJ7047">
        <v>80.492180540828301</v>
      </c>
      <c r="AK7047">
        <v>0.54494238563988495</v>
      </c>
      <c r="AL7047">
        <v>78.558459164022807</v>
      </c>
      <c r="AM7047">
        <v>89.191968195714693</v>
      </c>
      <c r="AN7047">
        <v>0.99999995538920805</v>
      </c>
    </row>
    <row r="7048" spans="1:40" x14ac:dyDescent="0.25">
      <c r="A7048" t="str">
        <f>"20190303170427077"</f>
        <v>20190303170427077</v>
      </c>
      <c r="B7048" t="str">
        <f>"1551603867073005"</f>
        <v>1551603867073005</v>
      </c>
      <c r="C7048" t="s">
        <v>40</v>
      </c>
      <c r="D7048">
        <v>4.5045999999999999</v>
      </c>
      <c r="E7048">
        <v>0.5530716</v>
      </c>
      <c r="F7048" t="s">
        <v>43</v>
      </c>
      <c r="G7048">
        <v>-233.45500000000001</v>
      </c>
      <c r="H7048">
        <v>0.9666363</v>
      </c>
      <c r="I7048">
        <v>-64.068439999999995</v>
      </c>
      <c r="J7048">
        <v>-234.11250000000001</v>
      </c>
      <c r="K7048">
        <v>1.1221939999999999</v>
      </c>
      <c r="L7048">
        <v>-63.944339999999997</v>
      </c>
      <c r="M7048">
        <v>0.9996488</v>
      </c>
      <c r="N7048">
        <v>-9.5727390000000002E-3</v>
      </c>
      <c r="O7048">
        <v>-2.4716709999999999E-2</v>
      </c>
      <c r="P7048">
        <v>0.98130980000000001</v>
      </c>
      <c r="Q7048">
        <v>0.1885686</v>
      </c>
      <c r="R7048">
        <v>-3.8383010000000002E-2</v>
      </c>
      <c r="S7048">
        <v>3.1529240000000001</v>
      </c>
      <c r="T7048">
        <v>-0.59736540000000005</v>
      </c>
      <c r="U7048">
        <v>-0.49002079999999998</v>
      </c>
      <c r="V7048">
        <v>1.3628639999999999E-2</v>
      </c>
      <c r="W7048">
        <v>0.19799410000000001</v>
      </c>
      <c r="X7048">
        <v>0.98010839999999999</v>
      </c>
      <c r="Y7048">
        <v>0.12716640000000001</v>
      </c>
      <c r="Z7048">
        <v>-8.1102080000000007E-3</v>
      </c>
      <c r="AA7048">
        <v>0.99184819999999996</v>
      </c>
      <c r="AB7048">
        <v>32</v>
      </c>
      <c r="AC7048">
        <v>0.65749999999999797</v>
      </c>
      <c r="AD7048">
        <v>-0.15555769999999999</v>
      </c>
      <c r="AE7048">
        <v>-0.124099999999991</v>
      </c>
      <c r="AF7048">
        <v>0.10228185416520599</v>
      </c>
      <c r="AG7048">
        <v>-0.15555769999999999</v>
      </c>
      <c r="AH7048">
        <v>0.62650454152968105</v>
      </c>
      <c r="AI7048">
        <v>103.769024824555</v>
      </c>
      <c r="AJ7048">
        <v>80.727808127143504</v>
      </c>
      <c r="AK7048">
        <v>0.65358068842192596</v>
      </c>
      <c r="AL7048">
        <v>78.580315386858899</v>
      </c>
      <c r="AM7048">
        <v>89.203339926256803</v>
      </c>
      <c r="AN7048">
        <v>0.999999939606808</v>
      </c>
    </row>
    <row r="7049" spans="1:40" x14ac:dyDescent="0.25">
      <c r="A7049" t="str">
        <f>"20190303170427088"</f>
        <v>20190303170427088</v>
      </c>
      <c r="B7049" t="str">
        <f>"1551603867082764"</f>
        <v>1551603867082764</v>
      </c>
      <c r="C7049" t="s">
        <v>40</v>
      </c>
      <c r="D7049">
        <v>4.4758129999999996</v>
      </c>
      <c r="E7049">
        <v>0.55345889999999998</v>
      </c>
      <c r="F7049" t="s">
        <v>43</v>
      </c>
      <c r="G7049">
        <v>-233.1815</v>
      </c>
      <c r="H7049">
        <v>0.9429921</v>
      </c>
      <c r="I7049">
        <v>-64.090729999999994</v>
      </c>
      <c r="J7049">
        <v>-233.9521</v>
      </c>
      <c r="K7049">
        <v>1.1221939999999999</v>
      </c>
      <c r="L7049">
        <v>-63.947719999999997</v>
      </c>
      <c r="M7049">
        <v>0.99966370000000004</v>
      </c>
      <c r="N7049">
        <v>-9.5742620000000001E-3</v>
      </c>
      <c r="O7049">
        <v>-2.410779E-2</v>
      </c>
      <c r="P7049">
        <v>0.98140939999999999</v>
      </c>
      <c r="Q7049">
        <v>0.18822949999999999</v>
      </c>
      <c r="R7049">
        <v>-3.7489960000000003E-2</v>
      </c>
      <c r="S7049">
        <v>3.1544340000000002</v>
      </c>
      <c r="T7049">
        <v>-0.60721359999999902</v>
      </c>
      <c r="U7049">
        <v>-0.49548340000000002</v>
      </c>
      <c r="V7049">
        <v>1.333168E-2</v>
      </c>
      <c r="W7049">
        <v>0.19765659999999999</v>
      </c>
      <c r="X7049">
        <v>0.98018070000000002</v>
      </c>
      <c r="Y7049">
        <v>0.12926650000000001</v>
      </c>
      <c r="Z7049">
        <v>-8.5425859999999996E-3</v>
      </c>
      <c r="AA7049">
        <v>0.99157309999999999</v>
      </c>
      <c r="AB7049">
        <v>32</v>
      </c>
      <c r="AC7049">
        <v>0.77060000000000095</v>
      </c>
      <c r="AD7049">
        <v>-0.1792019</v>
      </c>
      <c r="AE7049">
        <v>-0.14301000000000999</v>
      </c>
      <c r="AF7049">
        <v>0.118210287649981</v>
      </c>
      <c r="AG7049">
        <v>-0.1792019</v>
      </c>
      <c r="AH7049">
        <v>0.73537943653945204</v>
      </c>
      <c r="AI7049">
        <v>103.528106587282</v>
      </c>
      <c r="AJ7049">
        <v>80.867977391963706</v>
      </c>
      <c r="AK7049">
        <v>0.76607434936498398</v>
      </c>
      <c r="AL7049">
        <v>78.600043677931893</v>
      </c>
      <c r="AM7049">
        <v>89.220753988961704</v>
      </c>
      <c r="AN7049">
        <v>1.0000000349338301</v>
      </c>
    </row>
    <row r="7050" spans="1:40" x14ac:dyDescent="0.25">
      <c r="A7050" t="str">
        <f>"20190303170427099"</f>
        <v>20190303170427099</v>
      </c>
      <c r="B7050" t="str">
        <f>"1551603867092525"</f>
        <v>1551603867092525</v>
      </c>
      <c r="C7050" t="s">
        <v>40</v>
      </c>
      <c r="D7050">
        <v>4.497814</v>
      </c>
      <c r="E7050">
        <v>0.5536721</v>
      </c>
      <c r="F7050" t="s">
        <v>43</v>
      </c>
      <c r="G7050">
        <v>-233.16849999999999</v>
      </c>
      <c r="H7050">
        <v>0.97063670000000002</v>
      </c>
      <c r="I7050">
        <v>-64.071299999999994</v>
      </c>
      <c r="J7050">
        <v>-233.7979</v>
      </c>
      <c r="K7050">
        <v>1.1221969999999999</v>
      </c>
      <c r="L7050">
        <v>-63.950899999999997</v>
      </c>
      <c r="M7050">
        <v>0.99967760000000006</v>
      </c>
      <c r="N7050">
        <v>-9.5757040000000009E-3</v>
      </c>
      <c r="O7050">
        <v>-2.352272E-2</v>
      </c>
      <c r="P7050">
        <v>0.98148639999999998</v>
      </c>
      <c r="Q7050">
        <v>0.18805659999999999</v>
      </c>
      <c r="R7050">
        <v>-3.632958E-2</v>
      </c>
      <c r="S7050">
        <v>3.1548769999999999</v>
      </c>
      <c r="T7050">
        <v>-0.61019019999999902</v>
      </c>
      <c r="U7050">
        <v>-0.49688719999999997</v>
      </c>
      <c r="V7050">
        <v>1.274439E-2</v>
      </c>
      <c r="W7050">
        <v>0.1974842</v>
      </c>
      <c r="X7050">
        <v>0.98022319999999996</v>
      </c>
      <c r="Y7050">
        <v>0.13020989999999999</v>
      </c>
      <c r="Z7050">
        <v>-8.7787079999999997E-3</v>
      </c>
      <c r="AA7050">
        <v>0.99144759999999998</v>
      </c>
      <c r="AB7050">
        <v>32</v>
      </c>
      <c r="AC7050">
        <v>0.62940000000000396</v>
      </c>
      <c r="AD7050">
        <v>-0.15156029999999901</v>
      </c>
      <c r="AE7050">
        <v>-0.120399999999996</v>
      </c>
      <c r="AF7050">
        <v>9.9968727431545099E-2</v>
      </c>
      <c r="AG7050">
        <v>-0.15156029999999901</v>
      </c>
      <c r="AH7050">
        <v>0.59857484793404103</v>
      </c>
      <c r="AI7050">
        <v>104.022376527047</v>
      </c>
      <c r="AJ7050">
        <v>80.518469866370097</v>
      </c>
      <c r="AK7050">
        <v>0.62550469189258096</v>
      </c>
      <c r="AL7050">
        <v>78.610119400496302</v>
      </c>
      <c r="AM7050">
        <v>89.255109836774906</v>
      </c>
      <c r="AN7050">
        <v>0.99999997527217499</v>
      </c>
    </row>
    <row r="7051" spans="1:40" x14ac:dyDescent="0.25">
      <c r="A7051" t="str">
        <f>"20190303170427110"</f>
        <v>20190303170427110</v>
      </c>
      <c r="B7051" t="str">
        <f>"1551603867102285"</f>
        <v>1551603867102285</v>
      </c>
      <c r="C7051" t="s">
        <v>40</v>
      </c>
      <c r="D7051">
        <v>4.4898949999999997</v>
      </c>
      <c r="E7051">
        <v>0.55390099999999998</v>
      </c>
      <c r="F7051" t="s">
        <v>43</v>
      </c>
      <c r="G7051">
        <v>-232.8947</v>
      </c>
      <c r="H7051">
        <v>0.94706489999999999</v>
      </c>
      <c r="I7051">
        <v>-64.092939999999999</v>
      </c>
      <c r="J7051">
        <v>-233.6386</v>
      </c>
      <c r="K7051">
        <v>1.1221989999999999</v>
      </c>
      <c r="L7051">
        <v>-63.954070000000002</v>
      </c>
      <c r="M7051">
        <v>0.99969149999999996</v>
      </c>
      <c r="N7051">
        <v>-9.5771650000000003E-3</v>
      </c>
      <c r="O7051">
        <v>-2.2917969999999999E-2</v>
      </c>
      <c r="P7051">
        <v>0.98153630000000003</v>
      </c>
      <c r="Q7051">
        <v>0.18801889999999999</v>
      </c>
      <c r="R7051">
        <v>-3.5149220000000002E-2</v>
      </c>
      <c r="S7051">
        <v>3.1554410000000002</v>
      </c>
      <c r="T7051">
        <v>-0.6118422</v>
      </c>
      <c r="U7051">
        <v>-0.4960022</v>
      </c>
      <c r="V7051">
        <v>1.215682E-2</v>
      </c>
      <c r="W7051">
        <v>0.19744629999999999</v>
      </c>
      <c r="X7051">
        <v>0.98023830000000001</v>
      </c>
      <c r="Y7051">
        <v>0.1304854</v>
      </c>
      <c r="Z7051">
        <v>-8.9359980000000006E-3</v>
      </c>
      <c r="AA7051">
        <v>0.99141000000000001</v>
      </c>
      <c r="AB7051">
        <v>32</v>
      </c>
      <c r="AC7051">
        <v>0.74389999999999601</v>
      </c>
      <c r="AD7051">
        <v>-0.17513409999999899</v>
      </c>
      <c r="AE7051">
        <v>-0.13887000000000399</v>
      </c>
      <c r="AF7051">
        <v>0.115592976559137</v>
      </c>
      <c r="AG7051">
        <v>-0.17513409999999899</v>
      </c>
      <c r="AH7051">
        <v>0.708918154497852</v>
      </c>
      <c r="AI7051">
        <v>103.702727156469</v>
      </c>
      <c r="AJ7051">
        <v>80.739109682858896</v>
      </c>
      <c r="AK7051">
        <v>0.73932309512773298</v>
      </c>
      <c r="AL7051">
        <v>78.612334549175898</v>
      </c>
      <c r="AM7051">
        <v>89.289459745732103</v>
      </c>
      <c r="AN7051">
        <v>0.99999997722154499</v>
      </c>
    </row>
    <row r="7052" spans="1:40" x14ac:dyDescent="0.25">
      <c r="A7052" t="str">
        <f>"20190303170427121"</f>
        <v>20190303170427121</v>
      </c>
      <c r="B7052" t="str">
        <f>"1551603867113021"</f>
        <v>1551603867113021</v>
      </c>
      <c r="C7052" t="s">
        <v>40</v>
      </c>
      <c r="D7052">
        <v>4.4871790000000003</v>
      </c>
      <c r="E7052">
        <v>0.55412329999999999</v>
      </c>
      <c r="F7052" t="s">
        <v>43</v>
      </c>
      <c r="G7052">
        <v>-232.88140000000001</v>
      </c>
      <c r="H7052">
        <v>0.97510859999999999</v>
      </c>
      <c r="I7052">
        <v>-64.072850000000003</v>
      </c>
      <c r="J7052">
        <v>-233.48230000000001</v>
      </c>
      <c r="K7052">
        <v>1.122201</v>
      </c>
      <c r="L7052">
        <v>-63.957120000000003</v>
      </c>
      <c r="M7052">
        <v>0.99970499999999995</v>
      </c>
      <c r="N7052">
        <v>-9.5803559999999999E-3</v>
      </c>
      <c r="O7052">
        <v>-2.232516E-2</v>
      </c>
      <c r="P7052">
        <v>0.98154960000000002</v>
      </c>
      <c r="Q7052">
        <v>0.18816759999999999</v>
      </c>
      <c r="R7052">
        <v>-3.3961150000000002E-2</v>
      </c>
      <c r="S7052">
        <v>3.1561430000000001</v>
      </c>
      <c r="T7052">
        <v>-0.61307509999999998</v>
      </c>
      <c r="U7052">
        <v>-0.49478149999999999</v>
      </c>
      <c r="V7052">
        <v>1.1550049999999999E-2</v>
      </c>
      <c r="W7052">
        <v>0.19759679999999999</v>
      </c>
      <c r="X7052">
        <v>0.98021530000000001</v>
      </c>
      <c r="Y7052">
        <v>0.13064480000000001</v>
      </c>
      <c r="Z7052">
        <v>-9.0744729999999996E-3</v>
      </c>
      <c r="AA7052">
        <v>0.99138769999999998</v>
      </c>
      <c r="AB7052">
        <v>32</v>
      </c>
      <c r="AC7052">
        <v>0.60089999999999499</v>
      </c>
      <c r="AD7052">
        <v>-0.14709240000000001</v>
      </c>
      <c r="AE7052">
        <v>-0.11573000000000599</v>
      </c>
      <c r="AF7052">
        <v>9.6698363909469107E-2</v>
      </c>
      <c r="AG7052">
        <v>-0.14709240000000001</v>
      </c>
      <c r="AH7052">
        <v>0.57037897469350396</v>
      </c>
      <c r="AI7052">
        <v>104.265593684199</v>
      </c>
      <c r="AJ7052">
        <v>80.377932456234504</v>
      </c>
      <c r="AK7052">
        <v>0.59692455343447004</v>
      </c>
      <c r="AL7052">
        <v>78.603538112301706</v>
      </c>
      <c r="AM7052">
        <v>89.3249049537134</v>
      </c>
      <c r="AN7052">
        <v>0.99999996668966495</v>
      </c>
    </row>
    <row r="7053" spans="1:40" x14ac:dyDescent="0.25">
      <c r="A7053" t="str">
        <f>"20190303170427131"</f>
        <v>20190303170427131</v>
      </c>
      <c r="B7053" t="str">
        <f>"1551603867122780"</f>
        <v>1551603867122780</v>
      </c>
      <c r="C7053" t="s">
        <v>40</v>
      </c>
      <c r="D7053">
        <v>4.4827789999999998</v>
      </c>
      <c r="E7053">
        <v>0.55434910000000004</v>
      </c>
      <c r="F7053" t="s">
        <v>43</v>
      </c>
      <c r="G7053">
        <v>-232.6071</v>
      </c>
      <c r="H7053">
        <v>0.95212269999999999</v>
      </c>
      <c r="I7053">
        <v>-64.093980000000002</v>
      </c>
      <c r="J7053">
        <v>-233.32900000000001</v>
      </c>
      <c r="K7053">
        <v>1.122204</v>
      </c>
      <c r="L7053">
        <v>-63.959989999999998</v>
      </c>
      <c r="M7053">
        <v>0.99971779999999999</v>
      </c>
      <c r="N7053">
        <v>-9.5847080000000008E-3</v>
      </c>
      <c r="O7053">
        <v>-2.174367E-2</v>
      </c>
      <c r="P7053">
        <v>0.98156390000000004</v>
      </c>
      <c r="Q7053">
        <v>0.18829360000000001</v>
      </c>
      <c r="R7053">
        <v>-3.2831329999999999E-2</v>
      </c>
      <c r="S7053">
        <v>3.156952</v>
      </c>
      <c r="T7053">
        <v>-0.61350349999999998</v>
      </c>
      <c r="U7053">
        <v>-0.49270629999999999</v>
      </c>
      <c r="V7053">
        <v>1.0990349999999999E-2</v>
      </c>
      <c r="W7053">
        <v>0.19772580000000001</v>
      </c>
      <c r="X7053">
        <v>0.98019579999999995</v>
      </c>
      <c r="Y7053">
        <v>0.1305366</v>
      </c>
      <c r="Z7053">
        <v>-9.1736419999999992E-3</v>
      </c>
      <c r="AA7053">
        <v>0.99140110000000004</v>
      </c>
      <c r="AB7053">
        <v>32</v>
      </c>
      <c r="AC7053">
        <v>0.72190000000000498</v>
      </c>
      <c r="AD7053">
        <v>-0.17008129999999999</v>
      </c>
      <c r="AE7053">
        <v>-0.133989999999997</v>
      </c>
      <c r="AF7053">
        <v>0.11223816165733599</v>
      </c>
      <c r="AG7053">
        <v>-0.17008129999999999</v>
      </c>
      <c r="AH7053">
        <v>0.68773890902869494</v>
      </c>
      <c r="AI7053">
        <v>103.71634977015199</v>
      </c>
      <c r="AJ7053">
        <v>80.731110091995205</v>
      </c>
      <c r="AK7053">
        <v>0.71729342708119603</v>
      </c>
      <c r="AL7053">
        <v>78.595999079378501</v>
      </c>
      <c r="AM7053">
        <v>89.357603568459297</v>
      </c>
      <c r="AN7053">
        <v>1.0000000430581999</v>
      </c>
    </row>
    <row r="7054" spans="1:40" x14ac:dyDescent="0.25">
      <c r="A7054" t="str">
        <f>"20190303170427144"</f>
        <v>20190303170427144</v>
      </c>
      <c r="B7054" t="str">
        <f>"1551603867132541"</f>
        <v>1551603867132541</v>
      </c>
      <c r="C7054" t="s">
        <v>40</v>
      </c>
      <c r="D7054">
        <v>4.518929</v>
      </c>
      <c r="E7054">
        <v>0.5545542</v>
      </c>
      <c r="F7054" t="s">
        <v>43</v>
      </c>
      <c r="G7054">
        <v>-232.5941</v>
      </c>
      <c r="H7054">
        <v>0.97935300000000003</v>
      </c>
      <c r="I7054">
        <v>-64.074419999999904</v>
      </c>
      <c r="J7054">
        <v>-233.16079999999999</v>
      </c>
      <c r="K7054">
        <v>1.122206</v>
      </c>
      <c r="L7054">
        <v>-63.963009999999997</v>
      </c>
      <c r="M7054">
        <v>0.99973140000000005</v>
      </c>
      <c r="N7054">
        <v>-9.5902499999999998E-3</v>
      </c>
      <c r="O7054">
        <v>-2.110592E-2</v>
      </c>
      <c r="P7054">
        <v>0.98157660000000002</v>
      </c>
      <c r="Q7054">
        <v>0.18845100000000001</v>
      </c>
      <c r="R7054">
        <v>-3.1527180000000002E-2</v>
      </c>
      <c r="S7054">
        <v>3.1576840000000002</v>
      </c>
      <c r="T7054">
        <v>-0.61380840000000003</v>
      </c>
      <c r="U7054">
        <v>-0.49057010000000001</v>
      </c>
      <c r="V7054">
        <v>1.031143E-2</v>
      </c>
      <c r="W7054">
        <v>0.1978866</v>
      </c>
      <c r="X7054">
        <v>0.98017069999999995</v>
      </c>
      <c r="Y7054">
        <v>0.13046830000000001</v>
      </c>
      <c r="Z7054">
        <v>-9.2857930000000005E-3</v>
      </c>
      <c r="AA7054">
        <v>0.99140899999999998</v>
      </c>
      <c r="AB7054">
        <v>32</v>
      </c>
      <c r="AC7054">
        <v>0.56669999999999698</v>
      </c>
      <c r="AD7054">
        <v>-0.14285300000000001</v>
      </c>
      <c r="AE7054">
        <v>-0.111409999999992</v>
      </c>
      <c r="AF7054">
        <v>9.3691916701328606E-2</v>
      </c>
      <c r="AG7054">
        <v>-0.14285300000000001</v>
      </c>
      <c r="AH7054">
        <v>0.53612557075422895</v>
      </c>
      <c r="AI7054">
        <v>104.707042894664</v>
      </c>
      <c r="AJ7054">
        <v>80.087241357839702</v>
      </c>
      <c r="AK7054">
        <v>0.56268622026909099</v>
      </c>
      <c r="AL7054">
        <v>78.586599901397406</v>
      </c>
      <c r="AM7054">
        <v>89.3972686325924</v>
      </c>
      <c r="AN7054">
        <v>1.00000001659334</v>
      </c>
    </row>
    <row r="7055" spans="1:40" x14ac:dyDescent="0.25">
      <c r="A7055" t="str">
        <f>"20190303170427154"</f>
        <v>20190303170427154</v>
      </c>
      <c r="B7055" t="str">
        <f>"1551603867142302"</f>
        <v>1551603867142302</v>
      </c>
      <c r="C7055" t="s">
        <v>40</v>
      </c>
      <c r="D7055">
        <v>4.5112269999999999</v>
      </c>
      <c r="E7055">
        <v>0.55464429999999998</v>
      </c>
      <c r="F7055" t="s">
        <v>43</v>
      </c>
      <c r="G7055">
        <v>-232.3185</v>
      </c>
      <c r="H7055">
        <v>0.95842059999999996</v>
      </c>
      <c r="I7055">
        <v>-64.093249999999998</v>
      </c>
      <c r="J7055">
        <v>-233.01089999999999</v>
      </c>
      <c r="K7055">
        <v>1.1222099999999999</v>
      </c>
      <c r="L7055">
        <v>-63.965699999999998</v>
      </c>
      <c r="M7055">
        <v>0.99974320000000005</v>
      </c>
      <c r="N7055">
        <v>-9.5954009999999999E-3</v>
      </c>
      <c r="O7055">
        <v>-2.0537550000000002E-2</v>
      </c>
      <c r="P7055">
        <v>0.98162079999999996</v>
      </c>
      <c r="Q7055">
        <v>0.1883958</v>
      </c>
      <c r="R7055">
        <v>-3.045809E-2</v>
      </c>
      <c r="S7055">
        <v>3.1585540000000001</v>
      </c>
      <c r="T7055">
        <v>-0.6141797</v>
      </c>
      <c r="U7055">
        <v>-0.48794559999999998</v>
      </c>
      <c r="V7055">
        <v>9.7994910000000005E-3</v>
      </c>
      <c r="W7055">
        <v>0.19783519999999999</v>
      </c>
      <c r="X7055">
        <v>0.98018629999999995</v>
      </c>
      <c r="Y7055">
        <v>0.1301802</v>
      </c>
      <c r="Z7055">
        <v>-9.3638790000000003E-3</v>
      </c>
      <c r="AA7055">
        <v>0.9914461</v>
      </c>
      <c r="AB7055">
        <v>32</v>
      </c>
      <c r="AC7055">
        <v>0.69239999999999202</v>
      </c>
      <c r="AD7055">
        <v>-0.163789399999999</v>
      </c>
      <c r="AE7055">
        <v>-0.127549999999999</v>
      </c>
      <c r="AF7055">
        <v>0.10748506458418799</v>
      </c>
      <c r="AG7055">
        <v>-0.163789399999999</v>
      </c>
      <c r="AH7055">
        <v>0.65919733990502305</v>
      </c>
      <c r="AI7055">
        <v>103.77869884830299</v>
      </c>
      <c r="AJ7055">
        <v>80.739165700361696</v>
      </c>
      <c r="AK7055">
        <v>0.68769261999739795</v>
      </c>
      <c r="AL7055">
        <v>78.589603988296702</v>
      </c>
      <c r="AM7055">
        <v>89.427199941270203</v>
      </c>
      <c r="AN7055">
        <v>0.99999998954529401</v>
      </c>
    </row>
    <row r="7056" spans="1:40" x14ac:dyDescent="0.25">
      <c r="A7056" t="str">
        <f>"20190303170427167"</f>
        <v>20190303170427167</v>
      </c>
      <c r="B7056" t="str">
        <f>"1551603867162797"</f>
        <v>1551603867162797</v>
      </c>
      <c r="C7056" t="s">
        <v>40</v>
      </c>
      <c r="D7056">
        <v>4.5799219999999998</v>
      </c>
      <c r="E7056">
        <v>0.55526450000000005</v>
      </c>
      <c r="F7056" t="s">
        <v>43</v>
      </c>
      <c r="G7056">
        <v>-232.3057</v>
      </c>
      <c r="H7056">
        <v>0.98488640000000005</v>
      </c>
      <c r="I7056">
        <v>-64.074159999999907</v>
      </c>
      <c r="J7056">
        <v>-232.8246</v>
      </c>
      <c r="K7056">
        <v>1.1222110000000001</v>
      </c>
      <c r="L7056">
        <v>-63.96884</v>
      </c>
      <c r="M7056">
        <v>0.99975720000000001</v>
      </c>
      <c r="N7056">
        <v>-9.601409E-3</v>
      </c>
      <c r="O7056">
        <v>-1.9831129999999999E-2</v>
      </c>
      <c r="P7056">
        <v>0.98165880000000005</v>
      </c>
      <c r="Q7056">
        <v>0.18843979999999999</v>
      </c>
      <c r="R7056">
        <v>-2.892252E-2</v>
      </c>
      <c r="S7056">
        <v>3.159195</v>
      </c>
      <c r="T7056">
        <v>-0.61518660000000003</v>
      </c>
      <c r="U7056">
        <v>-0.48535159999999999</v>
      </c>
      <c r="V7056">
        <v>8.9565029999999993E-3</v>
      </c>
      <c r="W7056">
        <v>0.1978829</v>
      </c>
      <c r="X7056">
        <v>0.98018470000000002</v>
      </c>
      <c r="Y7056">
        <v>0.13003960000000001</v>
      </c>
      <c r="Z7056">
        <v>-9.4914639999999998E-3</v>
      </c>
      <c r="AA7056">
        <v>0.99146339999999999</v>
      </c>
      <c r="AB7056">
        <v>32</v>
      </c>
      <c r="AC7056">
        <v>0.51890000000000203</v>
      </c>
      <c r="AD7056">
        <v>-0.13732459999999999</v>
      </c>
      <c r="AE7056">
        <v>-0.105319999999991</v>
      </c>
      <c r="AF7056">
        <v>8.9020375917445702E-2</v>
      </c>
      <c r="AG7056">
        <v>-0.13732459999999999</v>
      </c>
      <c r="AH7056">
        <v>0.488056923110126</v>
      </c>
      <c r="AI7056">
        <v>105.47226172724901</v>
      </c>
      <c r="AJ7056">
        <v>79.663024973714201</v>
      </c>
      <c r="AK7056">
        <v>0.51476425020524397</v>
      </c>
      <c r="AL7056">
        <v>78.586815443698598</v>
      </c>
      <c r="AM7056">
        <v>89.476470567823398</v>
      </c>
      <c r="AN7056">
        <v>0.99999995358624305</v>
      </c>
    </row>
    <row r="7057" spans="1:40" x14ac:dyDescent="0.25">
      <c r="A7057" t="str">
        <f>"20190303170427177"</f>
        <v>20190303170427177</v>
      </c>
      <c r="B7057" t="str">
        <f>"1551603867172557"</f>
        <v>1551603867172557</v>
      </c>
      <c r="C7057" t="s">
        <v>40</v>
      </c>
      <c r="D7057">
        <v>4.5247169999999999</v>
      </c>
      <c r="E7057">
        <v>0.55562909999999999</v>
      </c>
      <c r="F7057" t="s">
        <v>43</v>
      </c>
      <c r="G7057">
        <v>-232.02850000000001</v>
      </c>
      <c r="H7057">
        <v>0.96680969999999999</v>
      </c>
      <c r="I7057">
        <v>-64.091399999999993</v>
      </c>
      <c r="J7057">
        <v>-232.6874</v>
      </c>
      <c r="K7057">
        <v>1.122214</v>
      </c>
      <c r="L7057">
        <v>-63.9711</v>
      </c>
      <c r="M7057">
        <v>0.99976750000000003</v>
      </c>
      <c r="N7057">
        <v>-9.6063580000000006E-3</v>
      </c>
      <c r="O7057">
        <v>-1.9311040000000002E-2</v>
      </c>
      <c r="P7057">
        <v>0.98171160000000002</v>
      </c>
      <c r="Q7057">
        <v>0.18829599999999999</v>
      </c>
      <c r="R7057">
        <v>-2.8056190000000002E-2</v>
      </c>
      <c r="S7057">
        <v>3.1601720000000002</v>
      </c>
      <c r="T7057">
        <v>-0.61694189999999904</v>
      </c>
      <c r="U7057">
        <v>-0.48590090000000002</v>
      </c>
      <c r="V7057">
        <v>8.599799E-3</v>
      </c>
      <c r="W7057">
        <v>0.19774359999999999</v>
      </c>
      <c r="X7057">
        <v>0.98021610000000003</v>
      </c>
      <c r="Y7057">
        <v>0.1306465</v>
      </c>
      <c r="Z7057">
        <v>-9.6697950000000001E-3</v>
      </c>
      <c r="AA7057">
        <v>0.99138190000000004</v>
      </c>
      <c r="AB7057">
        <v>32</v>
      </c>
      <c r="AC7057">
        <v>0.65889999999998805</v>
      </c>
      <c r="AD7057">
        <v>-0.1554043</v>
      </c>
      <c r="AE7057">
        <v>-0.120299999999993</v>
      </c>
      <c r="AF7057">
        <v>0.10205883249011199</v>
      </c>
      <c r="AG7057">
        <v>-0.1554043</v>
      </c>
      <c r="AH7057">
        <v>0.62732950319916003</v>
      </c>
      <c r="AI7057">
        <v>103.739755669879</v>
      </c>
      <c r="AJ7057">
        <v>80.759632904549804</v>
      </c>
      <c r="AK7057">
        <v>0.65430024249715801</v>
      </c>
      <c r="AL7057">
        <v>78.594958698120195</v>
      </c>
      <c r="AM7057">
        <v>89.497335795906807</v>
      </c>
      <c r="AN7057">
        <v>1.0000000452915001</v>
      </c>
    </row>
    <row r="7058" spans="1:40" x14ac:dyDescent="0.25">
      <c r="A7058" t="str">
        <f>"20190303170427188"</f>
        <v>20190303170427188</v>
      </c>
      <c r="B7058" t="str">
        <f>"1551603867182317"</f>
        <v>1551603867182317</v>
      </c>
      <c r="C7058" t="s">
        <v>40</v>
      </c>
      <c r="D7058">
        <v>4.5343830000000001</v>
      </c>
      <c r="E7058">
        <v>0.55605719999999903</v>
      </c>
      <c r="F7058" t="s">
        <v>43</v>
      </c>
      <c r="G7058">
        <v>-231.75489999999999</v>
      </c>
      <c r="H7058">
        <v>0.93945089999999998</v>
      </c>
      <c r="I7058">
        <v>-64.114789999999999</v>
      </c>
      <c r="J7058">
        <v>-232.52269999999999</v>
      </c>
      <c r="K7058">
        <v>1.1222160000000001</v>
      </c>
      <c r="L7058">
        <v>-63.973689999999998</v>
      </c>
      <c r="M7058">
        <v>0.99977919999999998</v>
      </c>
      <c r="N7058">
        <v>-9.6145769999999992E-3</v>
      </c>
      <c r="O7058">
        <v>-1.868713E-2</v>
      </c>
      <c r="P7058">
        <v>0.98172340000000002</v>
      </c>
      <c r="Q7058">
        <v>0.18844230000000001</v>
      </c>
      <c r="R7058">
        <v>-2.6624999999999999E-2</v>
      </c>
      <c r="S7058">
        <v>3.1607970000000001</v>
      </c>
      <c r="T7058">
        <v>-0.61949709999999902</v>
      </c>
      <c r="U7058">
        <v>-0.48666379999999998</v>
      </c>
      <c r="V7058">
        <v>7.780426E-3</v>
      </c>
      <c r="W7058">
        <v>0.1978955</v>
      </c>
      <c r="X7058">
        <v>0.98019219999999896</v>
      </c>
      <c r="Y7058">
        <v>0.13142679999999901</v>
      </c>
      <c r="Z7058">
        <v>-9.8981989999999999E-3</v>
      </c>
      <c r="AA7058">
        <v>0.99127639999999995</v>
      </c>
      <c r="AB7058">
        <v>32</v>
      </c>
      <c r="AC7058">
        <v>0.76779999999999404</v>
      </c>
      <c r="AD7058">
        <v>-0.18276509999999899</v>
      </c>
      <c r="AE7058">
        <v>-0.14109999999999401</v>
      </c>
      <c r="AF7058">
        <v>0.12014166648991099</v>
      </c>
      <c r="AG7058">
        <v>-0.18276509999999899</v>
      </c>
      <c r="AH7058">
        <v>0.73027584419032199</v>
      </c>
      <c r="AI7058">
        <v>103.871599979435</v>
      </c>
      <c r="AJ7058">
        <v>80.657643306680598</v>
      </c>
      <c r="AK7058">
        <v>0.76232533108435496</v>
      </c>
      <c r="AL7058">
        <v>78.586078985345694</v>
      </c>
      <c r="AM7058">
        <v>89.545215509235504</v>
      </c>
      <c r="AN7058">
        <v>0.99999995644491402</v>
      </c>
    </row>
    <row r="7059" spans="1:40" x14ac:dyDescent="0.25">
      <c r="A7059" t="str">
        <f>"20190303170427199"</f>
        <v>20190303170427199</v>
      </c>
      <c r="B7059" t="str">
        <f>"1551603867193052"</f>
        <v>1551603867193052</v>
      </c>
      <c r="C7059" t="s">
        <v>40</v>
      </c>
      <c r="D7059">
        <v>4.5234259999999997</v>
      </c>
      <c r="E7059">
        <v>0.55638240000000005</v>
      </c>
      <c r="F7059" t="s">
        <v>43</v>
      </c>
      <c r="G7059">
        <v>-231.74109999999999</v>
      </c>
      <c r="H7059">
        <v>0.96890030000000005</v>
      </c>
      <c r="I7059">
        <v>-64.094160000000002</v>
      </c>
      <c r="J7059">
        <v>-232.3648</v>
      </c>
      <c r="K7059">
        <v>1.12222</v>
      </c>
      <c r="L7059">
        <v>-63.976100000000002</v>
      </c>
      <c r="M7059">
        <v>0.99979010000000001</v>
      </c>
      <c r="N7059">
        <v>-9.6228479999999998E-3</v>
      </c>
      <c r="O7059">
        <v>-1.8088719999999999E-2</v>
      </c>
      <c r="P7059">
        <v>0.98173639999999995</v>
      </c>
      <c r="Q7059">
        <v>0.18853549999999999</v>
      </c>
      <c r="R7059">
        <v>-2.546037E-2</v>
      </c>
      <c r="S7059">
        <v>3.1617130000000002</v>
      </c>
      <c r="T7059">
        <v>-0.62022219999999995</v>
      </c>
      <c r="U7059">
        <v>-0.48684690000000003</v>
      </c>
      <c r="V7059">
        <v>7.2024580000000001E-3</v>
      </c>
      <c r="W7059">
        <v>0.19799549999999999</v>
      </c>
      <c r="X7059">
        <v>0.98017639999999995</v>
      </c>
      <c r="Y7059">
        <v>0.1320074</v>
      </c>
      <c r="Z7059">
        <v>-1.0075519999999999E-2</v>
      </c>
      <c r="AA7059">
        <v>0.99119749999999995</v>
      </c>
      <c r="AB7059">
        <v>32</v>
      </c>
      <c r="AC7059">
        <v>0.62370000000001302</v>
      </c>
      <c r="AD7059">
        <v>-0.153319699999999</v>
      </c>
      <c r="AE7059">
        <v>-0.118059999999999</v>
      </c>
      <c r="AF7059">
        <v>0.100873415421318</v>
      </c>
      <c r="AG7059">
        <v>-0.153319699999999</v>
      </c>
      <c r="AH7059">
        <v>0.59124142472593699</v>
      </c>
      <c r="AI7059">
        <v>104.339143164001</v>
      </c>
      <c r="AJ7059">
        <v>80.317827796921904</v>
      </c>
      <c r="AK7059">
        <v>0.61907091569448502</v>
      </c>
      <c r="AL7059">
        <v>78.580233490923206</v>
      </c>
      <c r="AM7059">
        <v>89.578991068964498</v>
      </c>
      <c r="AN7059">
        <v>0.99999993426922296</v>
      </c>
    </row>
    <row r="7060" spans="1:40" x14ac:dyDescent="0.25">
      <c r="A7060" t="str">
        <f>"20190303170427209"</f>
        <v>20190303170427209</v>
      </c>
      <c r="B7060" t="str">
        <f>"1551603867202812"</f>
        <v>1551603867202812</v>
      </c>
      <c r="C7060" t="s">
        <v>40</v>
      </c>
      <c r="D7060">
        <v>4.5307320000000004</v>
      </c>
      <c r="E7060">
        <v>0.55670439999999999</v>
      </c>
      <c r="F7060" t="s">
        <v>43</v>
      </c>
      <c r="G7060">
        <v>-231.46539999999999</v>
      </c>
      <c r="H7060">
        <v>0.94547709999999996</v>
      </c>
      <c r="I7060">
        <v>-64.114769999999993</v>
      </c>
      <c r="J7060">
        <v>-232.21209999999999</v>
      </c>
      <c r="K7060">
        <v>1.1222240000000001</v>
      </c>
      <c r="L7060">
        <v>-63.97833</v>
      </c>
      <c r="M7060">
        <v>0.99980029999999998</v>
      </c>
      <c r="N7060">
        <v>-9.6313600000000003E-3</v>
      </c>
      <c r="O7060">
        <v>-1.7510109999999999E-2</v>
      </c>
      <c r="P7060">
        <v>0.98161830000000005</v>
      </c>
      <c r="Q7060">
        <v>0.18925040000000001</v>
      </c>
      <c r="R7060">
        <v>-2.4688990000000001E-2</v>
      </c>
      <c r="S7060">
        <v>3.1625209999999999</v>
      </c>
      <c r="T7060">
        <v>-0.62144900000000003</v>
      </c>
      <c r="U7060">
        <v>-0.48669430000000002</v>
      </c>
      <c r="V7060">
        <v>6.9991539999999996E-3</v>
      </c>
      <c r="W7060">
        <v>0.1987167</v>
      </c>
      <c r="X7060">
        <v>0.98003200000000001</v>
      </c>
      <c r="Y7060">
        <v>0.13246949999999999</v>
      </c>
      <c r="Z7060">
        <v>-1.024533E-2</v>
      </c>
      <c r="AA7060">
        <v>0.99113419999999997</v>
      </c>
      <c r="AB7060">
        <v>32</v>
      </c>
      <c r="AC7060">
        <v>0.74670000000000403</v>
      </c>
      <c r="AD7060">
        <v>-0.17674689999999901</v>
      </c>
      <c r="AE7060">
        <v>-0.13643999999998599</v>
      </c>
      <c r="AF7060">
        <v>0.11700009905759701</v>
      </c>
      <c r="AG7060">
        <v>-0.17674689999999901</v>
      </c>
      <c r="AH7060">
        <v>0.71045486982700901</v>
      </c>
      <c r="AI7060">
        <v>103.79189036856</v>
      </c>
      <c r="AJ7060">
        <v>80.648276796414194</v>
      </c>
      <c r="AK7060">
        <v>0.74140043964109603</v>
      </c>
      <c r="AL7060">
        <v>78.538075036881693</v>
      </c>
      <c r="AM7060">
        <v>89.590814211614799</v>
      </c>
      <c r="AN7060">
        <v>1.0000000180198001</v>
      </c>
    </row>
    <row r="7061" spans="1:40" x14ac:dyDescent="0.25">
      <c r="A7061" t="str">
        <f>"20190303170427221"</f>
        <v>20190303170427221</v>
      </c>
      <c r="B7061" t="str">
        <f>"1551603867212574"</f>
        <v>1551603867212574</v>
      </c>
      <c r="C7061" t="s">
        <v>40</v>
      </c>
      <c r="D7061">
        <v>4.5058889999999998</v>
      </c>
      <c r="E7061">
        <v>0.55700079999999996</v>
      </c>
      <c r="F7061" t="s">
        <v>43</v>
      </c>
      <c r="G7061">
        <v>-231.45240000000001</v>
      </c>
      <c r="H7061">
        <v>0.97317160000000003</v>
      </c>
      <c r="I7061">
        <v>-64.095510000000004</v>
      </c>
      <c r="J7061">
        <v>-232.0523</v>
      </c>
      <c r="K7061">
        <v>1.122228</v>
      </c>
      <c r="L7061">
        <v>-63.980559999999997</v>
      </c>
      <c r="M7061">
        <v>0.99981070000000005</v>
      </c>
      <c r="N7061">
        <v>-9.6417059999999999E-3</v>
      </c>
      <c r="O7061">
        <v>-1.6905280000000002E-2</v>
      </c>
      <c r="P7061">
        <v>0.9815161</v>
      </c>
      <c r="Q7061">
        <v>0.18988479999999999</v>
      </c>
      <c r="R7061">
        <v>-2.3871150000000001E-2</v>
      </c>
      <c r="S7061">
        <v>3.163589</v>
      </c>
      <c r="T7061">
        <v>-0.62065780000000004</v>
      </c>
      <c r="U7061">
        <v>-0.4869385</v>
      </c>
      <c r="V7061">
        <v>6.7750669999999897E-3</v>
      </c>
      <c r="W7061">
        <v>0.1993597</v>
      </c>
      <c r="X7061">
        <v>0.97990299999999997</v>
      </c>
      <c r="Y7061">
        <v>0.1330781</v>
      </c>
      <c r="Z7061">
        <v>-1.040408E-2</v>
      </c>
      <c r="AA7061">
        <v>0.99105100000000002</v>
      </c>
      <c r="AB7061">
        <v>32</v>
      </c>
      <c r="AC7061">
        <v>0.599899999999991</v>
      </c>
      <c r="AD7061">
        <v>-0.14905639999999901</v>
      </c>
      <c r="AE7061">
        <v>-0.114950000000007</v>
      </c>
      <c r="AF7061">
        <v>9.8901986079950099E-2</v>
      </c>
      <c r="AG7061">
        <v>-0.14905639999999901</v>
      </c>
      <c r="AH7061">
        <v>0.56793683746944701</v>
      </c>
      <c r="AI7061">
        <v>104.496971296056</v>
      </c>
      <c r="AJ7061">
        <v>80.121428183358702</v>
      </c>
      <c r="AK7061">
        <v>0.59544241080587801</v>
      </c>
      <c r="AL7061">
        <v>78.500481934104599</v>
      </c>
      <c r="AM7061">
        <v>89.603862260163396</v>
      </c>
      <c r="AN7061">
        <v>1.0000000404629701</v>
      </c>
    </row>
    <row r="7062" spans="1:40" x14ac:dyDescent="0.25">
      <c r="A7062" t="str">
        <f>"20190303170427233"</f>
        <v>20190303170427233</v>
      </c>
      <c r="B7062" t="str">
        <f>"1551603867222333"</f>
        <v>1551603867222333</v>
      </c>
      <c r="C7062" t="s">
        <v>40</v>
      </c>
      <c r="D7062">
        <v>4.4959439999999997</v>
      </c>
      <c r="E7062">
        <v>0.55727680000000002</v>
      </c>
      <c r="F7062" t="s">
        <v>43</v>
      </c>
      <c r="G7062">
        <v>-231.17590000000001</v>
      </c>
      <c r="H7062">
        <v>0.95059139999999998</v>
      </c>
      <c r="I7062">
        <v>-64.115369999999999</v>
      </c>
      <c r="J7062">
        <v>-231.88419999999999</v>
      </c>
      <c r="K7062">
        <v>1.122234</v>
      </c>
      <c r="L7062">
        <v>-63.982849999999999</v>
      </c>
      <c r="M7062">
        <v>0.99982110000000002</v>
      </c>
      <c r="N7062">
        <v>-9.6537040000000008E-3</v>
      </c>
      <c r="O7062">
        <v>-1.6268149999999999E-2</v>
      </c>
      <c r="P7062">
        <v>0.98142560000000001</v>
      </c>
      <c r="Q7062">
        <v>0.19044949999999999</v>
      </c>
      <c r="R7062">
        <v>-2.3090679999999999E-2</v>
      </c>
      <c r="S7062">
        <v>3.1645810000000001</v>
      </c>
      <c r="T7062">
        <v>-0.61978199999999894</v>
      </c>
      <c r="U7062">
        <v>-0.48614499999999999</v>
      </c>
      <c r="V7062">
        <v>6.6193010000000002E-3</v>
      </c>
      <c r="W7062">
        <v>0.1999348</v>
      </c>
      <c r="X7062">
        <v>0.97978679999999996</v>
      </c>
      <c r="Y7062">
        <v>0.1334101</v>
      </c>
      <c r="Z7062">
        <v>-1.0539440000000001E-2</v>
      </c>
      <c r="AA7062">
        <v>0.99100489999999997</v>
      </c>
      <c r="AB7062">
        <v>32</v>
      </c>
      <c r="AC7062">
        <v>0.70829999999997995</v>
      </c>
      <c r="AD7062">
        <v>-0.17164259999999901</v>
      </c>
      <c r="AE7062">
        <v>-0.132519999999999</v>
      </c>
      <c r="AF7062">
        <v>0.11448363269393801</v>
      </c>
      <c r="AG7062">
        <v>-0.17164259999999901</v>
      </c>
      <c r="AH7062">
        <v>0.67222175962421904</v>
      </c>
      <c r="AI7062">
        <v>104.128526975154</v>
      </c>
      <c r="AJ7062">
        <v>80.334896137276701</v>
      </c>
      <c r="AK7062">
        <v>0.70317122978819402</v>
      </c>
      <c r="AL7062">
        <v>78.466853149200603</v>
      </c>
      <c r="AM7062">
        <v>89.612923708707996</v>
      </c>
      <c r="AN7062">
        <v>0.99999995642550299</v>
      </c>
    </row>
    <row r="7063" spans="1:40" x14ac:dyDescent="0.25">
      <c r="A7063" t="str">
        <f>"20190303170427244"</f>
        <v>20190303170427244</v>
      </c>
      <c r="B7063" t="str">
        <f>"1551603867233068"</f>
        <v>1551603867233068</v>
      </c>
      <c r="C7063" t="s">
        <v>40</v>
      </c>
      <c r="D7063">
        <v>4.4719829999999998</v>
      </c>
      <c r="E7063">
        <v>0.55747550000000001</v>
      </c>
      <c r="F7063" t="s">
        <v>43</v>
      </c>
      <c r="G7063">
        <v>-231.16159999999999</v>
      </c>
      <c r="H7063">
        <v>0.98086580000000001</v>
      </c>
      <c r="I7063">
        <v>-64.093760000000003</v>
      </c>
      <c r="J7063">
        <v>-231.72329999999999</v>
      </c>
      <c r="K7063">
        <v>1.122242</v>
      </c>
      <c r="L7063">
        <v>-63.984859999999998</v>
      </c>
      <c r="M7063">
        <v>0.99983080000000002</v>
      </c>
      <c r="N7063">
        <v>-9.6682269999999997E-3</v>
      </c>
      <c r="O7063">
        <v>-1.5659039999999999E-2</v>
      </c>
      <c r="P7063">
        <v>0.98134889999999997</v>
      </c>
      <c r="Q7063">
        <v>0.19094259999999999</v>
      </c>
      <c r="R7063">
        <v>-2.2259040000000001E-2</v>
      </c>
      <c r="S7063">
        <v>3.1655579999999999</v>
      </c>
      <c r="T7063">
        <v>-0.61940090000000003</v>
      </c>
      <c r="U7063">
        <v>-0.48510740000000002</v>
      </c>
      <c r="V7063">
        <v>6.3852589999999999E-3</v>
      </c>
      <c r="W7063">
        <v>0.20044029999999999</v>
      </c>
      <c r="X7063">
        <v>0.97968509999999998</v>
      </c>
      <c r="Y7063">
        <v>0.13363949999999999</v>
      </c>
      <c r="Z7063">
        <v>-1.066682E-2</v>
      </c>
      <c r="AA7063">
        <v>0.99097259999999998</v>
      </c>
      <c r="AB7063">
        <v>32</v>
      </c>
      <c r="AC7063">
        <v>0.56170000000000098</v>
      </c>
      <c r="AD7063">
        <v>-0.14137619999999901</v>
      </c>
      <c r="AE7063">
        <v>-0.10890000000000501</v>
      </c>
      <c r="AF7063">
        <v>9.4331193851474995E-2</v>
      </c>
      <c r="AG7063">
        <v>-0.14137619999999901</v>
      </c>
      <c r="AH7063">
        <v>0.53092124943369901</v>
      </c>
      <c r="AI7063">
        <v>104.691073934442</v>
      </c>
      <c r="AJ7063">
        <v>79.925135453120703</v>
      </c>
      <c r="AK7063">
        <v>0.55746118892719798</v>
      </c>
      <c r="AL7063">
        <v>78.437292133741806</v>
      </c>
      <c r="AM7063">
        <v>89.626570607716204</v>
      </c>
      <c r="AN7063">
        <v>0.99999999027929798</v>
      </c>
    </row>
    <row r="7064" spans="1:40" x14ac:dyDescent="0.25">
      <c r="A7064" t="str">
        <f>"20190303170427256"</f>
        <v>20190303170427256</v>
      </c>
      <c r="B7064" t="str">
        <f>"1551603867242830"</f>
        <v>1551603867242830</v>
      </c>
      <c r="C7064" t="s">
        <v>40</v>
      </c>
      <c r="D7064">
        <v>4.4741369999999998</v>
      </c>
      <c r="E7064">
        <v>0.55770120000000001</v>
      </c>
      <c r="F7064" t="s">
        <v>43</v>
      </c>
      <c r="G7064">
        <v>-230.88499999999999</v>
      </c>
      <c r="H7064">
        <v>0.95832240000000002</v>
      </c>
      <c r="I7064">
        <v>-64.112979999999993</v>
      </c>
      <c r="J7064">
        <v>-231.56280000000001</v>
      </c>
      <c r="K7064">
        <v>1.122247</v>
      </c>
      <c r="L7064">
        <v>-63.986820000000002</v>
      </c>
      <c r="M7064">
        <v>0.99983979999999995</v>
      </c>
      <c r="N7064">
        <v>-9.6833240000000001E-3</v>
      </c>
      <c r="O7064">
        <v>-1.5051490000000001E-2</v>
      </c>
      <c r="P7064">
        <v>0.98133060000000005</v>
      </c>
      <c r="Q7064">
        <v>0.19114990000000001</v>
      </c>
      <c r="R7064">
        <v>-2.1261229999999999E-2</v>
      </c>
      <c r="S7064">
        <v>3.1665190000000001</v>
      </c>
      <c r="T7064">
        <v>-0.61921250000000005</v>
      </c>
      <c r="U7064">
        <v>-0.48333739999999997</v>
      </c>
      <c r="V7064">
        <v>5.9830419999999896E-3</v>
      </c>
      <c r="W7064">
        <v>0.20066129999999999</v>
      </c>
      <c r="X7064">
        <v>0.97964240000000002</v>
      </c>
      <c r="Y7064">
        <v>0.13364709999999999</v>
      </c>
      <c r="Z7064">
        <v>-1.0774529999999999E-2</v>
      </c>
      <c r="AA7064">
        <v>0.99097040000000003</v>
      </c>
      <c r="AB7064">
        <v>32</v>
      </c>
      <c r="AC7064">
        <v>0.67780000000001905</v>
      </c>
      <c r="AD7064">
        <v>-0.163924599999999</v>
      </c>
      <c r="AE7064">
        <v>-0.12616000000001201</v>
      </c>
      <c r="AF7064">
        <v>0.109739541034882</v>
      </c>
      <c r="AG7064">
        <v>-0.163924599999999</v>
      </c>
      <c r="AH7064">
        <v>0.64325760509836405</v>
      </c>
      <c r="AI7064">
        <v>104.101243761674</v>
      </c>
      <c r="AJ7064">
        <v>80.318563998770799</v>
      </c>
      <c r="AK7064">
        <v>0.67282567420438799</v>
      </c>
      <c r="AL7064">
        <v>78.424367205686195</v>
      </c>
      <c r="AM7064">
        <v>89.650077627143304</v>
      </c>
      <c r="AN7064">
        <v>0.99999999299351106</v>
      </c>
    </row>
    <row r="7065" spans="1:40" x14ac:dyDescent="0.25">
      <c r="A7065" t="str">
        <f>"20190303170427268"</f>
        <v>20190303170427268</v>
      </c>
      <c r="B7065" t="str">
        <f>"1551603867262349"</f>
        <v>1551603867262349</v>
      </c>
      <c r="C7065" t="s">
        <v>40</v>
      </c>
      <c r="D7065">
        <v>4.4366989999999999</v>
      </c>
      <c r="E7065">
        <v>0.55809529999999996</v>
      </c>
      <c r="F7065" t="s">
        <v>43</v>
      </c>
      <c r="G7065">
        <v>-230.60769999999999</v>
      </c>
      <c r="H7065">
        <v>0.9354304</v>
      </c>
      <c r="I7065">
        <v>-64.132099999999994</v>
      </c>
      <c r="J7065">
        <v>-231.37979999999999</v>
      </c>
      <c r="K7065">
        <v>1.1222490000000001</v>
      </c>
      <c r="L7065">
        <v>-63.988919999999901</v>
      </c>
      <c r="M7065">
        <v>0.99984980000000001</v>
      </c>
      <c r="N7065">
        <v>-9.7009290000000005E-3</v>
      </c>
      <c r="O7065">
        <v>-1.435871E-2</v>
      </c>
      <c r="P7065">
        <v>0.98137940000000001</v>
      </c>
      <c r="Q7065">
        <v>0.1910453</v>
      </c>
      <c r="R7065">
        <v>-1.9902880000000001E-2</v>
      </c>
      <c r="S7065">
        <v>3.167313</v>
      </c>
      <c r="T7065">
        <v>-0.61955799999999905</v>
      </c>
      <c r="U7065">
        <v>-0.48162840000000001</v>
      </c>
      <c r="V7065">
        <v>5.3037140000000002E-3</v>
      </c>
      <c r="W7065">
        <v>0.20057249999999999</v>
      </c>
      <c r="X7065">
        <v>0.97966450000000005</v>
      </c>
      <c r="Y7065">
        <v>0.13375819999999999</v>
      </c>
      <c r="Z7065">
        <v>-1.0917430000000001E-2</v>
      </c>
      <c r="AA7065">
        <v>0.99095390000000005</v>
      </c>
      <c r="AB7065">
        <v>32</v>
      </c>
      <c r="AC7065">
        <v>0.77209999999999401</v>
      </c>
      <c r="AD7065">
        <v>-0.1868186</v>
      </c>
      <c r="AE7065">
        <v>-0.14318</v>
      </c>
      <c r="AF7065">
        <v>0.12500328604204999</v>
      </c>
      <c r="AG7065">
        <v>-0.1868186</v>
      </c>
      <c r="AH7065">
        <v>0.73261125688447704</v>
      </c>
      <c r="AI7065">
        <v>104.110141920114</v>
      </c>
      <c r="AJ7065">
        <v>80.317040997701696</v>
      </c>
      <c r="AK7065">
        <v>0.76631994919949897</v>
      </c>
      <c r="AL7065">
        <v>78.429560676730702</v>
      </c>
      <c r="AM7065">
        <v>89.689814769080897</v>
      </c>
      <c r="AN7065">
        <v>0.99999999484934599</v>
      </c>
    </row>
    <row r="7066" spans="1:40" x14ac:dyDescent="0.25">
      <c r="A7066" t="str">
        <f>"20190303170427278"</f>
        <v>20190303170427278</v>
      </c>
      <c r="B7066" t="str">
        <f>"1551603867273086"</f>
        <v>1551603867273086</v>
      </c>
      <c r="C7066" t="s">
        <v>40</v>
      </c>
      <c r="D7066">
        <v>4.4186699999999997</v>
      </c>
      <c r="E7066">
        <v>0.55829469999999903</v>
      </c>
      <c r="F7066" t="s">
        <v>43</v>
      </c>
      <c r="G7066">
        <v>-230.59280000000001</v>
      </c>
      <c r="H7066">
        <v>0.96779599999999999</v>
      </c>
      <c r="I7066">
        <v>-64.108440000000002</v>
      </c>
      <c r="J7066">
        <v>-231.22540000000001</v>
      </c>
      <c r="K7066">
        <v>1.1222529999999999</v>
      </c>
      <c r="L7066">
        <v>-63.990600000000001</v>
      </c>
      <c r="M7066">
        <v>0.99985809999999997</v>
      </c>
      <c r="N7066">
        <v>-9.7154240000000003E-3</v>
      </c>
      <c r="O7066">
        <v>-1.3774389999999999E-2</v>
      </c>
      <c r="P7066">
        <v>0.98142879999999999</v>
      </c>
      <c r="Q7066">
        <v>0.19090560000000001</v>
      </c>
      <c r="R7066">
        <v>-1.8782199999999999E-2</v>
      </c>
      <c r="S7066">
        <v>3.1681979999999998</v>
      </c>
      <c r="T7066">
        <v>-0.62183750000000004</v>
      </c>
      <c r="U7066">
        <v>-0.48098750000000001</v>
      </c>
      <c r="V7066">
        <v>4.7557299999999997E-3</v>
      </c>
      <c r="W7066">
        <v>0.2004455</v>
      </c>
      <c r="X7066">
        <v>0.97969329999999999</v>
      </c>
      <c r="Y7066">
        <v>0.1340683</v>
      </c>
      <c r="Z7066">
        <v>-1.10914E-2</v>
      </c>
      <c r="AA7066">
        <v>0.99090999999999996</v>
      </c>
      <c r="AB7066">
        <v>32</v>
      </c>
      <c r="AC7066">
        <v>0.63259999999999605</v>
      </c>
      <c r="AD7066">
        <v>-0.15445700000000001</v>
      </c>
      <c r="AE7066">
        <v>-0.117840000000001</v>
      </c>
      <c r="AF7066">
        <v>0.103170469638576</v>
      </c>
      <c r="AG7066">
        <v>-0.15445700000000001</v>
      </c>
      <c r="AH7066">
        <v>0.59961581658221197</v>
      </c>
      <c r="AI7066">
        <v>104.244360798575</v>
      </c>
      <c r="AJ7066">
        <v>80.237226691597002</v>
      </c>
      <c r="AK7066">
        <v>0.62772624459233595</v>
      </c>
      <c r="AL7066">
        <v>78.436988005983494</v>
      </c>
      <c r="AM7066">
        <v>89.721871000604196</v>
      </c>
      <c r="AN7066">
        <v>0.99999998875148599</v>
      </c>
    </row>
    <row r="7067" spans="1:40" x14ac:dyDescent="0.25">
      <c r="A7067" t="str">
        <f>"20190303170427289"</f>
        <v>20190303170427289</v>
      </c>
      <c r="B7067" t="str">
        <f>"1551603867282846"</f>
        <v>1551603867282846</v>
      </c>
      <c r="C7067" t="s">
        <v>40</v>
      </c>
      <c r="D7067">
        <v>4.4374459999999996</v>
      </c>
      <c r="E7067">
        <v>0.55844629999999995</v>
      </c>
      <c r="F7067" t="s">
        <v>43</v>
      </c>
      <c r="G7067">
        <v>-230.31610000000001</v>
      </c>
      <c r="H7067">
        <v>0.94349059999999996</v>
      </c>
      <c r="I7067">
        <v>-64.128349999999998</v>
      </c>
      <c r="J7067">
        <v>-231.071</v>
      </c>
      <c r="K7067">
        <v>1.12226</v>
      </c>
      <c r="L7067">
        <v>-63.992220000000003</v>
      </c>
      <c r="M7067">
        <v>0.99986580000000003</v>
      </c>
      <c r="N7067">
        <v>-9.7293099999999997E-3</v>
      </c>
      <c r="O7067">
        <v>-1.319008E-2</v>
      </c>
      <c r="P7067">
        <v>0.98155239999999999</v>
      </c>
      <c r="Q7067">
        <v>0.19041520000000001</v>
      </c>
      <c r="R7067">
        <v>-1.7244200000000001E-2</v>
      </c>
      <c r="S7067">
        <v>3.168777</v>
      </c>
      <c r="T7067">
        <v>-0.62296839999999998</v>
      </c>
      <c r="U7067">
        <v>-0.47924800000000001</v>
      </c>
      <c r="V7067">
        <v>3.7903139999999999E-3</v>
      </c>
      <c r="W7067">
        <v>0.19996749999999999</v>
      </c>
      <c r="X7067">
        <v>0.97979519999999998</v>
      </c>
      <c r="Y7067">
        <v>0.13407060000000001</v>
      </c>
      <c r="Z7067">
        <v>-1.121722E-2</v>
      </c>
      <c r="AA7067">
        <v>0.99090829999999996</v>
      </c>
      <c r="AB7067">
        <v>32</v>
      </c>
      <c r="AC7067">
        <v>0.75489999999999202</v>
      </c>
      <c r="AD7067">
        <v>-0.17876939999999999</v>
      </c>
      <c r="AE7067">
        <v>-0.136130000000001</v>
      </c>
      <c r="AF7067">
        <v>0.11966124512126999</v>
      </c>
      <c r="AG7067">
        <v>-0.17876939999999999</v>
      </c>
      <c r="AH7067">
        <v>0.71765162785578096</v>
      </c>
      <c r="AI7067">
        <v>103.804728855166</v>
      </c>
      <c r="AJ7067">
        <v>80.533588723362598</v>
      </c>
      <c r="AK7067">
        <v>0.74920035432745502</v>
      </c>
      <c r="AL7067">
        <v>78.464941480354099</v>
      </c>
      <c r="AM7067">
        <v>89.778353770338796</v>
      </c>
      <c r="AN7067">
        <v>1.00000000073975</v>
      </c>
    </row>
    <row r="7068" spans="1:40" x14ac:dyDescent="0.25">
      <c r="A7068" t="str">
        <f>"20190303170427300"</f>
        <v>20190303170427300</v>
      </c>
      <c r="B7068" t="str">
        <f>"1551603867292605"</f>
        <v>1551603867292605</v>
      </c>
      <c r="C7068" t="s">
        <v>40</v>
      </c>
      <c r="D7068">
        <v>4.5635659999999998</v>
      </c>
      <c r="E7068">
        <v>0.55844629999999995</v>
      </c>
      <c r="F7068" t="s">
        <v>43</v>
      </c>
      <c r="G7068">
        <v>-230.30330000000001</v>
      </c>
      <c r="H7068">
        <v>0.97092520000000004</v>
      </c>
      <c r="I7068">
        <v>-64.107789999999994</v>
      </c>
      <c r="J7068">
        <v>-230.92099999999999</v>
      </c>
      <c r="K7068">
        <v>1.1222650000000001</v>
      </c>
      <c r="L7068">
        <v>-63.993650000000002</v>
      </c>
      <c r="M7068">
        <v>0.99987300000000001</v>
      </c>
      <c r="N7068">
        <v>-9.7439050000000006E-3</v>
      </c>
      <c r="O7068">
        <v>-1.262222E-2</v>
      </c>
      <c r="P7068">
        <v>0.98159739999999995</v>
      </c>
      <c r="Q7068">
        <v>0.1903125</v>
      </c>
      <c r="R7068">
        <v>-1.574623E-2</v>
      </c>
      <c r="S7068">
        <v>3.1692049999999998</v>
      </c>
      <c r="T7068">
        <v>-0.62479459999999998</v>
      </c>
      <c r="U7068">
        <v>-0.47619630000000002</v>
      </c>
      <c r="V7068">
        <v>2.8491879999999999E-3</v>
      </c>
      <c r="W7068">
        <v>0.1998769</v>
      </c>
      <c r="X7068">
        <v>0.97981689999999999</v>
      </c>
      <c r="Y7068">
        <v>0.13366520000000001</v>
      </c>
      <c r="Z7068">
        <v>-1.1311140000000001E-2</v>
      </c>
      <c r="AA7068">
        <v>0.99096200000000001</v>
      </c>
      <c r="AB7068">
        <v>32</v>
      </c>
      <c r="AC7068">
        <v>0.61769999999998404</v>
      </c>
      <c r="AD7068">
        <v>-0.1513398</v>
      </c>
      <c r="AE7068">
        <v>-0.114140000000006</v>
      </c>
      <c r="AF7068">
        <v>0.100500190303943</v>
      </c>
      <c r="AG7068">
        <v>-0.1513398</v>
      </c>
      <c r="AH7068">
        <v>0.58512743676908296</v>
      </c>
      <c r="AI7068">
        <v>104.300788568394</v>
      </c>
      <c r="AJ7068">
        <v>80.254098615337497</v>
      </c>
      <c r="AK7068">
        <v>0.61268110838765499</v>
      </c>
      <c r="AL7068">
        <v>78.470239721038396</v>
      </c>
      <c r="AM7068">
        <v>89.833391333301407</v>
      </c>
      <c r="AN7068">
        <v>1.00000002527573</v>
      </c>
    </row>
    <row r="7069" spans="1:40" x14ac:dyDescent="0.25">
      <c r="A7069" t="str">
        <f>"20190303170427310"</f>
        <v>20190303170427310</v>
      </c>
      <c r="B7069" t="str">
        <f>"1551603867302365"</f>
        <v>1551603867302365</v>
      </c>
      <c r="C7069" t="s">
        <v>40</v>
      </c>
      <c r="D7069">
        <v>4.5636060000000001</v>
      </c>
      <c r="E7069">
        <v>0.50631329999999997</v>
      </c>
      <c r="F7069" t="s">
        <v>43</v>
      </c>
      <c r="G7069">
        <v>-230.02670000000001</v>
      </c>
      <c r="H7069">
        <v>0.94592980000000004</v>
      </c>
      <c r="I7069">
        <v>-64.12679</v>
      </c>
      <c r="J7069">
        <v>-230.76730000000001</v>
      </c>
      <c r="K7069">
        <v>1.1222700000000001</v>
      </c>
      <c r="L7069">
        <v>-63.995089999999998</v>
      </c>
      <c r="M7069">
        <v>0.99988010000000005</v>
      </c>
      <c r="N7069">
        <v>-9.7599959999999999E-3</v>
      </c>
      <c r="O7069">
        <v>-1.2041140000000001E-2</v>
      </c>
      <c r="P7069">
        <v>0.98149569999999997</v>
      </c>
      <c r="Q7069">
        <v>0.1909623</v>
      </c>
      <c r="R7069">
        <v>-1.4144840000000001E-2</v>
      </c>
      <c r="S7069">
        <v>3.1698759999999999</v>
      </c>
      <c r="T7069">
        <v>-0.62507699999999999</v>
      </c>
      <c r="U7069">
        <v>-0.4713135</v>
      </c>
      <c r="V7069">
        <v>1.8173250000000001E-3</v>
      </c>
      <c r="W7069">
        <v>0.20053889999999999</v>
      </c>
      <c r="X7069">
        <v>0.97968409999999995</v>
      </c>
      <c r="Y7069">
        <v>0.1327236</v>
      </c>
      <c r="Z7069">
        <v>-1.1327139999999999E-2</v>
      </c>
      <c r="AA7069">
        <v>0.99108839999999998</v>
      </c>
      <c r="AB7069">
        <v>32</v>
      </c>
      <c r="AC7069">
        <v>0.74060000000000004</v>
      </c>
      <c r="AD7069">
        <v>-0.1763402</v>
      </c>
      <c r="AE7069">
        <v>-0.13169999999999499</v>
      </c>
      <c r="AF7069">
        <v>0.116376771910555</v>
      </c>
      <c r="AG7069">
        <v>-0.1763402</v>
      </c>
      <c r="AH7069">
        <v>0.70347225743930597</v>
      </c>
      <c r="AI7069">
        <v>103.891083801859</v>
      </c>
      <c r="AJ7069">
        <v>80.606524817439194</v>
      </c>
      <c r="AK7069">
        <v>0.734515238891008</v>
      </c>
      <c r="AL7069">
        <v>78.431526322097596</v>
      </c>
      <c r="AM7069">
        <v>89.893715807911803</v>
      </c>
      <c r="AN7069">
        <v>1.0000000444380801</v>
      </c>
    </row>
    <row r="7070" spans="1:40" x14ac:dyDescent="0.25">
      <c r="A7070" t="str">
        <f>"20190303170427321"</f>
        <v>20190303170427321</v>
      </c>
      <c r="B7070" t="str">
        <f>"1551603867312125"</f>
        <v>1551603867312125</v>
      </c>
      <c r="C7070" t="s">
        <v>40</v>
      </c>
      <c r="D7070">
        <v>4.4937100000000001</v>
      </c>
      <c r="E7070">
        <v>0.50631329999999997</v>
      </c>
      <c r="F7070" t="s">
        <v>43</v>
      </c>
      <c r="G7070">
        <v>-230.001</v>
      </c>
      <c r="H7070">
        <v>0.99641369999999896</v>
      </c>
      <c r="I7070">
        <v>-64.008229999999998</v>
      </c>
      <c r="J7070">
        <v>-230.60730000000001</v>
      </c>
      <c r="K7070">
        <v>1.122279</v>
      </c>
      <c r="L7070">
        <v>-63.996429999999997</v>
      </c>
      <c r="M7070">
        <v>0.99988690000000002</v>
      </c>
      <c r="N7070">
        <v>-9.7788849999999993E-3</v>
      </c>
      <c r="O7070">
        <v>-1.1435860000000001E-2</v>
      </c>
      <c r="P7070">
        <v>0.98133199999999998</v>
      </c>
      <c r="Q7070">
        <v>0.19193260000000001</v>
      </c>
      <c r="R7070">
        <v>-1.2251690000000001E-2</v>
      </c>
      <c r="S7070">
        <v>3.156647</v>
      </c>
      <c r="T7070">
        <v>-0.5184107</v>
      </c>
      <c r="U7070">
        <v>-5.3466800000000002E-2</v>
      </c>
      <c r="V7070">
        <v>5.1724029999999997E-4</v>
      </c>
      <c r="W7070">
        <v>0.2015226</v>
      </c>
      <c r="X7070">
        <v>0.97948369999999996</v>
      </c>
      <c r="Y7070">
        <v>5.5560840000000002E-3</v>
      </c>
      <c r="Z7070">
        <v>1.2737340000000001E-3</v>
      </c>
      <c r="AA7070">
        <v>0.99998370000000003</v>
      </c>
      <c r="AB7070">
        <v>32</v>
      </c>
      <c r="AC7070">
        <v>0.60630000000003204</v>
      </c>
      <c r="AD7070">
        <v>-0.12586530000000001</v>
      </c>
      <c r="AE7070">
        <v>-1.1800000000008E-2</v>
      </c>
      <c r="AF7070">
        <v>4.6643949824010603E-3</v>
      </c>
      <c r="AG7070">
        <v>-0.12586530000000001</v>
      </c>
      <c r="AH7070">
        <v>0.58135089118666095</v>
      </c>
      <c r="AI7070">
        <v>102.21588648858901</v>
      </c>
      <c r="AJ7070">
        <v>89.540304459755305</v>
      </c>
      <c r="AK7070">
        <v>0.59483837217194302</v>
      </c>
      <c r="AL7070">
        <v>78.3739890012789</v>
      </c>
      <c r="AM7070">
        <v>89.969743566504107</v>
      </c>
      <c r="AN7070">
        <v>0.999999972206988</v>
      </c>
    </row>
    <row r="7071" spans="1:40" x14ac:dyDescent="0.25">
      <c r="A7071" t="str">
        <f>"20190303170427332"</f>
        <v>20190303170427332</v>
      </c>
      <c r="B7071" t="str">
        <f>"1551603867322861"</f>
        <v>1551603867322861</v>
      </c>
      <c r="C7071" t="s">
        <v>40</v>
      </c>
      <c r="D7071">
        <v>4.4561630000000001</v>
      </c>
      <c r="E7071">
        <v>0.453233</v>
      </c>
      <c r="F7071" t="s">
        <v>43</v>
      </c>
      <c r="G7071">
        <v>-229.72139999999999</v>
      </c>
      <c r="H7071">
        <v>0.97771640000000004</v>
      </c>
      <c r="I7071">
        <v>-64.009450000000001</v>
      </c>
      <c r="J7071">
        <v>-230.4442</v>
      </c>
      <c r="K7071">
        <v>1.12229</v>
      </c>
      <c r="L7071">
        <v>-63.99774</v>
      </c>
      <c r="M7071">
        <v>0.99989349999999999</v>
      </c>
      <c r="N7071">
        <v>-9.7994540000000008E-3</v>
      </c>
      <c r="O7071">
        <v>-1.0818670000000001E-2</v>
      </c>
      <c r="P7071">
        <v>0.98117200000000004</v>
      </c>
      <c r="Q7071">
        <v>0.19286980000000001</v>
      </c>
      <c r="R7071">
        <v>-1.0138940000000001E-2</v>
      </c>
      <c r="S7071">
        <v>3.1572719999999999</v>
      </c>
      <c r="T7071">
        <v>-0.51526890000000003</v>
      </c>
      <c r="U7071">
        <v>-4.58374E-2</v>
      </c>
      <c r="V7071">
        <v>-9.9071909999999997E-4</v>
      </c>
      <c r="W7071">
        <v>0.20247390000000001</v>
      </c>
      <c r="X7071">
        <v>0.97928709999999997</v>
      </c>
      <c r="Y7071">
        <v>3.7711099999999998E-3</v>
      </c>
      <c r="Z7071">
        <v>1.324205E-3</v>
      </c>
      <c r="AA7071">
        <v>0.99999199999999999</v>
      </c>
      <c r="AB7071">
        <v>32</v>
      </c>
      <c r="AC7071">
        <v>0.72280000000000599</v>
      </c>
      <c r="AD7071">
        <v>-0.144573599999999</v>
      </c>
      <c r="AE7071">
        <v>-1.1710000000000701E-2</v>
      </c>
      <c r="AF7071">
        <v>3.7396306731641701E-3</v>
      </c>
      <c r="AG7071">
        <v>-0.144573599999999</v>
      </c>
      <c r="AH7071">
        <v>0.69508312803995398</v>
      </c>
      <c r="AI7071">
        <v>101.749526647799</v>
      </c>
      <c r="AJ7071">
        <v>89.691744802092899</v>
      </c>
      <c r="AK7071">
        <v>0.70996905956551304</v>
      </c>
      <c r="AL7071">
        <v>78.318335944325796</v>
      </c>
      <c r="AM7071">
        <v>90.0579646191064</v>
      </c>
      <c r="AN7071">
        <v>0.99999994296597505</v>
      </c>
    </row>
    <row r="7072" spans="1:40" x14ac:dyDescent="0.25">
      <c r="A7072" t="str">
        <f>"20190303170427344"</f>
        <v>20190303170427344</v>
      </c>
      <c r="B7072" t="str">
        <f>"1551603867332621"</f>
        <v>1551603867332621</v>
      </c>
      <c r="C7072" t="s">
        <v>40</v>
      </c>
      <c r="D7072">
        <v>4.448785</v>
      </c>
      <c r="E7072">
        <v>0.44357419999999997</v>
      </c>
      <c r="F7072" t="s">
        <v>75</v>
      </c>
      <c r="G7072">
        <v>-206.30709999999999</v>
      </c>
      <c r="H7072" s="1">
        <v>-2.4174240000000002E-6</v>
      </c>
      <c r="I7072">
        <v>-61.091259999999998</v>
      </c>
      <c r="J7072">
        <v>-230.28389999999999</v>
      </c>
      <c r="K7072">
        <v>1.1223019999999999</v>
      </c>
      <c r="L7072">
        <v>-63.998869999999997</v>
      </c>
      <c r="M7072">
        <v>0.99989969999999995</v>
      </c>
      <c r="N7072">
        <v>-9.8219680000000004E-3</v>
      </c>
      <c r="O7072">
        <v>-1.021246E-2</v>
      </c>
      <c r="P7072">
        <v>0.98098370000000001</v>
      </c>
      <c r="Q7072">
        <v>0.1939138</v>
      </c>
      <c r="R7072">
        <v>-8.2804130000000004E-3</v>
      </c>
      <c r="S7072">
        <v>3.0896300000000001</v>
      </c>
      <c r="T7072">
        <v>-0.14365720000000001</v>
      </c>
      <c r="U7072">
        <v>0.37203979999999998</v>
      </c>
      <c r="V7072">
        <v>-2.255675E-3</v>
      </c>
      <c r="W7072">
        <v>0.20353470000000001</v>
      </c>
      <c r="X7072">
        <v>0.97906510000000002</v>
      </c>
      <c r="Y7072">
        <v>-0.1295113</v>
      </c>
      <c r="Z7072">
        <v>4.0102760000000001E-3</v>
      </c>
      <c r="AA7072">
        <v>0.99156979999999995</v>
      </c>
      <c r="AB7072">
        <v>32</v>
      </c>
      <c r="AC7072">
        <v>23.976800000000001</v>
      </c>
      <c r="AD7072">
        <v>-1.122304417424</v>
      </c>
      <c r="AE7072">
        <v>2.9076099999999898</v>
      </c>
      <c r="AF7072">
        <v>-3.1455403166889102</v>
      </c>
      <c r="AG7072">
        <v>-1.122304417424</v>
      </c>
      <c r="AH7072">
        <v>23.894261058123199</v>
      </c>
      <c r="AI7072">
        <v>92.666214568434995</v>
      </c>
      <c r="AJ7072">
        <v>97.499531350986899</v>
      </c>
      <c r="AK7072">
        <v>24.126535238260502</v>
      </c>
      <c r="AL7072">
        <v>78.256264380673301</v>
      </c>
      <c r="AM7072">
        <v>90.132003917599107</v>
      </c>
      <c r="AN7072">
        <v>0.99999996610590203</v>
      </c>
    </row>
    <row r="7073" spans="1:40" x14ac:dyDescent="0.25">
      <c r="A7073" t="str">
        <f>"20190303170427357"</f>
        <v>20190303170427357</v>
      </c>
      <c r="B7073" t="str">
        <f>"1551603867342381"</f>
        <v>1551603867342381</v>
      </c>
      <c r="C7073" t="s">
        <v>40</v>
      </c>
      <c r="D7073">
        <v>4.3917699999999904</v>
      </c>
      <c r="E7073">
        <v>0.43577739999999998</v>
      </c>
      <c r="F7073" t="s">
        <v>75</v>
      </c>
      <c r="G7073">
        <v>-187.01830000000001</v>
      </c>
      <c r="H7073" s="1">
        <v>-1.2676569999999999E-5</v>
      </c>
      <c r="I7073">
        <v>-57.627719999999997</v>
      </c>
      <c r="J7073">
        <v>-230.1173</v>
      </c>
      <c r="K7073">
        <v>1.1223099999999999</v>
      </c>
      <c r="L7073">
        <v>-64.000029999999995</v>
      </c>
      <c r="M7073">
        <v>0.99990579999999996</v>
      </c>
      <c r="N7073">
        <v>-9.8457990000000006E-3</v>
      </c>
      <c r="O7073">
        <v>-9.5825259999999992E-3</v>
      </c>
      <c r="P7073">
        <v>0.9808808</v>
      </c>
      <c r="Q7073">
        <v>0.19449060000000001</v>
      </c>
      <c r="R7073">
        <v>-6.8275030000000004E-3</v>
      </c>
      <c r="S7073">
        <v>3.077728</v>
      </c>
      <c r="T7073">
        <v>-7.9836729999999995E-2</v>
      </c>
      <c r="U7073">
        <v>0.45321660000000002</v>
      </c>
      <c r="V7073">
        <v>-3.0914179999999999E-3</v>
      </c>
      <c r="W7073">
        <v>0.2041318</v>
      </c>
      <c r="X7073">
        <v>0.97893850000000004</v>
      </c>
      <c r="Y7073">
        <v>-0.1550878</v>
      </c>
      <c r="Z7073">
        <v>2.9215700000000001E-3</v>
      </c>
      <c r="AA7073">
        <v>0.98789640000000001</v>
      </c>
      <c r="AB7073">
        <v>32</v>
      </c>
      <c r="AC7073">
        <v>43.098999999999897</v>
      </c>
      <c r="AD7073">
        <v>-1.1223226765700001</v>
      </c>
      <c r="AE7073">
        <v>6.3723100000000104</v>
      </c>
      <c r="AF7073">
        <v>-6.78053503198747</v>
      </c>
      <c r="AG7073">
        <v>-1.1223226765700001</v>
      </c>
      <c r="AH7073">
        <v>43.007415284627697</v>
      </c>
      <c r="AI7073">
        <v>91.476621936670298</v>
      </c>
      <c r="AJ7073">
        <v>98.959485579356297</v>
      </c>
      <c r="AK7073">
        <v>43.553105893549997</v>
      </c>
      <c r="AL7073">
        <v>78.221319440355401</v>
      </c>
      <c r="AM7073">
        <v>90.180935385950903</v>
      </c>
      <c r="AN7073">
        <v>0.99999996770936905</v>
      </c>
    </row>
    <row r="7074" spans="1:40" x14ac:dyDescent="0.25">
      <c r="A7074" t="str">
        <f>"20190303170427366"</f>
        <v>20190303170427366</v>
      </c>
      <c r="B7074" t="str">
        <f>"1551603867362877"</f>
        <v>1551603867362877</v>
      </c>
      <c r="C7074" t="s">
        <v>40</v>
      </c>
      <c r="D7074">
        <v>4.3671110000000004</v>
      </c>
      <c r="E7074">
        <v>0.42442170000000001</v>
      </c>
      <c r="F7074" t="s">
        <v>55</v>
      </c>
      <c r="G7074">
        <v>-157.9383</v>
      </c>
      <c r="H7074">
        <v>0.36955189999999999</v>
      </c>
      <c r="I7074">
        <v>-51.805540000000001</v>
      </c>
      <c r="J7074">
        <v>-229.9547</v>
      </c>
      <c r="K7074">
        <v>1.1223129999999999</v>
      </c>
      <c r="L7074">
        <v>-64.000979999999998</v>
      </c>
      <c r="M7074">
        <v>0.99991110000000005</v>
      </c>
      <c r="N7074">
        <v>-9.8686669999999994E-3</v>
      </c>
      <c r="O7074">
        <v>-8.9676110000000003E-3</v>
      </c>
      <c r="P7074">
        <v>0.9809177</v>
      </c>
      <c r="Q7074">
        <v>0.1943532</v>
      </c>
      <c r="R7074">
        <v>-5.2183749999999999E-3</v>
      </c>
      <c r="S7074">
        <v>3.0684200000000001</v>
      </c>
      <c r="T7074">
        <v>-3.2001499999999898E-2</v>
      </c>
      <c r="U7074">
        <v>0.51840209999999998</v>
      </c>
      <c r="V7074">
        <v>-4.097926E-3</v>
      </c>
      <c r="W7074">
        <v>0.20401459999999999</v>
      </c>
      <c r="X7074">
        <v>0.97895929999999998</v>
      </c>
      <c r="Y7074">
        <v>-0.17540459999999999</v>
      </c>
      <c r="Z7074">
        <v>1.7848950000000001E-3</v>
      </c>
      <c r="AA7074">
        <v>0.9844948</v>
      </c>
      <c r="AB7074">
        <v>32</v>
      </c>
      <c r="AC7074">
        <v>72.016400000000004</v>
      </c>
      <c r="AD7074">
        <v>-0.75276109999999896</v>
      </c>
      <c r="AE7074">
        <v>12.1954399999999</v>
      </c>
      <c r="AF7074">
        <v>-12.8394323830916</v>
      </c>
      <c r="AG7074">
        <v>-0.75276109999999896</v>
      </c>
      <c r="AH7074">
        <v>71.896498411362998</v>
      </c>
      <c r="AI7074">
        <v>90.590526846854004</v>
      </c>
      <c r="AJ7074">
        <v>100.125267828256</v>
      </c>
      <c r="AK7074">
        <v>73.037826891336096</v>
      </c>
      <c r="AL7074">
        <v>78.228179608197095</v>
      </c>
      <c r="AM7074">
        <v>90.239838870901394</v>
      </c>
      <c r="AN7074">
        <v>1.0000000305335699</v>
      </c>
    </row>
    <row r="7075" spans="1:40" x14ac:dyDescent="0.25">
      <c r="A7075" t="str">
        <f>"20190303170427378"</f>
        <v>20190303170427378</v>
      </c>
      <c r="B7075" t="str">
        <f>"1551603867372637"</f>
        <v>1551603867372637</v>
      </c>
      <c r="C7075" t="s">
        <v>40</v>
      </c>
      <c r="D7075">
        <v>4.3663280000000002</v>
      </c>
      <c r="E7075">
        <v>0.4211606</v>
      </c>
      <c r="F7075" t="s">
        <v>55</v>
      </c>
      <c r="G7075">
        <v>-157.3501</v>
      </c>
      <c r="H7075">
        <v>1.61589</v>
      </c>
      <c r="I7075">
        <v>-49.479030000000002</v>
      </c>
      <c r="J7075">
        <v>-229.79069999999999</v>
      </c>
      <c r="K7075">
        <v>1.122314</v>
      </c>
      <c r="L7075">
        <v>-64.001919999999998</v>
      </c>
      <c r="M7075">
        <v>0.99991640000000004</v>
      </c>
      <c r="N7075">
        <v>-9.8912459999999994E-3</v>
      </c>
      <c r="O7075">
        <v>-8.3479269999999998E-3</v>
      </c>
      <c r="P7075">
        <v>0.9810721</v>
      </c>
      <c r="Q7075">
        <v>0.19361120000000001</v>
      </c>
      <c r="R7075">
        <v>-3.530727E-3</v>
      </c>
      <c r="S7075">
        <v>3.0574949999999999</v>
      </c>
      <c r="T7075">
        <v>2.0784500000000001E-2</v>
      </c>
      <c r="U7075">
        <v>0.61154169999999997</v>
      </c>
      <c r="V7075">
        <v>-5.1779690000000001E-3</v>
      </c>
      <c r="W7075">
        <v>0.20329340000000001</v>
      </c>
      <c r="X7075">
        <v>0.97910419999999998</v>
      </c>
      <c r="Y7075">
        <v>-0.20430980000000001</v>
      </c>
      <c r="Z7075">
        <v>1.9479990000000001E-4</v>
      </c>
      <c r="AA7075">
        <v>0.97890630000000001</v>
      </c>
      <c r="AB7075">
        <v>32</v>
      </c>
      <c r="AC7075">
        <v>72.440599999999904</v>
      </c>
      <c r="AD7075">
        <v>0.49357600000000001</v>
      </c>
      <c r="AE7075">
        <v>14.522889999999901</v>
      </c>
      <c r="AF7075">
        <v>-15.1264671322923</v>
      </c>
      <c r="AG7075">
        <v>0.49357600000000001</v>
      </c>
      <c r="AH7075">
        <v>72.313606274949805</v>
      </c>
      <c r="AI7075">
        <v>89.617218669540804</v>
      </c>
      <c r="AJ7075">
        <v>101.81470296702901</v>
      </c>
      <c r="AK7075">
        <v>73.880384931729694</v>
      </c>
      <c r="AL7075">
        <v>78.270385791249097</v>
      </c>
      <c r="AM7075">
        <v>90.303004526370998</v>
      </c>
      <c r="AN7075">
        <v>1.0000000261520801</v>
      </c>
    </row>
    <row r="7076" spans="1:40" x14ac:dyDescent="0.25">
      <c r="A7076" t="str">
        <f>"20190303170427389"</f>
        <v>20190303170427389</v>
      </c>
      <c r="B7076" t="str">
        <f>"1551603867382396"</f>
        <v>1551603867382396</v>
      </c>
      <c r="C7076" t="s">
        <v>40</v>
      </c>
      <c r="D7076">
        <v>4.3500809999999897</v>
      </c>
      <c r="E7076">
        <v>0.41886000000000001</v>
      </c>
      <c r="F7076" t="s">
        <v>55</v>
      </c>
      <c r="G7076">
        <v>-157.3501</v>
      </c>
      <c r="H7076">
        <v>1.9531689999999999</v>
      </c>
      <c r="I7076">
        <v>-48.773159999999997</v>
      </c>
      <c r="J7076">
        <v>-229.63650000000001</v>
      </c>
      <c r="K7076">
        <v>1.1223110000000001</v>
      </c>
      <c r="L7076">
        <v>-64.002619999999993</v>
      </c>
      <c r="M7076">
        <v>0.9999207</v>
      </c>
      <c r="N7076">
        <v>-9.9114330000000007E-3</v>
      </c>
      <c r="O7076">
        <v>-7.7649499999999996E-3</v>
      </c>
      <c r="P7076">
        <v>0.98123490000000002</v>
      </c>
      <c r="Q7076">
        <v>0.1928049</v>
      </c>
      <c r="R7076">
        <v>-2.094991E-3</v>
      </c>
      <c r="S7076">
        <v>3.053299</v>
      </c>
      <c r="T7076">
        <v>3.5018800000000003E-2</v>
      </c>
      <c r="U7076">
        <v>0.64187620000000001</v>
      </c>
      <c r="V7076">
        <v>-6.0417550000000002E-3</v>
      </c>
      <c r="W7076">
        <v>0.20250609999999999</v>
      </c>
      <c r="X7076">
        <v>0.97926239999999998</v>
      </c>
      <c r="Y7076">
        <v>-0.2133168</v>
      </c>
      <c r="Z7076">
        <v>-3.0564520000000002E-4</v>
      </c>
      <c r="AA7076">
        <v>0.97698300000000005</v>
      </c>
      <c r="AB7076">
        <v>32</v>
      </c>
      <c r="AC7076">
        <v>72.2864</v>
      </c>
      <c r="AD7076">
        <v>0.83085799999999899</v>
      </c>
      <c r="AE7076">
        <v>15.2294599999999</v>
      </c>
      <c r="AF7076">
        <v>-15.7883315226594</v>
      </c>
      <c r="AG7076">
        <v>0.83085799999999899</v>
      </c>
      <c r="AH7076">
        <v>72.156831114434695</v>
      </c>
      <c r="AI7076">
        <v>89.355535899901</v>
      </c>
      <c r="AJ7076">
        <v>102.34213710837</v>
      </c>
      <c r="AK7076">
        <v>73.868599646687599</v>
      </c>
      <c r="AL7076">
        <v>78.316453091499397</v>
      </c>
      <c r="AM7076">
        <v>90.353493272228903</v>
      </c>
      <c r="AN7076">
        <v>1.0000000356972201</v>
      </c>
    </row>
    <row r="7077" spans="1:40" x14ac:dyDescent="0.25">
      <c r="A7077" t="str">
        <f>"20190303170427399"</f>
        <v>20190303170427399</v>
      </c>
      <c r="B7077" t="str">
        <f>"1551603867392157"</f>
        <v>1551603867392157</v>
      </c>
      <c r="C7077" t="s">
        <v>40</v>
      </c>
      <c r="D7077">
        <v>4.3445970000000003</v>
      </c>
      <c r="E7077">
        <v>0.41736830000000003</v>
      </c>
      <c r="F7077" t="s">
        <v>55</v>
      </c>
      <c r="G7077">
        <v>-157.3501</v>
      </c>
      <c r="H7077">
        <v>2.1641910000000002</v>
      </c>
      <c r="I7077">
        <v>-48.263460000000002</v>
      </c>
      <c r="J7077">
        <v>-229.4761</v>
      </c>
      <c r="K7077">
        <v>1.1223050000000001</v>
      </c>
      <c r="L7077">
        <v>-64.003330000000005</v>
      </c>
      <c r="M7077">
        <v>0.99992499999999995</v>
      </c>
      <c r="N7077">
        <v>-9.9332429999999996E-3</v>
      </c>
      <c r="O7077">
        <v>-7.1594500000000004E-3</v>
      </c>
      <c r="P7077">
        <v>0.98139379999999998</v>
      </c>
      <c r="Q7077">
        <v>0.19200600000000001</v>
      </c>
      <c r="R7077">
        <v>-3.665928E-4</v>
      </c>
      <c r="S7077">
        <v>3.0501710000000002</v>
      </c>
      <c r="T7077">
        <v>4.3961880000000002E-2</v>
      </c>
      <c r="U7077">
        <v>0.66412349999999998</v>
      </c>
      <c r="V7077">
        <v>-7.1752780000000002E-3</v>
      </c>
      <c r="W7077">
        <v>0.20172709999999999</v>
      </c>
      <c r="X7077">
        <v>0.97941549999999999</v>
      </c>
      <c r="Y7077">
        <v>-0.2197307</v>
      </c>
      <c r="Z7077">
        <v>-6.3335219999999996E-4</v>
      </c>
      <c r="AA7077">
        <v>0.97556039999999999</v>
      </c>
      <c r="AB7077">
        <v>32</v>
      </c>
      <c r="AC7077">
        <v>72.126000000000005</v>
      </c>
      <c r="AD7077">
        <v>1.0418860000000001</v>
      </c>
      <c r="AE7077">
        <v>15.73987</v>
      </c>
      <c r="AF7077">
        <v>-16.252637301484601</v>
      </c>
      <c r="AG7077">
        <v>1.0418860000000001</v>
      </c>
      <c r="AH7077">
        <v>71.997116330942802</v>
      </c>
      <c r="AI7077">
        <v>89.191265286352404</v>
      </c>
      <c r="AJ7077">
        <v>102.720739207386</v>
      </c>
      <c r="AK7077">
        <v>73.816112778050794</v>
      </c>
      <c r="AL7077">
        <v>78.362026834440101</v>
      </c>
      <c r="AM7077">
        <v>90.419746054104493</v>
      </c>
      <c r="AN7077">
        <v>1.00000001456451</v>
      </c>
    </row>
    <row r="7078" spans="1:40" x14ac:dyDescent="0.25">
      <c r="A7078" t="str">
        <f>"20190303170427411"</f>
        <v>20190303170427411</v>
      </c>
      <c r="B7078" t="str">
        <f>"1551603867402893"</f>
        <v>1551603867402893</v>
      </c>
      <c r="C7078" t="s">
        <v>40</v>
      </c>
      <c r="D7078">
        <v>4.34457</v>
      </c>
      <c r="E7078">
        <v>0.4162112</v>
      </c>
      <c r="F7078" t="s">
        <v>55</v>
      </c>
      <c r="G7078">
        <v>-157.3501</v>
      </c>
      <c r="H7078">
        <v>2.2819150000000001</v>
      </c>
      <c r="I7078">
        <v>-47.888950000000001</v>
      </c>
      <c r="J7078">
        <v>-229.31059999999999</v>
      </c>
      <c r="K7078">
        <v>1.1223080000000001</v>
      </c>
      <c r="L7078">
        <v>-64.00394</v>
      </c>
      <c r="M7078">
        <v>0.99992910000000002</v>
      </c>
      <c r="N7078">
        <v>-9.9567189999999993E-3</v>
      </c>
      <c r="O7078">
        <v>-6.5344080000000002E-3</v>
      </c>
      <c r="P7078">
        <v>0.98148219999999997</v>
      </c>
      <c r="Q7078">
        <v>0.1915483</v>
      </c>
      <c r="R7078">
        <v>1.386487E-3</v>
      </c>
      <c r="S7078">
        <v>3.0475310000000002</v>
      </c>
      <c r="T7078">
        <v>4.899597E-2</v>
      </c>
      <c r="U7078">
        <v>0.68087769999999903</v>
      </c>
      <c r="V7078">
        <v>-8.3146360000000002E-3</v>
      </c>
      <c r="W7078">
        <v>0.20129050000000001</v>
      </c>
      <c r="X7078">
        <v>0.97949629999999999</v>
      </c>
      <c r="Y7078">
        <v>-0.22440450000000001</v>
      </c>
      <c r="Z7078">
        <v>-8.1904630000000003E-4</v>
      </c>
      <c r="AA7078">
        <v>0.97449580000000002</v>
      </c>
      <c r="AB7078">
        <v>32</v>
      </c>
      <c r="AC7078">
        <v>71.960499999999996</v>
      </c>
      <c r="AD7078">
        <v>1.1596070000000001</v>
      </c>
      <c r="AE7078">
        <v>16.114989999999999</v>
      </c>
      <c r="AF7078">
        <v>-16.580788455764399</v>
      </c>
      <c r="AG7078">
        <v>1.1596070000000001</v>
      </c>
      <c r="AH7078">
        <v>71.835893100490097</v>
      </c>
      <c r="AI7078">
        <v>89.098874732156006</v>
      </c>
      <c r="AJ7078">
        <v>102.99709655482501</v>
      </c>
      <c r="AK7078">
        <v>73.733728861046302</v>
      </c>
      <c r="AL7078">
        <v>78.387565895570702</v>
      </c>
      <c r="AM7078">
        <v>90.486354168833003</v>
      </c>
      <c r="AN7078">
        <v>1.0000000001378699</v>
      </c>
    </row>
    <row r="7079" spans="1:40" x14ac:dyDescent="0.25">
      <c r="A7079" t="str">
        <f>"20190303170427421"</f>
        <v>20190303170427421</v>
      </c>
      <c r="B7079" t="str">
        <f>"1551603867412653"</f>
        <v>1551603867412653</v>
      </c>
      <c r="C7079" t="s">
        <v>40</v>
      </c>
      <c r="D7079">
        <v>4.3664569999999996</v>
      </c>
      <c r="E7079">
        <v>0.4154234</v>
      </c>
      <c r="F7079" t="s">
        <v>55</v>
      </c>
      <c r="G7079">
        <v>-157.3501</v>
      </c>
      <c r="H7079">
        <v>2.3979710000000001</v>
      </c>
      <c r="I7079">
        <v>-47.56964</v>
      </c>
      <c r="J7079">
        <v>-229.1679</v>
      </c>
      <c r="K7079">
        <v>1.122312</v>
      </c>
      <c r="L7079">
        <v>-64.004359999999906</v>
      </c>
      <c r="M7079">
        <v>0.9999323</v>
      </c>
      <c r="N7079">
        <v>-9.9767840000000007E-3</v>
      </c>
      <c r="O7079">
        <v>-5.9957819999999998E-3</v>
      </c>
      <c r="P7079">
        <v>0.98149310000000001</v>
      </c>
      <c r="Q7079">
        <v>0.19147239999999999</v>
      </c>
      <c r="R7079">
        <v>3.1005160000000002E-3</v>
      </c>
      <c r="S7079">
        <v>3.0450900000000001</v>
      </c>
      <c r="T7079">
        <v>5.3980229999999997E-2</v>
      </c>
      <c r="U7079">
        <v>0.69543459999999901</v>
      </c>
      <c r="V7079">
        <v>-9.5001459999999992E-3</v>
      </c>
      <c r="W7079">
        <v>0.2012312</v>
      </c>
      <c r="X7079">
        <v>0.97949770000000003</v>
      </c>
      <c r="Y7079">
        <v>-0.2284716</v>
      </c>
      <c r="Z7079">
        <v>-1.008899E-3</v>
      </c>
      <c r="AA7079">
        <v>0.97355000000000003</v>
      </c>
      <c r="AB7079">
        <v>32</v>
      </c>
      <c r="AC7079">
        <v>71.817800000000005</v>
      </c>
      <c r="AD7079">
        <v>1.2756590000000001</v>
      </c>
      <c r="AE7079">
        <v>16.434719999999899</v>
      </c>
      <c r="AF7079">
        <v>-16.8599951472718</v>
      </c>
      <c r="AG7079">
        <v>1.2756590000000001</v>
      </c>
      <c r="AH7079">
        <v>71.696470158705395</v>
      </c>
      <c r="AI7079">
        <v>89.007733757933295</v>
      </c>
      <c r="AJ7079">
        <v>103.233127289073</v>
      </c>
      <c r="AK7079">
        <v>73.663224036614494</v>
      </c>
      <c r="AL7079">
        <v>78.391034467997301</v>
      </c>
      <c r="AM7079">
        <v>90.555694212874201</v>
      </c>
      <c r="AN7079">
        <v>0.99999999646637505</v>
      </c>
    </row>
    <row r="7080" spans="1:40" x14ac:dyDescent="0.25">
      <c r="A7080" t="str">
        <f>"20190303170427433"</f>
        <v>20190303170427433</v>
      </c>
      <c r="B7080" t="str">
        <f>"1551603867422413"</f>
        <v>1551603867422413</v>
      </c>
      <c r="C7080" t="s">
        <v>40</v>
      </c>
      <c r="D7080">
        <v>4.342943</v>
      </c>
      <c r="E7080">
        <v>0.41470439999999997</v>
      </c>
      <c r="F7080" t="s">
        <v>55</v>
      </c>
      <c r="G7080">
        <v>-157.3501</v>
      </c>
      <c r="H7080">
        <v>2.4989129999999999</v>
      </c>
      <c r="I7080">
        <v>-47.317459999999997</v>
      </c>
      <c r="J7080">
        <v>-228.9924</v>
      </c>
      <c r="K7080">
        <v>1.1223110000000001</v>
      </c>
      <c r="L7080">
        <v>-64.004819999999995</v>
      </c>
      <c r="M7080">
        <v>0.99993589999999999</v>
      </c>
      <c r="N7080">
        <v>-1.0001319999999999E-2</v>
      </c>
      <c r="O7080">
        <v>-5.333913E-3</v>
      </c>
      <c r="P7080">
        <v>0.98145150000000003</v>
      </c>
      <c r="Q7080">
        <v>0.1916311</v>
      </c>
      <c r="R7080">
        <v>5.5614499999999999E-3</v>
      </c>
      <c r="S7080">
        <v>3.0429529999999998</v>
      </c>
      <c r="T7080">
        <v>5.8326360000000001E-2</v>
      </c>
      <c r="U7080">
        <v>0.70703130000000003</v>
      </c>
      <c r="V7080">
        <v>-1.131237E-2</v>
      </c>
      <c r="W7080">
        <v>0.20140859999999999</v>
      </c>
      <c r="X7080">
        <v>0.97944200000000003</v>
      </c>
      <c r="Y7080">
        <v>-0.23149320000000001</v>
      </c>
      <c r="Z7080">
        <v>-1.169862E-3</v>
      </c>
      <c r="AA7080">
        <v>0.97283580000000003</v>
      </c>
      <c r="AB7080">
        <v>32</v>
      </c>
      <c r="AC7080">
        <v>71.642300000000006</v>
      </c>
      <c r="AD7080">
        <v>1.3766020000000001</v>
      </c>
      <c r="AE7080">
        <v>16.687359999999899</v>
      </c>
      <c r="AF7080">
        <v>-17.0632996570709</v>
      </c>
      <c r="AG7080">
        <v>1.3766020000000001</v>
      </c>
      <c r="AH7080">
        <v>71.527217629418203</v>
      </c>
      <c r="AI7080">
        <v>88.927517763878299</v>
      </c>
      <c r="AJ7080">
        <v>103.41751854049301</v>
      </c>
      <c r="AK7080">
        <v>73.547223537394999</v>
      </c>
      <c r="AL7080">
        <v>78.380657929077103</v>
      </c>
      <c r="AM7080">
        <v>90.661726002032793</v>
      </c>
      <c r="AN7080">
        <v>1.0000000126164801</v>
      </c>
    </row>
    <row r="7081" spans="1:40" x14ac:dyDescent="0.25">
      <c r="A7081" t="str">
        <f>"20190303170427445"</f>
        <v>20190303170427445</v>
      </c>
      <c r="B7081" t="str">
        <f>"1551603867432173"</f>
        <v>1551603867432173</v>
      </c>
      <c r="C7081" t="s">
        <v>40</v>
      </c>
      <c r="D7081">
        <v>4.3365410000000004</v>
      </c>
      <c r="E7081">
        <v>0.4141842</v>
      </c>
      <c r="F7081" t="s">
        <v>55</v>
      </c>
      <c r="G7081">
        <v>-157.3501</v>
      </c>
      <c r="H7081">
        <v>2.627189</v>
      </c>
      <c r="I7081">
        <v>-47.017609999999998</v>
      </c>
      <c r="J7081">
        <v>-228.82249999999999</v>
      </c>
      <c r="K7081">
        <v>1.1223129999999999</v>
      </c>
      <c r="L7081">
        <v>-64.005129999999994</v>
      </c>
      <c r="M7081">
        <v>0.99993880000000002</v>
      </c>
      <c r="N7081">
        <v>-1.0026230000000001E-2</v>
      </c>
      <c r="O7081">
        <v>-4.6945809999999998E-3</v>
      </c>
      <c r="P7081">
        <v>0.98142589999999996</v>
      </c>
      <c r="Q7081">
        <v>0.19168950000000001</v>
      </c>
      <c r="R7081">
        <v>7.6495850000000004E-3</v>
      </c>
      <c r="S7081">
        <v>3.0401609999999999</v>
      </c>
      <c r="T7081">
        <v>6.3858990000000004E-2</v>
      </c>
      <c r="U7081">
        <v>0.72085569999999999</v>
      </c>
      <c r="V7081">
        <v>-1.2772560000000001E-2</v>
      </c>
      <c r="W7081">
        <v>0.20148759999999999</v>
      </c>
      <c r="X7081">
        <v>0.97940780000000005</v>
      </c>
      <c r="Y7081">
        <v>-0.23525280000000001</v>
      </c>
      <c r="Z7081">
        <v>-1.384826E-3</v>
      </c>
      <c r="AA7081">
        <v>0.97193320000000005</v>
      </c>
      <c r="AB7081">
        <v>32</v>
      </c>
      <c r="AC7081">
        <v>71.472399999999993</v>
      </c>
      <c r="AD7081">
        <v>1.5048760000000001</v>
      </c>
      <c r="AE7081">
        <v>16.98752</v>
      </c>
      <c r="AF7081">
        <v>-17.315616573356799</v>
      </c>
      <c r="AG7081">
        <v>1.5048760000000001</v>
      </c>
      <c r="AH7081">
        <v>71.361913973392703</v>
      </c>
      <c r="AI7081">
        <v>88.825985689324398</v>
      </c>
      <c r="AJ7081">
        <v>103.638944408393</v>
      </c>
      <c r="AK7081">
        <v>73.448063249052296</v>
      </c>
      <c r="AL7081">
        <v>78.376036853960898</v>
      </c>
      <c r="AM7081">
        <v>90.747157924599506</v>
      </c>
      <c r="AN7081">
        <v>1.00000001497177</v>
      </c>
    </row>
    <row r="7082" spans="1:40" x14ac:dyDescent="0.25">
      <c r="A7082" t="str">
        <f>"20190303170427457"</f>
        <v>20190303170427457</v>
      </c>
      <c r="B7082" t="str">
        <f>"1551603867452668"</f>
        <v>1551603867452668</v>
      </c>
      <c r="C7082" t="s">
        <v>40</v>
      </c>
      <c r="D7082">
        <v>4.3313499999999996</v>
      </c>
      <c r="E7082">
        <v>0.413719</v>
      </c>
      <c r="F7082" t="s">
        <v>55</v>
      </c>
      <c r="G7082">
        <v>-157.3501</v>
      </c>
      <c r="H7082">
        <v>2.7107420000000002</v>
      </c>
      <c r="I7082">
        <v>-46.789209999999997</v>
      </c>
      <c r="J7082">
        <v>-228.64840000000001</v>
      </c>
      <c r="K7082">
        <v>1.122312</v>
      </c>
      <c r="L7082">
        <v>-64.005309999999994</v>
      </c>
      <c r="M7082">
        <v>0.99994130000000003</v>
      </c>
      <c r="N7082">
        <v>-1.005175E-2</v>
      </c>
      <c r="O7082">
        <v>-4.0405930000000003E-3</v>
      </c>
      <c r="P7082">
        <v>0.98141800000000001</v>
      </c>
      <c r="Q7082">
        <v>0.19166839999999999</v>
      </c>
      <c r="R7082">
        <v>9.049306E-3</v>
      </c>
      <c r="S7082">
        <v>3.0378880000000001</v>
      </c>
      <c r="T7082">
        <v>6.7514299999999999E-2</v>
      </c>
      <c r="U7082">
        <v>0.73175049999999997</v>
      </c>
      <c r="V7082">
        <v>-1.3530520000000001E-2</v>
      </c>
      <c r="W7082">
        <v>0.201489</v>
      </c>
      <c r="X7082">
        <v>0.97939730000000003</v>
      </c>
      <c r="Y7082">
        <v>-0.23807200000000001</v>
      </c>
      <c r="Z7082">
        <v>-1.5229309999999999E-3</v>
      </c>
      <c r="AA7082">
        <v>0.97124630000000001</v>
      </c>
      <c r="AB7082">
        <v>32</v>
      </c>
      <c r="AC7082">
        <v>71.298299999999998</v>
      </c>
      <c r="AD7082">
        <v>1.58842999999999</v>
      </c>
      <c r="AE7082">
        <v>17.216099999999901</v>
      </c>
      <c r="AF7082">
        <v>-17.495855978584899</v>
      </c>
      <c r="AG7082">
        <v>1.58842999999999</v>
      </c>
      <c r="AH7082">
        <v>71.194761279839398</v>
      </c>
      <c r="AI7082">
        <v>88.758800318862399</v>
      </c>
      <c r="AJ7082">
        <v>103.80663741452101</v>
      </c>
      <c r="AK7082">
        <v>73.330226509820704</v>
      </c>
      <c r="AL7082">
        <v>78.375954567804797</v>
      </c>
      <c r="AM7082">
        <v>90.791499400512805</v>
      </c>
      <c r="AN7082">
        <v>0.99999998166987902</v>
      </c>
    </row>
    <row r="7083" spans="1:40" x14ac:dyDescent="0.25">
      <c r="A7083" t="str">
        <f>"20190303170427468"</f>
        <v>20190303170427468</v>
      </c>
      <c r="B7083" t="str">
        <f>"1551603867462429"</f>
        <v>1551603867462429</v>
      </c>
      <c r="C7083" t="s">
        <v>40</v>
      </c>
      <c r="D7083">
        <v>4.3124180000000001</v>
      </c>
      <c r="E7083">
        <v>0.41364570000000001</v>
      </c>
      <c r="F7083" t="s">
        <v>55</v>
      </c>
      <c r="G7083">
        <v>-157.3501</v>
      </c>
      <c r="H7083">
        <v>2.803814</v>
      </c>
      <c r="I7083">
        <v>-46.629269999999998</v>
      </c>
      <c r="J7083">
        <v>-228.49090000000001</v>
      </c>
      <c r="K7083">
        <v>1.122309</v>
      </c>
      <c r="L7083">
        <v>-64.005399999999995</v>
      </c>
      <c r="M7083">
        <v>0.99994329999999998</v>
      </c>
      <c r="N7083">
        <v>-1.007419E-2</v>
      </c>
      <c r="O7083">
        <v>-3.4532439999999998E-3</v>
      </c>
      <c r="P7083">
        <v>0.98147700000000004</v>
      </c>
      <c r="Q7083">
        <v>0.1913087</v>
      </c>
      <c r="R7083">
        <v>1.020544E-2</v>
      </c>
      <c r="S7083">
        <v>3.0359950000000002</v>
      </c>
      <c r="T7083">
        <v>7.1600199999999906E-2</v>
      </c>
      <c r="U7083">
        <v>0.73989869999999902</v>
      </c>
      <c r="V7083">
        <v>-1.410922E-2</v>
      </c>
      <c r="W7083">
        <v>0.20115079999999999</v>
      </c>
      <c r="X7083">
        <v>0.97945870000000002</v>
      </c>
      <c r="Y7083">
        <v>-0.24009549999999999</v>
      </c>
      <c r="Z7083">
        <v>-1.6775679999999999E-3</v>
      </c>
      <c r="AA7083">
        <v>0.97074780000000005</v>
      </c>
      <c r="AB7083">
        <v>32</v>
      </c>
      <c r="AC7083">
        <v>71.140799999999999</v>
      </c>
      <c r="AD7083">
        <v>1.681505</v>
      </c>
      <c r="AE7083">
        <v>17.3761299999999</v>
      </c>
      <c r="AF7083">
        <v>-17.6124197442482</v>
      </c>
      <c r="AG7083">
        <v>1.681505</v>
      </c>
      <c r="AH7083">
        <v>71.042913369239798</v>
      </c>
      <c r="AI7083">
        <v>88.683952044290706</v>
      </c>
      <c r="AJ7083">
        <v>103.9236139882</v>
      </c>
      <c r="AK7083">
        <v>73.212842645958801</v>
      </c>
      <c r="AL7083">
        <v>78.395737601436096</v>
      </c>
      <c r="AM7083">
        <v>90.825295491192804</v>
      </c>
      <c r="AN7083">
        <v>1.0000000297176601</v>
      </c>
    </row>
    <row r="7084" spans="1:40" x14ac:dyDescent="0.25">
      <c r="A7084" t="str">
        <f>"20190303170427479"</f>
        <v>20190303170427479</v>
      </c>
      <c r="B7084" t="str">
        <f>"1551603867472189"</f>
        <v>1551603867472189</v>
      </c>
      <c r="C7084" t="s">
        <v>40</v>
      </c>
      <c r="D7084">
        <v>4.3393350000000002</v>
      </c>
      <c r="E7084">
        <v>0.41351539999999998</v>
      </c>
      <c r="F7084" t="s">
        <v>55</v>
      </c>
      <c r="G7084">
        <v>-157.3501</v>
      </c>
      <c r="H7084">
        <v>2.8028339999999998</v>
      </c>
      <c r="I7084">
        <v>-46.559350000000002</v>
      </c>
      <c r="J7084">
        <v>-228.32900000000001</v>
      </c>
      <c r="K7084">
        <v>1.122306</v>
      </c>
      <c r="L7084">
        <v>-64.005430000000004</v>
      </c>
      <c r="M7084">
        <v>0.99994499999999997</v>
      </c>
      <c r="N7084">
        <v>-1.0096580000000001E-2</v>
      </c>
      <c r="O7084">
        <v>-2.851836E-3</v>
      </c>
      <c r="P7084">
        <v>0.98157660000000002</v>
      </c>
      <c r="Q7084">
        <v>0.19071750000000001</v>
      </c>
      <c r="R7084">
        <v>1.1586539999999999E-2</v>
      </c>
      <c r="S7084">
        <v>3.0349270000000002</v>
      </c>
      <c r="T7084">
        <v>7.1691630000000006E-2</v>
      </c>
      <c r="U7084">
        <v>0.74426269999999894</v>
      </c>
      <c r="V7084">
        <v>-1.489702E-2</v>
      </c>
      <c r="W7084">
        <v>0.20058090000000001</v>
      </c>
      <c r="X7084">
        <v>0.97956390000000004</v>
      </c>
      <c r="Y7084">
        <v>-0.24090729999999999</v>
      </c>
      <c r="Z7084">
        <v>-1.6641679999999999E-3</v>
      </c>
      <c r="AA7084">
        <v>0.97054669999999998</v>
      </c>
      <c r="AB7084">
        <v>32</v>
      </c>
      <c r="AC7084">
        <v>70.978899999999996</v>
      </c>
      <c r="AD7084">
        <v>1.68052799999999</v>
      </c>
      <c r="AE7084">
        <v>17.446079999999998</v>
      </c>
      <c r="AF7084">
        <v>-17.639114852590598</v>
      </c>
      <c r="AG7084">
        <v>1.68052799999999</v>
      </c>
      <c r="AH7084">
        <v>70.891379636808907</v>
      </c>
      <c r="AI7084">
        <v>88.6821853302514</v>
      </c>
      <c r="AJ7084">
        <v>103.97253426357599</v>
      </c>
      <c r="AK7084">
        <v>73.072226282985497</v>
      </c>
      <c r="AL7084">
        <v>78.429069778939507</v>
      </c>
      <c r="AM7084">
        <v>90.871276066030603</v>
      </c>
      <c r="AN7084">
        <v>1.0000000264164499</v>
      </c>
    </row>
    <row r="7085" spans="1:40" x14ac:dyDescent="0.25">
      <c r="A7085" t="str">
        <f>"20190303170427489"</f>
        <v>20190303170427489</v>
      </c>
      <c r="B7085" t="str">
        <f>"1551603867482924"</f>
        <v>1551603867482924</v>
      </c>
      <c r="C7085" t="s">
        <v>40</v>
      </c>
      <c r="D7085">
        <v>4.3400629999999998</v>
      </c>
      <c r="E7085">
        <v>0.41336349999999999</v>
      </c>
      <c r="F7085" t="s">
        <v>55</v>
      </c>
      <c r="G7085">
        <v>-157.3501</v>
      </c>
      <c r="H7085">
        <v>2.7917909999999999</v>
      </c>
      <c r="I7085">
        <v>-46.465089999999996</v>
      </c>
      <c r="J7085">
        <v>-228.1771</v>
      </c>
      <c r="K7085">
        <v>1.1223030000000001</v>
      </c>
      <c r="L7085">
        <v>-64.005340000000004</v>
      </c>
      <c r="M7085">
        <v>0.99994620000000001</v>
      </c>
      <c r="N7085">
        <v>-1.011654E-2</v>
      </c>
      <c r="O7085">
        <v>-2.2917950000000001E-3</v>
      </c>
      <c r="P7085">
        <v>0.98169090000000003</v>
      </c>
      <c r="Q7085">
        <v>0.190077</v>
      </c>
      <c r="R7085">
        <v>1.2398630000000001E-2</v>
      </c>
      <c r="S7085">
        <v>3.0335999999999999</v>
      </c>
      <c r="T7085">
        <v>7.1352009999999993E-2</v>
      </c>
      <c r="U7085">
        <v>0.74966429999999995</v>
      </c>
      <c r="V7085">
        <v>-1.5156350000000001E-2</v>
      </c>
      <c r="W7085">
        <v>0.19996050000000001</v>
      </c>
      <c r="X7085">
        <v>0.97968670000000002</v>
      </c>
      <c r="Y7085">
        <v>-0.2420918</v>
      </c>
      <c r="Z7085">
        <v>-1.637618E-3</v>
      </c>
      <c r="AA7085">
        <v>0.970252</v>
      </c>
      <c r="AB7085">
        <v>33</v>
      </c>
      <c r="AC7085">
        <v>70.826999999999998</v>
      </c>
      <c r="AD7085">
        <v>1.6694880000000001</v>
      </c>
      <c r="AE7085">
        <v>17.54025</v>
      </c>
      <c r="AF7085">
        <v>-17.693270738980001</v>
      </c>
      <c r="AG7085">
        <v>1.6694880000000001</v>
      </c>
      <c r="AH7085">
        <v>70.749575712520198</v>
      </c>
      <c r="AI7085">
        <v>88.688605708487401</v>
      </c>
      <c r="AJ7085">
        <v>104.04072269498199</v>
      </c>
      <c r="AK7085">
        <v>72.947525544919003</v>
      </c>
      <c r="AL7085">
        <v>78.465350497615603</v>
      </c>
      <c r="AM7085">
        <v>90.886329902508095</v>
      </c>
      <c r="AN7085">
        <v>0.99999997333123003</v>
      </c>
    </row>
    <row r="7086" spans="1:40" x14ac:dyDescent="0.25">
      <c r="A7086" t="str">
        <f>"20190303170427501"</f>
        <v>20190303170427501</v>
      </c>
      <c r="B7086" t="str">
        <f>"1551603867492216"</f>
        <v>1551603867492216</v>
      </c>
      <c r="C7086" t="s">
        <v>40</v>
      </c>
      <c r="D7086">
        <v>4.3484809999999996</v>
      </c>
      <c r="E7086">
        <v>0.41331849999999998</v>
      </c>
      <c r="F7086" t="s">
        <v>55</v>
      </c>
      <c r="G7086">
        <v>-157.3501</v>
      </c>
      <c r="H7086">
        <v>2.7673549999999998</v>
      </c>
      <c r="I7086">
        <v>-46.419539999999998</v>
      </c>
      <c r="J7086">
        <v>-228.01259999999999</v>
      </c>
      <c r="K7086">
        <v>1.122304</v>
      </c>
      <c r="L7086">
        <v>-64.005160000000004</v>
      </c>
      <c r="M7086">
        <v>0.99994720000000004</v>
      </c>
      <c r="N7086">
        <v>-1.013882E-2</v>
      </c>
      <c r="O7086">
        <v>-1.6916100000000001E-3</v>
      </c>
      <c r="P7086">
        <v>0.9817574</v>
      </c>
      <c r="Q7086">
        <v>0.1896524</v>
      </c>
      <c r="R7086">
        <v>1.3579539999999999E-2</v>
      </c>
      <c r="S7086">
        <v>3.0328059999999999</v>
      </c>
      <c r="T7086">
        <v>7.0440050000000004E-2</v>
      </c>
      <c r="U7086">
        <v>0.75302119999999995</v>
      </c>
      <c r="V7086">
        <v>-1.5743940000000001E-2</v>
      </c>
      <c r="W7086">
        <v>0.19955729999999999</v>
      </c>
      <c r="X7086">
        <v>0.97975970000000001</v>
      </c>
      <c r="Y7086">
        <v>-0.24258199999999999</v>
      </c>
      <c r="Z7086">
        <v>-1.5819569999999999E-3</v>
      </c>
      <c r="AA7086">
        <v>0.97012960000000004</v>
      </c>
      <c r="AB7086">
        <v>33</v>
      </c>
      <c r="AC7086">
        <v>70.662499999999994</v>
      </c>
      <c r="AD7086">
        <v>1.64505099999999</v>
      </c>
      <c r="AE7086">
        <v>17.585619999999999</v>
      </c>
      <c r="AF7086">
        <v>-17.696102858724998</v>
      </c>
      <c r="AG7086">
        <v>1.64505099999999</v>
      </c>
      <c r="AH7086">
        <v>70.596619152057897</v>
      </c>
      <c r="AI7086">
        <v>88.705173294605501</v>
      </c>
      <c r="AJ7086">
        <v>104.072099277505</v>
      </c>
      <c r="AK7086">
        <v>72.799319261102198</v>
      </c>
      <c r="AL7086">
        <v>78.4889279921438</v>
      </c>
      <c r="AM7086">
        <v>90.920617253289507</v>
      </c>
      <c r="AN7086">
        <v>1.0000000286870501</v>
      </c>
    </row>
    <row r="7087" spans="1:40" x14ac:dyDescent="0.25">
      <c r="A7087" t="str">
        <f>"20190303170427511"</f>
        <v>20190303170427511</v>
      </c>
      <c r="B7087" t="str">
        <f>"1551603867502952"</f>
        <v>1551603867502952</v>
      </c>
      <c r="C7087" t="s">
        <v>40</v>
      </c>
      <c r="D7087">
        <v>4.3471060000000001</v>
      </c>
      <c r="E7087">
        <v>0.41323369999999998</v>
      </c>
      <c r="F7087" t="s">
        <v>55</v>
      </c>
      <c r="G7087">
        <v>-157.3501</v>
      </c>
      <c r="H7087">
        <v>2.7306530000000002</v>
      </c>
      <c r="I7087">
        <v>-46.369109999999999</v>
      </c>
      <c r="J7087">
        <v>-227.85480000000001</v>
      </c>
      <c r="K7087">
        <v>1.1223030000000001</v>
      </c>
      <c r="L7087">
        <v>-64.004909999999995</v>
      </c>
      <c r="M7087">
        <v>0.99994780000000005</v>
      </c>
      <c r="N7087">
        <v>-1.016077E-2</v>
      </c>
      <c r="O7087">
        <v>-1.1205220000000001E-3</v>
      </c>
      <c r="P7087">
        <v>0.98173829999999995</v>
      </c>
      <c r="Q7087">
        <v>0.18965319999999999</v>
      </c>
      <c r="R7087">
        <v>1.4890260000000001E-2</v>
      </c>
      <c r="S7087">
        <v>3.0319370000000001</v>
      </c>
      <c r="T7087">
        <v>6.9008949999999999E-2</v>
      </c>
      <c r="U7087">
        <v>0.75671390000000005</v>
      </c>
      <c r="V7087">
        <v>-1.6490899999999999E-2</v>
      </c>
      <c r="W7087">
        <v>0.1995779</v>
      </c>
      <c r="X7087">
        <v>0.97974320000000004</v>
      </c>
      <c r="Y7087">
        <v>-0.2432077</v>
      </c>
      <c r="Z7087">
        <v>-1.507602E-3</v>
      </c>
      <c r="AA7087">
        <v>0.96997299999999997</v>
      </c>
      <c r="AB7087">
        <v>33</v>
      </c>
      <c r="AC7087">
        <v>70.5047</v>
      </c>
      <c r="AD7087">
        <v>1.60834999999999</v>
      </c>
      <c r="AE7087">
        <v>17.6357999999999</v>
      </c>
      <c r="AF7087">
        <v>-17.706123621119101</v>
      </c>
      <c r="AG7087">
        <v>1.60834999999999</v>
      </c>
      <c r="AH7087">
        <v>70.450390834288996</v>
      </c>
      <c r="AI7087">
        <v>88.731622899475298</v>
      </c>
      <c r="AJ7087">
        <v>104.10780940777499</v>
      </c>
      <c r="AK7087">
        <v>72.659143761215105</v>
      </c>
      <c r="AL7087">
        <v>78.487723285344998</v>
      </c>
      <c r="AM7087">
        <v>90.964303458022101</v>
      </c>
      <c r="AN7087">
        <v>1.0000000129487201</v>
      </c>
    </row>
    <row r="7088" spans="1:40" x14ac:dyDescent="0.25">
      <c r="A7088" t="str">
        <f>"20190303170427523"</f>
        <v>20190303170427523</v>
      </c>
      <c r="B7088" t="str">
        <f>"1551603867512712"</f>
        <v>1551603867512712</v>
      </c>
      <c r="C7088" t="s">
        <v>40</v>
      </c>
      <c r="D7088">
        <v>4.3778499999999996</v>
      </c>
      <c r="E7088">
        <v>0.4132228</v>
      </c>
      <c r="F7088" t="s">
        <v>55</v>
      </c>
      <c r="G7088">
        <v>-157.3501</v>
      </c>
      <c r="H7088">
        <v>2.7301869999999999</v>
      </c>
      <c r="I7088">
        <v>-46.303559999999997</v>
      </c>
      <c r="J7088">
        <v>-227.6934</v>
      </c>
      <c r="K7088">
        <v>1.1222989999999999</v>
      </c>
      <c r="L7088">
        <v>-64.004549999999995</v>
      </c>
      <c r="M7088">
        <v>0.99994799999999995</v>
      </c>
      <c r="N7088">
        <v>-1.0182800000000001E-2</v>
      </c>
      <c r="O7088">
        <v>-5.4863109999999998E-4</v>
      </c>
      <c r="P7088">
        <v>0.98176149999999995</v>
      </c>
      <c r="Q7088">
        <v>0.18941830000000001</v>
      </c>
      <c r="R7088">
        <v>1.6277989999999999E-2</v>
      </c>
      <c r="S7088">
        <v>3.0308989999999998</v>
      </c>
      <c r="T7088">
        <v>6.9119689999999998E-2</v>
      </c>
      <c r="U7088">
        <v>0.76095579999999996</v>
      </c>
      <c r="V7088">
        <v>-1.731156E-2</v>
      </c>
      <c r="W7088">
        <v>0.1993634</v>
      </c>
      <c r="X7088">
        <v>0.97977270000000005</v>
      </c>
      <c r="Y7088">
        <v>-0.24400849999999999</v>
      </c>
      <c r="Z7088">
        <v>-1.495831E-3</v>
      </c>
      <c r="AA7088">
        <v>0.96977190000000002</v>
      </c>
      <c r="AB7088">
        <v>33</v>
      </c>
      <c r="AC7088">
        <v>70.343299999999999</v>
      </c>
      <c r="AD7088">
        <v>1.607888</v>
      </c>
      <c r="AE7088">
        <v>17.700989999999901</v>
      </c>
      <c r="AF7088">
        <v>-17.730869582543502</v>
      </c>
      <c r="AG7088">
        <v>1.607888</v>
      </c>
      <c r="AH7088">
        <v>70.299035317286993</v>
      </c>
      <c r="AI7088">
        <v>88.729526550768497</v>
      </c>
      <c r="AJ7088">
        <v>104.155931203877</v>
      </c>
      <c r="AK7088">
        <v>72.518434942536302</v>
      </c>
      <c r="AL7088">
        <v>78.500265119687299</v>
      </c>
      <c r="AM7088">
        <v>91.012251234591702</v>
      </c>
      <c r="AN7088">
        <v>0.99999999951724095</v>
      </c>
    </row>
    <row r="7089" spans="1:40" x14ac:dyDescent="0.25">
      <c r="A7089" t="str">
        <f>"20190303170427534"</f>
        <v>20190303170427534</v>
      </c>
      <c r="B7089" t="str">
        <f>"1551603867522473"</f>
        <v>1551603867522473</v>
      </c>
      <c r="C7089" t="s">
        <v>40</v>
      </c>
      <c r="D7089">
        <v>4.3590549999999997</v>
      </c>
      <c r="E7089">
        <v>0.41326829999999998</v>
      </c>
      <c r="F7089" t="s">
        <v>55</v>
      </c>
      <c r="G7089">
        <v>-157.3501</v>
      </c>
      <c r="H7089">
        <v>2.6977660000000001</v>
      </c>
      <c r="I7089">
        <v>-46.249020000000002</v>
      </c>
      <c r="J7089">
        <v>-227.5308</v>
      </c>
      <c r="K7089">
        <v>1.1222890000000001</v>
      </c>
      <c r="L7089">
        <v>-64.00412</v>
      </c>
      <c r="M7089">
        <v>0.9999479</v>
      </c>
      <c r="N7089">
        <v>-1.020485E-2</v>
      </c>
      <c r="O7089" s="1">
        <v>2.312781E-5</v>
      </c>
      <c r="P7089">
        <v>0.98172769999999998</v>
      </c>
      <c r="Q7089">
        <v>0.18945480000000001</v>
      </c>
      <c r="R7089">
        <v>1.782912E-2</v>
      </c>
      <c r="S7089">
        <v>3.0299680000000002</v>
      </c>
      <c r="T7089">
        <v>6.7860840000000006E-2</v>
      </c>
      <c r="U7089">
        <v>0.76480099999999995</v>
      </c>
      <c r="V7089">
        <v>-1.829571E-2</v>
      </c>
      <c r="W7089">
        <v>0.19941900000000001</v>
      </c>
      <c r="X7089">
        <v>0.97974349999999999</v>
      </c>
      <c r="Y7089">
        <v>-0.2446835</v>
      </c>
      <c r="Z7089">
        <v>-1.4287970000000001E-3</v>
      </c>
      <c r="AA7089">
        <v>0.96960190000000002</v>
      </c>
      <c r="AB7089">
        <v>33</v>
      </c>
      <c r="AC7089">
        <v>70.180700000000002</v>
      </c>
      <c r="AD7089">
        <v>1.575477</v>
      </c>
      <c r="AE7089">
        <v>17.755099999999999</v>
      </c>
      <c r="AF7089">
        <v>-17.7450720691246</v>
      </c>
      <c r="AG7089">
        <v>1.575477</v>
      </c>
      <c r="AH7089">
        <v>70.147886032725594</v>
      </c>
      <c r="AI7089">
        <v>88.752667340918705</v>
      </c>
      <c r="AJ7089">
        <v>104.196106552355</v>
      </c>
      <c r="AK7089">
        <v>72.374689121102406</v>
      </c>
      <c r="AL7089">
        <v>78.497014180089906</v>
      </c>
      <c r="AM7089">
        <v>91.069815867114002</v>
      </c>
      <c r="AN7089">
        <v>0.99999999817882701</v>
      </c>
    </row>
    <row r="7090" spans="1:40" x14ac:dyDescent="0.25">
      <c r="A7090" t="str">
        <f>"20190303170427545"</f>
        <v>20190303170427545</v>
      </c>
      <c r="B7090" t="str">
        <f>"1551603867532232"</f>
        <v>1551603867532232</v>
      </c>
      <c r="C7090" t="s">
        <v>40</v>
      </c>
      <c r="D7090">
        <v>4.3515470000000001</v>
      </c>
      <c r="E7090">
        <v>0.41329300000000002</v>
      </c>
      <c r="F7090" t="s">
        <v>55</v>
      </c>
      <c r="G7090">
        <v>-157.3501</v>
      </c>
      <c r="H7090">
        <v>2.6982339999999998</v>
      </c>
      <c r="I7090">
        <v>-46.187919999999998</v>
      </c>
      <c r="J7090">
        <v>-227.3622</v>
      </c>
      <c r="K7090">
        <v>1.1222719999999999</v>
      </c>
      <c r="L7090">
        <v>-64.003540000000001</v>
      </c>
      <c r="M7090">
        <v>0.99994749999999999</v>
      </c>
      <c r="N7090">
        <v>-1.022576E-2</v>
      </c>
      <c r="O7090">
        <v>5.934089E-4</v>
      </c>
      <c r="P7090">
        <v>0.98165009999999997</v>
      </c>
      <c r="Q7090">
        <v>0.18972410000000001</v>
      </c>
      <c r="R7090">
        <v>1.9176849999999999E-2</v>
      </c>
      <c r="S7090">
        <v>3.028778</v>
      </c>
      <c r="T7090">
        <v>6.8011879999999997E-2</v>
      </c>
      <c r="U7090">
        <v>0.76889039999999997</v>
      </c>
      <c r="V7090">
        <v>-1.9076619999999999E-2</v>
      </c>
      <c r="W7090">
        <v>0.1997073</v>
      </c>
      <c r="X7090">
        <v>0.97966989999999998</v>
      </c>
      <c r="Y7090">
        <v>-0.24545120000000001</v>
      </c>
      <c r="Z7090">
        <v>-1.4187259999999999E-3</v>
      </c>
      <c r="AA7090">
        <v>0.96940789999999999</v>
      </c>
      <c r="AB7090">
        <v>33</v>
      </c>
      <c r="AC7090">
        <v>70.012100000000004</v>
      </c>
      <c r="AD7090">
        <v>1.5759620000000001</v>
      </c>
      <c r="AE7090">
        <v>17.815619999999999</v>
      </c>
      <c r="AF7090">
        <v>-17.765614600517502</v>
      </c>
      <c r="AG7090">
        <v>1.5759620000000001</v>
      </c>
      <c r="AH7090">
        <v>69.989353699840706</v>
      </c>
      <c r="AI7090">
        <v>88.749716090110994</v>
      </c>
      <c r="AJ7090">
        <v>104.242757906132</v>
      </c>
      <c r="AK7090">
        <v>72.226105735260006</v>
      </c>
      <c r="AL7090">
        <v>78.480156950236804</v>
      </c>
      <c r="AM7090">
        <v>91.115550958857199</v>
      </c>
      <c r="AN7090">
        <v>1.00000001803496</v>
      </c>
    </row>
    <row r="7091" spans="1:40" x14ac:dyDescent="0.25">
      <c r="A7091" t="str">
        <f>"20190303170427557"</f>
        <v>20190303170427557</v>
      </c>
      <c r="B7091" t="str">
        <f>"1551603867552728"</f>
        <v>1551603867552728</v>
      </c>
      <c r="C7091" t="s">
        <v>40</v>
      </c>
      <c r="D7091">
        <v>4.3724780000000001</v>
      </c>
      <c r="E7091">
        <v>0.41333880000000001</v>
      </c>
      <c r="F7091" t="s">
        <v>55</v>
      </c>
      <c r="G7091">
        <v>-157.3501</v>
      </c>
      <c r="H7091">
        <v>2.7373880000000002</v>
      </c>
      <c r="I7091">
        <v>-46.122390000000003</v>
      </c>
      <c r="J7091">
        <v>-227.19069999999999</v>
      </c>
      <c r="K7091">
        <v>1.122252</v>
      </c>
      <c r="L7091">
        <v>-64.002899999999997</v>
      </c>
      <c r="M7091">
        <v>0.99994689999999997</v>
      </c>
      <c r="N7091">
        <v>-1.024649E-2</v>
      </c>
      <c r="O7091">
        <v>1.165279E-3</v>
      </c>
      <c r="P7091">
        <v>0.98157019999999995</v>
      </c>
      <c r="Q7091">
        <v>0.19002440000000001</v>
      </c>
      <c r="R7091">
        <v>2.0270170000000001E-2</v>
      </c>
      <c r="S7091">
        <v>3.0274960000000002</v>
      </c>
      <c r="T7091">
        <v>6.9840669999999994E-2</v>
      </c>
      <c r="U7091">
        <v>0.77322389999999996</v>
      </c>
      <c r="V7091">
        <v>-1.959992E-2</v>
      </c>
      <c r="W7091">
        <v>0.20002690000000001</v>
      </c>
      <c r="X7091">
        <v>0.97959430000000003</v>
      </c>
      <c r="Y7091">
        <v>-0.2462955</v>
      </c>
      <c r="Z7091">
        <v>-1.4755549999999999E-3</v>
      </c>
      <c r="AA7091">
        <v>0.96919370000000005</v>
      </c>
      <c r="AB7091">
        <v>33</v>
      </c>
      <c r="AC7091">
        <v>69.840599999999995</v>
      </c>
      <c r="AD7091">
        <v>1.6151359999999999</v>
      </c>
      <c r="AE7091">
        <v>17.880509999999902</v>
      </c>
      <c r="AF7091">
        <v>-17.7901806487538</v>
      </c>
      <c r="AG7091">
        <v>1.6151359999999999</v>
      </c>
      <c r="AH7091">
        <v>69.826342561130204</v>
      </c>
      <c r="AI7091">
        <v>88.715947014194796</v>
      </c>
      <c r="AJ7091">
        <v>104.29358098067</v>
      </c>
      <c r="AK7091">
        <v>72.075081042466394</v>
      </c>
      <c r="AL7091">
        <v>78.461467399164206</v>
      </c>
      <c r="AM7091">
        <v>91.146232553204101</v>
      </c>
      <c r="AN7091">
        <v>0.99999995509005202</v>
      </c>
    </row>
    <row r="7092" spans="1:40" x14ac:dyDescent="0.25">
      <c r="A7092" t="str">
        <f>"20190303170427568"</f>
        <v>20190303170427568</v>
      </c>
      <c r="B7092" t="str">
        <f>"1551603867562488"</f>
        <v>1551603867562488</v>
      </c>
      <c r="C7092" t="s">
        <v>40</v>
      </c>
      <c r="D7092">
        <v>4.4009549999999997</v>
      </c>
      <c r="E7092">
        <v>0.41335650000000002</v>
      </c>
      <c r="F7092" t="s">
        <v>55</v>
      </c>
      <c r="G7092">
        <v>-157.3501</v>
      </c>
      <c r="H7092">
        <v>2.787541</v>
      </c>
      <c r="I7092">
        <v>-46.06427</v>
      </c>
      <c r="J7092">
        <v>-227.02889999999999</v>
      </c>
      <c r="K7092">
        <v>1.1222299999999901</v>
      </c>
      <c r="L7092">
        <v>-64.002229999999997</v>
      </c>
      <c r="M7092">
        <v>0.9999458</v>
      </c>
      <c r="N7092">
        <v>-1.026463E-2</v>
      </c>
      <c r="O7092">
        <v>1.6814550000000001E-3</v>
      </c>
      <c r="P7092">
        <v>0.98156960000000004</v>
      </c>
      <c r="Q7092">
        <v>0.18995300000000001</v>
      </c>
      <c r="R7092">
        <v>2.0951899999999999E-2</v>
      </c>
      <c r="S7092">
        <v>3.0263209999999998</v>
      </c>
      <c r="T7092">
        <v>7.2159050000000002E-2</v>
      </c>
      <c r="U7092">
        <v>0.77731319999999904</v>
      </c>
      <c r="V7092">
        <v>-1.9764090000000002E-2</v>
      </c>
      <c r="W7092">
        <v>0.1999736</v>
      </c>
      <c r="X7092">
        <v>0.97960190000000003</v>
      </c>
      <c r="Y7092">
        <v>-0.24711140000000001</v>
      </c>
      <c r="Z7092">
        <v>-1.553537E-3</v>
      </c>
      <c r="AA7092">
        <v>0.96898589999999996</v>
      </c>
      <c r="AB7092">
        <v>33</v>
      </c>
      <c r="AC7092">
        <v>69.678799999999995</v>
      </c>
      <c r="AD7092">
        <v>1.665311</v>
      </c>
      <c r="AE7092">
        <v>17.93796</v>
      </c>
      <c r="AF7092">
        <v>-17.811225240632599</v>
      </c>
      <c r="AG7092">
        <v>1.665311</v>
      </c>
      <c r="AH7092">
        <v>69.671542010274493</v>
      </c>
      <c r="AI7092">
        <v>88.673406593508403</v>
      </c>
      <c r="AJ7092">
        <v>104.340279805306</v>
      </c>
      <c r="AK7092">
        <v>71.931472745862195</v>
      </c>
      <c r="AL7092">
        <v>78.464584426022299</v>
      </c>
      <c r="AM7092">
        <v>91.155821901138296</v>
      </c>
      <c r="AN7092">
        <v>0.99999997121704798</v>
      </c>
    </row>
    <row r="7093" spans="1:40" x14ac:dyDescent="0.25">
      <c r="A7093" t="str">
        <f>"20190303170427579"</f>
        <v>20190303170427579</v>
      </c>
      <c r="B7093" t="str">
        <f>"1551603867572248"</f>
        <v>1551603867572248</v>
      </c>
      <c r="C7093" t="s">
        <v>40</v>
      </c>
      <c r="D7093">
        <v>4.4055650000000002</v>
      </c>
      <c r="E7093">
        <v>0.41341630000000001</v>
      </c>
      <c r="F7093" t="s">
        <v>55</v>
      </c>
      <c r="G7093">
        <v>-157.3501</v>
      </c>
      <c r="H7093">
        <v>2.8092609999999998</v>
      </c>
      <c r="I7093">
        <v>-46.032969999999999</v>
      </c>
      <c r="J7093">
        <v>-226.87430000000001</v>
      </c>
      <c r="K7093">
        <v>1.122207</v>
      </c>
      <c r="L7093">
        <v>-64.001530000000002</v>
      </c>
      <c r="M7093">
        <v>0.99994479999999997</v>
      </c>
      <c r="N7093">
        <v>-1.02814E-2</v>
      </c>
      <c r="O7093">
        <v>2.1630590000000002E-3</v>
      </c>
      <c r="P7093">
        <v>0.98156889999999997</v>
      </c>
      <c r="Q7093">
        <v>0.18989790000000001</v>
      </c>
      <c r="R7093">
        <v>2.1480760000000002E-2</v>
      </c>
      <c r="S7093">
        <v>3.025528</v>
      </c>
      <c r="T7093">
        <v>7.3251720000000006E-2</v>
      </c>
      <c r="U7093">
        <v>0.78024289999999996</v>
      </c>
      <c r="V7093">
        <v>-1.9809090000000001E-2</v>
      </c>
      <c r="W7093">
        <v>0.1999358</v>
      </c>
      <c r="X7093">
        <v>0.97960879999999995</v>
      </c>
      <c r="Y7093">
        <v>-0.24758450000000001</v>
      </c>
      <c r="Z7093">
        <v>-1.581739E-3</v>
      </c>
      <c r="AA7093">
        <v>0.96886499999999998</v>
      </c>
      <c r="AB7093">
        <v>33</v>
      </c>
      <c r="AC7093">
        <v>69.524199999999993</v>
      </c>
      <c r="AD7093">
        <v>1.6870540000000001</v>
      </c>
      <c r="AE7093">
        <v>17.96856</v>
      </c>
      <c r="AF7093">
        <v>-17.8082956704834</v>
      </c>
      <c r="AG7093">
        <v>1.6870540000000001</v>
      </c>
      <c r="AH7093">
        <v>69.524531975495805</v>
      </c>
      <c r="AI7093">
        <v>88.653412833840207</v>
      </c>
      <c r="AJ7093">
        <v>104.367082470749</v>
      </c>
      <c r="AK7093">
        <v>71.788871646641795</v>
      </c>
      <c r="AL7093">
        <v>78.466795914102704</v>
      </c>
      <c r="AM7093">
        <v>91.158444668109794</v>
      </c>
      <c r="AN7093">
        <v>1.00000006260285</v>
      </c>
    </row>
    <row r="7094" spans="1:40" x14ac:dyDescent="0.25">
      <c r="A7094" t="str">
        <f>"20190303170427589"</f>
        <v>20190303170427589</v>
      </c>
      <c r="B7094" t="str">
        <f>"1551603867582984"</f>
        <v>1551603867582984</v>
      </c>
      <c r="C7094" t="s">
        <v>40</v>
      </c>
      <c r="D7094">
        <v>4.3976749999999996</v>
      </c>
      <c r="E7094">
        <v>0.41349180000000002</v>
      </c>
      <c r="F7094" t="s">
        <v>55</v>
      </c>
      <c r="G7094">
        <v>-157.3501</v>
      </c>
      <c r="H7094">
        <v>2.8207680000000002</v>
      </c>
      <c r="I7094">
        <v>-46.031370000000003</v>
      </c>
      <c r="J7094">
        <v>-226.71610000000001</v>
      </c>
      <c r="K7094">
        <v>1.1221810000000001</v>
      </c>
      <c r="L7094">
        <v>-64.000730000000004</v>
      </c>
      <c r="M7094">
        <v>0.99994349999999999</v>
      </c>
      <c r="N7094">
        <v>-1.029766E-2</v>
      </c>
      <c r="O7094">
        <v>2.6370640000000002E-3</v>
      </c>
      <c r="P7094">
        <v>0.98165000000000002</v>
      </c>
      <c r="Q7094">
        <v>0.18939610000000001</v>
      </c>
      <c r="R7094">
        <v>2.218875E-2</v>
      </c>
      <c r="S7094">
        <v>3.024918</v>
      </c>
      <c r="T7094">
        <v>7.3901529999999993E-2</v>
      </c>
      <c r="U7094">
        <v>0.78186040000000001</v>
      </c>
      <c r="V7094">
        <v>-2.003812E-2</v>
      </c>
      <c r="W7094">
        <v>0.1994522</v>
      </c>
      <c r="X7094">
        <v>0.97970270000000004</v>
      </c>
      <c r="Y7094">
        <v>-0.24765760000000001</v>
      </c>
      <c r="Z7094">
        <v>-1.589944E-3</v>
      </c>
      <c r="AA7094">
        <v>0.96884630000000005</v>
      </c>
      <c r="AB7094">
        <v>33</v>
      </c>
      <c r="AC7094">
        <v>69.366</v>
      </c>
      <c r="AD7094">
        <v>1.6985870000000001</v>
      </c>
      <c r="AE7094">
        <v>17.969360000000002</v>
      </c>
      <c r="AF7094">
        <v>-17.776376340279899</v>
      </c>
      <c r="AG7094">
        <v>1.6985870000000001</v>
      </c>
      <c r="AH7094">
        <v>69.374164957352505</v>
      </c>
      <c r="AI7094">
        <v>88.641304253182298</v>
      </c>
      <c r="AJ7094">
        <v>104.372194770834</v>
      </c>
      <c r="AK7094">
        <v>71.635602301633497</v>
      </c>
      <c r="AL7094">
        <v>78.495073489907895</v>
      </c>
      <c r="AM7094">
        <v>91.171722450461203</v>
      </c>
      <c r="AN7094">
        <v>1.0000000433626299</v>
      </c>
    </row>
    <row r="7095" spans="1:40" x14ac:dyDescent="0.25">
      <c r="A7095" t="str">
        <f>"20190303170427601"</f>
        <v>20190303170427601</v>
      </c>
      <c r="B7095" t="str">
        <f>"1551603867592744"</f>
        <v>1551603867592744</v>
      </c>
      <c r="C7095" t="s">
        <v>40</v>
      </c>
      <c r="D7095">
        <v>4.47098</v>
      </c>
      <c r="E7095">
        <v>0.41349180000000002</v>
      </c>
      <c r="F7095" t="s">
        <v>55</v>
      </c>
      <c r="G7095">
        <v>-157.3501</v>
      </c>
      <c r="H7095">
        <v>2.777552</v>
      </c>
      <c r="I7095">
        <v>-46.030949999999997</v>
      </c>
      <c r="J7095">
        <v>-226.5538</v>
      </c>
      <c r="K7095">
        <v>1.122153</v>
      </c>
      <c r="L7095">
        <v>-63.999879999999997</v>
      </c>
      <c r="M7095">
        <v>0.99994209999999994</v>
      </c>
      <c r="N7095">
        <v>-1.031514E-2</v>
      </c>
      <c r="O7095">
        <v>3.1028100000000001E-3</v>
      </c>
      <c r="P7095">
        <v>0.98179329999999998</v>
      </c>
      <c r="Q7095">
        <v>0.18851999999999999</v>
      </c>
      <c r="R7095">
        <v>2.3286109999999999E-2</v>
      </c>
      <c r="S7095">
        <v>3.0244599999999999</v>
      </c>
      <c r="T7095">
        <v>7.2175740000000002E-2</v>
      </c>
      <c r="U7095">
        <v>0.78350830000000005</v>
      </c>
      <c r="V7095">
        <v>-2.0662179999999999E-2</v>
      </c>
      <c r="W7095">
        <v>0.1985942</v>
      </c>
      <c r="X7095">
        <v>0.97986399999999996</v>
      </c>
      <c r="Y7095">
        <v>-0.2477394</v>
      </c>
      <c r="Z7095">
        <v>-1.50472E-3</v>
      </c>
      <c r="AA7095">
        <v>0.96882559999999995</v>
      </c>
      <c r="AB7095">
        <v>33</v>
      </c>
      <c r="AC7095">
        <v>69.203699999999998</v>
      </c>
      <c r="AD7095">
        <v>1.6553990000000001</v>
      </c>
      <c r="AE7095">
        <v>17.96893</v>
      </c>
      <c r="AF7095">
        <v>-17.7445940337976</v>
      </c>
      <c r="AG7095">
        <v>1.6553990000000001</v>
      </c>
      <c r="AH7095">
        <v>69.2220169723156</v>
      </c>
      <c r="AI7095">
        <v>88.672961544299199</v>
      </c>
      <c r="AJ7095">
        <v>104.37779003883701</v>
      </c>
      <c r="AK7095">
        <v>71.479357838393</v>
      </c>
      <c r="AL7095">
        <v>78.5452365277187</v>
      </c>
      <c r="AM7095">
        <v>91.208004670269801</v>
      </c>
      <c r="AN7095">
        <v>1.00000002022599</v>
      </c>
    </row>
    <row r="7096" spans="1:40" x14ac:dyDescent="0.25">
      <c r="A7096" t="str">
        <f>"20190303170427612"</f>
        <v>20190303170427612</v>
      </c>
      <c r="B7096" t="str">
        <f>"1551603867602504"</f>
        <v>1551603867602504</v>
      </c>
      <c r="C7096" t="s">
        <v>40</v>
      </c>
      <c r="D7096">
        <v>4.3689939999999998</v>
      </c>
      <c r="E7096">
        <v>0.39155909999999999</v>
      </c>
      <c r="F7096" t="s">
        <v>55</v>
      </c>
      <c r="G7096">
        <v>-157.3501</v>
      </c>
      <c r="H7096">
        <v>2.6970049999999999</v>
      </c>
      <c r="I7096">
        <v>-46.001019999999997</v>
      </c>
      <c r="J7096">
        <v>-226.3862</v>
      </c>
      <c r="K7096">
        <v>1.1221219999999901</v>
      </c>
      <c r="L7096">
        <v>-63.998899999999999</v>
      </c>
      <c r="M7096">
        <v>0.9999403</v>
      </c>
      <c r="N7096">
        <v>-1.033385E-2</v>
      </c>
      <c r="O7096">
        <v>3.5671499999999998E-3</v>
      </c>
      <c r="P7096">
        <v>0.98199619999999999</v>
      </c>
      <c r="Q7096">
        <v>0.18732209999999999</v>
      </c>
      <c r="R7096">
        <v>2.4370989999999999E-2</v>
      </c>
      <c r="S7096">
        <v>3.0237729999999998</v>
      </c>
      <c r="T7096">
        <v>6.8810339999999998E-2</v>
      </c>
      <c r="U7096">
        <v>0.78643799999999997</v>
      </c>
      <c r="V7096">
        <v>-2.127333E-2</v>
      </c>
      <c r="W7096">
        <v>0.1974178</v>
      </c>
      <c r="X7096">
        <v>0.98008859999999998</v>
      </c>
      <c r="Y7096">
        <v>-0.2482269</v>
      </c>
      <c r="Z7096">
        <v>-1.3580689999999999E-3</v>
      </c>
      <c r="AA7096">
        <v>0.96870089999999998</v>
      </c>
      <c r="AB7096">
        <v>33</v>
      </c>
      <c r="AC7096">
        <v>69.036100000000005</v>
      </c>
      <c r="AD7096">
        <v>1.574883</v>
      </c>
      <c r="AE7096">
        <v>17.997879999999899</v>
      </c>
      <c r="AF7096">
        <v>-17.742844324170001</v>
      </c>
      <c r="AG7096">
        <v>1.574883</v>
      </c>
      <c r="AH7096">
        <v>69.066210070607795</v>
      </c>
      <c r="AI7096">
        <v>88.734806383046603</v>
      </c>
      <c r="AJ7096">
        <v>104.407514421765</v>
      </c>
      <c r="AK7096">
        <v>71.326223471404504</v>
      </c>
      <c r="AL7096">
        <v>78.614000564398296</v>
      </c>
      <c r="AM7096">
        <v>91.243439280658805</v>
      </c>
      <c r="AN7096">
        <v>1.00000000308804</v>
      </c>
    </row>
    <row r="7097" spans="1:40" x14ac:dyDescent="0.25">
      <c r="A7097" t="str">
        <f>"20190303170427623"</f>
        <v>20190303170427623</v>
      </c>
      <c r="B7097" t="str">
        <f>"1551603867612265"</f>
        <v>1551603867612265</v>
      </c>
      <c r="C7097" t="s">
        <v>40</v>
      </c>
      <c r="D7097">
        <v>4.3784140000000003</v>
      </c>
      <c r="E7097">
        <v>0.38537480000000002</v>
      </c>
      <c r="F7097" t="s">
        <v>55</v>
      </c>
      <c r="G7097">
        <v>-157.3501</v>
      </c>
      <c r="H7097">
        <v>2.808643</v>
      </c>
      <c r="I7097">
        <v>-41.944209999999998</v>
      </c>
      <c r="J7097">
        <v>-226.22460000000001</v>
      </c>
      <c r="K7097">
        <v>1.1220840000000001</v>
      </c>
      <c r="L7097">
        <v>-63.997919999999901</v>
      </c>
      <c r="M7097">
        <v>0.99993860000000001</v>
      </c>
      <c r="N7097">
        <v>-1.03515E-2</v>
      </c>
      <c r="O7097">
        <v>3.980145E-3</v>
      </c>
      <c r="P7097">
        <v>0.98215410000000003</v>
      </c>
      <c r="Q7097">
        <v>0.18632670000000001</v>
      </c>
      <c r="R7097">
        <v>2.5609860000000002E-2</v>
      </c>
      <c r="S7097">
        <v>3.017029</v>
      </c>
      <c r="T7097">
        <v>7.3703649999999996E-2</v>
      </c>
      <c r="U7097">
        <v>0.96383669999999999</v>
      </c>
      <c r="V7097">
        <v>-2.2088119999999999E-2</v>
      </c>
      <c r="W7097">
        <v>0.1964417</v>
      </c>
      <c r="X7097">
        <v>0.98026670000000005</v>
      </c>
      <c r="Y7097">
        <v>-0.30047740000000001</v>
      </c>
      <c r="Z7097">
        <v>-1.852399E-3</v>
      </c>
      <c r="AA7097">
        <v>0.9537871</v>
      </c>
      <c r="AB7097">
        <v>33</v>
      </c>
      <c r="AC7097">
        <v>68.874499999999998</v>
      </c>
      <c r="AD7097">
        <v>1.6865589999999999</v>
      </c>
      <c r="AE7097">
        <v>22.053709999999899</v>
      </c>
      <c r="AF7097">
        <v>-21.767551393190601</v>
      </c>
      <c r="AG7097">
        <v>1.6865589999999999</v>
      </c>
      <c r="AH7097">
        <v>68.924250134260504</v>
      </c>
      <c r="AI7097">
        <v>88.663318148579506</v>
      </c>
      <c r="AJ7097">
        <v>107.527079203196</v>
      </c>
      <c r="AK7097">
        <v>72.299536869096102</v>
      </c>
      <c r="AL7097">
        <v>78.6710441598198</v>
      </c>
      <c r="AM7097">
        <v>91.290813952530797</v>
      </c>
      <c r="AN7097">
        <v>1.0000000148364501</v>
      </c>
    </row>
    <row r="7098" spans="1:40" x14ac:dyDescent="0.25">
      <c r="A7098" t="str">
        <f>"20190303170427634"</f>
        <v>20190303170427634</v>
      </c>
      <c r="B7098" t="str">
        <f>"1551603867623001"</f>
        <v>1551603867623001</v>
      </c>
      <c r="C7098" t="s">
        <v>40</v>
      </c>
      <c r="D7098">
        <v>4.3226950000000004</v>
      </c>
      <c r="E7098">
        <v>0.38029849999999998</v>
      </c>
      <c r="F7098" t="s">
        <v>55</v>
      </c>
      <c r="G7098">
        <v>-157.3501</v>
      </c>
      <c r="H7098">
        <v>3.3499979999999998</v>
      </c>
      <c r="I7098">
        <v>-40.767580000000002</v>
      </c>
      <c r="J7098">
        <v>-226.0625</v>
      </c>
      <c r="K7098">
        <v>1.122042</v>
      </c>
      <c r="L7098">
        <v>-63.996920000000003</v>
      </c>
      <c r="M7098">
        <v>0.99993659999999995</v>
      </c>
      <c r="N7098">
        <v>-1.0369110000000001E-2</v>
      </c>
      <c r="O7098">
        <v>4.3849580000000004E-3</v>
      </c>
      <c r="P7098">
        <v>0.982298</v>
      </c>
      <c r="Q7098">
        <v>0.18542690000000001</v>
      </c>
      <c r="R7098">
        <v>2.660413E-2</v>
      </c>
      <c r="S7098">
        <v>3.0095519999999998</v>
      </c>
      <c r="T7098">
        <v>9.7350240000000005E-2</v>
      </c>
      <c r="U7098">
        <v>1.0150760000000001</v>
      </c>
      <c r="V7098">
        <v>-2.266572E-2</v>
      </c>
      <c r="W7098">
        <v>0.19556119999999999</v>
      </c>
      <c r="X7098">
        <v>0.98042949999999995</v>
      </c>
      <c r="Y7098">
        <v>-0.31534380000000001</v>
      </c>
      <c r="Z7098">
        <v>-3.1002479999999999E-3</v>
      </c>
      <c r="AA7098">
        <v>0.9489725</v>
      </c>
      <c r="AB7098">
        <v>33</v>
      </c>
      <c r="AC7098">
        <v>68.712400000000002</v>
      </c>
      <c r="AD7098">
        <v>2.2279559999999998</v>
      </c>
      <c r="AE7098">
        <v>23.229340000000001</v>
      </c>
      <c r="AF7098">
        <v>-22.906187301639498</v>
      </c>
      <c r="AG7098">
        <v>2.2279559999999998</v>
      </c>
      <c r="AH7098">
        <v>68.748739555551794</v>
      </c>
      <c r="AI7098">
        <v>88.238964834295601</v>
      </c>
      <c r="AJ7098">
        <v>108.42740339916899</v>
      </c>
      <c r="AK7098">
        <v>72.498595814766105</v>
      </c>
      <c r="AL7098">
        <v>78.722490364048298</v>
      </c>
      <c r="AM7098">
        <v>91.324336748014701</v>
      </c>
      <c r="AN7098">
        <v>0.99999996113940304</v>
      </c>
    </row>
    <row r="7099" spans="1:40" x14ac:dyDescent="0.25">
      <c r="A7099" t="str">
        <f>"20190303170427647"</f>
        <v>20190303170427647</v>
      </c>
      <c r="B7099" t="str">
        <f>"1551603867642519"</f>
        <v>1551603867642519</v>
      </c>
      <c r="C7099" t="s">
        <v>40</v>
      </c>
      <c r="D7099">
        <v>4.311375</v>
      </c>
      <c r="E7099">
        <v>0.37470429999999999</v>
      </c>
      <c r="F7099" t="s">
        <v>55</v>
      </c>
      <c r="G7099">
        <v>-157.3501</v>
      </c>
      <c r="H7099">
        <v>3.4947050000000002</v>
      </c>
      <c r="I7099">
        <v>-39.809469999999997</v>
      </c>
      <c r="J7099">
        <v>-225.89019999999999</v>
      </c>
      <c r="K7099">
        <v>1.1219969999999999</v>
      </c>
      <c r="L7099">
        <v>-63.995730000000002</v>
      </c>
      <c r="M7099">
        <v>0.99993480000000001</v>
      </c>
      <c r="N7099">
        <v>-1.038595E-2</v>
      </c>
      <c r="O7099">
        <v>4.7603530000000002E-3</v>
      </c>
      <c r="P7099">
        <v>0.9823075</v>
      </c>
      <c r="Q7099">
        <v>0.18529029999999999</v>
      </c>
      <c r="R7099">
        <v>2.7201630000000001E-2</v>
      </c>
      <c r="S7099">
        <v>3.005814</v>
      </c>
      <c r="T7099">
        <v>0.1037908</v>
      </c>
      <c r="U7099">
        <v>1.0580750000000001</v>
      </c>
      <c r="V7099">
        <v>-2.2873830000000001E-2</v>
      </c>
      <c r="W7099">
        <v>0.19544329999999999</v>
      </c>
      <c r="X7099">
        <v>0.98044819999999999</v>
      </c>
      <c r="Y7099">
        <v>-0.32743139999999998</v>
      </c>
      <c r="Z7099">
        <v>-3.5287399999999998E-3</v>
      </c>
      <c r="AA7099">
        <v>0.94486829999999999</v>
      </c>
      <c r="AB7099">
        <v>33</v>
      </c>
      <c r="AC7099">
        <v>68.540099999999995</v>
      </c>
      <c r="AD7099">
        <v>2.3727079999999998</v>
      </c>
      <c r="AE7099">
        <v>24.186260000000001</v>
      </c>
      <c r="AF7099">
        <v>-23.834293307379902</v>
      </c>
      <c r="AG7099">
        <v>2.3727079999999998</v>
      </c>
      <c r="AH7099">
        <v>68.581378157442998</v>
      </c>
      <c r="AI7099">
        <v>88.128257265594598</v>
      </c>
      <c r="AJ7099">
        <v>109.16402728137901</v>
      </c>
      <c r="AK7099">
        <v>72.643710744218495</v>
      </c>
      <c r="AL7099">
        <v>78.729378718335298</v>
      </c>
      <c r="AM7099">
        <v>91.336466548182798</v>
      </c>
      <c r="AN7099">
        <v>0.99999998424849901</v>
      </c>
    </row>
    <row r="7100" spans="1:40" x14ac:dyDescent="0.25">
      <c r="A7100" t="str">
        <f>"20190303170427659"</f>
        <v>20190303170427659</v>
      </c>
      <c r="B7100" t="str">
        <f>"1551603867652279"</f>
        <v>1551603867652279</v>
      </c>
      <c r="C7100" t="s">
        <v>40</v>
      </c>
      <c r="D7100">
        <v>4.2969850000000003</v>
      </c>
      <c r="E7100">
        <v>0.3734113</v>
      </c>
      <c r="F7100" t="s">
        <v>45</v>
      </c>
      <c r="G7100">
        <v>-177.55690000000001</v>
      </c>
      <c r="H7100">
        <v>3.122198</v>
      </c>
      <c r="I7100">
        <v>-46.210630000000002</v>
      </c>
      <c r="J7100">
        <v>-225.7123</v>
      </c>
      <c r="K7100">
        <v>1.1219509999999999</v>
      </c>
      <c r="L7100">
        <v>-63.994540000000001</v>
      </c>
      <c r="M7100">
        <v>0.99993279999999995</v>
      </c>
      <c r="N7100">
        <v>-1.0403859999999999E-2</v>
      </c>
      <c r="O7100">
        <v>5.1274099999999998E-3</v>
      </c>
      <c r="P7100">
        <v>0.98225819999999997</v>
      </c>
      <c r="Q7100">
        <v>0.18551100000000001</v>
      </c>
      <c r="R7100">
        <v>2.7473529999999999E-2</v>
      </c>
      <c r="S7100">
        <v>3.0000309999999999</v>
      </c>
      <c r="T7100">
        <v>0.1241515</v>
      </c>
      <c r="U7100">
        <v>1.103912</v>
      </c>
      <c r="V7100">
        <v>-2.2762859999999999E-2</v>
      </c>
      <c r="W7100">
        <v>0.19568369999999999</v>
      </c>
      <c r="X7100">
        <v>0.98040280000000002</v>
      </c>
      <c r="Y7100">
        <v>-0.34033340000000001</v>
      </c>
      <c r="Z7100">
        <v>-4.7318730000000002E-3</v>
      </c>
      <c r="AA7100">
        <v>0.94029300000000005</v>
      </c>
      <c r="AB7100">
        <v>33</v>
      </c>
      <c r="AC7100">
        <v>48.155399999999901</v>
      </c>
      <c r="AD7100">
        <v>2.0002469999999999</v>
      </c>
      <c r="AE7100">
        <v>17.783909999999999</v>
      </c>
      <c r="AF7100">
        <v>-17.510165031103298</v>
      </c>
      <c r="AG7100">
        <v>2.0002469999999999</v>
      </c>
      <c r="AH7100">
        <v>48.172817392742097</v>
      </c>
      <c r="AI7100">
        <v>87.765207477978805</v>
      </c>
      <c r="AJ7100">
        <v>109.975518464063</v>
      </c>
      <c r="AK7100">
        <v>51.295489109978803</v>
      </c>
      <c r="AL7100">
        <v>78.715333273342495</v>
      </c>
      <c r="AM7100">
        <v>91.330046720797</v>
      </c>
      <c r="AN7100">
        <v>0.99999995424445298</v>
      </c>
    </row>
    <row r="7101" spans="1:40" x14ac:dyDescent="0.25">
      <c r="A7101" t="str">
        <f>"20190303170427668"</f>
        <v>20190303170427668</v>
      </c>
      <c r="B7101" t="str">
        <f>"1551603867663016"</f>
        <v>1551603867663016</v>
      </c>
      <c r="C7101" t="s">
        <v>40</v>
      </c>
      <c r="D7101">
        <v>4.3274809999999997</v>
      </c>
      <c r="E7101">
        <v>0.37218489999999999</v>
      </c>
      <c r="F7101" t="s">
        <v>55</v>
      </c>
      <c r="G7101">
        <v>-157.3501</v>
      </c>
      <c r="H7101">
        <v>4.0290299999999997</v>
      </c>
      <c r="I7101">
        <v>-38.567140000000002</v>
      </c>
      <c r="J7101">
        <v>-225.55619999999999</v>
      </c>
      <c r="K7101">
        <v>1.121904</v>
      </c>
      <c r="L7101">
        <v>-63.993470000000002</v>
      </c>
      <c r="M7101">
        <v>0.99993120000000002</v>
      </c>
      <c r="N7101">
        <v>-1.042061E-2</v>
      </c>
      <c r="O7101">
        <v>5.4101359999999899E-3</v>
      </c>
      <c r="P7101">
        <v>0.98214449999999998</v>
      </c>
      <c r="Q7101">
        <v>0.18616840000000001</v>
      </c>
      <c r="R7101">
        <v>2.7087010000000002E-2</v>
      </c>
      <c r="S7101">
        <v>2.9989170000000001</v>
      </c>
      <c r="T7101">
        <v>0.1275268</v>
      </c>
      <c r="U7101">
        <v>1.115448</v>
      </c>
      <c r="V7101">
        <v>-2.2078199999999999E-2</v>
      </c>
      <c r="W7101">
        <v>0.19636029999999999</v>
      </c>
      <c r="X7101">
        <v>0.98028320000000002</v>
      </c>
      <c r="Y7101">
        <v>-0.34334730000000002</v>
      </c>
      <c r="Z7101">
        <v>-4.9365549999999996E-3</v>
      </c>
      <c r="AA7101">
        <v>0.93919549999999996</v>
      </c>
      <c r="AB7101">
        <v>33</v>
      </c>
      <c r="AC7101">
        <v>68.206099999999907</v>
      </c>
      <c r="AD7101">
        <v>2.9071259999999999</v>
      </c>
      <c r="AE7101">
        <v>25.42633</v>
      </c>
      <c r="AF7101">
        <v>-25.017030654811801</v>
      </c>
      <c r="AG7101">
        <v>2.9071259999999999</v>
      </c>
      <c r="AH7101">
        <v>68.233834007306399</v>
      </c>
      <c r="AI7101">
        <v>87.709302109321499</v>
      </c>
      <c r="AJ7101">
        <v>110.13479209541801</v>
      </c>
      <c r="AK7101">
        <v>72.733481339066401</v>
      </c>
      <c r="AL7101">
        <v>78.675800313493895</v>
      </c>
      <c r="AM7101">
        <v>91.2902127211064</v>
      </c>
      <c r="AN7101">
        <v>0.99999998326678396</v>
      </c>
    </row>
    <row r="7102" spans="1:40" x14ac:dyDescent="0.25">
      <c r="A7102" t="str">
        <f>"20190303170427680"</f>
        <v>20190303170427680</v>
      </c>
      <c r="B7102" t="str">
        <f>"1551603867672777"</f>
        <v>1551603867672777</v>
      </c>
      <c r="C7102" t="s">
        <v>40</v>
      </c>
      <c r="D7102">
        <v>4.3912570000000004</v>
      </c>
      <c r="E7102">
        <v>0.37221589999999999</v>
      </c>
      <c r="F7102" t="s">
        <v>55</v>
      </c>
      <c r="G7102">
        <v>-157.3501</v>
      </c>
      <c r="H7102">
        <v>4.2692100000000002</v>
      </c>
      <c r="I7102">
        <v>-38.408360000000002</v>
      </c>
      <c r="J7102">
        <v>-225.4007</v>
      </c>
      <c r="K7102">
        <v>1.1218589999999999</v>
      </c>
      <c r="L7102">
        <v>-63.992339999999999</v>
      </c>
      <c r="M7102">
        <v>0.99992959999999997</v>
      </c>
      <c r="N7102">
        <v>-1.043727E-2</v>
      </c>
      <c r="O7102">
        <v>5.6658960000000001E-3</v>
      </c>
      <c r="P7102">
        <v>0.98215430000000004</v>
      </c>
      <c r="Q7102">
        <v>0.18612980000000001</v>
      </c>
      <c r="R7102">
        <v>2.6995720000000001E-2</v>
      </c>
      <c r="S7102">
        <v>2.9972989999999999</v>
      </c>
      <c r="T7102">
        <v>0.1383064</v>
      </c>
      <c r="U7102">
        <v>1.1243289999999999</v>
      </c>
      <c r="V7102">
        <v>-2.1713219999999998E-2</v>
      </c>
      <c r="W7102">
        <v>0.19634070000000001</v>
      </c>
      <c r="X7102">
        <v>0.98029529999999998</v>
      </c>
      <c r="Y7102">
        <v>-0.34567160000000002</v>
      </c>
      <c r="Z7102">
        <v>-5.5353800000000003E-3</v>
      </c>
      <c r="AA7102">
        <v>0.93833920000000004</v>
      </c>
      <c r="AB7102">
        <v>33</v>
      </c>
      <c r="AC7102">
        <v>68.050600000000003</v>
      </c>
      <c r="AD7102">
        <v>3.147351</v>
      </c>
      <c r="AE7102">
        <v>25.58398</v>
      </c>
      <c r="AF7102">
        <v>-25.150843598123199</v>
      </c>
      <c r="AG7102">
        <v>3.147351</v>
      </c>
      <c r="AH7102">
        <v>68.066902232835204</v>
      </c>
      <c r="AI7102">
        <v>87.516472580779094</v>
      </c>
      <c r="AJ7102">
        <v>110.279362624744</v>
      </c>
      <c r="AK7102">
        <v>72.633146232204496</v>
      </c>
      <c r="AL7102">
        <v>78.676945852355601</v>
      </c>
      <c r="AM7102">
        <v>91.268875281067494</v>
      </c>
      <c r="AN7102">
        <v>1.0000000048006701</v>
      </c>
    </row>
    <row r="7103" spans="1:40" x14ac:dyDescent="0.25">
      <c r="A7103" t="str">
        <f>"20190303170427690"</f>
        <v>20190303170427690</v>
      </c>
      <c r="B7103" t="str">
        <f>"1551603867682536"</f>
        <v>1551603867682536</v>
      </c>
      <c r="C7103" t="s">
        <v>40</v>
      </c>
      <c r="D7103">
        <v>4.2821629999999997</v>
      </c>
      <c r="E7103">
        <v>0.37139159999999999</v>
      </c>
      <c r="F7103" t="s">
        <v>55</v>
      </c>
      <c r="G7103">
        <v>-157.3501</v>
      </c>
      <c r="H7103">
        <v>4.1703720000000004</v>
      </c>
      <c r="I7103">
        <v>-38.471339999999998</v>
      </c>
      <c r="J7103">
        <v>-225.2431</v>
      </c>
      <c r="K7103">
        <v>1.1218090000000001</v>
      </c>
      <c r="L7103">
        <v>-63.991210000000002</v>
      </c>
      <c r="M7103">
        <v>0.99992809999999999</v>
      </c>
      <c r="N7103">
        <v>-1.0454099999999999E-2</v>
      </c>
      <c r="O7103">
        <v>5.895572E-3</v>
      </c>
      <c r="P7103">
        <v>0.98225859999999998</v>
      </c>
      <c r="Q7103">
        <v>0.18562709999999999</v>
      </c>
      <c r="R7103">
        <v>2.666379E-2</v>
      </c>
      <c r="S7103">
        <v>2.998138</v>
      </c>
      <c r="T7103">
        <v>0.13430880000000001</v>
      </c>
      <c r="U7103">
        <v>1.12439</v>
      </c>
      <c r="V7103">
        <v>-2.1130050000000001E-2</v>
      </c>
      <c r="W7103">
        <v>0.19585949999999999</v>
      </c>
      <c r="X7103">
        <v>0.98040430000000001</v>
      </c>
      <c r="Y7103">
        <v>-0.34540290000000001</v>
      </c>
      <c r="Z7103">
        <v>-5.2984729999999997E-3</v>
      </c>
      <c r="AA7103">
        <v>0.93843949999999998</v>
      </c>
      <c r="AB7103">
        <v>33</v>
      </c>
      <c r="AC7103">
        <v>67.893000000000001</v>
      </c>
      <c r="AD7103">
        <v>3.0485630000000001</v>
      </c>
      <c r="AE7103">
        <v>25.519869999999901</v>
      </c>
      <c r="AF7103">
        <v>-25.0748386569886</v>
      </c>
      <c r="AG7103">
        <v>3.0485630000000001</v>
      </c>
      <c r="AH7103">
        <v>67.9222890320044</v>
      </c>
      <c r="AI7103">
        <v>87.588955716783801</v>
      </c>
      <c r="AJ7103">
        <v>110.26260898273701</v>
      </c>
      <c r="AK7103">
        <v>72.467086441957406</v>
      </c>
      <c r="AL7103">
        <v>78.705062524096903</v>
      </c>
      <c r="AM7103">
        <v>91.234669498150495</v>
      </c>
      <c r="AN7103">
        <v>1.0000000071058699</v>
      </c>
    </row>
    <row r="7104" spans="1:40" x14ac:dyDescent="0.25">
      <c r="A7104" t="str">
        <f>"20190303170427702"</f>
        <v>20190303170427702</v>
      </c>
      <c r="B7104" t="str">
        <f>"1551603867692296"</f>
        <v>1551603867692296</v>
      </c>
      <c r="C7104" t="s">
        <v>40</v>
      </c>
      <c r="D7104">
        <v>4.4213589999999998</v>
      </c>
      <c r="E7104">
        <v>0.37148379999999998</v>
      </c>
      <c r="F7104" t="s">
        <v>55</v>
      </c>
      <c r="G7104">
        <v>-157.3501</v>
      </c>
      <c r="H7104">
        <v>4.167611</v>
      </c>
      <c r="I7104">
        <v>-38.410870000000003</v>
      </c>
      <c r="J7104">
        <v>-225.08080000000001</v>
      </c>
      <c r="K7104">
        <v>1.121758</v>
      </c>
      <c r="L7104">
        <v>-63.990049999999997</v>
      </c>
      <c r="M7104">
        <v>0.99992669999999995</v>
      </c>
      <c r="N7104">
        <v>-1.0470429999999999E-2</v>
      </c>
      <c r="O7104">
        <v>6.0935479999999998E-3</v>
      </c>
      <c r="P7104">
        <v>0.98245249999999995</v>
      </c>
      <c r="Q7104">
        <v>0.18459300000000001</v>
      </c>
      <c r="R7104">
        <v>2.6699779999999999E-2</v>
      </c>
      <c r="S7104">
        <v>2.9981080000000002</v>
      </c>
      <c r="T7104">
        <v>0.13449939999999999</v>
      </c>
      <c r="U7104">
        <v>1.1296079999999999</v>
      </c>
      <c r="V7104">
        <v>-2.094362E-2</v>
      </c>
      <c r="W7104">
        <v>0.19484660000000001</v>
      </c>
      <c r="X7104">
        <v>0.98061010000000004</v>
      </c>
      <c r="Y7104">
        <v>-0.34665020000000002</v>
      </c>
      <c r="Z7104">
        <v>-5.3128419999999999E-3</v>
      </c>
      <c r="AA7104">
        <v>0.93797949999999997</v>
      </c>
      <c r="AB7104">
        <v>33</v>
      </c>
      <c r="AC7104">
        <v>67.730699999999999</v>
      </c>
      <c r="AD7104">
        <v>3.0458529999999899</v>
      </c>
      <c r="AE7104">
        <v>25.579179999999901</v>
      </c>
      <c r="AF7104">
        <v>-25.121500309550299</v>
      </c>
      <c r="AG7104">
        <v>3.0458529999999899</v>
      </c>
      <c r="AH7104">
        <v>67.765382723770202</v>
      </c>
      <c r="AI7104">
        <v>87.586736270769293</v>
      </c>
      <c r="AJ7104">
        <v>110.340392114153</v>
      </c>
      <c r="AK7104">
        <v>72.336118875699995</v>
      </c>
      <c r="AL7104">
        <v>78.764237472406293</v>
      </c>
      <c r="AM7104">
        <v>91.223522606212299</v>
      </c>
      <c r="AN7104">
        <v>1.00000000048613</v>
      </c>
    </row>
    <row r="7105" spans="1:40" x14ac:dyDescent="0.25">
      <c r="A7105" t="str">
        <f>"20190303170427711"</f>
        <v>20190303170427711</v>
      </c>
      <c r="B7105" t="str">
        <f>"1551603867703032"</f>
        <v>1551603867703032</v>
      </c>
      <c r="C7105" t="s">
        <v>40</v>
      </c>
      <c r="D7105">
        <v>4.3303019999999997</v>
      </c>
      <c r="E7105">
        <v>0.3706971</v>
      </c>
      <c r="F7105" t="s">
        <v>55</v>
      </c>
      <c r="G7105">
        <v>-157.3501</v>
      </c>
      <c r="H7105">
        <v>3.9822639999999998</v>
      </c>
      <c r="I7105">
        <v>-38.494480000000003</v>
      </c>
      <c r="J7105">
        <v>-224.92660000000001</v>
      </c>
      <c r="K7105">
        <v>1.121702</v>
      </c>
      <c r="L7105">
        <v>-63.988919999999901</v>
      </c>
      <c r="M7105">
        <v>0.99992559999999997</v>
      </c>
      <c r="N7105">
        <v>-1.0485339999999999E-2</v>
      </c>
      <c r="O7105">
        <v>6.2582779999999999E-3</v>
      </c>
      <c r="P7105">
        <v>0.9826608</v>
      </c>
      <c r="Q7105">
        <v>0.1834605</v>
      </c>
      <c r="R7105">
        <v>2.6833989999999999E-2</v>
      </c>
      <c r="S7105">
        <v>2.9990999999999999</v>
      </c>
      <c r="T7105">
        <v>0.12666150000000001</v>
      </c>
      <c r="U7105">
        <v>1.1289370000000001</v>
      </c>
      <c r="V7105">
        <v>-2.0888469999999999E-2</v>
      </c>
      <c r="W7105">
        <v>0.1937333</v>
      </c>
      <c r="X7105">
        <v>0.98083180000000003</v>
      </c>
      <c r="Y7105">
        <v>-0.34623930000000003</v>
      </c>
      <c r="Z7105">
        <v>-4.8717099999999996E-3</v>
      </c>
      <c r="AA7105">
        <v>0.93813360000000001</v>
      </c>
      <c r="AB7105">
        <v>33</v>
      </c>
      <c r="AC7105">
        <v>67.576499999999996</v>
      </c>
      <c r="AD7105">
        <v>2.8605619999999998</v>
      </c>
      <c r="AE7105">
        <v>25.494440000000001</v>
      </c>
      <c r="AF7105">
        <v>-25.031739541427701</v>
      </c>
      <c r="AG7105">
        <v>2.8605619999999998</v>
      </c>
      <c r="AH7105">
        <v>67.628652476054796</v>
      </c>
      <c r="AI7105">
        <v>87.728381536875901</v>
      </c>
      <c r="AJ7105">
        <v>110.31128309104901</v>
      </c>
      <c r="AK7105">
        <v>72.169283183032306</v>
      </c>
      <c r="AL7105">
        <v>78.829263656490596</v>
      </c>
      <c r="AM7105">
        <v>91.220025983767002</v>
      </c>
      <c r="AN7105">
        <v>0.99999996979953498</v>
      </c>
    </row>
    <row r="7106" spans="1:40" x14ac:dyDescent="0.25">
      <c r="A7106" t="str">
        <f>"20190303170427723"</f>
        <v>20190303170427723</v>
      </c>
      <c r="B7106" t="str">
        <f>"1551603867712793"</f>
        <v>1551603867712793</v>
      </c>
      <c r="C7106" t="s">
        <v>40</v>
      </c>
      <c r="D7106">
        <v>4.323874</v>
      </c>
      <c r="E7106">
        <v>0.36999189999999998</v>
      </c>
      <c r="F7106" t="s">
        <v>55</v>
      </c>
      <c r="G7106">
        <v>-157.3501</v>
      </c>
      <c r="H7106">
        <v>3.9741010000000001</v>
      </c>
      <c r="I7106">
        <v>-38.410530000000001</v>
      </c>
      <c r="J7106">
        <v>-224.76060000000001</v>
      </c>
      <c r="K7106">
        <v>1.121642</v>
      </c>
      <c r="L7106">
        <v>-63.987729999999999</v>
      </c>
      <c r="M7106">
        <v>0.99992460000000005</v>
      </c>
      <c r="N7106">
        <v>-1.050037E-2</v>
      </c>
      <c r="O7106">
        <v>6.3884359999999999E-3</v>
      </c>
      <c r="P7106">
        <v>0.98278220000000005</v>
      </c>
      <c r="Q7106">
        <v>0.1828081</v>
      </c>
      <c r="R7106">
        <v>2.684833E-2</v>
      </c>
      <c r="S7106">
        <v>2.9983059999999999</v>
      </c>
      <c r="T7106">
        <v>0.12655719999999901</v>
      </c>
      <c r="U7106">
        <v>1.1348879999999999</v>
      </c>
      <c r="V7106">
        <v>-2.074705E-2</v>
      </c>
      <c r="W7106">
        <v>0.19310040000000001</v>
      </c>
      <c r="X7106">
        <v>0.98095969999999999</v>
      </c>
      <c r="Y7106">
        <v>-0.34782800000000003</v>
      </c>
      <c r="Z7106">
        <v>-4.8792509999999898E-3</v>
      </c>
      <c r="AA7106">
        <v>0.93754570000000004</v>
      </c>
      <c r="AB7106">
        <v>33</v>
      </c>
      <c r="AC7106">
        <v>67.410499999999999</v>
      </c>
      <c r="AD7106">
        <v>2.8524590000000001</v>
      </c>
      <c r="AE7106">
        <v>25.577200000000001</v>
      </c>
      <c r="AF7106">
        <v>-25.106709464639898</v>
      </c>
      <c r="AG7106">
        <v>2.8524590000000001</v>
      </c>
      <c r="AH7106">
        <v>67.466931838484498</v>
      </c>
      <c r="AI7106">
        <v>87.730863655515193</v>
      </c>
      <c r="AJ7106">
        <v>110.4119228828</v>
      </c>
      <c r="AK7106">
        <v>72.043530411739496</v>
      </c>
      <c r="AL7106">
        <v>78.866225209539195</v>
      </c>
      <c r="AM7106">
        <v>91.2116106373214</v>
      </c>
      <c r="AN7106">
        <v>1.0000000687939701</v>
      </c>
    </row>
    <row r="7107" spans="1:40" x14ac:dyDescent="0.25">
      <c r="A7107" t="str">
        <f>"20190303170427734"</f>
        <v>20190303170427734</v>
      </c>
      <c r="B7107" t="str">
        <f>"1551603867722552"</f>
        <v>1551603867722552</v>
      </c>
      <c r="C7107" t="s">
        <v>40</v>
      </c>
      <c r="D7107">
        <v>4.355728</v>
      </c>
      <c r="E7107">
        <v>0.36937310000000001</v>
      </c>
      <c r="F7107" t="s">
        <v>55</v>
      </c>
      <c r="G7107">
        <v>-157.3501</v>
      </c>
      <c r="H7107">
        <v>4.022932</v>
      </c>
      <c r="I7107">
        <v>-38.34084</v>
      </c>
      <c r="J7107">
        <v>-224.59710000000001</v>
      </c>
      <c r="K7107">
        <v>1.1215850000000001</v>
      </c>
      <c r="L7107">
        <v>-63.986539999999998</v>
      </c>
      <c r="M7107">
        <v>0.99992369999999997</v>
      </c>
      <c r="N7107">
        <v>-1.0514880000000001E-2</v>
      </c>
      <c r="O7107">
        <v>6.5021439999999996E-3</v>
      </c>
      <c r="P7107">
        <v>0.98282700000000001</v>
      </c>
      <c r="Q7107">
        <v>0.1825619</v>
      </c>
      <c r="R7107">
        <v>2.6885220000000001E-2</v>
      </c>
      <c r="S7107">
        <v>2.9973909999999999</v>
      </c>
      <c r="T7107">
        <v>0.12900410000000001</v>
      </c>
      <c r="U7107">
        <v>1.1403810000000001</v>
      </c>
      <c r="V7107">
        <v>-2.0645569999999999E-2</v>
      </c>
      <c r="W7107">
        <v>0.1928716</v>
      </c>
      <c r="X7107">
        <v>0.98100679999999996</v>
      </c>
      <c r="Y7107">
        <v>-0.34930830000000002</v>
      </c>
      <c r="Z7107">
        <v>-5.0245840000000003E-3</v>
      </c>
      <c r="AA7107">
        <v>0.93699440000000001</v>
      </c>
      <c r="AB7107">
        <v>33</v>
      </c>
      <c r="AC7107">
        <v>67.247</v>
      </c>
      <c r="AD7107">
        <v>2.9013469999999999</v>
      </c>
      <c r="AE7107">
        <v>25.645700000000001</v>
      </c>
      <c r="AF7107">
        <v>-25.166985037897799</v>
      </c>
      <c r="AG7107">
        <v>2.9013469999999999</v>
      </c>
      <c r="AH7107">
        <v>67.302965190985105</v>
      </c>
      <c r="AI7107">
        <v>87.687761650453297</v>
      </c>
      <c r="AJ7107">
        <v>110.502567409894</v>
      </c>
      <c r="AK7107">
        <v>71.913031321250401</v>
      </c>
      <c r="AL7107">
        <v>78.879585062851604</v>
      </c>
      <c r="AM7107">
        <v>91.205628172350103</v>
      </c>
      <c r="AN7107">
        <v>1.0000000176467101</v>
      </c>
    </row>
    <row r="7108" spans="1:40" x14ac:dyDescent="0.25">
      <c r="A7108" t="str">
        <f>"20190303170427747"</f>
        <v>20190303170427747</v>
      </c>
      <c r="B7108" t="str">
        <f>"1551603867743048"</f>
        <v>1551603867743048</v>
      </c>
      <c r="C7108" t="s">
        <v>40</v>
      </c>
      <c r="D7108">
        <v>4.3246089999999997</v>
      </c>
      <c r="E7108">
        <v>0.3682936</v>
      </c>
      <c r="F7108" t="s">
        <v>55</v>
      </c>
      <c r="G7108">
        <v>-157.3501</v>
      </c>
      <c r="H7108">
        <v>4.0898960000000004</v>
      </c>
      <c r="I7108">
        <v>-38.283470000000001</v>
      </c>
      <c r="J7108">
        <v>-224.41569999999999</v>
      </c>
      <c r="K7108">
        <v>1.1215349999999999</v>
      </c>
      <c r="L7108">
        <v>-63.985259999999997</v>
      </c>
      <c r="M7108">
        <v>0.99992300000000001</v>
      </c>
      <c r="N7108">
        <v>-1.0533030000000001E-2</v>
      </c>
      <c r="O7108">
        <v>6.5754689999999996E-3</v>
      </c>
      <c r="P7108">
        <v>0.98275840000000003</v>
      </c>
      <c r="Q7108">
        <v>0.1829315</v>
      </c>
      <c r="R7108">
        <v>2.6874269999999999E-2</v>
      </c>
      <c r="S7108">
        <v>2.996521</v>
      </c>
      <c r="T7108">
        <v>0.13226660000000001</v>
      </c>
      <c r="U7108">
        <v>1.1453249999999999</v>
      </c>
      <c r="V7108">
        <v>-2.0536370000000002E-2</v>
      </c>
      <c r="W7108">
        <v>0.1932613</v>
      </c>
      <c r="X7108">
        <v>0.98093240000000004</v>
      </c>
      <c r="Y7108">
        <v>-0.35066629999999999</v>
      </c>
      <c r="Z7108">
        <v>-5.2148409999999996E-3</v>
      </c>
      <c r="AA7108">
        <v>0.93648589999999998</v>
      </c>
      <c r="AB7108">
        <v>33</v>
      </c>
      <c r="AC7108">
        <v>67.065599999999904</v>
      </c>
      <c r="AD7108">
        <v>2.9683609999999998</v>
      </c>
      <c r="AE7108">
        <v>25.7017899999999</v>
      </c>
      <c r="AF7108">
        <v>-25.2171479905832</v>
      </c>
      <c r="AG7108">
        <v>2.9683609999999998</v>
      </c>
      <c r="AH7108">
        <v>67.118513652479606</v>
      </c>
      <c r="AI7108">
        <v>87.629302830358398</v>
      </c>
      <c r="AJ7108">
        <v>110.591739872575</v>
      </c>
      <c r="AK7108">
        <v>71.760787305626593</v>
      </c>
      <c r="AL7108">
        <v>78.856828813496193</v>
      </c>
      <c r="AM7108">
        <v>91.199344078589306</v>
      </c>
      <c r="AN7108">
        <v>1.00000002297011</v>
      </c>
    </row>
    <row r="7109" spans="1:40" x14ac:dyDescent="0.25">
      <c r="A7109" t="str">
        <f>"20190303170427758"</f>
        <v>20190303170427758</v>
      </c>
      <c r="B7109" t="str">
        <f>"1551603867752809"</f>
        <v>1551603867752809</v>
      </c>
      <c r="C7109" t="s">
        <v>40</v>
      </c>
      <c r="D7109">
        <v>4.3489659999999999</v>
      </c>
      <c r="E7109">
        <v>0.36778749999999999</v>
      </c>
      <c r="F7109" t="s">
        <v>55</v>
      </c>
      <c r="G7109">
        <v>-157.3501</v>
      </c>
      <c r="H7109">
        <v>4.2733150000000002</v>
      </c>
      <c r="I7109">
        <v>-38.14472</v>
      </c>
      <c r="J7109">
        <v>-224.25139999999999</v>
      </c>
      <c r="K7109">
        <v>1.1214930000000001</v>
      </c>
      <c r="L7109">
        <v>-63.984070000000003</v>
      </c>
      <c r="M7109">
        <v>0.99992250000000005</v>
      </c>
      <c r="N7109">
        <v>-1.054945E-2</v>
      </c>
      <c r="O7109">
        <v>6.6279009999999899E-3</v>
      </c>
      <c r="P7109">
        <v>0.9826028</v>
      </c>
      <c r="Q7109">
        <v>0.1838177</v>
      </c>
      <c r="R7109">
        <v>2.6513479999999999E-2</v>
      </c>
      <c r="S7109">
        <v>2.9948730000000001</v>
      </c>
      <c r="T7109">
        <v>0.14074439999999999</v>
      </c>
      <c r="U7109">
        <v>1.153931</v>
      </c>
      <c r="V7109">
        <v>-2.0102849999999998E-2</v>
      </c>
      <c r="W7109">
        <v>0.19416459999999999</v>
      </c>
      <c r="X7109">
        <v>0.98076300000000005</v>
      </c>
      <c r="Y7109">
        <v>-0.35309849999999998</v>
      </c>
      <c r="Z7109">
        <v>-5.7103839999999998E-3</v>
      </c>
      <c r="AA7109">
        <v>0.93556870000000003</v>
      </c>
      <c r="AB7109">
        <v>33</v>
      </c>
      <c r="AC7109">
        <v>66.901299999999907</v>
      </c>
      <c r="AD7109">
        <v>3.1518220000000001</v>
      </c>
      <c r="AE7109">
        <v>25.83935</v>
      </c>
      <c r="AF7109">
        <v>-25.346388984651298</v>
      </c>
      <c r="AG7109">
        <v>3.1518220000000001</v>
      </c>
      <c r="AH7109">
        <v>66.941810274351695</v>
      </c>
      <c r="AI7109">
        <v>87.478759117402902</v>
      </c>
      <c r="AJ7109">
        <v>110.738327331845</v>
      </c>
      <c r="AK7109">
        <v>71.649001244178194</v>
      </c>
      <c r="AL7109">
        <v>78.804074457218306</v>
      </c>
      <c r="AM7109">
        <v>91.174235974915604</v>
      </c>
      <c r="AN7109">
        <v>1.00000003932014</v>
      </c>
    </row>
    <row r="7110" spans="1:40" x14ac:dyDescent="0.25">
      <c r="A7110" t="str">
        <f>"20190303170427769"</f>
        <v>20190303170427769</v>
      </c>
      <c r="B7110" t="str">
        <f>"1551603867762569"</f>
        <v>1551603867762569</v>
      </c>
      <c r="C7110" t="s">
        <v>40</v>
      </c>
      <c r="D7110">
        <v>4.351477</v>
      </c>
      <c r="E7110">
        <v>0.36731760000000002</v>
      </c>
      <c r="F7110" t="s">
        <v>55</v>
      </c>
      <c r="G7110">
        <v>-157.3501</v>
      </c>
      <c r="H7110">
        <v>4.4103159999999999</v>
      </c>
      <c r="I7110">
        <v>-38.130200000000002</v>
      </c>
      <c r="J7110">
        <v>-224.08670000000001</v>
      </c>
      <c r="K7110">
        <v>1.121459</v>
      </c>
      <c r="L7110">
        <v>-63.982939999999999</v>
      </c>
      <c r="M7110">
        <v>0.99992219999999998</v>
      </c>
      <c r="N7110">
        <v>-1.056583E-2</v>
      </c>
      <c r="O7110">
        <v>6.6492649999999997E-3</v>
      </c>
      <c r="P7110">
        <v>0.98242969999999996</v>
      </c>
      <c r="Q7110">
        <v>0.1847829</v>
      </c>
      <c r="R7110">
        <v>2.622035E-2</v>
      </c>
      <c r="S7110">
        <v>2.99437</v>
      </c>
      <c r="T7110">
        <v>0.1472</v>
      </c>
      <c r="U7110">
        <v>1.1571659999999999</v>
      </c>
      <c r="V7110">
        <v>-1.9769220000000001E-2</v>
      </c>
      <c r="W7110">
        <v>0.1951464</v>
      </c>
      <c r="X7110">
        <v>0.98057479999999997</v>
      </c>
      <c r="Y7110">
        <v>-0.3539832</v>
      </c>
      <c r="Z7110">
        <v>-6.0745919999999898E-3</v>
      </c>
      <c r="AA7110">
        <v>0.93523199999999995</v>
      </c>
      <c r="AB7110">
        <v>33</v>
      </c>
      <c r="AC7110">
        <v>66.736599999999996</v>
      </c>
      <c r="AD7110">
        <v>3.2888570000000001</v>
      </c>
      <c r="AE7110">
        <v>25.852740000000001</v>
      </c>
      <c r="AF7110">
        <v>-25.354851725986698</v>
      </c>
      <c r="AG7110">
        <v>3.2888570000000001</v>
      </c>
      <c r="AH7110">
        <v>66.766043847124493</v>
      </c>
      <c r="AI7110">
        <v>87.363356462236396</v>
      </c>
      <c r="AJ7110">
        <v>110.794608349877</v>
      </c>
      <c r="AK7110">
        <v>71.493983644845002</v>
      </c>
      <c r="AL7110">
        <v>78.746723306498296</v>
      </c>
      <c r="AM7110">
        <v>91.154975064595106</v>
      </c>
      <c r="AN7110">
        <v>0.99999993894370198</v>
      </c>
    </row>
    <row r="7111" spans="1:40" x14ac:dyDescent="0.25">
      <c r="A7111" t="str">
        <f>"20190303170427780"</f>
        <v>20190303170427780</v>
      </c>
      <c r="B7111" t="str">
        <f>"1551603867772328"</f>
        <v>1551603867772328</v>
      </c>
      <c r="C7111" t="s">
        <v>40</v>
      </c>
      <c r="D7111">
        <v>4.3376390000000002</v>
      </c>
      <c r="E7111">
        <v>0.3668495</v>
      </c>
      <c r="F7111" t="s">
        <v>55</v>
      </c>
      <c r="G7111">
        <v>-157.3501</v>
      </c>
      <c r="H7111">
        <v>4.5540649999999996</v>
      </c>
      <c r="I7111">
        <v>-38.119050000000001</v>
      </c>
      <c r="J7111">
        <v>-223.93709999999999</v>
      </c>
      <c r="K7111">
        <v>1.121429</v>
      </c>
      <c r="L7111">
        <v>-63.981929999999998</v>
      </c>
      <c r="M7111">
        <v>0.99992199999999998</v>
      </c>
      <c r="N7111">
        <v>-1.058131E-2</v>
      </c>
      <c r="O7111">
        <v>6.653427E-3</v>
      </c>
      <c r="P7111">
        <v>0.98232609999999998</v>
      </c>
      <c r="Q7111">
        <v>0.18536030000000001</v>
      </c>
      <c r="R7111">
        <v>2.6026669999999998E-2</v>
      </c>
      <c r="S7111">
        <v>2.9937130000000001</v>
      </c>
      <c r="T7111">
        <v>0.15398100000000001</v>
      </c>
      <c r="U7111">
        <v>1.1602170000000001</v>
      </c>
      <c r="V7111">
        <v>-1.9554120000000001E-2</v>
      </c>
      <c r="W7111">
        <v>0.1957393</v>
      </c>
      <c r="X7111">
        <v>0.98046100000000003</v>
      </c>
      <c r="Y7111">
        <v>-0.35484650000000001</v>
      </c>
      <c r="Z7111">
        <v>-6.4596119999999896E-3</v>
      </c>
      <c r="AA7111">
        <v>0.93490229999999996</v>
      </c>
      <c r="AB7111">
        <v>33</v>
      </c>
      <c r="AC7111">
        <v>66.586999999999904</v>
      </c>
      <c r="AD7111">
        <v>3.432636</v>
      </c>
      <c r="AE7111">
        <v>25.862880000000001</v>
      </c>
      <c r="AF7111">
        <v>-25.360689097830001</v>
      </c>
      <c r="AG7111">
        <v>3.432636</v>
      </c>
      <c r="AH7111">
        <v>66.603813519875402</v>
      </c>
      <c r="AI7111">
        <v>87.242497949796103</v>
      </c>
      <c r="AJ7111">
        <v>110.845298348963</v>
      </c>
      <c r="AK7111">
        <v>71.351352592754907</v>
      </c>
      <c r="AL7111">
        <v>78.712085386149894</v>
      </c>
      <c r="AM7111">
        <v>91.142544210713794</v>
      </c>
      <c r="AN7111">
        <v>1.00000000484723</v>
      </c>
    </row>
    <row r="7112" spans="1:40" x14ac:dyDescent="0.25">
      <c r="A7112" t="str">
        <f>"20190303170427789"</f>
        <v>20190303170427789</v>
      </c>
      <c r="B7112" t="str">
        <f>"1551603867783065"</f>
        <v>1551603867783065</v>
      </c>
      <c r="C7112" t="s">
        <v>40</v>
      </c>
      <c r="D7112">
        <v>4.3399199999999896</v>
      </c>
      <c r="E7112">
        <v>0.36647560000000001</v>
      </c>
      <c r="F7112" t="s">
        <v>55</v>
      </c>
      <c r="G7112">
        <v>-157.3501</v>
      </c>
      <c r="H7112">
        <v>4.6607900000000004</v>
      </c>
      <c r="I7112">
        <v>-38.101759999999999</v>
      </c>
      <c r="J7112">
        <v>-223.77510000000001</v>
      </c>
      <c r="K7112">
        <v>1.1213959999999901</v>
      </c>
      <c r="L7112">
        <v>-63.980800000000002</v>
      </c>
      <c r="M7112">
        <v>0.99992190000000003</v>
      </c>
      <c r="N7112">
        <v>-1.059888E-2</v>
      </c>
      <c r="O7112">
        <v>6.6387429999999999E-3</v>
      </c>
      <c r="P7112">
        <v>0.9823269</v>
      </c>
      <c r="Q7112">
        <v>0.18543850000000001</v>
      </c>
      <c r="R7112">
        <v>2.543132E-2</v>
      </c>
      <c r="S7112">
        <v>2.993134</v>
      </c>
      <c r="T7112">
        <v>0.1590956</v>
      </c>
      <c r="U7112">
        <v>1.16333</v>
      </c>
      <c r="V7112">
        <v>-1.8955779999999998E-2</v>
      </c>
      <c r="W7112">
        <v>0.19583709999999999</v>
      </c>
      <c r="X7112">
        <v>0.98045329999999997</v>
      </c>
      <c r="Y7112">
        <v>-0.35574159999999999</v>
      </c>
      <c r="Z7112">
        <v>-6.7558319999999998E-3</v>
      </c>
      <c r="AA7112">
        <v>0.9345599</v>
      </c>
      <c r="AB7112">
        <v>33</v>
      </c>
      <c r="AC7112">
        <v>66.424999999999997</v>
      </c>
      <c r="AD7112">
        <v>3.5393940000000002</v>
      </c>
      <c r="AE7112">
        <v>25.87904</v>
      </c>
      <c r="AF7112">
        <v>-25.3749164186708</v>
      </c>
      <c r="AG7112">
        <v>3.5393940000000002</v>
      </c>
      <c r="AH7112">
        <v>66.431593917612204</v>
      </c>
      <c r="AI7112">
        <v>87.150655307881905</v>
      </c>
      <c r="AJ7112">
        <v>110.905387363481</v>
      </c>
      <c r="AK7112">
        <v>71.200915468667304</v>
      </c>
      <c r="AL7112">
        <v>78.706372156539899</v>
      </c>
      <c r="AM7112">
        <v>91.107600839769802</v>
      </c>
      <c r="AN7112">
        <v>1.00000008240635</v>
      </c>
    </row>
    <row r="7113" spans="1:40" x14ac:dyDescent="0.25">
      <c r="A7113" t="str">
        <f>"20190303170427801"</f>
        <v>20190303170427801</v>
      </c>
      <c r="B7113" t="str">
        <f>"1551603867792824"</f>
        <v>1551603867792824</v>
      </c>
      <c r="C7113" t="s">
        <v>40</v>
      </c>
      <c r="D7113">
        <v>4.3739059999999998</v>
      </c>
      <c r="E7113">
        <v>0.3661259</v>
      </c>
      <c r="F7113" t="s">
        <v>55</v>
      </c>
      <c r="G7113">
        <v>-157.3501</v>
      </c>
      <c r="H7113">
        <v>4.7102500000000003</v>
      </c>
      <c r="I7113">
        <v>-38.140009999999997</v>
      </c>
      <c r="J7113">
        <v>-223.6123</v>
      </c>
      <c r="K7113">
        <v>1.1213610000000001</v>
      </c>
      <c r="L7113">
        <v>-63.97974</v>
      </c>
      <c r="M7113">
        <v>0.99992170000000002</v>
      </c>
      <c r="N7113">
        <v>-1.061819E-2</v>
      </c>
      <c r="O7113">
        <v>6.6065009999999999E-3</v>
      </c>
      <c r="P7113">
        <v>0.98239160000000003</v>
      </c>
      <c r="Q7113">
        <v>0.18512590000000001</v>
      </c>
      <c r="R7113">
        <v>2.5195639999999998E-2</v>
      </c>
      <c r="S7113">
        <v>2.9933010000000002</v>
      </c>
      <c r="T7113">
        <v>0.16172300000000001</v>
      </c>
      <c r="U7113">
        <v>1.1644589999999999</v>
      </c>
      <c r="V7113">
        <v>-1.8735290000000002E-2</v>
      </c>
      <c r="W7113">
        <v>0.19554530000000001</v>
      </c>
      <c r="X7113">
        <v>0.98051569999999999</v>
      </c>
      <c r="Y7113">
        <v>-0.35604750000000002</v>
      </c>
      <c r="Z7113">
        <v>-6.9039919999999899E-3</v>
      </c>
      <c r="AA7113">
        <v>0.93444229999999995</v>
      </c>
      <c r="AB7113">
        <v>33</v>
      </c>
      <c r="AC7113">
        <v>66.262200000000007</v>
      </c>
      <c r="AD7113">
        <v>3.588889</v>
      </c>
      <c r="AE7113">
        <v>25.839729999999999</v>
      </c>
      <c r="AF7113">
        <v>-25.3368647845511</v>
      </c>
      <c r="AG7113">
        <v>3.588889</v>
      </c>
      <c r="AH7113">
        <v>66.262748861286994</v>
      </c>
      <c r="AI7113">
        <v>87.103912479369001</v>
      </c>
      <c r="AJ7113">
        <v>110.92533750253899</v>
      </c>
      <c r="AK7113">
        <v>71.032307635462203</v>
      </c>
      <c r="AL7113">
        <v>78.723419822352298</v>
      </c>
      <c r="AM7113">
        <v>91.094650941701005</v>
      </c>
      <c r="AN7113">
        <v>1.0000000066949799</v>
      </c>
    </row>
    <row r="7114" spans="1:40" x14ac:dyDescent="0.25">
      <c r="A7114" t="str">
        <f>"20190303170427813"</f>
        <v>20190303170427813</v>
      </c>
      <c r="B7114" t="str">
        <f>"1551603867802584"</f>
        <v>1551603867802584</v>
      </c>
      <c r="C7114" t="s">
        <v>40</v>
      </c>
      <c r="D7114">
        <v>4.3658809999999999</v>
      </c>
      <c r="E7114">
        <v>0.36577080000000001</v>
      </c>
      <c r="F7114" t="s">
        <v>55</v>
      </c>
      <c r="G7114">
        <v>-157.3501</v>
      </c>
      <c r="H7114">
        <v>4.7328469999999996</v>
      </c>
      <c r="I7114">
        <v>-38.155279999999998</v>
      </c>
      <c r="J7114">
        <v>-223.4367</v>
      </c>
      <c r="K7114">
        <v>1.121326</v>
      </c>
      <c r="L7114">
        <v>-63.978610000000003</v>
      </c>
      <c r="M7114">
        <v>0.99992190000000003</v>
      </c>
      <c r="N7114">
        <v>-1.0640200000000001E-2</v>
      </c>
      <c r="O7114">
        <v>6.5590329999999997E-3</v>
      </c>
      <c r="P7114">
        <v>0.98246739999999999</v>
      </c>
      <c r="Q7114">
        <v>0.18478710000000001</v>
      </c>
      <c r="R7114">
        <v>2.4730510000000001E-2</v>
      </c>
      <c r="S7114">
        <v>2.9931030000000001</v>
      </c>
      <c r="T7114">
        <v>0.16313179999999999</v>
      </c>
      <c r="U7114">
        <v>1.166504</v>
      </c>
      <c r="V7114">
        <v>-1.829977E-2</v>
      </c>
      <c r="W7114">
        <v>0.1952305</v>
      </c>
      <c r="X7114">
        <v>0.98058659999999997</v>
      </c>
      <c r="Y7114">
        <v>-0.35665980000000003</v>
      </c>
      <c r="Z7114">
        <v>-6.9924139999999997E-3</v>
      </c>
      <c r="AA7114">
        <v>0.93420820000000004</v>
      </c>
      <c r="AB7114">
        <v>33</v>
      </c>
      <c r="AC7114">
        <v>66.086600000000004</v>
      </c>
      <c r="AD7114">
        <v>3.6115210000000002</v>
      </c>
      <c r="AE7114">
        <v>25.823329999999999</v>
      </c>
      <c r="AF7114">
        <v>-25.323675834893599</v>
      </c>
      <c r="AG7114">
        <v>3.6115210000000002</v>
      </c>
      <c r="AH7114">
        <v>66.083351725126207</v>
      </c>
      <c r="AI7114">
        <v>87.078599405465795</v>
      </c>
      <c r="AJ7114">
        <v>110.967237244857</v>
      </c>
      <c r="AK7114">
        <v>70.861421217408207</v>
      </c>
      <c r="AL7114">
        <v>78.741810413914394</v>
      </c>
      <c r="AM7114">
        <v>91.069133405708698</v>
      </c>
      <c r="AN7114">
        <v>0.99999995490592997</v>
      </c>
    </row>
    <row r="7115" spans="1:40" x14ac:dyDescent="0.25">
      <c r="A7115" t="str">
        <f>"20190303170427824"</f>
        <v>20190303170427824</v>
      </c>
      <c r="B7115" t="str">
        <f>"1551603867812344"</f>
        <v>1551603867812344</v>
      </c>
      <c r="C7115" t="s">
        <v>40</v>
      </c>
      <c r="D7115">
        <v>4.3466239999999896</v>
      </c>
      <c r="E7115">
        <v>0.36538470000000001</v>
      </c>
      <c r="F7115" t="s">
        <v>55</v>
      </c>
      <c r="G7115">
        <v>-157.3501</v>
      </c>
      <c r="H7115">
        <v>4.7437259999999997</v>
      </c>
      <c r="I7115">
        <v>-38.192369999999997</v>
      </c>
      <c r="J7115">
        <v>-223.27979999999999</v>
      </c>
      <c r="K7115">
        <v>1.121302</v>
      </c>
      <c r="L7115">
        <v>-63.977600000000002</v>
      </c>
      <c r="M7115">
        <v>0.99992199999999998</v>
      </c>
      <c r="N7115">
        <v>-1.065957E-2</v>
      </c>
      <c r="O7115">
        <v>6.4984409999999998E-3</v>
      </c>
      <c r="P7115">
        <v>0.98255999999999999</v>
      </c>
      <c r="Q7115">
        <v>0.18437129999999999</v>
      </c>
      <c r="R7115">
        <v>2.414664E-2</v>
      </c>
      <c r="S7115">
        <v>2.993271</v>
      </c>
      <c r="T7115">
        <v>0.16406870000000001</v>
      </c>
      <c r="U7115">
        <v>1.1679379999999999</v>
      </c>
      <c r="V7115">
        <v>-1.7761599999999999E-2</v>
      </c>
      <c r="W7115">
        <v>0.1948358</v>
      </c>
      <c r="X7115">
        <v>0.98067499999999996</v>
      </c>
      <c r="Y7115">
        <v>-0.35708240000000002</v>
      </c>
      <c r="Z7115">
        <v>-7.0517430000000001E-3</v>
      </c>
      <c r="AA7115">
        <v>0.9340463</v>
      </c>
      <c r="AB7115">
        <v>33</v>
      </c>
      <c r="AC7115">
        <v>65.929699999999997</v>
      </c>
      <c r="AD7115">
        <v>3.6224240000000001</v>
      </c>
      <c r="AE7115">
        <v>25.785229999999999</v>
      </c>
      <c r="AF7115">
        <v>-25.290003650429799</v>
      </c>
      <c r="AG7115">
        <v>3.6224240000000001</v>
      </c>
      <c r="AH7115">
        <v>65.923273173486194</v>
      </c>
      <c r="AI7115">
        <v>87.063103739726998</v>
      </c>
      <c r="AJ7115">
        <v>110.988204670792</v>
      </c>
      <c r="AK7115">
        <v>70.700666094320596</v>
      </c>
      <c r="AL7115">
        <v>78.764867891511898</v>
      </c>
      <c r="AM7115">
        <v>91.037605184531898</v>
      </c>
      <c r="AN7115">
        <v>0.99999995951059895</v>
      </c>
    </row>
    <row r="7116" spans="1:40" x14ac:dyDescent="0.25">
      <c r="A7116" t="str">
        <f>"20190303170427835"</f>
        <v>20190303170427835</v>
      </c>
      <c r="B7116" t="str">
        <f>"1551603867823080"</f>
        <v>1551603867823080</v>
      </c>
      <c r="C7116" t="s">
        <v>40</v>
      </c>
      <c r="D7116">
        <v>4.3602530000000002</v>
      </c>
      <c r="E7116">
        <v>0.36502329999999999</v>
      </c>
      <c r="F7116" t="s">
        <v>55</v>
      </c>
      <c r="G7116">
        <v>-157.3501</v>
      </c>
      <c r="H7116">
        <v>4.748672</v>
      </c>
      <c r="I7116">
        <v>-38.227910000000001</v>
      </c>
      <c r="J7116">
        <v>-223.11369999999999</v>
      </c>
      <c r="K7116">
        <v>1.1212819999999999</v>
      </c>
      <c r="L7116">
        <v>-63.976559999999999</v>
      </c>
      <c r="M7116">
        <v>0.99992230000000004</v>
      </c>
      <c r="N7116">
        <v>-1.0679950000000001E-2</v>
      </c>
      <c r="O7116">
        <v>6.4307349999999999E-3</v>
      </c>
      <c r="P7116">
        <v>0.98262879999999997</v>
      </c>
      <c r="Q7116">
        <v>0.18408649999999999</v>
      </c>
      <c r="R7116">
        <v>2.351199E-2</v>
      </c>
      <c r="S7116">
        <v>2.9936069999999999</v>
      </c>
      <c r="T7116">
        <v>0.1647034</v>
      </c>
      <c r="U7116">
        <v>1.169189</v>
      </c>
      <c r="V7116">
        <v>-1.717985E-2</v>
      </c>
      <c r="W7116">
        <v>0.194573</v>
      </c>
      <c r="X7116">
        <v>0.98073759999999999</v>
      </c>
      <c r="Y7116">
        <v>-0.35744559999999997</v>
      </c>
      <c r="Z7116">
        <v>-7.0931240000000001E-3</v>
      </c>
      <c r="AA7116">
        <v>0.93390700000000004</v>
      </c>
      <c r="AB7116">
        <v>33</v>
      </c>
      <c r="AC7116">
        <v>65.763599999999997</v>
      </c>
      <c r="AD7116">
        <v>3.6273900000000001</v>
      </c>
      <c r="AE7116">
        <v>25.748650000000001</v>
      </c>
      <c r="AF7116">
        <v>-25.2585529317818</v>
      </c>
      <c r="AG7116">
        <v>3.6273900000000001</v>
      </c>
      <c r="AH7116">
        <v>65.754371842256006</v>
      </c>
      <c r="AI7116">
        <v>87.052042994339004</v>
      </c>
      <c r="AJ7116">
        <v>111.013528017632</v>
      </c>
      <c r="AK7116">
        <v>70.532190316120193</v>
      </c>
      <c r="AL7116">
        <v>78.780219698719804</v>
      </c>
      <c r="AM7116">
        <v>91.003563270887298</v>
      </c>
      <c r="AN7116">
        <v>1.0000000198143899</v>
      </c>
    </row>
    <row r="7117" spans="1:40" x14ac:dyDescent="0.25">
      <c r="A7117" t="str">
        <f>"20190303170427847"</f>
        <v>20190303170427847</v>
      </c>
      <c r="B7117" t="str">
        <f>"1551603867842599"</f>
        <v>1551603867842599</v>
      </c>
      <c r="C7117" t="s">
        <v>40</v>
      </c>
      <c r="D7117">
        <v>4.355029</v>
      </c>
      <c r="E7117">
        <v>0.36433569999999998</v>
      </c>
      <c r="F7117" t="s">
        <v>55</v>
      </c>
      <c r="G7117">
        <v>-157.3501</v>
      </c>
      <c r="H7117">
        <v>4.7640219999999998</v>
      </c>
      <c r="I7117">
        <v>-38.273449999999997</v>
      </c>
      <c r="J7117">
        <v>-222.94280000000001</v>
      </c>
      <c r="K7117">
        <v>1.1212610000000001</v>
      </c>
      <c r="L7117">
        <v>-63.975490000000001</v>
      </c>
      <c r="M7117">
        <v>0.9999228</v>
      </c>
      <c r="N7117">
        <v>-1.069932E-2</v>
      </c>
      <c r="O7117">
        <v>6.3464460000000004E-3</v>
      </c>
      <c r="P7117">
        <v>0.98261469999999995</v>
      </c>
      <c r="Q7117">
        <v>0.18423870000000001</v>
      </c>
      <c r="R7117">
        <v>2.2910730000000001E-2</v>
      </c>
      <c r="S7117">
        <v>2.993973</v>
      </c>
      <c r="T7117">
        <v>0.165839299999999</v>
      </c>
      <c r="U7117">
        <v>1.170166</v>
      </c>
      <c r="V7117">
        <v>-1.6650350000000001E-2</v>
      </c>
      <c r="W7117">
        <v>0.1947451</v>
      </c>
      <c r="X7117">
        <v>0.98071249999999999</v>
      </c>
      <c r="Y7117">
        <v>-0.35774409999999901</v>
      </c>
      <c r="Z7117">
        <v>-7.1623559999999999E-3</v>
      </c>
      <c r="AA7117">
        <v>0.93379219999999996</v>
      </c>
      <c r="AB7117">
        <v>33</v>
      </c>
      <c r="AC7117">
        <v>65.592699999999994</v>
      </c>
      <c r="AD7117">
        <v>3.6427610000000001</v>
      </c>
      <c r="AE7117">
        <v>25.70204</v>
      </c>
      <c r="AF7117">
        <v>-25.217792513033501</v>
      </c>
      <c r="AG7117">
        <v>3.6427610000000001</v>
      </c>
      <c r="AH7117">
        <v>65.579163912183205</v>
      </c>
      <c r="AI7117">
        <v>87.032079580617193</v>
      </c>
      <c r="AJ7117">
        <v>111.033733713711</v>
      </c>
      <c r="AK7117">
        <v>70.355053168585698</v>
      </c>
      <c r="AL7117">
        <v>78.770165974716505</v>
      </c>
      <c r="AM7117">
        <v>90.972663381504205</v>
      </c>
      <c r="AN7117">
        <v>0.99999994789268898</v>
      </c>
    </row>
    <row r="7118" spans="1:40" x14ac:dyDescent="0.25">
      <c r="A7118" t="str">
        <f>"20190303170427859"</f>
        <v>20190303170427859</v>
      </c>
      <c r="B7118" t="str">
        <f>"1551603867852360"</f>
        <v>1551603867852360</v>
      </c>
      <c r="C7118" t="s">
        <v>40</v>
      </c>
      <c r="D7118">
        <v>4.3627029999999998</v>
      </c>
      <c r="E7118">
        <v>0.36398459999999999</v>
      </c>
      <c r="F7118" t="s">
        <v>55</v>
      </c>
      <c r="G7118">
        <v>-157.3501</v>
      </c>
      <c r="H7118">
        <v>4.8519079999999999</v>
      </c>
      <c r="I7118">
        <v>-38.25882</v>
      </c>
      <c r="J7118">
        <v>-222.76990000000001</v>
      </c>
      <c r="K7118">
        <v>1.121243</v>
      </c>
      <c r="L7118">
        <v>-63.974490000000003</v>
      </c>
      <c r="M7118">
        <v>0.99992300000000001</v>
      </c>
      <c r="N7118">
        <v>-1.0718470000000001E-2</v>
      </c>
      <c r="O7118">
        <v>6.258179E-3</v>
      </c>
      <c r="P7118">
        <v>0.98258809999999996</v>
      </c>
      <c r="Q7118">
        <v>0.18443670000000001</v>
      </c>
      <c r="R7118">
        <v>2.244985E-2</v>
      </c>
      <c r="S7118">
        <v>2.993805</v>
      </c>
      <c r="T7118">
        <v>0.17027429999999999</v>
      </c>
      <c r="U7118">
        <v>1.173767</v>
      </c>
      <c r="V7118">
        <v>-1.626524E-2</v>
      </c>
      <c r="W7118">
        <v>0.19496260000000001</v>
      </c>
      <c r="X7118">
        <v>0.98067579999999999</v>
      </c>
      <c r="Y7118">
        <v>-0.35879470000000002</v>
      </c>
      <c r="Z7118">
        <v>-7.4314079999999996E-3</v>
      </c>
      <c r="AA7118">
        <v>0.93338690000000002</v>
      </c>
      <c r="AB7118">
        <v>33</v>
      </c>
      <c r="AC7118">
        <v>65.419799999999995</v>
      </c>
      <c r="AD7118">
        <v>3.7306650000000001</v>
      </c>
      <c r="AE7118">
        <v>25.715669999999999</v>
      </c>
      <c r="AF7118">
        <v>-25.234653456354099</v>
      </c>
      <c r="AG7118">
        <v>3.7306650000000001</v>
      </c>
      <c r="AH7118">
        <v>65.395256926830797</v>
      </c>
      <c r="AI7118">
        <v>86.953427866704999</v>
      </c>
      <c r="AJ7118">
        <v>111.10055205772299</v>
      </c>
      <c r="AK7118">
        <v>70.194338980652205</v>
      </c>
      <c r="AL7118">
        <v>78.757461192024806</v>
      </c>
      <c r="AM7118">
        <v>90.950206138429095</v>
      </c>
      <c r="AN7118">
        <v>0.99999999906832804</v>
      </c>
    </row>
    <row r="7119" spans="1:40" x14ac:dyDescent="0.25">
      <c r="A7119" t="str">
        <f>"20190303170427868"</f>
        <v>20190303170427868</v>
      </c>
      <c r="B7119" t="str">
        <f>"1551603867863097"</f>
        <v>1551603867863097</v>
      </c>
      <c r="C7119" t="s">
        <v>40</v>
      </c>
      <c r="D7119">
        <v>4.3828719999999999</v>
      </c>
      <c r="E7119">
        <v>0.3636452</v>
      </c>
      <c r="F7119" t="s">
        <v>45</v>
      </c>
      <c r="G7119">
        <v>-177.5744</v>
      </c>
      <c r="H7119">
        <v>3.7398440000000002</v>
      </c>
      <c r="I7119">
        <v>-46.232599999999998</v>
      </c>
      <c r="J7119">
        <v>-222.6104</v>
      </c>
      <c r="K7119">
        <v>1.121221</v>
      </c>
      <c r="L7119">
        <v>-63.97354</v>
      </c>
      <c r="M7119">
        <v>0.99992340000000002</v>
      </c>
      <c r="N7119">
        <v>-1.073529E-2</v>
      </c>
      <c r="O7119">
        <v>6.1707610000000003E-3</v>
      </c>
      <c r="P7119">
        <v>0.98251520000000003</v>
      </c>
      <c r="Q7119">
        <v>0.18483430000000001</v>
      </c>
      <c r="R7119">
        <v>2.23771E-2</v>
      </c>
      <c r="S7119">
        <v>2.9937740000000002</v>
      </c>
      <c r="T7119">
        <v>0.17345759999999999</v>
      </c>
      <c r="U7119">
        <v>1.1752320000000001</v>
      </c>
      <c r="V7119">
        <v>-1.6269949999999998E-2</v>
      </c>
      <c r="W7119">
        <v>0.19537599999999999</v>
      </c>
      <c r="X7119">
        <v>0.98059339999999995</v>
      </c>
      <c r="Y7119">
        <v>-0.35925810000000002</v>
      </c>
      <c r="Z7119">
        <v>-7.6205129999999998E-3</v>
      </c>
      <c r="AA7119">
        <v>0.93320709999999996</v>
      </c>
      <c r="AB7119">
        <v>33</v>
      </c>
      <c r="AC7119">
        <v>45.036000000000001</v>
      </c>
      <c r="AD7119">
        <v>2.6186229999999999</v>
      </c>
      <c r="AE7119">
        <v>17.740939999999998</v>
      </c>
      <c r="AF7119">
        <v>-17.4117210586592</v>
      </c>
      <c r="AG7119">
        <v>2.6186229999999999</v>
      </c>
      <c r="AH7119">
        <v>45.012885016969697</v>
      </c>
      <c r="AI7119">
        <v>86.894334496381603</v>
      </c>
      <c r="AJ7119">
        <v>111.147286489381</v>
      </c>
      <c r="AK7119">
        <v>48.334098048806297</v>
      </c>
      <c r="AL7119">
        <v>78.733310181982404</v>
      </c>
      <c r="AM7119">
        <v>90.950561098497701</v>
      </c>
      <c r="AN7119">
        <v>0.99999995438627998</v>
      </c>
    </row>
    <row r="7120" spans="1:40" x14ac:dyDescent="0.25">
      <c r="A7120" t="str">
        <f>"20190303170427881"</f>
        <v>20190303170427881</v>
      </c>
      <c r="B7120" t="str">
        <f>"1551603867872856"</f>
        <v>1551603867872856</v>
      </c>
      <c r="C7120" t="s">
        <v>40</v>
      </c>
      <c r="D7120">
        <v>4.4961209999999996</v>
      </c>
      <c r="E7120">
        <v>0.3636103</v>
      </c>
      <c r="F7120" t="s">
        <v>45</v>
      </c>
      <c r="G7120">
        <v>-177.6003</v>
      </c>
      <c r="H7120">
        <v>3.7828979999999999</v>
      </c>
      <c r="I7120">
        <v>-46.265149999999998</v>
      </c>
      <c r="J7120">
        <v>-222.44579999999999</v>
      </c>
      <c r="K7120">
        <v>1.1212059999999999</v>
      </c>
      <c r="L7120">
        <v>-63.9726</v>
      </c>
      <c r="M7120">
        <v>0.99992389999999998</v>
      </c>
      <c r="N7120">
        <v>-1.0752009999999999E-2</v>
      </c>
      <c r="O7120">
        <v>6.0778830000000001E-3</v>
      </c>
      <c r="P7120">
        <v>0.98243250000000004</v>
      </c>
      <c r="Q7120">
        <v>0.18532680000000001</v>
      </c>
      <c r="R7120">
        <v>2.1922810000000001E-2</v>
      </c>
      <c r="S7120">
        <v>2.9932560000000001</v>
      </c>
      <c r="T7120">
        <v>0.17700679999999999</v>
      </c>
      <c r="U7120">
        <v>1.177643</v>
      </c>
      <c r="V7120">
        <v>-1.589892E-2</v>
      </c>
      <c r="W7120">
        <v>0.1958848</v>
      </c>
      <c r="X7120">
        <v>0.98049799999999998</v>
      </c>
      <c r="Y7120">
        <v>-0.36003099999999999</v>
      </c>
      <c r="Z7120">
        <v>-7.8389480000000001E-3</v>
      </c>
      <c r="AA7120">
        <v>0.93290740000000005</v>
      </c>
      <c r="AB7120">
        <v>33</v>
      </c>
      <c r="AC7120">
        <v>44.845499999999902</v>
      </c>
      <c r="AD7120">
        <v>2.6616919999999999</v>
      </c>
      <c r="AE7120">
        <v>17.707450000000001</v>
      </c>
      <c r="AF7120">
        <v>-17.3815699228604</v>
      </c>
      <c r="AG7120">
        <v>2.6616919999999999</v>
      </c>
      <c r="AH7120">
        <v>44.815722514111897</v>
      </c>
      <c r="AI7120">
        <v>86.830594750009496</v>
      </c>
      <c r="AJ7120">
        <v>111.198551709092</v>
      </c>
      <c r="AK7120">
        <v>48.142004130987601</v>
      </c>
      <c r="AL7120">
        <v>78.703583988365594</v>
      </c>
      <c r="AM7120">
        <v>90.928978120498599</v>
      </c>
      <c r="AN7120">
        <v>0.99999997926610296</v>
      </c>
    </row>
    <row r="7121" spans="1:40" x14ac:dyDescent="0.25">
      <c r="A7121" t="str">
        <f>"20190303170427890"</f>
        <v>20190303170427890</v>
      </c>
      <c r="B7121" t="str">
        <f>"1551603867882616"</f>
        <v>1551603867882616</v>
      </c>
      <c r="C7121" t="s">
        <v>40</v>
      </c>
      <c r="D7121">
        <v>4.5023819999999999</v>
      </c>
      <c r="E7121">
        <v>0.3635949</v>
      </c>
      <c r="F7121" t="s">
        <v>45</v>
      </c>
      <c r="G7121">
        <v>-177.5908</v>
      </c>
      <c r="H7121">
        <v>3.7760940000000001</v>
      </c>
      <c r="I7121">
        <v>-46.342579999999998</v>
      </c>
      <c r="J7121">
        <v>-222.2937</v>
      </c>
      <c r="K7121">
        <v>1.1211960000000001</v>
      </c>
      <c r="L7121">
        <v>-63.971739999999997</v>
      </c>
      <c r="M7121">
        <v>0.99992420000000004</v>
      </c>
      <c r="N7121">
        <v>-1.0766950000000001E-2</v>
      </c>
      <c r="O7121">
        <v>5.989884E-3</v>
      </c>
      <c r="P7121">
        <v>0.98236000000000001</v>
      </c>
      <c r="Q7121">
        <v>0.18575729999999999</v>
      </c>
      <c r="R7121">
        <v>2.1531870000000002E-2</v>
      </c>
      <c r="S7121">
        <v>2.9939580000000001</v>
      </c>
      <c r="T7121">
        <v>0.1772069</v>
      </c>
      <c r="U7121">
        <v>1.176758</v>
      </c>
      <c r="V7121">
        <v>-1.558846E-2</v>
      </c>
      <c r="W7121">
        <v>0.19632939999999999</v>
      </c>
      <c r="X7121">
        <v>0.98041409999999996</v>
      </c>
      <c r="Y7121">
        <v>-0.35979889999999998</v>
      </c>
      <c r="Z7121">
        <v>-7.8463309999999998E-3</v>
      </c>
      <c r="AA7121">
        <v>0.93299690000000002</v>
      </c>
      <c r="AB7121">
        <v>33</v>
      </c>
      <c r="AC7121">
        <v>44.7029</v>
      </c>
      <c r="AD7121">
        <v>2.65489799999999</v>
      </c>
      <c r="AE7121">
        <v>17.629159999999999</v>
      </c>
      <c r="AF7121">
        <v>-17.308230819901802</v>
      </c>
      <c r="AG7121">
        <v>2.65489799999999</v>
      </c>
      <c r="AH7121">
        <v>44.671344430010301</v>
      </c>
      <c r="AI7121">
        <v>86.828057512209</v>
      </c>
      <c r="AJ7121">
        <v>111.17921377644799</v>
      </c>
      <c r="AK7121">
        <v>47.980749792911901</v>
      </c>
      <c r="AL7121">
        <v>78.677606325393896</v>
      </c>
      <c r="AM7121">
        <v>90.9109188798096</v>
      </c>
      <c r="AN7121">
        <v>1.0000000204341699</v>
      </c>
    </row>
    <row r="7122" spans="1:40" x14ac:dyDescent="0.25">
      <c r="A7122" t="str">
        <f>"20190303170427902"</f>
        <v>20190303170427902</v>
      </c>
      <c r="B7122" t="str">
        <f>"1551603867892376"</f>
        <v>1551603867892376</v>
      </c>
      <c r="C7122" t="s">
        <v>40</v>
      </c>
      <c r="D7122">
        <v>4.4959619999999996</v>
      </c>
      <c r="E7122">
        <v>0.3635352</v>
      </c>
      <c r="F7122" t="s">
        <v>45</v>
      </c>
      <c r="G7122">
        <v>-177.5378</v>
      </c>
      <c r="H7122">
        <v>3.778759</v>
      </c>
      <c r="I7122">
        <v>-46.395209999999999</v>
      </c>
      <c r="J7122">
        <v>-222.1301</v>
      </c>
      <c r="K7122">
        <v>1.1211880000000001</v>
      </c>
      <c r="L7122">
        <v>-63.970860000000002</v>
      </c>
      <c r="M7122">
        <v>0.9999247</v>
      </c>
      <c r="N7122">
        <v>-1.0782119999999999E-2</v>
      </c>
      <c r="O7122">
        <v>5.8935009999999998E-3</v>
      </c>
      <c r="P7122">
        <v>0.98227629999999999</v>
      </c>
      <c r="Q7122">
        <v>0.18629129999999999</v>
      </c>
      <c r="R7122">
        <v>2.0723910000000002E-2</v>
      </c>
      <c r="S7122">
        <v>2.9944920000000002</v>
      </c>
      <c r="T7122">
        <v>0.17781</v>
      </c>
      <c r="U7122">
        <v>1.1759949999999999</v>
      </c>
      <c r="V7122">
        <v>-1.486964E-2</v>
      </c>
      <c r="W7122">
        <v>0.19687789999999999</v>
      </c>
      <c r="X7122">
        <v>0.9803153</v>
      </c>
      <c r="Y7122">
        <v>-0.35962329999999998</v>
      </c>
      <c r="Z7122">
        <v>-7.8784749999999994E-3</v>
      </c>
      <c r="AA7122">
        <v>0.93306429999999996</v>
      </c>
      <c r="AB7122">
        <v>33</v>
      </c>
      <c r="AC7122">
        <v>44.592300000000002</v>
      </c>
      <c r="AD7122">
        <v>2.6575709999999999</v>
      </c>
      <c r="AE7122">
        <v>17.5756499999999</v>
      </c>
      <c r="AF7122">
        <v>-17.259465031006599</v>
      </c>
      <c r="AG7122">
        <v>2.6575709999999999</v>
      </c>
      <c r="AH7122">
        <v>44.558131277707297</v>
      </c>
      <c r="AI7122">
        <v>86.816701997423195</v>
      </c>
      <c r="AJ7122">
        <v>111.17373464235401</v>
      </c>
      <c r="AK7122">
        <v>47.857903001886598</v>
      </c>
      <c r="AL7122">
        <v>78.645554373924099</v>
      </c>
      <c r="AM7122">
        <v>90.869008455844096</v>
      </c>
      <c r="AN7122">
        <v>1.0000000505581099</v>
      </c>
    </row>
    <row r="7123" spans="1:40" x14ac:dyDescent="0.25">
      <c r="A7123" t="str">
        <f>"20190303170427912"</f>
        <v>20190303170427912</v>
      </c>
      <c r="B7123" t="str">
        <f>"1551603867903113"</f>
        <v>1551603867903113</v>
      </c>
      <c r="C7123" t="s">
        <v>40</v>
      </c>
      <c r="D7123">
        <v>4.5219310000000004</v>
      </c>
      <c r="E7123">
        <v>0.36349350000000002</v>
      </c>
      <c r="F7123" t="s">
        <v>55</v>
      </c>
      <c r="G7123">
        <v>-157.3501</v>
      </c>
      <c r="H7123">
        <v>4.9939989999999996</v>
      </c>
      <c r="I7123">
        <v>-38.573889999999999</v>
      </c>
      <c r="J7123">
        <v>-221.9659</v>
      </c>
      <c r="K7123">
        <v>1.121181</v>
      </c>
      <c r="L7123">
        <v>-63.969970000000004</v>
      </c>
      <c r="M7123">
        <v>0.99992499999999995</v>
      </c>
      <c r="N7123">
        <v>-1.079688E-2</v>
      </c>
      <c r="O7123">
        <v>5.7959469999999897E-3</v>
      </c>
      <c r="P7123">
        <v>0.98221639999999999</v>
      </c>
      <c r="Q7123">
        <v>0.18672649999999999</v>
      </c>
      <c r="R7123">
        <v>1.9603889999999999E-2</v>
      </c>
      <c r="S7123">
        <v>2.9954070000000002</v>
      </c>
      <c r="T7123">
        <v>0.1790766</v>
      </c>
      <c r="U7123">
        <v>1.174347</v>
      </c>
      <c r="V7123">
        <v>-1.384091E-2</v>
      </c>
      <c r="W7123">
        <v>0.1973261</v>
      </c>
      <c r="X7123">
        <v>0.98024020000000001</v>
      </c>
      <c r="Y7123">
        <v>-0.35916609999999899</v>
      </c>
      <c r="Z7123">
        <v>-7.9407360000000003E-3</v>
      </c>
      <c r="AA7123">
        <v>0.93323990000000001</v>
      </c>
      <c r="AB7123">
        <v>33</v>
      </c>
      <c r="AC7123">
        <v>64.615799999999993</v>
      </c>
      <c r="AD7123">
        <v>3.8728180000000001</v>
      </c>
      <c r="AE7123">
        <v>25.396079999999898</v>
      </c>
      <c r="AF7123">
        <v>-24.9435060562048</v>
      </c>
      <c r="AG7123">
        <v>3.8728180000000001</v>
      </c>
      <c r="AH7123">
        <v>64.561025319636698</v>
      </c>
      <c r="AI7123">
        <v>86.797305545960498</v>
      </c>
      <c r="AJ7123">
        <v>111.12431261954799</v>
      </c>
      <c r="AK7123">
        <v>69.320294315300103</v>
      </c>
      <c r="AL7123">
        <v>78.619360038208498</v>
      </c>
      <c r="AM7123">
        <v>90.808957877401895</v>
      </c>
      <c r="AN7123">
        <v>1.0000000051134299</v>
      </c>
    </row>
    <row r="7124" spans="1:40" x14ac:dyDescent="0.25">
      <c r="A7124" t="str">
        <f>"20190303170427925"</f>
        <v>20190303170427925</v>
      </c>
      <c r="B7124" t="str">
        <f>"1551603867912872"</f>
        <v>1551603867912872</v>
      </c>
      <c r="C7124" t="s">
        <v>40</v>
      </c>
      <c r="D7124">
        <v>4.5321709999999999</v>
      </c>
      <c r="E7124">
        <v>0.36345450000000001</v>
      </c>
      <c r="F7124" t="s">
        <v>55</v>
      </c>
      <c r="G7124">
        <v>-157.3501</v>
      </c>
      <c r="H7124">
        <v>5.0107599999999897</v>
      </c>
      <c r="I7124">
        <v>-38.705719999999999</v>
      </c>
      <c r="J7124">
        <v>-221.7962</v>
      </c>
      <c r="K7124">
        <v>1.121175</v>
      </c>
      <c r="L7124">
        <v>-63.969059999999999</v>
      </c>
      <c r="M7124">
        <v>0.99992539999999996</v>
      </c>
      <c r="N7124">
        <v>-1.081091E-2</v>
      </c>
      <c r="O7124">
        <v>5.6939010000000003E-3</v>
      </c>
      <c r="P7124">
        <v>0.98219190000000001</v>
      </c>
      <c r="Q7124">
        <v>0.1869575</v>
      </c>
      <c r="R7124">
        <v>1.86067E-2</v>
      </c>
      <c r="S7124">
        <v>2.9966430000000002</v>
      </c>
      <c r="T7124">
        <v>0.18038319999999999</v>
      </c>
      <c r="U7124">
        <v>1.1716610000000001</v>
      </c>
      <c r="V7124">
        <v>-1.294001E-2</v>
      </c>
      <c r="W7124">
        <v>0.19757060000000001</v>
      </c>
      <c r="X7124">
        <v>0.9802033</v>
      </c>
      <c r="Y7124">
        <v>-0.35839910000000003</v>
      </c>
      <c r="Z7124">
        <v>-7.9980350000000006E-3</v>
      </c>
      <c r="AA7124">
        <v>0.93353419999999998</v>
      </c>
      <c r="AB7124">
        <v>33</v>
      </c>
      <c r="AC7124">
        <v>64.446100000000001</v>
      </c>
      <c r="AD7124">
        <v>3.8895849999999998</v>
      </c>
      <c r="AE7124">
        <v>25.263339999999999</v>
      </c>
      <c r="AF7124">
        <v>-24.817599804261601</v>
      </c>
      <c r="AG7124">
        <v>3.8895849999999998</v>
      </c>
      <c r="AH7124">
        <v>64.385618376017504</v>
      </c>
      <c r="AI7124">
        <v>86.773748193260104</v>
      </c>
      <c r="AJ7124">
        <v>111.079283392165</v>
      </c>
      <c r="AK7124">
        <v>69.112589194580707</v>
      </c>
      <c r="AL7124">
        <v>78.605070384716896</v>
      </c>
      <c r="AM7124">
        <v>90.756337888840307</v>
      </c>
      <c r="AN7124">
        <v>1.0000000475870201</v>
      </c>
    </row>
    <row r="7125" spans="1:40" x14ac:dyDescent="0.25">
      <c r="A7125" t="str">
        <f>"20190303170427937"</f>
        <v>20190303170427937</v>
      </c>
      <c r="B7125" t="str">
        <f>"1551603867932392"</f>
        <v>1551603867932392</v>
      </c>
      <c r="C7125" t="s">
        <v>40</v>
      </c>
      <c r="D7125">
        <v>4.5304979999999997</v>
      </c>
      <c r="E7125">
        <v>0.36335269999999997</v>
      </c>
      <c r="F7125" t="s">
        <v>55</v>
      </c>
      <c r="G7125">
        <v>-157.3501</v>
      </c>
      <c r="H7125">
        <v>5.0120849999999999</v>
      </c>
      <c r="I7125">
        <v>-38.830249999999999</v>
      </c>
      <c r="J7125">
        <v>-221.62180000000001</v>
      </c>
      <c r="K7125">
        <v>1.12117</v>
      </c>
      <c r="L7125">
        <v>-63.968169999999901</v>
      </c>
      <c r="M7125">
        <v>0.99992590000000003</v>
      </c>
      <c r="N7125">
        <v>-1.082493E-2</v>
      </c>
      <c r="O7125">
        <v>5.5891219999999898E-3</v>
      </c>
      <c r="P7125">
        <v>0.98224310000000004</v>
      </c>
      <c r="Q7125">
        <v>0.18679570000000001</v>
      </c>
      <c r="R7125">
        <v>1.749701E-2</v>
      </c>
      <c r="S7125">
        <v>2.9978180000000001</v>
      </c>
      <c r="T7125">
        <v>0.18099119999999999</v>
      </c>
      <c r="U7125">
        <v>1.169373</v>
      </c>
      <c r="V7125">
        <v>-1.1929850000000001E-2</v>
      </c>
      <c r="W7125">
        <v>0.19742290000000001</v>
      </c>
      <c r="X7125">
        <v>0.98024579999999994</v>
      </c>
      <c r="Y7125">
        <v>-0.35775180000000001</v>
      </c>
      <c r="Z7125">
        <v>-8.019155E-3</v>
      </c>
      <c r="AA7125">
        <v>0.93378229999999995</v>
      </c>
      <c r="AB7125">
        <v>33</v>
      </c>
      <c r="AC7125">
        <v>64.271699999999996</v>
      </c>
      <c r="AD7125">
        <v>3.8909150000000001</v>
      </c>
      <c r="AE7125">
        <v>25.137919999999902</v>
      </c>
      <c r="AF7125">
        <v>-24.699771738294501</v>
      </c>
      <c r="AG7125">
        <v>3.8909150000000001</v>
      </c>
      <c r="AH7125">
        <v>64.207110491880002</v>
      </c>
      <c r="AI7125">
        <v>86.762866790724999</v>
      </c>
      <c r="AJ7125">
        <v>111.04118727719801</v>
      </c>
      <c r="AK7125">
        <v>68.9040708607087</v>
      </c>
      <c r="AL7125">
        <v>78.613702172219604</v>
      </c>
      <c r="AM7125">
        <v>90.697270328657893</v>
      </c>
      <c r="AN7125">
        <v>0.99999997559153597</v>
      </c>
    </row>
    <row r="7126" spans="1:40" x14ac:dyDescent="0.25">
      <c r="A7126" t="str">
        <f>"20190303170427947"</f>
        <v>20190303170427947</v>
      </c>
      <c r="B7126" t="str">
        <f>"1551603867942152"</f>
        <v>1551603867942152</v>
      </c>
      <c r="C7126" t="s">
        <v>40</v>
      </c>
      <c r="D7126">
        <v>4.506964</v>
      </c>
      <c r="E7126">
        <v>0.36324030000000002</v>
      </c>
      <c r="F7126" t="s">
        <v>55</v>
      </c>
      <c r="G7126">
        <v>-157.3501</v>
      </c>
      <c r="H7126">
        <v>4.9514040000000001</v>
      </c>
      <c r="I7126">
        <v>-38.956919999999997</v>
      </c>
      <c r="J7126">
        <v>-221.4598</v>
      </c>
      <c r="K7126">
        <v>1.121165</v>
      </c>
      <c r="L7126">
        <v>-63.967350000000003</v>
      </c>
      <c r="M7126">
        <v>0.99992610000000004</v>
      </c>
      <c r="N7126">
        <v>-1.083694E-2</v>
      </c>
      <c r="O7126">
        <v>5.4918390000000001E-3</v>
      </c>
      <c r="P7126">
        <v>0.98235729999999999</v>
      </c>
      <c r="Q7126">
        <v>0.18624940000000001</v>
      </c>
      <c r="R7126">
        <v>1.6896689999999999E-2</v>
      </c>
      <c r="S7126">
        <v>2.999466</v>
      </c>
      <c r="T7126">
        <v>0.1787502</v>
      </c>
      <c r="U7126">
        <v>1.1672359999999999</v>
      </c>
      <c r="V7126">
        <v>-1.142255E-2</v>
      </c>
      <c r="W7126">
        <v>0.1968895</v>
      </c>
      <c r="X7126">
        <v>0.98035910000000004</v>
      </c>
      <c r="Y7126">
        <v>-0.3571047</v>
      </c>
      <c r="Z7126">
        <v>-7.8803339999999993E-3</v>
      </c>
      <c r="AA7126">
        <v>0.9340311</v>
      </c>
      <c r="AB7126">
        <v>33</v>
      </c>
      <c r="AC7126">
        <v>64.109700000000004</v>
      </c>
      <c r="AD7126">
        <v>3.83023899999999</v>
      </c>
      <c r="AE7126">
        <v>25.010429999999999</v>
      </c>
      <c r="AF7126">
        <v>-24.581797942914498</v>
      </c>
      <c r="AG7126">
        <v>3.83023899999999</v>
      </c>
      <c r="AH7126">
        <v>64.047675829451293</v>
      </c>
      <c r="AI7126">
        <v>86.804382144224405</v>
      </c>
      <c r="AJ7126">
        <v>110.997036072531</v>
      </c>
      <c r="AK7126">
        <v>68.709826808527694</v>
      </c>
      <c r="AL7126">
        <v>78.644875402459704</v>
      </c>
      <c r="AM7126">
        <v>90.667545487272207</v>
      </c>
      <c r="AN7126">
        <v>0.99999995740577996</v>
      </c>
    </row>
    <row r="7127" spans="1:40" x14ac:dyDescent="0.25">
      <c r="A7127" t="str">
        <f>"20190303170427959"</f>
        <v>20190303170427959</v>
      </c>
      <c r="B7127" t="str">
        <f>"1551603867952889"</f>
        <v>1551603867952889</v>
      </c>
      <c r="C7127" t="s">
        <v>40</v>
      </c>
      <c r="D7127">
        <v>4.5124639999999996</v>
      </c>
      <c r="E7127">
        <v>0.36313020000000001</v>
      </c>
      <c r="F7127" t="s">
        <v>55</v>
      </c>
      <c r="G7127">
        <v>-157.3501</v>
      </c>
      <c r="H7127">
        <v>4.8854419999999896</v>
      </c>
      <c r="I7127">
        <v>-39.047739999999997</v>
      </c>
      <c r="J7127">
        <v>-221.28790000000001</v>
      </c>
      <c r="K7127">
        <v>1.1211610000000001</v>
      </c>
      <c r="L7127">
        <v>-63.96649</v>
      </c>
      <c r="M7127">
        <v>0.9999266</v>
      </c>
      <c r="N7127">
        <v>-1.084918E-2</v>
      </c>
      <c r="O7127">
        <v>5.3888360000000001E-3</v>
      </c>
      <c r="P7127">
        <v>0.98253179999999996</v>
      </c>
      <c r="Q7127">
        <v>0.1853495</v>
      </c>
      <c r="R7127">
        <v>1.6640039999999998E-2</v>
      </c>
      <c r="S7127">
        <v>3.000397</v>
      </c>
      <c r="T7127">
        <v>0.17617060000000001</v>
      </c>
      <c r="U7127">
        <v>1.1662600000000001</v>
      </c>
      <c r="V7127">
        <v>-1.1264710000000001E-2</v>
      </c>
      <c r="W7127">
        <v>0.19600400000000001</v>
      </c>
      <c r="X7127">
        <v>0.98053840000000003</v>
      </c>
      <c r="Y7127">
        <v>-0.35685309999999998</v>
      </c>
      <c r="Z7127">
        <v>-7.733859E-3</v>
      </c>
      <c r="AA7127">
        <v>0.93412850000000003</v>
      </c>
      <c r="AB7127">
        <v>33</v>
      </c>
      <c r="AC7127">
        <v>63.937800000000003</v>
      </c>
      <c r="AD7127">
        <v>3.764281</v>
      </c>
      <c r="AE7127">
        <v>24.918749999999999</v>
      </c>
      <c r="AF7127">
        <v>-24.500094296950401</v>
      </c>
      <c r="AG7127">
        <v>3.764281</v>
      </c>
      <c r="AH7127">
        <v>63.878944346348099</v>
      </c>
      <c r="AI7127">
        <v>86.850742581600301</v>
      </c>
      <c r="AJ7127">
        <v>110.983788609141</v>
      </c>
      <c r="AK7127">
        <v>68.519661140509598</v>
      </c>
      <c r="AL7127">
        <v>78.696619647950001</v>
      </c>
      <c r="AM7127">
        <v>90.658201604668093</v>
      </c>
      <c r="AN7127">
        <v>1.0000000077909701</v>
      </c>
    </row>
    <row r="7128" spans="1:40" x14ac:dyDescent="0.25">
      <c r="A7128" t="str">
        <f>"20190303170427969"</f>
        <v>20190303170427969</v>
      </c>
      <c r="B7128" t="str">
        <f>"1551603867962648"</f>
        <v>1551603867962648</v>
      </c>
      <c r="C7128" t="s">
        <v>40</v>
      </c>
      <c r="D7128">
        <v>4.5362879999999999</v>
      </c>
      <c r="E7128">
        <v>0.36306569999999999</v>
      </c>
      <c r="F7128" t="s">
        <v>55</v>
      </c>
      <c r="G7128">
        <v>-157.3501</v>
      </c>
      <c r="H7128">
        <v>4.7915089999999996</v>
      </c>
      <c r="I7128">
        <v>-39.119399999999999</v>
      </c>
      <c r="J7128">
        <v>-221.12909999999999</v>
      </c>
      <c r="K7128">
        <v>1.1211549999999999</v>
      </c>
      <c r="L7128">
        <v>-63.965730000000001</v>
      </c>
      <c r="M7128">
        <v>0.99992700000000001</v>
      </c>
      <c r="N7128">
        <v>-1.085968E-2</v>
      </c>
      <c r="O7128">
        <v>5.2940849999999996E-3</v>
      </c>
      <c r="P7128">
        <v>0.98258219999999996</v>
      </c>
      <c r="Q7128">
        <v>0.18509539999999999</v>
      </c>
      <c r="R7128">
        <v>1.649494E-2</v>
      </c>
      <c r="S7128">
        <v>3.0010829999999999</v>
      </c>
      <c r="T7128">
        <v>0.17227590000000001</v>
      </c>
      <c r="U7128">
        <v>1.1662600000000001</v>
      </c>
      <c r="V7128">
        <v>-1.121103E-2</v>
      </c>
      <c r="W7128">
        <v>0.1957604</v>
      </c>
      <c r="X7128">
        <v>0.98058769999999995</v>
      </c>
      <c r="Y7128">
        <v>-0.35688999999999999</v>
      </c>
      <c r="Z7128">
        <v>-7.520728E-3</v>
      </c>
      <c r="AA7128">
        <v>0.93411619999999995</v>
      </c>
      <c r="AB7128">
        <v>33</v>
      </c>
      <c r="AC7128">
        <v>63.779000000000003</v>
      </c>
      <c r="AD7128">
        <v>3.6703540000000001</v>
      </c>
      <c r="AE7128">
        <v>24.846329999999998</v>
      </c>
      <c r="AF7128">
        <v>-24.438041471742999</v>
      </c>
      <c r="AG7128">
        <v>3.6703540000000001</v>
      </c>
      <c r="AH7128">
        <v>63.726414076778603</v>
      </c>
      <c r="AI7128">
        <v>86.921777880989694</v>
      </c>
      <c r="AJ7128">
        <v>110.98100495727201</v>
      </c>
      <c r="AK7128">
        <v>68.350166207149698</v>
      </c>
      <c r="AL7128">
        <v>78.710852876252901</v>
      </c>
      <c r="AM7128">
        <v>90.655032403148894</v>
      </c>
      <c r="AN7128">
        <v>1.0000000293965501</v>
      </c>
    </row>
    <row r="7129" spans="1:40" x14ac:dyDescent="0.25">
      <c r="A7129" t="str">
        <f>"20190303170427980"</f>
        <v>20190303170427980</v>
      </c>
      <c r="B7129" t="str">
        <f>"1551603867972408"</f>
        <v>1551603867972408</v>
      </c>
      <c r="C7129" t="s">
        <v>40</v>
      </c>
      <c r="D7129">
        <v>4.5469920000000004</v>
      </c>
      <c r="E7129">
        <v>0.36294650000000001</v>
      </c>
      <c r="F7129" t="s">
        <v>55</v>
      </c>
      <c r="G7129">
        <v>-157.3501</v>
      </c>
      <c r="H7129">
        <v>4.7309830000000002</v>
      </c>
      <c r="I7129">
        <v>-39.189169999999997</v>
      </c>
      <c r="J7129">
        <v>-220.9734</v>
      </c>
      <c r="K7129">
        <v>1.1211519999999999</v>
      </c>
      <c r="L7129">
        <v>-63.965000000000003</v>
      </c>
      <c r="M7129">
        <v>0.99992749999999997</v>
      </c>
      <c r="N7129">
        <v>-1.0869480000000001E-2</v>
      </c>
      <c r="O7129">
        <v>5.2018489999999997E-3</v>
      </c>
      <c r="P7129">
        <v>0.98257130000000004</v>
      </c>
      <c r="Q7129">
        <v>0.18517459999999999</v>
      </c>
      <c r="R7129">
        <v>1.6255769999999999E-2</v>
      </c>
      <c r="S7129">
        <v>3.0016020000000001</v>
      </c>
      <c r="T7129">
        <v>0.1698866</v>
      </c>
      <c r="U7129">
        <v>1.1660459999999999</v>
      </c>
      <c r="V7129">
        <v>-1.1061669999999999E-2</v>
      </c>
      <c r="W7129">
        <v>0.1958492</v>
      </c>
      <c r="X7129">
        <v>0.98057159999999999</v>
      </c>
      <c r="Y7129">
        <v>-0.35687619999999998</v>
      </c>
      <c r="Z7129">
        <v>-7.3905209999999997E-3</v>
      </c>
      <c r="AA7129">
        <v>0.93412240000000002</v>
      </c>
      <c r="AB7129">
        <v>33</v>
      </c>
      <c r="AC7129">
        <v>63.6233</v>
      </c>
      <c r="AD7129">
        <v>3.6098309999999998</v>
      </c>
      <c r="AE7129">
        <v>24.775829999999999</v>
      </c>
      <c r="AF7129">
        <v>-24.3763779537923</v>
      </c>
      <c r="AG7129">
        <v>3.6098309999999998</v>
      </c>
      <c r="AH7129">
        <v>63.573621587440599</v>
      </c>
      <c r="AI7129">
        <v>86.965129854058702</v>
      </c>
      <c r="AJ7129">
        <v>110.978592734309</v>
      </c>
      <c r="AK7129">
        <v>68.182432075555894</v>
      </c>
      <c r="AL7129">
        <v>78.705663857691803</v>
      </c>
      <c r="AM7129">
        <v>90.646317028496796</v>
      </c>
      <c r="AN7129">
        <v>0.99999996620519305</v>
      </c>
    </row>
    <row r="7130" spans="1:40" x14ac:dyDescent="0.25">
      <c r="A7130" t="str">
        <f>"20190303170427990"</f>
        <v>20190303170427990</v>
      </c>
      <c r="B7130" t="str">
        <f>"1551603867982169"</f>
        <v>1551603867982169</v>
      </c>
      <c r="C7130" t="s">
        <v>40</v>
      </c>
      <c r="D7130">
        <v>4.5250560000000002</v>
      </c>
      <c r="E7130">
        <v>0.36281570000000002</v>
      </c>
      <c r="F7130" t="s">
        <v>55</v>
      </c>
      <c r="G7130">
        <v>-157.3501</v>
      </c>
      <c r="H7130">
        <v>4.7045269999999997</v>
      </c>
      <c r="I7130">
        <v>-39.25311</v>
      </c>
      <c r="J7130">
        <v>-220.80930000000001</v>
      </c>
      <c r="K7130">
        <v>1.1211500000000001</v>
      </c>
      <c r="L7130">
        <v>-63.964199999999998</v>
      </c>
      <c r="M7130">
        <v>0.99992789999999998</v>
      </c>
      <c r="N7130">
        <v>-1.087933E-2</v>
      </c>
      <c r="O7130">
        <v>5.1052650000000003E-3</v>
      </c>
      <c r="P7130">
        <v>0.98242640000000003</v>
      </c>
      <c r="Q7130">
        <v>0.18596789999999999</v>
      </c>
      <c r="R7130">
        <v>1.5945640000000001E-2</v>
      </c>
      <c r="S7130">
        <v>3.0020289999999998</v>
      </c>
      <c r="T7130">
        <v>0.16907849999999999</v>
      </c>
      <c r="U7130">
        <v>1.1660159999999999</v>
      </c>
      <c r="V7130">
        <v>-1.0845749999999999E-2</v>
      </c>
      <c r="W7130">
        <v>0.19665060000000001</v>
      </c>
      <c r="X7130">
        <v>0.9804136</v>
      </c>
      <c r="Y7130">
        <v>-0.3569174</v>
      </c>
      <c r="Z7130">
        <v>-7.3496899999999999E-3</v>
      </c>
      <c r="AA7130">
        <v>0.93410709999999997</v>
      </c>
      <c r="AB7130">
        <v>33</v>
      </c>
      <c r="AC7130">
        <v>63.459200000000003</v>
      </c>
      <c r="AD7130">
        <v>3.583377</v>
      </c>
      <c r="AE7130">
        <v>24.711089999999999</v>
      </c>
      <c r="AF7130">
        <v>-24.319438644736302</v>
      </c>
      <c r="AG7130">
        <v>3.583377</v>
      </c>
      <c r="AH7130">
        <v>63.408974289403901</v>
      </c>
      <c r="AI7130">
        <v>86.979619451693594</v>
      </c>
      <c r="AJ7130">
        <v>110.983470685047</v>
      </c>
      <c r="AK7130">
        <v>68.0071592345505</v>
      </c>
      <c r="AL7130">
        <v>78.6588363110411</v>
      </c>
      <c r="AM7130">
        <v>90.633804297978401</v>
      </c>
      <c r="AN7130">
        <v>0.99999995791919005</v>
      </c>
    </row>
    <row r="7131" spans="1:40" x14ac:dyDescent="0.25">
      <c r="A7131" t="str">
        <f>"20190303170428004"</f>
        <v>20190303170428004</v>
      </c>
      <c r="B7131" t="str">
        <f>"1551603867992904"</f>
        <v>1551603867992904</v>
      </c>
      <c r="C7131" t="s">
        <v>40</v>
      </c>
      <c r="D7131">
        <v>4.5570680000000001</v>
      </c>
      <c r="E7131">
        <v>0.36272339999999997</v>
      </c>
      <c r="F7131" t="s">
        <v>55</v>
      </c>
      <c r="G7131">
        <v>-157.3501</v>
      </c>
      <c r="H7131">
        <v>4.7503190000000002</v>
      </c>
      <c r="I7131">
        <v>-39.309399999999997</v>
      </c>
      <c r="J7131">
        <v>-220.63749999999999</v>
      </c>
      <c r="K7131">
        <v>1.121154</v>
      </c>
      <c r="L7131">
        <v>-63.963410000000003</v>
      </c>
      <c r="M7131">
        <v>0.99992829999999999</v>
      </c>
      <c r="N7131">
        <v>-1.088891E-2</v>
      </c>
      <c r="O7131">
        <v>5.0047529999999998E-3</v>
      </c>
      <c r="P7131">
        <v>0.98231809999999997</v>
      </c>
      <c r="Q7131">
        <v>0.18659100000000001</v>
      </c>
      <c r="R7131">
        <v>1.534902E-2</v>
      </c>
      <c r="S7131">
        <v>3.002243</v>
      </c>
      <c r="T7131">
        <v>0.17169400000000001</v>
      </c>
      <c r="U7131">
        <v>1.166412</v>
      </c>
      <c r="V7131">
        <v>-1.0347E-2</v>
      </c>
      <c r="W7131">
        <v>0.19728129999999999</v>
      </c>
      <c r="X7131">
        <v>0.98029230000000001</v>
      </c>
      <c r="Y7131">
        <v>-0.35708250000000002</v>
      </c>
      <c r="Z7131">
        <v>-7.5025869999999998E-3</v>
      </c>
      <c r="AA7131">
        <v>0.93404279999999995</v>
      </c>
      <c r="AB7131">
        <v>33</v>
      </c>
      <c r="AC7131">
        <v>63.287399999999899</v>
      </c>
      <c r="AD7131">
        <v>3.629165</v>
      </c>
      <c r="AE7131">
        <v>24.65401</v>
      </c>
      <c r="AF7131">
        <v>-24.267658410005701</v>
      </c>
      <c r="AG7131">
        <v>3.629165</v>
      </c>
      <c r="AH7131">
        <v>63.229476272007503</v>
      </c>
      <c r="AI7131">
        <v>86.932707350193198</v>
      </c>
      <c r="AJ7131">
        <v>110.99694863173499</v>
      </c>
      <c r="AK7131">
        <v>67.823718218144805</v>
      </c>
      <c r="AL7131">
        <v>78.621978099274799</v>
      </c>
      <c r="AM7131">
        <v>90.604735359382502</v>
      </c>
      <c r="AN7131">
        <v>0.99999998258898903</v>
      </c>
    </row>
    <row r="7132" spans="1:40" x14ac:dyDescent="0.25">
      <c r="A7132" t="str">
        <f>"20190303170428013"</f>
        <v>20190303170428013</v>
      </c>
      <c r="B7132" t="str">
        <f>"1551603868002664"</f>
        <v>1551603868002664</v>
      </c>
      <c r="C7132" t="s">
        <v>40</v>
      </c>
      <c r="D7132">
        <v>4.5589570000000004</v>
      </c>
      <c r="E7132">
        <v>0.36259200000000003</v>
      </c>
      <c r="F7132" t="s">
        <v>55</v>
      </c>
      <c r="G7132">
        <v>-157.3501</v>
      </c>
      <c r="H7132">
        <v>4.7929240000000002</v>
      </c>
      <c r="I7132">
        <v>-39.392110000000002</v>
      </c>
      <c r="J7132">
        <v>-220.4804</v>
      </c>
      <c r="K7132">
        <v>1.121159</v>
      </c>
      <c r="L7132">
        <v>-63.962710000000001</v>
      </c>
      <c r="M7132">
        <v>0.9999285</v>
      </c>
      <c r="N7132">
        <v>-1.089739E-2</v>
      </c>
      <c r="O7132">
        <v>4.9135510000000004E-3</v>
      </c>
      <c r="P7132">
        <v>0.98215430000000004</v>
      </c>
      <c r="Q7132">
        <v>0.1874934</v>
      </c>
      <c r="R7132">
        <v>1.481436E-2</v>
      </c>
      <c r="S7132">
        <v>3.0027159999999999</v>
      </c>
      <c r="T7132">
        <v>0.1742088</v>
      </c>
      <c r="U7132">
        <v>1.165802</v>
      </c>
      <c r="V7132">
        <v>-9.9015390000000009E-3</v>
      </c>
      <c r="W7132">
        <v>0.19819039999999999</v>
      </c>
      <c r="X7132">
        <v>0.98011349999999997</v>
      </c>
      <c r="Y7132">
        <v>-0.35693999999999998</v>
      </c>
      <c r="Z7132">
        <v>-7.6427609999999997E-3</v>
      </c>
      <c r="AA7132">
        <v>0.93409600000000004</v>
      </c>
      <c r="AB7132">
        <v>33</v>
      </c>
      <c r="AC7132">
        <v>63.130299999999998</v>
      </c>
      <c r="AD7132">
        <v>3.6717650000000002</v>
      </c>
      <c r="AE7132">
        <v>24.570599999999999</v>
      </c>
      <c r="AF7132">
        <v>-24.189029205286101</v>
      </c>
      <c r="AG7132">
        <v>3.6717650000000002</v>
      </c>
      <c r="AH7132">
        <v>63.065003513414503</v>
      </c>
      <c r="AI7132">
        <v>86.888440083369304</v>
      </c>
      <c r="AJ7132">
        <v>110.984670364384</v>
      </c>
      <c r="AK7132">
        <v>67.644553810757003</v>
      </c>
      <c r="AL7132">
        <v>78.568841236354004</v>
      </c>
      <c r="AM7132">
        <v>90.578807552993695</v>
      </c>
      <c r="AN7132">
        <v>0.99999997400448803</v>
      </c>
    </row>
    <row r="7133" spans="1:40" x14ac:dyDescent="0.25">
      <c r="A7133" t="str">
        <f>"20190303170428027"</f>
        <v>20190303170428027</v>
      </c>
      <c r="B7133" t="str">
        <f>"1551603868022184"</f>
        <v>1551603868022184</v>
      </c>
      <c r="C7133" t="s">
        <v>40</v>
      </c>
      <c r="D7133">
        <v>4.5723940000000001</v>
      </c>
      <c r="E7133">
        <v>0.36229339999999999</v>
      </c>
      <c r="F7133" t="s">
        <v>55</v>
      </c>
      <c r="G7133">
        <v>-157.3501</v>
      </c>
      <c r="H7133">
        <v>4.8560889999999999</v>
      </c>
      <c r="I7133">
        <v>-39.45872</v>
      </c>
      <c r="J7133">
        <v>-220.3023</v>
      </c>
      <c r="K7133">
        <v>1.1211599999999999</v>
      </c>
      <c r="L7133">
        <v>-63.961939999999998</v>
      </c>
      <c r="M7133">
        <v>0.99992899999999996</v>
      </c>
      <c r="N7133">
        <v>-1.090611E-2</v>
      </c>
      <c r="O7133">
        <v>4.8105480000000004E-3</v>
      </c>
      <c r="P7133">
        <v>0.98209829999999998</v>
      </c>
      <c r="Q7133">
        <v>0.1878242</v>
      </c>
      <c r="R7133">
        <v>1.4322949999999999E-2</v>
      </c>
      <c r="S7133">
        <v>3.0030209999999999</v>
      </c>
      <c r="T7133">
        <v>0.177664299999999</v>
      </c>
      <c r="U7133">
        <v>1.165619</v>
      </c>
      <c r="V7133">
        <v>-9.5106329999999992E-3</v>
      </c>
      <c r="W7133">
        <v>0.19852880000000001</v>
      </c>
      <c r="X7133">
        <v>0.9800489</v>
      </c>
      <c r="Y7133">
        <v>-0.35693619999999998</v>
      </c>
      <c r="Z7133">
        <v>-7.8394050000000007E-3</v>
      </c>
      <c r="AA7133">
        <v>0.93409589999999998</v>
      </c>
      <c r="AB7133">
        <v>33</v>
      </c>
      <c r="AC7133">
        <v>62.952199999999998</v>
      </c>
      <c r="AD7133">
        <v>3.7349290000000002</v>
      </c>
      <c r="AE7133">
        <v>24.503219999999999</v>
      </c>
      <c r="AF7133">
        <v>-24.126332736344601</v>
      </c>
      <c r="AG7133">
        <v>3.7349290000000002</v>
      </c>
      <c r="AH7133">
        <v>62.877144993523501</v>
      </c>
      <c r="AI7133">
        <v>86.825741930837907</v>
      </c>
      <c r="AJ7133">
        <v>110.99210370116</v>
      </c>
      <c r="AK7133">
        <v>67.450463219139095</v>
      </c>
      <c r="AL7133">
        <v>78.549059465335006</v>
      </c>
      <c r="AM7133">
        <v>90.555994733454597</v>
      </c>
      <c r="AN7133">
        <v>0.99999999148035501</v>
      </c>
    </row>
    <row r="7134" spans="1:40" x14ac:dyDescent="0.25">
      <c r="A7134" t="str">
        <f>"20190303170428036"</f>
        <v>20190303170428036</v>
      </c>
      <c r="B7134" t="str">
        <f>"1551603868032921"</f>
        <v>1551603868032921</v>
      </c>
      <c r="C7134" t="s">
        <v>40</v>
      </c>
      <c r="D7134">
        <v>4.5890449999999996</v>
      </c>
      <c r="E7134">
        <v>0.36213790000000001</v>
      </c>
      <c r="F7134" t="s">
        <v>55</v>
      </c>
      <c r="G7134">
        <v>-157.3501</v>
      </c>
      <c r="H7134">
        <v>4.8581050000000001</v>
      </c>
      <c r="I7134">
        <v>-39.506610000000002</v>
      </c>
      <c r="J7134">
        <v>-220.14179999999999</v>
      </c>
      <c r="K7134">
        <v>1.1211549999999999</v>
      </c>
      <c r="L7134">
        <v>-63.961269999999899</v>
      </c>
      <c r="M7134">
        <v>0.99992930000000002</v>
      </c>
      <c r="N7134">
        <v>-1.091377E-2</v>
      </c>
      <c r="O7134">
        <v>4.7179860000000004E-3</v>
      </c>
      <c r="P7134">
        <v>0.98215509999999995</v>
      </c>
      <c r="Q7134">
        <v>0.1875386</v>
      </c>
      <c r="R7134">
        <v>1.4165530000000001E-2</v>
      </c>
      <c r="S7134">
        <v>3.003571</v>
      </c>
      <c r="T7134">
        <v>0.1782956</v>
      </c>
      <c r="U7134">
        <v>1.166809</v>
      </c>
      <c r="V7134">
        <v>-9.4434129999999995E-3</v>
      </c>
      <c r="W7134">
        <v>0.1982516</v>
      </c>
      <c r="X7134">
        <v>0.98010560000000002</v>
      </c>
      <c r="Y7134">
        <v>-0.35728310000000002</v>
      </c>
      <c r="Z7134">
        <v>-7.8848430000000008E-3</v>
      </c>
      <c r="AA7134">
        <v>0.93396290000000004</v>
      </c>
      <c r="AB7134">
        <v>33</v>
      </c>
      <c r="AC7134">
        <v>62.791699999999899</v>
      </c>
      <c r="AD7134">
        <v>3.7369500000000002</v>
      </c>
      <c r="AE7134">
        <v>24.454660000000001</v>
      </c>
      <c r="AF7134">
        <v>-24.084052045180801</v>
      </c>
      <c r="AG7134">
        <v>3.7369500000000002</v>
      </c>
      <c r="AH7134">
        <v>62.713516455137601</v>
      </c>
      <c r="AI7134">
        <v>86.816105879896796</v>
      </c>
      <c r="AJ7134">
        <v>111.008430971618</v>
      </c>
      <c r="AK7134">
        <v>67.282921342538998</v>
      </c>
      <c r="AL7134">
        <v>78.565263249922594</v>
      </c>
      <c r="AM7134">
        <v>90.552033338726503</v>
      </c>
      <c r="AN7134">
        <v>0.99999993105150198</v>
      </c>
    </row>
    <row r="7135" spans="1:40" x14ac:dyDescent="0.25">
      <c r="A7135" t="str">
        <f>"20190303170428048"</f>
        <v>20190303170428048</v>
      </c>
      <c r="B7135" t="str">
        <f>"1551603868042681"</f>
        <v>1551603868042681</v>
      </c>
      <c r="C7135" t="s">
        <v>40</v>
      </c>
      <c r="D7135">
        <v>4.5603129999999998</v>
      </c>
      <c r="E7135">
        <v>0.36195509999999997</v>
      </c>
      <c r="F7135" t="s">
        <v>55</v>
      </c>
      <c r="G7135">
        <v>-157.3501</v>
      </c>
      <c r="H7135">
        <v>4.8153819999999996</v>
      </c>
      <c r="I7135">
        <v>-39.557760000000002</v>
      </c>
      <c r="J7135">
        <v>-219.96340000000001</v>
      </c>
      <c r="K7135">
        <v>1.1211549999999999</v>
      </c>
      <c r="L7135">
        <v>-63.960540000000002</v>
      </c>
      <c r="M7135">
        <v>0.99992970000000003</v>
      </c>
      <c r="N7135">
        <v>-1.0921490000000001E-2</v>
      </c>
      <c r="O7135">
        <v>4.615353E-3</v>
      </c>
      <c r="P7135">
        <v>0.98231400000000002</v>
      </c>
      <c r="Q7135">
        <v>0.1866786</v>
      </c>
      <c r="R7135">
        <v>1.450574E-2</v>
      </c>
      <c r="S7135">
        <v>3.0039220000000002</v>
      </c>
      <c r="T7135">
        <v>0.17672879999999999</v>
      </c>
      <c r="U7135">
        <v>1.1674500000000001</v>
      </c>
      <c r="V7135">
        <v>-9.8835169999999996E-3</v>
      </c>
      <c r="W7135">
        <v>0.19740099999999999</v>
      </c>
      <c r="X7135">
        <v>0.98027299999999995</v>
      </c>
      <c r="Y7135">
        <v>-0.35752329999999999</v>
      </c>
      <c r="Z7135">
        <v>-7.8069309999999996E-3</v>
      </c>
      <c r="AA7135">
        <v>0.93387160000000002</v>
      </c>
      <c r="AB7135">
        <v>33</v>
      </c>
      <c r="AC7135">
        <v>62.613300000000002</v>
      </c>
      <c r="AD7135">
        <v>3.6942270000000001</v>
      </c>
      <c r="AE7135">
        <v>24.40278</v>
      </c>
      <c r="AF7135">
        <v>-24.040867773214998</v>
      </c>
      <c r="AG7135">
        <v>3.6942270000000001</v>
      </c>
      <c r="AH7135">
        <v>62.536279796236201</v>
      </c>
      <c r="AI7135">
        <v>86.843949345491694</v>
      </c>
      <c r="AJ7135">
        <v>111.028293981768</v>
      </c>
      <c r="AK7135">
        <v>67.099902586888106</v>
      </c>
      <c r="AL7135">
        <v>78.614982381369401</v>
      </c>
      <c r="AM7135">
        <v>90.577660124761394</v>
      </c>
      <c r="AN7135">
        <v>0.99999999661914396</v>
      </c>
    </row>
    <row r="7136" spans="1:40" x14ac:dyDescent="0.25">
      <c r="A7136" t="str">
        <f>"20190303170428061"</f>
        <v>20190303170428061</v>
      </c>
      <c r="B7136" t="str">
        <f>"1551603868052440"</f>
        <v>1551603868052440</v>
      </c>
      <c r="C7136" t="s">
        <v>40</v>
      </c>
      <c r="D7136">
        <v>4.6423649999999999</v>
      </c>
      <c r="E7136">
        <v>0.36180830000000003</v>
      </c>
      <c r="F7136" t="s">
        <v>55</v>
      </c>
      <c r="G7136">
        <v>-157.3501</v>
      </c>
      <c r="H7136">
        <v>4.726108</v>
      </c>
      <c r="I7136">
        <v>-39.582729999999998</v>
      </c>
      <c r="J7136">
        <v>-219.79300000000001</v>
      </c>
      <c r="K7136">
        <v>1.1211530000000001</v>
      </c>
      <c r="L7136">
        <v>-63.95984</v>
      </c>
      <c r="M7136">
        <v>0.99993010000000004</v>
      </c>
      <c r="N7136">
        <v>-1.0928520000000001E-2</v>
      </c>
      <c r="O7136">
        <v>4.5176139999999997E-3</v>
      </c>
      <c r="P7136">
        <v>0.9824792</v>
      </c>
      <c r="Q7136">
        <v>0.18576619999999999</v>
      </c>
      <c r="R7136">
        <v>1.5015300000000001E-2</v>
      </c>
      <c r="S7136">
        <v>3.003876</v>
      </c>
      <c r="T7136">
        <v>0.17294670000000001</v>
      </c>
      <c r="U7136">
        <v>1.1695249999999999</v>
      </c>
      <c r="V7136">
        <v>-1.0488910000000001E-2</v>
      </c>
      <c r="W7136">
        <v>0.1964977</v>
      </c>
      <c r="X7136">
        <v>0.98044819999999999</v>
      </c>
      <c r="Y7136">
        <v>-0.35819889999999999</v>
      </c>
      <c r="Z7136">
        <v>-7.6147059999999997E-3</v>
      </c>
      <c r="AA7136">
        <v>0.93361430000000001</v>
      </c>
      <c r="AB7136">
        <v>33</v>
      </c>
      <c r="AC7136">
        <v>62.442900000000002</v>
      </c>
      <c r="AD7136">
        <v>3.6049549999999999</v>
      </c>
      <c r="AE7136">
        <v>24.377109999999998</v>
      </c>
      <c r="AF7136">
        <v>-24.025265545023601</v>
      </c>
      <c r="AG7136">
        <v>3.6049549999999999</v>
      </c>
      <c r="AH7136">
        <v>62.372003271050197</v>
      </c>
      <c r="AI7136">
        <v>86.912758676835594</v>
      </c>
      <c r="AJ7136">
        <v>111.066340749262</v>
      </c>
      <c r="AK7136">
        <v>66.936356915392594</v>
      </c>
      <c r="AL7136">
        <v>78.667771855530404</v>
      </c>
      <c r="AM7136">
        <v>90.612931258869494</v>
      </c>
      <c r="AN7136">
        <v>1.00000001811075</v>
      </c>
    </row>
    <row r="7137" spans="1:40" x14ac:dyDescent="0.25">
      <c r="A7137" t="str">
        <f>"20190303170428071"</f>
        <v>20190303170428071</v>
      </c>
      <c r="B7137" t="str">
        <f>"1551603868063176"</f>
        <v>1551603868063176</v>
      </c>
      <c r="C7137" t="s">
        <v>40</v>
      </c>
      <c r="D7137">
        <v>4.6169140000000004</v>
      </c>
      <c r="E7137">
        <v>0.36164190000000002</v>
      </c>
      <c r="F7137" t="s">
        <v>55</v>
      </c>
      <c r="G7137">
        <v>-157.3501</v>
      </c>
      <c r="H7137">
        <v>4.6217410000000001</v>
      </c>
      <c r="I7137">
        <v>-39.599139999999998</v>
      </c>
      <c r="J7137">
        <v>-219.62289999999999</v>
      </c>
      <c r="K7137">
        <v>1.121156</v>
      </c>
      <c r="L7137">
        <v>-63.959169999999901</v>
      </c>
      <c r="M7137">
        <v>0.99993050000000006</v>
      </c>
      <c r="N7137">
        <v>-1.09351E-2</v>
      </c>
      <c r="O7137">
        <v>4.4200000000000003E-3</v>
      </c>
      <c r="P7137">
        <v>0.98261399999999999</v>
      </c>
      <c r="Q7137">
        <v>0.18501329999999999</v>
      </c>
      <c r="R7137">
        <v>1.549699E-2</v>
      </c>
      <c r="S7137">
        <v>3.0037539999999998</v>
      </c>
      <c r="T7137">
        <v>0.16839109999999999</v>
      </c>
      <c r="U7137">
        <v>1.1718440000000001</v>
      </c>
      <c r="V7137">
        <v>-1.106563E-2</v>
      </c>
      <c r="W7137">
        <v>0.19575290000000001</v>
      </c>
      <c r="X7137">
        <v>0.98059079999999998</v>
      </c>
      <c r="Y7137">
        <v>-0.35895120000000003</v>
      </c>
      <c r="Z7137">
        <v>-7.3798429999999996E-3</v>
      </c>
      <c r="AA7137">
        <v>0.93332709999999997</v>
      </c>
      <c r="AB7137">
        <v>33</v>
      </c>
      <c r="AC7137">
        <v>62.272799999999897</v>
      </c>
      <c r="AD7137">
        <v>3.5005850000000001</v>
      </c>
      <c r="AE7137">
        <v>24.360029999999899</v>
      </c>
      <c r="AF7137">
        <v>-24.018704053786099</v>
      </c>
      <c r="AG7137">
        <v>3.5005850000000001</v>
      </c>
      <c r="AH7137">
        <v>62.209378153809702</v>
      </c>
      <c r="AI7137">
        <v>86.995059374904997</v>
      </c>
      <c r="AJ7137">
        <v>111.111304719213</v>
      </c>
      <c r="AK7137">
        <v>66.776934416378197</v>
      </c>
      <c r="AL7137">
        <v>78.711290525193206</v>
      </c>
      <c r="AM7137">
        <v>90.646535727441801</v>
      </c>
      <c r="AN7137">
        <v>0.999999981535173</v>
      </c>
    </row>
    <row r="7138" spans="1:40" x14ac:dyDescent="0.25">
      <c r="A7138" t="str">
        <f>"20190303170428083"</f>
        <v>20190303170428083</v>
      </c>
      <c r="B7138" t="str">
        <f>"1551603868072937"</f>
        <v>1551603868072937</v>
      </c>
      <c r="C7138" t="s">
        <v>40</v>
      </c>
      <c r="D7138">
        <v>4.5998469999999996</v>
      </c>
      <c r="E7138">
        <v>0.36156290000000002</v>
      </c>
      <c r="F7138" t="s">
        <v>55</v>
      </c>
      <c r="G7138">
        <v>-157.3501</v>
      </c>
      <c r="H7138">
        <v>4.5255409999999996</v>
      </c>
      <c r="I7138">
        <v>-39.619199999999999</v>
      </c>
      <c r="J7138">
        <v>-219.45429999999999</v>
      </c>
      <c r="K7138">
        <v>1.1211549999999999</v>
      </c>
      <c r="L7138">
        <v>-63.958500000000001</v>
      </c>
      <c r="M7138">
        <v>0.99993080000000001</v>
      </c>
      <c r="N7138">
        <v>-1.094113E-2</v>
      </c>
      <c r="O7138">
        <v>4.323403E-3</v>
      </c>
      <c r="P7138">
        <v>0.98256560000000004</v>
      </c>
      <c r="Q7138">
        <v>0.18523600000000001</v>
      </c>
      <c r="R7138">
        <v>1.589109E-2</v>
      </c>
      <c r="S7138">
        <v>3.0036619999999998</v>
      </c>
      <c r="T7138">
        <v>0.16420580000000001</v>
      </c>
      <c r="U7138">
        <v>1.1740109999999999</v>
      </c>
      <c r="V7138">
        <v>-1.155465E-2</v>
      </c>
      <c r="W7138">
        <v>0.19598109999999999</v>
      </c>
      <c r="X7138">
        <v>0.98053959999999996</v>
      </c>
      <c r="Y7138">
        <v>-0.35965540000000001</v>
      </c>
      <c r="Z7138">
        <v>-7.1634790000000004E-3</v>
      </c>
      <c r="AA7138">
        <v>0.93305769999999999</v>
      </c>
      <c r="AB7138">
        <v>33</v>
      </c>
      <c r="AC7138">
        <v>62.104199999999899</v>
      </c>
      <c r="AD7138">
        <v>3.4043860000000001</v>
      </c>
      <c r="AE7138">
        <v>24.339300000000001</v>
      </c>
      <c r="AF7138">
        <v>-24.008017665860802</v>
      </c>
      <c r="AG7138">
        <v>3.4043860000000001</v>
      </c>
      <c r="AH7138">
        <v>62.047230701113101</v>
      </c>
      <c r="AI7138">
        <v>87.070691331742196</v>
      </c>
      <c r="AJ7138">
        <v>111.153015543986</v>
      </c>
      <c r="AK7138">
        <v>66.617066836948297</v>
      </c>
      <c r="AL7138">
        <v>78.6979576321271</v>
      </c>
      <c r="AM7138">
        <v>90.675140542598797</v>
      </c>
      <c r="AN7138">
        <v>1.00000000433099</v>
      </c>
    </row>
    <row r="7139" spans="1:40" x14ac:dyDescent="0.25">
      <c r="A7139" t="str">
        <f>"20190303170428096"</f>
        <v>20190303170428096</v>
      </c>
      <c r="B7139" t="str">
        <f>"1551603868082696"</f>
        <v>1551603868082696</v>
      </c>
      <c r="C7139" t="s">
        <v>40</v>
      </c>
      <c r="D7139">
        <v>4.6263189999999996</v>
      </c>
      <c r="E7139">
        <v>0.36148999999999998</v>
      </c>
      <c r="F7139" t="s">
        <v>55</v>
      </c>
      <c r="G7139">
        <v>-157.3501</v>
      </c>
      <c r="H7139">
        <v>4.4862590000000004</v>
      </c>
      <c r="I7139">
        <v>-39.653910000000003</v>
      </c>
      <c r="J7139">
        <v>-219.27359999999999</v>
      </c>
      <c r="K7139">
        <v>1.121157</v>
      </c>
      <c r="L7139">
        <v>-63.957819999999998</v>
      </c>
      <c r="M7139">
        <v>0.99993120000000002</v>
      </c>
      <c r="N7139">
        <v>-1.094739E-2</v>
      </c>
      <c r="O7139">
        <v>4.2198920000000003E-3</v>
      </c>
      <c r="P7139">
        <v>0.98233839999999994</v>
      </c>
      <c r="Q7139">
        <v>0.186447</v>
      </c>
      <c r="R7139">
        <v>1.578419E-2</v>
      </c>
      <c r="S7139">
        <v>3.003555</v>
      </c>
      <c r="T7139">
        <v>0.162746</v>
      </c>
      <c r="U7139">
        <v>1.175446</v>
      </c>
      <c r="V7139">
        <v>-1.154991E-2</v>
      </c>
      <c r="W7139">
        <v>0.1971957</v>
      </c>
      <c r="X7139">
        <v>0.9802961</v>
      </c>
      <c r="Y7139">
        <v>-0.36015619999999998</v>
      </c>
      <c r="Z7139">
        <v>-7.0963119999999996E-3</v>
      </c>
      <c r="AA7139">
        <v>0.93286500000000006</v>
      </c>
      <c r="AB7139">
        <v>33</v>
      </c>
      <c r="AC7139">
        <v>61.923499999999898</v>
      </c>
      <c r="AD7139">
        <v>3.3651019999999998</v>
      </c>
      <c r="AE7139">
        <v>24.303909999999998</v>
      </c>
      <c r="AF7139">
        <v>-23.981001009827501</v>
      </c>
      <c r="AG7139">
        <v>3.3651019999999998</v>
      </c>
      <c r="AH7139">
        <v>61.867198884592703</v>
      </c>
      <c r="AI7139">
        <v>87.096696685520698</v>
      </c>
      <c r="AJ7139">
        <v>111.18735723097799</v>
      </c>
      <c r="AK7139">
        <v>66.437659642175106</v>
      </c>
      <c r="AL7139">
        <v>78.626981027977607</v>
      </c>
      <c r="AM7139">
        <v>90.675031225847306</v>
      </c>
      <c r="AN7139">
        <v>0.99999999409735396</v>
      </c>
    </row>
    <row r="7140" spans="1:40" x14ac:dyDescent="0.25">
      <c r="A7140" t="str">
        <f>"20190303170428106"</f>
        <v>20190303170428106</v>
      </c>
      <c r="B7140" t="str">
        <f>"1551603868092456"</f>
        <v>1551603868092456</v>
      </c>
      <c r="C7140" t="s">
        <v>40</v>
      </c>
      <c r="D7140">
        <v>4.5986969999999996</v>
      </c>
      <c r="E7140">
        <v>0.36136360000000001</v>
      </c>
      <c r="F7140" t="s">
        <v>55</v>
      </c>
      <c r="G7140">
        <v>-157.3501</v>
      </c>
      <c r="H7140">
        <v>4.5318189999999996</v>
      </c>
      <c r="I7140">
        <v>-39.71902</v>
      </c>
      <c r="J7140">
        <v>-219.11840000000001</v>
      </c>
      <c r="K7140">
        <v>1.121164</v>
      </c>
      <c r="L7140">
        <v>-63.957279999999997</v>
      </c>
      <c r="M7140">
        <v>0.99993149999999997</v>
      </c>
      <c r="N7140">
        <v>-1.09522E-2</v>
      </c>
      <c r="O7140">
        <v>4.1342920000000003E-3</v>
      </c>
      <c r="P7140">
        <v>0.98202350000000005</v>
      </c>
      <c r="Q7140">
        <v>0.18812899999999999</v>
      </c>
      <c r="R7140">
        <v>1.541064E-2</v>
      </c>
      <c r="S7140">
        <v>3.003647</v>
      </c>
      <c r="T7140">
        <v>0.16543569999999999</v>
      </c>
      <c r="U7140">
        <v>1.1757200000000001</v>
      </c>
      <c r="V7140">
        <v>-1.126133E-2</v>
      </c>
      <c r="W7140">
        <v>0.19887879999999999</v>
      </c>
      <c r="X7140">
        <v>0.97995940000000004</v>
      </c>
      <c r="Y7140">
        <v>-0.36028690000000002</v>
      </c>
      <c r="Z7140">
        <v>-7.2546619999999899E-3</v>
      </c>
      <c r="AA7140">
        <v>0.93281329999999996</v>
      </c>
      <c r="AB7140">
        <v>33</v>
      </c>
      <c r="AC7140">
        <v>61.768300000000004</v>
      </c>
      <c r="AD7140">
        <v>3.4106550000000002</v>
      </c>
      <c r="AE7140">
        <v>24.23826</v>
      </c>
      <c r="AF7140">
        <v>-23.919472305986101</v>
      </c>
      <c r="AG7140">
        <v>3.4106550000000002</v>
      </c>
      <c r="AH7140">
        <v>61.704957020075497</v>
      </c>
      <c r="AI7140">
        <v>87.049762269906793</v>
      </c>
      <c r="AJ7140">
        <v>111.18845475441201</v>
      </c>
      <c r="AK7140">
        <v>66.266699357786294</v>
      </c>
      <c r="AL7140">
        <v>78.528598147843397</v>
      </c>
      <c r="AM7140">
        <v>90.658392868729806</v>
      </c>
      <c r="AN7140">
        <v>1.0000000101455799</v>
      </c>
    </row>
    <row r="7141" spans="1:40" x14ac:dyDescent="0.25">
      <c r="A7141" t="str">
        <f>"20190303170428116"</f>
        <v>20190303170428116</v>
      </c>
      <c r="B7141" t="str">
        <f>"1551603868103193"</f>
        <v>1551603868103193</v>
      </c>
      <c r="C7141" t="s">
        <v>40</v>
      </c>
      <c r="D7141">
        <v>4.6500089999999998</v>
      </c>
      <c r="E7141">
        <v>0.36128199999999999</v>
      </c>
      <c r="F7141" t="s">
        <v>55</v>
      </c>
      <c r="G7141">
        <v>-157.3501</v>
      </c>
      <c r="H7141">
        <v>4.6357559999999998</v>
      </c>
      <c r="I7141">
        <v>-39.778579999999998</v>
      </c>
      <c r="J7141">
        <v>-218.96940000000001</v>
      </c>
      <c r="K7141">
        <v>1.1211679999999999</v>
      </c>
      <c r="L7141">
        <v>-63.95673</v>
      </c>
      <c r="M7141">
        <v>0.99993180000000004</v>
      </c>
      <c r="N7141">
        <v>-1.0956789999999999E-2</v>
      </c>
      <c r="O7141">
        <v>4.0525090000000001E-3</v>
      </c>
      <c r="P7141">
        <v>0.98177899999999996</v>
      </c>
      <c r="Q7141">
        <v>0.18945480000000001</v>
      </c>
      <c r="R7141">
        <v>1.472817E-2</v>
      </c>
      <c r="S7141">
        <v>3.0037229999999999</v>
      </c>
      <c r="T7141">
        <v>0.17090949999999999</v>
      </c>
      <c r="U7141">
        <v>1.175781</v>
      </c>
      <c r="V7141">
        <v>-1.066074E-2</v>
      </c>
      <c r="W7141">
        <v>0.2002063</v>
      </c>
      <c r="X7141">
        <v>0.97969580000000001</v>
      </c>
      <c r="Y7141">
        <v>-0.36034339999999998</v>
      </c>
      <c r="Z7141">
        <v>-7.5687019999999897E-3</v>
      </c>
      <c r="AA7141">
        <v>0.93278899999999998</v>
      </c>
      <c r="AB7141">
        <v>33</v>
      </c>
      <c r="AC7141">
        <v>61.619300000000003</v>
      </c>
      <c r="AD7141">
        <v>3.5145879999999998</v>
      </c>
      <c r="AE7141">
        <v>24.178149999999999</v>
      </c>
      <c r="AF7141">
        <v>-23.860955186826398</v>
      </c>
      <c r="AG7141">
        <v>3.5145879999999998</v>
      </c>
      <c r="AH7141">
        <v>61.543279967319897</v>
      </c>
      <c r="AI7141">
        <v>86.952123841457194</v>
      </c>
      <c r="AJ7141">
        <v>111.191818229099</v>
      </c>
      <c r="AK7141">
        <v>66.100475190223804</v>
      </c>
      <c r="AL7141">
        <v>78.450977285055203</v>
      </c>
      <c r="AM7141">
        <v>90.623449953651104</v>
      </c>
      <c r="AN7141">
        <v>1.0000000372373301</v>
      </c>
    </row>
    <row r="7142" spans="1:40" x14ac:dyDescent="0.25">
      <c r="A7142" t="str">
        <f>"20190303170428127"</f>
        <v>20190303170428127</v>
      </c>
      <c r="B7142" t="str">
        <f>"1551603868122714"</f>
        <v>1551603868122714</v>
      </c>
      <c r="C7142" t="s">
        <v>40</v>
      </c>
      <c r="D7142">
        <v>4.6522420000000002</v>
      </c>
      <c r="E7142">
        <v>0.36099619999999999</v>
      </c>
      <c r="F7142" t="s">
        <v>55</v>
      </c>
      <c r="G7142">
        <v>-157.3501</v>
      </c>
      <c r="H7142">
        <v>4.708507</v>
      </c>
      <c r="I7142">
        <v>-39.863059999999997</v>
      </c>
      <c r="J7142">
        <v>-218.803</v>
      </c>
      <c r="K7142">
        <v>1.121173</v>
      </c>
      <c r="L7142">
        <v>-63.956180000000003</v>
      </c>
      <c r="M7142">
        <v>0.99993220000000005</v>
      </c>
      <c r="N7142">
        <v>-1.0961459999999999E-2</v>
      </c>
      <c r="O7142">
        <v>3.966046E-3</v>
      </c>
      <c r="P7142">
        <v>0.98164039999999997</v>
      </c>
      <c r="Q7142">
        <v>0.19022800000000001</v>
      </c>
      <c r="R7142">
        <v>1.3990030000000001E-2</v>
      </c>
      <c r="S7142">
        <v>3.004318</v>
      </c>
      <c r="T7142">
        <v>0.17490359999999999</v>
      </c>
      <c r="U7142">
        <v>1.1747129999999999</v>
      </c>
      <c r="V7142">
        <v>-1.000883E-2</v>
      </c>
      <c r="W7142">
        <v>0.20098170000000001</v>
      </c>
      <c r="X7142">
        <v>0.97954390000000002</v>
      </c>
      <c r="Y7142">
        <v>-0.36005300000000001</v>
      </c>
      <c r="Z7142">
        <v>-7.7913030000000003E-3</v>
      </c>
      <c r="AA7142">
        <v>0.93289929999999999</v>
      </c>
      <c r="AB7142">
        <v>33</v>
      </c>
      <c r="AC7142">
        <v>61.4529</v>
      </c>
      <c r="AD7142">
        <v>3.5873339999999998</v>
      </c>
      <c r="AE7142">
        <v>24.093119999999999</v>
      </c>
      <c r="AF7142">
        <v>-23.7789556103547</v>
      </c>
      <c r="AG7142">
        <v>3.5873339999999998</v>
      </c>
      <c r="AH7142">
        <v>61.366719596671601</v>
      </c>
      <c r="AI7142">
        <v>86.879996388585894</v>
      </c>
      <c r="AJ7142">
        <v>111.180823282144</v>
      </c>
      <c r="AK7142">
        <v>65.910408656018106</v>
      </c>
      <c r="AL7142">
        <v>78.405628385440806</v>
      </c>
      <c r="AM7142">
        <v>90.585419153480402</v>
      </c>
      <c r="AN7142">
        <v>1.0000000362200301</v>
      </c>
    </row>
    <row r="7143" spans="1:40" x14ac:dyDescent="0.25">
      <c r="A7143" t="str">
        <f>"20190303170428137"</f>
        <v>20190303170428137</v>
      </c>
      <c r="B7143" t="str">
        <f>"1551603868132472"</f>
        <v>1551603868132472</v>
      </c>
      <c r="C7143" t="s">
        <v>40</v>
      </c>
      <c r="D7143">
        <v>4.6723929999999996</v>
      </c>
      <c r="E7143">
        <v>0.36090309999999998</v>
      </c>
      <c r="F7143" t="s">
        <v>55</v>
      </c>
      <c r="G7143">
        <v>-157.3501</v>
      </c>
      <c r="H7143">
        <v>4.7313080000000003</v>
      </c>
      <c r="I7143">
        <v>-39.934260000000002</v>
      </c>
      <c r="J7143">
        <v>-218.65280000000001</v>
      </c>
      <c r="K7143">
        <v>1.121181</v>
      </c>
      <c r="L7143">
        <v>-63.955660000000002</v>
      </c>
      <c r="M7143">
        <v>0.99993240000000005</v>
      </c>
      <c r="N7143">
        <v>-1.0965559999999999E-2</v>
      </c>
      <c r="O7143">
        <v>3.8904999999999999E-3</v>
      </c>
      <c r="P7143">
        <v>0.9816937</v>
      </c>
      <c r="Q7143">
        <v>0.18998409999999999</v>
      </c>
      <c r="R7143">
        <v>1.356079E-2</v>
      </c>
      <c r="S7143">
        <v>3.0051570000000001</v>
      </c>
      <c r="T7143">
        <v>0.1765409</v>
      </c>
      <c r="U7143">
        <v>1.1747129999999999</v>
      </c>
      <c r="V7143">
        <v>-9.6557310000000007E-3</v>
      </c>
      <c r="W7143">
        <v>0.20074210000000001</v>
      </c>
      <c r="X7143">
        <v>0.97959660000000004</v>
      </c>
      <c r="Y7143">
        <v>-0.36002659999999997</v>
      </c>
      <c r="Z7143">
        <v>-7.8847459999999998E-3</v>
      </c>
      <c r="AA7143">
        <v>0.93290870000000004</v>
      </c>
      <c r="AB7143">
        <v>33</v>
      </c>
      <c r="AC7143">
        <v>61.302700000000002</v>
      </c>
      <c r="AD7143">
        <v>3.6101269999999999</v>
      </c>
      <c r="AE7143">
        <v>24.0214</v>
      </c>
      <c r="AF7143">
        <v>-23.711419008518298</v>
      </c>
      <c r="AG7143">
        <v>3.6101269999999999</v>
      </c>
      <c r="AH7143">
        <v>61.211668324194001</v>
      </c>
      <c r="AI7143">
        <v>86.852146106973507</v>
      </c>
      <c r="AJ7143">
        <v>111.17475520764</v>
      </c>
      <c r="AK7143">
        <v>65.742929257713996</v>
      </c>
      <c r="AL7143">
        <v>78.419642352816695</v>
      </c>
      <c r="AM7143">
        <v>90.564737279183007</v>
      </c>
      <c r="AN7143">
        <v>1.0000000612925499</v>
      </c>
    </row>
    <row r="7144" spans="1:40" x14ac:dyDescent="0.25">
      <c r="A7144" t="str">
        <f>"20190303170428148"</f>
        <v>20190303170428148</v>
      </c>
      <c r="B7144" t="str">
        <f>"1551603868143210"</f>
        <v>1551603868143210</v>
      </c>
      <c r="C7144" t="s">
        <v>40</v>
      </c>
      <c r="D7144">
        <v>4.6162999999999998</v>
      </c>
      <c r="E7144">
        <v>0.36090309999999998</v>
      </c>
      <c r="F7144" t="s">
        <v>55</v>
      </c>
      <c r="G7144">
        <v>-157.3501</v>
      </c>
      <c r="H7144">
        <v>4.6804180000000004</v>
      </c>
      <c r="I7144">
        <v>-40.013849999999998</v>
      </c>
      <c r="J7144">
        <v>-218.4776</v>
      </c>
      <c r="K7144">
        <v>1.121189</v>
      </c>
      <c r="L7144">
        <v>-63.95505</v>
      </c>
      <c r="M7144">
        <v>0.99993259999999995</v>
      </c>
      <c r="N7144">
        <v>-1.096982E-2</v>
      </c>
      <c r="O7144">
        <v>3.813051E-3</v>
      </c>
      <c r="P7144">
        <v>0.98174629999999996</v>
      </c>
      <c r="Q7144">
        <v>0.18974299999999999</v>
      </c>
      <c r="R7144">
        <v>1.3117169999999999E-2</v>
      </c>
      <c r="S7144">
        <v>3.0059659999999999</v>
      </c>
      <c r="T7144">
        <v>0.1745254</v>
      </c>
      <c r="U7144">
        <v>1.1739809999999999</v>
      </c>
      <c r="V7144">
        <v>-9.2923139999999994E-3</v>
      </c>
      <c r="W7144">
        <v>0.20050570000000001</v>
      </c>
      <c r="X7144">
        <v>0.97964850000000003</v>
      </c>
      <c r="Y7144">
        <v>-0.35982750000000002</v>
      </c>
      <c r="Z7144">
        <v>-7.7690809999999997E-3</v>
      </c>
      <c r="AA7144">
        <v>0.93298650000000005</v>
      </c>
      <c r="AB7144">
        <v>33</v>
      </c>
      <c r="AC7144">
        <v>61.127499999999998</v>
      </c>
      <c r="AD7144">
        <v>3.5592290000000002</v>
      </c>
      <c r="AE7144">
        <v>23.941199999999998</v>
      </c>
      <c r="AF7144">
        <v>-23.638446654651101</v>
      </c>
      <c r="AG7144">
        <v>3.5592290000000002</v>
      </c>
      <c r="AH7144">
        <v>61.038931881567301</v>
      </c>
      <c r="AI7144">
        <v>86.887569784499703</v>
      </c>
      <c r="AJ7144">
        <v>111.169808983594</v>
      </c>
      <c r="AK7144">
        <v>65.552997464355798</v>
      </c>
      <c r="AL7144">
        <v>78.433467846733507</v>
      </c>
      <c r="AM7144">
        <v>90.543454522348199</v>
      </c>
      <c r="AN7144">
        <v>1.0000000331921</v>
      </c>
    </row>
    <row r="7145" spans="1:40" x14ac:dyDescent="0.25">
      <c r="A7145" t="str">
        <f>"20190303170428160"</f>
        <v>20190303170428160</v>
      </c>
      <c r="B7145" t="str">
        <f>"1551603868152968"</f>
        <v>1551603868152968</v>
      </c>
      <c r="C7145" t="s">
        <v>40</v>
      </c>
      <c r="D7145">
        <v>4.9389379999999896</v>
      </c>
      <c r="E7145">
        <v>0.36119630000000003</v>
      </c>
      <c r="F7145" t="s">
        <v>55</v>
      </c>
      <c r="G7145">
        <v>-157.3501</v>
      </c>
      <c r="H7145">
        <v>4.6440239999999999</v>
      </c>
      <c r="I7145">
        <v>-40.119109999999999</v>
      </c>
      <c r="J7145">
        <v>-218.3108</v>
      </c>
      <c r="K7145">
        <v>1.1211979999999999</v>
      </c>
      <c r="L7145">
        <v>-63.954469999999901</v>
      </c>
      <c r="M7145">
        <v>0.99993290000000001</v>
      </c>
      <c r="N7145">
        <v>-1.0973689999999999E-2</v>
      </c>
      <c r="O7145">
        <v>3.7477330000000001E-3</v>
      </c>
      <c r="P7145">
        <v>0.9818789</v>
      </c>
      <c r="Q7145">
        <v>0.18910189999999999</v>
      </c>
      <c r="R7145">
        <v>1.243005E-2</v>
      </c>
      <c r="S7145">
        <v>3.0066220000000001</v>
      </c>
      <c r="T7145">
        <v>0.17327310000000001</v>
      </c>
      <c r="U7145">
        <v>1.1723939999999999</v>
      </c>
      <c r="V7145">
        <v>-8.6740440000000005E-3</v>
      </c>
      <c r="W7145">
        <v>0.19986889999999999</v>
      </c>
      <c r="X7145">
        <v>0.97978430000000005</v>
      </c>
      <c r="Y7145">
        <v>-0.35939910000000003</v>
      </c>
      <c r="Z7145">
        <v>-7.6917319999999997E-3</v>
      </c>
      <c r="AA7145">
        <v>0.93315230000000005</v>
      </c>
      <c r="AB7145">
        <v>33</v>
      </c>
      <c r="AC7145">
        <v>60.960700000000003</v>
      </c>
      <c r="AD7145">
        <v>3.5228259999999998</v>
      </c>
      <c r="AE7145">
        <v>23.835359999999898</v>
      </c>
      <c r="AF7145">
        <v>-23.5385310300898</v>
      </c>
      <c r="AG7145">
        <v>3.5228259999999998</v>
      </c>
      <c r="AH7145">
        <v>60.873275847666001</v>
      </c>
      <c r="AI7145">
        <v>86.910364453302805</v>
      </c>
      <c r="AJ7145">
        <v>111.14053255867699</v>
      </c>
      <c r="AK7145">
        <v>65.360756257151806</v>
      </c>
      <c r="AL7145">
        <v>78.4707077616509</v>
      </c>
      <c r="AM7145">
        <v>90.507227079692498</v>
      </c>
      <c r="AN7145">
        <v>1.0000000453764999</v>
      </c>
    </row>
    <row r="7146" spans="1:40" x14ac:dyDescent="0.25">
      <c r="A7146" t="str">
        <f>"20190303170428169"</f>
        <v>20190303170428169</v>
      </c>
      <c r="B7146" t="str">
        <f>"1551603868162729"</f>
        <v>1551603868162729</v>
      </c>
      <c r="C7146" t="s">
        <v>40</v>
      </c>
      <c r="D7146">
        <v>4.5309860000000004</v>
      </c>
      <c r="E7146">
        <v>0.36119630000000003</v>
      </c>
      <c r="F7146" t="s">
        <v>55</v>
      </c>
      <c r="G7146">
        <v>-157.3501</v>
      </c>
      <c r="H7146">
        <v>4.5601839999999996</v>
      </c>
      <c r="I7146">
        <v>-40.282299999999999</v>
      </c>
      <c r="J7146">
        <v>-218.16040000000001</v>
      </c>
      <c r="K7146">
        <v>1.12121</v>
      </c>
      <c r="L7146">
        <v>-63.954009999999997</v>
      </c>
      <c r="M7146">
        <v>0.99993310000000002</v>
      </c>
      <c r="N7146">
        <v>-1.0976990000000001E-2</v>
      </c>
      <c r="O7146">
        <v>3.6980590000000001E-3</v>
      </c>
      <c r="P7146">
        <v>0.98205730000000002</v>
      </c>
      <c r="Q7146">
        <v>0.18822659999999999</v>
      </c>
      <c r="R7146">
        <v>1.1610499999999999E-2</v>
      </c>
      <c r="S7146">
        <v>3.0079189999999998</v>
      </c>
      <c r="T7146">
        <v>0.16968549999999999</v>
      </c>
      <c r="U7146">
        <v>1.1680299999999999</v>
      </c>
      <c r="V7146">
        <v>-7.9097349999999993E-3</v>
      </c>
      <c r="W7146">
        <v>0.19899839999999999</v>
      </c>
      <c r="X7146">
        <v>0.9799679</v>
      </c>
      <c r="Y7146">
        <v>-0.3581531</v>
      </c>
      <c r="Z7146">
        <v>-7.4646080000000002E-3</v>
      </c>
      <c r="AA7146">
        <v>0.93363300000000005</v>
      </c>
      <c r="AB7146">
        <v>33</v>
      </c>
      <c r="AC7146">
        <v>60.810299999999998</v>
      </c>
      <c r="AD7146">
        <v>3.4389739999999902</v>
      </c>
      <c r="AE7146">
        <v>23.671710000000001</v>
      </c>
      <c r="AF7146">
        <v>-23.381715804294</v>
      </c>
      <c r="AG7146">
        <v>3.4389739999999902</v>
      </c>
      <c r="AH7146">
        <v>60.728764989019503</v>
      </c>
      <c r="AI7146">
        <v>86.974918830889607</v>
      </c>
      <c r="AJ7146">
        <v>111.057643351332</v>
      </c>
      <c r="AK7146">
        <v>65.165282729510295</v>
      </c>
      <c r="AL7146">
        <v>78.521605762100506</v>
      </c>
      <c r="AM7146">
        <v>90.462448404077406</v>
      </c>
      <c r="AN7146">
        <v>1.00000000607037</v>
      </c>
    </row>
    <row r="7147" spans="1:40" x14ac:dyDescent="0.25">
      <c r="A7147" t="str">
        <f>"20190303170428181"</f>
        <v>20190303170428181</v>
      </c>
      <c r="B7147" t="str">
        <f>"1551603868172488"</f>
        <v>1551603868172488</v>
      </c>
      <c r="C7147" t="s">
        <v>40</v>
      </c>
      <c r="D7147">
        <v>4.8001569999999996</v>
      </c>
      <c r="E7147">
        <v>0.43133779999999999</v>
      </c>
      <c r="F7147" t="s">
        <v>55</v>
      </c>
      <c r="G7147">
        <v>-157.3501</v>
      </c>
      <c r="H7147">
        <v>4.5014129999999897</v>
      </c>
      <c r="I7147">
        <v>-40.395499999999998</v>
      </c>
      <c r="J7147">
        <v>-217.99629999999999</v>
      </c>
      <c r="K7147">
        <v>1.121224</v>
      </c>
      <c r="L7147">
        <v>-63.95346</v>
      </c>
      <c r="M7147">
        <v>0.99993310000000002</v>
      </c>
      <c r="N7147">
        <v>-1.09804E-2</v>
      </c>
      <c r="O7147">
        <v>3.6592399999999998E-3</v>
      </c>
      <c r="P7147">
        <v>0.98204860000000005</v>
      </c>
      <c r="Q7147">
        <v>0.1883156</v>
      </c>
      <c r="R7147">
        <v>1.0859540000000001E-2</v>
      </c>
      <c r="S7147">
        <v>3.0089869999999999</v>
      </c>
      <c r="T7147">
        <v>0.167256399999999</v>
      </c>
      <c r="U7147">
        <v>1.16571</v>
      </c>
      <c r="V7147">
        <v>-7.2049289999999997E-3</v>
      </c>
      <c r="W7147">
        <v>0.1990905</v>
      </c>
      <c r="X7147">
        <v>0.97995469999999896</v>
      </c>
      <c r="Y7147">
        <v>-0.35746499999999998</v>
      </c>
      <c r="Z7147">
        <v>-7.3140309999999899E-3</v>
      </c>
      <c r="AA7147">
        <v>0.93389789999999995</v>
      </c>
      <c r="AB7147">
        <v>33</v>
      </c>
      <c r="AC7147">
        <v>60.646199999999901</v>
      </c>
      <c r="AD7147">
        <v>3.3801890000000001</v>
      </c>
      <c r="AE7147">
        <v>23.557960000000001</v>
      </c>
      <c r="AF7147">
        <v>-23.273050572212</v>
      </c>
      <c r="AG7147">
        <v>3.3801890000000001</v>
      </c>
      <c r="AH7147">
        <v>60.568514966599601</v>
      </c>
      <c r="AI7147">
        <v>87.017909043699007</v>
      </c>
      <c r="AJ7147">
        <v>111.01894082414501</v>
      </c>
      <c r="AK7147">
        <v>64.973883721628098</v>
      </c>
      <c r="AL7147">
        <v>78.516221891162999</v>
      </c>
      <c r="AM7147">
        <v>90.421248640626303</v>
      </c>
      <c r="AN7147">
        <v>1.0000000761221099</v>
      </c>
    </row>
    <row r="7148" spans="1:40" x14ac:dyDescent="0.25">
      <c r="A7148" t="str">
        <f>"20190303170428192"</f>
        <v>20190303170428192</v>
      </c>
      <c r="B7148" t="str">
        <f>"1551603868183225"</f>
        <v>1551603868183225</v>
      </c>
      <c r="C7148" t="s">
        <v>40</v>
      </c>
      <c r="D7148">
        <v>4.8012079999999999</v>
      </c>
      <c r="E7148">
        <v>0.43915939999999998</v>
      </c>
      <c r="F7148" t="s">
        <v>55</v>
      </c>
      <c r="G7148">
        <v>-157.9383</v>
      </c>
      <c r="H7148">
        <v>0.1112435</v>
      </c>
      <c r="I7148">
        <v>-51.868830000000003</v>
      </c>
      <c r="J7148">
        <v>-217.82740000000001</v>
      </c>
      <c r="K7148">
        <v>1.1212439999999999</v>
      </c>
      <c r="L7148">
        <v>-63.95288</v>
      </c>
      <c r="M7148">
        <v>0.99993310000000002</v>
      </c>
      <c r="N7148">
        <v>-1.098376E-2</v>
      </c>
      <c r="O7148">
        <v>3.6317369999999999E-3</v>
      </c>
      <c r="P7148">
        <v>0.98198799999999997</v>
      </c>
      <c r="Q7148">
        <v>0.18867059999999999</v>
      </c>
      <c r="R7148">
        <v>1.013972E-2</v>
      </c>
      <c r="S7148">
        <v>3.0578919999999998</v>
      </c>
      <c r="T7148">
        <v>-5.1424739999999997E-2</v>
      </c>
      <c r="U7148">
        <v>0.61529540000000005</v>
      </c>
      <c r="V7148">
        <v>-6.5226850000000003E-3</v>
      </c>
      <c r="W7148">
        <v>0.1994475</v>
      </c>
      <c r="X7148">
        <v>0.97988679999999995</v>
      </c>
      <c r="Y7148">
        <v>-0.19365589999999999</v>
      </c>
      <c r="Z7148">
        <v>2.6653739999999999E-3</v>
      </c>
      <c r="AA7148">
        <v>0.98106590000000005</v>
      </c>
      <c r="AB7148">
        <v>33</v>
      </c>
      <c r="AC7148">
        <v>59.889099999999999</v>
      </c>
      <c r="AD7148">
        <v>-1.0100004999999901</v>
      </c>
      <c r="AE7148">
        <v>12.08405</v>
      </c>
      <c r="AF7148">
        <v>-11.8632136755984</v>
      </c>
      <c r="AG7148">
        <v>-1.0100004999999901</v>
      </c>
      <c r="AH7148">
        <v>59.916219494488601</v>
      </c>
      <c r="AI7148">
        <v>90.947349231862702</v>
      </c>
      <c r="AJ7148">
        <v>101.19952402457101</v>
      </c>
      <c r="AK7148">
        <v>61.087718063737199</v>
      </c>
      <c r="AL7148">
        <v>78.495347746258801</v>
      </c>
      <c r="AM7148">
        <v>90.381387729552898</v>
      </c>
      <c r="AN7148">
        <v>0.99999999574504905</v>
      </c>
    </row>
    <row r="7149" spans="1:40" x14ac:dyDescent="0.25">
      <c r="A7149" t="str">
        <f>"20190303170428205"</f>
        <v>20190303170428205</v>
      </c>
      <c r="B7149" t="str">
        <f>"1551603868192985"</f>
        <v>1551603868192985</v>
      </c>
      <c r="C7149" t="s">
        <v>40</v>
      </c>
      <c r="D7149">
        <v>4.7395949999999996</v>
      </c>
      <c r="E7149">
        <v>0.44686310000000001</v>
      </c>
      <c r="F7149" t="s">
        <v>44</v>
      </c>
      <c r="G7149">
        <v>-160.33449999999999</v>
      </c>
      <c r="H7149">
        <v>-0.05</v>
      </c>
      <c r="I7149">
        <v>-53.595230000000001</v>
      </c>
      <c r="J7149">
        <v>-217.65870000000001</v>
      </c>
      <c r="K7149">
        <v>1.121278</v>
      </c>
      <c r="L7149">
        <v>-63.952269999999999</v>
      </c>
      <c r="M7149">
        <v>0.99993310000000002</v>
      </c>
      <c r="N7149">
        <v>-1.0986889999999999E-2</v>
      </c>
      <c r="O7149">
        <v>3.6464760000000001E-3</v>
      </c>
      <c r="P7149">
        <v>0.98188129999999996</v>
      </c>
      <c r="Q7149">
        <v>0.18927830000000001</v>
      </c>
      <c r="R7149">
        <v>9.1306960000000006E-3</v>
      </c>
      <c r="S7149">
        <v>3.0613250000000001</v>
      </c>
      <c r="T7149">
        <v>-6.2365289999999997E-2</v>
      </c>
      <c r="U7149">
        <v>0.5515137</v>
      </c>
      <c r="V7149">
        <v>-5.5155350000000002E-3</v>
      </c>
      <c r="W7149">
        <v>0.20005580000000001</v>
      </c>
      <c r="X7149">
        <v>0.979769</v>
      </c>
      <c r="Y7149">
        <v>-0.1736568</v>
      </c>
      <c r="Z7149">
        <v>2.682402E-3</v>
      </c>
      <c r="AA7149">
        <v>0.98480259999999997</v>
      </c>
      <c r="AB7149">
        <v>33</v>
      </c>
      <c r="AC7149">
        <v>57.324199999999998</v>
      </c>
      <c r="AD7149">
        <v>-1.171278</v>
      </c>
      <c r="AE7149">
        <v>10.3570399999999</v>
      </c>
      <c r="AF7149">
        <v>-10.1438261660163</v>
      </c>
      <c r="AG7149">
        <v>-1.171278</v>
      </c>
      <c r="AH7149">
        <v>57.338406436186403</v>
      </c>
      <c r="AI7149">
        <v>91.152355322223499</v>
      </c>
      <c r="AJ7149">
        <v>100.032479969428</v>
      </c>
      <c r="AK7149">
        <v>58.240552487772099</v>
      </c>
      <c r="AL7149">
        <v>78.459778137047095</v>
      </c>
      <c r="AM7149">
        <v>90.322538821992694</v>
      </c>
      <c r="AN7149">
        <v>1.0000000188004801</v>
      </c>
    </row>
    <row r="7150" spans="1:40" x14ac:dyDescent="0.25">
      <c r="A7150" t="str">
        <f>"20190303170428215"</f>
        <v>20190303170428215</v>
      </c>
      <c r="B7150" t="str">
        <f>"1551603868202745"</f>
        <v>1551603868202745</v>
      </c>
      <c r="C7150" t="s">
        <v>40</v>
      </c>
      <c r="D7150">
        <v>4.7443530000000003</v>
      </c>
      <c r="E7150">
        <v>0.45189560000000001</v>
      </c>
      <c r="F7150" t="s">
        <v>44</v>
      </c>
      <c r="G7150">
        <v>-164.53790000000001</v>
      </c>
      <c r="H7150">
        <v>-0.05</v>
      </c>
      <c r="I7150">
        <v>-55.487470000000002</v>
      </c>
      <c r="J7150">
        <v>-217.4836</v>
      </c>
      <c r="K7150">
        <v>1.121318</v>
      </c>
      <c r="L7150">
        <v>-63.951630000000002</v>
      </c>
      <c r="M7150">
        <v>0.99993279999999995</v>
      </c>
      <c r="N7150">
        <v>-1.09902E-2</v>
      </c>
      <c r="O7150">
        <v>3.6789930000000002E-3</v>
      </c>
      <c r="P7150">
        <v>0.98184130000000003</v>
      </c>
      <c r="Q7150">
        <v>0.18951000000000001</v>
      </c>
      <c r="R7150">
        <v>8.5796069999999995E-3</v>
      </c>
      <c r="S7150">
        <v>3.063828</v>
      </c>
      <c r="T7150">
        <v>-6.7555309999999993E-2</v>
      </c>
      <c r="U7150">
        <v>0.48822019999999999</v>
      </c>
      <c r="V7150">
        <v>-4.9518610000000001E-3</v>
      </c>
      <c r="W7150">
        <v>0.20029040000000001</v>
      </c>
      <c r="X7150">
        <v>0.97972400000000004</v>
      </c>
      <c r="Y7150">
        <v>-0.15367520000000001</v>
      </c>
      <c r="Z7150">
        <v>2.4929129999999998E-3</v>
      </c>
      <c r="AA7150">
        <v>0.9881183</v>
      </c>
      <c r="AB7150">
        <v>33</v>
      </c>
      <c r="AC7150">
        <v>52.945699999999903</v>
      </c>
      <c r="AD7150">
        <v>-1.1713180000000001</v>
      </c>
      <c r="AE7150">
        <v>8.4641599999999997</v>
      </c>
      <c r="AF7150">
        <v>-8.2653595951923702</v>
      </c>
      <c r="AG7150">
        <v>-1.1713180000000001</v>
      </c>
      <c r="AH7150">
        <v>52.951213159439497</v>
      </c>
      <c r="AI7150">
        <v>91.252059503379996</v>
      </c>
      <c r="AJ7150">
        <v>98.871926347206198</v>
      </c>
      <c r="AK7150">
        <v>53.6052155125913</v>
      </c>
      <c r="AL7150">
        <v>78.4460579624931</v>
      </c>
      <c r="AM7150">
        <v>90.289590047870306</v>
      </c>
      <c r="AN7150">
        <v>0.99999994071775999</v>
      </c>
    </row>
    <row r="7151" spans="1:40" x14ac:dyDescent="0.25">
      <c r="A7151" t="str">
        <f>"20190303170428228"</f>
        <v>20190303170428228</v>
      </c>
      <c r="B7151" t="str">
        <f>"1551603868222264"</f>
        <v>1551603868222264</v>
      </c>
      <c r="C7151" t="s">
        <v>40</v>
      </c>
      <c r="D7151">
        <v>4.7593310000000004</v>
      </c>
      <c r="E7151">
        <v>0.45742260000000001</v>
      </c>
      <c r="F7151" t="s">
        <v>44</v>
      </c>
      <c r="G7151">
        <v>-168.28469999999999</v>
      </c>
      <c r="H7151">
        <v>-0.05</v>
      </c>
      <c r="I7151">
        <v>-56.766390000000001</v>
      </c>
      <c r="J7151">
        <v>-217.30260000000001</v>
      </c>
      <c r="K7151">
        <v>1.1213820000000001</v>
      </c>
      <c r="L7151">
        <v>-63.95093</v>
      </c>
      <c r="M7151">
        <v>0.9999323</v>
      </c>
      <c r="N7151">
        <v>-1.099661E-2</v>
      </c>
      <c r="O7151">
        <v>3.8018349999999999E-3</v>
      </c>
      <c r="P7151">
        <v>0.98185</v>
      </c>
      <c r="Q7151">
        <v>0.1895027</v>
      </c>
      <c r="R7151">
        <v>7.7063919999999899E-3</v>
      </c>
      <c r="S7151">
        <v>3.0656590000000001</v>
      </c>
      <c r="T7151">
        <v>-7.2986480000000006E-2</v>
      </c>
      <c r="U7151">
        <v>0.44772339999999999</v>
      </c>
      <c r="V7151">
        <v>-3.9894919999999999E-3</v>
      </c>
      <c r="W7151">
        <v>0.20028799999999999</v>
      </c>
      <c r="X7151">
        <v>0.97972890000000001</v>
      </c>
      <c r="Y7151">
        <v>-0.14069139999999999</v>
      </c>
      <c r="Z7151">
        <v>2.3951049999999998E-3</v>
      </c>
      <c r="AA7151">
        <v>0.9900506</v>
      </c>
      <c r="AB7151">
        <v>33</v>
      </c>
      <c r="AC7151">
        <v>49.017899999999997</v>
      </c>
      <c r="AD7151">
        <v>-1.1713819999999999</v>
      </c>
      <c r="AE7151">
        <v>7.1845400000000001</v>
      </c>
      <c r="AF7151">
        <v>-6.9942086663366796</v>
      </c>
      <c r="AG7151">
        <v>-1.1713819999999999</v>
      </c>
      <c r="AH7151">
        <v>49.017458201836199</v>
      </c>
      <c r="AI7151">
        <v>91.355229035634196</v>
      </c>
      <c r="AJ7151">
        <v>98.1206111851141</v>
      </c>
      <c r="AK7151">
        <v>49.527793199646403</v>
      </c>
      <c r="AL7151">
        <v>78.446198521659596</v>
      </c>
      <c r="AM7151">
        <v>90.233309225245307</v>
      </c>
      <c r="AN7151">
        <v>0.99999995824281296</v>
      </c>
    </row>
    <row r="7152" spans="1:40" x14ac:dyDescent="0.25">
      <c r="A7152" t="str">
        <f>"20190303170428237"</f>
        <v>20190303170428237</v>
      </c>
      <c r="B7152" t="str">
        <f>"1551603868222264"</f>
        <v>1551603868222264</v>
      </c>
      <c r="C7152" t="s">
        <v>40</v>
      </c>
      <c r="D7152">
        <v>4.7593310000000004</v>
      </c>
      <c r="E7152">
        <v>0.45742260000000001</v>
      </c>
      <c r="F7152" t="s">
        <v>75</v>
      </c>
      <c r="G7152">
        <v>-178.37430000000001</v>
      </c>
      <c r="H7152">
        <v>7.9986559999999998E-2</v>
      </c>
      <c r="I7152">
        <v>-58.849910000000001</v>
      </c>
      <c r="J7152">
        <v>-217.15090000000001</v>
      </c>
      <c r="K7152">
        <v>1.1214390000000001</v>
      </c>
      <c r="L7152">
        <v>-63.950290000000003</v>
      </c>
      <c r="M7152">
        <v>0.99993189999999998</v>
      </c>
      <c r="N7152">
        <v>-1.10023E-2</v>
      </c>
      <c r="O7152">
        <v>3.9302640000000002E-3</v>
      </c>
      <c r="P7152">
        <v>0.98190999999999995</v>
      </c>
      <c r="Q7152">
        <v>0.1892181</v>
      </c>
      <c r="R7152">
        <v>7.0283209999999997E-3</v>
      </c>
      <c r="S7152">
        <v>3.068146</v>
      </c>
      <c r="T7152">
        <v>-8.2077979999999995E-2</v>
      </c>
      <c r="U7152">
        <v>0.40203860000000002</v>
      </c>
      <c r="V7152">
        <v>-3.2141740000000002E-3</v>
      </c>
      <c r="W7152">
        <v>0.20000960000000001</v>
      </c>
      <c r="X7152">
        <v>0.97978869999999896</v>
      </c>
      <c r="Y7152">
        <v>-0.1259651</v>
      </c>
      <c r="Z7152">
        <v>2.3119059999999999E-3</v>
      </c>
      <c r="AA7152">
        <v>0.99203200000000002</v>
      </c>
      <c r="AB7152">
        <v>33</v>
      </c>
      <c r="AC7152">
        <v>38.776600000000002</v>
      </c>
      <c r="AD7152">
        <v>-1.04145243999999</v>
      </c>
      <c r="AE7152">
        <v>5.1003800000000004</v>
      </c>
      <c r="AF7152">
        <v>-4.9444231755980104</v>
      </c>
      <c r="AG7152">
        <v>-1.04145243999999</v>
      </c>
      <c r="AH7152">
        <v>38.768857628802401</v>
      </c>
      <c r="AI7152">
        <v>91.526415380597697</v>
      </c>
      <c r="AJ7152">
        <v>97.268035399634101</v>
      </c>
      <c r="AK7152">
        <v>39.096755179509699</v>
      </c>
      <c r="AL7152">
        <v>78.462479980570095</v>
      </c>
      <c r="AM7152">
        <v>90.187956795394399</v>
      </c>
      <c r="AN7152">
        <v>1.00000003382717</v>
      </c>
    </row>
    <row r="7153" spans="1:40" x14ac:dyDescent="0.25">
      <c r="A7153" t="str">
        <f>"20190303170428248"</f>
        <v>20190303170428248</v>
      </c>
      <c r="B7153" t="str">
        <f>"1551603868242760"</f>
        <v>1551603868242760</v>
      </c>
      <c r="C7153" t="s">
        <v>40</v>
      </c>
      <c r="D7153">
        <v>4.7026750000000002</v>
      </c>
      <c r="E7153">
        <v>0.46038750000000001</v>
      </c>
      <c r="F7153" t="s">
        <v>75</v>
      </c>
      <c r="G7153">
        <v>-178.59020000000001</v>
      </c>
      <c r="H7153">
        <v>7.9986570000000007E-2</v>
      </c>
      <c r="I7153">
        <v>-58.922339999999998</v>
      </c>
      <c r="J7153">
        <v>-216.98609999999999</v>
      </c>
      <c r="K7153">
        <v>1.121516</v>
      </c>
      <c r="L7153">
        <v>-63.949489999999997</v>
      </c>
      <c r="M7153">
        <v>0.99993069999999895</v>
      </c>
      <c r="N7153">
        <v>-1.1009390000000001E-2</v>
      </c>
      <c r="O7153">
        <v>4.1400530000000003E-3</v>
      </c>
      <c r="P7153">
        <v>0.98205290000000001</v>
      </c>
      <c r="Q7153">
        <v>0.1884894</v>
      </c>
      <c r="R7153">
        <v>6.6391069999999896E-3</v>
      </c>
      <c r="S7153">
        <v>3.0683590000000001</v>
      </c>
      <c r="T7153">
        <v>-8.2870840000000001E-2</v>
      </c>
      <c r="U7153">
        <v>0.40008539999999998</v>
      </c>
      <c r="V7153">
        <v>-2.6567349999999999E-3</v>
      </c>
      <c r="W7153">
        <v>0.1992891</v>
      </c>
      <c r="X7153">
        <v>0.97993710000000001</v>
      </c>
      <c r="Y7153">
        <v>-0.1251266</v>
      </c>
      <c r="Z7153">
        <v>2.3082509999999999E-3</v>
      </c>
      <c r="AA7153">
        <v>0.99213810000000002</v>
      </c>
      <c r="AB7153">
        <v>33</v>
      </c>
      <c r="AC7153">
        <v>38.395899999999898</v>
      </c>
      <c r="AD7153">
        <v>-1.04152943</v>
      </c>
      <c r="AE7153">
        <v>5.02714999999999</v>
      </c>
      <c r="AF7153">
        <v>-4.8646170266343702</v>
      </c>
      <c r="AG7153">
        <v>-1.04152943</v>
      </c>
      <c r="AH7153">
        <v>38.3886136765705</v>
      </c>
      <c r="AI7153">
        <v>91.541798601202998</v>
      </c>
      <c r="AJ7153">
        <v>97.222045808328204</v>
      </c>
      <c r="AK7153">
        <v>38.709623382026798</v>
      </c>
      <c r="AL7153">
        <v>78.504608931779501</v>
      </c>
      <c r="AM7153">
        <v>90.155335816795898</v>
      </c>
      <c r="AN7153">
        <v>0.99999996178803896</v>
      </c>
    </row>
    <row r="7154" spans="1:40" x14ac:dyDescent="0.25">
      <c r="A7154" t="str">
        <f>"20190303170428260"</f>
        <v>20190303170428260</v>
      </c>
      <c r="B7154" t="str">
        <f>"1551603868252520"</f>
        <v>1551603868252520</v>
      </c>
      <c r="C7154" t="s">
        <v>40</v>
      </c>
      <c r="D7154">
        <v>4.7785039999999999</v>
      </c>
      <c r="E7154">
        <v>0.46164179999999999</v>
      </c>
      <c r="F7154" t="s">
        <v>75</v>
      </c>
      <c r="G7154">
        <v>-179.95769999999999</v>
      </c>
      <c r="H7154">
        <v>3.9966830000000002E-2</v>
      </c>
      <c r="I7154">
        <v>-59.417610000000003</v>
      </c>
      <c r="J7154">
        <v>-216.8143</v>
      </c>
      <c r="K7154">
        <v>1.1216109999999999</v>
      </c>
      <c r="L7154">
        <v>-63.94858</v>
      </c>
      <c r="M7154">
        <v>0.99992970000000003</v>
      </c>
      <c r="N7154">
        <v>-1.101676E-2</v>
      </c>
      <c r="O7154">
        <v>4.4238740000000004E-3</v>
      </c>
      <c r="P7154">
        <v>0.98223329999999998</v>
      </c>
      <c r="Q7154">
        <v>0.18753639999999999</v>
      </c>
      <c r="R7154">
        <v>6.93999E-3</v>
      </c>
      <c r="S7154">
        <v>3.0694889999999999</v>
      </c>
      <c r="T7154">
        <v>-8.9655639999999995E-2</v>
      </c>
      <c r="U7154">
        <v>0.37567139999999999</v>
      </c>
      <c r="V7154">
        <v>-2.7240889999999999E-3</v>
      </c>
      <c r="W7154">
        <v>0.1983442</v>
      </c>
      <c r="X7154">
        <v>0.98012860000000002</v>
      </c>
      <c r="Y7154">
        <v>-0.11702269999999899</v>
      </c>
      <c r="Z7154">
        <v>2.26939E-3</v>
      </c>
      <c r="AA7154">
        <v>0.99312659999999997</v>
      </c>
      <c r="AB7154">
        <v>33</v>
      </c>
      <c r="AC7154">
        <v>36.8566</v>
      </c>
      <c r="AD7154">
        <v>-1.0816441699999999</v>
      </c>
      <c r="AE7154">
        <v>4.5309700000000097</v>
      </c>
      <c r="AF7154">
        <v>-4.3641640807697399</v>
      </c>
      <c r="AG7154">
        <v>-1.0816441699999999</v>
      </c>
      <c r="AH7154">
        <v>36.8450239641287</v>
      </c>
      <c r="AI7154">
        <v>91.669859394288196</v>
      </c>
      <c r="AJ7154">
        <v>96.755011817152607</v>
      </c>
      <c r="AK7154">
        <v>37.118346853700203</v>
      </c>
      <c r="AL7154">
        <v>78.559850472165493</v>
      </c>
      <c r="AM7154">
        <v>90.159242777771496</v>
      </c>
      <c r="AN7154">
        <v>0.99999995743623904</v>
      </c>
    </row>
    <row r="7155" spans="1:40" x14ac:dyDescent="0.25">
      <c r="A7155" t="str">
        <f>"20190303170428271"</f>
        <v>20190303170428271</v>
      </c>
      <c r="B7155" t="str">
        <f>"1551603868263257"</f>
        <v>1551603868263257</v>
      </c>
      <c r="C7155" t="s">
        <v>40</v>
      </c>
      <c r="D7155">
        <v>4.7766250000000001</v>
      </c>
      <c r="E7155">
        <v>0.46257579999999998</v>
      </c>
      <c r="F7155" t="s">
        <v>75</v>
      </c>
      <c r="G7155">
        <v>-180.59209999999999</v>
      </c>
      <c r="H7155" s="1">
        <v>-1.47054799999999E-5</v>
      </c>
      <c r="I7155">
        <v>-59.61994</v>
      </c>
      <c r="J7155">
        <v>-216.65309999999999</v>
      </c>
      <c r="K7155">
        <v>1.1217140000000001</v>
      </c>
      <c r="L7155">
        <v>-63.947629999999997</v>
      </c>
      <c r="M7155">
        <v>0.99992789999999998</v>
      </c>
      <c r="N7155">
        <v>-1.102362E-2</v>
      </c>
      <c r="O7155">
        <v>4.7579459999999999E-3</v>
      </c>
      <c r="P7155">
        <v>0.98238539999999996</v>
      </c>
      <c r="Q7155">
        <v>0.18670129999999999</v>
      </c>
      <c r="R7155">
        <v>7.8513890000000003E-3</v>
      </c>
      <c r="S7155">
        <v>3.0698240000000001</v>
      </c>
      <c r="T7155">
        <v>-9.5057729999999993E-2</v>
      </c>
      <c r="U7155">
        <v>0.36685180000000001</v>
      </c>
      <c r="V7155">
        <v>-3.355598E-3</v>
      </c>
      <c r="W7155">
        <v>0.1975169</v>
      </c>
      <c r="X7155">
        <v>0.98029379999999999</v>
      </c>
      <c r="Y7155">
        <v>-0.11386010000000001</v>
      </c>
      <c r="Z7155">
        <v>2.2917039999999999E-3</v>
      </c>
      <c r="AA7155">
        <v>0.99349419999999999</v>
      </c>
      <c r="AB7155">
        <v>33</v>
      </c>
      <c r="AC7155">
        <v>36.061</v>
      </c>
      <c r="AD7155">
        <v>-1.12172870547999</v>
      </c>
      <c r="AE7155">
        <v>4.3276899999999996</v>
      </c>
      <c r="AF7155">
        <v>-4.1520937251735397</v>
      </c>
      <c r="AG7155">
        <v>-1.12172870547999</v>
      </c>
      <c r="AH7155">
        <v>36.046799927047701</v>
      </c>
      <c r="AI7155">
        <v>91.770693215228704</v>
      </c>
      <c r="AJ7155">
        <v>96.570725119805005</v>
      </c>
      <c r="AK7155">
        <v>36.302478463211401</v>
      </c>
      <c r="AL7155">
        <v>78.608209161718506</v>
      </c>
      <c r="AM7155">
        <v>90.196125745382801</v>
      </c>
      <c r="AN7155">
        <v>1.00000006007099</v>
      </c>
    </row>
    <row r="7156" spans="1:40" x14ac:dyDescent="0.25">
      <c r="A7156" t="str">
        <f>"20190303170428282"</f>
        <v>20190303170428282</v>
      </c>
      <c r="B7156" t="str">
        <f>"1551603868273017"</f>
        <v>1551603868273017</v>
      </c>
      <c r="C7156" t="s">
        <v>40</v>
      </c>
      <c r="D7156">
        <v>4.7867129999999998</v>
      </c>
      <c r="E7156">
        <v>0.4632387</v>
      </c>
      <c r="F7156" t="s">
        <v>75</v>
      </c>
      <c r="G7156">
        <v>-182.6088</v>
      </c>
      <c r="H7156" s="1">
        <v>-1.43592E-5</v>
      </c>
      <c r="I7156">
        <v>-59.92971</v>
      </c>
      <c r="J7156">
        <v>-216.48920000000001</v>
      </c>
      <c r="K7156">
        <v>1.121834</v>
      </c>
      <c r="L7156">
        <v>-63.9465</v>
      </c>
      <c r="M7156">
        <v>0.99992570000000003</v>
      </c>
      <c r="N7156">
        <v>-1.103293E-2</v>
      </c>
      <c r="O7156">
        <v>5.2048629999999997E-3</v>
      </c>
      <c r="P7156">
        <v>0.98235110000000003</v>
      </c>
      <c r="Q7156">
        <v>0.18681159999999999</v>
      </c>
      <c r="R7156">
        <v>9.3799910000000007E-3</v>
      </c>
      <c r="S7156">
        <v>3.0701139999999998</v>
      </c>
      <c r="T7156">
        <v>-0.10115730000000001</v>
      </c>
      <c r="U7156">
        <v>0.36233520000000002</v>
      </c>
      <c r="V7156">
        <v>-4.5044550000000001E-3</v>
      </c>
      <c r="W7156">
        <v>0.1976337</v>
      </c>
      <c r="X7156">
        <v>0.98026559999999996</v>
      </c>
      <c r="Y7156">
        <v>-0.1119568</v>
      </c>
      <c r="Z7156">
        <v>2.3439229999999999E-3</v>
      </c>
      <c r="AA7156">
        <v>0.99371030000000005</v>
      </c>
      <c r="AB7156">
        <v>33</v>
      </c>
      <c r="AC7156">
        <v>33.880400000000002</v>
      </c>
      <c r="AD7156">
        <v>-1.1218483591999999</v>
      </c>
      <c r="AE7156">
        <v>4.0167900000000003</v>
      </c>
      <c r="AF7156">
        <v>-3.83623426198257</v>
      </c>
      <c r="AG7156">
        <v>-1.1218483591999999</v>
      </c>
      <c r="AH7156">
        <v>33.864234844973602</v>
      </c>
      <c r="AI7156">
        <v>91.885340590803594</v>
      </c>
      <c r="AJ7156">
        <v>96.463071647569194</v>
      </c>
      <c r="AK7156">
        <v>34.099290882500398</v>
      </c>
      <c r="AL7156">
        <v>78.601381843587802</v>
      </c>
      <c r="AM7156">
        <v>90.263280119192004</v>
      </c>
      <c r="AN7156">
        <v>1.00000000801694</v>
      </c>
    </row>
    <row r="7157" spans="1:40" x14ac:dyDescent="0.25">
      <c r="A7157" t="str">
        <f>"20190303170428294"</f>
        <v>20190303170428294</v>
      </c>
      <c r="B7157" t="str">
        <f>"1551603868282777"</f>
        <v>1551603868282777</v>
      </c>
      <c r="C7157" t="s">
        <v>40</v>
      </c>
      <c r="D7157">
        <v>4.7993709999999998</v>
      </c>
      <c r="E7157">
        <v>0.46380310000000002</v>
      </c>
      <c r="F7157" t="s">
        <v>75</v>
      </c>
      <c r="G7157">
        <v>-183.27170000000001</v>
      </c>
      <c r="H7157" s="1">
        <v>-1.42467899999999E-5</v>
      </c>
      <c r="I7157">
        <v>-60.040790000000001</v>
      </c>
      <c r="J7157">
        <v>-216.30080000000001</v>
      </c>
      <c r="K7157">
        <v>1.121988</v>
      </c>
      <c r="L7157">
        <v>-63.945129999999999</v>
      </c>
      <c r="M7157">
        <v>0.99992230000000004</v>
      </c>
      <c r="N7157">
        <v>-1.104482E-2</v>
      </c>
      <c r="O7157">
        <v>5.780861E-3</v>
      </c>
      <c r="P7157">
        <v>0.98220180000000001</v>
      </c>
      <c r="Q7157">
        <v>0.1875317</v>
      </c>
      <c r="R7157">
        <v>1.0582319999999999E-2</v>
      </c>
      <c r="S7157">
        <v>3.0701900000000002</v>
      </c>
      <c r="T7157">
        <v>-0.103689</v>
      </c>
      <c r="U7157">
        <v>0.36099239999999999</v>
      </c>
      <c r="V7157">
        <v>-5.2160310000000003E-3</v>
      </c>
      <c r="W7157">
        <v>0.19836100000000001</v>
      </c>
      <c r="X7157">
        <v>0.98011519999999996</v>
      </c>
      <c r="Y7157">
        <v>-0.1109502</v>
      </c>
      <c r="Z7157">
        <v>2.350787E-3</v>
      </c>
      <c r="AA7157">
        <v>0.99382320000000002</v>
      </c>
      <c r="AB7157">
        <v>33</v>
      </c>
      <c r="AC7157">
        <v>33.0291</v>
      </c>
      <c r="AD7157">
        <v>-1.1220022467899999</v>
      </c>
      <c r="AE7157">
        <v>3.9043399999999999</v>
      </c>
      <c r="AF7157">
        <v>-3.7091052649930898</v>
      </c>
      <c r="AG7157">
        <v>-1.1220022467899999</v>
      </c>
      <c r="AH7157">
        <v>33.013548268529902</v>
      </c>
      <c r="AI7157">
        <v>91.934350942140597</v>
      </c>
      <c r="AJ7157">
        <v>96.410356393871098</v>
      </c>
      <c r="AK7157">
        <v>33.240197354816601</v>
      </c>
      <c r="AL7157">
        <v>78.558869454821505</v>
      </c>
      <c r="AM7157">
        <v>90.304916953372498</v>
      </c>
      <c r="AN7157">
        <v>1.00000004928571</v>
      </c>
    </row>
    <row r="7158" spans="1:40" x14ac:dyDescent="0.25">
      <c r="A7158" t="str">
        <f>"20190303170428304"</f>
        <v>20190303170428304</v>
      </c>
      <c r="B7158" t="str">
        <f>"1551603868292536"</f>
        <v>1551603868292536</v>
      </c>
      <c r="C7158" t="s">
        <v>40</v>
      </c>
      <c r="D7158">
        <v>4.8054889999999997</v>
      </c>
      <c r="E7158">
        <v>0.46421649999999998</v>
      </c>
      <c r="F7158" t="s">
        <v>75</v>
      </c>
      <c r="G7158">
        <v>-183.1344</v>
      </c>
      <c r="H7158" s="1">
        <v>-1.4281550000000001E-5</v>
      </c>
      <c r="I7158">
        <v>-60.055140000000002</v>
      </c>
      <c r="J7158">
        <v>-216.16030000000001</v>
      </c>
      <c r="K7158">
        <v>1.122126</v>
      </c>
      <c r="L7158">
        <v>-63.94379</v>
      </c>
      <c r="M7158">
        <v>0.99991850000000004</v>
      </c>
      <c r="N7158">
        <v>-1.1058200000000001E-2</v>
      </c>
      <c r="O7158">
        <v>6.3808340000000002E-3</v>
      </c>
      <c r="P7158">
        <v>0.98194780000000004</v>
      </c>
      <c r="Q7158">
        <v>0.18880340000000001</v>
      </c>
      <c r="R7158">
        <v>1.1470940000000001E-2</v>
      </c>
      <c r="S7158">
        <v>3.0703130000000001</v>
      </c>
      <c r="T7158">
        <v>-0.103866899999999</v>
      </c>
      <c r="U7158">
        <v>0.36010740000000002</v>
      </c>
      <c r="V7158">
        <v>-5.5856289999999999E-3</v>
      </c>
      <c r="W7158">
        <v>0.19964090000000001</v>
      </c>
      <c r="X7158">
        <v>0.97985319999999998</v>
      </c>
      <c r="Y7158">
        <v>-0.11006730000000001</v>
      </c>
      <c r="Z7158">
        <v>2.3210459999999998E-3</v>
      </c>
      <c r="AA7158">
        <v>0.99392150000000001</v>
      </c>
      <c r="AB7158">
        <v>33</v>
      </c>
      <c r="AC7158">
        <v>33.0259</v>
      </c>
      <c r="AD7158">
        <v>-1.1221402815499999</v>
      </c>
      <c r="AE7158">
        <v>3.8886499999999899</v>
      </c>
      <c r="AF7158">
        <v>-3.6736420181681901</v>
      </c>
      <c r="AG7158">
        <v>-1.1221402815499999</v>
      </c>
      <c r="AH7158">
        <v>33.012451004423397</v>
      </c>
      <c r="AI7158">
        <v>91.934881544865306</v>
      </c>
      <c r="AJ7158">
        <v>96.349778417662293</v>
      </c>
      <c r="AK7158">
        <v>33.235173623866999</v>
      </c>
      <c r="AL7158">
        <v>78.484039259815901</v>
      </c>
      <c r="AM7158">
        <v>90.326609640258695</v>
      </c>
      <c r="AN7158">
        <v>0.99999999087718705</v>
      </c>
    </row>
    <row r="7159" spans="1:40" x14ac:dyDescent="0.25">
      <c r="A7159" t="str">
        <f>"20190303170428316"</f>
        <v>20190303170428316</v>
      </c>
      <c r="B7159" t="str">
        <f>"1551603868302296"</f>
        <v>1551603868302296</v>
      </c>
      <c r="C7159" t="s">
        <v>40</v>
      </c>
      <c r="D7159">
        <v>4.8181190000000003</v>
      </c>
      <c r="E7159">
        <v>0.4646226</v>
      </c>
      <c r="F7159" t="s">
        <v>75</v>
      </c>
      <c r="G7159">
        <v>-182.4126</v>
      </c>
      <c r="H7159" s="1">
        <v>-1.44187299999999E-5</v>
      </c>
      <c r="I7159">
        <v>-59.982239999999997</v>
      </c>
      <c r="J7159">
        <v>-215.9941</v>
      </c>
      <c r="K7159">
        <v>1.1222970000000001</v>
      </c>
      <c r="L7159">
        <v>-63.942169999999997</v>
      </c>
      <c r="M7159">
        <v>0.9999133</v>
      </c>
      <c r="N7159">
        <v>-1.1073940000000001E-2</v>
      </c>
      <c r="O7159">
        <v>7.1026800000000001E-3</v>
      </c>
      <c r="P7159">
        <v>0.98164479999999998</v>
      </c>
      <c r="Q7159">
        <v>0.19035879999999999</v>
      </c>
      <c r="R7159">
        <v>1.170847E-2</v>
      </c>
      <c r="S7159">
        <v>3.070557</v>
      </c>
      <c r="T7159">
        <v>-0.10209849999999999</v>
      </c>
      <c r="U7159">
        <v>0.36044310000000002</v>
      </c>
      <c r="V7159">
        <v>-5.2003309999999999E-3</v>
      </c>
      <c r="W7159">
        <v>0.20120679999999999</v>
      </c>
      <c r="X7159">
        <v>0.97953500000000004</v>
      </c>
      <c r="Y7159">
        <v>-0.1094507</v>
      </c>
      <c r="Z7159">
        <v>2.2643899999999998E-3</v>
      </c>
      <c r="AA7159">
        <v>0.99398960000000003</v>
      </c>
      <c r="AB7159">
        <v>33</v>
      </c>
      <c r="AC7159">
        <v>33.581499999999998</v>
      </c>
      <c r="AD7159">
        <v>-1.1223114187299901</v>
      </c>
      <c r="AE7159">
        <v>3.9599299999999902</v>
      </c>
      <c r="AF7159">
        <v>-3.71720186912352</v>
      </c>
      <c r="AG7159">
        <v>-1.1223114187299901</v>
      </c>
      <c r="AH7159">
        <v>33.571797522515404</v>
      </c>
      <c r="AI7159">
        <v>91.903073998255095</v>
      </c>
      <c r="AJ7159">
        <v>96.318278367132095</v>
      </c>
      <c r="AK7159">
        <v>33.795602695457298</v>
      </c>
      <c r="AL7159">
        <v>78.3924619303789</v>
      </c>
      <c r="AM7159">
        <v>90.304179247383999</v>
      </c>
      <c r="AN7159">
        <v>1.00000001801687</v>
      </c>
    </row>
    <row r="7160" spans="1:40" x14ac:dyDescent="0.25">
      <c r="A7160" t="str">
        <f>"20190303170428326"</f>
        <v>20190303170428326</v>
      </c>
      <c r="B7160" t="str">
        <f>"1551603868313033"</f>
        <v>1551603868313033</v>
      </c>
      <c r="C7160" t="s">
        <v>40</v>
      </c>
      <c r="D7160">
        <v>4.8542519999999998</v>
      </c>
      <c r="E7160">
        <v>0.46497260000000001</v>
      </c>
      <c r="F7160" t="s">
        <v>75</v>
      </c>
      <c r="G7160">
        <v>-180.89340000000001</v>
      </c>
      <c r="H7160" s="1">
        <v>-1.470904E-5</v>
      </c>
      <c r="I7160">
        <v>-59.834040000000002</v>
      </c>
      <c r="J7160">
        <v>-215.82499999999999</v>
      </c>
      <c r="K7160">
        <v>1.1224970000000001</v>
      </c>
      <c r="L7160">
        <v>-63.940190000000001</v>
      </c>
      <c r="M7160">
        <v>0.99990599999999996</v>
      </c>
      <c r="N7160">
        <v>-1.1092380000000001E-2</v>
      </c>
      <c r="O7160">
        <v>8.0580129999999993E-3</v>
      </c>
      <c r="P7160">
        <v>0.98136279999999998</v>
      </c>
      <c r="Q7160">
        <v>0.19180159999999999</v>
      </c>
      <c r="R7160">
        <v>1.179997E-2</v>
      </c>
      <c r="S7160">
        <v>3.0708310000000001</v>
      </c>
      <c r="T7160">
        <v>-9.8187090000000005E-2</v>
      </c>
      <c r="U7160">
        <v>0.35940549999999999</v>
      </c>
      <c r="V7160">
        <v>-4.4544399999999996E-3</v>
      </c>
      <c r="W7160">
        <v>0.20266439999999999</v>
      </c>
      <c r="X7160">
        <v>0.9792381</v>
      </c>
      <c r="Y7160">
        <v>-0.1081655</v>
      </c>
      <c r="Z7160">
        <v>2.1575029999999999E-3</v>
      </c>
      <c r="AA7160">
        <v>0.99413059999999998</v>
      </c>
      <c r="AB7160">
        <v>33</v>
      </c>
      <c r="AC7160">
        <v>34.931599999999897</v>
      </c>
      <c r="AD7160">
        <v>-1.1225117090400001</v>
      </c>
      <c r="AE7160">
        <v>4.1061500000000004</v>
      </c>
      <c r="AF7160">
        <v>-3.8206285394655102</v>
      </c>
      <c r="AG7160">
        <v>-1.1225117090400001</v>
      </c>
      <c r="AH7160">
        <v>34.927979098302501</v>
      </c>
      <c r="AI7160">
        <v>91.829825022566894</v>
      </c>
      <c r="AJ7160">
        <v>96.242531667201504</v>
      </c>
      <c r="AK7160">
        <v>35.154245246697698</v>
      </c>
      <c r="AL7160">
        <v>78.307190444567794</v>
      </c>
      <c r="AM7160">
        <v>90.260630026288297</v>
      </c>
      <c r="AN7160">
        <v>0.99999997877734104</v>
      </c>
    </row>
    <row r="7161" spans="1:40" x14ac:dyDescent="0.25">
      <c r="A7161" t="str">
        <f>"20190303170428338"</f>
        <v>20190303170428338</v>
      </c>
      <c r="B7161" t="str">
        <f>"1551603868332553"</f>
        <v>1551603868332553</v>
      </c>
      <c r="C7161" t="s">
        <v>40</v>
      </c>
      <c r="D7161">
        <v>4.8522169999999996</v>
      </c>
      <c r="E7161">
        <v>0.46562219999999999</v>
      </c>
      <c r="F7161" t="s">
        <v>75</v>
      </c>
      <c r="G7161">
        <v>-179.95769999999999</v>
      </c>
      <c r="H7161">
        <v>1.537265E-2</v>
      </c>
      <c r="I7161">
        <v>-59.755989999999997</v>
      </c>
      <c r="J7161">
        <v>-215.65889999999999</v>
      </c>
      <c r="K7161">
        <v>1.1226959999999999</v>
      </c>
      <c r="L7161">
        <v>-63.938049999999997</v>
      </c>
      <c r="M7161">
        <v>0.99989740000000005</v>
      </c>
      <c r="N7161">
        <v>-1.1110470000000001E-2</v>
      </c>
      <c r="O7161">
        <v>9.0553739999999997E-3</v>
      </c>
      <c r="P7161">
        <v>0.98128660000000001</v>
      </c>
      <c r="Q7161">
        <v>0.1921611</v>
      </c>
      <c r="R7161">
        <v>1.2289299999999901E-2</v>
      </c>
      <c r="S7161">
        <v>3.071167</v>
      </c>
      <c r="T7161">
        <v>-9.4798560000000004E-2</v>
      </c>
      <c r="U7161">
        <v>0.35827639999999999</v>
      </c>
      <c r="V7161">
        <v>-4.0609549999999998E-3</v>
      </c>
      <c r="W7161">
        <v>0.20304030000000001</v>
      </c>
      <c r="X7161">
        <v>0.97916199999999998</v>
      </c>
      <c r="Y7161">
        <v>-0.1068059</v>
      </c>
      <c r="Z7161">
        <v>2.0597969999999999E-3</v>
      </c>
      <c r="AA7161">
        <v>0.99427779999999999</v>
      </c>
      <c r="AB7161">
        <v>33</v>
      </c>
      <c r="AC7161">
        <v>35.7012</v>
      </c>
      <c r="AD7161">
        <v>-1.1073233499999999</v>
      </c>
      <c r="AE7161">
        <v>4.1820599999999901</v>
      </c>
      <c r="AF7161">
        <v>-3.8549225717003401</v>
      </c>
      <c r="AG7161">
        <v>-1.1073233499999999</v>
      </c>
      <c r="AH7161">
        <v>35.703725795953098</v>
      </c>
      <c r="AI7161">
        <v>91.766156648233306</v>
      </c>
      <c r="AJ7161">
        <v>96.1623395773385</v>
      </c>
      <c r="AK7161">
        <v>35.928298439362003</v>
      </c>
      <c r="AL7161">
        <v>78.285196384248806</v>
      </c>
      <c r="AM7161">
        <v>90.237625896676803</v>
      </c>
      <c r="AN7161">
        <v>1.0000000385118</v>
      </c>
    </row>
    <row r="7162" spans="1:40" x14ac:dyDescent="0.25">
      <c r="A7162" t="str">
        <f>"20190303170428349"</f>
        <v>20190303170428349</v>
      </c>
      <c r="B7162" t="str">
        <f>"1551603868342313"</f>
        <v>1551603868342313</v>
      </c>
      <c r="C7162" t="s">
        <v>40</v>
      </c>
      <c r="D7162">
        <v>4.8185560000000001</v>
      </c>
      <c r="E7162">
        <v>0.46589730000000001</v>
      </c>
      <c r="F7162" t="s">
        <v>75</v>
      </c>
      <c r="G7162">
        <v>-180.16139999999999</v>
      </c>
      <c r="H7162" s="1">
        <v>-1.485901E-5</v>
      </c>
      <c r="I7162">
        <v>-59.833469999999998</v>
      </c>
      <c r="J7162">
        <v>-215.49100000000001</v>
      </c>
      <c r="K7162">
        <v>1.1228940000000001</v>
      </c>
      <c r="L7162">
        <v>-63.935549999999999</v>
      </c>
      <c r="M7162">
        <v>0.99988589999999999</v>
      </c>
      <c r="N7162">
        <v>-1.112931E-2</v>
      </c>
      <c r="O7162">
        <v>1.022198E-2</v>
      </c>
      <c r="P7162">
        <v>0.98138320000000001</v>
      </c>
      <c r="Q7162">
        <v>0.19161339999999999</v>
      </c>
      <c r="R7162">
        <v>1.310974E-2</v>
      </c>
      <c r="S7162">
        <v>3.0718079999999999</v>
      </c>
      <c r="T7162">
        <v>-9.7154969999999993E-2</v>
      </c>
      <c r="U7162">
        <v>0.35519410000000001</v>
      </c>
      <c r="V7162">
        <v>-3.8316700000000001E-3</v>
      </c>
      <c r="W7162">
        <v>0.20251169999999999</v>
      </c>
      <c r="X7162">
        <v>0.97927240000000004</v>
      </c>
      <c r="Y7162">
        <v>-0.1046361</v>
      </c>
      <c r="Z7162">
        <v>2.0245150000000002E-3</v>
      </c>
      <c r="AA7162">
        <v>0.99450850000000002</v>
      </c>
      <c r="AB7162">
        <v>33</v>
      </c>
      <c r="AC7162">
        <v>35.329599999999999</v>
      </c>
      <c r="AD7162">
        <v>-1.12290885901</v>
      </c>
      <c r="AE7162">
        <v>4.1020799999999999</v>
      </c>
      <c r="AF7162">
        <v>-3.7369799371465899</v>
      </c>
      <c r="AG7162">
        <v>-1.12290885901</v>
      </c>
      <c r="AH7162">
        <v>35.334467512357001</v>
      </c>
      <c r="AI7162">
        <v>91.810125601372704</v>
      </c>
      <c r="AJ7162">
        <v>96.037170156785095</v>
      </c>
      <c r="AK7162">
        <v>35.549269158986803</v>
      </c>
      <c r="AL7162">
        <v>78.316125638066197</v>
      </c>
      <c r="AM7162">
        <v>90.224184199549001</v>
      </c>
      <c r="AN7162">
        <v>1.00000005186681</v>
      </c>
    </row>
    <row r="7163" spans="1:40" x14ac:dyDescent="0.25">
      <c r="A7163" t="str">
        <f>"20190303170428360"</f>
        <v>20190303170428360</v>
      </c>
      <c r="B7163" t="str">
        <f>"1551603868353049"</f>
        <v>1551603868353049</v>
      </c>
      <c r="C7163" t="s">
        <v>40</v>
      </c>
      <c r="D7163">
        <v>4.8474529999999998</v>
      </c>
      <c r="E7163">
        <v>0.46604289999999998</v>
      </c>
      <c r="F7163" t="s">
        <v>75</v>
      </c>
      <c r="G7163">
        <v>-181.24969999999999</v>
      </c>
      <c r="H7163" s="1">
        <v>-1.467189E-5</v>
      </c>
      <c r="I7163">
        <v>-59.9694</v>
      </c>
      <c r="J7163">
        <v>-215.3246</v>
      </c>
      <c r="K7163">
        <v>1.123089</v>
      </c>
      <c r="L7163">
        <v>-63.9328</v>
      </c>
      <c r="M7163">
        <v>0.99987190000000004</v>
      </c>
      <c r="N7163">
        <v>-1.1149249999999999E-2</v>
      </c>
      <c r="O7163">
        <v>1.1488E-2</v>
      </c>
      <c r="P7163">
        <v>0.98174170000000005</v>
      </c>
      <c r="Q7163">
        <v>0.18963849999999999</v>
      </c>
      <c r="R7163">
        <v>1.4853760000000001E-2</v>
      </c>
      <c r="S7163">
        <v>3.0718079999999999</v>
      </c>
      <c r="T7163">
        <v>-0.1007366</v>
      </c>
      <c r="U7163">
        <v>0.35580440000000002</v>
      </c>
      <c r="V7163">
        <v>-4.4176399999999996E-3</v>
      </c>
      <c r="W7163">
        <v>0.2005566</v>
      </c>
      <c r="X7163">
        <v>0.97967210000000005</v>
      </c>
      <c r="Y7163">
        <v>-0.1035686</v>
      </c>
      <c r="Z7163">
        <v>2.0239530000000002E-3</v>
      </c>
      <c r="AA7163">
        <v>0.99462030000000001</v>
      </c>
      <c r="AB7163">
        <v>33</v>
      </c>
      <c r="AC7163">
        <v>34.0749</v>
      </c>
      <c r="AD7163">
        <v>-1.12310367189</v>
      </c>
      <c r="AE7163">
        <v>3.9634</v>
      </c>
      <c r="AF7163">
        <v>-3.5678374718837902</v>
      </c>
      <c r="AG7163">
        <v>-1.12310367189</v>
      </c>
      <c r="AH7163">
        <v>34.081655062728899</v>
      </c>
      <c r="AI7163">
        <v>91.877152760042094</v>
      </c>
      <c r="AJ7163">
        <v>95.976240027976004</v>
      </c>
      <c r="AK7163">
        <v>34.286295190621303</v>
      </c>
      <c r="AL7163">
        <v>78.430489983344799</v>
      </c>
      <c r="AM7163">
        <v>90.258362376400697</v>
      </c>
      <c r="AN7163">
        <v>0.99999994443256801</v>
      </c>
    </row>
    <row r="7164" spans="1:40" x14ac:dyDescent="0.25">
      <c r="A7164" t="str">
        <f>"20190303170428370"</f>
        <v>20190303170428370</v>
      </c>
      <c r="B7164" t="str">
        <f>"1551603868362809"</f>
        <v>1551603868362809</v>
      </c>
      <c r="C7164" t="s">
        <v>40</v>
      </c>
      <c r="D7164">
        <v>4.845307</v>
      </c>
      <c r="E7164">
        <v>0.46618870000000001</v>
      </c>
      <c r="F7164" t="s">
        <v>75</v>
      </c>
      <c r="G7164">
        <v>-183.4375</v>
      </c>
      <c r="H7164" s="1">
        <v>-1.4258769999999999E-5</v>
      </c>
      <c r="I7164">
        <v>-60.199069999999899</v>
      </c>
      <c r="J7164">
        <v>-215.16419999999999</v>
      </c>
      <c r="K7164">
        <v>1.1232770000000001</v>
      </c>
      <c r="L7164">
        <v>-63.929870000000001</v>
      </c>
      <c r="M7164">
        <v>0.99985550000000001</v>
      </c>
      <c r="N7164">
        <v>-1.116967E-2</v>
      </c>
      <c r="O7164">
        <v>1.2817230000000001E-2</v>
      </c>
      <c r="P7164">
        <v>0.98216689999999995</v>
      </c>
      <c r="Q7164">
        <v>0.18720339999999999</v>
      </c>
      <c r="R7164">
        <v>1.7414789999999999E-2</v>
      </c>
      <c r="S7164">
        <v>3.0712429999999999</v>
      </c>
      <c r="T7164">
        <v>-0.10817309999999999</v>
      </c>
      <c r="U7164">
        <v>0.35961910000000002</v>
      </c>
      <c r="V7164">
        <v>-5.7500140000000003E-3</v>
      </c>
      <c r="W7164">
        <v>0.19813900000000001</v>
      </c>
      <c r="X7164">
        <v>0.9801571</v>
      </c>
      <c r="Y7164">
        <v>-0.10347729999999999</v>
      </c>
      <c r="Z7164">
        <v>2.0886730000000001E-3</v>
      </c>
      <c r="AA7164">
        <v>0.9946296</v>
      </c>
      <c r="AB7164">
        <v>33</v>
      </c>
      <c r="AC7164">
        <v>31.726699999999902</v>
      </c>
      <c r="AD7164">
        <v>-1.1232912587699999</v>
      </c>
      <c r="AE7164">
        <v>3.7307999999999999</v>
      </c>
      <c r="AF7164">
        <v>-3.3197151244030199</v>
      </c>
      <c r="AG7164">
        <v>-1.1232912587699999</v>
      </c>
      <c r="AH7164">
        <v>31.732679671717101</v>
      </c>
      <c r="AI7164">
        <v>92.016347172399804</v>
      </c>
      <c r="AJ7164">
        <v>95.972275250935297</v>
      </c>
      <c r="AK7164">
        <v>31.9256206033184</v>
      </c>
      <c r="AL7164">
        <v>78.571846511407699</v>
      </c>
      <c r="AM7164">
        <v>90.336117296985094</v>
      </c>
      <c r="AN7164">
        <v>1.0000000333312</v>
      </c>
    </row>
    <row r="7165" spans="1:40" x14ac:dyDescent="0.25">
      <c r="A7165" t="str">
        <f>"20190303170428382"</f>
        <v>20190303170428382</v>
      </c>
      <c r="B7165" t="str">
        <f>"1551603868372569"</f>
        <v>1551603868372569</v>
      </c>
      <c r="C7165" t="s">
        <v>40</v>
      </c>
      <c r="D7165">
        <v>4.8973060000000004</v>
      </c>
      <c r="E7165">
        <v>0.46632560000000001</v>
      </c>
      <c r="F7165" t="s">
        <v>75</v>
      </c>
      <c r="G7165">
        <v>-185.75360000000001</v>
      </c>
      <c r="H7165" s="1">
        <v>-1.079933E-5</v>
      </c>
      <c r="I7165">
        <v>-60.424280000000003</v>
      </c>
      <c r="J7165">
        <v>-215.00129999999999</v>
      </c>
      <c r="K7165">
        <v>1.1234710000000001</v>
      </c>
      <c r="L7165">
        <v>-63.92651</v>
      </c>
      <c r="M7165">
        <v>0.99983500000000003</v>
      </c>
      <c r="N7165">
        <v>-1.119323E-2</v>
      </c>
      <c r="O7165">
        <v>1.431668E-2</v>
      </c>
      <c r="P7165">
        <v>0.98245229999999995</v>
      </c>
      <c r="Q7165">
        <v>0.1853929</v>
      </c>
      <c r="R7165">
        <v>2.0432519999999999E-2</v>
      </c>
      <c r="S7165">
        <v>3.0703279999999999</v>
      </c>
      <c r="T7165">
        <v>-0.1172657</v>
      </c>
      <c r="U7165">
        <v>0.36596679999999998</v>
      </c>
      <c r="V7165">
        <v>-7.3763819999999999E-3</v>
      </c>
      <c r="W7165">
        <v>0.19634489999999999</v>
      </c>
      <c r="X7165">
        <v>0.98050709999999996</v>
      </c>
      <c r="Y7165">
        <v>-0.104036</v>
      </c>
      <c r="Z7165">
        <v>2.1787489999999998E-3</v>
      </c>
      <c r="AA7165">
        <v>0.99457110000000004</v>
      </c>
      <c r="AB7165">
        <v>33</v>
      </c>
      <c r="AC7165">
        <v>29.247699999999899</v>
      </c>
      <c r="AD7165">
        <v>-1.1234817993299999</v>
      </c>
      <c r="AE7165">
        <v>3.5022299999999902</v>
      </c>
      <c r="AF7165">
        <v>-3.0786364668199599</v>
      </c>
      <c r="AG7165">
        <v>-1.1234817993299999</v>
      </c>
      <c r="AH7165">
        <v>29.252292947994899</v>
      </c>
      <c r="AI7165">
        <v>92.187387451911704</v>
      </c>
      <c r="AJ7165">
        <v>96.007936102115806</v>
      </c>
      <c r="AK7165">
        <v>29.435299498452</v>
      </c>
      <c r="AL7165">
        <v>78.676699826817398</v>
      </c>
      <c r="AM7165">
        <v>90.431029600697599</v>
      </c>
      <c r="AN7165">
        <v>0.999999951958913</v>
      </c>
    </row>
    <row r="7166" spans="1:40" x14ac:dyDescent="0.25">
      <c r="A7166" t="str">
        <f>"20190303170428394"</f>
        <v>20190303170428394</v>
      </c>
      <c r="B7166" t="str">
        <f>"1551603868383305"</f>
        <v>1551603868383305</v>
      </c>
      <c r="C7166" t="s">
        <v>40</v>
      </c>
      <c r="D7166">
        <v>4.8961680000000003</v>
      </c>
      <c r="E7166">
        <v>0.46657320000000002</v>
      </c>
      <c r="F7166" t="s">
        <v>75</v>
      </c>
      <c r="G7166">
        <v>-187.34970000000001</v>
      </c>
      <c r="H7166" s="1">
        <v>-1.0909039999999999E-5</v>
      </c>
      <c r="I7166">
        <v>-60.561079999999997</v>
      </c>
      <c r="J7166">
        <v>-214.82380000000001</v>
      </c>
      <c r="K7166">
        <v>1.1236839999999999</v>
      </c>
      <c r="L7166">
        <v>-63.922609999999999</v>
      </c>
      <c r="M7166">
        <v>0.99980849999999999</v>
      </c>
      <c r="N7166">
        <v>-1.1220000000000001E-2</v>
      </c>
      <c r="O7166">
        <v>1.6034469999999999E-2</v>
      </c>
      <c r="P7166">
        <v>0.98253869999999999</v>
      </c>
      <c r="Q7166">
        <v>0.18457280000000001</v>
      </c>
      <c r="R7166">
        <v>2.3469469999999999E-2</v>
      </c>
      <c r="S7166">
        <v>3.0693359999999998</v>
      </c>
      <c r="T7166">
        <v>-0.1247071</v>
      </c>
      <c r="U7166">
        <v>0.3735657</v>
      </c>
      <c r="V7166">
        <v>-8.8215889999999995E-3</v>
      </c>
      <c r="W7166">
        <v>0.1955411</v>
      </c>
      <c r="X7166">
        <v>0.98065579999999997</v>
      </c>
      <c r="Y7166">
        <v>-0.10478170000000001</v>
      </c>
      <c r="Z7166">
        <v>2.2408670000000001E-3</v>
      </c>
      <c r="AA7166">
        <v>0.99449270000000001</v>
      </c>
      <c r="AB7166">
        <v>33</v>
      </c>
      <c r="AC7166">
        <v>27.4741</v>
      </c>
      <c r="AD7166">
        <v>-1.1236949090399999</v>
      </c>
      <c r="AE7166">
        <v>3.3615299999999899</v>
      </c>
      <c r="AF7166">
        <v>-2.9157318667453498</v>
      </c>
      <c r="AG7166">
        <v>-1.1236949090399999</v>
      </c>
      <c r="AH7166">
        <v>27.479181420669299</v>
      </c>
      <c r="AI7166">
        <v>92.328610828667493</v>
      </c>
      <c r="AJ7166">
        <v>96.056817115707105</v>
      </c>
      <c r="AK7166">
        <v>27.656275854088101</v>
      </c>
      <c r="AL7166">
        <v>78.723664784125702</v>
      </c>
      <c r="AM7166">
        <v>90.515396110868807</v>
      </c>
      <c r="AN7166">
        <v>0.99999997014766695</v>
      </c>
    </row>
    <row r="7167" spans="1:40" x14ac:dyDescent="0.25">
      <c r="A7167" t="str">
        <f>"20190303170428404"</f>
        <v>20190303170428404</v>
      </c>
      <c r="B7167" t="str">
        <f>"1551603868393065"</f>
        <v>1551603868393065</v>
      </c>
      <c r="C7167" t="s">
        <v>40</v>
      </c>
      <c r="D7167">
        <v>4.9044689999999997</v>
      </c>
      <c r="E7167">
        <v>0.46668860000000001</v>
      </c>
      <c r="F7167" t="s">
        <v>75</v>
      </c>
      <c r="G7167">
        <v>-188.1722</v>
      </c>
      <c r="H7167" s="1">
        <v>-1.0970569999999999E-5</v>
      </c>
      <c r="I7167">
        <v>-60.61786</v>
      </c>
      <c r="J7167">
        <v>-214.67169999999999</v>
      </c>
      <c r="K7167">
        <v>1.123872</v>
      </c>
      <c r="L7167">
        <v>-63.918729999999996</v>
      </c>
      <c r="M7167">
        <v>0.99978020000000001</v>
      </c>
      <c r="N7167">
        <v>-1.124703E-2</v>
      </c>
      <c r="O7167">
        <v>1.76935999999999E-2</v>
      </c>
      <c r="P7167">
        <v>0.98247589999999996</v>
      </c>
      <c r="Q7167">
        <v>0.1845087</v>
      </c>
      <c r="R7167">
        <v>2.6411939999999998E-2</v>
      </c>
      <c r="S7167">
        <v>3.068527</v>
      </c>
      <c r="T7167">
        <v>-0.12937660000000001</v>
      </c>
      <c r="U7167">
        <v>0.38049319999999998</v>
      </c>
      <c r="V7167">
        <v>-1.0221249999999999E-2</v>
      </c>
      <c r="W7167">
        <v>0.19549150000000001</v>
      </c>
      <c r="X7167">
        <v>0.98065219999999997</v>
      </c>
      <c r="Y7167">
        <v>-0.105368</v>
      </c>
      <c r="Z7167">
        <v>2.262633E-3</v>
      </c>
      <c r="AA7167">
        <v>0.9944307</v>
      </c>
      <c r="AB7167">
        <v>33</v>
      </c>
      <c r="AC7167">
        <v>26.499499999999902</v>
      </c>
      <c r="AD7167">
        <v>-1.12388297057</v>
      </c>
      <c r="AE7167">
        <v>3.3008700000000002</v>
      </c>
      <c r="AF7167">
        <v>-2.82644565014993</v>
      </c>
      <c r="AG7167">
        <v>-1.12388297057</v>
      </c>
      <c r="AH7167">
        <v>26.5068089023036</v>
      </c>
      <c r="AI7167">
        <v>92.414204656289002</v>
      </c>
      <c r="AJ7167">
        <v>96.086503547397498</v>
      </c>
      <c r="AK7167">
        <v>26.680757600338602</v>
      </c>
      <c r="AL7167">
        <v>78.726563709425903</v>
      </c>
      <c r="AM7167">
        <v>90.597167151133903</v>
      </c>
      <c r="AN7167">
        <v>1.00000006894432</v>
      </c>
    </row>
    <row r="7168" spans="1:40" x14ac:dyDescent="0.25">
      <c r="A7168" t="str">
        <f>"20190303170428416"</f>
        <v>20190303170428416</v>
      </c>
      <c r="B7168" t="str">
        <f>"1551603868402825"</f>
        <v>1551603868402825</v>
      </c>
      <c r="C7168" t="s">
        <v>40</v>
      </c>
      <c r="D7168">
        <v>4.848795</v>
      </c>
      <c r="E7168">
        <v>0.46686230000000001</v>
      </c>
      <c r="F7168" t="s">
        <v>75</v>
      </c>
      <c r="G7168">
        <v>-188.19810000000001</v>
      </c>
      <c r="H7168" s="1">
        <v>-1.099231E-5</v>
      </c>
      <c r="I7168">
        <v>-60.565150000000003</v>
      </c>
      <c r="J7168">
        <v>-214.5001</v>
      </c>
      <c r="K7168">
        <v>1.124088</v>
      </c>
      <c r="L7168">
        <v>-63.914180000000002</v>
      </c>
      <c r="M7168">
        <v>0.99974439999999998</v>
      </c>
      <c r="N7168">
        <v>-1.1277779999999999E-2</v>
      </c>
      <c r="O7168">
        <v>1.960251E-2</v>
      </c>
      <c r="P7168">
        <v>0.9822921</v>
      </c>
      <c r="Q7168">
        <v>0.18504309999999999</v>
      </c>
      <c r="R7168">
        <v>2.935391E-2</v>
      </c>
      <c r="S7168">
        <v>3.0675050000000001</v>
      </c>
      <c r="T7168">
        <v>-0.13022449999999999</v>
      </c>
      <c r="U7168">
        <v>0.38858029999999999</v>
      </c>
      <c r="V7168">
        <v>-1.139273E-2</v>
      </c>
      <c r="W7168">
        <v>0.19604279999999999</v>
      </c>
      <c r="X7168">
        <v>0.98052910000000004</v>
      </c>
      <c r="Y7168">
        <v>-0.10608960000000001</v>
      </c>
      <c r="Z7168">
        <v>2.2349100000000001E-3</v>
      </c>
      <c r="AA7168">
        <v>0.99435410000000002</v>
      </c>
      <c r="AB7168">
        <v>33</v>
      </c>
      <c r="AC7168">
        <v>26.3019999999999</v>
      </c>
      <c r="AD7168">
        <v>-1.12409899231</v>
      </c>
      <c r="AE7168">
        <v>3.3490299999999902</v>
      </c>
      <c r="AF7168">
        <v>-2.8276859734437698</v>
      </c>
      <c r="AG7168">
        <v>-1.12409899231</v>
      </c>
      <c r="AH7168">
        <v>26.315299698169301</v>
      </c>
      <c r="AI7168">
        <v>92.432008212811695</v>
      </c>
      <c r="AJ7168">
        <v>96.133131618934499</v>
      </c>
      <c r="AK7168">
        <v>26.490647495170599</v>
      </c>
      <c r="AL7168">
        <v>78.694351867896501</v>
      </c>
      <c r="AM7168">
        <v>90.665687509388405</v>
      </c>
      <c r="AN7168">
        <v>0.99999994483774901</v>
      </c>
    </row>
    <row r="7169" spans="1:40" x14ac:dyDescent="0.25">
      <c r="A7169" t="str">
        <f>"20190303170428427"</f>
        <v>20190303170428427</v>
      </c>
      <c r="B7169" t="str">
        <f>"1551603868422345"</f>
        <v>1551603868422345</v>
      </c>
      <c r="C7169" t="s">
        <v>40</v>
      </c>
      <c r="D7169">
        <v>4.8646430000000001</v>
      </c>
      <c r="E7169">
        <v>0.46713729999999998</v>
      </c>
      <c r="F7169" t="s">
        <v>75</v>
      </c>
      <c r="G7169">
        <v>-187.84559999999999</v>
      </c>
      <c r="H7169" s="1">
        <v>-1.09932E-5</v>
      </c>
      <c r="I7169">
        <v>-60.465859999999999</v>
      </c>
      <c r="J7169">
        <v>-214.32429999999999</v>
      </c>
      <c r="K7169">
        <v>1.1243080000000001</v>
      </c>
      <c r="L7169">
        <v>-63.908839999999998</v>
      </c>
      <c r="M7169">
        <v>0.99969920000000001</v>
      </c>
      <c r="N7169">
        <v>-1.1316120000000001E-2</v>
      </c>
      <c r="O7169">
        <v>2.176117E-2</v>
      </c>
      <c r="P7169">
        <v>0.98196969999999995</v>
      </c>
      <c r="Q7169">
        <v>0.1863012</v>
      </c>
      <c r="R7169">
        <v>3.2056519999999998E-2</v>
      </c>
      <c r="S7169">
        <v>3.066589</v>
      </c>
      <c r="T7169">
        <v>-0.1293271</v>
      </c>
      <c r="U7169">
        <v>0.39672849999999998</v>
      </c>
      <c r="V7169">
        <v>-1.208948E-2</v>
      </c>
      <c r="W7169">
        <v>0.19732520000000001</v>
      </c>
      <c r="X7169">
        <v>0.98026349999999995</v>
      </c>
      <c r="Y7169">
        <v>-0.1065806</v>
      </c>
      <c r="Z7169">
        <v>2.1751090000000002E-3</v>
      </c>
      <c r="AA7169">
        <v>0.99430169999999996</v>
      </c>
      <c r="AB7169">
        <v>33</v>
      </c>
      <c r="AC7169">
        <v>26.4787</v>
      </c>
      <c r="AD7169">
        <v>-1.1243189931999999</v>
      </c>
      <c r="AE7169">
        <v>3.4429799999999999</v>
      </c>
      <c r="AF7169">
        <v>-2.8608479956963002</v>
      </c>
      <c r="AG7169">
        <v>-1.1243189931999999</v>
      </c>
      <c r="AH7169">
        <v>26.500372357836799</v>
      </c>
      <c r="AI7169">
        <v>92.415387213061805</v>
      </c>
      <c r="AJ7169">
        <v>96.161504483647093</v>
      </c>
      <c r="AK7169">
        <v>26.678048645973899</v>
      </c>
      <c r="AL7169">
        <v>78.6194121155592</v>
      </c>
      <c r="AM7169">
        <v>90.706586611661606</v>
      </c>
      <c r="AN7169">
        <v>0.99999995975697897</v>
      </c>
    </row>
    <row r="7170" spans="1:40" x14ac:dyDescent="0.25">
      <c r="A7170" t="str">
        <f>"20190303170428440"</f>
        <v>20190303170428440</v>
      </c>
      <c r="B7170" t="str">
        <f>"1551603868433081"</f>
        <v>1551603868433081</v>
      </c>
      <c r="C7170" t="s">
        <v>40</v>
      </c>
      <c r="D7170">
        <v>4.9108280000000004</v>
      </c>
      <c r="E7170">
        <v>0.46730759999999999</v>
      </c>
      <c r="F7170" t="s">
        <v>75</v>
      </c>
      <c r="G7170">
        <v>-187.0256</v>
      </c>
      <c r="H7170" s="1">
        <v>-1.3501930000000001E-5</v>
      </c>
      <c r="I7170">
        <v>-60.317680000000003</v>
      </c>
      <c r="J7170">
        <v>-214.13290000000001</v>
      </c>
      <c r="K7170">
        <v>1.1245400000000001</v>
      </c>
      <c r="L7170">
        <v>-63.902589999999996</v>
      </c>
      <c r="M7170">
        <v>0.99964260000000005</v>
      </c>
      <c r="N7170">
        <v>-1.1359559999999999E-2</v>
      </c>
      <c r="O7170">
        <v>2.4202419999999999E-2</v>
      </c>
      <c r="P7170">
        <v>0.98167040000000005</v>
      </c>
      <c r="Q7170">
        <v>0.18737180000000001</v>
      </c>
      <c r="R7170">
        <v>3.4860040000000002E-2</v>
      </c>
      <c r="S7170">
        <v>3.065887</v>
      </c>
      <c r="T7170">
        <v>-0.1262712</v>
      </c>
      <c r="U7170">
        <v>0.40332030000000002</v>
      </c>
      <c r="V7170">
        <v>-1.261574E-2</v>
      </c>
      <c r="W7170">
        <v>0.1984264</v>
      </c>
      <c r="X7170">
        <v>0.98003459999999998</v>
      </c>
      <c r="Y7170">
        <v>-0.10628899999999999</v>
      </c>
      <c r="Z7170">
        <v>2.0672960000000002E-3</v>
      </c>
      <c r="AA7170">
        <v>0.99433309999999997</v>
      </c>
      <c r="AB7170">
        <v>33</v>
      </c>
      <c r="AC7170">
        <v>27.107299999999999</v>
      </c>
      <c r="AD7170">
        <v>-1.1245535019299999</v>
      </c>
      <c r="AE7170">
        <v>3.5849099999999998</v>
      </c>
      <c r="AF7170">
        <v>-2.9228114431447199</v>
      </c>
      <c r="AG7170">
        <v>-1.1245535019299999</v>
      </c>
      <c r="AH7170">
        <v>27.140221586644799</v>
      </c>
      <c r="AI7170">
        <v>92.3590650793587</v>
      </c>
      <c r="AJ7170">
        <v>96.146663952568304</v>
      </c>
      <c r="AK7170">
        <v>27.320305179171399</v>
      </c>
      <c r="AL7170">
        <v>78.555045804352901</v>
      </c>
      <c r="AM7170">
        <v>90.737513487091505</v>
      </c>
      <c r="AN7170">
        <v>1.00000000515493</v>
      </c>
    </row>
    <row r="7171" spans="1:40" x14ac:dyDescent="0.25">
      <c r="A7171" t="str">
        <f>"20190303170428449"</f>
        <v>20190303170428449</v>
      </c>
      <c r="B7171" t="str">
        <f>"1551603868442841"</f>
        <v>1551603868442841</v>
      </c>
      <c r="C7171" t="s">
        <v>40</v>
      </c>
      <c r="D7171">
        <v>4.8567739999999997</v>
      </c>
      <c r="E7171">
        <v>0.46745809999999999</v>
      </c>
      <c r="F7171" t="s">
        <v>75</v>
      </c>
      <c r="G7171">
        <v>-186.34950000000001</v>
      </c>
      <c r="H7171" s="1">
        <v>-1.360901E-5</v>
      </c>
      <c r="I7171">
        <v>-60.179789999999997</v>
      </c>
      <c r="J7171">
        <v>-213.99700000000001</v>
      </c>
      <c r="K7171">
        <v>1.124701</v>
      </c>
      <c r="L7171">
        <v>-63.897829999999999</v>
      </c>
      <c r="M7171">
        <v>0.9995965</v>
      </c>
      <c r="N7171">
        <v>-1.139226E-2</v>
      </c>
      <c r="O7171">
        <v>2.6017729999999999E-2</v>
      </c>
      <c r="P7171">
        <v>0.98136860000000004</v>
      </c>
      <c r="Q7171">
        <v>0.18857760000000001</v>
      </c>
      <c r="R7171">
        <v>3.6798709999999998E-2</v>
      </c>
      <c r="S7171">
        <v>3.0651090000000001</v>
      </c>
      <c r="T7171">
        <v>-0.1240629</v>
      </c>
      <c r="U7171">
        <v>0.4107056</v>
      </c>
      <c r="V7171">
        <v>-1.2861549999999999E-2</v>
      </c>
      <c r="W7171">
        <v>0.19965540000000001</v>
      </c>
      <c r="X7171">
        <v>0.97978169999999998</v>
      </c>
      <c r="Y7171">
        <v>-0.1068733</v>
      </c>
      <c r="Z7171">
        <v>2.0119309999999998E-3</v>
      </c>
      <c r="AA7171">
        <v>0.9942706</v>
      </c>
      <c r="AB7171">
        <v>33</v>
      </c>
      <c r="AC7171">
        <v>27.647500000000001</v>
      </c>
      <c r="AD7171">
        <v>-1.12471460901</v>
      </c>
      <c r="AE7171">
        <v>3.7180399999999998</v>
      </c>
      <c r="AF7171">
        <v>-2.99254488737758</v>
      </c>
      <c r="AG7171">
        <v>-1.12471460901</v>
      </c>
      <c r="AH7171">
        <v>27.689870751952601</v>
      </c>
      <c r="AI7171">
        <v>92.312525668144801</v>
      </c>
      <c r="AJ7171">
        <v>96.168222542663301</v>
      </c>
      <c r="AK7171">
        <v>27.873809393667901</v>
      </c>
      <c r="AL7171">
        <v>78.483190795246401</v>
      </c>
      <c r="AM7171">
        <v>90.752075906161494</v>
      </c>
      <c r="AN7171">
        <v>0.99999993893622396</v>
      </c>
    </row>
    <row r="7172" spans="1:40" x14ac:dyDescent="0.25">
      <c r="A7172" t="str">
        <f>"20190303170428460"</f>
        <v>20190303170428460</v>
      </c>
      <c r="B7172" t="str">
        <f>"1551603868452601"</f>
        <v>1551603868452601</v>
      </c>
      <c r="C7172" t="s">
        <v>40</v>
      </c>
      <c r="D7172">
        <v>4.8789099999999896</v>
      </c>
      <c r="E7172">
        <v>0.46761510000000001</v>
      </c>
      <c r="F7172" t="s">
        <v>75</v>
      </c>
      <c r="G7172">
        <v>-185.50919999999999</v>
      </c>
      <c r="H7172" s="1">
        <v>-1.3751409999999999E-5</v>
      </c>
      <c r="I7172">
        <v>-60.038600000000002</v>
      </c>
      <c r="J7172">
        <v>-213.83969999999999</v>
      </c>
      <c r="K7172">
        <v>1.1248800000000001</v>
      </c>
      <c r="L7172">
        <v>-63.89188</v>
      </c>
      <c r="M7172">
        <v>0.99953689999999995</v>
      </c>
      <c r="N7172">
        <v>-1.143103E-2</v>
      </c>
      <c r="O7172">
        <v>2.8202310000000001E-2</v>
      </c>
      <c r="P7172">
        <v>0.98123229999999995</v>
      </c>
      <c r="Q7172">
        <v>0.1888271</v>
      </c>
      <c r="R7172">
        <v>3.9082239999999997E-2</v>
      </c>
      <c r="S7172">
        <v>3.0646209999999998</v>
      </c>
      <c r="T7172">
        <v>-0.12099269999999999</v>
      </c>
      <c r="U7172">
        <v>0.41516110000000001</v>
      </c>
      <c r="V7172">
        <v>-1.308784E-2</v>
      </c>
      <c r="W7172">
        <v>0.1999358</v>
      </c>
      <c r="X7172">
        <v>0.97972159999999997</v>
      </c>
      <c r="Y7172">
        <v>-0.1061464</v>
      </c>
      <c r="Z7172">
        <v>1.908496E-3</v>
      </c>
      <c r="AA7172">
        <v>0.99434869999999997</v>
      </c>
      <c r="AB7172">
        <v>33</v>
      </c>
      <c r="AC7172">
        <v>28.330500000000001</v>
      </c>
      <c r="AD7172">
        <v>-1.1248937514099999</v>
      </c>
      <c r="AE7172">
        <v>3.8532799999999998</v>
      </c>
      <c r="AF7172">
        <v>-3.0479912697197098</v>
      </c>
      <c r="AG7172">
        <v>-1.1248937514099999</v>
      </c>
      <c r="AH7172">
        <v>28.383971505770202</v>
      </c>
      <c r="AI7172">
        <v>92.256558855205697</v>
      </c>
      <c r="AJ7172">
        <v>96.129176594503093</v>
      </c>
      <c r="AK7172">
        <v>28.5693100226908</v>
      </c>
      <c r="AL7172">
        <v>78.466795352782299</v>
      </c>
      <c r="AM7172">
        <v>90.765353538223195</v>
      </c>
      <c r="AN7172">
        <v>1.00000001459203</v>
      </c>
    </row>
    <row r="7173" spans="1:40" x14ac:dyDescent="0.25">
      <c r="A7173" t="str">
        <f>"20190303170428471"</f>
        <v>20190303170428471</v>
      </c>
      <c r="B7173" t="str">
        <f>"1551603868462361"</f>
        <v>1551603868462361</v>
      </c>
      <c r="C7173" t="s">
        <v>40</v>
      </c>
      <c r="D7173">
        <v>4.8855009999999996</v>
      </c>
      <c r="E7173">
        <v>0.46777859999999999</v>
      </c>
      <c r="F7173" t="s">
        <v>75</v>
      </c>
      <c r="G7173">
        <v>-185.3296</v>
      </c>
      <c r="H7173" s="1">
        <v>-1.3772189999999999E-5</v>
      </c>
      <c r="I7173">
        <v>-59.977060000000002</v>
      </c>
      <c r="J7173">
        <v>-213.66839999999999</v>
      </c>
      <c r="K7173">
        <v>1.1250639999999901</v>
      </c>
      <c r="L7173">
        <v>-63.885010000000001</v>
      </c>
      <c r="M7173">
        <v>0.99946369999999896</v>
      </c>
      <c r="N7173">
        <v>-1.147402E-2</v>
      </c>
      <c r="O7173">
        <v>3.0667099999999999E-2</v>
      </c>
      <c r="P7173">
        <v>0.98120499999999999</v>
      </c>
      <c r="Q7173">
        <v>0.18836610000000001</v>
      </c>
      <c r="R7173">
        <v>4.1889500000000003E-2</v>
      </c>
      <c r="S7173">
        <v>3.063904</v>
      </c>
      <c r="T7173">
        <v>-0.1208895</v>
      </c>
      <c r="U7173">
        <v>0.42071530000000001</v>
      </c>
      <c r="V7173">
        <v>-1.3557619999999999E-2</v>
      </c>
      <c r="W7173">
        <v>0.1995082</v>
      </c>
      <c r="X7173">
        <v>0.97980239999999996</v>
      </c>
      <c r="Y7173">
        <v>-0.10549649999999999</v>
      </c>
      <c r="Z7173">
        <v>1.82636E-3</v>
      </c>
      <c r="AA7173">
        <v>0.99441800000000002</v>
      </c>
      <c r="AB7173">
        <v>33</v>
      </c>
      <c r="AC7173">
        <v>28.3387999999999</v>
      </c>
      <c r="AD7173">
        <v>-1.1250777721899901</v>
      </c>
      <c r="AE7173">
        <v>3.90795</v>
      </c>
      <c r="AF7173">
        <v>-3.0322953487364099</v>
      </c>
      <c r="AG7173">
        <v>-1.1250777721899901</v>
      </c>
      <c r="AH7173">
        <v>28.4013926616657</v>
      </c>
      <c r="AI7173">
        <v>92.255692212198994</v>
      </c>
      <c r="AJ7173">
        <v>96.094140010477901</v>
      </c>
      <c r="AK7173">
        <v>28.584956186735099</v>
      </c>
      <c r="AL7173">
        <v>78.491799043217</v>
      </c>
      <c r="AM7173">
        <v>90.7927566166031</v>
      </c>
      <c r="AN7173">
        <v>1.0000000369865301</v>
      </c>
    </row>
    <row r="7174" spans="1:40" x14ac:dyDescent="0.25">
      <c r="A7174" t="str">
        <f>"20190303170428483"</f>
        <v>20190303170428483</v>
      </c>
      <c r="B7174" t="str">
        <f>"1551603868473097"</f>
        <v>1551603868473097</v>
      </c>
      <c r="C7174" t="s">
        <v>40</v>
      </c>
      <c r="D7174">
        <v>4.8644499999999997</v>
      </c>
      <c r="E7174">
        <v>0.46790300000000001</v>
      </c>
      <c r="F7174" t="s">
        <v>75</v>
      </c>
      <c r="G7174">
        <v>-185.5746</v>
      </c>
      <c r="H7174" s="1">
        <v>-1.3713340000000001E-5</v>
      </c>
      <c r="I7174">
        <v>-59.961790000000001</v>
      </c>
      <c r="J7174">
        <v>-213.4966</v>
      </c>
      <c r="K7174">
        <v>1.1252409999999999</v>
      </c>
      <c r="L7174">
        <v>-63.877470000000002</v>
      </c>
      <c r="M7174">
        <v>0.99938039999999995</v>
      </c>
      <c r="N7174">
        <v>-1.151917E-2</v>
      </c>
      <c r="O7174">
        <v>3.3260310000000001E-2</v>
      </c>
      <c r="P7174">
        <v>0.98123749999999998</v>
      </c>
      <c r="Q7174">
        <v>0.18743499999999999</v>
      </c>
      <c r="R7174">
        <v>4.5179080000000003E-2</v>
      </c>
      <c r="S7174">
        <v>3.0627439999999999</v>
      </c>
      <c r="T7174">
        <v>-0.12265429999999999</v>
      </c>
      <c r="U7174">
        <v>0.42770390000000003</v>
      </c>
      <c r="V7174">
        <v>-1.4373220000000001E-2</v>
      </c>
      <c r="W7174">
        <v>0.19861100000000001</v>
      </c>
      <c r="X7174">
        <v>0.97997299999999998</v>
      </c>
      <c r="Y7174">
        <v>-0.1051923</v>
      </c>
      <c r="Z7174">
        <v>1.76183E-3</v>
      </c>
      <c r="AA7174">
        <v>0.99445030000000001</v>
      </c>
      <c r="AB7174">
        <v>33</v>
      </c>
      <c r="AC7174">
        <v>27.922000000000001</v>
      </c>
      <c r="AD7174">
        <v>-1.1252547133399999</v>
      </c>
      <c r="AE7174">
        <v>3.9156799999999898</v>
      </c>
      <c r="AF7174">
        <v>-2.9800108719740201</v>
      </c>
      <c r="AG7174">
        <v>-1.1252547133399999</v>
      </c>
      <c r="AH7174">
        <v>27.992209811931499</v>
      </c>
      <c r="AI7174">
        <v>92.289064110244794</v>
      </c>
      <c r="AJ7174">
        <v>96.076739461055496</v>
      </c>
      <c r="AK7174">
        <v>28.1728676765815</v>
      </c>
      <c r="AL7174">
        <v>78.544254156927195</v>
      </c>
      <c r="AM7174">
        <v>90.840294374977404</v>
      </c>
      <c r="AN7174">
        <v>0.99999999975158405</v>
      </c>
    </row>
    <row r="7175" spans="1:40" x14ac:dyDescent="0.25">
      <c r="A7175" t="str">
        <f>"20190303170428494"</f>
        <v>20190303170428494</v>
      </c>
      <c r="B7175" t="str">
        <f>"1551603868482857"</f>
        <v>1551603868482857</v>
      </c>
      <c r="C7175" t="s">
        <v>40</v>
      </c>
      <c r="D7175">
        <v>5.0471789999999999</v>
      </c>
      <c r="E7175">
        <v>0.46768880000000002</v>
      </c>
      <c r="F7175" t="s">
        <v>75</v>
      </c>
      <c r="G7175">
        <v>-186.1644</v>
      </c>
      <c r="H7175" s="1">
        <v>-1.35883E-5</v>
      </c>
      <c r="I7175">
        <v>-59.9792699999999</v>
      </c>
      <c r="J7175">
        <v>-213.33359999999999</v>
      </c>
      <c r="K7175">
        <v>1.125407</v>
      </c>
      <c r="L7175">
        <v>-63.870089999999998</v>
      </c>
      <c r="M7175">
        <v>0.99929330000000005</v>
      </c>
      <c r="N7175">
        <v>-1.156212E-2</v>
      </c>
      <c r="O7175">
        <v>3.576617E-2</v>
      </c>
      <c r="P7175">
        <v>0.98137629999999998</v>
      </c>
      <c r="Q7175">
        <v>0.18584909999999999</v>
      </c>
      <c r="R7175">
        <v>4.8589260000000002E-2</v>
      </c>
      <c r="S7175">
        <v>3.0613250000000001</v>
      </c>
      <c r="T7175">
        <v>-0.12603319999999901</v>
      </c>
      <c r="U7175">
        <v>0.43661499999999998</v>
      </c>
      <c r="V7175">
        <v>-1.537767E-2</v>
      </c>
      <c r="W7175">
        <v>0.19705600000000001</v>
      </c>
      <c r="X7175">
        <v>0.98027160000000002</v>
      </c>
      <c r="Y7175">
        <v>-0.1055962</v>
      </c>
      <c r="Z7175">
        <v>1.7240860000000001E-3</v>
      </c>
      <c r="AA7175">
        <v>0.99440759999999995</v>
      </c>
      <c r="AB7175">
        <v>33</v>
      </c>
      <c r="AC7175">
        <v>27.169199999999901</v>
      </c>
      <c r="AD7175">
        <v>-1.1254205882999999</v>
      </c>
      <c r="AE7175">
        <v>3.8908200000000099</v>
      </c>
      <c r="AF7175">
        <v>-2.9116315940083002</v>
      </c>
      <c r="AG7175">
        <v>-1.1254205882999999</v>
      </c>
      <c r="AH7175">
        <v>27.245174650751</v>
      </c>
      <c r="AI7175">
        <v>92.352003295605897</v>
      </c>
      <c r="AJ7175">
        <v>96.099921774596993</v>
      </c>
      <c r="AK7175">
        <v>27.4234153925021</v>
      </c>
      <c r="AL7175">
        <v>78.635145227117405</v>
      </c>
      <c r="AM7175">
        <v>90.898733908783996</v>
      </c>
      <c r="AN7175">
        <v>0.99999997481859404</v>
      </c>
    </row>
    <row r="7176" spans="1:40" x14ac:dyDescent="0.25">
      <c r="A7176" t="str">
        <f>"20190303170428506"</f>
        <v>20190303170428506</v>
      </c>
      <c r="B7176" t="str">
        <f>"1551603868492616"</f>
        <v>1551603868492616</v>
      </c>
      <c r="C7176" t="s">
        <v>40</v>
      </c>
      <c r="D7176">
        <v>4.5615829999999997</v>
      </c>
      <c r="E7176">
        <v>0.46768880000000002</v>
      </c>
      <c r="F7176" t="s">
        <v>75</v>
      </c>
      <c r="G7176">
        <v>-187.12880000000001</v>
      </c>
      <c r="H7176" s="1">
        <v>-1.3389930000000001E-5</v>
      </c>
      <c r="I7176">
        <v>-60.027639999999998</v>
      </c>
      <c r="J7176">
        <v>-213.16560000000001</v>
      </c>
      <c r="K7176">
        <v>1.1255729999999999</v>
      </c>
      <c r="L7176">
        <v>-63.861600000000003</v>
      </c>
      <c r="M7176">
        <v>0.9991913</v>
      </c>
      <c r="N7176">
        <v>-1.160973E-2</v>
      </c>
      <c r="O7176">
        <v>3.8495729999999999E-2</v>
      </c>
      <c r="P7176">
        <v>0.98137350000000001</v>
      </c>
      <c r="Q7176">
        <v>0.1849305</v>
      </c>
      <c r="R7176">
        <v>5.2028289999999998E-2</v>
      </c>
      <c r="S7176">
        <v>3.059631</v>
      </c>
      <c r="T7176">
        <v>-0.13140250000000001</v>
      </c>
      <c r="U7176">
        <v>0.44863890000000001</v>
      </c>
      <c r="V7176">
        <v>-1.6199990000000001E-2</v>
      </c>
      <c r="W7176">
        <v>0.19617229999999999</v>
      </c>
      <c r="X7176">
        <v>0.98043559999999996</v>
      </c>
      <c r="Y7176">
        <v>-0.1067775</v>
      </c>
      <c r="Z7176">
        <v>1.705696E-3</v>
      </c>
      <c r="AA7176">
        <v>0.99428150000000004</v>
      </c>
      <c r="AB7176">
        <v>33</v>
      </c>
      <c r="AC7176">
        <v>26.036799999999999</v>
      </c>
      <c r="AD7176">
        <v>-1.12558638992999</v>
      </c>
      <c r="AE7176">
        <v>3.83395999999999</v>
      </c>
      <c r="AF7176">
        <v>-2.8235796003153402</v>
      </c>
      <c r="AG7176">
        <v>-1.12558638992999</v>
      </c>
      <c r="AH7176">
        <v>26.1173246709672</v>
      </c>
      <c r="AI7176">
        <v>92.453487776002007</v>
      </c>
      <c r="AJ7176">
        <v>96.170359501993204</v>
      </c>
      <c r="AK7176">
        <v>26.293615089014001</v>
      </c>
      <c r="AL7176">
        <v>78.686785635016093</v>
      </c>
      <c r="AM7176">
        <v>90.946626783054796</v>
      </c>
      <c r="AN7176">
        <v>0.999999988355325</v>
      </c>
    </row>
    <row r="7177" spans="1:40" x14ac:dyDescent="0.25">
      <c r="A7177" t="str">
        <f>"20190303170428517"</f>
        <v>20190303170428517</v>
      </c>
      <c r="B7177" t="str">
        <f>"1551603868502376"</f>
        <v>1551603868502376</v>
      </c>
      <c r="C7177" t="s">
        <v>40</v>
      </c>
      <c r="D7177">
        <v>4.8875570000000002</v>
      </c>
      <c r="E7177">
        <v>0.4185622</v>
      </c>
      <c r="F7177" t="s">
        <v>75</v>
      </c>
      <c r="G7177">
        <v>-187.5506</v>
      </c>
      <c r="H7177" s="1">
        <v>-1.3293069999999999E-5</v>
      </c>
      <c r="I7177">
        <v>-60.0158699999999</v>
      </c>
      <c r="J7177">
        <v>-212.98920000000001</v>
      </c>
      <c r="K7177">
        <v>1.1257469999999901</v>
      </c>
      <c r="L7177">
        <v>-63.852449999999997</v>
      </c>
      <c r="M7177">
        <v>0.99907460000000003</v>
      </c>
      <c r="N7177">
        <v>-1.165913E-2</v>
      </c>
      <c r="O7177">
        <v>4.1403099999999998E-2</v>
      </c>
      <c r="P7177">
        <v>0.98123070000000001</v>
      </c>
      <c r="Q7177">
        <v>0.18458250000000001</v>
      </c>
      <c r="R7177">
        <v>5.5818699999999999E-2</v>
      </c>
      <c r="S7177">
        <v>3.057938</v>
      </c>
      <c r="T7177">
        <v>-0.1343734</v>
      </c>
      <c r="U7177">
        <v>0.45910640000000003</v>
      </c>
      <c r="V7177">
        <v>-1.7210909999999999E-2</v>
      </c>
      <c r="W7177">
        <v>0.19585669999999999</v>
      </c>
      <c r="X7177">
        <v>0.98048150000000001</v>
      </c>
      <c r="Y7177">
        <v>-0.1072902</v>
      </c>
      <c r="Z7177">
        <v>1.646174E-3</v>
      </c>
      <c r="AA7177">
        <v>0.99422639999999995</v>
      </c>
      <c r="AB7177">
        <v>33</v>
      </c>
      <c r="AC7177">
        <v>25.438600000000001</v>
      </c>
      <c r="AD7177">
        <v>-1.1257602930699999</v>
      </c>
      <c r="AE7177">
        <v>3.8365800000000001</v>
      </c>
      <c r="AF7177">
        <v>-2.7746682850662698</v>
      </c>
      <c r="AG7177">
        <v>-1.1257602930699999</v>
      </c>
      <c r="AH7177">
        <v>25.526760884842101</v>
      </c>
      <c r="AI7177">
        <v>92.510407787889505</v>
      </c>
      <c r="AJ7177">
        <v>96.203493073075506</v>
      </c>
      <c r="AK7177">
        <v>25.7017828486957</v>
      </c>
      <c r="AL7177">
        <v>78.7052262351461</v>
      </c>
      <c r="AM7177">
        <v>91.005639821740303</v>
      </c>
      <c r="AN7177">
        <v>1.00000001710008</v>
      </c>
    </row>
    <row r="7178" spans="1:40" x14ac:dyDescent="0.25">
      <c r="A7178" t="str">
        <f>"20190303170428527"</f>
        <v>20190303170428527</v>
      </c>
      <c r="B7178" t="str">
        <f>"1551603868522873"</f>
        <v>1551603868522873</v>
      </c>
      <c r="C7178" t="s">
        <v>40</v>
      </c>
      <c r="D7178">
        <v>4.7336150000000004</v>
      </c>
      <c r="E7178">
        <v>0.39761039999999997</v>
      </c>
      <c r="F7178" t="s">
        <v>44</v>
      </c>
      <c r="G7178">
        <v>-155.404</v>
      </c>
      <c r="H7178">
        <v>-0.05</v>
      </c>
      <c r="I7178">
        <v>-47.501449999999998</v>
      </c>
      <c r="J7178">
        <v>-212.83070000000001</v>
      </c>
      <c r="K7178">
        <v>1.125899</v>
      </c>
      <c r="L7178">
        <v>-63.84348</v>
      </c>
      <c r="M7178">
        <v>0.9989576</v>
      </c>
      <c r="N7178">
        <v>-1.170351E-2</v>
      </c>
      <c r="O7178">
        <v>4.4121569999999999E-2</v>
      </c>
      <c r="P7178">
        <v>0.9809234</v>
      </c>
      <c r="Q7178">
        <v>0.18519840000000001</v>
      </c>
      <c r="R7178">
        <v>5.908559E-2</v>
      </c>
      <c r="S7178">
        <v>3.0202179999999998</v>
      </c>
      <c r="T7178">
        <v>-6.1665419999999999E-2</v>
      </c>
      <c r="U7178">
        <v>0.85757450000000002</v>
      </c>
      <c r="V7178">
        <v>-1.789114E-2</v>
      </c>
      <c r="W7178">
        <v>0.1965015</v>
      </c>
      <c r="X7178">
        <v>0.98034030000000005</v>
      </c>
      <c r="Y7178">
        <v>-0.23036409999999999</v>
      </c>
      <c r="Z7178">
        <v>3.3059059999999999E-3</v>
      </c>
      <c r="AA7178">
        <v>0.97309889999999999</v>
      </c>
      <c r="AB7178">
        <v>33</v>
      </c>
      <c r="AC7178">
        <v>57.426699999999997</v>
      </c>
      <c r="AD7178">
        <v>-1.175899</v>
      </c>
      <c r="AE7178">
        <v>16.342030000000001</v>
      </c>
      <c r="AF7178">
        <v>-13.7868361057147</v>
      </c>
      <c r="AG7178">
        <v>-1.175899</v>
      </c>
      <c r="AH7178">
        <v>58.069330105097698</v>
      </c>
      <c r="AI7178">
        <v>91.128708913596995</v>
      </c>
      <c r="AJ7178">
        <v>103.35589415956601</v>
      </c>
      <c r="AK7178">
        <v>59.695114432580297</v>
      </c>
      <c r="AL7178">
        <v>78.667549802261803</v>
      </c>
      <c r="AM7178">
        <v>91.045527793072395</v>
      </c>
      <c r="AN7178">
        <v>1.0000000180984101</v>
      </c>
    </row>
    <row r="7179" spans="1:40" x14ac:dyDescent="0.25">
      <c r="A7179" t="str">
        <f>"20190303170428539"</f>
        <v>20190303170428539</v>
      </c>
      <c r="B7179" t="str">
        <f>"1551603868532633"</f>
        <v>1551603868532633</v>
      </c>
      <c r="C7179" t="s">
        <v>40</v>
      </c>
      <c r="D7179">
        <v>4.7669509999999997</v>
      </c>
      <c r="E7179">
        <v>0.3897603</v>
      </c>
      <c r="F7179" t="s">
        <v>55</v>
      </c>
      <c r="G7179">
        <v>-157.3501</v>
      </c>
      <c r="H7179">
        <v>1.337977</v>
      </c>
      <c r="I7179">
        <v>-44.753129999999999</v>
      </c>
      <c r="J7179">
        <v>-212.67060000000001</v>
      </c>
      <c r="K7179">
        <v>1.12605</v>
      </c>
      <c r="L7179">
        <v>-63.83408</v>
      </c>
      <c r="M7179">
        <v>0.99882979999999999</v>
      </c>
      <c r="N7179">
        <v>-1.174827E-2</v>
      </c>
      <c r="O7179">
        <v>4.6915150000000003E-2</v>
      </c>
      <c r="P7179">
        <v>0.98056909999999997</v>
      </c>
      <c r="Q7179">
        <v>0.18603919999999999</v>
      </c>
      <c r="R7179">
        <v>6.2239070000000001E-2</v>
      </c>
      <c r="S7179">
        <v>2.99411</v>
      </c>
      <c r="T7179">
        <v>1.1444090000000001E-2</v>
      </c>
      <c r="U7179">
        <v>1.030243</v>
      </c>
      <c r="V7179">
        <v>-1.838944E-2</v>
      </c>
      <c r="W7179">
        <v>0.1973733</v>
      </c>
      <c r="X7179">
        <v>0.98015589999999997</v>
      </c>
      <c r="Y7179">
        <v>-0.28065220000000002</v>
      </c>
      <c r="Z7179">
        <v>1.884337E-3</v>
      </c>
      <c r="AA7179">
        <v>0.95980770000000004</v>
      </c>
      <c r="AB7179">
        <v>33</v>
      </c>
      <c r="AC7179">
        <v>55.320500000000003</v>
      </c>
      <c r="AD7179">
        <v>0.211927</v>
      </c>
      <c r="AE7179">
        <v>19.080950000000001</v>
      </c>
      <c r="AF7179">
        <v>-16.4641720582927</v>
      </c>
      <c r="AG7179">
        <v>0.211927</v>
      </c>
      <c r="AH7179">
        <v>56.154087894363499</v>
      </c>
      <c r="AI7179">
        <v>89.792500088550398</v>
      </c>
      <c r="AJ7179">
        <v>106.34094307820401</v>
      </c>
      <c r="AK7179">
        <v>58.518334407827297</v>
      </c>
      <c r="AL7179">
        <v>78.616601246170305</v>
      </c>
      <c r="AM7179">
        <v>91.074842989558903</v>
      </c>
      <c r="AN7179">
        <v>0.99999998968060599</v>
      </c>
    </row>
    <row r="7180" spans="1:40" x14ac:dyDescent="0.25">
      <c r="A7180" t="str">
        <f>"20190303170428549"</f>
        <v>20190303170428549</v>
      </c>
      <c r="B7180" t="str">
        <f>"1551603868542393"</f>
        <v>1551603868542393</v>
      </c>
      <c r="C7180" t="s">
        <v>40</v>
      </c>
      <c r="D7180">
        <v>4.764316</v>
      </c>
      <c r="E7180">
        <v>0.3897603</v>
      </c>
      <c r="F7180" t="s">
        <v>55</v>
      </c>
      <c r="G7180">
        <v>-157.3501</v>
      </c>
      <c r="H7180">
        <v>1.7913269999999999</v>
      </c>
      <c r="I7180">
        <v>-43.412779999999998</v>
      </c>
      <c r="J7180">
        <v>-212.50729999999999</v>
      </c>
      <c r="K7180">
        <v>1.1262019999999999</v>
      </c>
      <c r="L7180">
        <v>-63.823880000000003</v>
      </c>
      <c r="M7180">
        <v>0.99868749999999995</v>
      </c>
      <c r="N7180">
        <v>-1.179442E-2</v>
      </c>
      <c r="O7180">
        <v>4.9840839999999997E-2</v>
      </c>
      <c r="P7180">
        <v>0.98024270000000002</v>
      </c>
      <c r="Q7180">
        <v>0.1866189</v>
      </c>
      <c r="R7180">
        <v>6.5555509999999997E-2</v>
      </c>
      <c r="S7180">
        <v>2.9827729999999999</v>
      </c>
      <c r="T7180">
        <v>3.5869239999999997E-2</v>
      </c>
      <c r="U7180">
        <v>1.1010740000000001</v>
      </c>
      <c r="V7180">
        <v>-1.8915660000000001E-2</v>
      </c>
      <c r="W7180">
        <v>0.1979852</v>
      </c>
      <c r="X7180">
        <v>0.98002250000000002</v>
      </c>
      <c r="Y7180">
        <v>-0.29912559999999999</v>
      </c>
      <c r="Z7180">
        <v>1.2286300000000001E-3</v>
      </c>
      <c r="AA7180">
        <v>0.95421299999999998</v>
      </c>
      <c r="AB7180">
        <v>33</v>
      </c>
      <c r="AC7180">
        <v>55.157199999999897</v>
      </c>
      <c r="AD7180">
        <v>0.66512499999999997</v>
      </c>
      <c r="AE7180">
        <v>20.411100000000001</v>
      </c>
      <c r="AF7180">
        <v>-17.634201124671002</v>
      </c>
      <c r="AG7180">
        <v>0.66512499999999997</v>
      </c>
      <c r="AH7180">
        <v>56.098841814495103</v>
      </c>
      <c r="AI7180">
        <v>89.351974555274694</v>
      </c>
      <c r="AJ7180">
        <v>107.450103873598</v>
      </c>
      <c r="AK7180">
        <v>58.808906583090902</v>
      </c>
      <c r="AL7180">
        <v>78.580836560394999</v>
      </c>
      <c r="AM7180">
        <v>91.105742909648001</v>
      </c>
      <c r="AN7180">
        <v>1.0000000210592599</v>
      </c>
    </row>
    <row r="7181" spans="1:40" x14ac:dyDescent="0.25">
      <c r="A7181" t="str">
        <f>"20190303170428561"</f>
        <v>20190303170428561</v>
      </c>
      <c r="B7181" t="str">
        <f>"1551603868553129"</f>
        <v>1551603868553129</v>
      </c>
      <c r="C7181" t="s">
        <v>40</v>
      </c>
      <c r="D7181">
        <v>4.7931809999999997</v>
      </c>
      <c r="E7181">
        <v>0.34520830000000002</v>
      </c>
      <c r="F7181" t="s">
        <v>55</v>
      </c>
      <c r="G7181">
        <v>-157.3501</v>
      </c>
      <c r="H7181">
        <v>1.8250040000000001</v>
      </c>
      <c r="I7181">
        <v>-43.248840000000001</v>
      </c>
      <c r="J7181">
        <v>-212.34129999999999</v>
      </c>
      <c r="K7181">
        <v>1.1263510000000001</v>
      </c>
      <c r="L7181">
        <v>-63.812959999999997</v>
      </c>
      <c r="M7181">
        <v>0.99853029999999998</v>
      </c>
      <c r="N7181">
        <v>-1.184061E-2</v>
      </c>
      <c r="O7181">
        <v>5.2887499999999997E-2</v>
      </c>
      <c r="P7181">
        <v>0.97990980000000005</v>
      </c>
      <c r="Q7181">
        <v>0.1873958</v>
      </c>
      <c r="R7181">
        <v>6.8261810000000006E-2</v>
      </c>
      <c r="S7181">
        <v>2.9789889999999999</v>
      </c>
      <c r="T7181">
        <v>3.7740469999999998E-2</v>
      </c>
      <c r="U7181">
        <v>1.111237</v>
      </c>
      <c r="V7181">
        <v>-1.8716699999999999E-2</v>
      </c>
      <c r="W7181">
        <v>0.19880220000000001</v>
      </c>
      <c r="X7181">
        <v>0.97986090000000003</v>
      </c>
      <c r="Y7181">
        <v>-0.2994694</v>
      </c>
      <c r="Z7181">
        <v>1.2495869999999999E-3</v>
      </c>
      <c r="AA7181">
        <v>0.95410510000000004</v>
      </c>
      <c r="AB7181">
        <v>33</v>
      </c>
      <c r="AC7181">
        <v>54.9911999999999</v>
      </c>
      <c r="AD7181">
        <v>0.69865299999999997</v>
      </c>
      <c r="AE7181">
        <v>20.564119999999999</v>
      </c>
      <c r="AF7181">
        <v>-17.624289316325701</v>
      </c>
      <c r="AG7181">
        <v>0.69865299999999997</v>
      </c>
      <c r="AH7181">
        <v>55.993959586784896</v>
      </c>
      <c r="AI7181">
        <v>89.3181170080436</v>
      </c>
      <c r="AJ7181">
        <v>107.471572833073</v>
      </c>
      <c r="AK7181">
        <v>58.706279051958902</v>
      </c>
      <c r="AL7181">
        <v>78.533076384638903</v>
      </c>
      <c r="AM7181">
        <v>91.094295649620506</v>
      </c>
      <c r="AN7181">
        <v>1.00000000646627</v>
      </c>
    </row>
    <row r="7182" spans="1:40" x14ac:dyDescent="0.25">
      <c r="A7182" t="str">
        <f>"20190303170428571"</f>
        <v>20190303170428571</v>
      </c>
      <c r="B7182" t="str">
        <f>"1551603868562889"</f>
        <v>1551603868562889</v>
      </c>
      <c r="C7182" t="s">
        <v>40</v>
      </c>
      <c r="D7182">
        <v>4.7532629999999996</v>
      </c>
      <c r="E7182">
        <v>0.34561579999999997</v>
      </c>
      <c r="F7182" t="s">
        <v>45</v>
      </c>
      <c r="G7182">
        <v>-177.54920000000001</v>
      </c>
      <c r="H7182">
        <v>3.3544200000000002</v>
      </c>
      <c r="I7182">
        <v>-46.389690000000002</v>
      </c>
      <c r="J7182">
        <v>-212.18270000000001</v>
      </c>
      <c r="K7182">
        <v>1.1264829999999999</v>
      </c>
      <c r="L7182">
        <v>-63.802149999999997</v>
      </c>
      <c r="M7182">
        <v>0.99836860000000005</v>
      </c>
      <c r="N7182">
        <v>-1.1883960000000001E-2</v>
      </c>
      <c r="O7182">
        <v>5.5848460000000003E-2</v>
      </c>
      <c r="P7182">
        <v>0.97958400000000001</v>
      </c>
      <c r="Q7182">
        <v>0.18819130000000001</v>
      </c>
      <c r="R7182">
        <v>7.0704580000000003E-2</v>
      </c>
      <c r="S7182">
        <v>2.9237060000000001</v>
      </c>
      <c r="T7182">
        <v>0.18723300000000001</v>
      </c>
      <c r="U7182">
        <v>1.4641420000000001</v>
      </c>
      <c r="V7182">
        <v>-1.833506E-2</v>
      </c>
      <c r="W7182">
        <v>0.19963810000000001</v>
      </c>
      <c r="X7182">
        <v>0.97969810000000002</v>
      </c>
      <c r="Y7182">
        <v>-0.39675729999999998</v>
      </c>
      <c r="Z7182">
        <v>-5.5030280000000001E-3</v>
      </c>
      <c r="AA7182">
        <v>0.91790709999999998</v>
      </c>
      <c r="AB7182">
        <v>33</v>
      </c>
      <c r="AC7182">
        <v>34.633499999999998</v>
      </c>
      <c r="AD7182">
        <v>2.2279369999999998</v>
      </c>
      <c r="AE7182">
        <v>17.4124599999999</v>
      </c>
      <c r="AF7182">
        <v>-15.4000454976167</v>
      </c>
      <c r="AG7182">
        <v>2.2279369999999998</v>
      </c>
      <c r="AH7182">
        <v>35.4349157034397</v>
      </c>
      <c r="AI7182">
        <v>86.699765221803403</v>
      </c>
      <c r="AJ7182">
        <v>113.48980811062199</v>
      </c>
      <c r="AK7182">
        <v>38.700883136105702</v>
      </c>
      <c r="AL7182">
        <v>78.484202579879494</v>
      </c>
      <c r="AM7182">
        <v>91.072165937580493</v>
      </c>
      <c r="AN7182">
        <v>0.99999995627020999</v>
      </c>
    </row>
    <row r="7183" spans="1:40" x14ac:dyDescent="0.25">
      <c r="A7183" t="str">
        <f>"20190303170428584"</f>
        <v>20190303170428584</v>
      </c>
      <c r="B7183" t="str">
        <f>"1551603868572650"</f>
        <v>1551603868572650</v>
      </c>
      <c r="C7183" t="s">
        <v>40</v>
      </c>
      <c r="D7183">
        <v>4.768713</v>
      </c>
      <c r="E7183">
        <v>0.34637449999999997</v>
      </c>
      <c r="F7183" t="s">
        <v>45</v>
      </c>
      <c r="G7183">
        <v>-177.55109999999999</v>
      </c>
      <c r="H7183">
        <v>3.3346789999999999</v>
      </c>
      <c r="I7183">
        <v>-46.38879</v>
      </c>
      <c r="J7183">
        <v>-212.0121</v>
      </c>
      <c r="K7183">
        <v>1.1266240000000001</v>
      </c>
      <c r="L7183">
        <v>-63.789670000000001</v>
      </c>
      <c r="M7183">
        <v>0.99817869999999997</v>
      </c>
      <c r="N7183">
        <v>-1.192934E-2</v>
      </c>
      <c r="O7183">
        <v>5.9135739999999999E-2</v>
      </c>
      <c r="P7183">
        <v>0.97933950000000003</v>
      </c>
      <c r="Q7183">
        <v>0.18829969999999999</v>
      </c>
      <c r="R7183">
        <v>7.374058E-2</v>
      </c>
      <c r="S7183">
        <v>2.9207459999999998</v>
      </c>
      <c r="T7183">
        <v>0.1862335</v>
      </c>
      <c r="U7183">
        <v>1.4685969999999999</v>
      </c>
      <c r="V7183">
        <v>-1.8216300000000001E-2</v>
      </c>
      <c r="W7183">
        <v>0.1997872</v>
      </c>
      <c r="X7183">
        <v>0.97967000000000004</v>
      </c>
      <c r="Y7183">
        <v>-0.39524019999999999</v>
      </c>
      <c r="Z7183">
        <v>-5.1801140000000004E-3</v>
      </c>
      <c r="AA7183">
        <v>0.91856320000000002</v>
      </c>
      <c r="AB7183">
        <v>33</v>
      </c>
      <c r="AC7183">
        <v>34.460999999999999</v>
      </c>
      <c r="AD7183">
        <v>2.2080549999999999</v>
      </c>
      <c r="AE7183">
        <v>17.400879999999901</v>
      </c>
      <c r="AF7183">
        <v>-15.282406994282599</v>
      </c>
      <c r="AG7183">
        <v>2.2080549999999999</v>
      </c>
      <c r="AH7183">
        <v>35.314243720295103</v>
      </c>
      <c r="AI7183">
        <v>86.715792150711493</v>
      </c>
      <c r="AJ7183">
        <v>113.40077771986201</v>
      </c>
      <c r="AK7183">
        <v>38.542486686231399</v>
      </c>
      <c r="AL7183">
        <v>78.4754850482595</v>
      </c>
      <c r="AM7183">
        <v>91.065253447896893</v>
      </c>
      <c r="AN7183">
        <v>1.0000000338847601</v>
      </c>
    </row>
    <row r="7184" spans="1:40" x14ac:dyDescent="0.25">
      <c r="A7184" t="str">
        <f>"20190303170428594"</f>
        <v>20190303170428594</v>
      </c>
      <c r="B7184" t="str">
        <f>"1551603868582409"</f>
        <v>1551603868582409</v>
      </c>
      <c r="C7184" t="s">
        <v>40</v>
      </c>
      <c r="D7184">
        <v>4.7486930000000003</v>
      </c>
      <c r="E7184">
        <v>0.34685909999999998</v>
      </c>
      <c r="F7184" t="s">
        <v>45</v>
      </c>
      <c r="G7184">
        <v>-177.5378</v>
      </c>
      <c r="H7184">
        <v>3.2929460000000002</v>
      </c>
      <c r="I7184">
        <v>-46.395189999999999</v>
      </c>
      <c r="J7184">
        <v>-211.8537</v>
      </c>
      <c r="K7184">
        <v>1.1267560000000001</v>
      </c>
      <c r="L7184">
        <v>-63.777830000000002</v>
      </c>
      <c r="M7184">
        <v>0.99799079999999996</v>
      </c>
      <c r="N7184">
        <v>-1.1970369999999999E-2</v>
      </c>
      <c r="O7184">
        <v>6.2216870000000001E-2</v>
      </c>
      <c r="P7184">
        <v>0.97920589999999996</v>
      </c>
      <c r="Q7184">
        <v>0.18788879999999999</v>
      </c>
      <c r="R7184">
        <v>7.6508889999999996E-2</v>
      </c>
      <c r="S7184">
        <v>2.9172210000000001</v>
      </c>
      <c r="T7184">
        <v>0.18331459999999999</v>
      </c>
      <c r="U7184">
        <v>1.471924</v>
      </c>
      <c r="V7184">
        <v>-1.8014019999999999E-2</v>
      </c>
      <c r="W7184">
        <v>0.1994148</v>
      </c>
      <c r="X7184">
        <v>0.9797496</v>
      </c>
      <c r="Y7184">
        <v>-0.3937079</v>
      </c>
      <c r="Z7184">
        <v>-4.7933759999999898E-3</v>
      </c>
      <c r="AA7184">
        <v>0.91922309999999996</v>
      </c>
      <c r="AB7184">
        <v>33</v>
      </c>
      <c r="AC7184">
        <v>34.315899999999999</v>
      </c>
      <c r="AD7184">
        <v>2.1661899999999998</v>
      </c>
      <c r="AE7184">
        <v>17.382639999999999</v>
      </c>
      <c r="AF7184">
        <v>-15.1656862119936</v>
      </c>
      <c r="AG7184">
        <v>2.1661899999999998</v>
      </c>
      <c r="AH7184">
        <v>35.219296153288099</v>
      </c>
      <c r="AI7184">
        <v>86.766740553913493</v>
      </c>
      <c r="AJ7184">
        <v>113.29706455508401</v>
      </c>
      <c r="AK7184">
        <v>38.4068905136795</v>
      </c>
      <c r="AL7184">
        <v>78.497260044647703</v>
      </c>
      <c r="AM7184">
        <v>91.053341624619506</v>
      </c>
      <c r="AN7184">
        <v>1.0000000230378701</v>
      </c>
    </row>
    <row r="7185" spans="1:40" x14ac:dyDescent="0.25">
      <c r="A7185" t="str">
        <f>"20190303170428606"</f>
        <v>20190303170428606</v>
      </c>
      <c r="B7185" t="str">
        <f>"1551603868593145"</f>
        <v>1551603868593145</v>
      </c>
      <c r="C7185" t="s">
        <v>40</v>
      </c>
      <c r="D7185">
        <v>4.7180210000000002</v>
      </c>
      <c r="E7185">
        <v>0.34756969999999998</v>
      </c>
      <c r="F7185" t="s">
        <v>45</v>
      </c>
      <c r="G7185">
        <v>-177.5428</v>
      </c>
      <c r="H7185">
        <v>3.233635</v>
      </c>
      <c r="I7185">
        <v>-46.392769999999999</v>
      </c>
      <c r="J7185">
        <v>-211.6832</v>
      </c>
      <c r="K7185">
        <v>1.126895</v>
      </c>
      <c r="L7185">
        <v>-63.764009999999999</v>
      </c>
      <c r="M7185">
        <v>0.99776929999999997</v>
      </c>
      <c r="N7185">
        <v>-1.2013869999999999E-2</v>
      </c>
      <c r="O7185">
        <v>6.5666870000000002E-2</v>
      </c>
      <c r="P7185">
        <v>0.97899309999999995</v>
      </c>
      <c r="Q7185">
        <v>0.18759609999999999</v>
      </c>
      <c r="R7185">
        <v>7.9878749999999998E-2</v>
      </c>
      <c r="S7185">
        <v>2.9140009999999998</v>
      </c>
      <c r="T7185">
        <v>0.17893589999999901</v>
      </c>
      <c r="U7185">
        <v>1.4765010000000001</v>
      </c>
      <c r="V7185">
        <v>-1.8059829999999999E-2</v>
      </c>
      <c r="W7185">
        <v>0.19915920000000001</v>
      </c>
      <c r="X7185">
        <v>0.97980069999999997</v>
      </c>
      <c r="Y7185">
        <v>-0.39211750000000001</v>
      </c>
      <c r="Z7185">
        <v>-4.3225520000000003E-3</v>
      </c>
      <c r="AA7185">
        <v>0.91990499999999997</v>
      </c>
      <c r="AB7185">
        <v>33</v>
      </c>
      <c r="AC7185">
        <v>34.1404</v>
      </c>
      <c r="AD7185">
        <v>2.1067399999999998</v>
      </c>
      <c r="AE7185">
        <v>17.37124</v>
      </c>
      <c r="AF7185">
        <v>-15.0461740728585</v>
      </c>
      <c r="AG7185">
        <v>2.1067399999999998</v>
      </c>
      <c r="AH7185">
        <v>35.101323958391703</v>
      </c>
      <c r="AI7185">
        <v>86.842511007736107</v>
      </c>
      <c r="AJ7185">
        <v>113.202382018973</v>
      </c>
      <c r="AK7185">
        <v>38.248250303645598</v>
      </c>
      <c r="AL7185">
        <v>78.512204092540102</v>
      </c>
      <c r="AM7185">
        <v>91.055964624232999</v>
      </c>
      <c r="AN7185">
        <v>0.99999997806237895</v>
      </c>
    </row>
    <row r="7186" spans="1:40" x14ac:dyDescent="0.25">
      <c r="A7186" t="str">
        <f>"20190303170428617"</f>
        <v>20190303170428617</v>
      </c>
      <c r="B7186" t="str">
        <f>"1551603868612990"</f>
        <v>1551603868612990</v>
      </c>
      <c r="C7186" t="s">
        <v>40</v>
      </c>
      <c r="D7186">
        <v>4.7153390000000002</v>
      </c>
      <c r="E7186">
        <v>0.34830499999999998</v>
      </c>
      <c r="F7186" t="s">
        <v>45</v>
      </c>
      <c r="G7186">
        <v>-177.5462</v>
      </c>
      <c r="H7186">
        <v>3.1676920000000002</v>
      </c>
      <c r="I7186">
        <v>-46.39114</v>
      </c>
      <c r="J7186">
        <v>-211.5138</v>
      </c>
      <c r="K7186">
        <v>1.1270309999999999</v>
      </c>
      <c r="L7186">
        <v>-63.750030000000002</v>
      </c>
      <c r="M7186">
        <v>0.9975349</v>
      </c>
      <c r="N7186">
        <v>-1.205612E-2</v>
      </c>
      <c r="O7186">
        <v>6.9130189999999994E-2</v>
      </c>
      <c r="P7186">
        <v>0.97871940000000002</v>
      </c>
      <c r="Q7186">
        <v>0.18754419999999999</v>
      </c>
      <c r="R7186">
        <v>8.3281939999999999E-2</v>
      </c>
      <c r="S7186">
        <v>2.910202</v>
      </c>
      <c r="T7186">
        <v>0.173979299999999</v>
      </c>
      <c r="U7186">
        <v>1.4810490000000001</v>
      </c>
      <c r="V7186">
        <v>-1.8132769999999999E-2</v>
      </c>
      <c r="W7186">
        <v>0.19914280000000001</v>
      </c>
      <c r="X7186">
        <v>0.97980270000000003</v>
      </c>
      <c r="Y7186">
        <v>-0.39058100000000001</v>
      </c>
      <c r="Z7186">
        <v>-3.8412339999999998E-3</v>
      </c>
      <c r="AA7186">
        <v>0.9205605</v>
      </c>
      <c r="AB7186">
        <v>33</v>
      </c>
      <c r="AC7186">
        <v>33.967599999999997</v>
      </c>
      <c r="AD7186">
        <v>2.0406610000000001</v>
      </c>
      <c r="AE7186">
        <v>17.358889999999999</v>
      </c>
      <c r="AF7186">
        <v>-14.9262821681831</v>
      </c>
      <c r="AG7186">
        <v>2.0406610000000001</v>
      </c>
      <c r="AH7186">
        <v>34.986312096274503</v>
      </c>
      <c r="AI7186">
        <v>86.929085613214397</v>
      </c>
      <c r="AJ7186">
        <v>113.104649067964</v>
      </c>
      <c r="AK7186">
        <v>38.0919969387149</v>
      </c>
      <c r="AL7186">
        <v>78.513163107252097</v>
      </c>
      <c r="AM7186">
        <v>91.060226316524407</v>
      </c>
      <c r="AN7186">
        <v>0.99999999153350105</v>
      </c>
    </row>
    <row r="7187" spans="1:40" x14ac:dyDescent="0.25">
      <c r="A7187" t="str">
        <f>"20190303170428627"</f>
        <v>20190303170428627</v>
      </c>
      <c r="B7187" t="str">
        <f>"1551603868622750"</f>
        <v>1551603868622750</v>
      </c>
      <c r="C7187" t="s">
        <v>40</v>
      </c>
      <c r="D7187">
        <v>4.7181300000000004</v>
      </c>
      <c r="E7187">
        <v>0.34862690000000002</v>
      </c>
      <c r="F7187" t="s">
        <v>45</v>
      </c>
      <c r="G7187">
        <v>-177.54990000000001</v>
      </c>
      <c r="H7187">
        <v>3.1053289999999998</v>
      </c>
      <c r="I7187">
        <v>-46.389339999999997</v>
      </c>
      <c r="J7187">
        <v>-211.34909999999999</v>
      </c>
      <c r="K7187">
        <v>1.1271719999999901</v>
      </c>
      <c r="L7187">
        <v>-63.735500000000002</v>
      </c>
      <c r="M7187">
        <v>0.99728700000000003</v>
      </c>
      <c r="N7187">
        <v>-1.209675E-2</v>
      </c>
      <c r="O7187">
        <v>7.2609629999999994E-2</v>
      </c>
      <c r="P7187">
        <v>0.97839469999999995</v>
      </c>
      <c r="Q7187">
        <v>0.1875608</v>
      </c>
      <c r="R7187">
        <v>8.6976769999999995E-2</v>
      </c>
      <c r="S7187">
        <v>2.9063720000000002</v>
      </c>
      <c r="T7187">
        <v>0.16928770000000001</v>
      </c>
      <c r="U7187">
        <v>1.4855959999999999</v>
      </c>
      <c r="V7187">
        <v>-1.8482999999999999E-2</v>
      </c>
      <c r="W7187">
        <v>0.19918910000000001</v>
      </c>
      <c r="X7187">
        <v>0.97978679999999996</v>
      </c>
      <c r="Y7187">
        <v>-0.38903019999999999</v>
      </c>
      <c r="Z7187">
        <v>-3.3821390000000002E-3</v>
      </c>
      <c r="AA7187">
        <v>0.9212188</v>
      </c>
      <c r="AB7187">
        <v>33</v>
      </c>
      <c r="AC7187">
        <v>33.7991999999999</v>
      </c>
      <c r="AD7187">
        <v>1.9781569999999999</v>
      </c>
      <c r="AE7187">
        <v>17.346159999999902</v>
      </c>
      <c r="AF7187">
        <v>-14.805897087114699</v>
      </c>
      <c r="AG7187">
        <v>1.9781569999999999</v>
      </c>
      <c r="AH7187">
        <v>34.875006843733999</v>
      </c>
      <c r="AI7187">
        <v>87.011243386823494</v>
      </c>
      <c r="AJ7187">
        <v>113.00325035465001</v>
      </c>
      <c r="AK7187">
        <v>37.939343642469296</v>
      </c>
      <c r="AL7187">
        <v>78.510456715517904</v>
      </c>
      <c r="AM7187">
        <v>91.080717050360093</v>
      </c>
      <c r="AN7187">
        <v>1.0000000461510199</v>
      </c>
    </row>
    <row r="7188" spans="1:40" x14ac:dyDescent="0.25">
      <c r="A7188" t="str">
        <f>"20190303170428639"</f>
        <v>20190303170428639</v>
      </c>
      <c r="B7188" t="str">
        <f>"1551603868632510"</f>
        <v>1551603868632510</v>
      </c>
      <c r="C7188" t="s">
        <v>40</v>
      </c>
      <c r="D7188">
        <v>4.7550290000000004</v>
      </c>
      <c r="E7188">
        <v>0.34907929999999998</v>
      </c>
      <c r="F7188" t="s">
        <v>45</v>
      </c>
      <c r="G7188">
        <v>-177.58959999999999</v>
      </c>
      <c r="H7188">
        <v>3.0836039999999998</v>
      </c>
      <c r="I7188">
        <v>-46.347900000000003</v>
      </c>
      <c r="J7188">
        <v>-211.18799999999999</v>
      </c>
      <c r="K7188">
        <v>1.1273059999999999</v>
      </c>
      <c r="L7188">
        <v>-63.720889999999997</v>
      </c>
      <c r="M7188">
        <v>0.9970289</v>
      </c>
      <c r="N7188">
        <v>-1.213566E-2</v>
      </c>
      <c r="O7188">
        <v>7.606599E-2</v>
      </c>
      <c r="P7188">
        <v>0.97802069999999997</v>
      </c>
      <c r="Q7188">
        <v>0.18796959999999999</v>
      </c>
      <c r="R7188">
        <v>9.0237830000000005E-2</v>
      </c>
      <c r="S7188">
        <v>2.9011840000000002</v>
      </c>
      <c r="T7188">
        <v>0.16812929999999901</v>
      </c>
      <c r="U7188">
        <v>1.494232</v>
      </c>
      <c r="V7188">
        <v>-1.8431320000000001E-2</v>
      </c>
      <c r="W7188">
        <v>0.19963059999999999</v>
      </c>
      <c r="X7188">
        <v>0.97969790000000001</v>
      </c>
      <c r="Y7188">
        <v>-0.38868659999999999</v>
      </c>
      <c r="Z7188">
        <v>-3.0974739999999998E-3</v>
      </c>
      <c r="AA7188">
        <v>0.92136479999999998</v>
      </c>
      <c r="AB7188">
        <v>33</v>
      </c>
      <c r="AC7188">
        <v>33.598399999999998</v>
      </c>
      <c r="AD7188">
        <v>1.9562980000000001</v>
      </c>
      <c r="AE7188">
        <v>17.372989999999898</v>
      </c>
      <c r="AF7188">
        <v>-14.7273692055005</v>
      </c>
      <c r="AG7188">
        <v>1.9562980000000001</v>
      </c>
      <c r="AH7188">
        <v>34.729731648504803</v>
      </c>
      <c r="AI7188">
        <v>87.031351748261997</v>
      </c>
      <c r="AJ7188">
        <v>112.97968942606001</v>
      </c>
      <c r="AK7188">
        <v>37.774022369309399</v>
      </c>
      <c r="AL7188">
        <v>78.484642017422402</v>
      </c>
      <c r="AM7188">
        <v>91.077793759077807</v>
      </c>
      <c r="AN7188">
        <v>1.0000000326388501</v>
      </c>
    </row>
    <row r="7189" spans="1:40" x14ac:dyDescent="0.25">
      <c r="A7189" t="str">
        <f>"20190303170428650"</f>
        <v>20190303170428650</v>
      </c>
      <c r="B7189" t="str">
        <f>"1551603868642270"</f>
        <v>1551603868642270</v>
      </c>
      <c r="C7189" t="s">
        <v>40</v>
      </c>
      <c r="D7189">
        <v>4.7569039999999996</v>
      </c>
      <c r="E7189">
        <v>0.34945959999999998</v>
      </c>
      <c r="F7189" t="s">
        <v>45</v>
      </c>
      <c r="G7189">
        <v>-177.5966</v>
      </c>
      <c r="H7189">
        <v>3.0820989999999999</v>
      </c>
      <c r="I7189">
        <v>-46.317129999999999</v>
      </c>
      <c r="J7189">
        <v>-211.02459999999999</v>
      </c>
      <c r="K7189">
        <v>1.127445</v>
      </c>
      <c r="L7189">
        <v>-63.705319999999901</v>
      </c>
      <c r="M7189">
        <v>0.99674890000000005</v>
      </c>
      <c r="N7189">
        <v>-1.217437E-2</v>
      </c>
      <c r="O7189">
        <v>7.9647720000000005E-2</v>
      </c>
      <c r="P7189">
        <v>0.97767850000000001</v>
      </c>
      <c r="Q7189">
        <v>0.1880686</v>
      </c>
      <c r="R7189">
        <v>9.3676819999999994E-2</v>
      </c>
      <c r="S7189">
        <v>2.8965450000000001</v>
      </c>
      <c r="T7189">
        <v>0.16855919999999999</v>
      </c>
      <c r="U7189">
        <v>1.500702</v>
      </c>
      <c r="V7189">
        <v>-1.8427079999999998E-2</v>
      </c>
      <c r="W7189">
        <v>0.199762</v>
      </c>
      <c r="X7189">
        <v>0.97967119999999996</v>
      </c>
      <c r="Y7189">
        <v>-0.38760719999999999</v>
      </c>
      <c r="Z7189">
        <v>-2.8507910000000001E-3</v>
      </c>
      <c r="AA7189">
        <v>0.92182019999999998</v>
      </c>
      <c r="AB7189">
        <v>33</v>
      </c>
      <c r="AC7189">
        <v>33.427999999999997</v>
      </c>
      <c r="AD7189">
        <v>1.9546539999999999</v>
      </c>
      <c r="AE7189">
        <v>17.388189999999899</v>
      </c>
      <c r="AF7189">
        <v>-14.630907746517201</v>
      </c>
      <c r="AG7189">
        <v>1.9546539999999999</v>
      </c>
      <c r="AH7189">
        <v>34.613671631396898</v>
      </c>
      <c r="AI7189">
        <v>87.022458186202996</v>
      </c>
      <c r="AJ7189">
        <v>112.91337153811401</v>
      </c>
      <c r="AK7189">
        <v>37.629647853161998</v>
      </c>
      <c r="AL7189">
        <v>78.476958642575298</v>
      </c>
      <c r="AM7189">
        <v>91.0775752389643</v>
      </c>
      <c r="AN7189">
        <v>1.0000000370153801</v>
      </c>
    </row>
    <row r="7190" spans="1:40" x14ac:dyDescent="0.25">
      <c r="A7190" t="str">
        <f>"20190303170428661"</f>
        <v>20190303170428661</v>
      </c>
      <c r="B7190" t="str">
        <f>"1551603868653006"</f>
        <v>1551603868653006</v>
      </c>
      <c r="C7190" t="s">
        <v>40</v>
      </c>
      <c r="D7190">
        <v>4.704923</v>
      </c>
      <c r="E7190">
        <v>0.34975240000000002</v>
      </c>
      <c r="F7190" t="s">
        <v>45</v>
      </c>
      <c r="G7190">
        <v>-177.60570000000001</v>
      </c>
      <c r="H7190">
        <v>3.063275</v>
      </c>
      <c r="I7190">
        <v>-46.277239999999999</v>
      </c>
      <c r="J7190">
        <v>-210.863</v>
      </c>
      <c r="K7190">
        <v>1.127578</v>
      </c>
      <c r="L7190">
        <v>-63.689210000000003</v>
      </c>
      <c r="M7190">
        <v>0.99645189999999995</v>
      </c>
      <c r="N7190">
        <v>-1.2211680000000001E-2</v>
      </c>
      <c r="O7190">
        <v>8.3274550000000003E-2</v>
      </c>
      <c r="P7190">
        <v>0.97732819999999998</v>
      </c>
      <c r="Q7190">
        <v>0.18825069999999999</v>
      </c>
      <c r="R7190">
        <v>9.6908850000000005E-2</v>
      </c>
      <c r="S7190">
        <v>2.8917540000000002</v>
      </c>
      <c r="T7190">
        <v>0.16750789999999999</v>
      </c>
      <c r="U7190">
        <v>1.508057</v>
      </c>
      <c r="V7190">
        <v>-1.8172600000000001E-2</v>
      </c>
      <c r="W7190">
        <v>0.1999792</v>
      </c>
      <c r="X7190">
        <v>0.97963160000000005</v>
      </c>
      <c r="Y7190">
        <v>-0.3867334</v>
      </c>
      <c r="Z7190">
        <v>-2.5509349999999998E-3</v>
      </c>
      <c r="AA7190">
        <v>0.92218800000000001</v>
      </c>
      <c r="AB7190">
        <v>33</v>
      </c>
      <c r="AC7190">
        <v>33.257299999999901</v>
      </c>
      <c r="AD7190">
        <v>1.935697</v>
      </c>
      <c r="AE7190">
        <v>17.411969999999901</v>
      </c>
      <c r="AF7190">
        <v>-14.543121952539799</v>
      </c>
      <c r="AG7190">
        <v>1.935697</v>
      </c>
      <c r="AH7190">
        <v>34.500119458518299</v>
      </c>
      <c r="AI7190">
        <v>87.040375809896403</v>
      </c>
      <c r="AJ7190">
        <v>112.85728678836</v>
      </c>
      <c r="AK7190">
        <v>37.490099515129202</v>
      </c>
      <c r="AL7190">
        <v>78.464257265492506</v>
      </c>
      <c r="AM7190">
        <v>91.062740191006</v>
      </c>
      <c r="AN7190">
        <v>0.99999999777098003</v>
      </c>
    </row>
    <row r="7191" spans="1:40" x14ac:dyDescent="0.25">
      <c r="A7191" t="str">
        <f>"20190303170428673"</f>
        <v>20190303170428673</v>
      </c>
      <c r="B7191" t="str">
        <f>"1551603868662767"</f>
        <v>1551603868662767</v>
      </c>
      <c r="C7191" t="s">
        <v>40</v>
      </c>
      <c r="D7191">
        <v>4.7537190000000002</v>
      </c>
      <c r="E7191">
        <v>0.35002820000000001</v>
      </c>
      <c r="F7191" t="s">
        <v>45</v>
      </c>
      <c r="G7191">
        <v>-177.55279999999999</v>
      </c>
      <c r="H7191">
        <v>3.053283</v>
      </c>
      <c r="I7191">
        <v>-46.205579999999998</v>
      </c>
      <c r="J7191">
        <v>-210.6918</v>
      </c>
      <c r="K7191">
        <v>1.1277189999999999</v>
      </c>
      <c r="L7191">
        <v>-63.671660000000003</v>
      </c>
      <c r="M7191">
        <v>0.99611769999999999</v>
      </c>
      <c r="N7191">
        <v>-1.2249980000000001E-2</v>
      </c>
      <c r="O7191">
        <v>8.7174329999999994E-2</v>
      </c>
      <c r="P7191">
        <v>0.97700410000000004</v>
      </c>
      <c r="Q7191">
        <v>0.18797849999999999</v>
      </c>
      <c r="R7191">
        <v>0.1006338</v>
      </c>
      <c r="S7191">
        <v>2.8871920000000002</v>
      </c>
      <c r="T7191">
        <v>0.16691239999999999</v>
      </c>
      <c r="U7191">
        <v>1.5154110000000001</v>
      </c>
      <c r="V7191">
        <v>-1.8135189999999999E-2</v>
      </c>
      <c r="W7191">
        <v>0.19974049999999999</v>
      </c>
      <c r="X7191">
        <v>0.97968100000000002</v>
      </c>
      <c r="Y7191">
        <v>-0.38557580000000002</v>
      </c>
      <c r="Z7191">
        <v>-2.2447230000000001E-3</v>
      </c>
      <c r="AA7191">
        <v>0.92267339999999998</v>
      </c>
      <c r="AB7191">
        <v>33</v>
      </c>
      <c r="AC7191">
        <v>33.139000000000003</v>
      </c>
      <c r="AD7191">
        <v>1.9255640000000001</v>
      </c>
      <c r="AE7191">
        <v>17.466079999999899</v>
      </c>
      <c r="AF7191">
        <v>-14.472251112836499</v>
      </c>
      <c r="AG7191">
        <v>1.9255640000000001</v>
      </c>
      <c r="AH7191">
        <v>34.444519357198203</v>
      </c>
      <c r="AI7191">
        <v>87.0496478079924</v>
      </c>
      <c r="AJ7191">
        <v>112.790257161477</v>
      </c>
      <c r="AK7191">
        <v>37.410944424586503</v>
      </c>
      <c r="AL7191">
        <v>78.478215489211095</v>
      </c>
      <c r="AM7191">
        <v>91.060499475216801</v>
      </c>
      <c r="AN7191">
        <v>1.00000000710879</v>
      </c>
    </row>
    <row r="7192" spans="1:40" x14ac:dyDescent="0.25">
      <c r="A7192" t="str">
        <f>"20190303170428685"</f>
        <v>20190303170428685</v>
      </c>
      <c r="B7192" t="str">
        <f>"1551603868672526"</f>
        <v>1551603868672526</v>
      </c>
      <c r="C7192" t="s">
        <v>40</v>
      </c>
      <c r="D7192">
        <v>4.7486769999999998</v>
      </c>
      <c r="E7192">
        <v>0.35032439999999998</v>
      </c>
      <c r="F7192" t="s">
        <v>55</v>
      </c>
      <c r="G7192">
        <v>-167.10849999999999</v>
      </c>
      <c r="H7192">
        <v>3.6239140000000001</v>
      </c>
      <c r="I7192">
        <v>-40.619770000000003</v>
      </c>
      <c r="J7192">
        <v>-210.5266</v>
      </c>
      <c r="K7192">
        <v>1.127858</v>
      </c>
      <c r="L7192">
        <v>-63.653689999999997</v>
      </c>
      <c r="M7192">
        <v>0.99576909999999996</v>
      </c>
      <c r="N7192">
        <v>-1.228666E-2</v>
      </c>
      <c r="O7192">
        <v>9.1066759999999997E-2</v>
      </c>
      <c r="P7192">
        <v>0.97671770000000002</v>
      </c>
      <c r="Q7192">
        <v>0.18730540000000001</v>
      </c>
      <c r="R7192">
        <v>0.1045915</v>
      </c>
      <c r="S7192">
        <v>2.881866</v>
      </c>
      <c r="T7192">
        <v>0.1650547</v>
      </c>
      <c r="U7192">
        <v>1.5242610000000001</v>
      </c>
      <c r="V7192">
        <v>-1.8323570000000001E-2</v>
      </c>
      <c r="W7192">
        <v>0.19909650000000001</v>
      </c>
      <c r="X7192">
        <v>0.97980860000000003</v>
      </c>
      <c r="Y7192">
        <v>-0.384903</v>
      </c>
      <c r="Z7192">
        <v>-1.9093179999999999E-3</v>
      </c>
      <c r="AA7192">
        <v>0.92295510000000003</v>
      </c>
      <c r="AB7192">
        <v>33</v>
      </c>
      <c r="AC7192">
        <v>43.418100000000003</v>
      </c>
      <c r="AD7192">
        <v>2.4960559999999998</v>
      </c>
      <c r="AE7192">
        <v>23.033919999999998</v>
      </c>
      <c r="AF7192">
        <v>-18.935115598557701</v>
      </c>
      <c r="AG7192">
        <v>2.4960559999999998</v>
      </c>
      <c r="AH7192">
        <v>45.218820469207202</v>
      </c>
      <c r="AI7192">
        <v>87.085259657227695</v>
      </c>
      <c r="AJ7192">
        <v>112.721211961704</v>
      </c>
      <c r="AK7192">
        <v>49.086766270679099</v>
      </c>
      <c r="AL7192">
        <v>78.515870569435705</v>
      </c>
      <c r="AM7192">
        <v>91.071373390047995</v>
      </c>
      <c r="AN7192">
        <v>1.00000003108187</v>
      </c>
    </row>
    <row r="7193" spans="1:40" x14ac:dyDescent="0.25">
      <c r="A7193" t="str">
        <f>"20190303170428695"</f>
        <v>20190303170428695</v>
      </c>
      <c r="B7193" t="str">
        <f>"1551603868682286"</f>
        <v>1551603868682286</v>
      </c>
      <c r="C7193" t="s">
        <v>40</v>
      </c>
      <c r="D7193">
        <v>4.7247110000000001</v>
      </c>
      <c r="E7193">
        <v>0.35052109999999997</v>
      </c>
      <c r="F7193" t="s">
        <v>55</v>
      </c>
      <c r="G7193">
        <v>-167.3278</v>
      </c>
      <c r="H7193">
        <v>3.5584310000000001</v>
      </c>
      <c r="I7193">
        <v>-40.619779999999999</v>
      </c>
      <c r="J7193">
        <v>-210.36590000000001</v>
      </c>
      <c r="K7193">
        <v>1.1279920000000001</v>
      </c>
      <c r="L7193">
        <v>-63.635930000000002</v>
      </c>
      <c r="M7193">
        <v>0.99541250000000003</v>
      </c>
      <c r="N7193">
        <v>-1.2321260000000001E-2</v>
      </c>
      <c r="O7193">
        <v>9.4879759999999994E-2</v>
      </c>
      <c r="P7193">
        <v>0.97645479999999996</v>
      </c>
      <c r="Q7193">
        <v>0.18627440000000001</v>
      </c>
      <c r="R7193">
        <v>0.1088022</v>
      </c>
      <c r="S7193">
        <v>2.876236</v>
      </c>
      <c r="T7193">
        <v>0.16182959999999999</v>
      </c>
      <c r="U7193">
        <v>1.5336299999999901</v>
      </c>
      <c r="V7193">
        <v>-1.883021E-2</v>
      </c>
      <c r="W7193">
        <v>0.1980885</v>
      </c>
      <c r="X7193">
        <v>0.98000319999999996</v>
      </c>
      <c r="Y7193">
        <v>-0.38447730000000002</v>
      </c>
      <c r="Z7193">
        <v>-1.545629E-3</v>
      </c>
      <c r="AA7193">
        <v>0.92313310000000004</v>
      </c>
      <c r="AB7193">
        <v>33</v>
      </c>
      <c r="AC7193">
        <v>43.0381</v>
      </c>
      <c r="AD7193">
        <v>2.4304389999999998</v>
      </c>
      <c r="AE7193">
        <v>23.01615</v>
      </c>
      <c r="AF7193">
        <v>-18.781971520106101</v>
      </c>
      <c r="AG7193">
        <v>2.4304389999999998</v>
      </c>
      <c r="AH7193">
        <v>44.916461252446702</v>
      </c>
      <c r="AI7193">
        <v>87.142081720743107</v>
      </c>
      <c r="AJ7193">
        <v>112.69240962409</v>
      </c>
      <c r="AK7193">
        <v>48.7458508937668</v>
      </c>
      <c r="AL7193">
        <v>78.574797509062904</v>
      </c>
      <c r="AM7193">
        <v>91.100770707792705</v>
      </c>
      <c r="AN7193">
        <v>0.99999995132556496</v>
      </c>
    </row>
    <row r="7194" spans="1:40" x14ac:dyDescent="0.25">
      <c r="A7194" t="str">
        <f>"20190303170428708"</f>
        <v>20190303170428708</v>
      </c>
      <c r="B7194" t="str">
        <f>"1551603868702782"</f>
        <v>1551603868702782</v>
      </c>
      <c r="C7194" t="s">
        <v>40</v>
      </c>
      <c r="D7194">
        <v>4.7483740000000001</v>
      </c>
      <c r="E7194">
        <v>0.35104570000000002</v>
      </c>
      <c r="F7194" t="s">
        <v>55</v>
      </c>
      <c r="G7194">
        <v>-167.5977</v>
      </c>
      <c r="H7194">
        <v>3.4846659999999998</v>
      </c>
      <c r="I7194">
        <v>-40.619770000000003</v>
      </c>
      <c r="J7194">
        <v>-210.16929999999999</v>
      </c>
      <c r="K7194">
        <v>1.128158</v>
      </c>
      <c r="L7194">
        <v>-63.612670000000001</v>
      </c>
      <c r="M7194">
        <v>0.99493739999999997</v>
      </c>
      <c r="N7194">
        <v>-1.2364389999999999E-2</v>
      </c>
      <c r="O7194">
        <v>9.9733829999999996E-2</v>
      </c>
      <c r="P7194">
        <v>0.9760645</v>
      </c>
      <c r="Q7194">
        <v>0.18500649999999999</v>
      </c>
      <c r="R7194">
        <v>0.1143272</v>
      </c>
      <c r="S7194">
        <v>2.8700709999999998</v>
      </c>
      <c r="T7194">
        <v>0.15814909999999999</v>
      </c>
      <c r="U7194">
        <v>1.544556</v>
      </c>
      <c r="V7194">
        <v>-1.9640850000000001E-2</v>
      </c>
      <c r="W7194">
        <v>0.1968451</v>
      </c>
      <c r="X7194">
        <v>0.98023780000000005</v>
      </c>
      <c r="Y7194">
        <v>-0.38354830000000001</v>
      </c>
      <c r="Z7194">
        <v>-1.0984079999999999E-3</v>
      </c>
      <c r="AA7194">
        <v>0.92352009999999995</v>
      </c>
      <c r="AB7194">
        <v>33</v>
      </c>
      <c r="AC7194">
        <v>42.571599999999897</v>
      </c>
      <c r="AD7194">
        <v>2.3565079999999998</v>
      </c>
      <c r="AE7194">
        <v>22.992899999999899</v>
      </c>
      <c r="AF7194">
        <v>-18.5879976883114</v>
      </c>
      <c r="AG7194">
        <v>2.3565079999999998</v>
      </c>
      <c r="AH7194">
        <v>44.546987015827803</v>
      </c>
      <c r="AI7194">
        <v>87.205051620965193</v>
      </c>
      <c r="AJ7194">
        <v>112.649178034198</v>
      </c>
      <c r="AK7194">
        <v>48.327019773653198</v>
      </c>
      <c r="AL7194">
        <v>78.647470033467997</v>
      </c>
      <c r="AM7194">
        <v>91.147871719775296</v>
      </c>
      <c r="AN7194">
        <v>0.99999995046578505</v>
      </c>
    </row>
    <row r="7195" spans="1:40" x14ac:dyDescent="0.25">
      <c r="A7195" t="str">
        <f>"20190303170428719"</f>
        <v>20190303170428719</v>
      </c>
      <c r="B7195" t="str">
        <f>"1551603868712542"</f>
        <v>1551603868712542</v>
      </c>
      <c r="C7195" t="s">
        <v>40</v>
      </c>
      <c r="D7195">
        <v>4.7047309999999998</v>
      </c>
      <c r="E7195">
        <v>0.35130280000000003</v>
      </c>
      <c r="F7195" t="s">
        <v>55</v>
      </c>
      <c r="G7195">
        <v>-167.88419999999999</v>
      </c>
      <c r="H7195">
        <v>3.3692980000000001</v>
      </c>
      <c r="I7195">
        <v>-40.619770000000003</v>
      </c>
      <c r="J7195">
        <v>-210.01410000000001</v>
      </c>
      <c r="K7195">
        <v>1.128293</v>
      </c>
      <c r="L7195">
        <v>-63.59384</v>
      </c>
      <c r="M7195">
        <v>0.99453910000000001</v>
      </c>
      <c r="N7195">
        <v>-1.2397969999999999E-2</v>
      </c>
      <c r="O7195">
        <v>0.10362590000000001</v>
      </c>
      <c r="P7195">
        <v>0.9756842</v>
      </c>
      <c r="Q7195">
        <v>0.183945</v>
      </c>
      <c r="R7195">
        <v>0.1191832</v>
      </c>
      <c r="S7195">
        <v>2.8625180000000001</v>
      </c>
      <c r="T7195">
        <v>0.15171409999999999</v>
      </c>
      <c r="U7195">
        <v>1.556519</v>
      </c>
      <c r="V7195">
        <v>-2.0716120000000001E-2</v>
      </c>
      <c r="W7195">
        <v>0.19579540000000001</v>
      </c>
      <c r="X7195">
        <v>0.98042589999999996</v>
      </c>
      <c r="Y7195">
        <v>-0.38396069999999999</v>
      </c>
      <c r="Z7195">
        <v>-6.7109989999999996E-4</v>
      </c>
      <c r="AA7195">
        <v>0.92334919999999998</v>
      </c>
      <c r="AB7195">
        <v>33</v>
      </c>
      <c r="AC7195">
        <v>42.129899999999999</v>
      </c>
      <c r="AD7195">
        <v>2.2410049999999999</v>
      </c>
      <c r="AE7195">
        <v>22.974070000000001</v>
      </c>
      <c r="AF7195">
        <v>-18.444057049388899</v>
      </c>
      <c r="AG7195">
        <v>2.2410049999999999</v>
      </c>
      <c r="AH7195">
        <v>44.187573845705202</v>
      </c>
      <c r="AI7195">
        <v>87.320383260502297</v>
      </c>
      <c r="AJ7195">
        <v>112.655837807541</v>
      </c>
      <c r="AK7195">
        <v>47.934820602781002</v>
      </c>
      <c r="AL7195">
        <v>78.708807281308395</v>
      </c>
      <c r="AM7195">
        <v>91.210463379156494</v>
      </c>
      <c r="AN7195">
        <v>0.99999997083991099</v>
      </c>
    </row>
    <row r="7196" spans="1:40" x14ac:dyDescent="0.25">
      <c r="A7196" t="str">
        <f>"20190303170428729"</f>
        <v>20190303170428729</v>
      </c>
      <c r="B7196" t="str">
        <f>"1551603868722302"</f>
        <v>1551603868722302</v>
      </c>
      <c r="C7196" t="s">
        <v>40</v>
      </c>
      <c r="D7196">
        <v>4.7122549999999999</v>
      </c>
      <c r="E7196">
        <v>0.35149150000000001</v>
      </c>
      <c r="F7196" t="s">
        <v>55</v>
      </c>
      <c r="G7196">
        <v>-168.1925</v>
      </c>
      <c r="H7196">
        <v>3.279655</v>
      </c>
      <c r="I7196">
        <v>-40.619770000000003</v>
      </c>
      <c r="J7196">
        <v>-209.8723</v>
      </c>
      <c r="K7196">
        <v>1.1284190000000001</v>
      </c>
      <c r="L7196">
        <v>-63.575899999999997</v>
      </c>
      <c r="M7196">
        <v>0.99415279999999995</v>
      </c>
      <c r="N7196">
        <v>-1.242885E-2</v>
      </c>
      <c r="O7196">
        <v>0.1072641</v>
      </c>
      <c r="P7196">
        <v>0.9751244</v>
      </c>
      <c r="Q7196">
        <v>0.1838014</v>
      </c>
      <c r="R7196">
        <v>0.12389459999999999</v>
      </c>
      <c r="S7196">
        <v>2.8554689999999998</v>
      </c>
      <c r="T7196">
        <v>0.1468874</v>
      </c>
      <c r="U7196">
        <v>1.5686040000000001</v>
      </c>
      <c r="V7196">
        <v>-2.192382E-2</v>
      </c>
      <c r="W7196">
        <v>0.1956561</v>
      </c>
      <c r="X7196">
        <v>0.98042750000000001</v>
      </c>
      <c r="Y7196">
        <v>-0.38456449999999998</v>
      </c>
      <c r="Z7196">
        <v>-3.2126810000000002E-4</v>
      </c>
      <c r="AA7196">
        <v>0.92309810000000003</v>
      </c>
      <c r="AB7196">
        <v>33</v>
      </c>
      <c r="AC7196">
        <v>41.6798</v>
      </c>
      <c r="AD7196">
        <v>2.1512359999999999</v>
      </c>
      <c r="AE7196">
        <v>22.956129999999899</v>
      </c>
      <c r="AF7196">
        <v>-18.315138973144901</v>
      </c>
      <c r="AG7196">
        <v>2.1512359999999999</v>
      </c>
      <c r="AH7196">
        <v>43.812304023433001</v>
      </c>
      <c r="AI7196">
        <v>87.406153852860001</v>
      </c>
      <c r="AJ7196">
        <v>112.686704145988</v>
      </c>
      <c r="AK7196">
        <v>47.535146110799197</v>
      </c>
      <c r="AL7196">
        <v>78.716946594082202</v>
      </c>
      <c r="AM7196">
        <v>91.281005528059595</v>
      </c>
      <c r="AN7196">
        <v>1.0000000230534201</v>
      </c>
    </row>
    <row r="7197" spans="1:40" x14ac:dyDescent="0.25">
      <c r="A7197" t="str">
        <f>"20190303170428740"</f>
        <v>20190303170428740</v>
      </c>
      <c r="B7197" t="str">
        <f>"1551603868733039"</f>
        <v>1551603868733039</v>
      </c>
      <c r="C7197" t="s">
        <v>40</v>
      </c>
      <c r="D7197">
        <v>4.7209199999999996</v>
      </c>
      <c r="E7197">
        <v>0.35174119999999998</v>
      </c>
      <c r="F7197" t="s">
        <v>55</v>
      </c>
      <c r="G7197">
        <v>-168.45060000000001</v>
      </c>
      <c r="H7197">
        <v>3.2483080000000002</v>
      </c>
      <c r="I7197">
        <v>-40.584670000000003</v>
      </c>
      <c r="J7197">
        <v>-209.7056</v>
      </c>
      <c r="K7197">
        <v>1.1285700000000001</v>
      </c>
      <c r="L7197">
        <v>-63.5541699999999</v>
      </c>
      <c r="M7197">
        <v>0.99367309999999998</v>
      </c>
      <c r="N7197">
        <v>-1.246451E-2</v>
      </c>
      <c r="O7197">
        <v>0.1116183</v>
      </c>
      <c r="P7197">
        <v>0.97434560000000003</v>
      </c>
      <c r="Q7197">
        <v>0.1841151</v>
      </c>
      <c r="R7197">
        <v>0.12943070000000001</v>
      </c>
      <c r="S7197">
        <v>2.8482059999999998</v>
      </c>
      <c r="T7197">
        <v>0.14576459999999999</v>
      </c>
      <c r="U7197">
        <v>1.580902</v>
      </c>
      <c r="V7197">
        <v>-2.3286009999999999E-2</v>
      </c>
      <c r="W7197">
        <v>0.1959727</v>
      </c>
      <c r="X7197">
        <v>0.98033289999999995</v>
      </c>
      <c r="Y7197">
        <v>-0.38457619999999998</v>
      </c>
      <c r="Z7197" s="1">
        <v>-2.750754E-5</v>
      </c>
      <c r="AA7197">
        <v>0.92309330000000001</v>
      </c>
      <c r="AB7197">
        <v>33</v>
      </c>
      <c r="AC7197">
        <v>41.255000000000003</v>
      </c>
      <c r="AD7197">
        <v>2.1197379999999999</v>
      </c>
      <c r="AE7197">
        <v>22.969499999999901</v>
      </c>
      <c r="AF7197">
        <v>-18.184127887385301</v>
      </c>
      <c r="AG7197">
        <v>2.1197379999999999</v>
      </c>
      <c r="AH7197">
        <v>43.473566258094998</v>
      </c>
      <c r="AI7197">
        <v>87.424416313298195</v>
      </c>
      <c r="AJ7197">
        <v>112.698588012519</v>
      </c>
      <c r="AK7197">
        <v>47.171037294195699</v>
      </c>
      <c r="AL7197">
        <v>78.698449141502905</v>
      </c>
      <c r="AM7197">
        <v>91.360700285783594</v>
      </c>
      <c r="AN7197">
        <v>1.0000000661146999</v>
      </c>
    </row>
    <row r="7198" spans="1:40" x14ac:dyDescent="0.25">
      <c r="A7198" t="str">
        <f>"20190303170428750"</f>
        <v>20190303170428750</v>
      </c>
      <c r="B7198" t="str">
        <f>"1551603868742798"</f>
        <v>1551603868742798</v>
      </c>
      <c r="C7198" t="s">
        <v>40</v>
      </c>
      <c r="D7198">
        <v>4.780119</v>
      </c>
      <c r="E7198">
        <v>0.35174119999999998</v>
      </c>
      <c r="F7198" t="s">
        <v>55</v>
      </c>
      <c r="G7198">
        <v>-168.45060000000001</v>
      </c>
      <c r="H7198">
        <v>3.2544870000000001</v>
      </c>
      <c r="I7198">
        <v>-40.377189999999999</v>
      </c>
      <c r="J7198">
        <v>-209.55080000000001</v>
      </c>
      <c r="K7198">
        <v>1.1287149999999999</v>
      </c>
      <c r="L7198">
        <v>-63.533259999999999</v>
      </c>
      <c r="M7198">
        <v>0.99320010000000003</v>
      </c>
      <c r="N7198">
        <v>-1.2497039999999999E-2</v>
      </c>
      <c r="O7198">
        <v>0.1157468</v>
      </c>
      <c r="P7198">
        <v>0.97346840000000001</v>
      </c>
      <c r="Q7198">
        <v>0.18499450000000001</v>
      </c>
      <c r="R7198">
        <v>0.1346726</v>
      </c>
      <c r="S7198">
        <v>2.839432</v>
      </c>
      <c r="T7198">
        <v>0.14631749999999999</v>
      </c>
      <c r="U7198">
        <v>1.5951839999999999</v>
      </c>
      <c r="V7198">
        <v>-2.4595599999999999E-2</v>
      </c>
      <c r="W7198">
        <v>0.19685169999999999</v>
      </c>
      <c r="X7198">
        <v>0.98012469999999996</v>
      </c>
      <c r="Y7198">
        <v>-0.38549060000000002</v>
      </c>
      <c r="Z7198">
        <v>1.904238E-4</v>
      </c>
      <c r="AA7198">
        <v>0.92271170000000002</v>
      </c>
      <c r="AB7198">
        <v>33</v>
      </c>
      <c r="AC7198">
        <v>41.100200000000001</v>
      </c>
      <c r="AD7198">
        <v>2.125772</v>
      </c>
      <c r="AE7198">
        <v>23.15607</v>
      </c>
      <c r="AF7198">
        <v>-18.205851212433199</v>
      </c>
      <c r="AG7198">
        <v>2.125772</v>
      </c>
      <c r="AH7198">
        <v>43.416202504860699</v>
      </c>
      <c r="AI7198">
        <v>87.414655465023003</v>
      </c>
      <c r="AJ7198">
        <v>112.74991755552099</v>
      </c>
      <c r="AK7198">
        <v>47.126834870467597</v>
      </c>
      <c r="AL7198">
        <v>78.647084691034493</v>
      </c>
      <c r="AM7198">
        <v>91.437499103519698</v>
      </c>
      <c r="AN7198">
        <v>0.99999998144116897</v>
      </c>
    </row>
    <row r="7199" spans="1:40" x14ac:dyDescent="0.25">
      <c r="A7199" t="str">
        <f>"20190303170428762"</f>
        <v>20190303170428762</v>
      </c>
      <c r="B7199" t="str">
        <f>"1551603868752559"</f>
        <v>1551603868752559</v>
      </c>
      <c r="C7199" t="s">
        <v>40</v>
      </c>
      <c r="D7199">
        <v>4.7264460000000001</v>
      </c>
      <c r="E7199">
        <v>0.35773759999999999</v>
      </c>
      <c r="F7199" t="s">
        <v>55</v>
      </c>
      <c r="G7199">
        <v>-168.45060000000001</v>
      </c>
      <c r="H7199">
        <v>3.306225</v>
      </c>
      <c r="I7199">
        <v>-40.143529999999998</v>
      </c>
      <c r="J7199">
        <v>-209.38849999999999</v>
      </c>
      <c r="K7199">
        <v>1.128876</v>
      </c>
      <c r="L7199">
        <v>-63.51041</v>
      </c>
      <c r="M7199">
        <v>0.99267289999999997</v>
      </c>
      <c r="N7199">
        <v>-1.253143E-2</v>
      </c>
      <c r="O7199">
        <v>0.12018189999999999</v>
      </c>
      <c r="P7199">
        <v>0.97257389999999999</v>
      </c>
      <c r="Q7199">
        <v>0.1857172</v>
      </c>
      <c r="R7199">
        <v>0.140034299999999</v>
      </c>
      <c r="S7199">
        <v>2.830444</v>
      </c>
      <c r="T7199">
        <v>0.14995710000000001</v>
      </c>
      <c r="U7199">
        <v>1.610779</v>
      </c>
      <c r="V7199">
        <v>-2.5725100000000001E-2</v>
      </c>
      <c r="W7199">
        <v>0.19757759999999999</v>
      </c>
      <c r="X7199">
        <v>0.97994970000000003</v>
      </c>
      <c r="Y7199">
        <v>-0.38646599999999998</v>
      </c>
      <c r="Z7199">
        <v>3.5293869999999998E-4</v>
      </c>
      <c r="AA7199">
        <v>0.9223036</v>
      </c>
      <c r="AB7199">
        <v>33</v>
      </c>
      <c r="AC7199">
        <v>40.9378999999999</v>
      </c>
      <c r="AD7199">
        <v>2.177349</v>
      </c>
      <c r="AE7199">
        <v>23.366879999999998</v>
      </c>
      <c r="AF7199">
        <v>-18.238192860040598</v>
      </c>
      <c r="AG7199">
        <v>2.177349</v>
      </c>
      <c r="AH7199">
        <v>43.357117308679904</v>
      </c>
      <c r="AI7199">
        <v>87.349657849174207</v>
      </c>
      <c r="AJ7199">
        <v>112.81408030009</v>
      </c>
      <c r="AK7199">
        <v>47.087282240393499</v>
      </c>
      <c r="AL7199">
        <v>78.604661296431701</v>
      </c>
      <c r="AM7199">
        <v>91.503751891121198</v>
      </c>
      <c r="AN7199">
        <v>1.00000005166092</v>
      </c>
    </row>
    <row r="7200" spans="1:40" x14ac:dyDescent="0.25">
      <c r="A7200" t="str">
        <f>"20190303170428773"</f>
        <v>20190303170428773</v>
      </c>
      <c r="B7200" t="str">
        <f>"1551603868762319"</f>
        <v>1551603868762319</v>
      </c>
      <c r="C7200" t="s">
        <v>40</v>
      </c>
      <c r="D7200">
        <v>4.765631</v>
      </c>
      <c r="E7200">
        <v>0.35799910000000001</v>
      </c>
      <c r="F7200" t="s">
        <v>55</v>
      </c>
      <c r="G7200">
        <v>-168.39320000000001</v>
      </c>
      <c r="H7200">
        <v>2.920547</v>
      </c>
      <c r="I7200">
        <v>-40.619770000000003</v>
      </c>
      <c r="J7200">
        <v>-209.2294</v>
      </c>
      <c r="K7200">
        <v>1.129027</v>
      </c>
      <c r="L7200">
        <v>-63.487520000000004</v>
      </c>
      <c r="M7200">
        <v>0.99212849999999997</v>
      </c>
      <c r="N7200">
        <v>-1.2564560000000001E-2</v>
      </c>
      <c r="O7200">
        <v>0.12459240000000001</v>
      </c>
      <c r="P7200">
        <v>0.97175829999999996</v>
      </c>
      <c r="Q7200">
        <v>0.18597949999999999</v>
      </c>
      <c r="R7200">
        <v>0.14525009999999999</v>
      </c>
      <c r="S7200">
        <v>2.8331909999999998</v>
      </c>
      <c r="T7200">
        <v>0.123821</v>
      </c>
      <c r="U7200">
        <v>1.5819700000000001</v>
      </c>
      <c r="V7200">
        <v>-2.6716110000000001E-2</v>
      </c>
      <c r="W7200">
        <v>0.19784450000000001</v>
      </c>
      <c r="X7200">
        <v>0.9798692</v>
      </c>
      <c r="Y7200">
        <v>-0.37490210000000002</v>
      </c>
      <c r="Z7200">
        <v>1.3802679999999901E-3</v>
      </c>
      <c r="AA7200">
        <v>0.92706330000000003</v>
      </c>
      <c r="AB7200">
        <v>33</v>
      </c>
      <c r="AC7200">
        <v>40.836199999999899</v>
      </c>
      <c r="AD7200">
        <v>1.79152</v>
      </c>
      <c r="AE7200">
        <v>22.867749999999901</v>
      </c>
      <c r="AF7200">
        <v>-17.5755034291013</v>
      </c>
      <c r="AG7200">
        <v>1.79152</v>
      </c>
      <c r="AH7200">
        <v>43.303878488772902</v>
      </c>
      <c r="AI7200">
        <v>87.804704274622296</v>
      </c>
      <c r="AJ7200">
        <v>112.090483137924</v>
      </c>
      <c r="AK7200">
        <v>46.768940087061701</v>
      </c>
      <c r="AL7200">
        <v>78.589059622458606</v>
      </c>
      <c r="AM7200">
        <v>91.561781118702598</v>
      </c>
      <c r="AN7200">
        <v>0.99999992291120798</v>
      </c>
    </row>
    <row r="7201" spans="1:40" x14ac:dyDescent="0.25">
      <c r="A7201" t="str">
        <f>"20190303170428785"</f>
        <v>20190303170428785</v>
      </c>
      <c r="B7201" t="str">
        <f>"1551603868773055"</f>
        <v>1551603868773055</v>
      </c>
      <c r="C7201" t="s">
        <v>40</v>
      </c>
      <c r="D7201">
        <v>4.7505050000000004</v>
      </c>
      <c r="E7201">
        <v>0.35818640000000002</v>
      </c>
      <c r="F7201" t="s">
        <v>55</v>
      </c>
      <c r="G7201">
        <v>-168.45060000000001</v>
      </c>
      <c r="H7201">
        <v>2.9837950000000002</v>
      </c>
      <c r="I7201">
        <v>-40.45908</v>
      </c>
      <c r="J7201">
        <v>-209.05549999999999</v>
      </c>
      <c r="K7201">
        <v>1.1291949999999999</v>
      </c>
      <c r="L7201">
        <v>-63.461179999999999</v>
      </c>
      <c r="M7201">
        <v>0.99148979999999998</v>
      </c>
      <c r="N7201">
        <v>-1.260232E-2</v>
      </c>
      <c r="O7201">
        <v>0.12957289999999999</v>
      </c>
      <c r="P7201">
        <v>0.97092040000000002</v>
      </c>
      <c r="Q7201">
        <v>0.18557319999999999</v>
      </c>
      <c r="R7201">
        <v>0.1512493</v>
      </c>
      <c r="S7201">
        <v>2.8242189999999998</v>
      </c>
      <c r="T7201">
        <v>0.12845419999999999</v>
      </c>
      <c r="U7201">
        <v>1.5948789999999999</v>
      </c>
      <c r="V7201">
        <v>-2.7916389999999999E-2</v>
      </c>
      <c r="W7201">
        <v>0.19744300000000001</v>
      </c>
      <c r="X7201">
        <v>0.97991680000000003</v>
      </c>
      <c r="Y7201">
        <v>-0.37471710000000003</v>
      </c>
      <c r="Z7201">
        <v>1.55943799999999E-3</v>
      </c>
      <c r="AA7201">
        <v>0.92713789999999996</v>
      </c>
      <c r="AB7201">
        <v>33</v>
      </c>
      <c r="AC7201">
        <v>40.604900000000001</v>
      </c>
      <c r="AD7201">
        <v>1.8546</v>
      </c>
      <c r="AE7201">
        <v>23.002099999999999</v>
      </c>
      <c r="AF7201">
        <v>-17.518778622402699</v>
      </c>
      <c r="AG7201">
        <v>1.8546</v>
      </c>
      <c r="AH7201">
        <v>43.175040056674902</v>
      </c>
      <c r="AI7201">
        <v>87.720631137478904</v>
      </c>
      <c r="AJ7201">
        <v>112.08543112118301</v>
      </c>
      <c r="AK7201">
        <v>46.630797006659002</v>
      </c>
      <c r="AL7201">
        <v>78.612527673473195</v>
      </c>
      <c r="AM7201">
        <v>91.631831215708004</v>
      </c>
      <c r="AN7201">
        <v>0.99999999900093595</v>
      </c>
    </row>
    <row r="7202" spans="1:40" x14ac:dyDescent="0.25">
      <c r="A7202" t="str">
        <f>"20190303170428798"</f>
        <v>20190303170428798</v>
      </c>
      <c r="B7202" t="str">
        <f>"1551603868792574"</f>
        <v>1551603868792574</v>
      </c>
      <c r="C7202" t="s">
        <v>40</v>
      </c>
      <c r="D7202">
        <v>4.766019</v>
      </c>
      <c r="E7202">
        <v>0.35887390000000002</v>
      </c>
      <c r="F7202" t="s">
        <v>55</v>
      </c>
      <c r="G7202">
        <v>-168.45060000000001</v>
      </c>
      <c r="H7202">
        <v>2.9560550000000001</v>
      </c>
      <c r="I7202">
        <v>-40.222099999999998</v>
      </c>
      <c r="J7202">
        <v>-208.864</v>
      </c>
      <c r="K7202">
        <v>1.129381</v>
      </c>
      <c r="L7202">
        <v>-63.431370000000001</v>
      </c>
      <c r="M7202">
        <v>0.99074490000000004</v>
      </c>
      <c r="N7202">
        <v>-1.2643440000000001E-2</v>
      </c>
      <c r="O7202">
        <v>0.1351474</v>
      </c>
      <c r="P7202">
        <v>0.97001029999999999</v>
      </c>
      <c r="Q7202">
        <v>0.1846776</v>
      </c>
      <c r="R7202">
        <v>0.1580329</v>
      </c>
      <c r="S7202">
        <v>2.8146819999999999</v>
      </c>
      <c r="T7202">
        <v>0.126634</v>
      </c>
      <c r="U7202">
        <v>1.6109009999999999</v>
      </c>
      <c r="V7202">
        <v>-2.9311830000000001E-2</v>
      </c>
      <c r="W7202">
        <v>0.19655149999999999</v>
      </c>
      <c r="X7202">
        <v>0.98005529999999996</v>
      </c>
      <c r="Y7202">
        <v>-0.3748418</v>
      </c>
      <c r="Z7202">
        <v>1.8978809999999999E-3</v>
      </c>
      <c r="AA7202">
        <v>0.92708679999999999</v>
      </c>
      <c r="AB7202">
        <v>33</v>
      </c>
      <c r="AC7202">
        <v>40.413400000000003</v>
      </c>
      <c r="AD7202">
        <v>1.8266739999999999</v>
      </c>
      <c r="AE7202">
        <v>23.20927</v>
      </c>
      <c r="AF7202">
        <v>-17.5072037678929</v>
      </c>
      <c r="AG7202">
        <v>1.8266739999999999</v>
      </c>
      <c r="AH7202">
        <v>43.113255517246102</v>
      </c>
      <c r="AI7202">
        <v>87.751948702618805</v>
      </c>
      <c r="AJ7202">
        <v>112.100828363842</v>
      </c>
      <c r="AK7202">
        <v>46.568140643235402</v>
      </c>
      <c r="AL7202">
        <v>78.664628209057597</v>
      </c>
      <c r="AM7202">
        <v>91.713111145977706</v>
      </c>
      <c r="AN7202">
        <v>1.0000000332941399</v>
      </c>
    </row>
    <row r="7203" spans="1:40" x14ac:dyDescent="0.25">
      <c r="A7203" t="str">
        <f>"20190303170428807"</f>
        <v>20190303170428807</v>
      </c>
      <c r="B7203" t="str">
        <f>"1551603868802335"</f>
        <v>1551603868802335</v>
      </c>
      <c r="C7203" t="s">
        <v>40</v>
      </c>
      <c r="D7203">
        <v>4.7471220000000001</v>
      </c>
      <c r="E7203">
        <v>0.35918050000000001</v>
      </c>
      <c r="F7203" t="s">
        <v>55</v>
      </c>
      <c r="G7203">
        <v>-168.45060000000001</v>
      </c>
      <c r="H7203">
        <v>2.8861940000000001</v>
      </c>
      <c r="I7203">
        <v>-40.01202</v>
      </c>
      <c r="J7203">
        <v>-208.72800000000001</v>
      </c>
      <c r="K7203">
        <v>1.1295170000000001</v>
      </c>
      <c r="L7203">
        <v>-63.409239999999997</v>
      </c>
      <c r="M7203">
        <v>0.9901797</v>
      </c>
      <c r="N7203">
        <v>-1.2673759999999999E-2</v>
      </c>
      <c r="O7203">
        <v>0.1392253</v>
      </c>
      <c r="P7203">
        <v>0.96923910000000002</v>
      </c>
      <c r="Q7203">
        <v>0.18399879999999999</v>
      </c>
      <c r="R7203">
        <v>0.16346289999999999</v>
      </c>
      <c r="S7203">
        <v>2.8047490000000002</v>
      </c>
      <c r="T7203">
        <v>0.121924</v>
      </c>
      <c r="U7203">
        <v>1.6253359999999999</v>
      </c>
      <c r="V7203">
        <v>-3.080594E-2</v>
      </c>
      <c r="W7203">
        <v>0.1958646</v>
      </c>
      <c r="X7203">
        <v>0.98014690000000004</v>
      </c>
      <c r="Y7203">
        <v>-0.37603019999999998</v>
      </c>
      <c r="Z7203">
        <v>2.1817189999999999E-3</v>
      </c>
      <c r="AA7203">
        <v>0.92660480000000001</v>
      </c>
      <c r="AB7203">
        <v>33</v>
      </c>
      <c r="AC7203">
        <v>40.277399999999901</v>
      </c>
      <c r="AD7203">
        <v>1.7566769999999901</v>
      </c>
      <c r="AE7203">
        <v>23.397220000000001</v>
      </c>
      <c r="AF7203">
        <v>-17.536286862165699</v>
      </c>
      <c r="AG7203">
        <v>1.7566769999999901</v>
      </c>
      <c r="AH7203">
        <v>43.0815367827758</v>
      </c>
      <c r="AI7203">
        <v>87.837153431602999</v>
      </c>
      <c r="AJ7203">
        <v>112.148720678711</v>
      </c>
      <c r="AK7203">
        <v>46.5470308672869</v>
      </c>
      <c r="AL7203">
        <v>78.704763850919306</v>
      </c>
      <c r="AM7203">
        <v>91.800209228243702</v>
      </c>
      <c r="AN7203">
        <v>0.99999994652602497</v>
      </c>
    </row>
    <row r="7204" spans="1:40" x14ac:dyDescent="0.25">
      <c r="A7204" t="str">
        <f>"20190303170428819"</f>
        <v>20190303170428819</v>
      </c>
      <c r="B7204" t="str">
        <f>"1551603868813070"</f>
        <v>1551603868813070</v>
      </c>
      <c r="C7204" t="s">
        <v>40</v>
      </c>
      <c r="D7204">
        <v>4.5941020000000004</v>
      </c>
      <c r="E7204">
        <v>0.35918050000000001</v>
      </c>
      <c r="F7204" t="s">
        <v>55</v>
      </c>
      <c r="G7204">
        <v>-168.45060000000001</v>
      </c>
      <c r="H7204">
        <v>2.8342890000000001</v>
      </c>
      <c r="I7204">
        <v>-39.80838</v>
      </c>
      <c r="J7204">
        <v>-208.54669999999999</v>
      </c>
      <c r="K7204">
        <v>1.1297010000000001</v>
      </c>
      <c r="L7204">
        <v>-63.378999999999998</v>
      </c>
      <c r="M7204">
        <v>0.98938820000000005</v>
      </c>
      <c r="N7204">
        <v>-1.271386E-2</v>
      </c>
      <c r="O7204">
        <v>0.1447396</v>
      </c>
      <c r="P7204">
        <v>0.96828420000000004</v>
      </c>
      <c r="Q7204">
        <v>0.18306239999999999</v>
      </c>
      <c r="R7204">
        <v>0.17004089999999999</v>
      </c>
      <c r="S7204">
        <v>2.7964169999999999</v>
      </c>
      <c r="T7204">
        <v>0.1183589</v>
      </c>
      <c r="U7204">
        <v>1.6385799999999999</v>
      </c>
      <c r="V7204">
        <v>-3.2050530000000001E-2</v>
      </c>
      <c r="W7204">
        <v>0.19493170000000001</v>
      </c>
      <c r="X7204">
        <v>0.98029299999999997</v>
      </c>
      <c r="Y7204">
        <v>-0.37535000000000002</v>
      </c>
      <c r="Z7204">
        <v>2.5381319999999998E-3</v>
      </c>
      <c r="AA7204">
        <v>0.92687960000000003</v>
      </c>
      <c r="AB7204">
        <v>33</v>
      </c>
      <c r="AC7204">
        <v>40.0960999999999</v>
      </c>
      <c r="AD7204">
        <v>1.704588</v>
      </c>
      <c r="AE7204">
        <v>23.570620000000002</v>
      </c>
      <c r="AF7204">
        <v>-17.494915467901201</v>
      </c>
      <c r="AG7204">
        <v>1.704588</v>
      </c>
      <c r="AH7204">
        <v>43.027894927298199</v>
      </c>
      <c r="AI7204">
        <v>87.898281035781594</v>
      </c>
      <c r="AJ7204">
        <v>112.126400046443</v>
      </c>
      <c r="AK7204">
        <v>46.4798604704593</v>
      </c>
      <c r="AL7204">
        <v>78.759266103910406</v>
      </c>
      <c r="AM7204">
        <v>91.872609711516603</v>
      </c>
      <c r="AN7204">
        <v>0.999999984993585</v>
      </c>
    </row>
    <row r="7205" spans="1:40" x14ac:dyDescent="0.25">
      <c r="A7205" t="str">
        <f>"20190303170428830"</f>
        <v>20190303170428830</v>
      </c>
      <c r="B7205" t="str">
        <f>"1551603868822830"</f>
        <v>1551603868822830</v>
      </c>
      <c r="C7205" t="s">
        <v>40</v>
      </c>
      <c r="D7205">
        <v>4.6100409999999998</v>
      </c>
      <c r="E7205">
        <v>0.35185420000000001</v>
      </c>
      <c r="F7205" t="s">
        <v>55</v>
      </c>
      <c r="G7205">
        <v>-168.45060000000001</v>
      </c>
      <c r="H7205">
        <v>2.7980999999999998</v>
      </c>
      <c r="I7205">
        <v>-39.517569999999999</v>
      </c>
      <c r="J7205">
        <v>-208.3895</v>
      </c>
      <c r="K7205">
        <v>1.1298619999999999</v>
      </c>
      <c r="L7205">
        <v>-63.351840000000003</v>
      </c>
      <c r="M7205">
        <v>0.98866030000000005</v>
      </c>
      <c r="N7205">
        <v>-1.274906E-2</v>
      </c>
      <c r="O7205">
        <v>0.1496276</v>
      </c>
      <c r="P7205">
        <v>0.96743349999999995</v>
      </c>
      <c r="Q7205">
        <v>0.1825341</v>
      </c>
      <c r="R7205">
        <v>0.17536840000000001</v>
      </c>
      <c r="S7205">
        <v>2.7852779999999999</v>
      </c>
      <c r="T7205">
        <v>0.1158937</v>
      </c>
      <c r="U7205">
        <v>1.657532</v>
      </c>
      <c r="V7205">
        <v>-3.2655999999999998E-2</v>
      </c>
      <c r="W7205">
        <v>0.1944149</v>
      </c>
      <c r="X7205">
        <v>0.98037560000000001</v>
      </c>
      <c r="Y7205">
        <v>-0.37706289999999998</v>
      </c>
      <c r="Z7205">
        <v>2.8049709999999999E-3</v>
      </c>
      <c r="AA7205">
        <v>0.92618339999999999</v>
      </c>
      <c r="AB7205">
        <v>33</v>
      </c>
      <c r="AC7205">
        <v>39.938899999999897</v>
      </c>
      <c r="AD7205">
        <v>1.6682379999999899</v>
      </c>
      <c r="AE7205">
        <v>23.83427</v>
      </c>
      <c r="AF7205">
        <v>-17.566862641776002</v>
      </c>
      <c r="AG7205">
        <v>1.6682379999999899</v>
      </c>
      <c r="AH7205">
        <v>43.000443991612698</v>
      </c>
      <c r="AI7205">
        <v>87.943137552856101</v>
      </c>
      <c r="AJ7205">
        <v>112.221363708547</v>
      </c>
      <c r="AK7205">
        <v>46.480273929652</v>
      </c>
      <c r="AL7205">
        <v>78.789453632514906</v>
      </c>
      <c r="AM7205">
        <v>91.907798844927697</v>
      </c>
      <c r="AN7205">
        <v>0.99999994237668299</v>
      </c>
    </row>
    <row r="7206" spans="1:40" x14ac:dyDescent="0.25">
      <c r="A7206" t="str">
        <f>"20190303170428842"</f>
        <v>20190303170428842</v>
      </c>
      <c r="B7206" t="str">
        <f>"1551603868832591"</f>
        <v>1551603868832591</v>
      </c>
      <c r="C7206" t="s">
        <v>40</v>
      </c>
      <c r="D7206">
        <v>4.7191400000000003</v>
      </c>
      <c r="E7206">
        <v>0.35185420000000001</v>
      </c>
      <c r="F7206" t="s">
        <v>55</v>
      </c>
      <c r="G7206">
        <v>-168.45060000000001</v>
      </c>
      <c r="H7206">
        <v>4.109172</v>
      </c>
      <c r="I7206">
        <v>-38.339390000000002</v>
      </c>
      <c r="J7206">
        <v>-208.23269999999999</v>
      </c>
      <c r="K7206">
        <v>1.130026</v>
      </c>
      <c r="L7206">
        <v>-63.323729999999998</v>
      </c>
      <c r="M7206">
        <v>0.98789249999999995</v>
      </c>
      <c r="N7206">
        <v>-1.278425E-2</v>
      </c>
      <c r="O7206">
        <v>0.15461220000000001</v>
      </c>
      <c r="P7206">
        <v>0.96643800000000002</v>
      </c>
      <c r="Q7206">
        <v>0.18230830000000001</v>
      </c>
      <c r="R7206">
        <v>0.18100069999999999</v>
      </c>
      <c r="S7206">
        <v>2.750092</v>
      </c>
      <c r="T7206">
        <v>0.205146</v>
      </c>
      <c r="U7206">
        <v>1.7222900000000001</v>
      </c>
      <c r="V7206">
        <v>-3.3490989999999998E-2</v>
      </c>
      <c r="W7206">
        <v>0.19419500000000001</v>
      </c>
      <c r="X7206">
        <v>0.98039109999999996</v>
      </c>
      <c r="Y7206">
        <v>-0.39315509999999998</v>
      </c>
      <c r="Z7206">
        <v>1.5477049999999999E-3</v>
      </c>
      <c r="AA7206">
        <v>0.91947080000000003</v>
      </c>
      <c r="AB7206">
        <v>33</v>
      </c>
      <c r="AC7206">
        <v>39.7820999999999</v>
      </c>
      <c r="AD7206">
        <v>2.9791460000000001</v>
      </c>
      <c r="AE7206">
        <v>24.98434</v>
      </c>
      <c r="AF7206">
        <v>-18.458324368313399</v>
      </c>
      <c r="AG7206">
        <v>2.9791460000000001</v>
      </c>
      <c r="AH7206">
        <v>42.993939999288003</v>
      </c>
      <c r="AI7206">
        <v>86.356766902568594</v>
      </c>
      <c r="AJ7206">
        <v>113.235002176466</v>
      </c>
      <c r="AK7206">
        <v>46.883514437780498</v>
      </c>
      <c r="AL7206">
        <v>78.802298725796007</v>
      </c>
      <c r="AM7206">
        <v>91.956511513781294</v>
      </c>
      <c r="AN7206">
        <v>1.0000000266976901</v>
      </c>
    </row>
    <row r="7207" spans="1:40" x14ac:dyDescent="0.25">
      <c r="A7207" t="str">
        <f>"20190303170428851"</f>
        <v>20190303170428851</v>
      </c>
      <c r="B7207" t="str">
        <f>"1551603868842351"</f>
        <v>1551603868842351</v>
      </c>
      <c r="C7207" t="s">
        <v>40</v>
      </c>
      <c r="D7207">
        <v>4.7291999999999996</v>
      </c>
      <c r="E7207">
        <v>0.36674630000000003</v>
      </c>
      <c r="F7207" t="s">
        <v>55</v>
      </c>
      <c r="G7207">
        <v>-168.45060000000001</v>
      </c>
      <c r="H7207">
        <v>4.1072179999999996</v>
      </c>
      <c r="I7207">
        <v>-38.082560000000001</v>
      </c>
      <c r="J7207">
        <v>-208.0924</v>
      </c>
      <c r="K7207">
        <v>1.1301730000000001</v>
      </c>
      <c r="L7207">
        <v>-63.298029999999997</v>
      </c>
      <c r="M7207">
        <v>0.9871742</v>
      </c>
      <c r="N7207">
        <v>-1.2815180000000001E-2</v>
      </c>
      <c r="O7207">
        <v>0.15913229999999901</v>
      </c>
      <c r="P7207">
        <v>0.96546460000000001</v>
      </c>
      <c r="Q7207">
        <v>0.18251870000000001</v>
      </c>
      <c r="R7207">
        <v>0.18591750000000001</v>
      </c>
      <c r="S7207">
        <v>2.7399140000000002</v>
      </c>
      <c r="T7207">
        <v>0.2050467</v>
      </c>
      <c r="U7207">
        <v>1.738434</v>
      </c>
      <c r="V7207">
        <v>-3.4076189999999999E-2</v>
      </c>
      <c r="W7207">
        <v>0.19441159999999999</v>
      </c>
      <c r="X7207">
        <v>0.98032799999999998</v>
      </c>
      <c r="Y7207">
        <v>-0.39436490000000002</v>
      </c>
      <c r="Z7207">
        <v>1.8767479999999999E-3</v>
      </c>
      <c r="AA7207">
        <v>0.91895199999999999</v>
      </c>
      <c r="AB7207">
        <v>33</v>
      </c>
      <c r="AC7207">
        <v>39.641799999999897</v>
      </c>
      <c r="AD7207">
        <v>2.9770449999999902</v>
      </c>
      <c r="AE7207">
        <v>25.21547</v>
      </c>
      <c r="AF7207">
        <v>-18.510968874630802</v>
      </c>
      <c r="AG7207">
        <v>2.9770449999999902</v>
      </c>
      <c r="AH7207">
        <v>42.976934068895901</v>
      </c>
      <c r="AI7207">
        <v>86.359730809151102</v>
      </c>
      <c r="AJ7207">
        <v>113.302448111647</v>
      </c>
      <c r="AK7207">
        <v>46.888544737193499</v>
      </c>
      <c r="AL7207">
        <v>78.7896472935426</v>
      </c>
      <c r="AM7207">
        <v>91.990799095938499</v>
      </c>
      <c r="AN7207">
        <v>1.00000002226173</v>
      </c>
    </row>
    <row r="7208" spans="1:40" x14ac:dyDescent="0.25">
      <c r="A7208" t="str">
        <f>"20190303170428862"</f>
        <v>20190303170428862</v>
      </c>
      <c r="B7208" t="str">
        <f>"1551603868853086"</f>
        <v>1551603868853086</v>
      </c>
      <c r="C7208" t="s">
        <v>40</v>
      </c>
      <c r="D7208">
        <v>4.7227129999999997</v>
      </c>
      <c r="E7208">
        <v>0.36715900000000001</v>
      </c>
      <c r="F7208" t="s">
        <v>55</v>
      </c>
      <c r="G7208">
        <v>-168.45060000000001</v>
      </c>
      <c r="H7208">
        <v>2.347356</v>
      </c>
      <c r="I7208">
        <v>-39.764249999999997</v>
      </c>
      <c r="J7208">
        <v>-207.9246</v>
      </c>
      <c r="K7208">
        <v>1.130355</v>
      </c>
      <c r="L7208">
        <v>-63.26605</v>
      </c>
      <c r="M7208">
        <v>0.9862649</v>
      </c>
      <c r="N7208">
        <v>-1.285304E-2</v>
      </c>
      <c r="O7208">
        <v>0.16467089999999901</v>
      </c>
      <c r="P7208">
        <v>0.96414820000000001</v>
      </c>
      <c r="Q7208">
        <v>0.18311469999999999</v>
      </c>
      <c r="R7208">
        <v>0.1920608</v>
      </c>
      <c r="S7208">
        <v>2.7740629999999999</v>
      </c>
      <c r="T7208">
        <v>8.5174799999999995E-2</v>
      </c>
      <c r="U7208">
        <v>1.6468509999999901</v>
      </c>
      <c r="V7208">
        <v>-3.4932520000000002E-2</v>
      </c>
      <c r="W7208">
        <v>0.19501170000000001</v>
      </c>
      <c r="X7208">
        <v>0.98017869999999996</v>
      </c>
      <c r="Y7208">
        <v>-0.36195470000000002</v>
      </c>
      <c r="Z7208">
        <v>3.9606390000000002E-3</v>
      </c>
      <c r="AA7208">
        <v>0.93218730000000005</v>
      </c>
      <c r="AB7208">
        <v>33</v>
      </c>
      <c r="AC7208">
        <v>39.473999999999897</v>
      </c>
      <c r="AD7208">
        <v>1.217001</v>
      </c>
      <c r="AE7208">
        <v>23.501799999999999</v>
      </c>
      <c r="AF7208">
        <v>-16.668460539613001</v>
      </c>
      <c r="AG7208">
        <v>1.217001</v>
      </c>
      <c r="AH7208">
        <v>42.775397541332602</v>
      </c>
      <c r="AI7208">
        <v>88.481479590269601</v>
      </c>
      <c r="AJ7208">
        <v>111.289569649828</v>
      </c>
      <c r="AK7208">
        <v>45.924430350453797</v>
      </c>
      <c r="AL7208">
        <v>78.754593654798299</v>
      </c>
      <c r="AM7208">
        <v>92.041096408513297</v>
      </c>
      <c r="AN7208">
        <v>1.0000000640120601</v>
      </c>
    </row>
    <row r="7209" spans="1:40" x14ac:dyDescent="0.25">
      <c r="A7209" t="str">
        <f>"20190303170428873"</f>
        <v>20190303170428873</v>
      </c>
      <c r="B7209" t="str">
        <f>"1551603868862847"</f>
        <v>1551603868862847</v>
      </c>
      <c r="C7209" t="s">
        <v>40</v>
      </c>
      <c r="D7209">
        <v>4.7475680000000002</v>
      </c>
      <c r="E7209">
        <v>0.3676606</v>
      </c>
      <c r="F7209" t="s">
        <v>55</v>
      </c>
      <c r="G7209">
        <v>-168.45060000000001</v>
      </c>
      <c r="H7209">
        <v>2.3662390000000002</v>
      </c>
      <c r="I7209">
        <v>-39.54504</v>
      </c>
      <c r="J7209">
        <v>-207.7704</v>
      </c>
      <c r="K7209">
        <v>1.130517</v>
      </c>
      <c r="L7209">
        <v>-63.236150000000002</v>
      </c>
      <c r="M7209">
        <v>0.98539129999999997</v>
      </c>
      <c r="N7209">
        <v>-1.2887010000000001E-2</v>
      </c>
      <c r="O7209">
        <v>0.16981789999999999</v>
      </c>
      <c r="P7209">
        <v>0.96282979999999996</v>
      </c>
      <c r="Q7209">
        <v>0.18362300000000001</v>
      </c>
      <c r="R7209">
        <v>0.19809479999999999</v>
      </c>
      <c r="S7209">
        <v>2.7642359999999999</v>
      </c>
      <c r="T7209">
        <v>8.6543320000000007E-2</v>
      </c>
      <c r="U7209">
        <v>1.6611020000000001</v>
      </c>
      <c r="V7209">
        <v>-3.6061759999999998E-2</v>
      </c>
      <c r="W7209">
        <v>0.1955144</v>
      </c>
      <c r="X7209">
        <v>0.98003759999999995</v>
      </c>
      <c r="Y7209">
        <v>-0.36208360000000001</v>
      </c>
      <c r="Z7209">
        <v>4.1694990000000001E-3</v>
      </c>
      <c r="AA7209">
        <v>0.93213630000000003</v>
      </c>
      <c r="AB7209">
        <v>33</v>
      </c>
      <c r="AC7209">
        <v>39.319800000000001</v>
      </c>
      <c r="AD7209">
        <v>1.23572199999999</v>
      </c>
      <c r="AE7209">
        <v>23.691109999999998</v>
      </c>
      <c r="AF7209">
        <v>-16.657120176385501</v>
      </c>
      <c r="AG7209">
        <v>1.23572199999999</v>
      </c>
      <c r="AH7209">
        <v>42.741139562384298</v>
      </c>
      <c r="AI7209">
        <v>88.456920822201297</v>
      </c>
      <c r="AJ7209">
        <v>111.291907801351</v>
      </c>
      <c r="AK7209">
        <v>45.8889057673317</v>
      </c>
      <c r="AL7209">
        <v>78.725225194615604</v>
      </c>
      <c r="AM7209">
        <v>92.107322096474206</v>
      </c>
      <c r="AN7209">
        <v>1.0000000142776999</v>
      </c>
    </row>
    <row r="7210" spans="1:40" x14ac:dyDescent="0.25">
      <c r="A7210" t="str">
        <f>"20190303170428885"</f>
        <v>20190303170428885</v>
      </c>
      <c r="B7210" t="str">
        <f>"1551603868872606"</f>
        <v>1551603868872606</v>
      </c>
      <c r="C7210" t="s">
        <v>40</v>
      </c>
      <c r="D7210">
        <v>4.674086</v>
      </c>
      <c r="E7210">
        <v>0.3676606</v>
      </c>
      <c r="F7210" t="s">
        <v>55</v>
      </c>
      <c r="G7210">
        <v>-168.45060000000001</v>
      </c>
      <c r="H7210">
        <v>2.3431579999999999</v>
      </c>
      <c r="I7210">
        <v>-39.339410000000001</v>
      </c>
      <c r="J7210">
        <v>-207.6026</v>
      </c>
      <c r="K7210">
        <v>1.130692</v>
      </c>
      <c r="L7210">
        <v>-63.201929999999997</v>
      </c>
      <c r="M7210">
        <v>0.98437819999999998</v>
      </c>
      <c r="N7210">
        <v>-1.292627E-2</v>
      </c>
      <c r="O7210">
        <v>0.17559169999999999</v>
      </c>
      <c r="P7210">
        <v>0.96139090000000005</v>
      </c>
      <c r="Q7210">
        <v>0.18418300000000001</v>
      </c>
      <c r="R7210">
        <v>0.2044608</v>
      </c>
      <c r="S7210">
        <v>2.7550810000000001</v>
      </c>
      <c r="T7210">
        <v>8.4966420000000001E-2</v>
      </c>
      <c r="U7210">
        <v>1.6744079999999999</v>
      </c>
      <c r="V7210">
        <v>-3.6919710000000001E-2</v>
      </c>
      <c r="W7210">
        <v>0.19607830000000001</v>
      </c>
      <c r="X7210">
        <v>0.97989300000000001</v>
      </c>
      <c r="Y7210">
        <v>-0.3612842</v>
      </c>
      <c r="Z7210">
        <v>4.4257360000000004E-3</v>
      </c>
      <c r="AA7210">
        <v>0.93244530000000003</v>
      </c>
      <c r="AB7210">
        <v>33</v>
      </c>
      <c r="AC7210">
        <v>39.152000000000001</v>
      </c>
      <c r="AD7210">
        <v>1.212466</v>
      </c>
      <c r="AE7210">
        <v>23.86252</v>
      </c>
      <c r="AF7210">
        <v>-16.6047555194491</v>
      </c>
      <c r="AG7210">
        <v>1.212466</v>
      </c>
      <c r="AH7210">
        <v>42.704144908292399</v>
      </c>
      <c r="AI7210">
        <v>88.484181492123795</v>
      </c>
      <c r="AJ7210">
        <v>111.247694483827</v>
      </c>
      <c r="AK7210">
        <v>45.834833609496897</v>
      </c>
      <c r="AL7210">
        <v>78.692278563706907</v>
      </c>
      <c r="AM7210">
        <v>92.157728905615301</v>
      </c>
      <c r="AN7210">
        <v>1.00000002808318</v>
      </c>
    </row>
    <row r="7211" spans="1:40" x14ac:dyDescent="0.25">
      <c r="A7211" t="str">
        <f>"20190303170428897"</f>
        <v>20190303170428897</v>
      </c>
      <c r="B7211" t="str">
        <f>"1551603868893102"</f>
        <v>1551603868893102</v>
      </c>
      <c r="C7211" t="s">
        <v>40</v>
      </c>
      <c r="D7211">
        <v>4.6507500000000004</v>
      </c>
      <c r="E7211">
        <v>0.36599470000000001</v>
      </c>
      <c r="F7211" t="s">
        <v>55</v>
      </c>
      <c r="G7211">
        <v>-168.45060000000001</v>
      </c>
      <c r="H7211">
        <v>2.3686410000000002</v>
      </c>
      <c r="I7211">
        <v>-39.051229999999997</v>
      </c>
      <c r="J7211">
        <v>-207.43549999999999</v>
      </c>
      <c r="K7211">
        <v>1.130865</v>
      </c>
      <c r="L7211">
        <v>-63.167360000000002</v>
      </c>
      <c r="M7211">
        <v>0.98332509999999995</v>
      </c>
      <c r="N7211">
        <v>-1.2964369999999999E-2</v>
      </c>
      <c r="O7211">
        <v>0.18139359999999999</v>
      </c>
      <c r="P7211">
        <v>0.95985560000000003</v>
      </c>
      <c r="Q7211">
        <v>0.1849518</v>
      </c>
      <c r="R7211">
        <v>0.2108797</v>
      </c>
      <c r="S7211">
        <v>2.7439119999999999</v>
      </c>
      <c r="T7211">
        <v>8.6758379999999996E-2</v>
      </c>
      <c r="U7211">
        <v>1.692566</v>
      </c>
      <c r="V7211">
        <v>-3.782021E-2</v>
      </c>
      <c r="W7211">
        <v>0.19684740000000001</v>
      </c>
      <c r="X7211">
        <v>0.97970440000000003</v>
      </c>
      <c r="Y7211">
        <v>-0.36195490000000002</v>
      </c>
      <c r="Z7211">
        <v>4.6636660000000003E-3</v>
      </c>
      <c r="AA7211">
        <v>0.93218389999999995</v>
      </c>
      <c r="AB7211">
        <v>33</v>
      </c>
      <c r="AC7211">
        <v>38.984899999999897</v>
      </c>
      <c r="AD7211">
        <v>1.23777599999999</v>
      </c>
      <c r="AE7211">
        <v>24.116129999999998</v>
      </c>
      <c r="AF7211">
        <v>-16.631657879650898</v>
      </c>
      <c r="AG7211">
        <v>1.23777599999999</v>
      </c>
      <c r="AH7211">
        <v>42.681814386069099</v>
      </c>
      <c r="AI7211">
        <v>88.452181153959103</v>
      </c>
      <c r="AJ7211">
        <v>111.28917837163</v>
      </c>
      <c r="AK7211">
        <v>45.824463036011501</v>
      </c>
      <c r="AL7211">
        <v>78.647336069798797</v>
      </c>
      <c r="AM7211">
        <v>92.210731064909695</v>
      </c>
      <c r="AN7211">
        <v>0.999999989275282</v>
      </c>
    </row>
    <row r="7212" spans="1:40" x14ac:dyDescent="0.25">
      <c r="A7212" t="str">
        <f>"20190303170428907"</f>
        <v>20190303170428907</v>
      </c>
      <c r="B7212" t="str">
        <f>"1551603868902862"</f>
        <v>1551603868902862</v>
      </c>
      <c r="C7212" t="s">
        <v>40</v>
      </c>
      <c r="D7212">
        <v>4.7200319999999998</v>
      </c>
      <c r="E7212">
        <v>0.36606620000000001</v>
      </c>
      <c r="F7212" t="s">
        <v>55</v>
      </c>
      <c r="G7212">
        <v>-168.45060000000001</v>
      </c>
      <c r="H7212">
        <v>2.7677170000000002</v>
      </c>
      <c r="I7212">
        <v>-38.534869999999998</v>
      </c>
      <c r="J7212">
        <v>-207.2724</v>
      </c>
      <c r="K7212">
        <v>1.131035</v>
      </c>
      <c r="L7212">
        <v>-63.132019999999997</v>
      </c>
      <c r="M7212">
        <v>0.98223280000000002</v>
      </c>
      <c r="N7212">
        <v>-1.3003499999999999E-2</v>
      </c>
      <c r="O7212">
        <v>0.18721599999999999</v>
      </c>
      <c r="P7212">
        <v>0.95835979999999998</v>
      </c>
      <c r="Q7212">
        <v>0.18531890000000001</v>
      </c>
      <c r="R7212">
        <v>0.21726409999999999</v>
      </c>
      <c r="S7212">
        <v>2.7251280000000002</v>
      </c>
      <c r="T7212">
        <v>0.11441800000000001</v>
      </c>
      <c r="U7212">
        <v>1.7218629999999999</v>
      </c>
      <c r="V7212">
        <v>-3.8644600000000001E-2</v>
      </c>
      <c r="W7212">
        <v>0.19721820000000001</v>
      </c>
      <c r="X7212">
        <v>0.97959770000000002</v>
      </c>
      <c r="Y7212">
        <v>-0.36648629999999999</v>
      </c>
      <c r="Z7212">
        <v>4.8848290000000003E-3</v>
      </c>
      <c r="AA7212">
        <v>0.93041059999999998</v>
      </c>
      <c r="AB7212">
        <v>33</v>
      </c>
      <c r="AC7212">
        <v>38.821800000000003</v>
      </c>
      <c r="AD7212">
        <v>1.63668199999999</v>
      </c>
      <c r="AE7212">
        <v>24.597149999999999</v>
      </c>
      <c r="AF7212">
        <v>-16.872094125530499</v>
      </c>
      <c r="AG7212">
        <v>1.63668199999999</v>
      </c>
      <c r="AH7212">
        <v>42.686497887428096</v>
      </c>
      <c r="AI7212">
        <v>87.957834941491299</v>
      </c>
      <c r="AJ7212">
        <v>111.566706545768</v>
      </c>
      <c r="AK7212">
        <v>45.929112663356499</v>
      </c>
      <c r="AL7212">
        <v>78.625666563121101</v>
      </c>
      <c r="AM7212">
        <v>92.259116107603006</v>
      </c>
      <c r="AN7212">
        <v>1.00000003868284</v>
      </c>
    </row>
    <row r="7213" spans="1:40" x14ac:dyDescent="0.25">
      <c r="A7213" t="str">
        <f>"20190303170428920"</f>
        <v>20190303170428920</v>
      </c>
      <c r="B7213" t="str">
        <f>"1551603868912622"</f>
        <v>1551603868912622</v>
      </c>
      <c r="C7213" t="s">
        <v>40</v>
      </c>
      <c r="D7213">
        <v>4.7372290000000001</v>
      </c>
      <c r="E7213">
        <v>0.36623159999999999</v>
      </c>
      <c r="F7213" t="s">
        <v>55</v>
      </c>
      <c r="G7213">
        <v>-168.45060000000001</v>
      </c>
      <c r="H7213">
        <v>2.859429</v>
      </c>
      <c r="I7213">
        <v>-38.240299999999998</v>
      </c>
      <c r="J7213">
        <v>-207.10769999999999</v>
      </c>
      <c r="K7213">
        <v>1.1312089999999999</v>
      </c>
      <c r="L7213">
        <v>-63.095550000000003</v>
      </c>
      <c r="M7213">
        <v>0.98107880000000003</v>
      </c>
      <c r="N7213">
        <v>-1.304251E-2</v>
      </c>
      <c r="O7213">
        <v>0.19316920000000001</v>
      </c>
      <c r="P7213">
        <v>0.9569858</v>
      </c>
      <c r="Q7213">
        <v>0.18530779999999999</v>
      </c>
      <c r="R7213">
        <v>0.22324740000000001</v>
      </c>
      <c r="S7213">
        <v>2.7126920000000001</v>
      </c>
      <c r="T7213">
        <v>0.1207709</v>
      </c>
      <c r="U7213">
        <v>1.7393189999999901</v>
      </c>
      <c r="V7213">
        <v>-3.8908930000000001E-2</v>
      </c>
      <c r="W7213">
        <v>0.19722419999999999</v>
      </c>
      <c r="X7213">
        <v>0.97958599999999996</v>
      </c>
      <c r="Y7213">
        <v>-0.36702590000000002</v>
      </c>
      <c r="Z7213">
        <v>5.1995929999999997E-3</v>
      </c>
      <c r="AA7213">
        <v>0.93019620000000003</v>
      </c>
      <c r="AB7213">
        <v>33</v>
      </c>
      <c r="AC7213">
        <v>38.6570999999999</v>
      </c>
      <c r="AD7213">
        <v>1.7282200000000001</v>
      </c>
      <c r="AE7213">
        <v>24.855250000000002</v>
      </c>
      <c r="AF7213">
        <v>-16.895145355894499</v>
      </c>
      <c r="AG7213">
        <v>1.7282200000000001</v>
      </c>
      <c r="AH7213">
        <v>42.670224445499102</v>
      </c>
      <c r="AI7213">
        <v>87.843411361446101</v>
      </c>
      <c r="AJ7213">
        <v>111.600938328266</v>
      </c>
      <c r="AK7213">
        <v>45.925817741162497</v>
      </c>
      <c r="AL7213">
        <v>78.625315577962994</v>
      </c>
      <c r="AM7213">
        <v>92.274579479990393</v>
      </c>
      <c r="AN7213">
        <v>1.0000000106476901</v>
      </c>
    </row>
    <row r="7214" spans="1:40" x14ac:dyDescent="0.25">
      <c r="A7214" t="str">
        <f>"20190303170428930"</f>
        <v>20190303170428930</v>
      </c>
      <c r="B7214" t="str">
        <f>"1551603868922382"</f>
        <v>1551603868922382</v>
      </c>
      <c r="C7214" t="s">
        <v>40</v>
      </c>
      <c r="D7214">
        <v>4.7319639999999996</v>
      </c>
      <c r="E7214">
        <v>0.36648589999999998</v>
      </c>
      <c r="F7214" t="s">
        <v>55</v>
      </c>
      <c r="G7214">
        <v>-168.45060000000001</v>
      </c>
      <c r="H7214">
        <v>2.915381</v>
      </c>
      <c r="I7214">
        <v>-37.981259999999999</v>
      </c>
      <c r="J7214">
        <v>-206.9597</v>
      </c>
      <c r="K7214">
        <v>1.131354</v>
      </c>
      <c r="L7214">
        <v>-63.061770000000003</v>
      </c>
      <c r="M7214">
        <v>0.9799911</v>
      </c>
      <c r="N7214">
        <v>-1.307795E-2</v>
      </c>
      <c r="O7214">
        <v>0.19861090000000001</v>
      </c>
      <c r="P7214">
        <v>0.95567389999999997</v>
      </c>
      <c r="Q7214">
        <v>0.18491450000000001</v>
      </c>
      <c r="R7214">
        <v>0.22911599999999999</v>
      </c>
      <c r="S7214">
        <v>2.7012939999999999</v>
      </c>
      <c r="T7214">
        <v>0.1246736</v>
      </c>
      <c r="U7214">
        <v>1.7549439999999901</v>
      </c>
      <c r="V7214">
        <v>-3.9534699999999999E-2</v>
      </c>
      <c r="W7214">
        <v>0.1968385</v>
      </c>
      <c r="X7214">
        <v>0.97963849999999997</v>
      </c>
      <c r="Y7214">
        <v>-0.36744260000000001</v>
      </c>
      <c r="Z7214">
        <v>5.5022259999999998E-3</v>
      </c>
      <c r="AA7214">
        <v>0.93002989999999996</v>
      </c>
      <c r="AB7214">
        <v>33</v>
      </c>
      <c r="AC7214">
        <v>38.509099999999897</v>
      </c>
      <c r="AD7214">
        <v>1.78402699999999</v>
      </c>
      <c r="AE7214">
        <v>25.08051</v>
      </c>
      <c r="AF7214">
        <v>-16.9063208315835</v>
      </c>
      <c r="AG7214">
        <v>1.78402699999999</v>
      </c>
      <c r="AH7214">
        <v>42.659206934441698</v>
      </c>
      <c r="AI7214">
        <v>87.773543659436996</v>
      </c>
      <c r="AJ7214">
        <v>111.61897670398</v>
      </c>
      <c r="AK7214">
        <v>45.921828934317098</v>
      </c>
      <c r="AL7214">
        <v>78.647856176523206</v>
      </c>
      <c r="AM7214">
        <v>92.310998330498407</v>
      </c>
      <c r="AN7214">
        <v>0.999999989134294</v>
      </c>
    </row>
    <row r="7215" spans="1:40" x14ac:dyDescent="0.25">
      <c r="A7215" t="str">
        <f>"20190303170428940"</f>
        <v>20190303170428940</v>
      </c>
      <c r="B7215" t="str">
        <f>"1551603868933119"</f>
        <v>1551603868933119</v>
      </c>
      <c r="C7215" t="s">
        <v>40</v>
      </c>
      <c r="D7215">
        <v>4.7378099999999996</v>
      </c>
      <c r="E7215">
        <v>0.36702289999999999</v>
      </c>
      <c r="F7215" t="s">
        <v>55</v>
      </c>
      <c r="G7215">
        <v>-168.45060000000001</v>
      </c>
      <c r="H7215">
        <v>2.9400770000000001</v>
      </c>
      <c r="I7215">
        <v>-37.7316</v>
      </c>
      <c r="J7215">
        <v>-206.8064</v>
      </c>
      <c r="K7215">
        <v>1.131502</v>
      </c>
      <c r="L7215">
        <v>-63.025730000000003</v>
      </c>
      <c r="M7215">
        <v>0.97881309999999999</v>
      </c>
      <c r="N7215">
        <v>-1.311435E-2</v>
      </c>
      <c r="O7215">
        <v>0.20433580000000001</v>
      </c>
      <c r="P7215">
        <v>0.95442490000000002</v>
      </c>
      <c r="Q7215">
        <v>0.18386620000000001</v>
      </c>
      <c r="R7215">
        <v>0.2350883</v>
      </c>
      <c r="S7215">
        <v>2.6904300000000001</v>
      </c>
      <c r="T7215">
        <v>0.12636449999999999</v>
      </c>
      <c r="U7215">
        <v>1.769684</v>
      </c>
      <c r="V7215">
        <v>-3.9944859999999999E-2</v>
      </c>
      <c r="W7215">
        <v>0.19580429999999999</v>
      </c>
      <c r="X7215">
        <v>0.97982910000000001</v>
      </c>
      <c r="Y7215">
        <v>-0.3672919</v>
      </c>
      <c r="Z7215">
        <v>5.8302730000000004E-3</v>
      </c>
      <c r="AA7215">
        <v>0.93008740000000001</v>
      </c>
      <c r="AB7215">
        <v>33</v>
      </c>
      <c r="AC7215">
        <v>38.355799999999903</v>
      </c>
      <c r="AD7215">
        <v>1.808575</v>
      </c>
      <c r="AE7215">
        <v>25.294129999999999</v>
      </c>
      <c r="AF7215">
        <v>-16.8960358766602</v>
      </c>
      <c r="AG7215">
        <v>1.808575</v>
      </c>
      <c r="AH7215">
        <v>42.649239903737602</v>
      </c>
      <c r="AI7215">
        <v>87.742297705269493</v>
      </c>
      <c r="AJ7215">
        <v>111.611621122955</v>
      </c>
      <c r="AK7215">
        <v>45.909744458476098</v>
      </c>
      <c r="AL7215">
        <v>78.708287508324403</v>
      </c>
      <c r="AM7215">
        <v>92.334494105833301</v>
      </c>
      <c r="AN7215">
        <v>0.99999999047285903</v>
      </c>
    </row>
    <row r="7216" spans="1:40" x14ac:dyDescent="0.25">
      <c r="A7216" t="str">
        <f>"20190303170428951"</f>
        <v>20190303170428951</v>
      </c>
      <c r="B7216" t="str">
        <f>"1551603868942879"</f>
        <v>1551603868942879</v>
      </c>
      <c r="C7216" t="s">
        <v>40</v>
      </c>
      <c r="D7216">
        <v>4.7949140000000003</v>
      </c>
      <c r="E7216">
        <v>0.36702289999999999</v>
      </c>
      <c r="F7216" t="s">
        <v>54</v>
      </c>
      <c r="G7216">
        <v>-146.09289999999999</v>
      </c>
      <c r="H7216">
        <v>3.9337719999999998</v>
      </c>
      <c r="I7216">
        <v>-22.650010000000002</v>
      </c>
      <c r="J7216">
        <v>-206.64959999999999</v>
      </c>
      <c r="K7216">
        <v>1.1316520000000001</v>
      </c>
      <c r="L7216">
        <v>-62.988039999999998</v>
      </c>
      <c r="M7216">
        <v>0.97755599999999998</v>
      </c>
      <c r="N7216">
        <v>-1.315088E-2</v>
      </c>
      <c r="O7216">
        <v>0.2102649</v>
      </c>
      <c r="P7216">
        <v>0.9530845</v>
      </c>
      <c r="Q7216">
        <v>0.18256410000000001</v>
      </c>
      <c r="R7216">
        <v>0.24145549999999999</v>
      </c>
      <c r="S7216">
        <v>2.680374</v>
      </c>
      <c r="T7216">
        <v>0.123714</v>
      </c>
      <c r="U7216">
        <v>1.7825009999999999</v>
      </c>
      <c r="V7216">
        <v>-4.0540899999999998E-2</v>
      </c>
      <c r="W7216">
        <v>0.19451260000000001</v>
      </c>
      <c r="X7216">
        <v>0.98006190000000004</v>
      </c>
      <c r="Y7216">
        <v>-0.3663536</v>
      </c>
      <c r="Z7216">
        <v>6.1546630000000003E-3</v>
      </c>
      <c r="AA7216">
        <v>0.93045540000000004</v>
      </c>
      <c r="AB7216">
        <v>33</v>
      </c>
      <c r="AC7216">
        <v>60.556699999999999</v>
      </c>
      <c r="AD7216">
        <v>2.8021199999999999</v>
      </c>
      <c r="AE7216">
        <v>40.338029999999897</v>
      </c>
      <c r="AF7216">
        <v>-26.662500920868201</v>
      </c>
      <c r="AG7216">
        <v>2.8021199999999999</v>
      </c>
      <c r="AH7216">
        <v>67.584855825666693</v>
      </c>
      <c r="AI7216">
        <v>87.791310237641298</v>
      </c>
      <c r="AJ7216">
        <v>111.52943626767799</v>
      </c>
      <c r="AK7216">
        <v>72.708002096233201</v>
      </c>
      <c r="AL7216">
        <v>78.7837477955959</v>
      </c>
      <c r="AM7216">
        <v>92.368726865495304</v>
      </c>
      <c r="AN7216">
        <v>1.0000000219815799</v>
      </c>
    </row>
    <row r="7217" spans="1:40" x14ac:dyDescent="0.25">
      <c r="A7217" t="str">
        <f>"20190303170428963"</f>
        <v>20190303170428963</v>
      </c>
      <c r="B7217" t="str">
        <f>"1551603868952639"</f>
        <v>1551603868952639</v>
      </c>
      <c r="C7217" t="s">
        <v>40</v>
      </c>
      <c r="D7217">
        <v>4.7810280000000001</v>
      </c>
      <c r="E7217">
        <v>0.38236300000000001</v>
      </c>
      <c r="F7217" t="s">
        <v>54</v>
      </c>
      <c r="G7217">
        <v>-146.85409999999999</v>
      </c>
      <c r="H7217">
        <v>3.8155990000000002</v>
      </c>
      <c r="I7217">
        <v>-22.650010000000002</v>
      </c>
      <c r="J7217">
        <v>-206.48859999999999</v>
      </c>
      <c r="K7217">
        <v>1.1318060000000001</v>
      </c>
      <c r="L7217">
        <v>-62.947809999999997</v>
      </c>
      <c r="M7217">
        <v>0.97619869999999997</v>
      </c>
      <c r="N7217">
        <v>-1.3188739999999999E-2</v>
      </c>
      <c r="O7217">
        <v>0.21647659999999999</v>
      </c>
      <c r="P7217">
        <v>0.9516078</v>
      </c>
      <c r="Q7217">
        <v>0.1815814</v>
      </c>
      <c r="R7217">
        <v>0.24793370000000001</v>
      </c>
      <c r="S7217">
        <v>2.6686399999999999</v>
      </c>
      <c r="T7217">
        <v>0.11978279999999999</v>
      </c>
      <c r="U7217">
        <v>1.80026199999999</v>
      </c>
      <c r="V7217">
        <v>-4.0987259999999998E-2</v>
      </c>
      <c r="W7217">
        <v>0.1935434</v>
      </c>
      <c r="X7217">
        <v>0.98023519999999997</v>
      </c>
      <c r="Y7217">
        <v>-0.36659819999999999</v>
      </c>
      <c r="Z7217">
        <v>6.4553930000000002E-3</v>
      </c>
      <c r="AA7217">
        <v>0.93035699999999999</v>
      </c>
      <c r="AB7217">
        <v>33</v>
      </c>
      <c r="AC7217">
        <v>59.634500000000003</v>
      </c>
      <c r="AD7217">
        <v>2.6837930000000001</v>
      </c>
      <c r="AE7217">
        <v>40.297800000000002</v>
      </c>
      <c r="AF7217">
        <v>-26.394785143070902</v>
      </c>
      <c r="AG7217">
        <v>2.6837930000000001</v>
      </c>
      <c r="AH7217">
        <v>66.851522734972406</v>
      </c>
      <c r="AI7217">
        <v>87.861542241043693</v>
      </c>
      <c r="AJ7217">
        <v>111.545444298571</v>
      </c>
      <c r="AK7217">
        <v>71.923664531225498</v>
      </c>
      <c r="AL7217">
        <v>78.840354659844905</v>
      </c>
      <c r="AM7217">
        <v>92.394353734042596</v>
      </c>
      <c r="AN7217">
        <v>1.0000000252424499</v>
      </c>
    </row>
    <row r="7218" spans="1:40" x14ac:dyDescent="0.25">
      <c r="A7218" t="str">
        <f>"20190303170428974"</f>
        <v>20190303170428974</v>
      </c>
      <c r="B7218" t="str">
        <f>"1551603868962399"</f>
        <v>1551603868962399</v>
      </c>
      <c r="C7218" t="s">
        <v>40</v>
      </c>
      <c r="D7218">
        <v>4.824217</v>
      </c>
      <c r="E7218">
        <v>0.38317659999999998</v>
      </c>
      <c r="F7218" t="s">
        <v>55</v>
      </c>
      <c r="G7218">
        <v>-168.45060000000001</v>
      </c>
      <c r="H7218">
        <v>1.5942750000000001</v>
      </c>
      <c r="I7218">
        <v>-38.884569999999997</v>
      </c>
      <c r="J7218">
        <v>-206.33070000000001</v>
      </c>
      <c r="K7218">
        <v>1.131953</v>
      </c>
      <c r="L7218">
        <v>-62.907870000000003</v>
      </c>
      <c r="M7218">
        <v>0.97481910000000005</v>
      </c>
      <c r="N7218">
        <v>-1.322451E-2</v>
      </c>
      <c r="O7218">
        <v>0.22260469999999999</v>
      </c>
      <c r="P7218">
        <v>0.9500073</v>
      </c>
      <c r="Q7218">
        <v>0.18084249999999999</v>
      </c>
      <c r="R7218">
        <v>0.2545232</v>
      </c>
      <c r="S7218">
        <v>2.7010960000000002</v>
      </c>
      <c r="T7218">
        <v>3.2838699999999901E-2</v>
      </c>
      <c r="U7218">
        <v>1.7087399999999999</v>
      </c>
      <c r="V7218">
        <v>-4.1647749999999997E-2</v>
      </c>
      <c r="W7218">
        <v>0.1928107</v>
      </c>
      <c r="X7218">
        <v>0.98035170000000005</v>
      </c>
      <c r="Y7218">
        <v>-0.33311590000000002</v>
      </c>
      <c r="Z7218">
        <v>5.7241039999999998E-3</v>
      </c>
      <c r="AA7218">
        <v>0.9428685</v>
      </c>
      <c r="AB7218">
        <v>33</v>
      </c>
      <c r="AC7218">
        <v>37.880099999999999</v>
      </c>
      <c r="AD7218">
        <v>0.46232200000000001</v>
      </c>
      <c r="AE7218">
        <v>24.0232999999999</v>
      </c>
      <c r="AF7218">
        <v>-14.9858018908707</v>
      </c>
      <c r="AG7218">
        <v>0.46232200000000001</v>
      </c>
      <c r="AH7218">
        <v>42.273150408188897</v>
      </c>
      <c r="AI7218">
        <v>89.409415969828004</v>
      </c>
      <c r="AJ7218">
        <v>109.519380670432</v>
      </c>
      <c r="AK7218">
        <v>44.853174306591399</v>
      </c>
      <c r="AL7218">
        <v>78.883140681233499</v>
      </c>
      <c r="AM7218">
        <v>92.432602834205696</v>
      </c>
      <c r="AN7218">
        <v>0.99999997840372101</v>
      </c>
    </row>
    <row r="7219" spans="1:40" x14ac:dyDescent="0.25">
      <c r="A7219" t="str">
        <f>"20190303170428986"</f>
        <v>20190303170428986</v>
      </c>
      <c r="B7219" t="str">
        <f>"1551603868973135"</f>
        <v>1551603868973135</v>
      </c>
      <c r="C7219" t="s">
        <v>40</v>
      </c>
      <c r="D7219">
        <v>4.8052580000000003</v>
      </c>
      <c r="E7219">
        <v>0.38317659999999998</v>
      </c>
      <c r="F7219" t="s">
        <v>55</v>
      </c>
      <c r="G7219">
        <v>-168.45060000000001</v>
      </c>
      <c r="H7219">
        <v>1.552524</v>
      </c>
      <c r="I7219">
        <v>-38.67812</v>
      </c>
      <c r="J7219">
        <v>-206.166</v>
      </c>
      <c r="K7219">
        <v>1.1321030000000001</v>
      </c>
      <c r="L7219">
        <v>-62.864199999999997</v>
      </c>
      <c r="M7219">
        <v>0.97329969999999999</v>
      </c>
      <c r="N7219">
        <v>-1.3263250000000001E-2</v>
      </c>
      <c r="O7219">
        <v>0.22915489999999999</v>
      </c>
      <c r="P7219">
        <v>0.94803859999999995</v>
      </c>
      <c r="Q7219">
        <v>0.18066119999999999</v>
      </c>
      <c r="R7219">
        <v>0.26188679999999998</v>
      </c>
      <c r="S7219">
        <v>2.6910099999999999</v>
      </c>
      <c r="T7219">
        <v>2.9875990000000002E-2</v>
      </c>
      <c r="U7219">
        <v>1.7212829999999999</v>
      </c>
      <c r="V7219">
        <v>-4.2725430000000002E-2</v>
      </c>
      <c r="W7219">
        <v>0.19262499999999999</v>
      </c>
      <c r="X7219">
        <v>0.98034189999999999</v>
      </c>
      <c r="Y7219">
        <v>-0.33149309999999998</v>
      </c>
      <c r="Z7219">
        <v>5.8318629999999996E-3</v>
      </c>
      <c r="AA7219">
        <v>0.94343960000000004</v>
      </c>
      <c r="AB7219">
        <v>33</v>
      </c>
      <c r="AC7219">
        <v>37.715399999999903</v>
      </c>
      <c r="AD7219">
        <v>0.42042099999999899</v>
      </c>
      <c r="AE7219">
        <v>24.18608</v>
      </c>
      <c r="AF7219">
        <v>-14.8976330730263</v>
      </c>
      <c r="AG7219">
        <v>0.42042099999999899</v>
      </c>
      <c r="AH7219">
        <v>42.250738819547301</v>
      </c>
      <c r="AI7219">
        <v>89.462332691829403</v>
      </c>
      <c r="AJ7219">
        <v>109.422677525927</v>
      </c>
      <c r="AK7219">
        <v>44.802244986087203</v>
      </c>
      <c r="AL7219">
        <v>78.893984540874499</v>
      </c>
      <c r="AM7219">
        <v>92.495495371626603</v>
      </c>
      <c r="AN7219">
        <v>1.00000004694464</v>
      </c>
    </row>
    <row r="7220" spans="1:40" x14ac:dyDescent="0.25">
      <c r="A7220" t="str">
        <f>"20190303170428997"</f>
        <v>20190303170428997</v>
      </c>
      <c r="B7220" t="str">
        <f>"1551603868982895"</f>
        <v>1551603868982895</v>
      </c>
      <c r="C7220" t="s">
        <v>40</v>
      </c>
      <c r="D7220">
        <v>4.7772360000000003</v>
      </c>
      <c r="E7220">
        <v>0.37751849999999998</v>
      </c>
      <c r="F7220" t="s">
        <v>55</v>
      </c>
      <c r="G7220">
        <v>-168.45060000000001</v>
      </c>
      <c r="H7220">
        <v>1.5417149999999999</v>
      </c>
      <c r="I7220">
        <v>-38.327660000000002</v>
      </c>
      <c r="J7220">
        <v>-206.00559999999999</v>
      </c>
      <c r="K7220">
        <v>1.1322509999999999</v>
      </c>
      <c r="L7220">
        <v>-62.821109999999997</v>
      </c>
      <c r="M7220">
        <v>0.97176709999999999</v>
      </c>
      <c r="N7220">
        <v>-1.329955E-2</v>
      </c>
      <c r="O7220">
        <v>0.2355672</v>
      </c>
      <c r="P7220">
        <v>0.94606440000000003</v>
      </c>
      <c r="Q7220">
        <v>0.18045259999999999</v>
      </c>
      <c r="R7220">
        <v>0.2690709</v>
      </c>
      <c r="S7220">
        <v>2.6776580000000001</v>
      </c>
      <c r="T7220">
        <v>2.9079440000000002E-2</v>
      </c>
      <c r="U7220">
        <v>1.7420040000000001</v>
      </c>
      <c r="V7220">
        <v>-4.3756160000000002E-2</v>
      </c>
      <c r="W7220">
        <v>0.19241069999999999</v>
      </c>
      <c r="X7220">
        <v>0.9803385</v>
      </c>
      <c r="Y7220">
        <v>-0.33255279999999998</v>
      </c>
      <c r="Z7220">
        <v>5.9753870000000004E-3</v>
      </c>
      <c r="AA7220">
        <v>0.94306570000000001</v>
      </c>
      <c r="AB7220">
        <v>33</v>
      </c>
      <c r="AC7220">
        <v>37.5549999999999</v>
      </c>
      <c r="AD7220">
        <v>0.409463999999999</v>
      </c>
      <c r="AE7220">
        <v>24.493449999999999</v>
      </c>
      <c r="AF7220">
        <v>-14.955277598367299</v>
      </c>
      <c r="AG7220">
        <v>0.409463999999999</v>
      </c>
      <c r="AH7220">
        <v>42.264778601904702</v>
      </c>
      <c r="AI7220">
        <v>89.476723422332896</v>
      </c>
      <c r="AJ7220">
        <v>109.48618769988499</v>
      </c>
      <c r="AK7220">
        <v>44.834579278493798</v>
      </c>
      <c r="AL7220">
        <v>78.906496865910697</v>
      </c>
      <c r="AM7220">
        <v>92.555627943244403</v>
      </c>
      <c r="AN7220">
        <v>1.0000000267973399</v>
      </c>
    </row>
    <row r="7221" spans="1:40" x14ac:dyDescent="0.25">
      <c r="A7221" t="str">
        <f>"20190303170429008"</f>
        <v>20190303170429008</v>
      </c>
      <c r="B7221" t="str">
        <f>"1551603869002414"</f>
        <v>1551603869002414</v>
      </c>
      <c r="C7221" t="s">
        <v>40</v>
      </c>
      <c r="D7221">
        <v>4.8085969999999998</v>
      </c>
      <c r="E7221">
        <v>0.37934200000000001</v>
      </c>
      <c r="F7221" t="s">
        <v>54</v>
      </c>
      <c r="G7221">
        <v>-147.00229999999999</v>
      </c>
      <c r="H7221">
        <v>3.2728449999999998</v>
      </c>
      <c r="I7221">
        <v>-22.65</v>
      </c>
      <c r="J7221">
        <v>-205.84610000000001</v>
      </c>
      <c r="K7221">
        <v>1.13239</v>
      </c>
      <c r="L7221">
        <v>-62.776609999999998</v>
      </c>
      <c r="M7221">
        <v>0.97016950000000002</v>
      </c>
      <c r="N7221">
        <v>-1.3336310000000001E-2</v>
      </c>
      <c r="O7221">
        <v>0.24206030000000001</v>
      </c>
      <c r="P7221">
        <v>0.94381760000000003</v>
      </c>
      <c r="Q7221">
        <v>0.18076110000000001</v>
      </c>
      <c r="R7221">
        <v>0.27664739999999999</v>
      </c>
      <c r="S7221">
        <v>2.6413120000000001</v>
      </c>
      <c r="T7221">
        <v>9.5824480000000004E-2</v>
      </c>
      <c r="U7221">
        <v>1.798279</v>
      </c>
      <c r="V7221">
        <v>-4.5154010000000001E-2</v>
      </c>
      <c r="W7221">
        <v>0.1927027</v>
      </c>
      <c r="X7221">
        <v>0.98021780000000003</v>
      </c>
      <c r="Y7221">
        <v>-0.3460511</v>
      </c>
      <c r="Z7221">
        <v>7.6014580000000002E-3</v>
      </c>
      <c r="AA7221">
        <v>0.93818489999999999</v>
      </c>
      <c r="AB7221">
        <v>33</v>
      </c>
      <c r="AC7221">
        <v>58.843800000000002</v>
      </c>
      <c r="AD7221">
        <v>2.14045499999999</v>
      </c>
      <c r="AE7221">
        <v>40.126609999999999</v>
      </c>
      <c r="AF7221">
        <v>-24.665784615277399</v>
      </c>
      <c r="AG7221">
        <v>2.14045499999999</v>
      </c>
      <c r="AH7221">
        <v>66.747179726609303</v>
      </c>
      <c r="AI7221">
        <v>88.277065899184194</v>
      </c>
      <c r="AJ7221">
        <v>110.281311882465</v>
      </c>
      <c r="AK7221">
        <v>71.191070224787097</v>
      </c>
      <c r="AL7221">
        <v>78.889447979018996</v>
      </c>
      <c r="AM7221">
        <v>92.637481743742597</v>
      </c>
      <c r="AN7221">
        <v>1.0000000753216001</v>
      </c>
    </row>
    <row r="7222" spans="1:40" x14ac:dyDescent="0.25">
      <c r="A7222" t="str">
        <f>"20190303170429019"</f>
        <v>20190303170429019</v>
      </c>
      <c r="B7222" t="str">
        <f>"1551603869013151"</f>
        <v>1551603869013151</v>
      </c>
      <c r="C7222" t="s">
        <v>40</v>
      </c>
      <c r="D7222">
        <v>4.8181440000000002</v>
      </c>
      <c r="E7222">
        <v>0.3802431</v>
      </c>
      <c r="F7222" t="s">
        <v>54</v>
      </c>
      <c r="G7222">
        <v>-147.37370000000001</v>
      </c>
      <c r="H7222">
        <v>3.0223369999999998</v>
      </c>
      <c r="I7222">
        <v>-22.65</v>
      </c>
      <c r="J7222">
        <v>-205.69239999999999</v>
      </c>
      <c r="K7222">
        <v>1.1325210000000001</v>
      </c>
      <c r="L7222">
        <v>-62.732880000000002</v>
      </c>
      <c r="M7222">
        <v>0.96857340000000003</v>
      </c>
      <c r="N7222">
        <v>-1.337166E-2</v>
      </c>
      <c r="O7222">
        <v>0.24836829999999999</v>
      </c>
      <c r="P7222">
        <v>0.94159470000000001</v>
      </c>
      <c r="Q7222">
        <v>0.18121719999999999</v>
      </c>
      <c r="R7222">
        <v>0.28383019999999998</v>
      </c>
      <c r="S7222">
        <v>2.6327210000000001</v>
      </c>
      <c r="T7222">
        <v>8.5094929999999999E-2</v>
      </c>
      <c r="U7222">
        <v>1.806702</v>
      </c>
      <c r="V7222">
        <v>-4.6343589999999997E-2</v>
      </c>
      <c r="W7222">
        <v>0.19314619999999999</v>
      </c>
      <c r="X7222">
        <v>0.98007489999999997</v>
      </c>
      <c r="Y7222">
        <v>-0.3434082</v>
      </c>
      <c r="Z7222">
        <v>7.6614909999999899E-3</v>
      </c>
      <c r="AA7222">
        <v>0.93915499999999996</v>
      </c>
      <c r="AB7222">
        <v>33</v>
      </c>
      <c r="AC7222">
        <v>58.3186999999999</v>
      </c>
      <c r="AD7222">
        <v>1.8898159999999999</v>
      </c>
      <c r="AE7222">
        <v>40.082879999999903</v>
      </c>
      <c r="AF7222">
        <v>-24.323523540271101</v>
      </c>
      <c r="AG7222">
        <v>1.8898159999999999</v>
      </c>
      <c r="AH7222">
        <v>66.399842366239</v>
      </c>
      <c r="AI7222">
        <v>88.469163124421001</v>
      </c>
      <c r="AJ7222">
        <v>110.118742107294</v>
      </c>
      <c r="AK7222">
        <v>70.739976450302606</v>
      </c>
      <c r="AL7222">
        <v>78.863549896195707</v>
      </c>
      <c r="AM7222">
        <v>92.707258126485897</v>
      </c>
      <c r="AN7222">
        <v>0.99999999625926805</v>
      </c>
    </row>
    <row r="7223" spans="1:40" x14ac:dyDescent="0.25">
      <c r="A7223" t="str">
        <f>"20190303170429029"</f>
        <v>20190303170429029</v>
      </c>
      <c r="B7223" t="str">
        <f>"1551603869022911"</f>
        <v>1551603869022911</v>
      </c>
      <c r="C7223" t="s">
        <v>40</v>
      </c>
      <c r="D7223">
        <v>4.8184659999999999</v>
      </c>
      <c r="E7223">
        <v>0.38136700000000001</v>
      </c>
      <c r="F7223" t="s">
        <v>54</v>
      </c>
      <c r="G7223">
        <v>-147.96860000000001</v>
      </c>
      <c r="H7223">
        <v>2.9719699999999998</v>
      </c>
      <c r="I7223">
        <v>-22.650010000000002</v>
      </c>
      <c r="J7223">
        <v>-205.53980000000001</v>
      </c>
      <c r="K7223">
        <v>1.132647</v>
      </c>
      <c r="L7223">
        <v>-62.688229999999997</v>
      </c>
      <c r="M7223">
        <v>0.96692719999999999</v>
      </c>
      <c r="N7223">
        <v>-1.340761E-2</v>
      </c>
      <c r="O7223">
        <v>0.25470009999999998</v>
      </c>
      <c r="P7223">
        <v>0.93927669999999996</v>
      </c>
      <c r="Q7223">
        <v>0.18186289999999999</v>
      </c>
      <c r="R7223">
        <v>0.29100779999999998</v>
      </c>
      <c r="S7223">
        <v>2.6213229999999998</v>
      </c>
      <c r="T7223">
        <v>8.3532209999999996E-2</v>
      </c>
      <c r="U7223">
        <v>1.8202210000000001</v>
      </c>
      <c r="V7223">
        <v>-4.7522670000000003E-2</v>
      </c>
      <c r="W7223">
        <v>0.19378010000000001</v>
      </c>
      <c r="X7223">
        <v>0.97989329999999997</v>
      </c>
      <c r="Y7223">
        <v>-0.34244469999999999</v>
      </c>
      <c r="Z7223">
        <v>7.9009100000000006E-3</v>
      </c>
      <c r="AA7223">
        <v>0.93950480000000003</v>
      </c>
      <c r="AB7223">
        <v>33</v>
      </c>
      <c r="AC7223">
        <v>57.571199999999997</v>
      </c>
      <c r="AD7223">
        <v>1.839323</v>
      </c>
      <c r="AE7223">
        <v>40.038220000000003</v>
      </c>
      <c r="AF7223">
        <v>-24.036277876854999</v>
      </c>
      <c r="AG7223">
        <v>1.839323</v>
      </c>
      <c r="AH7223">
        <v>65.825528740017305</v>
      </c>
      <c r="AI7223">
        <v>88.496486492408295</v>
      </c>
      <c r="AJ7223">
        <v>110.059731862983</v>
      </c>
      <c r="AK7223">
        <v>70.100827364408204</v>
      </c>
      <c r="AL7223">
        <v>78.826530820357704</v>
      </c>
      <c r="AM7223">
        <v>92.776543816854002</v>
      </c>
      <c r="AN7223">
        <v>1.0000000053524101</v>
      </c>
    </row>
    <row r="7224" spans="1:40" x14ac:dyDescent="0.25">
      <c r="A7224" t="str">
        <f>"20190303170429041"</f>
        <v>20190303170429041</v>
      </c>
      <c r="B7224" t="str">
        <f>"1551603869032671"</f>
        <v>1551603869032671</v>
      </c>
      <c r="C7224" t="s">
        <v>40</v>
      </c>
      <c r="D7224">
        <v>4.8126259999999998</v>
      </c>
      <c r="E7224">
        <v>0.38227319999999998</v>
      </c>
      <c r="F7224" t="s">
        <v>54</v>
      </c>
      <c r="G7224">
        <v>-148.49549999999999</v>
      </c>
      <c r="H7224">
        <v>2.9205109999999999</v>
      </c>
      <c r="I7224">
        <v>-22.650010000000002</v>
      </c>
      <c r="J7224">
        <v>-205.38839999999999</v>
      </c>
      <c r="K7224">
        <v>1.132765</v>
      </c>
      <c r="L7224">
        <v>-62.642760000000003</v>
      </c>
      <c r="M7224">
        <v>0.96523199999999998</v>
      </c>
      <c r="N7224">
        <v>-1.344441E-2</v>
      </c>
      <c r="O7224">
        <v>0.26104899999999998</v>
      </c>
      <c r="P7224">
        <v>0.93692200000000003</v>
      </c>
      <c r="Q7224">
        <v>0.1825889</v>
      </c>
      <c r="R7224">
        <v>0.2980584</v>
      </c>
      <c r="S7224">
        <v>2.6104430000000001</v>
      </c>
      <c r="T7224">
        <v>8.1815120000000005E-2</v>
      </c>
      <c r="U7224">
        <v>1.832214</v>
      </c>
      <c r="V7224">
        <v>-4.8563639999999998E-2</v>
      </c>
      <c r="W7224">
        <v>0.19449859999999999</v>
      </c>
      <c r="X7224">
        <v>0.97969989999999996</v>
      </c>
      <c r="Y7224">
        <v>-0.34100269999999999</v>
      </c>
      <c r="Z7224">
        <v>8.1339629999999993E-3</v>
      </c>
      <c r="AA7224">
        <v>0.9400271</v>
      </c>
      <c r="AB7224">
        <v>33</v>
      </c>
      <c r="AC7224">
        <v>56.892899999999997</v>
      </c>
      <c r="AD7224">
        <v>1.7877459999999901</v>
      </c>
      <c r="AE7224">
        <v>39.992750000000001</v>
      </c>
      <c r="AF7224">
        <v>-23.736905816064301</v>
      </c>
      <c r="AG7224">
        <v>1.7877459999999901</v>
      </c>
      <c r="AH7224">
        <v>65.317652166082098</v>
      </c>
      <c r="AI7224">
        <v>88.526444591911101</v>
      </c>
      <c r="AJ7224">
        <v>109.971509569758</v>
      </c>
      <c r="AK7224">
        <v>69.520014513595399</v>
      </c>
      <c r="AL7224">
        <v>78.784565455859294</v>
      </c>
      <c r="AM7224">
        <v>92.837824051682404</v>
      </c>
      <c r="AN7224">
        <v>1.0000000132960001</v>
      </c>
    </row>
    <row r="7225" spans="1:40" x14ac:dyDescent="0.25">
      <c r="A7225" t="str">
        <f>"20190303170429052"</f>
        <v>20190303170429052</v>
      </c>
      <c r="B7225" t="str">
        <f>"1551603869042431"</f>
        <v>1551603869042431</v>
      </c>
      <c r="C7225" t="s">
        <v>40</v>
      </c>
      <c r="D7225">
        <v>4.8200960000000004</v>
      </c>
      <c r="E7225">
        <v>0.38269019999999998</v>
      </c>
      <c r="F7225" t="s">
        <v>54</v>
      </c>
      <c r="G7225">
        <v>-149.06739999999999</v>
      </c>
      <c r="H7225">
        <v>2.8782299999999998</v>
      </c>
      <c r="I7225">
        <v>-22.650010000000002</v>
      </c>
      <c r="J7225">
        <v>-205.2337</v>
      </c>
      <c r="K7225">
        <v>1.1328819999999999</v>
      </c>
      <c r="L7225">
        <v>-62.595460000000003</v>
      </c>
      <c r="M7225">
        <v>0.96344319999999894</v>
      </c>
      <c r="N7225">
        <v>-1.3482310000000001E-2</v>
      </c>
      <c r="O7225">
        <v>0.26757360000000002</v>
      </c>
      <c r="P7225">
        <v>0.93453430000000004</v>
      </c>
      <c r="Q7225">
        <v>0.18362880000000001</v>
      </c>
      <c r="R7225">
        <v>0.3048381</v>
      </c>
      <c r="S7225">
        <v>2.5991360000000001</v>
      </c>
      <c r="T7225">
        <v>8.0550549999999999E-2</v>
      </c>
      <c r="U7225">
        <v>1.845612</v>
      </c>
      <c r="V7225">
        <v>-4.9173599999999998E-2</v>
      </c>
      <c r="W7225">
        <v>0.19554340000000001</v>
      </c>
      <c r="X7225">
        <v>0.97946140000000004</v>
      </c>
      <c r="Y7225">
        <v>-0.33979429999999999</v>
      </c>
      <c r="Z7225">
        <v>8.3791860000000003E-3</v>
      </c>
      <c r="AA7225">
        <v>0.94046249999999998</v>
      </c>
      <c r="AB7225">
        <v>33</v>
      </c>
      <c r="AC7225">
        <v>56.1663</v>
      </c>
      <c r="AD7225">
        <v>1.7453479999999999</v>
      </c>
      <c r="AE7225">
        <v>39.945450000000001</v>
      </c>
      <c r="AF7225">
        <v>-23.443649058465802</v>
      </c>
      <c r="AG7225">
        <v>1.7453479999999999</v>
      </c>
      <c r="AH7225">
        <v>64.765738831199997</v>
      </c>
      <c r="AI7225">
        <v>88.548456729619701</v>
      </c>
      <c r="AJ7225">
        <v>109.89904488799699</v>
      </c>
      <c r="AK7225">
        <v>68.900303679801098</v>
      </c>
      <c r="AL7225">
        <v>78.723530169944098</v>
      </c>
      <c r="AM7225">
        <v>92.874106303154605</v>
      </c>
      <c r="AN7225">
        <v>0.99999994915523804</v>
      </c>
    </row>
    <row r="7226" spans="1:40" x14ac:dyDescent="0.25">
      <c r="A7226" t="str">
        <f>"20190303170429063"</f>
        <v>20190303170429063</v>
      </c>
      <c r="B7226" t="str">
        <f>"1551603869053168"</f>
        <v>1551603869053168</v>
      </c>
      <c r="C7226" t="s">
        <v>40</v>
      </c>
      <c r="D7226">
        <v>4.8338039999999998</v>
      </c>
      <c r="E7226">
        <v>0.38269019999999998</v>
      </c>
      <c r="F7226" t="s">
        <v>54</v>
      </c>
      <c r="G7226">
        <v>-149.7372</v>
      </c>
      <c r="H7226">
        <v>2.9089879999999999</v>
      </c>
      <c r="I7226">
        <v>-22.650010000000002</v>
      </c>
      <c r="J7226">
        <v>-205.0771</v>
      </c>
      <c r="K7226">
        <v>1.132989</v>
      </c>
      <c r="L7226">
        <v>-62.545839999999998</v>
      </c>
      <c r="M7226">
        <v>0.96155860000000004</v>
      </c>
      <c r="N7226">
        <v>-1.352282E-2</v>
      </c>
      <c r="O7226">
        <v>0.27426669999999997</v>
      </c>
      <c r="P7226">
        <v>0.93210199999999999</v>
      </c>
      <c r="Q7226">
        <v>0.18414649999999999</v>
      </c>
      <c r="R7226">
        <v>0.31189109999999998</v>
      </c>
      <c r="S7226">
        <v>2.5865939999999998</v>
      </c>
      <c r="T7226">
        <v>8.2781080000000007E-2</v>
      </c>
      <c r="U7226">
        <v>1.8617859999999999</v>
      </c>
      <c r="V7226">
        <v>-4.9861830000000003E-2</v>
      </c>
      <c r="W7226">
        <v>0.1960681</v>
      </c>
      <c r="X7226">
        <v>0.97932180000000002</v>
      </c>
      <c r="Y7226">
        <v>-0.33929569999999998</v>
      </c>
      <c r="Z7226">
        <v>8.7382829999999995E-3</v>
      </c>
      <c r="AA7226">
        <v>0.94063920000000001</v>
      </c>
      <c r="AB7226">
        <v>33</v>
      </c>
      <c r="AC7226">
        <v>55.3399</v>
      </c>
      <c r="AD7226">
        <v>1.7759990000000001</v>
      </c>
      <c r="AE7226">
        <v>39.895829999999997</v>
      </c>
      <c r="AF7226">
        <v>-23.170703489237599</v>
      </c>
      <c r="AG7226">
        <v>1.7759990000000001</v>
      </c>
      <c r="AH7226">
        <v>64.117067504237696</v>
      </c>
      <c r="AI7226">
        <v>88.507756517268504</v>
      </c>
      <c r="AJ7226">
        <v>109.868903524735</v>
      </c>
      <c r="AK7226">
        <v>68.198489851147997</v>
      </c>
      <c r="AL7226">
        <v>78.692874742295899</v>
      </c>
      <c r="AM7226">
        <v>92.914677917986793</v>
      </c>
      <c r="AN7226">
        <v>1.00000004494189</v>
      </c>
    </row>
    <row r="7227" spans="1:40" x14ac:dyDescent="0.25">
      <c r="A7227" t="str">
        <f>"20190303170429074"</f>
        <v>20190303170429074</v>
      </c>
      <c r="B7227" t="str">
        <f>"1551603869062927"</f>
        <v>1551603869062927</v>
      </c>
      <c r="C7227" t="s">
        <v>40</v>
      </c>
      <c r="D7227">
        <v>4.8504100000000001</v>
      </c>
      <c r="E7227">
        <v>0.39016990000000001</v>
      </c>
      <c r="F7227" t="s">
        <v>54</v>
      </c>
      <c r="G7227">
        <v>-150.53720000000001</v>
      </c>
      <c r="H7227">
        <v>2.930307</v>
      </c>
      <c r="I7227">
        <v>-22.650010000000002</v>
      </c>
      <c r="J7227">
        <v>-204.92080000000001</v>
      </c>
      <c r="K7227">
        <v>1.133094</v>
      </c>
      <c r="L7227">
        <v>-62.49588</v>
      </c>
      <c r="M7227">
        <v>0.95962440000000004</v>
      </c>
      <c r="N7227">
        <v>-1.3562599999999999E-2</v>
      </c>
      <c r="O7227">
        <v>0.28095740000000002</v>
      </c>
      <c r="P7227">
        <v>0.92974500000000004</v>
      </c>
      <c r="Q7227">
        <v>0.18424489999999999</v>
      </c>
      <c r="R7227">
        <v>0.31879170000000001</v>
      </c>
      <c r="S7227">
        <v>2.5722049999999999</v>
      </c>
      <c r="T7227">
        <v>8.4764839999999994E-2</v>
      </c>
      <c r="U7227">
        <v>1.881561</v>
      </c>
      <c r="V7227">
        <v>-5.0361280000000001E-2</v>
      </c>
      <c r="W7227">
        <v>0.19617889999999999</v>
      </c>
      <c r="X7227">
        <v>0.97927399999999998</v>
      </c>
      <c r="Y7227">
        <v>-0.33996890000000002</v>
      </c>
      <c r="Z7227">
        <v>9.0903359999999992E-3</v>
      </c>
      <c r="AA7227">
        <v>0.94039269999999997</v>
      </c>
      <c r="AB7227">
        <v>33</v>
      </c>
      <c r="AC7227">
        <v>54.383600000000001</v>
      </c>
      <c r="AD7227">
        <v>1.7972129999999999</v>
      </c>
      <c r="AE7227">
        <v>39.845869999999998</v>
      </c>
      <c r="AF7227">
        <v>-22.943401934749001</v>
      </c>
      <c r="AG7227">
        <v>1.7972129999999999</v>
      </c>
      <c r="AH7227">
        <v>63.343638535454502</v>
      </c>
      <c r="AI7227">
        <v>88.471913650442403</v>
      </c>
      <c r="AJ7227">
        <v>109.910655553791</v>
      </c>
      <c r="AK7227">
        <v>67.394704612581705</v>
      </c>
      <c r="AL7227">
        <v>78.686400044860207</v>
      </c>
      <c r="AM7227">
        <v>92.943965654619106</v>
      </c>
      <c r="AN7227">
        <v>0.99999999320222399</v>
      </c>
    </row>
    <row r="7228" spans="1:40" x14ac:dyDescent="0.25">
      <c r="A7228" t="str">
        <f>"20190303170429087"</f>
        <v>20190303170429087</v>
      </c>
      <c r="B7228" t="str">
        <f>"1551603869082447"</f>
        <v>1551603869082447</v>
      </c>
      <c r="C7228" t="s">
        <v>40</v>
      </c>
      <c r="D7228">
        <v>4.8607279999999999</v>
      </c>
      <c r="E7228">
        <v>0.39248630000000001</v>
      </c>
      <c r="F7228" t="s">
        <v>54</v>
      </c>
      <c r="G7228">
        <v>-149.24199999999999</v>
      </c>
      <c r="H7228">
        <v>2.282473</v>
      </c>
      <c r="I7228">
        <v>-22.650010000000002</v>
      </c>
      <c r="J7228">
        <v>-204.7585</v>
      </c>
      <c r="K7228">
        <v>1.133189</v>
      </c>
      <c r="L7228">
        <v>-62.441650000000003</v>
      </c>
      <c r="M7228">
        <v>0.95753089999999996</v>
      </c>
      <c r="N7228">
        <v>-1.360743E-2</v>
      </c>
      <c r="O7228">
        <v>0.28800959999999998</v>
      </c>
      <c r="P7228">
        <v>0.92733359999999998</v>
      </c>
      <c r="Q7228">
        <v>0.1837172</v>
      </c>
      <c r="R7228">
        <v>0.32603749999999998</v>
      </c>
      <c r="S7228">
        <v>2.5824280000000002</v>
      </c>
      <c r="T7228">
        <v>5.3309080000000002E-2</v>
      </c>
      <c r="U7228">
        <v>1.8480829999999999</v>
      </c>
      <c r="V7228">
        <v>-5.0803590000000003E-2</v>
      </c>
      <c r="W7228">
        <v>0.1956725</v>
      </c>
      <c r="X7228">
        <v>0.97935249999999996</v>
      </c>
      <c r="Y7228">
        <v>-0.3231696</v>
      </c>
      <c r="Z7228">
        <v>8.2479770000000001E-3</v>
      </c>
      <c r="AA7228">
        <v>0.94630510000000001</v>
      </c>
      <c r="AB7228">
        <v>33</v>
      </c>
      <c r="AC7228">
        <v>55.516499999999901</v>
      </c>
      <c r="AD7228">
        <v>1.149284</v>
      </c>
      <c r="AE7228">
        <v>39.791640000000001</v>
      </c>
      <c r="AF7228">
        <v>-22.1082269572758</v>
      </c>
      <c r="AG7228">
        <v>1.149284</v>
      </c>
      <c r="AH7228">
        <v>64.606827045994905</v>
      </c>
      <c r="AI7228">
        <v>89.035760628971801</v>
      </c>
      <c r="AJ7228">
        <v>108.890764533824</v>
      </c>
      <c r="AK7228">
        <v>68.294484798248405</v>
      </c>
      <c r="AL7228">
        <v>78.715988452274004</v>
      </c>
      <c r="AM7228">
        <v>92.969538037504407</v>
      </c>
      <c r="AN7228">
        <v>1.0000000256346899</v>
      </c>
    </row>
    <row r="7229" spans="1:40" x14ac:dyDescent="0.25">
      <c r="A7229" t="str">
        <f>"20190303170429099"</f>
        <v>20190303170429099</v>
      </c>
      <c r="B7229" t="str">
        <f>"1551603869093183"</f>
        <v>1551603869093183</v>
      </c>
      <c r="C7229" t="s">
        <v>40</v>
      </c>
      <c r="D7229">
        <v>4.8869040000000004</v>
      </c>
      <c r="E7229">
        <v>0.39339570000000001</v>
      </c>
      <c r="F7229" t="s">
        <v>54</v>
      </c>
      <c r="G7229">
        <v>-149.41540000000001</v>
      </c>
      <c r="H7229">
        <v>2.0480239999999998</v>
      </c>
      <c r="I7229">
        <v>-22.65</v>
      </c>
      <c r="J7229">
        <v>-204.59299999999999</v>
      </c>
      <c r="K7229">
        <v>1.1332799999999901</v>
      </c>
      <c r="L7229">
        <v>-62.385680000000001</v>
      </c>
      <c r="M7229">
        <v>0.9553334</v>
      </c>
      <c r="N7229">
        <v>-1.365281E-2</v>
      </c>
      <c r="O7229">
        <v>0.295214799999999</v>
      </c>
      <c r="P7229">
        <v>0.92477619999999905</v>
      </c>
      <c r="Q7229">
        <v>0.18291579999999999</v>
      </c>
      <c r="R7229">
        <v>0.33366289999999998</v>
      </c>
      <c r="S7229">
        <v>2.575577</v>
      </c>
      <c r="T7229">
        <v>4.2574639999999997E-2</v>
      </c>
      <c r="U7229">
        <v>1.851837</v>
      </c>
      <c r="V7229">
        <v>-5.1470710000000003E-2</v>
      </c>
      <c r="W7229">
        <v>0.1948868</v>
      </c>
      <c r="X7229">
        <v>0.97947430000000002</v>
      </c>
      <c r="Y7229">
        <v>-0.3181215</v>
      </c>
      <c r="Z7229">
        <v>8.0286130000000004E-3</v>
      </c>
      <c r="AA7229">
        <v>0.94801590000000002</v>
      </c>
      <c r="AB7229">
        <v>33</v>
      </c>
      <c r="AC7229">
        <v>55.177599999999899</v>
      </c>
      <c r="AD7229">
        <v>0.914744</v>
      </c>
      <c r="AE7229">
        <v>39.735680000000002</v>
      </c>
      <c r="AF7229">
        <v>-21.6696755339118</v>
      </c>
      <c r="AG7229">
        <v>0.914744</v>
      </c>
      <c r="AH7229">
        <v>64.437907400098894</v>
      </c>
      <c r="AI7229">
        <v>89.229115097743403</v>
      </c>
      <c r="AJ7229">
        <v>108.58715891551</v>
      </c>
      <c r="AK7229">
        <v>67.990113284464201</v>
      </c>
      <c r="AL7229">
        <v>78.761889176852094</v>
      </c>
      <c r="AM7229">
        <v>93.008087505002507</v>
      </c>
      <c r="AN7229">
        <v>1.00000000158131</v>
      </c>
    </row>
    <row r="7230" spans="1:40" x14ac:dyDescent="0.25">
      <c r="A7230" t="str">
        <f>"20190303170429110"</f>
        <v>20190303170429110</v>
      </c>
      <c r="B7230" t="str">
        <f>"1551603869102475"</f>
        <v>1551603869102475</v>
      </c>
      <c r="C7230" t="s">
        <v>40</v>
      </c>
      <c r="D7230">
        <v>4.9272</v>
      </c>
      <c r="E7230">
        <v>0.39387270000000002</v>
      </c>
      <c r="F7230" t="s">
        <v>54</v>
      </c>
      <c r="G7230">
        <v>-150.0059</v>
      </c>
      <c r="H7230">
        <v>1.884028</v>
      </c>
      <c r="I7230">
        <v>-22.650010000000002</v>
      </c>
      <c r="J7230">
        <v>-204.43360000000001</v>
      </c>
      <c r="K7230">
        <v>1.133364</v>
      </c>
      <c r="L7230">
        <v>-62.330170000000003</v>
      </c>
      <c r="M7230">
        <v>0.95314219999999905</v>
      </c>
      <c r="N7230">
        <v>-1.3698190000000001E-2</v>
      </c>
      <c r="O7230">
        <v>0.30221239999999999</v>
      </c>
      <c r="P7230">
        <v>0.92220630000000003</v>
      </c>
      <c r="Q7230">
        <v>0.18232950000000001</v>
      </c>
      <c r="R7230">
        <v>0.34101559999999997</v>
      </c>
      <c r="S7230">
        <v>2.5637210000000001</v>
      </c>
      <c r="T7230">
        <v>3.5259369999999998E-2</v>
      </c>
      <c r="U7230">
        <v>1.8662110000000001</v>
      </c>
      <c r="V7230">
        <v>-5.2078720000000002E-2</v>
      </c>
      <c r="W7230">
        <v>0.19431760000000001</v>
      </c>
      <c r="X7230">
        <v>0.97955519999999996</v>
      </c>
      <c r="Y7230">
        <v>-0.31671670000000002</v>
      </c>
      <c r="Z7230">
        <v>7.8996789999999997E-3</v>
      </c>
      <c r="AA7230">
        <v>0.94848730000000003</v>
      </c>
      <c r="AB7230">
        <v>33</v>
      </c>
      <c r="AC7230">
        <v>54.427700000000002</v>
      </c>
      <c r="AD7230">
        <v>0.750663999999999</v>
      </c>
      <c r="AE7230">
        <v>39.680160000000001</v>
      </c>
      <c r="AF7230">
        <v>-21.371459863252799</v>
      </c>
      <c r="AG7230">
        <v>0.750663999999999</v>
      </c>
      <c r="AH7230">
        <v>63.8672337374704</v>
      </c>
      <c r="AI7230">
        <v>89.361405655706093</v>
      </c>
      <c r="AJ7230">
        <v>108.501437989126</v>
      </c>
      <c r="AK7230">
        <v>67.352255629668505</v>
      </c>
      <c r="AL7230">
        <v>78.795137055570905</v>
      </c>
      <c r="AM7230">
        <v>93.043303945634406</v>
      </c>
      <c r="AN7230">
        <v>0.99999995629681804</v>
      </c>
    </row>
    <row r="7231" spans="1:40" x14ac:dyDescent="0.25">
      <c r="A7231" t="str">
        <f>"20190303170429121"</f>
        <v>20190303170429121</v>
      </c>
      <c r="B7231" t="str">
        <f>"1551603869113211"</f>
        <v>1551603869113211</v>
      </c>
      <c r="C7231" t="s">
        <v>40</v>
      </c>
      <c r="D7231">
        <v>4.9368650000000001</v>
      </c>
      <c r="E7231">
        <v>0.39466620000000002</v>
      </c>
      <c r="F7231" t="s">
        <v>54</v>
      </c>
      <c r="G7231">
        <v>-150.67310000000001</v>
      </c>
      <c r="H7231">
        <v>1.836762</v>
      </c>
      <c r="I7231">
        <v>-22.650010000000002</v>
      </c>
      <c r="J7231">
        <v>-204.27940000000001</v>
      </c>
      <c r="K7231">
        <v>1.1334420000000001</v>
      </c>
      <c r="L7231">
        <v>-62.275179999999999</v>
      </c>
      <c r="M7231">
        <v>0.95095750000000001</v>
      </c>
      <c r="N7231">
        <v>-1.3741410000000001E-2</v>
      </c>
      <c r="O7231">
        <v>0.30901659999999997</v>
      </c>
      <c r="P7231">
        <v>0.91958700000000004</v>
      </c>
      <c r="Q7231">
        <v>0.18250930000000001</v>
      </c>
      <c r="R7231">
        <v>0.34792299999999998</v>
      </c>
      <c r="S7231">
        <v>2.5503849999999999</v>
      </c>
      <c r="T7231">
        <v>3.3368950000000001E-2</v>
      </c>
      <c r="U7231">
        <v>1.8824160000000001</v>
      </c>
      <c r="V7231">
        <v>-5.2480619999999999E-2</v>
      </c>
      <c r="W7231">
        <v>0.19451869999999999</v>
      </c>
      <c r="X7231">
        <v>0.97949390000000003</v>
      </c>
      <c r="Y7231">
        <v>-0.31620479999999901</v>
      </c>
      <c r="Z7231">
        <v>7.9953819999999901E-3</v>
      </c>
      <c r="AA7231">
        <v>0.94865730000000004</v>
      </c>
      <c r="AB7231">
        <v>33</v>
      </c>
      <c r="AC7231">
        <v>53.606299999999997</v>
      </c>
      <c r="AD7231">
        <v>0.70331999999999995</v>
      </c>
      <c r="AE7231">
        <v>39.625169999999997</v>
      </c>
      <c r="AF7231">
        <v>-21.1162567915088</v>
      </c>
      <c r="AG7231">
        <v>0.70331999999999995</v>
      </c>
      <c r="AH7231">
        <v>63.221072779992298</v>
      </c>
      <c r="AI7231">
        <v>89.395451588795893</v>
      </c>
      <c r="AJ7231">
        <v>108.469660610305</v>
      </c>
      <c r="AK7231">
        <v>66.658045301076896</v>
      </c>
      <c r="AL7231">
        <v>78.783391464595894</v>
      </c>
      <c r="AM7231">
        <v>93.066936521381194</v>
      </c>
      <c r="AN7231">
        <v>1.00000002013124</v>
      </c>
    </row>
    <row r="7232" spans="1:40" x14ac:dyDescent="0.25">
      <c r="A7232" t="str">
        <f>"20190303170429132"</f>
        <v>20190303170429132</v>
      </c>
      <c r="B7232" t="str">
        <f>"1551603869122972"</f>
        <v>1551603869122972</v>
      </c>
      <c r="C7232" t="s">
        <v>40</v>
      </c>
      <c r="D7232">
        <v>4.9534219999999998</v>
      </c>
      <c r="E7232">
        <v>0.39542929999999998</v>
      </c>
      <c r="F7232" t="s">
        <v>54</v>
      </c>
      <c r="G7232">
        <v>-151.20099999999999</v>
      </c>
      <c r="H7232">
        <v>1.763655</v>
      </c>
      <c r="I7232">
        <v>-22.650010000000002</v>
      </c>
      <c r="J7232">
        <v>-204.124</v>
      </c>
      <c r="K7232">
        <v>1.13351</v>
      </c>
      <c r="L7232">
        <v>-62.218780000000002</v>
      </c>
      <c r="M7232">
        <v>0.94869349999999997</v>
      </c>
      <c r="N7232">
        <v>-1.378421E-2</v>
      </c>
      <c r="O7232">
        <v>0.31589650000000002</v>
      </c>
      <c r="P7232">
        <v>0.91683630000000005</v>
      </c>
      <c r="Q7232">
        <v>0.18322869999999999</v>
      </c>
      <c r="R7232">
        <v>0.35473719999999997</v>
      </c>
      <c r="S7232">
        <v>2.539139</v>
      </c>
      <c r="T7232">
        <v>3.0148149999999999E-2</v>
      </c>
      <c r="U7232">
        <v>1.8955690000000001</v>
      </c>
      <c r="V7232">
        <v>-5.2757569999999997E-2</v>
      </c>
      <c r="W7232">
        <v>0.19526189999999999</v>
      </c>
      <c r="X7232">
        <v>0.97933110000000001</v>
      </c>
      <c r="Y7232">
        <v>-0.314496</v>
      </c>
      <c r="Z7232">
        <v>8.0136249999999999E-3</v>
      </c>
      <c r="AA7232">
        <v>0.94922490000000004</v>
      </c>
      <c r="AB7232">
        <v>33</v>
      </c>
      <c r="AC7232">
        <v>52.923000000000002</v>
      </c>
      <c r="AD7232">
        <v>0.63014499999999996</v>
      </c>
      <c r="AE7232">
        <v>39.568770000000001</v>
      </c>
      <c r="AF7232">
        <v>-20.8205297454457</v>
      </c>
      <c r="AG7232">
        <v>0.63014499999999996</v>
      </c>
      <c r="AH7232">
        <v>62.707598999692202</v>
      </c>
      <c r="AI7232">
        <v>89.453586835112603</v>
      </c>
      <c r="AJ7232">
        <v>108.36748883333701</v>
      </c>
      <c r="AK7232">
        <v>66.076732015954093</v>
      </c>
      <c r="AL7232">
        <v>78.739976389438098</v>
      </c>
      <c r="AM7232">
        <v>93.083601705032805</v>
      </c>
      <c r="AN7232">
        <v>0.99999998710556204</v>
      </c>
    </row>
    <row r="7233" spans="1:40" x14ac:dyDescent="0.25">
      <c r="A7233" t="str">
        <f>"20190303170429144"</f>
        <v>20190303170429144</v>
      </c>
      <c r="B7233" t="str">
        <f>"1551603869132731"</f>
        <v>1551603869132731</v>
      </c>
      <c r="C7233" t="s">
        <v>40</v>
      </c>
      <c r="D7233">
        <v>4.9866409999999997</v>
      </c>
      <c r="E7233">
        <v>0.39621980000000001</v>
      </c>
      <c r="F7233" t="s">
        <v>54</v>
      </c>
      <c r="G7233">
        <v>-151.73400000000001</v>
      </c>
      <c r="H7233">
        <v>1.79697</v>
      </c>
      <c r="I7233">
        <v>-22.65</v>
      </c>
      <c r="J7233">
        <v>-203.9692</v>
      </c>
      <c r="K7233">
        <v>1.1335759999999999</v>
      </c>
      <c r="L7233">
        <v>-62.1607699999999</v>
      </c>
      <c r="M7233">
        <v>0.94636699999999996</v>
      </c>
      <c r="N7233">
        <v>-1.3829030000000001E-2</v>
      </c>
      <c r="O7233">
        <v>0.32279770000000002</v>
      </c>
      <c r="P7233">
        <v>0.91393460000000004</v>
      </c>
      <c r="Q7233">
        <v>0.1846498</v>
      </c>
      <c r="R7233">
        <v>0.36142479999999999</v>
      </c>
      <c r="S7233">
        <v>2.527237</v>
      </c>
      <c r="T7233">
        <v>3.2004480000000002E-2</v>
      </c>
      <c r="U7233">
        <v>1.908752</v>
      </c>
      <c r="V7233">
        <v>-5.2945079999999999E-2</v>
      </c>
      <c r="W7233">
        <v>0.19671</v>
      </c>
      <c r="X7233">
        <v>0.97903110000000004</v>
      </c>
      <c r="Y7233">
        <v>-0.31288700000000003</v>
      </c>
      <c r="Z7233">
        <v>8.2915430000000002E-3</v>
      </c>
      <c r="AA7233">
        <v>0.94975419999999999</v>
      </c>
      <c r="AB7233">
        <v>33</v>
      </c>
      <c r="AC7233">
        <v>52.235199999999899</v>
      </c>
      <c r="AD7233">
        <v>0.66339400000000004</v>
      </c>
      <c r="AE7233">
        <v>39.510770000000001</v>
      </c>
      <c r="AF7233">
        <v>-20.530142595842602</v>
      </c>
      <c r="AG7233">
        <v>0.66339400000000004</v>
      </c>
      <c r="AH7233">
        <v>62.187219444700602</v>
      </c>
      <c r="AI7233">
        <v>89.419617098923595</v>
      </c>
      <c r="AJ7233">
        <v>108.26983582280999</v>
      </c>
      <c r="AK7233">
        <v>65.491809479264006</v>
      </c>
      <c r="AL7233">
        <v>78.655365052630202</v>
      </c>
      <c r="AM7233">
        <v>93.095486524837099</v>
      </c>
      <c r="AN7233">
        <v>0.99999995018170695</v>
      </c>
    </row>
    <row r="7234" spans="1:40" x14ac:dyDescent="0.25">
      <c r="A7234" t="str">
        <f>"20190303170429155"</f>
        <v>20190303170429155</v>
      </c>
      <c r="B7234" t="str">
        <f>"1551603869142491"</f>
        <v>1551603869142491</v>
      </c>
      <c r="C7234" t="s">
        <v>40</v>
      </c>
      <c r="D7234">
        <v>5.01288</v>
      </c>
      <c r="E7234">
        <v>0.39621980000000001</v>
      </c>
      <c r="F7234" t="s">
        <v>54</v>
      </c>
      <c r="G7234">
        <v>-152.26140000000001</v>
      </c>
      <c r="H7234">
        <v>1.842314</v>
      </c>
      <c r="I7234">
        <v>-22.65</v>
      </c>
      <c r="J7234">
        <v>-203.82400000000001</v>
      </c>
      <c r="K7234">
        <v>1.1336379999999999</v>
      </c>
      <c r="L7234">
        <v>-62.105960000000003</v>
      </c>
      <c r="M7234">
        <v>0.94413499999999995</v>
      </c>
      <c r="N7234">
        <v>-1.3870749999999999E-2</v>
      </c>
      <c r="O7234">
        <v>0.32926709999999998</v>
      </c>
      <c r="P7234">
        <v>0.91114949999999995</v>
      </c>
      <c r="Q7234">
        <v>0.18566050000000001</v>
      </c>
      <c r="R7234">
        <v>0.36788159999999998</v>
      </c>
      <c r="S7234">
        <v>2.5154420000000002</v>
      </c>
      <c r="T7234">
        <v>3.4477830000000001E-2</v>
      </c>
      <c r="U7234">
        <v>1.9220889999999999</v>
      </c>
      <c r="V7234">
        <v>-5.3299329999999999E-2</v>
      </c>
      <c r="W7234">
        <v>0.19774169999999999</v>
      </c>
      <c r="X7234">
        <v>0.97880409999999995</v>
      </c>
      <c r="Y7234">
        <v>-0.31171779999999999</v>
      </c>
      <c r="Z7234">
        <v>8.6029119999999903E-3</v>
      </c>
      <c r="AA7234">
        <v>0.95013579999999997</v>
      </c>
      <c r="AB7234">
        <v>33</v>
      </c>
      <c r="AC7234">
        <v>51.562600000000003</v>
      </c>
      <c r="AD7234">
        <v>0.70867599999999997</v>
      </c>
      <c r="AE7234">
        <v>39.455959999999997</v>
      </c>
      <c r="AF7234">
        <v>-20.273419095453502</v>
      </c>
      <c r="AG7234">
        <v>0.70867599999999997</v>
      </c>
      <c r="AH7234">
        <v>61.672187512587399</v>
      </c>
      <c r="AI7234">
        <v>89.374565819639997</v>
      </c>
      <c r="AJ7234">
        <v>108.19717917721999</v>
      </c>
      <c r="AK7234">
        <v>64.922819224681106</v>
      </c>
      <c r="AL7234">
        <v>78.595069603261805</v>
      </c>
      <c r="AM7234">
        <v>93.116878679365001</v>
      </c>
      <c r="AN7234">
        <v>1.0000000323370699</v>
      </c>
    </row>
    <row r="7235" spans="1:40" x14ac:dyDescent="0.25">
      <c r="A7235" t="str">
        <f>"20190303170429166"</f>
        <v>20190303170429166</v>
      </c>
      <c r="B7235" t="str">
        <f>"1551603869162987"</f>
        <v>1551603869162987</v>
      </c>
      <c r="C7235" t="s">
        <v>40</v>
      </c>
      <c r="D7235">
        <v>5.0362269999999896</v>
      </c>
      <c r="E7235">
        <v>0.40661710000000001</v>
      </c>
      <c r="F7235" t="s">
        <v>54</v>
      </c>
      <c r="G7235">
        <v>-152.9562</v>
      </c>
      <c r="H7235">
        <v>1.9102539999999999</v>
      </c>
      <c r="I7235">
        <v>-22.65</v>
      </c>
      <c r="J7235">
        <v>-203.6705</v>
      </c>
      <c r="K7235">
        <v>1.13369599999999</v>
      </c>
      <c r="L7235">
        <v>-62.045720000000003</v>
      </c>
      <c r="M7235">
        <v>0.94170240000000005</v>
      </c>
      <c r="N7235">
        <v>-1.3917769999999999E-2</v>
      </c>
      <c r="O7235">
        <v>0.33615919999999999</v>
      </c>
      <c r="P7235">
        <v>0.90835160000000004</v>
      </c>
      <c r="Q7235">
        <v>0.1860202</v>
      </c>
      <c r="R7235">
        <v>0.37455820000000001</v>
      </c>
      <c r="S7235">
        <v>2.5013890000000001</v>
      </c>
      <c r="T7235">
        <v>3.8189050000000002E-2</v>
      </c>
      <c r="U7235">
        <v>1.9402159999999999</v>
      </c>
      <c r="V7235">
        <v>-5.3390640000000003E-2</v>
      </c>
      <c r="W7235">
        <v>0.1981376</v>
      </c>
      <c r="X7235">
        <v>0.97871909999999895</v>
      </c>
      <c r="Y7235">
        <v>-0.31166559999999999</v>
      </c>
      <c r="Z7235">
        <v>9.0128320000000001E-3</v>
      </c>
      <c r="AA7235">
        <v>0.95014909999999997</v>
      </c>
      <c r="AB7235">
        <v>33</v>
      </c>
      <c r="AC7235">
        <v>50.714300000000001</v>
      </c>
      <c r="AD7235">
        <v>0.77655799999999997</v>
      </c>
      <c r="AE7235">
        <v>39.395719999999997</v>
      </c>
      <c r="AF7235">
        <v>-20.0499747083235</v>
      </c>
      <c r="AG7235">
        <v>0.77655799999999997</v>
      </c>
      <c r="AH7235">
        <v>60.997997285519297</v>
      </c>
      <c r="AI7235">
        <v>89.307082580038198</v>
      </c>
      <c r="AJ7235">
        <v>108.19563745073</v>
      </c>
      <c r="AK7235">
        <v>64.213395806295793</v>
      </c>
      <c r="AL7235">
        <v>78.571928805565193</v>
      </c>
      <c r="AM7235">
        <v>93.122478441050603</v>
      </c>
      <c r="AN7235">
        <v>1.0000000728390801</v>
      </c>
    </row>
    <row r="7236" spans="1:40" x14ac:dyDescent="0.25">
      <c r="A7236" t="str">
        <f>"20190303170429177"</f>
        <v>20190303170429177</v>
      </c>
      <c r="B7236" t="str">
        <f>"1551603869172747"</f>
        <v>1551603869172747</v>
      </c>
      <c r="C7236" t="s">
        <v>40</v>
      </c>
      <c r="D7236">
        <v>5.0319640000000003</v>
      </c>
      <c r="E7236">
        <v>0.40762749999999998</v>
      </c>
      <c r="F7236" t="s">
        <v>54</v>
      </c>
      <c r="G7236">
        <v>-150.96799999999999</v>
      </c>
      <c r="H7236">
        <v>1.5111619999999999</v>
      </c>
      <c r="I7236">
        <v>-22.65</v>
      </c>
      <c r="J7236">
        <v>-203.51939999999999</v>
      </c>
      <c r="K7236">
        <v>1.1337459999999999</v>
      </c>
      <c r="L7236">
        <v>-61.985930000000003</v>
      </c>
      <c r="M7236">
        <v>0.93925440000000004</v>
      </c>
      <c r="N7236">
        <v>-1.3964270000000001E-2</v>
      </c>
      <c r="O7236">
        <v>0.34293759999999901</v>
      </c>
      <c r="P7236">
        <v>0.90551139999999997</v>
      </c>
      <c r="Q7236">
        <v>0.1859374</v>
      </c>
      <c r="R7236">
        <v>0.38141380000000003</v>
      </c>
      <c r="S7236">
        <v>2.5217130000000001</v>
      </c>
      <c r="T7236">
        <v>1.8060799999999998E-2</v>
      </c>
      <c r="U7236">
        <v>1.8850100000000001</v>
      </c>
      <c r="V7236">
        <v>-5.3752929999999997E-2</v>
      </c>
      <c r="W7236">
        <v>0.19808390000000001</v>
      </c>
      <c r="X7236">
        <v>0.97871010000000003</v>
      </c>
      <c r="Y7236">
        <v>-0.28775869999999998</v>
      </c>
      <c r="Z7236">
        <v>7.8924040000000004E-3</v>
      </c>
      <c r="AA7236">
        <v>0.95767040000000003</v>
      </c>
      <c r="AB7236">
        <v>33</v>
      </c>
      <c r="AC7236">
        <v>52.551400000000001</v>
      </c>
      <c r="AD7236">
        <v>0.37741599999999997</v>
      </c>
      <c r="AE7236">
        <v>39.335929999999998</v>
      </c>
      <c r="AF7236">
        <v>-18.925813878569102</v>
      </c>
      <c r="AG7236">
        <v>0.37741599999999997</v>
      </c>
      <c r="AH7236">
        <v>62.852953219480902</v>
      </c>
      <c r="AI7236">
        <v>89.670567815832598</v>
      </c>
      <c r="AJ7236">
        <v>106.75770814916901</v>
      </c>
      <c r="AK7236">
        <v>65.641622483098004</v>
      </c>
      <c r="AL7236">
        <v>78.575067359497794</v>
      </c>
      <c r="AM7236">
        <v>93.143652971672495</v>
      </c>
      <c r="AN7236">
        <v>1.0000000343824</v>
      </c>
    </row>
    <row r="7237" spans="1:40" x14ac:dyDescent="0.25">
      <c r="A7237" t="str">
        <f>"20190303170429187"</f>
        <v>20190303170429187</v>
      </c>
      <c r="B7237" t="str">
        <f>"1551603869182507"</f>
        <v>1551603869182507</v>
      </c>
      <c r="C7237" t="s">
        <v>40</v>
      </c>
      <c r="D7237">
        <v>5.0091510000000001</v>
      </c>
      <c r="E7237">
        <v>0.40856799999999999</v>
      </c>
      <c r="F7237" t="s">
        <v>54</v>
      </c>
      <c r="G7237">
        <v>-151.45429999999999</v>
      </c>
      <c r="H7237">
        <v>1.4075930000000001</v>
      </c>
      <c r="I7237">
        <v>-22.65</v>
      </c>
      <c r="J7237">
        <v>-203.38390000000001</v>
      </c>
      <c r="K7237">
        <v>1.1337839999999999</v>
      </c>
      <c r="L7237">
        <v>-61.930729999999997</v>
      </c>
      <c r="M7237">
        <v>0.93700099999999997</v>
      </c>
      <c r="N7237">
        <v>-1.4008899999999999E-2</v>
      </c>
      <c r="O7237">
        <v>0.34904570000000001</v>
      </c>
      <c r="P7237">
        <v>0.9031034</v>
      </c>
      <c r="Q7237">
        <v>0.18460070000000001</v>
      </c>
      <c r="R7237">
        <v>0.38772020000000001</v>
      </c>
      <c r="S7237">
        <v>2.5112000000000001</v>
      </c>
      <c r="T7237">
        <v>1.3208269999999999E-2</v>
      </c>
      <c r="U7237">
        <v>1.8972469999999999</v>
      </c>
      <c r="V7237">
        <v>-5.4091319999999998E-2</v>
      </c>
      <c r="W7237">
        <v>0.19677819999999999</v>
      </c>
      <c r="X7237">
        <v>0.97895480000000001</v>
      </c>
      <c r="Y7237">
        <v>-0.2864119</v>
      </c>
      <c r="Z7237">
        <v>7.699816E-3</v>
      </c>
      <c r="AA7237">
        <v>0.95807560000000003</v>
      </c>
      <c r="AB7237">
        <v>33</v>
      </c>
      <c r="AC7237">
        <v>51.929600000000001</v>
      </c>
      <c r="AD7237">
        <v>0.27380900000000002</v>
      </c>
      <c r="AE7237">
        <v>39.280729999999998</v>
      </c>
      <c r="AF7237">
        <v>-18.681782393160098</v>
      </c>
      <c r="AG7237">
        <v>0.27380900000000002</v>
      </c>
      <c r="AH7237">
        <v>62.373874124890499</v>
      </c>
      <c r="AI7237">
        <v>89.759059391835095</v>
      </c>
      <c r="AJ7237">
        <v>106.673638504545</v>
      </c>
      <c r="AK7237">
        <v>65.1120890319268</v>
      </c>
      <c r="AL7237">
        <v>78.651380336833498</v>
      </c>
      <c r="AM7237">
        <v>93.162613973533297</v>
      </c>
      <c r="AN7237">
        <v>1.00000001566881</v>
      </c>
    </row>
    <row r="7238" spans="1:40" x14ac:dyDescent="0.25">
      <c r="A7238" t="str">
        <f>"20190303170429199"</f>
        <v>20190303170429199</v>
      </c>
      <c r="B7238" t="str">
        <f>"1551603869193246"</f>
        <v>1551603869193246</v>
      </c>
      <c r="C7238" t="s">
        <v>40</v>
      </c>
      <c r="D7238">
        <v>4.9929449999999997</v>
      </c>
      <c r="E7238">
        <v>0.409196</v>
      </c>
      <c r="F7238" t="s">
        <v>54</v>
      </c>
      <c r="G7238">
        <v>-151.8905</v>
      </c>
      <c r="H7238">
        <v>1.1812210000000001</v>
      </c>
      <c r="I7238">
        <v>-22.65</v>
      </c>
      <c r="J7238">
        <v>-203.23259999999999</v>
      </c>
      <c r="K7238">
        <v>1.1338250000000001</v>
      </c>
      <c r="L7238">
        <v>-61.868290000000002</v>
      </c>
      <c r="M7238">
        <v>0.93443019999999999</v>
      </c>
      <c r="N7238">
        <v>-1.4059230000000001E-2</v>
      </c>
      <c r="O7238">
        <v>0.35586849999999998</v>
      </c>
      <c r="P7238">
        <v>0.90022150000000001</v>
      </c>
      <c r="Q7238">
        <v>0.1831806</v>
      </c>
      <c r="R7238">
        <v>0.39502660000000001</v>
      </c>
      <c r="S7238">
        <v>2.5019990000000001</v>
      </c>
      <c r="T7238">
        <v>2.3050309999999999E-3</v>
      </c>
      <c r="U7238">
        <v>1.9086000000000001</v>
      </c>
      <c r="V7238">
        <v>-5.4763180000000002E-2</v>
      </c>
      <c r="W7238">
        <v>0.1953849</v>
      </c>
      <c r="X7238">
        <v>0.97919650000000003</v>
      </c>
      <c r="Y7238">
        <v>-0.283850299999999</v>
      </c>
      <c r="Z7238">
        <v>7.0689899999999998E-3</v>
      </c>
      <c r="AA7238">
        <v>0.95884259999999999</v>
      </c>
      <c r="AB7238">
        <v>33</v>
      </c>
      <c r="AC7238">
        <v>51.342099999999903</v>
      </c>
      <c r="AD7238">
        <v>4.7395999999999702E-2</v>
      </c>
      <c r="AE7238">
        <v>39.218290000000003</v>
      </c>
      <c r="AF7238">
        <v>-18.377526303036401</v>
      </c>
      <c r="AG7238">
        <v>4.7395999999999702E-2</v>
      </c>
      <c r="AH7238">
        <v>61.9382558452956</v>
      </c>
      <c r="AI7238">
        <v>89.957967636766497</v>
      </c>
      <c r="AJ7238">
        <v>106.526001799721</v>
      </c>
      <c r="AK7238">
        <v>64.607145553389898</v>
      </c>
      <c r="AL7238">
        <v>78.732791038447004</v>
      </c>
      <c r="AM7238">
        <v>93.201026410423793</v>
      </c>
      <c r="AN7238">
        <v>1.0000000253219801</v>
      </c>
    </row>
    <row r="7239" spans="1:40" x14ac:dyDescent="0.25">
      <c r="A7239" t="str">
        <f>"20190303170429210"</f>
        <v>20190303170429210</v>
      </c>
      <c r="B7239" t="str">
        <f>"1551603869202534"</f>
        <v>1551603869202534</v>
      </c>
      <c r="C7239" t="s">
        <v>40</v>
      </c>
      <c r="D7239">
        <v>5.0225970000000002</v>
      </c>
      <c r="E7239">
        <v>0.409196</v>
      </c>
      <c r="F7239" t="s">
        <v>54</v>
      </c>
      <c r="G7239">
        <v>-152.49770000000001</v>
      </c>
      <c r="H7239">
        <v>0.98163029999999996</v>
      </c>
      <c r="I7239">
        <v>-22.650010000000002</v>
      </c>
      <c r="J7239">
        <v>-203.0778</v>
      </c>
      <c r="K7239">
        <v>1.1338569999999999</v>
      </c>
      <c r="L7239">
        <v>-61.802889999999998</v>
      </c>
      <c r="M7239">
        <v>0.93173430000000002</v>
      </c>
      <c r="N7239">
        <v>-1.411248E-2</v>
      </c>
      <c r="O7239">
        <v>0.36286620000000003</v>
      </c>
      <c r="P7239">
        <v>0.89720639999999996</v>
      </c>
      <c r="Q7239">
        <v>0.18090709999999999</v>
      </c>
      <c r="R7239">
        <v>0.40285660000000001</v>
      </c>
      <c r="S7239">
        <v>2.489563</v>
      </c>
      <c r="T7239">
        <v>-7.46846199999999E-3</v>
      </c>
      <c r="U7239">
        <v>1.9244380000000001</v>
      </c>
      <c r="V7239">
        <v>-5.5737719999999998E-2</v>
      </c>
      <c r="W7239">
        <v>0.193134</v>
      </c>
      <c r="X7239">
        <v>0.97958800000000001</v>
      </c>
      <c r="Y7239">
        <v>-0.28277619999999998</v>
      </c>
      <c r="Z7239">
        <v>6.4774450000000001E-3</v>
      </c>
      <c r="AA7239">
        <v>0.95916409999999996</v>
      </c>
      <c r="AB7239">
        <v>33</v>
      </c>
      <c r="AC7239">
        <v>50.580099999999902</v>
      </c>
      <c r="AD7239">
        <v>-0.15222669999999899</v>
      </c>
      <c r="AE7239">
        <v>39.152879999999897</v>
      </c>
      <c r="AF7239">
        <v>-18.127976570857498</v>
      </c>
      <c r="AG7239">
        <v>-0.15222669999999899</v>
      </c>
      <c r="AH7239">
        <v>61.340236779851097</v>
      </c>
      <c r="AI7239">
        <v>90.136359290392093</v>
      </c>
      <c r="AJ7239">
        <v>106.464073674321</v>
      </c>
      <c r="AK7239">
        <v>63.963046798365902</v>
      </c>
      <c r="AL7239">
        <v>78.864262841024001</v>
      </c>
      <c r="AM7239">
        <v>93.256569520607698</v>
      </c>
      <c r="AN7239">
        <v>1.0000000425653901</v>
      </c>
    </row>
    <row r="7240" spans="1:40" x14ac:dyDescent="0.25">
      <c r="A7240" t="str">
        <f>"20190303170429221"</f>
        <v>20190303170429221</v>
      </c>
      <c r="B7240" t="str">
        <f>"1551603869212294"</f>
        <v>1551603869212294</v>
      </c>
      <c r="C7240" t="s">
        <v>40</v>
      </c>
      <c r="D7240">
        <v>5.0054869999999996</v>
      </c>
      <c r="E7240">
        <v>0.38875769999999998</v>
      </c>
      <c r="F7240" t="s">
        <v>54</v>
      </c>
      <c r="G7240">
        <v>-153.29759999999999</v>
      </c>
      <c r="H7240">
        <v>0.83009529999999998</v>
      </c>
      <c r="I7240">
        <v>-22.650010000000002</v>
      </c>
      <c r="J7240">
        <v>-202.94200000000001</v>
      </c>
      <c r="K7240">
        <v>1.1338809999999999</v>
      </c>
      <c r="L7240">
        <v>-61.744289999999999</v>
      </c>
      <c r="M7240">
        <v>0.9293148</v>
      </c>
      <c r="N7240">
        <v>-1.4159679999999999E-2</v>
      </c>
      <c r="O7240">
        <v>0.36901719999999999</v>
      </c>
      <c r="P7240">
        <v>0.89430140000000002</v>
      </c>
      <c r="Q7240">
        <v>0.17928150000000001</v>
      </c>
      <c r="R7240">
        <v>0.4099797</v>
      </c>
      <c r="S7240">
        <v>2.4732970000000001</v>
      </c>
      <c r="T7240">
        <v>-1.5092370000000001E-2</v>
      </c>
      <c r="U7240">
        <v>1.945282</v>
      </c>
      <c r="V7240">
        <v>-5.6899980000000003E-2</v>
      </c>
      <c r="W7240">
        <v>0.19151779999999999</v>
      </c>
      <c r="X7240">
        <v>0.9798384</v>
      </c>
      <c r="Y7240">
        <v>-0.2844797</v>
      </c>
      <c r="Z7240">
        <v>6.0146119999999999E-3</v>
      </c>
      <c r="AA7240">
        <v>0.95866320000000005</v>
      </c>
      <c r="AB7240">
        <v>33</v>
      </c>
      <c r="AC7240">
        <v>49.644399999999997</v>
      </c>
      <c r="AD7240">
        <v>-0.30378569999999899</v>
      </c>
      <c r="AE7240">
        <v>39.094279999999998</v>
      </c>
      <c r="AF7240">
        <v>-18.012643377944599</v>
      </c>
      <c r="AG7240">
        <v>-0.30378569999999899</v>
      </c>
      <c r="AH7240">
        <v>60.566404000179297</v>
      </c>
      <c r="AI7240">
        <v>90.275455118443105</v>
      </c>
      <c r="AJ7240">
        <v>106.56264712267701</v>
      </c>
      <c r="AK7240">
        <v>63.188898556039703</v>
      </c>
      <c r="AL7240">
        <v>78.958625273330696</v>
      </c>
      <c r="AM7240">
        <v>93.323478122998395</v>
      </c>
      <c r="AN7240">
        <v>0.99999998277769997</v>
      </c>
    </row>
    <row r="7241" spans="1:40" x14ac:dyDescent="0.25">
      <c r="A7241" t="str">
        <f>"20190303170429230"</f>
        <v>20190303170429230</v>
      </c>
      <c r="B7241" t="str">
        <f>"1551603869223032"</f>
        <v>1551603869223032</v>
      </c>
      <c r="C7241" t="s">
        <v>40</v>
      </c>
      <c r="D7241">
        <v>4.9625579999999996</v>
      </c>
      <c r="E7241">
        <v>0.37814160000000002</v>
      </c>
      <c r="F7241" t="s">
        <v>54</v>
      </c>
      <c r="G7241">
        <v>-157.93819999999999</v>
      </c>
      <c r="H7241">
        <v>1.3899619999999999</v>
      </c>
      <c r="I7241">
        <v>-21.979479999999999</v>
      </c>
      <c r="J7241">
        <v>-202.7972</v>
      </c>
      <c r="K7241">
        <v>1.1339090000000001</v>
      </c>
      <c r="L7241">
        <v>-61.68085</v>
      </c>
      <c r="M7241">
        <v>0.92667980000000005</v>
      </c>
      <c r="N7241">
        <v>-1.421043E-2</v>
      </c>
      <c r="O7241">
        <v>0.375583</v>
      </c>
      <c r="P7241">
        <v>0.89113779999999998</v>
      </c>
      <c r="Q7241">
        <v>0.1780931</v>
      </c>
      <c r="R7241">
        <v>0.41732029999999998</v>
      </c>
      <c r="S7241">
        <v>2.3855590000000002</v>
      </c>
      <c r="T7241">
        <v>1.357424E-2</v>
      </c>
      <c r="U7241">
        <v>2.1078489999999999</v>
      </c>
      <c r="V7241">
        <v>-5.7916519999999999E-2</v>
      </c>
      <c r="W7241">
        <v>0.19034670000000001</v>
      </c>
      <c r="X7241">
        <v>0.98000710000000002</v>
      </c>
      <c r="Y7241">
        <v>-0.33221889999999998</v>
      </c>
      <c r="Z7241">
        <v>8.5150309999999993E-3</v>
      </c>
      <c r="AA7241">
        <v>0.94316390000000006</v>
      </c>
      <c r="AB7241">
        <v>33</v>
      </c>
      <c r="AC7241">
        <v>44.859000000000002</v>
      </c>
      <c r="AD7241">
        <v>0.25605299999999998</v>
      </c>
      <c r="AE7241">
        <v>39.701369999999997</v>
      </c>
      <c r="AF7241">
        <v>-19.943829486823599</v>
      </c>
      <c r="AG7241">
        <v>0.25605299999999998</v>
      </c>
      <c r="AH7241">
        <v>56.485761069434602</v>
      </c>
      <c r="AI7241">
        <v>89.755093912120898</v>
      </c>
      <c r="AJ7241">
        <v>109.44696042465399</v>
      </c>
      <c r="AK7241">
        <v>59.903782028612802</v>
      </c>
      <c r="AL7241">
        <v>79.026982686080899</v>
      </c>
      <c r="AM7241">
        <v>93.382135708807596</v>
      </c>
      <c r="AN7241">
        <v>1.0000000527701001</v>
      </c>
    </row>
    <row r="7242" spans="1:40" x14ac:dyDescent="0.25">
      <c r="A7242" t="str">
        <f>"20190303170429242"</f>
        <v>20190303170429242</v>
      </c>
      <c r="B7242" t="str">
        <f>"1551603869232790"</f>
        <v>1551603869232790</v>
      </c>
      <c r="C7242" t="s">
        <v>40</v>
      </c>
      <c r="D7242">
        <v>4.9462640000000002</v>
      </c>
      <c r="E7242">
        <v>0.36964809999999998</v>
      </c>
      <c r="F7242" t="s">
        <v>54</v>
      </c>
      <c r="G7242">
        <v>-157.3501</v>
      </c>
      <c r="H7242">
        <v>2.0648010000000001</v>
      </c>
      <c r="I7242">
        <v>-18.749960000000002</v>
      </c>
      <c r="J7242">
        <v>-202.64930000000001</v>
      </c>
      <c r="K7242">
        <v>1.1339330000000001</v>
      </c>
      <c r="L7242">
        <v>-61.614440000000002</v>
      </c>
      <c r="M7242">
        <v>0.92392929999999995</v>
      </c>
      <c r="N7242">
        <v>-1.426437E-2</v>
      </c>
      <c r="O7242">
        <v>0.38229740000000001</v>
      </c>
      <c r="P7242">
        <v>0.88776710000000003</v>
      </c>
      <c r="Q7242">
        <v>0.17823410000000001</v>
      </c>
      <c r="R7242">
        <v>0.4243845</v>
      </c>
      <c r="S7242">
        <v>2.3273769999999998</v>
      </c>
      <c r="T7242">
        <v>4.7671440000000002E-2</v>
      </c>
      <c r="U7242">
        <v>2.1985169999999998</v>
      </c>
      <c r="V7242">
        <v>-5.8617379999999997E-2</v>
      </c>
      <c r="W7242">
        <v>0.1905152</v>
      </c>
      <c r="X7242">
        <v>0.97993260000000004</v>
      </c>
      <c r="Y7242">
        <v>-0.35670299999999999</v>
      </c>
      <c r="Z7242">
        <v>1.1038640000000001E-2</v>
      </c>
      <c r="AA7242">
        <v>0.9341526</v>
      </c>
      <c r="AB7242">
        <v>33</v>
      </c>
      <c r="AC7242">
        <v>45.299199999999999</v>
      </c>
      <c r="AD7242">
        <v>0.93086799999999903</v>
      </c>
      <c r="AE7242">
        <v>42.86448</v>
      </c>
      <c r="AF7242">
        <v>-22.2832843607633</v>
      </c>
      <c r="AG7242">
        <v>0.93086799999999903</v>
      </c>
      <c r="AH7242">
        <v>58.233186010398803</v>
      </c>
      <c r="AI7242">
        <v>89.144667523462005</v>
      </c>
      <c r="AJ7242">
        <v>110.93965491346999</v>
      </c>
      <c r="AK7242">
        <v>62.357960438566103</v>
      </c>
      <c r="AL7242">
        <v>79.017147461147601</v>
      </c>
      <c r="AM7242">
        <v>93.423226524201297</v>
      </c>
      <c r="AN7242">
        <v>0.99999996960593096</v>
      </c>
    </row>
    <row r="7243" spans="1:40" x14ac:dyDescent="0.25">
      <c r="A7243" t="str">
        <f>"20190303170429256"</f>
        <v>20190303170429256</v>
      </c>
      <c r="B7243" t="str">
        <f>"1551603869242551"</f>
        <v>1551603869242551</v>
      </c>
      <c r="C7243" t="s">
        <v>40</v>
      </c>
      <c r="D7243">
        <v>5.0402199999999997</v>
      </c>
      <c r="E7243">
        <v>0.36538559999999998</v>
      </c>
      <c r="F7243" t="s">
        <v>54</v>
      </c>
      <c r="G7243">
        <v>-157.3501</v>
      </c>
      <c r="H7243">
        <v>2.6277889999999999</v>
      </c>
      <c r="I7243">
        <v>-16.368870000000001</v>
      </c>
      <c r="J7243">
        <v>-202.4768</v>
      </c>
      <c r="K7243">
        <v>1.133961</v>
      </c>
      <c r="L7243">
        <v>-61.535980000000002</v>
      </c>
      <c r="M7243">
        <v>0.92065079999999999</v>
      </c>
      <c r="N7243">
        <v>-1.43283E-2</v>
      </c>
      <c r="O7243">
        <v>0.39012409999999997</v>
      </c>
      <c r="P7243">
        <v>0.88380969999999903</v>
      </c>
      <c r="Q7243">
        <v>0.17868329999999999</v>
      </c>
      <c r="R7243">
        <v>0.4323804</v>
      </c>
      <c r="S7243">
        <v>2.276993</v>
      </c>
      <c r="T7243">
        <v>7.5089340000000004E-2</v>
      </c>
      <c r="U7243">
        <v>2.274292</v>
      </c>
      <c r="V7243">
        <v>-5.9209739999999997E-2</v>
      </c>
      <c r="W7243">
        <v>0.1910039</v>
      </c>
      <c r="X7243">
        <v>0.9798019</v>
      </c>
      <c r="Y7243">
        <v>-0.37480249999999998</v>
      </c>
      <c r="Z7243">
        <v>1.3078319999999999E-2</v>
      </c>
      <c r="AA7243">
        <v>0.92701239999999996</v>
      </c>
      <c r="AB7243">
        <v>33</v>
      </c>
      <c r="AC7243">
        <v>45.1267</v>
      </c>
      <c r="AD7243">
        <v>1.4938279999999999</v>
      </c>
      <c r="AE7243">
        <v>45.167110000000001</v>
      </c>
      <c r="AF7243">
        <v>-23.967464255255901</v>
      </c>
      <c r="AG7243">
        <v>1.4938279999999999</v>
      </c>
      <c r="AH7243">
        <v>59.140410496105702</v>
      </c>
      <c r="AI7243">
        <v>88.658969785883599</v>
      </c>
      <c r="AJ7243">
        <v>112.060928374428</v>
      </c>
      <c r="AK7243">
        <v>63.829922595663902</v>
      </c>
      <c r="AL7243">
        <v>78.988623813234696</v>
      </c>
      <c r="AM7243">
        <v>93.458196670161399</v>
      </c>
      <c r="AN7243">
        <v>1.00000002318484</v>
      </c>
    </row>
    <row r="7244" spans="1:40" x14ac:dyDescent="0.25">
      <c r="A7244" t="str">
        <f>"20190303170429264"</f>
        <v>20190303170429264</v>
      </c>
      <c r="B7244" t="str">
        <f>"1551603869253287"</f>
        <v>1551603869253287</v>
      </c>
      <c r="C7244" t="s">
        <v>40</v>
      </c>
      <c r="D7244">
        <v>5.0356350000000001</v>
      </c>
      <c r="E7244">
        <v>0.36149049999999999</v>
      </c>
      <c r="F7244" t="s">
        <v>54</v>
      </c>
      <c r="G7244">
        <v>-157.3501</v>
      </c>
      <c r="H7244">
        <v>2.8059639999999999</v>
      </c>
      <c r="I7244">
        <v>-14.710470000000001</v>
      </c>
      <c r="J7244">
        <v>-202.351</v>
      </c>
      <c r="K7244">
        <v>1.133975</v>
      </c>
      <c r="L7244">
        <v>-61.476959999999998</v>
      </c>
      <c r="M7244">
        <v>0.91820729999999995</v>
      </c>
      <c r="N7244">
        <v>-1.4376099999999999E-2</v>
      </c>
      <c r="O7244">
        <v>0.39583950000000001</v>
      </c>
      <c r="P7244">
        <v>0.88079069999999904</v>
      </c>
      <c r="Q7244">
        <v>0.1795291</v>
      </c>
      <c r="R7244">
        <v>0.43815199999999999</v>
      </c>
      <c r="S7244">
        <v>2.2403409999999999</v>
      </c>
      <c r="T7244">
        <v>8.3007339999999999E-2</v>
      </c>
      <c r="U7244">
        <v>2.3246769999999999</v>
      </c>
      <c r="V7244">
        <v>-5.9628720000000003E-2</v>
      </c>
      <c r="W7244">
        <v>0.19188050000000001</v>
      </c>
      <c r="X7244">
        <v>0.97960519999999995</v>
      </c>
      <c r="Y7244">
        <v>-0.3867005</v>
      </c>
      <c r="Z7244">
        <v>1.377187E-2</v>
      </c>
      <c r="AA7244">
        <v>0.92210250000000005</v>
      </c>
      <c r="AB7244">
        <v>33</v>
      </c>
      <c r="AC7244">
        <v>45.000900000000001</v>
      </c>
      <c r="AD7244">
        <v>1.6719889999999999</v>
      </c>
      <c r="AE7244">
        <v>46.766489999999997</v>
      </c>
      <c r="AF7244">
        <v>-25.1141251825279</v>
      </c>
      <c r="AG7244">
        <v>1.6719889999999999</v>
      </c>
      <c r="AH7244">
        <v>59.798668636909198</v>
      </c>
      <c r="AI7244">
        <v>88.523293252803995</v>
      </c>
      <c r="AJ7244">
        <v>112.78133416621201</v>
      </c>
      <c r="AK7244">
        <v>64.879855129667803</v>
      </c>
      <c r="AL7244">
        <v>78.937451917308493</v>
      </c>
      <c r="AM7244">
        <v>93.483305115168093</v>
      </c>
      <c r="AN7244">
        <v>1.00000002919806</v>
      </c>
    </row>
    <row r="7245" spans="1:40" x14ac:dyDescent="0.25">
      <c r="A7245" t="str">
        <f>"20190303170429277"</f>
        <v>20190303170429277</v>
      </c>
      <c r="B7245" t="str">
        <f>"1551603869272807"</f>
        <v>1551603869272807</v>
      </c>
      <c r="C7245" t="s">
        <v>40</v>
      </c>
      <c r="D7245">
        <v>5.0943949999999996</v>
      </c>
      <c r="E7245">
        <v>0.3568075</v>
      </c>
      <c r="F7245" t="s">
        <v>54</v>
      </c>
      <c r="G7245">
        <v>-157.3501</v>
      </c>
      <c r="H7245">
        <v>3.0720960000000002</v>
      </c>
      <c r="I7245">
        <v>-13.29386</v>
      </c>
      <c r="J7245">
        <v>-202.19630000000001</v>
      </c>
      <c r="K7245">
        <v>1.1339950000000001</v>
      </c>
      <c r="L7245">
        <v>-61.403840000000002</v>
      </c>
      <c r="M7245">
        <v>0.91514779999999996</v>
      </c>
      <c r="N7245">
        <v>-1.443418E-2</v>
      </c>
      <c r="O7245">
        <v>0.40286</v>
      </c>
      <c r="P7245">
        <v>0.87708580000000003</v>
      </c>
      <c r="Q7245">
        <v>0.1804277</v>
      </c>
      <c r="R7245">
        <v>0.44515880000000002</v>
      </c>
      <c r="S7245">
        <v>2.209686</v>
      </c>
      <c r="T7245">
        <v>9.5167520000000005E-2</v>
      </c>
      <c r="U7245">
        <v>2.365936</v>
      </c>
      <c r="V7245">
        <v>-6.0044390000000003E-2</v>
      </c>
      <c r="W7245">
        <v>0.1928192</v>
      </c>
      <c r="X7245">
        <v>0.97939540000000003</v>
      </c>
      <c r="Y7245">
        <v>-0.39409660000000002</v>
      </c>
      <c r="Z7245">
        <v>1.484239E-2</v>
      </c>
      <c r="AA7245">
        <v>0.91894920000000002</v>
      </c>
      <c r="AB7245">
        <v>33</v>
      </c>
      <c r="AC7245">
        <v>44.846200000000003</v>
      </c>
      <c r="AD7245">
        <v>1.9381010000000001</v>
      </c>
      <c r="AE7245">
        <v>48.10998</v>
      </c>
      <c r="AF7245">
        <v>-25.9411809648496</v>
      </c>
      <c r="AG7245">
        <v>1.9381010000000001</v>
      </c>
      <c r="AH7245">
        <v>60.376355164917797</v>
      </c>
      <c r="AI7245">
        <v>88.310651251773393</v>
      </c>
      <c r="AJ7245">
        <v>113.251162927693</v>
      </c>
      <c r="AK7245">
        <v>65.741960484439304</v>
      </c>
      <c r="AL7245">
        <v>78.882644158755298</v>
      </c>
      <c r="AM7245">
        <v>93.508276201524893</v>
      </c>
      <c r="AN7245">
        <v>0.999999961100135</v>
      </c>
    </row>
    <row r="7246" spans="1:40" x14ac:dyDescent="0.25">
      <c r="A7246" t="str">
        <f>"20190303170429288"</f>
        <v>20190303170429288</v>
      </c>
      <c r="B7246" t="str">
        <f>"1551603869282566"</f>
        <v>1551603869282566</v>
      </c>
      <c r="C7246" t="s">
        <v>40</v>
      </c>
      <c r="D7246">
        <v>5.0747960000000001</v>
      </c>
      <c r="E7246">
        <v>0.35556949999999998</v>
      </c>
      <c r="F7246" t="s">
        <v>54</v>
      </c>
      <c r="G7246">
        <v>-157.3501</v>
      </c>
      <c r="H7246">
        <v>3.3926729999999998</v>
      </c>
      <c r="I7246">
        <v>-11.53473</v>
      </c>
      <c r="J7246">
        <v>-202.05250000000001</v>
      </c>
      <c r="K7246">
        <v>1.134009</v>
      </c>
      <c r="L7246">
        <v>-61.334049999999998</v>
      </c>
      <c r="M7246">
        <v>0.91224499999999997</v>
      </c>
      <c r="N7246">
        <v>-1.448589E-2</v>
      </c>
      <c r="O7246">
        <v>0.40938910000000001</v>
      </c>
      <c r="P7246">
        <v>0.87368049999999997</v>
      </c>
      <c r="Q7246">
        <v>0.1806798</v>
      </c>
      <c r="R7246">
        <v>0.45170490000000002</v>
      </c>
      <c r="S7246">
        <v>2.1720429999999999</v>
      </c>
      <c r="T7246">
        <v>0.10939459999999999</v>
      </c>
      <c r="U7246">
        <v>2.415314</v>
      </c>
      <c r="V7246">
        <v>-6.04028E-2</v>
      </c>
      <c r="W7246">
        <v>0.19310920000000001</v>
      </c>
      <c r="X7246">
        <v>0.97931619999999997</v>
      </c>
      <c r="Y7246">
        <v>-0.4048522</v>
      </c>
      <c r="Z7246">
        <v>1.6010199999999999E-2</v>
      </c>
      <c r="AA7246">
        <v>0.914242</v>
      </c>
      <c r="AB7246">
        <v>33</v>
      </c>
      <c r="AC7246">
        <v>44.702399999999997</v>
      </c>
      <c r="AD7246">
        <v>2.258664</v>
      </c>
      <c r="AE7246">
        <v>49.799320000000002</v>
      </c>
      <c r="AF7246">
        <v>-27.100476900910898</v>
      </c>
      <c r="AG7246">
        <v>2.258664</v>
      </c>
      <c r="AH7246">
        <v>61.103643689933001</v>
      </c>
      <c r="AI7246">
        <v>88.064701124892906</v>
      </c>
      <c r="AJ7246">
        <v>113.91807837856901</v>
      </c>
      <c r="AK7246">
        <v>66.881930919404496</v>
      </c>
      <c r="AL7246">
        <v>78.865709887658497</v>
      </c>
      <c r="AM7246">
        <v>93.529449317401799</v>
      </c>
      <c r="AN7246">
        <v>0.99999994047745799</v>
      </c>
    </row>
    <row r="7247" spans="1:40" x14ac:dyDescent="0.25">
      <c r="A7247" t="str">
        <f>"20190303170429300"</f>
        <v>20190303170429300</v>
      </c>
      <c r="B7247" t="str">
        <f>"1551603869292326"</f>
        <v>1551603869292326</v>
      </c>
      <c r="C7247" t="s">
        <v>40</v>
      </c>
      <c r="D7247">
        <v>5.0768149999999999</v>
      </c>
      <c r="E7247">
        <v>0.35481210000000002</v>
      </c>
      <c r="F7247" t="s">
        <v>54</v>
      </c>
      <c r="G7247">
        <v>-165.91550000000001</v>
      </c>
      <c r="H7247">
        <v>3.006383</v>
      </c>
      <c r="I7247">
        <v>-20.31495</v>
      </c>
      <c r="J7247">
        <v>-201.89920000000001</v>
      </c>
      <c r="K7247">
        <v>1.1340170000000001</v>
      </c>
      <c r="L7247">
        <v>-61.258540000000004</v>
      </c>
      <c r="M7247">
        <v>0.9090916</v>
      </c>
      <c r="N7247">
        <v>-1.4540040000000001E-2</v>
      </c>
      <c r="O7247">
        <v>0.41634260000000001</v>
      </c>
      <c r="P7247">
        <v>0.86997719999999901</v>
      </c>
      <c r="Q7247">
        <v>0.18063019999999999</v>
      </c>
      <c r="R7247">
        <v>0.45881650000000002</v>
      </c>
      <c r="S7247">
        <v>2.1493530000000001</v>
      </c>
      <c r="T7247">
        <v>0.11136459999999999</v>
      </c>
      <c r="U7247">
        <v>2.4397280000000001</v>
      </c>
      <c r="V7247">
        <v>-6.0910539999999999E-2</v>
      </c>
      <c r="W7247">
        <v>0.19309660000000001</v>
      </c>
      <c r="X7247">
        <v>0.97928729999999997</v>
      </c>
      <c r="Y7247">
        <v>-0.40721259999999998</v>
      </c>
      <c r="Z7247">
        <v>1.6494760000000001E-2</v>
      </c>
      <c r="AA7247">
        <v>0.91318440000000001</v>
      </c>
      <c r="AB7247">
        <v>33</v>
      </c>
      <c r="AC7247">
        <v>35.983699999999999</v>
      </c>
      <c r="AD7247">
        <v>1.872366</v>
      </c>
      <c r="AE7247">
        <v>40.94359</v>
      </c>
      <c r="AF7247">
        <v>-22.216063610718098</v>
      </c>
      <c r="AG7247">
        <v>1.872366</v>
      </c>
      <c r="AH7247">
        <v>49.705649844660201</v>
      </c>
      <c r="AI7247">
        <v>88.030354229632806</v>
      </c>
      <c r="AJ7247">
        <v>114.08237412924601</v>
      </c>
      <c r="AK7247">
        <v>54.476700187083701</v>
      </c>
      <c r="AL7247">
        <v>78.866446372166806</v>
      </c>
      <c r="AM7247">
        <v>93.559146341767601</v>
      </c>
      <c r="AN7247">
        <v>1.0000000033779699</v>
      </c>
    </row>
    <row r="7248" spans="1:40" x14ac:dyDescent="0.25">
      <c r="A7248" t="str">
        <f>"20190303170429313"</f>
        <v>20190303170429313</v>
      </c>
      <c r="B7248" t="str">
        <f>"1551603869302592"</f>
        <v>1551603869302592</v>
      </c>
      <c r="C7248" t="s">
        <v>40</v>
      </c>
      <c r="D7248">
        <v>5.1236649999999999</v>
      </c>
      <c r="E7248">
        <v>0.35420439999999997</v>
      </c>
      <c r="F7248" t="s">
        <v>54</v>
      </c>
      <c r="G7248">
        <v>-166.52500000000001</v>
      </c>
      <c r="H7248">
        <v>2.9681769999999998</v>
      </c>
      <c r="I7248">
        <v>-20.31495</v>
      </c>
      <c r="J7248">
        <v>-201.7253</v>
      </c>
      <c r="K7248">
        <v>1.1340170000000001</v>
      </c>
      <c r="L7248">
        <v>-61.17136</v>
      </c>
      <c r="M7248">
        <v>0.90544389999999997</v>
      </c>
      <c r="N7248">
        <v>-1.46001E-2</v>
      </c>
      <c r="O7248">
        <v>0.4242148</v>
      </c>
      <c r="P7248">
        <v>0.86561939999999904</v>
      </c>
      <c r="Q7248">
        <v>0.1802588</v>
      </c>
      <c r="R7248">
        <v>0.46712959999999898</v>
      </c>
      <c r="S7248">
        <v>2.1270600000000002</v>
      </c>
      <c r="T7248">
        <v>0.1102881</v>
      </c>
      <c r="U7248">
        <v>2.4619450000000001</v>
      </c>
      <c r="V7248">
        <v>-6.1752439999999999E-2</v>
      </c>
      <c r="W7248">
        <v>0.19275880000000001</v>
      </c>
      <c r="X7248">
        <v>0.97930110000000004</v>
      </c>
      <c r="Y7248">
        <v>-0.40810869999999999</v>
      </c>
      <c r="Z7248">
        <v>1.6840520000000001E-2</v>
      </c>
      <c r="AA7248">
        <v>0.91277799999999998</v>
      </c>
      <c r="AB7248">
        <v>33</v>
      </c>
      <c r="AC7248">
        <v>35.200299999999999</v>
      </c>
      <c r="AD7248">
        <v>1.83416</v>
      </c>
      <c r="AE7248">
        <v>40.856409999999997</v>
      </c>
      <c r="AF7248">
        <v>-22.0375588216293</v>
      </c>
      <c r="AG7248">
        <v>1.83416</v>
      </c>
      <c r="AH7248">
        <v>49.152179299021697</v>
      </c>
      <c r="AI7248">
        <v>88.049823068340203</v>
      </c>
      <c r="AJ7248">
        <v>114.149252843458</v>
      </c>
      <c r="AK7248">
        <v>53.897633264973202</v>
      </c>
      <c r="AL7248">
        <v>78.886171217641106</v>
      </c>
      <c r="AM7248">
        <v>93.608160750702297</v>
      </c>
      <c r="AN7248">
        <v>0.99999998164230097</v>
      </c>
    </row>
    <row r="7249" spans="1:40" x14ac:dyDescent="0.25">
      <c r="A7249" t="str">
        <f>"20190303170429324"</f>
        <v>20190303170429324</v>
      </c>
      <c r="B7249" t="str">
        <f>"1551603869312353"</f>
        <v>1551603869312353</v>
      </c>
      <c r="C7249" t="s">
        <v>40</v>
      </c>
      <c r="D7249">
        <v>5.0730300000000002</v>
      </c>
      <c r="E7249">
        <v>0.35392380000000001</v>
      </c>
      <c r="F7249" t="s">
        <v>54</v>
      </c>
      <c r="G7249">
        <v>-167.1842</v>
      </c>
      <c r="H7249">
        <v>2.9084240000000001</v>
      </c>
      <c r="I7249">
        <v>-20.31495</v>
      </c>
      <c r="J7249">
        <v>-201.59639999999999</v>
      </c>
      <c r="K7249">
        <v>1.134007</v>
      </c>
      <c r="L7249">
        <v>-61.1049199999999</v>
      </c>
      <c r="M7249">
        <v>0.90269180000000004</v>
      </c>
      <c r="N7249">
        <v>-1.4644229999999999E-2</v>
      </c>
      <c r="O7249">
        <v>0.43003839999999999</v>
      </c>
      <c r="P7249">
        <v>0.86224140000000005</v>
      </c>
      <c r="Q7249">
        <v>0.17966389999999999</v>
      </c>
      <c r="R7249">
        <v>0.47356179999999898</v>
      </c>
      <c r="S7249">
        <v>2.1017000000000001</v>
      </c>
      <c r="T7249">
        <v>0.1079661</v>
      </c>
      <c r="U7249">
        <v>2.4859619999999998</v>
      </c>
      <c r="V7249">
        <v>-6.2661359999999999E-2</v>
      </c>
      <c r="W7249">
        <v>0.1921814</v>
      </c>
      <c r="X7249">
        <v>0.97935689999999997</v>
      </c>
      <c r="Y7249">
        <v>-0.4120066</v>
      </c>
      <c r="Z7249">
        <v>1.6950759999999999E-2</v>
      </c>
      <c r="AA7249">
        <v>0.91102320000000003</v>
      </c>
      <c r="AB7249">
        <v>33</v>
      </c>
      <c r="AC7249">
        <v>34.412199999999899</v>
      </c>
      <c r="AD7249">
        <v>1.7744169999999999</v>
      </c>
      <c r="AE7249">
        <v>40.789969999999997</v>
      </c>
      <c r="AF7249">
        <v>-22.000244352436901</v>
      </c>
      <c r="AG7249">
        <v>1.7744169999999999</v>
      </c>
      <c r="AH7249">
        <v>48.556397369805303</v>
      </c>
      <c r="AI7249">
        <v>88.093546329466804</v>
      </c>
      <c r="AJ7249">
        <v>114.37463476258399</v>
      </c>
      <c r="AK7249">
        <v>53.337444940597301</v>
      </c>
      <c r="AL7249">
        <v>78.9198847596208</v>
      </c>
      <c r="AM7249">
        <v>93.660917012086401</v>
      </c>
      <c r="AN7249">
        <v>1.0000000370602999</v>
      </c>
    </row>
    <row r="7250" spans="1:40" x14ac:dyDescent="0.25">
      <c r="A7250" t="str">
        <f>"20190303170429335"</f>
        <v>20190303170429335</v>
      </c>
      <c r="B7250" t="str">
        <f>"1551603869323089"</f>
        <v>1551603869323089</v>
      </c>
      <c r="C7250" t="s">
        <v>40</v>
      </c>
      <c r="D7250">
        <v>5.094881</v>
      </c>
      <c r="E7250">
        <v>0.35378500000000002</v>
      </c>
      <c r="F7250" t="s">
        <v>54</v>
      </c>
      <c r="G7250">
        <v>-167.649</v>
      </c>
      <c r="H7250">
        <v>2.8251300000000001</v>
      </c>
      <c r="I7250">
        <v>-20.31495</v>
      </c>
      <c r="J7250">
        <v>-201.4512</v>
      </c>
      <c r="K7250">
        <v>1.1339920000000001</v>
      </c>
      <c r="L7250">
        <v>-61.029690000000002</v>
      </c>
      <c r="M7250">
        <v>0.89954439999999902</v>
      </c>
      <c r="N7250">
        <v>-1.469408E-2</v>
      </c>
      <c r="O7250">
        <v>0.43658229999999998</v>
      </c>
      <c r="P7250">
        <v>0.85850939999999998</v>
      </c>
      <c r="Q7250">
        <v>0.17931949999999999</v>
      </c>
      <c r="R7250">
        <v>0.48042289999999999</v>
      </c>
      <c r="S7250">
        <v>2.0830380000000002</v>
      </c>
      <c r="T7250">
        <v>0.1037682</v>
      </c>
      <c r="U7250">
        <v>2.5028990000000002</v>
      </c>
      <c r="V7250">
        <v>-6.3313480000000005E-2</v>
      </c>
      <c r="W7250">
        <v>0.19186790000000001</v>
      </c>
      <c r="X7250">
        <v>0.97937640000000004</v>
      </c>
      <c r="Y7250">
        <v>-0.4124314</v>
      </c>
      <c r="Z7250">
        <v>1.6988949999999999E-2</v>
      </c>
      <c r="AA7250">
        <v>0.91083029999999998</v>
      </c>
      <c r="AB7250">
        <v>33</v>
      </c>
      <c r="AC7250">
        <v>33.802199999999999</v>
      </c>
      <c r="AD7250">
        <v>1.691138</v>
      </c>
      <c r="AE7250">
        <v>40.714739999999999</v>
      </c>
      <c r="AF7250">
        <v>-21.8473208032344</v>
      </c>
      <c r="AG7250">
        <v>1.691138</v>
      </c>
      <c r="AH7250">
        <v>48.137949760092297</v>
      </c>
      <c r="AI7250">
        <v>88.167701262730901</v>
      </c>
      <c r="AJ7250">
        <v>114.41083601851101</v>
      </c>
      <c r="AK7250">
        <v>52.8907135622091</v>
      </c>
      <c r="AL7250">
        <v>78.938187300549004</v>
      </c>
      <c r="AM7250">
        <v>93.698837692004901</v>
      </c>
      <c r="AN7250">
        <v>1.00000001033854</v>
      </c>
    </row>
    <row r="7251" spans="1:40" x14ac:dyDescent="0.25">
      <c r="A7251" t="str">
        <f>"20190303170429346"</f>
        <v>20190303170429346</v>
      </c>
      <c r="B7251" t="str">
        <f>"1551603869332849"</f>
        <v>1551603869332849</v>
      </c>
      <c r="C7251" t="s">
        <v>40</v>
      </c>
      <c r="D7251">
        <v>5.0970789999999999</v>
      </c>
      <c r="E7251">
        <v>0.35371989999999998</v>
      </c>
      <c r="F7251" t="s">
        <v>54</v>
      </c>
      <c r="G7251">
        <v>-168.1241</v>
      </c>
      <c r="H7251">
        <v>2.7644500000000001</v>
      </c>
      <c r="I7251">
        <v>-20.31495</v>
      </c>
      <c r="J7251">
        <v>-201.3081</v>
      </c>
      <c r="K7251">
        <v>1.1339629999999901</v>
      </c>
      <c r="L7251">
        <v>-60.953310000000002</v>
      </c>
      <c r="M7251">
        <v>0.89639579999999996</v>
      </c>
      <c r="N7251">
        <v>-1.4738930000000001E-2</v>
      </c>
      <c r="O7251">
        <v>0.4430095</v>
      </c>
      <c r="P7251">
        <v>0.85488090000000005</v>
      </c>
      <c r="Q7251">
        <v>0.1794625</v>
      </c>
      <c r="R7251">
        <v>0.4867978</v>
      </c>
      <c r="S7251">
        <v>2.0629879999999998</v>
      </c>
      <c r="T7251">
        <v>0.1009274</v>
      </c>
      <c r="U7251">
        <v>2.5202939999999998</v>
      </c>
      <c r="V7251">
        <v>-6.3596990000000006E-2</v>
      </c>
      <c r="W7251">
        <v>0.19204940000000001</v>
      </c>
      <c r="X7251">
        <v>0.97932240000000004</v>
      </c>
      <c r="Y7251">
        <v>-0.41333059999999999</v>
      </c>
      <c r="Z7251">
        <v>1.710184E-2</v>
      </c>
      <c r="AA7251">
        <v>0.91042049999999997</v>
      </c>
      <c r="AB7251">
        <v>33</v>
      </c>
      <c r="AC7251">
        <v>33.183999999999997</v>
      </c>
      <c r="AD7251">
        <v>1.630487</v>
      </c>
      <c r="AE7251">
        <v>40.638359999999899</v>
      </c>
      <c r="AF7251">
        <v>-21.708621436511699</v>
      </c>
      <c r="AG7251">
        <v>1.630487</v>
      </c>
      <c r="AH7251">
        <v>47.708286825491399</v>
      </c>
      <c r="AI7251">
        <v>88.218263984486995</v>
      </c>
      <c r="AJ7251">
        <v>114.466879239966</v>
      </c>
      <c r="AK7251">
        <v>52.440474486357402</v>
      </c>
      <c r="AL7251">
        <v>78.927590451029204</v>
      </c>
      <c r="AM7251">
        <v>93.715558636723301</v>
      </c>
      <c r="AN7251">
        <v>0.99999995615958903</v>
      </c>
    </row>
    <row r="7252" spans="1:40" x14ac:dyDescent="0.25">
      <c r="A7252" t="str">
        <f>"20190303170429354"</f>
        <v>20190303170429354</v>
      </c>
      <c r="B7252" t="str">
        <f>"1551603869342609"</f>
        <v>1551603869342609</v>
      </c>
      <c r="C7252" t="s">
        <v>40</v>
      </c>
      <c r="D7252">
        <v>5.0938309999999998</v>
      </c>
      <c r="E7252">
        <v>0.35373690000000002</v>
      </c>
      <c r="F7252" t="s">
        <v>54</v>
      </c>
      <c r="G7252">
        <v>-168.45050000000001</v>
      </c>
      <c r="H7252">
        <v>2.74892</v>
      </c>
      <c r="I7252">
        <v>-20.187480000000001</v>
      </c>
      <c r="J7252">
        <v>-201.20359999999999</v>
      </c>
      <c r="K7252">
        <v>1.1339440000000001</v>
      </c>
      <c r="L7252">
        <v>-60.897550000000003</v>
      </c>
      <c r="M7252">
        <v>0.89407019999999904</v>
      </c>
      <c r="N7252">
        <v>-1.4771960000000001E-2</v>
      </c>
      <c r="O7252">
        <v>0.44768340000000001</v>
      </c>
      <c r="P7252">
        <v>0.85212579999999905</v>
      </c>
      <c r="Q7252">
        <v>0.18010019999999999</v>
      </c>
      <c r="R7252">
        <v>0.49137120000000001</v>
      </c>
      <c r="S7252">
        <v>2.0440670000000001</v>
      </c>
      <c r="T7252">
        <v>0.10046629999999999</v>
      </c>
      <c r="U7252">
        <v>2.536041</v>
      </c>
      <c r="V7252">
        <v>-6.3801449999999996E-2</v>
      </c>
      <c r="W7252">
        <v>0.19271440000000001</v>
      </c>
      <c r="X7252">
        <v>0.97917849999999995</v>
      </c>
      <c r="Y7252">
        <v>-0.41545729999999997</v>
      </c>
      <c r="Z7252">
        <v>1.7290599999999899E-2</v>
      </c>
      <c r="AA7252">
        <v>0.90944829999999999</v>
      </c>
      <c r="AB7252">
        <v>33</v>
      </c>
      <c r="AC7252">
        <v>32.753099999999897</v>
      </c>
      <c r="AD7252">
        <v>1.614976</v>
      </c>
      <c r="AE7252">
        <v>40.710070000000002</v>
      </c>
      <c r="AF7252">
        <v>-21.716264879411401</v>
      </c>
      <c r="AG7252">
        <v>1.614976</v>
      </c>
      <c r="AH7252">
        <v>47.468625103597297</v>
      </c>
      <c r="AI7252">
        <v>88.227943431597893</v>
      </c>
      <c r="AJ7252">
        <v>114.583464777724</v>
      </c>
      <c r="AK7252">
        <v>52.225230272533999</v>
      </c>
      <c r="AL7252">
        <v>78.888763964815993</v>
      </c>
      <c r="AM7252">
        <v>93.728016527026895</v>
      </c>
      <c r="AN7252">
        <v>0.99999999992585598</v>
      </c>
    </row>
    <row r="7253" spans="1:40" x14ac:dyDescent="0.25">
      <c r="A7253" t="str">
        <f>"20190303170429367"</f>
        <v>20190303170429367</v>
      </c>
      <c r="B7253" t="str">
        <f>"1551603869363105"</f>
        <v>1551603869363105</v>
      </c>
      <c r="C7253" t="s">
        <v>40</v>
      </c>
      <c r="D7253">
        <v>5.0629759999999999</v>
      </c>
      <c r="E7253">
        <v>0.35341009999999901</v>
      </c>
      <c r="F7253" t="s">
        <v>54</v>
      </c>
      <c r="G7253">
        <v>-168.45050000000001</v>
      </c>
      <c r="H7253">
        <v>2.802549</v>
      </c>
      <c r="I7253">
        <v>-19.791139999999999</v>
      </c>
      <c r="J7253">
        <v>-201.0626</v>
      </c>
      <c r="K7253">
        <v>1.133904</v>
      </c>
      <c r="L7253">
        <v>-60.820070000000001</v>
      </c>
      <c r="M7253">
        <v>0.89089159999999901</v>
      </c>
      <c r="N7253">
        <v>-1.4809900000000001E-2</v>
      </c>
      <c r="O7253">
        <v>0.45397470000000001</v>
      </c>
      <c r="P7253">
        <v>0.8487017</v>
      </c>
      <c r="Q7253">
        <v>0.18003250000000001</v>
      </c>
      <c r="R7253">
        <v>0.49728650000000002</v>
      </c>
      <c r="S7253">
        <v>2.029785</v>
      </c>
      <c r="T7253">
        <v>0.103407</v>
      </c>
      <c r="U7253">
        <v>2.5474549999999998</v>
      </c>
      <c r="V7253">
        <v>-6.3684060000000001E-2</v>
      </c>
      <c r="W7253">
        <v>0.1926938</v>
      </c>
      <c r="X7253">
        <v>0.97919020000000001</v>
      </c>
      <c r="Y7253">
        <v>-0.414161</v>
      </c>
      <c r="Z7253">
        <v>1.7858969999999998E-2</v>
      </c>
      <c r="AA7253">
        <v>0.91002850000000002</v>
      </c>
      <c r="AB7253">
        <v>33</v>
      </c>
      <c r="AC7253">
        <v>32.612099999999998</v>
      </c>
      <c r="AD7253">
        <v>1.6686449999999999</v>
      </c>
      <c r="AE7253">
        <v>41.028930000000003</v>
      </c>
      <c r="AF7253">
        <v>-21.727620023800402</v>
      </c>
      <c r="AG7253">
        <v>1.6686449999999999</v>
      </c>
      <c r="AH7253">
        <v>47.636880615524703</v>
      </c>
      <c r="AI7253">
        <v>88.174606799022897</v>
      </c>
      <c r="AJ7253">
        <v>114.518165767757</v>
      </c>
      <c r="AK7253">
        <v>52.384599290368001</v>
      </c>
      <c r="AL7253">
        <v>78.889966847668106</v>
      </c>
      <c r="AM7253">
        <v>93.721132201360604</v>
      </c>
      <c r="AN7253">
        <v>1.00000000391628</v>
      </c>
    </row>
    <row r="7254" spans="1:40" x14ac:dyDescent="0.25">
      <c r="A7254" t="str">
        <f>"20190303170429377"</f>
        <v>20190303170429377</v>
      </c>
      <c r="B7254" t="str">
        <f>"1551603869372866"</f>
        <v>1551603869372866</v>
      </c>
      <c r="C7254" t="s">
        <v>40</v>
      </c>
      <c r="D7254">
        <v>5.0674669999999997</v>
      </c>
      <c r="E7254">
        <v>0.35343609999999998</v>
      </c>
      <c r="F7254" t="s">
        <v>54</v>
      </c>
      <c r="G7254">
        <v>-168.45050000000001</v>
      </c>
      <c r="H7254">
        <v>2.8584070000000001</v>
      </c>
      <c r="I7254">
        <v>-19.22533</v>
      </c>
      <c r="J7254">
        <v>-200.917</v>
      </c>
      <c r="K7254">
        <v>1.133859</v>
      </c>
      <c r="L7254">
        <v>-60.7395</v>
      </c>
      <c r="M7254">
        <v>0.88756559999999995</v>
      </c>
      <c r="N7254">
        <v>-1.484797E-2</v>
      </c>
      <c r="O7254">
        <v>0.46044209999999902</v>
      </c>
      <c r="P7254">
        <v>0.84512369999999903</v>
      </c>
      <c r="Q7254">
        <v>0.17960609999999999</v>
      </c>
      <c r="R7254">
        <v>0.50349560000000004</v>
      </c>
      <c r="S7254">
        <v>2.0100709999999999</v>
      </c>
      <c r="T7254">
        <v>0.1062908</v>
      </c>
      <c r="U7254">
        <v>2.5637210000000001</v>
      </c>
      <c r="V7254">
        <v>-6.3666979999999998E-2</v>
      </c>
      <c r="W7254">
        <v>0.19231200000000001</v>
      </c>
      <c r="X7254">
        <v>0.97926630000000003</v>
      </c>
      <c r="Y7254">
        <v>-0.41469099999999998</v>
      </c>
      <c r="Z7254">
        <v>1.842765E-2</v>
      </c>
      <c r="AA7254">
        <v>0.90977569999999996</v>
      </c>
      <c r="AB7254">
        <v>33</v>
      </c>
      <c r="AC7254">
        <v>32.466500000000003</v>
      </c>
      <c r="AD7254">
        <v>1.724548</v>
      </c>
      <c r="AE7254">
        <v>41.51417</v>
      </c>
      <c r="AF7254">
        <v>-21.876594223607501</v>
      </c>
      <c r="AG7254">
        <v>1.724548</v>
      </c>
      <c r="AH7254">
        <v>47.885028627044498</v>
      </c>
      <c r="AI7254">
        <v>88.123794512937295</v>
      </c>
      <c r="AJ7254">
        <v>114.553606422062</v>
      </c>
      <c r="AK7254">
        <v>52.673858860364099</v>
      </c>
      <c r="AL7254">
        <v>78.912258585732005</v>
      </c>
      <c r="AM7254">
        <v>93.719848715638705</v>
      </c>
      <c r="AN7254">
        <v>0.99999993800100295</v>
      </c>
    </row>
    <row r="7255" spans="1:40" x14ac:dyDescent="0.25">
      <c r="A7255" t="str">
        <f>"20190303170429388"</f>
        <v>20190303170429388</v>
      </c>
      <c r="B7255" t="str">
        <f>"1551603869382625"</f>
        <v>1551603869382625</v>
      </c>
      <c r="C7255" t="s">
        <v>40</v>
      </c>
      <c r="D7255">
        <v>5.0939750000000004</v>
      </c>
      <c r="E7255">
        <v>0.35349120000000001</v>
      </c>
      <c r="F7255" t="s">
        <v>54</v>
      </c>
      <c r="G7255">
        <v>-168.45050000000001</v>
      </c>
      <c r="H7255">
        <v>2.8624139999999998</v>
      </c>
      <c r="I7255">
        <v>-18.69868</v>
      </c>
      <c r="J7255">
        <v>-200.76990000000001</v>
      </c>
      <c r="K7255">
        <v>1.1337999999999999</v>
      </c>
      <c r="L7255">
        <v>-60.65625</v>
      </c>
      <c r="M7255">
        <v>0.88416949999999905</v>
      </c>
      <c r="N7255">
        <v>-1.4881139999999999E-2</v>
      </c>
      <c r="O7255">
        <v>0.46692929999999999</v>
      </c>
      <c r="P7255">
        <v>0.84145369999999997</v>
      </c>
      <c r="Q7255">
        <v>0.17824799999999999</v>
      </c>
      <c r="R7255">
        <v>0.51008160000000002</v>
      </c>
      <c r="S7255">
        <v>1.99115</v>
      </c>
      <c r="T7255">
        <v>0.1060112</v>
      </c>
      <c r="U7255">
        <v>2.5783390000000002</v>
      </c>
      <c r="V7255">
        <v>-6.3943420000000001E-2</v>
      </c>
      <c r="W7255">
        <v>0.1909894</v>
      </c>
      <c r="X7255">
        <v>0.97950709999999996</v>
      </c>
      <c r="Y7255">
        <v>-0.41470839999999998</v>
      </c>
      <c r="Z7255">
        <v>1.874694E-2</v>
      </c>
      <c r="AA7255">
        <v>0.90976129999999999</v>
      </c>
      <c r="AB7255">
        <v>33</v>
      </c>
      <c r="AC7255">
        <v>32.319400000000002</v>
      </c>
      <c r="AD7255">
        <v>1.7286140000000001</v>
      </c>
      <c r="AE7255">
        <v>41.957569999999997</v>
      </c>
      <c r="AF7255">
        <v>-21.985743486096801</v>
      </c>
      <c r="AG7255">
        <v>1.7286140000000001</v>
      </c>
      <c r="AH7255">
        <v>48.121114942622398</v>
      </c>
      <c r="AI7255">
        <v>88.128613027767997</v>
      </c>
      <c r="AJ7255">
        <v>114.55487876665001</v>
      </c>
      <c r="AK7255">
        <v>52.933946823550997</v>
      </c>
      <c r="AL7255">
        <v>78.989469204604106</v>
      </c>
      <c r="AM7255">
        <v>93.735038698122494</v>
      </c>
      <c r="AN7255">
        <v>0.99999993541203103</v>
      </c>
    </row>
    <row r="7256" spans="1:40" x14ac:dyDescent="0.25">
      <c r="A7256" t="str">
        <f>"20190303170429399"</f>
        <v>20190303170429399</v>
      </c>
      <c r="B7256" t="str">
        <f>"1551603869392384"</f>
        <v>1551603869392384</v>
      </c>
      <c r="C7256" t="s">
        <v>40</v>
      </c>
      <c r="D7256">
        <v>5.0604879999999897</v>
      </c>
      <c r="E7256">
        <v>0.35360439999999999</v>
      </c>
      <c r="F7256" t="s">
        <v>54</v>
      </c>
      <c r="G7256">
        <v>-168.45050000000001</v>
      </c>
      <c r="H7256">
        <v>2.8046250000000001</v>
      </c>
      <c r="I7256">
        <v>-18.150179999999999</v>
      </c>
      <c r="J7256">
        <v>-200.63550000000001</v>
      </c>
      <c r="K7256">
        <v>1.1337410000000001</v>
      </c>
      <c r="L7256">
        <v>-60.579129999999999</v>
      </c>
      <c r="M7256">
        <v>0.88103149999999997</v>
      </c>
      <c r="N7256">
        <v>-1.490878E-2</v>
      </c>
      <c r="O7256">
        <v>0.47282279999999999</v>
      </c>
      <c r="P7256">
        <v>0.83808930000000004</v>
      </c>
      <c r="Q7256">
        <v>0.17627509999999999</v>
      </c>
      <c r="R7256">
        <v>0.51626870000000002</v>
      </c>
      <c r="S7256">
        <v>1.9717100000000001</v>
      </c>
      <c r="T7256">
        <v>0.10193190000000001</v>
      </c>
      <c r="U7256">
        <v>2.5931700000000002</v>
      </c>
      <c r="V7256">
        <v>-6.4340330000000001E-2</v>
      </c>
      <c r="W7256">
        <v>0.18904370000000001</v>
      </c>
      <c r="X7256">
        <v>0.97985860000000002</v>
      </c>
      <c r="Y7256">
        <v>-0.41545409999999999</v>
      </c>
      <c r="Z7256">
        <v>1.8698670000000001E-2</v>
      </c>
      <c r="AA7256">
        <v>0.90942190000000001</v>
      </c>
      <c r="AB7256">
        <v>33</v>
      </c>
      <c r="AC7256">
        <v>32.185000000000002</v>
      </c>
      <c r="AD7256">
        <v>1.670884</v>
      </c>
      <c r="AE7256">
        <v>42.42895</v>
      </c>
      <c r="AF7256">
        <v>-22.144102553563702</v>
      </c>
      <c r="AG7256">
        <v>1.670884</v>
      </c>
      <c r="AH7256">
        <v>48.375130724664103</v>
      </c>
      <c r="AI7256">
        <v>88.201155965210702</v>
      </c>
      <c r="AJ7256">
        <v>114.596316771237</v>
      </c>
      <c r="AK7256">
        <v>53.228811783399202</v>
      </c>
      <c r="AL7256">
        <v>79.103019519758504</v>
      </c>
      <c r="AM7256">
        <v>93.756812333505707</v>
      </c>
      <c r="AN7256">
        <v>1.0000000372840701</v>
      </c>
    </row>
    <row r="7257" spans="1:40" x14ac:dyDescent="0.25">
      <c r="A7257" t="str">
        <f>"20190303170429410"</f>
        <v>20190303170429410</v>
      </c>
      <c r="B7257" t="str">
        <f>"1551603869402654"</f>
        <v>1551603869402654</v>
      </c>
      <c r="C7257" t="s">
        <v>40</v>
      </c>
      <c r="D7257">
        <v>5.0619550000000002</v>
      </c>
      <c r="E7257">
        <v>0.35373959999999999</v>
      </c>
      <c r="F7257" t="s">
        <v>54</v>
      </c>
      <c r="G7257">
        <v>-168.45050000000001</v>
      </c>
      <c r="H7257">
        <v>2.6943250000000001</v>
      </c>
      <c r="I7257">
        <v>-17.656579999999899</v>
      </c>
      <c r="J7257">
        <v>-200.5017</v>
      </c>
      <c r="K7257">
        <v>1.1336660000000001</v>
      </c>
      <c r="L7257">
        <v>-60.501249999999999</v>
      </c>
      <c r="M7257">
        <v>0.87787749999999998</v>
      </c>
      <c r="N7257">
        <v>-1.493295E-2</v>
      </c>
      <c r="O7257">
        <v>0.47865239999999998</v>
      </c>
      <c r="P7257">
        <v>0.83454899999999999</v>
      </c>
      <c r="Q7257">
        <v>0.17386170000000001</v>
      </c>
      <c r="R7257">
        <v>0.5227813</v>
      </c>
      <c r="S7257">
        <v>1.9542079999999999</v>
      </c>
      <c r="T7257">
        <v>9.4755409999999998E-2</v>
      </c>
      <c r="U7257">
        <v>2.6061709999999998</v>
      </c>
      <c r="V7257">
        <v>-6.5136050000000001E-2</v>
      </c>
      <c r="W7257">
        <v>0.1866439</v>
      </c>
      <c r="X7257">
        <v>0.98026599999999997</v>
      </c>
      <c r="Y7257">
        <v>-0.41549589999999997</v>
      </c>
      <c r="Z7257">
        <v>1.8362659999999999E-2</v>
      </c>
      <c r="AA7257">
        <v>0.90940960000000004</v>
      </c>
      <c r="AB7257">
        <v>33</v>
      </c>
      <c r="AC7257">
        <v>32.051199999999902</v>
      </c>
      <c r="AD7257">
        <v>1.560659</v>
      </c>
      <c r="AE7257">
        <v>42.844670000000001</v>
      </c>
      <c r="AF7257">
        <v>-22.254538242398599</v>
      </c>
      <c r="AG7257">
        <v>1.560659</v>
      </c>
      <c r="AH7257">
        <v>48.6088015982019</v>
      </c>
      <c r="AI7257">
        <v>88.327869628774096</v>
      </c>
      <c r="AJ7257">
        <v>114.599699186821</v>
      </c>
      <c r="AK7257">
        <v>53.483789335741903</v>
      </c>
      <c r="AL7257">
        <v>79.243009981621199</v>
      </c>
      <c r="AM7257">
        <v>93.801562705318602</v>
      </c>
      <c r="AN7257">
        <v>1.0000000405864</v>
      </c>
    </row>
    <row r="7258" spans="1:40" x14ac:dyDescent="0.25">
      <c r="A7258" t="str">
        <f>"20190303170429421"</f>
        <v>20190303170429421</v>
      </c>
      <c r="B7258" t="str">
        <f>"1551603869412413"</f>
        <v>1551603869412413</v>
      </c>
      <c r="C7258" t="s">
        <v>40</v>
      </c>
      <c r="D7258">
        <v>5.0707259999999996</v>
      </c>
      <c r="E7258">
        <v>0.35394930000000002</v>
      </c>
      <c r="F7258" t="s">
        <v>54</v>
      </c>
      <c r="G7258">
        <v>-157.3501</v>
      </c>
      <c r="H7258">
        <v>3.0347710000000001</v>
      </c>
      <c r="I7258">
        <v>-2.1023369999999999</v>
      </c>
      <c r="J7258">
        <v>-200.36779999999999</v>
      </c>
      <c r="K7258">
        <v>1.1335839999999999</v>
      </c>
      <c r="L7258">
        <v>-60.421939999999999</v>
      </c>
      <c r="M7258">
        <v>0.8746931</v>
      </c>
      <c r="N7258">
        <v>-1.495369E-2</v>
      </c>
      <c r="O7258">
        <v>0.4844465</v>
      </c>
      <c r="P7258">
        <v>0.83100839999999998</v>
      </c>
      <c r="Q7258">
        <v>0.17168820000000001</v>
      </c>
      <c r="R7258">
        <v>0.5291013</v>
      </c>
      <c r="S7258">
        <v>1.935837</v>
      </c>
      <c r="T7258">
        <v>8.5285780000000005E-2</v>
      </c>
      <c r="U7258">
        <v>2.6198429999999999</v>
      </c>
      <c r="V7258">
        <v>-6.5782209999999994E-2</v>
      </c>
      <c r="W7258">
        <v>0.18448619999999999</v>
      </c>
      <c r="X7258">
        <v>0.98063120000000004</v>
      </c>
      <c r="Y7258">
        <v>-0.41585319999999998</v>
      </c>
      <c r="Z7258">
        <v>1.7785490000000001E-2</v>
      </c>
      <c r="AA7258">
        <v>0.9092578</v>
      </c>
      <c r="AB7258">
        <v>33</v>
      </c>
      <c r="AC7258">
        <v>43.017699999999898</v>
      </c>
      <c r="AD7258">
        <v>1.901187</v>
      </c>
      <c r="AE7258">
        <v>58.319603000000001</v>
      </c>
      <c r="AF7258">
        <v>-30.154599390107599</v>
      </c>
      <c r="AG7258">
        <v>1.901187</v>
      </c>
      <c r="AH7258">
        <v>65.842062355727293</v>
      </c>
      <c r="AI7258">
        <v>88.496177315903793</v>
      </c>
      <c r="AJ7258">
        <v>114.60701354254</v>
      </c>
      <c r="AK7258">
        <v>72.443712989067095</v>
      </c>
      <c r="AL7258">
        <v>79.368821820655896</v>
      </c>
      <c r="AM7258">
        <v>93.837737104434893</v>
      </c>
      <c r="AN7258">
        <v>1.00000000377818</v>
      </c>
    </row>
    <row r="7259" spans="1:40" x14ac:dyDescent="0.25">
      <c r="A7259" t="str">
        <f>"20190303170429431"</f>
        <v>20190303170429431</v>
      </c>
      <c r="B7259" t="str">
        <f>"1551603869423148"</f>
        <v>1551603869423148</v>
      </c>
      <c r="C7259" t="s">
        <v>40</v>
      </c>
      <c r="D7259">
        <v>5.0748449999999998</v>
      </c>
      <c r="E7259">
        <v>0.35412949999999999</v>
      </c>
      <c r="F7259" t="s">
        <v>54</v>
      </c>
      <c r="G7259">
        <v>-157.3501</v>
      </c>
      <c r="H7259">
        <v>2.8383129999999999</v>
      </c>
      <c r="I7259">
        <v>-1.3931260000000001</v>
      </c>
      <c r="J7259">
        <v>-200.23060000000001</v>
      </c>
      <c r="K7259">
        <v>1.1334959999999901</v>
      </c>
      <c r="L7259">
        <v>-60.339840000000002</v>
      </c>
      <c r="M7259">
        <v>0.87140269999999997</v>
      </c>
      <c r="N7259">
        <v>-1.497305E-2</v>
      </c>
      <c r="O7259">
        <v>0.4903399</v>
      </c>
      <c r="P7259">
        <v>0.82742320000000003</v>
      </c>
      <c r="Q7259">
        <v>0.16962140000000001</v>
      </c>
      <c r="R7259">
        <v>0.53534989999999905</v>
      </c>
      <c r="S7259">
        <v>1.91835</v>
      </c>
      <c r="T7259">
        <v>7.6021309999999995E-2</v>
      </c>
      <c r="U7259">
        <v>2.632355</v>
      </c>
      <c r="V7259">
        <v>-6.6251229999999994E-2</v>
      </c>
      <c r="W7259">
        <v>0.18243970000000001</v>
      </c>
      <c r="X7259">
        <v>0.98098240000000003</v>
      </c>
      <c r="Y7259">
        <v>-0.41569410000000001</v>
      </c>
      <c r="Z7259">
        <v>1.719644E-2</v>
      </c>
      <c r="AA7259">
        <v>0.90934190000000004</v>
      </c>
      <c r="AB7259">
        <v>33</v>
      </c>
      <c r="AC7259">
        <v>42.880499999999998</v>
      </c>
      <c r="AD7259">
        <v>1.704817</v>
      </c>
      <c r="AE7259">
        <v>58.946714</v>
      </c>
      <c r="AF7259">
        <v>-30.3271175075886</v>
      </c>
      <c r="AG7259">
        <v>1.704817</v>
      </c>
      <c r="AH7259">
        <v>66.241303422830796</v>
      </c>
      <c r="AI7259">
        <v>88.659489436716996</v>
      </c>
      <c r="AJ7259">
        <v>114.599628835971</v>
      </c>
      <c r="AK7259">
        <v>72.873525621298995</v>
      </c>
      <c r="AL7259">
        <v>79.488101881843207</v>
      </c>
      <c r="AM7259">
        <v>93.863637594038096</v>
      </c>
      <c r="AN7259">
        <v>0.99999996936118096</v>
      </c>
    </row>
    <row r="7260" spans="1:40" x14ac:dyDescent="0.25">
      <c r="A7260" t="str">
        <f>"20190303170429443"</f>
        <v>20190303170429443</v>
      </c>
      <c r="B7260" t="str">
        <f>"1551603869432909"</f>
        <v>1551603869432909</v>
      </c>
      <c r="C7260" t="s">
        <v>40</v>
      </c>
      <c r="D7260">
        <v>5.147017</v>
      </c>
      <c r="E7260">
        <v>0.35440270000000001</v>
      </c>
      <c r="F7260" t="s">
        <v>54</v>
      </c>
      <c r="G7260">
        <v>-157.3501</v>
      </c>
      <c r="H7260">
        <v>2.675446</v>
      </c>
      <c r="I7260">
        <v>-0.66317510000000002</v>
      </c>
      <c r="J7260">
        <v>-200.0951</v>
      </c>
      <c r="K7260">
        <v>1.1334040000000001</v>
      </c>
      <c r="L7260">
        <v>-60.25705</v>
      </c>
      <c r="M7260">
        <v>0.86813449999999903</v>
      </c>
      <c r="N7260">
        <v>-1.4987469999999999E-2</v>
      </c>
      <c r="O7260">
        <v>0.49610280000000001</v>
      </c>
      <c r="P7260">
        <v>0.82381349999999998</v>
      </c>
      <c r="Q7260">
        <v>0.16856750000000001</v>
      </c>
      <c r="R7260">
        <v>0.54121759999999997</v>
      </c>
      <c r="S7260">
        <v>1.9004669999999999</v>
      </c>
      <c r="T7260">
        <v>6.8338990000000002E-2</v>
      </c>
      <c r="U7260">
        <v>2.6448670000000001</v>
      </c>
      <c r="V7260">
        <v>-6.6549040000000004E-2</v>
      </c>
      <c r="W7260">
        <v>0.18140580000000001</v>
      </c>
      <c r="X7260">
        <v>0.98115399999999997</v>
      </c>
      <c r="Y7260">
        <v>-0.41574290000000003</v>
      </c>
      <c r="Z7260">
        <v>1.670992E-2</v>
      </c>
      <c r="AA7260">
        <v>0.90932860000000004</v>
      </c>
      <c r="AB7260">
        <v>33</v>
      </c>
      <c r="AC7260">
        <v>42.744999999999997</v>
      </c>
      <c r="AD7260">
        <v>1.5420419999999999</v>
      </c>
      <c r="AE7260">
        <v>59.593874899999904</v>
      </c>
      <c r="AF7260">
        <v>-30.519519303449901</v>
      </c>
      <c r="AG7260">
        <v>1.5420419999999999</v>
      </c>
      <c r="AH7260">
        <v>66.651115947188103</v>
      </c>
      <c r="AI7260">
        <v>88.7949264835663</v>
      </c>
      <c r="AJ7260">
        <v>114.603024480702</v>
      </c>
      <c r="AK7260">
        <v>73.322508202112999</v>
      </c>
      <c r="AL7260">
        <v>79.548345665795296</v>
      </c>
      <c r="AM7260">
        <v>93.880275624568398</v>
      </c>
      <c r="AN7260">
        <v>1.00000000535728</v>
      </c>
    </row>
    <row r="7261" spans="1:40" x14ac:dyDescent="0.25">
      <c r="A7261" t="str">
        <f>"20190303170429454"</f>
        <v>20190303170429454</v>
      </c>
      <c r="B7261" t="str">
        <f>"1551603869442669"</f>
        <v>1551603869442669</v>
      </c>
      <c r="C7261" t="s">
        <v>40</v>
      </c>
      <c r="D7261">
        <v>5.0772959999999996</v>
      </c>
      <c r="E7261">
        <v>0.35460380000000002</v>
      </c>
      <c r="F7261" t="s">
        <v>54</v>
      </c>
      <c r="G7261">
        <v>-157.3501</v>
      </c>
      <c r="H7261">
        <v>2.581108</v>
      </c>
      <c r="I7261">
        <v>2.6422500000000002E-2</v>
      </c>
      <c r="J7261">
        <v>-199.9571</v>
      </c>
      <c r="K7261">
        <v>1.133313</v>
      </c>
      <c r="L7261">
        <v>-60.172269999999997</v>
      </c>
      <c r="M7261">
        <v>0.8647743</v>
      </c>
      <c r="N7261">
        <v>-1.500192E-2</v>
      </c>
      <c r="O7261">
        <v>0.50193670000000001</v>
      </c>
      <c r="P7261">
        <v>0.82006679999999998</v>
      </c>
      <c r="Q7261">
        <v>0.16844319999999999</v>
      </c>
      <c r="R7261">
        <v>0.54691650000000003</v>
      </c>
      <c r="S7261">
        <v>1.8834839999999999</v>
      </c>
      <c r="T7261">
        <v>6.3790319999999998E-2</v>
      </c>
      <c r="U7261">
        <v>2.6562809999999999</v>
      </c>
      <c r="V7261">
        <v>-6.6690650000000004E-2</v>
      </c>
      <c r="W7261">
        <v>0.18130550000000001</v>
      </c>
      <c r="X7261">
        <v>0.98116289999999995</v>
      </c>
      <c r="Y7261">
        <v>-0.41532039999999998</v>
      </c>
      <c r="Z7261">
        <v>1.6498470000000001E-2</v>
      </c>
      <c r="AA7261">
        <v>0.90952560000000005</v>
      </c>
      <c r="AB7261">
        <v>33</v>
      </c>
      <c r="AC7261">
        <v>42.606999999999999</v>
      </c>
      <c r="AD7261">
        <v>1.4477949999999999</v>
      </c>
      <c r="AE7261">
        <v>60.1986925</v>
      </c>
      <c r="AF7261">
        <v>-30.663898882873301</v>
      </c>
      <c r="AG7261">
        <v>1.4477949999999999</v>
      </c>
      <c r="AH7261">
        <v>67.043079690340804</v>
      </c>
      <c r="AI7261">
        <v>88.874949175356704</v>
      </c>
      <c r="AJ7261">
        <v>114.57822172640699</v>
      </c>
      <c r="AK7261">
        <v>73.7370011556376</v>
      </c>
      <c r="AL7261">
        <v>79.554189085091807</v>
      </c>
      <c r="AM7261">
        <v>93.888472012753994</v>
      </c>
      <c r="AN7261">
        <v>0.99999998173204097</v>
      </c>
    </row>
    <row r="7262" spans="1:40" x14ac:dyDescent="0.25">
      <c r="A7262" t="str">
        <f>"20190303170429468"</f>
        <v>20190303170429468</v>
      </c>
      <c r="B7262" t="str">
        <f>"1551603869463165"</f>
        <v>1551603869463165</v>
      </c>
      <c r="C7262" t="s">
        <v>40</v>
      </c>
      <c r="D7262">
        <v>5.0849820000000001</v>
      </c>
      <c r="E7262">
        <v>0.35495159999999998</v>
      </c>
      <c r="F7262" t="s">
        <v>54</v>
      </c>
      <c r="G7262">
        <v>-157.3501</v>
      </c>
      <c r="H7262">
        <v>2.5770339999999998</v>
      </c>
      <c r="I7262">
        <v>0.75749350000000004</v>
      </c>
      <c r="J7262">
        <v>-199.81110000000001</v>
      </c>
      <c r="K7262">
        <v>1.1332100000000001</v>
      </c>
      <c r="L7262">
        <v>-60.08023</v>
      </c>
      <c r="M7262">
        <v>0.86121170000000002</v>
      </c>
      <c r="N7262">
        <v>-1.5010559999999999E-2</v>
      </c>
      <c r="O7262">
        <v>0.50802479999999905</v>
      </c>
      <c r="P7262">
        <v>0.81606840000000003</v>
      </c>
      <c r="Q7262">
        <v>0.16851340000000001</v>
      </c>
      <c r="R7262">
        <v>0.55284330000000004</v>
      </c>
      <c r="S7262">
        <v>1.8658140000000001</v>
      </c>
      <c r="T7262">
        <v>6.3222169999999994E-2</v>
      </c>
      <c r="U7262">
        <v>2.6681819999999998</v>
      </c>
      <c r="V7262">
        <v>-6.6841120000000004E-2</v>
      </c>
      <c r="W7262">
        <v>0.181395</v>
      </c>
      <c r="X7262">
        <v>0.98113609999999896</v>
      </c>
      <c r="Y7262">
        <v>-0.41485290000000002</v>
      </c>
      <c r="Z7262">
        <v>1.666455E-2</v>
      </c>
      <c r="AA7262">
        <v>0.90973590000000004</v>
      </c>
      <c r="AB7262">
        <v>33</v>
      </c>
      <c r="AC7262">
        <v>42.460999999999999</v>
      </c>
      <c r="AD7262">
        <v>1.44382399999999</v>
      </c>
      <c r="AE7262">
        <v>60.837723500000003</v>
      </c>
      <c r="AF7262">
        <v>-30.814718997430301</v>
      </c>
      <c r="AG7262">
        <v>1.44382399999999</v>
      </c>
      <c r="AH7262">
        <v>67.457033189013501</v>
      </c>
      <c r="AI7262">
        <v>88.884676754659694</v>
      </c>
      <c r="AJ7262">
        <v>114.55116389068</v>
      </c>
      <c r="AK7262">
        <v>74.176026189714705</v>
      </c>
      <c r="AL7262">
        <v>79.548974462917698</v>
      </c>
      <c r="AM7262">
        <v>93.897324452575305</v>
      </c>
      <c r="AN7262">
        <v>0.99999996403553104</v>
      </c>
    </row>
    <row r="7263" spans="1:40" x14ac:dyDescent="0.25">
      <c r="A7263" t="str">
        <f>"20190303170429478"</f>
        <v>20190303170429478</v>
      </c>
      <c r="B7263" t="str">
        <f>"1551603869472926"</f>
        <v>1551603869472926</v>
      </c>
      <c r="C7263" t="s">
        <v>40</v>
      </c>
      <c r="D7263">
        <v>5.0705179999999999</v>
      </c>
      <c r="E7263">
        <v>0.35530230000000002</v>
      </c>
      <c r="F7263" t="s">
        <v>54</v>
      </c>
      <c r="G7263">
        <v>-157.3501</v>
      </c>
      <c r="H7263">
        <v>2.5984289999999999</v>
      </c>
      <c r="I7263">
        <v>1.4782200000000001</v>
      </c>
      <c r="J7263">
        <v>-199.67339999999999</v>
      </c>
      <c r="K7263">
        <v>1.133108</v>
      </c>
      <c r="L7263">
        <v>-59.992739999999998</v>
      </c>
      <c r="M7263">
        <v>0.85782289999999894</v>
      </c>
      <c r="N7263">
        <v>-1.5018119999999999E-2</v>
      </c>
      <c r="O7263">
        <v>0.51372600000000002</v>
      </c>
      <c r="P7263">
        <v>0.81221899999999903</v>
      </c>
      <c r="Q7263">
        <v>0.16882169999999999</v>
      </c>
      <c r="R7263">
        <v>0.5583901</v>
      </c>
      <c r="S7263">
        <v>1.848007</v>
      </c>
      <c r="T7263">
        <v>6.3769699999999999E-2</v>
      </c>
      <c r="U7263">
        <v>2.6791689999999999</v>
      </c>
      <c r="V7263">
        <v>-6.7014320000000002E-2</v>
      </c>
      <c r="W7263">
        <v>0.18172050000000001</v>
      </c>
      <c r="X7263">
        <v>0.98106409999999999</v>
      </c>
      <c r="Y7263">
        <v>-0.41465940000000001</v>
      </c>
      <c r="Z7263">
        <v>1.6927020000000001E-2</v>
      </c>
      <c r="AA7263">
        <v>0.90981920000000005</v>
      </c>
      <c r="AB7263">
        <v>33</v>
      </c>
      <c r="AC7263">
        <v>42.323299999999897</v>
      </c>
      <c r="AD7263">
        <v>1.4653210000000001</v>
      </c>
      <c r="AE7263">
        <v>61.470959999999998</v>
      </c>
      <c r="AF7263">
        <v>-30.980169040221099</v>
      </c>
      <c r="AG7263">
        <v>1.4653210000000001</v>
      </c>
      <c r="AH7263">
        <v>67.866618621030696</v>
      </c>
      <c r="AI7263">
        <v>88.874769053630303</v>
      </c>
      <c r="AJ7263">
        <v>114.53603934499</v>
      </c>
      <c r="AK7263">
        <v>74.617665217066104</v>
      </c>
      <c r="AL7263">
        <v>79.530010019954304</v>
      </c>
      <c r="AM7263">
        <v>93.9076779063722</v>
      </c>
      <c r="AN7263">
        <v>1.0000000137570599</v>
      </c>
    </row>
    <row r="7264" spans="1:40" x14ac:dyDescent="0.25">
      <c r="A7264" t="str">
        <f>"20190303170429489"</f>
        <v>20190303170429489</v>
      </c>
      <c r="B7264" t="str">
        <f>"1551603869482685"</f>
        <v>1551603869482685</v>
      </c>
      <c r="C7264" t="s">
        <v>40</v>
      </c>
      <c r="D7264">
        <v>5.0765710000000004</v>
      </c>
      <c r="E7264">
        <v>0.35567599999999999</v>
      </c>
      <c r="F7264" t="s">
        <v>54</v>
      </c>
      <c r="G7264">
        <v>-157.3501</v>
      </c>
      <c r="H7264">
        <v>2.5947300000000002</v>
      </c>
      <c r="I7264">
        <v>2.1608079999999998</v>
      </c>
      <c r="J7264">
        <v>-199.53450000000001</v>
      </c>
      <c r="K7264">
        <v>1.1329990000000001</v>
      </c>
      <c r="L7264">
        <v>-59.90305</v>
      </c>
      <c r="M7264">
        <v>0.8543963</v>
      </c>
      <c r="N7264">
        <v>-1.502213E-2</v>
      </c>
      <c r="O7264">
        <v>0.5194048</v>
      </c>
      <c r="P7264">
        <v>0.8081855</v>
      </c>
      <c r="Q7264">
        <v>0.1686242</v>
      </c>
      <c r="R7264">
        <v>0.56427130000000003</v>
      </c>
      <c r="S7264">
        <v>1.831421</v>
      </c>
      <c r="T7264">
        <v>6.3247440000000002E-2</v>
      </c>
      <c r="U7264">
        <v>2.689514</v>
      </c>
      <c r="V7264">
        <v>-6.7555199999999996E-2</v>
      </c>
      <c r="W7264">
        <v>0.1815273</v>
      </c>
      <c r="X7264">
        <v>0.98106280000000001</v>
      </c>
      <c r="Y7264">
        <v>-0.4140836</v>
      </c>
      <c r="Z7264">
        <v>1.7079159999999999E-2</v>
      </c>
      <c r="AA7264">
        <v>0.91007859999999996</v>
      </c>
      <c r="AB7264">
        <v>33</v>
      </c>
      <c r="AC7264">
        <v>42.184399999999997</v>
      </c>
      <c r="AD7264">
        <v>1.4617309999999999</v>
      </c>
      <c r="AE7264">
        <v>62.063857999999897</v>
      </c>
      <c r="AF7264">
        <v>-31.108058688219899</v>
      </c>
      <c r="AG7264">
        <v>1.4617309999999999</v>
      </c>
      <c r="AH7264">
        <v>68.260265701463695</v>
      </c>
      <c r="AI7264">
        <v>88.883676896144493</v>
      </c>
      <c r="AJ7264">
        <v>114.50004406348501</v>
      </c>
      <c r="AK7264">
        <v>75.028740136700307</v>
      </c>
      <c r="AL7264">
        <v>79.541267080849707</v>
      </c>
      <c r="AM7264">
        <v>93.939123516943695</v>
      </c>
      <c r="AN7264">
        <v>1.0000000416180801</v>
      </c>
    </row>
    <row r="7265" spans="1:40" x14ac:dyDescent="0.25">
      <c r="A7265" t="str">
        <f>"20190303170429500"</f>
        <v>20190303170429500</v>
      </c>
      <c r="B7265" t="str">
        <f>"1551603869492444"</f>
        <v>1551603869492444</v>
      </c>
      <c r="C7265" t="s">
        <v>40</v>
      </c>
      <c r="D7265">
        <v>5.0866490000000004</v>
      </c>
      <c r="E7265">
        <v>0.35605949999999997</v>
      </c>
      <c r="F7265" t="s">
        <v>54</v>
      </c>
      <c r="G7265">
        <v>-157.3501</v>
      </c>
      <c r="H7265">
        <v>2.5441929999999999</v>
      </c>
      <c r="I7265">
        <v>2.8869470000000002</v>
      </c>
      <c r="J7265">
        <v>-199.41220000000001</v>
      </c>
      <c r="K7265">
        <v>1.132903</v>
      </c>
      <c r="L7265">
        <v>-59.823</v>
      </c>
      <c r="M7265">
        <v>0.85136109999999898</v>
      </c>
      <c r="N7265">
        <v>-1.502413E-2</v>
      </c>
      <c r="O7265">
        <v>0.52436499999999997</v>
      </c>
      <c r="P7265">
        <v>0.80466549999999903</v>
      </c>
      <c r="Q7265">
        <v>0.16750290000000001</v>
      </c>
      <c r="R7265">
        <v>0.56961049999999902</v>
      </c>
      <c r="S7265">
        <v>1.814087</v>
      </c>
      <c r="T7265">
        <v>6.0686110000000001E-2</v>
      </c>
      <c r="U7265">
        <v>2.7001949999999999</v>
      </c>
      <c r="V7265">
        <v>-6.8150500000000003E-2</v>
      </c>
      <c r="W7265">
        <v>0.1804074</v>
      </c>
      <c r="X7265">
        <v>0.98122819999999999</v>
      </c>
      <c r="Y7265">
        <v>-0.41447430000000002</v>
      </c>
      <c r="Z7265">
        <v>1.6988099999999898E-2</v>
      </c>
      <c r="AA7265">
        <v>0.9099024</v>
      </c>
      <c r="AB7265">
        <v>33</v>
      </c>
      <c r="AC7265">
        <v>42.062100000000001</v>
      </c>
      <c r="AD7265">
        <v>1.4112899999999999</v>
      </c>
      <c r="AE7265">
        <v>62.709947</v>
      </c>
      <c r="AF7265">
        <v>-31.325509087564999</v>
      </c>
      <c r="AG7265">
        <v>1.4112899999999999</v>
      </c>
      <c r="AH7265">
        <v>68.676697626797505</v>
      </c>
      <c r="AI7265">
        <v>88.928886231672706</v>
      </c>
      <c r="AJ7265">
        <v>114.519156600822</v>
      </c>
      <c r="AK7265">
        <v>75.496808250294805</v>
      </c>
      <c r="AL7265">
        <v>79.606509935673998</v>
      </c>
      <c r="AM7265">
        <v>93.973056879264504</v>
      </c>
      <c r="AN7265">
        <v>1.0000000505501201</v>
      </c>
    </row>
    <row r="7266" spans="1:40" x14ac:dyDescent="0.25">
      <c r="A7266" t="str">
        <f>"20190303170429510"</f>
        <v>20190303170429510</v>
      </c>
      <c r="B7266" t="str">
        <f>"1551603869503181"</f>
        <v>1551603869503181</v>
      </c>
      <c r="C7266" t="s">
        <v>40</v>
      </c>
      <c r="D7266">
        <v>5.1139539999999997</v>
      </c>
      <c r="E7266">
        <v>0.35605949999999997</v>
      </c>
      <c r="F7266" t="s">
        <v>54</v>
      </c>
      <c r="G7266">
        <v>-157.3501</v>
      </c>
      <c r="H7266">
        <v>2.4172630000000002</v>
      </c>
      <c r="I7266">
        <v>3.5237620000000001</v>
      </c>
      <c r="J7266">
        <v>-199.2758</v>
      </c>
      <c r="K7266">
        <v>1.1327910000000001</v>
      </c>
      <c r="L7266">
        <v>-59.732669999999999</v>
      </c>
      <c r="M7266">
        <v>0.84796099999999996</v>
      </c>
      <c r="N7266">
        <v>-1.502472E-2</v>
      </c>
      <c r="O7266">
        <v>0.52984569999999998</v>
      </c>
      <c r="P7266">
        <v>0.80078549999999904</v>
      </c>
      <c r="Q7266">
        <v>0.16650409999999999</v>
      </c>
      <c r="R7266">
        <v>0.57534229999999997</v>
      </c>
      <c r="S7266">
        <v>1.7989649999999999</v>
      </c>
      <c r="T7266">
        <v>5.4930689999999997E-2</v>
      </c>
      <c r="U7266">
        <v>2.7092900000000002</v>
      </c>
      <c r="V7266">
        <v>-6.8644159999999996E-2</v>
      </c>
      <c r="W7266">
        <v>0.1794134</v>
      </c>
      <c r="X7266">
        <v>0.98137600000000003</v>
      </c>
      <c r="Y7266">
        <v>-0.41352040000000001</v>
      </c>
      <c r="Z7266">
        <v>1.6566689999999999E-2</v>
      </c>
      <c r="AA7266">
        <v>0.91034409999999999</v>
      </c>
      <c r="AB7266">
        <v>33</v>
      </c>
      <c r="AC7266">
        <v>41.925699999999999</v>
      </c>
      <c r="AD7266">
        <v>1.2844720000000001</v>
      </c>
      <c r="AE7266">
        <v>63.256431999999997</v>
      </c>
      <c r="AF7266">
        <v>-31.419381028736499</v>
      </c>
      <c r="AG7266">
        <v>1.2844720000000001</v>
      </c>
      <c r="AH7266">
        <v>69.055518870012904</v>
      </c>
      <c r="AI7266">
        <v>89.030045540111502</v>
      </c>
      <c r="AJ7266">
        <v>114.464930158656</v>
      </c>
      <c r="AK7266">
        <v>75.878139532769396</v>
      </c>
      <c r="AL7266">
        <v>79.664406332786896</v>
      </c>
      <c r="AM7266">
        <v>94.0011425156857</v>
      </c>
      <c r="AN7266">
        <v>1.00000002108883</v>
      </c>
    </row>
    <row r="7267" spans="1:40" x14ac:dyDescent="0.25">
      <c r="A7267" t="str">
        <f>"20190303170429523"</f>
        <v>20190303170429523</v>
      </c>
      <c r="B7267" t="str">
        <f>"1551603869512940"</f>
        <v>1551603869512940</v>
      </c>
      <c r="C7267" t="s">
        <v>40</v>
      </c>
      <c r="D7267">
        <v>5.0382400000000001</v>
      </c>
      <c r="E7267">
        <v>0.3562071</v>
      </c>
      <c r="F7267" t="s">
        <v>54</v>
      </c>
      <c r="G7267">
        <v>-157.3501</v>
      </c>
      <c r="H7267">
        <v>2.3301539999999998</v>
      </c>
      <c r="I7267">
        <v>4.364655</v>
      </c>
      <c r="J7267">
        <v>-199.14279999999999</v>
      </c>
      <c r="K7267">
        <v>1.1326849999999999</v>
      </c>
      <c r="L7267">
        <v>-59.643250000000002</v>
      </c>
      <c r="M7267">
        <v>0.84463960000000005</v>
      </c>
      <c r="N7267">
        <v>-1.502324E-2</v>
      </c>
      <c r="O7267">
        <v>0.5351245</v>
      </c>
      <c r="P7267">
        <v>0.79691829999999997</v>
      </c>
      <c r="Q7267">
        <v>0.165154299999999</v>
      </c>
      <c r="R7267">
        <v>0.58107259999999905</v>
      </c>
      <c r="S7267">
        <v>1.7802579999999999</v>
      </c>
      <c r="T7267">
        <v>5.0842520000000002E-2</v>
      </c>
      <c r="U7267">
        <v>2.7217099999999999</v>
      </c>
      <c r="V7267">
        <v>-6.9331550000000006E-2</v>
      </c>
      <c r="W7267">
        <v>0.17806229999999901</v>
      </c>
      <c r="X7267">
        <v>0.98157369999999999</v>
      </c>
      <c r="Y7267">
        <v>-0.4141165</v>
      </c>
      <c r="Z7267">
        <v>1.6292560000000001E-2</v>
      </c>
      <c r="AA7267">
        <v>0.91007800000000005</v>
      </c>
      <c r="AB7267">
        <v>33</v>
      </c>
      <c r="AC7267">
        <v>41.792700000000004</v>
      </c>
      <c r="AD7267">
        <v>1.1974689999999999</v>
      </c>
      <c r="AE7267">
        <v>64.007904999999994</v>
      </c>
      <c r="AF7267">
        <v>-31.695114254267398</v>
      </c>
      <c r="AG7267">
        <v>1.1974689999999999</v>
      </c>
      <c r="AH7267">
        <v>69.542753752059696</v>
      </c>
      <c r="AI7267">
        <v>89.102331177272902</v>
      </c>
      <c r="AJ7267">
        <v>114.50181156764501</v>
      </c>
      <c r="AK7267">
        <v>76.434343060018804</v>
      </c>
      <c r="AL7267">
        <v>79.743085311656301</v>
      </c>
      <c r="AM7267">
        <v>94.0402659109144</v>
      </c>
      <c r="AN7267">
        <v>0.99999998751919095</v>
      </c>
    </row>
    <row r="7268" spans="1:40" x14ac:dyDescent="0.25">
      <c r="A7268" t="str">
        <f>"20190303170429534"</f>
        <v>20190303170429534</v>
      </c>
      <c r="B7268" t="str">
        <f>"1551603869522701"</f>
        <v>1551603869522701</v>
      </c>
      <c r="C7268" t="s">
        <v>40</v>
      </c>
      <c r="D7268">
        <v>5.0177239999999896</v>
      </c>
      <c r="E7268">
        <v>0.35638130000000001</v>
      </c>
      <c r="F7268" t="s">
        <v>54</v>
      </c>
      <c r="G7268">
        <v>-157.3501</v>
      </c>
      <c r="H7268">
        <v>2.2567710000000001</v>
      </c>
      <c r="I7268">
        <v>5.171824</v>
      </c>
      <c r="J7268">
        <v>-199.00630000000001</v>
      </c>
      <c r="K7268">
        <v>1.1325780000000001</v>
      </c>
      <c r="L7268">
        <v>-59.550750000000001</v>
      </c>
      <c r="M7268">
        <v>0.84120640000000002</v>
      </c>
      <c r="N7268">
        <v>-1.502177E-2</v>
      </c>
      <c r="O7268">
        <v>0.54050549999999997</v>
      </c>
      <c r="P7268">
        <v>0.79284060000000001</v>
      </c>
      <c r="Q7268">
        <v>0.1645114</v>
      </c>
      <c r="R7268">
        <v>0.58680469999999996</v>
      </c>
      <c r="S7268">
        <v>1.7620849999999999</v>
      </c>
      <c r="T7268">
        <v>4.7394039999999998E-2</v>
      </c>
      <c r="U7268">
        <v>2.732758</v>
      </c>
      <c r="V7268">
        <v>-7.0008180000000003E-2</v>
      </c>
      <c r="W7268">
        <v>0.17741750000000001</v>
      </c>
      <c r="X7268">
        <v>0.98164240000000003</v>
      </c>
      <c r="Y7268">
        <v>-0.41424689999999997</v>
      </c>
      <c r="Z7268">
        <v>1.6078430000000001E-2</v>
      </c>
      <c r="AA7268">
        <v>0.91002249999999996</v>
      </c>
      <c r="AB7268">
        <v>33</v>
      </c>
      <c r="AC7268">
        <v>41.656199999999998</v>
      </c>
      <c r="AD7268">
        <v>1.124193</v>
      </c>
      <c r="AE7268">
        <v>64.722573999999994</v>
      </c>
      <c r="AF7268">
        <v>-31.926429681284699</v>
      </c>
      <c r="AG7268">
        <v>1.124193</v>
      </c>
      <c r="AH7268">
        <v>70.017332569999695</v>
      </c>
      <c r="AI7268">
        <v>89.163032597466994</v>
      </c>
      <c r="AJ7268">
        <v>114.51198726675599</v>
      </c>
      <c r="AK7268">
        <v>76.960948423945595</v>
      </c>
      <c r="AL7268">
        <v>79.780627090632606</v>
      </c>
      <c r="AM7268">
        <v>94.079279194804002</v>
      </c>
      <c r="AN7268">
        <v>0.99999995802546005</v>
      </c>
    </row>
    <row r="7269" spans="1:40" x14ac:dyDescent="0.25">
      <c r="A7269" t="str">
        <f>"20190303170429547"</f>
        <v>20190303170429547</v>
      </c>
      <c r="B7269" t="str">
        <f>"1551603869532460"</f>
        <v>1551603869532460</v>
      </c>
      <c r="C7269" t="s">
        <v>40</v>
      </c>
      <c r="D7269">
        <v>5.0336480000000003</v>
      </c>
      <c r="E7269">
        <v>0.35660019999999998</v>
      </c>
      <c r="F7269" t="s">
        <v>54</v>
      </c>
      <c r="G7269">
        <v>-157.3501</v>
      </c>
      <c r="H7269">
        <v>2.2416849999999999</v>
      </c>
      <c r="I7269">
        <v>6.0120459999999998</v>
      </c>
      <c r="J7269">
        <v>-198.87540000000001</v>
      </c>
      <c r="K7269">
        <v>1.1324749999999999</v>
      </c>
      <c r="L7269">
        <v>-59.460079999999998</v>
      </c>
      <c r="M7269">
        <v>0.83791469999999901</v>
      </c>
      <c r="N7269">
        <v>-1.501708E-2</v>
      </c>
      <c r="O7269">
        <v>0.54559449999999998</v>
      </c>
      <c r="P7269">
        <v>0.78885519999999998</v>
      </c>
      <c r="Q7269">
        <v>0.16453509999999999</v>
      </c>
      <c r="R7269">
        <v>0.59214509999999998</v>
      </c>
      <c r="S7269">
        <v>1.7433780000000001</v>
      </c>
      <c r="T7269">
        <v>4.6417590000000002E-2</v>
      </c>
      <c r="U7269">
        <v>2.7438959999999999</v>
      </c>
      <c r="V7269">
        <v>-7.0645940000000004E-2</v>
      </c>
      <c r="W7269">
        <v>0.17743539999999999</v>
      </c>
      <c r="X7269">
        <v>0.98159350000000001</v>
      </c>
      <c r="Y7269">
        <v>-0.41481899999999999</v>
      </c>
      <c r="Z7269">
        <v>1.6117429999999999E-2</v>
      </c>
      <c r="AA7269">
        <v>0.90976120000000005</v>
      </c>
      <c r="AB7269">
        <v>33</v>
      </c>
      <c r="AC7269">
        <v>41.525300000000001</v>
      </c>
      <c r="AD7269">
        <v>1.10921</v>
      </c>
      <c r="AE7269">
        <v>65.472126000000003</v>
      </c>
      <c r="AF7269">
        <v>-32.201123649932697</v>
      </c>
      <c r="AG7269">
        <v>1.10921</v>
      </c>
      <c r="AH7269">
        <v>70.509414409532397</v>
      </c>
      <c r="AI7269">
        <v>89.180169444018404</v>
      </c>
      <c r="AJ7269">
        <v>114.54582638462399</v>
      </c>
      <c r="AK7269">
        <v>77.5223853575052</v>
      </c>
      <c r="AL7269">
        <v>79.779585236583799</v>
      </c>
      <c r="AM7269">
        <v>94.116517773808297</v>
      </c>
      <c r="AN7269">
        <v>0.99999998462694595</v>
      </c>
    </row>
    <row r="7270" spans="1:40" x14ac:dyDescent="0.25">
      <c r="A7270" t="str">
        <f>"20190303170429557"</f>
        <v>20190303170429557</v>
      </c>
      <c r="B7270" t="str">
        <f>"1551603869543197"</f>
        <v>1551603869543197</v>
      </c>
      <c r="C7270" t="s">
        <v>40</v>
      </c>
      <c r="D7270">
        <v>5.0599740000000004</v>
      </c>
      <c r="E7270">
        <v>0.35688219999999998</v>
      </c>
      <c r="F7270" t="s">
        <v>54</v>
      </c>
      <c r="G7270">
        <v>-157.3501</v>
      </c>
      <c r="H7270">
        <v>2.272411</v>
      </c>
      <c r="I7270">
        <v>6.8029890000000002</v>
      </c>
      <c r="J7270">
        <v>-198.75040000000001</v>
      </c>
      <c r="K7270">
        <v>1.1323810000000001</v>
      </c>
      <c r="L7270">
        <v>-59.37323</v>
      </c>
      <c r="M7270">
        <v>0.83475010000000005</v>
      </c>
      <c r="N7270">
        <v>-1.5013250000000001E-2</v>
      </c>
      <c r="O7270">
        <v>0.55042419999999903</v>
      </c>
      <c r="P7270">
        <v>0.78518030000000005</v>
      </c>
      <c r="Q7270">
        <v>0.165007399999999</v>
      </c>
      <c r="R7270">
        <v>0.59687900000000005</v>
      </c>
      <c r="S7270">
        <v>1.7258610000000001</v>
      </c>
      <c r="T7270">
        <v>4.7377469999999998E-2</v>
      </c>
      <c r="U7270">
        <v>2.7539980000000002</v>
      </c>
      <c r="V7270">
        <v>-7.0905140000000005E-2</v>
      </c>
      <c r="W7270">
        <v>0.17791119999999999</v>
      </c>
      <c r="X7270">
        <v>0.98148869999999999</v>
      </c>
      <c r="Y7270">
        <v>-0.4152228</v>
      </c>
      <c r="Z7270">
        <v>1.6365939999999999E-2</v>
      </c>
      <c r="AA7270">
        <v>0.90957250000000001</v>
      </c>
      <c r="AB7270">
        <v>32</v>
      </c>
      <c r="AC7270">
        <v>41.400300000000001</v>
      </c>
      <c r="AD7270">
        <v>1.1400299999999901</v>
      </c>
      <c r="AE7270">
        <v>66.176218999999904</v>
      </c>
      <c r="AF7270">
        <v>-32.449616267978797</v>
      </c>
      <c r="AG7270">
        <v>1.1400299999999901</v>
      </c>
      <c r="AH7270">
        <v>70.976761689223395</v>
      </c>
      <c r="AI7270">
        <v>89.163096866623903</v>
      </c>
      <c r="AJ7270">
        <v>114.569238941165</v>
      </c>
      <c r="AK7270">
        <v>78.051124042058404</v>
      </c>
      <c r="AL7270">
        <v>79.751883321293803</v>
      </c>
      <c r="AM7270">
        <v>94.132008699979906</v>
      </c>
      <c r="AN7270">
        <v>1.0000000010957699</v>
      </c>
    </row>
    <row r="7271" spans="1:40" x14ac:dyDescent="0.25">
      <c r="A7271" t="str">
        <f>"20190303170429567"</f>
        <v>20190303170429567</v>
      </c>
      <c r="B7271" t="str">
        <f>"1551603869562718"</f>
        <v>1551603869562718</v>
      </c>
      <c r="C7271" t="s">
        <v>40</v>
      </c>
      <c r="D7271">
        <v>5.0704710000000004</v>
      </c>
      <c r="E7271">
        <v>0.3575489</v>
      </c>
      <c r="F7271" t="s">
        <v>54</v>
      </c>
      <c r="G7271">
        <v>-157.3501</v>
      </c>
      <c r="H7271">
        <v>2.3402440000000002</v>
      </c>
      <c r="I7271">
        <v>7.501519</v>
      </c>
      <c r="J7271">
        <v>-198.614</v>
      </c>
      <c r="K7271">
        <v>1.1322779999999999</v>
      </c>
      <c r="L7271">
        <v>-59.276519999999998</v>
      </c>
      <c r="M7271">
        <v>0.83129759999999997</v>
      </c>
      <c r="N7271">
        <v>-1.500599E-2</v>
      </c>
      <c r="O7271">
        <v>0.55562500000000004</v>
      </c>
      <c r="P7271">
        <v>0.7810222</v>
      </c>
      <c r="Q7271">
        <v>0.16552169999999999</v>
      </c>
      <c r="R7271">
        <v>0.60216840000000005</v>
      </c>
      <c r="S7271">
        <v>1.7102360000000001</v>
      </c>
      <c r="T7271">
        <v>4.9896360000000001E-2</v>
      </c>
      <c r="U7271">
        <v>2.7625730000000002</v>
      </c>
      <c r="V7271">
        <v>-7.1433830000000004E-2</v>
      </c>
      <c r="W7271">
        <v>0.17842069999999999</v>
      </c>
      <c r="X7271">
        <v>0.98135790000000001</v>
      </c>
      <c r="Y7271">
        <v>-0.41453220000000002</v>
      </c>
      <c r="Z7271">
        <v>1.6806370000000001E-2</v>
      </c>
      <c r="AA7271">
        <v>0.9098794</v>
      </c>
      <c r="AB7271">
        <v>32</v>
      </c>
      <c r="AC7271">
        <v>41.2639</v>
      </c>
      <c r="AD7271">
        <v>1.2079659999999901</v>
      </c>
      <c r="AE7271">
        <v>66.778038999999893</v>
      </c>
      <c r="AF7271">
        <v>-32.581122870431201</v>
      </c>
      <c r="AG7271">
        <v>1.2079659999999901</v>
      </c>
      <c r="AH7271">
        <v>71.397262139177002</v>
      </c>
      <c r="AI7271">
        <v>89.118170809291101</v>
      </c>
      <c r="AJ7271">
        <v>114.52890915214</v>
      </c>
      <c r="AK7271">
        <v>78.489220854367403</v>
      </c>
      <c r="AL7271">
        <v>79.722216797331598</v>
      </c>
      <c r="AM7271">
        <v>94.163263166774897</v>
      </c>
      <c r="AN7271">
        <v>1.0000000330746801</v>
      </c>
    </row>
    <row r="7272" spans="1:40" x14ac:dyDescent="0.25">
      <c r="A7272" t="str">
        <f>"20190303170429581"</f>
        <v>20190303170429581</v>
      </c>
      <c r="B7272" t="str">
        <f>"1551603869572477"</f>
        <v>1551603869572477</v>
      </c>
      <c r="C7272" t="s">
        <v>40</v>
      </c>
      <c r="D7272">
        <v>5.0736470000000002</v>
      </c>
      <c r="E7272">
        <v>0.35785109999999998</v>
      </c>
      <c r="F7272" t="s">
        <v>54</v>
      </c>
      <c r="G7272">
        <v>-157.3501</v>
      </c>
      <c r="H7272">
        <v>2.4206110000000001</v>
      </c>
      <c r="I7272">
        <v>8.196218</v>
      </c>
      <c r="J7272">
        <v>-198.45519999999999</v>
      </c>
      <c r="K7272">
        <v>1.132158</v>
      </c>
      <c r="L7272">
        <v>-59.162779999999998</v>
      </c>
      <c r="M7272">
        <v>0.82725519999999997</v>
      </c>
      <c r="N7272">
        <v>-1.499706E-2</v>
      </c>
      <c r="O7272">
        <v>0.56162619999999996</v>
      </c>
      <c r="P7272">
        <v>0.77629939999999997</v>
      </c>
      <c r="Q7272">
        <v>0.1661089</v>
      </c>
      <c r="R7272">
        <v>0.60808490000000004</v>
      </c>
      <c r="S7272">
        <v>1.6941219999999999</v>
      </c>
      <c r="T7272">
        <v>5.28934E-2</v>
      </c>
      <c r="U7272">
        <v>2.7701419999999999</v>
      </c>
      <c r="V7272">
        <v>-7.1820519999999999E-2</v>
      </c>
      <c r="W7272">
        <v>0.17900759999999999</v>
      </c>
      <c r="X7272">
        <v>0.9812227</v>
      </c>
      <c r="Y7272">
        <v>-0.41291070000000002</v>
      </c>
      <c r="Z7272">
        <v>1.7339299999999998E-2</v>
      </c>
      <c r="AA7272">
        <v>0.91060640000000004</v>
      </c>
      <c r="AB7272">
        <v>32</v>
      </c>
      <c r="AC7272">
        <v>41.105099999999901</v>
      </c>
      <c r="AD7272">
        <v>1.2884530000000001</v>
      </c>
      <c r="AE7272">
        <v>67.358998</v>
      </c>
      <c r="AF7272">
        <v>-32.632350114618703</v>
      </c>
      <c r="AG7272">
        <v>1.2884530000000001</v>
      </c>
      <c r="AH7272">
        <v>71.823914461778998</v>
      </c>
      <c r="AI7272">
        <v>89.064306340484706</v>
      </c>
      <c r="AJ7272">
        <v>114.434113948657</v>
      </c>
      <c r="AK7272">
        <v>78.899968781674602</v>
      </c>
      <c r="AL7272">
        <v>79.688038796591101</v>
      </c>
      <c r="AM7272">
        <v>94.186294801889105</v>
      </c>
      <c r="AN7272">
        <v>0.99999994747305798</v>
      </c>
    </row>
    <row r="7273" spans="1:40" x14ac:dyDescent="0.25">
      <c r="A7273" t="str">
        <f>"20190303170429590"</f>
        <v>20190303170429590</v>
      </c>
      <c r="B7273" t="str">
        <f>"1551603869583213"</f>
        <v>1551603869583213</v>
      </c>
      <c r="C7273" t="s">
        <v>40</v>
      </c>
      <c r="D7273">
        <v>5.0804470000000004</v>
      </c>
      <c r="E7273">
        <v>0.35785109999999998</v>
      </c>
      <c r="F7273" t="s">
        <v>54</v>
      </c>
      <c r="G7273">
        <v>-157.3501</v>
      </c>
      <c r="H7273">
        <v>2.4920490000000002</v>
      </c>
      <c r="I7273">
        <v>9.1213610000000003</v>
      </c>
      <c r="J7273">
        <v>-198.3466</v>
      </c>
      <c r="K7273">
        <v>1.1320790000000001</v>
      </c>
      <c r="L7273">
        <v>-59.084110000000003</v>
      </c>
      <c r="M7273">
        <v>0.82447800000000004</v>
      </c>
      <c r="N7273">
        <v>-1.499027E-2</v>
      </c>
      <c r="O7273">
        <v>0.56569550000000002</v>
      </c>
      <c r="P7273">
        <v>0.77285749999999998</v>
      </c>
      <c r="Q7273">
        <v>0.166078</v>
      </c>
      <c r="R7273">
        <v>0.612461699999999</v>
      </c>
      <c r="S7273">
        <v>1.674164</v>
      </c>
      <c r="T7273">
        <v>5.5386539999999998E-2</v>
      </c>
      <c r="U7273">
        <v>2.7811279999999998</v>
      </c>
      <c r="V7273">
        <v>-7.2489680000000001E-2</v>
      </c>
      <c r="W7273">
        <v>0.1789654</v>
      </c>
      <c r="X7273">
        <v>0.98118130000000003</v>
      </c>
      <c r="Y7273">
        <v>-0.41481410000000002</v>
      </c>
      <c r="Z7273">
        <v>1.7759750000000001E-2</v>
      </c>
      <c r="AA7273">
        <v>0.90973280000000001</v>
      </c>
      <c r="AB7273">
        <v>32</v>
      </c>
      <c r="AC7273">
        <v>40.996499999999997</v>
      </c>
      <c r="AD7273">
        <v>1.3599699999999999</v>
      </c>
      <c r="AE7273">
        <v>68.205470999999903</v>
      </c>
      <c r="AF7273">
        <v>-33.0364379419633</v>
      </c>
      <c r="AG7273">
        <v>1.3599699999999999</v>
      </c>
      <c r="AH7273">
        <v>72.371234877943806</v>
      </c>
      <c r="AI7273">
        <v>89.020640704994094</v>
      </c>
      <c r="AJ7273">
        <v>114.536022395245</v>
      </c>
      <c r="AK7273">
        <v>79.566647460180207</v>
      </c>
      <c r="AL7273">
        <v>79.690497493450096</v>
      </c>
      <c r="AM7273">
        <v>94.225336018485706</v>
      </c>
      <c r="AN7273">
        <v>1.00000005578667</v>
      </c>
    </row>
    <row r="7274" spans="1:40" x14ac:dyDescent="0.25">
      <c r="A7274" t="str">
        <f>"20190303170429601"</f>
        <v>20190303170429601</v>
      </c>
      <c r="B7274" t="str">
        <f>"1551603869592973"</f>
        <v>1551603869592973</v>
      </c>
      <c r="C7274" t="s">
        <v>40</v>
      </c>
      <c r="D7274">
        <v>5.1069509999999996</v>
      </c>
      <c r="E7274">
        <v>0.37205840000000001</v>
      </c>
      <c r="F7274" t="s">
        <v>54</v>
      </c>
      <c r="G7274">
        <v>-157.3501</v>
      </c>
      <c r="H7274">
        <v>2.5000710000000002</v>
      </c>
      <c r="I7274">
        <v>9.8896899999999999</v>
      </c>
      <c r="J7274">
        <v>-198.2303</v>
      </c>
      <c r="K7274">
        <v>1.131996</v>
      </c>
      <c r="L7274">
        <v>-58.998779999999996</v>
      </c>
      <c r="M7274">
        <v>0.82149490000000003</v>
      </c>
      <c r="N7274">
        <v>-1.498243E-2</v>
      </c>
      <c r="O7274">
        <v>0.5700189</v>
      </c>
      <c r="P7274">
        <v>0.76934930000000001</v>
      </c>
      <c r="Q7274">
        <v>0.16578979999999999</v>
      </c>
      <c r="R7274">
        <v>0.61694040000000006</v>
      </c>
      <c r="S7274">
        <v>1.6585240000000001</v>
      </c>
      <c r="T7274">
        <v>5.5342200000000001E-2</v>
      </c>
      <c r="U7274">
        <v>2.7903440000000002</v>
      </c>
      <c r="V7274">
        <v>-7.2953539999999997E-2</v>
      </c>
      <c r="W7274">
        <v>0.1786722</v>
      </c>
      <c r="X7274">
        <v>0.98120030000000003</v>
      </c>
      <c r="Y7274">
        <v>-0.4151223</v>
      </c>
      <c r="Z7274">
        <v>1.7888379999999999E-2</v>
      </c>
      <c r="AA7274">
        <v>0.9095898</v>
      </c>
      <c r="AB7274">
        <v>32</v>
      </c>
      <c r="AC7274">
        <v>40.880200000000002</v>
      </c>
      <c r="AD7274">
        <v>1.3680749999999899</v>
      </c>
      <c r="AE7274">
        <v>68.888469999999998</v>
      </c>
      <c r="AF7274">
        <v>-33.283070974120299</v>
      </c>
      <c r="AG7274">
        <v>1.3680749999999899</v>
      </c>
      <c r="AH7274">
        <v>72.8375426287284</v>
      </c>
      <c r="AI7274">
        <v>89.021282642180594</v>
      </c>
      <c r="AJ7274">
        <v>114.558002079834</v>
      </c>
      <c r="AK7274">
        <v>80.093333423361699</v>
      </c>
      <c r="AL7274">
        <v>79.707571252651704</v>
      </c>
      <c r="AM7274">
        <v>94.252192958255407</v>
      </c>
      <c r="AN7274">
        <v>1.00000000138573</v>
      </c>
    </row>
    <row r="7275" spans="1:40" x14ac:dyDescent="0.25">
      <c r="A7275" t="str">
        <f>"20190303170429612"</f>
        <v>20190303170429612</v>
      </c>
      <c r="B7275" t="str">
        <f>"1551603869603239"</f>
        <v>1551603869603239</v>
      </c>
      <c r="C7275" t="s">
        <v>40</v>
      </c>
      <c r="D7275">
        <v>5.1298260000000004</v>
      </c>
      <c r="E7275">
        <v>0.37288320000000003</v>
      </c>
      <c r="F7275" t="s">
        <v>54</v>
      </c>
      <c r="G7275">
        <v>-157.3501</v>
      </c>
      <c r="H7275">
        <v>2.2753540000000001</v>
      </c>
      <c r="I7275">
        <v>5.6940580000000001</v>
      </c>
      <c r="J7275">
        <v>-198.09</v>
      </c>
      <c r="K7275">
        <v>1.1318950000000001</v>
      </c>
      <c r="L7275">
        <v>-58.894959999999998</v>
      </c>
      <c r="M7275">
        <v>0.81787790000000005</v>
      </c>
      <c r="N7275">
        <v>-1.497305E-2</v>
      </c>
      <c r="O7275">
        <v>0.57519690000000001</v>
      </c>
      <c r="P7275">
        <v>0.76504899999999998</v>
      </c>
      <c r="Q7275">
        <v>0.16530500000000001</v>
      </c>
      <c r="R7275">
        <v>0.62239409999999995</v>
      </c>
      <c r="S7275">
        <v>1.714005</v>
      </c>
      <c r="T7275">
        <v>4.793799E-2</v>
      </c>
      <c r="U7275">
        <v>2.712402</v>
      </c>
      <c r="V7275">
        <v>-7.3614310000000002E-2</v>
      </c>
      <c r="W7275">
        <v>0.17817910000000001</v>
      </c>
      <c r="X7275">
        <v>0.98124060000000002</v>
      </c>
      <c r="Y7275">
        <v>-0.38431520000000002</v>
      </c>
      <c r="Z7275">
        <v>1.7210860000000001E-2</v>
      </c>
      <c r="AA7275">
        <v>0.92304149999999996</v>
      </c>
      <c r="AB7275">
        <v>32</v>
      </c>
      <c r="AC7275">
        <v>40.739899999999999</v>
      </c>
      <c r="AD7275">
        <v>1.143459</v>
      </c>
      <c r="AE7275">
        <v>64.589017999999996</v>
      </c>
      <c r="AF7275">
        <v>-29.389173193636701</v>
      </c>
      <c r="AG7275">
        <v>1.143459</v>
      </c>
      <c r="AH7275">
        <v>70.463771396755106</v>
      </c>
      <c r="AI7275">
        <v>89.141937934389702</v>
      </c>
      <c r="AJ7275">
        <v>112.640140287176</v>
      </c>
      <c r="AK7275">
        <v>76.355576606718301</v>
      </c>
      <c r="AL7275">
        <v>79.736284400388698</v>
      </c>
      <c r="AM7275">
        <v>94.290388069470296</v>
      </c>
      <c r="AN7275">
        <v>0.99999998670097201</v>
      </c>
    </row>
    <row r="7276" spans="1:40" x14ac:dyDescent="0.25">
      <c r="A7276" t="str">
        <f>"20190303170429623"</f>
        <v>20190303170429623</v>
      </c>
      <c r="B7276" t="str">
        <f>"1551603869612998"</f>
        <v>1551603869612998</v>
      </c>
      <c r="C7276" t="s">
        <v>40</v>
      </c>
      <c r="D7276">
        <v>5.1127379999999896</v>
      </c>
      <c r="E7276">
        <v>0.37304599999999999</v>
      </c>
      <c r="F7276" t="s">
        <v>54</v>
      </c>
      <c r="G7276">
        <v>-157.3501</v>
      </c>
      <c r="H7276">
        <v>2.1031599999999999</v>
      </c>
      <c r="I7276">
        <v>6.2889179999999998</v>
      </c>
      <c r="J7276">
        <v>-197.97280000000001</v>
      </c>
      <c r="K7276">
        <v>1.1318140000000001</v>
      </c>
      <c r="L7276">
        <v>-58.806640000000002</v>
      </c>
      <c r="M7276">
        <v>0.81484369999999995</v>
      </c>
      <c r="N7276">
        <v>-1.4964369999999999E-2</v>
      </c>
      <c r="O7276">
        <v>0.57948759999999999</v>
      </c>
      <c r="P7276">
        <v>0.76135799999999998</v>
      </c>
      <c r="Q7276">
        <v>0.1649186</v>
      </c>
      <c r="R7276">
        <v>0.62700549999999999</v>
      </c>
      <c r="S7276">
        <v>1.6998899999999999</v>
      </c>
      <c r="T7276">
        <v>4.0526270000000003E-2</v>
      </c>
      <c r="U7276">
        <v>2.7198180000000001</v>
      </c>
      <c r="V7276">
        <v>-7.4292549999999999E-2</v>
      </c>
      <c r="W7276">
        <v>0.17778070000000001</v>
      </c>
      <c r="X7276">
        <v>0.98126170000000001</v>
      </c>
      <c r="Y7276">
        <v>-0.38401629999999998</v>
      </c>
      <c r="Z7276">
        <v>1.6372479999999998E-2</v>
      </c>
      <c r="AA7276">
        <v>0.92318109999999998</v>
      </c>
      <c r="AB7276">
        <v>32</v>
      </c>
      <c r="AC7276">
        <v>40.622700000000002</v>
      </c>
      <c r="AD7276">
        <v>0.97134599999999904</v>
      </c>
      <c r="AE7276">
        <v>65.095557999999997</v>
      </c>
      <c r="AF7276">
        <v>-29.5009296260471</v>
      </c>
      <c r="AG7276">
        <v>0.97134599999999904</v>
      </c>
      <c r="AH7276">
        <v>70.819799528262607</v>
      </c>
      <c r="AI7276">
        <v>89.274608403168003</v>
      </c>
      <c r="AJ7276">
        <v>112.614818552717</v>
      </c>
      <c r="AK7276">
        <v>76.724783265096306</v>
      </c>
      <c r="AL7276">
        <v>79.759480938026996</v>
      </c>
      <c r="AM7276">
        <v>94.329674856803706</v>
      </c>
      <c r="AN7276">
        <v>0.99999994208243903</v>
      </c>
    </row>
    <row r="7277" spans="1:40" x14ac:dyDescent="0.25">
      <c r="A7277" t="str">
        <f>"20190303170429635"</f>
        <v>20190303170429635</v>
      </c>
      <c r="B7277" t="str">
        <f>"1551603869622759"</f>
        <v>1551603869622759</v>
      </c>
      <c r="C7277" t="s">
        <v>40</v>
      </c>
      <c r="D7277">
        <v>4.9816440000000002</v>
      </c>
      <c r="E7277">
        <v>0.37304599999999999</v>
      </c>
      <c r="F7277" t="s">
        <v>54</v>
      </c>
      <c r="G7277">
        <v>-157.3501</v>
      </c>
      <c r="H7277">
        <v>2.1423130000000001</v>
      </c>
      <c r="I7277">
        <v>6.994542</v>
      </c>
      <c r="J7277">
        <v>-197.84059999999999</v>
      </c>
      <c r="K7277">
        <v>1.131732</v>
      </c>
      <c r="L7277">
        <v>-58.70673</v>
      </c>
      <c r="M7277">
        <v>0.81140019999999902</v>
      </c>
      <c r="N7277">
        <v>-1.4955329999999999E-2</v>
      </c>
      <c r="O7277">
        <v>0.58429960000000003</v>
      </c>
      <c r="P7277">
        <v>0.75729309999999905</v>
      </c>
      <c r="Q7277">
        <v>0.1651955</v>
      </c>
      <c r="R7277">
        <v>0.63183669999999903</v>
      </c>
      <c r="S7277">
        <v>1.684372</v>
      </c>
      <c r="T7277">
        <v>4.1898970000000001E-2</v>
      </c>
      <c r="U7277">
        <v>2.7283629999999999</v>
      </c>
      <c r="V7277">
        <v>-7.4731439999999996E-2</v>
      </c>
      <c r="W7277">
        <v>0.1780524</v>
      </c>
      <c r="X7277">
        <v>0.98117920000000003</v>
      </c>
      <c r="Y7277">
        <v>-0.38364949999999998</v>
      </c>
      <c r="Z7277">
        <v>1.6678869999999998E-2</v>
      </c>
      <c r="AA7277">
        <v>0.92332820000000004</v>
      </c>
      <c r="AB7277">
        <v>32</v>
      </c>
      <c r="AC7277">
        <v>40.490499999999997</v>
      </c>
      <c r="AD7277">
        <v>1.010581</v>
      </c>
      <c r="AE7277">
        <v>65.701272000000003</v>
      </c>
      <c r="AF7277">
        <v>-29.649675346524699</v>
      </c>
      <c r="AG7277">
        <v>1.010581</v>
      </c>
      <c r="AH7277">
        <v>71.238981336197895</v>
      </c>
      <c r="AI7277">
        <v>89.249654941885495</v>
      </c>
      <c r="AJ7277">
        <v>112.5970862298</v>
      </c>
      <c r="AK7277">
        <v>77.169404454945905</v>
      </c>
      <c r="AL7277">
        <v>79.743662232077796</v>
      </c>
      <c r="AM7277">
        <v>94.355519466540898</v>
      </c>
      <c r="AN7277">
        <v>1.0000000338914301</v>
      </c>
    </row>
    <row r="7278" spans="1:40" x14ac:dyDescent="0.25">
      <c r="A7278" t="str">
        <f>"20190303170429647"</f>
        <v>20190303170429647</v>
      </c>
      <c r="B7278" t="str">
        <f>"1551603869642279"</f>
        <v>1551603869642279</v>
      </c>
      <c r="C7278" t="s">
        <v>40</v>
      </c>
      <c r="D7278">
        <v>5.1686639999999997</v>
      </c>
      <c r="E7278">
        <v>0.35326869999999999</v>
      </c>
      <c r="F7278" t="s">
        <v>54</v>
      </c>
      <c r="G7278">
        <v>-157.3501</v>
      </c>
      <c r="H7278">
        <v>2.156199</v>
      </c>
      <c r="I7278">
        <v>7.8230119999999896</v>
      </c>
      <c r="J7278">
        <v>-197.69929999999999</v>
      </c>
      <c r="K7278">
        <v>1.131651</v>
      </c>
      <c r="L7278">
        <v>-58.59769</v>
      </c>
      <c r="M7278">
        <v>0.80769809999999997</v>
      </c>
      <c r="N7278">
        <v>-1.494464E-2</v>
      </c>
      <c r="O7278">
        <v>0.58940680000000001</v>
      </c>
      <c r="P7278">
        <v>0.75296479999999999</v>
      </c>
      <c r="Q7278">
        <v>0.16564519999999999</v>
      </c>
      <c r="R7278">
        <v>0.63687190000000005</v>
      </c>
      <c r="S7278">
        <v>1.6670069999999999</v>
      </c>
      <c r="T7278">
        <v>4.2177439999999997E-2</v>
      </c>
      <c r="U7278">
        <v>2.7390439999999998</v>
      </c>
      <c r="V7278">
        <v>-7.5114570000000006E-2</v>
      </c>
      <c r="W7278">
        <v>0.17849579999999901</v>
      </c>
      <c r="X7278">
        <v>0.98106930000000003</v>
      </c>
      <c r="Y7278">
        <v>-0.38369569999999997</v>
      </c>
      <c r="Z7278">
        <v>1.6849719999999999E-2</v>
      </c>
      <c r="AA7278">
        <v>0.92330590000000001</v>
      </c>
      <c r="AB7278">
        <v>32</v>
      </c>
      <c r="AC7278">
        <v>40.349200000000003</v>
      </c>
      <c r="AD7278">
        <v>1.024548</v>
      </c>
      <c r="AE7278">
        <v>66.420702000000006</v>
      </c>
      <c r="AF7278">
        <v>-29.8639282823071</v>
      </c>
      <c r="AG7278">
        <v>1.024548</v>
      </c>
      <c r="AH7278">
        <v>71.734333009603404</v>
      </c>
      <c r="AI7278">
        <v>89.244568422434298</v>
      </c>
      <c r="AJ7278">
        <v>112.60259191756199</v>
      </c>
      <c r="AK7278">
        <v>77.7091914987395</v>
      </c>
      <c r="AL7278">
        <v>79.717842928806903</v>
      </c>
      <c r="AM7278">
        <v>94.378251068608506</v>
      </c>
      <c r="AN7278">
        <v>0.99999996032320604</v>
      </c>
    </row>
    <row r="7279" spans="1:40" x14ac:dyDescent="0.25">
      <c r="A7279" t="str">
        <f>"20190303170429658"</f>
        <v>20190303170429658</v>
      </c>
      <c r="B7279" t="str">
        <f>"1551603869653015"</f>
        <v>1551603869653015</v>
      </c>
      <c r="C7279" t="s">
        <v>40</v>
      </c>
      <c r="D7279">
        <v>5.2316370000000001</v>
      </c>
      <c r="E7279">
        <v>0.35302030000000001</v>
      </c>
      <c r="F7279" t="s">
        <v>60</v>
      </c>
      <c r="G7279">
        <v>-152.57130000000001</v>
      </c>
      <c r="H7279">
        <v>3.231449</v>
      </c>
      <c r="I7279">
        <v>25.184979999999999</v>
      </c>
      <c r="J7279">
        <v>-197.5771</v>
      </c>
      <c r="K7279">
        <v>1.1315850000000001</v>
      </c>
      <c r="L7279">
        <v>-58.502780000000001</v>
      </c>
      <c r="M7279">
        <v>0.80447360000000001</v>
      </c>
      <c r="N7279">
        <v>-1.4936029999999999E-2</v>
      </c>
      <c r="O7279">
        <v>0.59380069999999996</v>
      </c>
      <c r="P7279">
        <v>0.74920920000000002</v>
      </c>
      <c r="Q7279">
        <v>0.16646250000000001</v>
      </c>
      <c r="R7279">
        <v>0.64107400000000003</v>
      </c>
      <c r="S7279">
        <v>1.5439609999999999</v>
      </c>
      <c r="T7279">
        <v>7.1840290000000001E-2</v>
      </c>
      <c r="U7279">
        <v>2.8664550000000002</v>
      </c>
      <c r="V7279">
        <v>-7.5350239999999999E-2</v>
      </c>
      <c r="W7279">
        <v>0.17930979999999999</v>
      </c>
      <c r="X7279">
        <v>0.98090279999999996</v>
      </c>
      <c r="Y7279">
        <v>-0.42691479999999998</v>
      </c>
      <c r="Z7279">
        <v>2.0682550000000001E-2</v>
      </c>
      <c r="AA7279">
        <v>0.90405530000000001</v>
      </c>
      <c r="AB7279">
        <v>32</v>
      </c>
      <c r="AC7279">
        <v>45.005800000000001</v>
      </c>
      <c r="AD7279">
        <v>2.09986399999999</v>
      </c>
      <c r="AE7279">
        <v>83.687759999999997</v>
      </c>
      <c r="AF7279">
        <v>-40.584825022066397</v>
      </c>
      <c r="AG7279">
        <v>2.09986399999999</v>
      </c>
      <c r="AH7279">
        <v>85.867472209404497</v>
      </c>
      <c r="AI7279">
        <v>88.733423762078502</v>
      </c>
      <c r="AJ7279">
        <v>115.29752214887699</v>
      </c>
      <c r="AK7279">
        <v>94.9987380680559</v>
      </c>
      <c r="AL7279">
        <v>79.670439625179597</v>
      </c>
      <c r="AM7279">
        <v>94.392676630813796</v>
      </c>
      <c r="AN7279">
        <v>0.99999998304596804</v>
      </c>
    </row>
    <row r="7280" spans="1:40" x14ac:dyDescent="0.25">
      <c r="A7280" t="str">
        <f>"20190303170429668"</f>
        <v>20190303170429668</v>
      </c>
      <c r="B7280" t="str">
        <f>"1551603869662774"</f>
        <v>1551603869662774</v>
      </c>
      <c r="C7280" t="s">
        <v>40</v>
      </c>
      <c r="D7280">
        <v>5.2048329999999998</v>
      </c>
      <c r="E7280">
        <v>0.35277940000000002</v>
      </c>
      <c r="F7280" t="s">
        <v>60</v>
      </c>
      <c r="G7280">
        <v>-153.17570000000001</v>
      </c>
      <c r="H7280">
        <v>3.248656</v>
      </c>
      <c r="I7280">
        <v>25.184979999999999</v>
      </c>
      <c r="J7280">
        <v>-197.45650000000001</v>
      </c>
      <c r="K7280">
        <v>1.1315280000000001</v>
      </c>
      <c r="L7280">
        <v>-58.407780000000002</v>
      </c>
      <c r="M7280">
        <v>0.80126600000000003</v>
      </c>
      <c r="N7280">
        <v>-1.492746E-2</v>
      </c>
      <c r="O7280">
        <v>0.59812209999999999</v>
      </c>
      <c r="P7280">
        <v>0.74581739999999996</v>
      </c>
      <c r="Q7280">
        <v>0.16745289999999999</v>
      </c>
      <c r="R7280">
        <v>0.64476040000000001</v>
      </c>
      <c r="S7280">
        <v>1.5263819999999999</v>
      </c>
      <c r="T7280">
        <v>7.2778220000000005E-2</v>
      </c>
      <c r="U7280">
        <v>2.8769230000000001</v>
      </c>
      <c r="V7280">
        <v>-7.5032730000000006E-2</v>
      </c>
      <c r="W7280">
        <v>0.18030940000000001</v>
      </c>
      <c r="X7280">
        <v>0.9807439</v>
      </c>
      <c r="Y7280">
        <v>-0.42772510000000002</v>
      </c>
      <c r="Z7280">
        <v>2.0955809999999998E-2</v>
      </c>
      <c r="AA7280">
        <v>0.90366590000000002</v>
      </c>
      <c r="AB7280">
        <v>32</v>
      </c>
      <c r="AC7280">
        <v>44.280799999999999</v>
      </c>
      <c r="AD7280">
        <v>2.1171279999999899</v>
      </c>
      <c r="AE7280">
        <v>83.592759999999998</v>
      </c>
      <c r="AF7280">
        <v>-40.478946727677901</v>
      </c>
      <c r="AG7280">
        <v>2.1171279999999899</v>
      </c>
      <c r="AH7280">
        <v>85.446099464828293</v>
      </c>
      <c r="AI7280">
        <v>88.717260119148193</v>
      </c>
      <c r="AJ7280">
        <v>115.348628644737</v>
      </c>
      <c r="AK7280">
        <v>94.57305785954</v>
      </c>
      <c r="AL7280">
        <v>79.612217941768705</v>
      </c>
      <c r="AM7280">
        <v>94.3749447720771</v>
      </c>
      <c r="AN7280">
        <v>0.99999999384341098</v>
      </c>
    </row>
    <row r="7281" spans="1:40" x14ac:dyDescent="0.25">
      <c r="A7281" t="str">
        <f>"20190303170429680"</f>
        <v>20190303170429680</v>
      </c>
      <c r="B7281" t="str">
        <f>"1551603869672534"</f>
        <v>1551603869672534</v>
      </c>
      <c r="C7281" t="s">
        <v>40</v>
      </c>
      <c r="D7281">
        <v>5.1642900000000003</v>
      </c>
      <c r="E7281">
        <v>0.35315970000000002</v>
      </c>
      <c r="F7281" t="s">
        <v>60</v>
      </c>
      <c r="G7281">
        <v>-154.06309999999999</v>
      </c>
      <c r="H7281">
        <v>3.3256410000000001</v>
      </c>
      <c r="I7281">
        <v>24.52337</v>
      </c>
      <c r="J7281">
        <v>-197.3356</v>
      </c>
      <c r="K7281">
        <v>1.131472</v>
      </c>
      <c r="L7281">
        <v>-58.31165</v>
      </c>
      <c r="M7281">
        <v>0.79802659999999903</v>
      </c>
      <c r="N7281">
        <v>-1.491929E-2</v>
      </c>
      <c r="O7281">
        <v>0.60243760000000002</v>
      </c>
      <c r="P7281">
        <v>0.74267939999999999</v>
      </c>
      <c r="Q7281">
        <v>0.16806589999999999</v>
      </c>
      <c r="R7281">
        <v>0.64821390000000001</v>
      </c>
      <c r="S7281">
        <v>1.510178</v>
      </c>
      <c r="T7281">
        <v>7.6359510000000005E-2</v>
      </c>
      <c r="U7281">
        <v>2.8861690000000002</v>
      </c>
      <c r="V7281">
        <v>-7.4358919999999995E-2</v>
      </c>
      <c r="W7281">
        <v>0.18094199999999999</v>
      </c>
      <c r="X7281">
        <v>0.98067870000000001</v>
      </c>
      <c r="Y7281">
        <v>-0.42803190000000002</v>
      </c>
      <c r="Z7281">
        <v>2.1577349999999999E-2</v>
      </c>
      <c r="AA7281">
        <v>0.90350600000000003</v>
      </c>
      <c r="AB7281">
        <v>32</v>
      </c>
      <c r="AC7281">
        <v>43.272500000000001</v>
      </c>
      <c r="AD7281">
        <v>2.194169</v>
      </c>
      <c r="AE7281">
        <v>82.83502</v>
      </c>
      <c r="AF7281">
        <v>-40.017964276174197</v>
      </c>
      <c r="AG7281">
        <v>2.194169</v>
      </c>
      <c r="AH7281">
        <v>84.398409523146398</v>
      </c>
      <c r="AI7281">
        <v>88.654319847614104</v>
      </c>
      <c r="AJ7281">
        <v>115.36822311387</v>
      </c>
      <c r="AK7281">
        <v>93.430955108285403</v>
      </c>
      <c r="AL7281">
        <v>79.575366396164</v>
      </c>
      <c r="AM7281">
        <v>94.336094488162104</v>
      </c>
      <c r="AN7281">
        <v>0.99999998449062799</v>
      </c>
    </row>
    <row r="7282" spans="1:40" x14ac:dyDescent="0.25">
      <c r="A7282" t="str">
        <f>"20190303170429693"</f>
        <v>20190303170429693</v>
      </c>
      <c r="B7282" t="str">
        <f>"1551603869682294"</f>
        <v>1551603869682294</v>
      </c>
      <c r="C7282" t="s">
        <v>40</v>
      </c>
      <c r="D7282">
        <v>5.1847430000000001</v>
      </c>
      <c r="E7282">
        <v>0.35352139999999999</v>
      </c>
      <c r="F7282" t="s">
        <v>60</v>
      </c>
      <c r="G7282">
        <v>-154.40270000000001</v>
      </c>
      <c r="H7282">
        <v>3.2562410000000002</v>
      </c>
      <c r="I7282">
        <v>24.52336</v>
      </c>
      <c r="J7282">
        <v>-197.19210000000001</v>
      </c>
      <c r="K7282">
        <v>1.1314070000000001</v>
      </c>
      <c r="L7282">
        <v>-58.196319999999901</v>
      </c>
      <c r="M7282">
        <v>0.79414669999999998</v>
      </c>
      <c r="N7282">
        <v>-1.491001E-2</v>
      </c>
      <c r="O7282">
        <v>0.60754319999999995</v>
      </c>
      <c r="P7282">
        <v>0.73887749999999996</v>
      </c>
      <c r="Q7282">
        <v>0.1686935</v>
      </c>
      <c r="R7282">
        <v>0.65238229999999997</v>
      </c>
      <c r="S7282">
        <v>1.4987490000000001</v>
      </c>
      <c r="T7282">
        <v>7.417369E-2</v>
      </c>
      <c r="U7282">
        <v>2.8916930000000001</v>
      </c>
      <c r="V7282">
        <v>-7.3655090000000006E-2</v>
      </c>
      <c r="W7282">
        <v>0.18158869999999999</v>
      </c>
      <c r="X7282">
        <v>0.98061229999999999</v>
      </c>
      <c r="Y7282">
        <v>-0.42574869999999998</v>
      </c>
      <c r="Z7282">
        <v>2.1495139999999999E-2</v>
      </c>
      <c r="AA7282">
        <v>0.90458609999999995</v>
      </c>
      <c r="AB7282">
        <v>32</v>
      </c>
      <c r="AC7282">
        <v>42.789400000000001</v>
      </c>
      <c r="AD7282">
        <v>2.1248339999999999</v>
      </c>
      <c r="AE7282">
        <v>82.719679999999997</v>
      </c>
      <c r="AF7282">
        <v>-39.678909746155597</v>
      </c>
      <c r="AG7282">
        <v>2.1248339999999999</v>
      </c>
      <c r="AH7282">
        <v>84.202372530139797</v>
      </c>
      <c r="AI7282">
        <v>88.692319685893594</v>
      </c>
      <c r="AJ7282">
        <v>115.231345714003</v>
      </c>
      <c r="AK7282">
        <v>93.107305502176104</v>
      </c>
      <c r="AL7282">
        <v>79.537689283048493</v>
      </c>
      <c r="AM7282">
        <v>94.295496099234001</v>
      </c>
      <c r="AN7282">
        <v>1.0000000055809399</v>
      </c>
    </row>
    <row r="7283" spans="1:40" x14ac:dyDescent="0.25">
      <c r="A7283" t="str">
        <f>"20190303170429703"</f>
        <v>20190303170429703</v>
      </c>
      <c r="B7283" t="str">
        <f>"1551603869693031"</f>
        <v>1551603869693031</v>
      </c>
      <c r="C7283" t="s">
        <v>40</v>
      </c>
      <c r="D7283">
        <v>5.1766610000000002</v>
      </c>
      <c r="E7283">
        <v>0.35399120000000001</v>
      </c>
      <c r="F7283" t="s">
        <v>60</v>
      </c>
      <c r="G7283">
        <v>-154.8407</v>
      </c>
      <c r="H7283">
        <v>3.260278</v>
      </c>
      <c r="I7283">
        <v>24.52336</v>
      </c>
      <c r="J7283">
        <v>-197.0831</v>
      </c>
      <c r="K7283">
        <v>1.1313610000000001</v>
      </c>
      <c r="L7283">
        <v>-58.107239999999997</v>
      </c>
      <c r="M7283">
        <v>0.7911686</v>
      </c>
      <c r="N7283">
        <v>-1.490316E-2</v>
      </c>
      <c r="O7283">
        <v>0.61141650000000003</v>
      </c>
      <c r="P7283">
        <v>0.73618969999999995</v>
      </c>
      <c r="Q7283">
        <v>0.16873239999999901</v>
      </c>
      <c r="R7283">
        <v>0.65540390000000004</v>
      </c>
      <c r="S7283">
        <v>1.483994</v>
      </c>
      <c r="T7283">
        <v>7.4595690000000006E-2</v>
      </c>
      <c r="U7283">
        <v>2.8984990000000002</v>
      </c>
      <c r="V7283">
        <v>-7.2864010000000007E-2</v>
      </c>
      <c r="W7283">
        <v>0.18164920000000001</v>
      </c>
      <c r="X7283">
        <v>0.98066019999999998</v>
      </c>
      <c r="Y7283">
        <v>-0.42583870000000001</v>
      </c>
      <c r="Z7283">
        <v>2.169898E-2</v>
      </c>
      <c r="AA7283">
        <v>0.90453890000000003</v>
      </c>
      <c r="AB7283">
        <v>32</v>
      </c>
      <c r="AC7283">
        <v>42.242400000000004</v>
      </c>
      <c r="AD7283">
        <v>2.1289169999999999</v>
      </c>
      <c r="AE7283">
        <v>82.630600000000001</v>
      </c>
      <c r="AF7283">
        <v>-39.5306249433944</v>
      </c>
      <c r="AG7283">
        <v>2.1289169999999999</v>
      </c>
      <c r="AH7283">
        <v>83.907739100784696</v>
      </c>
      <c r="AI7283">
        <v>88.685151739464501</v>
      </c>
      <c r="AJ7283">
        <v>115.226068577641</v>
      </c>
      <c r="AK7283">
        <v>92.777752058419395</v>
      </c>
      <c r="AL7283">
        <v>79.534164329985899</v>
      </c>
      <c r="AM7283">
        <v>94.249324162152803</v>
      </c>
      <c r="AN7283">
        <v>1.00000001183898</v>
      </c>
    </row>
    <row r="7284" spans="1:40" x14ac:dyDescent="0.25">
      <c r="A7284" t="str">
        <f>"20190303170429713"</f>
        <v>20190303170429713</v>
      </c>
      <c r="B7284" t="str">
        <f>"1551603869703210"</f>
        <v>1551603869703210</v>
      </c>
      <c r="C7284" t="s">
        <v>40</v>
      </c>
      <c r="D7284">
        <v>5.1610199999999997</v>
      </c>
      <c r="E7284">
        <v>0.3539562</v>
      </c>
      <c r="F7284" t="s">
        <v>60</v>
      </c>
      <c r="G7284">
        <v>-155.09440000000001</v>
      </c>
      <c r="H7284">
        <v>3.1966670000000001</v>
      </c>
      <c r="I7284">
        <v>24.52336</v>
      </c>
      <c r="J7284">
        <v>-196.9631</v>
      </c>
      <c r="K7284">
        <v>1.131313</v>
      </c>
      <c r="L7284">
        <v>-58.008850000000002</v>
      </c>
      <c r="M7284">
        <v>0.78786690000000004</v>
      </c>
      <c r="N7284">
        <v>-1.489614E-2</v>
      </c>
      <c r="O7284">
        <v>0.61566540000000003</v>
      </c>
      <c r="P7284">
        <v>0.73304579999999997</v>
      </c>
      <c r="Q7284">
        <v>0.169079799999999</v>
      </c>
      <c r="R7284">
        <v>0.658829199999999</v>
      </c>
      <c r="S7284">
        <v>1.474731</v>
      </c>
      <c r="T7284">
        <v>7.2537899999999905E-2</v>
      </c>
      <c r="U7284">
        <v>2.902161</v>
      </c>
      <c r="V7284">
        <v>-7.2191749999999999E-2</v>
      </c>
      <c r="W7284">
        <v>0.1820145</v>
      </c>
      <c r="X7284">
        <v>0.98064220000000002</v>
      </c>
      <c r="Y7284">
        <v>-0.42371769999999997</v>
      </c>
      <c r="Z7284">
        <v>2.1592469999999999E-2</v>
      </c>
      <c r="AA7284">
        <v>0.90553689999999998</v>
      </c>
      <c r="AB7284">
        <v>32</v>
      </c>
      <c r="AC7284">
        <v>41.868699999999897</v>
      </c>
      <c r="AD7284">
        <v>2.0653540000000001</v>
      </c>
      <c r="AE7284">
        <v>82.532209999999907</v>
      </c>
      <c r="AF7284">
        <v>-39.232100940241097</v>
      </c>
      <c r="AG7284">
        <v>2.0653540000000001</v>
      </c>
      <c r="AH7284">
        <v>83.766765356020898</v>
      </c>
      <c r="AI7284">
        <v>88.720887163403006</v>
      </c>
      <c r="AJ7284">
        <v>115.096006600923</v>
      </c>
      <c r="AK7284">
        <v>92.521859090386002</v>
      </c>
      <c r="AL7284">
        <v>79.512879500609699</v>
      </c>
      <c r="AM7284">
        <v>94.2103375618277</v>
      </c>
      <c r="AN7284">
        <v>1.00000002569957</v>
      </c>
    </row>
    <row r="7285" spans="1:40" x14ac:dyDescent="0.25">
      <c r="A7285" t="str">
        <f>"20190303170429727"</f>
        <v>20190303170429727</v>
      </c>
      <c r="B7285" t="str">
        <f>"1551603869722728"</f>
        <v>1551603869722728</v>
      </c>
      <c r="C7285" t="s">
        <v>40</v>
      </c>
      <c r="D7285">
        <v>5.1889240000000001</v>
      </c>
      <c r="E7285">
        <v>0.35437010000000002</v>
      </c>
      <c r="F7285" t="s">
        <v>60</v>
      </c>
      <c r="G7285">
        <v>-155.53030000000001</v>
      </c>
      <c r="H7285">
        <v>3.258534</v>
      </c>
      <c r="I7285">
        <v>24.52336</v>
      </c>
      <c r="J7285">
        <v>-196.82769999999999</v>
      </c>
      <c r="K7285">
        <v>1.131267</v>
      </c>
      <c r="L7285">
        <v>-57.895780000000002</v>
      </c>
      <c r="M7285">
        <v>0.78409600000000002</v>
      </c>
      <c r="N7285">
        <v>-1.488829E-2</v>
      </c>
      <c r="O7285">
        <v>0.62046099999999904</v>
      </c>
      <c r="P7285">
        <v>0.72952700000000004</v>
      </c>
      <c r="Q7285">
        <v>0.1690306</v>
      </c>
      <c r="R7285">
        <v>0.66273609999999905</v>
      </c>
      <c r="S7285">
        <v>1.46051</v>
      </c>
      <c r="T7285">
        <v>7.4984789999999996E-2</v>
      </c>
      <c r="U7285">
        <v>2.9092709999999999</v>
      </c>
      <c r="V7285">
        <v>-7.1414950000000005E-2</v>
      </c>
      <c r="W7285">
        <v>0.1819858</v>
      </c>
      <c r="X7285">
        <v>0.98070440000000003</v>
      </c>
      <c r="Y7285">
        <v>-0.422622</v>
      </c>
      <c r="Z7285">
        <v>2.2109920000000002E-2</v>
      </c>
      <c r="AA7285">
        <v>0.90603630000000002</v>
      </c>
      <c r="AB7285">
        <v>32</v>
      </c>
      <c r="AC7285">
        <v>41.297399999999897</v>
      </c>
      <c r="AD7285">
        <v>2.1272669999999998</v>
      </c>
      <c r="AE7285">
        <v>82.419139999999999</v>
      </c>
      <c r="AF7285">
        <v>-38.984655392473002</v>
      </c>
      <c r="AG7285">
        <v>2.1272669999999998</v>
      </c>
      <c r="AH7285">
        <v>83.4837901812609</v>
      </c>
      <c r="AI7285">
        <v>88.677394409856305</v>
      </c>
      <c r="AJ7285">
        <v>115.031293017824</v>
      </c>
      <c r="AK7285">
        <v>92.162203988337694</v>
      </c>
      <c r="AL7285">
        <v>79.514551794566998</v>
      </c>
      <c r="AM7285">
        <v>94.164930417004101</v>
      </c>
      <c r="AN7285">
        <v>1.0000000233322499</v>
      </c>
    </row>
    <row r="7286" spans="1:40" x14ac:dyDescent="0.25">
      <c r="A7286" t="str">
        <f>"20190303170429738"</f>
        <v>20190303170429738</v>
      </c>
      <c r="B7286" t="str">
        <f>"1551603869732488"</f>
        <v>1551603869732488</v>
      </c>
      <c r="C7286" t="s">
        <v>40</v>
      </c>
      <c r="D7286">
        <v>5.1942909999999998</v>
      </c>
      <c r="E7286">
        <v>0.35441919999999999</v>
      </c>
      <c r="F7286" t="s">
        <v>60</v>
      </c>
      <c r="G7286">
        <v>-155.9102</v>
      </c>
      <c r="H7286">
        <v>3.2266910000000002</v>
      </c>
      <c r="I7286">
        <v>24.52336</v>
      </c>
      <c r="J7286">
        <v>-196.70189999999999</v>
      </c>
      <c r="K7286">
        <v>1.13123</v>
      </c>
      <c r="L7286">
        <v>-57.789949999999997</v>
      </c>
      <c r="M7286">
        <v>0.78055699999999995</v>
      </c>
      <c r="N7286">
        <v>-1.4881439999999999E-2</v>
      </c>
      <c r="O7286">
        <v>0.62490749999999995</v>
      </c>
      <c r="P7286">
        <v>0.72628329999999997</v>
      </c>
      <c r="Q7286">
        <v>0.16913619999999999</v>
      </c>
      <c r="R7286">
        <v>0.66626249999999998</v>
      </c>
      <c r="S7286">
        <v>1.447098</v>
      </c>
      <c r="T7286">
        <v>7.4107290000000006E-2</v>
      </c>
      <c r="U7286">
        <v>2.9148559999999999</v>
      </c>
      <c r="V7286">
        <v>-7.058739E-2</v>
      </c>
      <c r="W7286">
        <v>0.18211240000000001</v>
      </c>
      <c r="X7286">
        <v>0.98074079999999997</v>
      </c>
      <c r="Y7286">
        <v>-0.42150399999999999</v>
      </c>
      <c r="Z7286">
        <v>2.216487E-2</v>
      </c>
      <c r="AA7286">
        <v>0.90655569999999996</v>
      </c>
      <c r="AB7286">
        <v>32</v>
      </c>
      <c r="AC7286">
        <v>40.791699999999899</v>
      </c>
      <c r="AD7286">
        <v>2.0954609999999998</v>
      </c>
      <c r="AE7286">
        <v>82.313310000000001</v>
      </c>
      <c r="AF7286">
        <v>-38.743324375557002</v>
      </c>
      <c r="AG7286">
        <v>2.0954609999999998</v>
      </c>
      <c r="AH7286">
        <v>83.244360431986607</v>
      </c>
      <c r="AI7286">
        <v>88.692638108868394</v>
      </c>
      <c r="AJ7286">
        <v>114.958060072514</v>
      </c>
      <c r="AK7286">
        <v>91.842580997066193</v>
      </c>
      <c r="AL7286">
        <v>79.5071747491873</v>
      </c>
      <c r="AM7286">
        <v>94.116681636283602</v>
      </c>
      <c r="AN7286">
        <v>1.0000000113227001</v>
      </c>
    </row>
    <row r="7287" spans="1:40" x14ac:dyDescent="0.25">
      <c r="A7287" t="str">
        <f>"20190303170429758"</f>
        <v>20190303170429758</v>
      </c>
      <c r="B7287" t="str">
        <f>"1551603869752983"</f>
        <v>1551603869752983</v>
      </c>
      <c r="C7287" t="s">
        <v>40</v>
      </c>
      <c r="D7287">
        <v>5.1993320000000001</v>
      </c>
      <c r="E7287">
        <v>0.35479139999999998</v>
      </c>
      <c r="F7287" t="s">
        <v>60</v>
      </c>
      <c r="G7287">
        <v>-156.3349</v>
      </c>
      <c r="H7287">
        <v>3.252761</v>
      </c>
      <c r="I7287">
        <v>24.523350000000001</v>
      </c>
      <c r="J7287">
        <v>-196.47620000000001</v>
      </c>
      <c r="K7287">
        <v>1.131167</v>
      </c>
      <c r="L7287">
        <v>-57.596589999999999</v>
      </c>
      <c r="M7287">
        <v>0.77410299999999999</v>
      </c>
      <c r="N7287">
        <v>-1.486957E-2</v>
      </c>
      <c r="O7287">
        <v>0.63288500000000003</v>
      </c>
      <c r="P7287">
        <v>0.72030919999999998</v>
      </c>
      <c r="Q7287">
        <v>0.16992160000000001</v>
      </c>
      <c r="R7287">
        <v>0.67251870000000002</v>
      </c>
      <c r="S7287">
        <v>1.432831</v>
      </c>
      <c r="T7287">
        <v>7.530415E-2</v>
      </c>
      <c r="U7287">
        <v>2.9217219999999999</v>
      </c>
      <c r="V7287">
        <v>-6.9103510000000007E-2</v>
      </c>
      <c r="W7287">
        <v>0.1829324</v>
      </c>
      <c r="X7287">
        <v>0.98069390000000001</v>
      </c>
      <c r="Y7287">
        <v>-0.41660750000000002</v>
      </c>
      <c r="Z7287">
        <v>2.2655140000000001E-2</v>
      </c>
      <c r="AA7287">
        <v>0.9088041</v>
      </c>
      <c r="AB7287">
        <v>32</v>
      </c>
      <c r="AC7287">
        <v>40.141300000000001</v>
      </c>
      <c r="AD7287">
        <v>2.121594</v>
      </c>
      <c r="AE7287">
        <v>82.11994</v>
      </c>
      <c r="AF7287">
        <v>-38.148133616222601</v>
      </c>
      <c r="AG7287">
        <v>2.121594</v>
      </c>
      <c r="AH7287">
        <v>83.010441272824593</v>
      </c>
      <c r="AI7287">
        <v>88.669645709996999</v>
      </c>
      <c r="AJ7287">
        <v>114.681536934064</v>
      </c>
      <c r="AK7287">
        <v>91.381150243423093</v>
      </c>
      <c r="AL7287">
        <v>79.459389822535101</v>
      </c>
      <c r="AM7287">
        <v>94.030621590563399</v>
      </c>
      <c r="AN7287">
        <v>1.0000000417806401</v>
      </c>
    </row>
    <row r="7288" spans="1:40" x14ac:dyDescent="0.25">
      <c r="A7288" t="str">
        <f>"20190303170429768"</f>
        <v>20190303170429768</v>
      </c>
      <c r="B7288" t="str">
        <f>"1551603869762745"</f>
        <v>1551603869762745</v>
      </c>
      <c r="C7288" t="s">
        <v>40</v>
      </c>
      <c r="D7288">
        <v>5.1987300000000003</v>
      </c>
      <c r="E7288">
        <v>0.35493350000000001</v>
      </c>
      <c r="F7288" t="s">
        <v>60</v>
      </c>
      <c r="G7288">
        <v>-156.70849999999999</v>
      </c>
      <c r="H7288">
        <v>3.353434</v>
      </c>
      <c r="I7288">
        <v>25.18496</v>
      </c>
      <c r="J7288">
        <v>-196.36439999999999</v>
      </c>
      <c r="K7288">
        <v>1.13114</v>
      </c>
      <c r="L7288">
        <v>-57.499270000000003</v>
      </c>
      <c r="M7288">
        <v>0.77085689999999996</v>
      </c>
      <c r="N7288">
        <v>-1.4863929999999999E-2</v>
      </c>
      <c r="O7288">
        <v>0.63683489999999998</v>
      </c>
      <c r="P7288">
        <v>0.71713739999999904</v>
      </c>
      <c r="Q7288">
        <v>0.1705961</v>
      </c>
      <c r="R7288">
        <v>0.67572989999999999</v>
      </c>
      <c r="S7288">
        <v>1.4086299999999901</v>
      </c>
      <c r="T7288">
        <v>7.8716159999999993E-2</v>
      </c>
      <c r="U7288">
        <v>2.9322509999999999</v>
      </c>
      <c r="V7288">
        <v>-6.8572220000000003E-2</v>
      </c>
      <c r="W7288">
        <v>0.1836187</v>
      </c>
      <c r="X7288">
        <v>0.98060290000000006</v>
      </c>
      <c r="Y7288">
        <v>-0.41933399999999998</v>
      </c>
      <c r="Z7288">
        <v>2.3289850000000001E-2</v>
      </c>
      <c r="AA7288">
        <v>0.90753329999999999</v>
      </c>
      <c r="AB7288">
        <v>32</v>
      </c>
      <c r="AC7288">
        <v>39.655900000000003</v>
      </c>
      <c r="AD7288">
        <v>2.2222940000000002</v>
      </c>
      <c r="AE7288">
        <v>82.684229999999999</v>
      </c>
      <c r="AF7288">
        <v>-38.465110507802201</v>
      </c>
      <c r="AG7288">
        <v>2.2222940000000002</v>
      </c>
      <c r="AH7288">
        <v>83.185570155327198</v>
      </c>
      <c r="AI7288">
        <v>88.610959782881395</v>
      </c>
      <c r="AJ7288">
        <v>114.81587957644901</v>
      </c>
      <c r="AK7288">
        <v>91.675200567365707</v>
      </c>
      <c r="AL7288">
        <v>79.419389879895903</v>
      </c>
      <c r="AM7288">
        <v>94.000103812938903</v>
      </c>
      <c r="AN7288">
        <v>1.0000000119169099</v>
      </c>
    </row>
    <row r="7289" spans="1:40" x14ac:dyDescent="0.25">
      <c r="A7289" t="str">
        <f>"20190303170429780"</f>
        <v>20190303170429780</v>
      </c>
      <c r="B7289" t="str">
        <f>"1551603869772505"</f>
        <v>1551603869772505</v>
      </c>
      <c r="C7289" t="s">
        <v>40</v>
      </c>
      <c r="D7289">
        <v>5.2139739999999897</v>
      </c>
      <c r="E7289">
        <v>0.35509489999999999</v>
      </c>
      <c r="F7289" t="s">
        <v>54</v>
      </c>
      <c r="G7289">
        <v>-165.55520000000001</v>
      </c>
      <c r="H7289">
        <v>2.9596089999999999</v>
      </c>
      <c r="I7289">
        <v>7.3802320000000003</v>
      </c>
      <c r="J7289">
        <v>-196.25399999999999</v>
      </c>
      <c r="K7289">
        <v>1.131114</v>
      </c>
      <c r="L7289">
        <v>-57.4022199999999</v>
      </c>
      <c r="M7289">
        <v>0.76761769999999996</v>
      </c>
      <c r="N7289">
        <v>-1.485851E-2</v>
      </c>
      <c r="O7289">
        <v>0.64073579999999997</v>
      </c>
      <c r="P7289">
        <v>0.71419060000000001</v>
      </c>
      <c r="Q7289">
        <v>0.1714697</v>
      </c>
      <c r="R7289">
        <v>0.67862369999999905</v>
      </c>
      <c r="S7289">
        <v>1.395203</v>
      </c>
      <c r="T7289">
        <v>8.2802410000000007E-2</v>
      </c>
      <c r="U7289">
        <v>2.9380799999999998</v>
      </c>
      <c r="V7289">
        <v>-6.7701730000000002E-2</v>
      </c>
      <c r="W7289">
        <v>0.1845106</v>
      </c>
      <c r="X7289">
        <v>0.98049589999999998</v>
      </c>
      <c r="Y7289">
        <v>-0.41882510000000001</v>
      </c>
      <c r="Z7289">
        <v>2.404098E-2</v>
      </c>
      <c r="AA7289">
        <v>0.90774860000000002</v>
      </c>
      <c r="AB7289">
        <v>32</v>
      </c>
      <c r="AC7289">
        <v>30.698799999999999</v>
      </c>
      <c r="AD7289">
        <v>1.828495</v>
      </c>
      <c r="AE7289">
        <v>64.782451999999907</v>
      </c>
      <c r="AF7289">
        <v>-30.042109660581001</v>
      </c>
      <c r="AG7289">
        <v>1.828495</v>
      </c>
      <c r="AH7289">
        <v>65.038248649975102</v>
      </c>
      <c r="AI7289">
        <v>88.537965690129198</v>
      </c>
      <c r="AJ7289">
        <v>114.79289953527901</v>
      </c>
      <c r="AK7289">
        <v>71.664813781097493</v>
      </c>
      <c r="AL7289">
        <v>79.367398782691097</v>
      </c>
      <c r="AM7289">
        <v>93.9499158638354</v>
      </c>
      <c r="AN7289">
        <v>0.99999994783708002</v>
      </c>
    </row>
    <row r="7290" spans="1:40" x14ac:dyDescent="0.25">
      <c r="A7290" t="str">
        <f>"20190303170429791"</f>
        <v>20190303170429791</v>
      </c>
      <c r="B7290" t="str">
        <f>"1551603869783241"</f>
        <v>1551603869783241</v>
      </c>
      <c r="C7290" t="s">
        <v>40</v>
      </c>
      <c r="D7290">
        <v>5.0341089999999999</v>
      </c>
      <c r="E7290">
        <v>0.35471370000000002</v>
      </c>
      <c r="F7290" t="s">
        <v>54</v>
      </c>
      <c r="G7290">
        <v>-165.81139999999999</v>
      </c>
      <c r="H7290">
        <v>3.037156</v>
      </c>
      <c r="I7290">
        <v>7.3802320000000003</v>
      </c>
      <c r="J7290">
        <v>-196.13140000000001</v>
      </c>
      <c r="K7290">
        <v>1.1310899999999999</v>
      </c>
      <c r="L7290">
        <v>-57.293430000000001</v>
      </c>
      <c r="M7290">
        <v>0.76398369999999904</v>
      </c>
      <c r="N7290">
        <v>-1.4852600000000001E-2</v>
      </c>
      <c r="O7290">
        <v>0.64506470000000005</v>
      </c>
      <c r="P7290">
        <v>0.71101349999999996</v>
      </c>
      <c r="Q7290">
        <v>0.1722765</v>
      </c>
      <c r="R7290">
        <v>0.68174829999999997</v>
      </c>
      <c r="S7290">
        <v>1.383087</v>
      </c>
      <c r="T7290">
        <v>8.6596370000000006E-2</v>
      </c>
      <c r="U7290">
        <v>2.9432369999999999</v>
      </c>
      <c r="V7290">
        <v>-6.6584899999999905E-2</v>
      </c>
      <c r="W7290">
        <v>0.1853419</v>
      </c>
      <c r="X7290">
        <v>0.98041560000000005</v>
      </c>
      <c r="Y7290">
        <v>-0.4173769</v>
      </c>
      <c r="Z7290">
        <v>2.4784730000000001E-2</v>
      </c>
      <c r="AA7290">
        <v>0.90839539999999996</v>
      </c>
      <c r="AB7290">
        <v>32</v>
      </c>
      <c r="AC7290">
        <v>30.32</v>
      </c>
      <c r="AD7290">
        <v>1.906066</v>
      </c>
      <c r="AE7290">
        <v>64.673661999999993</v>
      </c>
      <c r="AF7290">
        <v>-29.833308528626599</v>
      </c>
      <c r="AG7290">
        <v>1.906066</v>
      </c>
      <c r="AH7290">
        <v>64.843659963478302</v>
      </c>
      <c r="AI7290">
        <v>88.470332896118805</v>
      </c>
      <c r="AJ7290">
        <v>114.70624057294999</v>
      </c>
      <c r="AK7290">
        <v>71.402798424289998</v>
      </c>
      <c r="AL7290">
        <v>79.318932994610194</v>
      </c>
      <c r="AM7290">
        <v>93.885275168932793</v>
      </c>
      <c r="AN7290">
        <v>0.99999995876348902</v>
      </c>
    </row>
    <row r="7291" spans="1:40" x14ac:dyDescent="0.25">
      <c r="A7291" t="str">
        <f>"20190303170429802"</f>
        <v>20190303170429802</v>
      </c>
      <c r="B7291" t="str">
        <f>"1551603869793001"</f>
        <v>1551603869793001</v>
      </c>
      <c r="C7291" t="s">
        <v>40</v>
      </c>
      <c r="D7291">
        <v>5.0236010000000002</v>
      </c>
      <c r="E7291">
        <v>0.35441660000000003</v>
      </c>
      <c r="F7291" t="s">
        <v>54</v>
      </c>
      <c r="G7291">
        <v>-166.18219999999999</v>
      </c>
      <c r="H7291">
        <v>3.218429</v>
      </c>
      <c r="I7291">
        <v>7.3802320000000003</v>
      </c>
      <c r="J7291">
        <v>-196.01900000000001</v>
      </c>
      <c r="K7291">
        <v>1.131062</v>
      </c>
      <c r="L7291">
        <v>-57.19229</v>
      </c>
      <c r="M7291">
        <v>0.76060799999999995</v>
      </c>
      <c r="N7291">
        <v>-1.4847259999999999E-2</v>
      </c>
      <c r="O7291">
        <v>0.64904169999999906</v>
      </c>
      <c r="P7291">
        <v>0.70821889999999998</v>
      </c>
      <c r="Q7291">
        <v>0.17281060000000001</v>
      </c>
      <c r="R7291">
        <v>0.68451629999999997</v>
      </c>
      <c r="S7291">
        <v>1.366608</v>
      </c>
      <c r="T7291">
        <v>9.5246789999999998E-2</v>
      </c>
      <c r="U7291">
        <v>2.951111</v>
      </c>
      <c r="V7291">
        <v>-6.5375390000000005E-2</v>
      </c>
      <c r="W7291">
        <v>0.18590319999999999</v>
      </c>
      <c r="X7291">
        <v>0.98039080000000001</v>
      </c>
      <c r="Y7291">
        <v>-0.41776570000000002</v>
      </c>
      <c r="Z7291">
        <v>2.6232999999999999E-2</v>
      </c>
      <c r="AA7291">
        <v>0.90817599999999998</v>
      </c>
      <c r="AB7291">
        <v>32</v>
      </c>
      <c r="AC7291">
        <v>29.8368</v>
      </c>
      <c r="AD7291">
        <v>2.087367</v>
      </c>
      <c r="AE7291">
        <v>64.572521999999907</v>
      </c>
      <c r="AF7291">
        <v>-29.726729355322298</v>
      </c>
      <c r="AG7291">
        <v>2.087367</v>
      </c>
      <c r="AH7291">
        <v>64.555896976932402</v>
      </c>
      <c r="AI7291">
        <v>88.317706302186494</v>
      </c>
      <c r="AJ7291">
        <v>114.725146885966</v>
      </c>
      <c r="AK7291">
        <v>71.1020349473458</v>
      </c>
      <c r="AL7291">
        <v>79.286204863573602</v>
      </c>
      <c r="AM7291">
        <v>93.815005958170303</v>
      </c>
      <c r="AN7291">
        <v>1.00000003105626</v>
      </c>
    </row>
    <row r="7292" spans="1:40" x14ac:dyDescent="0.25">
      <c r="A7292" t="str">
        <f>"20190303170429813"</f>
        <v>20190303170429813</v>
      </c>
      <c r="B7292" t="str">
        <f>"1551603869803268"</f>
        <v>1551603869803268</v>
      </c>
      <c r="C7292" t="s">
        <v>40</v>
      </c>
      <c r="D7292">
        <v>5.0598769999999904</v>
      </c>
      <c r="E7292">
        <v>0.35417330000000002</v>
      </c>
      <c r="F7292" t="s">
        <v>54</v>
      </c>
      <c r="G7292">
        <v>-166.48779999999999</v>
      </c>
      <c r="H7292">
        <v>3.3419650000000001</v>
      </c>
      <c r="I7292">
        <v>7.3802320000000003</v>
      </c>
      <c r="J7292">
        <v>-195.9007</v>
      </c>
      <c r="K7292">
        <v>1.1310389999999999</v>
      </c>
      <c r="L7292">
        <v>-57.085209999999996</v>
      </c>
      <c r="M7292">
        <v>0.75702480000000005</v>
      </c>
      <c r="N7292">
        <v>-1.484185E-2</v>
      </c>
      <c r="O7292">
        <v>0.65321759999999995</v>
      </c>
      <c r="P7292">
        <v>0.70518289999999995</v>
      </c>
      <c r="Q7292">
        <v>0.17287669999999999</v>
      </c>
      <c r="R7292">
        <v>0.68762690000000004</v>
      </c>
      <c r="S7292">
        <v>1.3526309999999999</v>
      </c>
      <c r="T7292">
        <v>0.1012667</v>
      </c>
      <c r="U7292">
        <v>2.9576419999999999</v>
      </c>
      <c r="V7292">
        <v>-6.4292450000000001E-2</v>
      </c>
      <c r="W7292">
        <v>0.18599460000000001</v>
      </c>
      <c r="X7292">
        <v>0.98044500000000001</v>
      </c>
      <c r="Y7292">
        <v>-0.41709439999999998</v>
      </c>
      <c r="Z7292">
        <v>2.732942E-2</v>
      </c>
      <c r="AA7292">
        <v>0.90845220000000004</v>
      </c>
      <c r="AB7292">
        <v>32</v>
      </c>
      <c r="AC7292">
        <v>29.4129</v>
      </c>
      <c r="AD7292">
        <v>2.21092599999999</v>
      </c>
      <c r="AE7292">
        <v>64.465441999999996</v>
      </c>
      <c r="AF7292">
        <v>-29.563391012382802</v>
      </c>
      <c r="AG7292">
        <v>2.21092599999999</v>
      </c>
      <c r="AH7292">
        <v>64.320725131177994</v>
      </c>
      <c r="AI7292">
        <v>88.211096166306106</v>
      </c>
      <c r="AJ7292">
        <v>114.68467781373</v>
      </c>
      <c r="AK7292">
        <v>70.823992850792195</v>
      </c>
      <c r="AL7292">
        <v>79.280874241184307</v>
      </c>
      <c r="AM7292">
        <v>93.751785780306193</v>
      </c>
      <c r="AN7292">
        <v>0.99999995419057996</v>
      </c>
    </row>
    <row r="7293" spans="1:40" x14ac:dyDescent="0.25">
      <c r="A7293" t="str">
        <f>"20190303170429825"</f>
        <v>20190303170429825</v>
      </c>
      <c r="B7293" t="str">
        <f>"1551603869813029"</f>
        <v>1551603869813029</v>
      </c>
      <c r="C7293" t="s">
        <v>40</v>
      </c>
      <c r="D7293">
        <v>5.1733250000000002</v>
      </c>
      <c r="E7293">
        <v>0.35417330000000002</v>
      </c>
      <c r="F7293" t="s">
        <v>54</v>
      </c>
      <c r="G7293">
        <v>-166.80969999999999</v>
      </c>
      <c r="H7293">
        <v>3.417233</v>
      </c>
      <c r="I7293">
        <v>7.3802310000000002</v>
      </c>
      <c r="J7293">
        <v>-195.78210000000001</v>
      </c>
      <c r="K7293">
        <v>1.1310209999999901</v>
      </c>
      <c r="L7293">
        <v>-56.976010000000002</v>
      </c>
      <c r="M7293">
        <v>0.75337869999999996</v>
      </c>
      <c r="N7293">
        <v>-1.483638E-2</v>
      </c>
      <c r="O7293">
        <v>0.65741959999999999</v>
      </c>
      <c r="P7293">
        <v>0.70191649999999906</v>
      </c>
      <c r="Q7293">
        <v>0.17246789999999901</v>
      </c>
      <c r="R7293">
        <v>0.69106309999999904</v>
      </c>
      <c r="S7293">
        <v>1.337769</v>
      </c>
      <c r="T7293">
        <v>0.10513169999999999</v>
      </c>
      <c r="U7293">
        <v>2.9644780000000002</v>
      </c>
      <c r="V7293">
        <v>-6.3536579999999995E-2</v>
      </c>
      <c r="W7293">
        <v>0.1856034</v>
      </c>
      <c r="X7293">
        <v>0.98056849999999995</v>
      </c>
      <c r="Y7293">
        <v>-0.41662100000000002</v>
      </c>
      <c r="Z7293">
        <v>2.8118850000000001E-2</v>
      </c>
      <c r="AA7293">
        <v>0.90864529999999999</v>
      </c>
      <c r="AB7293">
        <v>32</v>
      </c>
      <c r="AC7293">
        <v>28.9724</v>
      </c>
      <c r="AD7293">
        <v>2.2862119999999999</v>
      </c>
      <c r="AE7293">
        <v>64.356240999999997</v>
      </c>
      <c r="AF7293">
        <v>-29.409975988639498</v>
      </c>
      <c r="AG7293">
        <v>2.2862119999999999</v>
      </c>
      <c r="AH7293">
        <v>64.076063625235506</v>
      </c>
      <c r="AI7293">
        <v>88.142714364323496</v>
      </c>
      <c r="AJ7293">
        <v>114.654430713541</v>
      </c>
      <c r="AK7293">
        <v>70.540168575546602</v>
      </c>
      <c r="AL7293">
        <v>79.303686596221894</v>
      </c>
      <c r="AM7293">
        <v>93.707335074674901</v>
      </c>
      <c r="AN7293">
        <v>1.0000000511409499</v>
      </c>
    </row>
    <row r="7294" spans="1:40" x14ac:dyDescent="0.25">
      <c r="A7294" t="str">
        <f>"20190303170429836"</f>
        <v>20190303170429836</v>
      </c>
      <c r="B7294" t="str">
        <f>"1551603869832548"</f>
        <v>1551603869832548</v>
      </c>
      <c r="C7294" t="s">
        <v>40</v>
      </c>
      <c r="D7294">
        <v>5.1962419999999998</v>
      </c>
      <c r="E7294">
        <v>0.36382059999999999</v>
      </c>
      <c r="F7294" t="s">
        <v>54</v>
      </c>
      <c r="G7294">
        <v>-167.1095</v>
      </c>
      <c r="H7294">
        <v>3.3803719999999999</v>
      </c>
      <c r="I7294">
        <v>7.3802320000000003</v>
      </c>
      <c r="J7294">
        <v>-195.6651</v>
      </c>
      <c r="K7294">
        <v>1.131005</v>
      </c>
      <c r="L7294">
        <v>-56.86768</v>
      </c>
      <c r="M7294">
        <v>0.74974890000000005</v>
      </c>
      <c r="N7294">
        <v>-1.4831240000000001E-2</v>
      </c>
      <c r="O7294">
        <v>0.66155620000000004</v>
      </c>
      <c r="P7294">
        <v>0.6986156</v>
      </c>
      <c r="Q7294">
        <v>0.17232159999999999</v>
      </c>
      <c r="R7294">
        <v>0.6944361</v>
      </c>
      <c r="S7294">
        <v>1.323593</v>
      </c>
      <c r="T7294">
        <v>0.10383489999999999</v>
      </c>
      <c r="U7294">
        <v>2.970825</v>
      </c>
      <c r="V7294">
        <v>-6.2822740000000002E-2</v>
      </c>
      <c r="W7294">
        <v>0.1854731</v>
      </c>
      <c r="X7294">
        <v>0.98063909999999999</v>
      </c>
      <c r="Y7294">
        <v>-0.41595379999999899</v>
      </c>
      <c r="Z7294">
        <v>2.8130180000000001E-2</v>
      </c>
      <c r="AA7294">
        <v>0.90895060000000005</v>
      </c>
      <c r="AB7294">
        <v>32</v>
      </c>
      <c r="AC7294">
        <v>28.555599999999998</v>
      </c>
      <c r="AD7294">
        <v>2.2493669999999999</v>
      </c>
      <c r="AE7294">
        <v>64.247911999999999</v>
      </c>
      <c r="AF7294">
        <v>-29.251947069470699</v>
      </c>
      <c r="AG7294">
        <v>2.2493669999999999</v>
      </c>
      <c r="AH7294">
        <v>63.854806333405897</v>
      </c>
      <c r="AI7294">
        <v>88.165684562981895</v>
      </c>
      <c r="AJ7294">
        <v>114.61256038328</v>
      </c>
      <c r="AK7294">
        <v>70.272130685874203</v>
      </c>
      <c r="AL7294">
        <v>79.3112836634036</v>
      </c>
      <c r="AM7294">
        <v>93.665533806757793</v>
      </c>
      <c r="AN7294">
        <v>1.00000000596676</v>
      </c>
    </row>
    <row r="7295" spans="1:40" x14ac:dyDescent="0.25">
      <c r="A7295" t="str">
        <f>"20190303170429847"</f>
        <v>20190303170429847</v>
      </c>
      <c r="B7295" t="str">
        <f>"1551603869842308"</f>
        <v>1551603869842308</v>
      </c>
      <c r="C7295" t="s">
        <v>40</v>
      </c>
      <c r="D7295">
        <v>5.2250730000000001</v>
      </c>
      <c r="E7295">
        <v>0.36424899999999999</v>
      </c>
      <c r="F7295" t="s">
        <v>54</v>
      </c>
      <c r="G7295">
        <v>-165.6747</v>
      </c>
      <c r="H7295">
        <v>2.0479479999999999</v>
      </c>
      <c r="I7295">
        <v>7.3802320000000003</v>
      </c>
      <c r="J7295">
        <v>-195.547</v>
      </c>
      <c r="K7295">
        <v>1.1309849999999999</v>
      </c>
      <c r="L7295">
        <v>-56.756500000000003</v>
      </c>
      <c r="M7295">
        <v>0.74603359999999996</v>
      </c>
      <c r="N7295">
        <v>-1.4826020000000001E-2</v>
      </c>
      <c r="O7295">
        <v>0.66574319999999998</v>
      </c>
      <c r="P7295">
        <v>0.695115699999999</v>
      </c>
      <c r="Q7295">
        <v>0.17217079999999901</v>
      </c>
      <c r="R7295">
        <v>0.69797659999999995</v>
      </c>
      <c r="S7295">
        <v>1.368881</v>
      </c>
      <c r="T7295">
        <v>4.1852710000000001E-2</v>
      </c>
      <c r="U7295">
        <v>2.9325260000000002</v>
      </c>
      <c r="V7295">
        <v>-6.2274959999999997E-2</v>
      </c>
      <c r="W7295">
        <v>0.185334</v>
      </c>
      <c r="X7295">
        <v>0.98070029999999997</v>
      </c>
      <c r="Y7295">
        <v>-0.39456479999999999</v>
      </c>
      <c r="Z7295">
        <v>1.877011E-2</v>
      </c>
      <c r="AA7295">
        <v>0.91867639999999995</v>
      </c>
      <c r="AB7295">
        <v>32</v>
      </c>
      <c r="AC7295">
        <v>29.872299999999999</v>
      </c>
      <c r="AD7295">
        <v>0.91696299999999897</v>
      </c>
      <c r="AE7295">
        <v>64.136731999999995</v>
      </c>
      <c r="AF7295">
        <v>-27.959254480802102</v>
      </c>
      <c r="AG7295">
        <v>0.91696299999999897</v>
      </c>
      <c r="AH7295">
        <v>64.980563010151499</v>
      </c>
      <c r="AI7295">
        <v>89.257351897190304</v>
      </c>
      <c r="AJ7295">
        <v>113.28080968696101</v>
      </c>
      <c r="AK7295">
        <v>70.746267049095195</v>
      </c>
      <c r="AL7295">
        <v>79.319393736316599</v>
      </c>
      <c r="AM7295">
        <v>93.633432209651204</v>
      </c>
      <c r="AN7295">
        <v>0.99999997030954502</v>
      </c>
    </row>
    <row r="7296" spans="1:40" x14ac:dyDescent="0.25">
      <c r="A7296" t="str">
        <f>"20190303170429859"</f>
        <v>20190303170429859</v>
      </c>
      <c r="B7296" t="str">
        <f>"1551603869853045"</f>
        <v>1551603869853045</v>
      </c>
      <c r="C7296" t="s">
        <v>40</v>
      </c>
      <c r="D7296">
        <v>5.2090420000000002</v>
      </c>
      <c r="E7296">
        <v>0.36450539999999998</v>
      </c>
      <c r="F7296" t="s">
        <v>54</v>
      </c>
      <c r="G7296">
        <v>-165.92230000000001</v>
      </c>
      <c r="H7296">
        <v>2.0034510000000001</v>
      </c>
      <c r="I7296">
        <v>7.3802320000000003</v>
      </c>
      <c r="J7296">
        <v>-195.42670000000001</v>
      </c>
      <c r="K7296">
        <v>1.1309670000000001</v>
      </c>
      <c r="L7296">
        <v>-56.642330000000001</v>
      </c>
      <c r="M7296">
        <v>0.74220940000000002</v>
      </c>
      <c r="N7296">
        <v>-1.482088E-2</v>
      </c>
      <c r="O7296">
        <v>0.67000409999999999</v>
      </c>
      <c r="P7296">
        <v>0.69131119999999902</v>
      </c>
      <c r="Q7296">
        <v>0.17266419999999999</v>
      </c>
      <c r="R7296">
        <v>0.70162369999999996</v>
      </c>
      <c r="S7296">
        <v>1.3566739999999999</v>
      </c>
      <c r="T7296">
        <v>3.9954780000000002E-2</v>
      </c>
      <c r="U7296">
        <v>2.9371640000000001</v>
      </c>
      <c r="V7296">
        <v>-6.1900999999999998E-2</v>
      </c>
      <c r="W7296">
        <v>0.18583350000000001</v>
      </c>
      <c r="X7296">
        <v>0.98062950000000004</v>
      </c>
      <c r="Y7296">
        <v>-0.39299600000000001</v>
      </c>
      <c r="Z7296">
        <v>1.8579600000000002E-2</v>
      </c>
      <c r="AA7296">
        <v>0.91935250000000002</v>
      </c>
      <c r="AB7296">
        <v>32</v>
      </c>
      <c r="AC7296">
        <v>29.5044</v>
      </c>
      <c r="AD7296">
        <v>0.87248399999999904</v>
      </c>
      <c r="AE7296">
        <v>64.022561999999994</v>
      </c>
      <c r="AF7296">
        <v>-27.748876720997401</v>
      </c>
      <c r="AG7296">
        <v>0.87248399999999904</v>
      </c>
      <c r="AH7296">
        <v>64.791016338817897</v>
      </c>
      <c r="AI7296">
        <v>89.290793754887503</v>
      </c>
      <c r="AJ7296">
        <v>113.184617096483</v>
      </c>
      <c r="AK7296">
        <v>70.488560673518805</v>
      </c>
      <c r="AL7296">
        <v>79.2902690808383</v>
      </c>
      <c r="AM7296">
        <v>93.611931507753894</v>
      </c>
      <c r="AN7296">
        <v>1.00000001989674</v>
      </c>
    </row>
    <row r="7297" spans="1:40" x14ac:dyDescent="0.25">
      <c r="A7297" t="str">
        <f>"20190303170429869"</f>
        <v>20190303170429869</v>
      </c>
      <c r="B7297" t="str">
        <f>"1551603869862804"</f>
        <v>1551603869862804</v>
      </c>
      <c r="C7297" t="s">
        <v>40</v>
      </c>
      <c r="D7297">
        <v>5.1776580000000001</v>
      </c>
      <c r="E7297">
        <v>0.36379879999999998</v>
      </c>
      <c r="F7297" t="s">
        <v>54</v>
      </c>
      <c r="G7297">
        <v>-166.2235</v>
      </c>
      <c r="H7297">
        <v>2.001385</v>
      </c>
      <c r="I7297">
        <v>7.3802320000000003</v>
      </c>
      <c r="J7297">
        <v>-195.31630000000001</v>
      </c>
      <c r="K7297">
        <v>1.130951</v>
      </c>
      <c r="L7297">
        <v>-56.536380000000001</v>
      </c>
      <c r="M7297">
        <v>0.73865959999999997</v>
      </c>
      <c r="N7297">
        <v>-1.481622E-2</v>
      </c>
      <c r="O7297">
        <v>0.67391579999999995</v>
      </c>
      <c r="P7297">
        <v>0.68795450000000002</v>
      </c>
      <c r="Q7297">
        <v>0.17322360000000001</v>
      </c>
      <c r="R7297">
        <v>0.70477809999999996</v>
      </c>
      <c r="S7297">
        <v>1.3424990000000001</v>
      </c>
      <c r="T7297">
        <v>4.001379E-2</v>
      </c>
      <c r="U7297">
        <v>2.9431759999999998</v>
      </c>
      <c r="V7297">
        <v>-6.130319E-2</v>
      </c>
      <c r="W7297">
        <v>0.18640409999999999</v>
      </c>
      <c r="X7297">
        <v>0.98055879999999995</v>
      </c>
      <c r="Y7297">
        <v>-0.39251239999999998</v>
      </c>
      <c r="Z7297">
        <v>1.8690169999999999E-2</v>
      </c>
      <c r="AA7297">
        <v>0.91955679999999995</v>
      </c>
      <c r="AB7297">
        <v>32</v>
      </c>
      <c r="AC7297">
        <v>29.0928</v>
      </c>
      <c r="AD7297">
        <v>0.87043399999999904</v>
      </c>
      <c r="AE7297">
        <v>63.916612000000001</v>
      </c>
      <c r="AF7297">
        <v>-27.605310667991098</v>
      </c>
      <c r="AG7297">
        <v>0.87043399999999904</v>
      </c>
      <c r="AH7297">
        <v>64.561258992891894</v>
      </c>
      <c r="AI7297">
        <v>89.289762574224099</v>
      </c>
      <c r="AJ7297">
        <v>113.150738858517</v>
      </c>
      <c r="AK7297">
        <v>70.220844449293907</v>
      </c>
      <c r="AL7297">
        <v>79.256995203982299</v>
      </c>
      <c r="AM7297">
        <v>93.577397477169797</v>
      </c>
      <c r="AN7297">
        <v>1.00000006492921</v>
      </c>
    </row>
    <row r="7298" spans="1:40" x14ac:dyDescent="0.25">
      <c r="A7298" t="str">
        <f>"20190303170429881"</f>
        <v>20190303170429881</v>
      </c>
      <c r="B7298" t="str">
        <f>"1551603869872564"</f>
        <v>1551603869872564</v>
      </c>
      <c r="C7298" t="s">
        <v>40</v>
      </c>
      <c r="D7298">
        <v>5.1264370000000001</v>
      </c>
      <c r="E7298">
        <v>0.36280679999999998</v>
      </c>
      <c r="F7298" t="s">
        <v>54</v>
      </c>
      <c r="G7298">
        <v>-166.6583</v>
      </c>
      <c r="H7298">
        <v>2.2134420000000001</v>
      </c>
      <c r="I7298">
        <v>7.3802320000000003</v>
      </c>
      <c r="J7298">
        <v>-195.2071</v>
      </c>
      <c r="K7298">
        <v>1.130941</v>
      </c>
      <c r="L7298">
        <v>-56.430269999999901</v>
      </c>
      <c r="M7298">
        <v>0.73510469999999895</v>
      </c>
      <c r="N7298">
        <v>-1.4811690000000001E-2</v>
      </c>
      <c r="O7298">
        <v>0.67779180000000006</v>
      </c>
      <c r="P7298">
        <v>0.68432399999999904</v>
      </c>
      <c r="Q7298">
        <v>0.17428399999999999</v>
      </c>
      <c r="R7298">
        <v>0.7080436</v>
      </c>
      <c r="S7298">
        <v>1.3237000000000001</v>
      </c>
      <c r="T7298">
        <v>4.9999479999999999E-2</v>
      </c>
      <c r="U7298">
        <v>2.9522710000000001</v>
      </c>
      <c r="V7298">
        <v>-6.1008680000000003E-2</v>
      </c>
      <c r="W7298">
        <v>0.18746689999999999</v>
      </c>
      <c r="X7298">
        <v>0.98037450000000004</v>
      </c>
      <c r="Y7298">
        <v>-0.3936364</v>
      </c>
      <c r="Z7298">
        <v>2.041577E-2</v>
      </c>
      <c r="AA7298">
        <v>0.91903950000000001</v>
      </c>
      <c r="AB7298">
        <v>32</v>
      </c>
      <c r="AC7298">
        <v>28.5488</v>
      </c>
      <c r="AD7298">
        <v>1.0825009999999899</v>
      </c>
      <c r="AE7298">
        <v>63.8105019999999</v>
      </c>
      <c r="AF7298">
        <v>-27.5536732193431</v>
      </c>
      <c r="AG7298">
        <v>1.0825009999999899</v>
      </c>
      <c r="AH7298">
        <v>64.228237286395199</v>
      </c>
      <c r="AI7298">
        <v>89.112624511725301</v>
      </c>
      <c r="AJ7298">
        <v>113.21915106542301</v>
      </c>
      <c r="AK7298">
        <v>69.897376068138897</v>
      </c>
      <c r="AL7298">
        <v>79.195008168005401</v>
      </c>
      <c r="AM7298">
        <v>93.560922986587499</v>
      </c>
      <c r="AN7298">
        <v>1.0000000289405999</v>
      </c>
    </row>
    <row r="7299" spans="1:40" x14ac:dyDescent="0.25">
      <c r="A7299" t="str">
        <f>"20190303170429892"</f>
        <v>20190303170429892</v>
      </c>
      <c r="B7299" t="str">
        <f>"1551603869882325"</f>
        <v>1551603869882325</v>
      </c>
      <c r="C7299" t="s">
        <v>40</v>
      </c>
      <c r="D7299">
        <v>5.1503209999999999</v>
      </c>
      <c r="E7299">
        <v>0.36216900000000002</v>
      </c>
      <c r="F7299" t="s">
        <v>54</v>
      </c>
      <c r="G7299">
        <v>-167.16229999999999</v>
      </c>
      <c r="H7299">
        <v>2.5353210000000002</v>
      </c>
      <c r="I7299">
        <v>7.3802310000000002</v>
      </c>
      <c r="J7299">
        <v>-195.0967</v>
      </c>
      <c r="K7299">
        <v>1.1309290000000001</v>
      </c>
      <c r="L7299">
        <v>-56.322200000000002</v>
      </c>
      <c r="M7299">
        <v>0.73147869999999904</v>
      </c>
      <c r="N7299">
        <v>-1.4807209999999999E-2</v>
      </c>
      <c r="O7299">
        <v>0.68170359999999997</v>
      </c>
      <c r="P7299">
        <v>0.68094509999999997</v>
      </c>
      <c r="Q7299">
        <v>0.17552279999999901</v>
      </c>
      <c r="R7299">
        <v>0.71098919999999999</v>
      </c>
      <c r="S7299">
        <v>1.3020480000000001</v>
      </c>
      <c r="T7299">
        <v>6.5201640000000005E-2</v>
      </c>
      <c r="U7299">
        <v>2.962555</v>
      </c>
      <c r="V7299">
        <v>-6.024272E-2</v>
      </c>
      <c r="W7299">
        <v>0.18871879999999999</v>
      </c>
      <c r="X7299">
        <v>0.98018159999999999</v>
      </c>
      <c r="Y7299">
        <v>-0.39558290000000002</v>
      </c>
      <c r="Z7299">
        <v>2.3020880000000001E-2</v>
      </c>
      <c r="AA7299">
        <v>0.91814169999999995</v>
      </c>
      <c r="AB7299">
        <v>32</v>
      </c>
      <c r="AC7299">
        <v>27.9344</v>
      </c>
      <c r="AD7299">
        <v>1.4043919999999901</v>
      </c>
      <c r="AE7299">
        <v>63.702430999999997</v>
      </c>
      <c r="AF7299">
        <v>-27.545780713242301</v>
      </c>
      <c r="AG7299">
        <v>1.4043919999999901</v>
      </c>
      <c r="AH7299">
        <v>63.840568297033101</v>
      </c>
      <c r="AI7299">
        <v>88.842872623535399</v>
      </c>
      <c r="AJ7299">
        <v>113.33911993212899</v>
      </c>
      <c r="AK7299">
        <v>69.543946627149694</v>
      </c>
      <c r="AL7299">
        <v>79.121975396117307</v>
      </c>
      <c r="AM7299">
        <v>93.517018992483898</v>
      </c>
      <c r="AN7299">
        <v>0.99999996988249795</v>
      </c>
    </row>
    <row r="7300" spans="1:40" x14ac:dyDescent="0.25">
      <c r="A7300" t="str">
        <f>"20190303170429903"</f>
        <v>20190303170429903</v>
      </c>
      <c r="B7300" t="str">
        <f>"1551603869893061"</f>
        <v>1551603869893061</v>
      </c>
      <c r="C7300" t="s">
        <v>40</v>
      </c>
      <c r="D7300">
        <v>5.1635549999999997</v>
      </c>
      <c r="E7300">
        <v>0.36179840000000002</v>
      </c>
      <c r="F7300" t="s">
        <v>54</v>
      </c>
      <c r="G7300">
        <v>-167.56829999999999</v>
      </c>
      <c r="H7300">
        <v>2.8069000000000002</v>
      </c>
      <c r="I7300">
        <v>7.3802320000000003</v>
      </c>
      <c r="J7300">
        <v>-194.9905</v>
      </c>
      <c r="K7300">
        <v>1.1309209999999901</v>
      </c>
      <c r="L7300">
        <v>-56.216709999999999</v>
      </c>
      <c r="M7300">
        <v>0.72794309999999995</v>
      </c>
      <c r="N7300">
        <v>-1.4802910000000001E-2</v>
      </c>
      <c r="O7300">
        <v>0.68547769999999997</v>
      </c>
      <c r="P7300">
        <v>0.67744439999999995</v>
      </c>
      <c r="Q7300">
        <v>0.1763719</v>
      </c>
      <c r="R7300">
        <v>0.71411630000000004</v>
      </c>
      <c r="S7300">
        <v>1.283752</v>
      </c>
      <c r="T7300">
        <v>7.8156349999999999E-2</v>
      </c>
      <c r="U7300">
        <v>2.9706730000000001</v>
      </c>
      <c r="V7300">
        <v>-5.9847560000000001E-2</v>
      </c>
      <c r="W7300">
        <v>0.1895733</v>
      </c>
      <c r="X7300">
        <v>0.98004089999999999</v>
      </c>
      <c r="Y7300">
        <v>-0.3965516</v>
      </c>
      <c r="Z7300">
        <v>2.5289889999999999E-2</v>
      </c>
      <c r="AA7300">
        <v>0.91766409999999998</v>
      </c>
      <c r="AB7300">
        <v>32</v>
      </c>
      <c r="AC7300">
        <v>27.4222</v>
      </c>
      <c r="AD7300">
        <v>1.6759790000000001</v>
      </c>
      <c r="AE7300">
        <v>63.596941999999999</v>
      </c>
      <c r="AF7300">
        <v>-27.4845670627221</v>
      </c>
      <c r="AG7300">
        <v>1.6759790000000001</v>
      </c>
      <c r="AH7300">
        <v>63.525851254956997</v>
      </c>
      <c r="AI7300">
        <v>88.612936949202805</v>
      </c>
      <c r="AJ7300">
        <v>113.39580378334399</v>
      </c>
      <c r="AK7300">
        <v>69.236869584785794</v>
      </c>
      <c r="AL7300">
        <v>79.072116096180693</v>
      </c>
      <c r="AM7300">
        <v>93.494506945777303</v>
      </c>
      <c r="AN7300">
        <v>0.99999996609182595</v>
      </c>
    </row>
    <row r="7301" spans="1:40" x14ac:dyDescent="0.25">
      <c r="A7301" t="str">
        <f>"20190303170429914"</f>
        <v>20190303170429914</v>
      </c>
      <c r="B7301" t="str">
        <f>"1551603869902351"</f>
        <v>1551603869902351</v>
      </c>
      <c r="C7301" t="s">
        <v>40</v>
      </c>
      <c r="D7301">
        <v>5.133724</v>
      </c>
      <c r="E7301">
        <v>0.3615736</v>
      </c>
      <c r="F7301" t="s">
        <v>54</v>
      </c>
      <c r="G7301">
        <v>-167.94319999999999</v>
      </c>
      <c r="H7301">
        <v>2.976356</v>
      </c>
      <c r="I7301">
        <v>7.3802320000000003</v>
      </c>
      <c r="J7301">
        <v>-194.87970000000001</v>
      </c>
      <c r="K7301">
        <v>1.1309119999999999</v>
      </c>
      <c r="L7301">
        <v>-56.106079999999999</v>
      </c>
      <c r="M7301">
        <v>0.72422489999999995</v>
      </c>
      <c r="N7301">
        <v>-1.4798550000000001E-2</v>
      </c>
      <c r="O7301">
        <v>0.68940500000000005</v>
      </c>
      <c r="P7301">
        <v>0.673732199999999</v>
      </c>
      <c r="Q7301">
        <v>0.1773419</v>
      </c>
      <c r="R7301">
        <v>0.71738049999999998</v>
      </c>
      <c r="S7301">
        <v>1.2665709999999999</v>
      </c>
      <c r="T7301">
        <v>8.6417910000000001E-2</v>
      </c>
      <c r="U7301">
        <v>2.978119</v>
      </c>
      <c r="V7301">
        <v>-5.9470210000000003E-2</v>
      </c>
      <c r="W7301">
        <v>0.19054750000000001</v>
      </c>
      <c r="X7301">
        <v>0.97987500000000005</v>
      </c>
      <c r="Y7301">
        <v>-0.39692319999999998</v>
      </c>
      <c r="Z7301">
        <v>2.6820190000000001E-2</v>
      </c>
      <c r="AA7301">
        <v>0.91745980000000005</v>
      </c>
      <c r="AB7301">
        <v>32</v>
      </c>
      <c r="AC7301">
        <v>26.936499999999999</v>
      </c>
      <c r="AD7301">
        <v>1.8454440000000001</v>
      </c>
      <c r="AE7301">
        <v>63.486311999999998</v>
      </c>
      <c r="AF7301">
        <v>-27.391598277021199</v>
      </c>
      <c r="AG7301">
        <v>1.8454440000000001</v>
      </c>
      <c r="AH7301">
        <v>63.237513940460602</v>
      </c>
      <c r="AI7301">
        <v>88.466069405032101</v>
      </c>
      <c r="AJ7301">
        <v>113.42005392975101</v>
      </c>
      <c r="AK7301">
        <v>68.939745351261607</v>
      </c>
      <c r="AL7301">
        <v>79.015263007125199</v>
      </c>
      <c r="AM7301">
        <v>93.473114001251105</v>
      </c>
      <c r="AN7301">
        <v>1.0000000356293399</v>
      </c>
    </row>
    <row r="7302" spans="1:40" x14ac:dyDescent="0.25">
      <c r="A7302" t="str">
        <f>"20190303170429926"</f>
        <v>20190303170429926</v>
      </c>
      <c r="B7302" t="str">
        <f>"1551603869913087"</f>
        <v>1551603869913087</v>
      </c>
      <c r="C7302" t="s">
        <v>40</v>
      </c>
      <c r="D7302">
        <v>5.1504079999999997</v>
      </c>
      <c r="E7302">
        <v>0.36152519999999999</v>
      </c>
      <c r="F7302" t="s">
        <v>54</v>
      </c>
      <c r="G7302">
        <v>-168.29810000000001</v>
      </c>
      <c r="H7302">
        <v>3.110007</v>
      </c>
      <c r="I7302">
        <v>7.3802320000000003</v>
      </c>
      <c r="J7302">
        <v>-194.75909999999999</v>
      </c>
      <c r="K7302">
        <v>1.130903</v>
      </c>
      <c r="L7302">
        <v>-55.983519999999999</v>
      </c>
      <c r="M7302">
        <v>0.72011689999999995</v>
      </c>
      <c r="N7302">
        <v>-1.4793809999999999E-2</v>
      </c>
      <c r="O7302">
        <v>0.69369510000000001</v>
      </c>
      <c r="P7302">
        <v>0.66954530000000001</v>
      </c>
      <c r="Q7302">
        <v>0.17787339999999999</v>
      </c>
      <c r="R7302">
        <v>0.72115890000000005</v>
      </c>
      <c r="S7302">
        <v>1.2498469999999999</v>
      </c>
      <c r="T7302">
        <v>9.3055369999999998E-2</v>
      </c>
      <c r="U7302">
        <v>2.985077</v>
      </c>
      <c r="V7302">
        <v>-5.9263040000000003E-2</v>
      </c>
      <c r="W7302">
        <v>0.19108020000000001</v>
      </c>
      <c r="X7302">
        <v>0.97978379999999998</v>
      </c>
      <c r="Y7302">
        <v>-0.3966286</v>
      </c>
      <c r="Z7302">
        <v>2.8121899999999998E-2</v>
      </c>
      <c r="AA7302">
        <v>0.91754829999999998</v>
      </c>
      <c r="AB7302">
        <v>32</v>
      </c>
      <c r="AC7302">
        <v>26.460999999999899</v>
      </c>
      <c r="AD7302">
        <v>1.979104</v>
      </c>
      <c r="AE7302">
        <v>63.363751999999998</v>
      </c>
      <c r="AF7302">
        <v>-27.253786667970498</v>
      </c>
      <c r="AG7302">
        <v>1.979104</v>
      </c>
      <c r="AH7302">
        <v>62.964726203024298</v>
      </c>
      <c r="AI7302">
        <v>88.347719733572504</v>
      </c>
      <c r="AJ7302">
        <v>113.404994353199</v>
      </c>
      <c r="AK7302">
        <v>68.638491287381001</v>
      </c>
      <c r="AL7302">
        <v>78.984170111586906</v>
      </c>
      <c r="AM7302">
        <v>93.461365924971702</v>
      </c>
      <c r="AN7302">
        <v>1.0000000227422601</v>
      </c>
    </row>
    <row r="7303" spans="1:40" x14ac:dyDescent="0.25">
      <c r="A7303" t="str">
        <f>"20190303170429941"</f>
        <v>20190303170429941</v>
      </c>
      <c r="B7303" t="str">
        <f>"1551603869932608"</f>
        <v>1551603869932608</v>
      </c>
      <c r="C7303" t="s">
        <v>40</v>
      </c>
      <c r="D7303">
        <v>5.1936159999999996</v>
      </c>
      <c r="E7303">
        <v>0.36168600000000001</v>
      </c>
      <c r="F7303" t="s">
        <v>54</v>
      </c>
      <c r="G7303">
        <v>-168.45050000000001</v>
      </c>
      <c r="H7303">
        <v>3.2081499999999998</v>
      </c>
      <c r="I7303">
        <v>7.8989570000000002</v>
      </c>
      <c r="J7303">
        <v>-194.61359999999999</v>
      </c>
      <c r="K7303">
        <v>1.130897</v>
      </c>
      <c r="L7303">
        <v>-55.834290000000003</v>
      </c>
      <c r="M7303">
        <v>0.71510299999999904</v>
      </c>
      <c r="N7303">
        <v>-1.4788269999999999E-2</v>
      </c>
      <c r="O7303">
        <v>0.69886269999999995</v>
      </c>
      <c r="P7303">
        <v>0.66419289999999997</v>
      </c>
      <c r="Q7303">
        <v>0.1780476</v>
      </c>
      <c r="R7303">
        <v>0.72604880000000005</v>
      </c>
      <c r="S7303">
        <v>1.232178</v>
      </c>
      <c r="T7303">
        <v>9.7288970000000002E-2</v>
      </c>
      <c r="U7303">
        <v>2.9919739999999999</v>
      </c>
      <c r="V7303">
        <v>-5.9420389999999997E-2</v>
      </c>
      <c r="W7303">
        <v>0.19124730000000001</v>
      </c>
      <c r="X7303">
        <v>0.97974159999999999</v>
      </c>
      <c r="Y7303">
        <v>-0.3954106</v>
      </c>
      <c r="Z7303">
        <v>2.9085920000000001E-2</v>
      </c>
      <c r="AA7303">
        <v>0.91804390000000002</v>
      </c>
      <c r="AB7303">
        <v>32</v>
      </c>
      <c r="AC7303">
        <v>26.163099999999901</v>
      </c>
      <c r="AD7303">
        <v>2.0772529999999998</v>
      </c>
      <c r="AE7303">
        <v>63.733246999999999</v>
      </c>
      <c r="AF7303">
        <v>-27.2696144331242</v>
      </c>
      <c r="AG7303">
        <v>2.0772529999999998</v>
      </c>
      <c r="AH7303">
        <v>63.199560895439298</v>
      </c>
      <c r="AI7303">
        <v>88.271413478689794</v>
      </c>
      <c r="AJ7303">
        <v>113.339436433646</v>
      </c>
      <c r="AK7303">
        <v>68.863134903470694</v>
      </c>
      <c r="AL7303">
        <v>78.974415378406405</v>
      </c>
      <c r="AM7303">
        <v>93.470682924755195</v>
      </c>
      <c r="AN7303">
        <v>0.99999995763780003</v>
      </c>
    </row>
    <row r="7304" spans="1:40" x14ac:dyDescent="0.25">
      <c r="A7304" t="str">
        <f>"20190303170429953"</f>
        <v>20190303170429953</v>
      </c>
      <c r="B7304" t="str">
        <f>"1551603869942367"</f>
        <v>1551603869942367</v>
      </c>
      <c r="C7304" t="s">
        <v>40</v>
      </c>
      <c r="D7304">
        <v>5.1737659999999996</v>
      </c>
      <c r="E7304">
        <v>0.36191180000000001</v>
      </c>
      <c r="F7304" t="s">
        <v>54</v>
      </c>
      <c r="G7304">
        <v>-168.45050000000001</v>
      </c>
      <c r="H7304">
        <v>3.2973650000000001</v>
      </c>
      <c r="I7304">
        <v>8.9825269999999993</v>
      </c>
      <c r="J7304">
        <v>-194.4975</v>
      </c>
      <c r="K7304">
        <v>1.130887</v>
      </c>
      <c r="L7304">
        <v>-55.713709999999999</v>
      </c>
      <c r="M7304">
        <v>0.71104789999999995</v>
      </c>
      <c r="N7304">
        <v>-1.4783960000000001E-2</v>
      </c>
      <c r="O7304">
        <v>0.70298809999999901</v>
      </c>
      <c r="P7304">
        <v>0.65976409999999996</v>
      </c>
      <c r="Q7304">
        <v>0.17789449999999901</v>
      </c>
      <c r="R7304">
        <v>0.73011309999999996</v>
      </c>
      <c r="S7304">
        <v>1.210831</v>
      </c>
      <c r="T7304">
        <v>0.10026409999999999</v>
      </c>
      <c r="U7304">
        <v>2.9997250000000002</v>
      </c>
      <c r="V7304">
        <v>-5.9729709999999998E-2</v>
      </c>
      <c r="W7304">
        <v>0.19108439999999999</v>
      </c>
      <c r="X7304">
        <v>0.97975460000000003</v>
      </c>
      <c r="Y7304">
        <v>-0.39654729999999999</v>
      </c>
      <c r="Z7304">
        <v>2.9787979999999999E-2</v>
      </c>
      <c r="AA7304">
        <v>0.91753090000000004</v>
      </c>
      <c r="AB7304">
        <v>32</v>
      </c>
      <c r="AC7304">
        <v>26.047000000000001</v>
      </c>
      <c r="AD7304">
        <v>2.1664779999999899</v>
      </c>
      <c r="AE7304">
        <v>64.696236999999996</v>
      </c>
      <c r="AF7304">
        <v>-27.6677214678895</v>
      </c>
      <c r="AG7304">
        <v>2.1664779999999899</v>
      </c>
      <c r="AH7304">
        <v>63.946640224116599</v>
      </c>
      <c r="AI7304">
        <v>88.219028768781499</v>
      </c>
      <c r="AJ7304">
        <v>113.396633475651</v>
      </c>
      <c r="AK7304">
        <v>69.709176111196498</v>
      </c>
      <c r="AL7304">
        <v>78.983924488663305</v>
      </c>
      <c r="AM7304">
        <v>93.488659299129694</v>
      </c>
      <c r="AN7304">
        <v>0.99999998120060096</v>
      </c>
    </row>
    <row r="7305" spans="1:40" x14ac:dyDescent="0.25">
      <c r="A7305" t="str">
        <f>"20190303170429965"</f>
        <v>20190303170429965</v>
      </c>
      <c r="B7305" t="str">
        <f>"1551603869953103"</f>
        <v>1551603869953103</v>
      </c>
      <c r="C7305" t="s">
        <v>40</v>
      </c>
      <c r="D7305">
        <v>5.1788749999999997</v>
      </c>
      <c r="E7305">
        <v>0.36214780000000002</v>
      </c>
      <c r="F7305" t="s">
        <v>54</v>
      </c>
      <c r="G7305">
        <v>-168.45050000000001</v>
      </c>
      <c r="H7305">
        <v>3.2935620000000001</v>
      </c>
      <c r="I7305">
        <v>9.8667200000000008</v>
      </c>
      <c r="J7305">
        <v>-194.37710000000001</v>
      </c>
      <c r="K7305">
        <v>1.130878</v>
      </c>
      <c r="L7305">
        <v>-55.586759999999998</v>
      </c>
      <c r="M7305">
        <v>0.7067831</v>
      </c>
      <c r="N7305">
        <v>-1.4779499999999999E-2</v>
      </c>
      <c r="O7305">
        <v>0.70727589999999996</v>
      </c>
      <c r="P7305">
        <v>0.65527449999999998</v>
      </c>
      <c r="Q7305">
        <v>0.178178</v>
      </c>
      <c r="R7305">
        <v>0.73407630000000001</v>
      </c>
      <c r="S7305">
        <v>1.1938930000000001</v>
      </c>
      <c r="T7305">
        <v>9.9128480000000005E-2</v>
      </c>
      <c r="U7305">
        <v>3.005951</v>
      </c>
      <c r="V7305">
        <v>-5.9763299999999998E-2</v>
      </c>
      <c r="W7305">
        <v>0.19136429999999999</v>
      </c>
      <c r="X7305">
        <v>0.97969790000000001</v>
      </c>
      <c r="Y7305">
        <v>-0.39610889999999999</v>
      </c>
      <c r="Z7305">
        <v>2.980352E-2</v>
      </c>
      <c r="AA7305">
        <v>0.91771970000000003</v>
      </c>
      <c r="AB7305">
        <v>32</v>
      </c>
      <c r="AC7305">
        <v>25.926600000000001</v>
      </c>
      <c r="AD7305">
        <v>2.1626840000000001</v>
      </c>
      <c r="AE7305">
        <v>65.453479999999999</v>
      </c>
      <c r="AF7305">
        <v>-27.900875198000499</v>
      </c>
      <c r="AG7305">
        <v>2.1626840000000001</v>
      </c>
      <c r="AH7305">
        <v>64.564282814761697</v>
      </c>
      <c r="AI7305">
        <v>88.238803994993503</v>
      </c>
      <c r="AJ7305">
        <v>113.371153359122</v>
      </c>
      <c r="AK7305">
        <v>70.368193484576494</v>
      </c>
      <c r="AL7305">
        <v>78.967585670693694</v>
      </c>
      <c r="AM7305">
        <v>93.490817875215797</v>
      </c>
      <c r="AN7305">
        <v>0.99999996130289404</v>
      </c>
    </row>
    <row r="7306" spans="1:40" x14ac:dyDescent="0.25">
      <c r="A7306" t="str">
        <f>"20190303170429981"</f>
        <v>20190303170429981</v>
      </c>
      <c r="B7306" t="str">
        <f>"1551603869972623"</f>
        <v>1551603869972623</v>
      </c>
      <c r="C7306" t="s">
        <v>40</v>
      </c>
      <c r="D7306">
        <v>5.2100350000000004</v>
      </c>
      <c r="E7306">
        <v>0.36243629999999999</v>
      </c>
      <c r="F7306" t="s">
        <v>60</v>
      </c>
      <c r="G7306">
        <v>-162.81209999999999</v>
      </c>
      <c r="H7306">
        <v>3.806969</v>
      </c>
      <c r="I7306">
        <v>25.184920000000002</v>
      </c>
      <c r="J7306">
        <v>-194.22120000000001</v>
      </c>
      <c r="K7306">
        <v>1.1308609999999999</v>
      </c>
      <c r="L7306">
        <v>-55.420380000000002</v>
      </c>
      <c r="M7306">
        <v>0.70118619999999898</v>
      </c>
      <c r="N7306">
        <v>-1.47739E-2</v>
      </c>
      <c r="O7306">
        <v>0.71282509999999999</v>
      </c>
      <c r="P7306">
        <v>0.64923240000000004</v>
      </c>
      <c r="Q7306">
        <v>0.17950360000000001</v>
      </c>
      <c r="R7306">
        <v>0.739104599999999</v>
      </c>
      <c r="S7306">
        <v>1.177017</v>
      </c>
      <c r="T7306">
        <v>9.978795E-2</v>
      </c>
      <c r="U7306">
        <v>3.0118710000000002</v>
      </c>
      <c r="V7306">
        <v>-5.9873719999999998E-2</v>
      </c>
      <c r="W7306">
        <v>0.19268070000000001</v>
      </c>
      <c r="X7306">
        <v>0.9794332</v>
      </c>
      <c r="Y7306">
        <v>-0.3939454</v>
      </c>
      <c r="Z7306">
        <v>3.0202130000000001E-2</v>
      </c>
      <c r="AA7306">
        <v>0.9186375</v>
      </c>
      <c r="AB7306">
        <v>32</v>
      </c>
      <c r="AC7306">
        <v>31.409099999999999</v>
      </c>
      <c r="AD7306">
        <v>2.6761080000000002</v>
      </c>
      <c r="AE7306">
        <v>80.6053</v>
      </c>
      <c r="AF7306">
        <v>-34.101221808636403</v>
      </c>
      <c r="AG7306">
        <v>2.6761080000000002</v>
      </c>
      <c r="AH7306">
        <v>79.413790033601799</v>
      </c>
      <c r="AI7306">
        <v>88.226450112651506</v>
      </c>
      <c r="AJ7306">
        <v>113.239258360013</v>
      </c>
      <c r="AK7306">
        <v>86.467363382784399</v>
      </c>
      <c r="AL7306">
        <v>78.890732318730102</v>
      </c>
      <c r="AM7306">
        <v>93.498194409293802</v>
      </c>
      <c r="AN7306">
        <v>1.0000000538806799</v>
      </c>
    </row>
    <row r="7307" spans="1:40" x14ac:dyDescent="0.25">
      <c r="A7307" t="str">
        <f>"20190303170429993"</f>
        <v>20190303170429993</v>
      </c>
      <c r="B7307" t="str">
        <f>"1551603869982383"</f>
        <v>1551603869982383</v>
      </c>
      <c r="C7307" t="s">
        <v>40</v>
      </c>
      <c r="D7307">
        <v>5.1653650000000004</v>
      </c>
      <c r="E7307">
        <v>0.37045299999999998</v>
      </c>
      <c r="F7307" t="s">
        <v>60</v>
      </c>
      <c r="G7307">
        <v>-163.4271</v>
      </c>
      <c r="H7307">
        <v>3.939759</v>
      </c>
      <c r="I7307">
        <v>25.184909999999999</v>
      </c>
      <c r="J7307">
        <v>-194.11179999999999</v>
      </c>
      <c r="K7307">
        <v>1.1308549999999999</v>
      </c>
      <c r="L7307">
        <v>-55.302250000000001</v>
      </c>
      <c r="M7307">
        <v>0.69720749999999998</v>
      </c>
      <c r="N7307">
        <v>-1.477009E-2</v>
      </c>
      <c r="O7307">
        <v>0.71671719999999906</v>
      </c>
      <c r="P7307">
        <v>0.64530739999999998</v>
      </c>
      <c r="Q7307">
        <v>0.17988489999999999</v>
      </c>
      <c r="R7307">
        <v>0.74244180000000004</v>
      </c>
      <c r="S7307">
        <v>1.153732</v>
      </c>
      <c r="T7307">
        <v>0.1052382</v>
      </c>
      <c r="U7307">
        <v>3.0199579999999999</v>
      </c>
      <c r="V7307">
        <v>-5.9549669999999999E-2</v>
      </c>
      <c r="W7307">
        <v>0.19306619999999999</v>
      </c>
      <c r="X7307">
        <v>0.97937700000000005</v>
      </c>
      <c r="Y7307">
        <v>-0.39584710000000001</v>
      </c>
      <c r="Z7307">
        <v>3.1346079999999998E-2</v>
      </c>
      <c r="AA7307">
        <v>0.91778130000000002</v>
      </c>
      <c r="AB7307">
        <v>32</v>
      </c>
      <c r="AC7307">
        <v>30.6846999999999</v>
      </c>
      <c r="AD7307">
        <v>2.8089040000000001</v>
      </c>
      <c r="AE7307">
        <v>80.487160000000003</v>
      </c>
      <c r="AF7307">
        <v>-34.091470209631503</v>
      </c>
      <c r="AG7307">
        <v>2.8089040000000001</v>
      </c>
      <c r="AH7307">
        <v>79.004750798566306</v>
      </c>
      <c r="AI7307">
        <v>88.130296483720002</v>
      </c>
      <c r="AJ7307">
        <v>113.340760351923</v>
      </c>
      <c r="AK7307">
        <v>86.092211793396203</v>
      </c>
      <c r="AL7307">
        <v>78.868221693053599</v>
      </c>
      <c r="AM7307">
        <v>93.4795071970169</v>
      </c>
      <c r="AN7307">
        <v>1.00000001445427</v>
      </c>
    </row>
    <row r="7308" spans="1:40" x14ac:dyDescent="0.25">
      <c r="A7308" t="str">
        <f>"20190303170430003"</f>
        <v>20190303170430003</v>
      </c>
      <c r="B7308" t="str">
        <f>"1551603869993119"</f>
        <v>1551603869993119</v>
      </c>
      <c r="C7308" t="s">
        <v>40</v>
      </c>
      <c r="D7308">
        <v>5.1709139999999998</v>
      </c>
      <c r="E7308">
        <v>0.37097439999999998</v>
      </c>
      <c r="F7308" t="s">
        <v>54</v>
      </c>
      <c r="G7308">
        <v>-168.45050000000001</v>
      </c>
      <c r="H7308">
        <v>2.673308</v>
      </c>
      <c r="I7308">
        <v>9.2911049999999999</v>
      </c>
      <c r="J7308">
        <v>-194.01410000000001</v>
      </c>
      <c r="K7308">
        <v>1.1308549999999999</v>
      </c>
      <c r="L7308">
        <v>-55.195099999999996</v>
      </c>
      <c r="M7308">
        <v>0.69360379999999999</v>
      </c>
      <c r="N7308">
        <v>-1.4766710000000001E-2</v>
      </c>
      <c r="O7308">
        <v>0.7202054</v>
      </c>
      <c r="P7308">
        <v>0.64172879999999999</v>
      </c>
      <c r="Q7308">
        <v>0.1807908</v>
      </c>
      <c r="R7308">
        <v>0.74531789999999998</v>
      </c>
      <c r="S7308">
        <v>1.188126</v>
      </c>
      <c r="T7308">
        <v>7.1416019999999997E-2</v>
      </c>
      <c r="U7308">
        <v>2.9906920000000001</v>
      </c>
      <c r="V7308">
        <v>-5.9211010000000001E-2</v>
      </c>
      <c r="W7308">
        <v>0.19397610000000001</v>
      </c>
      <c r="X7308">
        <v>0.97921769999999997</v>
      </c>
      <c r="Y7308">
        <v>-0.37892320000000002</v>
      </c>
      <c r="Z7308">
        <v>2.5600149999999999E-2</v>
      </c>
      <c r="AA7308">
        <v>0.92507399999999995</v>
      </c>
      <c r="AB7308">
        <v>32</v>
      </c>
      <c r="AC7308">
        <v>25.563600000000001</v>
      </c>
      <c r="AD7308">
        <v>1.5424530000000001</v>
      </c>
      <c r="AE7308">
        <v>64.486204999999998</v>
      </c>
      <c r="AF7308">
        <v>-26.306695714728601</v>
      </c>
      <c r="AG7308">
        <v>1.5424530000000001</v>
      </c>
      <c r="AH7308">
        <v>64.149600505002496</v>
      </c>
      <c r="AI7308">
        <v>88.725569265592497</v>
      </c>
      <c r="AJ7308">
        <v>112.297727054574</v>
      </c>
      <c r="AK7308">
        <v>69.351226706064494</v>
      </c>
      <c r="AL7308">
        <v>78.815083442783106</v>
      </c>
      <c r="AM7308">
        <v>93.460328853562203</v>
      </c>
      <c r="AN7308">
        <v>0.99999998753485897</v>
      </c>
    </row>
    <row r="7309" spans="1:40" x14ac:dyDescent="0.25">
      <c r="A7309" t="str">
        <f>"20190303170430015"</f>
        <v>20190303170430015</v>
      </c>
      <c r="B7309" t="str">
        <f>"1551603870002409"</f>
        <v>1551603870002409</v>
      </c>
      <c r="C7309" t="s">
        <v>40</v>
      </c>
      <c r="D7309">
        <v>5.1762370000000004</v>
      </c>
      <c r="E7309">
        <v>0.37148880000000001</v>
      </c>
      <c r="F7309" t="s">
        <v>54</v>
      </c>
      <c r="G7309">
        <v>-168.45050000000001</v>
      </c>
      <c r="H7309">
        <v>2.6321349999999999</v>
      </c>
      <c r="I7309">
        <v>9.8391020000000005</v>
      </c>
      <c r="J7309">
        <v>-193.90459999999999</v>
      </c>
      <c r="K7309">
        <v>1.130849</v>
      </c>
      <c r="L7309">
        <v>-55.074649999999998</v>
      </c>
      <c r="M7309">
        <v>0.68954009999999999</v>
      </c>
      <c r="N7309">
        <v>-1.476305E-2</v>
      </c>
      <c r="O7309">
        <v>0.72409699999999999</v>
      </c>
      <c r="P7309">
        <v>0.63773999999999997</v>
      </c>
      <c r="Q7309">
        <v>0.18139820000000001</v>
      </c>
      <c r="R7309">
        <v>0.748587</v>
      </c>
      <c r="S7309">
        <v>1.1771849999999999</v>
      </c>
      <c r="T7309">
        <v>6.9132799999999994E-2</v>
      </c>
      <c r="U7309">
        <v>2.9947810000000001</v>
      </c>
      <c r="V7309">
        <v>-5.8836239999999998E-2</v>
      </c>
      <c r="W7309">
        <v>0.19458839999999999</v>
      </c>
      <c r="X7309">
        <v>0.97911879999999996</v>
      </c>
      <c r="Y7309">
        <v>-0.3770654</v>
      </c>
      <c r="Z7309">
        <v>2.5335360000000001E-2</v>
      </c>
      <c r="AA7309">
        <v>0.92584</v>
      </c>
      <c r="AB7309">
        <v>32</v>
      </c>
      <c r="AC7309">
        <v>25.454099999999901</v>
      </c>
      <c r="AD7309">
        <v>1.5012859999999999</v>
      </c>
      <c r="AE7309">
        <v>64.913752000000002</v>
      </c>
      <c r="AF7309">
        <v>-26.320065940926199</v>
      </c>
      <c r="AG7309">
        <v>1.5012859999999999</v>
      </c>
      <c r="AH7309">
        <v>64.532596009912496</v>
      </c>
      <c r="AI7309">
        <v>88.765969676301594</v>
      </c>
      <c r="AJ7309">
        <v>112.188431272297</v>
      </c>
      <c r="AK7309">
        <v>69.709796144925505</v>
      </c>
      <c r="AL7309">
        <v>78.779319771932705</v>
      </c>
      <c r="AM7309">
        <v>93.438826258058199</v>
      </c>
      <c r="AN7309">
        <v>0.99999998653266797</v>
      </c>
    </row>
    <row r="7310" spans="1:40" x14ac:dyDescent="0.25">
      <c r="A7310" t="str">
        <f>"20190303170430026"</f>
        <v>20190303170430026</v>
      </c>
      <c r="B7310" t="str">
        <f>"1551603870013145"</f>
        <v>1551603870013145</v>
      </c>
      <c r="C7310" t="s">
        <v>40</v>
      </c>
      <c r="D7310">
        <v>5.2118520000000004</v>
      </c>
      <c r="E7310">
        <v>0.37203190000000003</v>
      </c>
      <c r="F7310" t="s">
        <v>60</v>
      </c>
      <c r="G7310">
        <v>-162.73519999999999</v>
      </c>
      <c r="H7310">
        <v>2.9027280000000002</v>
      </c>
      <c r="I7310">
        <v>25.184920000000002</v>
      </c>
      <c r="J7310">
        <v>-193.80090000000001</v>
      </c>
      <c r="K7310">
        <v>1.130841</v>
      </c>
      <c r="L7310">
        <v>-54.958219999999997</v>
      </c>
      <c r="M7310">
        <v>0.68562480000000003</v>
      </c>
      <c r="N7310">
        <v>-1.475953E-2</v>
      </c>
      <c r="O7310">
        <v>0.72780549999999999</v>
      </c>
      <c r="P7310">
        <v>0.63392209999999904</v>
      </c>
      <c r="Q7310">
        <v>0.18174960000000001</v>
      </c>
      <c r="R7310">
        <v>0.75173780000000001</v>
      </c>
      <c r="S7310">
        <v>1.1647639999999999</v>
      </c>
      <c r="T7310">
        <v>6.6213010000000003E-2</v>
      </c>
      <c r="U7310">
        <v>2.9992070000000002</v>
      </c>
      <c r="V7310">
        <v>-5.8482329999999999E-2</v>
      </c>
      <c r="W7310">
        <v>0.19494520000000001</v>
      </c>
      <c r="X7310">
        <v>0.97906910000000003</v>
      </c>
      <c r="Y7310">
        <v>-0.37585350000000001</v>
      </c>
      <c r="Z7310">
        <v>2.4937979999999998E-2</v>
      </c>
      <c r="AA7310">
        <v>0.92634349999999999</v>
      </c>
      <c r="AB7310">
        <v>32</v>
      </c>
      <c r="AC7310">
        <v>31.0657</v>
      </c>
      <c r="AD7310">
        <v>1.77188699999999</v>
      </c>
      <c r="AE7310">
        <v>80.143140000000002</v>
      </c>
      <c r="AF7310">
        <v>-32.328120969837599</v>
      </c>
      <c r="AG7310">
        <v>1.77188699999999</v>
      </c>
      <c r="AH7310">
        <v>79.602877041763705</v>
      </c>
      <c r="AI7310">
        <v>88.818542372151896</v>
      </c>
      <c r="AJ7310">
        <v>112.102931512118</v>
      </c>
      <c r="AK7310">
        <v>85.935237372729603</v>
      </c>
      <c r="AL7310">
        <v>78.758478315777396</v>
      </c>
      <c r="AM7310">
        <v>93.418363431126593</v>
      </c>
      <c r="AN7310">
        <v>1.0000000582500299</v>
      </c>
    </row>
    <row r="7311" spans="1:40" x14ac:dyDescent="0.25">
      <c r="A7311" t="str">
        <f>"20190303170430038"</f>
        <v>20190303170430038</v>
      </c>
      <c r="B7311" t="str">
        <f>"1551603870032666"</f>
        <v>1551603870032666</v>
      </c>
      <c r="C7311" t="s">
        <v>40</v>
      </c>
      <c r="D7311">
        <v>5.276764</v>
      </c>
      <c r="E7311">
        <v>0.37277929999999998</v>
      </c>
      <c r="F7311" t="s">
        <v>60</v>
      </c>
      <c r="G7311">
        <v>-163.02690000000001</v>
      </c>
      <c r="H7311">
        <v>2.8589220000000002</v>
      </c>
      <c r="I7311">
        <v>25.184909999999999</v>
      </c>
      <c r="J7311">
        <v>-193.69149999999999</v>
      </c>
      <c r="K7311">
        <v>1.130836</v>
      </c>
      <c r="L7311">
        <v>-54.83484</v>
      </c>
      <c r="M7311">
        <v>0.68146189999999995</v>
      </c>
      <c r="N7311">
        <v>-1.475594E-2</v>
      </c>
      <c r="O7311">
        <v>0.73170480000000004</v>
      </c>
      <c r="P7311">
        <v>0.62992269999999995</v>
      </c>
      <c r="Q7311">
        <v>0.18168419999999999</v>
      </c>
      <c r="R7311">
        <v>0.75510809999999995</v>
      </c>
      <c r="S7311">
        <v>1.15303</v>
      </c>
      <c r="T7311">
        <v>6.4747100000000002E-2</v>
      </c>
      <c r="U7311">
        <v>3.002777</v>
      </c>
      <c r="V7311">
        <v>-5.8097860000000001E-2</v>
      </c>
      <c r="W7311">
        <v>0.1948868</v>
      </c>
      <c r="X7311">
        <v>0.97910359999999996</v>
      </c>
      <c r="Y7311">
        <v>-0.37408520000000001</v>
      </c>
      <c r="Z7311">
        <v>2.481179E-2</v>
      </c>
      <c r="AA7311">
        <v>0.92706239999999995</v>
      </c>
      <c r="AB7311">
        <v>32</v>
      </c>
      <c r="AC7311">
        <v>30.664599999999901</v>
      </c>
      <c r="AD7311">
        <v>1.728086</v>
      </c>
      <c r="AE7311">
        <v>80.019750000000002</v>
      </c>
      <c r="AF7311">
        <v>-32.083423820414602</v>
      </c>
      <c r="AG7311">
        <v>1.728086</v>
      </c>
      <c r="AH7311">
        <v>79.423945242873103</v>
      </c>
      <c r="AI7311">
        <v>88.844274358864695</v>
      </c>
      <c r="AJ7311">
        <v>111.996320491947</v>
      </c>
      <c r="AK7311">
        <v>85.676691364726807</v>
      </c>
      <c r="AL7311">
        <v>78.761889646582205</v>
      </c>
      <c r="AM7311">
        <v>93.395824078031296</v>
      </c>
      <c r="AN7311">
        <v>1.00000004284188</v>
      </c>
    </row>
    <row r="7312" spans="1:40" x14ac:dyDescent="0.25">
      <c r="A7312" t="str">
        <f>"20190303170430048"</f>
        <v>20190303170430048</v>
      </c>
      <c r="B7312" t="str">
        <f>"1551603870042425"</f>
        <v>1551603870042425</v>
      </c>
      <c r="C7312" t="s">
        <v>40</v>
      </c>
      <c r="D7312">
        <v>5.2475370000000003</v>
      </c>
      <c r="E7312">
        <v>0.373363</v>
      </c>
      <c r="F7312" t="s">
        <v>60</v>
      </c>
      <c r="G7312">
        <v>-163.29239999999999</v>
      </c>
      <c r="H7312">
        <v>2.803388</v>
      </c>
      <c r="I7312">
        <v>25.184909999999999</v>
      </c>
      <c r="J7312">
        <v>-193.58760000000001</v>
      </c>
      <c r="K7312">
        <v>1.1308260000000001</v>
      </c>
      <c r="L7312">
        <v>-54.715910000000001</v>
      </c>
      <c r="M7312">
        <v>0.67745449999999996</v>
      </c>
      <c r="N7312">
        <v>-1.475256E-2</v>
      </c>
      <c r="O7312">
        <v>0.73541669999999904</v>
      </c>
      <c r="P7312">
        <v>0.62626530000000002</v>
      </c>
      <c r="Q7312">
        <v>0.18146519999999999</v>
      </c>
      <c r="R7312">
        <v>0.75819669999999995</v>
      </c>
      <c r="S7312">
        <v>1.141724</v>
      </c>
      <c r="T7312">
        <v>6.2817449999999997E-2</v>
      </c>
      <c r="U7312">
        <v>3.0053709999999998</v>
      </c>
      <c r="V7312">
        <v>-5.7505920000000002E-2</v>
      </c>
      <c r="W7312">
        <v>0.19467960000000001</v>
      </c>
      <c r="X7312">
        <v>0.97917969999999999</v>
      </c>
      <c r="Y7312">
        <v>-0.37232470000000001</v>
      </c>
      <c r="Z7312">
        <v>2.45896E-2</v>
      </c>
      <c r="AA7312">
        <v>0.92777679999999996</v>
      </c>
      <c r="AB7312">
        <v>32</v>
      </c>
      <c r="AC7312">
        <v>30.295200000000001</v>
      </c>
      <c r="AD7312">
        <v>1.6725620000000001</v>
      </c>
      <c r="AE7312">
        <v>79.900819999999996</v>
      </c>
      <c r="AF7312">
        <v>-31.8408424705644</v>
      </c>
      <c r="AG7312">
        <v>1.6725620000000001</v>
      </c>
      <c r="AH7312">
        <v>79.262281173182402</v>
      </c>
      <c r="AI7312">
        <v>88.878248704308902</v>
      </c>
      <c r="AJ7312">
        <v>111.886065211312</v>
      </c>
      <c r="AK7312">
        <v>85.435039238334596</v>
      </c>
      <c r="AL7312">
        <v>78.773992457295293</v>
      </c>
      <c r="AM7312">
        <v>93.361044245080194</v>
      </c>
      <c r="AN7312">
        <v>0.99999998119164801</v>
      </c>
    </row>
    <row r="7313" spans="1:40" x14ac:dyDescent="0.25">
      <c r="A7313" t="str">
        <f>"20190303170430060"</f>
        <v>20190303170430060</v>
      </c>
      <c r="B7313" t="str">
        <f>"1551603870053162"</f>
        <v>1551603870053162</v>
      </c>
      <c r="C7313" t="s">
        <v>40</v>
      </c>
      <c r="D7313">
        <v>5.2369760000000003</v>
      </c>
      <c r="E7313">
        <v>0.37384810000000002</v>
      </c>
      <c r="F7313" t="s">
        <v>60</v>
      </c>
      <c r="G7313">
        <v>-163.55850000000001</v>
      </c>
      <c r="H7313">
        <v>2.7415579999999999</v>
      </c>
      <c r="I7313">
        <v>25.184909999999999</v>
      </c>
      <c r="J7313">
        <v>-193.48269999999999</v>
      </c>
      <c r="K7313">
        <v>1.130817</v>
      </c>
      <c r="L7313">
        <v>-54.594639999999998</v>
      </c>
      <c r="M7313">
        <v>0.67336359999999995</v>
      </c>
      <c r="N7313">
        <v>-1.474922E-2</v>
      </c>
      <c r="O7313">
        <v>0.7391643</v>
      </c>
      <c r="P7313">
        <v>0.62231780000000003</v>
      </c>
      <c r="Q7313">
        <v>0.1809463</v>
      </c>
      <c r="R7313">
        <v>0.76156349999999995</v>
      </c>
      <c r="S7313">
        <v>1.13063</v>
      </c>
      <c r="T7313">
        <v>6.0645940000000002E-2</v>
      </c>
      <c r="U7313">
        <v>3.008362</v>
      </c>
      <c r="V7313">
        <v>-5.7226100000000002E-2</v>
      </c>
      <c r="W7313">
        <v>0.19416649999999999</v>
      </c>
      <c r="X7313">
        <v>0.979298</v>
      </c>
      <c r="Y7313">
        <v>-0.37046869999999998</v>
      </c>
      <c r="Z7313">
        <v>2.4314760000000001E-2</v>
      </c>
      <c r="AA7313">
        <v>0.92852659999999998</v>
      </c>
      <c r="AB7313">
        <v>32</v>
      </c>
      <c r="AC7313">
        <v>29.9241999999999</v>
      </c>
      <c r="AD7313">
        <v>1.610741</v>
      </c>
      <c r="AE7313">
        <v>79.77955</v>
      </c>
      <c r="AF7313">
        <v>-31.593893216458799</v>
      </c>
      <c r="AG7313">
        <v>1.610741</v>
      </c>
      <c r="AH7313">
        <v>79.100404943785193</v>
      </c>
      <c r="AI7313">
        <v>88.916630924145295</v>
      </c>
      <c r="AJ7313">
        <v>111.772511912844</v>
      </c>
      <c r="AK7313">
        <v>85.191799120648199</v>
      </c>
      <c r="AL7313">
        <v>78.803963202061695</v>
      </c>
      <c r="AM7313">
        <v>93.344323718496597</v>
      </c>
      <c r="AN7313">
        <v>1.00000001452373</v>
      </c>
    </row>
    <row r="7314" spans="1:40" x14ac:dyDescent="0.25">
      <c r="A7314" t="str">
        <f>"20190303170430071"</f>
        <v>20190303170430071</v>
      </c>
      <c r="B7314" t="str">
        <f>"1551603870062922"</f>
        <v>1551603870062922</v>
      </c>
      <c r="C7314" t="s">
        <v>40</v>
      </c>
      <c r="D7314">
        <v>5.2390679999999996</v>
      </c>
      <c r="E7314">
        <v>0.37430859999999999</v>
      </c>
      <c r="F7314" t="s">
        <v>60</v>
      </c>
      <c r="G7314">
        <v>-163.87479999999999</v>
      </c>
      <c r="H7314">
        <v>2.6375139999999999</v>
      </c>
      <c r="I7314">
        <v>25.184909999999999</v>
      </c>
      <c r="J7314">
        <v>-193.38480000000001</v>
      </c>
      <c r="K7314">
        <v>1.1308069999999999</v>
      </c>
      <c r="L7314">
        <v>-54.480289999999997</v>
      </c>
      <c r="M7314">
        <v>0.66950399999999999</v>
      </c>
      <c r="N7314">
        <v>-1.4746159999999999E-2</v>
      </c>
      <c r="O7314">
        <v>0.74266209999999999</v>
      </c>
      <c r="P7314">
        <v>0.61870970000000003</v>
      </c>
      <c r="Q7314">
        <v>0.18032309999999999</v>
      </c>
      <c r="R7314">
        <v>0.76464489999999996</v>
      </c>
      <c r="S7314">
        <v>1.1179049999999999</v>
      </c>
      <c r="T7314">
        <v>5.6888340000000003E-2</v>
      </c>
      <c r="U7314">
        <v>3.012238</v>
      </c>
      <c r="V7314">
        <v>-5.6834339999999997E-2</v>
      </c>
      <c r="W7314">
        <v>0.1935528</v>
      </c>
      <c r="X7314">
        <v>0.97944229999999999</v>
      </c>
      <c r="Y7314">
        <v>-0.3694558</v>
      </c>
      <c r="Z7314">
        <v>2.3719190000000001E-2</v>
      </c>
      <c r="AA7314">
        <v>0.92894549999999998</v>
      </c>
      <c r="AB7314">
        <v>32</v>
      </c>
      <c r="AC7314">
        <v>29.51</v>
      </c>
      <c r="AD7314">
        <v>1.506707</v>
      </c>
      <c r="AE7314">
        <v>79.665199999999999</v>
      </c>
      <c r="AF7314">
        <v>-31.413746488141001</v>
      </c>
      <c r="AG7314">
        <v>1.506707</v>
      </c>
      <c r="AH7314">
        <v>78.9051489570641</v>
      </c>
      <c r="AI7314">
        <v>88.983628329189003</v>
      </c>
      <c r="AJ7314">
        <v>111.708508570566</v>
      </c>
      <c r="AK7314">
        <v>84.941839904381098</v>
      </c>
      <c r="AL7314">
        <v>78.839805682926794</v>
      </c>
      <c r="AM7314">
        <v>93.320992236497204</v>
      </c>
      <c r="AN7314">
        <v>1.00000002381018</v>
      </c>
    </row>
    <row r="7315" spans="1:40" x14ac:dyDescent="0.25">
      <c r="A7315" t="str">
        <f>"20190303170430082"</f>
        <v>20190303170430082</v>
      </c>
      <c r="B7315" t="str">
        <f>"1551603870072682"</f>
        <v>1551603870072682</v>
      </c>
      <c r="C7315" t="s">
        <v>40</v>
      </c>
      <c r="D7315">
        <v>5.2141999999999999</v>
      </c>
      <c r="E7315">
        <v>0.37472169999999999</v>
      </c>
      <c r="F7315" t="s">
        <v>60</v>
      </c>
      <c r="G7315">
        <v>-164.15790000000001</v>
      </c>
      <c r="H7315">
        <v>2.5280849999999999</v>
      </c>
      <c r="I7315">
        <v>25.184909999999999</v>
      </c>
      <c r="J7315">
        <v>-193.28530000000001</v>
      </c>
      <c r="K7315">
        <v>1.130795</v>
      </c>
      <c r="L7315">
        <v>-54.362670000000001</v>
      </c>
      <c r="M7315">
        <v>0.6655354</v>
      </c>
      <c r="N7315">
        <v>-1.474309E-2</v>
      </c>
      <c r="O7315">
        <v>0.74622060000000001</v>
      </c>
      <c r="P7315">
        <v>0.61498759999999997</v>
      </c>
      <c r="Q7315">
        <v>0.18046280000000001</v>
      </c>
      <c r="R7315">
        <v>0.76760890000000004</v>
      </c>
      <c r="S7315">
        <v>1.1063689999999999</v>
      </c>
      <c r="T7315">
        <v>5.2893280000000001E-2</v>
      </c>
      <c r="U7315">
        <v>3.0156860000000001</v>
      </c>
      <c r="V7315">
        <v>-5.6346930000000003E-2</v>
      </c>
      <c r="W7315">
        <v>0.1937015</v>
      </c>
      <c r="X7315">
        <v>0.97944100000000001</v>
      </c>
      <c r="Y7315">
        <v>-0.36796499999999999</v>
      </c>
      <c r="Z7315">
        <v>2.3068729999999999E-2</v>
      </c>
      <c r="AA7315">
        <v>0.92955339999999997</v>
      </c>
      <c r="AB7315">
        <v>32</v>
      </c>
      <c r="AC7315">
        <v>29.127399999999898</v>
      </c>
      <c r="AD7315">
        <v>1.3972899999999999</v>
      </c>
      <c r="AE7315">
        <v>79.547579999999996</v>
      </c>
      <c r="AF7315">
        <v>-31.201169150994499</v>
      </c>
      <c r="AG7315">
        <v>1.3972899999999999</v>
      </c>
      <c r="AH7315">
        <v>78.732500992492106</v>
      </c>
      <c r="AI7315">
        <v>89.054764635210503</v>
      </c>
      <c r="AJ7315">
        <v>111.618095184453</v>
      </c>
      <c r="AK7315">
        <v>84.701074894394694</v>
      </c>
      <c r="AL7315">
        <v>78.831120732043701</v>
      </c>
      <c r="AM7315">
        <v>93.292578774948296</v>
      </c>
      <c r="AN7315">
        <v>0.999999960051836</v>
      </c>
    </row>
    <row r="7316" spans="1:40" x14ac:dyDescent="0.25">
      <c r="A7316" t="str">
        <f>"20190303170430094"</f>
        <v>20190303170430094</v>
      </c>
      <c r="B7316" t="str">
        <f>"1551603870082442"</f>
        <v>1551603870082442</v>
      </c>
      <c r="C7316" t="s">
        <v>40</v>
      </c>
      <c r="D7316">
        <v>5.2276210000000001</v>
      </c>
      <c r="E7316">
        <v>0.37518829999999997</v>
      </c>
      <c r="F7316" t="s">
        <v>60</v>
      </c>
      <c r="G7316">
        <v>-164.45060000000001</v>
      </c>
      <c r="H7316">
        <v>2.4634510000000001</v>
      </c>
      <c r="I7316">
        <v>25.184909999999999</v>
      </c>
      <c r="J7316">
        <v>-193.18170000000001</v>
      </c>
      <c r="K7316">
        <v>1.130787</v>
      </c>
      <c r="L7316">
        <v>-54.239350000000002</v>
      </c>
      <c r="M7316">
        <v>0.66136499999999998</v>
      </c>
      <c r="N7316">
        <v>-1.473999E-2</v>
      </c>
      <c r="O7316">
        <v>0.74991940000000001</v>
      </c>
      <c r="P7316">
        <v>0.61077579999999998</v>
      </c>
      <c r="Q7316">
        <v>0.1804743</v>
      </c>
      <c r="R7316">
        <v>0.77096169999999997</v>
      </c>
      <c r="S7316">
        <v>1.094498</v>
      </c>
      <c r="T7316">
        <v>5.0584440000000001E-2</v>
      </c>
      <c r="U7316">
        <v>3.0194399999999999</v>
      </c>
      <c r="V7316">
        <v>-5.6243109999999999E-2</v>
      </c>
      <c r="W7316">
        <v>0.19371369999999999</v>
      </c>
      <c r="X7316">
        <v>0.9794446</v>
      </c>
      <c r="Y7316">
        <v>-0.36637429999999999</v>
      </c>
      <c r="Z7316">
        <v>2.2736949999999999E-2</v>
      </c>
      <c r="AA7316">
        <v>0.93018970000000001</v>
      </c>
      <c r="AB7316">
        <v>32</v>
      </c>
      <c r="AC7316">
        <v>28.731100000000001</v>
      </c>
      <c r="AD7316">
        <v>1.3326639999999901</v>
      </c>
      <c r="AE7316">
        <v>79.424260000000004</v>
      </c>
      <c r="AF7316">
        <v>-30.9780698922056</v>
      </c>
      <c r="AG7316">
        <v>1.3326639999999901</v>
      </c>
      <c r="AH7316">
        <v>78.552515611174101</v>
      </c>
      <c r="AI7316">
        <v>89.095812996614796</v>
      </c>
      <c r="AJ7316">
        <v>111.52235584378001</v>
      </c>
      <c r="AK7316">
        <v>84.450663208923501</v>
      </c>
      <c r="AL7316">
        <v>78.830408733640994</v>
      </c>
      <c r="AM7316">
        <v>93.286513410180802</v>
      </c>
      <c r="AN7316">
        <v>1.00000000472966</v>
      </c>
    </row>
    <row r="7317" spans="1:40" x14ac:dyDescent="0.25">
      <c r="A7317" t="str">
        <f>"20190303170430107"</f>
        <v>20190303170430107</v>
      </c>
      <c r="B7317" t="str">
        <f>"1551603870093178"</f>
        <v>1551603870093178</v>
      </c>
      <c r="C7317" t="s">
        <v>40</v>
      </c>
      <c r="D7317">
        <v>5.2313390000000002</v>
      </c>
      <c r="E7317">
        <v>0.37518829999999997</v>
      </c>
      <c r="F7317" t="s">
        <v>60</v>
      </c>
      <c r="G7317">
        <v>-164.77940000000001</v>
      </c>
      <c r="H7317">
        <v>2.3789349999999998</v>
      </c>
      <c r="I7317">
        <v>25.184899999999999</v>
      </c>
      <c r="J7317">
        <v>-193.0822</v>
      </c>
      <c r="K7317">
        <v>1.1307750000000001</v>
      </c>
      <c r="L7317">
        <v>-54.118589999999998</v>
      </c>
      <c r="M7317">
        <v>0.65729179999999998</v>
      </c>
      <c r="N7317">
        <v>-1.473702E-2</v>
      </c>
      <c r="O7317">
        <v>0.753492099999999</v>
      </c>
      <c r="P7317">
        <v>0.60658540000000005</v>
      </c>
      <c r="Q7317">
        <v>0.18055099999999999</v>
      </c>
      <c r="R7317">
        <v>0.77424510000000002</v>
      </c>
      <c r="S7317">
        <v>1.081223</v>
      </c>
      <c r="T7317">
        <v>4.7514559999999997E-2</v>
      </c>
      <c r="U7317">
        <v>3.0235289999999999</v>
      </c>
      <c r="V7317">
        <v>-5.6233379999999999E-2</v>
      </c>
      <c r="W7317">
        <v>0.1937885</v>
      </c>
      <c r="X7317">
        <v>0.97943040000000003</v>
      </c>
      <c r="Y7317">
        <v>-0.36534319999999998</v>
      </c>
      <c r="Z7317">
        <v>2.2245319999999999E-2</v>
      </c>
      <c r="AA7317">
        <v>0.93060710000000002</v>
      </c>
      <c r="AB7317">
        <v>32</v>
      </c>
      <c r="AC7317">
        <v>28.302799999999898</v>
      </c>
      <c r="AD7317">
        <v>1.2481599999999899</v>
      </c>
      <c r="AE7317">
        <v>79.303489999999996</v>
      </c>
      <c r="AF7317">
        <v>-30.7961751802351</v>
      </c>
      <c r="AG7317">
        <v>1.2481599999999899</v>
      </c>
      <c r="AH7317">
        <v>78.349044845288603</v>
      </c>
      <c r="AI7317">
        <v>89.150564212868602</v>
      </c>
      <c r="AJ7317">
        <v>111.457994277517</v>
      </c>
      <c r="AK7317">
        <v>84.193438801882706</v>
      </c>
      <c r="AL7317">
        <v>78.826040652298502</v>
      </c>
      <c r="AM7317">
        <v>93.285993628725294</v>
      </c>
      <c r="AN7317">
        <v>1.00000004210131</v>
      </c>
    </row>
    <row r="7318" spans="1:40" x14ac:dyDescent="0.25">
      <c r="A7318" t="str">
        <f>"20190303170430119"</f>
        <v>20190303170430119</v>
      </c>
      <c r="B7318" t="str">
        <f>"1551603870102938"</f>
        <v>1551603870102938</v>
      </c>
      <c r="C7318" t="s">
        <v>40</v>
      </c>
      <c r="D7318">
        <v>5.2472430000000001</v>
      </c>
      <c r="E7318">
        <v>0.381494</v>
      </c>
      <c r="F7318" t="s">
        <v>60</v>
      </c>
      <c r="G7318">
        <v>-165.19980000000001</v>
      </c>
      <c r="H7318">
        <v>2.3737400000000002</v>
      </c>
      <c r="I7318">
        <v>25.184899999999999</v>
      </c>
      <c r="J7318">
        <v>-192.95820000000001</v>
      </c>
      <c r="K7318">
        <v>1.1307640000000001</v>
      </c>
      <c r="L7318">
        <v>-53.967129999999997</v>
      </c>
      <c r="M7318">
        <v>0.65217080000000005</v>
      </c>
      <c r="N7318">
        <v>-1.4733420000000001E-2</v>
      </c>
      <c r="O7318">
        <v>0.75792890000000002</v>
      </c>
      <c r="P7318">
        <v>0.60115130000000006</v>
      </c>
      <c r="Q7318">
        <v>0.18062149999999999</v>
      </c>
      <c r="R7318">
        <v>0.77845549999999997</v>
      </c>
      <c r="S7318">
        <v>1.065048</v>
      </c>
      <c r="T7318">
        <v>4.7478800000000002E-2</v>
      </c>
      <c r="U7318">
        <v>3.029236</v>
      </c>
      <c r="V7318">
        <v>-5.6437689999999999E-2</v>
      </c>
      <c r="W7318">
        <v>0.1938522</v>
      </c>
      <c r="X7318">
        <v>0.979406</v>
      </c>
      <c r="Y7318">
        <v>-0.36400579999999999</v>
      </c>
      <c r="Z7318">
        <v>2.2366279999999999E-2</v>
      </c>
      <c r="AA7318">
        <v>0.93112810000000001</v>
      </c>
      <c r="AB7318">
        <v>32</v>
      </c>
      <c r="AC7318">
        <v>27.758399999999899</v>
      </c>
      <c r="AD7318">
        <v>1.2429760000000001</v>
      </c>
      <c r="AE7318">
        <v>79.152029999999996</v>
      </c>
      <c r="AF7318">
        <v>-30.578353361385201</v>
      </c>
      <c r="AG7318">
        <v>1.2429760000000001</v>
      </c>
      <c r="AH7318">
        <v>78.086157340723801</v>
      </c>
      <c r="AI7318">
        <v>89.150821072059699</v>
      </c>
      <c r="AJ7318">
        <v>111.385192819301</v>
      </c>
      <c r="AK7318">
        <v>83.869116198220397</v>
      </c>
      <c r="AL7318">
        <v>78.822319893371599</v>
      </c>
      <c r="AM7318">
        <v>93.297988144345197</v>
      </c>
      <c r="AN7318">
        <v>1.00000000056668</v>
      </c>
    </row>
    <row r="7319" spans="1:40" x14ac:dyDescent="0.25">
      <c r="A7319" t="str">
        <f>"20190303170430133"</f>
        <v>20190303170430133</v>
      </c>
      <c r="B7319" t="str">
        <f>"1551603870122458"</f>
        <v>1551603870122458</v>
      </c>
      <c r="C7319" t="s">
        <v>40</v>
      </c>
      <c r="D7319">
        <v>5.2185100000000002</v>
      </c>
      <c r="E7319">
        <v>0.38253860000000001</v>
      </c>
      <c r="F7319" t="s">
        <v>60</v>
      </c>
      <c r="G7319">
        <v>-164.42339999999999</v>
      </c>
      <c r="H7319">
        <v>1.5385310000000001</v>
      </c>
      <c r="I7319">
        <v>25.184909999999999</v>
      </c>
      <c r="J7319">
        <v>-192.84190000000001</v>
      </c>
      <c r="K7319">
        <v>1.130754</v>
      </c>
      <c r="L7319">
        <v>-53.823090000000001</v>
      </c>
      <c r="M7319">
        <v>0.64729789999999998</v>
      </c>
      <c r="N7319">
        <v>-1.4730139999999999E-2</v>
      </c>
      <c r="O7319">
        <v>0.76209479999999996</v>
      </c>
      <c r="P7319">
        <v>0.59606130000000002</v>
      </c>
      <c r="Q7319">
        <v>0.1807173</v>
      </c>
      <c r="R7319">
        <v>0.78233759999999997</v>
      </c>
      <c r="S7319">
        <v>1.0857540000000001</v>
      </c>
      <c r="T7319">
        <v>1.5515569999999999E-2</v>
      </c>
      <c r="U7319">
        <v>3.011749</v>
      </c>
      <c r="V7319">
        <v>-5.6528660000000001E-2</v>
      </c>
      <c r="W7319">
        <v>0.19394339999999999</v>
      </c>
      <c r="X7319">
        <v>0.97938270000000005</v>
      </c>
      <c r="Y7319">
        <v>-0.35054809999999997</v>
      </c>
      <c r="Z7319">
        <v>1.60784E-2</v>
      </c>
      <c r="AA7319">
        <v>0.93640670000000004</v>
      </c>
      <c r="AB7319">
        <v>32</v>
      </c>
      <c r="AC7319">
        <v>28.418500000000002</v>
      </c>
      <c r="AD7319">
        <v>0.407776999999999</v>
      </c>
      <c r="AE7319">
        <v>79.007999999999996</v>
      </c>
      <c r="AF7319">
        <v>-29.4866246512846</v>
      </c>
      <c r="AG7319">
        <v>0.407776999999999</v>
      </c>
      <c r="AH7319">
        <v>78.613495155262498</v>
      </c>
      <c r="AI7319">
        <v>89.721733149276901</v>
      </c>
      <c r="AJ7319">
        <v>110.560239304097</v>
      </c>
      <c r="AK7319">
        <v>83.962544839553004</v>
      </c>
      <c r="AL7319">
        <v>78.816993452398094</v>
      </c>
      <c r="AM7319">
        <v>93.303370710134502</v>
      </c>
      <c r="AN7319">
        <v>1.0000000024321201</v>
      </c>
    </row>
    <row r="7320" spans="1:40" x14ac:dyDescent="0.25">
      <c r="A7320" t="str">
        <f>"20190303170430151"</f>
        <v>20190303170430151</v>
      </c>
      <c r="B7320" t="str">
        <f>"1551603870142953"</f>
        <v>1551603870142953</v>
      </c>
      <c r="C7320" t="s">
        <v>40</v>
      </c>
      <c r="D7320">
        <v>5.2160310000000001</v>
      </c>
      <c r="E7320">
        <v>0.38378990000000002</v>
      </c>
      <c r="F7320" t="s">
        <v>60</v>
      </c>
      <c r="G7320">
        <v>-164.7106</v>
      </c>
      <c r="H7320">
        <v>1.345766</v>
      </c>
      <c r="I7320">
        <v>25.184899999999999</v>
      </c>
      <c r="J7320">
        <v>-192.67920000000001</v>
      </c>
      <c r="K7320">
        <v>1.1307419999999999</v>
      </c>
      <c r="L7320">
        <v>-53.618040000000001</v>
      </c>
      <c r="M7320">
        <v>0.64036289999999996</v>
      </c>
      <c r="N7320">
        <v>-1.472565E-2</v>
      </c>
      <c r="O7320">
        <v>0.76793129999999998</v>
      </c>
      <c r="P7320">
        <v>0.58875749999999905</v>
      </c>
      <c r="Q7320">
        <v>0.1803293</v>
      </c>
      <c r="R7320">
        <v>0.78793780000000002</v>
      </c>
      <c r="S7320">
        <v>1.0734709999999901</v>
      </c>
      <c r="T7320">
        <v>8.2046989999999993E-3</v>
      </c>
      <c r="U7320">
        <v>3.0148929999999998</v>
      </c>
      <c r="V7320">
        <v>-5.6803569999999998E-2</v>
      </c>
      <c r="W7320">
        <v>0.19354759999999999</v>
      </c>
      <c r="X7320">
        <v>0.97944509999999996</v>
      </c>
      <c r="Y7320">
        <v>-0.3457307</v>
      </c>
      <c r="Z7320">
        <v>1.466751E-2</v>
      </c>
      <c r="AA7320">
        <v>0.93821909999999997</v>
      </c>
      <c r="AB7320">
        <v>32</v>
      </c>
      <c r="AC7320">
        <v>27.968599999999999</v>
      </c>
      <c r="AD7320">
        <v>0.21502399999999999</v>
      </c>
      <c r="AE7320">
        <v>78.802940000000007</v>
      </c>
      <c r="AF7320">
        <v>-28.987467667754299</v>
      </c>
      <c r="AG7320">
        <v>0.21502399999999999</v>
      </c>
      <c r="AH7320">
        <v>78.433284943896894</v>
      </c>
      <c r="AI7320">
        <v>89.852664893494904</v>
      </c>
      <c r="AJ7320">
        <v>110.283364843269</v>
      </c>
      <c r="AK7320">
        <v>83.618776026680706</v>
      </c>
      <c r="AL7320">
        <v>78.8401092240005</v>
      </c>
      <c r="AM7320">
        <v>93.319188811300407</v>
      </c>
      <c r="AN7320">
        <v>1.00000001147225</v>
      </c>
    </row>
    <row r="7321" spans="1:40" x14ac:dyDescent="0.25">
      <c r="A7321" t="str">
        <f>"20190303170430174"</f>
        <v>20190303170430174</v>
      </c>
      <c r="B7321" t="str">
        <f>"1551603870162474"</f>
        <v>1551603870162474</v>
      </c>
      <c r="C7321" t="s">
        <v>40</v>
      </c>
      <c r="D7321">
        <v>5.2053539999999998</v>
      </c>
      <c r="E7321">
        <v>0.38406040000000002</v>
      </c>
      <c r="F7321" t="s">
        <v>60</v>
      </c>
      <c r="G7321">
        <v>-165.1815</v>
      </c>
      <c r="H7321">
        <v>1.163063</v>
      </c>
      <c r="I7321">
        <v>25.184899999999999</v>
      </c>
      <c r="J7321">
        <v>-192.49260000000001</v>
      </c>
      <c r="K7321">
        <v>1.130728</v>
      </c>
      <c r="L7321">
        <v>-53.378360000000001</v>
      </c>
      <c r="M7321">
        <v>0.63224480000000005</v>
      </c>
      <c r="N7321">
        <v>-1.472064E-2</v>
      </c>
      <c r="O7321">
        <v>0.77462880000000001</v>
      </c>
      <c r="P7321">
        <v>0.5800478</v>
      </c>
      <c r="Q7321">
        <v>0.17956720000000001</v>
      </c>
      <c r="R7321">
        <v>0.79454399999999903</v>
      </c>
      <c r="S7321">
        <v>1.0537259999999999</v>
      </c>
      <c r="T7321">
        <v>1.2385849999999999E-3</v>
      </c>
      <c r="U7321">
        <v>3.0197750000000001</v>
      </c>
      <c r="V7321">
        <v>-5.736219E-2</v>
      </c>
      <c r="W7321">
        <v>0.1927719</v>
      </c>
      <c r="X7321">
        <v>0.97956549999999998</v>
      </c>
      <c r="Y7321">
        <v>-0.34177410000000003</v>
      </c>
      <c r="Z7321">
        <v>1.3301159999999999E-2</v>
      </c>
      <c r="AA7321">
        <v>0.93968799999999997</v>
      </c>
      <c r="AB7321">
        <v>32</v>
      </c>
      <c r="AC7321">
        <v>27.3111</v>
      </c>
      <c r="AD7321">
        <v>3.2335000000000003E-2</v>
      </c>
      <c r="AE7321">
        <v>78.56326</v>
      </c>
      <c r="AF7321">
        <v>-28.518334306021298</v>
      </c>
      <c r="AG7321">
        <v>3.2335000000000003E-2</v>
      </c>
      <c r="AH7321">
        <v>78.133120520964894</v>
      </c>
      <c r="AI7321">
        <v>89.977725770574807</v>
      </c>
      <c r="AJ7321">
        <v>110.051917339856</v>
      </c>
      <c r="AK7321">
        <v>83.175002010735398</v>
      </c>
      <c r="AL7321">
        <v>78.885406475576104</v>
      </c>
      <c r="AM7321">
        <v>93.351345425395905</v>
      </c>
      <c r="AN7321">
        <v>0.99999999753072799</v>
      </c>
    </row>
    <row r="7322" spans="1:40" x14ac:dyDescent="0.25">
      <c r="A7322" t="str">
        <f>"20190303170430187"</f>
        <v>20190303170430187</v>
      </c>
      <c r="B7322" t="str">
        <f>"1551603870173212"</f>
        <v>1551603870173212</v>
      </c>
      <c r="C7322" t="s">
        <v>40</v>
      </c>
      <c r="D7322">
        <v>5.1667040000000002</v>
      </c>
      <c r="E7322">
        <v>0.38442749999999998</v>
      </c>
      <c r="F7322" t="s">
        <v>60</v>
      </c>
      <c r="G7322">
        <v>-165.9853</v>
      </c>
      <c r="H7322">
        <v>1.026699</v>
      </c>
      <c r="I7322">
        <v>25.184889999999999</v>
      </c>
      <c r="J7322">
        <v>-192.381</v>
      </c>
      <c r="K7322">
        <v>1.1307199999999999</v>
      </c>
      <c r="L7322">
        <v>-53.231990000000003</v>
      </c>
      <c r="M7322">
        <v>0.6272896</v>
      </c>
      <c r="N7322">
        <v>-1.47178E-2</v>
      </c>
      <c r="O7322">
        <v>0.77864690000000003</v>
      </c>
      <c r="P7322">
        <v>0.57471070000000002</v>
      </c>
      <c r="Q7322">
        <v>0.179312</v>
      </c>
      <c r="R7322">
        <v>0.79847029999999997</v>
      </c>
      <c r="S7322">
        <v>1.0224150000000001</v>
      </c>
      <c r="T7322">
        <v>-4.0125849999999999E-3</v>
      </c>
      <c r="U7322">
        <v>3.0302730000000002</v>
      </c>
      <c r="V7322">
        <v>-5.7702940000000001E-2</v>
      </c>
      <c r="W7322">
        <v>0.1925076</v>
      </c>
      <c r="X7322">
        <v>0.97959739999999995</v>
      </c>
      <c r="Y7322">
        <v>-0.34546739999999998</v>
      </c>
      <c r="Z7322">
        <v>1.227019E-2</v>
      </c>
      <c r="AA7322">
        <v>0.93835060000000003</v>
      </c>
      <c r="AB7322">
        <v>32</v>
      </c>
      <c r="AC7322">
        <v>26.395699999999898</v>
      </c>
      <c r="AD7322">
        <v>-0.104021</v>
      </c>
      <c r="AE7322">
        <v>78.416880000000006</v>
      </c>
      <c r="AF7322">
        <v>-28.6402222840115</v>
      </c>
      <c r="AG7322">
        <v>-0.104021</v>
      </c>
      <c r="AH7322">
        <v>77.625099512085896</v>
      </c>
      <c r="AI7322">
        <v>90.0720323475539</v>
      </c>
      <c r="AJ7322">
        <v>110.251826349854</v>
      </c>
      <c r="AK7322">
        <v>82.740130693075798</v>
      </c>
      <c r="AL7322">
        <v>78.9008381098634</v>
      </c>
      <c r="AM7322">
        <v>93.371098194420298</v>
      </c>
      <c r="AN7322">
        <v>0.99999993571457901</v>
      </c>
    </row>
    <row r="7323" spans="1:40" x14ac:dyDescent="0.25">
      <c r="A7323" t="str">
        <f>"20190303170430206"</f>
        <v>20190303170430206</v>
      </c>
      <c r="B7323" t="str">
        <f>"1551603870192730"</f>
        <v>1551603870192730</v>
      </c>
      <c r="C7323" t="s">
        <v>40</v>
      </c>
      <c r="D7323">
        <v>5.1737900000000003</v>
      </c>
      <c r="E7323">
        <v>0.3896095</v>
      </c>
      <c r="F7323" t="s">
        <v>60</v>
      </c>
      <c r="G7323">
        <v>-166.65119999999999</v>
      </c>
      <c r="H7323">
        <v>0.92462840000000002</v>
      </c>
      <c r="I7323">
        <v>24.492059999999999</v>
      </c>
      <c r="J7323">
        <v>-192.2225</v>
      </c>
      <c r="K7323">
        <v>1.130714</v>
      </c>
      <c r="L7323">
        <v>-53.021210000000004</v>
      </c>
      <c r="M7323">
        <v>0.62013699999999905</v>
      </c>
      <c r="N7323">
        <v>-1.4714090000000001E-2</v>
      </c>
      <c r="O7323">
        <v>0.78435549999999998</v>
      </c>
      <c r="P7323">
        <v>0.56661240000000002</v>
      </c>
      <c r="Q7323">
        <v>0.18005289999999999</v>
      </c>
      <c r="R7323">
        <v>0.80407169999999994</v>
      </c>
      <c r="S7323">
        <v>1.004929</v>
      </c>
      <c r="T7323">
        <v>-8.0493690000000007E-3</v>
      </c>
      <c r="U7323">
        <v>3.0356749999999999</v>
      </c>
      <c r="V7323">
        <v>-5.8547439999999999E-2</v>
      </c>
      <c r="W7323">
        <v>0.19322520000000001</v>
      </c>
      <c r="X7323">
        <v>0.97940609999999995</v>
      </c>
      <c r="Y7323">
        <v>-0.34223799999999999</v>
      </c>
      <c r="Z7323">
        <v>1.1453680000000001E-2</v>
      </c>
      <c r="AA7323">
        <v>0.93954349999999998</v>
      </c>
      <c r="AB7323">
        <v>32</v>
      </c>
      <c r="AC7323">
        <v>25.571300000000001</v>
      </c>
      <c r="AD7323">
        <v>-0.20608560000000001</v>
      </c>
      <c r="AE7323">
        <v>77.513269999999906</v>
      </c>
      <c r="AF7323">
        <v>-28.0147118164736</v>
      </c>
      <c r="AG7323">
        <v>-0.20608560000000001</v>
      </c>
      <c r="AH7323">
        <v>76.663481462075694</v>
      </c>
      <c r="AI7323">
        <v>90.144664957539902</v>
      </c>
      <c r="AJ7323">
        <v>110.073540211104</v>
      </c>
      <c r="AK7323">
        <v>81.622030967874196</v>
      </c>
      <c r="AL7323">
        <v>78.858937172160594</v>
      </c>
      <c r="AM7323">
        <v>93.420985429609999</v>
      </c>
      <c r="AN7323">
        <v>1.0000000446813999</v>
      </c>
    </row>
    <row r="7324" spans="1:40" x14ac:dyDescent="0.25">
      <c r="A7324" t="str">
        <f>"20190303170430219"</f>
        <v>20190303170430219</v>
      </c>
      <c r="B7324" t="str">
        <f>"1551603870213226"</f>
        <v>1551603870213226</v>
      </c>
      <c r="C7324" t="s">
        <v>40</v>
      </c>
      <c r="D7324">
        <v>5.1778259999999996</v>
      </c>
      <c r="E7324">
        <v>0.39104179999999999</v>
      </c>
      <c r="F7324" t="s">
        <v>60</v>
      </c>
      <c r="G7324">
        <v>-166.12799999999999</v>
      </c>
      <c r="H7324">
        <v>0.3151332</v>
      </c>
      <c r="I7324">
        <v>25.184889999999999</v>
      </c>
      <c r="J7324">
        <v>-192.11279999999999</v>
      </c>
      <c r="K7324">
        <v>1.1307119999999999</v>
      </c>
      <c r="L7324">
        <v>-52.873170000000002</v>
      </c>
      <c r="M7324">
        <v>0.61510509999999996</v>
      </c>
      <c r="N7324">
        <v>-1.471183E-2</v>
      </c>
      <c r="O7324">
        <v>0.7883078</v>
      </c>
      <c r="P7324">
        <v>0.56100059999999996</v>
      </c>
      <c r="Q7324">
        <v>0.18091019999999999</v>
      </c>
      <c r="R7324">
        <v>0.80780560000000001</v>
      </c>
      <c r="S7324">
        <v>1.009827</v>
      </c>
      <c r="T7324">
        <v>-3.1562090000000001E-2</v>
      </c>
      <c r="U7324">
        <v>3.0264890000000002</v>
      </c>
      <c r="V7324">
        <v>-5.8999330000000003E-2</v>
      </c>
      <c r="W7324">
        <v>0.19406780000000001</v>
      </c>
      <c r="X7324">
        <v>0.97921230000000004</v>
      </c>
      <c r="Y7324">
        <v>-0.3339549</v>
      </c>
      <c r="Z7324">
        <v>6.4024440000000002E-3</v>
      </c>
      <c r="AA7324">
        <v>0.9425673</v>
      </c>
      <c r="AB7324">
        <v>31</v>
      </c>
      <c r="AC7324">
        <v>25.9848</v>
      </c>
      <c r="AD7324">
        <v>-0.81557880000000005</v>
      </c>
      <c r="AE7324">
        <v>78.058059999999998</v>
      </c>
      <c r="AF7324">
        <v>-27.530165670367399</v>
      </c>
      <c r="AG7324">
        <v>-0.81557880000000005</v>
      </c>
      <c r="AH7324">
        <v>77.517935980619299</v>
      </c>
      <c r="AI7324">
        <v>90.568039001039395</v>
      </c>
      <c r="AJ7324">
        <v>109.552278319115</v>
      </c>
      <c r="AK7324">
        <v>82.265458056904293</v>
      </c>
      <c r="AL7324">
        <v>78.809727561413595</v>
      </c>
      <c r="AM7324">
        <v>93.448007007657097</v>
      </c>
      <c r="AN7324">
        <v>0.99999998020428904</v>
      </c>
    </row>
    <row r="7325" spans="1:40" x14ac:dyDescent="0.25">
      <c r="A7325" t="str">
        <f>"20190303170430229"</f>
        <v>20190303170430229</v>
      </c>
      <c r="B7325" t="str">
        <f>"1551603870222986"</f>
        <v>1551603870222986</v>
      </c>
      <c r="C7325" t="s">
        <v>40</v>
      </c>
      <c r="D7325">
        <v>5.1864509999999999</v>
      </c>
      <c r="E7325">
        <v>0.39158349999999997</v>
      </c>
      <c r="F7325" t="s">
        <v>60</v>
      </c>
      <c r="G7325">
        <v>-166.59719999999999</v>
      </c>
      <c r="H7325">
        <v>0.20107949999999999</v>
      </c>
      <c r="I7325">
        <v>24.492059999999999</v>
      </c>
      <c r="J7325">
        <v>-192.0232</v>
      </c>
      <c r="K7325">
        <v>1.1307160000000001</v>
      </c>
      <c r="L7325">
        <v>-52.750489999999999</v>
      </c>
      <c r="M7325">
        <v>0.61093039999999998</v>
      </c>
      <c r="N7325">
        <v>-1.4710340000000001E-2</v>
      </c>
      <c r="O7325">
        <v>0.79154769999999997</v>
      </c>
      <c r="P7325">
        <v>0.55667509999999998</v>
      </c>
      <c r="Q7325">
        <v>0.1817097</v>
      </c>
      <c r="R7325">
        <v>0.81061359999999905</v>
      </c>
      <c r="S7325">
        <v>0.99874879999999999</v>
      </c>
      <c r="T7325">
        <v>-3.6388400000000001E-2</v>
      </c>
      <c r="U7325">
        <v>3.0282900000000001</v>
      </c>
      <c r="V7325">
        <v>-5.8965070000000001E-2</v>
      </c>
      <c r="W7325">
        <v>0.19486529999999999</v>
      </c>
      <c r="X7325">
        <v>0.97905600000000004</v>
      </c>
      <c r="Y7325">
        <v>-0.33224100000000001</v>
      </c>
      <c r="Z7325">
        <v>5.3412709999999999E-3</v>
      </c>
      <c r="AA7325">
        <v>0.9431794</v>
      </c>
      <c r="AB7325">
        <v>31</v>
      </c>
      <c r="AC7325">
        <v>25.425999999999998</v>
      </c>
      <c r="AD7325">
        <v>-0.92963649999999998</v>
      </c>
      <c r="AE7325">
        <v>77.242549999999994</v>
      </c>
      <c r="AF7325">
        <v>-27.063320539851802</v>
      </c>
      <c r="AG7325">
        <v>-0.92963649999999998</v>
      </c>
      <c r="AH7325">
        <v>76.6729520664679</v>
      </c>
      <c r="AI7325">
        <v>90.655055174607398</v>
      </c>
      <c r="AJ7325">
        <v>109.441548966177</v>
      </c>
      <c r="AK7325">
        <v>81.314384467028802</v>
      </c>
      <c r="AL7325">
        <v>78.763145186811997</v>
      </c>
      <c r="AM7325">
        <v>93.4465584368116</v>
      </c>
      <c r="AN7325">
        <v>1.0000000078800899</v>
      </c>
    </row>
    <row r="7326" spans="1:40" x14ac:dyDescent="0.25">
      <c r="A7326" t="str">
        <f>"20190303170430241"</f>
        <v>20190303170430241</v>
      </c>
      <c r="B7326" t="str">
        <f>"1551603870232746"</f>
        <v>1551603870232746</v>
      </c>
      <c r="C7326" t="s">
        <v>40</v>
      </c>
      <c r="D7326">
        <v>5.1886850000000004</v>
      </c>
      <c r="E7326">
        <v>0.39172970000000001</v>
      </c>
      <c r="F7326" t="s">
        <v>60</v>
      </c>
      <c r="G7326">
        <v>-166.8937</v>
      </c>
      <c r="H7326">
        <v>0.17241300000000001</v>
      </c>
      <c r="I7326">
        <v>24.492049999999999</v>
      </c>
      <c r="J7326">
        <v>-191.93100000000001</v>
      </c>
      <c r="K7326">
        <v>1.1307240000000001</v>
      </c>
      <c r="L7326">
        <v>-52.622860000000003</v>
      </c>
      <c r="M7326">
        <v>0.60657969999999894</v>
      </c>
      <c r="N7326">
        <v>-1.4709089999999999E-2</v>
      </c>
      <c r="O7326">
        <v>0.7948866</v>
      </c>
      <c r="P7326">
        <v>0.55199010000000004</v>
      </c>
      <c r="Q7326">
        <v>0.18263450000000001</v>
      </c>
      <c r="R7326">
        <v>0.81360410000000005</v>
      </c>
      <c r="S7326">
        <v>0.98638919999999997</v>
      </c>
      <c r="T7326">
        <v>-3.7615660000000002E-2</v>
      </c>
      <c r="U7326">
        <v>3.031952</v>
      </c>
      <c r="V7326">
        <v>-5.9138459999999997E-2</v>
      </c>
      <c r="W7326">
        <v>0.19578229999999999</v>
      </c>
      <c r="X7326">
        <v>0.97886260000000003</v>
      </c>
      <c r="Y7326">
        <v>-0.33087759999999999</v>
      </c>
      <c r="Z7326">
        <v>5.0528309999999998E-3</v>
      </c>
      <c r="AA7326">
        <v>0.9436601</v>
      </c>
      <c r="AB7326">
        <v>31</v>
      </c>
      <c r="AC7326">
        <v>25.037299999999899</v>
      </c>
      <c r="AD7326">
        <v>-0.95831100000000002</v>
      </c>
      <c r="AE7326">
        <v>77.114909999999995</v>
      </c>
      <c r="AF7326">
        <v>-26.873678088962201</v>
      </c>
      <c r="AG7326">
        <v>-0.95831100000000002</v>
      </c>
      <c r="AH7326">
        <v>76.4823170834255</v>
      </c>
      <c r="AI7326">
        <v>90.677280715935396</v>
      </c>
      <c r="AJ7326">
        <v>109.360002819749</v>
      </c>
      <c r="AK7326">
        <v>81.071929546863103</v>
      </c>
      <c r="AL7326">
        <v>78.709573323855693</v>
      </c>
      <c r="AM7326">
        <v>93.4573499905609</v>
      </c>
      <c r="AN7326">
        <v>1.0000000280616099</v>
      </c>
    </row>
    <row r="7327" spans="1:40" x14ac:dyDescent="0.25">
      <c r="A7327" t="str">
        <f>"20190303170430251"</f>
        <v>20190303170430251</v>
      </c>
      <c r="B7327" t="str">
        <f>"1551603870242506"</f>
        <v>1551603870242506</v>
      </c>
      <c r="C7327" t="s">
        <v>40</v>
      </c>
      <c r="D7327">
        <v>5.1949990000000001</v>
      </c>
      <c r="E7327">
        <v>0.3918374</v>
      </c>
      <c r="F7327" t="s">
        <v>60</v>
      </c>
      <c r="G7327">
        <v>-167.2996</v>
      </c>
      <c r="H7327">
        <v>0.33420569999999999</v>
      </c>
      <c r="I7327">
        <v>24.492049999999999</v>
      </c>
      <c r="J7327">
        <v>-191.8424</v>
      </c>
      <c r="K7327">
        <v>1.1307259999999999</v>
      </c>
      <c r="L7327">
        <v>-52.499020000000002</v>
      </c>
      <c r="M7327">
        <v>0.60235000000000005</v>
      </c>
      <c r="N7327">
        <v>-1.470811E-2</v>
      </c>
      <c r="O7327">
        <v>0.79809659999999905</v>
      </c>
      <c r="P7327">
        <v>0.54740979999999995</v>
      </c>
      <c r="Q7327">
        <v>0.18304519999999999</v>
      </c>
      <c r="R7327">
        <v>0.81660089999999996</v>
      </c>
      <c r="S7327">
        <v>0.96983339999999996</v>
      </c>
      <c r="T7327">
        <v>-3.1362059999999997E-2</v>
      </c>
      <c r="U7327">
        <v>3.0363159999999998</v>
      </c>
      <c r="V7327">
        <v>-5.9394500000000003E-2</v>
      </c>
      <c r="W7327">
        <v>0.19618540000000001</v>
      </c>
      <c r="X7327">
        <v>0.97876640000000004</v>
      </c>
      <c r="Y7327">
        <v>-0.3309357</v>
      </c>
      <c r="Z7327">
        <v>6.4049129999999999E-3</v>
      </c>
      <c r="AA7327">
        <v>0.94363160000000001</v>
      </c>
      <c r="AB7327">
        <v>31</v>
      </c>
      <c r="AC7327">
        <v>24.5428</v>
      </c>
      <c r="AD7327">
        <v>-0.79652029999999996</v>
      </c>
      <c r="AE7327">
        <v>76.991069999999993</v>
      </c>
      <c r="AF7327">
        <v>-26.788340580783</v>
      </c>
      <c r="AG7327">
        <v>-0.79652029999999996</v>
      </c>
      <c r="AH7327">
        <v>76.230505680061995</v>
      </c>
      <c r="AI7327">
        <v>90.564796354381897</v>
      </c>
      <c r="AJ7327">
        <v>109.362104668405</v>
      </c>
      <c r="AK7327">
        <v>80.804329289328905</v>
      </c>
      <c r="AL7327">
        <v>78.686020798691303</v>
      </c>
      <c r="AM7327">
        <v>93.472622490039299</v>
      </c>
      <c r="AN7327">
        <v>1.0000000417861801</v>
      </c>
    </row>
    <row r="7328" spans="1:40" x14ac:dyDescent="0.25">
      <c r="A7328" t="str">
        <f>"20190303170430263"</f>
        <v>20190303170430263</v>
      </c>
      <c r="B7328" t="str">
        <f>"1551603870253241"</f>
        <v>1551603870253241</v>
      </c>
      <c r="C7328" t="s">
        <v>40</v>
      </c>
      <c r="D7328">
        <v>5.1884399999999999</v>
      </c>
      <c r="E7328">
        <v>0.39206429999999998</v>
      </c>
      <c r="F7328" t="s">
        <v>60</v>
      </c>
      <c r="G7328">
        <v>-167.7073</v>
      </c>
      <c r="H7328">
        <v>0.36425220000000003</v>
      </c>
      <c r="I7328">
        <v>24.492049999999999</v>
      </c>
      <c r="J7328">
        <v>-191.75399999999999</v>
      </c>
      <c r="K7328">
        <v>1.1307309999999999</v>
      </c>
      <c r="L7328">
        <v>-52.373570000000001</v>
      </c>
      <c r="M7328">
        <v>0.598056699999999</v>
      </c>
      <c r="N7328">
        <v>-1.4707649999999999E-2</v>
      </c>
      <c r="O7328">
        <v>0.80131889999999995</v>
      </c>
      <c r="P7328">
        <v>0.54270050000000003</v>
      </c>
      <c r="Q7328">
        <v>0.18300179999999999</v>
      </c>
      <c r="R7328">
        <v>0.81974789999999997</v>
      </c>
      <c r="S7328">
        <v>0.95343020000000001</v>
      </c>
      <c r="T7328">
        <v>-3.0278679999999999E-2</v>
      </c>
      <c r="U7328">
        <v>3.0414430000000001</v>
      </c>
      <c r="V7328">
        <v>-5.9781580000000001E-2</v>
      </c>
      <c r="W7328">
        <v>0.1961321</v>
      </c>
      <c r="X7328">
        <v>0.9787534</v>
      </c>
      <c r="Y7328">
        <v>-0.3309589</v>
      </c>
      <c r="Z7328">
        <v>6.6400410000000002E-3</v>
      </c>
      <c r="AA7328">
        <v>0.94362179999999996</v>
      </c>
      <c r="AB7328">
        <v>31</v>
      </c>
      <c r="AC7328">
        <v>24.046700000000001</v>
      </c>
      <c r="AD7328">
        <v>-0.76647880000000002</v>
      </c>
      <c r="AE7328">
        <v>76.865619999999893</v>
      </c>
      <c r="AF7328">
        <v>-26.7013923899333</v>
      </c>
      <c r="AG7328">
        <v>-0.76647880000000002</v>
      </c>
      <c r="AH7328">
        <v>75.976497309493297</v>
      </c>
      <c r="AI7328">
        <v>90.545307579163307</v>
      </c>
      <c r="AJ7328">
        <v>109.36365754373701</v>
      </c>
      <c r="AK7328">
        <v>80.535582128221293</v>
      </c>
      <c r="AL7328">
        <v>78.689133864943003</v>
      </c>
      <c r="AM7328">
        <v>93.495244309642004</v>
      </c>
      <c r="AN7328">
        <v>0.99999992798463</v>
      </c>
    </row>
    <row r="7329" spans="1:40" x14ac:dyDescent="0.25">
      <c r="A7329" t="str">
        <f>"20190303170430275"</f>
        <v>20190303170430275</v>
      </c>
      <c r="B7329" t="str">
        <f>"1551603870263002"</f>
        <v>1551603870263002</v>
      </c>
      <c r="C7329" t="s">
        <v>40</v>
      </c>
      <c r="D7329">
        <v>5.1637329999999997</v>
      </c>
      <c r="E7329">
        <v>0.39237309999999997</v>
      </c>
      <c r="F7329" t="s">
        <v>60</v>
      </c>
      <c r="G7329">
        <v>-168.09520000000001</v>
      </c>
      <c r="H7329">
        <v>0.34165770000000001</v>
      </c>
      <c r="I7329">
        <v>24.492049999999999</v>
      </c>
      <c r="J7329">
        <v>-191.6574</v>
      </c>
      <c r="K7329">
        <v>1.130744</v>
      </c>
      <c r="L7329">
        <v>-52.235570000000003</v>
      </c>
      <c r="M7329">
        <v>0.59331769999999995</v>
      </c>
      <c r="N7329">
        <v>-1.4707299999999901E-2</v>
      </c>
      <c r="O7329">
        <v>0.8048341</v>
      </c>
      <c r="P7329">
        <v>0.53737550000000001</v>
      </c>
      <c r="Q7329">
        <v>0.18245739999999999</v>
      </c>
      <c r="R7329">
        <v>0.82336929999999997</v>
      </c>
      <c r="S7329">
        <v>0.93753050000000004</v>
      </c>
      <c r="T7329">
        <v>-3.126872E-2</v>
      </c>
      <c r="U7329">
        <v>3.0459589999999999</v>
      </c>
      <c r="V7329">
        <v>-6.0414299999999997E-2</v>
      </c>
      <c r="W7329">
        <v>0.19557289999999999</v>
      </c>
      <c r="X7329">
        <v>0.97882650000000004</v>
      </c>
      <c r="Y7329">
        <v>-0.3302813</v>
      </c>
      <c r="Z7329">
        <v>6.4136459999999899E-3</v>
      </c>
      <c r="AA7329">
        <v>0.94386080000000006</v>
      </c>
      <c r="AB7329">
        <v>31</v>
      </c>
      <c r="AC7329">
        <v>23.562199999999901</v>
      </c>
      <c r="AD7329">
        <v>-0.78908629999999902</v>
      </c>
      <c r="AE7329">
        <v>76.727620000000002</v>
      </c>
      <c r="AF7329">
        <v>-26.560497221914201</v>
      </c>
      <c r="AG7329">
        <v>-0.78908629999999902</v>
      </c>
      <c r="AH7329">
        <v>75.733742764833707</v>
      </c>
      <c r="AI7329">
        <v>90.563319099090805</v>
      </c>
      <c r="AJ7329">
        <v>109.326222341521</v>
      </c>
      <c r="AK7329">
        <v>80.260092592982801</v>
      </c>
      <c r="AL7329">
        <v>78.721807042219893</v>
      </c>
      <c r="AM7329">
        <v>93.531881209481</v>
      </c>
      <c r="AN7329">
        <v>0.99999998198057405</v>
      </c>
    </row>
    <row r="7330" spans="1:40" x14ac:dyDescent="0.25">
      <c r="A7330" t="str">
        <f>"20190303170430288"</f>
        <v>20190303170430288</v>
      </c>
      <c r="B7330" t="str">
        <f>"1551603870282521"</f>
        <v>1551603870282521</v>
      </c>
      <c r="C7330" t="s">
        <v>40</v>
      </c>
      <c r="D7330">
        <v>5.1553709999999997</v>
      </c>
      <c r="E7330">
        <v>0.39327790000000001</v>
      </c>
      <c r="F7330" t="s">
        <v>60</v>
      </c>
      <c r="G7330">
        <v>-168.5204</v>
      </c>
      <c r="H7330">
        <v>0.24615680000000001</v>
      </c>
      <c r="I7330">
        <v>24.492039999999999</v>
      </c>
      <c r="J7330">
        <v>-191.55789999999999</v>
      </c>
      <c r="K7330">
        <v>1.130752</v>
      </c>
      <c r="L7330">
        <v>-52.09064</v>
      </c>
      <c r="M7330">
        <v>0.58832910000000005</v>
      </c>
      <c r="N7330">
        <v>-1.4707909999999999E-2</v>
      </c>
      <c r="O7330">
        <v>0.80848790000000004</v>
      </c>
      <c r="P7330">
        <v>0.53167619999999904</v>
      </c>
      <c r="Q7330">
        <v>0.18177080000000001</v>
      </c>
      <c r="R7330">
        <v>0.82721219999999995</v>
      </c>
      <c r="S7330">
        <v>0.91999819999999999</v>
      </c>
      <c r="T7330">
        <v>-3.5174009999999999E-2</v>
      </c>
      <c r="U7330">
        <v>3.0509339999999998</v>
      </c>
      <c r="V7330">
        <v>-6.120155E-2</v>
      </c>
      <c r="W7330">
        <v>0.19486899999999999</v>
      </c>
      <c r="X7330">
        <v>0.97891799999999995</v>
      </c>
      <c r="Y7330">
        <v>-0.3298355</v>
      </c>
      <c r="Z7330">
        <v>5.5385540000000002E-3</v>
      </c>
      <c r="AA7330">
        <v>0.94402220000000003</v>
      </c>
      <c r="AB7330">
        <v>31</v>
      </c>
      <c r="AC7330">
        <v>23.037499999999898</v>
      </c>
      <c r="AD7330">
        <v>-0.88459519999999903</v>
      </c>
      <c r="AE7330">
        <v>76.582679999999996</v>
      </c>
      <c r="AF7330">
        <v>-26.429902879793499</v>
      </c>
      <c r="AG7330">
        <v>-0.88459519999999903</v>
      </c>
      <c r="AH7330">
        <v>75.468727204288996</v>
      </c>
      <c r="AI7330">
        <v>90.633812574895003</v>
      </c>
      <c r="AJ7330">
        <v>109.300764499159</v>
      </c>
      <c r="AK7330">
        <v>79.967812654458399</v>
      </c>
      <c r="AL7330">
        <v>78.762929002587697</v>
      </c>
      <c r="AM7330">
        <v>93.577452313729694</v>
      </c>
      <c r="AN7330">
        <v>1.0000000038037</v>
      </c>
    </row>
    <row r="7331" spans="1:40" x14ac:dyDescent="0.25">
      <c r="A7331" t="str">
        <f>"20190303170430301"</f>
        <v>20190303170430301</v>
      </c>
      <c r="B7331" t="str">
        <f>"1551603870293258"</f>
        <v>1551603870293258</v>
      </c>
      <c r="C7331" t="s">
        <v>40</v>
      </c>
      <c r="D7331">
        <v>5.1645830000000004</v>
      </c>
      <c r="E7331">
        <v>0.39327790000000001</v>
      </c>
      <c r="F7331" t="s">
        <v>60</v>
      </c>
      <c r="G7331">
        <v>-168.8622</v>
      </c>
      <c r="H7331">
        <v>7.1989150000000002E-2</v>
      </c>
      <c r="I7331">
        <v>24.492039999999999</v>
      </c>
      <c r="J7331">
        <v>-191.46039999999999</v>
      </c>
      <c r="K7331">
        <v>1.1307590000000001</v>
      </c>
      <c r="L7331">
        <v>-51.94708</v>
      </c>
      <c r="M7331">
        <v>0.58336909999999997</v>
      </c>
      <c r="N7331">
        <v>-1.4708840000000001E-2</v>
      </c>
      <c r="O7331">
        <v>0.81207399999999996</v>
      </c>
      <c r="P7331">
        <v>0.52646649999999995</v>
      </c>
      <c r="Q7331">
        <v>0.18090039999999999</v>
      </c>
      <c r="R7331">
        <v>0.83072749999999995</v>
      </c>
      <c r="S7331">
        <v>0.90512079999999995</v>
      </c>
      <c r="T7331">
        <v>-4.2224169999999998E-2</v>
      </c>
      <c r="U7331">
        <v>3.0541689999999999</v>
      </c>
      <c r="V7331">
        <v>-6.1459809999999997E-2</v>
      </c>
      <c r="W7331">
        <v>0.19399440000000001</v>
      </c>
      <c r="X7331">
        <v>0.97907560000000005</v>
      </c>
      <c r="Y7331">
        <v>-0.3285457</v>
      </c>
      <c r="Z7331">
        <v>3.9383719999999999E-3</v>
      </c>
      <c r="AA7331">
        <v>0.94447979999999998</v>
      </c>
      <c r="AB7331">
        <v>31</v>
      </c>
      <c r="AC7331">
        <v>22.598199999999899</v>
      </c>
      <c r="AD7331">
        <v>-1.05876985</v>
      </c>
      <c r="AE7331">
        <v>76.439119999999903</v>
      </c>
      <c r="AF7331">
        <v>-26.239019077227301</v>
      </c>
      <c r="AG7331">
        <v>-1.05876985</v>
      </c>
      <c r="AH7331">
        <v>75.252177333901997</v>
      </c>
      <c r="AI7331">
        <v>90.761140317306896</v>
      </c>
      <c r="AJ7331">
        <v>109.2227027518</v>
      </c>
      <c r="AK7331">
        <v>79.702555223928698</v>
      </c>
      <c r="AL7331">
        <v>78.8140157088649</v>
      </c>
      <c r="AM7331">
        <v>93.591932328138</v>
      </c>
      <c r="AN7331">
        <v>1.0000000829959701</v>
      </c>
    </row>
    <row r="7332" spans="1:40" x14ac:dyDescent="0.25">
      <c r="A7332" t="str">
        <f>"20190303170430317"</f>
        <v>20190303170430317</v>
      </c>
      <c r="B7332" t="str">
        <f>"1551603870312778"</f>
        <v>1551603870312778</v>
      </c>
      <c r="C7332" t="s">
        <v>40</v>
      </c>
      <c r="D7332">
        <v>5.1881830000000004</v>
      </c>
      <c r="E7332">
        <v>0.40128399999999997</v>
      </c>
      <c r="F7332" t="s">
        <v>60</v>
      </c>
      <c r="G7332">
        <v>-169.08179999999999</v>
      </c>
      <c r="H7332">
        <v>-1.4007479999999999E-2</v>
      </c>
      <c r="I7332">
        <v>25.358720000000002</v>
      </c>
      <c r="J7332">
        <v>-191.33070000000001</v>
      </c>
      <c r="K7332">
        <v>1.1307700000000001</v>
      </c>
      <c r="L7332">
        <v>-51.753300000000003</v>
      </c>
      <c r="M7332">
        <v>0.57664740000000003</v>
      </c>
      <c r="N7332">
        <v>-1.471071E-2</v>
      </c>
      <c r="O7332">
        <v>0.8168607</v>
      </c>
      <c r="P7332">
        <v>0.51990749999999997</v>
      </c>
      <c r="Q7332">
        <v>0.17991119999999999</v>
      </c>
      <c r="R7332">
        <v>0.83506179999999997</v>
      </c>
      <c r="S7332">
        <v>0.88575740000000003</v>
      </c>
      <c r="T7332">
        <v>-4.5310620000000003E-2</v>
      </c>
      <c r="U7332">
        <v>3.0598139999999998</v>
      </c>
      <c r="V7332">
        <v>-6.1200160000000003E-2</v>
      </c>
      <c r="W7332">
        <v>0.19301289999999999</v>
      </c>
      <c r="X7332">
        <v>0.97928579999999998</v>
      </c>
      <c r="Y7332">
        <v>-0.32672770000000001</v>
      </c>
      <c r="Z7332">
        <v>3.2016689999999999E-3</v>
      </c>
      <c r="AA7332">
        <v>0.94511310000000004</v>
      </c>
      <c r="AB7332">
        <v>31</v>
      </c>
      <c r="AC7332">
        <v>22.248899999999999</v>
      </c>
      <c r="AD7332">
        <v>-1.1447774799999999</v>
      </c>
      <c r="AE7332">
        <v>77.112020000000001</v>
      </c>
      <c r="AF7332">
        <v>-26.289689942869501</v>
      </c>
      <c r="AG7332">
        <v>-1.1447774799999999</v>
      </c>
      <c r="AH7332">
        <v>75.812328490291804</v>
      </c>
      <c r="AI7332">
        <v>90.817366066905706</v>
      </c>
      <c r="AJ7332">
        <v>109.125179383209</v>
      </c>
      <c r="AK7332">
        <v>80.249407872524799</v>
      </c>
      <c r="AL7332">
        <v>78.8713345971168</v>
      </c>
      <c r="AM7332">
        <v>93.576031172865996</v>
      </c>
      <c r="AN7332">
        <v>1.00000005861603</v>
      </c>
    </row>
    <row r="7333" spans="1:40" x14ac:dyDescent="0.25">
      <c r="A7333" t="str">
        <f>"20190303170430331"</f>
        <v>20190303170430331</v>
      </c>
      <c r="B7333" t="str">
        <f>"1551603870322538"</f>
        <v>1551603870322538</v>
      </c>
      <c r="C7333" t="s">
        <v>40</v>
      </c>
      <c r="D7333">
        <v>5.1437569999999999</v>
      </c>
      <c r="E7333">
        <v>0.4021189</v>
      </c>
      <c r="F7333" t="s">
        <v>42</v>
      </c>
      <c r="G7333">
        <v>-179.27719999999999</v>
      </c>
      <c r="H7333">
        <v>7.9986450000000001E-2</v>
      </c>
      <c r="I7333">
        <v>-11.773009999999999</v>
      </c>
      <c r="J7333">
        <v>-191.2242</v>
      </c>
      <c r="K7333">
        <v>1.1307860000000001</v>
      </c>
      <c r="L7333">
        <v>-51.59122</v>
      </c>
      <c r="M7333">
        <v>0.57099999999999995</v>
      </c>
      <c r="N7333">
        <v>-1.471276E-2</v>
      </c>
      <c r="O7333">
        <v>0.82081819999999905</v>
      </c>
      <c r="P7333">
        <v>0.51454290000000003</v>
      </c>
      <c r="Q7333">
        <v>0.17999849999999901</v>
      </c>
      <c r="R7333">
        <v>0.83835919999999897</v>
      </c>
      <c r="S7333">
        <v>0.91630549999999999</v>
      </c>
      <c r="T7333">
        <v>-7.9880709999999994E-2</v>
      </c>
      <c r="U7333">
        <v>3.039307</v>
      </c>
      <c r="V7333">
        <v>-6.072313E-2</v>
      </c>
      <c r="W7333">
        <v>0.19311059999999999</v>
      </c>
      <c r="X7333">
        <v>0.9792961</v>
      </c>
      <c r="Y7333">
        <v>-0.30970009999999998</v>
      </c>
      <c r="Z7333">
        <v>-4.9601209999999996E-3</v>
      </c>
      <c r="AA7333">
        <v>0.95082129999999998</v>
      </c>
      <c r="AB7333">
        <v>31</v>
      </c>
      <c r="AC7333">
        <v>11.946999999999999</v>
      </c>
      <c r="AD7333">
        <v>-1.05079955</v>
      </c>
      <c r="AE7333">
        <v>39.818210000000001</v>
      </c>
      <c r="AF7333">
        <v>-12.923025981634799</v>
      </c>
      <c r="AG7333">
        <v>-1.05079955</v>
      </c>
      <c r="AH7333">
        <v>39.484298288188597</v>
      </c>
      <c r="AI7333">
        <v>91.448864319086198</v>
      </c>
      <c r="AJ7333">
        <v>108.123029393625</v>
      </c>
      <c r="AK7333">
        <v>41.558616333161801</v>
      </c>
      <c r="AL7333">
        <v>78.865627981767602</v>
      </c>
      <c r="AM7333">
        <v>93.548191750756502</v>
      </c>
      <c r="AN7333">
        <v>0.99999992691228001</v>
      </c>
    </row>
    <row r="7334" spans="1:40" x14ac:dyDescent="0.25">
      <c r="A7334" t="str">
        <f>"20190303170430344"</f>
        <v>20190303170430344</v>
      </c>
      <c r="B7334" t="str">
        <f>"1551603870333273"</f>
        <v>1551603870333273</v>
      </c>
      <c r="C7334" t="s">
        <v>40</v>
      </c>
      <c r="D7334">
        <v>5.1563800000000004</v>
      </c>
      <c r="E7334">
        <v>0.40288220000000002</v>
      </c>
      <c r="F7334" t="s">
        <v>42</v>
      </c>
      <c r="G7334">
        <v>-179.80369999999999</v>
      </c>
      <c r="H7334">
        <v>7.9986020000000005E-2</v>
      </c>
      <c r="I7334">
        <v>-13.09774</v>
      </c>
      <c r="J7334">
        <v>-191.12880000000001</v>
      </c>
      <c r="K7334">
        <v>1.1308039999999999</v>
      </c>
      <c r="L7334">
        <v>-51.443849999999998</v>
      </c>
      <c r="M7334">
        <v>0.56584440000000003</v>
      </c>
      <c r="N7334">
        <v>-1.4714909999999999E-2</v>
      </c>
      <c r="O7334">
        <v>0.82438080000000002</v>
      </c>
      <c r="P7334">
        <v>0.50979799999999997</v>
      </c>
      <c r="Q7334">
        <v>0.18006989999999901</v>
      </c>
      <c r="R7334">
        <v>0.84123769999999998</v>
      </c>
      <c r="S7334">
        <v>0.90260309999999999</v>
      </c>
      <c r="T7334">
        <v>-8.3049059999999994E-2</v>
      </c>
      <c r="U7334">
        <v>3.042297</v>
      </c>
      <c r="V7334">
        <v>-6.011785E-2</v>
      </c>
      <c r="W7334">
        <v>0.19319529999999999</v>
      </c>
      <c r="X7334">
        <v>0.97931679999999999</v>
      </c>
      <c r="Y7334">
        <v>-0.30792920000000001</v>
      </c>
      <c r="Z7334">
        <v>-5.7892990000000004E-3</v>
      </c>
      <c r="AA7334">
        <v>0.9513916</v>
      </c>
      <c r="AB7334">
        <v>31</v>
      </c>
      <c r="AC7334">
        <v>11.325100000000001</v>
      </c>
      <c r="AD7334">
        <v>-1.0508179799999999</v>
      </c>
      <c r="AE7334">
        <v>38.346110000000003</v>
      </c>
      <c r="AF7334">
        <v>-12.354541086749</v>
      </c>
      <c r="AG7334">
        <v>-1.0508179799999999</v>
      </c>
      <c r="AH7334">
        <v>37.997910545022101</v>
      </c>
      <c r="AI7334">
        <v>91.506498998396793</v>
      </c>
      <c r="AJ7334">
        <v>108.011280643874</v>
      </c>
      <c r="AK7334">
        <v>39.969739925082898</v>
      </c>
      <c r="AL7334">
        <v>78.860682568525903</v>
      </c>
      <c r="AM7334">
        <v>93.512838797939494</v>
      </c>
      <c r="AN7334">
        <v>0.99999998729647599</v>
      </c>
    </row>
    <row r="7335" spans="1:40" x14ac:dyDescent="0.25">
      <c r="A7335" t="str">
        <f>"20190303170430364"</f>
        <v>20190303170430364</v>
      </c>
      <c r="B7335" t="str">
        <f>"1551603870352793"</f>
        <v>1551603870352793</v>
      </c>
      <c r="C7335" t="s">
        <v>40</v>
      </c>
      <c r="D7335">
        <v>5.1626729999999998</v>
      </c>
      <c r="E7335">
        <v>0.40392499999999998</v>
      </c>
      <c r="F7335" t="s">
        <v>42</v>
      </c>
      <c r="G7335">
        <v>-179.87389999999999</v>
      </c>
      <c r="H7335">
        <v>7.9986059999999998E-2</v>
      </c>
      <c r="I7335">
        <v>-12.955299999999999</v>
      </c>
      <c r="J7335">
        <v>-190.98560000000001</v>
      </c>
      <c r="K7335">
        <v>1.1308370000000001</v>
      </c>
      <c r="L7335">
        <v>-51.218780000000002</v>
      </c>
      <c r="M7335">
        <v>0.55792779999999997</v>
      </c>
      <c r="N7335">
        <v>-1.4718449999999999E-2</v>
      </c>
      <c r="O7335">
        <v>0.82975900000000002</v>
      </c>
      <c r="P7335">
        <v>0.50249829999999995</v>
      </c>
      <c r="Q7335">
        <v>0.1808438</v>
      </c>
      <c r="R7335">
        <v>0.84545309999999996</v>
      </c>
      <c r="S7335">
        <v>0.89027400000000001</v>
      </c>
      <c r="T7335">
        <v>-8.3120230000000003E-2</v>
      </c>
      <c r="U7335">
        <v>3.0444640000000001</v>
      </c>
      <c r="V7335">
        <v>-5.9156210000000001E-2</v>
      </c>
      <c r="W7335">
        <v>0.19398969999999999</v>
      </c>
      <c r="X7335">
        <v>0.97921840000000004</v>
      </c>
      <c r="Y7335">
        <v>-0.30255029999999999</v>
      </c>
      <c r="Z7335">
        <v>-5.9899840000000003E-3</v>
      </c>
      <c r="AA7335">
        <v>0.95311460000000003</v>
      </c>
      <c r="AB7335">
        <v>31</v>
      </c>
      <c r="AC7335">
        <v>11.111700000000001</v>
      </c>
      <c r="AD7335">
        <v>-1.0508509399999999</v>
      </c>
      <c r="AE7335">
        <v>38.263480000000001</v>
      </c>
      <c r="AF7335">
        <v>-12.1211083887572</v>
      </c>
      <c r="AG7335">
        <v>-1.0508509399999999</v>
      </c>
      <c r="AH7335">
        <v>37.926721936903697</v>
      </c>
      <c r="AI7335">
        <v>91.511817390711698</v>
      </c>
      <c r="AJ7335">
        <v>107.72350699269001</v>
      </c>
      <c r="AK7335">
        <v>39.830412917133003</v>
      </c>
      <c r="AL7335">
        <v>78.814290042631001</v>
      </c>
      <c r="AM7335">
        <v>93.457131612537296</v>
      </c>
      <c r="AN7335">
        <v>1.0000000678931</v>
      </c>
    </row>
    <row r="7336" spans="1:40" x14ac:dyDescent="0.25">
      <c r="A7336" t="str">
        <f>"20190303170430385"</f>
        <v>20190303170430385</v>
      </c>
      <c r="B7336" t="str">
        <f>"1551603870373290"</f>
        <v>1551603870373290</v>
      </c>
      <c r="C7336" t="s">
        <v>40</v>
      </c>
      <c r="D7336">
        <v>5.1280299999999999</v>
      </c>
      <c r="E7336">
        <v>0.40424779999999999</v>
      </c>
      <c r="F7336" t="s">
        <v>42</v>
      </c>
      <c r="G7336">
        <v>-179.94579999999999</v>
      </c>
      <c r="H7336">
        <v>6.1968269999999999E-2</v>
      </c>
      <c r="I7336">
        <v>-12.58901</v>
      </c>
      <c r="J7336">
        <v>-190.83609999999999</v>
      </c>
      <c r="K7336">
        <v>1.1308720000000001</v>
      </c>
      <c r="L7336">
        <v>-50.978580000000001</v>
      </c>
      <c r="M7336">
        <v>0.54942230000000003</v>
      </c>
      <c r="N7336">
        <v>-1.472295E-2</v>
      </c>
      <c r="O7336">
        <v>0.83541509999999997</v>
      </c>
      <c r="P7336">
        <v>0.49400519999999998</v>
      </c>
      <c r="Q7336">
        <v>0.18064330000000001</v>
      </c>
      <c r="R7336">
        <v>0.85048619999999997</v>
      </c>
      <c r="S7336">
        <v>0.87124630000000003</v>
      </c>
      <c r="T7336">
        <v>-8.4353800000000007E-2</v>
      </c>
      <c r="U7336">
        <v>3.0486149999999999</v>
      </c>
      <c r="V7336">
        <v>-5.8994650000000003E-2</v>
      </c>
      <c r="W7336">
        <v>0.19379370000000001</v>
      </c>
      <c r="X7336">
        <v>0.97926690000000005</v>
      </c>
      <c r="Y7336">
        <v>-0.29865269999999999</v>
      </c>
      <c r="Z7336">
        <v>-6.4519750000000004E-3</v>
      </c>
      <c r="AA7336">
        <v>0.95433999999999997</v>
      </c>
      <c r="AB7336">
        <v>31</v>
      </c>
      <c r="AC7336">
        <v>10.8902999999999</v>
      </c>
      <c r="AD7336">
        <v>-1.0689037299999999</v>
      </c>
      <c r="AE7336">
        <v>38.389569999999999</v>
      </c>
      <c r="AF7336">
        <v>-11.986863977690099</v>
      </c>
      <c r="AG7336">
        <v>-1.0689037299999999</v>
      </c>
      <c r="AH7336">
        <v>38.031436438417103</v>
      </c>
      <c r="AI7336">
        <v>91.535495055525004</v>
      </c>
      <c r="AJ7336">
        <v>107.493967871289</v>
      </c>
      <c r="AK7336">
        <v>39.890069199902499</v>
      </c>
      <c r="AL7336">
        <v>78.825736640830598</v>
      </c>
      <c r="AM7336">
        <v>93.447542393223699</v>
      </c>
      <c r="AN7336">
        <v>1.00000001416196</v>
      </c>
    </row>
    <row r="7337" spans="1:40" x14ac:dyDescent="0.25">
      <c r="A7337" t="str">
        <f>"20190303170430397"</f>
        <v>20190303170430397</v>
      </c>
      <c r="B7337" t="str">
        <f>"1551603870392810"</f>
        <v>1551603870392810</v>
      </c>
      <c r="C7337" t="s">
        <v>40</v>
      </c>
      <c r="D7337">
        <v>5.1469509999999996</v>
      </c>
      <c r="E7337">
        <v>0.41056419999999999</v>
      </c>
      <c r="F7337" t="s">
        <v>42</v>
      </c>
      <c r="G7337">
        <v>-179.95779999999999</v>
      </c>
      <c r="H7337">
        <v>1.095112E-2</v>
      </c>
      <c r="I7337">
        <v>-11.545500000000001</v>
      </c>
      <c r="J7337">
        <v>-190.74189999999999</v>
      </c>
      <c r="K7337">
        <v>1.130895</v>
      </c>
      <c r="L7337">
        <v>-50.824620000000003</v>
      </c>
      <c r="M7337">
        <v>0.5439389</v>
      </c>
      <c r="N7337">
        <v>-1.472625E-2</v>
      </c>
      <c r="O7337">
        <v>0.83899559999999995</v>
      </c>
      <c r="P7337">
        <v>0.48807200000000001</v>
      </c>
      <c r="Q7337">
        <v>0.1805467</v>
      </c>
      <c r="R7337">
        <v>0.853925499999999</v>
      </c>
      <c r="S7337">
        <v>0.84309389999999995</v>
      </c>
      <c r="T7337">
        <v>-8.6796399999999996E-2</v>
      </c>
      <c r="U7337">
        <v>3.056152</v>
      </c>
      <c r="V7337">
        <v>-5.9419430000000002E-2</v>
      </c>
      <c r="W7337">
        <v>0.19368750000000001</v>
      </c>
      <c r="X7337">
        <v>0.97926219999999997</v>
      </c>
      <c r="Y7337">
        <v>-0.30117129999999998</v>
      </c>
      <c r="Z7337">
        <v>-7.0794319999999897E-3</v>
      </c>
      <c r="AA7337">
        <v>0.95354380000000005</v>
      </c>
      <c r="AB7337">
        <v>31</v>
      </c>
      <c r="AC7337">
        <v>10.784099999999899</v>
      </c>
      <c r="AD7337">
        <v>-1.1199438799999999</v>
      </c>
      <c r="AE7337">
        <v>39.279119999999999</v>
      </c>
      <c r="AF7337">
        <v>-12.309658866183099</v>
      </c>
      <c r="AG7337">
        <v>-1.1199438799999999</v>
      </c>
      <c r="AH7337">
        <v>38.795781633218802</v>
      </c>
      <c r="AI7337">
        <v>91.576141500389298</v>
      </c>
      <c r="AJ7337">
        <v>107.603907339839</v>
      </c>
      <c r="AK7337">
        <v>40.717252464140401</v>
      </c>
      <c r="AL7337">
        <v>78.831938654550598</v>
      </c>
      <c r="AM7337">
        <v>93.472321886327506</v>
      </c>
      <c r="AN7337">
        <v>0.999999986333307</v>
      </c>
    </row>
    <row r="7338" spans="1:40" x14ac:dyDescent="0.25">
      <c r="A7338" t="str">
        <f>"20190303170430409"</f>
        <v>20190303170430409</v>
      </c>
      <c r="B7338" t="str">
        <f>"1551603870402570"</f>
        <v>1551603870402570</v>
      </c>
      <c r="C7338" t="s">
        <v>40</v>
      </c>
      <c r="D7338">
        <v>5.1182559999999997</v>
      </c>
      <c r="E7338">
        <v>0.41127380000000002</v>
      </c>
      <c r="F7338" t="s">
        <v>42</v>
      </c>
      <c r="G7338">
        <v>-182.16239999999999</v>
      </c>
      <c r="H7338" s="1">
        <v>-5.5339959999999998E-6</v>
      </c>
      <c r="I7338">
        <v>-20.70805</v>
      </c>
      <c r="J7338">
        <v>-190.65539999999999</v>
      </c>
      <c r="K7338">
        <v>1.1309100000000001</v>
      </c>
      <c r="L7338">
        <v>-50.680790000000002</v>
      </c>
      <c r="M7338">
        <v>0.53879309999999903</v>
      </c>
      <c r="N7338">
        <v>-1.4729829999999999E-2</v>
      </c>
      <c r="O7338">
        <v>0.84230939999999999</v>
      </c>
      <c r="P7338">
        <v>0.48230590000000001</v>
      </c>
      <c r="Q7338">
        <v>0.18035209999999999</v>
      </c>
      <c r="R7338">
        <v>0.85723629999999995</v>
      </c>
      <c r="S7338">
        <v>0.86659240000000004</v>
      </c>
      <c r="T7338">
        <v>-0.11423030000000001</v>
      </c>
      <c r="U7338">
        <v>3.0420229999999999</v>
      </c>
      <c r="V7338">
        <v>-6.005419E-2</v>
      </c>
      <c r="W7338">
        <v>0.19347890000000001</v>
      </c>
      <c r="X7338">
        <v>0.97926469999999999</v>
      </c>
      <c r="Y7338">
        <v>-0.28734739999999998</v>
      </c>
      <c r="Z7338">
        <v>-1.398103E-2</v>
      </c>
      <c r="AA7338">
        <v>0.95772440000000003</v>
      </c>
      <c r="AB7338">
        <v>31</v>
      </c>
      <c r="AC7338">
        <v>8.4929999999999897</v>
      </c>
      <c r="AD7338">
        <v>-1.130915533996</v>
      </c>
      <c r="AE7338">
        <v>29.972740000000002</v>
      </c>
      <c r="AF7338">
        <v>-8.9845070910908795</v>
      </c>
      <c r="AG7338">
        <v>-1.130915533996</v>
      </c>
      <c r="AH7338">
        <v>29.786270866878802</v>
      </c>
      <c r="AI7338">
        <v>92.081788813971599</v>
      </c>
      <c r="AJ7338">
        <v>106.785017436041</v>
      </c>
      <c r="AK7338">
        <v>31.1323347947109</v>
      </c>
      <c r="AL7338">
        <v>78.844120830457996</v>
      </c>
      <c r="AM7338">
        <v>93.509314512632002</v>
      </c>
      <c r="AN7338">
        <v>0.99999997157392695</v>
      </c>
    </row>
    <row r="7339" spans="1:40" x14ac:dyDescent="0.25">
      <c r="A7339" t="str">
        <f>"20190303170430423"</f>
        <v>20190303170430423</v>
      </c>
      <c r="B7339" t="str">
        <f>"1551603870413306"</f>
        <v>1551603870413306</v>
      </c>
      <c r="C7339" t="s">
        <v>40</v>
      </c>
      <c r="D7339">
        <v>5.1239910000000002</v>
      </c>
      <c r="E7339">
        <v>0.41132229999999997</v>
      </c>
      <c r="F7339" t="s">
        <v>42</v>
      </c>
      <c r="G7339">
        <v>-182.56979999999999</v>
      </c>
      <c r="H7339" s="1">
        <v>-5.0130400000000004E-6</v>
      </c>
      <c r="I7339">
        <v>-21.753979999999999</v>
      </c>
      <c r="J7339">
        <v>-190.5675</v>
      </c>
      <c r="K7339">
        <v>1.1309359999999999</v>
      </c>
      <c r="L7339">
        <v>-50.532350000000001</v>
      </c>
      <c r="M7339">
        <v>0.53345940000000003</v>
      </c>
      <c r="N7339">
        <v>-1.4733619999999999E-2</v>
      </c>
      <c r="O7339">
        <v>0.84569729999999999</v>
      </c>
      <c r="P7339">
        <v>0.47599459999999999</v>
      </c>
      <c r="Q7339">
        <v>0.18015819999999999</v>
      </c>
      <c r="R7339">
        <v>0.86079740000000005</v>
      </c>
      <c r="S7339">
        <v>0.85133359999999902</v>
      </c>
      <c r="T7339">
        <v>-0.11907330000000001</v>
      </c>
      <c r="U7339">
        <v>3.0456850000000002</v>
      </c>
      <c r="V7339">
        <v>-6.1091569999999998E-2</v>
      </c>
      <c r="W7339">
        <v>0.19326180000000001</v>
      </c>
      <c r="X7339">
        <v>0.97924350000000004</v>
      </c>
      <c r="Y7339">
        <v>-0.28604489999999999</v>
      </c>
      <c r="Z7339">
        <v>-1.528825E-2</v>
      </c>
      <c r="AA7339">
        <v>0.95809420000000001</v>
      </c>
      <c r="AB7339">
        <v>31</v>
      </c>
      <c r="AC7339">
        <v>7.9977</v>
      </c>
      <c r="AD7339">
        <v>-1.1309410130399999</v>
      </c>
      <c r="AE7339">
        <v>28.778369999999999</v>
      </c>
      <c r="AF7339">
        <v>-8.5770949073315208</v>
      </c>
      <c r="AG7339">
        <v>-1.1309410130399999</v>
      </c>
      <c r="AH7339">
        <v>28.566390451416598</v>
      </c>
      <c r="AI7339">
        <v>92.171480427084603</v>
      </c>
      <c r="AJ7339">
        <v>106.712451118476</v>
      </c>
      <c r="AK7339">
        <v>29.847684132058401</v>
      </c>
      <c r="AL7339">
        <v>78.856800120836795</v>
      </c>
      <c r="AM7339">
        <v>93.569856293208304</v>
      </c>
      <c r="AN7339">
        <v>1.0000000677782701</v>
      </c>
    </row>
    <row r="7340" spans="1:40" x14ac:dyDescent="0.25">
      <c r="A7340" t="str">
        <f>"20190303170430435"</f>
        <v>20190303170430435</v>
      </c>
      <c r="B7340" t="str">
        <f>"1551603870423066"</f>
        <v>1551603870423066</v>
      </c>
      <c r="C7340" t="s">
        <v>40</v>
      </c>
      <c r="D7340">
        <v>5.0957429999999997</v>
      </c>
      <c r="E7340">
        <v>0.41132229999999997</v>
      </c>
      <c r="F7340" t="s">
        <v>42</v>
      </c>
      <c r="G7340">
        <v>-182.76650000000001</v>
      </c>
      <c r="H7340" s="1">
        <v>-4.9458259999999996E-6</v>
      </c>
      <c r="I7340">
        <v>-21.8293</v>
      </c>
      <c r="J7340">
        <v>-190.47749999999999</v>
      </c>
      <c r="K7340">
        <v>1.1309629999999999</v>
      </c>
      <c r="L7340">
        <v>-50.378999999999998</v>
      </c>
      <c r="M7340">
        <v>0.5279239</v>
      </c>
      <c r="N7340">
        <v>-1.473752E-2</v>
      </c>
      <c r="O7340">
        <v>0.84916380000000002</v>
      </c>
      <c r="P7340">
        <v>0.46941569999999999</v>
      </c>
      <c r="Q7340">
        <v>0.18010499999999999</v>
      </c>
      <c r="R7340">
        <v>0.86441369999999895</v>
      </c>
      <c r="S7340">
        <v>0.82939149999999995</v>
      </c>
      <c r="T7340">
        <v>-0.12024120000000001</v>
      </c>
      <c r="U7340">
        <v>3.0516969999999999</v>
      </c>
      <c r="V7340">
        <v>-6.2182830000000001E-2</v>
      </c>
      <c r="W7340">
        <v>0.19318270000000001</v>
      </c>
      <c r="X7340">
        <v>0.97919029999999996</v>
      </c>
      <c r="Y7340">
        <v>-0.28667880000000001</v>
      </c>
      <c r="Z7340">
        <v>-1.568201E-2</v>
      </c>
      <c r="AA7340">
        <v>0.95789840000000004</v>
      </c>
      <c r="AB7340">
        <v>31</v>
      </c>
      <c r="AC7340">
        <v>7.7109999999999799</v>
      </c>
      <c r="AD7340">
        <v>-1.130967945826</v>
      </c>
      <c r="AE7340">
        <v>28.549700000000001</v>
      </c>
      <c r="AF7340">
        <v>-8.5126423791303694</v>
      </c>
      <c r="AG7340">
        <v>-1.130967945826</v>
      </c>
      <c r="AH7340">
        <v>28.275912632388099</v>
      </c>
      <c r="AI7340">
        <v>92.193332052425603</v>
      </c>
      <c r="AJ7340">
        <v>106.754753800458</v>
      </c>
      <c r="AK7340">
        <v>29.551165864714999</v>
      </c>
      <c r="AL7340">
        <v>78.861417955677496</v>
      </c>
      <c r="AM7340">
        <v>93.633651089154796</v>
      </c>
      <c r="AN7340">
        <v>0.99999995177009304</v>
      </c>
    </row>
    <row r="7341" spans="1:40" x14ac:dyDescent="0.25">
      <c r="A7341" t="str">
        <f>"20190303170430452"</f>
        <v>20190303170430452</v>
      </c>
      <c r="B7341" t="str">
        <f>"1551603870442586"</f>
        <v>1551603870442586</v>
      </c>
      <c r="C7341" t="s">
        <v>40</v>
      </c>
      <c r="D7341">
        <v>5.0170719999999998</v>
      </c>
      <c r="E7341">
        <v>0.37791350000000001</v>
      </c>
      <c r="F7341" t="s">
        <v>42</v>
      </c>
      <c r="G7341">
        <v>-182.9213</v>
      </c>
      <c r="H7341" s="1">
        <v>-4.9654580000000003E-6</v>
      </c>
      <c r="I7341">
        <v>-21.719550000000002</v>
      </c>
      <c r="J7341">
        <v>-190.36019999999999</v>
      </c>
      <c r="K7341">
        <v>1.1310129999999901</v>
      </c>
      <c r="L7341">
        <v>-50.174349999999997</v>
      </c>
      <c r="M7341">
        <v>0.52049109999999998</v>
      </c>
      <c r="N7341">
        <v>-1.4743579999999999E-2</v>
      </c>
      <c r="O7341">
        <v>0.85373980000000005</v>
      </c>
      <c r="P7341">
        <v>0.45939059999999998</v>
      </c>
      <c r="Q7341">
        <v>0.1809067</v>
      </c>
      <c r="R7341">
        <v>0.86961659999999996</v>
      </c>
      <c r="S7341">
        <v>0.80622859999999996</v>
      </c>
      <c r="T7341">
        <v>-0.1206715</v>
      </c>
      <c r="U7341">
        <v>3.0578919999999998</v>
      </c>
      <c r="V7341">
        <v>-6.4911910000000003E-2</v>
      </c>
      <c r="W7341">
        <v>0.19391810000000001</v>
      </c>
      <c r="X7341">
        <v>0.97886779999999995</v>
      </c>
      <c r="Y7341">
        <v>-0.2855799</v>
      </c>
      <c r="Z7341">
        <v>-1.596206E-2</v>
      </c>
      <c r="AA7341">
        <v>0.95822200000000002</v>
      </c>
      <c r="AB7341">
        <v>31</v>
      </c>
      <c r="AC7341">
        <v>7.4388999999999896</v>
      </c>
      <c r="AD7341">
        <v>-1.1310179654579999</v>
      </c>
      <c r="AE7341">
        <v>28.454799999999899</v>
      </c>
      <c r="AF7341">
        <v>-8.4480116078413801</v>
      </c>
      <c r="AG7341">
        <v>-1.1310179654579999</v>
      </c>
      <c r="AH7341">
        <v>28.126344178003698</v>
      </c>
      <c r="AI7341">
        <v>92.205504980774293</v>
      </c>
      <c r="AJ7341">
        <v>106.71813372855701</v>
      </c>
      <c r="AK7341">
        <v>29.389442638198101</v>
      </c>
      <c r="AL7341">
        <v>78.818470808347996</v>
      </c>
      <c r="AM7341">
        <v>93.793914960737595</v>
      </c>
      <c r="AN7341">
        <v>0.99999997772214799</v>
      </c>
    </row>
    <row r="7342" spans="1:40" x14ac:dyDescent="0.25">
      <c r="A7342" t="str">
        <f>"20190303170430465"</f>
        <v>20190303170430465</v>
      </c>
      <c r="B7342" t="str">
        <f>"1551603870453322"</f>
        <v>1551603870453322</v>
      </c>
      <c r="C7342" t="s">
        <v>40</v>
      </c>
      <c r="D7342">
        <v>5.0004289999999996</v>
      </c>
      <c r="E7342">
        <v>0.36971359999999998</v>
      </c>
      <c r="F7342" t="s">
        <v>59</v>
      </c>
      <c r="G7342">
        <v>-168.85890000000001</v>
      </c>
      <c r="H7342">
        <v>2.0145089999999999</v>
      </c>
      <c r="I7342">
        <v>77.891369999999995</v>
      </c>
      <c r="J7342">
        <v>-190.28030000000001</v>
      </c>
      <c r="K7342">
        <v>1.1310439999999999</v>
      </c>
      <c r="L7342">
        <v>-50.032290000000003</v>
      </c>
      <c r="M7342">
        <v>0.51530129999999996</v>
      </c>
      <c r="N7342">
        <v>-1.474843E-2</v>
      </c>
      <c r="O7342">
        <v>0.85688220000000004</v>
      </c>
      <c r="P7342">
        <v>0.45292919999999998</v>
      </c>
      <c r="Q7342">
        <v>0.18165980000000001</v>
      </c>
      <c r="R7342">
        <v>0.87284300000000004</v>
      </c>
      <c r="S7342">
        <v>0.53131099999999998</v>
      </c>
      <c r="T7342">
        <v>2.183187E-2</v>
      </c>
      <c r="U7342">
        <v>3.1645810000000001</v>
      </c>
      <c r="V7342">
        <v>-6.6184859999999998E-2</v>
      </c>
      <c r="W7342">
        <v>0.19463939999999999</v>
      </c>
      <c r="X7342">
        <v>0.97863940000000005</v>
      </c>
      <c r="Y7342">
        <v>-0.36636429999999998</v>
      </c>
      <c r="Z7342">
        <v>1.924557E-2</v>
      </c>
      <c r="AA7342">
        <v>0.93027249999999995</v>
      </c>
      <c r="AB7342">
        <v>31</v>
      </c>
      <c r="AC7342">
        <v>21.421399999999998</v>
      </c>
      <c r="AD7342">
        <v>0.88346499999999895</v>
      </c>
      <c r="AE7342">
        <v>127.92366</v>
      </c>
      <c r="AF7342">
        <v>-47.566577679066398</v>
      </c>
      <c r="AG7342">
        <v>0.88346499999999895</v>
      </c>
      <c r="AH7342">
        <v>120.66150563237601</v>
      </c>
      <c r="AI7342">
        <v>89.609726275886402</v>
      </c>
      <c r="AJ7342">
        <v>111.515103647191</v>
      </c>
      <c r="AK7342">
        <v>129.701807096034</v>
      </c>
      <c r="AL7342">
        <v>78.776340920259301</v>
      </c>
      <c r="AM7342">
        <v>93.868991554811302</v>
      </c>
      <c r="AN7342">
        <v>1.00000000347896</v>
      </c>
    </row>
    <row r="7343" spans="1:40" x14ac:dyDescent="0.25">
      <c r="A7343" t="str">
        <f>"20190303170430477"</f>
        <v>20190303170430477</v>
      </c>
      <c r="B7343" t="str">
        <f>"1551603870472842"</f>
        <v>1551603870472842</v>
      </c>
      <c r="C7343" t="s">
        <v>40</v>
      </c>
      <c r="D7343">
        <v>5.0027889999999999</v>
      </c>
      <c r="E7343">
        <v>0.36348160000000002</v>
      </c>
      <c r="F7343" t="s">
        <v>59</v>
      </c>
      <c r="G7343">
        <v>-168.8596</v>
      </c>
      <c r="H7343">
        <v>4.1516260000000003</v>
      </c>
      <c r="I7343">
        <v>102.123</v>
      </c>
      <c r="J7343">
        <v>-190.19470000000001</v>
      </c>
      <c r="K7343">
        <v>1.1310819999999999</v>
      </c>
      <c r="L7343">
        <v>-49.878570000000003</v>
      </c>
      <c r="M7343">
        <v>0.50965550000000004</v>
      </c>
      <c r="N7343">
        <v>-1.4753820000000001E-2</v>
      </c>
      <c r="O7343">
        <v>0.86025200000000002</v>
      </c>
      <c r="P7343">
        <v>0.4461541</v>
      </c>
      <c r="Q7343">
        <v>0.1825185</v>
      </c>
      <c r="R7343">
        <v>0.87614699999999901</v>
      </c>
      <c r="S7343">
        <v>0.44920349999999998</v>
      </c>
      <c r="T7343">
        <v>6.3343049999999998E-2</v>
      </c>
      <c r="U7343">
        <v>3.1907649999999999</v>
      </c>
      <c r="V7343">
        <v>-6.7277600000000007E-2</v>
      </c>
      <c r="W7343">
        <v>0.19547</v>
      </c>
      <c r="X7343">
        <v>0.97839929999999997</v>
      </c>
      <c r="Y7343">
        <v>-0.38487670000000002</v>
      </c>
      <c r="Z7343">
        <v>2.9098740000000001E-2</v>
      </c>
      <c r="AA7343">
        <v>0.92250920000000003</v>
      </c>
      <c r="AB7343">
        <v>31</v>
      </c>
      <c r="AC7343">
        <v>21.335100000000001</v>
      </c>
      <c r="AD7343">
        <v>3.0205439999999899</v>
      </c>
      <c r="AE7343">
        <v>152.00156999999999</v>
      </c>
      <c r="AF7343">
        <v>-59.098425041372103</v>
      </c>
      <c r="AG7343">
        <v>3.0205439999999899</v>
      </c>
      <c r="AH7343">
        <v>141.593796312563</v>
      </c>
      <c r="AI7343">
        <v>88.872191636002199</v>
      </c>
      <c r="AJ7343">
        <v>112.65468329507399</v>
      </c>
      <c r="AK7343">
        <v>153.461886742703</v>
      </c>
      <c r="AL7343">
        <v>78.727818937871305</v>
      </c>
      <c r="AM7343">
        <v>93.933633470623505</v>
      </c>
      <c r="AN7343">
        <v>0.99999999330112499</v>
      </c>
    </row>
    <row r="7344" spans="1:40" x14ac:dyDescent="0.25">
      <c r="A7344" t="str">
        <f>"20190303170430489"</f>
        <v>20190303170430489</v>
      </c>
      <c r="B7344" t="str">
        <f>"1551603870482602"</f>
        <v>1551603870482602</v>
      </c>
      <c r="C7344" t="s">
        <v>40</v>
      </c>
      <c r="D7344">
        <v>5.0062730000000002</v>
      </c>
      <c r="E7344">
        <v>0.3623557</v>
      </c>
      <c r="F7344" t="s">
        <v>118</v>
      </c>
      <c r="G7344">
        <v>-173.37049999999999</v>
      </c>
      <c r="H7344">
        <v>4.995349</v>
      </c>
      <c r="I7344">
        <v>92.473299999999995</v>
      </c>
      <c r="J7344">
        <v>-190.11150000000001</v>
      </c>
      <c r="K7344">
        <v>1.1311230000000001</v>
      </c>
      <c r="L7344">
        <v>-49.726039999999998</v>
      </c>
      <c r="M7344">
        <v>0.50401459999999998</v>
      </c>
      <c r="N7344">
        <v>-1.475986E-2</v>
      </c>
      <c r="O7344">
        <v>0.86356900000000003</v>
      </c>
      <c r="P7344">
        <v>0.43942880000000001</v>
      </c>
      <c r="Q7344">
        <v>0.1831333</v>
      </c>
      <c r="R7344">
        <v>0.87941150000000001</v>
      </c>
      <c r="S7344">
        <v>0.37968439999999998</v>
      </c>
      <c r="T7344">
        <v>8.7208149999999998E-2</v>
      </c>
      <c r="U7344">
        <v>3.212555</v>
      </c>
      <c r="V7344">
        <v>-6.8340059999999994E-2</v>
      </c>
      <c r="W7344">
        <v>0.19605819999999999</v>
      </c>
      <c r="X7344">
        <v>0.97820790000000002</v>
      </c>
      <c r="Y7344">
        <v>-0.3993312</v>
      </c>
      <c r="Z7344">
        <v>3.4735189999999999E-2</v>
      </c>
      <c r="AA7344">
        <v>0.91614850000000003</v>
      </c>
      <c r="AB7344">
        <v>31</v>
      </c>
      <c r="AC7344">
        <v>16.741</v>
      </c>
      <c r="AD7344">
        <v>3.8642259999999999</v>
      </c>
      <c r="AE7344">
        <v>142.19933999999901</v>
      </c>
      <c r="AF7344">
        <v>-57.178121472896102</v>
      </c>
      <c r="AG7344">
        <v>3.8642259999999999</v>
      </c>
      <c r="AH7344">
        <v>131.155418927413</v>
      </c>
      <c r="AI7344">
        <v>88.452932743077596</v>
      </c>
      <c r="AJ7344">
        <v>113.55513092052099</v>
      </c>
      <c r="AK7344">
        <v>143.129360131922</v>
      </c>
      <c r="AL7344">
        <v>78.693451979413894</v>
      </c>
      <c r="AM7344">
        <v>93.996333727831896</v>
      </c>
      <c r="AN7344">
        <v>0.99999993860522496</v>
      </c>
    </row>
    <row r="7345" spans="1:40" x14ac:dyDescent="0.25">
      <c r="A7345" t="str">
        <f>"20190303170430503"</f>
        <v>20190303170430503</v>
      </c>
      <c r="B7345" t="str">
        <f>"1551603870493338"</f>
        <v>1551603870493338</v>
      </c>
      <c r="C7345" t="s">
        <v>40</v>
      </c>
      <c r="D7345">
        <v>4.9790070000000002</v>
      </c>
      <c r="E7345">
        <v>0.36130849999999998</v>
      </c>
      <c r="F7345" t="s">
        <v>118</v>
      </c>
      <c r="G7345">
        <v>-174.77250000000001</v>
      </c>
      <c r="H7345">
        <v>5.236618</v>
      </c>
      <c r="I7345">
        <v>92.473380000000006</v>
      </c>
      <c r="J7345">
        <v>-190.03139999999999</v>
      </c>
      <c r="K7345">
        <v>1.131165</v>
      </c>
      <c r="L7345">
        <v>-49.576999999999998</v>
      </c>
      <c r="M7345">
        <v>0.49846620000000003</v>
      </c>
      <c r="N7345">
        <v>-1.476685E-2</v>
      </c>
      <c r="O7345">
        <v>0.86678339999999998</v>
      </c>
      <c r="P7345">
        <v>0.43314239999999998</v>
      </c>
      <c r="Q7345">
        <v>0.18355579999999999</v>
      </c>
      <c r="R7345">
        <v>0.88243689999999997</v>
      </c>
      <c r="S7345">
        <v>0.34718320000000003</v>
      </c>
      <c r="T7345">
        <v>9.2924119999999999E-2</v>
      </c>
      <c r="U7345">
        <v>3.2185359999999998</v>
      </c>
      <c r="V7345">
        <v>-6.9034010000000007E-2</v>
      </c>
      <c r="W7345">
        <v>0.19646359999999999</v>
      </c>
      <c r="X7345">
        <v>0.97807789999999994</v>
      </c>
      <c r="Y7345">
        <v>-0.40279300000000001</v>
      </c>
      <c r="Z7345">
        <v>3.620686E-2</v>
      </c>
      <c r="AA7345">
        <v>0.91457469999999996</v>
      </c>
      <c r="AB7345">
        <v>31</v>
      </c>
      <c r="AC7345">
        <v>15.258899999999899</v>
      </c>
      <c r="AD7345">
        <v>4.1054529999999998</v>
      </c>
      <c r="AE7345">
        <v>142.05037999999999</v>
      </c>
      <c r="AF7345">
        <v>-57.539914577116498</v>
      </c>
      <c r="AG7345">
        <v>4.1054529999999998</v>
      </c>
      <c r="AH7345">
        <v>130.63933150943399</v>
      </c>
      <c r="AI7345">
        <v>88.352638854848607</v>
      </c>
      <c r="AJ7345">
        <v>113.77102628702499</v>
      </c>
      <c r="AK7345">
        <v>142.808723301866</v>
      </c>
      <c r="AL7345">
        <v>78.6697643843451</v>
      </c>
      <c r="AM7345">
        <v>94.037315246288003</v>
      </c>
      <c r="AN7345">
        <v>1.0000000095650201</v>
      </c>
    </row>
    <row r="7346" spans="1:40" x14ac:dyDescent="0.25">
      <c r="A7346" t="str">
        <f>"20190303170430523"</f>
        <v>20190303170430523</v>
      </c>
      <c r="B7346" t="str">
        <f>"1551603870512858"</f>
        <v>1551603870512858</v>
      </c>
      <c r="C7346" t="s">
        <v>40</v>
      </c>
      <c r="D7346">
        <v>5.0641850000000002</v>
      </c>
      <c r="E7346">
        <v>0.3599948</v>
      </c>
      <c r="F7346" t="s">
        <v>118</v>
      </c>
      <c r="G7346">
        <v>-175.87280000000001</v>
      </c>
      <c r="H7346">
        <v>5.545776</v>
      </c>
      <c r="I7346">
        <v>94.713440000000006</v>
      </c>
      <c r="J7346">
        <v>-189.90270000000001</v>
      </c>
      <c r="K7346">
        <v>1.1312310000000001</v>
      </c>
      <c r="L7346">
        <v>-49.33258</v>
      </c>
      <c r="M7346">
        <v>0.48928450000000001</v>
      </c>
      <c r="N7346">
        <v>-1.478024E-2</v>
      </c>
      <c r="O7346">
        <v>0.87199899999999997</v>
      </c>
      <c r="P7346">
        <v>0.42292289999999999</v>
      </c>
      <c r="Q7346">
        <v>0.18334329999999999</v>
      </c>
      <c r="R7346">
        <v>0.88742410000000005</v>
      </c>
      <c r="S7346">
        <v>0.31634519999999999</v>
      </c>
      <c r="T7346">
        <v>9.863603E-2</v>
      </c>
      <c r="U7346">
        <v>3.2238769999999999</v>
      </c>
      <c r="V7346">
        <v>-7.0054989999999998E-2</v>
      </c>
      <c r="W7346">
        <v>0.19622800000000001</v>
      </c>
      <c r="X7346">
        <v>0.97805260000000005</v>
      </c>
      <c r="Y7346">
        <v>-0.40195500000000001</v>
      </c>
      <c r="Z7346">
        <v>3.7816210000000003E-2</v>
      </c>
      <c r="AA7346">
        <v>0.91487819999999997</v>
      </c>
      <c r="AB7346">
        <v>31</v>
      </c>
      <c r="AC7346">
        <v>14.0298999999999</v>
      </c>
      <c r="AD7346">
        <v>4.4145449999999897</v>
      </c>
      <c r="AE7346">
        <v>144.04602</v>
      </c>
      <c r="AF7346">
        <v>-58.197641208727603</v>
      </c>
      <c r="AG7346">
        <v>4.4145449999999897</v>
      </c>
      <c r="AH7346">
        <v>132.36391669353799</v>
      </c>
      <c r="AI7346">
        <v>88.251256752537799</v>
      </c>
      <c r="AJ7346">
        <v>113.73408629180101</v>
      </c>
      <c r="AK7346">
        <v>144.66049941940099</v>
      </c>
      <c r="AL7346">
        <v>78.683531239161596</v>
      </c>
      <c r="AM7346">
        <v>94.096928985718904</v>
      </c>
      <c r="AN7346">
        <v>1.00000000898733</v>
      </c>
    </row>
    <row r="7347" spans="1:40" x14ac:dyDescent="0.25">
      <c r="A7347" t="str">
        <f>"20190303170430537"</f>
        <v>20190303170430537</v>
      </c>
      <c r="B7347" t="str">
        <f>"1551603870522618"</f>
        <v>1551603870522618</v>
      </c>
      <c r="C7347" t="s">
        <v>40</v>
      </c>
      <c r="D7347">
        <v>5.0770819999999999</v>
      </c>
      <c r="E7347">
        <v>0.35979260000000002</v>
      </c>
      <c r="F7347" t="s">
        <v>56</v>
      </c>
      <c r="G7347">
        <v>-168.45660000000001</v>
      </c>
      <c r="H7347">
        <v>9.5479760000000002</v>
      </c>
      <c r="I7347">
        <v>208.2122</v>
      </c>
      <c r="J7347">
        <v>-189.81569999999999</v>
      </c>
      <c r="K7347">
        <v>1.131284</v>
      </c>
      <c r="L7347">
        <v>-49.164149999999999</v>
      </c>
      <c r="M7347">
        <v>0.4828945</v>
      </c>
      <c r="N7347">
        <v>-1.479045E-2</v>
      </c>
      <c r="O7347">
        <v>0.87555360000000004</v>
      </c>
      <c r="P7347">
        <v>0.41626400000000002</v>
      </c>
      <c r="Q7347">
        <v>0.18279580000000001</v>
      </c>
      <c r="R7347">
        <v>0.89067949999999996</v>
      </c>
      <c r="S7347">
        <v>0.26901249999999999</v>
      </c>
      <c r="T7347">
        <v>0.1055775</v>
      </c>
      <c r="U7347">
        <v>3.2305600000000001</v>
      </c>
      <c r="V7347">
        <v>-7.0297940000000003E-2</v>
      </c>
      <c r="W7347">
        <v>0.19567670000000001</v>
      </c>
      <c r="X7347">
        <v>0.97814559999999995</v>
      </c>
      <c r="Y7347">
        <v>-0.40873890000000002</v>
      </c>
      <c r="Z7347">
        <v>3.961187E-2</v>
      </c>
      <c r="AA7347">
        <v>0.91179129999999997</v>
      </c>
      <c r="AB7347">
        <v>31</v>
      </c>
      <c r="AC7347">
        <v>21.359099999999899</v>
      </c>
      <c r="AD7347">
        <v>8.4166919999999994</v>
      </c>
      <c r="AE7347">
        <v>257.37635</v>
      </c>
      <c r="AF7347">
        <v>-105.48410502471</v>
      </c>
      <c r="AG7347">
        <v>8.4166919999999994</v>
      </c>
      <c r="AH7347">
        <v>235.436709692975</v>
      </c>
      <c r="AI7347">
        <v>88.131418363956101</v>
      </c>
      <c r="AJ7347">
        <v>114.13409406470301</v>
      </c>
      <c r="AK7347">
        <v>258.12435256701599</v>
      </c>
      <c r="AL7347">
        <v>78.715742693845598</v>
      </c>
      <c r="AM7347">
        <v>94.1106989289881</v>
      </c>
      <c r="AN7347">
        <v>0.99999999304524601</v>
      </c>
    </row>
    <row r="7348" spans="1:40" x14ac:dyDescent="0.25">
      <c r="A7348" t="str">
        <f>"20190303170430554"</f>
        <v>20190303170430554</v>
      </c>
      <c r="B7348" t="str">
        <f>"1551603870543114"</f>
        <v>1551603870543114</v>
      </c>
      <c r="C7348" t="s">
        <v>40</v>
      </c>
      <c r="D7348">
        <v>4.8869470000000002</v>
      </c>
      <c r="E7348">
        <v>0.35878169999999998</v>
      </c>
      <c r="F7348" t="s">
        <v>55</v>
      </c>
      <c r="G7348">
        <v>-167.89859999999999</v>
      </c>
      <c r="H7348">
        <v>10.534190000000001</v>
      </c>
      <c r="I7348">
        <v>242.13749999999999</v>
      </c>
      <c r="J7348">
        <v>-189.70660000000001</v>
      </c>
      <c r="K7348">
        <v>1.1313550000000001</v>
      </c>
      <c r="L7348">
        <v>-48.947749999999999</v>
      </c>
      <c r="M7348">
        <v>0.4746011</v>
      </c>
      <c r="N7348">
        <v>-1.4805560000000001E-2</v>
      </c>
      <c r="O7348">
        <v>0.88007649999999904</v>
      </c>
      <c r="P7348">
        <v>0.4078735</v>
      </c>
      <c r="Q7348">
        <v>0.1811682</v>
      </c>
      <c r="R7348">
        <v>0.89488400000000001</v>
      </c>
      <c r="S7348">
        <v>0.24325559999999999</v>
      </c>
      <c r="T7348">
        <v>0.10436239999999999</v>
      </c>
      <c r="U7348">
        <v>3.2331240000000001</v>
      </c>
      <c r="V7348">
        <v>-7.0407849999999994E-2</v>
      </c>
      <c r="W7348">
        <v>0.1940528</v>
      </c>
      <c r="X7348">
        <v>0.97846109999999997</v>
      </c>
      <c r="Y7348">
        <v>-0.40739249999999999</v>
      </c>
      <c r="Z7348">
        <v>3.9583309999999997E-2</v>
      </c>
      <c r="AA7348">
        <v>0.91239490000000001</v>
      </c>
      <c r="AB7348">
        <v>31</v>
      </c>
      <c r="AC7348">
        <v>21.808</v>
      </c>
      <c r="AD7348">
        <v>9.4028349999999996</v>
      </c>
      <c r="AE7348">
        <v>291.08524999999997</v>
      </c>
      <c r="AF7348">
        <v>-118.8463886807</v>
      </c>
      <c r="AG7348">
        <v>9.4028349999999996</v>
      </c>
      <c r="AH7348">
        <v>266.28029547846597</v>
      </c>
      <c r="AI7348">
        <v>88.153089846137306</v>
      </c>
      <c r="AJ7348">
        <v>114.05219230513001</v>
      </c>
      <c r="AK7348">
        <v>291.750018283771</v>
      </c>
      <c r="AL7348">
        <v>78.810603190178298</v>
      </c>
      <c r="AM7348">
        <v>94.115780897420294</v>
      </c>
      <c r="AN7348">
        <v>0.99999993937133402</v>
      </c>
    </row>
    <row r="7349" spans="1:40" x14ac:dyDescent="0.25">
      <c r="A7349" t="str">
        <f>"20190303170430578"</f>
        <v>20190303170430578</v>
      </c>
      <c r="B7349" t="str">
        <f>"1551603870573370"</f>
        <v>1551603870573370</v>
      </c>
      <c r="C7349" t="s">
        <v>40</v>
      </c>
      <c r="D7349">
        <v>5.0121349999999998</v>
      </c>
      <c r="E7349">
        <v>0.35919119999999999</v>
      </c>
      <c r="F7349" t="s">
        <v>54</v>
      </c>
      <c r="G7349">
        <v>-167.89850000000001</v>
      </c>
      <c r="H7349">
        <v>12.50888</v>
      </c>
      <c r="I7349">
        <v>295.46190000000001</v>
      </c>
      <c r="J7349">
        <v>-189.5736</v>
      </c>
      <c r="K7349">
        <v>1.1314550000000001</v>
      </c>
      <c r="L7349">
        <v>-48.67624</v>
      </c>
      <c r="M7349">
        <v>0.4640532</v>
      </c>
      <c r="N7349">
        <v>-1.4826290000000001E-2</v>
      </c>
      <c r="O7349">
        <v>0.8856832</v>
      </c>
      <c r="P7349">
        <v>0.39799440000000003</v>
      </c>
      <c r="Q7349">
        <v>0.180816</v>
      </c>
      <c r="R7349">
        <v>0.89939210000000003</v>
      </c>
      <c r="S7349">
        <v>0.20498659999999999</v>
      </c>
      <c r="T7349">
        <v>0.1069446</v>
      </c>
      <c r="U7349">
        <v>3.2373050000000001</v>
      </c>
      <c r="V7349">
        <v>-6.9565580000000002E-2</v>
      </c>
      <c r="W7349">
        <v>0.1937258</v>
      </c>
      <c r="X7349">
        <v>0.97858619999999996</v>
      </c>
      <c r="Y7349">
        <v>-0.40730820000000001</v>
      </c>
      <c r="Z7349">
        <v>4.0519609999999998E-2</v>
      </c>
      <c r="AA7349">
        <v>0.91239150000000002</v>
      </c>
      <c r="AB7349">
        <v>31</v>
      </c>
      <c r="AC7349">
        <v>21.675099999999901</v>
      </c>
      <c r="AD7349">
        <v>11.377425000000001</v>
      </c>
      <c r="AE7349">
        <v>344.138139999999</v>
      </c>
      <c r="AF7349">
        <v>-140.363771427747</v>
      </c>
      <c r="AG7349">
        <v>11.377425000000001</v>
      </c>
      <c r="AH7349">
        <v>314.54794801254201</v>
      </c>
      <c r="AI7349">
        <v>88.108140936697396</v>
      </c>
      <c r="AJ7349">
        <v>114.04832399476599</v>
      </c>
      <c r="AK7349">
        <v>344.63291445819902</v>
      </c>
      <c r="AL7349">
        <v>78.829702050622004</v>
      </c>
      <c r="AM7349">
        <v>94.066192982340297</v>
      </c>
      <c r="AN7349">
        <v>1.0000000031684</v>
      </c>
    </row>
    <row r="7350" spans="1:40" x14ac:dyDescent="0.25">
      <c r="A7350" t="str">
        <f>"20190303170430598"</f>
        <v>20190303170430598</v>
      </c>
      <c r="B7350" t="str">
        <f>"1551603870592890"</f>
        <v>1551603870592890</v>
      </c>
      <c r="C7350" t="s">
        <v>40</v>
      </c>
      <c r="D7350">
        <v>4.8931449999999996</v>
      </c>
      <c r="E7350">
        <v>0.35968470000000002</v>
      </c>
      <c r="F7350" t="s">
        <v>53</v>
      </c>
      <c r="G7350">
        <v>-168.9007</v>
      </c>
      <c r="H7350">
        <v>13.965669999999999</v>
      </c>
      <c r="I7350">
        <v>339.94389999999999</v>
      </c>
      <c r="J7350">
        <v>-189.4502</v>
      </c>
      <c r="K7350">
        <v>1.1315660000000001</v>
      </c>
      <c r="L7350">
        <v>-48.416379999999997</v>
      </c>
      <c r="M7350">
        <v>0.45380320000000002</v>
      </c>
      <c r="N7350">
        <v>-1.484795E-2</v>
      </c>
      <c r="O7350">
        <v>0.89097819999999905</v>
      </c>
      <c r="P7350">
        <v>0.3878953</v>
      </c>
      <c r="Q7350">
        <v>0.18173510000000001</v>
      </c>
      <c r="R7350">
        <v>0.9036092</v>
      </c>
      <c r="S7350">
        <v>0.17224120000000001</v>
      </c>
      <c r="T7350">
        <v>0.106931399999999</v>
      </c>
      <c r="U7350">
        <v>3.2378849999999999</v>
      </c>
      <c r="V7350">
        <v>-6.9225499999999995E-2</v>
      </c>
      <c r="W7350">
        <v>0.1946553</v>
      </c>
      <c r="X7350">
        <v>0.97842589999999996</v>
      </c>
      <c r="Y7350">
        <v>-0.40597650000000002</v>
      </c>
      <c r="Z7350">
        <v>4.0847189999999998E-2</v>
      </c>
      <c r="AA7350">
        <v>0.91297019999999995</v>
      </c>
      <c r="AB7350">
        <v>31</v>
      </c>
      <c r="AC7350">
        <v>20.549499999999899</v>
      </c>
      <c r="AD7350">
        <v>12.834104</v>
      </c>
      <c r="AE7350">
        <v>388.36027999999999</v>
      </c>
      <c r="AF7350">
        <v>-157.77557091998901</v>
      </c>
      <c r="AG7350">
        <v>12.834104</v>
      </c>
      <c r="AH7350">
        <v>354.99854530242902</v>
      </c>
      <c r="AI7350">
        <v>88.107826137215298</v>
      </c>
      <c r="AJ7350">
        <v>113.962278681359</v>
      </c>
      <c r="AK7350">
        <v>388.69243904590201</v>
      </c>
      <c r="AL7350">
        <v>78.775412667626</v>
      </c>
      <c r="AM7350">
        <v>94.047041817053497</v>
      </c>
      <c r="AN7350">
        <v>1.0000000487295699</v>
      </c>
    </row>
    <row r="7351" spans="1:40" x14ac:dyDescent="0.25">
      <c r="A7351" t="str">
        <f>"20190303170430610"</f>
        <v>20190303170430610</v>
      </c>
      <c r="B7351" t="str">
        <f>"1551603870602650"</f>
        <v>1551603870602650</v>
      </c>
      <c r="C7351" t="s">
        <v>40</v>
      </c>
      <c r="D7351">
        <v>4.9425559999999997</v>
      </c>
      <c r="E7351">
        <v>0.35993720000000001</v>
      </c>
      <c r="F7351" t="s">
        <v>48</v>
      </c>
      <c r="G7351">
        <v>0</v>
      </c>
      <c r="H7351">
        <v>0</v>
      </c>
      <c r="I7351">
        <v>0</v>
      </c>
      <c r="J7351">
        <v>-189.3749</v>
      </c>
      <c r="K7351">
        <v>1.13164</v>
      </c>
      <c r="L7351">
        <v>-48.253599999999999</v>
      </c>
      <c r="M7351">
        <v>0.44731209999999999</v>
      </c>
      <c r="N7351">
        <v>-1.4862729999999999E-2</v>
      </c>
      <c r="O7351">
        <v>0.8942544</v>
      </c>
      <c r="P7351">
        <v>0.38140790000000002</v>
      </c>
      <c r="Q7351">
        <v>0.18210190000000001</v>
      </c>
      <c r="R7351">
        <v>0.90629289999999996</v>
      </c>
      <c r="S7351">
        <v>0.1400604</v>
      </c>
      <c r="T7351">
        <v>0.10979460000000001</v>
      </c>
      <c r="U7351">
        <v>3.2378230000000001</v>
      </c>
      <c r="V7351">
        <v>-6.9132089999999993E-2</v>
      </c>
      <c r="W7351">
        <v>0.1950276</v>
      </c>
      <c r="X7351">
        <v>0.97835830000000001</v>
      </c>
      <c r="Y7351">
        <v>-0.40838550000000001</v>
      </c>
      <c r="Z7351">
        <v>4.1749340000000003E-2</v>
      </c>
      <c r="AA7351">
        <v>0.91185430000000001</v>
      </c>
      <c r="AB7351">
        <v>31</v>
      </c>
      <c r="AC7351">
        <v>0.1400604</v>
      </c>
      <c r="AD7351">
        <v>0.10979460000000001</v>
      </c>
      <c r="AE7351">
        <v>3.2378230000000001</v>
      </c>
      <c r="AF7351">
        <v>-1.32169700320544</v>
      </c>
      <c r="AG7351">
        <v>0.10979460000000001</v>
      </c>
      <c r="AH7351">
        <v>2.9550234284071002</v>
      </c>
      <c r="AI7351">
        <v>88.057431778803107</v>
      </c>
      <c r="AJ7351">
        <v>114.09759497915699</v>
      </c>
      <c r="AK7351">
        <v>3.2389969566065102</v>
      </c>
      <c r="AL7351">
        <v>78.753663939182502</v>
      </c>
      <c r="AM7351">
        <v>94.041877346904499</v>
      </c>
      <c r="AN7351">
        <v>0.99999998690420899</v>
      </c>
    </row>
    <row r="7352" spans="1:40" x14ac:dyDescent="0.25">
      <c r="A7352" t="str">
        <f>"20190303170430623"</f>
        <v>20190303170430623</v>
      </c>
      <c r="B7352" t="str">
        <f>"1551603870613386"</f>
        <v>1551603870613386</v>
      </c>
      <c r="C7352" t="s">
        <v>40</v>
      </c>
      <c r="D7352">
        <v>4.950367</v>
      </c>
      <c r="E7352">
        <v>0.36023509999999997</v>
      </c>
      <c r="F7352" t="s">
        <v>48</v>
      </c>
      <c r="G7352">
        <v>0</v>
      </c>
      <c r="H7352">
        <v>0</v>
      </c>
      <c r="I7352">
        <v>0</v>
      </c>
      <c r="J7352">
        <v>-189.3082</v>
      </c>
      <c r="K7352">
        <v>1.1316999999999999</v>
      </c>
      <c r="L7352">
        <v>-48.106540000000003</v>
      </c>
      <c r="M7352">
        <v>0.4413996</v>
      </c>
      <c r="N7352">
        <v>-1.4875859999999999E-2</v>
      </c>
      <c r="O7352">
        <v>0.89718739999999997</v>
      </c>
      <c r="P7352">
        <v>0.3752914</v>
      </c>
      <c r="Q7352">
        <v>0.18245239999999999</v>
      </c>
      <c r="R7352">
        <v>0.90877249999999998</v>
      </c>
      <c r="S7352">
        <v>0.1190491</v>
      </c>
      <c r="T7352">
        <v>0.1105695</v>
      </c>
      <c r="U7352">
        <v>3.2378849999999999</v>
      </c>
      <c r="V7352">
        <v>-6.9273660000000001E-2</v>
      </c>
      <c r="W7352">
        <v>0.19537789999999999</v>
      </c>
      <c r="X7352">
        <v>0.97827839999999999</v>
      </c>
      <c r="Y7352">
        <v>-0.40827000000000002</v>
      </c>
      <c r="Z7352">
        <v>4.2127860000000003E-2</v>
      </c>
      <c r="AA7352">
        <v>0.9118887</v>
      </c>
      <c r="AB7352">
        <v>31</v>
      </c>
      <c r="AC7352">
        <v>0.1190491</v>
      </c>
      <c r="AD7352">
        <v>0.1105695</v>
      </c>
      <c r="AE7352">
        <v>3.2378849999999999</v>
      </c>
      <c r="AF7352">
        <v>-1.32099966646622</v>
      </c>
      <c r="AG7352">
        <v>0.1105695</v>
      </c>
      <c r="AH7352">
        <v>2.9544243534163601</v>
      </c>
      <c r="AI7352">
        <v>88.043230016457102</v>
      </c>
      <c r="AJ7352">
        <v>114.090655561977</v>
      </c>
      <c r="AK7352">
        <v>3.2381922415436999</v>
      </c>
      <c r="AL7352">
        <v>78.733199653998895</v>
      </c>
      <c r="AM7352">
        <v>94.050456552254005</v>
      </c>
      <c r="AN7352">
        <v>0.99999999584238197</v>
      </c>
    </row>
    <row r="7353" spans="1:40" x14ac:dyDescent="0.25">
      <c r="A7353" t="str">
        <f>"20190303170430635"</f>
        <v>20190303170430635</v>
      </c>
      <c r="B7353" t="str">
        <f>"1551603870623146"</f>
        <v>1551603870623146</v>
      </c>
      <c r="C7353" t="s">
        <v>40</v>
      </c>
      <c r="D7353">
        <v>4.9140959999999998</v>
      </c>
      <c r="E7353">
        <v>0.3603983</v>
      </c>
      <c r="F7353" t="s">
        <v>49</v>
      </c>
      <c r="G7353">
        <v>-175.8297</v>
      </c>
      <c r="H7353">
        <v>16.296659999999999</v>
      </c>
      <c r="I7353">
        <v>391.00349999999997</v>
      </c>
      <c r="J7353">
        <v>-189.23939999999999</v>
      </c>
      <c r="K7353">
        <v>1.1317600000000001</v>
      </c>
      <c r="L7353">
        <v>-47.953189999999999</v>
      </c>
      <c r="M7353">
        <v>0.435199</v>
      </c>
      <c r="N7353">
        <v>-1.4889009999999999E-2</v>
      </c>
      <c r="O7353">
        <v>0.90021119999999899</v>
      </c>
      <c r="P7353">
        <v>0.368977</v>
      </c>
      <c r="Q7353">
        <v>0.18253059999999999</v>
      </c>
      <c r="R7353">
        <v>0.91133889999999995</v>
      </c>
      <c r="S7353">
        <v>9.9380490000000002E-2</v>
      </c>
      <c r="T7353">
        <v>0.1118151</v>
      </c>
      <c r="U7353">
        <v>3.2376710000000002</v>
      </c>
      <c r="V7353">
        <v>-6.9335040000000001E-2</v>
      </c>
      <c r="W7353">
        <v>0.19545779999999999</v>
      </c>
      <c r="X7353">
        <v>0.97825810000000002</v>
      </c>
      <c r="Y7353">
        <v>-0.40750419999999998</v>
      </c>
      <c r="Z7353">
        <v>4.2635340000000001E-2</v>
      </c>
      <c r="AA7353">
        <v>0.91220749999999995</v>
      </c>
      <c r="AB7353">
        <v>31</v>
      </c>
      <c r="AC7353">
        <v>13.4096999999999</v>
      </c>
      <c r="AD7353">
        <v>15.164899999999999</v>
      </c>
      <c r="AE7353">
        <v>438.95668999999998</v>
      </c>
      <c r="AF7353">
        <v>-178.76861703420099</v>
      </c>
      <c r="AG7353">
        <v>15.164899999999999</v>
      </c>
      <c r="AH7353">
        <v>400.55642586730397</v>
      </c>
      <c r="AI7353">
        <v>88.019920783007095</v>
      </c>
      <c r="AJ7353">
        <v>114.051240627791</v>
      </c>
      <c r="AK7353">
        <v>438.90049320081602</v>
      </c>
      <c r="AL7353">
        <v>78.728531825954704</v>
      </c>
      <c r="AM7353">
        <v>94.054117347811797</v>
      </c>
      <c r="AN7353">
        <v>1.00000000478412</v>
      </c>
    </row>
    <row r="7354" spans="1:40" x14ac:dyDescent="0.25">
      <c r="A7354" t="str">
        <f>"20190303170430653"</f>
        <v>20190303170430653</v>
      </c>
      <c r="B7354" t="str">
        <f>"1551603870642666"</f>
        <v>1551603870642666</v>
      </c>
      <c r="C7354" t="s">
        <v>40</v>
      </c>
      <c r="D7354">
        <v>4.9613110000000002</v>
      </c>
      <c r="E7354">
        <v>0.36073640000000001</v>
      </c>
      <c r="F7354" t="s">
        <v>49</v>
      </c>
      <c r="G7354">
        <v>-178.6362</v>
      </c>
      <c r="H7354">
        <v>16.60717</v>
      </c>
      <c r="I7354">
        <v>391.87</v>
      </c>
      <c r="J7354">
        <v>-189.1405</v>
      </c>
      <c r="K7354">
        <v>1.131848</v>
      </c>
      <c r="L7354">
        <v>-47.725769999999997</v>
      </c>
      <c r="M7354">
        <v>0.42589349999999998</v>
      </c>
      <c r="N7354">
        <v>-1.490872E-2</v>
      </c>
      <c r="O7354">
        <v>0.90465039999999997</v>
      </c>
      <c r="P7354">
        <v>0.35949720000000002</v>
      </c>
      <c r="Q7354">
        <v>0.18119109999999999</v>
      </c>
      <c r="R7354">
        <v>0.91538600000000003</v>
      </c>
      <c r="S7354">
        <v>7.8048709999999993E-2</v>
      </c>
      <c r="T7354">
        <v>0.1139116</v>
      </c>
      <c r="U7354">
        <v>3.237457</v>
      </c>
      <c r="V7354">
        <v>-6.9525030000000002E-2</v>
      </c>
      <c r="W7354">
        <v>0.19412160000000001</v>
      </c>
      <c r="X7354">
        <v>0.97851060000000001</v>
      </c>
      <c r="Y7354">
        <v>-0.40409129999999999</v>
      </c>
      <c r="Z7354">
        <v>4.3462430000000003E-2</v>
      </c>
      <c r="AA7354">
        <v>0.91368550000000004</v>
      </c>
      <c r="AB7354">
        <v>31</v>
      </c>
      <c r="AC7354">
        <v>10.504300000000001</v>
      </c>
      <c r="AD7354">
        <v>15.475322</v>
      </c>
      <c r="AE7354">
        <v>439.59577000000002</v>
      </c>
      <c r="AF7354">
        <v>-177.518155058632</v>
      </c>
      <c r="AG7354">
        <v>15.475322</v>
      </c>
      <c r="AH7354">
        <v>401.70138556232598</v>
      </c>
      <c r="AI7354">
        <v>87.981899480976494</v>
      </c>
      <c r="AJ7354">
        <v>113.841388625845</v>
      </c>
      <c r="AK7354">
        <v>439.44986531926099</v>
      </c>
      <c r="AL7354">
        <v>78.806585060417504</v>
      </c>
      <c r="AM7354">
        <v>94.064143649452205</v>
      </c>
      <c r="AN7354">
        <v>0.99999995984770895</v>
      </c>
    </row>
    <row r="7355" spans="1:40" x14ac:dyDescent="0.25">
      <c r="A7355" t="str">
        <f>"20190303170430667"</f>
        <v>20190303170430667</v>
      </c>
      <c r="B7355" t="str">
        <f>"1551603870652426"</f>
        <v>1551603870652426</v>
      </c>
      <c r="C7355" t="s">
        <v>40</v>
      </c>
      <c r="D7355">
        <v>4.9519849999999996</v>
      </c>
      <c r="E7355">
        <v>0.36094850000000001</v>
      </c>
      <c r="F7355" t="s">
        <v>49</v>
      </c>
      <c r="G7355">
        <v>-182.77010000000001</v>
      </c>
      <c r="H7355">
        <v>16.342779999999902</v>
      </c>
      <c r="I7355">
        <v>391.87</v>
      </c>
      <c r="J7355">
        <v>-189.07140000000001</v>
      </c>
      <c r="K7355">
        <v>1.131912</v>
      </c>
      <c r="L7355">
        <v>-47.562350000000002</v>
      </c>
      <c r="M7355">
        <v>0.41913800000000001</v>
      </c>
      <c r="N7355">
        <v>-1.492393E-2</v>
      </c>
      <c r="O7355">
        <v>0.90779989999999999</v>
      </c>
      <c r="P7355">
        <v>0.35228680000000001</v>
      </c>
      <c r="Q7355">
        <v>0.18056420000000001</v>
      </c>
      <c r="R7355">
        <v>0.91830849999999997</v>
      </c>
      <c r="S7355">
        <v>4.6905519999999999E-2</v>
      </c>
      <c r="T7355">
        <v>0.1119974</v>
      </c>
      <c r="U7355">
        <v>3.2367249999999999</v>
      </c>
      <c r="V7355">
        <v>-6.9993059999999996E-2</v>
      </c>
      <c r="W7355">
        <v>0.19348960000000001</v>
      </c>
      <c r="X7355">
        <v>0.97860250000000004</v>
      </c>
      <c r="Y7355">
        <v>-0.4060532</v>
      </c>
      <c r="Z7355">
        <v>4.3183260000000001E-2</v>
      </c>
      <c r="AA7355">
        <v>0.91282859999999999</v>
      </c>
      <c r="AB7355">
        <v>31</v>
      </c>
      <c r="AC7355">
        <v>6.3012999999999897</v>
      </c>
      <c r="AD7355">
        <v>15.2108679999999</v>
      </c>
      <c r="AE7355">
        <v>439.43234999999999</v>
      </c>
      <c r="AF7355">
        <v>-178.26879488725399</v>
      </c>
      <c r="AG7355">
        <v>15.2108679999999</v>
      </c>
      <c r="AH7355">
        <v>401.12195470212299</v>
      </c>
      <c r="AI7355">
        <v>88.015339801554404</v>
      </c>
      <c r="AJ7355">
        <v>113.96157894743401</v>
      </c>
      <c r="AK7355">
        <v>439.21515943774</v>
      </c>
      <c r="AL7355">
        <v>78.843496882011806</v>
      </c>
      <c r="AM7355">
        <v>94.091027214086694</v>
      </c>
      <c r="AN7355">
        <v>1.0000000533812801</v>
      </c>
    </row>
    <row r="7356" spans="1:40" x14ac:dyDescent="0.25">
      <c r="A7356" t="str">
        <f>"20190303170430681"</f>
        <v>20190303170430681</v>
      </c>
      <c r="B7356" t="str">
        <f>"1551603870672923"</f>
        <v>1551603870672923</v>
      </c>
      <c r="C7356" t="s">
        <v>40</v>
      </c>
      <c r="D7356">
        <v>4.973452</v>
      </c>
      <c r="E7356">
        <v>0.36157299999999998</v>
      </c>
      <c r="F7356" t="s">
        <v>49</v>
      </c>
      <c r="G7356">
        <v>-185.91399999999999</v>
      </c>
      <c r="H7356">
        <v>16.075869999999998</v>
      </c>
      <c r="I7356">
        <v>391.87</v>
      </c>
      <c r="J7356">
        <v>-188.9957</v>
      </c>
      <c r="K7356">
        <v>1.131977</v>
      </c>
      <c r="L7356">
        <v>-47.379759999999997</v>
      </c>
      <c r="M7356">
        <v>0.41153250000000002</v>
      </c>
      <c r="N7356">
        <v>-1.494084E-2</v>
      </c>
      <c r="O7356">
        <v>0.91127259999999999</v>
      </c>
      <c r="P7356">
        <v>0.34439609999999998</v>
      </c>
      <c r="Q7356">
        <v>0.18050269999999999</v>
      </c>
      <c r="R7356">
        <v>0.92130889999999999</v>
      </c>
      <c r="S7356">
        <v>2.325439E-2</v>
      </c>
      <c r="T7356">
        <v>0.11005910000000001</v>
      </c>
      <c r="U7356">
        <v>3.2363279999999999</v>
      </c>
      <c r="V7356">
        <v>-7.0242200000000005E-2</v>
      </c>
      <c r="W7356">
        <v>0.1934274</v>
      </c>
      <c r="X7356">
        <v>0.97859689999999999</v>
      </c>
      <c r="Y7356">
        <v>-0.4050783</v>
      </c>
      <c r="Z7356">
        <v>4.2921500000000001E-2</v>
      </c>
      <c r="AA7356">
        <v>0.91327389999999997</v>
      </c>
      <c r="AB7356">
        <v>31</v>
      </c>
      <c r="AC7356">
        <v>3.0816999999999801</v>
      </c>
      <c r="AD7356">
        <v>14.943892999999999</v>
      </c>
      <c r="AE7356">
        <v>439.24975999999998</v>
      </c>
      <c r="AF7356">
        <v>-177.77139847127901</v>
      </c>
      <c r="AG7356">
        <v>14.943892999999999</v>
      </c>
      <c r="AH7356">
        <v>401.12505875396801</v>
      </c>
      <c r="AI7356">
        <v>88.049263241435696</v>
      </c>
      <c r="AJ7356">
        <v>113.90205824461999</v>
      </c>
      <c r="AK7356">
        <v>439.00717854359101</v>
      </c>
      <c r="AL7356">
        <v>78.847128802349999</v>
      </c>
      <c r="AM7356">
        <v>94.1055629152374</v>
      </c>
      <c r="AN7356">
        <v>1.0000000092106001</v>
      </c>
    </row>
    <row r="7357" spans="1:40" x14ac:dyDescent="0.25">
      <c r="A7357" t="str">
        <f>"20190303170430699"</f>
        <v>20190303170430699</v>
      </c>
      <c r="B7357" t="str">
        <f>"1551603870692442"</f>
        <v>1551603870692442</v>
      </c>
      <c r="C7357" t="s">
        <v>40</v>
      </c>
      <c r="D7357">
        <v>4.9524520000000001</v>
      </c>
      <c r="E7357">
        <v>0.36239890000000002</v>
      </c>
      <c r="F7357" t="s">
        <v>49</v>
      </c>
      <c r="G7357">
        <v>-188.9418</v>
      </c>
      <c r="H7357">
        <v>16.134979999999999</v>
      </c>
      <c r="I7357">
        <v>391.87</v>
      </c>
      <c r="J7357">
        <v>-188.90549999999999</v>
      </c>
      <c r="K7357">
        <v>1.132053</v>
      </c>
      <c r="L7357">
        <v>-47.156680000000001</v>
      </c>
      <c r="M7357">
        <v>0.40215509999999999</v>
      </c>
      <c r="N7357">
        <v>-1.496163E-2</v>
      </c>
      <c r="O7357">
        <v>0.91544930000000002</v>
      </c>
      <c r="P7357">
        <v>0.33461920000000001</v>
      </c>
      <c r="Q7357">
        <v>0.18104219999999999</v>
      </c>
      <c r="R7357">
        <v>0.92479929999999999</v>
      </c>
      <c r="S7357">
        <v>3.9672850000000001E-4</v>
      </c>
      <c r="T7357">
        <v>0.1104753</v>
      </c>
      <c r="U7357">
        <v>3.2344360000000001</v>
      </c>
      <c r="V7357">
        <v>-7.0571469999999997E-2</v>
      </c>
      <c r="W7357">
        <v>0.193964</v>
      </c>
      <c r="X7357">
        <v>0.97846699999999998</v>
      </c>
      <c r="Y7357">
        <v>-0.40213989999999999</v>
      </c>
      <c r="Z7357">
        <v>4.3321119999999998E-2</v>
      </c>
      <c r="AA7357">
        <v>0.9145527</v>
      </c>
      <c r="AB7357">
        <v>31</v>
      </c>
      <c r="AC7357">
        <v>-3.6300000000011302E-2</v>
      </c>
      <c r="AD7357">
        <v>15.002927</v>
      </c>
      <c r="AE7357">
        <v>439.02668</v>
      </c>
      <c r="AF7357">
        <v>-176.403812605913</v>
      </c>
      <c r="AG7357">
        <v>15.002927</v>
      </c>
      <c r="AH7357">
        <v>401.468222503513</v>
      </c>
      <c r="AI7357">
        <v>88.040500204336496</v>
      </c>
      <c r="AJ7357">
        <v>113.720528205126</v>
      </c>
      <c r="AK7357">
        <v>438.77115516018102</v>
      </c>
      <c r="AL7357">
        <v>78.815790487557706</v>
      </c>
      <c r="AM7357">
        <v>94.125287741379594</v>
      </c>
      <c r="AN7357">
        <v>1.0000000178814801</v>
      </c>
    </row>
    <row r="7358" spans="1:40" x14ac:dyDescent="0.25">
      <c r="A7358" t="str">
        <f>"20190303170430721"</f>
        <v>20190303170430721</v>
      </c>
      <c r="B7358" t="str">
        <f>"1551603870712938"</f>
        <v>1551603870712938</v>
      </c>
      <c r="C7358" t="s">
        <v>40</v>
      </c>
      <c r="D7358">
        <v>4.9571880000000004</v>
      </c>
      <c r="E7358">
        <v>0.3634</v>
      </c>
      <c r="F7358" t="s">
        <v>49</v>
      </c>
      <c r="G7358">
        <v>-192.61150000000001</v>
      </c>
      <c r="H7358">
        <v>16.243459999999999</v>
      </c>
      <c r="I7358">
        <v>391.87</v>
      </c>
      <c r="J7358">
        <v>-188.79570000000001</v>
      </c>
      <c r="K7358">
        <v>1.1321589999999999</v>
      </c>
      <c r="L7358">
        <v>-46.874540000000003</v>
      </c>
      <c r="M7358">
        <v>0.39016089999999998</v>
      </c>
      <c r="N7358">
        <v>-1.498793E-2</v>
      </c>
      <c r="O7358">
        <v>0.92062469999999996</v>
      </c>
      <c r="P7358">
        <v>0.323272</v>
      </c>
      <c r="Q7358">
        <v>0.18191080000000001</v>
      </c>
      <c r="R7358">
        <v>0.92865690000000001</v>
      </c>
      <c r="S7358">
        <v>-2.7282710000000002E-2</v>
      </c>
      <c r="T7358">
        <v>0.1112481</v>
      </c>
      <c r="U7358">
        <v>3.232056</v>
      </c>
      <c r="V7358">
        <v>-6.9768419999999998E-2</v>
      </c>
      <c r="W7358">
        <v>0.19486200000000001</v>
      </c>
      <c r="X7358">
        <v>0.9783461</v>
      </c>
      <c r="Y7358">
        <v>-0.39800619999999998</v>
      </c>
      <c r="Z7358">
        <v>4.3887719999999998E-2</v>
      </c>
      <c r="AA7358">
        <v>0.91633240000000005</v>
      </c>
      <c r="AB7358">
        <v>31</v>
      </c>
      <c r="AC7358">
        <v>-3.8157999999999901</v>
      </c>
      <c r="AD7358">
        <v>15.111300999999999</v>
      </c>
      <c r="AE7358">
        <v>438.74453999999997</v>
      </c>
      <c r="AF7358">
        <v>-174.506514094035</v>
      </c>
      <c r="AG7358">
        <v>15.111300999999999</v>
      </c>
      <c r="AH7358">
        <v>401.99865263556899</v>
      </c>
      <c r="AI7358">
        <v>88.025127114604302</v>
      </c>
      <c r="AJ7358">
        <v>113.465532728692</v>
      </c>
      <c r="AK7358">
        <v>438.50175780716899</v>
      </c>
      <c r="AL7358">
        <v>78.763337429496701</v>
      </c>
      <c r="AM7358">
        <v>94.079006708411498</v>
      </c>
      <c r="AN7358">
        <v>0.99999996142925196</v>
      </c>
    </row>
    <row r="7359" spans="1:40" x14ac:dyDescent="0.25">
      <c r="A7359" t="str">
        <f>"20190303170430735"</f>
        <v>20190303170430735</v>
      </c>
      <c r="B7359" t="str">
        <f>"1551603870722698"</f>
        <v>1551603870722698</v>
      </c>
      <c r="C7359" t="s">
        <v>40</v>
      </c>
      <c r="D7359">
        <v>4.9637019999999996</v>
      </c>
      <c r="E7359">
        <v>0.36388110000000001</v>
      </c>
      <c r="F7359" t="s">
        <v>49</v>
      </c>
      <c r="G7359">
        <v>-196.7877</v>
      </c>
      <c r="H7359">
        <v>16.183119999999999</v>
      </c>
      <c r="I7359">
        <v>391.87</v>
      </c>
      <c r="J7359">
        <v>-188.73220000000001</v>
      </c>
      <c r="K7359">
        <v>1.1322190000000001</v>
      </c>
      <c r="L7359">
        <v>-46.707279999999997</v>
      </c>
      <c r="M7359">
        <v>0.38299149999999998</v>
      </c>
      <c r="N7359">
        <v>-1.5002939999999999E-2</v>
      </c>
      <c r="O7359">
        <v>0.92362999999999995</v>
      </c>
      <c r="P7359">
        <v>0.31610139999999998</v>
      </c>
      <c r="Q7359">
        <v>0.18236350000000001</v>
      </c>
      <c r="R7359">
        <v>0.93103360000000002</v>
      </c>
      <c r="S7359">
        <v>-5.8822630000000001E-2</v>
      </c>
      <c r="T7359">
        <v>0.1107781</v>
      </c>
      <c r="U7359">
        <v>3.2292480000000001</v>
      </c>
      <c r="V7359">
        <v>-6.971107E-2</v>
      </c>
      <c r="W7359">
        <v>0.1953213</v>
      </c>
      <c r="X7359">
        <v>0.97825870000000004</v>
      </c>
      <c r="Y7359">
        <v>-0.39982790000000001</v>
      </c>
      <c r="Z7359">
        <v>4.3971219999999998E-2</v>
      </c>
      <c r="AA7359">
        <v>0.91553490000000004</v>
      </c>
      <c r="AB7359">
        <v>31</v>
      </c>
      <c r="AC7359">
        <v>-8.0554999999999897</v>
      </c>
      <c r="AD7359">
        <v>15.050901</v>
      </c>
      <c r="AE7359">
        <v>438.57727999999997</v>
      </c>
      <c r="AF7359">
        <v>-175.225128581653</v>
      </c>
      <c r="AG7359">
        <v>15.050901</v>
      </c>
      <c r="AH7359">
        <v>401.57043654684901</v>
      </c>
      <c r="AI7359">
        <v>88.032539576688805</v>
      </c>
      <c r="AJ7359">
        <v>113.57403411677799</v>
      </c>
      <c r="AK7359">
        <v>438.39387634385997</v>
      </c>
      <c r="AL7359">
        <v>78.736507077786598</v>
      </c>
      <c r="AM7359">
        <v>94.076027950326207</v>
      </c>
      <c r="AN7359">
        <v>1.00000006381996</v>
      </c>
    </row>
    <row r="7360" spans="1:40" x14ac:dyDescent="0.25">
      <c r="A7360" t="str">
        <f>"20190303170430750"</f>
        <v>20190303170430750</v>
      </c>
      <c r="B7360" t="str">
        <f>"1551603870732458"</f>
        <v>1551603870732458</v>
      </c>
      <c r="C7360" t="s">
        <v>40</v>
      </c>
      <c r="D7360">
        <v>4.9646309999999998</v>
      </c>
      <c r="E7360">
        <v>0.36441790000000002</v>
      </c>
      <c r="F7360" t="s">
        <v>49</v>
      </c>
      <c r="G7360">
        <v>-199.53039999999999</v>
      </c>
      <c r="H7360">
        <v>16.084139999999898</v>
      </c>
      <c r="I7360">
        <v>391.87</v>
      </c>
      <c r="J7360">
        <v>-188.66489999999999</v>
      </c>
      <c r="K7360">
        <v>1.1322760000000001</v>
      </c>
      <c r="L7360">
        <v>-46.523409999999998</v>
      </c>
      <c r="M7360">
        <v>0.3750503</v>
      </c>
      <c r="N7360">
        <v>-1.5019080000000001E-2</v>
      </c>
      <c r="O7360">
        <v>0.92688269999999995</v>
      </c>
      <c r="P7360">
        <v>0.30782710000000002</v>
      </c>
      <c r="Q7360">
        <v>0.18209990000000001</v>
      </c>
      <c r="R7360">
        <v>0.9338533</v>
      </c>
      <c r="S7360">
        <v>-7.9467769999999993E-2</v>
      </c>
      <c r="T7360">
        <v>0.110037</v>
      </c>
      <c r="U7360">
        <v>3.2276609999999999</v>
      </c>
      <c r="V7360">
        <v>-7.0036689999999999E-2</v>
      </c>
      <c r="W7360">
        <v>0.1950566</v>
      </c>
      <c r="X7360">
        <v>0.97828820000000005</v>
      </c>
      <c r="Y7360">
        <v>-0.39782119999999999</v>
      </c>
      <c r="Z7360">
        <v>4.4003720000000003E-2</v>
      </c>
      <c r="AA7360">
        <v>0.91640710000000003</v>
      </c>
      <c r="AB7360">
        <v>31</v>
      </c>
      <c r="AC7360">
        <v>-10.8654999999999</v>
      </c>
      <c r="AD7360">
        <v>14.951863999999899</v>
      </c>
      <c r="AE7360">
        <v>438.39340999999899</v>
      </c>
      <c r="AF7360">
        <v>-174.30768731114401</v>
      </c>
      <c r="AG7360">
        <v>14.951863999999899</v>
      </c>
      <c r="AH7360">
        <v>401.84242328273098</v>
      </c>
      <c r="AI7360">
        <v>88.044955781829998</v>
      </c>
      <c r="AJ7360">
        <v>113.449813214602</v>
      </c>
      <c r="AK7360">
        <v>438.27395683815303</v>
      </c>
      <c r="AL7360">
        <v>78.751970074299294</v>
      </c>
      <c r="AM7360">
        <v>94.094879369120704</v>
      </c>
      <c r="AN7360">
        <v>1.00000000870447</v>
      </c>
    </row>
    <row r="7361" spans="1:40" x14ac:dyDescent="0.25">
      <c r="A7361" t="str">
        <f>"20190303170430766"</f>
        <v>20190303170430766</v>
      </c>
      <c r="B7361" t="str">
        <f>"1551603870752955"</f>
        <v>1551603870752955</v>
      </c>
      <c r="C7361" t="s">
        <v>40</v>
      </c>
      <c r="D7361">
        <v>5.0177259999999997</v>
      </c>
      <c r="E7361">
        <v>0.3653921</v>
      </c>
      <c r="F7361" t="s">
        <v>49</v>
      </c>
      <c r="G7361">
        <v>-202.744</v>
      </c>
      <c r="H7361">
        <v>15.62541</v>
      </c>
      <c r="I7361">
        <v>391.00349999999997</v>
      </c>
      <c r="J7361">
        <v>-188.59059999999999</v>
      </c>
      <c r="K7361">
        <v>1.132331</v>
      </c>
      <c r="L7361">
        <v>-46.315159999999999</v>
      </c>
      <c r="M7361">
        <v>0.36599569999999998</v>
      </c>
      <c r="N7361">
        <v>-1.503675E-2</v>
      </c>
      <c r="O7361">
        <v>0.93049499999999996</v>
      </c>
      <c r="P7361">
        <v>0.297791799999999</v>
      </c>
      <c r="Q7361">
        <v>0.18118819999999999</v>
      </c>
      <c r="R7361">
        <v>0.93727839999999996</v>
      </c>
      <c r="S7361">
        <v>-0.10380549999999999</v>
      </c>
      <c r="T7361">
        <v>0.10685799999999999</v>
      </c>
      <c r="U7361">
        <v>3.2258909999999998</v>
      </c>
      <c r="V7361">
        <v>-7.1066030000000002E-2</v>
      </c>
      <c r="W7361">
        <v>0.1941263</v>
      </c>
      <c r="X7361">
        <v>0.97839900000000002</v>
      </c>
      <c r="Y7361">
        <v>-0.39579429999999999</v>
      </c>
      <c r="Z7361">
        <v>4.3412020000000003E-2</v>
      </c>
      <c r="AA7361">
        <v>0.91731249999999998</v>
      </c>
      <c r="AB7361">
        <v>31</v>
      </c>
      <c r="AC7361">
        <v>-14.1534</v>
      </c>
      <c r="AD7361">
        <v>14.493079</v>
      </c>
      <c r="AE7361">
        <v>437.31866000000002</v>
      </c>
      <c r="AF7361">
        <v>-173.056141902387</v>
      </c>
      <c r="AG7361">
        <v>14.493079</v>
      </c>
      <c r="AH7361">
        <v>401.34784483298603</v>
      </c>
      <c r="AI7361">
        <v>88.100780843479399</v>
      </c>
      <c r="AJ7361">
        <v>113.32509771343</v>
      </c>
      <c r="AK7361">
        <v>437.308323887303</v>
      </c>
      <c r="AL7361">
        <v>78.806311027113594</v>
      </c>
      <c r="AM7361">
        <v>94.154384322648596</v>
      </c>
      <c r="AN7361">
        <v>1.00000000208632</v>
      </c>
    </row>
    <row r="7362" spans="1:40" x14ac:dyDescent="0.25">
      <c r="A7362" t="str">
        <f>"20190303170430789"</f>
        <v>20190303170430789</v>
      </c>
      <c r="B7362" t="str">
        <f>"1551603870783210"</f>
        <v>1551603870783210</v>
      </c>
      <c r="C7362" t="s">
        <v>40</v>
      </c>
      <c r="D7362">
        <v>4.998507</v>
      </c>
      <c r="E7362">
        <v>0.38480700000000001</v>
      </c>
      <c r="F7362" t="s">
        <v>49</v>
      </c>
      <c r="G7362">
        <v>-206.25960000000001</v>
      </c>
      <c r="H7362">
        <v>14.82846</v>
      </c>
      <c r="I7362">
        <v>391.87</v>
      </c>
      <c r="J7362">
        <v>-188.4933</v>
      </c>
      <c r="K7362">
        <v>1.1324080000000001</v>
      </c>
      <c r="L7362">
        <v>-46.032350000000001</v>
      </c>
      <c r="M7362">
        <v>0.35359420000000003</v>
      </c>
      <c r="N7362">
        <v>-1.506009E-2</v>
      </c>
      <c r="O7362">
        <v>0.93527760000000004</v>
      </c>
      <c r="P7362">
        <v>0.28528819999999999</v>
      </c>
      <c r="Q7362">
        <v>0.1813968</v>
      </c>
      <c r="R7362">
        <v>0.9411195</v>
      </c>
      <c r="S7362">
        <v>-0.1299438</v>
      </c>
      <c r="T7362">
        <v>0.100726</v>
      </c>
      <c r="U7362">
        <v>3.2225649999999999</v>
      </c>
      <c r="V7362">
        <v>-7.1114239999999995E-2</v>
      </c>
      <c r="W7362">
        <v>0.1943433</v>
      </c>
      <c r="X7362">
        <v>0.97835240000000001</v>
      </c>
      <c r="Y7362">
        <v>-0.39103969999999999</v>
      </c>
      <c r="Z7362">
        <v>4.2112129999999998E-2</v>
      </c>
      <c r="AA7362">
        <v>0.9194099</v>
      </c>
      <c r="AB7362">
        <v>31</v>
      </c>
      <c r="AC7362">
        <v>-17.766300000000001</v>
      </c>
      <c r="AD7362">
        <v>13.6960519999999</v>
      </c>
      <c r="AE7362">
        <v>437.90235000000001</v>
      </c>
      <c r="AF7362">
        <v>-171.30831136206299</v>
      </c>
      <c r="AG7362">
        <v>13.6960519999999</v>
      </c>
      <c r="AH7362">
        <v>402.930461987998</v>
      </c>
      <c r="AI7362">
        <v>88.208297295487995</v>
      </c>
      <c r="AJ7362">
        <v>113.033063216927</v>
      </c>
      <c r="AK7362">
        <v>438.04917141797</v>
      </c>
      <c r="AL7362">
        <v>78.793636273839496</v>
      </c>
      <c r="AM7362">
        <v>94.157390027135904</v>
      </c>
      <c r="AN7362">
        <v>0.99999998598571305</v>
      </c>
    </row>
    <row r="7363" spans="1:40" x14ac:dyDescent="0.25">
      <c r="A7363" t="str">
        <f>"20190303170430803"</f>
        <v>20190303170430803</v>
      </c>
      <c r="B7363" t="str">
        <f>"1551603870792970"</f>
        <v>1551603870792970</v>
      </c>
      <c r="C7363" t="s">
        <v>40</v>
      </c>
      <c r="D7363">
        <v>4.9938479999999998</v>
      </c>
      <c r="E7363">
        <v>0.38574219999999998</v>
      </c>
      <c r="F7363" t="s">
        <v>49</v>
      </c>
      <c r="G7363">
        <v>-191.97550000000001</v>
      </c>
      <c r="H7363">
        <v>8.2743059999999993</v>
      </c>
      <c r="I7363">
        <v>391.87</v>
      </c>
      <c r="J7363">
        <v>-188.42959999999999</v>
      </c>
      <c r="K7363">
        <v>1.13246</v>
      </c>
      <c r="L7363">
        <v>-45.83981</v>
      </c>
      <c r="M7363">
        <v>0.3450839</v>
      </c>
      <c r="N7363">
        <v>-1.507578E-2</v>
      </c>
      <c r="O7363">
        <v>0.93845080000000003</v>
      </c>
      <c r="P7363">
        <v>0.27684710000000001</v>
      </c>
      <c r="Q7363">
        <v>0.18187049999999999</v>
      </c>
      <c r="R7363">
        <v>0.94354590000000005</v>
      </c>
      <c r="S7363">
        <v>-2.5329589999999999E-2</v>
      </c>
      <c r="T7363">
        <v>5.1951169999999998E-2</v>
      </c>
      <c r="U7363">
        <v>3.1853639999999999</v>
      </c>
      <c r="V7363">
        <v>-7.0996279999999995E-2</v>
      </c>
      <c r="W7363">
        <v>0.194826</v>
      </c>
      <c r="X7363">
        <v>0.97826500000000005</v>
      </c>
      <c r="Y7363">
        <v>-0.35257480000000002</v>
      </c>
      <c r="Z7363">
        <v>2.9373219999999998E-2</v>
      </c>
      <c r="AA7363">
        <v>0.93532249999999995</v>
      </c>
      <c r="AB7363">
        <v>31</v>
      </c>
      <c r="AC7363">
        <v>-3.5459000000000098</v>
      </c>
      <c r="AD7363">
        <v>7.1418459999999904</v>
      </c>
      <c r="AE7363">
        <v>437.70980999999898</v>
      </c>
      <c r="AF7363">
        <v>-154.35071146005399</v>
      </c>
      <c r="AG7363">
        <v>7.1418459999999904</v>
      </c>
      <c r="AH7363">
        <v>409.48301288364303</v>
      </c>
      <c r="AI7363">
        <v>89.065004271682099</v>
      </c>
      <c r="AJ7363">
        <v>110.653455542891</v>
      </c>
      <c r="AK7363">
        <v>437.66595244864402</v>
      </c>
      <c r="AL7363">
        <v>78.765441118751099</v>
      </c>
      <c r="AM7363">
        <v>94.150887638483695</v>
      </c>
      <c r="AN7363">
        <v>1.00000002613741</v>
      </c>
    </row>
    <row r="7364" spans="1:40" x14ac:dyDescent="0.25">
      <c r="A7364" t="str">
        <f>"20190303170430825"</f>
        <v>20190303170430825</v>
      </c>
      <c r="B7364" t="str">
        <f>"1551603870812490"</f>
        <v>1551603870812490</v>
      </c>
      <c r="C7364" t="s">
        <v>40</v>
      </c>
      <c r="D7364">
        <v>4.9967309999999996</v>
      </c>
      <c r="E7364">
        <v>0.38751970000000002</v>
      </c>
      <c r="F7364" t="s">
        <v>49</v>
      </c>
      <c r="G7364">
        <v>-194.9247</v>
      </c>
      <c r="H7364">
        <v>8.0884070000000001</v>
      </c>
      <c r="I7364">
        <v>391.87</v>
      </c>
      <c r="J7364">
        <v>-188.34549999999999</v>
      </c>
      <c r="K7364">
        <v>1.132522</v>
      </c>
      <c r="L7364">
        <v>-45.576259999999998</v>
      </c>
      <c r="M7364">
        <v>0.33335710000000002</v>
      </c>
      <c r="N7364">
        <v>-1.50966E-2</v>
      </c>
      <c r="O7364">
        <v>0.94267979999999996</v>
      </c>
      <c r="P7364">
        <v>0.26557760000000002</v>
      </c>
      <c r="Q7364">
        <v>0.1828071</v>
      </c>
      <c r="R7364">
        <v>0.94659919999999997</v>
      </c>
      <c r="S7364">
        <v>-4.7241209999999999E-2</v>
      </c>
      <c r="T7364">
        <v>5.0592659999999998E-2</v>
      </c>
      <c r="U7364">
        <v>3.1835939999999998</v>
      </c>
      <c r="V7364">
        <v>-7.0458229999999997E-2</v>
      </c>
      <c r="W7364">
        <v>0.19578519999999999</v>
      </c>
      <c r="X7364">
        <v>0.97811239999999999</v>
      </c>
      <c r="Y7364">
        <v>-0.34734219999999999</v>
      </c>
      <c r="Z7364">
        <v>2.9161019999999999E-2</v>
      </c>
      <c r="AA7364">
        <v>0.93728489999999998</v>
      </c>
      <c r="AB7364">
        <v>30</v>
      </c>
      <c r="AC7364">
        <v>-6.5792000000000099</v>
      </c>
      <c r="AD7364">
        <v>6.9558850000000003</v>
      </c>
      <c r="AE7364">
        <v>437.44625999999897</v>
      </c>
      <c r="AF7364">
        <v>-152.00679189342199</v>
      </c>
      <c r="AG7364">
        <v>6.9558850000000003</v>
      </c>
      <c r="AH7364">
        <v>410.12159110105898</v>
      </c>
      <c r="AI7364">
        <v>89.088882547534993</v>
      </c>
      <c r="AJ7364">
        <v>110.33663788365</v>
      </c>
      <c r="AK7364">
        <v>437.44047435637202</v>
      </c>
      <c r="AL7364">
        <v>78.709403987807093</v>
      </c>
      <c r="AM7364">
        <v>94.1201790719131</v>
      </c>
      <c r="AN7364">
        <v>1.00000003687376</v>
      </c>
    </row>
    <row r="7365" spans="1:40" x14ac:dyDescent="0.25">
      <c r="A7365" t="str">
        <f>"20190303170430844"</f>
        <v>20190303170430844</v>
      </c>
      <c r="B7365" t="str">
        <f>"1551603870832986"</f>
        <v>1551603870832986</v>
      </c>
      <c r="C7365" t="s">
        <v>40</v>
      </c>
      <c r="D7365">
        <v>5.0238639999999997</v>
      </c>
      <c r="E7365">
        <v>0.38914199999999999</v>
      </c>
      <c r="F7365" t="s">
        <v>49</v>
      </c>
      <c r="G7365">
        <v>-198.18889999999999</v>
      </c>
      <c r="H7365">
        <v>7.4844020000000002</v>
      </c>
      <c r="I7365">
        <v>390.11860000000001</v>
      </c>
      <c r="J7365">
        <v>-188.26830000000001</v>
      </c>
      <c r="K7365">
        <v>1.132579</v>
      </c>
      <c r="L7365">
        <v>-45.323180000000001</v>
      </c>
      <c r="M7365">
        <v>0.32201750000000001</v>
      </c>
      <c r="N7365">
        <v>-1.511528E-2</v>
      </c>
      <c r="O7365">
        <v>0.94661309999999999</v>
      </c>
      <c r="P7365">
        <v>0.252662</v>
      </c>
      <c r="Q7365">
        <v>0.18205979999999999</v>
      </c>
      <c r="R7365">
        <v>0.95027159999999999</v>
      </c>
      <c r="S7365">
        <v>-7.1853639999999996E-2</v>
      </c>
      <c r="T7365">
        <v>4.6366930000000001E-2</v>
      </c>
      <c r="U7365">
        <v>3.18045</v>
      </c>
      <c r="V7365">
        <v>-7.2094510000000001E-2</v>
      </c>
      <c r="W7365">
        <v>0.1950037</v>
      </c>
      <c r="X7365">
        <v>0.97814920000000005</v>
      </c>
      <c r="Y7365">
        <v>-0.3433445</v>
      </c>
      <c r="Z7365">
        <v>2.813477E-2</v>
      </c>
      <c r="AA7365">
        <v>0.93878810000000001</v>
      </c>
      <c r="AB7365">
        <v>30</v>
      </c>
      <c r="AC7365">
        <v>-9.9205999999999808</v>
      </c>
      <c r="AD7365">
        <v>6.3518230000000004</v>
      </c>
      <c r="AE7365">
        <v>435.44177999999999</v>
      </c>
      <c r="AF7365">
        <v>-149.59611447622299</v>
      </c>
      <c r="AG7365">
        <v>6.3518230000000004</v>
      </c>
      <c r="AH7365">
        <v>408.96002131092001</v>
      </c>
      <c r="AI7365">
        <v>89.164320409845104</v>
      </c>
      <c r="AJ7365">
        <v>110.092339095093</v>
      </c>
      <c r="AK7365">
        <v>435.50848688910099</v>
      </c>
      <c r="AL7365">
        <v>78.755059801667699</v>
      </c>
      <c r="AM7365">
        <v>94.215364590201006</v>
      </c>
      <c r="AN7365">
        <v>0.99999995942323405</v>
      </c>
    </row>
    <row r="7366" spans="1:40" x14ac:dyDescent="0.25">
      <c r="A7366" t="str">
        <f>"20190303170430859"</f>
        <v>20190303170430859</v>
      </c>
      <c r="B7366" t="str">
        <f>"1551603870852506"</f>
        <v>1551603870852506</v>
      </c>
      <c r="C7366" t="s">
        <v>40</v>
      </c>
      <c r="D7366">
        <v>5.0306670000000002</v>
      </c>
      <c r="E7366">
        <v>0.39040940000000002</v>
      </c>
      <c r="F7366" t="s">
        <v>49</v>
      </c>
      <c r="G7366">
        <v>-202.2097</v>
      </c>
      <c r="H7366">
        <v>6.206118</v>
      </c>
      <c r="I7366">
        <v>390.11860000000001</v>
      </c>
      <c r="J7366">
        <v>-188.2106</v>
      </c>
      <c r="K7366">
        <v>1.132617</v>
      </c>
      <c r="L7366">
        <v>-45.127040000000001</v>
      </c>
      <c r="M7366">
        <v>0.31318770000000001</v>
      </c>
      <c r="N7366">
        <v>-1.5128620000000001E-2</v>
      </c>
      <c r="O7366">
        <v>0.94957080000000005</v>
      </c>
      <c r="P7366">
        <v>0.24288100000000001</v>
      </c>
      <c r="Q7366">
        <v>0.1813409</v>
      </c>
      <c r="R7366">
        <v>0.95295560000000001</v>
      </c>
      <c r="S7366">
        <v>-0.1017151</v>
      </c>
      <c r="T7366">
        <v>3.7016029999999998E-2</v>
      </c>
      <c r="U7366">
        <v>3.1769409999999998</v>
      </c>
      <c r="V7366">
        <v>-7.308394E-2</v>
      </c>
      <c r="W7366">
        <v>0.1942661</v>
      </c>
      <c r="X7366">
        <v>0.97822260000000005</v>
      </c>
      <c r="Y7366">
        <v>-0.34343319999999999</v>
      </c>
      <c r="Z7366">
        <v>2.561714E-2</v>
      </c>
      <c r="AA7366">
        <v>0.93882770000000004</v>
      </c>
      <c r="AB7366">
        <v>30</v>
      </c>
      <c r="AC7366">
        <v>-13.9991</v>
      </c>
      <c r="AD7366">
        <v>5.0735010000000003</v>
      </c>
      <c r="AE7366">
        <v>435.24563999999998</v>
      </c>
      <c r="AF7366">
        <v>-149.603525789017</v>
      </c>
      <c r="AG7366">
        <v>5.0735010000000003</v>
      </c>
      <c r="AH7366">
        <v>408.90348086851299</v>
      </c>
      <c r="AI7366">
        <v>89.332408617731204</v>
      </c>
      <c r="AJ7366">
        <v>110.095810941625</v>
      </c>
      <c r="AK7366">
        <v>435.44116939867899</v>
      </c>
      <c r="AL7366">
        <v>78.798145805262493</v>
      </c>
      <c r="AM7366">
        <v>94.272684279784897</v>
      </c>
      <c r="AN7366">
        <v>1.00000001752294</v>
      </c>
    </row>
    <row r="7367" spans="1:40" x14ac:dyDescent="0.25">
      <c r="A7367" t="str">
        <f>"20190303170430879"</f>
        <v>20190303170430879</v>
      </c>
      <c r="B7367" t="str">
        <f>"1551603870873003"</f>
        <v>1551603870873003</v>
      </c>
      <c r="C7367" t="s">
        <v>40</v>
      </c>
      <c r="D7367">
        <v>5.0602010000000002</v>
      </c>
      <c r="E7367">
        <v>0.39108090000000001</v>
      </c>
      <c r="F7367" t="s">
        <v>45</v>
      </c>
      <c r="G7367">
        <v>-203.1344</v>
      </c>
      <c r="H7367">
        <v>5.1057959999999998</v>
      </c>
      <c r="I7367">
        <v>336.1266</v>
      </c>
      <c r="J7367">
        <v>-188.13890000000001</v>
      </c>
      <c r="K7367">
        <v>1.1326579999999999</v>
      </c>
      <c r="L7367">
        <v>-44.872410000000002</v>
      </c>
      <c r="M7367">
        <v>0.30167090000000002</v>
      </c>
      <c r="N7367">
        <v>-1.514418E-2</v>
      </c>
      <c r="O7367">
        <v>0.95329180000000002</v>
      </c>
      <c r="P7367">
        <v>0.22956099999999999</v>
      </c>
      <c r="Q7367">
        <v>0.18101410000000001</v>
      </c>
      <c r="R7367">
        <v>0.95631359999999999</v>
      </c>
      <c r="S7367">
        <v>-0.12422179999999999</v>
      </c>
      <c r="T7367">
        <v>3.3071759999999999E-2</v>
      </c>
      <c r="U7367">
        <v>3.1734619999999998</v>
      </c>
      <c r="V7367">
        <v>-7.4925320000000004E-2</v>
      </c>
      <c r="W7367">
        <v>0.19389700000000001</v>
      </c>
      <c r="X7367">
        <v>0.97815649999999998</v>
      </c>
      <c r="Y7367">
        <v>-0.33874159999999998</v>
      </c>
      <c r="Z7367">
        <v>2.4613320000000001E-2</v>
      </c>
      <c r="AA7367">
        <v>0.94055739999999999</v>
      </c>
      <c r="AB7367">
        <v>30</v>
      </c>
      <c r="AC7367">
        <v>-14.9954999999999</v>
      </c>
      <c r="AD7367">
        <v>3.9731380000000001</v>
      </c>
      <c r="AE7367">
        <v>380.99901</v>
      </c>
      <c r="AF7367">
        <v>-129.23219565827</v>
      </c>
      <c r="AG7367">
        <v>3.9731380000000001</v>
      </c>
      <c r="AH7367">
        <v>358.68173041951701</v>
      </c>
      <c r="AI7367">
        <v>89.402926565992104</v>
      </c>
      <c r="AJ7367">
        <v>109.81397394835101</v>
      </c>
      <c r="AK7367">
        <v>381.27330087086398</v>
      </c>
      <c r="AL7367">
        <v>78.819703327378704</v>
      </c>
      <c r="AM7367">
        <v>94.3802173636535</v>
      </c>
      <c r="AN7367">
        <v>0.99999999433917597</v>
      </c>
    </row>
    <row r="7368" spans="1:40" x14ac:dyDescent="0.25">
      <c r="A7368" t="str">
        <f>"20190303170430901"</f>
        <v>20190303170430901</v>
      </c>
      <c r="B7368" t="str">
        <f>"1551603870892522"</f>
        <v>1551603870892522</v>
      </c>
      <c r="C7368" t="s">
        <v>40</v>
      </c>
      <c r="D7368">
        <v>5.0718769999999997</v>
      </c>
      <c r="E7368">
        <v>0.40134829999999999</v>
      </c>
      <c r="F7368" t="s">
        <v>45</v>
      </c>
      <c r="G7368">
        <v>-203.19460000000001</v>
      </c>
      <c r="H7368">
        <v>3.7662049999999998</v>
      </c>
      <c r="I7368">
        <v>249.07300000000001</v>
      </c>
      <c r="J7368">
        <v>-188.0624</v>
      </c>
      <c r="K7368">
        <v>1.132695</v>
      </c>
      <c r="L7368">
        <v>-44.586399999999998</v>
      </c>
      <c r="M7368">
        <v>0.28867959999999998</v>
      </c>
      <c r="N7368">
        <v>-1.515912E-2</v>
      </c>
      <c r="O7368">
        <v>0.95730570000000004</v>
      </c>
      <c r="P7368">
        <v>0.2163629</v>
      </c>
      <c r="Q7368">
        <v>0.18251029999999999</v>
      </c>
      <c r="R7368">
        <v>0.95910220000000002</v>
      </c>
      <c r="S7368">
        <v>-0.1623993</v>
      </c>
      <c r="T7368">
        <v>2.8406859999999999E-2</v>
      </c>
      <c r="U7368">
        <v>3.1706539999999999</v>
      </c>
      <c r="V7368">
        <v>-7.5075630000000004E-2</v>
      </c>
      <c r="W7368">
        <v>0.19539419999999999</v>
      </c>
      <c r="X7368">
        <v>0.97784700000000002</v>
      </c>
      <c r="Y7368">
        <v>-0.33727869999999999</v>
      </c>
      <c r="Z7368">
        <v>2.338985E-2</v>
      </c>
      <c r="AA7368">
        <v>0.94111420000000001</v>
      </c>
      <c r="AB7368">
        <v>30</v>
      </c>
      <c r="AC7368">
        <v>-15.132199999999999</v>
      </c>
      <c r="AD7368">
        <v>2.6335099999999998</v>
      </c>
      <c r="AE7368">
        <v>293.65940000000001</v>
      </c>
      <c r="AF7368">
        <v>-99.263068646001599</v>
      </c>
      <c r="AG7368">
        <v>2.6335099999999998</v>
      </c>
      <c r="AH7368">
        <v>276.76307702984298</v>
      </c>
      <c r="AI7368">
        <v>89.486830203862993</v>
      </c>
      <c r="AJ7368">
        <v>109.73073717958199</v>
      </c>
      <c r="AK7368">
        <v>294.03723060008599</v>
      </c>
      <c r="AL7368">
        <v>78.732247420912998</v>
      </c>
      <c r="AM7368">
        <v>94.3903540824071</v>
      </c>
      <c r="AN7368">
        <v>0.99999999951126795</v>
      </c>
    </row>
    <row r="7369" spans="1:40" x14ac:dyDescent="0.25">
      <c r="A7369" t="str">
        <f>"20190303170430915"</f>
        <v>20190303170430915</v>
      </c>
      <c r="B7369" t="str">
        <f>"1551603870913019"</f>
        <v>1551603870913019</v>
      </c>
      <c r="C7369" t="s">
        <v>40</v>
      </c>
      <c r="D7369">
        <v>5.0557259999999999</v>
      </c>
      <c r="E7369">
        <v>0.40270810000000001</v>
      </c>
      <c r="F7369" t="s">
        <v>45</v>
      </c>
      <c r="G7369">
        <v>-203.30500000000001</v>
      </c>
      <c r="H7369">
        <v>2.2193529999999999</v>
      </c>
      <c r="I7369">
        <v>336.10469999999998</v>
      </c>
      <c r="J7369">
        <v>-188.0172</v>
      </c>
      <c r="K7369">
        <v>1.1327119999999999</v>
      </c>
      <c r="L7369">
        <v>-44.410980000000002</v>
      </c>
      <c r="M7369">
        <v>0.28068729999999997</v>
      </c>
      <c r="N7369">
        <v>-1.516722E-2</v>
      </c>
      <c r="O7369">
        <v>0.95967939999999996</v>
      </c>
      <c r="P7369">
        <v>0.20877119999999999</v>
      </c>
      <c r="Q7369">
        <v>0.18337819999999999</v>
      </c>
      <c r="R7369">
        <v>0.96061810000000003</v>
      </c>
      <c r="S7369">
        <v>-0.12631229999999999</v>
      </c>
      <c r="T7369">
        <v>9.0049510000000006E-3</v>
      </c>
      <c r="U7369">
        <v>3.1547239999999999</v>
      </c>
      <c r="V7369">
        <v>-7.463881E-2</v>
      </c>
      <c r="W7369">
        <v>0.19627800000000001</v>
      </c>
      <c r="X7369">
        <v>0.97770349999999995</v>
      </c>
      <c r="Y7369">
        <v>-0.318857</v>
      </c>
      <c r="Z7369">
        <v>1.786043E-2</v>
      </c>
      <c r="AA7369">
        <v>0.94763450000000005</v>
      </c>
      <c r="AB7369">
        <v>30</v>
      </c>
      <c r="AC7369">
        <v>-15.287800000000001</v>
      </c>
      <c r="AD7369">
        <v>1.08664099999999</v>
      </c>
      <c r="AE7369">
        <v>380.51567999999997</v>
      </c>
      <c r="AF7369">
        <v>-121.490294092387</v>
      </c>
      <c r="AG7369">
        <v>1.08664099999999</v>
      </c>
      <c r="AH7369">
        <v>360.92055420488703</v>
      </c>
      <c r="AI7369">
        <v>89.8365110919827</v>
      </c>
      <c r="AJ7369">
        <v>108.603865488533</v>
      </c>
      <c r="AK7369">
        <v>380.821111277829</v>
      </c>
      <c r="AL7369">
        <v>78.680610329529401</v>
      </c>
      <c r="AM7369">
        <v>94.365546429812596</v>
      </c>
      <c r="AN7369">
        <v>1.00000006957723</v>
      </c>
    </row>
    <row r="7370" spans="1:40" x14ac:dyDescent="0.25">
      <c r="A7370" t="str">
        <f>"20190303170430932"</f>
        <v>20190303170430932</v>
      </c>
      <c r="B7370" t="str">
        <f>"1551603870922778"</f>
        <v>1551603870922778</v>
      </c>
      <c r="C7370" t="s">
        <v>40</v>
      </c>
      <c r="D7370">
        <v>5.0528120000000003</v>
      </c>
      <c r="E7370">
        <v>0.4031805</v>
      </c>
      <c r="F7370" t="s">
        <v>49</v>
      </c>
      <c r="G7370">
        <v>-207.53749999999999</v>
      </c>
      <c r="H7370">
        <v>2.6783950000000001</v>
      </c>
      <c r="I7370">
        <v>391.87</v>
      </c>
      <c r="J7370">
        <v>-187.96010000000001</v>
      </c>
      <c r="K7370">
        <v>1.132725</v>
      </c>
      <c r="L7370">
        <v>-44.177799999999998</v>
      </c>
      <c r="M7370">
        <v>0.2700399</v>
      </c>
      <c r="N7370">
        <v>-1.5176530000000001E-2</v>
      </c>
      <c r="O7370">
        <v>0.96272950000000002</v>
      </c>
      <c r="P7370">
        <v>0.1984756</v>
      </c>
      <c r="Q7370">
        <v>0.18368029999999999</v>
      </c>
      <c r="R7370">
        <v>0.96274040000000005</v>
      </c>
      <c r="S7370">
        <v>-0.14100650000000001</v>
      </c>
      <c r="T7370">
        <v>1.1165380000000001E-2</v>
      </c>
      <c r="U7370">
        <v>3.1515200000000001</v>
      </c>
      <c r="V7370">
        <v>-7.427359E-2</v>
      </c>
      <c r="W7370">
        <v>0.19659689999999999</v>
      </c>
      <c r="X7370">
        <v>0.97766719999999896</v>
      </c>
      <c r="Y7370">
        <v>-0.31280239999999998</v>
      </c>
      <c r="Z7370">
        <v>1.852415E-2</v>
      </c>
      <c r="AA7370">
        <v>0.94963759999999997</v>
      </c>
      <c r="AB7370">
        <v>30</v>
      </c>
      <c r="AC7370">
        <v>-19.577399999999901</v>
      </c>
      <c r="AD7370">
        <v>1.5456700000000001</v>
      </c>
      <c r="AE7370">
        <v>436.0478</v>
      </c>
      <c r="AF7370">
        <v>-136.61206796623401</v>
      </c>
      <c r="AG7370">
        <v>1.5456700000000001</v>
      </c>
      <c r="AH7370">
        <v>414.55195483795001</v>
      </c>
      <c r="AI7370">
        <v>89.797104851821601</v>
      </c>
      <c r="AJ7370">
        <v>108.239195832939</v>
      </c>
      <c r="AK7370">
        <v>436.484329008185</v>
      </c>
      <c r="AL7370">
        <v>78.661975187268595</v>
      </c>
      <c r="AM7370">
        <v>94.344427748964605</v>
      </c>
      <c r="AN7370">
        <v>1.00000003060846</v>
      </c>
    </row>
    <row r="7371" spans="1:40" x14ac:dyDescent="0.25">
      <c r="A7371" t="str">
        <f>"20190303170430949"</f>
        <v>20190303170430949</v>
      </c>
      <c r="B7371" t="str">
        <f>"1551603870943274"</f>
        <v>1551603870943274</v>
      </c>
      <c r="C7371" t="s">
        <v>40</v>
      </c>
      <c r="D7371">
        <v>5.0812599999999897</v>
      </c>
      <c r="E7371">
        <v>0.40763909999999998</v>
      </c>
      <c r="F7371" t="s">
        <v>49</v>
      </c>
      <c r="G7371">
        <v>-211.67660000000001</v>
      </c>
      <c r="H7371">
        <v>2.774718</v>
      </c>
      <c r="I7371">
        <v>391.87</v>
      </c>
      <c r="J7371">
        <v>-187.9144</v>
      </c>
      <c r="K7371">
        <v>1.1327290000000001</v>
      </c>
      <c r="L7371">
        <v>-43.98151</v>
      </c>
      <c r="M7371">
        <v>0.26106309999999999</v>
      </c>
      <c r="N7371">
        <v>-1.5183240000000001E-2</v>
      </c>
      <c r="O7371">
        <v>0.96520229999999996</v>
      </c>
      <c r="P7371">
        <v>0.1894363</v>
      </c>
      <c r="Q7371">
        <v>0.183367</v>
      </c>
      <c r="R7371">
        <v>0.96461929999999996</v>
      </c>
      <c r="S7371">
        <v>-0.17127989999999901</v>
      </c>
      <c r="T7371">
        <v>1.1858459999999999E-2</v>
      </c>
      <c r="U7371">
        <v>3.1491389999999999</v>
      </c>
      <c r="V7371">
        <v>-7.4350070000000004E-2</v>
      </c>
      <c r="W7371">
        <v>0.1962873</v>
      </c>
      <c r="X7371">
        <v>0.97772349999999997</v>
      </c>
      <c r="Y7371">
        <v>-0.3130965</v>
      </c>
      <c r="Z7371">
        <v>1.8764699999999999E-2</v>
      </c>
      <c r="AA7371">
        <v>0.94953589999999999</v>
      </c>
      <c r="AB7371">
        <v>30</v>
      </c>
      <c r="AC7371">
        <v>-23.7622</v>
      </c>
      <c r="AD7371">
        <v>1.6419889999999999</v>
      </c>
      <c r="AE7371">
        <v>435.851509999999</v>
      </c>
      <c r="AF7371">
        <v>-136.73390660836401</v>
      </c>
      <c r="AG7371">
        <v>1.6419889999999999</v>
      </c>
      <c r="AH7371">
        <v>414.52337396151199</v>
      </c>
      <c r="AI7371">
        <v>89.784466916033793</v>
      </c>
      <c r="AJ7371">
        <v>108.25555955191599</v>
      </c>
      <c r="AK7371">
        <v>436.49568715474902</v>
      </c>
      <c r="AL7371">
        <v>78.680065418784395</v>
      </c>
      <c r="AM7371">
        <v>94.348634621396698</v>
      </c>
      <c r="AN7371">
        <v>0.99999993975127</v>
      </c>
    </row>
    <row r="7372" spans="1:40" x14ac:dyDescent="0.25">
      <c r="A7372" t="str">
        <f>"20190303170430970"</f>
        <v>20190303170430970</v>
      </c>
      <c r="B7372" t="str">
        <f>"1551603870962794"</f>
        <v>1551603870962794</v>
      </c>
      <c r="C7372" t="s">
        <v>40</v>
      </c>
      <c r="D7372">
        <v>5.078119</v>
      </c>
      <c r="E7372">
        <v>0.41182410000000003</v>
      </c>
      <c r="F7372" t="s">
        <v>45</v>
      </c>
      <c r="G7372">
        <v>-203.36109999999999</v>
      </c>
      <c r="H7372">
        <v>0.6965384</v>
      </c>
      <c r="I7372">
        <v>248.9325</v>
      </c>
      <c r="J7372">
        <v>-187.85339999999999</v>
      </c>
      <c r="K7372">
        <v>1.13273</v>
      </c>
      <c r="L7372">
        <v>-43.707819999999998</v>
      </c>
      <c r="M7372">
        <v>0.24852250000000001</v>
      </c>
      <c r="N7372">
        <v>-1.519129E-2</v>
      </c>
      <c r="O7372">
        <v>0.96850700000000001</v>
      </c>
      <c r="P7372">
        <v>0.17603269999999999</v>
      </c>
      <c r="Q7372">
        <v>0.1827049</v>
      </c>
      <c r="R7372">
        <v>0.96728040000000004</v>
      </c>
      <c r="S7372">
        <v>-0.16577149999999999</v>
      </c>
      <c r="T7372">
        <v>-4.6811099999999996E-3</v>
      </c>
      <c r="U7372">
        <v>3.143494</v>
      </c>
      <c r="V7372">
        <v>-7.5254189999999999E-2</v>
      </c>
      <c r="W7372">
        <v>0.19560839999999999</v>
      </c>
      <c r="X7372">
        <v>0.97779050000000001</v>
      </c>
      <c r="Y7372">
        <v>-0.2991723</v>
      </c>
      <c r="Z7372">
        <v>1.3909019999999999E-2</v>
      </c>
      <c r="AA7372">
        <v>0.95409770000000005</v>
      </c>
      <c r="AB7372">
        <v>30</v>
      </c>
      <c r="AC7372">
        <v>-15.5077</v>
      </c>
      <c r="AD7372">
        <v>-0.43619160000000001</v>
      </c>
      <c r="AE7372">
        <v>292.64031999999997</v>
      </c>
      <c r="AF7372">
        <v>-87.756951420575504</v>
      </c>
      <c r="AG7372">
        <v>-0.43619160000000001</v>
      </c>
      <c r="AH7372">
        <v>279.60182868035702</v>
      </c>
      <c r="AI7372">
        <v>90.085282018834903</v>
      </c>
      <c r="AJ7372">
        <v>107.42519600145</v>
      </c>
      <c r="AK7372">
        <v>293.05060209312802</v>
      </c>
      <c r="AL7372">
        <v>78.719733766788494</v>
      </c>
      <c r="AM7372">
        <v>94.401008427853498</v>
      </c>
      <c r="AN7372">
        <v>1.00000005057668</v>
      </c>
    </row>
    <row r="7373" spans="1:40" x14ac:dyDescent="0.25">
      <c r="A7373" t="str">
        <f>"20190303170430992"</f>
        <v>20190303170430992</v>
      </c>
      <c r="B7373" t="str">
        <f>"1551603870983290"</f>
        <v>1551603870983290</v>
      </c>
      <c r="C7373" t="s">
        <v>40</v>
      </c>
      <c r="D7373">
        <v>5.1093390000000003</v>
      </c>
      <c r="E7373">
        <v>0.41301599999999999</v>
      </c>
      <c r="F7373" t="s">
        <v>42</v>
      </c>
      <c r="G7373">
        <v>-196.0985</v>
      </c>
      <c r="H7373" s="1">
        <v>-3.1369699999999998E-6</v>
      </c>
      <c r="I7373">
        <v>103.119</v>
      </c>
      <c r="J7373">
        <v>-187.79400000000001</v>
      </c>
      <c r="K7373">
        <v>1.132728</v>
      </c>
      <c r="L7373">
        <v>-43.423949999999998</v>
      </c>
      <c r="M7373">
        <v>0.23549510000000001</v>
      </c>
      <c r="N7373">
        <v>-1.519799E-2</v>
      </c>
      <c r="O7373">
        <v>0.97175670000000003</v>
      </c>
      <c r="P7373">
        <v>0.16353980000000001</v>
      </c>
      <c r="Q7373">
        <v>0.18319199999999999</v>
      </c>
      <c r="R7373">
        <v>0.96937890000000004</v>
      </c>
      <c r="S7373">
        <v>-0.17622380000000001</v>
      </c>
      <c r="T7373">
        <v>-2.420986E-2</v>
      </c>
      <c r="U7373">
        <v>3.1381230000000002</v>
      </c>
      <c r="V7373">
        <v>-7.4727520000000006E-2</v>
      </c>
      <c r="W7373">
        <v>0.19611619999999999</v>
      </c>
      <c r="X7373">
        <v>0.97772910000000002</v>
      </c>
      <c r="Y7373">
        <v>-0.2895895</v>
      </c>
      <c r="Z7373">
        <v>8.0832690000000006E-3</v>
      </c>
      <c r="AA7373">
        <v>0.95711679999999999</v>
      </c>
      <c r="AB7373">
        <v>30</v>
      </c>
      <c r="AC7373">
        <v>-8.3044999999999902</v>
      </c>
      <c r="AD7373">
        <v>-1.1327311369699999</v>
      </c>
      <c r="AE7373">
        <v>146.54294999999999</v>
      </c>
      <c r="AF7373">
        <v>-42.582482400847297</v>
      </c>
      <c r="AG7373">
        <v>-1.1327311369699999</v>
      </c>
      <c r="AH7373">
        <v>140.45628208487801</v>
      </c>
      <c r="AI7373">
        <v>90.442186571348998</v>
      </c>
      <c r="AJ7373">
        <v>106.86586062008</v>
      </c>
      <c r="AK7373">
        <v>146.77369677280001</v>
      </c>
      <c r="AL7373">
        <v>78.6900635019324</v>
      </c>
      <c r="AM7373">
        <v>94.370600896597907</v>
      </c>
      <c r="AN7373">
        <v>0.99999997956730002</v>
      </c>
    </row>
    <row r="7374" spans="1:40" x14ac:dyDescent="0.25">
      <c r="A7374" t="str">
        <f>"20190303170431015"</f>
        <v>20190303170431015</v>
      </c>
      <c r="B7374" t="str">
        <f>"1551603871002810"</f>
        <v>1551603871002810</v>
      </c>
      <c r="C7374" t="s">
        <v>40</v>
      </c>
      <c r="D7374">
        <v>5.1027800000000001</v>
      </c>
      <c r="E7374">
        <v>0.41355170000000002</v>
      </c>
      <c r="F7374" t="s">
        <v>42</v>
      </c>
      <c r="G7374">
        <v>-195.3409</v>
      </c>
      <c r="H7374" s="1">
        <v>-2.0304040000000002E-6</v>
      </c>
      <c r="I7374">
        <v>71.00949</v>
      </c>
      <c r="J7374">
        <v>-187.7355</v>
      </c>
      <c r="K7374">
        <v>1.1327259999999999</v>
      </c>
      <c r="L7374">
        <v>-43.123840000000001</v>
      </c>
      <c r="M7374">
        <v>0.22170409999999999</v>
      </c>
      <c r="N7374">
        <v>-1.5203639999999999E-2</v>
      </c>
      <c r="O7374">
        <v>0.97499539999999996</v>
      </c>
      <c r="P7374">
        <v>0.1517896</v>
      </c>
      <c r="Q7374">
        <v>0.1843805</v>
      </c>
      <c r="R7374">
        <v>0.97106320000000002</v>
      </c>
      <c r="S7374">
        <v>-0.2067871</v>
      </c>
      <c r="T7374">
        <v>-3.1037329999999998E-2</v>
      </c>
      <c r="U7374">
        <v>3.135529</v>
      </c>
      <c r="V7374">
        <v>-7.2689589999999998E-2</v>
      </c>
      <c r="W7374">
        <v>0.19736590000000001</v>
      </c>
      <c r="X7374">
        <v>0.97763129999999998</v>
      </c>
      <c r="Y7374">
        <v>-0.2853619</v>
      </c>
      <c r="Z7374">
        <v>6.0051019999999896E-3</v>
      </c>
      <c r="AA7374">
        <v>0.95840099999999995</v>
      </c>
      <c r="AB7374">
        <v>30</v>
      </c>
      <c r="AC7374">
        <v>-7.6054000000000004</v>
      </c>
      <c r="AD7374">
        <v>-1.1327280304039999</v>
      </c>
      <c r="AE7374">
        <v>114.13333</v>
      </c>
      <c r="AF7374">
        <v>-32.719632653761003</v>
      </c>
      <c r="AG7374">
        <v>-1.1327280304039999</v>
      </c>
      <c r="AH7374">
        <v>109.595250795296</v>
      </c>
      <c r="AI7374">
        <v>90.567416681533899</v>
      </c>
      <c r="AJ7374">
        <v>106.622980546432</v>
      </c>
      <c r="AK7374">
        <v>114.38083943857001</v>
      </c>
      <c r="AL7374">
        <v>78.617034056014006</v>
      </c>
      <c r="AM7374">
        <v>94.252275131872395</v>
      </c>
      <c r="AN7374">
        <v>1.00000001685843</v>
      </c>
    </row>
    <row r="7375" spans="1:40" x14ac:dyDescent="0.25">
      <c r="A7375" t="str">
        <f>"20190303170431030"</f>
        <v>20190303170431030</v>
      </c>
      <c r="B7375" t="str">
        <f>"1551603871023306"</f>
        <v>1551603871023306</v>
      </c>
      <c r="C7375" t="s">
        <v>40</v>
      </c>
      <c r="D7375">
        <v>5.0970879999999896</v>
      </c>
      <c r="E7375">
        <v>0.42222389999999999</v>
      </c>
      <c r="F7375" t="s">
        <v>42</v>
      </c>
      <c r="G7375">
        <v>-199.73259999999999</v>
      </c>
      <c r="H7375" s="1">
        <v>-3.6648200000000002E-6</v>
      </c>
      <c r="I7375">
        <v>112.6829</v>
      </c>
      <c r="J7375">
        <v>-187.69919999999999</v>
      </c>
      <c r="K7375">
        <v>1.132722</v>
      </c>
      <c r="L7375">
        <v>-42.923430000000003</v>
      </c>
      <c r="M7375">
        <v>0.2124923</v>
      </c>
      <c r="N7375">
        <v>-1.520634E-2</v>
      </c>
      <c r="O7375">
        <v>0.97704440000000004</v>
      </c>
      <c r="P7375">
        <v>0.14403929999999901</v>
      </c>
      <c r="Q7375">
        <v>0.18467249999999999</v>
      </c>
      <c r="R7375">
        <v>0.97218760000000004</v>
      </c>
      <c r="S7375">
        <v>-0.24111940000000001</v>
      </c>
      <c r="T7375">
        <v>-2.276564E-2</v>
      </c>
      <c r="U7375">
        <v>3.1314090000000001</v>
      </c>
      <c r="V7375">
        <v>-7.1249720000000002E-2</v>
      </c>
      <c r="W7375">
        <v>0.19770099999999999</v>
      </c>
      <c r="X7375">
        <v>0.97766960000000003</v>
      </c>
      <c r="Y7375">
        <v>-0.28685699999999997</v>
      </c>
      <c r="Z7375">
        <v>8.4757229999999992E-3</v>
      </c>
      <c r="AA7375">
        <v>0.95793589999999995</v>
      </c>
      <c r="AB7375">
        <v>30</v>
      </c>
      <c r="AC7375">
        <v>-12.0334</v>
      </c>
      <c r="AD7375">
        <v>-1.1327256648199999</v>
      </c>
      <c r="AE7375">
        <v>155.60633000000001</v>
      </c>
      <c r="AF7375">
        <v>-44.825135637546197</v>
      </c>
      <c r="AG7375">
        <v>-1.1327256648199999</v>
      </c>
      <c r="AH7375">
        <v>149.486701530885</v>
      </c>
      <c r="AI7375">
        <v>90.415853754892893</v>
      </c>
      <c r="AJ7375">
        <v>106.691903608967</v>
      </c>
      <c r="AK7375">
        <v>156.066811933031</v>
      </c>
      <c r="AL7375">
        <v>78.597448447805306</v>
      </c>
      <c r="AM7375">
        <v>94.168181201416502</v>
      </c>
      <c r="AN7375">
        <v>1.00000002738261</v>
      </c>
    </row>
    <row r="7376" spans="1:40" x14ac:dyDescent="0.25">
      <c r="A7376" t="str">
        <f>"20190303170431046"</f>
        <v>20190303170431046</v>
      </c>
      <c r="B7376" t="str">
        <f>"1551603871033067"</f>
        <v>1551603871033067</v>
      </c>
      <c r="C7376" t="s">
        <v>40</v>
      </c>
      <c r="D7376">
        <v>5.114662</v>
      </c>
      <c r="E7376">
        <v>0.4229733</v>
      </c>
      <c r="F7376" t="s">
        <v>42</v>
      </c>
      <c r="G7376">
        <v>-194.3768</v>
      </c>
      <c r="H7376" s="1">
        <v>-2.3328400000000002E-6</v>
      </c>
      <c r="I7376">
        <v>62.312370000000001</v>
      </c>
      <c r="J7376">
        <v>-187.66329999999999</v>
      </c>
      <c r="K7376">
        <v>1.1327160000000001</v>
      </c>
      <c r="L7376">
        <v>-42.713650000000001</v>
      </c>
      <c r="M7376">
        <v>0.20284260000000001</v>
      </c>
      <c r="N7376">
        <v>-1.5208549999999999E-2</v>
      </c>
      <c r="O7376">
        <v>0.97909330000000006</v>
      </c>
      <c r="P7376">
        <v>0.13686879999999901</v>
      </c>
      <c r="Q7376">
        <v>0.18446460000000001</v>
      </c>
      <c r="R7376">
        <v>0.97326239999999997</v>
      </c>
      <c r="S7376">
        <v>-0.19807430000000001</v>
      </c>
      <c r="T7376">
        <v>-3.3599379999999998E-2</v>
      </c>
      <c r="U7376">
        <v>3.1215519999999999</v>
      </c>
      <c r="V7376">
        <v>-6.8802520000000006E-2</v>
      </c>
      <c r="W7376">
        <v>0.1975664</v>
      </c>
      <c r="X7376">
        <v>0.97787199999999996</v>
      </c>
      <c r="Y7376">
        <v>-0.26441530000000002</v>
      </c>
      <c r="Z7376">
        <v>5.0831840000000001E-3</v>
      </c>
      <c r="AA7376">
        <v>0.96439549999999996</v>
      </c>
      <c r="AB7376">
        <v>30</v>
      </c>
      <c r="AC7376">
        <v>-6.7135000000000096</v>
      </c>
      <c r="AD7376">
        <v>-1.1327183328399999</v>
      </c>
      <c r="AE7376">
        <v>105.02602</v>
      </c>
      <c r="AF7376">
        <v>-27.876887404201401</v>
      </c>
      <c r="AG7376">
        <v>-1.1327183328399999</v>
      </c>
      <c r="AH7376">
        <v>101.468465308877</v>
      </c>
      <c r="AI7376">
        <v>90.616730917873099</v>
      </c>
      <c r="AJ7376">
        <v>105.362107430292</v>
      </c>
      <c r="AK7376">
        <v>105.234278418711</v>
      </c>
      <c r="AL7376">
        <v>78.605314840099098</v>
      </c>
      <c r="AM7376">
        <v>94.024666033236699</v>
      </c>
      <c r="AN7376">
        <v>0.99999995877565395</v>
      </c>
    </row>
    <row r="7377" spans="1:40" x14ac:dyDescent="0.25">
      <c r="A7377" t="str">
        <f>"20190303170431070"</f>
        <v>20190303170431070</v>
      </c>
      <c r="B7377" t="str">
        <f>"1551603871063323"</f>
        <v>1551603871063323</v>
      </c>
      <c r="C7377" t="s">
        <v>40</v>
      </c>
      <c r="D7377">
        <v>5.1263959999999997</v>
      </c>
      <c r="E7377">
        <v>0.4247688</v>
      </c>
      <c r="F7377" t="s">
        <v>42</v>
      </c>
      <c r="G7377">
        <v>-194.66730000000001</v>
      </c>
      <c r="H7377" s="1">
        <v>-4.9173000000000003E-6</v>
      </c>
      <c r="I7377">
        <v>59.00365</v>
      </c>
      <c r="J7377">
        <v>-187.61429999999999</v>
      </c>
      <c r="K7377">
        <v>1.1326940000000001</v>
      </c>
      <c r="L7377">
        <v>-42.407380000000003</v>
      </c>
      <c r="M7377">
        <v>0.18875449999999999</v>
      </c>
      <c r="N7377">
        <v>-1.5210410000000001E-2</v>
      </c>
      <c r="O7377">
        <v>0.98190650000000002</v>
      </c>
      <c r="P7377">
        <v>0.1241693</v>
      </c>
      <c r="Q7377">
        <v>0.18454429999999999</v>
      </c>
      <c r="R7377">
        <v>0.97494890000000001</v>
      </c>
      <c r="S7377">
        <v>-0.21478269999999999</v>
      </c>
      <c r="T7377">
        <v>-3.473532E-2</v>
      </c>
      <c r="U7377">
        <v>3.119202</v>
      </c>
      <c r="V7377">
        <v>-6.7487699999999998E-2</v>
      </c>
      <c r="W7377">
        <v>0.19768749999999999</v>
      </c>
      <c r="X7377">
        <v>0.97793920000000001</v>
      </c>
      <c r="Y7377">
        <v>-0.25573859999999998</v>
      </c>
      <c r="Z7377">
        <v>4.6740999999999996E-3</v>
      </c>
      <c r="AA7377">
        <v>0.9667346</v>
      </c>
      <c r="AB7377">
        <v>30</v>
      </c>
      <c r="AC7377">
        <v>-7.0530000000000204</v>
      </c>
      <c r="AD7377">
        <v>-1.1326989172999999</v>
      </c>
      <c r="AE7377">
        <v>101.41103</v>
      </c>
      <c r="AF7377">
        <v>-26.066954499367299</v>
      </c>
      <c r="AG7377">
        <v>-1.1326989172999999</v>
      </c>
      <c r="AH7377">
        <v>98.244033721692006</v>
      </c>
      <c r="AI7377">
        <v>90.638469346825701</v>
      </c>
      <c r="AJ7377">
        <v>104.859819023605</v>
      </c>
      <c r="AK7377">
        <v>101.649689058148</v>
      </c>
      <c r="AL7377">
        <v>78.598237291248907</v>
      </c>
      <c r="AM7377">
        <v>93.947729583722904</v>
      </c>
      <c r="AN7377">
        <v>1.0000000081020799</v>
      </c>
    </row>
    <row r="7378" spans="1:40" x14ac:dyDescent="0.25">
      <c r="A7378" t="str">
        <f>"20190303170431093"</f>
        <v>20190303170431093</v>
      </c>
      <c r="B7378" t="str">
        <f>"1551603871082843"</f>
        <v>1551603871082843</v>
      </c>
      <c r="C7378" t="s">
        <v>40</v>
      </c>
      <c r="D7378">
        <v>5.1375229999999998</v>
      </c>
      <c r="E7378">
        <v>0.42560959999999998</v>
      </c>
      <c r="F7378" t="s">
        <v>42</v>
      </c>
      <c r="G7378">
        <v>-194.64920000000001</v>
      </c>
      <c r="H7378" s="1">
        <v>-4.8366959999999997E-6</v>
      </c>
      <c r="I7378">
        <v>48.776260000000001</v>
      </c>
      <c r="J7378">
        <v>-187.57050000000001</v>
      </c>
      <c r="K7378">
        <v>1.132666</v>
      </c>
      <c r="L7378">
        <v>-42.106540000000003</v>
      </c>
      <c r="M7378">
        <v>0.17492360000000001</v>
      </c>
      <c r="N7378">
        <v>-1.521029E-2</v>
      </c>
      <c r="O7378">
        <v>0.98446449999999996</v>
      </c>
      <c r="P7378">
        <v>0.1119271</v>
      </c>
      <c r="Q7378">
        <v>0.1850859</v>
      </c>
      <c r="R7378">
        <v>0.97632750000000001</v>
      </c>
      <c r="S7378">
        <v>-0.24032590000000001</v>
      </c>
      <c r="T7378">
        <v>-3.8695340000000002E-2</v>
      </c>
      <c r="U7378">
        <v>3.115021</v>
      </c>
      <c r="V7378">
        <v>-6.5980929999999993E-2</v>
      </c>
      <c r="W7378">
        <v>0.19827410000000001</v>
      </c>
      <c r="X7378">
        <v>0.97792330000000005</v>
      </c>
      <c r="Y7378">
        <v>-0.2501082</v>
      </c>
      <c r="Z7378">
        <v>3.3959950000000002E-3</v>
      </c>
      <c r="AA7378">
        <v>0.96821190000000001</v>
      </c>
      <c r="AB7378">
        <v>30</v>
      </c>
      <c r="AC7378">
        <v>-7.0786999999999898</v>
      </c>
      <c r="AD7378">
        <v>-1.1326708366960001</v>
      </c>
      <c r="AE7378">
        <v>90.882800000000003</v>
      </c>
      <c r="AF7378">
        <v>-22.865391123556801</v>
      </c>
      <c r="AG7378">
        <v>-1.1326708366960001</v>
      </c>
      <c r="AH7378">
        <v>88.229246431918199</v>
      </c>
      <c r="AI7378">
        <v>90.711993422766596</v>
      </c>
      <c r="AJ7378">
        <v>104.529064917803</v>
      </c>
      <c r="AK7378">
        <v>91.151022925701099</v>
      </c>
      <c r="AL7378">
        <v>78.563949262784703</v>
      </c>
      <c r="AM7378">
        <v>93.859922280023696</v>
      </c>
      <c r="AN7378">
        <v>1.00000004126868</v>
      </c>
    </row>
    <row r="7379" spans="1:40" x14ac:dyDescent="0.25">
      <c r="A7379" t="str">
        <f>"20190303170431117"</f>
        <v>20190303170431117</v>
      </c>
      <c r="B7379" t="str">
        <f>"1551603871113099"</f>
        <v>1551603871113099</v>
      </c>
      <c r="C7379" t="s">
        <v>40</v>
      </c>
      <c r="D7379">
        <v>5.1415519999999999</v>
      </c>
      <c r="E7379">
        <v>0.43336980000000003</v>
      </c>
      <c r="F7379" t="s">
        <v>42</v>
      </c>
      <c r="G7379">
        <v>-195.56909999999999</v>
      </c>
      <c r="H7379" s="1">
        <v>-5.1236280000000003E-6</v>
      </c>
      <c r="I7379">
        <v>49.139919999999996</v>
      </c>
      <c r="J7379">
        <v>-187.53120000000001</v>
      </c>
      <c r="K7379">
        <v>1.13262</v>
      </c>
      <c r="L7379">
        <v>-41.806150000000002</v>
      </c>
      <c r="M7379">
        <v>0.16115019999999999</v>
      </c>
      <c r="N7379">
        <v>-1.520734E-2</v>
      </c>
      <c r="O7379">
        <v>0.98681269999999999</v>
      </c>
      <c r="P7379">
        <v>0.10053620000000001</v>
      </c>
      <c r="Q7379">
        <v>0.18514820000000001</v>
      </c>
      <c r="R7379">
        <v>0.97755440000000005</v>
      </c>
      <c r="S7379">
        <v>-0.27273560000000002</v>
      </c>
      <c r="T7379">
        <v>-3.8621900000000001E-2</v>
      </c>
      <c r="U7379">
        <v>3.1113279999999999</v>
      </c>
      <c r="V7379">
        <v>-6.3691339999999999E-2</v>
      </c>
      <c r="W7379">
        <v>0.19840260000000001</v>
      </c>
      <c r="X7379">
        <v>0.97804899999999995</v>
      </c>
      <c r="Y7379">
        <v>-0.24668329999999999</v>
      </c>
      <c r="Z7379">
        <v>3.3621879999999999E-3</v>
      </c>
      <c r="AA7379">
        <v>0.96909029999999996</v>
      </c>
      <c r="AB7379">
        <v>30</v>
      </c>
      <c r="AC7379">
        <v>-8.0378999999999792</v>
      </c>
      <c r="AD7379">
        <v>-1.1326251236280001</v>
      </c>
      <c r="AE7379">
        <v>90.946069999999906</v>
      </c>
      <c r="AF7379">
        <v>-22.587015969307402</v>
      </c>
      <c r="AG7379">
        <v>-1.1326251236280001</v>
      </c>
      <c r="AH7379">
        <v>88.448047503962698</v>
      </c>
      <c r="AI7379">
        <v>90.710853071903998</v>
      </c>
      <c r="AJ7379">
        <v>104.325478347886</v>
      </c>
      <c r="AK7379">
        <v>91.293555289142205</v>
      </c>
      <c r="AL7379">
        <v>78.556437189954806</v>
      </c>
      <c r="AM7379">
        <v>93.725886519530704</v>
      </c>
      <c r="AN7379">
        <v>1.00000001243937</v>
      </c>
    </row>
    <row r="7380" spans="1:40" x14ac:dyDescent="0.25">
      <c r="A7380" t="str">
        <f>"20190303170431137"</f>
        <v>20190303170431137</v>
      </c>
      <c r="B7380" t="str">
        <f>"1551603871132619"</f>
        <v>1551603871132619</v>
      </c>
      <c r="C7380" t="s">
        <v>40</v>
      </c>
      <c r="D7380">
        <v>5.1145009999999997</v>
      </c>
      <c r="E7380">
        <v>0.43470920000000002</v>
      </c>
      <c r="F7380" t="s">
        <v>42</v>
      </c>
      <c r="G7380">
        <v>-192.01220000000001</v>
      </c>
      <c r="H7380" s="1">
        <v>-2.449369E-6</v>
      </c>
      <c r="I7380">
        <v>14.050649999999999</v>
      </c>
      <c r="J7380">
        <v>-187.4982</v>
      </c>
      <c r="K7380">
        <v>1.132557</v>
      </c>
      <c r="L7380">
        <v>-41.523800000000001</v>
      </c>
      <c r="M7380">
        <v>0.14826839999999999</v>
      </c>
      <c r="N7380">
        <v>-1.520007E-2</v>
      </c>
      <c r="O7380">
        <v>0.98883030000000005</v>
      </c>
      <c r="P7380">
        <v>9.0334330000000004E-2</v>
      </c>
      <c r="Q7380">
        <v>0.18426409999999999</v>
      </c>
      <c r="R7380">
        <v>0.9787167</v>
      </c>
      <c r="S7380">
        <v>-0.2492065</v>
      </c>
      <c r="T7380">
        <v>-6.2990190000000001E-2</v>
      </c>
      <c r="U7380">
        <v>3.1064449999999999</v>
      </c>
      <c r="V7380">
        <v>-6.1103610000000003E-2</v>
      </c>
      <c r="W7380">
        <v>0.19759399999999999</v>
      </c>
      <c r="X7380">
        <v>0.97837770000000002</v>
      </c>
      <c r="Y7380">
        <v>-0.2268299</v>
      </c>
      <c r="Z7380">
        <v>-4.3502439999999996E-3</v>
      </c>
      <c r="AA7380">
        <v>0.97392469999999998</v>
      </c>
      <c r="AB7380">
        <v>30</v>
      </c>
      <c r="AC7380">
        <v>-4.5140000000000002</v>
      </c>
      <c r="AD7380">
        <v>-1.1325594493690001</v>
      </c>
      <c r="AE7380">
        <v>55.574449999999999</v>
      </c>
      <c r="AF7380">
        <v>-12.699743272312899</v>
      </c>
      <c r="AG7380">
        <v>-1.1325594493690001</v>
      </c>
      <c r="AH7380">
        <v>54.2683002737339</v>
      </c>
      <c r="AI7380">
        <v>91.164125883881894</v>
      </c>
      <c r="AJ7380">
        <v>103.171203842022</v>
      </c>
      <c r="AK7380">
        <v>55.745982677580997</v>
      </c>
      <c r="AL7380">
        <v>78.603701943107794</v>
      </c>
      <c r="AM7380">
        <v>93.573709549154302</v>
      </c>
      <c r="AN7380">
        <v>0.99999998192416095</v>
      </c>
    </row>
    <row r="7381" spans="1:40" x14ac:dyDescent="0.25">
      <c r="A7381" t="str">
        <f>"20190303170431155"</f>
        <v>20190303170431155</v>
      </c>
      <c r="B7381" t="str">
        <f>"1551603871143355"</f>
        <v>1551603871143355</v>
      </c>
      <c r="C7381" t="s">
        <v>40</v>
      </c>
      <c r="D7381">
        <v>5.1171790000000001</v>
      </c>
      <c r="E7381">
        <v>0.43549159999999998</v>
      </c>
      <c r="F7381" t="s">
        <v>42</v>
      </c>
      <c r="G7381">
        <v>-192.06569999999999</v>
      </c>
      <c r="H7381" s="1">
        <v>-9.8304160000000008E-7</v>
      </c>
      <c r="I7381">
        <v>10.599410000000001</v>
      </c>
      <c r="J7381">
        <v>-187.47389999999999</v>
      </c>
      <c r="K7381">
        <v>1.1324959999999999</v>
      </c>
      <c r="L7381">
        <v>-41.294130000000003</v>
      </c>
      <c r="M7381">
        <v>0.1378306</v>
      </c>
      <c r="N7381">
        <v>-1.519125E-2</v>
      </c>
      <c r="O7381">
        <v>0.99033930000000003</v>
      </c>
      <c r="P7381">
        <v>8.0437670000000003E-2</v>
      </c>
      <c r="Q7381">
        <v>0.18305060000000001</v>
      </c>
      <c r="R7381">
        <v>0.97980730000000005</v>
      </c>
      <c r="S7381">
        <v>-0.27191159999999998</v>
      </c>
      <c r="T7381">
        <v>-6.7424059999999994E-2</v>
      </c>
      <c r="U7381">
        <v>3.103027</v>
      </c>
      <c r="V7381">
        <v>-6.0642630000000003E-2</v>
      </c>
      <c r="W7381">
        <v>0.19639580000000001</v>
      </c>
      <c r="X7381">
        <v>0.97864759999999995</v>
      </c>
      <c r="Y7381">
        <v>-0.2237159</v>
      </c>
      <c r="Z7381">
        <v>-5.813581E-3</v>
      </c>
      <c r="AA7381">
        <v>0.97463710000000003</v>
      </c>
      <c r="AB7381">
        <v>30</v>
      </c>
      <c r="AC7381">
        <v>-4.5918000000000001</v>
      </c>
      <c r="AD7381">
        <v>-1.1324969830415901</v>
      </c>
      <c r="AE7381">
        <v>51.893540000000002</v>
      </c>
      <c r="AF7381">
        <v>-11.695781138734199</v>
      </c>
      <c r="AG7381">
        <v>-1.1324969830415901</v>
      </c>
      <c r="AH7381">
        <v>50.741201629517299</v>
      </c>
      <c r="AI7381">
        <v>91.245918276738294</v>
      </c>
      <c r="AJ7381">
        <v>102.979899506004</v>
      </c>
      <c r="AK7381">
        <v>52.084003193582397</v>
      </c>
      <c r="AL7381">
        <v>78.673725905662195</v>
      </c>
      <c r="AM7381">
        <v>93.545842052635905</v>
      </c>
      <c r="AN7381">
        <v>0.99999998190835804</v>
      </c>
    </row>
    <row r="7382" spans="1:40" x14ac:dyDescent="0.25">
      <c r="A7382" t="str">
        <f>"20190303170431174"</f>
        <v>20190303170431174</v>
      </c>
      <c r="B7382" t="str">
        <f>"1551603871162875"</f>
        <v>1551603871162875</v>
      </c>
      <c r="C7382" t="s">
        <v>40</v>
      </c>
      <c r="D7382">
        <v>5.1276840000000004</v>
      </c>
      <c r="E7382">
        <v>0.44213150000000001</v>
      </c>
      <c r="F7382" t="s">
        <v>42</v>
      </c>
      <c r="G7382">
        <v>-192.03700000000001</v>
      </c>
      <c r="H7382" s="1">
        <v>-3.4167729999999999E-6</v>
      </c>
      <c r="I7382">
        <v>6.2903140000000004</v>
      </c>
      <c r="J7382">
        <v>-187.45</v>
      </c>
      <c r="K7382">
        <v>1.1324019999999999</v>
      </c>
      <c r="L7382">
        <v>-41.040039999999998</v>
      </c>
      <c r="M7382">
        <v>0.126357199999999</v>
      </c>
      <c r="N7382">
        <v>-1.5179440000000001E-2</v>
      </c>
      <c r="O7382">
        <v>0.99186870000000005</v>
      </c>
      <c r="P7382">
        <v>7.0149669999999997E-2</v>
      </c>
      <c r="Q7382">
        <v>0.1821313</v>
      </c>
      <c r="R7382">
        <v>0.98076870000000005</v>
      </c>
      <c r="S7382">
        <v>-0.29727170000000003</v>
      </c>
      <c r="T7382">
        <v>-7.3779460000000005E-2</v>
      </c>
      <c r="U7382">
        <v>3.100006</v>
      </c>
      <c r="V7382">
        <v>-5.954272E-2</v>
      </c>
      <c r="W7382">
        <v>0.19550790000000001</v>
      </c>
      <c r="X7382">
        <v>0.97889289999999995</v>
      </c>
      <c r="Y7382">
        <v>-0.2204171</v>
      </c>
      <c r="Z7382">
        <v>-7.8904609999999997E-3</v>
      </c>
      <c r="AA7382">
        <v>0.97537379999999996</v>
      </c>
      <c r="AB7382">
        <v>30</v>
      </c>
      <c r="AC7382">
        <v>-4.5870000000000104</v>
      </c>
      <c r="AD7382">
        <v>-1.132405416773</v>
      </c>
      <c r="AE7382">
        <v>47.330354</v>
      </c>
      <c r="AF7382">
        <v>-10.525476647508199</v>
      </c>
      <c r="AG7382">
        <v>-1.132405416773</v>
      </c>
      <c r="AH7382">
        <v>46.344954591365301</v>
      </c>
      <c r="AI7382">
        <v>91.364956614297597</v>
      </c>
      <c r="AJ7382">
        <v>102.795487114254</v>
      </c>
      <c r="AK7382">
        <v>47.538645508269298</v>
      </c>
      <c r="AL7382">
        <v>78.725604692140095</v>
      </c>
      <c r="AM7382">
        <v>93.4808184235726</v>
      </c>
      <c r="AN7382">
        <v>0.99999999206890899</v>
      </c>
    </row>
    <row r="7383" spans="1:40" x14ac:dyDescent="0.25">
      <c r="A7383" t="str">
        <f>"20190303170431194"</f>
        <v>20190303170431194</v>
      </c>
      <c r="B7383" t="str">
        <f>"1551603871183371"</f>
        <v>1551603871183371</v>
      </c>
      <c r="C7383" t="s">
        <v>40</v>
      </c>
      <c r="D7383">
        <v>5.093197</v>
      </c>
      <c r="E7383">
        <v>0.44350260000000002</v>
      </c>
      <c r="F7383" t="s">
        <v>42</v>
      </c>
      <c r="G7383">
        <v>-191.0693</v>
      </c>
      <c r="H7383" s="1">
        <v>-4.423429E-6</v>
      </c>
      <c r="I7383">
        <v>-0.57214259999999995</v>
      </c>
      <c r="J7383">
        <v>-187.42920000000001</v>
      </c>
      <c r="K7383">
        <v>1.1322890000000001</v>
      </c>
      <c r="L7383">
        <v>-40.7883</v>
      </c>
      <c r="M7383">
        <v>0.1151181</v>
      </c>
      <c r="N7383">
        <v>-1.516376E-2</v>
      </c>
      <c r="O7383">
        <v>0.99323609999999896</v>
      </c>
      <c r="P7383">
        <v>6.1166119999999997E-2</v>
      </c>
      <c r="Q7383">
        <v>0.18268670000000001</v>
      </c>
      <c r="R7383">
        <v>0.98126670000000005</v>
      </c>
      <c r="S7383">
        <v>-0.2767792</v>
      </c>
      <c r="T7383">
        <v>-8.6598399999999895E-2</v>
      </c>
      <c r="U7383">
        <v>3.0946959999999999</v>
      </c>
      <c r="V7383">
        <v>-5.736728E-2</v>
      </c>
      <c r="W7383">
        <v>0.1961195</v>
      </c>
      <c r="X7383">
        <v>0.97890049999999995</v>
      </c>
      <c r="Y7383">
        <v>-0.20308899999999999</v>
      </c>
      <c r="Z7383">
        <v>-1.2107089999999999E-2</v>
      </c>
      <c r="AA7383">
        <v>0.97908539999999999</v>
      </c>
      <c r="AB7383">
        <v>30</v>
      </c>
      <c r="AC7383">
        <v>-3.6400999999999799</v>
      </c>
      <c r="AD7383">
        <v>-1.1322934234290001</v>
      </c>
      <c r="AE7383">
        <v>40.216157399999901</v>
      </c>
      <c r="AF7383">
        <v>-8.23955564133108</v>
      </c>
      <c r="AG7383">
        <v>-1.1322934234290001</v>
      </c>
      <c r="AH7383">
        <v>39.498584925514699</v>
      </c>
      <c r="AI7383">
        <v>91.607446962490698</v>
      </c>
      <c r="AJ7383">
        <v>101.783141127427</v>
      </c>
      <c r="AK7383">
        <v>40.364719455007098</v>
      </c>
      <c r="AL7383">
        <v>78.689871213405297</v>
      </c>
      <c r="AM7383">
        <v>93.353913814315007</v>
      </c>
      <c r="AN7383">
        <v>1.0000000259975399</v>
      </c>
    </row>
    <row r="7384" spans="1:40" x14ac:dyDescent="0.25">
      <c r="A7384" t="str">
        <f>"20190303170431215"</f>
        <v>20190303170431215</v>
      </c>
      <c r="B7384" t="str">
        <f>"1551603871202890"</f>
        <v>1551603871202890</v>
      </c>
      <c r="C7384" t="s">
        <v>40</v>
      </c>
      <c r="D7384">
        <v>5.0742880000000001</v>
      </c>
      <c r="E7384">
        <v>0.44453280000000001</v>
      </c>
      <c r="F7384" t="s">
        <v>42</v>
      </c>
      <c r="G7384">
        <v>-191.18729999999999</v>
      </c>
      <c r="H7384" s="1">
        <v>-4.1710369999999999E-6</v>
      </c>
      <c r="I7384">
        <v>-1.3752819999999999</v>
      </c>
      <c r="J7384">
        <v>-187.40870000000001</v>
      </c>
      <c r="K7384">
        <v>1.132123</v>
      </c>
      <c r="L7384">
        <v>-40.50217</v>
      </c>
      <c r="M7384">
        <v>0.1025327</v>
      </c>
      <c r="N7384">
        <v>-1.513696E-2</v>
      </c>
      <c r="O7384">
        <v>0.99461449999999996</v>
      </c>
      <c r="P7384">
        <v>5.1830950000000001E-2</v>
      </c>
      <c r="Q7384">
        <v>0.18217259999999999</v>
      </c>
      <c r="R7384">
        <v>0.98189950000000004</v>
      </c>
      <c r="S7384">
        <v>-0.29484559999999999</v>
      </c>
      <c r="T7384">
        <v>-8.8835360000000002E-2</v>
      </c>
      <c r="U7384">
        <v>3.0921940000000001</v>
      </c>
      <c r="V7384">
        <v>-5.4193970000000001E-2</v>
      </c>
      <c r="W7384">
        <v>0.19568459999999999</v>
      </c>
      <c r="X7384">
        <v>0.97916829999999999</v>
      </c>
      <c r="Y7384">
        <v>-0.19642879999999999</v>
      </c>
      <c r="Z7384">
        <v>-1.293798E-2</v>
      </c>
      <c r="AA7384">
        <v>0.98043270000000005</v>
      </c>
      <c r="AB7384">
        <v>30</v>
      </c>
      <c r="AC7384">
        <v>-3.77859999999998</v>
      </c>
      <c r="AD7384">
        <v>-1.132127171037</v>
      </c>
      <c r="AE7384">
        <v>39.126888000000001</v>
      </c>
      <c r="AF7384">
        <v>-7.7644852842292904</v>
      </c>
      <c r="AG7384">
        <v>-1.132127171037</v>
      </c>
      <c r="AH7384">
        <v>38.501217031269498</v>
      </c>
      <c r="AI7384">
        <v>91.651074197273303</v>
      </c>
      <c r="AJ7384">
        <v>101.401827786239</v>
      </c>
      <c r="AK7384">
        <v>39.2926539769119</v>
      </c>
      <c r="AL7384">
        <v>78.715281263901502</v>
      </c>
      <c r="AM7384">
        <v>93.167914018885199</v>
      </c>
      <c r="AN7384">
        <v>1.0000000043932</v>
      </c>
    </row>
    <row r="7385" spans="1:40" x14ac:dyDescent="0.25">
      <c r="A7385" t="str">
        <f>"20190303170431237"</f>
        <v>20190303170431237</v>
      </c>
      <c r="B7385" t="str">
        <f>"1551603871222411"</f>
        <v>1551603871222411</v>
      </c>
      <c r="C7385" t="s">
        <v>40</v>
      </c>
      <c r="D7385">
        <v>5.0783160000000001</v>
      </c>
      <c r="E7385">
        <v>0.44513849999999999</v>
      </c>
      <c r="F7385" t="s">
        <v>42</v>
      </c>
      <c r="G7385">
        <v>-191.42230000000001</v>
      </c>
      <c r="H7385" s="1">
        <v>-4.2282940000000001E-6</v>
      </c>
      <c r="I7385">
        <v>-1.3295349999999999</v>
      </c>
      <c r="J7385">
        <v>-187.3922</v>
      </c>
      <c r="K7385">
        <v>1.1319330000000001</v>
      </c>
      <c r="L7385">
        <v>-40.224330000000002</v>
      </c>
      <c r="M7385">
        <v>9.0553729999999999E-2</v>
      </c>
      <c r="N7385">
        <v>-1.5102549999999999E-2</v>
      </c>
      <c r="O7385">
        <v>0.99577709999999997</v>
      </c>
      <c r="P7385">
        <v>4.199282E-2</v>
      </c>
      <c r="Q7385">
        <v>0.17917369999999999</v>
      </c>
      <c r="R7385">
        <v>0.98292080000000004</v>
      </c>
      <c r="S7385">
        <v>-0.31645200000000001</v>
      </c>
      <c r="T7385">
        <v>-8.926249E-2</v>
      </c>
      <c r="U7385">
        <v>3.088562</v>
      </c>
      <c r="V7385">
        <v>-5.2093390000000003E-2</v>
      </c>
      <c r="W7385">
        <v>0.1927373</v>
      </c>
      <c r="X7385">
        <v>0.97986660000000003</v>
      </c>
      <c r="Y7385">
        <v>-0.19152669999999999</v>
      </c>
      <c r="Z7385">
        <v>-1.319932E-2</v>
      </c>
      <c r="AA7385">
        <v>0.98139860000000001</v>
      </c>
      <c r="AB7385">
        <v>30</v>
      </c>
      <c r="AC7385">
        <v>-4.0301</v>
      </c>
      <c r="AD7385">
        <v>-1.1319372282939999</v>
      </c>
      <c r="AE7385">
        <v>38.894795000000002</v>
      </c>
      <c r="AF7385">
        <v>-7.5296995723420599</v>
      </c>
      <c r="AG7385">
        <v>-1.1319372282939999</v>
      </c>
      <c r="AH7385">
        <v>38.337854166257898</v>
      </c>
      <c r="AI7385">
        <v>91.659498607226894</v>
      </c>
      <c r="AJ7385">
        <v>101.111672995464</v>
      </c>
      <c r="AK7385">
        <v>39.086682125908098</v>
      </c>
      <c r="AL7385">
        <v>78.887426497439506</v>
      </c>
      <c r="AM7385">
        <v>93.043193988359505</v>
      </c>
      <c r="AN7385">
        <v>0.99999997094426996</v>
      </c>
    </row>
    <row r="7386" spans="1:40" x14ac:dyDescent="0.25">
      <c r="A7386" t="str">
        <f>"20190303170431259"</f>
        <v>20190303170431259</v>
      </c>
      <c r="B7386" t="str">
        <f>"1551603871252667"</f>
        <v>1551603871252667</v>
      </c>
      <c r="C7386" t="s">
        <v>40</v>
      </c>
      <c r="D7386">
        <v>5.0787509999999996</v>
      </c>
      <c r="E7386">
        <v>0.44651679999999999</v>
      </c>
      <c r="F7386" t="s">
        <v>42</v>
      </c>
      <c r="G7386">
        <v>-191.25360000000001</v>
      </c>
      <c r="H7386" s="1">
        <v>-2.5012479999999999E-6</v>
      </c>
      <c r="I7386">
        <v>-5.3579339999999904</v>
      </c>
      <c r="J7386">
        <v>-187.3783</v>
      </c>
      <c r="K7386">
        <v>1.1317200000000001</v>
      </c>
      <c r="L7386">
        <v>-39.932769999999998</v>
      </c>
      <c r="M7386">
        <v>7.8208669999999994E-2</v>
      </c>
      <c r="N7386">
        <v>-1.5063790000000001E-2</v>
      </c>
      <c r="O7386">
        <v>0.99682320000000002</v>
      </c>
      <c r="P7386">
        <v>3.0885579999999999E-2</v>
      </c>
      <c r="Q7386">
        <v>0.17563029999999999</v>
      </c>
      <c r="R7386">
        <v>0.98397159999999995</v>
      </c>
      <c r="S7386">
        <v>-0.3416595</v>
      </c>
      <c r="T7386">
        <v>-0.10015400000000001</v>
      </c>
      <c r="U7386">
        <v>3.084991</v>
      </c>
      <c r="V7386">
        <v>-5.0884110000000003E-2</v>
      </c>
      <c r="W7386">
        <v>0.18921930000000001</v>
      </c>
      <c r="X7386">
        <v>0.98061560000000003</v>
      </c>
      <c r="Y7386">
        <v>-0.18739839999999999</v>
      </c>
      <c r="Z7386">
        <v>-1.6788870000000001E-2</v>
      </c>
      <c r="AA7386">
        <v>0.98214049999999997</v>
      </c>
      <c r="AB7386">
        <v>30</v>
      </c>
      <c r="AC7386">
        <v>-3.8753000000000002</v>
      </c>
      <c r="AD7386">
        <v>-1.1317225012479999</v>
      </c>
      <c r="AE7386">
        <v>34.574835999999998</v>
      </c>
      <c r="AF7386">
        <v>-6.5608438792608004</v>
      </c>
      <c r="AG7386">
        <v>-1.1317225012479999</v>
      </c>
      <c r="AH7386">
        <v>34.129679612809497</v>
      </c>
      <c r="AI7386">
        <v>91.865079326004306</v>
      </c>
      <c r="AJ7386">
        <v>100.881389022677</v>
      </c>
      <c r="AK7386">
        <v>34.772985185354599</v>
      </c>
      <c r="AL7386">
        <v>79.092773549253394</v>
      </c>
      <c r="AM7386">
        <v>92.970411941470999</v>
      </c>
      <c r="AN7386">
        <v>1.0000000455531699</v>
      </c>
    </row>
    <row r="7387" spans="1:40" x14ac:dyDescent="0.25">
      <c r="A7387" t="str">
        <f>"20190303170431282"</f>
        <v>20190303170431282</v>
      </c>
      <c r="B7387" t="str">
        <f>"1551603871273163"</f>
        <v>1551603871273163</v>
      </c>
      <c r="C7387" t="s">
        <v>40</v>
      </c>
      <c r="D7387">
        <v>5.0571739999999998</v>
      </c>
      <c r="E7387">
        <v>0.45245639999999998</v>
      </c>
      <c r="F7387" t="s">
        <v>42</v>
      </c>
      <c r="G7387">
        <v>-191.01669999999999</v>
      </c>
      <c r="H7387" s="1">
        <v>-8.2676899999999996E-7</v>
      </c>
      <c r="I7387">
        <v>-9.1142649999999996</v>
      </c>
      <c r="J7387">
        <v>-187.3674</v>
      </c>
      <c r="K7387">
        <v>1.131489</v>
      </c>
      <c r="L7387">
        <v>-39.625520000000002</v>
      </c>
      <c r="M7387">
        <v>6.5475290000000005E-2</v>
      </c>
      <c r="N7387">
        <v>-1.5023379999999999E-2</v>
      </c>
      <c r="O7387">
        <v>0.99774110000000005</v>
      </c>
      <c r="P7387">
        <v>2.034159E-2</v>
      </c>
      <c r="Q7387">
        <v>0.1739656</v>
      </c>
      <c r="R7387">
        <v>0.98454160000000002</v>
      </c>
      <c r="S7387">
        <v>-0.363678</v>
      </c>
      <c r="T7387">
        <v>-0.1131215</v>
      </c>
      <c r="U7387">
        <v>3.0804749999999999</v>
      </c>
      <c r="V7387">
        <v>-4.8740539999999999E-2</v>
      </c>
      <c r="W7387">
        <v>0.1875976</v>
      </c>
      <c r="X7387">
        <v>0.98103589999999996</v>
      </c>
      <c r="Y7387">
        <v>-0.18192759999999999</v>
      </c>
      <c r="Z7387">
        <v>-2.107212E-2</v>
      </c>
      <c r="AA7387">
        <v>0.98308609999999996</v>
      </c>
      <c r="AB7387">
        <v>30</v>
      </c>
      <c r="AC7387">
        <v>-3.6492999999999798</v>
      </c>
      <c r="AD7387">
        <v>-1.1314898267689999</v>
      </c>
      <c r="AE7387">
        <v>30.511254999999998</v>
      </c>
      <c r="AF7387">
        <v>-5.6317903880379596</v>
      </c>
      <c r="AG7387">
        <v>-1.1314898267689999</v>
      </c>
      <c r="AH7387">
        <v>30.165902421515</v>
      </c>
      <c r="AI7387">
        <v>92.111643484203498</v>
      </c>
      <c r="AJ7387">
        <v>100.57503199429399</v>
      </c>
      <c r="AK7387">
        <v>30.7079631546484</v>
      </c>
      <c r="AL7387">
        <v>79.1873836893012</v>
      </c>
      <c r="AM7387">
        <v>92.844271938689801</v>
      </c>
      <c r="AN7387">
        <v>0.99999996842702998</v>
      </c>
    </row>
    <row r="7388" spans="1:40" x14ac:dyDescent="0.25">
      <c r="A7388" t="str">
        <f>"20190303170431306"</f>
        <v>20190303170431306</v>
      </c>
      <c r="B7388" t="str">
        <f>"1551603871292682"</f>
        <v>1551603871292682</v>
      </c>
      <c r="C7388" t="s">
        <v>40</v>
      </c>
      <c r="D7388">
        <v>5.0420930000000004</v>
      </c>
      <c r="E7388">
        <v>0.45308470000000001</v>
      </c>
      <c r="F7388" t="s">
        <v>42</v>
      </c>
      <c r="G7388">
        <v>-190.6172</v>
      </c>
      <c r="H7388" s="1">
        <v>-4.1869529999999997E-6</v>
      </c>
      <c r="I7388">
        <v>-11.03135</v>
      </c>
      <c r="J7388">
        <v>-187.36019999999999</v>
      </c>
      <c r="K7388">
        <v>1.1312610000000001</v>
      </c>
      <c r="L7388">
        <v>-39.331119999999999</v>
      </c>
      <c r="M7388">
        <v>5.3571010000000002E-2</v>
      </c>
      <c r="N7388">
        <v>-1.4981700000000001E-2</v>
      </c>
      <c r="O7388">
        <v>0.99845170000000005</v>
      </c>
      <c r="P7388">
        <v>1.1640090000000001E-2</v>
      </c>
      <c r="Q7388">
        <v>0.174153</v>
      </c>
      <c r="R7388">
        <v>0.98464980000000002</v>
      </c>
      <c r="S7388">
        <v>-0.34957890000000003</v>
      </c>
      <c r="T7388">
        <v>-0.12171319999999999</v>
      </c>
      <c r="U7388">
        <v>3.0758359999999998</v>
      </c>
      <c r="V7388">
        <v>-4.5602959999999998E-2</v>
      </c>
      <c r="W7388">
        <v>0.1878435</v>
      </c>
      <c r="X7388">
        <v>0.98113969999999995</v>
      </c>
      <c r="Y7388">
        <v>-0.1658982</v>
      </c>
      <c r="Z7388">
        <v>-2.4035109999999998E-2</v>
      </c>
      <c r="AA7388">
        <v>0.98584989999999995</v>
      </c>
      <c r="AB7388">
        <v>30</v>
      </c>
      <c r="AC7388">
        <v>-3.2570000000000001</v>
      </c>
      <c r="AD7388">
        <v>-1.1312651869529999</v>
      </c>
      <c r="AE7388">
        <v>28.299769999999999</v>
      </c>
      <c r="AF7388">
        <v>-4.7610309551816004</v>
      </c>
      <c r="AG7388">
        <v>-1.1312651869529999</v>
      </c>
      <c r="AH7388">
        <v>28.040401843135999</v>
      </c>
      <c r="AI7388">
        <v>92.277730309082898</v>
      </c>
      <c r="AJ7388">
        <v>99.6364522982457</v>
      </c>
      <c r="AK7388">
        <v>28.464211076437</v>
      </c>
      <c r="AL7388">
        <v>79.173039570387303</v>
      </c>
      <c r="AM7388">
        <v>92.661168448681806</v>
      </c>
      <c r="AN7388">
        <v>0.99999996068454999</v>
      </c>
    </row>
    <row r="7389" spans="1:40" x14ac:dyDescent="0.25">
      <c r="A7389" t="str">
        <f>"20190303170431325"</f>
        <v>20190303170431325</v>
      </c>
      <c r="B7389" t="str">
        <f>"1551603871313179"</f>
        <v>1551603871313179</v>
      </c>
      <c r="C7389" t="s">
        <v>40</v>
      </c>
      <c r="D7389">
        <v>5.0095830000000001</v>
      </c>
      <c r="E7389">
        <v>0.45879120000000001</v>
      </c>
      <c r="F7389" t="s">
        <v>42</v>
      </c>
      <c r="G7389">
        <v>-190.8561</v>
      </c>
      <c r="H7389" s="1">
        <v>-4.412795E-6</v>
      </c>
      <c r="I7389">
        <v>-10.492240000000001</v>
      </c>
      <c r="J7389">
        <v>-187.35650000000001</v>
      </c>
      <c r="K7389">
        <v>1.131046</v>
      </c>
      <c r="L7389">
        <v>-39.063809999999997</v>
      </c>
      <c r="M7389">
        <v>4.3042339999999998E-2</v>
      </c>
      <c r="N7389">
        <v>-1.493979E-2</v>
      </c>
      <c r="O7389">
        <v>0.99896160000000001</v>
      </c>
      <c r="P7389">
        <v>3.6028570000000001E-3</v>
      </c>
      <c r="Q7389">
        <v>0.17376169999999999</v>
      </c>
      <c r="R7389">
        <v>0.98478109999999996</v>
      </c>
      <c r="S7389">
        <v>-0.3724518</v>
      </c>
      <c r="T7389">
        <v>-0.1205256</v>
      </c>
      <c r="U7389">
        <v>3.0725099999999999</v>
      </c>
      <c r="V7389">
        <v>-4.315708E-2</v>
      </c>
      <c r="W7389">
        <v>0.1874922</v>
      </c>
      <c r="X7389">
        <v>0.98131749999999995</v>
      </c>
      <c r="Y7389">
        <v>-0.16286300000000001</v>
      </c>
      <c r="Z7389">
        <v>-2.376758E-2</v>
      </c>
      <c r="AA7389">
        <v>0.98636239999999997</v>
      </c>
      <c r="AB7389">
        <v>30</v>
      </c>
      <c r="AC7389">
        <v>-3.4995999999999801</v>
      </c>
      <c r="AD7389">
        <v>-1.1310504127949901</v>
      </c>
      <c r="AE7389">
        <v>28.571570000000001</v>
      </c>
      <c r="AF7389">
        <v>-4.7189946284082502</v>
      </c>
      <c r="AG7389">
        <v>-1.1310504127949901</v>
      </c>
      <c r="AH7389">
        <v>28.350666045456599</v>
      </c>
      <c r="AI7389">
        <v>92.253631238230298</v>
      </c>
      <c r="AJ7389">
        <v>99.450294864072703</v>
      </c>
      <c r="AK7389">
        <v>28.762970127583099</v>
      </c>
      <c r="AL7389">
        <v>79.193531523730798</v>
      </c>
      <c r="AM7389">
        <v>92.518171951035896</v>
      </c>
      <c r="AN7389">
        <v>0.99999994721060603</v>
      </c>
    </row>
    <row r="7390" spans="1:40" x14ac:dyDescent="0.25">
      <c r="A7390" t="str">
        <f>"20190303170431350"</f>
        <v>20190303170431350</v>
      </c>
      <c r="B7390" t="str">
        <f>"1551603871342459"</f>
        <v>1551603871342459</v>
      </c>
      <c r="C7390" t="s">
        <v>40</v>
      </c>
      <c r="D7390">
        <v>4.9643389999999998</v>
      </c>
      <c r="E7390">
        <v>0.46009990000000001</v>
      </c>
      <c r="F7390" t="s">
        <v>42</v>
      </c>
      <c r="G7390">
        <v>-190.4828</v>
      </c>
      <c r="H7390" s="1">
        <v>-3.8171420000000002E-6</v>
      </c>
      <c r="I7390">
        <v>-11.81244</v>
      </c>
      <c r="J7390">
        <v>-187.3554</v>
      </c>
      <c r="K7390">
        <v>1.1307579999999999</v>
      </c>
      <c r="L7390">
        <v>-38.75009</v>
      </c>
      <c r="M7390">
        <v>3.1048360000000001E-2</v>
      </c>
      <c r="N7390">
        <v>-1.488606E-2</v>
      </c>
      <c r="O7390">
        <v>0.99940709999999999</v>
      </c>
      <c r="P7390">
        <v>-5.8335059999999996E-3</v>
      </c>
      <c r="Q7390">
        <v>0.17168310000000001</v>
      </c>
      <c r="R7390">
        <v>0.98513499999999998</v>
      </c>
      <c r="S7390">
        <v>-0.3522034</v>
      </c>
      <c r="T7390">
        <v>-0.1274236</v>
      </c>
      <c r="U7390">
        <v>3.0701290000000001</v>
      </c>
      <c r="V7390">
        <v>-4.0610559999999997E-2</v>
      </c>
      <c r="W7390">
        <v>0.18545110000000001</v>
      </c>
      <c r="X7390">
        <v>0.98181399999999996</v>
      </c>
      <c r="Y7390">
        <v>-0.14466689999999999</v>
      </c>
      <c r="Z7390">
        <v>-2.6181679999999999E-2</v>
      </c>
      <c r="AA7390">
        <v>0.98913399999999996</v>
      </c>
      <c r="AB7390">
        <v>30</v>
      </c>
      <c r="AC7390">
        <v>-3.12739999999999</v>
      </c>
      <c r="AD7390">
        <v>-1.130761817142</v>
      </c>
      <c r="AE7390">
        <v>26.937650000000001</v>
      </c>
      <c r="AF7390">
        <v>-3.9554772425770701</v>
      </c>
      <c r="AG7390">
        <v>-1.130761817142</v>
      </c>
      <c r="AH7390">
        <v>26.780986300631099</v>
      </c>
      <c r="AI7390">
        <v>92.391821678411802</v>
      </c>
      <c r="AJ7390">
        <v>98.401685999587798</v>
      </c>
      <c r="AK7390">
        <v>27.095122249922401</v>
      </c>
      <c r="AL7390">
        <v>79.3125666773212</v>
      </c>
      <c r="AM7390">
        <v>92.368562768442999</v>
      </c>
      <c r="AN7390">
        <v>1.0000000293353599</v>
      </c>
    </row>
    <row r="7391" spans="1:40" x14ac:dyDescent="0.25">
      <c r="A7391" t="str">
        <f>"20190303170431372"</f>
        <v>20190303170431372</v>
      </c>
      <c r="B7391" t="str">
        <f>"1551603871362954"</f>
        <v>1551603871362954</v>
      </c>
      <c r="C7391" t="s">
        <v>40</v>
      </c>
      <c r="D7391">
        <v>4.9324779999999997</v>
      </c>
      <c r="E7391">
        <v>0.46062920000000002</v>
      </c>
      <c r="F7391" t="s">
        <v>42</v>
      </c>
      <c r="G7391">
        <v>-190.54820000000001</v>
      </c>
      <c r="H7391" s="1">
        <v>-3.6208769999999999E-6</v>
      </c>
      <c r="I7391">
        <v>-12.310560000000001</v>
      </c>
      <c r="J7391">
        <v>-187.35740000000001</v>
      </c>
      <c r="K7391">
        <v>1.1304590000000001</v>
      </c>
      <c r="L7391">
        <v>-38.452060000000003</v>
      </c>
      <c r="M7391">
        <v>2.0041079999999999E-2</v>
      </c>
      <c r="N7391">
        <v>-1.483111E-2</v>
      </c>
      <c r="O7391">
        <v>0.99968919999999994</v>
      </c>
      <c r="P7391">
        <v>-1.329164E-2</v>
      </c>
      <c r="Q7391">
        <v>0.16955870000000001</v>
      </c>
      <c r="R7391">
        <v>0.98543049999999999</v>
      </c>
      <c r="S7391">
        <v>-0.37023929999999999</v>
      </c>
      <c r="T7391">
        <v>-0.13112270000000001</v>
      </c>
      <c r="U7391">
        <v>3.0659179999999999</v>
      </c>
      <c r="V7391">
        <v>-3.7050949999999999E-2</v>
      </c>
      <c r="W7391">
        <v>0.1833834</v>
      </c>
      <c r="X7391">
        <v>0.98234299999999997</v>
      </c>
      <c r="Y7391">
        <v>-0.1396587</v>
      </c>
      <c r="Z7391">
        <v>-2.7512789999999999E-2</v>
      </c>
      <c r="AA7391">
        <v>0.98981739999999996</v>
      </c>
      <c r="AB7391">
        <v>30</v>
      </c>
      <c r="AC7391">
        <v>-3.1907999999999901</v>
      </c>
      <c r="AD7391">
        <v>-1.1304626208769999</v>
      </c>
      <c r="AE7391">
        <v>26.141499999999901</v>
      </c>
      <c r="AF7391">
        <v>-3.7072894882377101</v>
      </c>
      <c r="AG7391">
        <v>-1.1304626208769999</v>
      </c>
      <c r="AH7391">
        <v>26.024342200009801</v>
      </c>
      <c r="AI7391">
        <v>92.462459186049102</v>
      </c>
      <c r="AJ7391">
        <v>98.107503166497693</v>
      </c>
      <c r="AK7391">
        <v>26.3113725987454</v>
      </c>
      <c r="AL7391">
        <v>79.433104403996794</v>
      </c>
      <c r="AM7391">
        <v>92.159996338109096</v>
      </c>
      <c r="AN7391">
        <v>1.0000000069702299</v>
      </c>
    </row>
    <row r="7392" spans="1:40" x14ac:dyDescent="0.25">
      <c r="A7392" t="str">
        <f>"20190303170431396"</f>
        <v>20190303170431396</v>
      </c>
      <c r="B7392" t="str">
        <f>"1551603871382474"</f>
        <v>1551603871382474</v>
      </c>
      <c r="C7392" t="s">
        <v>40</v>
      </c>
      <c r="D7392">
        <v>4.9303619999999997</v>
      </c>
      <c r="E7392">
        <v>0.4657134</v>
      </c>
      <c r="F7392" t="s">
        <v>42</v>
      </c>
      <c r="G7392">
        <v>-190.56309999999999</v>
      </c>
      <c r="H7392" s="1">
        <v>-3.24315E-6</v>
      </c>
      <c r="I7392">
        <v>-13.200279999999999</v>
      </c>
      <c r="J7392">
        <v>-187.36259999999999</v>
      </c>
      <c r="K7392">
        <v>1.1301289999999999</v>
      </c>
      <c r="L7392">
        <v>-38.146329999999999</v>
      </c>
      <c r="M7392">
        <v>9.1705810000000006E-3</v>
      </c>
      <c r="N7392">
        <v>-1.477184E-2</v>
      </c>
      <c r="O7392">
        <v>0.99984879999999998</v>
      </c>
      <c r="P7392">
        <v>-2.0154970000000001E-2</v>
      </c>
      <c r="Q7392">
        <v>0.168775799999999</v>
      </c>
      <c r="R7392">
        <v>0.9854484</v>
      </c>
      <c r="S7392">
        <v>-0.38880920000000002</v>
      </c>
      <c r="T7392">
        <v>-0.13711039999999999</v>
      </c>
      <c r="U7392">
        <v>3.0627140000000002</v>
      </c>
      <c r="V7392">
        <v>-3.3040859999999998E-2</v>
      </c>
      <c r="W7392">
        <v>0.18265680000000001</v>
      </c>
      <c r="X7392">
        <v>0.98262139999999998</v>
      </c>
      <c r="Y7392">
        <v>-0.13491789999999901</v>
      </c>
      <c r="Z7392">
        <v>-2.9567420000000001E-2</v>
      </c>
      <c r="AA7392">
        <v>0.9904155</v>
      </c>
      <c r="AB7392">
        <v>30</v>
      </c>
      <c r="AC7392">
        <v>-3.2004999999999999</v>
      </c>
      <c r="AD7392">
        <v>-1.13013224315</v>
      </c>
      <c r="AE7392">
        <v>24.94605</v>
      </c>
      <c r="AF7392">
        <v>-3.4222501579443598</v>
      </c>
      <c r="AG7392">
        <v>-1.13013224315</v>
      </c>
      <c r="AH7392">
        <v>24.865440528115499</v>
      </c>
      <c r="AI7392">
        <v>92.578028625323796</v>
      </c>
      <c r="AJ7392">
        <v>97.836430897629299</v>
      </c>
      <c r="AK7392">
        <v>25.1252687087682</v>
      </c>
      <c r="AL7392">
        <v>79.475450819835899</v>
      </c>
      <c r="AM7392">
        <v>91.925857539025401</v>
      </c>
      <c r="AN7392">
        <v>1.00000001037686</v>
      </c>
    </row>
    <row r="7393" spans="1:40" x14ac:dyDescent="0.25">
      <c r="A7393" t="str">
        <f>"20190303170431415"</f>
        <v>20190303170431415</v>
      </c>
      <c r="B7393" t="str">
        <f>"1551603871402971"</f>
        <v>1551603871402971</v>
      </c>
      <c r="C7393" t="s">
        <v>40</v>
      </c>
      <c r="D7393">
        <v>5.0025750000000002</v>
      </c>
      <c r="E7393">
        <v>0.46734369999999997</v>
      </c>
      <c r="F7393" t="s">
        <v>42</v>
      </c>
      <c r="G7393">
        <v>-190.80680000000001</v>
      </c>
      <c r="H7393" s="1">
        <v>-5.2829499999999995E-7</v>
      </c>
      <c r="I7393">
        <v>-9.6797909999999998</v>
      </c>
      <c r="J7393">
        <v>-187.36940000000001</v>
      </c>
      <c r="K7393">
        <v>1.129837</v>
      </c>
      <c r="L7393">
        <v>-37.883389999999999</v>
      </c>
      <c r="M7393">
        <v>1.8349109999999999E-4</v>
      </c>
      <c r="N7393">
        <v>-1.471897E-2</v>
      </c>
      <c r="O7393">
        <v>0.99989159999999999</v>
      </c>
      <c r="P7393">
        <v>-2.5355510000000001E-2</v>
      </c>
      <c r="Q7393">
        <v>0.16718459999999999</v>
      </c>
      <c r="R7393">
        <v>0.98559949999999996</v>
      </c>
      <c r="S7393">
        <v>-0.36993409999999999</v>
      </c>
      <c r="T7393">
        <v>-0.1213846</v>
      </c>
      <c r="U7393">
        <v>3.0575260000000002</v>
      </c>
      <c r="V7393">
        <v>-2.922195E-2</v>
      </c>
      <c r="W7393">
        <v>0.18111740000000001</v>
      </c>
      <c r="X7393">
        <v>0.98302719999999999</v>
      </c>
      <c r="Y7393">
        <v>-0.12021320000000001</v>
      </c>
      <c r="Z7393">
        <v>-2.4669940000000001E-2</v>
      </c>
      <c r="AA7393">
        <v>0.99244149999999998</v>
      </c>
      <c r="AB7393">
        <v>30</v>
      </c>
      <c r="AC7393">
        <v>-3.43739999999999</v>
      </c>
      <c r="AD7393">
        <v>-1.1298375282949999</v>
      </c>
      <c r="AE7393">
        <v>28.203599000000001</v>
      </c>
      <c r="AF7393">
        <v>-3.4371404000581798</v>
      </c>
      <c r="AG7393">
        <v>-1.1298375282949999</v>
      </c>
      <c r="AH7393">
        <v>28.158440272375302</v>
      </c>
      <c r="AI7393">
        <v>92.280809359252601</v>
      </c>
      <c r="AJ7393">
        <v>96.959341669996704</v>
      </c>
      <c r="AK7393">
        <v>28.3899317636197</v>
      </c>
      <c r="AL7393">
        <v>79.565147575675198</v>
      </c>
      <c r="AM7393">
        <v>91.702701099267998</v>
      </c>
      <c r="AN7393">
        <v>0.99999995544219999</v>
      </c>
    </row>
    <row r="7394" spans="1:40" x14ac:dyDescent="0.25">
      <c r="A7394" t="str">
        <f>"20190303170431438"</f>
        <v>20190303170431438</v>
      </c>
      <c r="B7394" t="str">
        <f>"1551603871422491"</f>
        <v>1551603871422491</v>
      </c>
      <c r="C7394" t="s">
        <v>40</v>
      </c>
      <c r="D7394">
        <v>5.0561749999999996</v>
      </c>
      <c r="E7394">
        <v>0.46888609999999997</v>
      </c>
      <c r="F7394" t="s">
        <v>42</v>
      </c>
      <c r="G7394">
        <v>-190.5155</v>
      </c>
      <c r="H7394" s="1">
        <v>-3.6734740000000002E-6</v>
      </c>
      <c r="I7394">
        <v>-12.16764</v>
      </c>
      <c r="J7394">
        <v>-187.3792</v>
      </c>
      <c r="K7394">
        <v>1.1295379999999999</v>
      </c>
      <c r="L7394">
        <v>-37.599550000000001</v>
      </c>
      <c r="M7394">
        <v>-9.2047559999999997E-3</v>
      </c>
      <c r="N7394">
        <v>-1.466313E-2</v>
      </c>
      <c r="O7394">
        <v>0.99985009999999996</v>
      </c>
      <c r="P7394">
        <v>-3.206519E-2</v>
      </c>
      <c r="Q7394">
        <v>0.16548789999999999</v>
      </c>
      <c r="R7394">
        <v>0.98569039999999997</v>
      </c>
      <c r="S7394">
        <v>-0.37399290000000002</v>
      </c>
      <c r="T7394">
        <v>-0.13431179999999901</v>
      </c>
      <c r="U7394">
        <v>3.057007</v>
      </c>
      <c r="V7394">
        <v>-2.651235E-2</v>
      </c>
      <c r="W7394">
        <v>0.17944209999999999</v>
      </c>
      <c r="X7394">
        <v>0.98341129999999999</v>
      </c>
      <c r="Y7394">
        <v>-0.1121928</v>
      </c>
      <c r="Z7394">
        <v>-2.8944299999999999E-2</v>
      </c>
      <c r="AA7394">
        <v>0.99326479999999995</v>
      </c>
      <c r="AB7394">
        <v>30</v>
      </c>
      <c r="AC7394">
        <v>-3.1362999999999999</v>
      </c>
      <c r="AD7394">
        <v>-1.129541673474</v>
      </c>
      <c r="AE7394">
        <v>25.431909999999998</v>
      </c>
      <c r="AF7394">
        <v>-2.89641941725439</v>
      </c>
      <c r="AG7394">
        <v>-1.129541673474</v>
      </c>
      <c r="AH7394">
        <v>25.410329943241301</v>
      </c>
      <c r="AI7394">
        <v>92.528886071233501</v>
      </c>
      <c r="AJ7394">
        <v>96.502844758556407</v>
      </c>
      <c r="AK7394">
        <v>25.5998042503678</v>
      </c>
      <c r="AL7394">
        <v>79.662735416775007</v>
      </c>
      <c r="AM7394">
        <v>91.544295755792206</v>
      </c>
      <c r="AN7394">
        <v>1.0000000784612999</v>
      </c>
    </row>
    <row r="7395" spans="1:40" x14ac:dyDescent="0.25">
      <c r="A7395" t="str">
        <f>"20190303170431461"</f>
        <v>20190303170431461</v>
      </c>
      <c r="B7395" t="str">
        <f>"1551603871452747"</f>
        <v>1551603871452747</v>
      </c>
      <c r="C7395" t="s">
        <v>40</v>
      </c>
      <c r="D7395">
        <v>4.9972139999999996</v>
      </c>
      <c r="E7395">
        <v>0.47053800000000001</v>
      </c>
      <c r="F7395" t="s">
        <v>42</v>
      </c>
      <c r="G7395">
        <v>-190.3793</v>
      </c>
      <c r="H7395" s="1">
        <v>-3.0294580000000001E-6</v>
      </c>
      <c r="I7395">
        <v>-13.58442</v>
      </c>
      <c r="J7395">
        <v>-187.39250000000001</v>
      </c>
      <c r="K7395">
        <v>1.1292329999999999</v>
      </c>
      <c r="L7395">
        <v>-37.291870000000003</v>
      </c>
      <c r="M7395">
        <v>-1.900313E-2</v>
      </c>
      <c r="N7395">
        <v>-1.460644E-2</v>
      </c>
      <c r="O7395">
        <v>0.99971270000000001</v>
      </c>
      <c r="P7395">
        <v>-3.7095259999999998E-2</v>
      </c>
      <c r="Q7395">
        <v>0.1656755</v>
      </c>
      <c r="R7395">
        <v>0.98548239999999998</v>
      </c>
      <c r="S7395">
        <v>-0.3816833</v>
      </c>
      <c r="T7395">
        <v>-0.1437031</v>
      </c>
      <c r="U7395">
        <v>3.0552670000000002</v>
      </c>
      <c r="V7395">
        <v>-2.175477E-2</v>
      </c>
      <c r="W7395">
        <v>0.17968129999999999</v>
      </c>
      <c r="X7395">
        <v>0.98348429999999998</v>
      </c>
      <c r="Y7395">
        <v>-0.1049712</v>
      </c>
      <c r="Z7395">
        <v>-3.2081020000000002E-2</v>
      </c>
      <c r="AA7395">
        <v>0.99395770000000006</v>
      </c>
      <c r="AB7395">
        <v>30</v>
      </c>
      <c r="AC7395">
        <v>-2.9867999999999801</v>
      </c>
      <c r="AD7395">
        <v>-1.1292360294579999</v>
      </c>
      <c r="AE7395">
        <v>23.707450000000001</v>
      </c>
      <c r="AF7395">
        <v>-2.5300461811396602</v>
      </c>
      <c r="AG7395">
        <v>-1.1292360294579999</v>
      </c>
      <c r="AH7395">
        <v>23.706986237751</v>
      </c>
      <c r="AI7395">
        <v>92.711735643298496</v>
      </c>
      <c r="AJ7395">
        <v>96.091637018744606</v>
      </c>
      <c r="AK7395">
        <v>23.868336853786801</v>
      </c>
      <c r="AL7395">
        <v>79.648803053763999</v>
      </c>
      <c r="AM7395">
        <v>91.267181660544097</v>
      </c>
      <c r="AN7395">
        <v>1.0000000039669601</v>
      </c>
    </row>
    <row r="7396" spans="1:40" x14ac:dyDescent="0.25">
      <c r="A7396" t="str">
        <f>"20190303170431483"</f>
        <v>20190303170431483</v>
      </c>
      <c r="B7396" t="str">
        <f>"1551603871473243"</f>
        <v>1551603871473243</v>
      </c>
      <c r="C7396" t="s">
        <v>40</v>
      </c>
      <c r="D7396">
        <v>4.8825479999999999</v>
      </c>
      <c r="E7396">
        <v>0.4773444</v>
      </c>
      <c r="F7396" t="s">
        <v>42</v>
      </c>
      <c r="G7396">
        <v>-190.42949999999999</v>
      </c>
      <c r="H7396" s="1">
        <v>-3.2212000000000002E-6</v>
      </c>
      <c r="I7396">
        <v>-13.168559999999999</v>
      </c>
      <c r="J7396">
        <v>-187.4068</v>
      </c>
      <c r="K7396">
        <v>1.12896</v>
      </c>
      <c r="L7396">
        <v>-37.01343</v>
      </c>
      <c r="M7396">
        <v>-2.751617E-2</v>
      </c>
      <c r="N7396">
        <v>-1.4554539999999999E-2</v>
      </c>
      <c r="O7396">
        <v>0.99951540000000005</v>
      </c>
      <c r="P7396">
        <v>-3.9798550000000002E-2</v>
      </c>
      <c r="Q7396">
        <v>0.16428329999999999</v>
      </c>
      <c r="R7396">
        <v>0.98560999999999999</v>
      </c>
      <c r="S7396">
        <v>-0.38444519999999999</v>
      </c>
      <c r="T7396">
        <v>-0.1429501</v>
      </c>
      <c r="U7396">
        <v>3.0537719999999999</v>
      </c>
      <c r="V7396">
        <v>-1.5910819999999999E-2</v>
      </c>
      <c r="W7396">
        <v>0.1783612</v>
      </c>
      <c r="X7396">
        <v>0.9838365</v>
      </c>
      <c r="Y7396">
        <v>-9.7448409999999999E-2</v>
      </c>
      <c r="Z7396">
        <v>-3.1920539999999997E-2</v>
      </c>
      <c r="AA7396">
        <v>0.99472859999999996</v>
      </c>
      <c r="AB7396">
        <v>30</v>
      </c>
      <c r="AC7396">
        <v>-3.02269999999998</v>
      </c>
      <c r="AD7396">
        <v>-1.1289632212</v>
      </c>
      <c r="AE7396">
        <v>23.84487</v>
      </c>
      <c r="AF7396">
        <v>-2.3601592385976802</v>
      </c>
      <c r="AG7396">
        <v>-1.1289632212</v>
      </c>
      <c r="AH7396">
        <v>23.866367216979999</v>
      </c>
      <c r="AI7396">
        <v>92.695146523712097</v>
      </c>
      <c r="AJ7396">
        <v>95.647651335659603</v>
      </c>
      <c r="AK7396">
        <v>24.0093397185783</v>
      </c>
      <c r="AL7396">
        <v>79.725681805173807</v>
      </c>
      <c r="AM7396">
        <v>90.926519164082094</v>
      </c>
      <c r="AN7396">
        <v>1.00000006529537</v>
      </c>
    </row>
    <row r="7397" spans="1:40" x14ac:dyDescent="0.25">
      <c r="A7397" t="str">
        <f>"20190303170431505"</f>
        <v>20190303170431505</v>
      </c>
      <c r="B7397" t="str">
        <f>"1551603871492762"</f>
        <v>1551603871492762</v>
      </c>
      <c r="C7397" t="s">
        <v>40</v>
      </c>
      <c r="D7397">
        <v>5.0039800000000003</v>
      </c>
      <c r="E7397">
        <v>0.47822500000000001</v>
      </c>
      <c r="F7397" t="s">
        <v>42</v>
      </c>
      <c r="G7397">
        <v>-190.01689999999999</v>
      </c>
      <c r="H7397" s="1">
        <v>-2.9553069999999999E-6</v>
      </c>
      <c r="I7397">
        <v>-13.53247</v>
      </c>
      <c r="J7397">
        <v>-187.42400000000001</v>
      </c>
      <c r="K7397">
        <v>1.1286290000000001</v>
      </c>
      <c r="L7397">
        <v>-36.7226</v>
      </c>
      <c r="M7397">
        <v>-3.5993320000000002E-2</v>
      </c>
      <c r="N7397">
        <v>-1.449666E-2</v>
      </c>
      <c r="O7397">
        <v>0.99924690000000005</v>
      </c>
      <c r="P7397">
        <v>-4.2978200000000001E-2</v>
      </c>
      <c r="Q7397">
        <v>0.16006870000000001</v>
      </c>
      <c r="R7397">
        <v>0.98616979999999999</v>
      </c>
      <c r="S7397">
        <v>-0.33953860000000002</v>
      </c>
      <c r="T7397">
        <v>-0.146863299999999</v>
      </c>
      <c r="U7397">
        <v>3.0545650000000002</v>
      </c>
      <c r="V7397">
        <v>-1.048929E-2</v>
      </c>
      <c r="W7397">
        <v>0.1742049</v>
      </c>
      <c r="X7397">
        <v>0.98465349999999996</v>
      </c>
      <c r="Y7397">
        <v>-7.4534080000000003E-2</v>
      </c>
      <c r="Z7397">
        <v>-3.3308129999999998E-2</v>
      </c>
      <c r="AA7397">
        <v>0.99666200000000005</v>
      </c>
      <c r="AB7397">
        <v>30</v>
      </c>
      <c r="AC7397">
        <v>-2.5928999999999802</v>
      </c>
      <c r="AD7397">
        <v>-1.1286319553069999</v>
      </c>
      <c r="AE7397">
        <v>23.19013</v>
      </c>
      <c r="AF7397">
        <v>-1.7523426404637401</v>
      </c>
      <c r="AG7397">
        <v>-1.1286319553069999</v>
      </c>
      <c r="AH7397">
        <v>23.214130328915399</v>
      </c>
      <c r="AI7397">
        <v>92.775548566647103</v>
      </c>
      <c r="AJ7397">
        <v>94.316844275215402</v>
      </c>
      <c r="AK7397">
        <v>23.307517279796201</v>
      </c>
      <c r="AL7397">
        <v>79.967607897754405</v>
      </c>
      <c r="AM7397">
        <v>90.610335833668003</v>
      </c>
      <c r="AN7397">
        <v>0.99999994372547996</v>
      </c>
    </row>
    <row r="7398" spans="1:40" x14ac:dyDescent="0.25">
      <c r="A7398" t="str">
        <f>"20190303170431528"</f>
        <v>20190303170431528</v>
      </c>
      <c r="B7398" t="str">
        <f>"1551603871522551"</f>
        <v>1551603871522551</v>
      </c>
      <c r="C7398" t="s">
        <v>40</v>
      </c>
      <c r="D7398">
        <v>5.0133530000000004</v>
      </c>
      <c r="E7398">
        <v>0.47928470000000001</v>
      </c>
      <c r="F7398" t="s">
        <v>42</v>
      </c>
      <c r="G7398">
        <v>-189.88749999999999</v>
      </c>
      <c r="H7398" s="1">
        <v>-2.4225940000000002E-6</v>
      </c>
      <c r="I7398">
        <v>-14.7666</v>
      </c>
      <c r="J7398">
        <v>-187.4435</v>
      </c>
      <c r="K7398">
        <v>1.128255</v>
      </c>
      <c r="L7398">
        <v>-36.426479999999998</v>
      </c>
      <c r="M7398">
        <v>-4.4147260000000001E-2</v>
      </c>
      <c r="N7398">
        <v>-1.443407E-2</v>
      </c>
      <c r="O7398">
        <v>0.99892069999999999</v>
      </c>
      <c r="P7398">
        <v>-4.8392579999999998E-2</v>
      </c>
      <c r="Q7398">
        <v>0.15582660000000001</v>
      </c>
      <c r="R7398">
        <v>0.98659830000000004</v>
      </c>
      <c r="S7398">
        <v>-0.34251399999999999</v>
      </c>
      <c r="T7398">
        <v>-0.15691720000000001</v>
      </c>
      <c r="U7398">
        <v>3.0526119999999999</v>
      </c>
      <c r="V7398">
        <v>-7.591914E-3</v>
      </c>
      <c r="W7398">
        <v>0.16996559999999999</v>
      </c>
      <c r="X7398">
        <v>0.98542079999999999</v>
      </c>
      <c r="Y7398">
        <v>-6.7411849999999995E-2</v>
      </c>
      <c r="Z7398">
        <v>-3.6658499999999997E-2</v>
      </c>
      <c r="AA7398">
        <v>0.99705149999999998</v>
      </c>
      <c r="AB7398">
        <v>29</v>
      </c>
      <c r="AC7398">
        <v>-2.44399999999998</v>
      </c>
      <c r="AD7398">
        <v>-1.1282574225939901</v>
      </c>
      <c r="AE7398">
        <v>21.659880000000001</v>
      </c>
      <c r="AF7398">
        <v>-1.481323846974</v>
      </c>
      <c r="AG7398">
        <v>-1.1282574225939901</v>
      </c>
      <c r="AH7398">
        <v>21.6885564968238</v>
      </c>
      <c r="AI7398">
        <v>92.9709824913093</v>
      </c>
      <c r="AJ7398">
        <v>93.907221680027504</v>
      </c>
      <c r="AK7398">
        <v>21.768343254992399</v>
      </c>
      <c r="AL7398">
        <v>80.214181496681206</v>
      </c>
      <c r="AM7398">
        <v>90.4414114505459</v>
      </c>
      <c r="AN7398">
        <v>1.0000000477070901</v>
      </c>
    </row>
    <row r="7399" spans="1:40" x14ac:dyDescent="0.25">
      <c r="A7399" t="str">
        <f>"20190303170431550"</f>
        <v>20190303170431550</v>
      </c>
      <c r="B7399" t="str">
        <f>"1551603871543046"</f>
        <v>1551603871543046</v>
      </c>
      <c r="C7399" t="s">
        <v>40</v>
      </c>
      <c r="D7399">
        <v>5.0668850000000001</v>
      </c>
      <c r="E7399">
        <v>0.48038839999999999</v>
      </c>
      <c r="F7399" t="s">
        <v>42</v>
      </c>
      <c r="G7399">
        <v>-189.8297</v>
      </c>
      <c r="H7399" s="1">
        <v>-2.0916029999999999E-6</v>
      </c>
      <c r="I7399">
        <v>-15.562060000000001</v>
      </c>
      <c r="J7399">
        <v>-187.4649</v>
      </c>
      <c r="K7399">
        <v>1.12784</v>
      </c>
      <c r="L7399">
        <v>-36.130400000000002</v>
      </c>
      <c r="M7399">
        <v>-5.1776019999999999E-2</v>
      </c>
      <c r="N7399">
        <v>-1.4369730000000001E-2</v>
      </c>
      <c r="O7399">
        <v>0.99855539999999998</v>
      </c>
      <c r="P7399">
        <v>-5.2905729999999998E-2</v>
      </c>
      <c r="Q7399">
        <v>0.1550299</v>
      </c>
      <c r="R7399">
        <v>0.98649219999999904</v>
      </c>
      <c r="S7399">
        <v>-0.34878540000000002</v>
      </c>
      <c r="T7399">
        <v>-0.16491349999999999</v>
      </c>
      <c r="U7399">
        <v>3.0496829999999999</v>
      </c>
      <c r="V7399">
        <v>-4.368139E-3</v>
      </c>
      <c r="W7399">
        <v>0.16916249999999999</v>
      </c>
      <c r="X7399">
        <v>0.98557850000000002</v>
      </c>
      <c r="Y7399">
        <v>-6.191033E-2</v>
      </c>
      <c r="Z7399">
        <v>-3.9350019999999999E-2</v>
      </c>
      <c r="AA7399">
        <v>0.99730569999999996</v>
      </c>
      <c r="AB7399">
        <v>29</v>
      </c>
      <c r="AC7399">
        <v>-2.3647999999999998</v>
      </c>
      <c r="AD7399">
        <v>-1.1278420916030001</v>
      </c>
      <c r="AE7399">
        <v>20.568339999999999</v>
      </c>
      <c r="AF7399">
        <v>-1.2927345850841601</v>
      </c>
      <c r="AG7399">
        <v>-1.1278420916030001</v>
      </c>
      <c r="AH7399">
        <v>20.602061809816501</v>
      </c>
      <c r="AI7399">
        <v>93.127341897435599</v>
      </c>
      <c r="AJ7399">
        <v>93.590478277077096</v>
      </c>
      <c r="AK7399">
        <v>20.673367923649099</v>
      </c>
      <c r="AL7399">
        <v>80.260871439869703</v>
      </c>
      <c r="AM7399">
        <v>90.2539364346041</v>
      </c>
      <c r="AN7399">
        <v>1.00000000585341</v>
      </c>
    </row>
    <row r="7400" spans="1:40" x14ac:dyDescent="0.25">
      <c r="A7400" t="str">
        <f>"20190303170431574"</f>
        <v>20190303170431574</v>
      </c>
      <c r="B7400" t="str">
        <f>"1551603871562567"</f>
        <v>1551603871562567</v>
      </c>
      <c r="C7400" t="s">
        <v>40</v>
      </c>
      <c r="D7400">
        <v>4.8910749999999998</v>
      </c>
      <c r="E7400">
        <v>0.4812438</v>
      </c>
      <c r="F7400" t="s">
        <v>42</v>
      </c>
      <c r="G7400">
        <v>-189.892</v>
      </c>
      <c r="H7400" s="1">
        <v>-2.2225540000000001E-6</v>
      </c>
      <c r="I7400">
        <v>-15.23104</v>
      </c>
      <c r="J7400">
        <v>-187.48779999999999</v>
      </c>
      <c r="K7400">
        <v>1.1273610000000001</v>
      </c>
      <c r="L7400">
        <v>-35.835479999999997</v>
      </c>
      <c r="M7400">
        <v>-5.8763860000000001E-2</v>
      </c>
      <c r="N7400">
        <v>-1.4304809999999999E-2</v>
      </c>
      <c r="O7400">
        <v>0.99816939999999998</v>
      </c>
      <c r="P7400">
        <v>-5.4604029999999998E-2</v>
      </c>
      <c r="Q7400">
        <v>0.15632480000000001</v>
      </c>
      <c r="R7400">
        <v>0.98619520000000005</v>
      </c>
      <c r="S7400">
        <v>-0.35397339999999999</v>
      </c>
      <c r="T7400">
        <v>-0.164483399999999</v>
      </c>
      <c r="U7400">
        <v>3.0479430000000001</v>
      </c>
      <c r="V7400">
        <v>1.015955E-3</v>
      </c>
      <c r="W7400">
        <v>0.17046979999999901</v>
      </c>
      <c r="X7400">
        <v>0.98536239999999997</v>
      </c>
      <c r="Y7400">
        <v>-5.6666290000000001E-2</v>
      </c>
      <c r="Z7400">
        <v>-3.9283829999999999E-2</v>
      </c>
      <c r="AA7400">
        <v>0.99761999999999995</v>
      </c>
      <c r="AB7400">
        <v>29</v>
      </c>
      <c r="AC7400">
        <v>-2.4041999999999999</v>
      </c>
      <c r="AD7400">
        <v>-1.127363222554</v>
      </c>
      <c r="AE7400">
        <v>20.60444</v>
      </c>
      <c r="AF7400">
        <v>-1.18562242773622</v>
      </c>
      <c r="AG7400">
        <v>-1.127363222554</v>
      </c>
      <c r="AH7400">
        <v>20.649134269740902</v>
      </c>
      <c r="AI7400">
        <v>93.119898056946099</v>
      </c>
      <c r="AJ7400">
        <v>93.286174442898002</v>
      </c>
      <c r="AK7400">
        <v>20.713845477518301</v>
      </c>
      <c r="AL7400">
        <v>80.184864883126707</v>
      </c>
      <c r="AM7400">
        <v>89.940925376238795</v>
      </c>
      <c r="AN7400">
        <v>1.0000000221051799</v>
      </c>
    </row>
    <row r="7401" spans="1:40" x14ac:dyDescent="0.25">
      <c r="A7401" t="str">
        <f>"20190303170431597"</f>
        <v>20190303170431597</v>
      </c>
      <c r="B7401" t="str">
        <f>"1551603871583062"</f>
        <v>1551603871583062</v>
      </c>
      <c r="C7401" t="s">
        <v>40</v>
      </c>
      <c r="D7401">
        <v>4.9528800000000004</v>
      </c>
      <c r="E7401">
        <v>0.48687469999999999</v>
      </c>
      <c r="F7401" t="s">
        <v>42</v>
      </c>
      <c r="G7401">
        <v>-190.04640000000001</v>
      </c>
      <c r="H7401" s="1">
        <v>-2.8472149999999998E-6</v>
      </c>
      <c r="I7401">
        <v>-13.802720000000001</v>
      </c>
      <c r="J7401">
        <v>-187.5128</v>
      </c>
      <c r="K7401">
        <v>1.1267929999999999</v>
      </c>
      <c r="L7401">
        <v>-35.532589999999999</v>
      </c>
      <c r="M7401">
        <v>-6.5149399999999996E-2</v>
      </c>
      <c r="N7401">
        <v>-1.4236149999999999E-2</v>
      </c>
      <c r="O7401">
        <v>0.99777389999999999</v>
      </c>
      <c r="P7401">
        <v>-5.4904469999999997E-2</v>
      </c>
      <c r="Q7401">
        <v>0.15575169999999999</v>
      </c>
      <c r="R7401">
        <v>0.98626919999999996</v>
      </c>
      <c r="S7401">
        <v>-0.35385129999999998</v>
      </c>
      <c r="T7401">
        <v>-0.15591379999999999</v>
      </c>
      <c r="U7401">
        <v>3.0471189999999999</v>
      </c>
      <c r="V7401">
        <v>7.2844809999999998E-3</v>
      </c>
      <c r="W7401">
        <v>0.16990549999999999</v>
      </c>
      <c r="X7401">
        <v>0.98543349999999996</v>
      </c>
      <c r="Y7401">
        <v>-5.0284620000000002E-2</v>
      </c>
      <c r="Z7401">
        <v>-3.6566630000000003E-2</v>
      </c>
      <c r="AA7401">
        <v>0.99806530000000004</v>
      </c>
      <c r="AB7401">
        <v>29</v>
      </c>
      <c r="AC7401">
        <v>-2.5335999999999999</v>
      </c>
      <c r="AD7401">
        <v>-1.1267958472149999</v>
      </c>
      <c r="AE7401">
        <v>21.729869999999998</v>
      </c>
      <c r="AF7401">
        <v>-1.1094415847322501</v>
      </c>
      <c r="AG7401">
        <v>-1.1267958472149999</v>
      </c>
      <c r="AH7401">
        <v>21.790967162285799</v>
      </c>
      <c r="AI7401">
        <v>92.956266526047003</v>
      </c>
      <c r="AJ7401">
        <v>92.914578378838002</v>
      </c>
      <c r="AK7401">
        <v>21.848267193968798</v>
      </c>
      <c r="AL7401">
        <v>80.217675945513406</v>
      </c>
      <c r="AM7401">
        <v>89.576468208930393</v>
      </c>
      <c r="AN7401">
        <v>1.0000000627579599</v>
      </c>
    </row>
    <row r="7402" spans="1:40" x14ac:dyDescent="0.25">
      <c r="A7402" t="str">
        <f>"20190303170431616"</f>
        <v>20190303170431616</v>
      </c>
      <c r="B7402" t="str">
        <f>"1551603871602582"</f>
        <v>1551603871602582</v>
      </c>
      <c r="C7402" t="s">
        <v>40</v>
      </c>
      <c r="D7402">
        <v>5.0093319999999997</v>
      </c>
      <c r="E7402">
        <v>0.48779359999999999</v>
      </c>
      <c r="F7402" t="s">
        <v>42</v>
      </c>
      <c r="G7402">
        <v>-189.99950000000001</v>
      </c>
      <c r="H7402" s="1">
        <v>-4.0757109999999999E-6</v>
      </c>
      <c r="I7402">
        <v>-10.91</v>
      </c>
      <c r="J7402">
        <v>-187.53469999999999</v>
      </c>
      <c r="K7402">
        <v>1.1262570000000001</v>
      </c>
      <c r="L7402">
        <v>-35.27722</v>
      </c>
      <c r="M7402">
        <v>-6.9852540000000005E-2</v>
      </c>
      <c r="N7402">
        <v>-1.417798E-2</v>
      </c>
      <c r="O7402">
        <v>0.99745660000000003</v>
      </c>
      <c r="P7402">
        <v>-5.5675420000000003E-2</v>
      </c>
      <c r="Q7402">
        <v>0.1528717</v>
      </c>
      <c r="R7402">
        <v>0.98667649999999996</v>
      </c>
      <c r="S7402">
        <v>-0.30769350000000001</v>
      </c>
      <c r="T7402">
        <v>-0.13942349999999901</v>
      </c>
      <c r="U7402">
        <v>3.0466609999999998</v>
      </c>
      <c r="V7402">
        <v>1.1455969999999999E-2</v>
      </c>
      <c r="W7402">
        <v>0.16701060000000001</v>
      </c>
      <c r="X7402">
        <v>0.98588849999999995</v>
      </c>
      <c r="Y7402">
        <v>-3.0668689999999998E-2</v>
      </c>
      <c r="Z7402">
        <v>-3.1303600000000001E-2</v>
      </c>
      <c r="AA7402">
        <v>0.99903929999999996</v>
      </c>
      <c r="AB7402">
        <v>29</v>
      </c>
      <c r="AC7402">
        <v>-2.4648000000000199</v>
      </c>
      <c r="AD7402">
        <v>-1.1262610757109901</v>
      </c>
      <c r="AE7402">
        <v>24.36722</v>
      </c>
      <c r="AF7402">
        <v>-0.75489846150867301</v>
      </c>
      <c r="AG7402">
        <v>-1.1262610757109901</v>
      </c>
      <c r="AH7402">
        <v>24.428218814019399</v>
      </c>
      <c r="AI7402">
        <v>92.638490219491203</v>
      </c>
      <c r="AJ7402">
        <v>91.770032257398697</v>
      </c>
      <c r="AK7402">
        <v>24.465817176695001</v>
      </c>
      <c r="AL7402">
        <v>80.385945308026294</v>
      </c>
      <c r="AM7402">
        <v>89.334256164342506</v>
      </c>
      <c r="AN7402">
        <v>0.99999995709662404</v>
      </c>
    </row>
    <row r="7403" spans="1:40" x14ac:dyDescent="0.25">
      <c r="A7403" t="str">
        <f>"20190303170431639"</f>
        <v>20190303170431639</v>
      </c>
      <c r="B7403" t="str">
        <f>"1551603871633345"</f>
        <v>1551603871633345</v>
      </c>
      <c r="C7403" t="s">
        <v>40</v>
      </c>
      <c r="D7403">
        <v>4.9500299999999999</v>
      </c>
      <c r="E7403">
        <v>0.48900199999999999</v>
      </c>
      <c r="F7403" t="s">
        <v>42</v>
      </c>
      <c r="G7403">
        <v>-189.77029999999999</v>
      </c>
      <c r="H7403" s="1">
        <v>-3.419797E-6</v>
      </c>
      <c r="I7403">
        <v>-12.49056</v>
      </c>
      <c r="J7403">
        <v>-187.5609</v>
      </c>
      <c r="K7403">
        <v>1.125667</v>
      </c>
      <c r="L7403">
        <v>-34.98245</v>
      </c>
      <c r="M7403">
        <v>-7.458244E-2</v>
      </c>
      <c r="N7403">
        <v>-1.4114979999999999E-2</v>
      </c>
      <c r="O7403">
        <v>0.99711499999999997</v>
      </c>
      <c r="P7403">
        <v>-5.9149979999999998E-2</v>
      </c>
      <c r="Q7403">
        <v>0.15294430000000001</v>
      </c>
      <c r="R7403">
        <v>0.98646310000000004</v>
      </c>
      <c r="S7403">
        <v>-0.2989349</v>
      </c>
      <c r="T7403">
        <v>-0.15060019999999999</v>
      </c>
      <c r="U7403">
        <v>3.046967</v>
      </c>
      <c r="V7403">
        <v>1.290417E-2</v>
      </c>
      <c r="W7403">
        <v>0.16701579999999999</v>
      </c>
      <c r="X7403">
        <v>0.98586980000000002</v>
      </c>
      <c r="Y7403">
        <v>-2.3064540000000001E-2</v>
      </c>
      <c r="Z7403">
        <v>-3.4984830000000001E-2</v>
      </c>
      <c r="AA7403">
        <v>0.9991217</v>
      </c>
      <c r="AB7403">
        <v>29</v>
      </c>
      <c r="AC7403">
        <v>-2.20939999999998</v>
      </c>
      <c r="AD7403">
        <v>-1.125670419797</v>
      </c>
      <c r="AE7403">
        <v>22.491890000000001</v>
      </c>
      <c r="AF7403">
        <v>-0.524277525544673</v>
      </c>
      <c r="AG7403">
        <v>-1.125670419797</v>
      </c>
      <c r="AH7403">
        <v>22.538119465015999</v>
      </c>
      <c r="AI7403">
        <v>92.8585000642084</v>
      </c>
      <c r="AJ7403">
        <v>91.332563401229095</v>
      </c>
      <c r="AK7403">
        <v>22.5723022715258</v>
      </c>
      <c r="AL7403">
        <v>80.3856438216567</v>
      </c>
      <c r="AM7403">
        <v>89.2500913811038</v>
      </c>
      <c r="AN7403">
        <v>1.0000000288025299</v>
      </c>
    </row>
    <row r="7404" spans="1:40" x14ac:dyDescent="0.25">
      <c r="A7404" t="str">
        <f>"20190303170431663"</f>
        <v>20190303170431663</v>
      </c>
      <c r="B7404" t="str">
        <f>"1551603871652865"</f>
        <v>1551603871652865</v>
      </c>
      <c r="C7404" t="s">
        <v>40</v>
      </c>
      <c r="D7404">
        <v>5.0732790000000003</v>
      </c>
      <c r="E7404">
        <v>0.4894908</v>
      </c>
      <c r="F7404" t="s">
        <v>42</v>
      </c>
      <c r="G7404">
        <v>-189.8631</v>
      </c>
      <c r="H7404" s="1">
        <v>-3.8119409999999999E-6</v>
      </c>
      <c r="I7404">
        <v>-11.53811</v>
      </c>
      <c r="J7404">
        <v>-187.58930000000001</v>
      </c>
      <c r="K7404">
        <v>1.1250629999999999</v>
      </c>
      <c r="L7404">
        <v>-34.669040000000003</v>
      </c>
      <c r="M7404">
        <v>-7.8765500000000002E-2</v>
      </c>
      <c r="N7404">
        <v>-1.405227E-2</v>
      </c>
      <c r="O7404">
        <v>0.99679410000000002</v>
      </c>
      <c r="P7404">
        <v>-5.9330609999999999E-2</v>
      </c>
      <c r="Q7404">
        <v>0.1549681</v>
      </c>
      <c r="R7404">
        <v>0.98613629999999997</v>
      </c>
      <c r="S7404">
        <v>-0.2991028</v>
      </c>
      <c r="T7404">
        <v>-0.14624760000000001</v>
      </c>
      <c r="U7404">
        <v>3.0458980000000002</v>
      </c>
      <c r="V7404">
        <v>1.707846E-2</v>
      </c>
      <c r="W7404">
        <v>0.16898629999999901</v>
      </c>
      <c r="X7404">
        <v>0.98547039999999997</v>
      </c>
      <c r="Y7404">
        <v>-1.896488E-2</v>
      </c>
      <c r="Z7404">
        <v>-3.3630930000000003E-2</v>
      </c>
      <c r="AA7404">
        <v>0.99925430000000004</v>
      </c>
      <c r="AB7404">
        <v>29</v>
      </c>
      <c r="AC7404">
        <v>-2.2737999999999898</v>
      </c>
      <c r="AD7404">
        <v>-1.1250668119409999</v>
      </c>
      <c r="AE7404">
        <v>23.130929999999999</v>
      </c>
      <c r="AF7404">
        <v>-0.44359567512085701</v>
      </c>
      <c r="AG7404">
        <v>-1.1250668119409999</v>
      </c>
      <c r="AH7404">
        <v>23.183844184718801</v>
      </c>
      <c r="AI7404">
        <v>92.777765424626907</v>
      </c>
      <c r="AJ7404">
        <v>91.0961538054774</v>
      </c>
      <c r="AK7404">
        <v>23.215365248809601</v>
      </c>
      <c r="AL7404">
        <v>80.271114131374404</v>
      </c>
      <c r="AM7404">
        <v>89.007148531679604</v>
      </c>
      <c r="AN7404">
        <v>0.99999997632991</v>
      </c>
    </row>
    <row r="7405" spans="1:40" x14ac:dyDescent="0.25">
      <c r="A7405" t="str">
        <f>"20190303170431684"</f>
        <v>20190303170431684</v>
      </c>
      <c r="B7405" t="str">
        <f>"1551603871672385"</f>
        <v>1551603871672385</v>
      </c>
      <c r="C7405" t="s">
        <v>40</v>
      </c>
      <c r="D7405">
        <v>5.0157749999999997</v>
      </c>
      <c r="E7405">
        <v>0.4901529</v>
      </c>
      <c r="F7405" t="s">
        <v>42</v>
      </c>
      <c r="G7405">
        <v>-190.01900000000001</v>
      </c>
      <c r="H7405" s="1">
        <v>-2.5352499999999999E-7</v>
      </c>
      <c r="I7405">
        <v>-9.8317219999999992</v>
      </c>
      <c r="J7405">
        <v>-187.61449999999999</v>
      </c>
      <c r="K7405">
        <v>1.1245149999999999</v>
      </c>
      <c r="L7405">
        <v>-34.395200000000003</v>
      </c>
      <c r="M7405">
        <v>-8.1652740000000001E-2</v>
      </c>
      <c r="N7405">
        <v>-1.399949E-2</v>
      </c>
      <c r="O7405">
        <v>0.99656250000000002</v>
      </c>
      <c r="P7405">
        <v>-5.7036580000000003E-2</v>
      </c>
      <c r="Q7405">
        <v>0.15423310000000001</v>
      </c>
      <c r="R7405">
        <v>0.98638680000000001</v>
      </c>
      <c r="S7405">
        <v>-0.29797360000000001</v>
      </c>
      <c r="T7405">
        <v>-0.1379724</v>
      </c>
      <c r="U7405">
        <v>3.0459290000000001</v>
      </c>
      <c r="V7405">
        <v>2.248062E-2</v>
      </c>
      <c r="W7405">
        <v>0.16821410000000001</v>
      </c>
      <c r="X7405">
        <v>0.98549410000000004</v>
      </c>
      <c r="Y7405">
        <v>-1.5710740000000001E-2</v>
      </c>
      <c r="Z7405">
        <v>-3.0980939999999998E-2</v>
      </c>
      <c r="AA7405">
        <v>0.99939650000000002</v>
      </c>
      <c r="AB7405">
        <v>29</v>
      </c>
      <c r="AC7405">
        <v>-2.4045000000000099</v>
      </c>
      <c r="AD7405">
        <v>-1.124515253525</v>
      </c>
      <c r="AE7405">
        <v>24.563478</v>
      </c>
      <c r="AF7405">
        <v>-0.38978836478951301</v>
      </c>
      <c r="AG7405">
        <v>-1.124515253525</v>
      </c>
      <c r="AH7405">
        <v>24.626670929669</v>
      </c>
      <c r="AI7405">
        <v>92.614125217338497</v>
      </c>
      <c r="AJ7405">
        <v>90.9067958701972</v>
      </c>
      <c r="AK7405">
        <v>24.655413008159901</v>
      </c>
      <c r="AL7405">
        <v>80.316000652195598</v>
      </c>
      <c r="AM7405">
        <v>88.693222720907798</v>
      </c>
      <c r="AN7405">
        <v>0.99999999142460205</v>
      </c>
    </row>
    <row r="7406" spans="1:40" x14ac:dyDescent="0.25">
      <c r="A7406" t="str">
        <f>"20190303170431705"</f>
        <v>20190303170431705</v>
      </c>
      <c r="B7406" t="str">
        <f>"1551603871692882"</f>
        <v>1551603871692882</v>
      </c>
      <c r="C7406" t="s">
        <v>40</v>
      </c>
      <c r="D7406">
        <v>5.0132219999999998</v>
      </c>
      <c r="E7406">
        <v>0.49050159999999998</v>
      </c>
      <c r="F7406" t="s">
        <v>42</v>
      </c>
      <c r="G7406">
        <v>-189.92420000000001</v>
      </c>
      <c r="H7406" s="1">
        <v>-2.3104939999999999E-7</v>
      </c>
      <c r="I7406">
        <v>-9.8599840000000007</v>
      </c>
      <c r="J7406">
        <v>-187.6395</v>
      </c>
      <c r="K7406">
        <v>1.123928</v>
      </c>
      <c r="L7406">
        <v>-34.124759999999903</v>
      </c>
      <c r="M7406">
        <v>-8.3746139999999997E-2</v>
      </c>
      <c r="N7406">
        <v>-1.3950529999999999E-2</v>
      </c>
      <c r="O7406">
        <v>0.99638939999999998</v>
      </c>
      <c r="P7406">
        <v>-5.4228329999999998E-2</v>
      </c>
      <c r="Q7406">
        <v>0.15070999999999901</v>
      </c>
      <c r="R7406">
        <v>0.98708960000000001</v>
      </c>
      <c r="S7406">
        <v>-0.28680420000000001</v>
      </c>
      <c r="T7406">
        <v>-0.13963680000000001</v>
      </c>
      <c r="U7406">
        <v>3.0466609999999998</v>
      </c>
      <c r="V7406">
        <v>2.7676139999999998E-2</v>
      </c>
      <c r="W7406">
        <v>0.16464489999999901</v>
      </c>
      <c r="X7406">
        <v>0.98596450000000002</v>
      </c>
      <c r="Y7406">
        <v>-9.9569229999999995E-3</v>
      </c>
      <c r="Z7406">
        <v>-3.1556830000000001E-2</v>
      </c>
      <c r="AA7406">
        <v>0.99945240000000002</v>
      </c>
      <c r="AB7406">
        <v>29</v>
      </c>
      <c r="AC7406">
        <v>-2.2847000000000102</v>
      </c>
      <c r="AD7406">
        <v>-1.1239282310493901</v>
      </c>
      <c r="AE7406">
        <v>24.264776000000001</v>
      </c>
      <c r="AF7406">
        <v>-0.24387470239057699</v>
      </c>
      <c r="AG7406">
        <v>-1.1239282310493901</v>
      </c>
      <c r="AH7406">
        <v>24.319155836092399</v>
      </c>
      <c r="AI7406">
        <v>92.645952205564299</v>
      </c>
      <c r="AJ7406">
        <v>90.574548019373097</v>
      </c>
      <c r="AK7406">
        <v>24.346335044913101</v>
      </c>
      <c r="AL7406">
        <v>80.523392940497601</v>
      </c>
      <c r="AM7406">
        <v>88.392122910286105</v>
      </c>
      <c r="AN7406">
        <v>0.99999995354077797</v>
      </c>
    </row>
    <row r="7407" spans="1:40" x14ac:dyDescent="0.25">
      <c r="A7407" t="str">
        <f>"20190303170431729"</f>
        <v>20190303170431729</v>
      </c>
      <c r="B7407" t="str">
        <f>"1551603871722668"</f>
        <v>1551603871722668</v>
      </c>
      <c r="C7407" t="s">
        <v>40</v>
      </c>
      <c r="D7407">
        <v>5.0683730000000002</v>
      </c>
      <c r="E7407">
        <v>0.49400870000000002</v>
      </c>
      <c r="F7407" t="s">
        <v>42</v>
      </c>
      <c r="G7407">
        <v>-189.67670000000001</v>
      </c>
      <c r="H7407" s="1">
        <v>-3.9121850000000002E-6</v>
      </c>
      <c r="I7407">
        <v>-11.38148</v>
      </c>
      <c r="J7407">
        <v>-187.66810000000001</v>
      </c>
      <c r="K7407">
        <v>1.123183</v>
      </c>
      <c r="L7407">
        <v>-33.812100000000001</v>
      </c>
      <c r="M7407">
        <v>-8.5220249999999997E-2</v>
      </c>
      <c r="N7407">
        <v>-1.3901490000000001E-2</v>
      </c>
      <c r="O7407">
        <v>0.99626519999999996</v>
      </c>
      <c r="P7407">
        <v>-5.1797889999999999E-2</v>
      </c>
      <c r="Q7407">
        <v>0.1486934</v>
      </c>
      <c r="R7407">
        <v>0.98752580000000001</v>
      </c>
      <c r="S7407">
        <v>-0.2729645</v>
      </c>
      <c r="T7407">
        <v>-0.15058920000000001</v>
      </c>
      <c r="U7407">
        <v>3.0472410000000001</v>
      </c>
      <c r="V7407">
        <v>3.190519E-2</v>
      </c>
      <c r="W7407">
        <v>0.16254779999999999</v>
      </c>
      <c r="X7407">
        <v>0.98618470000000003</v>
      </c>
      <c r="Y7407">
        <v>-3.9500120000000001E-3</v>
      </c>
      <c r="Z7407">
        <v>-3.5154610000000003E-2</v>
      </c>
      <c r="AA7407">
        <v>0.99937410000000004</v>
      </c>
      <c r="AB7407">
        <v>29</v>
      </c>
      <c r="AC7407">
        <v>-2.0085999999999999</v>
      </c>
      <c r="AD7407">
        <v>-1.123186912185</v>
      </c>
      <c r="AE7407">
        <v>22.430620000000001</v>
      </c>
      <c r="AF7407">
        <v>-8.9341655011323295E-2</v>
      </c>
      <c r="AG7407">
        <v>-1.123186912185</v>
      </c>
      <c r="AH7407">
        <v>22.464315945418601</v>
      </c>
      <c r="AI7407">
        <v>92.862309139012694</v>
      </c>
      <c r="AJ7407">
        <v>90.227866844072395</v>
      </c>
      <c r="AK7407">
        <v>22.4925548052374</v>
      </c>
      <c r="AL7407">
        <v>80.645189258211005</v>
      </c>
      <c r="AM7407">
        <v>88.1470049628916</v>
      </c>
      <c r="AN7407">
        <v>0.99999999547393303</v>
      </c>
    </row>
    <row r="7408" spans="1:40" x14ac:dyDescent="0.25">
      <c r="A7408" t="str">
        <f>"20190303170431751"</f>
        <v>20190303170431751</v>
      </c>
      <c r="B7408" t="str">
        <f>"1551603871743164"</f>
        <v>1551603871743164</v>
      </c>
      <c r="C7408" t="s">
        <v>40</v>
      </c>
      <c r="D7408">
        <v>5.0644309999999999</v>
      </c>
      <c r="E7408">
        <v>0.49316949999999998</v>
      </c>
      <c r="F7408" t="s">
        <v>42</v>
      </c>
      <c r="G7408">
        <v>-189.4958</v>
      </c>
      <c r="H7408" s="1">
        <v>-3.3935129999999998E-7</v>
      </c>
      <c r="I7408">
        <v>-9.7846480000000007</v>
      </c>
      <c r="J7408">
        <v>-187.69399999999999</v>
      </c>
      <c r="K7408">
        <v>1.1224620000000001</v>
      </c>
      <c r="L7408">
        <v>-33.52243</v>
      </c>
      <c r="M7408">
        <v>-8.566783E-2</v>
      </c>
      <c r="N7408">
        <v>-1.386508E-2</v>
      </c>
      <c r="O7408">
        <v>0.99622730000000004</v>
      </c>
      <c r="P7408">
        <v>-4.8459149999999999E-2</v>
      </c>
      <c r="Q7408">
        <v>0.15051110000000001</v>
      </c>
      <c r="R7408">
        <v>0.98741999999999996</v>
      </c>
      <c r="S7408">
        <v>-0.23179630000000001</v>
      </c>
      <c r="T7408">
        <v>-0.14244289999999901</v>
      </c>
      <c r="U7408">
        <v>3.04718</v>
      </c>
      <c r="V7408">
        <v>3.5952900000000003E-2</v>
      </c>
      <c r="W7408">
        <v>0.1642747</v>
      </c>
      <c r="X7408">
        <v>0.98575919999999895</v>
      </c>
      <c r="Y7408">
        <v>9.8944180000000003E-3</v>
      </c>
      <c r="Z7408">
        <v>-3.256034E-2</v>
      </c>
      <c r="AA7408">
        <v>0.9994208</v>
      </c>
      <c r="AB7408">
        <v>29</v>
      </c>
      <c r="AC7408">
        <v>-1.8017999999999801</v>
      </c>
      <c r="AD7408">
        <v>-1.1224623393513</v>
      </c>
      <c r="AE7408">
        <v>23.737781999999999</v>
      </c>
      <c r="AF7408">
        <v>0.23805561891271501</v>
      </c>
      <c r="AG7408">
        <v>-1.1224623393513</v>
      </c>
      <c r="AH7408">
        <v>23.752066052701</v>
      </c>
      <c r="AI7408">
        <v>92.705504454570203</v>
      </c>
      <c r="AJ7408">
        <v>89.425770981467707</v>
      </c>
      <c r="AK7408">
        <v>23.779765220725601</v>
      </c>
      <c r="AL7408">
        <v>80.544897026426895</v>
      </c>
      <c r="AM7408">
        <v>87.911217304805604</v>
      </c>
      <c r="AN7408">
        <v>0.99999999423156904</v>
      </c>
    </row>
    <row r="7409" spans="1:40" x14ac:dyDescent="0.25">
      <c r="A7409" t="str">
        <f>"20190303170431778"</f>
        <v>20190303170431778</v>
      </c>
      <c r="B7409" t="str">
        <f>"1551603871772444"</f>
        <v>1551603871772444</v>
      </c>
      <c r="C7409" t="s">
        <v>40</v>
      </c>
      <c r="D7409">
        <v>5.1308470000000002</v>
      </c>
      <c r="E7409">
        <v>0.49335190000000001</v>
      </c>
      <c r="F7409" t="s">
        <v>42</v>
      </c>
      <c r="G7409">
        <v>-189.53139999999999</v>
      </c>
      <c r="H7409" s="1">
        <v>-6.6347059999999995E-7</v>
      </c>
      <c r="I7409">
        <v>-9.0144169999999999</v>
      </c>
      <c r="J7409">
        <v>-187.7234</v>
      </c>
      <c r="K7409">
        <v>1.121605</v>
      </c>
      <c r="L7409">
        <v>-33.181579999999997</v>
      </c>
      <c r="M7409">
        <v>-8.5002720000000004E-2</v>
      </c>
      <c r="N7409">
        <v>-1.3833109999999999E-2</v>
      </c>
      <c r="O7409">
        <v>0.99628470000000002</v>
      </c>
      <c r="P7409">
        <v>-4.467484E-2</v>
      </c>
      <c r="Q7409">
        <v>0.15389459999999999</v>
      </c>
      <c r="R7409">
        <v>0.98707679999999998</v>
      </c>
      <c r="S7409">
        <v>-0.22853090000000001</v>
      </c>
      <c r="T7409">
        <v>-0.1396106</v>
      </c>
      <c r="U7409">
        <v>3.048279</v>
      </c>
      <c r="V7409">
        <v>3.9385629999999998E-2</v>
      </c>
      <c r="W7409">
        <v>0.16754040000000001</v>
      </c>
      <c r="X7409">
        <v>0.98507820000000001</v>
      </c>
      <c r="Y7409">
        <v>1.031631E-2</v>
      </c>
      <c r="Z7409">
        <v>-3.1659939999999998E-2</v>
      </c>
      <c r="AA7409">
        <v>0.99944540000000004</v>
      </c>
      <c r="AB7409">
        <v>29</v>
      </c>
      <c r="AC7409">
        <v>-1.8079999999999901</v>
      </c>
      <c r="AD7409">
        <v>-1.1216056634706</v>
      </c>
      <c r="AE7409">
        <v>24.167162999999899</v>
      </c>
      <c r="AF7409">
        <v>0.25247527436044498</v>
      </c>
      <c r="AG7409">
        <v>-1.1216056634706</v>
      </c>
      <c r="AH7409">
        <v>24.181582863570199</v>
      </c>
      <c r="AI7409">
        <v>92.655481711977899</v>
      </c>
      <c r="AJ7409">
        <v>89.4018074776926</v>
      </c>
      <c r="AK7409">
        <v>24.208896976446599</v>
      </c>
      <c r="AL7409">
        <v>80.355156965602703</v>
      </c>
      <c r="AM7409">
        <v>87.710406080471103</v>
      </c>
      <c r="AN7409">
        <v>1.0000000367989399</v>
      </c>
    </row>
    <row r="7410" spans="1:40" x14ac:dyDescent="0.25">
      <c r="A7410" t="str">
        <f>"20190303170431798"</f>
        <v>20190303170431798</v>
      </c>
      <c r="B7410" t="str">
        <f>"1551603871792940"</f>
        <v>1551603871792940</v>
      </c>
      <c r="C7410" t="s">
        <v>40</v>
      </c>
      <c r="D7410">
        <v>5.1346119999999997</v>
      </c>
      <c r="E7410">
        <v>0.49351220000000001</v>
      </c>
      <c r="F7410" t="s">
        <v>42</v>
      </c>
      <c r="G7410">
        <v>-189.59979999999999</v>
      </c>
      <c r="H7410" s="1">
        <v>-1.569469E-6</v>
      </c>
      <c r="I7410">
        <v>-6.874206</v>
      </c>
      <c r="J7410">
        <v>-187.74440000000001</v>
      </c>
      <c r="K7410">
        <v>1.12097</v>
      </c>
      <c r="L7410">
        <v>-32.925049999999999</v>
      </c>
      <c r="M7410">
        <v>-8.3678359999999993E-2</v>
      </c>
      <c r="N7410">
        <v>-1.381716E-2</v>
      </c>
      <c r="O7410">
        <v>0.99639699999999998</v>
      </c>
      <c r="P7410">
        <v>-4.0433360000000002E-2</v>
      </c>
      <c r="Q7410">
        <v>0.15269730000000001</v>
      </c>
      <c r="R7410">
        <v>0.98744549999999998</v>
      </c>
      <c r="S7410">
        <v>-0.21752929999999901</v>
      </c>
      <c r="T7410">
        <v>-0.13002230000000001</v>
      </c>
      <c r="U7410">
        <v>3.0496829999999999</v>
      </c>
      <c r="V7410">
        <v>4.2590429999999999E-2</v>
      </c>
      <c r="W7410">
        <v>0.16626260000000001</v>
      </c>
      <c r="X7410">
        <v>0.98516130000000002</v>
      </c>
      <c r="Y7410">
        <v>1.260031E-2</v>
      </c>
      <c r="Z7410">
        <v>-2.85493E-2</v>
      </c>
      <c r="AA7410">
        <v>0.99951299999999998</v>
      </c>
      <c r="AB7410">
        <v>29</v>
      </c>
      <c r="AC7410">
        <v>-1.85539999999997</v>
      </c>
      <c r="AD7410">
        <v>-1.1209715694689999</v>
      </c>
      <c r="AE7410">
        <v>26.050844000000001</v>
      </c>
      <c r="AF7410">
        <v>0.33059948611900603</v>
      </c>
      <c r="AG7410">
        <v>-1.1209715694689999</v>
      </c>
      <c r="AH7410">
        <v>26.066711712362601</v>
      </c>
      <c r="AI7410">
        <v>92.462229857238199</v>
      </c>
      <c r="AJ7410">
        <v>89.273366739115104</v>
      </c>
      <c r="AK7410">
        <v>26.0928981290926</v>
      </c>
      <c r="AL7410">
        <v>80.429410601387801</v>
      </c>
      <c r="AM7410">
        <v>87.524533990452497</v>
      </c>
      <c r="AN7410">
        <v>0.99999999195201705</v>
      </c>
    </row>
    <row r="7411" spans="1:40" x14ac:dyDescent="0.25">
      <c r="A7411" t="str">
        <f>"20190303170431819"</f>
        <v>20190303170431819</v>
      </c>
      <c r="B7411" t="str">
        <f>"1551603871812966"</f>
        <v>1551603871812966</v>
      </c>
      <c r="C7411" t="s">
        <v>40</v>
      </c>
      <c r="D7411">
        <v>5.1881539999999999</v>
      </c>
      <c r="E7411">
        <v>0.4932761</v>
      </c>
      <c r="F7411" t="s">
        <v>42</v>
      </c>
      <c r="G7411">
        <v>-189.441</v>
      </c>
      <c r="H7411" s="1">
        <v>-1.34262E-6</v>
      </c>
      <c r="I7411">
        <v>-7.4686810000000001</v>
      </c>
      <c r="J7411">
        <v>-187.76660000000001</v>
      </c>
      <c r="K7411">
        <v>1.1203339999999999</v>
      </c>
      <c r="L7411">
        <v>-32.639189999999999</v>
      </c>
      <c r="M7411">
        <v>-8.1502829999999998E-2</v>
      </c>
      <c r="N7411">
        <v>-1.380434E-2</v>
      </c>
      <c r="O7411">
        <v>0.99657750000000001</v>
      </c>
      <c r="P7411">
        <v>-3.4807820000000003E-2</v>
      </c>
      <c r="Q7411">
        <v>0.14949889999999999</v>
      </c>
      <c r="R7411">
        <v>0.98814900000000006</v>
      </c>
      <c r="S7411">
        <v>-0.20330809999999999</v>
      </c>
      <c r="T7411">
        <v>-0.13433310000000001</v>
      </c>
      <c r="U7411">
        <v>3.0505979999999999</v>
      </c>
      <c r="V7411">
        <v>4.6343719999999998E-2</v>
      </c>
      <c r="W7411">
        <v>0.1629806</v>
      </c>
      <c r="X7411">
        <v>0.98554030000000004</v>
      </c>
      <c r="Y7411">
        <v>1.50776E-2</v>
      </c>
      <c r="Z7411">
        <v>-2.996445E-2</v>
      </c>
      <c r="AA7411">
        <v>0.99943720000000003</v>
      </c>
      <c r="AB7411">
        <v>29</v>
      </c>
      <c r="AC7411">
        <v>-1.6743999999999599</v>
      </c>
      <c r="AD7411">
        <v>-1.12033534262</v>
      </c>
      <c r="AE7411">
        <v>25.170508999999999</v>
      </c>
      <c r="AF7411">
        <v>0.382081215109769</v>
      </c>
      <c r="AG7411">
        <v>-1.12033534262</v>
      </c>
      <c r="AH7411">
        <v>25.173582533136099</v>
      </c>
      <c r="AI7411">
        <v>92.547940075783004</v>
      </c>
      <c r="AJ7411">
        <v>89.130439212646195</v>
      </c>
      <c r="AK7411">
        <v>25.201396685252899</v>
      </c>
      <c r="AL7411">
        <v>80.620057011756103</v>
      </c>
      <c r="AM7411">
        <v>87.307725518458795</v>
      </c>
      <c r="AN7411">
        <v>1.0000000496419399</v>
      </c>
    </row>
    <row r="7412" spans="1:40" x14ac:dyDescent="0.25">
      <c r="A7412" t="str">
        <f>"20190303170431841"</f>
        <v>20190303170431841</v>
      </c>
      <c r="B7412" t="str">
        <f>"1551603871832486"</f>
        <v>1551603871832486</v>
      </c>
      <c r="C7412" t="s">
        <v>40</v>
      </c>
      <c r="D7412">
        <v>5.130903</v>
      </c>
      <c r="E7412">
        <v>0.49310540000000003</v>
      </c>
      <c r="F7412" t="s">
        <v>42</v>
      </c>
      <c r="G7412">
        <v>-189.19059999999999</v>
      </c>
      <c r="H7412" s="1">
        <v>-6.317551E-7</v>
      </c>
      <c r="I7412">
        <v>-9.2292360000000002</v>
      </c>
      <c r="J7412">
        <v>-187.78739999999999</v>
      </c>
      <c r="K7412">
        <v>1.1197680000000001</v>
      </c>
      <c r="L7412">
        <v>-32.355350000000001</v>
      </c>
      <c r="M7412">
        <v>-7.8714709999999993E-2</v>
      </c>
      <c r="N7412">
        <v>-1.379059E-2</v>
      </c>
      <c r="O7412">
        <v>0.99680179999999996</v>
      </c>
      <c r="P7412">
        <v>-2.7350630000000001E-2</v>
      </c>
      <c r="Q7412">
        <v>0.14816399999999999</v>
      </c>
      <c r="R7412">
        <v>0.98858449999999998</v>
      </c>
      <c r="S7412">
        <v>-0.18562319999999999</v>
      </c>
      <c r="T7412">
        <v>-0.14603829999999901</v>
      </c>
      <c r="U7412">
        <v>3.0515439999999998</v>
      </c>
      <c r="V7412">
        <v>5.1256990000000002E-2</v>
      </c>
      <c r="W7412">
        <v>0.16155069999999999</v>
      </c>
      <c r="X7412">
        <v>0.98553239999999998</v>
      </c>
      <c r="Y7412">
        <v>1.8075460000000002E-2</v>
      </c>
      <c r="Z7412">
        <v>-3.3786080000000003E-2</v>
      </c>
      <c r="AA7412">
        <v>0.99926559999999998</v>
      </c>
      <c r="AB7412">
        <v>29</v>
      </c>
      <c r="AC7412">
        <v>-1.40319999999999</v>
      </c>
      <c r="AD7412">
        <v>-1.1197686317551001</v>
      </c>
      <c r="AE7412">
        <v>23.126114000000001</v>
      </c>
      <c r="AF7412">
        <v>0.42071042900806699</v>
      </c>
      <c r="AG7412">
        <v>-1.1197686317551001</v>
      </c>
      <c r="AH7412">
        <v>23.110822523232802</v>
      </c>
      <c r="AI7412">
        <v>92.773474554627398</v>
      </c>
      <c r="AJ7412">
        <v>88.957100302440296</v>
      </c>
      <c r="AK7412">
        <v>23.141758722147799</v>
      </c>
      <c r="AL7412">
        <v>80.7030842302092</v>
      </c>
      <c r="AM7412">
        <v>87.022761015703097</v>
      </c>
      <c r="AN7412">
        <v>1.00000000957205</v>
      </c>
    </row>
    <row r="7413" spans="1:40" x14ac:dyDescent="0.25">
      <c r="A7413" t="str">
        <f>"20190303170431864"</f>
        <v>20190303170431864</v>
      </c>
      <c r="B7413" t="str">
        <f>"1551603871852981"</f>
        <v>1551603871852981</v>
      </c>
      <c r="C7413" t="s">
        <v>40</v>
      </c>
      <c r="D7413">
        <v>5.1333399999999996</v>
      </c>
      <c r="E7413">
        <v>0.49296770000000001</v>
      </c>
      <c r="F7413" t="s">
        <v>42</v>
      </c>
      <c r="G7413">
        <v>-189.01689999999999</v>
      </c>
      <c r="H7413" s="1">
        <v>-5.2832310000000003E-7</v>
      </c>
      <c r="I7413">
        <v>-9.5680820000000004</v>
      </c>
      <c r="J7413">
        <v>-187.8081</v>
      </c>
      <c r="K7413">
        <v>1.11927</v>
      </c>
      <c r="L7413">
        <v>-32.050690000000003</v>
      </c>
      <c r="M7413">
        <v>-7.5127929999999996E-2</v>
      </c>
      <c r="N7413">
        <v>-1.3777640000000001E-2</v>
      </c>
      <c r="O7413">
        <v>0.99707869999999998</v>
      </c>
      <c r="P7413">
        <v>-1.9596720000000001E-2</v>
      </c>
      <c r="Q7413">
        <v>0.1486421</v>
      </c>
      <c r="R7413">
        <v>0.98869689999999999</v>
      </c>
      <c r="S7413">
        <v>-0.1647034</v>
      </c>
      <c r="T7413">
        <v>-0.15000269999999999</v>
      </c>
      <c r="U7413">
        <v>3.0525509999999998</v>
      </c>
      <c r="V7413">
        <v>5.5640929999999998E-2</v>
      </c>
      <c r="W7413">
        <v>0.16192619999999999</v>
      </c>
      <c r="X7413">
        <v>0.98523289999999997</v>
      </c>
      <c r="Y7413">
        <v>2.132467E-2</v>
      </c>
      <c r="Z7413">
        <v>-3.5094210000000001E-2</v>
      </c>
      <c r="AA7413">
        <v>0.9991565</v>
      </c>
      <c r="AB7413">
        <v>29</v>
      </c>
      <c r="AC7413">
        <v>-1.2087999999999901</v>
      </c>
      <c r="AD7413">
        <v>-1.1192705283230999</v>
      </c>
      <c r="AE7413">
        <v>22.482607999999999</v>
      </c>
      <c r="AF7413">
        <v>0.48265621961740801</v>
      </c>
      <c r="AG7413">
        <v>-1.1192705283230999</v>
      </c>
      <c r="AH7413">
        <v>22.4543899313698</v>
      </c>
      <c r="AI7413">
        <v>92.852968622178295</v>
      </c>
      <c r="AJ7413">
        <v>88.768619118301501</v>
      </c>
      <c r="AK7413">
        <v>22.487448737727298</v>
      </c>
      <c r="AL7413">
        <v>80.681281938065496</v>
      </c>
      <c r="AM7413">
        <v>86.767660058739594</v>
      </c>
      <c r="AN7413">
        <v>0.99999993729005499</v>
      </c>
    </row>
    <row r="7414" spans="1:40" x14ac:dyDescent="0.25">
      <c r="A7414" t="str">
        <f>"20190303170431885"</f>
        <v>20190303170431885</v>
      </c>
      <c r="B7414" t="str">
        <f>"1551603871872502"</f>
        <v>1551603871872502</v>
      </c>
      <c r="C7414" t="s">
        <v>40</v>
      </c>
      <c r="D7414">
        <v>5.0755929999999996</v>
      </c>
      <c r="E7414">
        <v>0.49292629999999998</v>
      </c>
      <c r="F7414" t="s">
        <v>42</v>
      </c>
      <c r="G7414">
        <v>-188.90530000000001</v>
      </c>
      <c r="H7414" s="1">
        <v>-8.2213339999999996E-7</v>
      </c>
      <c r="I7414">
        <v>-8.9034399999999998</v>
      </c>
      <c r="J7414">
        <v>-187.82490000000001</v>
      </c>
      <c r="K7414">
        <v>1.1189100000000001</v>
      </c>
      <c r="L7414">
        <v>-31.783539999999999</v>
      </c>
      <c r="M7414">
        <v>-7.1588550000000001E-2</v>
      </c>
      <c r="N7414">
        <v>-1.376902E-2</v>
      </c>
      <c r="O7414">
        <v>0.99733919999999998</v>
      </c>
      <c r="P7414">
        <v>-1.426238E-2</v>
      </c>
      <c r="Q7414">
        <v>0.1502212</v>
      </c>
      <c r="R7414">
        <v>0.98854949999999997</v>
      </c>
      <c r="S7414">
        <v>-0.14474489999999901</v>
      </c>
      <c r="T7414">
        <v>-0.1476558</v>
      </c>
      <c r="U7414">
        <v>3.0536189999999999</v>
      </c>
      <c r="V7414">
        <v>5.7602029999999999E-2</v>
      </c>
      <c r="W7414">
        <v>0.1634303</v>
      </c>
      <c r="X7414">
        <v>0.98487179999999996</v>
      </c>
      <c r="Y7414">
        <v>2.4306230000000002E-2</v>
      </c>
      <c r="Z7414">
        <v>-3.434396E-2</v>
      </c>
      <c r="AA7414">
        <v>0.99911450000000002</v>
      </c>
      <c r="AB7414">
        <v>29</v>
      </c>
      <c r="AC7414">
        <v>-1.08039999999999</v>
      </c>
      <c r="AD7414">
        <v>-1.1189108221333901</v>
      </c>
      <c r="AE7414">
        <v>22.880099999999999</v>
      </c>
      <c r="AF7414">
        <v>0.55914680805360695</v>
      </c>
      <c r="AG7414">
        <v>-1.1189108221333901</v>
      </c>
      <c r="AH7414">
        <v>22.844224785336198</v>
      </c>
      <c r="AI7414">
        <v>92.803269804007599</v>
      </c>
      <c r="AJ7414">
        <v>88.597879459823801</v>
      </c>
      <c r="AK7414">
        <v>22.878444278923599</v>
      </c>
      <c r="AL7414">
        <v>80.593940084838195</v>
      </c>
      <c r="AM7414">
        <v>86.6527646215456</v>
      </c>
      <c r="AN7414">
        <v>0.99999995962672406</v>
      </c>
    </row>
    <row r="7415" spans="1:40" x14ac:dyDescent="0.25">
      <c r="A7415" t="str">
        <f>"20190303170431909"</f>
        <v>20190303170431909</v>
      </c>
      <c r="B7415" t="str">
        <f>"1551603871902758"</f>
        <v>1551603871902758</v>
      </c>
      <c r="C7415" t="s">
        <v>40</v>
      </c>
      <c r="D7415">
        <v>5.1322710000000002</v>
      </c>
      <c r="E7415">
        <v>0.49271019999999999</v>
      </c>
      <c r="F7415" t="s">
        <v>42</v>
      </c>
      <c r="G7415">
        <v>-188.85659999999999</v>
      </c>
      <c r="H7415" s="1">
        <v>-1.278849E-6</v>
      </c>
      <c r="I7415">
        <v>-7.8589820000000001</v>
      </c>
      <c r="J7415">
        <v>-187.84219999999999</v>
      </c>
      <c r="K7415">
        <v>1.1185659999999999</v>
      </c>
      <c r="L7415">
        <v>-31.484649999999998</v>
      </c>
      <c r="M7415">
        <v>-6.7301349999999996E-2</v>
      </c>
      <c r="N7415">
        <v>-1.37609E-2</v>
      </c>
      <c r="O7415">
        <v>0.99763780000000002</v>
      </c>
      <c r="P7415">
        <v>-9.5626070000000007E-3</v>
      </c>
      <c r="Q7415">
        <v>0.14691170000000001</v>
      </c>
      <c r="R7415">
        <v>0.98910339999999997</v>
      </c>
      <c r="S7415">
        <v>-0.13171389999999999</v>
      </c>
      <c r="T7415">
        <v>-0.14285680000000001</v>
      </c>
      <c r="U7415">
        <v>3.0545650000000002</v>
      </c>
      <c r="V7415">
        <v>5.8197319999999997E-2</v>
      </c>
      <c r="W7415">
        <v>0.16006870000000001</v>
      </c>
      <c r="X7415">
        <v>0.98538879999999995</v>
      </c>
      <c r="Y7415">
        <v>2.427576E-2</v>
      </c>
      <c r="Z7415">
        <v>-3.2799660000000001E-2</v>
      </c>
      <c r="AA7415">
        <v>0.99916709999999997</v>
      </c>
      <c r="AB7415">
        <v>29</v>
      </c>
      <c r="AC7415">
        <v>-1.01439999999999</v>
      </c>
      <c r="AD7415">
        <v>-1.118567278849</v>
      </c>
      <c r="AE7415">
        <v>23.625668000000001</v>
      </c>
      <c r="AF7415">
        <v>0.57679973067811596</v>
      </c>
      <c r="AG7415">
        <v>-1.118567278849</v>
      </c>
      <c r="AH7415">
        <v>23.587591777770399</v>
      </c>
      <c r="AI7415">
        <v>92.714227771055604</v>
      </c>
      <c r="AJ7415">
        <v>88.599195477969502</v>
      </c>
      <c r="AK7415">
        <v>23.6211425752727</v>
      </c>
      <c r="AL7415">
        <v>80.789116182318907</v>
      </c>
      <c r="AM7415">
        <v>86.620022558421894</v>
      </c>
      <c r="AN7415">
        <v>1.00000000197015</v>
      </c>
    </row>
    <row r="7416" spans="1:40" x14ac:dyDescent="0.25">
      <c r="A7416" t="str">
        <f>"20190303170431929"</f>
        <v>20190303170431929</v>
      </c>
      <c r="B7416" t="str">
        <f>"1551603871922784"</f>
        <v>1551603871922784</v>
      </c>
      <c r="C7416" t="s">
        <v>40</v>
      </c>
      <c r="D7416">
        <v>5.0693449999999904</v>
      </c>
      <c r="E7416">
        <v>0.49259920000000001</v>
      </c>
      <c r="F7416" t="s">
        <v>42</v>
      </c>
      <c r="G7416">
        <v>-188.71090000000001</v>
      </c>
      <c r="H7416" s="1">
        <v>-7.4490819999999899E-7</v>
      </c>
      <c r="I7416">
        <v>-9.1708789999999993</v>
      </c>
      <c r="J7416">
        <v>-187.85679999999999</v>
      </c>
      <c r="K7416">
        <v>1.1182909999999999</v>
      </c>
      <c r="L7416">
        <v>-31.205469999999998</v>
      </c>
      <c r="M7416">
        <v>-6.3069029999999998E-2</v>
      </c>
      <c r="N7416">
        <v>-1.375348E-2</v>
      </c>
      <c r="O7416">
        <v>0.99791439999999998</v>
      </c>
      <c r="P7416">
        <v>-5.4279330000000002E-3</v>
      </c>
      <c r="Q7416">
        <v>0.14123949999999999</v>
      </c>
      <c r="R7416">
        <v>0.98996059999999997</v>
      </c>
      <c r="S7416">
        <v>-0.118927</v>
      </c>
      <c r="T7416">
        <v>-0.15312679999999901</v>
      </c>
      <c r="U7416">
        <v>3.0546570000000002</v>
      </c>
      <c r="V7416">
        <v>5.8240229999999997E-2</v>
      </c>
      <c r="W7416">
        <v>0.154366</v>
      </c>
      <c r="X7416">
        <v>0.9862957</v>
      </c>
      <c r="Y7416">
        <v>2.4216049999999999E-2</v>
      </c>
      <c r="Z7416">
        <v>-3.6166419999999998E-2</v>
      </c>
      <c r="AA7416">
        <v>0.9990523</v>
      </c>
      <c r="AB7416">
        <v>29</v>
      </c>
      <c r="AC7416">
        <v>-0.85410000000001596</v>
      </c>
      <c r="AD7416">
        <v>-1.1182917449081999</v>
      </c>
      <c r="AE7416">
        <v>22.034590999999999</v>
      </c>
      <c r="AF7416">
        <v>0.536053763154134</v>
      </c>
      <c r="AG7416">
        <v>-1.1182917449081999</v>
      </c>
      <c r="AH7416">
        <v>21.9880375845053</v>
      </c>
      <c r="AI7416">
        <v>92.9106396591813</v>
      </c>
      <c r="AJ7416">
        <v>88.603443560103699</v>
      </c>
      <c r="AK7416">
        <v>22.0229817890616</v>
      </c>
      <c r="AL7416">
        <v>81.119971780566104</v>
      </c>
      <c r="AM7416">
        <v>86.620639188265599</v>
      </c>
      <c r="AN7416">
        <v>0.999999997092471</v>
      </c>
    </row>
    <row r="7417" spans="1:40" x14ac:dyDescent="0.25">
      <c r="A7417" t="str">
        <f>"20190303170431952"</f>
        <v>20190303170431952</v>
      </c>
      <c r="B7417" t="str">
        <f>"1551603871943280"</f>
        <v>1551603871943280</v>
      </c>
      <c r="C7417" t="s">
        <v>40</v>
      </c>
      <c r="D7417">
        <v>5.2501769999999999</v>
      </c>
      <c r="E7417">
        <v>0.49241550000000001</v>
      </c>
      <c r="F7417" t="s">
        <v>42</v>
      </c>
      <c r="G7417">
        <v>-188.53890000000001</v>
      </c>
      <c r="H7417" s="1">
        <v>-4.1737920000000004E-6</v>
      </c>
      <c r="I7417">
        <v>-11.24216</v>
      </c>
      <c r="J7417">
        <v>-187.87049999999999</v>
      </c>
      <c r="K7417">
        <v>1.118079</v>
      </c>
      <c r="L7417">
        <v>-30.915800000000001</v>
      </c>
      <c r="M7417">
        <v>-5.8523159999999998E-2</v>
      </c>
      <c r="N7417">
        <v>-1.374584E-2</v>
      </c>
      <c r="O7417">
        <v>0.99819139999999995</v>
      </c>
      <c r="P7417">
        <v>-1.6314910000000001E-3</v>
      </c>
      <c r="Q7417">
        <v>0.13819709999999999</v>
      </c>
      <c r="R7417">
        <v>0.99040340000000004</v>
      </c>
      <c r="S7417">
        <v>-0.1043549</v>
      </c>
      <c r="T7417">
        <v>-0.17109199999999999</v>
      </c>
      <c r="U7417">
        <v>3.0542600000000002</v>
      </c>
      <c r="V7417">
        <v>5.7597959999999997E-2</v>
      </c>
      <c r="W7417">
        <v>0.15130250000000001</v>
      </c>
      <c r="X7417">
        <v>0.98680800000000002</v>
      </c>
      <c r="Y7417">
        <v>2.4424580000000001E-2</v>
      </c>
      <c r="Z7417">
        <v>-4.2045699999999998E-2</v>
      </c>
      <c r="AA7417">
        <v>0.99881710000000001</v>
      </c>
      <c r="AB7417">
        <v>29</v>
      </c>
      <c r="AC7417">
        <v>-0.66840000000001898</v>
      </c>
      <c r="AD7417">
        <v>-1.1180831737920001</v>
      </c>
      <c r="AE7417">
        <v>19.673639999999999</v>
      </c>
      <c r="AF7417">
        <v>0.48266109015385</v>
      </c>
      <c r="AG7417">
        <v>-1.1180831737920001</v>
      </c>
      <c r="AH7417">
        <v>19.6157522113939</v>
      </c>
      <c r="AI7417">
        <v>93.261301592410604</v>
      </c>
      <c r="AJ7417">
        <v>88.590476467649594</v>
      </c>
      <c r="AK7417">
        <v>19.653518935047401</v>
      </c>
      <c r="AL7417">
        <v>81.297584122599005</v>
      </c>
      <c r="AM7417">
        <v>86.659552797665896</v>
      </c>
      <c r="AN7417">
        <v>1.0000000001831999</v>
      </c>
    </row>
    <row r="7418" spans="1:40" x14ac:dyDescent="0.25">
      <c r="A7418" t="str">
        <f>"20190303170431974"</f>
        <v>20190303170431974</v>
      </c>
      <c r="B7418" t="str">
        <f>"1551603871962800"</f>
        <v>1551603871962800</v>
      </c>
      <c r="C7418" t="s">
        <v>40</v>
      </c>
      <c r="D7418">
        <v>5.1348630000000002</v>
      </c>
      <c r="E7418">
        <v>0.49234169999999999</v>
      </c>
      <c r="F7418" t="s">
        <v>42</v>
      </c>
      <c r="G7418">
        <v>-188.45079999999999</v>
      </c>
      <c r="H7418" s="1">
        <v>-3.884996E-6</v>
      </c>
      <c r="I7418">
        <v>-11.95177</v>
      </c>
      <c r="J7418">
        <v>-187.8828</v>
      </c>
      <c r="K7418">
        <v>1.1179619999999999</v>
      </c>
      <c r="L7418">
        <v>-30.621670000000002</v>
      </c>
      <c r="M7418">
        <v>-5.3810160000000003E-2</v>
      </c>
      <c r="N7418">
        <v>-1.373829E-2</v>
      </c>
      <c r="O7418">
        <v>0.99845669999999997</v>
      </c>
      <c r="P7418">
        <v>2.2477510000000001E-3</v>
      </c>
      <c r="Q7418">
        <v>0.13890529999999901</v>
      </c>
      <c r="R7418">
        <v>0.99030309999999999</v>
      </c>
      <c r="S7418">
        <v>-9.3460080000000001E-2</v>
      </c>
      <c r="T7418">
        <v>-0.18006069999999999</v>
      </c>
      <c r="U7418">
        <v>3.0540470000000002</v>
      </c>
      <c r="V7418">
        <v>5.6847670000000003E-2</v>
      </c>
      <c r="W7418">
        <v>0.1519925</v>
      </c>
      <c r="X7418">
        <v>0.98674550000000005</v>
      </c>
      <c r="Y7418">
        <v>2.3266080000000001E-2</v>
      </c>
      <c r="Z7418">
        <v>-4.4997679999999998E-2</v>
      </c>
      <c r="AA7418">
        <v>0.9987161</v>
      </c>
      <c r="AB7418">
        <v>29</v>
      </c>
      <c r="AC7418">
        <v>-0.56799999999998296</v>
      </c>
      <c r="AD7418">
        <v>-1.1179658849959999</v>
      </c>
      <c r="AE7418">
        <v>18.669899999999998</v>
      </c>
      <c r="AF7418">
        <v>0.43598631439830998</v>
      </c>
      <c r="AG7418">
        <v>-1.1179658849959999</v>
      </c>
      <c r="AH7418">
        <v>18.6067562704762</v>
      </c>
      <c r="AI7418">
        <v>93.437477111556703</v>
      </c>
      <c r="AJ7418">
        <v>88.657713081553098</v>
      </c>
      <c r="AK7418">
        <v>18.645409909553099</v>
      </c>
      <c r="AL7418">
        <v>81.257587718139305</v>
      </c>
      <c r="AM7418">
        <v>86.702761565522806</v>
      </c>
      <c r="AN7418">
        <v>1.0000000297054601</v>
      </c>
    </row>
    <row r="7419" spans="1:40" x14ac:dyDescent="0.25">
      <c r="A7419" t="str">
        <f>"20190303170431998"</f>
        <v>20190303170431998</v>
      </c>
      <c r="B7419" t="str">
        <f>"1551603871993056"</f>
        <v>1551603871993056</v>
      </c>
      <c r="C7419" t="s">
        <v>40</v>
      </c>
      <c r="D7419">
        <v>5.1375699999999904</v>
      </c>
      <c r="E7419">
        <v>0.49213679999999899</v>
      </c>
      <c r="F7419" t="s">
        <v>42</v>
      </c>
      <c r="G7419">
        <v>-188.4059</v>
      </c>
      <c r="H7419" s="1">
        <v>-4.1905349999999999E-6</v>
      </c>
      <c r="I7419">
        <v>-11.25811</v>
      </c>
      <c r="J7419">
        <v>-187.89410000000001</v>
      </c>
      <c r="K7419">
        <v>1.11791</v>
      </c>
      <c r="L7419">
        <v>-30.314330000000002</v>
      </c>
      <c r="M7419">
        <v>-4.8839929999999997E-2</v>
      </c>
      <c r="N7419">
        <v>-1.373097E-2</v>
      </c>
      <c r="O7419">
        <v>0.99871220000000005</v>
      </c>
      <c r="P7419">
        <v>5.4737459999999998E-3</v>
      </c>
      <c r="Q7419">
        <v>0.1398316</v>
      </c>
      <c r="R7419">
        <v>0.99016020000000005</v>
      </c>
      <c r="S7419">
        <v>-8.2504270000000005E-2</v>
      </c>
      <c r="T7419">
        <v>-0.1763412</v>
      </c>
      <c r="U7419">
        <v>3.0542910000000001</v>
      </c>
      <c r="V7419">
        <v>5.5172409999999998E-2</v>
      </c>
      <c r="W7419">
        <v>0.1529171</v>
      </c>
      <c r="X7419">
        <v>0.98669770000000001</v>
      </c>
      <c r="Y7419">
        <v>2.1871459999999999E-2</v>
      </c>
      <c r="Z7419">
        <v>-4.3814579999999999E-2</v>
      </c>
      <c r="AA7419">
        <v>0.99880020000000003</v>
      </c>
      <c r="AB7419">
        <v>29</v>
      </c>
      <c r="AC7419">
        <v>-0.51179999999999304</v>
      </c>
      <c r="AD7419">
        <v>-1.1179141905350001</v>
      </c>
      <c r="AE7419">
        <v>19.05622</v>
      </c>
      <c r="AF7419">
        <v>0.41816505462056902</v>
      </c>
      <c r="AG7419">
        <v>-1.1179141905350001</v>
      </c>
      <c r="AH7419">
        <v>18.993155825277402</v>
      </c>
      <c r="AI7419">
        <v>93.367659809463504</v>
      </c>
      <c r="AJ7419">
        <v>88.738744478618202</v>
      </c>
      <c r="AK7419">
        <v>19.0306217017094</v>
      </c>
      <c r="AL7419">
        <v>81.203985125557793</v>
      </c>
      <c r="AM7419">
        <v>86.799569074426998</v>
      </c>
      <c r="AN7419">
        <v>0.99999999274145401</v>
      </c>
    </row>
    <row r="7420" spans="1:40" x14ac:dyDescent="0.25">
      <c r="A7420" t="str">
        <f>"20190303170432019"</f>
        <v>20190303170432019</v>
      </c>
      <c r="B7420" t="str">
        <f>"1551603872013082"</f>
        <v>1551603872013082</v>
      </c>
      <c r="C7420" t="s">
        <v>40</v>
      </c>
      <c r="D7420">
        <v>5.1336719999999998</v>
      </c>
      <c r="E7420">
        <v>0.49200319999999997</v>
      </c>
      <c r="F7420" t="s">
        <v>42</v>
      </c>
      <c r="G7420">
        <v>-188.37530000000001</v>
      </c>
      <c r="H7420" s="1">
        <v>-4.5545710000000002E-6</v>
      </c>
      <c r="I7420">
        <v>-10.422180000000001</v>
      </c>
      <c r="J7420">
        <v>-187.90299999999999</v>
      </c>
      <c r="K7420">
        <v>1.117874</v>
      </c>
      <c r="L7420">
        <v>-30.033629999999999</v>
      </c>
      <c r="M7420">
        <v>-4.4299730000000002E-2</v>
      </c>
      <c r="N7420">
        <v>-1.372494E-2</v>
      </c>
      <c r="O7420">
        <v>0.99892400000000003</v>
      </c>
      <c r="P7420">
        <v>8.2497040000000001E-3</v>
      </c>
      <c r="Q7420">
        <v>0.1386434</v>
      </c>
      <c r="R7420">
        <v>0.99030799999999997</v>
      </c>
      <c r="S7420">
        <v>-7.3898320000000003E-2</v>
      </c>
      <c r="T7420">
        <v>-0.1716577</v>
      </c>
      <c r="U7420">
        <v>3.0544739999999999</v>
      </c>
      <c r="V7420">
        <v>5.3455919999999997E-2</v>
      </c>
      <c r="W7420">
        <v>0.1517385</v>
      </c>
      <c r="X7420">
        <v>0.98697409999999997</v>
      </c>
      <c r="Y7420">
        <v>2.014032E-2</v>
      </c>
      <c r="Z7420">
        <v>-4.2312559999999999E-2</v>
      </c>
      <c r="AA7420">
        <v>0.99890140000000005</v>
      </c>
      <c r="AB7420">
        <v>29</v>
      </c>
      <c r="AC7420">
        <v>-0.47230000000001798</v>
      </c>
      <c r="AD7420">
        <v>-1.1178785545709999</v>
      </c>
      <c r="AE7420">
        <v>19.611450000000001</v>
      </c>
      <c r="AF7420">
        <v>0.39574245024236099</v>
      </c>
      <c r="AG7420">
        <v>-1.1178785545709999</v>
      </c>
      <c r="AH7420">
        <v>19.549635361062901</v>
      </c>
      <c r="AI7420">
        <v>93.272029064175499</v>
      </c>
      <c r="AJ7420">
        <v>88.840322319699595</v>
      </c>
      <c r="AK7420">
        <v>19.585568853117699</v>
      </c>
      <c r="AL7420">
        <v>81.272311284693302</v>
      </c>
      <c r="AM7420">
        <v>86.899808210891393</v>
      </c>
      <c r="AN7420">
        <v>0.99999999091805303</v>
      </c>
    </row>
    <row r="7421" spans="1:40" x14ac:dyDescent="0.25">
      <c r="A7421" t="str">
        <f>"20190303170432041"</f>
        <v>20190303170432041</v>
      </c>
      <c r="B7421" t="str">
        <f>"1551603872032601"</f>
        <v>1551603872032601</v>
      </c>
      <c r="C7421" t="s">
        <v>40</v>
      </c>
      <c r="D7421">
        <v>5.1949839999999998</v>
      </c>
      <c r="E7421">
        <v>0.49191950000000001</v>
      </c>
      <c r="F7421" t="s">
        <v>42</v>
      </c>
      <c r="G7421">
        <v>-188.32329999999999</v>
      </c>
      <c r="H7421" s="1">
        <v>-4.5563480000000004E-6</v>
      </c>
      <c r="I7421">
        <v>-10.439539999999999</v>
      </c>
      <c r="J7421">
        <v>-187.91059999999999</v>
      </c>
      <c r="K7421">
        <v>1.1178680000000001</v>
      </c>
      <c r="L7421">
        <v>-29.75122</v>
      </c>
      <c r="M7421">
        <v>-3.9751120000000001E-2</v>
      </c>
      <c r="N7421">
        <v>-1.3719540000000001E-2</v>
      </c>
      <c r="O7421">
        <v>0.99911539999999999</v>
      </c>
      <c r="P7421">
        <v>1.2742430000000001E-2</v>
      </c>
      <c r="Q7421">
        <v>0.13686619999999999</v>
      </c>
      <c r="R7421">
        <v>0.99050760000000004</v>
      </c>
      <c r="S7421">
        <v>-6.5521239999999994E-2</v>
      </c>
      <c r="T7421">
        <v>-0.17425289999999999</v>
      </c>
      <c r="U7421">
        <v>3.0542910000000001</v>
      </c>
      <c r="V7421">
        <v>5.3435799999999999E-2</v>
      </c>
      <c r="W7421">
        <v>0.14995899999999901</v>
      </c>
      <c r="X7421">
        <v>0.98724710000000004</v>
      </c>
      <c r="Y7421">
        <v>1.8326539999999999E-2</v>
      </c>
      <c r="Z7421">
        <v>-4.3183630000000001E-2</v>
      </c>
      <c r="AA7421">
        <v>0.99889899999999998</v>
      </c>
      <c r="AB7421">
        <v>29</v>
      </c>
      <c r="AC7421">
        <v>-0.41270000000000001</v>
      </c>
      <c r="AD7421">
        <v>-1.1178725563480001</v>
      </c>
      <c r="AE7421">
        <v>19.311679999999999</v>
      </c>
      <c r="AF7421">
        <v>0.35417322522697903</v>
      </c>
      <c r="AG7421">
        <v>-1.1178725563480001</v>
      </c>
      <c r="AH7421">
        <v>19.2483528936413</v>
      </c>
      <c r="AI7421">
        <v>93.3232304193739</v>
      </c>
      <c r="AJ7421">
        <v>88.945866097606597</v>
      </c>
      <c r="AK7421">
        <v>19.284039173468098</v>
      </c>
      <c r="AL7421">
        <v>81.375449107803206</v>
      </c>
      <c r="AM7421">
        <v>86.901828094778907</v>
      </c>
      <c r="AN7421">
        <v>0.99999996143052405</v>
      </c>
    </row>
    <row r="7422" spans="1:40" x14ac:dyDescent="0.25">
      <c r="A7422" t="str">
        <f>"20190303170432065"</f>
        <v>20190303170432065</v>
      </c>
      <c r="B7422" t="str">
        <f>"1551603872053098"</f>
        <v>1551603872053098</v>
      </c>
      <c r="C7422" t="s">
        <v>40</v>
      </c>
      <c r="D7422">
        <v>5.1963410000000003</v>
      </c>
      <c r="E7422">
        <v>0.4918129</v>
      </c>
      <c r="F7422" t="s">
        <v>42</v>
      </c>
      <c r="G7422">
        <v>-188.245</v>
      </c>
      <c r="H7422" s="1">
        <v>-4.5077759999999996E-6</v>
      </c>
      <c r="I7422">
        <v>-10.585140000000001</v>
      </c>
      <c r="J7422">
        <v>-187.91730000000001</v>
      </c>
      <c r="K7422">
        <v>1.117866</v>
      </c>
      <c r="L7422">
        <v>-29.45505</v>
      </c>
      <c r="M7422">
        <v>-3.5010300000000001E-2</v>
      </c>
      <c r="N7422">
        <v>-1.371466E-2</v>
      </c>
      <c r="O7422">
        <v>0.99929290000000004</v>
      </c>
      <c r="P7422">
        <v>1.7888419999999999E-2</v>
      </c>
      <c r="Q7422">
        <v>0.13578409999999999</v>
      </c>
      <c r="R7422">
        <v>0.99057689999999998</v>
      </c>
      <c r="S7422">
        <v>-5.3283690000000002E-2</v>
      </c>
      <c r="T7422">
        <v>-0.17812900000000001</v>
      </c>
      <c r="U7422">
        <v>3.0540470000000002</v>
      </c>
      <c r="V7422">
        <v>5.3875550000000001E-2</v>
      </c>
      <c r="W7422">
        <v>0.148870899999999</v>
      </c>
      <c r="X7422">
        <v>0.98738789999999999</v>
      </c>
      <c r="Y7422">
        <v>1.7583290000000001E-2</v>
      </c>
      <c r="Z7422">
        <v>-4.4471490000000002E-2</v>
      </c>
      <c r="AA7422">
        <v>0.99885590000000002</v>
      </c>
      <c r="AB7422">
        <v>29</v>
      </c>
      <c r="AC7422">
        <v>-0.327699999999993</v>
      </c>
      <c r="AD7422">
        <v>-1.1178705077760001</v>
      </c>
      <c r="AE7422">
        <v>18.869910000000001</v>
      </c>
      <c r="AF7422">
        <v>0.332039310387022</v>
      </c>
      <c r="AG7422">
        <v>-1.1178705077760001</v>
      </c>
      <c r="AH7422">
        <v>18.803841712363301</v>
      </c>
      <c r="AI7422">
        <v>93.401646356282697</v>
      </c>
      <c r="AJ7422">
        <v>88.988372989969093</v>
      </c>
      <c r="AK7422">
        <v>18.8399667653478</v>
      </c>
      <c r="AL7422">
        <v>81.438500696013804</v>
      </c>
      <c r="AM7422">
        <v>86.876826509487898</v>
      </c>
      <c r="AN7422">
        <v>0.99999999241051096</v>
      </c>
    </row>
    <row r="7423" spans="1:40" x14ac:dyDescent="0.25">
      <c r="A7423" t="str">
        <f>"20190303170432085"</f>
        <v>20190303170432085</v>
      </c>
      <c r="B7423" t="str">
        <f>"1551603872072617"</f>
        <v>1551603872072617</v>
      </c>
      <c r="C7423" t="s">
        <v>40</v>
      </c>
      <c r="D7423">
        <v>5.1354870000000004</v>
      </c>
      <c r="E7423">
        <v>0.49169590000000002</v>
      </c>
      <c r="F7423" t="s">
        <v>42</v>
      </c>
      <c r="G7423">
        <v>-188.15620000000001</v>
      </c>
      <c r="H7423" s="1">
        <v>-4.5463029999999999E-6</v>
      </c>
      <c r="I7423">
        <v>-10.53205</v>
      </c>
      <c r="J7423">
        <v>-187.9222</v>
      </c>
      <c r="K7423">
        <v>1.117885</v>
      </c>
      <c r="L7423">
        <v>-29.18207</v>
      </c>
      <c r="M7423">
        <v>-3.06669E-2</v>
      </c>
      <c r="N7423">
        <v>-1.3710780000000001E-2</v>
      </c>
      <c r="O7423">
        <v>0.99943559999999998</v>
      </c>
      <c r="P7423">
        <v>2.0710429999999998E-2</v>
      </c>
      <c r="Q7423">
        <v>0.1361897</v>
      </c>
      <c r="R7423">
        <v>0.99046630000000002</v>
      </c>
      <c r="S7423">
        <v>-3.8558960000000003E-2</v>
      </c>
      <c r="T7423">
        <v>-0.18041160000000001</v>
      </c>
      <c r="U7423">
        <v>3.0539550000000002</v>
      </c>
      <c r="V7423">
        <v>5.23927E-2</v>
      </c>
      <c r="W7423">
        <v>0.14928669999999999</v>
      </c>
      <c r="X7423">
        <v>0.98740490000000003</v>
      </c>
      <c r="Y7423">
        <v>1.8052309999999998E-2</v>
      </c>
      <c r="Z7423">
        <v>-4.5233389999999998E-2</v>
      </c>
      <c r="AA7423">
        <v>0.99881330000000002</v>
      </c>
      <c r="AB7423">
        <v>29</v>
      </c>
      <c r="AC7423">
        <v>-0.23400000000000801</v>
      </c>
      <c r="AD7423">
        <v>-1.1178895463030001</v>
      </c>
      <c r="AE7423">
        <v>18.650020000000001</v>
      </c>
      <c r="AF7423">
        <v>0.336891942892803</v>
      </c>
      <c r="AG7423">
        <v>-1.1178895463030001</v>
      </c>
      <c r="AH7423">
        <v>18.581672559693601</v>
      </c>
      <c r="AI7423">
        <v>93.442249915264796</v>
      </c>
      <c r="AJ7423">
        <v>88.961322137848398</v>
      </c>
      <c r="AK7423">
        <v>18.618317011335598</v>
      </c>
      <c r="AL7423">
        <v>81.414407731919795</v>
      </c>
      <c r="AM7423">
        <v>86.962676505561802</v>
      </c>
      <c r="AN7423">
        <v>0.99999997517709405</v>
      </c>
    </row>
    <row r="7424" spans="1:40" x14ac:dyDescent="0.25">
      <c r="A7424" t="str">
        <f>"20190303170432110"</f>
        <v>20190303170432110</v>
      </c>
      <c r="B7424" t="str">
        <f>"1551603872102873"</f>
        <v>1551603872102873</v>
      </c>
      <c r="C7424" t="s">
        <v>40</v>
      </c>
      <c r="D7424">
        <v>5.1436149999999996</v>
      </c>
      <c r="E7424">
        <v>0.49160409999999999</v>
      </c>
      <c r="F7424" t="s">
        <v>42</v>
      </c>
      <c r="G7424">
        <v>-188.10730000000001</v>
      </c>
      <c r="H7424" s="1">
        <v>-6.3716250000000004E-7</v>
      </c>
      <c r="I7424">
        <v>-9.9594590000000007</v>
      </c>
      <c r="J7424">
        <v>-187.9263</v>
      </c>
      <c r="K7424">
        <v>1.1179079999999999</v>
      </c>
      <c r="L7424">
        <v>-28.872620000000001</v>
      </c>
      <c r="M7424">
        <v>-2.576643E-2</v>
      </c>
      <c r="N7424">
        <v>-1.370707E-2</v>
      </c>
      <c r="O7424">
        <v>0.99957399999999996</v>
      </c>
      <c r="P7424">
        <v>2.3491069999999999E-2</v>
      </c>
      <c r="Q7424">
        <v>0.1387602</v>
      </c>
      <c r="R7424">
        <v>0.99004729999999996</v>
      </c>
      <c r="S7424">
        <v>-2.940369E-2</v>
      </c>
      <c r="T7424">
        <v>-0.17760010000000001</v>
      </c>
      <c r="U7424">
        <v>3.053925</v>
      </c>
      <c r="V7424">
        <v>5.0328079999999997E-2</v>
      </c>
      <c r="W7424">
        <v>0.15187</v>
      </c>
      <c r="X7424">
        <v>0.9871183</v>
      </c>
      <c r="Y7424">
        <v>1.614465E-2</v>
      </c>
      <c r="Z7424">
        <v>-4.4334899999999997E-2</v>
      </c>
      <c r="AA7424">
        <v>0.9988863</v>
      </c>
      <c r="AB7424">
        <v>29</v>
      </c>
      <c r="AC7424">
        <v>-0.18100000000001101</v>
      </c>
      <c r="AD7424">
        <v>-1.1179086371625</v>
      </c>
      <c r="AE7424">
        <v>18.913160999999999</v>
      </c>
      <c r="AF7424">
        <v>0.30536378820252302</v>
      </c>
      <c r="AG7424">
        <v>-1.1179086371625</v>
      </c>
      <c r="AH7424">
        <v>18.8457095910011</v>
      </c>
      <c r="AI7424">
        <v>93.394305777300303</v>
      </c>
      <c r="AJ7424">
        <v>89.071697181412006</v>
      </c>
      <c r="AK7424">
        <v>18.8813065425181</v>
      </c>
      <c r="AL7424">
        <v>81.264688409560193</v>
      </c>
      <c r="AM7424">
        <v>87.081310436497901</v>
      </c>
      <c r="AN7424">
        <v>0.99999997536568797</v>
      </c>
    </row>
    <row r="7425" spans="1:40" x14ac:dyDescent="0.25">
      <c r="A7425" t="str">
        <f>"20190303170432131"</f>
        <v>20190303170432131</v>
      </c>
      <c r="B7425" t="str">
        <f>"1551603872122899"</f>
        <v>1551603872122899</v>
      </c>
      <c r="C7425" t="s">
        <v>40</v>
      </c>
      <c r="D7425">
        <v>5.2567240000000002</v>
      </c>
      <c r="E7425">
        <v>0.48843330000000001</v>
      </c>
      <c r="F7425" t="s">
        <v>42</v>
      </c>
      <c r="G7425">
        <v>-188.06370000000001</v>
      </c>
      <c r="H7425" s="1">
        <v>-1.108367E-6</v>
      </c>
      <c r="I7425">
        <v>-8.6088559999999994</v>
      </c>
      <c r="J7425">
        <v>-187.9288</v>
      </c>
      <c r="K7425">
        <v>1.1179269999999999</v>
      </c>
      <c r="L7425">
        <v>-28.58588</v>
      </c>
      <c r="M7425">
        <v>-2.124065E-2</v>
      </c>
      <c r="N7425">
        <v>-1.370408E-2</v>
      </c>
      <c r="O7425">
        <v>0.99968049999999997</v>
      </c>
      <c r="P7425">
        <v>2.7882850000000001E-2</v>
      </c>
      <c r="Q7425">
        <v>0.14085339999999999</v>
      </c>
      <c r="R7425">
        <v>0.98963769999999995</v>
      </c>
      <c r="S7425">
        <v>-2.0706180000000001E-2</v>
      </c>
      <c r="T7425">
        <v>-0.16849710000000001</v>
      </c>
      <c r="U7425">
        <v>3.0542600000000002</v>
      </c>
      <c r="V7425">
        <v>5.024493E-2</v>
      </c>
      <c r="W7425">
        <v>0.1539585</v>
      </c>
      <c r="X7425">
        <v>0.98679899999999998</v>
      </c>
      <c r="Y7425">
        <v>1.446338E-2</v>
      </c>
      <c r="Z7425">
        <v>-4.1374519999999998E-2</v>
      </c>
      <c r="AA7425">
        <v>0.99903900000000001</v>
      </c>
      <c r="AB7425">
        <v>29</v>
      </c>
      <c r="AC7425">
        <v>-0.13490000000001601</v>
      </c>
      <c r="AD7425">
        <v>-1.1179281083670001</v>
      </c>
      <c r="AE7425">
        <v>19.977024</v>
      </c>
      <c r="AF7425">
        <v>0.28859153870114701</v>
      </c>
      <c r="AG7425">
        <v>-1.1179281083670001</v>
      </c>
      <c r="AH7425">
        <v>19.913025039584099</v>
      </c>
      <c r="AI7425">
        <v>93.212906727806299</v>
      </c>
      <c r="AJ7425">
        <v>89.169693221763694</v>
      </c>
      <c r="AK7425">
        <v>19.946468724032101</v>
      </c>
      <c r="AL7425">
        <v>81.1436025014915</v>
      </c>
      <c r="AM7425">
        <v>87.085183037678405</v>
      </c>
      <c r="AN7425">
        <v>1.00000001955697</v>
      </c>
    </row>
    <row r="7426" spans="1:40" x14ac:dyDescent="0.25">
      <c r="A7426" t="str">
        <f>"20190303170432154"</f>
        <v>20190303170432154</v>
      </c>
      <c r="B7426" t="str">
        <f>"1551603872143397"</f>
        <v>1551603872143397</v>
      </c>
      <c r="C7426" t="s">
        <v>40</v>
      </c>
      <c r="D7426">
        <v>5.2495839999999996</v>
      </c>
      <c r="E7426">
        <v>0.48822169999999998</v>
      </c>
      <c r="F7426" t="s">
        <v>42</v>
      </c>
      <c r="G7426">
        <v>-188.20240000000001</v>
      </c>
      <c r="H7426" s="1">
        <v>-3.5170369999999999E-6</v>
      </c>
      <c r="I7426">
        <v>-2.912188</v>
      </c>
      <c r="J7426">
        <v>-187.93</v>
      </c>
      <c r="K7426">
        <v>1.117945</v>
      </c>
      <c r="L7426">
        <v>-28.299219999999998</v>
      </c>
      <c r="M7426">
        <v>-1.6727559999999999E-2</v>
      </c>
      <c r="N7426">
        <v>-1.3701349999999999E-2</v>
      </c>
      <c r="O7426">
        <v>0.99976620000000005</v>
      </c>
      <c r="P7426">
        <v>3.1906179999999999E-2</v>
      </c>
      <c r="Q7426">
        <v>0.14150479999999999</v>
      </c>
      <c r="R7426">
        <v>0.98942330000000001</v>
      </c>
      <c r="S7426">
        <v>-3.251648E-2</v>
      </c>
      <c r="T7426">
        <v>-0.1328626</v>
      </c>
      <c r="U7426">
        <v>3.0512389999999998</v>
      </c>
      <c r="V7426">
        <v>4.9799789999999997E-2</v>
      </c>
      <c r="W7426">
        <v>0.1546119</v>
      </c>
      <c r="X7426">
        <v>0.98671940000000002</v>
      </c>
      <c r="Y7426">
        <v>6.0758130000000002E-3</v>
      </c>
      <c r="Z7426">
        <v>-2.9800589999999998E-2</v>
      </c>
      <c r="AA7426">
        <v>0.99953740000000002</v>
      </c>
      <c r="AB7426">
        <v>29</v>
      </c>
      <c r="AC7426">
        <v>-0.27240000000000397</v>
      </c>
      <c r="AD7426">
        <v>-1.117948517037</v>
      </c>
      <c r="AE7426">
        <v>25.387032000000001</v>
      </c>
      <c r="AF7426">
        <v>0.15204627634079201</v>
      </c>
      <c r="AG7426">
        <v>-1.117948517037</v>
      </c>
      <c r="AH7426">
        <v>25.3389050856421</v>
      </c>
      <c r="AI7426">
        <v>92.526197071921402</v>
      </c>
      <c r="AJ7426">
        <v>89.656200402470503</v>
      </c>
      <c r="AK7426">
        <v>25.3640106823837</v>
      </c>
      <c r="AL7426">
        <v>81.105711721510104</v>
      </c>
      <c r="AM7426">
        <v>87.110729959635194</v>
      </c>
      <c r="AN7426">
        <v>1.0000000165209999</v>
      </c>
    </row>
    <row r="7427" spans="1:40" x14ac:dyDescent="0.25">
      <c r="A7427" t="str">
        <f>"20190303170432189"</f>
        <v>20190303170432189</v>
      </c>
      <c r="B7427" t="str">
        <f>"1551603872182436"</f>
        <v>1551603872182436</v>
      </c>
      <c r="C7427" t="s">
        <v>40</v>
      </c>
      <c r="D7427">
        <v>5.1962919999999997</v>
      </c>
      <c r="E7427">
        <v>0.48476150000000001</v>
      </c>
      <c r="F7427" t="s">
        <v>42</v>
      </c>
      <c r="G7427">
        <v>-188.12180000000001</v>
      </c>
      <c r="H7427" s="1">
        <v>-3.605758E-6</v>
      </c>
      <c r="I7427">
        <v>-2.7386940000000002</v>
      </c>
      <c r="J7427">
        <v>-187.92930000000001</v>
      </c>
      <c r="K7427">
        <v>1.117996</v>
      </c>
      <c r="L7427">
        <v>-27.860140000000001</v>
      </c>
      <c r="M7427">
        <v>-9.8710719999999998E-3</v>
      </c>
      <c r="N7427">
        <v>-1.369664E-2</v>
      </c>
      <c r="O7427">
        <v>0.99985749999999995</v>
      </c>
      <c r="P7427">
        <v>3.4300990000000003E-2</v>
      </c>
      <c r="Q7427">
        <v>0.13833960000000001</v>
      </c>
      <c r="R7427">
        <v>0.98979070000000002</v>
      </c>
      <c r="S7427">
        <v>-2.2903440000000001E-2</v>
      </c>
      <c r="T7427">
        <v>-0.1334823</v>
      </c>
      <c r="U7427">
        <v>3.0519099999999999</v>
      </c>
      <c r="V7427">
        <v>4.5373999999999998E-2</v>
      </c>
      <c r="W7427">
        <v>0.15149389999999999</v>
      </c>
      <c r="X7427">
        <v>0.98741619999999997</v>
      </c>
      <c r="Y7427">
        <v>2.3701210000000002E-3</v>
      </c>
      <c r="Z7427">
        <v>-3.0004510000000002E-2</v>
      </c>
      <c r="AA7427">
        <v>0.99954690000000002</v>
      </c>
      <c r="AB7427">
        <v>29</v>
      </c>
      <c r="AC7427">
        <v>-0.19249999999999501</v>
      </c>
      <c r="AD7427">
        <v>-1.1179996057579999</v>
      </c>
      <c r="AE7427">
        <v>25.121445999999999</v>
      </c>
      <c r="AF7427">
        <v>5.53985235761758E-2</v>
      </c>
      <c r="AG7427">
        <v>-1.1179996057579999</v>
      </c>
      <c r="AH7427">
        <v>25.0724669088643</v>
      </c>
      <c r="AI7427">
        <v>92.553163130566105</v>
      </c>
      <c r="AJ7427">
        <v>89.873403106349699</v>
      </c>
      <c r="AK7427">
        <v>25.097441881813101</v>
      </c>
      <c r="AL7427">
        <v>81.286489619625598</v>
      </c>
      <c r="AM7427">
        <v>87.368980641843805</v>
      </c>
      <c r="AN7427">
        <v>0.99999997681782404</v>
      </c>
    </row>
    <row r="7428" spans="1:40" x14ac:dyDescent="0.25">
      <c r="A7428" t="str">
        <f>"20190303170432212"</f>
        <v>20190303170432212</v>
      </c>
      <c r="B7428" t="str">
        <f>"1551603872193172"</f>
        <v>1551603872193172</v>
      </c>
      <c r="C7428" t="s">
        <v>40</v>
      </c>
      <c r="D7428">
        <v>5.1949129999999997</v>
      </c>
      <c r="E7428">
        <v>0.48466039999999999</v>
      </c>
      <c r="F7428" t="s">
        <v>42</v>
      </c>
      <c r="G7428">
        <v>-188.2457</v>
      </c>
      <c r="H7428" s="1">
        <v>-3.151692E-6</v>
      </c>
      <c r="I7428">
        <v>-3.7459039999999999</v>
      </c>
      <c r="J7428">
        <v>-187.9271</v>
      </c>
      <c r="K7428">
        <v>1.1180399999999999</v>
      </c>
      <c r="L7428">
        <v>-27.554839999999999</v>
      </c>
      <c r="M7428">
        <v>-5.1576699999999996E-3</v>
      </c>
      <c r="N7428">
        <v>-1.369249E-2</v>
      </c>
      <c r="O7428">
        <v>0.99989300000000003</v>
      </c>
      <c r="P7428">
        <v>3.5233189999999998E-2</v>
      </c>
      <c r="Q7428">
        <v>0.138299799999999</v>
      </c>
      <c r="R7428">
        <v>0.98976350000000002</v>
      </c>
      <c r="S7428">
        <v>-4.0054319999999997E-2</v>
      </c>
      <c r="T7428">
        <v>-0.14150309999999999</v>
      </c>
      <c r="U7428">
        <v>3.0520939999999999</v>
      </c>
      <c r="V7428">
        <v>4.162515E-2</v>
      </c>
      <c r="W7428">
        <v>0.1514887</v>
      </c>
      <c r="X7428">
        <v>0.98758210000000002</v>
      </c>
      <c r="Y7428">
        <v>-7.9542829999999995E-3</v>
      </c>
      <c r="Z7428">
        <v>-3.262756E-2</v>
      </c>
      <c r="AA7428">
        <v>0.99943590000000004</v>
      </c>
      <c r="AB7428">
        <v>29</v>
      </c>
      <c r="AC7428">
        <v>-0.31860000000000299</v>
      </c>
      <c r="AD7428">
        <v>-1.118043151692</v>
      </c>
      <c r="AE7428">
        <v>23.808935999999999</v>
      </c>
      <c r="AF7428">
        <v>-0.195354910775285</v>
      </c>
      <c r="AG7428">
        <v>-1.118043151692</v>
      </c>
      <c r="AH7428">
        <v>23.7578824520096</v>
      </c>
      <c r="AI7428">
        <v>92.694253870254997</v>
      </c>
      <c r="AJ7428">
        <v>90.471117729507498</v>
      </c>
      <c r="AK7428">
        <v>23.7849776672948</v>
      </c>
      <c r="AL7428">
        <v>81.286790728884398</v>
      </c>
      <c r="AM7428">
        <v>87.586494697610206</v>
      </c>
      <c r="AN7428">
        <v>0.99999994179030904</v>
      </c>
    </row>
    <row r="7429" spans="1:40" x14ac:dyDescent="0.25">
      <c r="A7429" t="str">
        <f>"20190303170432244"</f>
        <v>20190303170432244</v>
      </c>
      <c r="B7429" t="str">
        <f>"1551603872232719"</f>
        <v>1551603872232719</v>
      </c>
      <c r="C7429" t="s">
        <v>40</v>
      </c>
      <c r="D7429">
        <v>5.2543639999999998</v>
      </c>
      <c r="E7429">
        <v>0.48378339999999997</v>
      </c>
      <c r="F7429" t="s">
        <v>42</v>
      </c>
      <c r="G7429">
        <v>-188.21619999999999</v>
      </c>
      <c r="H7429" s="1">
        <v>-3.1443070000000001E-6</v>
      </c>
      <c r="I7429">
        <v>-3.7753230000000002</v>
      </c>
      <c r="J7429">
        <v>-187.922</v>
      </c>
      <c r="K7429">
        <v>1.1181490000000001</v>
      </c>
      <c r="L7429">
        <v>-27.143519999999999</v>
      </c>
      <c r="M7429">
        <v>1.0114130000000001E-3</v>
      </c>
      <c r="N7429">
        <v>-1.368495E-2</v>
      </c>
      <c r="O7429">
        <v>0.99990579999999996</v>
      </c>
      <c r="P7429">
        <v>3.8366730000000002E-2</v>
      </c>
      <c r="Q7429">
        <v>0.14180090000000001</v>
      </c>
      <c r="R7429">
        <v>0.98915140000000001</v>
      </c>
      <c r="S7429">
        <v>-3.7109379999999997E-2</v>
      </c>
      <c r="T7429">
        <v>-0.1435149</v>
      </c>
      <c r="U7429">
        <v>3.0523989999999999</v>
      </c>
      <c r="V7429">
        <v>3.8642469999999998E-2</v>
      </c>
      <c r="W7429">
        <v>0.15501189999999901</v>
      </c>
      <c r="X7429">
        <v>0.98715660000000005</v>
      </c>
      <c r="Y7429">
        <v>-1.3155780000000001E-2</v>
      </c>
      <c r="Z7429">
        <v>-3.3287079999999997E-2</v>
      </c>
      <c r="AA7429">
        <v>0.99935929999999995</v>
      </c>
      <c r="AB7429">
        <v>29</v>
      </c>
      <c r="AC7429">
        <v>-0.29419999999998903</v>
      </c>
      <c r="AD7429">
        <v>-1.1181521443069999</v>
      </c>
      <c r="AE7429">
        <v>23.368196999999999</v>
      </c>
      <c r="AF7429">
        <v>-0.31711103364103899</v>
      </c>
      <c r="AG7429">
        <v>-1.1181521443069999</v>
      </c>
      <c r="AH7429">
        <v>23.314516014406099</v>
      </c>
      <c r="AI7429">
        <v>92.745518523937307</v>
      </c>
      <c r="AJ7429">
        <v>90.779257161212499</v>
      </c>
      <c r="AK7429">
        <v>23.343467621831</v>
      </c>
      <c r="AL7429">
        <v>81.082513956705597</v>
      </c>
      <c r="AM7429">
        <v>87.758288218546397</v>
      </c>
      <c r="AN7429">
        <v>1.0000000412764301</v>
      </c>
    </row>
    <row r="7430" spans="1:40" x14ac:dyDescent="0.25">
      <c r="A7430" t="str">
        <f>"20190303170432263"</f>
        <v>20190303170432263</v>
      </c>
      <c r="B7430" t="str">
        <f>"1551603872253216"</f>
        <v>1551603872253216</v>
      </c>
      <c r="C7430" t="s">
        <v>40</v>
      </c>
      <c r="D7430">
        <v>5.1935799999999999</v>
      </c>
      <c r="E7430">
        <v>0.48374640000000002</v>
      </c>
      <c r="F7430" t="s">
        <v>42</v>
      </c>
      <c r="G7430">
        <v>-188.23679999999999</v>
      </c>
      <c r="H7430" s="1">
        <v>-4.2359719999999998E-6</v>
      </c>
      <c r="I7430">
        <v>-1.2221169999999999</v>
      </c>
      <c r="J7430">
        <v>-187.91759999999999</v>
      </c>
      <c r="K7430">
        <v>1.1182559999999999</v>
      </c>
      <c r="L7430">
        <v>-26.883479999999999</v>
      </c>
      <c r="M7430">
        <v>4.7580519999999996E-3</v>
      </c>
      <c r="N7430">
        <v>-1.367809E-2</v>
      </c>
      <c r="O7430">
        <v>0.99989519999999998</v>
      </c>
      <c r="P7430">
        <v>4.3157189999999998E-2</v>
      </c>
      <c r="Q7430">
        <v>0.14137620000000001</v>
      </c>
      <c r="R7430">
        <v>0.98901479999999997</v>
      </c>
      <c r="S7430">
        <v>-3.7078859999999998E-2</v>
      </c>
      <c r="T7430">
        <v>-0.13170470000000001</v>
      </c>
      <c r="U7430">
        <v>3.053223</v>
      </c>
      <c r="V7430">
        <v>3.96846E-2</v>
      </c>
      <c r="W7430">
        <v>0.15458179999999999</v>
      </c>
      <c r="X7430">
        <v>0.98718269999999997</v>
      </c>
      <c r="Y7430">
        <v>-1.6889459999999999E-2</v>
      </c>
      <c r="Z7430">
        <v>-2.9421010000000001E-2</v>
      </c>
      <c r="AA7430">
        <v>0.99942439999999999</v>
      </c>
      <c r="AB7430">
        <v>29</v>
      </c>
      <c r="AC7430">
        <v>-0.31919999999999499</v>
      </c>
      <c r="AD7430">
        <v>-1.118260235972</v>
      </c>
      <c r="AE7430">
        <v>25.661363000000001</v>
      </c>
      <c r="AF7430">
        <v>-0.44046957543315801</v>
      </c>
      <c r="AG7430">
        <v>-1.118260235972</v>
      </c>
      <c r="AH7430">
        <v>25.610925781053599</v>
      </c>
      <c r="AI7430">
        <v>92.499771618510906</v>
      </c>
      <c r="AJ7430">
        <v>90.985304477368999</v>
      </c>
      <c r="AK7430">
        <v>25.6391115049815</v>
      </c>
      <c r="AL7430">
        <v>81.107457536929502</v>
      </c>
      <c r="AM7430">
        <v>87.697957573873495</v>
      </c>
      <c r="AN7430">
        <v>1.0000000417738399</v>
      </c>
    </row>
    <row r="7431" spans="1:40" x14ac:dyDescent="0.25">
      <c r="A7431" t="str">
        <f>"20190303170432309"</f>
        <v>20190303170432309</v>
      </c>
      <c r="B7431" t="str">
        <f>"1551603872302991"</f>
        <v>1551603872302991</v>
      </c>
      <c r="C7431" t="s">
        <v>40</v>
      </c>
      <c r="D7431">
        <v>5.3075739999999998</v>
      </c>
      <c r="E7431">
        <v>0.48316540000000002</v>
      </c>
      <c r="F7431" t="s">
        <v>42</v>
      </c>
      <c r="G7431">
        <v>-188.10679999999999</v>
      </c>
      <c r="H7431" s="1">
        <v>-4.1315969999999997E-6</v>
      </c>
      <c r="I7431">
        <v>-1.5191619999999999</v>
      </c>
      <c r="J7431">
        <v>-187.9049</v>
      </c>
      <c r="K7431">
        <v>1.1185929999999999</v>
      </c>
      <c r="L7431">
        <v>-26.299900000000001</v>
      </c>
      <c r="M7431">
        <v>1.2518100000000001E-2</v>
      </c>
      <c r="N7431">
        <v>-1.3658490000000001E-2</v>
      </c>
      <c r="O7431">
        <v>0.9998283</v>
      </c>
      <c r="P7431">
        <v>5.0197390000000001E-2</v>
      </c>
      <c r="Q7431">
        <v>0.1379223</v>
      </c>
      <c r="R7431">
        <v>0.9891702</v>
      </c>
      <c r="S7431">
        <v>-2.2781369999999999E-2</v>
      </c>
      <c r="T7431">
        <v>-0.1346251</v>
      </c>
      <c r="U7431">
        <v>3.0535580000000002</v>
      </c>
      <c r="V7431">
        <v>3.8890929999999997E-2</v>
      </c>
      <c r="W7431">
        <v>0.1511536</v>
      </c>
      <c r="X7431">
        <v>0.98774490000000004</v>
      </c>
      <c r="Y7431">
        <v>-1.99674E-2</v>
      </c>
      <c r="Z7431">
        <v>-3.0384990000000001E-2</v>
      </c>
      <c r="AA7431">
        <v>0.99933879999999997</v>
      </c>
      <c r="AB7431">
        <v>29</v>
      </c>
      <c r="AC7431">
        <v>-0.201899999999994</v>
      </c>
      <c r="AD7431">
        <v>-1.118597131597</v>
      </c>
      <c r="AE7431">
        <v>24.780737999999999</v>
      </c>
      <c r="AF7431">
        <v>-0.51107958393687503</v>
      </c>
      <c r="AG7431">
        <v>-1.118597131597</v>
      </c>
      <c r="AH7431">
        <v>24.725890185695299</v>
      </c>
      <c r="AI7431">
        <v>92.589737521055</v>
      </c>
      <c r="AJ7431">
        <v>91.184124565141104</v>
      </c>
      <c r="AK7431">
        <v>24.7564558723376</v>
      </c>
      <c r="AL7431">
        <v>81.3062142977858</v>
      </c>
      <c r="AM7431">
        <v>87.745231851634799</v>
      </c>
      <c r="AN7431">
        <v>0.99999995135261599</v>
      </c>
    </row>
    <row r="7432" spans="1:40" x14ac:dyDescent="0.25">
      <c r="A7432" t="str">
        <f>"20190303170432331"</f>
        <v>20190303170432331</v>
      </c>
      <c r="B7432" t="str">
        <f>"1551603872323019"</f>
        <v>1551603872323019</v>
      </c>
      <c r="C7432" t="s">
        <v>40</v>
      </c>
      <c r="D7432">
        <v>5.2989660000000001</v>
      </c>
      <c r="E7432">
        <v>0.48013600000000001</v>
      </c>
      <c r="F7432" t="s">
        <v>42</v>
      </c>
      <c r="G7432">
        <v>-187.92519999999999</v>
      </c>
      <c r="H7432" s="1">
        <v>-3.3899330000000002E-6</v>
      </c>
      <c r="I7432">
        <v>-3.3230789999999999</v>
      </c>
      <c r="J7432">
        <v>-187.89750000000001</v>
      </c>
      <c r="K7432">
        <v>1.1188419999999999</v>
      </c>
      <c r="L7432">
        <v>-26.011780000000002</v>
      </c>
      <c r="M7432">
        <v>1.5838189999999999E-2</v>
      </c>
      <c r="N7432">
        <v>-1.3645849999999999E-2</v>
      </c>
      <c r="O7432">
        <v>0.99978140000000004</v>
      </c>
      <c r="P7432">
        <v>5.4285769999999997E-2</v>
      </c>
      <c r="Q7432">
        <v>0.14017569999999999</v>
      </c>
      <c r="R7432">
        <v>0.9886374</v>
      </c>
      <c r="S7432">
        <v>-2.700806E-3</v>
      </c>
      <c r="T7432">
        <v>-0.14866589999999999</v>
      </c>
      <c r="U7432">
        <v>3.0537109999999998</v>
      </c>
      <c r="V7432">
        <v>3.9620549999999997E-2</v>
      </c>
      <c r="W7432">
        <v>0.15340819999999999</v>
      </c>
      <c r="X7432">
        <v>0.98736829999999998</v>
      </c>
      <c r="Y7432">
        <v>-1.6716330000000001E-2</v>
      </c>
      <c r="Z7432">
        <v>-3.4979219999999998E-2</v>
      </c>
      <c r="AA7432">
        <v>0.99924820000000003</v>
      </c>
      <c r="AB7432">
        <v>29</v>
      </c>
      <c r="AC7432">
        <v>-2.76999999999816E-2</v>
      </c>
      <c r="AD7432">
        <v>-1.118845389933</v>
      </c>
      <c r="AE7432">
        <v>22.688700999999998</v>
      </c>
      <c r="AF7432">
        <v>-0.38613896455103902</v>
      </c>
      <c r="AG7432">
        <v>-1.118845389933</v>
      </c>
      <c r="AH7432">
        <v>22.6303842180162</v>
      </c>
      <c r="AI7432">
        <v>92.829985415203794</v>
      </c>
      <c r="AJ7432">
        <v>90.977534718602399</v>
      </c>
      <c r="AK7432">
        <v>22.661315234592099</v>
      </c>
      <c r="AL7432">
        <v>81.175511373483999</v>
      </c>
      <c r="AM7432">
        <v>87.702100592286897</v>
      </c>
      <c r="AN7432">
        <v>1.0000000118272101</v>
      </c>
    </row>
    <row r="7433" spans="1:40" x14ac:dyDescent="0.25">
      <c r="A7433" t="str">
        <f>"20190303170432354"</f>
        <v>20190303170432354</v>
      </c>
      <c r="B7433" t="str">
        <f>"1551603872342538"</f>
        <v>1551603872342538</v>
      </c>
      <c r="C7433" t="s">
        <v>40</v>
      </c>
      <c r="D7433">
        <v>5.3074979999999998</v>
      </c>
      <c r="E7433">
        <v>0.47986050000000002</v>
      </c>
      <c r="F7433" t="s">
        <v>42</v>
      </c>
      <c r="G7433">
        <v>-188.02119999999999</v>
      </c>
      <c r="H7433" s="1">
        <v>-3.9584409999999997E-6</v>
      </c>
      <c r="I7433">
        <v>-1.958188</v>
      </c>
      <c r="J7433">
        <v>-187.88990000000001</v>
      </c>
      <c r="K7433">
        <v>1.1191549999999999</v>
      </c>
      <c r="L7433">
        <v>-25.734919999999999</v>
      </c>
      <c r="M7433">
        <v>1.8594900000000001E-2</v>
      </c>
      <c r="N7433">
        <v>-1.3632389999999999E-2</v>
      </c>
      <c r="O7433">
        <v>0.99973420000000002</v>
      </c>
      <c r="P7433">
        <v>6.0181159999999997E-2</v>
      </c>
      <c r="Q7433">
        <v>0.14228370000000001</v>
      </c>
      <c r="R7433">
        <v>0.9879947</v>
      </c>
      <c r="S7433">
        <v>-1.5716549999999999E-2</v>
      </c>
      <c r="T7433">
        <v>-0.1421248</v>
      </c>
      <c r="U7433">
        <v>3.0554809999999999</v>
      </c>
      <c r="V7433">
        <v>4.2693450000000001E-2</v>
      </c>
      <c r="W7433">
        <v>0.15550929999999999</v>
      </c>
      <c r="X7433">
        <v>0.98691139999999999</v>
      </c>
      <c r="Y7433">
        <v>-2.3726649999999998E-2</v>
      </c>
      <c r="Z7433">
        <v>-3.2822919999999998E-2</v>
      </c>
      <c r="AA7433">
        <v>0.9991795</v>
      </c>
      <c r="AB7433">
        <v>28</v>
      </c>
      <c r="AC7433">
        <v>-0.13129999999998099</v>
      </c>
      <c r="AD7433">
        <v>-1.119158958441</v>
      </c>
      <c r="AE7433">
        <v>23.776731999999999</v>
      </c>
      <c r="AF7433">
        <v>-0.57217667745447398</v>
      </c>
      <c r="AG7433">
        <v>-1.119158958441</v>
      </c>
      <c r="AH7433">
        <v>23.717632782597299</v>
      </c>
      <c r="AI7433">
        <v>92.700815336889505</v>
      </c>
      <c r="AJ7433">
        <v>91.381965535555807</v>
      </c>
      <c r="AK7433">
        <v>23.750915934645899</v>
      </c>
      <c r="AL7433">
        <v>81.053664761665502</v>
      </c>
      <c r="AM7433">
        <v>87.522948565253799</v>
      </c>
      <c r="AN7433">
        <v>0.99999999225467595</v>
      </c>
    </row>
    <row r="7434" spans="1:40" x14ac:dyDescent="0.25">
      <c r="A7434" t="str">
        <f>"20190303170432375"</f>
        <v>20190303170432375</v>
      </c>
      <c r="B7434" t="str">
        <f>"1551603872363033"</f>
        <v>1551603872363033</v>
      </c>
      <c r="C7434" t="s">
        <v>40</v>
      </c>
      <c r="D7434">
        <v>5.2029129999999997</v>
      </c>
      <c r="E7434">
        <v>0.47914289999999998</v>
      </c>
      <c r="F7434" t="s">
        <v>42</v>
      </c>
      <c r="G7434">
        <v>-187.91569999999999</v>
      </c>
      <c r="H7434" s="1">
        <v>-4.3148629999999996E-6</v>
      </c>
      <c r="I7434">
        <v>-1.170974</v>
      </c>
      <c r="J7434">
        <v>-187.8819</v>
      </c>
      <c r="K7434">
        <v>1.119526</v>
      </c>
      <c r="L7434">
        <v>-25.456479999999999</v>
      </c>
      <c r="M7434">
        <v>2.0870099999999999E-2</v>
      </c>
      <c r="N7434">
        <v>-1.361894E-2</v>
      </c>
      <c r="O7434">
        <v>0.99968950000000001</v>
      </c>
      <c r="P7434">
        <v>6.3587270000000001E-2</v>
      </c>
      <c r="Q7434">
        <v>0.14123479999999999</v>
      </c>
      <c r="R7434">
        <v>0.98793189999999997</v>
      </c>
      <c r="S7434">
        <v>-3.219604E-3</v>
      </c>
      <c r="T7434">
        <v>-0.13926649999999999</v>
      </c>
      <c r="U7434">
        <v>3.056702</v>
      </c>
      <c r="V7434">
        <v>4.3702280000000003E-2</v>
      </c>
      <c r="W7434">
        <v>0.15448139999999999</v>
      </c>
      <c r="X7434">
        <v>0.98702869999999998</v>
      </c>
      <c r="Y7434">
        <v>-2.191572E-2</v>
      </c>
      <c r="Z7434">
        <v>-3.1884280000000001E-2</v>
      </c>
      <c r="AA7434">
        <v>0.99925120000000001</v>
      </c>
      <c r="AB7434">
        <v>28</v>
      </c>
      <c r="AC7434">
        <v>-3.3799999999985099E-2</v>
      </c>
      <c r="AD7434">
        <v>-1.119530314863</v>
      </c>
      <c r="AE7434">
        <v>24.285506000000002</v>
      </c>
      <c r="AF7434">
        <v>-0.53953399546365799</v>
      </c>
      <c r="AG7434">
        <v>-1.119530314863</v>
      </c>
      <c r="AH7434">
        <v>24.228023418556798</v>
      </c>
      <c r="AI7434">
        <v>92.644990922010905</v>
      </c>
      <c r="AJ7434">
        <v>91.275709199164694</v>
      </c>
      <c r="AK7434">
        <v>24.2598755938339</v>
      </c>
      <c r="AL7434">
        <v>81.113279808549507</v>
      </c>
      <c r="AM7434">
        <v>87.464793217935707</v>
      </c>
      <c r="AN7434">
        <v>1.0000000234234201</v>
      </c>
    </row>
    <row r="7435" spans="1:40" x14ac:dyDescent="0.25">
      <c r="A7435" t="str">
        <f>"20190303170432400"</f>
        <v>20190303170432400</v>
      </c>
      <c r="B7435" t="str">
        <f>"1551603872393291"</f>
        <v>1551603872393291</v>
      </c>
      <c r="C7435" t="s">
        <v>40</v>
      </c>
      <c r="D7435">
        <v>5.1878659999999996</v>
      </c>
      <c r="E7435">
        <v>0.4776128</v>
      </c>
      <c r="F7435" t="s">
        <v>42</v>
      </c>
      <c r="G7435">
        <v>-187.8706</v>
      </c>
      <c r="H7435" s="1">
        <v>-4.2793839999999996E-6</v>
      </c>
      <c r="I7435">
        <v>-1.272354</v>
      </c>
      <c r="J7435">
        <v>-187.8732</v>
      </c>
      <c r="K7435">
        <v>1.1199600000000001</v>
      </c>
      <c r="L7435">
        <v>-25.154170000000001</v>
      </c>
      <c r="M7435">
        <v>2.268264E-2</v>
      </c>
      <c r="N7435">
        <v>-1.360575E-2</v>
      </c>
      <c r="O7435">
        <v>0.99965009999999999</v>
      </c>
      <c r="P7435">
        <v>6.489491E-2</v>
      </c>
      <c r="Q7435">
        <v>0.1385691</v>
      </c>
      <c r="R7435">
        <v>0.98822430000000006</v>
      </c>
      <c r="S7435">
        <v>1.4343260000000001E-3</v>
      </c>
      <c r="T7435">
        <v>-0.14150489999999999</v>
      </c>
      <c r="U7435">
        <v>3.0567929999999999</v>
      </c>
      <c r="V7435">
        <v>4.3030220000000001E-2</v>
      </c>
      <c r="W7435">
        <v>0.1518582</v>
      </c>
      <c r="X7435">
        <v>0.98746520000000004</v>
      </c>
      <c r="Y7435">
        <v>-2.2206839999999999E-2</v>
      </c>
      <c r="Z7435">
        <v>-3.262346E-2</v>
      </c>
      <c r="AA7435">
        <v>0.99922100000000003</v>
      </c>
      <c r="AB7435">
        <v>28</v>
      </c>
      <c r="AC7435">
        <v>2.6000000000010398E-3</v>
      </c>
      <c r="AD7435">
        <v>-1.1199642793839999</v>
      </c>
      <c r="AE7435">
        <v>23.881816000000001</v>
      </c>
      <c r="AF7435">
        <v>-0.537970337256655</v>
      </c>
      <c r="AG7435">
        <v>-1.1199642793839999</v>
      </c>
      <c r="AH7435">
        <v>23.823336072659401</v>
      </c>
      <c r="AI7435">
        <v>92.690878290712504</v>
      </c>
      <c r="AJ7435">
        <v>91.293613625784005</v>
      </c>
      <c r="AK7435">
        <v>23.8557136489718</v>
      </c>
      <c r="AL7435">
        <v>81.265372799797305</v>
      </c>
      <c r="AM7435">
        <v>87.504832352292894</v>
      </c>
      <c r="AN7435">
        <v>1.0000000169757599</v>
      </c>
    </row>
    <row r="7436" spans="1:40" x14ac:dyDescent="0.25">
      <c r="A7436" t="str">
        <f>"20190303170432422"</f>
        <v>20190303170432422</v>
      </c>
      <c r="B7436" t="str">
        <f>"1551603872413315"</f>
        <v>1551603872413315</v>
      </c>
      <c r="C7436" t="s">
        <v>40</v>
      </c>
      <c r="D7436">
        <v>5.1989879999999999</v>
      </c>
      <c r="E7436">
        <v>0.47573549999999998</v>
      </c>
      <c r="F7436" t="s">
        <v>42</v>
      </c>
      <c r="G7436">
        <v>-187.91</v>
      </c>
      <c r="H7436" s="1">
        <v>-3.8564519999999998E-6</v>
      </c>
      <c r="I7436">
        <v>-2.2418909999999999</v>
      </c>
      <c r="J7436">
        <v>-187.86500000000001</v>
      </c>
      <c r="K7436">
        <v>1.120358</v>
      </c>
      <c r="L7436">
        <v>-24.864260000000002</v>
      </c>
      <c r="M7436">
        <v>2.3904000000000002E-2</v>
      </c>
      <c r="N7436">
        <v>-1.3594770000000001E-2</v>
      </c>
      <c r="O7436">
        <v>0.9996218</v>
      </c>
      <c r="P7436">
        <v>6.7797659999999996E-2</v>
      </c>
      <c r="Q7436">
        <v>0.13937379999999999</v>
      </c>
      <c r="R7436">
        <v>0.98791620000000002</v>
      </c>
      <c r="S7436">
        <v>-4.9133299999999996E-3</v>
      </c>
      <c r="T7436">
        <v>-0.1494296</v>
      </c>
      <c r="U7436">
        <v>3.0570369999999998</v>
      </c>
      <c r="V7436">
        <v>4.4582789999999997E-2</v>
      </c>
      <c r="W7436">
        <v>0.1526872</v>
      </c>
      <c r="X7436">
        <v>0.98726840000000005</v>
      </c>
      <c r="Y7436">
        <v>-2.5501099999999999E-2</v>
      </c>
      <c r="Z7436">
        <v>-3.5209999999999998E-2</v>
      </c>
      <c r="AA7436">
        <v>0.99905460000000001</v>
      </c>
      <c r="AB7436">
        <v>28</v>
      </c>
      <c r="AC7436">
        <v>-4.4999999999987397E-2</v>
      </c>
      <c r="AD7436">
        <v>-1.1203618564519999</v>
      </c>
      <c r="AE7436">
        <v>22.622368999999999</v>
      </c>
      <c r="AF7436">
        <v>-0.58436897351274497</v>
      </c>
      <c r="AG7436">
        <v>-1.1203618564519999</v>
      </c>
      <c r="AH7436">
        <v>22.559496923249402</v>
      </c>
      <c r="AI7436">
        <v>92.842166121335495</v>
      </c>
      <c r="AJ7436">
        <v>91.483826981154195</v>
      </c>
      <c r="AK7436">
        <v>22.594857804746098</v>
      </c>
      <c r="AL7436">
        <v>81.217313569397106</v>
      </c>
      <c r="AM7436">
        <v>87.414409804036296</v>
      </c>
      <c r="AN7436">
        <v>0.99999994992329</v>
      </c>
    </row>
    <row r="7437" spans="1:40" x14ac:dyDescent="0.25">
      <c r="A7437" t="str">
        <f>"20190303170432444"</f>
        <v>20190303170432444</v>
      </c>
      <c r="B7437" t="str">
        <f>"1551603872432835"</f>
        <v>1551603872432835</v>
      </c>
      <c r="C7437" t="s">
        <v>40</v>
      </c>
      <c r="D7437">
        <v>5.1986160000000003</v>
      </c>
      <c r="E7437">
        <v>0.47426889999999999</v>
      </c>
      <c r="F7437" t="s">
        <v>42</v>
      </c>
      <c r="G7437">
        <v>-187.9683</v>
      </c>
      <c r="H7437" s="1">
        <v>-6.1349580000000005E-7</v>
      </c>
      <c r="I7437">
        <v>-0.13768710000000001</v>
      </c>
      <c r="J7437">
        <v>-187.85720000000001</v>
      </c>
      <c r="K7437">
        <v>1.12073</v>
      </c>
      <c r="L7437">
        <v>-24.584869999999999</v>
      </c>
      <c r="M7437">
        <v>2.4575090000000001E-2</v>
      </c>
      <c r="N7437">
        <v>-1.3584229999999999E-2</v>
      </c>
      <c r="O7437">
        <v>0.99960570000000004</v>
      </c>
      <c r="P7437">
        <v>7.2148630000000005E-2</v>
      </c>
      <c r="Q7437">
        <v>0.14247760000000001</v>
      </c>
      <c r="R7437">
        <v>0.98716499999999996</v>
      </c>
      <c r="S7437">
        <v>-1.2771609999999999E-2</v>
      </c>
      <c r="T7437">
        <v>-0.1385168</v>
      </c>
      <c r="U7437">
        <v>3.0570979999999999</v>
      </c>
      <c r="V7437">
        <v>4.8156129999999998E-2</v>
      </c>
      <c r="W7437">
        <v>0.15580469999999999</v>
      </c>
      <c r="X7437">
        <v>0.98661330000000003</v>
      </c>
      <c r="Y7437">
        <v>-2.8739939999999999E-2</v>
      </c>
      <c r="Z7437">
        <v>-3.1658220000000001E-2</v>
      </c>
      <c r="AA7437">
        <v>0.99908549999999996</v>
      </c>
      <c r="AB7437">
        <v>28</v>
      </c>
      <c r="AC7437">
        <v>-0.111099999999993</v>
      </c>
      <c r="AD7437">
        <v>-1.1207306134957999</v>
      </c>
      <c r="AE7437">
        <v>24.447182900000001</v>
      </c>
      <c r="AF7437">
        <v>-0.71042062255943805</v>
      </c>
      <c r="AG7437">
        <v>-1.1207306134957999</v>
      </c>
      <c r="AH7437">
        <v>24.385820059045798</v>
      </c>
      <c r="AI7437">
        <v>92.630250175436998</v>
      </c>
      <c r="AJ7437">
        <v>91.668699017076307</v>
      </c>
      <c r="AK7437">
        <v>24.421894982190601</v>
      </c>
      <c r="AL7437">
        <v>81.036530458128098</v>
      </c>
      <c r="AM7437">
        <v>87.205637676422498</v>
      </c>
      <c r="AN7437">
        <v>0.99999996056777696</v>
      </c>
    </row>
    <row r="7438" spans="1:40" x14ac:dyDescent="0.25">
      <c r="A7438" t="str">
        <f>"20190303170432465"</f>
        <v>20190303170432465</v>
      </c>
      <c r="B7438" t="str">
        <f>"1551603872453331"</f>
        <v>1551603872453331</v>
      </c>
      <c r="C7438" t="s">
        <v>40</v>
      </c>
      <c r="D7438">
        <v>5.2061289999999998</v>
      </c>
      <c r="E7438">
        <v>0.47289209999999898</v>
      </c>
      <c r="F7438" t="s">
        <v>42</v>
      </c>
      <c r="G7438">
        <v>-187.99369999999999</v>
      </c>
      <c r="H7438" s="1">
        <v>-2.3308970000000001E-6</v>
      </c>
      <c r="I7438">
        <v>4.2366039999999998</v>
      </c>
      <c r="J7438">
        <v>-187.8501</v>
      </c>
      <c r="K7438">
        <v>1.1210719999999901</v>
      </c>
      <c r="L7438">
        <v>-24.317990000000002</v>
      </c>
      <c r="M7438">
        <v>2.4738369999999999E-2</v>
      </c>
      <c r="N7438">
        <v>-1.3574849999999999E-2</v>
      </c>
      <c r="O7438">
        <v>0.99960179999999998</v>
      </c>
      <c r="P7438">
        <v>7.2987200000000002E-2</v>
      </c>
      <c r="Q7438">
        <v>0.14234630000000001</v>
      </c>
      <c r="R7438">
        <v>0.98712230000000001</v>
      </c>
      <c r="S7438">
        <v>-1.448059E-2</v>
      </c>
      <c r="T7438">
        <v>-0.118881</v>
      </c>
      <c r="U7438">
        <v>3.05722</v>
      </c>
      <c r="V7438">
        <v>4.8703120000000003E-2</v>
      </c>
      <c r="W7438">
        <v>0.155703799999999</v>
      </c>
      <c r="X7438">
        <v>0.98660239999999999</v>
      </c>
      <c r="Y7438">
        <v>-2.9463380000000001E-2</v>
      </c>
      <c r="Z7438">
        <v>-2.5260500000000002E-2</v>
      </c>
      <c r="AA7438">
        <v>0.99924659999999998</v>
      </c>
      <c r="AB7438">
        <v>28</v>
      </c>
      <c r="AC7438">
        <v>-0.14359999999999201</v>
      </c>
      <c r="AD7438">
        <v>-1.1210743308969999</v>
      </c>
      <c r="AE7438">
        <v>28.554594000000002</v>
      </c>
      <c r="AF7438">
        <v>-0.84870707475069096</v>
      </c>
      <c r="AG7438">
        <v>-1.1210743308969999</v>
      </c>
      <c r="AH7438">
        <v>28.498374342010599</v>
      </c>
      <c r="AI7438">
        <v>92.251753140548402</v>
      </c>
      <c r="AJ7438">
        <v>91.705815377402502</v>
      </c>
      <c r="AK7438">
        <v>28.5330413992532</v>
      </c>
      <c r="AL7438">
        <v>81.042383216917898</v>
      </c>
      <c r="AM7438">
        <v>87.173917407669094</v>
      </c>
      <c r="AN7438">
        <v>0.99999998145896696</v>
      </c>
    </row>
    <row r="7439" spans="1:40" x14ac:dyDescent="0.25">
      <c r="A7439" t="str">
        <f>"20190303170432487"</f>
        <v>20190303170432487</v>
      </c>
      <c r="B7439" t="str">
        <f>"1551603872472851"</f>
        <v>1551603872472851</v>
      </c>
      <c r="C7439" t="s">
        <v>40</v>
      </c>
      <c r="D7439">
        <v>5.25223</v>
      </c>
      <c r="E7439">
        <v>0.47187699999999999</v>
      </c>
      <c r="F7439" t="s">
        <v>42</v>
      </c>
      <c r="G7439">
        <v>-188.08320000000001</v>
      </c>
      <c r="H7439" s="1">
        <v>-3.007714E-6</v>
      </c>
      <c r="I7439">
        <v>5.8512639999999996</v>
      </c>
      <c r="J7439">
        <v>-187.8433</v>
      </c>
      <c r="K7439">
        <v>1.1214139999999999</v>
      </c>
      <c r="L7439">
        <v>-24.047360000000001</v>
      </c>
      <c r="M7439">
        <v>2.4438540000000002E-2</v>
      </c>
      <c r="N7439">
        <v>-1.3567289999999999E-2</v>
      </c>
      <c r="O7439">
        <v>0.99960930000000003</v>
      </c>
      <c r="P7439">
        <v>7.0332510000000001E-2</v>
      </c>
      <c r="Q7439">
        <v>0.14019179999999901</v>
      </c>
      <c r="R7439">
        <v>0.98762320000000003</v>
      </c>
      <c r="S7439">
        <v>-2.362061E-2</v>
      </c>
      <c r="T7439">
        <v>-0.113606</v>
      </c>
      <c r="U7439">
        <v>3.0572509999999999</v>
      </c>
      <c r="V7439">
        <v>4.6196899999999999E-2</v>
      </c>
      <c r="W7439">
        <v>0.15359049999999999</v>
      </c>
      <c r="X7439">
        <v>0.98705410000000005</v>
      </c>
      <c r="Y7439">
        <v>-3.2150400000000003E-2</v>
      </c>
      <c r="Z7439">
        <v>-2.354448E-2</v>
      </c>
      <c r="AA7439">
        <v>0.99920569999999997</v>
      </c>
      <c r="AB7439">
        <v>28</v>
      </c>
      <c r="AC7439">
        <v>-0.239900000000005</v>
      </c>
      <c r="AD7439">
        <v>-1.121417007714</v>
      </c>
      <c r="AE7439">
        <v>29.898623999999899</v>
      </c>
      <c r="AF7439">
        <v>-0.96921089248354397</v>
      </c>
      <c r="AG7439">
        <v>-1.121417007714</v>
      </c>
      <c r="AH7439">
        <v>29.841850551345399</v>
      </c>
      <c r="AI7439">
        <v>92.150953368735301</v>
      </c>
      <c r="AJ7439">
        <v>91.860212396507507</v>
      </c>
      <c r="AK7439">
        <v>29.878637689629201</v>
      </c>
      <c r="AL7439">
        <v>81.164940939012496</v>
      </c>
      <c r="AM7439">
        <v>87.320352287095602</v>
      </c>
      <c r="AN7439">
        <v>0.99999999579333498</v>
      </c>
    </row>
    <row r="7440" spans="1:40" x14ac:dyDescent="0.25">
      <c r="A7440" t="str">
        <f>"20190303170432509"</f>
        <v>20190303170432509</v>
      </c>
      <c r="B7440" t="str">
        <f>"1551603872503107"</f>
        <v>1551603872503107</v>
      </c>
      <c r="C7440" t="s">
        <v>40</v>
      </c>
      <c r="D7440">
        <v>5.2448100000000002</v>
      </c>
      <c r="E7440">
        <v>0.47060570000000002</v>
      </c>
      <c r="F7440" t="s">
        <v>42</v>
      </c>
      <c r="G7440">
        <v>-188.2268</v>
      </c>
      <c r="H7440" s="1">
        <v>-2.8035259999999998E-6</v>
      </c>
      <c r="I7440">
        <v>5.434679</v>
      </c>
      <c r="J7440">
        <v>-187.8366</v>
      </c>
      <c r="K7440">
        <v>1.1217950000000001</v>
      </c>
      <c r="L7440">
        <v>-23.757290000000001</v>
      </c>
      <c r="M7440">
        <v>2.3653980000000002E-2</v>
      </c>
      <c r="N7440">
        <v>-1.3561699999999999E-2</v>
      </c>
      <c r="O7440">
        <v>0.99962819999999997</v>
      </c>
      <c r="P7440">
        <v>6.7514580000000005E-2</v>
      </c>
      <c r="Q7440">
        <v>0.13780689999999901</v>
      </c>
      <c r="R7440">
        <v>0.98815540000000002</v>
      </c>
      <c r="S7440">
        <v>-3.9764399999999998E-2</v>
      </c>
      <c r="T7440">
        <v>-0.1162779</v>
      </c>
      <c r="U7440">
        <v>3.0569459999999999</v>
      </c>
      <c r="V7440">
        <v>4.3999860000000002E-2</v>
      </c>
      <c r="W7440">
        <v>0.15124779999999999</v>
      </c>
      <c r="X7440">
        <v>0.98751610000000001</v>
      </c>
      <c r="Y7440">
        <v>-3.6640600000000002E-2</v>
      </c>
      <c r="Z7440">
        <v>-2.4422010000000001E-2</v>
      </c>
      <c r="AA7440">
        <v>0.99903010000000003</v>
      </c>
      <c r="AB7440">
        <v>28</v>
      </c>
      <c r="AC7440">
        <v>-0.390199999999993</v>
      </c>
      <c r="AD7440">
        <v>-1.1217978035259999</v>
      </c>
      <c r="AE7440">
        <v>29.191969</v>
      </c>
      <c r="AF7440">
        <v>-1.07906736215248</v>
      </c>
      <c r="AG7440">
        <v>-1.1217978035259999</v>
      </c>
      <c r="AH7440">
        <v>29.131557223977399</v>
      </c>
      <c r="AI7440">
        <v>92.203746063868607</v>
      </c>
      <c r="AJ7440">
        <v>92.121333656571394</v>
      </c>
      <c r="AK7440">
        <v>29.1731116437367</v>
      </c>
      <c r="AL7440">
        <v>81.300754391865695</v>
      </c>
      <c r="AM7440">
        <v>87.448811225061107</v>
      </c>
      <c r="AN7440">
        <v>0.99999996622203402</v>
      </c>
    </row>
    <row r="7441" spans="1:40" x14ac:dyDescent="0.25">
      <c r="A7441" t="str">
        <f>"20190303170432532"</f>
        <v>20190303170432532</v>
      </c>
      <c r="B7441" t="str">
        <f>"1551603872523132"</f>
        <v>1551603872523132</v>
      </c>
      <c r="C7441" t="s">
        <v>40</v>
      </c>
      <c r="D7441">
        <v>5.2226920000000003</v>
      </c>
      <c r="E7441">
        <v>0.46989969999999998</v>
      </c>
      <c r="F7441" t="s">
        <v>42</v>
      </c>
      <c r="G7441">
        <v>-188.40600000000001</v>
      </c>
      <c r="H7441" s="1">
        <v>-2.7052730000000001E-6</v>
      </c>
      <c r="I7441">
        <v>5.2797530000000004</v>
      </c>
      <c r="J7441">
        <v>-187.83070000000001</v>
      </c>
      <c r="K7441">
        <v>1.1221639999999999</v>
      </c>
      <c r="L7441">
        <v>-23.46799</v>
      </c>
      <c r="M7441">
        <v>2.245486E-2</v>
      </c>
      <c r="N7441">
        <v>-1.3557670000000001E-2</v>
      </c>
      <c r="O7441">
        <v>0.99965590000000004</v>
      </c>
      <c r="P7441">
        <v>6.5472539999999996E-2</v>
      </c>
      <c r="Q7441">
        <v>0.1370111</v>
      </c>
      <c r="R7441">
        <v>0.98840340000000004</v>
      </c>
      <c r="S7441">
        <v>-5.993652E-2</v>
      </c>
      <c r="T7441">
        <v>-0.11808349999999999</v>
      </c>
      <c r="U7441">
        <v>3.0565190000000002</v>
      </c>
      <c r="V7441">
        <v>4.3006719999999998E-2</v>
      </c>
      <c r="W7441">
        <v>0.15048800000000001</v>
      </c>
      <c r="X7441">
        <v>0.987676</v>
      </c>
      <c r="Y7441">
        <v>-4.203229E-2</v>
      </c>
      <c r="Z7441">
        <v>-2.501507E-2</v>
      </c>
      <c r="AA7441">
        <v>0.99880310000000005</v>
      </c>
      <c r="AB7441">
        <v>28</v>
      </c>
      <c r="AC7441">
        <v>-0.57529999999996995</v>
      </c>
      <c r="AD7441">
        <v>-1.122166705273</v>
      </c>
      <c r="AE7441">
        <v>28.747743</v>
      </c>
      <c r="AF7441">
        <v>-1.2188843082249099</v>
      </c>
      <c r="AG7441">
        <v>-1.122166705273</v>
      </c>
      <c r="AH7441">
        <v>28.6838847583237</v>
      </c>
      <c r="AI7441">
        <v>92.2383565682442</v>
      </c>
      <c r="AJ7441">
        <v>92.4332456174904</v>
      </c>
      <c r="AK7441">
        <v>28.731692987014402</v>
      </c>
      <c r="AL7441">
        <v>81.344792500726399</v>
      </c>
      <c r="AM7441">
        <v>87.506724894123295</v>
      </c>
      <c r="AN7441">
        <v>1.00000004854257</v>
      </c>
    </row>
    <row r="7442" spans="1:40" x14ac:dyDescent="0.25">
      <c r="A7442" t="str">
        <f>"20190303170432566"</f>
        <v>20190303170432566</v>
      </c>
      <c r="B7442" t="str">
        <f>"1551603872553387"</f>
        <v>1551603872553387</v>
      </c>
      <c r="C7442" t="s">
        <v>40</v>
      </c>
      <c r="D7442">
        <v>5.2351049999999999</v>
      </c>
      <c r="E7442">
        <v>0.46911439999999999</v>
      </c>
      <c r="F7442" t="s">
        <v>42</v>
      </c>
      <c r="G7442">
        <v>-188.53</v>
      </c>
      <c r="H7442" s="1">
        <v>-2.698105E-6</v>
      </c>
      <c r="I7442">
        <v>5.3143070000000003</v>
      </c>
      <c r="J7442">
        <v>-187.8237</v>
      </c>
      <c r="K7442">
        <v>1.1225940000000001</v>
      </c>
      <c r="L7442">
        <v>-23.056699999999999</v>
      </c>
      <c r="M7442">
        <v>2.013212E-2</v>
      </c>
      <c r="N7442">
        <v>-1.3552120000000001E-2</v>
      </c>
      <c r="O7442">
        <v>0.99970550000000002</v>
      </c>
      <c r="P7442">
        <v>6.0506379999999998E-2</v>
      </c>
      <c r="Q7442">
        <v>0.1368616</v>
      </c>
      <c r="R7442">
        <v>0.98874059999999997</v>
      </c>
      <c r="S7442">
        <v>-7.4264529999999995E-2</v>
      </c>
      <c r="T7442">
        <v>-0.1191726</v>
      </c>
      <c r="U7442">
        <v>3.0566409999999999</v>
      </c>
      <c r="V7442">
        <v>4.0184949999999997E-2</v>
      </c>
      <c r="W7442">
        <v>0.15037010000000001</v>
      </c>
      <c r="X7442">
        <v>0.98781280000000005</v>
      </c>
      <c r="Y7442">
        <v>-4.438843E-2</v>
      </c>
      <c r="Z7442">
        <v>-2.5372990000000002E-2</v>
      </c>
      <c r="AA7442">
        <v>0.99869209999999997</v>
      </c>
      <c r="AB7442">
        <v>28</v>
      </c>
      <c r="AC7442">
        <v>-0.70629999999999804</v>
      </c>
      <c r="AD7442">
        <v>-1.122596698105</v>
      </c>
      <c r="AE7442">
        <v>28.371006999999999</v>
      </c>
      <c r="AF7442">
        <v>-1.2753822070954901</v>
      </c>
      <c r="AG7442">
        <v>-1.122596698105</v>
      </c>
      <c r="AH7442">
        <v>28.306743978857401</v>
      </c>
      <c r="AI7442">
        <v>92.268762533429495</v>
      </c>
      <c r="AJ7442">
        <v>92.579760873411999</v>
      </c>
      <c r="AK7442">
        <v>28.357689923640699</v>
      </c>
      <c r="AL7442">
        <v>81.351625547712104</v>
      </c>
      <c r="AM7442">
        <v>87.670450128227003</v>
      </c>
      <c r="AN7442">
        <v>1.0000000625121701</v>
      </c>
    </row>
    <row r="7443" spans="1:40" x14ac:dyDescent="0.25">
      <c r="A7443" t="str">
        <f>"20190303170432589"</f>
        <v>20190303170432589</v>
      </c>
      <c r="B7443" t="str">
        <f>"1551603872582668"</f>
        <v>1551603872582668</v>
      </c>
      <c r="C7443" t="s">
        <v>40</v>
      </c>
      <c r="D7443">
        <v>5.2139949999999997</v>
      </c>
      <c r="E7443">
        <v>0.46862470000000001</v>
      </c>
      <c r="F7443" t="s">
        <v>42</v>
      </c>
      <c r="G7443">
        <v>-188.70249999999999</v>
      </c>
      <c r="H7443" s="1">
        <v>-2.7606100000000002E-6</v>
      </c>
      <c r="I7443">
        <v>5.5313239999999997</v>
      </c>
      <c r="J7443">
        <v>-187.81979999999999</v>
      </c>
      <c r="K7443">
        <v>1.1228070000000001</v>
      </c>
      <c r="L7443">
        <v>-22.767849999999999</v>
      </c>
      <c r="M7443">
        <v>1.8235060000000001E-2</v>
      </c>
      <c r="N7443">
        <v>-1.354728E-2</v>
      </c>
      <c r="O7443">
        <v>0.99974200000000002</v>
      </c>
      <c r="P7443">
        <v>5.584335E-2</v>
      </c>
      <c r="Q7443">
        <v>0.14005699999999999</v>
      </c>
      <c r="R7443">
        <v>0.98856739999999999</v>
      </c>
      <c r="S7443">
        <v>-9.3948359999999995E-2</v>
      </c>
      <c r="T7443">
        <v>-0.12002359999999999</v>
      </c>
      <c r="U7443">
        <v>3.0565190000000002</v>
      </c>
      <c r="V7443">
        <v>3.7324019999999999E-2</v>
      </c>
      <c r="W7443">
        <v>0.15356649999999999</v>
      </c>
      <c r="X7443">
        <v>0.98743320000000001</v>
      </c>
      <c r="Y7443">
        <v>-4.891794E-2</v>
      </c>
      <c r="Z7443">
        <v>-2.565108E-2</v>
      </c>
      <c r="AA7443">
        <v>0.99847330000000001</v>
      </c>
      <c r="AB7443">
        <v>28</v>
      </c>
      <c r="AC7443">
        <v>-0.88269999999999904</v>
      </c>
      <c r="AD7443">
        <v>-1.12280976060999</v>
      </c>
      <c r="AE7443">
        <v>28.299174000000001</v>
      </c>
      <c r="AF7443">
        <v>-1.3964415049244501</v>
      </c>
      <c r="AG7443">
        <v>-1.12280976060999</v>
      </c>
      <c r="AH7443">
        <v>28.2339669830708</v>
      </c>
      <c r="AI7443">
        <v>92.274563835734597</v>
      </c>
      <c r="AJ7443">
        <v>92.831520573299002</v>
      </c>
      <c r="AK7443">
        <v>28.290769558927298</v>
      </c>
      <c r="AL7443">
        <v>81.166332926760802</v>
      </c>
      <c r="AM7443">
        <v>87.835305501366605</v>
      </c>
      <c r="AN7443">
        <v>1.00000003842672</v>
      </c>
    </row>
    <row r="7444" spans="1:40" x14ac:dyDescent="0.25">
      <c r="A7444" t="str">
        <f>"20190303170432612"</f>
        <v>20190303170432612</v>
      </c>
      <c r="B7444" t="str">
        <f>"1551603872603164"</f>
        <v>1551603872603164</v>
      </c>
      <c r="C7444" t="s">
        <v>40</v>
      </c>
      <c r="D7444">
        <v>5.1906189999999999</v>
      </c>
      <c r="E7444">
        <v>0.46845900000000001</v>
      </c>
      <c r="F7444" t="s">
        <v>42</v>
      </c>
      <c r="G7444">
        <v>-188.96039999999999</v>
      </c>
      <c r="H7444" s="1">
        <v>-4.1505749999999996E-6</v>
      </c>
      <c r="I7444">
        <v>8.8780179999999902</v>
      </c>
      <c r="J7444">
        <v>-187.81649999999999</v>
      </c>
      <c r="K7444">
        <v>1.1229480000000001</v>
      </c>
      <c r="L7444">
        <v>-22.469570000000001</v>
      </c>
      <c r="M7444">
        <v>1.6149489999999999E-2</v>
      </c>
      <c r="N7444">
        <v>-1.354149E-2</v>
      </c>
      <c r="O7444">
        <v>0.9997779</v>
      </c>
      <c r="P7444">
        <v>5.1283090000000003E-2</v>
      </c>
      <c r="Q7444">
        <v>0.144395</v>
      </c>
      <c r="R7444">
        <v>0.98819040000000002</v>
      </c>
      <c r="S7444">
        <v>-0.11015320000000001</v>
      </c>
      <c r="T7444">
        <v>-0.1084381</v>
      </c>
      <c r="U7444">
        <v>3.0562740000000002</v>
      </c>
      <c r="V7444">
        <v>3.4776120000000001E-2</v>
      </c>
      <c r="W7444">
        <v>0.1578928</v>
      </c>
      <c r="X7444">
        <v>0.98684369999999999</v>
      </c>
      <c r="Y7444">
        <v>-5.2128149999999998E-2</v>
      </c>
      <c r="Z7444">
        <v>-2.1875490000000001E-2</v>
      </c>
      <c r="AA7444">
        <v>0.99840079999999998</v>
      </c>
      <c r="AB7444">
        <v>28</v>
      </c>
      <c r="AC7444">
        <v>-1.1438999999999999</v>
      </c>
      <c r="AD7444">
        <v>-1.122952150575</v>
      </c>
      <c r="AE7444">
        <v>31.347587999999998</v>
      </c>
      <c r="AF7444">
        <v>-1.6479328569976599</v>
      </c>
      <c r="AG7444">
        <v>-1.122952150575</v>
      </c>
      <c r="AH7444">
        <v>31.2849307940042</v>
      </c>
      <c r="AI7444">
        <v>92.052868425961094</v>
      </c>
      <c r="AJ7444">
        <v>93.015266875460398</v>
      </c>
      <c r="AK7444">
        <v>31.348422592202098</v>
      </c>
      <c r="AL7444">
        <v>80.9153921091455</v>
      </c>
      <c r="AM7444">
        <v>87.981746532831906</v>
      </c>
      <c r="AN7444">
        <v>1.0000000015218899</v>
      </c>
    </row>
    <row r="7445" spans="1:40" x14ac:dyDescent="0.25">
      <c r="A7445" t="str">
        <f>"20190303170432633"</f>
        <v>20190303170432633</v>
      </c>
      <c r="B7445" t="str">
        <f>"1551603872622684"</f>
        <v>1551603872622684</v>
      </c>
      <c r="C7445" t="s">
        <v>40</v>
      </c>
      <c r="D7445">
        <v>5.1745549999999998</v>
      </c>
      <c r="E7445">
        <v>0.46836499999999998</v>
      </c>
      <c r="F7445" t="s">
        <v>42</v>
      </c>
      <c r="G7445">
        <v>-189.3048</v>
      </c>
      <c r="H7445" s="1">
        <v>-1.984393E-6</v>
      </c>
      <c r="I7445">
        <v>13.97099</v>
      </c>
      <c r="J7445">
        <v>-187.8142</v>
      </c>
      <c r="K7445">
        <v>1.1230089999999999</v>
      </c>
      <c r="L7445">
        <v>-22.203520000000001</v>
      </c>
      <c r="M7445">
        <v>1.42446E-2</v>
      </c>
      <c r="N7445">
        <v>-1.3536279999999999E-2</v>
      </c>
      <c r="O7445">
        <v>0.99980690000000005</v>
      </c>
      <c r="P7445">
        <v>4.7804300000000001E-2</v>
      </c>
      <c r="Q7445">
        <v>0.14685699999999999</v>
      </c>
      <c r="R7445">
        <v>0.98800189999999999</v>
      </c>
      <c r="S7445">
        <v>-0.124816899999999</v>
      </c>
      <c r="T7445">
        <v>-9.4176289999999996E-2</v>
      </c>
      <c r="U7445">
        <v>3.0560909999999999</v>
      </c>
      <c r="V7445">
        <v>3.3157390000000002E-2</v>
      </c>
      <c r="W7445">
        <v>0.1603436</v>
      </c>
      <c r="X7445">
        <v>0.98650420000000005</v>
      </c>
      <c r="Y7445">
        <v>-5.501532E-2</v>
      </c>
      <c r="Z7445">
        <v>-1.722388E-2</v>
      </c>
      <c r="AA7445">
        <v>0.99833700000000003</v>
      </c>
      <c r="AB7445">
        <v>28</v>
      </c>
      <c r="AC7445">
        <v>-1.4905999999999999</v>
      </c>
      <c r="AD7445">
        <v>-1.1230109843929901</v>
      </c>
      <c r="AE7445">
        <v>36.174509999999998</v>
      </c>
      <c r="AF7445">
        <v>-2.00385944455966</v>
      </c>
      <c r="AG7445">
        <v>-1.1230109843929901</v>
      </c>
      <c r="AH7445">
        <v>36.114857573249601</v>
      </c>
      <c r="AI7445">
        <v>91.778335684194005</v>
      </c>
      <c r="AJ7445">
        <v>93.175842034077505</v>
      </c>
      <c r="AK7445">
        <v>36.1878369605137</v>
      </c>
      <c r="AL7445">
        <v>80.773159539827901</v>
      </c>
      <c r="AM7445">
        <v>88.0749563980864</v>
      </c>
      <c r="AN7445">
        <v>1.0000000095951</v>
      </c>
    </row>
    <row r="7446" spans="1:40" x14ac:dyDescent="0.25">
      <c r="A7446" t="str">
        <f>"20190303170432654"</f>
        <v>20190303170432654</v>
      </c>
      <c r="B7446" t="str">
        <f>"1551603872643181"</f>
        <v>1551603872643181</v>
      </c>
      <c r="C7446" t="s">
        <v>40</v>
      </c>
      <c r="D7446">
        <v>5.1649039999999999</v>
      </c>
      <c r="E7446">
        <v>0.4683562</v>
      </c>
      <c r="F7446" t="s">
        <v>42</v>
      </c>
      <c r="G7446">
        <v>-189.60300000000001</v>
      </c>
      <c r="H7446" s="1">
        <v>-3.5726380000000001E-6</v>
      </c>
      <c r="I7446">
        <v>17.796529999999901</v>
      </c>
      <c r="J7446">
        <v>-187.8124</v>
      </c>
      <c r="K7446">
        <v>1.1230329999999999</v>
      </c>
      <c r="L7446">
        <v>-21.937930000000001</v>
      </c>
      <c r="M7446">
        <v>1.2348639999999999E-2</v>
      </c>
      <c r="N7446">
        <v>-1.353147E-2</v>
      </c>
      <c r="O7446">
        <v>0.99983219999999995</v>
      </c>
      <c r="P7446">
        <v>4.5103499999999998E-2</v>
      </c>
      <c r="Q7446">
        <v>0.14696189999999901</v>
      </c>
      <c r="R7446">
        <v>0.98811329999999997</v>
      </c>
      <c r="S7446">
        <v>-0.13665769999999999</v>
      </c>
      <c r="T7446">
        <v>-8.5792060000000003E-2</v>
      </c>
      <c r="U7446">
        <v>3.0557859999999999</v>
      </c>
      <c r="V7446">
        <v>3.23238E-2</v>
      </c>
      <c r="W7446">
        <v>0.16044240000000001</v>
      </c>
      <c r="X7446">
        <v>0.98651580000000005</v>
      </c>
      <c r="Y7446">
        <v>-5.6989629999999999E-2</v>
      </c>
      <c r="Z7446">
        <v>-1.4491769999999999E-2</v>
      </c>
      <c r="AA7446">
        <v>0.99826959999999998</v>
      </c>
      <c r="AB7446">
        <v>28</v>
      </c>
      <c r="AC7446">
        <v>-1.79059999999998</v>
      </c>
      <c r="AD7446">
        <v>-1.1230365726380001</v>
      </c>
      <c r="AE7446">
        <v>39.734459999999999</v>
      </c>
      <c r="AF7446">
        <v>-2.2793577869266701</v>
      </c>
      <c r="AG7446">
        <v>-1.1230365726380001</v>
      </c>
      <c r="AH7446">
        <v>39.677684897015098</v>
      </c>
      <c r="AI7446">
        <v>91.618598820703198</v>
      </c>
      <c r="AJ7446">
        <v>93.287848116545803</v>
      </c>
      <c r="AK7446">
        <v>39.758965804597103</v>
      </c>
      <c r="AL7446">
        <v>80.767424448620304</v>
      </c>
      <c r="AM7446">
        <v>88.1233397600286</v>
      </c>
      <c r="AN7446">
        <v>1.00000000770692</v>
      </c>
    </row>
    <row r="7447" spans="1:40" x14ac:dyDescent="0.25">
      <c r="A7447" t="str">
        <f>"20190303170432678"</f>
        <v>20190303170432678</v>
      </c>
      <c r="B7447" t="str">
        <f>"1551603872662700"</f>
        <v>1551603872662700</v>
      </c>
      <c r="C7447" t="s">
        <v>40</v>
      </c>
      <c r="D7447">
        <v>5.2387230000000002</v>
      </c>
      <c r="E7447">
        <v>0.46839409999999998</v>
      </c>
      <c r="F7447" t="s">
        <v>42</v>
      </c>
      <c r="G7447">
        <v>-189.68729999999999</v>
      </c>
      <c r="H7447" s="1">
        <v>-3.5738820000000001E-6</v>
      </c>
      <c r="I7447">
        <v>17.834289999999999</v>
      </c>
      <c r="J7447">
        <v>-187.81100000000001</v>
      </c>
      <c r="K7447">
        <v>1.12303</v>
      </c>
      <c r="L7447">
        <v>-21.652159999999999</v>
      </c>
      <c r="M7447">
        <v>1.0345500000000001E-2</v>
      </c>
      <c r="N7447">
        <v>-1.35268E-2</v>
      </c>
      <c r="O7447">
        <v>0.99985500000000005</v>
      </c>
      <c r="P7447">
        <v>4.2351100000000003E-2</v>
      </c>
      <c r="Q7447">
        <v>0.14661250000000001</v>
      </c>
      <c r="R7447">
        <v>0.98828700000000003</v>
      </c>
      <c r="S7447">
        <v>-0.144043</v>
      </c>
      <c r="T7447">
        <v>-8.6277599999999996E-2</v>
      </c>
      <c r="U7447">
        <v>3.0555110000000001</v>
      </c>
      <c r="V7447">
        <v>3.155314E-2</v>
      </c>
      <c r="W7447">
        <v>0.16008610000000001</v>
      </c>
      <c r="X7447">
        <v>0.98659859999999999</v>
      </c>
      <c r="Y7447">
        <v>-5.7400909999999999E-2</v>
      </c>
      <c r="Z7447">
        <v>-1.465701E-2</v>
      </c>
      <c r="AA7447">
        <v>0.99824360000000001</v>
      </c>
      <c r="AB7447">
        <v>28</v>
      </c>
      <c r="AC7447">
        <v>-1.8763000000000101</v>
      </c>
      <c r="AD7447">
        <v>-1.1230335738820001</v>
      </c>
      <c r="AE7447">
        <v>39.486449999999998</v>
      </c>
      <c r="AF7447">
        <v>-2.2829015556301799</v>
      </c>
      <c r="AG7447">
        <v>-1.1230335738820001</v>
      </c>
      <c r="AH7447">
        <v>39.433098246420698</v>
      </c>
      <c r="AI7447">
        <v>91.628586815332397</v>
      </c>
      <c r="AJ7447">
        <v>93.313327954591401</v>
      </c>
      <c r="AK7447">
        <v>39.515086754714702</v>
      </c>
      <c r="AL7447">
        <v>80.788105996249001</v>
      </c>
      <c r="AM7447">
        <v>88.168205640120803</v>
      </c>
      <c r="AN7447">
        <v>0.99999997878951397</v>
      </c>
    </row>
    <row r="7448" spans="1:40" x14ac:dyDescent="0.25">
      <c r="A7448" t="str">
        <f>"20190303170432700"</f>
        <v>20190303170432700</v>
      </c>
      <c r="B7448" t="str">
        <f>"1551603872692956"</f>
        <v>1551603872692956</v>
      </c>
      <c r="C7448" t="s">
        <v>40</v>
      </c>
      <c r="D7448">
        <v>5.1531079999999996</v>
      </c>
      <c r="E7448">
        <v>0.46847620000000001</v>
      </c>
      <c r="F7448" t="s">
        <v>42</v>
      </c>
      <c r="G7448">
        <v>-189.7243</v>
      </c>
      <c r="H7448" s="1">
        <v>-3.2999200000000001E-6</v>
      </c>
      <c r="I7448">
        <v>17.21097</v>
      </c>
      <c r="J7448">
        <v>-187.81020000000001</v>
      </c>
      <c r="K7448">
        <v>1.1230290000000001</v>
      </c>
      <c r="L7448">
        <v>-21.366579999999999</v>
      </c>
      <c r="M7448">
        <v>8.3892759999999993E-3</v>
      </c>
      <c r="N7448">
        <v>-1.352277E-2</v>
      </c>
      <c r="O7448">
        <v>0.99987329999999996</v>
      </c>
      <c r="P7448">
        <v>3.9810419999999999E-2</v>
      </c>
      <c r="Q7448">
        <v>0.1490042</v>
      </c>
      <c r="R7448">
        <v>0.98803479999999999</v>
      </c>
      <c r="S7448">
        <v>-0.15040590000000001</v>
      </c>
      <c r="T7448">
        <v>-8.8283180000000003E-2</v>
      </c>
      <c r="U7448">
        <v>3.0550839999999999</v>
      </c>
      <c r="V7448">
        <v>3.094502E-2</v>
      </c>
      <c r="W7448">
        <v>0.16246640000000001</v>
      </c>
      <c r="X7448">
        <v>0.98622869999999996</v>
      </c>
      <c r="Y7448">
        <v>-5.7527710000000003E-2</v>
      </c>
      <c r="Z7448">
        <v>-1.5319620000000001E-2</v>
      </c>
      <c r="AA7448">
        <v>0.99822630000000001</v>
      </c>
      <c r="AB7448">
        <v>28</v>
      </c>
      <c r="AC7448">
        <v>-1.9140999999999899</v>
      </c>
      <c r="AD7448">
        <v>-1.12303229992</v>
      </c>
      <c r="AE7448">
        <v>38.577550000000002</v>
      </c>
      <c r="AF7448">
        <v>-2.2358098723823199</v>
      </c>
      <c r="AG7448">
        <v>-1.12303229992</v>
      </c>
      <c r="AH7448">
        <v>38.527562716605701</v>
      </c>
      <c r="AI7448">
        <v>91.666827875256899</v>
      </c>
      <c r="AJ7448">
        <v>93.321231580490604</v>
      </c>
      <c r="AK7448">
        <v>38.6087183964204</v>
      </c>
      <c r="AL7448">
        <v>80.649915885538505</v>
      </c>
      <c r="AM7448">
        <v>88.202812870334398</v>
      </c>
      <c r="AN7448">
        <v>0.99999998704772497</v>
      </c>
    </row>
    <row r="7449" spans="1:40" x14ac:dyDescent="0.25">
      <c r="A7449" t="str">
        <f>"20190303170432733"</f>
        <v>20190303170432733</v>
      </c>
      <c r="B7449" t="str">
        <f>"1551603872723212"</f>
        <v>1551603872723212</v>
      </c>
      <c r="C7449" t="s">
        <v>40</v>
      </c>
      <c r="D7449">
        <v>5.244027</v>
      </c>
      <c r="E7449">
        <v>0.4686572</v>
      </c>
      <c r="F7449" t="s">
        <v>42</v>
      </c>
      <c r="G7449">
        <v>-189.9691</v>
      </c>
      <c r="H7449" s="1">
        <v>-5.1341159999999997E-7</v>
      </c>
      <c r="I7449">
        <v>20.805050000000001</v>
      </c>
      <c r="J7449">
        <v>-187.81</v>
      </c>
      <c r="K7449">
        <v>1.1230359999999999</v>
      </c>
      <c r="L7449">
        <v>-20.94876</v>
      </c>
      <c r="M7449">
        <v>5.5915110000000004E-3</v>
      </c>
      <c r="N7449">
        <v>-1.351718E-2</v>
      </c>
      <c r="O7449">
        <v>0.99989300000000003</v>
      </c>
      <c r="P7449">
        <v>3.8173749999999999E-2</v>
      </c>
      <c r="Q7449">
        <v>0.1542463</v>
      </c>
      <c r="R7449">
        <v>0.98729469999999997</v>
      </c>
      <c r="S7449">
        <v>-0.15638729999999901</v>
      </c>
      <c r="T7449">
        <v>-8.1351999999999994E-2</v>
      </c>
      <c r="U7449">
        <v>3.0549010000000001</v>
      </c>
      <c r="V7449">
        <v>3.206784E-2</v>
      </c>
      <c r="W7449">
        <v>0.16769319999999999</v>
      </c>
      <c r="X7449">
        <v>0.98531749999999996</v>
      </c>
      <c r="Y7449">
        <v>-5.668952E-2</v>
      </c>
      <c r="Z7449">
        <v>-1.306438E-2</v>
      </c>
      <c r="AA7449">
        <v>0.99830640000000004</v>
      </c>
      <c r="AB7449">
        <v>28</v>
      </c>
      <c r="AC7449">
        <v>-2.1590999999999898</v>
      </c>
      <c r="AD7449">
        <v>-1.1230365134116</v>
      </c>
      <c r="AE7449">
        <v>41.753809999999902</v>
      </c>
      <c r="AF7449">
        <v>-2.39082948087735</v>
      </c>
      <c r="AG7449">
        <v>-1.1230365134116</v>
      </c>
      <c r="AH7449">
        <v>41.710988983272003</v>
      </c>
      <c r="AI7449">
        <v>91.539746398503397</v>
      </c>
      <c r="AJ7449">
        <v>93.280543525364493</v>
      </c>
      <c r="AK7449">
        <v>41.794543646027797</v>
      </c>
      <c r="AL7449">
        <v>80.346275839961905</v>
      </c>
      <c r="AM7449">
        <v>88.135927169825607</v>
      </c>
      <c r="AN7449">
        <v>0.99999996574737704</v>
      </c>
    </row>
    <row r="7450" spans="1:40" x14ac:dyDescent="0.25">
      <c r="A7450" t="str">
        <f>"20190303170432756"</f>
        <v>20190303170432756</v>
      </c>
      <c r="B7450" t="str">
        <f>"1551603872742732"</f>
        <v>1551603872742732</v>
      </c>
      <c r="C7450" t="s">
        <v>40</v>
      </c>
      <c r="D7450">
        <v>5.147532</v>
      </c>
      <c r="E7450">
        <v>0.46883069999999999</v>
      </c>
      <c r="F7450" t="s">
        <v>42</v>
      </c>
      <c r="G7450">
        <v>-190.58969999999999</v>
      </c>
      <c r="H7450" s="1">
        <v>-1.267266E-6</v>
      </c>
      <c r="I7450">
        <v>32.177390000000003</v>
      </c>
      <c r="J7450">
        <v>-187.81049999999999</v>
      </c>
      <c r="K7450">
        <v>1.1230249999999999</v>
      </c>
      <c r="L7450">
        <v>-20.673549999999999</v>
      </c>
      <c r="M7450">
        <v>3.7781030000000001E-3</v>
      </c>
      <c r="N7450">
        <v>-1.3513839999999999E-2</v>
      </c>
      <c r="O7450">
        <v>0.9999015</v>
      </c>
      <c r="P7450">
        <v>3.8171690000000001E-2</v>
      </c>
      <c r="Q7450">
        <v>0.1547026</v>
      </c>
      <c r="R7450">
        <v>0.98722339999999997</v>
      </c>
      <c r="S7450">
        <v>-0.1598358</v>
      </c>
      <c r="T7450">
        <v>-6.4577099999999998E-2</v>
      </c>
      <c r="U7450">
        <v>3.0548709999999999</v>
      </c>
      <c r="V7450">
        <v>3.3861429999999998E-2</v>
      </c>
      <c r="W7450">
        <v>0.16814970000000001</v>
      </c>
      <c r="X7450">
        <v>0.98517969999999999</v>
      </c>
      <c r="Y7450">
        <v>-5.6008479999999999E-2</v>
      </c>
      <c r="Z7450">
        <v>-7.5890150000000002E-3</v>
      </c>
      <c r="AA7450">
        <v>0.99840150000000005</v>
      </c>
      <c r="AB7450">
        <v>28</v>
      </c>
      <c r="AC7450">
        <v>-2.7791999999999999</v>
      </c>
      <c r="AD7450">
        <v>-1.1230262672660001</v>
      </c>
      <c r="AE7450">
        <v>52.850940000000001</v>
      </c>
      <c r="AF7450">
        <v>-2.9775339998381001</v>
      </c>
      <c r="AG7450">
        <v>-1.1230262672660001</v>
      </c>
      <c r="AH7450">
        <v>52.816279965753701</v>
      </c>
      <c r="AI7450">
        <v>91.216159314969303</v>
      </c>
      <c r="AJ7450">
        <v>93.226651766186606</v>
      </c>
      <c r="AK7450">
        <v>52.912062198878999</v>
      </c>
      <c r="AL7450">
        <v>80.319743703303303</v>
      </c>
      <c r="AM7450">
        <v>88.031472247481204</v>
      </c>
      <c r="AN7450">
        <v>0.99999997967191201</v>
      </c>
    </row>
    <row r="7451" spans="1:40" x14ac:dyDescent="0.25">
      <c r="A7451" t="str">
        <f>"20190303170432779"</f>
        <v>20190303170432779</v>
      </c>
      <c r="B7451" t="str">
        <f>"1551603872772988"</f>
        <v>1551603872772988</v>
      </c>
      <c r="C7451" t="s">
        <v>40</v>
      </c>
      <c r="D7451">
        <v>5.1511149999999999</v>
      </c>
      <c r="E7451">
        <v>0.46908689999999997</v>
      </c>
      <c r="F7451" t="s">
        <v>42</v>
      </c>
      <c r="G7451">
        <v>-190.59010000000001</v>
      </c>
      <c r="H7451" s="1">
        <v>-1.782743E-6</v>
      </c>
      <c r="I7451">
        <v>33.378749999999997</v>
      </c>
      <c r="J7451">
        <v>-187.8116</v>
      </c>
      <c r="K7451">
        <v>1.1230119999999999</v>
      </c>
      <c r="L7451">
        <v>-20.37912</v>
      </c>
      <c r="M7451">
        <v>1.850118E-3</v>
      </c>
      <c r="N7451">
        <v>-1.35107E-2</v>
      </c>
      <c r="O7451">
        <v>0.99990699999999999</v>
      </c>
      <c r="P7451">
        <v>3.715355E-2</v>
      </c>
      <c r="Q7451">
        <v>0.15343899999999999</v>
      </c>
      <c r="R7451">
        <v>0.98745939999999999</v>
      </c>
      <c r="S7451">
        <v>-0.15708920000000001</v>
      </c>
      <c r="T7451">
        <v>-6.3469410000000004E-2</v>
      </c>
      <c r="U7451">
        <v>3.05484</v>
      </c>
      <c r="V7451">
        <v>3.4757509999999998E-2</v>
      </c>
      <c r="W7451">
        <v>0.16688649999999999</v>
      </c>
      <c r="X7451">
        <v>0.98536330000000005</v>
      </c>
      <c r="Y7451">
        <v>-5.3189319999999998E-2</v>
      </c>
      <c r="Z7451">
        <v>-7.2334130000000002E-3</v>
      </c>
      <c r="AA7451">
        <v>0.99855819999999995</v>
      </c>
      <c r="AB7451">
        <v>28</v>
      </c>
      <c r="AC7451">
        <v>-2.7785000000000002</v>
      </c>
      <c r="AD7451">
        <v>-1.123013782743</v>
      </c>
      <c r="AE7451">
        <v>53.757869999999997</v>
      </c>
      <c r="AF7451">
        <v>-2.8767106713224102</v>
      </c>
      <c r="AG7451">
        <v>-1.123013782743</v>
      </c>
      <c r="AH7451">
        <v>53.729251909453097</v>
      </c>
      <c r="AI7451">
        <v>91.195672623889394</v>
      </c>
      <c r="AJ7451">
        <v>93.064739397250406</v>
      </c>
      <c r="AK7451">
        <v>53.817925777497301</v>
      </c>
      <c r="AL7451">
        <v>80.393157444937302</v>
      </c>
      <c r="AM7451">
        <v>87.979797609795497</v>
      </c>
      <c r="AN7451">
        <v>1.00000001068527</v>
      </c>
    </row>
    <row r="7452" spans="1:40" x14ac:dyDescent="0.25">
      <c r="A7452" t="str">
        <f>"20190303170432802"</f>
        <v>20190303170432802</v>
      </c>
      <c r="B7452" t="str">
        <f>"1551603872793484"</f>
        <v>1551603872793484</v>
      </c>
      <c r="C7452" t="s">
        <v>40</v>
      </c>
      <c r="D7452">
        <v>5.18649</v>
      </c>
      <c r="E7452">
        <v>0.46923409999999899</v>
      </c>
      <c r="F7452" t="s">
        <v>42</v>
      </c>
      <c r="G7452">
        <v>-190.3733</v>
      </c>
      <c r="H7452" s="1">
        <v>-4.2923630000000002E-6</v>
      </c>
      <c r="I7452">
        <v>29.40549</v>
      </c>
      <c r="J7452">
        <v>-187.81319999999999</v>
      </c>
      <c r="K7452">
        <v>1.1229979999999999</v>
      </c>
      <c r="L7452">
        <v>-20.103359999999999</v>
      </c>
      <c r="M7452" s="1">
        <v>4.7423509999999998E-5</v>
      </c>
      <c r="N7452">
        <v>-1.3507959999999999E-2</v>
      </c>
      <c r="O7452">
        <v>0.99990869999999998</v>
      </c>
      <c r="P7452">
        <v>3.6259859999999998E-2</v>
      </c>
      <c r="Q7452">
        <v>0.15490809999999999</v>
      </c>
      <c r="R7452">
        <v>0.98726329999999995</v>
      </c>
      <c r="S7452">
        <v>-0.15718080000000001</v>
      </c>
      <c r="T7452">
        <v>-6.8906780000000001E-2</v>
      </c>
      <c r="U7452">
        <v>3.0547179999999998</v>
      </c>
      <c r="V7452">
        <v>3.5644820000000001E-2</v>
      </c>
      <c r="W7452">
        <v>0.16835079999999999</v>
      </c>
      <c r="X7452">
        <v>0.98508240000000002</v>
      </c>
      <c r="Y7452">
        <v>-5.1419869999999999E-2</v>
      </c>
      <c r="Z7452">
        <v>-9.0153449999999993E-3</v>
      </c>
      <c r="AA7452">
        <v>0.99863639999999998</v>
      </c>
      <c r="AB7452">
        <v>28</v>
      </c>
      <c r="AC7452">
        <v>-2.5600999999999998</v>
      </c>
      <c r="AD7452">
        <v>-1.1230022923630001</v>
      </c>
      <c r="AE7452">
        <v>49.508850000000002</v>
      </c>
      <c r="AF7452">
        <v>-2.5611338746446899</v>
      </c>
      <c r="AG7452">
        <v>-1.1230022923630001</v>
      </c>
      <c r="AH7452">
        <v>49.483336643754299</v>
      </c>
      <c r="AI7452">
        <v>91.298341771468898</v>
      </c>
      <c r="AJ7452">
        <v>92.962842626684704</v>
      </c>
      <c r="AK7452">
        <v>49.562295611398298</v>
      </c>
      <c r="AL7452">
        <v>80.308054500754196</v>
      </c>
      <c r="AM7452">
        <v>87.927678839156499</v>
      </c>
      <c r="AN7452">
        <v>0.99999993992161396</v>
      </c>
    </row>
    <row r="7453" spans="1:40" x14ac:dyDescent="0.25">
      <c r="A7453" t="str">
        <f>"20190303170432825"</f>
        <v>20190303170432825</v>
      </c>
      <c r="B7453" t="str">
        <f>"1551603872813005"</f>
        <v>1551603872813005</v>
      </c>
      <c r="C7453" t="s">
        <v>40</v>
      </c>
      <c r="D7453">
        <v>5.172059</v>
      </c>
      <c r="E7453">
        <v>0.46928049999999999</v>
      </c>
      <c r="F7453" t="s">
        <v>42</v>
      </c>
      <c r="G7453">
        <v>-190.54949999999999</v>
      </c>
      <c r="H7453" s="1">
        <v>-1.4937129999999999E-6</v>
      </c>
      <c r="I7453">
        <v>32.730200000000004</v>
      </c>
      <c r="J7453">
        <v>-187.81540000000001</v>
      </c>
      <c r="K7453">
        <v>1.122994</v>
      </c>
      <c r="L7453">
        <v>-19.805569999999999</v>
      </c>
      <c r="M7453">
        <v>-1.89942E-3</v>
      </c>
      <c r="N7453">
        <v>-1.35052E-2</v>
      </c>
      <c r="O7453">
        <v>0.99990699999999999</v>
      </c>
      <c r="P7453">
        <v>3.566159E-2</v>
      </c>
      <c r="Q7453">
        <v>0.15666429999999901</v>
      </c>
      <c r="R7453">
        <v>0.98700790000000005</v>
      </c>
      <c r="S7453">
        <v>-0.15820310000000001</v>
      </c>
      <c r="T7453">
        <v>-6.4928650000000004E-2</v>
      </c>
      <c r="U7453">
        <v>3.0546880000000001</v>
      </c>
      <c r="V7453">
        <v>3.6967369999999999E-2</v>
      </c>
      <c r="W7453">
        <v>0.17010330000000001</v>
      </c>
      <c r="X7453">
        <v>0.98473259999999996</v>
      </c>
      <c r="Y7453">
        <v>-4.9810609999999998E-2</v>
      </c>
      <c r="Z7453">
        <v>-7.7197300000000002E-3</v>
      </c>
      <c r="AA7453">
        <v>0.99872890000000003</v>
      </c>
      <c r="AB7453">
        <v>28</v>
      </c>
      <c r="AC7453">
        <v>-2.7340999999999802</v>
      </c>
      <c r="AD7453">
        <v>-1.122995493713</v>
      </c>
      <c r="AE7453">
        <v>52.5357699999999</v>
      </c>
      <c r="AF7453">
        <v>-2.63309859248736</v>
      </c>
      <c r="AG7453">
        <v>-1.122995493713</v>
      </c>
      <c r="AH7453">
        <v>52.516937356863998</v>
      </c>
      <c r="AI7453">
        <v>91.223460785107505</v>
      </c>
      <c r="AJ7453">
        <v>92.870297046113507</v>
      </c>
      <c r="AK7453">
        <v>52.594895535797399</v>
      </c>
      <c r="AL7453">
        <v>80.2061748732457</v>
      </c>
      <c r="AM7453">
        <v>87.850096434997397</v>
      </c>
      <c r="AN7453">
        <v>1.0000000063091801</v>
      </c>
    </row>
    <row r="7454" spans="1:40" x14ac:dyDescent="0.25">
      <c r="A7454" t="str">
        <f>"20190303170432847"</f>
        <v>20190303170432847</v>
      </c>
      <c r="B7454" t="str">
        <f>"1551603872832524"</f>
        <v>1551603872832524</v>
      </c>
      <c r="C7454" t="s">
        <v>40</v>
      </c>
      <c r="D7454">
        <v>5.1697850000000001</v>
      </c>
      <c r="E7454">
        <v>0.46946719999999997</v>
      </c>
      <c r="F7454" t="s">
        <v>42</v>
      </c>
      <c r="G7454">
        <v>-190.86340000000001</v>
      </c>
      <c r="H7454" s="1">
        <v>-3.9653930000000002E-6</v>
      </c>
      <c r="I7454">
        <v>38.296999999999997</v>
      </c>
      <c r="J7454">
        <v>-187.8177</v>
      </c>
      <c r="K7454">
        <v>1.1229929999999999</v>
      </c>
      <c r="L7454">
        <v>-19.549469999999999</v>
      </c>
      <c r="M7454">
        <v>-3.5747729999999998E-3</v>
      </c>
      <c r="N7454">
        <v>-1.350297E-2</v>
      </c>
      <c r="O7454">
        <v>0.99990239999999997</v>
      </c>
      <c r="P7454">
        <v>3.5282859999999999E-2</v>
      </c>
      <c r="Q7454">
        <v>0.15672230000000001</v>
      </c>
      <c r="R7454">
        <v>0.98701229999999995</v>
      </c>
      <c r="S7454">
        <v>-0.1602478</v>
      </c>
      <c r="T7454">
        <v>-5.9039950000000001E-2</v>
      </c>
      <c r="U7454">
        <v>3.0546570000000002</v>
      </c>
      <c r="V7454">
        <v>3.8245319999999999E-2</v>
      </c>
      <c r="W7454">
        <v>0.17016199999999901</v>
      </c>
      <c r="X7454">
        <v>0.98467360000000004</v>
      </c>
      <c r="Y7454">
        <v>-4.8805910000000001E-2</v>
      </c>
      <c r="Z7454">
        <v>-5.79833E-3</v>
      </c>
      <c r="AA7454">
        <v>0.99879150000000005</v>
      </c>
      <c r="AB7454">
        <v>28</v>
      </c>
      <c r="AC7454">
        <v>-3.0457000000000098</v>
      </c>
      <c r="AD7454">
        <v>-1.1229969653929901</v>
      </c>
      <c r="AE7454">
        <v>57.846469999999997</v>
      </c>
      <c r="AF7454">
        <v>-2.8378071170229902</v>
      </c>
      <c r="AG7454">
        <v>-1.1229969653929901</v>
      </c>
      <c r="AH7454">
        <v>57.835252291065203</v>
      </c>
      <c r="AI7454">
        <v>91.111045819869901</v>
      </c>
      <c r="AJ7454">
        <v>92.809083843642696</v>
      </c>
      <c r="AK7454">
        <v>57.915720482342898</v>
      </c>
      <c r="AL7454">
        <v>80.202761341975304</v>
      </c>
      <c r="AM7454">
        <v>87.7757152275083</v>
      </c>
      <c r="AN7454">
        <v>0.99999995464142999</v>
      </c>
    </row>
    <row r="7455" spans="1:40" x14ac:dyDescent="0.25">
      <c r="A7455" t="str">
        <f>"20190303170432867"</f>
        <v>20190303170432867</v>
      </c>
      <c r="B7455" t="str">
        <f>"1551603872862781"</f>
        <v>1551603872862781</v>
      </c>
      <c r="C7455" t="s">
        <v>40</v>
      </c>
      <c r="D7455">
        <v>4.8771639999999996</v>
      </c>
      <c r="E7455">
        <v>0.46976830000000003</v>
      </c>
      <c r="F7455" t="s">
        <v>42</v>
      </c>
      <c r="G7455">
        <v>-190.79560000000001</v>
      </c>
      <c r="H7455" s="1">
        <v>-3.5610190000000002E-6</v>
      </c>
      <c r="I7455">
        <v>37.396450000000002</v>
      </c>
      <c r="J7455">
        <v>-187.82060000000001</v>
      </c>
      <c r="K7455">
        <v>1.122976</v>
      </c>
      <c r="L7455">
        <v>-19.287320000000001</v>
      </c>
      <c r="M7455">
        <v>-5.2910070000000003E-3</v>
      </c>
      <c r="N7455">
        <v>-1.350079E-2</v>
      </c>
      <c r="O7455">
        <v>0.99989490000000003</v>
      </c>
      <c r="P7455">
        <v>3.5630099999999998E-2</v>
      </c>
      <c r="Q7455">
        <v>0.1560105</v>
      </c>
      <c r="R7455">
        <v>0.98711260000000001</v>
      </c>
      <c r="S7455">
        <v>-0.15974430000000001</v>
      </c>
      <c r="T7455">
        <v>-6.024086E-2</v>
      </c>
      <c r="U7455">
        <v>3.0547490000000002</v>
      </c>
      <c r="V7455">
        <v>4.0291720000000003E-2</v>
      </c>
      <c r="W7455">
        <v>0.16945439999999901</v>
      </c>
      <c r="X7455">
        <v>0.98471410000000004</v>
      </c>
      <c r="Y7455">
        <v>-4.6925889999999998E-2</v>
      </c>
      <c r="Z7455">
        <v>-6.1937499999999996E-3</v>
      </c>
      <c r="AA7455">
        <v>0.99887919999999997</v>
      </c>
      <c r="AB7455">
        <v>28</v>
      </c>
      <c r="AC7455">
        <v>-2.9749999999999899</v>
      </c>
      <c r="AD7455">
        <v>-1.1229795610190001</v>
      </c>
      <c r="AE7455">
        <v>56.683769999999903</v>
      </c>
      <c r="AF7455">
        <v>-2.6739701831295002</v>
      </c>
      <c r="AG7455">
        <v>-1.1229795610190001</v>
      </c>
      <c r="AH7455">
        <v>56.676534859779203</v>
      </c>
      <c r="AI7455">
        <v>91.133839767854596</v>
      </c>
      <c r="AJ7455">
        <v>92.701182828475098</v>
      </c>
      <c r="AK7455">
        <v>56.750689893132602</v>
      </c>
      <c r="AL7455">
        <v>80.243902125625297</v>
      </c>
      <c r="AM7455">
        <v>87.656925534129101</v>
      </c>
      <c r="AN7455">
        <v>1.0000000375593601</v>
      </c>
    </row>
    <row r="7456" spans="1:40" x14ac:dyDescent="0.25">
      <c r="A7456" t="str">
        <f>"20190303170432891"</f>
        <v>20190303170432891</v>
      </c>
      <c r="B7456" t="str">
        <f>"1551603872883277"</f>
        <v>1551603872883277</v>
      </c>
      <c r="C7456" t="s">
        <v>40</v>
      </c>
      <c r="D7456">
        <v>5.2347970000000004</v>
      </c>
      <c r="E7456">
        <v>0.46995019999999998</v>
      </c>
      <c r="F7456" t="s">
        <v>42</v>
      </c>
      <c r="G7456">
        <v>-190.49889999999999</v>
      </c>
      <c r="H7456" s="1">
        <v>-1.7275340000000001E-6</v>
      </c>
      <c r="I7456">
        <v>33.306609999999999</v>
      </c>
      <c r="J7456">
        <v>-187.82419999999999</v>
      </c>
      <c r="K7456">
        <v>1.122967</v>
      </c>
      <c r="L7456">
        <v>-19.001100000000001</v>
      </c>
      <c r="M7456">
        <v>-7.1666109999999998E-3</v>
      </c>
      <c r="N7456">
        <v>-1.3498609999999999E-2</v>
      </c>
      <c r="O7456">
        <v>0.99988319999999997</v>
      </c>
      <c r="P7456">
        <v>3.660323E-2</v>
      </c>
      <c r="Q7456">
        <v>0.1572384</v>
      </c>
      <c r="R7456">
        <v>0.98688209999999998</v>
      </c>
      <c r="S7456">
        <v>-0.15557860000000001</v>
      </c>
      <c r="T7456">
        <v>-6.523168E-2</v>
      </c>
      <c r="U7456">
        <v>3.0550839999999999</v>
      </c>
      <c r="V7456">
        <v>4.3112159999999997E-2</v>
      </c>
      <c r="W7456">
        <v>0.170685</v>
      </c>
      <c r="X7456">
        <v>0.98438199999999998</v>
      </c>
      <c r="Y7456">
        <v>-4.3687480000000001E-2</v>
      </c>
      <c r="Z7456">
        <v>-7.8271369999999996E-3</v>
      </c>
      <c r="AA7456">
        <v>0.99901459999999997</v>
      </c>
      <c r="AB7456">
        <v>28</v>
      </c>
      <c r="AC7456">
        <v>-2.6747000000000001</v>
      </c>
      <c r="AD7456">
        <v>-1.1229687275339999</v>
      </c>
      <c r="AE7456">
        <v>52.30771</v>
      </c>
      <c r="AF7456">
        <v>-2.2986714419570302</v>
      </c>
      <c r="AG7456">
        <v>-1.1229687275339999</v>
      </c>
      <c r="AH7456">
        <v>52.301494009752297</v>
      </c>
      <c r="AI7456">
        <v>91.228826473296195</v>
      </c>
      <c r="AJ7456">
        <v>92.516552752120504</v>
      </c>
      <c r="AK7456">
        <v>52.364026056189097</v>
      </c>
      <c r="AL7456">
        <v>80.172350968022002</v>
      </c>
      <c r="AM7456">
        <v>87.492266927943007</v>
      </c>
      <c r="AN7456">
        <v>0.99999997474443203</v>
      </c>
    </row>
    <row r="7457" spans="1:40" x14ac:dyDescent="0.25">
      <c r="A7457" t="str">
        <f>"20190303170432912"</f>
        <v>20190303170432912</v>
      </c>
      <c r="B7457" t="str">
        <f>"1551603872902796"</f>
        <v>1551603872902796</v>
      </c>
      <c r="C7457" t="s">
        <v>40</v>
      </c>
      <c r="D7457">
        <v>5.2370349999999997</v>
      </c>
      <c r="E7457">
        <v>0.47013820000000001</v>
      </c>
      <c r="F7457" t="s">
        <v>42</v>
      </c>
      <c r="G7457">
        <v>-190.5967</v>
      </c>
      <c r="H7457" s="1">
        <v>-3.0947920000000002E-6</v>
      </c>
      <c r="I7457">
        <v>36.433039999999998</v>
      </c>
      <c r="J7457">
        <v>-187.82810000000001</v>
      </c>
      <c r="K7457">
        <v>1.1229659999999999</v>
      </c>
      <c r="L7457">
        <v>-18.724910000000001</v>
      </c>
      <c r="M7457">
        <v>-8.9775810000000001E-3</v>
      </c>
      <c r="N7457">
        <v>-1.3496630000000001E-2</v>
      </c>
      <c r="O7457">
        <v>0.9998686</v>
      </c>
      <c r="P7457">
        <v>3.8135429999999998E-2</v>
      </c>
      <c r="Q7457">
        <v>0.1605367</v>
      </c>
      <c r="R7457">
        <v>0.98629290000000003</v>
      </c>
      <c r="S7457">
        <v>-0.1528168</v>
      </c>
      <c r="T7457">
        <v>-6.1895850000000002E-2</v>
      </c>
      <c r="U7457">
        <v>3.0554199999999998</v>
      </c>
      <c r="V7457">
        <v>4.6416300000000001E-2</v>
      </c>
      <c r="W7457">
        <v>0.17398229999999901</v>
      </c>
      <c r="X7457">
        <v>0.98365429999999998</v>
      </c>
      <c r="Y7457">
        <v>-4.0972880000000003E-2</v>
      </c>
      <c r="Z7457">
        <v>-6.7385179999999998E-3</v>
      </c>
      <c r="AA7457">
        <v>0.99913750000000001</v>
      </c>
      <c r="AB7457">
        <v>28</v>
      </c>
      <c r="AC7457">
        <v>-2.76859999999999</v>
      </c>
      <c r="AD7457">
        <v>-1.1229690947919999</v>
      </c>
      <c r="AE7457">
        <v>55.15795</v>
      </c>
      <c r="AF7457">
        <v>-2.2723188311820302</v>
      </c>
      <c r="AG7457">
        <v>-1.1229690947919999</v>
      </c>
      <c r="AH7457">
        <v>55.157779192263902</v>
      </c>
      <c r="AI7457">
        <v>91.165347769655298</v>
      </c>
      <c r="AJ7457">
        <v>92.359063429859404</v>
      </c>
      <c r="AK7457">
        <v>55.215985890690597</v>
      </c>
      <c r="AL7457">
        <v>79.9805607781459</v>
      </c>
      <c r="AM7457">
        <v>87.298352875731894</v>
      </c>
      <c r="AN7457">
        <v>1.0000000477637301</v>
      </c>
    </row>
    <row r="7458" spans="1:40" x14ac:dyDescent="0.25">
      <c r="A7458" t="str">
        <f>"20190303170432935"</f>
        <v>20190303170432935</v>
      </c>
      <c r="B7458" t="str">
        <f>"1551603872923293"</f>
        <v>1551603872923293</v>
      </c>
      <c r="C7458" t="s">
        <v>40</v>
      </c>
      <c r="D7458">
        <v>5.1791809999999998</v>
      </c>
      <c r="E7458">
        <v>0.47034169999999997</v>
      </c>
      <c r="F7458" t="s">
        <v>42</v>
      </c>
      <c r="G7458">
        <v>-191.09010000000001</v>
      </c>
      <c r="H7458" s="1">
        <v>-3.9231380000000004E-6</v>
      </c>
      <c r="I7458">
        <v>48.057899999999997</v>
      </c>
      <c r="J7458">
        <v>-187.83260000000001</v>
      </c>
      <c r="K7458">
        <v>1.122941</v>
      </c>
      <c r="L7458">
        <v>-18.45316</v>
      </c>
      <c r="M7458">
        <v>-1.075723E-2</v>
      </c>
      <c r="N7458">
        <v>-1.3487030000000001E-2</v>
      </c>
      <c r="O7458">
        <v>0.99985119999999905</v>
      </c>
      <c r="P7458">
        <v>3.829022E-2</v>
      </c>
      <c r="Q7458">
        <v>0.15978139999999999</v>
      </c>
      <c r="R7458">
        <v>0.98640950000000005</v>
      </c>
      <c r="S7458">
        <v>-0.14926149999999999</v>
      </c>
      <c r="T7458">
        <v>-5.1384329999999999E-2</v>
      </c>
      <c r="U7458">
        <v>3.0558169999999998</v>
      </c>
      <c r="V7458">
        <v>4.8331569999999997E-2</v>
      </c>
      <c r="W7458">
        <v>0.17322389999999999</v>
      </c>
      <c r="X7458">
        <v>0.98369589999999996</v>
      </c>
      <c r="Y7458">
        <v>-3.8030630000000003E-2</v>
      </c>
      <c r="Z7458">
        <v>-3.3122149999999999E-3</v>
      </c>
      <c r="AA7458">
        <v>0.99927109999999997</v>
      </c>
      <c r="AB7458">
        <v>28</v>
      </c>
      <c r="AC7458">
        <v>-3.2574999999999901</v>
      </c>
      <c r="AD7458">
        <v>-1.122944923138</v>
      </c>
      <c r="AE7458">
        <v>66.511060000000001</v>
      </c>
      <c r="AF7458">
        <v>-2.5410490414155</v>
      </c>
      <c r="AG7458">
        <v>-1.122944923138</v>
      </c>
      <c r="AH7458">
        <v>66.523338334170305</v>
      </c>
      <c r="AI7458">
        <v>90.966382961300496</v>
      </c>
      <c r="AJ7458">
        <v>92.187512556170006</v>
      </c>
      <c r="AK7458">
        <v>66.581322295774299</v>
      </c>
      <c r="AL7458">
        <v>80.024683815926494</v>
      </c>
      <c r="AM7458">
        <v>87.187169422157595</v>
      </c>
      <c r="AN7458">
        <v>1.0000000419333399</v>
      </c>
    </row>
    <row r="7459" spans="1:40" x14ac:dyDescent="0.25">
      <c r="A7459" t="str">
        <f>"20190303170432956"</f>
        <v>20190303170432956</v>
      </c>
      <c r="B7459" t="str">
        <f>"1551603872942812"</f>
        <v>1551603872942812</v>
      </c>
      <c r="C7459" t="s">
        <v>40</v>
      </c>
      <c r="D7459">
        <v>5.2308919999999999</v>
      </c>
      <c r="E7459">
        <v>0.47049099999999999</v>
      </c>
      <c r="F7459" t="s">
        <v>42</v>
      </c>
      <c r="G7459">
        <v>-190.9298</v>
      </c>
      <c r="H7459" s="1">
        <v>-2.7125380000000001E-6</v>
      </c>
      <c r="I7459">
        <v>45.3354</v>
      </c>
      <c r="J7459">
        <v>-187.8373</v>
      </c>
      <c r="K7459">
        <v>1.1229</v>
      </c>
      <c r="L7459">
        <v>-18.188749999999999</v>
      </c>
      <c r="M7459">
        <v>-1.2477459999999999E-2</v>
      </c>
      <c r="N7459">
        <v>-1.345491E-2</v>
      </c>
      <c r="O7459">
        <v>0.99983160000000004</v>
      </c>
      <c r="P7459">
        <v>3.841936E-2</v>
      </c>
      <c r="Q7459">
        <v>0.15542819999999999</v>
      </c>
      <c r="R7459">
        <v>0.98709979999999997</v>
      </c>
      <c r="S7459">
        <v>-0.14837649999999999</v>
      </c>
      <c r="T7459">
        <v>-5.3795099999999998E-2</v>
      </c>
      <c r="U7459">
        <v>3.0558169999999998</v>
      </c>
      <c r="V7459">
        <v>5.0183480000000003E-2</v>
      </c>
      <c r="W7459">
        <v>0.16885229999999901</v>
      </c>
      <c r="X7459">
        <v>0.98436299999999999</v>
      </c>
      <c r="Y7459">
        <v>-3.602267E-2</v>
      </c>
      <c r="Z7459">
        <v>-4.1329670000000004E-3</v>
      </c>
      <c r="AA7459">
        <v>0.99934239999999996</v>
      </c>
      <c r="AB7459">
        <v>28</v>
      </c>
      <c r="AC7459">
        <v>-3.0924999999999998</v>
      </c>
      <c r="AD7459">
        <v>-1.122902712538</v>
      </c>
      <c r="AE7459">
        <v>63.524149999999999</v>
      </c>
      <c r="AF7459">
        <v>-2.2988507793509698</v>
      </c>
      <c r="AG7459">
        <v>-1.122902712538</v>
      </c>
      <c r="AH7459">
        <v>63.537987316752499</v>
      </c>
      <c r="AI7459">
        <v>91.011817276235703</v>
      </c>
      <c r="AJ7459">
        <v>92.072099300842595</v>
      </c>
      <c r="AK7459">
        <v>63.589475997773</v>
      </c>
      <c r="AL7459">
        <v>80.278903918952096</v>
      </c>
      <c r="AM7459">
        <v>87.081549706802306</v>
      </c>
      <c r="AN7459">
        <v>0.99999999832459996</v>
      </c>
    </row>
    <row r="7460" spans="1:40" x14ac:dyDescent="0.25">
      <c r="A7460" t="str">
        <f>"20190303170432979"</f>
        <v>20190303170432979</v>
      </c>
      <c r="B7460" t="str">
        <f>"1551603872973068"</f>
        <v>1551603872973068</v>
      </c>
      <c r="C7460" t="s">
        <v>40</v>
      </c>
      <c r="D7460">
        <v>5.1183610000000002</v>
      </c>
      <c r="E7460">
        <v>0.47078449999999999</v>
      </c>
      <c r="F7460" t="s">
        <v>42</v>
      </c>
      <c r="G7460">
        <v>-190.2329</v>
      </c>
      <c r="H7460" s="1">
        <v>-1.044143E-6</v>
      </c>
      <c r="I7460">
        <v>31.878550000000001</v>
      </c>
      <c r="J7460">
        <v>-187.84299999999999</v>
      </c>
      <c r="K7460">
        <v>1.1228400000000001</v>
      </c>
      <c r="L7460">
        <v>-17.90128</v>
      </c>
      <c r="M7460">
        <v>-1.4319109999999999E-2</v>
      </c>
      <c r="N7460">
        <v>-1.3395270000000001E-2</v>
      </c>
      <c r="O7460">
        <v>0.99980780000000002</v>
      </c>
      <c r="P7460">
        <v>3.9597809999999997E-2</v>
      </c>
      <c r="Q7460">
        <v>0.15350529999999901</v>
      </c>
      <c r="R7460">
        <v>0.98735410000000001</v>
      </c>
      <c r="S7460">
        <v>-0.1462097</v>
      </c>
      <c r="T7460">
        <v>-6.8532590000000004E-2</v>
      </c>
      <c r="U7460">
        <v>3.0556950000000001</v>
      </c>
      <c r="V7460">
        <v>5.3196170000000001E-2</v>
      </c>
      <c r="W7460">
        <v>0.1668809</v>
      </c>
      <c r="X7460">
        <v>0.984541</v>
      </c>
      <c r="Y7460">
        <v>-3.3474709999999998E-2</v>
      </c>
      <c r="Z7460">
        <v>-9.010321E-3</v>
      </c>
      <c r="AA7460">
        <v>0.99939889999999998</v>
      </c>
      <c r="AB7460">
        <v>28</v>
      </c>
      <c r="AC7460">
        <v>-2.3899000000000101</v>
      </c>
      <c r="AD7460">
        <v>-1.1228410441429999</v>
      </c>
      <c r="AE7460">
        <v>49.779829999999997</v>
      </c>
      <c r="AF7460">
        <v>-1.6759374303460099</v>
      </c>
      <c r="AG7460">
        <v>-1.1228410441429999</v>
      </c>
      <c r="AH7460">
        <v>49.783679104594199</v>
      </c>
      <c r="AI7460">
        <v>91.291321639820694</v>
      </c>
      <c r="AJ7460">
        <v>91.9280995983396</v>
      </c>
      <c r="AK7460">
        <v>49.824534553471302</v>
      </c>
      <c r="AL7460">
        <v>80.393482993763598</v>
      </c>
      <c r="AM7460">
        <v>86.907233739893499</v>
      </c>
      <c r="AN7460">
        <v>1.0000000239842299</v>
      </c>
    </row>
    <row r="7461" spans="1:40" x14ac:dyDescent="0.25">
      <c r="A7461" t="str">
        <f>"20190303170433005"</f>
        <v>20190303170433005</v>
      </c>
      <c r="B7461" t="str">
        <f>"1551603872992588"</f>
        <v>1551603872992588</v>
      </c>
      <c r="C7461" t="s">
        <v>40</v>
      </c>
      <c r="D7461">
        <v>5.1204299999999998</v>
      </c>
      <c r="E7461">
        <v>0.47094380000000002</v>
      </c>
      <c r="F7461" t="s">
        <v>42</v>
      </c>
      <c r="G7461">
        <v>-189.94059999999999</v>
      </c>
      <c r="H7461" s="1">
        <v>-3.523952E-6</v>
      </c>
      <c r="I7461">
        <v>27.82264</v>
      </c>
      <c r="J7461">
        <v>-187.84960000000001</v>
      </c>
      <c r="K7461">
        <v>1.122797</v>
      </c>
      <c r="L7461">
        <v>-17.593350000000001</v>
      </c>
      <c r="M7461">
        <v>-1.6255539999999999E-2</v>
      </c>
      <c r="N7461">
        <v>-1.332418E-2</v>
      </c>
      <c r="O7461">
        <v>0.99977910000000003</v>
      </c>
      <c r="P7461">
        <v>4.0865539999999999E-2</v>
      </c>
      <c r="Q7461">
        <v>0.15508089999999999</v>
      </c>
      <c r="R7461">
        <v>0.98705620000000005</v>
      </c>
      <c r="S7461">
        <v>-0.14018249999999999</v>
      </c>
      <c r="T7461">
        <v>-7.5039510000000004E-2</v>
      </c>
      <c r="U7461">
        <v>3.0557249999999998</v>
      </c>
      <c r="V7461">
        <v>5.6375990000000001E-2</v>
      </c>
      <c r="W7461">
        <v>0.1683866</v>
      </c>
      <c r="X7461">
        <v>0.98410759999999997</v>
      </c>
      <c r="Y7461">
        <v>-2.9570869999999999E-2</v>
      </c>
      <c r="Z7461">
        <v>-1.120911E-2</v>
      </c>
      <c r="AA7461">
        <v>0.9994999</v>
      </c>
      <c r="AB7461">
        <v>28</v>
      </c>
      <c r="AC7461">
        <v>-2.0909999999999802</v>
      </c>
      <c r="AD7461">
        <v>-1.122800523952</v>
      </c>
      <c r="AE7461">
        <v>45.415990000000001</v>
      </c>
      <c r="AF7461">
        <v>-1.35157235060826</v>
      </c>
      <c r="AG7461">
        <v>-1.122800523952</v>
      </c>
      <c r="AH7461">
        <v>45.416281482210898</v>
      </c>
      <c r="AI7461">
        <v>91.415575571418202</v>
      </c>
      <c r="AJ7461">
        <v>91.704598878695293</v>
      </c>
      <c r="AK7461">
        <v>45.450259102747999</v>
      </c>
      <c r="AL7461">
        <v>80.305974524303807</v>
      </c>
      <c r="AM7461">
        <v>86.721314025286901</v>
      </c>
      <c r="AN7461">
        <v>1.00000003384289</v>
      </c>
    </row>
    <row r="7462" spans="1:40" x14ac:dyDescent="0.25">
      <c r="A7462" t="str">
        <f>"20190303170433026"</f>
        <v>20190303170433026</v>
      </c>
      <c r="B7462" t="str">
        <f>"1551603873013085"</f>
        <v>1551603873013085</v>
      </c>
      <c r="C7462" t="s">
        <v>40</v>
      </c>
      <c r="D7462">
        <v>5.1867029999999996</v>
      </c>
      <c r="E7462">
        <v>0.47111540000000002</v>
      </c>
      <c r="F7462" t="s">
        <v>42</v>
      </c>
      <c r="G7462">
        <v>-190.04689999999999</v>
      </c>
      <c r="H7462" s="1">
        <v>-8.6478009999999998E-7</v>
      </c>
      <c r="I7462">
        <v>31.57582</v>
      </c>
      <c r="J7462">
        <v>-187.85589999999999</v>
      </c>
      <c r="K7462">
        <v>1.1227590000000001</v>
      </c>
      <c r="L7462">
        <v>-17.323149999999998</v>
      </c>
      <c r="M7462">
        <v>-1.7911610000000001E-2</v>
      </c>
      <c r="N7462">
        <v>-1.32382E-2</v>
      </c>
      <c r="O7462">
        <v>0.99975190000000003</v>
      </c>
      <c r="P7462">
        <v>4.2381549999999997E-2</v>
      </c>
      <c r="Q7462">
        <v>0.1576601</v>
      </c>
      <c r="R7462">
        <v>0.98658349999999995</v>
      </c>
      <c r="S7462">
        <v>-0.1365662</v>
      </c>
      <c r="T7462">
        <v>-6.9784280000000004E-2</v>
      </c>
      <c r="U7462">
        <v>3.0559690000000002</v>
      </c>
      <c r="V7462">
        <v>5.9522520000000002E-2</v>
      </c>
      <c r="W7462">
        <v>0.17087859999999999</v>
      </c>
      <c r="X7462">
        <v>0.98349260000000005</v>
      </c>
      <c r="Y7462">
        <v>-2.6732869999999999E-2</v>
      </c>
      <c r="Z7462">
        <v>-9.5770460000000005E-3</v>
      </c>
      <c r="AA7462">
        <v>0.9995967</v>
      </c>
      <c r="AB7462">
        <v>28</v>
      </c>
      <c r="AC7462">
        <v>-2.1909999999999998</v>
      </c>
      <c r="AD7462">
        <v>-1.1227598647801</v>
      </c>
      <c r="AE7462">
        <v>48.898969999999998</v>
      </c>
      <c r="AF7462">
        <v>-1.3140210186035901</v>
      </c>
      <c r="AG7462">
        <v>-1.1227598647801</v>
      </c>
      <c r="AH7462">
        <v>48.904640942857498</v>
      </c>
      <c r="AI7462">
        <v>91.314699493635302</v>
      </c>
      <c r="AJ7462">
        <v>91.539112588039998</v>
      </c>
      <c r="AK7462">
        <v>48.9351728994708</v>
      </c>
      <c r="AL7462">
        <v>80.161093964295901</v>
      </c>
      <c r="AM7462">
        <v>86.536593786085604</v>
      </c>
      <c r="AN7462">
        <v>1.0000000602899299</v>
      </c>
    </row>
    <row r="7463" spans="1:40" x14ac:dyDescent="0.25">
      <c r="A7463" t="str">
        <f>"20190303170433048"</f>
        <v>20190303170433048</v>
      </c>
      <c r="B7463" t="str">
        <f>"1551603873043342"</f>
        <v>1551603873043342</v>
      </c>
      <c r="C7463" t="s">
        <v>40</v>
      </c>
      <c r="D7463">
        <v>5.1198319999999997</v>
      </c>
      <c r="E7463">
        <v>0.47136149999999999</v>
      </c>
      <c r="F7463" t="s">
        <v>42</v>
      </c>
      <c r="G7463">
        <v>-190.24299999999999</v>
      </c>
      <c r="H7463" s="1">
        <v>-3.781786E-6</v>
      </c>
      <c r="I7463">
        <v>38.253839999999997</v>
      </c>
      <c r="J7463">
        <v>-187.86250000000001</v>
      </c>
      <c r="K7463">
        <v>1.1227</v>
      </c>
      <c r="L7463">
        <v>-17.056179999999902</v>
      </c>
      <c r="M7463">
        <v>-1.9483629999999998E-2</v>
      </c>
      <c r="N7463">
        <v>-1.312195E-2</v>
      </c>
      <c r="O7463">
        <v>0.9997241</v>
      </c>
      <c r="P7463">
        <v>4.4069499999999998E-2</v>
      </c>
      <c r="Q7463">
        <v>0.15815760000000001</v>
      </c>
      <c r="R7463">
        <v>0.98642989999999997</v>
      </c>
      <c r="S7463">
        <v>-0.13127139999999901</v>
      </c>
      <c r="T7463">
        <v>-6.1743260000000001E-2</v>
      </c>
      <c r="U7463">
        <v>3.056305</v>
      </c>
      <c r="V7463">
        <v>6.2774499999999997E-2</v>
      </c>
      <c r="W7463">
        <v>0.171261</v>
      </c>
      <c r="X7463">
        <v>0.98322379999999998</v>
      </c>
      <c r="Y7463">
        <v>-2.3429740000000001E-2</v>
      </c>
      <c r="Z7463">
        <v>-7.0644590000000004E-3</v>
      </c>
      <c r="AA7463">
        <v>0.99970049999999999</v>
      </c>
      <c r="AB7463">
        <v>28</v>
      </c>
      <c r="AC7463">
        <v>-2.3804999999999801</v>
      </c>
      <c r="AD7463">
        <v>-1.1227037817859999</v>
      </c>
      <c r="AE7463">
        <v>55.310019999999902</v>
      </c>
      <c r="AF7463">
        <v>-1.3017799588215599</v>
      </c>
      <c r="AG7463">
        <v>-1.1227037817859999</v>
      </c>
      <c r="AH7463">
        <v>55.323151467696597</v>
      </c>
      <c r="AI7463">
        <v>91.162254226530393</v>
      </c>
      <c r="AJ7463">
        <v>91.347948089087694</v>
      </c>
      <c r="AK7463">
        <v>55.3498526028798</v>
      </c>
      <c r="AL7463">
        <v>80.138855694976996</v>
      </c>
      <c r="AM7463">
        <v>86.346875672474397</v>
      </c>
      <c r="AN7463">
        <v>1.00000000442884</v>
      </c>
    </row>
    <row r="7464" spans="1:40" x14ac:dyDescent="0.25">
      <c r="A7464" t="str">
        <f>"20190303170433068"</f>
        <v>20190303170433068</v>
      </c>
      <c r="B7464" t="str">
        <f>"1551603873062860"</f>
        <v>1551603873062860</v>
      </c>
      <c r="C7464" t="s">
        <v>40</v>
      </c>
      <c r="D7464">
        <v>5.0659799999999997</v>
      </c>
      <c r="E7464">
        <v>0.47150959999999997</v>
      </c>
      <c r="F7464" t="s">
        <v>42</v>
      </c>
      <c r="G7464">
        <v>-190.14269999999999</v>
      </c>
      <c r="H7464" s="1">
        <v>-4.2280409999999997E-6</v>
      </c>
      <c r="I7464">
        <v>39.356250000000003</v>
      </c>
      <c r="J7464">
        <v>-187.8691</v>
      </c>
      <c r="K7464">
        <v>1.1226100000000001</v>
      </c>
      <c r="L7464">
        <v>-16.79758</v>
      </c>
      <c r="M7464">
        <v>-2.0924740000000001E-2</v>
      </c>
      <c r="N7464">
        <v>-1.2987240000000001E-2</v>
      </c>
      <c r="O7464">
        <v>0.99969669999999999</v>
      </c>
      <c r="P7464">
        <v>4.5751649999999998E-2</v>
      </c>
      <c r="Q7464">
        <v>0.156442</v>
      </c>
      <c r="R7464">
        <v>0.98662689999999997</v>
      </c>
      <c r="S7464">
        <v>-0.1235504</v>
      </c>
      <c r="T7464">
        <v>-6.0830589999999997E-2</v>
      </c>
      <c r="U7464">
        <v>3.056549</v>
      </c>
      <c r="V7464">
        <v>6.5910650000000001E-2</v>
      </c>
      <c r="W7464">
        <v>0.16941349999999999</v>
      </c>
      <c r="X7464">
        <v>0.98333870000000001</v>
      </c>
      <c r="Y7464">
        <v>-1.946517E-2</v>
      </c>
      <c r="Z7464">
        <v>-6.9003930000000003E-3</v>
      </c>
      <c r="AA7464">
        <v>0.99978670000000003</v>
      </c>
      <c r="AB7464">
        <v>28</v>
      </c>
      <c r="AC7464">
        <v>-2.2735999999999801</v>
      </c>
      <c r="AD7464">
        <v>-1.1226142280410001</v>
      </c>
      <c r="AE7464">
        <v>56.153829999999999</v>
      </c>
      <c r="AF7464">
        <v>-1.09756077934413</v>
      </c>
      <c r="AG7464">
        <v>-1.1226142280410001</v>
      </c>
      <c r="AH7464">
        <v>56.166700306760802</v>
      </c>
      <c r="AI7464">
        <v>91.144810387114703</v>
      </c>
      <c r="AJ7464">
        <v>91.1194817836206</v>
      </c>
      <c r="AK7464">
        <v>56.188638760151903</v>
      </c>
      <c r="AL7464">
        <v>80.246280254310093</v>
      </c>
      <c r="AM7464">
        <v>86.165347825227698</v>
      </c>
      <c r="AN7464">
        <v>1.0000000733416701</v>
      </c>
    </row>
    <row r="7465" spans="1:40" x14ac:dyDescent="0.25">
      <c r="A7465" t="str">
        <f>"20190303170433092"</f>
        <v>20190303170433092</v>
      </c>
      <c r="B7465" t="str">
        <f>"1551603873083356"</f>
        <v>1551603873083356</v>
      </c>
      <c r="C7465" t="s">
        <v>40</v>
      </c>
      <c r="D7465">
        <v>5.0714489999999897</v>
      </c>
      <c r="E7465">
        <v>0.4716303</v>
      </c>
      <c r="F7465" t="s">
        <v>42</v>
      </c>
      <c r="G7465">
        <v>-189.83510000000001</v>
      </c>
      <c r="H7465" s="1">
        <v>-2.28225E-6</v>
      </c>
      <c r="I7465">
        <v>34.88458</v>
      </c>
      <c r="J7465">
        <v>-187.87690000000001</v>
      </c>
      <c r="K7465">
        <v>1.122495</v>
      </c>
      <c r="L7465">
        <v>-16.507290000000001</v>
      </c>
      <c r="M7465">
        <v>-2.2434430000000002E-2</v>
      </c>
      <c r="N7465">
        <v>-1.281822E-2</v>
      </c>
      <c r="O7465">
        <v>0.99966619999999995</v>
      </c>
      <c r="P7465">
        <v>4.650729E-2</v>
      </c>
      <c r="Q7465">
        <v>0.15627339999999901</v>
      </c>
      <c r="R7465">
        <v>0.98661829999999995</v>
      </c>
      <c r="S7465">
        <v>-0.116272</v>
      </c>
      <c r="T7465">
        <v>-6.6393380000000002E-2</v>
      </c>
      <c r="U7465">
        <v>3.0565799999999999</v>
      </c>
      <c r="V7465">
        <v>6.8189139999999995E-2</v>
      </c>
      <c r="W7465">
        <v>0.16907</v>
      </c>
      <c r="X7465">
        <v>0.98324239999999996</v>
      </c>
      <c r="Y7465">
        <v>-1.5577830000000001E-2</v>
      </c>
      <c r="Z7465">
        <v>-8.8874650000000006E-3</v>
      </c>
      <c r="AA7465">
        <v>0.99983920000000004</v>
      </c>
      <c r="AB7465">
        <v>28</v>
      </c>
      <c r="AC7465">
        <v>-1.9581999999999999</v>
      </c>
      <c r="AD7465">
        <v>-1.1224972822499999</v>
      </c>
      <c r="AE7465">
        <v>51.391869999999997</v>
      </c>
      <c r="AF7465">
        <v>-0.80428196019454601</v>
      </c>
      <c r="AG7465">
        <v>-1.1224972822499999</v>
      </c>
      <c r="AH7465">
        <v>51.398383040072197</v>
      </c>
      <c r="AI7465">
        <v>91.250939469689598</v>
      </c>
      <c r="AJ7465">
        <v>90.896491260539804</v>
      </c>
      <c r="AK7465">
        <v>51.416929592830897</v>
      </c>
      <c r="AL7465">
        <v>80.2662488969994</v>
      </c>
      <c r="AM7465">
        <v>86.032815185699107</v>
      </c>
      <c r="AN7465">
        <v>1.0000000204358399</v>
      </c>
    </row>
    <row r="7466" spans="1:40" x14ac:dyDescent="0.25">
      <c r="A7466" t="str">
        <f>"20190303170433115"</f>
        <v>20190303170433115</v>
      </c>
      <c r="B7466" t="str">
        <f>"1551603873102878"</f>
        <v>1551603873102878</v>
      </c>
      <c r="C7466" t="s">
        <v>40</v>
      </c>
      <c r="D7466">
        <v>5.0136560000000001</v>
      </c>
      <c r="E7466">
        <v>0.4717614</v>
      </c>
      <c r="F7466" t="s">
        <v>42</v>
      </c>
      <c r="G7466">
        <v>-189.80199999999999</v>
      </c>
      <c r="H7466" s="1">
        <v>-2.425978E-6</v>
      </c>
      <c r="I7466">
        <v>35.205919999999999</v>
      </c>
      <c r="J7466">
        <v>-187.88489999999999</v>
      </c>
      <c r="K7466">
        <v>1.1223810000000001</v>
      </c>
      <c r="L7466">
        <v>-16.221920000000001</v>
      </c>
      <c r="M7466">
        <v>-2.3795299999999998E-2</v>
      </c>
      <c r="N7466">
        <v>-1.2628230000000001E-2</v>
      </c>
      <c r="O7466">
        <v>0.99963709999999995</v>
      </c>
      <c r="P7466">
        <v>4.7480399999999999E-2</v>
      </c>
      <c r="Q7466">
        <v>0.15794629999999901</v>
      </c>
      <c r="R7466">
        <v>0.98630549999999995</v>
      </c>
      <c r="S7466">
        <v>-0.11378480000000001</v>
      </c>
      <c r="T7466">
        <v>-6.6346050000000004E-2</v>
      </c>
      <c r="U7466">
        <v>3.056549</v>
      </c>
      <c r="V7466">
        <v>7.0530220000000005E-2</v>
      </c>
      <c r="W7466">
        <v>0.17054029999999901</v>
      </c>
      <c r="X7466">
        <v>0.98282329999999996</v>
      </c>
      <c r="Y7466">
        <v>-1.340509E-2</v>
      </c>
      <c r="Z7466">
        <v>-9.0619910000000001E-3</v>
      </c>
      <c r="AA7466">
        <v>0.99986909999999896</v>
      </c>
      <c r="AB7466">
        <v>28</v>
      </c>
      <c r="AC7466">
        <v>-1.91710000000003</v>
      </c>
      <c r="AD7466">
        <v>-1.1223834259779999</v>
      </c>
      <c r="AE7466">
        <v>51.427840000000003</v>
      </c>
      <c r="AF7466">
        <v>-0.692389301708771</v>
      </c>
      <c r="AG7466">
        <v>-1.1223834259779999</v>
      </c>
      <c r="AH7466">
        <v>51.434433056606402</v>
      </c>
      <c r="AI7466">
        <v>91.249975974475504</v>
      </c>
      <c r="AJ7466">
        <v>90.771245765778104</v>
      </c>
      <c r="AK7466">
        <v>51.451336730492798</v>
      </c>
      <c r="AL7466">
        <v>80.180766001871305</v>
      </c>
      <c r="AM7466">
        <v>85.895327045345297</v>
      </c>
      <c r="AN7466">
        <v>1.0000000724401099</v>
      </c>
    </row>
    <row r="7467" spans="1:40" x14ac:dyDescent="0.25">
      <c r="A7467" t="str">
        <f>"20190303170433138"</f>
        <v>20190303170433138</v>
      </c>
      <c r="B7467" t="str">
        <f>"1551603873123373"</f>
        <v>1551603873123373</v>
      </c>
      <c r="C7467" t="s">
        <v>40</v>
      </c>
      <c r="D7467">
        <v>5.1913049999999998</v>
      </c>
      <c r="E7467">
        <v>0.47189179999999997</v>
      </c>
      <c r="F7467" t="s">
        <v>42</v>
      </c>
      <c r="G7467">
        <v>-189.95740000000001</v>
      </c>
      <c r="H7467" s="1">
        <v>-4.7826200000000005E-7</v>
      </c>
      <c r="I7467">
        <v>40.73001</v>
      </c>
      <c r="J7467">
        <v>-187.89250000000001</v>
      </c>
      <c r="K7467">
        <v>1.122277</v>
      </c>
      <c r="L7467">
        <v>-15.95593</v>
      </c>
      <c r="M7467">
        <v>-2.4936199999999999E-2</v>
      </c>
      <c r="N7467">
        <v>-1.24256E-2</v>
      </c>
      <c r="O7467">
        <v>0.99961180000000005</v>
      </c>
      <c r="P7467">
        <v>4.8830659999999998E-2</v>
      </c>
      <c r="Q7467">
        <v>0.15881210000000001</v>
      </c>
      <c r="R7467">
        <v>0.98610059999999999</v>
      </c>
      <c r="S7467">
        <v>-0.1112366</v>
      </c>
      <c r="T7467">
        <v>-6.0239429999999997E-2</v>
      </c>
      <c r="U7467">
        <v>3.0566710000000001</v>
      </c>
      <c r="V7467">
        <v>7.3034059999999998E-2</v>
      </c>
      <c r="W7467">
        <v>0.1711934</v>
      </c>
      <c r="X7467">
        <v>0.98252680000000003</v>
      </c>
      <c r="Y7467">
        <v>-1.1431159999999999E-2</v>
      </c>
      <c r="Z7467">
        <v>-7.2682780000000004E-3</v>
      </c>
      <c r="AA7467">
        <v>0.99990829999999997</v>
      </c>
      <c r="AB7467">
        <v>28</v>
      </c>
      <c r="AC7467">
        <v>-2.06489999999999</v>
      </c>
      <c r="AD7467">
        <v>-1.122277478262</v>
      </c>
      <c r="AE7467">
        <v>56.685940000000002</v>
      </c>
      <c r="AF7467">
        <v>-0.65036212695665596</v>
      </c>
      <c r="AG7467">
        <v>-1.122277478262</v>
      </c>
      <c r="AH7467">
        <v>56.697611057635697</v>
      </c>
      <c r="AI7467">
        <v>91.133895018370097</v>
      </c>
      <c r="AJ7467">
        <v>90.657194723761094</v>
      </c>
      <c r="AK7467">
        <v>56.712446405329104</v>
      </c>
      <c r="AL7467">
        <v>80.142787236727401</v>
      </c>
      <c r="AM7467">
        <v>85.748857144516805</v>
      </c>
      <c r="AN7467">
        <v>1.00000003342094</v>
      </c>
    </row>
    <row r="7468" spans="1:40" x14ac:dyDescent="0.25">
      <c r="A7468" t="str">
        <f>"20190303170433161"</f>
        <v>20190303170433161</v>
      </c>
      <c r="B7468" t="str">
        <f>"1551603873152652"</f>
        <v>1551603873152652</v>
      </c>
      <c r="C7468" t="s">
        <v>40</v>
      </c>
      <c r="D7468">
        <v>5.015396</v>
      </c>
      <c r="E7468">
        <v>0.4720435</v>
      </c>
      <c r="F7468" t="s">
        <v>42</v>
      </c>
      <c r="G7468">
        <v>-189.9511</v>
      </c>
      <c r="H7468" s="1">
        <v>-1.7163640000000001E-6</v>
      </c>
      <c r="I7468">
        <v>43.61345</v>
      </c>
      <c r="J7468">
        <v>-187.9016</v>
      </c>
      <c r="K7468">
        <v>1.1221540000000001</v>
      </c>
      <c r="L7468">
        <v>-15.650090000000001</v>
      </c>
      <c r="M7468">
        <v>-2.612078E-2</v>
      </c>
      <c r="N7468">
        <v>-1.2175429999999999E-2</v>
      </c>
      <c r="O7468">
        <v>0.99958469999999999</v>
      </c>
      <c r="P7468">
        <v>4.9175650000000001E-2</v>
      </c>
      <c r="Q7468">
        <v>0.1584585</v>
      </c>
      <c r="R7468">
        <v>0.98614029999999997</v>
      </c>
      <c r="S7468">
        <v>-0.1056366</v>
      </c>
      <c r="T7468">
        <v>-5.758953E-2</v>
      </c>
      <c r="U7468">
        <v>3.0567929999999999</v>
      </c>
      <c r="V7468">
        <v>7.4585070000000003E-2</v>
      </c>
      <c r="W7468">
        <v>0.17058019999999999</v>
      </c>
      <c r="X7468">
        <v>0.98251690000000003</v>
      </c>
      <c r="Y7468">
        <v>-8.4160950000000002E-3</v>
      </c>
      <c r="Z7468">
        <v>-6.6517479999999999E-3</v>
      </c>
      <c r="AA7468">
        <v>0.99994249999999996</v>
      </c>
      <c r="AB7468">
        <v>28</v>
      </c>
      <c r="AC7468">
        <v>-2.0494999999999899</v>
      </c>
      <c r="AD7468">
        <v>-1.1221557163639999</v>
      </c>
      <c r="AE7468">
        <v>59.263539999999999</v>
      </c>
      <c r="AF7468">
        <v>-0.50049680576143096</v>
      </c>
      <c r="AG7468">
        <v>-1.1221557163639999</v>
      </c>
      <c r="AH7468">
        <v>59.275627468616399</v>
      </c>
      <c r="AI7468">
        <v>91.084506720672593</v>
      </c>
      <c r="AJ7468">
        <v>90.483768361531702</v>
      </c>
      <c r="AK7468">
        <v>59.288360934525201</v>
      </c>
      <c r="AL7468">
        <v>80.178445166687396</v>
      </c>
      <c r="AM7468">
        <v>85.658874425397798</v>
      </c>
      <c r="AN7468">
        <v>0.99999999804227702</v>
      </c>
    </row>
    <row r="7469" spans="1:40" x14ac:dyDescent="0.25">
      <c r="A7469" t="str">
        <f>"20190303170433179"</f>
        <v>20190303170433179</v>
      </c>
      <c r="B7469" t="str">
        <f>"1551603873173149"</f>
        <v>1551603873173149</v>
      </c>
      <c r="C7469" t="s">
        <v>40</v>
      </c>
      <c r="D7469">
        <v>5.0724289999999996</v>
      </c>
      <c r="E7469">
        <v>0.47212559999999898</v>
      </c>
      <c r="F7469" t="s">
        <v>42</v>
      </c>
      <c r="G7469">
        <v>-189.88059999999999</v>
      </c>
      <c r="H7469" s="1">
        <v>-1.4460030000000001E-6</v>
      </c>
      <c r="I7469">
        <v>42.954070000000002</v>
      </c>
      <c r="J7469">
        <v>-187.90860000000001</v>
      </c>
      <c r="K7469">
        <v>1.122072</v>
      </c>
      <c r="L7469">
        <v>-15.416230000000001</v>
      </c>
      <c r="M7469">
        <v>-2.6964350000000002E-2</v>
      </c>
      <c r="N7469">
        <v>-1.198627E-2</v>
      </c>
      <c r="O7469">
        <v>0.99956449999999997</v>
      </c>
      <c r="P7469">
        <v>4.9147669999999997E-2</v>
      </c>
      <c r="Q7469">
        <v>0.15843019999999999</v>
      </c>
      <c r="R7469">
        <v>0.98614619999999997</v>
      </c>
      <c r="S7469">
        <v>-0.1032257</v>
      </c>
      <c r="T7469">
        <v>-5.8529850000000001E-2</v>
      </c>
      <c r="U7469">
        <v>3.056702</v>
      </c>
      <c r="V7469">
        <v>7.5410560000000001E-2</v>
      </c>
      <c r="W7469">
        <v>0.1703575</v>
      </c>
      <c r="X7469">
        <v>0.98249249999999999</v>
      </c>
      <c r="Y7469">
        <v>-6.7857280000000004E-3</v>
      </c>
      <c r="Z7469">
        <v>-7.1484290000000004E-3</v>
      </c>
      <c r="AA7469">
        <v>0.99995140000000005</v>
      </c>
      <c r="AB7469">
        <v>28</v>
      </c>
      <c r="AC7469">
        <v>-1.97199999999998</v>
      </c>
      <c r="AD7469">
        <v>-1.122073446003</v>
      </c>
      <c r="AE7469">
        <v>58.3703</v>
      </c>
      <c r="AF7469">
        <v>-0.39710596728979503</v>
      </c>
      <c r="AG7469">
        <v>-1.122073446003</v>
      </c>
      <c r="AH7469">
        <v>58.380701510216802</v>
      </c>
      <c r="AI7469">
        <v>91.101060278617595</v>
      </c>
      <c r="AJ7469">
        <v>90.389720309407906</v>
      </c>
      <c r="AK7469">
        <v>58.392833899310901</v>
      </c>
      <c r="AL7469">
        <v>80.1913942117136</v>
      </c>
      <c r="AM7469">
        <v>85.610906009069794</v>
      </c>
      <c r="AN7469">
        <v>0.99999997146100605</v>
      </c>
    </row>
    <row r="7470" spans="1:40" x14ac:dyDescent="0.25">
      <c r="A7470" t="str">
        <f>"20190303170433204"</f>
        <v>20190303170433204</v>
      </c>
      <c r="B7470" t="str">
        <f>"1551603873192668"</f>
        <v>1551603873192668</v>
      </c>
      <c r="C7470" t="s">
        <v>40</v>
      </c>
      <c r="D7470">
        <v>5.0742779999999996</v>
      </c>
      <c r="E7470">
        <v>0.47218470000000001</v>
      </c>
      <c r="F7470" t="s">
        <v>42</v>
      </c>
      <c r="G7470">
        <v>-189.89429999999999</v>
      </c>
      <c r="H7470" s="1">
        <v>-1.6802250000000001E-6</v>
      </c>
      <c r="I7470">
        <v>43.505710000000001</v>
      </c>
      <c r="J7470">
        <v>-187.9177</v>
      </c>
      <c r="K7470">
        <v>1.121999</v>
      </c>
      <c r="L7470">
        <v>-15.121460000000001</v>
      </c>
      <c r="M7470">
        <v>-2.797173E-2</v>
      </c>
      <c r="N7470">
        <v>-1.172701E-2</v>
      </c>
      <c r="O7470">
        <v>0.99953990000000004</v>
      </c>
      <c r="P7470">
        <v>4.9676869999999998E-2</v>
      </c>
      <c r="Q7470">
        <v>0.16024070000000001</v>
      </c>
      <c r="R7470">
        <v>0.98582709999999996</v>
      </c>
      <c r="S7470">
        <v>-0.1030121</v>
      </c>
      <c r="T7470">
        <v>-5.8208820000000001E-2</v>
      </c>
      <c r="U7470">
        <v>3.0566409999999999</v>
      </c>
      <c r="V7470">
        <v>7.693759E-2</v>
      </c>
      <c r="W7470">
        <v>0.17190269999999999</v>
      </c>
      <c r="X7470">
        <v>0.98210489999999995</v>
      </c>
      <c r="Y7470">
        <v>-5.7090689999999998E-3</v>
      </c>
      <c r="Z7470">
        <v>-7.3025540000000002E-3</v>
      </c>
      <c r="AA7470">
        <v>0.99995699999999998</v>
      </c>
      <c r="AB7470">
        <v>28</v>
      </c>
      <c r="AC7470">
        <v>-1.9765999999999899</v>
      </c>
      <c r="AD7470">
        <v>-1.122000680225</v>
      </c>
      <c r="AE7470">
        <v>58.6271699999999</v>
      </c>
      <c r="AF7470">
        <v>-0.33568748705803703</v>
      </c>
      <c r="AG7470">
        <v>-1.122000680225</v>
      </c>
      <c r="AH7470">
        <v>58.638067273893</v>
      </c>
      <c r="AI7470">
        <v>91.096165166882997</v>
      </c>
      <c r="AJ7470">
        <v>90.327999660147</v>
      </c>
      <c r="AK7470">
        <v>58.649761339949201</v>
      </c>
      <c r="AL7470">
        <v>80.101535313627707</v>
      </c>
      <c r="AM7470">
        <v>85.520626729274696</v>
      </c>
      <c r="AN7470">
        <v>0.99999998281315305</v>
      </c>
    </row>
    <row r="7471" spans="1:40" x14ac:dyDescent="0.25">
      <c r="A7471" t="str">
        <f>"20190303170433226"</f>
        <v>20190303170433226</v>
      </c>
      <c r="B7471" t="str">
        <f>"1551603873213165"</f>
        <v>1551603873213165</v>
      </c>
      <c r="C7471" t="s">
        <v>40</v>
      </c>
      <c r="D7471">
        <v>5.0727909999999996</v>
      </c>
      <c r="E7471">
        <v>0.47225410000000001</v>
      </c>
      <c r="F7471" t="s">
        <v>42</v>
      </c>
      <c r="G7471">
        <v>-190.14330000000001</v>
      </c>
      <c r="H7471" s="1">
        <v>-7.8222259999999898E-7</v>
      </c>
      <c r="I7471">
        <v>51.32358</v>
      </c>
      <c r="J7471">
        <v>-187.9265</v>
      </c>
      <c r="K7471">
        <v>1.1219520000000001</v>
      </c>
      <c r="L7471">
        <v>-14.84201</v>
      </c>
      <c r="M7471">
        <v>-2.889622E-2</v>
      </c>
      <c r="N7471">
        <v>-1.145608E-2</v>
      </c>
      <c r="O7471">
        <v>0.99951679999999998</v>
      </c>
      <c r="P7471">
        <v>5.0737659999999997E-2</v>
      </c>
      <c r="Q7471">
        <v>0.16235529999999901</v>
      </c>
      <c r="R7471">
        <v>0.98542700000000005</v>
      </c>
      <c r="S7471">
        <v>-0.10238650000000001</v>
      </c>
      <c r="T7471">
        <v>-5.1615359999999999E-2</v>
      </c>
      <c r="U7471">
        <v>3.0566710000000001</v>
      </c>
      <c r="V7471">
        <v>7.8901840000000001E-2</v>
      </c>
      <c r="W7471">
        <v>0.1737447</v>
      </c>
      <c r="X7471">
        <v>0.98162479999999996</v>
      </c>
      <c r="Y7471">
        <v>-4.5801619999999996E-3</v>
      </c>
      <c r="Z7471">
        <v>-5.4183159999999899E-3</v>
      </c>
      <c r="AA7471">
        <v>0.99997480000000005</v>
      </c>
      <c r="AB7471">
        <v>28</v>
      </c>
      <c r="AC7471">
        <v>-2.2168000000000001</v>
      </c>
      <c r="AD7471">
        <v>-1.1219527822226001</v>
      </c>
      <c r="AE7471">
        <v>66.165589999999995</v>
      </c>
      <c r="AF7471">
        <v>-0.30372609140939499</v>
      </c>
      <c r="AG7471">
        <v>-1.1219527822226001</v>
      </c>
      <c r="AH7471">
        <v>66.183009759598804</v>
      </c>
      <c r="AI7471">
        <v>90.971190731889806</v>
      </c>
      <c r="AJ7471">
        <v>90.262939099676899</v>
      </c>
      <c r="AK7471">
        <v>66.193215728073596</v>
      </c>
      <c r="AL7471">
        <v>79.994384158881203</v>
      </c>
      <c r="AM7471">
        <v>85.404512810774506</v>
      </c>
      <c r="AN7471">
        <v>0.99999998455425698</v>
      </c>
    </row>
    <row r="7472" spans="1:40" x14ac:dyDescent="0.25">
      <c r="A7472" t="str">
        <f>"20190303170433247"</f>
        <v>20190303170433247</v>
      </c>
      <c r="B7472" t="str">
        <f>"1551603873232684"</f>
        <v>1551603873232684</v>
      </c>
      <c r="C7472" t="s">
        <v>40</v>
      </c>
      <c r="D7472">
        <v>5.0152950000000001</v>
      </c>
      <c r="E7472">
        <v>0.47231250000000002</v>
      </c>
      <c r="F7472" t="s">
        <v>42</v>
      </c>
      <c r="G7472">
        <v>-190.40610000000001</v>
      </c>
      <c r="H7472" s="1">
        <v>-1.0989350000000001E-6</v>
      </c>
      <c r="I7472">
        <v>61.898850000000003</v>
      </c>
      <c r="J7472">
        <v>-187.935</v>
      </c>
      <c r="K7472">
        <v>1.1219129999999999</v>
      </c>
      <c r="L7472">
        <v>-14.58215</v>
      </c>
      <c r="M7472">
        <v>-2.9741509999999999E-2</v>
      </c>
      <c r="N7472">
        <v>-1.119211E-2</v>
      </c>
      <c r="O7472">
        <v>0.99949500000000002</v>
      </c>
      <c r="P7472">
        <v>5.1186620000000002E-2</v>
      </c>
      <c r="Q7472">
        <v>0.16400379999999901</v>
      </c>
      <c r="R7472">
        <v>0.98513079999999997</v>
      </c>
      <c r="S7472">
        <v>-9.8770140000000006E-2</v>
      </c>
      <c r="T7472">
        <v>-4.4690849999999997E-2</v>
      </c>
      <c r="U7472">
        <v>3.0568240000000002</v>
      </c>
      <c r="V7472">
        <v>8.0175289999999996E-2</v>
      </c>
      <c r="W7472">
        <v>0.17513029999999999</v>
      </c>
      <c r="X7472">
        <v>0.98127529999999996</v>
      </c>
      <c r="Y7472">
        <v>-2.5518020000000002E-3</v>
      </c>
      <c r="Z7472">
        <v>-3.4184760000000002E-3</v>
      </c>
      <c r="AA7472">
        <v>0.99999090000000002</v>
      </c>
      <c r="AB7472">
        <v>28</v>
      </c>
      <c r="AC7472">
        <v>-2.4710999999999999</v>
      </c>
      <c r="AD7472">
        <v>-1.121914098935</v>
      </c>
      <c r="AE7472">
        <v>76.480999999999995</v>
      </c>
      <c r="AF7472">
        <v>-0.195161934985907</v>
      </c>
      <c r="AG7472">
        <v>-1.121914098935</v>
      </c>
      <c r="AH7472">
        <v>76.504215812025805</v>
      </c>
      <c r="AI7472">
        <v>90.840164501768996</v>
      </c>
      <c r="AJ7472">
        <v>90.146160977168194</v>
      </c>
      <c r="AK7472">
        <v>76.5126905580981</v>
      </c>
      <c r="AL7472">
        <v>79.913758709911406</v>
      </c>
      <c r="AM7472">
        <v>85.329012804654894</v>
      </c>
      <c r="AN7472">
        <v>0.99999995674738096</v>
      </c>
    </row>
    <row r="7473" spans="1:40" x14ac:dyDescent="0.25">
      <c r="A7473" t="str">
        <f>"20190303170433270"</f>
        <v>20190303170433270</v>
      </c>
      <c r="B7473" t="str">
        <f>"1551603873262940"</f>
        <v>1551603873262940</v>
      </c>
      <c r="C7473" t="s">
        <v>40</v>
      </c>
      <c r="D7473">
        <v>5.1331519999999999</v>
      </c>
      <c r="E7473">
        <v>0.47239560000000003</v>
      </c>
      <c r="F7473" t="s">
        <v>42</v>
      </c>
      <c r="G7473">
        <v>-190.70079999999999</v>
      </c>
      <c r="H7473" s="1">
        <v>-1.41071E-6</v>
      </c>
      <c r="I7473">
        <v>72.442859999999996</v>
      </c>
      <c r="J7473">
        <v>-187.94489999999999</v>
      </c>
      <c r="K7473">
        <v>1.1218619999999999</v>
      </c>
      <c r="L7473">
        <v>-14.28497</v>
      </c>
      <c r="M7473">
        <v>-3.0691900000000001E-2</v>
      </c>
      <c r="N7473">
        <v>-1.087511E-2</v>
      </c>
      <c r="O7473">
        <v>0.99946979999999996</v>
      </c>
      <c r="P7473">
        <v>5.0621729999999997E-2</v>
      </c>
      <c r="Q7473">
        <v>0.16505410000000001</v>
      </c>
      <c r="R7473">
        <v>0.98498459999999999</v>
      </c>
      <c r="S7473">
        <v>-9.7152710000000003E-2</v>
      </c>
      <c r="T7473">
        <v>-3.940892E-2</v>
      </c>
      <c r="U7473">
        <v>3.0568849999999999</v>
      </c>
      <c r="V7473">
        <v>8.0544909999999997E-2</v>
      </c>
      <c r="W7473">
        <v>0.17586540000000001</v>
      </c>
      <c r="X7473">
        <v>0.98111360000000003</v>
      </c>
      <c r="Y7473">
        <v>-1.0721800000000001E-3</v>
      </c>
      <c r="Z7473">
        <v>-2.0087590000000002E-3</v>
      </c>
      <c r="AA7473">
        <v>0.99999740000000004</v>
      </c>
      <c r="AB7473">
        <v>28</v>
      </c>
      <c r="AC7473">
        <v>-2.7558999999999898</v>
      </c>
      <c r="AD7473">
        <v>-1.1218634107100001</v>
      </c>
      <c r="AE7473">
        <v>86.727829999999997</v>
      </c>
      <c r="AF7473">
        <v>-9.2586929229772894E-2</v>
      </c>
      <c r="AG7473">
        <v>-1.1218634107100001</v>
      </c>
      <c r="AH7473">
        <v>86.757053805177904</v>
      </c>
      <c r="AI7473">
        <v>90.740855260248495</v>
      </c>
      <c r="AJ7473">
        <v>90.061145901530296</v>
      </c>
      <c r="AK7473">
        <v>86.764356361390099</v>
      </c>
      <c r="AL7473">
        <v>79.870977125582399</v>
      </c>
      <c r="AM7473">
        <v>85.306804884631504</v>
      </c>
      <c r="AN7473">
        <v>1.00000000877451</v>
      </c>
    </row>
    <row r="7474" spans="1:40" x14ac:dyDescent="0.25">
      <c r="A7474" t="str">
        <f>"20190303170433293"</f>
        <v>20190303170433293</v>
      </c>
      <c r="B7474" t="str">
        <f>"1551603873283437"</f>
        <v>1551603873283437</v>
      </c>
      <c r="C7474" t="s">
        <v>40</v>
      </c>
      <c r="D7474">
        <v>5.0583619999999998</v>
      </c>
      <c r="E7474">
        <v>0.47243879999999999</v>
      </c>
      <c r="F7474" t="s">
        <v>42</v>
      </c>
      <c r="G7474">
        <v>-191.09790000000001</v>
      </c>
      <c r="H7474" s="1">
        <v>-1.7201719999999999E-6</v>
      </c>
      <c r="I7474">
        <v>82.917950000000005</v>
      </c>
      <c r="J7474">
        <v>-187.9545</v>
      </c>
      <c r="K7474">
        <v>1.121807</v>
      </c>
      <c r="L7474">
        <v>-14.00281</v>
      </c>
      <c r="M7474">
        <v>-3.1569659999999999E-2</v>
      </c>
      <c r="N7474">
        <v>-1.0562800000000001E-2</v>
      </c>
      <c r="O7474">
        <v>0.99944569999999999</v>
      </c>
      <c r="P7474">
        <v>5.0800039999999998E-2</v>
      </c>
      <c r="Q7474">
        <v>0.16727330000000001</v>
      </c>
      <c r="R7474">
        <v>0.9846009</v>
      </c>
      <c r="S7474">
        <v>-9.9151610000000001E-2</v>
      </c>
      <c r="T7474">
        <v>-3.5279150000000002E-2</v>
      </c>
      <c r="U7474">
        <v>3.0567319999999998</v>
      </c>
      <c r="V7474">
        <v>8.1580059999999996E-2</v>
      </c>
      <c r="W7474">
        <v>0.1777704</v>
      </c>
      <c r="X7474">
        <v>0.98068460000000002</v>
      </c>
      <c r="Y7474">
        <v>0</v>
      </c>
      <c r="Z7474">
        <v>0</v>
      </c>
      <c r="AA7474">
        <v>1</v>
      </c>
      <c r="AB7474">
        <v>28</v>
      </c>
      <c r="AC7474">
        <v>-3.14340000000001</v>
      </c>
      <c r="AD7474">
        <v>-1.121808720172</v>
      </c>
      <c r="AE7474">
        <v>96.920760000000001</v>
      </c>
      <c r="AF7474">
        <v>-8.1895785822201805E-2</v>
      </c>
      <c r="AG7474">
        <v>-1.121808720172</v>
      </c>
      <c r="AH7474">
        <v>96.958710651330193</v>
      </c>
      <c r="AI7474">
        <v>90.662880250033496</v>
      </c>
      <c r="AJ7474">
        <v>90.048394638708899</v>
      </c>
      <c r="AK7474">
        <v>96.965234661154497</v>
      </c>
      <c r="AL7474">
        <v>79.760080750074195</v>
      </c>
      <c r="AM7474">
        <v>85.244693562796996</v>
      </c>
      <c r="AN7474">
        <v>0.99999995299146005</v>
      </c>
    </row>
    <row r="7475" spans="1:40" x14ac:dyDescent="0.25">
      <c r="A7475" t="str">
        <f>"20190303170433325"</f>
        <v>20190303170433325</v>
      </c>
      <c r="B7475" t="str">
        <f>"1551603873312716"</f>
        <v>1551603873312716</v>
      </c>
      <c r="C7475" t="s">
        <v>40</v>
      </c>
      <c r="D7475">
        <v>5.0967460000000004</v>
      </c>
      <c r="E7475">
        <v>0.49683260000000001</v>
      </c>
      <c r="F7475" t="s">
        <v>42</v>
      </c>
      <c r="G7475">
        <v>-192.10550000000001</v>
      </c>
      <c r="H7475" s="1">
        <v>-1.6142130000000001E-6</v>
      </c>
      <c r="I7475">
        <v>112.04600000000001</v>
      </c>
      <c r="J7475">
        <v>-187.96860000000001</v>
      </c>
      <c r="K7475">
        <v>1.12169599999999</v>
      </c>
      <c r="L7475">
        <v>-13.59998</v>
      </c>
      <c r="M7475">
        <v>-3.2745030000000001E-2</v>
      </c>
      <c r="N7475">
        <v>-1.0095979999999999E-2</v>
      </c>
      <c r="O7475">
        <v>0.99941270000000004</v>
      </c>
      <c r="P7475">
        <v>5.0155379999999999E-2</v>
      </c>
      <c r="Q7475">
        <v>0.1684022</v>
      </c>
      <c r="R7475">
        <v>0.98444149999999997</v>
      </c>
      <c r="S7475">
        <v>-0.10066219999999999</v>
      </c>
      <c r="T7475">
        <v>-2.7204280000000001E-2</v>
      </c>
      <c r="U7475">
        <v>3.0567319999999998</v>
      </c>
      <c r="V7475">
        <v>8.2106639999999995E-2</v>
      </c>
      <c r="W7475">
        <v>0.17843010000000001</v>
      </c>
      <c r="X7475">
        <v>0.98052090000000003</v>
      </c>
      <c r="Y7475">
        <v>0</v>
      </c>
      <c r="Z7475">
        <v>0</v>
      </c>
      <c r="AA7475">
        <v>1</v>
      </c>
      <c r="AB7475">
        <v>28</v>
      </c>
      <c r="AC7475">
        <v>-4.13689999999999</v>
      </c>
      <c r="AD7475">
        <v>-1.12169761421299</v>
      </c>
      <c r="AE7475">
        <v>125.64597999999999</v>
      </c>
      <c r="AF7475">
        <v>-2.0188436790215598E-2</v>
      </c>
      <c r="AG7475">
        <v>-1.12169761421299</v>
      </c>
      <c r="AH7475">
        <v>125.704056074569</v>
      </c>
      <c r="AI7475">
        <v>90.511255043279903</v>
      </c>
      <c r="AJ7475">
        <v>90.009201868652596</v>
      </c>
      <c r="AK7475">
        <v>125.709062229853</v>
      </c>
      <c r="AL7475">
        <v>79.721669278418801</v>
      </c>
      <c r="AM7475">
        <v>85.213346005977698</v>
      </c>
      <c r="AN7475">
        <v>1.00000001812745</v>
      </c>
    </row>
    <row r="7476" spans="1:40" x14ac:dyDescent="0.25">
      <c r="A7476" t="str">
        <f>"20190303170433347"</f>
        <v>20190303170433347</v>
      </c>
      <c r="B7476" t="str">
        <f>"1551603873333213"</f>
        <v>1551603873333213</v>
      </c>
      <c r="C7476" t="s">
        <v>40</v>
      </c>
      <c r="D7476">
        <v>5.057347</v>
      </c>
      <c r="E7476">
        <v>0.51054469999999996</v>
      </c>
      <c r="F7476" t="s">
        <v>42</v>
      </c>
      <c r="G7476">
        <v>-187.51779999999999</v>
      </c>
      <c r="H7476" s="1">
        <v>-2.2555959999999999E-6</v>
      </c>
      <c r="I7476">
        <v>3.8642820000000002</v>
      </c>
      <c r="J7476">
        <v>-187.9785</v>
      </c>
      <c r="K7476">
        <v>1.1216159999999999</v>
      </c>
      <c r="L7476">
        <v>-13.31964</v>
      </c>
      <c r="M7476">
        <v>-3.3502949999999997E-2</v>
      </c>
      <c r="N7476">
        <v>-9.7724809999999995E-3</v>
      </c>
      <c r="O7476">
        <v>0.99939080000000002</v>
      </c>
      <c r="P7476">
        <v>4.8604849999999998E-2</v>
      </c>
      <c r="Q7476">
        <v>0.16885120000000001</v>
      </c>
      <c r="R7476">
        <v>0.98444240000000005</v>
      </c>
      <c r="S7476">
        <v>7.9422000000000006E-2</v>
      </c>
      <c r="T7476">
        <v>-0.1976417</v>
      </c>
      <c r="U7476">
        <v>3.0771790000000001</v>
      </c>
      <c r="V7476">
        <v>8.1319240000000001E-2</v>
      </c>
      <c r="W7476">
        <v>0.17855260000000001</v>
      </c>
      <c r="X7476">
        <v>0.9805642</v>
      </c>
      <c r="Y7476">
        <v>5.9220870000000002E-2</v>
      </c>
      <c r="Z7476">
        <v>-5.4215649999999997E-2</v>
      </c>
      <c r="AA7476">
        <v>0.99677159999999998</v>
      </c>
      <c r="AB7476">
        <v>28</v>
      </c>
      <c r="AC7476">
        <v>0.460700000000002</v>
      </c>
      <c r="AD7476">
        <v>-1.1216182555959999</v>
      </c>
      <c r="AE7476">
        <v>17.183921999999999</v>
      </c>
      <c r="AF7476">
        <v>1.03178831720002</v>
      </c>
      <c r="AG7476">
        <v>-1.1216182555959999</v>
      </c>
      <c r="AH7476">
        <v>17.086098275793699</v>
      </c>
      <c r="AI7476">
        <v>93.748987289994801</v>
      </c>
      <c r="AJ7476">
        <v>86.544242473371497</v>
      </c>
      <c r="AK7476">
        <v>17.153931588206699</v>
      </c>
      <c r="AL7476">
        <v>79.714535807548003</v>
      </c>
      <c r="AM7476">
        <v>85.2592480115716</v>
      </c>
      <c r="AN7476">
        <v>1.0000000000412801</v>
      </c>
    </row>
    <row r="7477" spans="1:40" x14ac:dyDescent="0.25">
      <c r="A7477" t="str">
        <f>"20190303170433370"</f>
        <v>20190303170433370</v>
      </c>
      <c r="B7477" t="str">
        <f>"1551603873363469"</f>
        <v>1551603873363469</v>
      </c>
      <c r="C7477" t="s">
        <v>40</v>
      </c>
      <c r="D7477">
        <v>5.1329900000000004</v>
      </c>
      <c r="E7477">
        <v>0.5181306</v>
      </c>
      <c r="F7477" t="s">
        <v>43</v>
      </c>
      <c r="G7477">
        <v>-187.9307</v>
      </c>
      <c r="H7477">
        <v>1.0387569999999999</v>
      </c>
      <c r="I7477">
        <v>-12.488149999999999</v>
      </c>
      <c r="J7477">
        <v>-187.98910000000001</v>
      </c>
      <c r="K7477">
        <v>1.121548</v>
      </c>
      <c r="L7477">
        <v>-13.02692</v>
      </c>
      <c r="M7477">
        <v>-3.4235799999999997E-2</v>
      </c>
      <c r="N7477">
        <v>-9.4419699999999992E-3</v>
      </c>
      <c r="O7477">
        <v>0.99936919999999996</v>
      </c>
      <c r="P7477">
        <v>4.6370830000000002E-2</v>
      </c>
      <c r="Q7477">
        <v>0.1708933</v>
      </c>
      <c r="R7477">
        <v>0.98419769999999895</v>
      </c>
      <c r="S7477">
        <v>0.17756649999999999</v>
      </c>
      <c r="T7477">
        <v>-0.30807760000000001</v>
      </c>
      <c r="U7477">
        <v>3.0914920000000001</v>
      </c>
      <c r="V7477">
        <v>7.9813830000000002E-2</v>
      </c>
      <c r="W7477">
        <v>0.18025820000000001</v>
      </c>
      <c r="X7477">
        <v>0.98037580000000002</v>
      </c>
      <c r="Y7477">
        <v>9.1213150000000007E-2</v>
      </c>
      <c r="Z7477">
        <v>-8.9378540000000006E-2</v>
      </c>
      <c r="AA7477">
        <v>0.99181229999999998</v>
      </c>
      <c r="AB7477">
        <v>28</v>
      </c>
      <c r="AC7477">
        <v>5.8400000000005899E-2</v>
      </c>
      <c r="AD7477">
        <v>-8.2791000000000003E-2</v>
      </c>
      <c r="AE7477">
        <v>0.53877000000000097</v>
      </c>
      <c r="AF7477">
        <v>7.5059964265921694E-2</v>
      </c>
      <c r="AG7477">
        <v>-8.2791000000000003E-2</v>
      </c>
      <c r="AH7477">
        <v>0.52421979168431898</v>
      </c>
      <c r="AI7477">
        <v>98.885546656290202</v>
      </c>
      <c r="AJ7477">
        <v>81.851537189662295</v>
      </c>
      <c r="AK7477">
        <v>0.535998822676088</v>
      </c>
      <c r="AL7477">
        <v>79.615200288846097</v>
      </c>
      <c r="AM7477">
        <v>85.345731110649993</v>
      </c>
      <c r="AN7477">
        <v>0.99999998767607401</v>
      </c>
    </row>
    <row r="7478" spans="1:40" x14ac:dyDescent="0.25">
      <c r="A7478" t="str">
        <f>"20190303170433392"</f>
        <v>20190303170433392</v>
      </c>
      <c r="B7478" t="str">
        <f>"1551603873382989"</f>
        <v>1551603873382989</v>
      </c>
      <c r="C7478" t="s">
        <v>40</v>
      </c>
      <c r="D7478">
        <v>5.0929659999999997</v>
      </c>
      <c r="E7478">
        <v>0.52094929999999995</v>
      </c>
      <c r="F7478" t="s">
        <v>43</v>
      </c>
      <c r="G7478">
        <v>-187.93299999999999</v>
      </c>
      <c r="H7478">
        <v>1.014535</v>
      </c>
      <c r="I7478">
        <v>-12.245050000000001</v>
      </c>
      <c r="J7478">
        <v>-187.99979999999999</v>
      </c>
      <c r="K7478">
        <v>1.1214900000000001</v>
      </c>
      <c r="L7478">
        <v>-12.73489</v>
      </c>
      <c r="M7478">
        <v>-3.4899350000000003E-2</v>
      </c>
      <c r="N7478">
        <v>-9.1042740000000007E-3</v>
      </c>
      <c r="O7478">
        <v>0.99934940000000005</v>
      </c>
      <c r="P7478">
        <v>4.4452779999999997E-2</v>
      </c>
      <c r="Q7478">
        <v>0.17337749999999999</v>
      </c>
      <c r="R7478">
        <v>0.9838517</v>
      </c>
      <c r="S7478">
        <v>0.22303770000000001</v>
      </c>
      <c r="T7478">
        <v>-0.42588880000000001</v>
      </c>
      <c r="U7478">
        <v>3.1116030000000001</v>
      </c>
      <c r="V7478">
        <v>7.8551209999999996E-2</v>
      </c>
      <c r="W7478">
        <v>0.18239939999999999</v>
      </c>
      <c r="X7478">
        <v>0.98008169999999994</v>
      </c>
      <c r="Y7478">
        <v>0.1056237</v>
      </c>
      <c r="Z7478">
        <v>-0.12589629999999999</v>
      </c>
      <c r="AA7478">
        <v>0.98640450000000002</v>
      </c>
      <c r="AB7478">
        <v>28</v>
      </c>
      <c r="AC7478">
        <v>6.6800000000000595E-2</v>
      </c>
      <c r="AD7478">
        <v>-0.106954999999999</v>
      </c>
      <c r="AE7478">
        <v>0.489839999999999</v>
      </c>
      <c r="AF7478">
        <v>8.0105767700726999E-2</v>
      </c>
      <c r="AG7478">
        <v>-0.106954999999999</v>
      </c>
      <c r="AH7478">
        <v>0.46542599290051401</v>
      </c>
      <c r="AI7478">
        <v>102.76054446804601</v>
      </c>
      <c r="AJ7478">
        <v>80.234341967349195</v>
      </c>
      <c r="AK7478">
        <v>0.48422893440123199</v>
      </c>
      <c r="AL7478">
        <v>79.490450485474199</v>
      </c>
      <c r="AM7478">
        <v>85.417674951593099</v>
      </c>
      <c r="AN7478">
        <v>0.99999998619385599</v>
      </c>
    </row>
    <row r="7479" spans="1:40" x14ac:dyDescent="0.25">
      <c r="A7479" t="str">
        <f>"20190303170433416"</f>
        <v>20190303170433416</v>
      </c>
      <c r="B7479" t="str">
        <f>"1551603873403485"</f>
        <v>1551603873403485</v>
      </c>
      <c r="C7479" t="s">
        <v>40</v>
      </c>
      <c r="D7479">
        <v>5.1024070000000004</v>
      </c>
      <c r="E7479">
        <v>0.52258749999999998</v>
      </c>
      <c r="F7479" t="s">
        <v>43</v>
      </c>
      <c r="G7479">
        <v>-187.94370000000001</v>
      </c>
      <c r="H7479">
        <v>1.0117959999999999</v>
      </c>
      <c r="I7479">
        <v>-11.99081</v>
      </c>
      <c r="J7479">
        <v>-188.01079999999999</v>
      </c>
      <c r="K7479">
        <v>1.121426</v>
      </c>
      <c r="L7479">
        <v>-12.438750000000001</v>
      </c>
      <c r="M7479">
        <v>-3.5501310000000001E-2</v>
      </c>
      <c r="N7479">
        <v>-8.765508E-3</v>
      </c>
      <c r="O7479">
        <v>0.99933119999999998</v>
      </c>
      <c r="P7479">
        <v>4.2985250000000003E-2</v>
      </c>
      <c r="Q7479">
        <v>0.17644760000000001</v>
      </c>
      <c r="R7479">
        <v>0.983371</v>
      </c>
      <c r="S7479">
        <v>0.23547360000000001</v>
      </c>
      <c r="T7479">
        <v>-0.45990009999999998</v>
      </c>
      <c r="U7479">
        <v>3.119659</v>
      </c>
      <c r="V7479">
        <v>7.7672530000000004E-2</v>
      </c>
      <c r="W7479">
        <v>0.18512490000000001</v>
      </c>
      <c r="X7479">
        <v>0.97964059999999997</v>
      </c>
      <c r="Y7479">
        <v>0.1098411</v>
      </c>
      <c r="Z7479">
        <v>-0.1363731</v>
      </c>
      <c r="AA7479">
        <v>0.98454929999999996</v>
      </c>
      <c r="AB7479">
        <v>29</v>
      </c>
      <c r="AC7479">
        <v>6.7099999999982105E-2</v>
      </c>
      <c r="AD7479">
        <v>-0.10963000000000001</v>
      </c>
      <c r="AE7479">
        <v>0.44794</v>
      </c>
      <c r="AF7479">
        <v>7.8369537297230396E-2</v>
      </c>
      <c r="AG7479">
        <v>-0.10963000000000001</v>
      </c>
      <c r="AH7479">
        <v>0.42063287324219101</v>
      </c>
      <c r="AI7479">
        <v>104.371270106409</v>
      </c>
      <c r="AJ7479">
        <v>79.446037444645597</v>
      </c>
      <c r="AK7479">
        <v>0.44169280651620602</v>
      </c>
      <c r="AL7479">
        <v>79.331585336093198</v>
      </c>
      <c r="AM7479">
        <v>85.466686750439294</v>
      </c>
      <c r="AN7479">
        <v>0.99999997784248496</v>
      </c>
    </row>
    <row r="7480" spans="1:40" x14ac:dyDescent="0.25">
      <c r="A7480" t="str">
        <f>"20190303170433439"</f>
        <v>20190303170433439</v>
      </c>
      <c r="B7480" t="str">
        <f>"1551603873432765"</f>
        <v>1551603873432765</v>
      </c>
      <c r="C7480" t="s">
        <v>40</v>
      </c>
      <c r="D7480">
        <v>5.1267060000000004</v>
      </c>
      <c r="E7480">
        <v>0.52409850000000002</v>
      </c>
      <c r="F7480" t="s">
        <v>43</v>
      </c>
      <c r="G7480">
        <v>-187.9375</v>
      </c>
      <c r="H7480">
        <v>0.97636319999999999</v>
      </c>
      <c r="I7480">
        <v>-11.492789999999999</v>
      </c>
      <c r="J7480">
        <v>-188.02189999999999</v>
      </c>
      <c r="K7480">
        <v>1.121362</v>
      </c>
      <c r="L7480">
        <v>-12.140930000000001</v>
      </c>
      <c r="M7480">
        <v>-3.603928E-2</v>
      </c>
      <c r="N7480">
        <v>-8.4490380000000007E-3</v>
      </c>
      <c r="O7480">
        <v>0.9993147</v>
      </c>
      <c r="P7480">
        <v>4.2360139999999998E-2</v>
      </c>
      <c r="Q7480">
        <v>0.17878649999999999</v>
      </c>
      <c r="R7480">
        <v>0.98297559999999995</v>
      </c>
      <c r="S7480">
        <v>0.2417908</v>
      </c>
      <c r="T7480">
        <v>-0.4794078</v>
      </c>
      <c r="U7480">
        <v>3.1261899999999998</v>
      </c>
      <c r="V7480">
        <v>7.7576259999999994E-2</v>
      </c>
      <c r="W7480">
        <v>0.18714330000000001</v>
      </c>
      <c r="X7480">
        <v>0.97926469999999999</v>
      </c>
      <c r="Y7480">
        <v>0.1121327</v>
      </c>
      <c r="Z7480">
        <v>-0.1423654</v>
      </c>
      <c r="AA7480">
        <v>0.98344209999999999</v>
      </c>
      <c r="AB7480">
        <v>29</v>
      </c>
      <c r="AC7480">
        <v>8.4399999999987999E-2</v>
      </c>
      <c r="AD7480">
        <v>-0.14499879999999901</v>
      </c>
      <c r="AE7480">
        <v>0.64814000000000105</v>
      </c>
      <c r="AF7480">
        <v>0.102652557126166</v>
      </c>
      <c r="AG7480">
        <v>-0.14499879999999901</v>
      </c>
      <c r="AH7480">
        <v>0.61443814310626099</v>
      </c>
      <c r="AI7480">
        <v>103.10286574359</v>
      </c>
      <c r="AJ7480">
        <v>80.515341815330899</v>
      </c>
      <c r="AK7480">
        <v>0.63960646587558201</v>
      </c>
      <c r="AL7480">
        <v>79.213883056592906</v>
      </c>
      <c r="AM7480">
        <v>85.470551341057899</v>
      </c>
      <c r="AN7480">
        <v>1.0000000217582801</v>
      </c>
    </row>
    <row r="7481" spans="1:40" x14ac:dyDescent="0.25">
      <c r="A7481" t="str">
        <f>"20190303170433460"</f>
        <v>20190303170433460</v>
      </c>
      <c r="B7481" t="str">
        <f>"1551603873453261"</f>
        <v>1551603873453261</v>
      </c>
      <c r="C7481" t="s">
        <v>40</v>
      </c>
      <c r="D7481">
        <v>5.1302079999999997</v>
      </c>
      <c r="E7481">
        <v>0.52478069999999999</v>
      </c>
      <c r="F7481" t="s">
        <v>43</v>
      </c>
      <c r="G7481">
        <v>-187.9494</v>
      </c>
      <c r="H7481">
        <v>0.97629710000000003</v>
      </c>
      <c r="I7481">
        <v>-11.2346</v>
      </c>
      <c r="J7481">
        <v>-188.0324</v>
      </c>
      <c r="K7481">
        <v>1.1213109999999999</v>
      </c>
      <c r="L7481">
        <v>-11.86444</v>
      </c>
      <c r="M7481">
        <v>-3.6497729999999999E-2</v>
      </c>
      <c r="N7481">
        <v>-8.1805219999999904E-3</v>
      </c>
      <c r="O7481">
        <v>0.99930019999999997</v>
      </c>
      <c r="P7481">
        <v>4.1665750000000001E-2</v>
      </c>
      <c r="Q7481">
        <v>0.1804646</v>
      </c>
      <c r="R7481">
        <v>0.98269859999999998</v>
      </c>
      <c r="S7481">
        <v>0.25035099999999999</v>
      </c>
      <c r="T7481">
        <v>-0.50135479999999999</v>
      </c>
      <c r="U7481">
        <v>3.132355</v>
      </c>
      <c r="V7481">
        <v>7.7334319999999998E-2</v>
      </c>
      <c r="W7481">
        <v>0.18854969999999999</v>
      </c>
      <c r="X7481">
        <v>0.97901400000000005</v>
      </c>
      <c r="Y7481">
        <v>0.1150293</v>
      </c>
      <c r="Z7481">
        <v>-0.14902290000000001</v>
      </c>
      <c r="AA7481">
        <v>0.9821204</v>
      </c>
      <c r="AB7481">
        <v>29</v>
      </c>
      <c r="AC7481">
        <v>8.2999999999998395E-2</v>
      </c>
      <c r="AD7481">
        <v>-0.1450139</v>
      </c>
      <c r="AE7481">
        <v>0.62983999999999896</v>
      </c>
      <c r="AF7481">
        <v>0.100686880132614</v>
      </c>
      <c r="AG7481">
        <v>-0.1450139</v>
      </c>
      <c r="AH7481">
        <v>0.59536905449466704</v>
      </c>
      <c r="AI7481">
        <v>103.504381233494</v>
      </c>
      <c r="AJ7481">
        <v>80.401146845193693</v>
      </c>
      <c r="AK7481">
        <v>0.62099210145856398</v>
      </c>
      <c r="AL7481">
        <v>79.131841553690506</v>
      </c>
      <c r="AM7481">
        <v>85.483467507381604</v>
      </c>
      <c r="AN7481">
        <v>0.99999999930797601</v>
      </c>
    </row>
    <row r="7482" spans="1:40" x14ac:dyDescent="0.25">
      <c r="A7482" t="str">
        <f>"20190303170433482"</f>
        <v>20190303170433482</v>
      </c>
      <c r="B7482" t="str">
        <f>"1551603873472781"</f>
        <v>1551603873472781</v>
      </c>
      <c r="C7482" t="s">
        <v>40</v>
      </c>
      <c r="D7482">
        <v>5.164809</v>
      </c>
      <c r="E7482">
        <v>0.52537829999999996</v>
      </c>
      <c r="F7482" t="s">
        <v>43</v>
      </c>
      <c r="G7482">
        <v>-187.96080000000001</v>
      </c>
      <c r="H7482">
        <v>0.97634580000000004</v>
      </c>
      <c r="I7482">
        <v>-10.975379999999999</v>
      </c>
      <c r="J7482">
        <v>-188.04320000000001</v>
      </c>
      <c r="K7482">
        <v>1.1212629999999999</v>
      </c>
      <c r="L7482">
        <v>-11.58188</v>
      </c>
      <c r="M7482">
        <v>-3.6929339999999998E-2</v>
      </c>
      <c r="N7482">
        <v>-7.9319330000000004E-3</v>
      </c>
      <c r="O7482">
        <v>0.99928640000000002</v>
      </c>
      <c r="P7482">
        <v>4.0832519999999997E-2</v>
      </c>
      <c r="Q7482">
        <v>0.1817513</v>
      </c>
      <c r="R7482">
        <v>0.98249640000000005</v>
      </c>
      <c r="S7482">
        <v>0.25260929999999998</v>
      </c>
      <c r="T7482">
        <v>-0.51134440000000003</v>
      </c>
      <c r="U7482">
        <v>3.1360169999999998</v>
      </c>
      <c r="V7482">
        <v>7.6928759999999999E-2</v>
      </c>
      <c r="W7482">
        <v>0.18958639999999999</v>
      </c>
      <c r="X7482">
        <v>0.97884570000000004</v>
      </c>
      <c r="Y7482">
        <v>0.1160322</v>
      </c>
      <c r="Z7482">
        <v>-0.15212349999999999</v>
      </c>
      <c r="AA7482">
        <v>0.98152689999999998</v>
      </c>
      <c r="AB7482">
        <v>29</v>
      </c>
      <c r="AC7482">
        <v>8.2400000000006898E-2</v>
      </c>
      <c r="AD7482">
        <v>-0.144917199999999</v>
      </c>
      <c r="AE7482">
        <v>0.60650000000000004</v>
      </c>
      <c r="AF7482">
        <v>9.9182215826544698E-2</v>
      </c>
      <c r="AG7482">
        <v>-0.144917199999999</v>
      </c>
      <c r="AH7482">
        <v>0.57103244992697799</v>
      </c>
      <c r="AI7482">
        <v>104.038264947402</v>
      </c>
      <c r="AJ7482">
        <v>80.146637769821893</v>
      </c>
      <c r="AK7482">
        <v>0.59742461086040799</v>
      </c>
      <c r="AL7482">
        <v>79.071351710625706</v>
      </c>
      <c r="AM7482">
        <v>85.506286729454004</v>
      </c>
      <c r="AN7482">
        <v>0.99999997079429304</v>
      </c>
    </row>
    <row r="7483" spans="1:40" x14ac:dyDescent="0.25">
      <c r="A7483" t="str">
        <f>"20190303170433504"</f>
        <v>20190303170433504</v>
      </c>
      <c r="B7483" t="str">
        <f>"1551603873493277"</f>
        <v>1551603873493277</v>
      </c>
      <c r="C7483" t="s">
        <v>40</v>
      </c>
      <c r="D7483">
        <v>5.1342109999999996</v>
      </c>
      <c r="E7483">
        <v>0.52577269999999998</v>
      </c>
      <c r="F7483" t="s">
        <v>43</v>
      </c>
      <c r="G7483">
        <v>-187.97329999999999</v>
      </c>
      <c r="H7483">
        <v>0.97763310000000003</v>
      </c>
      <c r="I7483">
        <v>-10.714740000000001</v>
      </c>
      <c r="J7483">
        <v>-188.054</v>
      </c>
      <c r="K7483">
        <v>1.1212299999999999</v>
      </c>
      <c r="L7483">
        <v>-11.299770000000001</v>
      </c>
      <c r="M7483">
        <v>-3.7326560000000002E-2</v>
      </c>
      <c r="N7483">
        <v>-7.708693E-3</v>
      </c>
      <c r="O7483">
        <v>0.99927339999999998</v>
      </c>
      <c r="P7483">
        <v>4.0836299999999999E-2</v>
      </c>
      <c r="Q7483">
        <v>0.18224889999999999</v>
      </c>
      <c r="R7483">
        <v>0.9824041</v>
      </c>
      <c r="S7483">
        <v>0.25273129999999999</v>
      </c>
      <c r="T7483">
        <v>-0.51995459999999905</v>
      </c>
      <c r="U7483">
        <v>3.1391300000000002</v>
      </c>
      <c r="V7483">
        <v>7.7329149999999999E-2</v>
      </c>
      <c r="W7483">
        <v>0.18986030000000001</v>
      </c>
      <c r="X7483">
        <v>0.97876110000000005</v>
      </c>
      <c r="Y7483">
        <v>0.11635429999999999</v>
      </c>
      <c r="Z7483">
        <v>-0.15480629999999901</v>
      </c>
      <c r="AA7483">
        <v>0.98106910000000003</v>
      </c>
      <c r="AB7483">
        <v>29</v>
      </c>
      <c r="AC7483">
        <v>8.0700000000007294E-2</v>
      </c>
      <c r="AD7483">
        <v>-0.143596899999999</v>
      </c>
      <c r="AE7483">
        <v>0.58503000000000105</v>
      </c>
      <c r="AF7483">
        <v>9.6760885073127897E-2</v>
      </c>
      <c r="AG7483">
        <v>-0.143596899999999</v>
      </c>
      <c r="AH7483">
        <v>0.54914357150859505</v>
      </c>
      <c r="AI7483">
        <v>104.441321481779</v>
      </c>
      <c r="AJ7483">
        <v>80.006875316552893</v>
      </c>
      <c r="AK7483">
        <v>0.57579631876120996</v>
      </c>
      <c r="AL7483">
        <v>79.055368539605396</v>
      </c>
      <c r="AM7483">
        <v>85.482606090005504</v>
      </c>
      <c r="AN7483">
        <v>1.00000001091451</v>
      </c>
    </row>
    <row r="7484" spans="1:40" x14ac:dyDescent="0.25">
      <c r="A7484" t="str">
        <f>"20190303170433525"</f>
        <v>20190303170433525</v>
      </c>
      <c r="B7484" t="str">
        <f>"1551603873512797"</f>
        <v>1551603873512797</v>
      </c>
      <c r="C7484" t="s">
        <v>40</v>
      </c>
      <c r="D7484">
        <v>5.1436719999999996</v>
      </c>
      <c r="E7484">
        <v>0.52619139999999998</v>
      </c>
      <c r="F7484" t="s">
        <v>43</v>
      </c>
      <c r="G7484">
        <v>-187.9855</v>
      </c>
      <c r="H7484">
        <v>0.97862979999999999</v>
      </c>
      <c r="I7484">
        <v>-10.453329999999999</v>
      </c>
      <c r="J7484">
        <v>-188.06489999999999</v>
      </c>
      <c r="K7484">
        <v>1.1211930000000001</v>
      </c>
      <c r="L7484">
        <v>-11.01965</v>
      </c>
      <c r="M7484">
        <v>-3.7689649999999998E-2</v>
      </c>
      <c r="N7484">
        <v>-7.5106289999999996E-3</v>
      </c>
      <c r="O7484">
        <v>0.99926130000000002</v>
      </c>
      <c r="P7484">
        <v>4.1445620000000002E-2</v>
      </c>
      <c r="Q7484">
        <v>0.18318809999999999</v>
      </c>
      <c r="R7484">
        <v>0.98220379999999996</v>
      </c>
      <c r="S7484">
        <v>0.25457760000000001</v>
      </c>
      <c r="T7484">
        <v>-0.529223</v>
      </c>
      <c r="U7484">
        <v>3.141327</v>
      </c>
      <c r="V7484">
        <v>7.8296169999999998E-2</v>
      </c>
      <c r="W7484">
        <v>0.1906004</v>
      </c>
      <c r="X7484">
        <v>0.97854039999999998</v>
      </c>
      <c r="Y7484">
        <v>0.1171963</v>
      </c>
      <c r="Z7484">
        <v>-0.15769420000000001</v>
      </c>
      <c r="AA7484">
        <v>0.98050890000000002</v>
      </c>
      <c r="AB7484">
        <v>29</v>
      </c>
      <c r="AC7484">
        <v>7.9399999999992504E-2</v>
      </c>
      <c r="AD7484">
        <v>-0.1425632</v>
      </c>
      <c r="AE7484">
        <v>0.56631999999999905</v>
      </c>
      <c r="AF7484">
        <v>9.4797008889573403E-2</v>
      </c>
      <c r="AG7484">
        <v>-0.1425632</v>
      </c>
      <c r="AH7484">
        <v>0.529986608559883</v>
      </c>
      <c r="AI7484">
        <v>104.83106592659399</v>
      </c>
      <c r="AJ7484">
        <v>79.858928605904197</v>
      </c>
      <c r="AK7484">
        <v>0.55695291016517401</v>
      </c>
      <c r="AL7484">
        <v>79.012175730063404</v>
      </c>
      <c r="AM7484">
        <v>85.425326008870499</v>
      </c>
      <c r="AN7484">
        <v>1.0000000585744899</v>
      </c>
    </row>
    <row r="7485" spans="1:40" x14ac:dyDescent="0.25">
      <c r="A7485" t="str">
        <f>"20190303170433547"</f>
        <v>20190303170433547</v>
      </c>
      <c r="B7485" t="str">
        <f>"1551603873543053"</f>
        <v>1551603873543053</v>
      </c>
      <c r="C7485" t="s">
        <v>40</v>
      </c>
      <c r="D7485">
        <v>5.1448729999999996</v>
      </c>
      <c r="E7485">
        <v>0.52667079999999999</v>
      </c>
      <c r="F7485" t="s">
        <v>43</v>
      </c>
      <c r="G7485">
        <v>-187.99619999999999</v>
      </c>
      <c r="H7485">
        <v>0.97986530000000005</v>
      </c>
      <c r="I7485">
        <v>-10.19078</v>
      </c>
      <c r="J7485">
        <v>-188.07640000000001</v>
      </c>
      <c r="K7485">
        <v>1.121159</v>
      </c>
      <c r="L7485">
        <v>-10.72443</v>
      </c>
      <c r="M7485">
        <v>-3.8040640000000001E-2</v>
      </c>
      <c r="N7485">
        <v>-7.3259229999999998E-3</v>
      </c>
      <c r="O7485">
        <v>0.99924930000000001</v>
      </c>
      <c r="P7485">
        <v>4.1232789999999998E-2</v>
      </c>
      <c r="Q7485">
        <v>0.18490300000000001</v>
      </c>
      <c r="R7485">
        <v>0.98189139999999997</v>
      </c>
      <c r="S7485">
        <v>0.25976559999999999</v>
      </c>
      <c r="T7485">
        <v>-0.53595509999999902</v>
      </c>
      <c r="U7485">
        <v>3.1433409999999999</v>
      </c>
      <c r="V7485">
        <v>7.8425659999999994E-2</v>
      </c>
      <c r="W7485">
        <v>0.19212799999999999</v>
      </c>
      <c r="X7485">
        <v>0.97823119999999997</v>
      </c>
      <c r="Y7485">
        <v>0.11907379999999999</v>
      </c>
      <c r="Z7485">
        <v>-0.1597836</v>
      </c>
      <c r="AA7485">
        <v>0.97994420000000004</v>
      </c>
      <c r="AB7485">
        <v>29</v>
      </c>
      <c r="AC7485">
        <v>8.0200000000019103E-2</v>
      </c>
      <c r="AD7485">
        <v>-0.141293699999999</v>
      </c>
      <c r="AE7485">
        <v>0.53364999999999896</v>
      </c>
      <c r="AF7485">
        <v>9.3998881254601305E-2</v>
      </c>
      <c r="AG7485">
        <v>-0.141293699999999</v>
      </c>
      <c r="AH7485">
        <v>0.49619652149301802</v>
      </c>
      <c r="AI7485">
        <v>105.630427432945</v>
      </c>
      <c r="AJ7485">
        <v>79.273069310814805</v>
      </c>
      <c r="AK7485">
        <v>0.52441461390638</v>
      </c>
      <c r="AL7485">
        <v>78.923002223857495</v>
      </c>
      <c r="AM7485">
        <v>85.416350207348998</v>
      </c>
      <c r="AN7485">
        <v>1.0000000165919301</v>
      </c>
    </row>
    <row r="7486" spans="1:40" x14ac:dyDescent="0.25">
      <c r="A7486" t="str">
        <f>"20190303170433571"</f>
        <v>20190303170433571</v>
      </c>
      <c r="B7486" t="str">
        <f>"1551603873562573"</f>
        <v>1551603873562573</v>
      </c>
      <c r="C7486" t="s">
        <v>40</v>
      </c>
      <c r="D7486">
        <v>5.122827</v>
      </c>
      <c r="E7486">
        <v>0.52693659999999998</v>
      </c>
      <c r="F7486" t="s">
        <v>43</v>
      </c>
      <c r="G7486">
        <v>-188.01009999999999</v>
      </c>
      <c r="H7486">
        <v>0.9835256</v>
      </c>
      <c r="I7486">
        <v>-9.9262999999999995</v>
      </c>
      <c r="J7486">
        <v>-188.08850000000001</v>
      </c>
      <c r="K7486">
        <v>1.121129</v>
      </c>
      <c r="L7486">
        <v>-10.41534</v>
      </c>
      <c r="M7486">
        <v>-3.8374709999999999E-2</v>
      </c>
      <c r="N7486">
        <v>-7.1565780000000002E-3</v>
      </c>
      <c r="O7486">
        <v>0.99923779999999995</v>
      </c>
      <c r="P7486">
        <v>3.9795110000000002E-2</v>
      </c>
      <c r="Q7486">
        <v>0.1866284</v>
      </c>
      <c r="R7486">
        <v>0.98162419999999995</v>
      </c>
      <c r="S7486">
        <v>0.26165769999999999</v>
      </c>
      <c r="T7486">
        <v>-0.54260609999999998</v>
      </c>
      <c r="U7486">
        <v>3.146515</v>
      </c>
      <c r="V7486">
        <v>7.7317350000000007E-2</v>
      </c>
      <c r="W7486">
        <v>0.19367999999999999</v>
      </c>
      <c r="X7486">
        <v>0.97801329999999997</v>
      </c>
      <c r="Y7486">
        <v>0.11988310000000001</v>
      </c>
      <c r="Z7486">
        <v>-0.1617857</v>
      </c>
      <c r="AA7486">
        <v>0.97951690000000002</v>
      </c>
      <c r="AB7486">
        <v>29</v>
      </c>
      <c r="AC7486">
        <v>7.8400000000016207E-2</v>
      </c>
      <c r="AD7486">
        <v>-0.13760339999999999</v>
      </c>
      <c r="AE7486">
        <v>0.48903999999999898</v>
      </c>
      <c r="AF7486">
        <v>9.0150940375534297E-2</v>
      </c>
      <c r="AG7486">
        <v>-0.13760339999999999</v>
      </c>
      <c r="AH7486">
        <v>0.450869464702501</v>
      </c>
      <c r="AI7486">
        <v>106.660963386783</v>
      </c>
      <c r="AJ7486">
        <v>78.692872145460001</v>
      </c>
      <c r="AK7486">
        <v>0.479942873624844</v>
      </c>
      <c r="AL7486">
        <v>78.832376425727105</v>
      </c>
      <c r="AM7486">
        <v>85.479853347586896</v>
      </c>
      <c r="AN7486">
        <v>0.99999996499395505</v>
      </c>
    </row>
    <row r="7487" spans="1:40" x14ac:dyDescent="0.25">
      <c r="A7487" t="str">
        <f>"20190303170433593"</f>
        <v>20190303170433593</v>
      </c>
      <c r="B7487" t="str">
        <f>"1551603873583069"</f>
        <v>1551603873583069</v>
      </c>
      <c r="C7487" t="s">
        <v>40</v>
      </c>
      <c r="D7487">
        <v>5.0920360000000002</v>
      </c>
      <c r="E7487">
        <v>0.52716569999999996</v>
      </c>
      <c r="F7487" t="s">
        <v>43</v>
      </c>
      <c r="G7487">
        <v>-188.0265</v>
      </c>
      <c r="H7487">
        <v>0.99054960000000003</v>
      </c>
      <c r="I7487">
        <v>-9.6594320000000007</v>
      </c>
      <c r="J7487">
        <v>-188.10040000000001</v>
      </c>
      <c r="K7487">
        <v>1.1210990000000001</v>
      </c>
      <c r="L7487">
        <v>-10.115080000000001</v>
      </c>
      <c r="M7487">
        <v>-3.8664660000000003E-2</v>
      </c>
      <c r="N7487">
        <v>-7.013455E-3</v>
      </c>
      <c r="O7487">
        <v>0.99922759999999999</v>
      </c>
      <c r="P7487">
        <v>3.8068780000000003E-2</v>
      </c>
      <c r="Q7487">
        <v>0.18671479999999999</v>
      </c>
      <c r="R7487">
        <v>0.98167629999999995</v>
      </c>
      <c r="S7487">
        <v>0.25816349999999999</v>
      </c>
      <c r="T7487">
        <v>-0.54398849999999999</v>
      </c>
      <c r="U7487">
        <v>3.1491090000000002</v>
      </c>
      <c r="V7487">
        <v>7.5890849999999996E-2</v>
      </c>
      <c r="W7487">
        <v>0.1936215</v>
      </c>
      <c r="X7487">
        <v>0.97813669999999997</v>
      </c>
      <c r="Y7487">
        <v>0.119021</v>
      </c>
      <c r="Z7487">
        <v>-0.162223799999999</v>
      </c>
      <c r="AA7487">
        <v>0.97954960000000002</v>
      </c>
      <c r="AB7487">
        <v>29</v>
      </c>
      <c r="AC7487">
        <v>7.3900000000008903E-2</v>
      </c>
      <c r="AD7487">
        <v>-0.13054940000000001</v>
      </c>
      <c r="AE7487">
        <v>0.455648</v>
      </c>
      <c r="AF7487">
        <v>8.4688724885278205E-2</v>
      </c>
      <c r="AG7487">
        <v>-0.13054940000000001</v>
      </c>
      <c r="AH7487">
        <v>0.418940461113748</v>
      </c>
      <c r="AI7487">
        <v>106.98475128216801</v>
      </c>
      <c r="AJ7487">
        <v>78.571680379531998</v>
      </c>
      <c r="AK7487">
        <v>0.44690763690191498</v>
      </c>
      <c r="AL7487">
        <v>78.835793920259206</v>
      </c>
      <c r="AM7487">
        <v>85.563471153389401</v>
      </c>
      <c r="AN7487">
        <v>1.0000000551314201</v>
      </c>
    </row>
    <row r="7488" spans="1:40" x14ac:dyDescent="0.25">
      <c r="A7488" t="str">
        <f>"20190303170433617"</f>
        <v>20190303170433617</v>
      </c>
      <c r="B7488" t="str">
        <f>"1551603873613325"</f>
        <v>1551603873613325</v>
      </c>
      <c r="C7488" t="s">
        <v>40</v>
      </c>
      <c r="D7488">
        <v>5.1538639999999996</v>
      </c>
      <c r="E7488">
        <v>0.50542690000000001</v>
      </c>
      <c r="F7488" t="s">
        <v>43</v>
      </c>
      <c r="G7488">
        <v>-188.04220000000001</v>
      </c>
      <c r="H7488">
        <v>0.99504280000000001</v>
      </c>
      <c r="I7488">
        <v>-9.3928290000000008</v>
      </c>
      <c r="J7488">
        <v>-188.11240000000001</v>
      </c>
      <c r="K7488">
        <v>1.1210560000000001</v>
      </c>
      <c r="L7488">
        <v>-9.8113399999999995</v>
      </c>
      <c r="M7488">
        <v>-3.8917529999999999E-2</v>
      </c>
      <c r="N7488">
        <v>-6.8887260000000004E-3</v>
      </c>
      <c r="O7488">
        <v>0.99921870000000002</v>
      </c>
      <c r="P7488">
        <v>3.7150130000000003E-2</v>
      </c>
      <c r="Q7488">
        <v>0.18679599999999999</v>
      </c>
      <c r="R7488">
        <v>0.98169600000000001</v>
      </c>
      <c r="S7488">
        <v>0.2536621</v>
      </c>
      <c r="T7488">
        <v>-0.54990099999999997</v>
      </c>
      <c r="U7488">
        <v>3.150757</v>
      </c>
      <c r="V7488">
        <v>7.5234759999999998E-2</v>
      </c>
      <c r="W7488">
        <v>0.19357569999999999</v>
      </c>
      <c r="X7488">
        <v>0.97819639999999997</v>
      </c>
      <c r="Y7488">
        <v>0.11781700000000001</v>
      </c>
      <c r="Z7488">
        <v>-0.16406660000000001</v>
      </c>
      <c r="AA7488">
        <v>0.97938820000000004</v>
      </c>
      <c r="AB7488">
        <v>30</v>
      </c>
      <c r="AC7488">
        <v>7.0199999999999804E-2</v>
      </c>
      <c r="AD7488">
        <v>-0.12601319999999999</v>
      </c>
      <c r="AE7488">
        <v>0.41851100000000002</v>
      </c>
      <c r="AF7488">
        <v>7.9430473958341505E-2</v>
      </c>
      <c r="AG7488">
        <v>-0.12601319999999999</v>
      </c>
      <c r="AH7488">
        <v>0.381795322016179</v>
      </c>
      <c r="AI7488">
        <v>107.907478257188</v>
      </c>
      <c r="AJ7488">
        <v>78.2475643102117</v>
      </c>
      <c r="AK7488">
        <v>0.40982459013695699</v>
      </c>
      <c r="AL7488">
        <v>78.838468147772303</v>
      </c>
      <c r="AM7488">
        <v>85.601941965463496</v>
      </c>
      <c r="AN7488">
        <v>1.00000000885785</v>
      </c>
    </row>
    <row r="7489" spans="1:40" x14ac:dyDescent="0.25">
      <c r="A7489" t="str">
        <f>"20190303170433639"</f>
        <v>20190303170433639</v>
      </c>
      <c r="B7489" t="str">
        <f>"1551603873632845"</f>
        <v>1551603873632845</v>
      </c>
      <c r="C7489" t="s">
        <v>40</v>
      </c>
      <c r="D7489">
        <v>5.0028269999999999</v>
      </c>
      <c r="E7489">
        <v>0.48343000000000003</v>
      </c>
      <c r="F7489" t="s">
        <v>43</v>
      </c>
      <c r="G7489">
        <v>-188.08750000000001</v>
      </c>
      <c r="H7489">
        <v>0.97962309999999997</v>
      </c>
      <c r="I7489">
        <v>-8.8692630000000001</v>
      </c>
      <c r="J7489">
        <v>-188.1242</v>
      </c>
      <c r="K7489">
        <v>1.1210180000000001</v>
      </c>
      <c r="L7489">
        <v>-9.5151059999999994</v>
      </c>
      <c r="M7489">
        <v>-3.9122329999999997E-2</v>
      </c>
      <c r="N7489">
        <v>-6.7838569999999999E-3</v>
      </c>
      <c r="O7489">
        <v>0.99921139999999997</v>
      </c>
      <c r="P7489">
        <v>3.6911600000000003E-2</v>
      </c>
      <c r="Q7489">
        <v>0.18779560000000001</v>
      </c>
      <c r="R7489">
        <v>0.98151429999999995</v>
      </c>
      <c r="S7489">
        <v>8.2809450000000007E-2</v>
      </c>
      <c r="T7489">
        <v>-0.47178510000000001</v>
      </c>
      <c r="U7489">
        <v>3.1425779999999999</v>
      </c>
      <c r="V7489">
        <v>7.520346E-2</v>
      </c>
      <c r="W7489">
        <v>0.19446540000000001</v>
      </c>
      <c r="X7489">
        <v>0.97802230000000001</v>
      </c>
      <c r="Y7489">
        <v>6.5131209999999995E-2</v>
      </c>
      <c r="Z7489">
        <v>-0.14139450000000001</v>
      </c>
      <c r="AA7489">
        <v>0.98780849999999998</v>
      </c>
      <c r="AB7489">
        <v>30</v>
      </c>
      <c r="AC7489">
        <v>3.6699999999996097E-2</v>
      </c>
      <c r="AD7489">
        <v>-0.14139489999999999</v>
      </c>
      <c r="AE7489">
        <v>0.64584299999999895</v>
      </c>
      <c r="AF7489">
        <v>5.9115061527091499E-2</v>
      </c>
      <c r="AG7489">
        <v>-0.14139489999999999</v>
      </c>
      <c r="AH7489">
        <v>0.61455164744824897</v>
      </c>
      <c r="AI7489">
        <v>102.899479945577</v>
      </c>
      <c r="AJ7489">
        <v>84.505499311336095</v>
      </c>
      <c r="AK7489">
        <v>0.63337258831332299</v>
      </c>
      <c r="AL7489">
        <v>78.786504390592697</v>
      </c>
      <c r="AM7489">
        <v>85.6029850046544</v>
      </c>
      <c r="AN7489">
        <v>0.99999998574520998</v>
      </c>
    </row>
    <row r="7490" spans="1:40" x14ac:dyDescent="0.25">
      <c r="A7490" t="str">
        <f>"20190303170433661"</f>
        <v>20190303170433661</v>
      </c>
      <c r="B7490" t="str">
        <f>"1551603873653341"</f>
        <v>1551603873653341</v>
      </c>
      <c r="C7490" t="s">
        <v>40</v>
      </c>
      <c r="D7490">
        <v>4.9250470000000002</v>
      </c>
      <c r="E7490">
        <v>0.48194219999999999</v>
      </c>
      <c r="F7490" t="s">
        <v>42</v>
      </c>
      <c r="G7490">
        <v>-188.64070000000001</v>
      </c>
      <c r="H7490" s="1">
        <v>-1.6218549999999999E-6</v>
      </c>
      <c r="I7490">
        <v>12.85131</v>
      </c>
      <c r="J7490">
        <v>-188.13579999999999</v>
      </c>
      <c r="K7490">
        <v>1.120987</v>
      </c>
      <c r="L7490">
        <v>-9.2241820000000008</v>
      </c>
      <c r="M7490">
        <v>-3.9290329999999998E-2</v>
      </c>
      <c r="N7490">
        <v>-6.6929809999999998E-3</v>
      </c>
      <c r="O7490">
        <v>0.99920540000000002</v>
      </c>
      <c r="P7490">
        <v>3.5983040000000001E-2</v>
      </c>
      <c r="Q7490">
        <v>0.1900578</v>
      </c>
      <c r="R7490">
        <v>0.98111329999999997</v>
      </c>
      <c r="S7490">
        <v>-7.1334839999999997E-2</v>
      </c>
      <c r="T7490">
        <v>-0.15481310000000001</v>
      </c>
      <c r="U7490">
        <v>3.0888059999999999</v>
      </c>
      <c r="V7490">
        <v>7.4436779999999994E-2</v>
      </c>
      <c r="W7490">
        <v>0.196631</v>
      </c>
      <c r="X7490">
        <v>0.97764790000000001</v>
      </c>
      <c r="Y7490">
        <v>1.622869E-2</v>
      </c>
      <c r="Z7490">
        <v>-4.3307289999999998E-2</v>
      </c>
      <c r="AA7490">
        <v>0.99892999999999998</v>
      </c>
      <c r="AB7490">
        <v>30</v>
      </c>
      <c r="AC7490">
        <v>-0.50490000000002</v>
      </c>
      <c r="AD7490">
        <v>-1.120988621855</v>
      </c>
      <c r="AE7490">
        <v>22.075492000000001</v>
      </c>
      <c r="AF7490">
        <v>0.36192991486700499</v>
      </c>
      <c r="AG7490">
        <v>-1.120988621855</v>
      </c>
      <c r="AH7490">
        <v>22.021528768908802</v>
      </c>
      <c r="AI7490">
        <v>92.9136885387299</v>
      </c>
      <c r="AJ7490">
        <v>89.058412793742505</v>
      </c>
      <c r="AK7490">
        <v>22.053011995495801</v>
      </c>
      <c r="AL7490">
        <v>78.659982158684002</v>
      </c>
      <c r="AM7490">
        <v>85.645977947089094</v>
      </c>
      <c r="AN7490">
        <v>1.0000000003760801</v>
      </c>
    </row>
    <row r="7491" spans="1:40" x14ac:dyDescent="0.25">
      <c r="A7491" t="str">
        <f>"20190303170433682"</f>
        <v>20190303170433682</v>
      </c>
      <c r="B7491" t="str">
        <f>"1551603873672861"</f>
        <v>1551603873672861</v>
      </c>
      <c r="C7491" t="s">
        <v>40</v>
      </c>
      <c r="D7491">
        <v>4.9389529999999997</v>
      </c>
      <c r="E7491">
        <v>0.48039369999999998</v>
      </c>
      <c r="F7491" t="s">
        <v>42</v>
      </c>
      <c r="G7491">
        <v>-188.85659999999999</v>
      </c>
      <c r="H7491" s="1">
        <v>-3.365593E-6</v>
      </c>
      <c r="I7491">
        <v>17.005279999999999</v>
      </c>
      <c r="J7491">
        <v>-188.14760000000001</v>
      </c>
      <c r="K7491">
        <v>1.1209629999999999</v>
      </c>
      <c r="L7491">
        <v>-8.9267269999999996</v>
      </c>
      <c r="M7491">
        <v>-3.9426620000000002E-2</v>
      </c>
      <c r="N7491">
        <v>-6.6076119999999997E-3</v>
      </c>
      <c r="O7491">
        <v>0.99920059999999999</v>
      </c>
      <c r="P7491">
        <v>3.4125570000000001E-2</v>
      </c>
      <c r="Q7491">
        <v>0.19152859999999999</v>
      </c>
      <c r="R7491">
        <v>0.98089360000000003</v>
      </c>
      <c r="S7491">
        <v>-8.4823609999999994E-2</v>
      </c>
      <c r="T7491">
        <v>-0.1319071</v>
      </c>
      <c r="U7491">
        <v>3.0864259999999999</v>
      </c>
      <c r="V7491">
        <v>7.2718019999999994E-2</v>
      </c>
      <c r="W7491">
        <v>0.19801240000000001</v>
      </c>
      <c r="X7491">
        <v>0.97749839999999999</v>
      </c>
      <c r="Y7491">
        <v>1.1977450000000001E-2</v>
      </c>
      <c r="Z7491">
        <v>-3.6040559999999999E-2</v>
      </c>
      <c r="AA7491">
        <v>0.99927849999999996</v>
      </c>
      <c r="AB7491">
        <v>30</v>
      </c>
      <c r="AC7491">
        <v>-0.70899999999997398</v>
      </c>
      <c r="AD7491">
        <v>-1.120966365593</v>
      </c>
      <c r="AE7491">
        <v>25.932006999999999</v>
      </c>
      <c r="AF7491">
        <v>0.31339984460074</v>
      </c>
      <c r="AG7491">
        <v>-1.120966365593</v>
      </c>
      <c r="AH7491">
        <v>25.891453003938501</v>
      </c>
      <c r="AI7491">
        <v>92.478882172437494</v>
      </c>
      <c r="AJ7491">
        <v>89.306504293143306</v>
      </c>
      <c r="AK7491">
        <v>25.9176025841616</v>
      </c>
      <c r="AL7491">
        <v>78.579246064682394</v>
      </c>
      <c r="AM7491">
        <v>85.745491604654603</v>
      </c>
      <c r="AN7491">
        <v>0.99999997149451902</v>
      </c>
    </row>
    <row r="7492" spans="1:40" x14ac:dyDescent="0.25">
      <c r="A7492" t="str">
        <f>"20190303170433707"</f>
        <v>20190303170433707</v>
      </c>
      <c r="B7492" t="str">
        <f>"1551603873693357"</f>
        <v>1551603873693357</v>
      </c>
      <c r="C7492" t="s">
        <v>40</v>
      </c>
      <c r="D7492">
        <v>4.9333260000000001</v>
      </c>
      <c r="E7492">
        <v>0.48014639999999997</v>
      </c>
      <c r="F7492" t="s">
        <v>42</v>
      </c>
      <c r="G7492">
        <v>-189.1943</v>
      </c>
      <c r="H7492" s="1">
        <v>-1.4111750000000001E-6</v>
      </c>
      <c r="I7492">
        <v>22.589099999999998</v>
      </c>
      <c r="J7492">
        <v>-188.15979999999999</v>
      </c>
      <c r="K7492">
        <v>1.1209290000000001</v>
      </c>
      <c r="L7492">
        <v>-8.6208189999999991</v>
      </c>
      <c r="M7492">
        <v>-3.9529630000000003E-2</v>
      </c>
      <c r="N7492">
        <v>-6.5298550000000002E-3</v>
      </c>
      <c r="O7492">
        <v>0.99919709999999995</v>
      </c>
      <c r="P7492">
        <v>3.30026E-2</v>
      </c>
      <c r="Q7492">
        <v>0.1913263</v>
      </c>
      <c r="R7492">
        <v>0.9809715</v>
      </c>
      <c r="S7492">
        <v>-0.1024017</v>
      </c>
      <c r="T7492">
        <v>-0.10967150000000001</v>
      </c>
      <c r="U7492">
        <v>3.083405</v>
      </c>
      <c r="V7492">
        <v>7.1712849999999995E-2</v>
      </c>
      <c r="W7492">
        <v>0.19772999999999999</v>
      </c>
      <c r="X7492">
        <v>0.97762979999999999</v>
      </c>
      <c r="Y7492">
        <v>6.3554029999999999E-3</v>
      </c>
      <c r="Z7492">
        <v>-2.8971839999999999E-2</v>
      </c>
      <c r="AA7492">
        <v>0.99956</v>
      </c>
      <c r="AB7492">
        <v>30</v>
      </c>
      <c r="AC7492">
        <v>-1.0345</v>
      </c>
      <c r="AD7492">
        <v>-1.120930411175</v>
      </c>
      <c r="AE7492">
        <v>31.209918999999999</v>
      </c>
      <c r="AF7492">
        <v>0.19979396708799099</v>
      </c>
      <c r="AG7492">
        <v>-1.120930411175</v>
      </c>
      <c r="AH7492">
        <v>31.186234068336699</v>
      </c>
      <c r="AI7492">
        <v>92.058460451361498</v>
      </c>
      <c r="AJ7492">
        <v>89.632940788747902</v>
      </c>
      <c r="AK7492">
        <v>31.207012000207101</v>
      </c>
      <c r="AL7492">
        <v>78.595752581964305</v>
      </c>
      <c r="AM7492">
        <v>85.804651463189003</v>
      </c>
      <c r="AN7492">
        <v>0.99999995580157996</v>
      </c>
    </row>
    <row r="7493" spans="1:40" x14ac:dyDescent="0.25">
      <c r="A7493" t="str">
        <f>"20190303170433727"</f>
        <v>20190303170433727</v>
      </c>
      <c r="B7493" t="str">
        <f>"1551603873712878"</f>
        <v>1551603873712878</v>
      </c>
      <c r="C7493" t="s">
        <v>40</v>
      </c>
      <c r="D7493">
        <v>4.8781739999999996</v>
      </c>
      <c r="E7493">
        <v>0.48095389999999999</v>
      </c>
      <c r="F7493" t="s">
        <v>42</v>
      </c>
      <c r="G7493">
        <v>-189.34469999999999</v>
      </c>
      <c r="H7493" s="1">
        <v>-2.6253979999999998E-6</v>
      </c>
      <c r="I7493">
        <v>25.4817</v>
      </c>
      <c r="J7493">
        <v>-188.1712</v>
      </c>
      <c r="K7493">
        <v>1.1208929999999999</v>
      </c>
      <c r="L7493">
        <v>-8.3355409999999992</v>
      </c>
      <c r="M7493">
        <v>-3.9593259999999998E-2</v>
      </c>
      <c r="N7493">
        <v>-6.4667850000000001E-3</v>
      </c>
      <c r="O7493">
        <v>0.99919500000000006</v>
      </c>
      <c r="P7493">
        <v>3.2620299999999998E-2</v>
      </c>
      <c r="Q7493">
        <v>0.1912905</v>
      </c>
      <c r="R7493">
        <v>0.98099119999999995</v>
      </c>
      <c r="S7493">
        <v>-0.107070899999999</v>
      </c>
      <c r="T7493">
        <v>-0.1012887</v>
      </c>
      <c r="U7493">
        <v>3.0815429999999999</v>
      </c>
      <c r="V7493">
        <v>7.1405869999999996E-2</v>
      </c>
      <c r="W7493">
        <v>0.1976281</v>
      </c>
      <c r="X7493">
        <v>0.97767289999999996</v>
      </c>
      <c r="Y7493">
        <v>4.8839560000000001E-3</v>
      </c>
      <c r="Z7493">
        <v>-2.6343490000000001E-2</v>
      </c>
      <c r="AA7493">
        <v>0.999641</v>
      </c>
      <c r="AB7493">
        <v>30</v>
      </c>
      <c r="AC7493">
        <v>-1.17349999999999</v>
      </c>
      <c r="AD7493">
        <v>-1.120895625398</v>
      </c>
      <c r="AE7493">
        <v>33.817240999999903</v>
      </c>
      <c r="AF7493">
        <v>0.16620057975365901</v>
      </c>
      <c r="AG7493">
        <v>-1.120895625398</v>
      </c>
      <c r="AH7493">
        <v>33.800097402867202</v>
      </c>
      <c r="AI7493">
        <v>91.899352089891906</v>
      </c>
      <c r="AJ7493">
        <v>89.718269598077399</v>
      </c>
      <c r="AK7493">
        <v>33.819086535254897</v>
      </c>
      <c r="AL7493">
        <v>78.601708852707404</v>
      </c>
      <c r="AM7493">
        <v>85.822730215950997</v>
      </c>
      <c r="AN7493">
        <v>0.99999998178723803</v>
      </c>
    </row>
    <row r="7494" spans="1:40" x14ac:dyDescent="0.25">
      <c r="A7494" t="str">
        <f>"20190303170433749"</f>
        <v>20190303170433749</v>
      </c>
      <c r="B7494" t="str">
        <f>"1551603873743133"</f>
        <v>1551603873743133</v>
      </c>
      <c r="C7494" t="s">
        <v>40</v>
      </c>
      <c r="D7494">
        <v>4.8890609999999999</v>
      </c>
      <c r="E7494">
        <v>0.48151260000000001</v>
      </c>
      <c r="F7494" t="s">
        <v>42</v>
      </c>
      <c r="G7494">
        <v>-189.28890000000001</v>
      </c>
      <c r="H7494" s="1">
        <v>-2.6950099999999999E-6</v>
      </c>
      <c r="I7494">
        <v>25.62087</v>
      </c>
      <c r="J7494">
        <v>-188.18340000000001</v>
      </c>
      <c r="K7494">
        <v>1.12086</v>
      </c>
      <c r="L7494">
        <v>-8.0295100000000001</v>
      </c>
      <c r="M7494">
        <v>-3.9633259999999997E-2</v>
      </c>
      <c r="N7494">
        <v>-6.4077469999999897E-3</v>
      </c>
      <c r="O7494">
        <v>0.99919369999999996</v>
      </c>
      <c r="P7494">
        <v>3.2980820000000001E-2</v>
      </c>
      <c r="Q7494">
        <v>0.19203429999999999</v>
      </c>
      <c r="R7494">
        <v>0.98083390000000004</v>
      </c>
      <c r="S7494">
        <v>-0.10142519999999999</v>
      </c>
      <c r="T7494">
        <v>-0.1017141</v>
      </c>
      <c r="U7494">
        <v>3.0813290000000002</v>
      </c>
      <c r="V7494">
        <v>7.1810620000000006E-2</v>
      </c>
      <c r="W7494">
        <v>0.1983086</v>
      </c>
      <c r="X7494">
        <v>0.97750539999999997</v>
      </c>
      <c r="Y7494">
        <v>6.7509919999999999E-3</v>
      </c>
      <c r="Z7494">
        <v>-2.6542940000000001E-2</v>
      </c>
      <c r="AA7494">
        <v>0.99962479999999998</v>
      </c>
      <c r="AB7494">
        <v>30</v>
      </c>
      <c r="AC7494">
        <v>-1.1054999999999999</v>
      </c>
      <c r="AD7494">
        <v>-1.12086269501</v>
      </c>
      <c r="AE7494">
        <v>33.650379999999998</v>
      </c>
      <c r="AF7494">
        <v>0.22881674093058901</v>
      </c>
      <c r="AG7494">
        <v>-1.12086269501</v>
      </c>
      <c r="AH7494">
        <v>33.6304824815291</v>
      </c>
      <c r="AI7494">
        <v>91.908847249185499</v>
      </c>
      <c r="AJ7494">
        <v>89.610174155282195</v>
      </c>
      <c r="AK7494">
        <v>33.6499337625267</v>
      </c>
      <c r="AL7494">
        <v>78.561931297622294</v>
      </c>
      <c r="AM7494">
        <v>85.798419459914598</v>
      </c>
      <c r="AN7494">
        <v>0.99999993650395003</v>
      </c>
    </row>
    <row r="7495" spans="1:40" x14ac:dyDescent="0.25">
      <c r="A7495" t="str">
        <f>"20190303170433773"</f>
        <v>20190303170433773</v>
      </c>
      <c r="B7495" t="str">
        <f>"1551603873762653"</f>
        <v>1551603873762653</v>
      </c>
      <c r="C7495" t="s">
        <v>40</v>
      </c>
      <c r="D7495">
        <v>4.8871159999999998</v>
      </c>
      <c r="E7495">
        <v>0.48203230000000002</v>
      </c>
      <c r="F7495" t="s">
        <v>42</v>
      </c>
      <c r="G7495">
        <v>-189.2466</v>
      </c>
      <c r="H7495" s="1">
        <v>-2.8903070000000001E-6</v>
      </c>
      <c r="I7495">
        <v>26.058610000000002</v>
      </c>
      <c r="J7495">
        <v>-188.19659999999999</v>
      </c>
      <c r="K7495">
        <v>1.120827</v>
      </c>
      <c r="L7495">
        <v>-7.6976619999999896</v>
      </c>
      <c r="M7495">
        <v>-3.9653889999999997E-2</v>
      </c>
      <c r="N7495">
        <v>-6.3523310000000001E-3</v>
      </c>
      <c r="O7495">
        <v>0.99919329999999995</v>
      </c>
      <c r="P7495">
        <v>3.3126530000000001E-2</v>
      </c>
      <c r="Q7495">
        <v>0.1932894</v>
      </c>
      <c r="R7495">
        <v>0.98058239999999997</v>
      </c>
      <c r="S7495">
        <v>-9.6115110000000004E-2</v>
      </c>
      <c r="T7495">
        <v>-0.1013303</v>
      </c>
      <c r="U7495">
        <v>3.081696</v>
      </c>
      <c r="V7495">
        <v>7.1976419999999999E-2</v>
      </c>
      <c r="W7495">
        <v>0.19950499999999999</v>
      </c>
      <c r="X7495">
        <v>0.97724979999999995</v>
      </c>
      <c r="Y7495">
        <v>8.495931E-3</v>
      </c>
      <c r="Z7495">
        <v>-2.6470629999999998E-2</v>
      </c>
      <c r="AA7495">
        <v>0.99961350000000004</v>
      </c>
      <c r="AB7495">
        <v>30</v>
      </c>
      <c r="AC7495">
        <v>-1.05000000000001</v>
      </c>
      <c r="AD7495">
        <v>-1.120829890307</v>
      </c>
      <c r="AE7495">
        <v>33.756271999999903</v>
      </c>
      <c r="AF7495">
        <v>0.28910194538553902</v>
      </c>
      <c r="AG7495">
        <v>-1.120829890307</v>
      </c>
      <c r="AH7495">
        <v>33.734202895787902</v>
      </c>
      <c r="AI7495">
        <v>91.902901091274899</v>
      </c>
      <c r="AJ7495">
        <v>89.508987484675501</v>
      </c>
      <c r="AK7495">
        <v>33.754055824330401</v>
      </c>
      <c r="AL7495">
        <v>78.491985846115895</v>
      </c>
      <c r="AM7495">
        <v>85.787656008965897</v>
      </c>
      <c r="AN7495">
        <v>1.00000001083052</v>
      </c>
    </row>
    <row r="7496" spans="1:40" x14ac:dyDescent="0.25">
      <c r="A7496" t="str">
        <f>"20190303170433795"</f>
        <v>20190303170433795</v>
      </c>
      <c r="B7496" t="str">
        <f>"1551603873783150"</f>
        <v>1551603873783150</v>
      </c>
      <c r="C7496" t="s">
        <v>40</v>
      </c>
      <c r="D7496">
        <v>4.8281679999999998</v>
      </c>
      <c r="E7496">
        <v>0.48261399999999999</v>
      </c>
      <c r="F7496" t="s">
        <v>42</v>
      </c>
      <c r="G7496">
        <v>-189.2501</v>
      </c>
      <c r="H7496" s="1">
        <v>-3.7145319999999998E-6</v>
      </c>
      <c r="I7496">
        <v>27.981349999999999</v>
      </c>
      <c r="J7496">
        <v>-188.20820000000001</v>
      </c>
      <c r="K7496">
        <v>1.1208039999999999</v>
      </c>
      <c r="L7496">
        <v>-7.404388</v>
      </c>
      <c r="M7496">
        <v>-3.9656509999999999E-2</v>
      </c>
      <c r="N7496">
        <v>-6.3056689999999999E-3</v>
      </c>
      <c r="O7496">
        <v>0.99919349999999996</v>
      </c>
      <c r="P7496">
        <v>3.2444559999999997E-2</v>
      </c>
      <c r="Q7496">
        <v>0.19321060000000001</v>
      </c>
      <c r="R7496">
        <v>0.98062070000000001</v>
      </c>
      <c r="S7496">
        <v>-9.0988159999999998E-2</v>
      </c>
      <c r="T7496">
        <v>-9.6805450000000001E-2</v>
      </c>
      <c r="U7496">
        <v>3.0815730000000001</v>
      </c>
      <c r="V7496">
        <v>7.1305690000000005E-2</v>
      </c>
      <c r="W7496">
        <v>0.1993779</v>
      </c>
      <c r="X7496">
        <v>0.97732490000000005</v>
      </c>
      <c r="Y7496">
        <v>1.0157640000000001E-2</v>
      </c>
      <c r="Z7496">
        <v>-2.505464E-2</v>
      </c>
      <c r="AA7496">
        <v>0.99963449999999998</v>
      </c>
      <c r="AB7496">
        <v>30</v>
      </c>
      <c r="AC7496">
        <v>-1.0418999999999901</v>
      </c>
      <c r="AD7496">
        <v>-1.1208077145319999</v>
      </c>
      <c r="AE7496">
        <v>35.385738000000003</v>
      </c>
      <c r="AF7496">
        <v>0.36185963901022999</v>
      </c>
      <c r="AG7496">
        <v>-1.1208077145319999</v>
      </c>
      <c r="AH7496">
        <v>35.363772701462899</v>
      </c>
      <c r="AI7496">
        <v>91.815210864714203</v>
      </c>
      <c r="AJ7496">
        <v>89.4137416643363</v>
      </c>
      <c r="AK7496">
        <v>35.383379883951598</v>
      </c>
      <c r="AL7496">
        <v>78.499417366118493</v>
      </c>
      <c r="AM7496">
        <v>85.827089989020294</v>
      </c>
      <c r="AN7496">
        <v>1.00000000429739</v>
      </c>
    </row>
    <row r="7497" spans="1:40" x14ac:dyDescent="0.25">
      <c r="A7497" t="str">
        <f>"20190303170433820"</f>
        <v>20190303170433820</v>
      </c>
      <c r="B7497" t="str">
        <f>"1551603873813405"</f>
        <v>1551603873813405</v>
      </c>
      <c r="C7497" t="s">
        <v>40</v>
      </c>
      <c r="D7497">
        <v>4.8824480000000001</v>
      </c>
      <c r="E7497">
        <v>0.48325659999999998</v>
      </c>
      <c r="F7497" t="s">
        <v>42</v>
      </c>
      <c r="G7497">
        <v>-189.2236</v>
      </c>
      <c r="H7497" s="1">
        <v>-3.7987359999999999E-6</v>
      </c>
      <c r="I7497">
        <v>28.16667</v>
      </c>
      <c r="J7497">
        <v>-188.2217</v>
      </c>
      <c r="K7497">
        <v>1.1207670000000001</v>
      </c>
      <c r="L7497">
        <v>-7.065582</v>
      </c>
      <c r="M7497">
        <v>-3.9633870000000002E-2</v>
      </c>
      <c r="N7497">
        <v>-6.2426599999999997E-3</v>
      </c>
      <c r="O7497">
        <v>0.99919469999999999</v>
      </c>
      <c r="P7497">
        <v>3.2493660000000001E-2</v>
      </c>
      <c r="Q7497">
        <v>0.19124569999999999</v>
      </c>
      <c r="R7497">
        <v>0.98100419999999999</v>
      </c>
      <c r="S7497">
        <v>-8.7951660000000001E-2</v>
      </c>
      <c r="T7497">
        <v>-9.7089529999999993E-2</v>
      </c>
      <c r="U7497">
        <v>3.0813290000000002</v>
      </c>
      <c r="V7497">
        <v>7.1355399999999999E-2</v>
      </c>
      <c r="W7497">
        <v>0.19735140000000001</v>
      </c>
      <c r="X7497">
        <v>0.9777325</v>
      </c>
      <c r="Y7497">
        <v>1.1116900000000001E-2</v>
      </c>
      <c r="Z7497">
        <v>-2.521222E-2</v>
      </c>
      <c r="AA7497">
        <v>0.99962030000000002</v>
      </c>
      <c r="AB7497">
        <v>31</v>
      </c>
      <c r="AC7497">
        <v>-1.0019</v>
      </c>
      <c r="AD7497">
        <v>-1.1207707987360001</v>
      </c>
      <c r="AE7497">
        <v>35.232252000000003</v>
      </c>
      <c r="AF7497">
        <v>0.39490575924674598</v>
      </c>
      <c r="AG7497">
        <v>-1.1207707987360001</v>
      </c>
      <c r="AH7497">
        <v>35.2086776920614</v>
      </c>
      <c r="AI7497">
        <v>91.823122297316004</v>
      </c>
      <c r="AJ7497">
        <v>89.357388972031899</v>
      </c>
      <c r="AK7497">
        <v>35.228724963663502</v>
      </c>
      <c r="AL7497">
        <v>78.6178813749016</v>
      </c>
      <c r="AM7497">
        <v>85.825925845771295</v>
      </c>
      <c r="AN7497">
        <v>1.0000000048736799</v>
      </c>
    </row>
    <row r="7498" spans="1:40" x14ac:dyDescent="0.25">
      <c r="A7498" t="str">
        <f>"20190303170433840"</f>
        <v>20190303170433840</v>
      </c>
      <c r="B7498" t="str">
        <f>"1551603873832925"</f>
        <v>1551603873832925</v>
      </c>
      <c r="C7498" t="s">
        <v>40</v>
      </c>
      <c r="D7498">
        <v>4.8784919999999996</v>
      </c>
      <c r="E7498">
        <v>0.48360199999999998</v>
      </c>
      <c r="F7498" t="s">
        <v>42</v>
      </c>
      <c r="G7498">
        <v>-189.11519999999999</v>
      </c>
      <c r="H7498" s="1">
        <v>-3.044623E-6</v>
      </c>
      <c r="I7498">
        <v>26.36403</v>
      </c>
      <c r="J7498">
        <v>-188.23269999999999</v>
      </c>
      <c r="K7498">
        <v>1.120725</v>
      </c>
      <c r="L7498">
        <v>-6.7886350000000002</v>
      </c>
      <c r="M7498">
        <v>-3.959696E-2</v>
      </c>
      <c r="N7498">
        <v>-6.1885830000000001E-3</v>
      </c>
      <c r="O7498">
        <v>0.99919659999999999</v>
      </c>
      <c r="P7498">
        <v>3.2559419999999999E-2</v>
      </c>
      <c r="Q7498">
        <v>0.1899005</v>
      </c>
      <c r="R7498">
        <v>0.98126329999999995</v>
      </c>
      <c r="S7498">
        <v>-8.2351679999999997E-2</v>
      </c>
      <c r="T7498">
        <v>-0.1032932</v>
      </c>
      <c r="U7498">
        <v>3.0809630000000001</v>
      </c>
      <c r="V7498">
        <v>7.1402430000000003E-2</v>
      </c>
      <c r="W7498">
        <v>0.19595209999999999</v>
      </c>
      <c r="X7498">
        <v>0.9780105</v>
      </c>
      <c r="Y7498">
        <v>1.289324E-2</v>
      </c>
      <c r="Z7498">
        <v>-2.7278199999999999E-2</v>
      </c>
      <c r="AA7498">
        <v>0.99954469999999995</v>
      </c>
      <c r="AB7498">
        <v>31</v>
      </c>
      <c r="AC7498">
        <v>-0.88249999999999296</v>
      </c>
      <c r="AD7498">
        <v>-1.1207280446229999</v>
      </c>
      <c r="AE7498">
        <v>33.152664999999999</v>
      </c>
      <c r="AF7498">
        <v>0.43047040373701101</v>
      </c>
      <c r="AG7498">
        <v>-1.1207280446229999</v>
      </c>
      <c r="AH7498">
        <v>33.123781968609897</v>
      </c>
      <c r="AI7498">
        <v>91.937673814900904</v>
      </c>
      <c r="AJ7498">
        <v>89.255436804114495</v>
      </c>
      <c r="AK7498">
        <v>33.145531644891499</v>
      </c>
      <c r="AL7498">
        <v>78.699652418441502</v>
      </c>
      <c r="AM7498">
        <v>85.8243675288563</v>
      </c>
      <c r="AN7498">
        <v>1.00000003530728</v>
      </c>
    </row>
    <row r="7499" spans="1:40" x14ac:dyDescent="0.25">
      <c r="A7499" t="str">
        <f>"20190303170433864"</f>
        <v>20190303170433864</v>
      </c>
      <c r="B7499" t="str">
        <f>"1551603873853422"</f>
        <v>1551603873853422</v>
      </c>
      <c r="C7499" t="s">
        <v>40</v>
      </c>
      <c r="D7499">
        <v>4.881926</v>
      </c>
      <c r="E7499">
        <v>0.48401440000000001</v>
      </c>
      <c r="F7499" t="s">
        <v>42</v>
      </c>
      <c r="G7499">
        <v>-189.0478</v>
      </c>
      <c r="H7499" s="1">
        <v>-2.5196189999999999E-6</v>
      </c>
      <c r="I7499">
        <v>25.11234</v>
      </c>
      <c r="J7499">
        <v>-188.2456</v>
      </c>
      <c r="K7499">
        <v>1.120689</v>
      </c>
      <c r="L7499">
        <v>-6.4607539999999997</v>
      </c>
      <c r="M7499">
        <v>-3.9533260000000001E-2</v>
      </c>
      <c r="N7499">
        <v>-6.1272000000000002E-3</v>
      </c>
      <c r="O7499">
        <v>0.99919950000000002</v>
      </c>
      <c r="P7499">
        <v>3.2200189999999997E-2</v>
      </c>
      <c r="Q7499">
        <v>0.19066050000000001</v>
      </c>
      <c r="R7499">
        <v>0.98112779999999999</v>
      </c>
      <c r="S7499">
        <v>-7.8720090000000006E-2</v>
      </c>
      <c r="T7499">
        <v>-0.10823439999999999</v>
      </c>
      <c r="U7499">
        <v>3.0808409999999999</v>
      </c>
      <c r="V7499">
        <v>7.0985030000000005E-2</v>
      </c>
      <c r="W7499">
        <v>0.19664780000000001</v>
      </c>
      <c r="X7499">
        <v>0.97790120000000003</v>
      </c>
      <c r="Y7499">
        <v>1.400685E-2</v>
      </c>
      <c r="Z7499">
        <v>-2.8940210000000001E-2</v>
      </c>
      <c r="AA7499">
        <v>0.99948300000000001</v>
      </c>
      <c r="AB7499">
        <v>31</v>
      </c>
      <c r="AC7499">
        <v>-0.80219999999999902</v>
      </c>
      <c r="AD7499">
        <v>-1.1206915196189999</v>
      </c>
      <c r="AE7499">
        <v>31.573094000000001</v>
      </c>
      <c r="AF7499">
        <v>0.44607621421228699</v>
      </c>
      <c r="AG7499">
        <v>-1.1206915196189999</v>
      </c>
      <c r="AH7499">
        <v>31.540412849824499</v>
      </c>
      <c r="AI7499">
        <v>92.034769794765197</v>
      </c>
      <c r="AJ7499">
        <v>89.189719530730102</v>
      </c>
      <c r="AK7499">
        <v>31.563469014169002</v>
      </c>
      <c r="AL7499">
        <v>78.659000352738204</v>
      </c>
      <c r="AM7499">
        <v>85.848229232106206</v>
      </c>
      <c r="AN7499">
        <v>0.99999999434519005</v>
      </c>
    </row>
    <row r="7500" spans="1:40" x14ac:dyDescent="0.25">
      <c r="A7500" t="str">
        <f>"20190303170433884"</f>
        <v>20190303170433884</v>
      </c>
      <c r="B7500" t="str">
        <f>"1551603873872941"</f>
        <v>1551603873872941</v>
      </c>
      <c r="C7500" t="s">
        <v>40</v>
      </c>
      <c r="D7500">
        <v>4.8199129999999997</v>
      </c>
      <c r="E7500">
        <v>0.48434630000000001</v>
      </c>
      <c r="F7500" t="s">
        <v>42</v>
      </c>
      <c r="G7500">
        <v>-189.04419999999999</v>
      </c>
      <c r="H7500" s="1">
        <v>-2.926527E-6</v>
      </c>
      <c r="I7500">
        <v>26.059360000000002</v>
      </c>
      <c r="J7500">
        <v>-188.2569</v>
      </c>
      <c r="K7500">
        <v>1.120665</v>
      </c>
      <c r="L7500">
        <v>-6.1738589999999904</v>
      </c>
      <c r="M7500">
        <v>-3.9458550000000002E-2</v>
      </c>
      <c r="N7500">
        <v>-6.0721999999999998E-3</v>
      </c>
      <c r="O7500">
        <v>0.9992027</v>
      </c>
      <c r="P7500">
        <v>3.113519E-2</v>
      </c>
      <c r="Q7500">
        <v>0.19193260000000001</v>
      </c>
      <c r="R7500">
        <v>0.98091410000000001</v>
      </c>
      <c r="S7500">
        <v>-7.5653079999999998E-2</v>
      </c>
      <c r="T7500">
        <v>-0.10616929999999999</v>
      </c>
      <c r="U7500">
        <v>3.0808110000000002</v>
      </c>
      <c r="V7500">
        <v>6.9848129999999994E-2</v>
      </c>
      <c r="W7500">
        <v>0.19786229999999999</v>
      </c>
      <c r="X7500">
        <v>0.97773810000000005</v>
      </c>
      <c r="Y7500">
        <v>1.492571E-2</v>
      </c>
      <c r="Z7500">
        <v>-2.8327450000000001E-2</v>
      </c>
      <c r="AA7500">
        <v>0.99948729999999997</v>
      </c>
      <c r="AB7500">
        <v>31</v>
      </c>
      <c r="AC7500">
        <v>-0.78729999999998701</v>
      </c>
      <c r="AD7500">
        <v>-1.1206679265270001</v>
      </c>
      <c r="AE7500">
        <v>32.233218999999998</v>
      </c>
      <c r="AF7500">
        <v>0.48462731373029</v>
      </c>
      <c r="AG7500">
        <v>-1.1206679265270001</v>
      </c>
      <c r="AH7500">
        <v>32.200281610883501</v>
      </c>
      <c r="AI7500">
        <v>91.993037676037204</v>
      </c>
      <c r="AJ7500">
        <v>89.137740353279398</v>
      </c>
      <c r="AK7500">
        <v>32.223421544816702</v>
      </c>
      <c r="AL7500">
        <v>78.588020331304094</v>
      </c>
      <c r="AM7500">
        <v>85.913818015737107</v>
      </c>
      <c r="AN7500">
        <v>1.0000000216086899</v>
      </c>
    </row>
    <row r="7501" spans="1:40" x14ac:dyDescent="0.25">
      <c r="A7501" t="str">
        <f>"20190303170433905"</f>
        <v>20190303170433905</v>
      </c>
      <c r="B7501" t="str">
        <f>"1551603873893438"</f>
        <v>1551603873893438</v>
      </c>
      <c r="C7501" t="s">
        <v>40</v>
      </c>
      <c r="D7501">
        <v>4.8220400000000003</v>
      </c>
      <c r="E7501">
        <v>0.48458899999999999</v>
      </c>
      <c r="F7501" t="s">
        <v>42</v>
      </c>
      <c r="G7501">
        <v>-189.0976</v>
      </c>
      <c r="H7501" s="1">
        <v>-3.6312979999999998E-6</v>
      </c>
      <c r="I7501">
        <v>27.72428</v>
      </c>
      <c r="J7501">
        <v>-188.26830000000001</v>
      </c>
      <c r="K7501">
        <v>1.1206339999999999</v>
      </c>
      <c r="L7501">
        <v>-5.8829960000000003</v>
      </c>
      <c r="M7501">
        <v>-3.936423E-2</v>
      </c>
      <c r="N7501">
        <v>-6.015846E-3</v>
      </c>
      <c r="O7501">
        <v>0.99920679999999995</v>
      </c>
      <c r="P7501">
        <v>3.082588E-2</v>
      </c>
      <c r="Q7501">
        <v>0.19189909999999999</v>
      </c>
      <c r="R7501">
        <v>0.98093039999999998</v>
      </c>
      <c r="S7501">
        <v>-7.6400759999999998E-2</v>
      </c>
      <c r="T7501">
        <v>-0.1018482</v>
      </c>
      <c r="U7501">
        <v>3.0807190000000002</v>
      </c>
      <c r="V7501">
        <v>6.9455989999999995E-2</v>
      </c>
      <c r="W7501">
        <v>0.19777120000000001</v>
      </c>
      <c r="X7501">
        <v>0.97778449999999995</v>
      </c>
      <c r="Y7501">
        <v>1.4587350000000001E-2</v>
      </c>
      <c r="Z7501">
        <v>-2.6986400000000001E-2</v>
      </c>
      <c r="AA7501">
        <v>0.99952940000000001</v>
      </c>
      <c r="AB7501">
        <v>31</v>
      </c>
      <c r="AC7501">
        <v>-0.82929999999998905</v>
      </c>
      <c r="AD7501">
        <v>-1.120637631298</v>
      </c>
      <c r="AE7501">
        <v>33.607275999999999</v>
      </c>
      <c r="AF7501">
        <v>0.49374264073730501</v>
      </c>
      <c r="AG7501">
        <v>-1.120637631298</v>
      </c>
      <c r="AH7501">
        <v>33.576561463900099</v>
      </c>
      <c r="AI7501">
        <v>91.911364522484604</v>
      </c>
      <c r="AJ7501">
        <v>89.157527470141204</v>
      </c>
      <c r="AK7501">
        <v>33.598885252862601</v>
      </c>
      <c r="AL7501">
        <v>78.593345590458497</v>
      </c>
      <c r="AM7501">
        <v>85.936873697542296</v>
      </c>
      <c r="AN7501">
        <v>1.00000005526828</v>
      </c>
    </row>
    <row r="7502" spans="1:40" x14ac:dyDescent="0.25">
      <c r="A7502" t="str">
        <f>"20190303170433929"</f>
        <v>20190303170433929</v>
      </c>
      <c r="B7502" t="str">
        <f>"1551603873922718"</f>
        <v>1551603873922718</v>
      </c>
      <c r="C7502" t="s">
        <v>40</v>
      </c>
      <c r="D7502">
        <v>4.8790009999999997</v>
      </c>
      <c r="E7502">
        <v>0.48487140000000001</v>
      </c>
      <c r="F7502" t="s">
        <v>42</v>
      </c>
      <c r="G7502">
        <v>-189.0951</v>
      </c>
      <c r="H7502" s="1">
        <v>-3.7394289999999999E-6</v>
      </c>
      <c r="I7502">
        <v>27.97531</v>
      </c>
      <c r="J7502">
        <v>-188.2816</v>
      </c>
      <c r="K7502">
        <v>1.1205959999999999</v>
      </c>
      <c r="L7502">
        <v>-5.5419010000000002</v>
      </c>
      <c r="M7502">
        <v>-3.9231719999999998E-2</v>
      </c>
      <c r="N7502">
        <v>-5.9545090000000002E-3</v>
      </c>
      <c r="O7502">
        <v>0.9992124</v>
      </c>
      <c r="P7502">
        <v>3.1000199999999999E-2</v>
      </c>
      <c r="Q7502">
        <v>0.1907151</v>
      </c>
      <c r="R7502">
        <v>0.98115580000000002</v>
      </c>
      <c r="S7502">
        <v>-7.5225829999999994E-2</v>
      </c>
      <c r="T7502">
        <v>-0.1019622</v>
      </c>
      <c r="U7502">
        <v>3.0806269999999998</v>
      </c>
      <c r="V7502">
        <v>6.951823E-2</v>
      </c>
      <c r="W7502">
        <v>0.19652530000000001</v>
      </c>
      <c r="X7502">
        <v>0.97803119999999999</v>
      </c>
      <c r="Y7502">
        <v>1.4835040000000001E-2</v>
      </c>
      <c r="Z7502">
        <v>-2.7085850000000002E-2</v>
      </c>
      <c r="AA7502">
        <v>0.99952300000000005</v>
      </c>
      <c r="AB7502">
        <v>31</v>
      </c>
      <c r="AC7502">
        <v>-0.813500000000004</v>
      </c>
      <c r="AD7502">
        <v>-1.1205997394289999</v>
      </c>
      <c r="AE7502">
        <v>33.517211000000003</v>
      </c>
      <c r="AF7502">
        <v>0.50152717122645696</v>
      </c>
      <c r="AG7502">
        <v>-1.1205997394289999</v>
      </c>
      <c r="AH7502">
        <v>33.4859134666575</v>
      </c>
      <c r="AI7502">
        <v>91.9164623339245</v>
      </c>
      <c r="AJ7502">
        <v>89.141930474260704</v>
      </c>
      <c r="AK7502">
        <v>33.508411988274801</v>
      </c>
      <c r="AL7502">
        <v>78.666158871244093</v>
      </c>
      <c r="AM7502">
        <v>85.934267276138996</v>
      </c>
      <c r="AN7502">
        <v>1.0000000030079299</v>
      </c>
    </row>
    <row r="7503" spans="1:40" x14ac:dyDescent="0.25">
      <c r="A7503" t="str">
        <f>"20190303170433951"</f>
        <v>20190303170433951</v>
      </c>
      <c r="B7503" t="str">
        <f>"1551603873943214"</f>
        <v>1551603873943214</v>
      </c>
      <c r="C7503" t="s">
        <v>40</v>
      </c>
      <c r="D7503">
        <v>4.8748849999999999</v>
      </c>
      <c r="E7503">
        <v>0.48507260000000002</v>
      </c>
      <c r="F7503" t="s">
        <v>42</v>
      </c>
      <c r="G7503">
        <v>-189.04259999999999</v>
      </c>
      <c r="H7503" s="1">
        <v>-3.3824929999999998E-6</v>
      </c>
      <c r="I7503">
        <v>27.121559999999999</v>
      </c>
      <c r="J7503">
        <v>-188.2936</v>
      </c>
      <c r="K7503">
        <v>1.120565</v>
      </c>
      <c r="L7503">
        <v>-5.2337949999999998</v>
      </c>
      <c r="M7503">
        <v>-3.9095169999999999E-2</v>
      </c>
      <c r="N7503">
        <v>-5.9048969999999897E-3</v>
      </c>
      <c r="O7503">
        <v>0.99921800000000005</v>
      </c>
      <c r="P7503">
        <v>3.0774760000000002E-2</v>
      </c>
      <c r="Q7503">
        <v>0.19006300000000001</v>
      </c>
      <c r="R7503">
        <v>0.98128939999999998</v>
      </c>
      <c r="S7503">
        <v>-7.1762080000000006E-2</v>
      </c>
      <c r="T7503">
        <v>-0.1056811</v>
      </c>
      <c r="U7503">
        <v>3.0804140000000002</v>
      </c>
      <c r="V7503">
        <v>6.9171250000000004E-2</v>
      </c>
      <c r="W7503">
        <v>0.195823</v>
      </c>
      <c r="X7503">
        <v>0.97819659999999997</v>
      </c>
      <c r="Y7503">
        <v>1.5820609999999999E-2</v>
      </c>
      <c r="Z7503">
        <v>-2.8341829999999998E-2</v>
      </c>
      <c r="AA7503">
        <v>0.9994731</v>
      </c>
      <c r="AB7503">
        <v>31</v>
      </c>
      <c r="AC7503">
        <v>-0.748999999999995</v>
      </c>
      <c r="AD7503">
        <v>-1.1205683824929999</v>
      </c>
      <c r="AE7503">
        <v>32.355355000000003</v>
      </c>
      <c r="AF7503">
        <v>0.51591436497401899</v>
      </c>
      <c r="AG7503">
        <v>-1.1205683824929999</v>
      </c>
      <c r="AH7503">
        <v>32.321153944325602</v>
      </c>
      <c r="AI7503">
        <v>91.985385964705102</v>
      </c>
      <c r="AJ7503">
        <v>89.0855151509721</v>
      </c>
      <c r="AK7503">
        <v>32.344687870261197</v>
      </c>
      <c r="AL7503">
        <v>78.707194448175798</v>
      </c>
      <c r="AM7503">
        <v>85.955174421171293</v>
      </c>
      <c r="AN7503">
        <v>0.99999994870355902</v>
      </c>
    </row>
    <row r="7504" spans="1:40" x14ac:dyDescent="0.25">
      <c r="A7504" t="str">
        <f>"20190303170433976"</f>
        <v>20190303170433976</v>
      </c>
      <c r="B7504" t="str">
        <f>"1551603873962733"</f>
        <v>1551603873962733</v>
      </c>
      <c r="C7504" t="s">
        <v>40</v>
      </c>
      <c r="D7504">
        <v>4.8187920000000002</v>
      </c>
      <c r="E7504">
        <v>0.48523339999999998</v>
      </c>
      <c r="F7504" t="s">
        <v>42</v>
      </c>
      <c r="G7504">
        <v>-189.0197</v>
      </c>
      <c r="H7504" s="1">
        <v>-3.2055160000000001E-6</v>
      </c>
      <c r="I7504">
        <v>26.699560000000002</v>
      </c>
      <c r="J7504">
        <v>-188.30719999999999</v>
      </c>
      <c r="K7504">
        <v>1.1205459999999901</v>
      </c>
      <c r="L7504">
        <v>-4.8838809999999997</v>
      </c>
      <c r="M7504">
        <v>-3.8924319999999998E-2</v>
      </c>
      <c r="N7504">
        <v>-5.8647689999999997E-3</v>
      </c>
      <c r="O7504">
        <v>0.99922500000000003</v>
      </c>
      <c r="P7504">
        <v>3.009597E-2</v>
      </c>
      <c r="Q7504">
        <v>0.1899207</v>
      </c>
      <c r="R7504">
        <v>0.98133800000000004</v>
      </c>
      <c r="S7504">
        <v>-7.0037840000000004E-2</v>
      </c>
      <c r="T7504">
        <v>-0.1080911</v>
      </c>
      <c r="U7504">
        <v>3.0803219999999998</v>
      </c>
      <c r="V7504">
        <v>6.8333950000000004E-2</v>
      </c>
      <c r="W7504">
        <v>0.1956397</v>
      </c>
      <c r="X7504">
        <v>0.97829219999999895</v>
      </c>
      <c r="Y7504">
        <v>1.6208589999999998E-2</v>
      </c>
      <c r="Z7504">
        <v>-2.9163419999999999E-2</v>
      </c>
      <c r="AA7504">
        <v>0.99944319999999998</v>
      </c>
      <c r="AB7504">
        <v>31</v>
      </c>
      <c r="AC7504">
        <v>-0.71250000000000502</v>
      </c>
      <c r="AD7504">
        <v>-1.12054920551599</v>
      </c>
      <c r="AE7504">
        <v>31.583441000000001</v>
      </c>
      <c r="AF7504">
        <v>0.516774860041325</v>
      </c>
      <c r="AG7504">
        <v>-1.12054920551599</v>
      </c>
      <c r="AH7504">
        <v>31.5475484881797</v>
      </c>
      <c r="AI7504">
        <v>92.033982434008607</v>
      </c>
      <c r="AJ7504">
        <v>89.061531816554904</v>
      </c>
      <c r="AK7504">
        <v>31.571672467450998</v>
      </c>
      <c r="AL7504">
        <v>78.717904781706807</v>
      </c>
      <c r="AM7504">
        <v>86.004365630505504</v>
      </c>
      <c r="AN7504">
        <v>1.00000002475976</v>
      </c>
    </row>
    <row r="7505" spans="1:40" x14ac:dyDescent="0.25">
      <c r="A7505" t="str">
        <f>"20190303170433995"</f>
        <v>20190303170433995</v>
      </c>
      <c r="B7505" t="str">
        <f>"1551603873983230"</f>
        <v>1551603873983230</v>
      </c>
      <c r="C7505" t="s">
        <v>40</v>
      </c>
      <c r="D7505">
        <v>4.8191110000000004</v>
      </c>
      <c r="E7505">
        <v>0.48540840000000002</v>
      </c>
      <c r="F7505" t="s">
        <v>42</v>
      </c>
      <c r="G7505">
        <v>-189.03649999999999</v>
      </c>
      <c r="H7505" s="1">
        <v>-3.306753E-6</v>
      </c>
      <c r="I7505">
        <v>26.942499999999999</v>
      </c>
      <c r="J7505">
        <v>-188.3176</v>
      </c>
      <c r="K7505">
        <v>1.1205369999999999</v>
      </c>
      <c r="L7505">
        <v>-4.6117549999999996</v>
      </c>
      <c r="M7505">
        <v>-3.8779840000000003E-2</v>
      </c>
      <c r="N7505">
        <v>-5.8480299999999997E-3</v>
      </c>
      <c r="O7505">
        <v>0.99923070000000003</v>
      </c>
      <c r="P7505">
        <v>2.9243769999999999E-2</v>
      </c>
      <c r="Q7505">
        <v>0.1906466</v>
      </c>
      <c r="R7505">
        <v>0.98122299999999996</v>
      </c>
      <c r="S7505">
        <v>-7.0587159999999996E-2</v>
      </c>
      <c r="T7505">
        <v>-0.1084483</v>
      </c>
      <c r="U7505">
        <v>3.0802</v>
      </c>
      <c r="V7505">
        <v>6.7341170000000006E-2</v>
      </c>
      <c r="W7505">
        <v>0.19634769999999999</v>
      </c>
      <c r="X7505">
        <v>0.97821919999999996</v>
      </c>
      <c r="Y7505">
        <v>1.5885090000000001E-2</v>
      </c>
      <c r="Z7505">
        <v>-2.9297460000000001E-2</v>
      </c>
      <c r="AA7505">
        <v>0.99944449999999996</v>
      </c>
      <c r="AB7505">
        <v>32</v>
      </c>
      <c r="AC7505">
        <v>-0.71889999999998999</v>
      </c>
      <c r="AD7505">
        <v>-1.120540306753</v>
      </c>
      <c r="AE7505">
        <v>31.554255000000001</v>
      </c>
      <c r="AF7505">
        <v>0.50469450929912296</v>
      </c>
      <c r="AG7505">
        <v>-1.120540306753</v>
      </c>
      <c r="AH7505">
        <v>31.518671100095101</v>
      </c>
      <c r="AI7505">
        <v>92.035840375995207</v>
      </c>
      <c r="AJ7505">
        <v>89.082626479794399</v>
      </c>
      <c r="AK7505">
        <v>31.542621245589999</v>
      </c>
      <c r="AL7505">
        <v>78.676537084672702</v>
      </c>
      <c r="AM7505">
        <v>86.061938736464</v>
      </c>
      <c r="AN7505">
        <v>1.00000002786044</v>
      </c>
    </row>
    <row r="7506" spans="1:40" x14ac:dyDescent="0.25">
      <c r="A7506" t="str">
        <f>"20190303170434010"</f>
        <v>20190303170434010</v>
      </c>
      <c r="B7506" t="str">
        <f>"1551603874002749"</f>
        <v>1551603874002749</v>
      </c>
      <c r="C7506" t="s">
        <v>40</v>
      </c>
      <c r="D7506">
        <v>4.8770410000000002</v>
      </c>
      <c r="E7506">
        <v>0.4856374</v>
      </c>
      <c r="F7506" t="s">
        <v>42</v>
      </c>
      <c r="G7506">
        <v>-189.0745</v>
      </c>
      <c r="H7506" s="1">
        <v>-3.7203289999999999E-6</v>
      </c>
      <c r="I7506">
        <v>27.922270000000001</v>
      </c>
      <c r="J7506">
        <v>-188.32599999999999</v>
      </c>
      <c r="K7506">
        <v>1.1205179999999999</v>
      </c>
      <c r="L7506">
        <v>-4.3923949999999996</v>
      </c>
      <c r="M7506">
        <v>-3.8657560000000001E-2</v>
      </c>
      <c r="N7506">
        <v>-5.8389660000000001E-3</v>
      </c>
      <c r="O7506">
        <v>0.99923550000000005</v>
      </c>
      <c r="P7506">
        <v>2.904547E-2</v>
      </c>
      <c r="Q7506">
        <v>0.1909025</v>
      </c>
      <c r="R7506">
        <v>0.98117920000000003</v>
      </c>
      <c r="S7506">
        <v>-7.1655269999999993E-2</v>
      </c>
      <c r="T7506">
        <v>-0.1060876</v>
      </c>
      <c r="U7506">
        <v>3.0801699999999999</v>
      </c>
      <c r="V7506">
        <v>6.7024970000000003E-2</v>
      </c>
      <c r="W7506">
        <v>0.19659360000000001</v>
      </c>
      <c r="X7506">
        <v>0.97819149999999999</v>
      </c>
      <c r="Y7506">
        <v>1.5415699999999999E-2</v>
      </c>
      <c r="Z7506">
        <v>-2.8542970000000001E-2</v>
      </c>
      <c r="AA7506">
        <v>0.99947370000000002</v>
      </c>
      <c r="AB7506">
        <v>32</v>
      </c>
      <c r="AC7506">
        <v>-0.74850000000000705</v>
      </c>
      <c r="AD7506">
        <v>-1.1205217203290001</v>
      </c>
      <c r="AE7506">
        <v>32.314664999999998</v>
      </c>
      <c r="AF7506">
        <v>0.50068516315631295</v>
      </c>
      <c r="AG7506">
        <v>-1.1205217203290001</v>
      </c>
      <c r="AH7506">
        <v>32.2806524432999</v>
      </c>
      <c r="AI7506">
        <v>91.987806371978706</v>
      </c>
      <c r="AJ7506">
        <v>89.111391981437706</v>
      </c>
      <c r="AK7506">
        <v>32.303974627334298</v>
      </c>
      <c r="AL7506">
        <v>78.662167679817998</v>
      </c>
      <c r="AM7506">
        <v>86.080261454221301</v>
      </c>
      <c r="AN7506">
        <v>1.00000000041835</v>
      </c>
    </row>
    <row r="7507" spans="1:40" x14ac:dyDescent="0.25">
      <c r="A7507" t="str">
        <f>"20190303170434029"</f>
        <v>20190303170434029</v>
      </c>
      <c r="B7507" t="str">
        <f>"1551603874022777"</f>
        <v>1551603874022777</v>
      </c>
      <c r="C7507" t="s">
        <v>40</v>
      </c>
      <c r="D7507">
        <v>4.9234780000000002</v>
      </c>
      <c r="E7507">
        <v>0.48579280000000002</v>
      </c>
      <c r="F7507" t="s">
        <v>42</v>
      </c>
      <c r="G7507">
        <v>-189.0762</v>
      </c>
      <c r="H7507" s="1">
        <v>-3.9748849999999996E-6</v>
      </c>
      <c r="I7507">
        <v>28.51634</v>
      </c>
      <c r="J7507">
        <v>-188.33629999999999</v>
      </c>
      <c r="K7507">
        <v>1.1205020000000001</v>
      </c>
      <c r="L7507">
        <v>-4.1227720000000003</v>
      </c>
      <c r="M7507">
        <v>-3.8500140000000002E-2</v>
      </c>
      <c r="N7507">
        <v>-5.8367699999999998E-3</v>
      </c>
      <c r="O7507">
        <v>0.9992415</v>
      </c>
      <c r="P7507">
        <v>2.8075340000000001E-2</v>
      </c>
      <c r="Q7507">
        <v>0.19003500000000001</v>
      </c>
      <c r="R7507">
        <v>0.98137580000000002</v>
      </c>
      <c r="S7507">
        <v>-7.0205690000000001E-2</v>
      </c>
      <c r="T7507">
        <v>-0.1048727</v>
      </c>
      <c r="U7507">
        <v>3.0800169999999998</v>
      </c>
      <c r="V7507">
        <v>6.5913050000000001E-2</v>
      </c>
      <c r="W7507">
        <v>0.19572390000000001</v>
      </c>
      <c r="X7507">
        <v>0.97844140000000002</v>
      </c>
      <c r="Y7507">
        <v>1.5726899999999999E-2</v>
      </c>
      <c r="Z7507">
        <v>-2.8153919999999999E-2</v>
      </c>
      <c r="AA7507">
        <v>0.99947989999999998</v>
      </c>
      <c r="AB7507">
        <v>32</v>
      </c>
      <c r="AC7507">
        <v>-0.739900000000005</v>
      </c>
      <c r="AD7507">
        <v>-1.1205059748849999</v>
      </c>
      <c r="AE7507">
        <v>32.639111999999997</v>
      </c>
      <c r="AF7507">
        <v>0.51667181590292599</v>
      </c>
      <c r="AG7507">
        <v>-1.1205059748849999</v>
      </c>
      <c r="AH7507">
        <v>32.604991903699599</v>
      </c>
      <c r="AI7507">
        <v>91.968010225916998</v>
      </c>
      <c r="AJ7507">
        <v>89.092144017667707</v>
      </c>
      <c r="AK7507">
        <v>32.628330947895797</v>
      </c>
      <c r="AL7507">
        <v>78.7129847944109</v>
      </c>
      <c r="AM7507">
        <v>86.146072391423502</v>
      </c>
      <c r="AN7507">
        <v>0.99999997421273501</v>
      </c>
    </row>
    <row r="7508" spans="1:40" x14ac:dyDescent="0.25">
      <c r="A7508" t="str">
        <f>"20190303170434053"</f>
        <v>20190303170434053</v>
      </c>
      <c r="B7508" t="str">
        <f>"1551603874043273"</f>
        <v>1551603874043273</v>
      </c>
      <c r="C7508" t="s">
        <v>40</v>
      </c>
      <c r="D7508">
        <v>4.9817359999999997</v>
      </c>
      <c r="E7508">
        <v>0.48598000000000002</v>
      </c>
      <c r="F7508" t="s">
        <v>42</v>
      </c>
      <c r="G7508">
        <v>-189.08340000000001</v>
      </c>
      <c r="H7508" s="1">
        <v>-3.7522720000000001E-6</v>
      </c>
      <c r="I7508">
        <v>28.000419999999998</v>
      </c>
      <c r="J7508">
        <v>-188.3492</v>
      </c>
      <c r="K7508">
        <v>1.12049</v>
      </c>
      <c r="L7508">
        <v>-3.7845149999999999</v>
      </c>
      <c r="M7508">
        <v>-3.8282190000000001E-2</v>
      </c>
      <c r="N7508">
        <v>-5.8614349999999999E-3</v>
      </c>
      <c r="O7508">
        <v>0.99924979999999997</v>
      </c>
      <c r="P7508">
        <v>2.7399099999999999E-2</v>
      </c>
      <c r="Q7508">
        <v>0.1887528</v>
      </c>
      <c r="R7508">
        <v>0.98164229999999997</v>
      </c>
      <c r="S7508">
        <v>-7.1624759999999996E-2</v>
      </c>
      <c r="T7508">
        <v>-0.1074271</v>
      </c>
      <c r="U7508">
        <v>3.0797729999999999</v>
      </c>
      <c r="V7508">
        <v>6.5041440000000006E-2</v>
      </c>
      <c r="W7508">
        <v>0.19446540000000001</v>
      </c>
      <c r="X7508">
        <v>0.97875060000000003</v>
      </c>
      <c r="Y7508">
        <v>1.504729E-2</v>
      </c>
      <c r="Z7508">
        <v>-2.8959450000000001E-2</v>
      </c>
      <c r="AA7508">
        <v>0.99946729999999995</v>
      </c>
      <c r="AB7508">
        <v>32</v>
      </c>
      <c r="AC7508">
        <v>-0.73420000000001495</v>
      </c>
      <c r="AD7508">
        <v>-1.120493752272</v>
      </c>
      <c r="AE7508">
        <v>31.784934999999901</v>
      </c>
      <c r="AF7508">
        <v>0.48255663949259697</v>
      </c>
      <c r="AG7508">
        <v>-1.120493752272</v>
      </c>
      <c r="AH7508">
        <v>31.7503061357557</v>
      </c>
      <c r="AI7508">
        <v>92.020941971339695</v>
      </c>
      <c r="AJ7508">
        <v>89.129257837092098</v>
      </c>
      <c r="AK7508">
        <v>31.7737361176397</v>
      </c>
      <c r="AL7508">
        <v>78.786504085176801</v>
      </c>
      <c r="AM7508">
        <v>86.198082689024403</v>
      </c>
      <c r="AN7508">
        <v>0.99999995885739601</v>
      </c>
    </row>
    <row r="7509" spans="1:40" x14ac:dyDescent="0.25">
      <c r="A7509" t="str">
        <f>"20190303170434075"</f>
        <v>20190303170434075</v>
      </c>
      <c r="B7509" t="str">
        <f>"1551603874062793"</f>
        <v>1551603874062793</v>
      </c>
      <c r="C7509" t="s">
        <v>40</v>
      </c>
      <c r="D7509">
        <v>4.8591739999999897</v>
      </c>
      <c r="E7509">
        <v>0.48611779999999999</v>
      </c>
      <c r="F7509" t="s">
        <v>42</v>
      </c>
      <c r="G7509">
        <v>-189.0694</v>
      </c>
      <c r="H7509" s="1">
        <v>-3.41996E-6</v>
      </c>
      <c r="I7509">
        <v>27.219989999999999</v>
      </c>
      <c r="J7509">
        <v>-188.36099999999999</v>
      </c>
      <c r="K7509">
        <v>1.1204780000000001</v>
      </c>
      <c r="L7509">
        <v>-3.471924</v>
      </c>
      <c r="M7509">
        <v>-3.8048829999999999E-2</v>
      </c>
      <c r="N7509">
        <v>-5.9112239999999996E-3</v>
      </c>
      <c r="O7509">
        <v>0.99925839999999999</v>
      </c>
      <c r="P7509">
        <v>2.663925E-2</v>
      </c>
      <c r="Q7509">
        <v>0.1885434</v>
      </c>
      <c r="R7509">
        <v>0.98170349999999995</v>
      </c>
      <c r="S7509">
        <v>-7.1533200000000005E-2</v>
      </c>
      <c r="T7509">
        <v>-0.1112921</v>
      </c>
      <c r="U7509">
        <v>3.0794980000000001</v>
      </c>
      <c r="V7509">
        <v>6.4066869999999998E-2</v>
      </c>
      <c r="W7509">
        <v>0.19430210000000001</v>
      </c>
      <c r="X7509">
        <v>0.97884729999999998</v>
      </c>
      <c r="Y7509">
        <v>1.484219E-2</v>
      </c>
      <c r="Z7509">
        <v>-3.0164659999999999E-2</v>
      </c>
      <c r="AA7509">
        <v>0.99943479999999996</v>
      </c>
      <c r="AB7509">
        <v>32</v>
      </c>
      <c r="AC7509">
        <v>-0.70840000000001102</v>
      </c>
      <c r="AD7509">
        <v>-1.1204814199599999</v>
      </c>
      <c r="AE7509">
        <v>30.691914000000001</v>
      </c>
      <c r="AF7509">
        <v>0.459312960490464</v>
      </c>
      <c r="AG7509">
        <v>-1.1204814199599999</v>
      </c>
      <c r="AH7509">
        <v>30.6558069249147</v>
      </c>
      <c r="AI7509">
        <v>92.093016045707898</v>
      </c>
      <c r="AJ7509">
        <v>89.141607161529294</v>
      </c>
      <c r="AK7509">
        <v>30.679715533651901</v>
      </c>
      <c r="AL7509">
        <v>78.796042361858994</v>
      </c>
      <c r="AM7509">
        <v>86.255255552834399</v>
      </c>
      <c r="AN7509">
        <v>0.99999995330664704</v>
      </c>
    </row>
    <row r="7510" spans="1:40" x14ac:dyDescent="0.25">
      <c r="A7510" t="str">
        <f>"20190303170434096"</f>
        <v>20190303170434096</v>
      </c>
      <c r="B7510" t="str">
        <f>"1551603874083289"</f>
        <v>1551603874083289</v>
      </c>
      <c r="C7510" t="s">
        <v>40</v>
      </c>
      <c r="D7510">
        <v>4.8689010000000001</v>
      </c>
      <c r="E7510">
        <v>0.48627969999999998</v>
      </c>
      <c r="F7510" t="s">
        <v>42</v>
      </c>
      <c r="G7510">
        <v>-189.07560000000001</v>
      </c>
      <c r="H7510" s="1">
        <v>-3.4831000000000002E-6</v>
      </c>
      <c r="I7510">
        <v>27.36974</v>
      </c>
      <c r="J7510">
        <v>-188.3725</v>
      </c>
      <c r="K7510">
        <v>1.1204609999999999</v>
      </c>
      <c r="L7510">
        <v>-3.1644899999999998</v>
      </c>
      <c r="M7510">
        <v>-3.7775320000000001E-2</v>
      </c>
      <c r="N7510">
        <v>-5.9783680000000004E-3</v>
      </c>
      <c r="O7510">
        <v>0.99926839999999995</v>
      </c>
      <c r="P7510">
        <v>2.6412169999999999E-2</v>
      </c>
      <c r="Q7510">
        <v>0.18916359999999999</v>
      </c>
      <c r="R7510">
        <v>0.98159030000000003</v>
      </c>
      <c r="S7510">
        <v>-7.13501E-2</v>
      </c>
      <c r="T7510">
        <v>-0.111873</v>
      </c>
      <c r="U7510">
        <v>3.0793460000000001</v>
      </c>
      <c r="V7510">
        <v>6.3583680000000004E-2</v>
      </c>
      <c r="W7510">
        <v>0.19498270000000001</v>
      </c>
      <c r="X7510">
        <v>0.97874349999999999</v>
      </c>
      <c r="Y7510">
        <v>1.462685E-2</v>
      </c>
      <c r="Z7510">
        <v>-3.0288059999999999E-2</v>
      </c>
      <c r="AA7510">
        <v>0.99943419999999905</v>
      </c>
      <c r="AB7510">
        <v>32</v>
      </c>
      <c r="AC7510">
        <v>-0.70310000000000605</v>
      </c>
      <c r="AD7510">
        <v>-1.1204644830999999</v>
      </c>
      <c r="AE7510">
        <v>30.534230000000001</v>
      </c>
      <c r="AF7510">
        <v>0.45025677125332297</v>
      </c>
      <c r="AG7510">
        <v>-1.1204644830999999</v>
      </c>
      <c r="AH7510">
        <v>30.497950727827099</v>
      </c>
      <c r="AI7510">
        <v>92.103814789524904</v>
      </c>
      <c r="AJ7510">
        <v>89.154174690034296</v>
      </c>
      <c r="AK7510">
        <v>30.521847427947701</v>
      </c>
      <c r="AL7510">
        <v>78.756286889319</v>
      </c>
      <c r="AM7510">
        <v>86.283025767514005</v>
      </c>
      <c r="AN7510">
        <v>0.99999998822694103</v>
      </c>
    </row>
    <row r="7511" spans="1:40" x14ac:dyDescent="0.25">
      <c r="A7511" t="str">
        <f>"20190303170434119"</f>
        <v>20190303170434119</v>
      </c>
      <c r="B7511" t="str">
        <f>"1551603874112569"</f>
        <v>1551603874112569</v>
      </c>
      <c r="C7511" t="s">
        <v>40</v>
      </c>
      <c r="D7511">
        <v>4.8753500000000001</v>
      </c>
      <c r="E7511">
        <v>0.48643690000000001</v>
      </c>
      <c r="F7511" t="s">
        <v>42</v>
      </c>
      <c r="G7511">
        <v>-189.0839</v>
      </c>
      <c r="H7511" s="1">
        <v>-3.8745029999999998E-6</v>
      </c>
      <c r="I7511">
        <v>28.285530000000001</v>
      </c>
      <c r="J7511">
        <v>-188.38499999999999</v>
      </c>
      <c r="K7511">
        <v>1.120422</v>
      </c>
      <c r="L7511">
        <v>-2.8244020000000001</v>
      </c>
      <c r="M7511">
        <v>-3.741034E-2</v>
      </c>
      <c r="N7511">
        <v>-6.0800689999999996E-3</v>
      </c>
      <c r="O7511">
        <v>0.99928150000000004</v>
      </c>
      <c r="P7511">
        <v>2.65267E-2</v>
      </c>
      <c r="Q7511">
        <v>0.1890279</v>
      </c>
      <c r="R7511">
        <v>0.98161330000000002</v>
      </c>
      <c r="S7511">
        <v>-6.9656369999999995E-2</v>
      </c>
      <c r="T7511">
        <v>-0.1097052</v>
      </c>
      <c r="U7511">
        <v>3.079285</v>
      </c>
      <c r="V7511">
        <v>6.336369E-2</v>
      </c>
      <c r="W7511">
        <v>0.19493920000000001</v>
      </c>
      <c r="X7511">
        <v>0.97876640000000004</v>
      </c>
      <c r="Y7511">
        <v>1.481009E-2</v>
      </c>
      <c r="Z7511">
        <v>-2.9486100000000001E-2</v>
      </c>
      <c r="AA7511">
        <v>0.99945550000000005</v>
      </c>
      <c r="AB7511">
        <v>32</v>
      </c>
      <c r="AC7511">
        <v>-0.69890000000000896</v>
      </c>
      <c r="AD7511">
        <v>-1.120425874503</v>
      </c>
      <c r="AE7511">
        <v>31.109932000000001</v>
      </c>
      <c r="AF7511">
        <v>0.46484125829655498</v>
      </c>
      <c r="AG7511">
        <v>-1.120425874503</v>
      </c>
      <c r="AH7511">
        <v>31.0740151668276</v>
      </c>
      <c r="AI7511">
        <v>92.064770293079803</v>
      </c>
      <c r="AJ7511">
        <v>89.142967018552795</v>
      </c>
      <c r="AK7511">
        <v>31.097682391520799</v>
      </c>
      <c r="AL7511">
        <v>78.758827665700295</v>
      </c>
      <c r="AM7511">
        <v>86.295936499782698</v>
      </c>
      <c r="AN7511">
        <v>0.99999995733800695</v>
      </c>
    </row>
    <row r="7512" spans="1:40" x14ac:dyDescent="0.25">
      <c r="A7512" t="str">
        <f>"20190303170434142"</f>
        <v>20190303170434142</v>
      </c>
      <c r="B7512" t="str">
        <f>"1551603874132596"</f>
        <v>1551603874132596</v>
      </c>
      <c r="C7512" t="s">
        <v>40</v>
      </c>
      <c r="D7512">
        <v>5.0488410000000004</v>
      </c>
      <c r="E7512">
        <v>0.48656680000000002</v>
      </c>
      <c r="F7512" t="s">
        <v>42</v>
      </c>
      <c r="G7512">
        <v>-189.07859999999999</v>
      </c>
      <c r="H7512" s="1">
        <v>-4.0615230000000004E-6</v>
      </c>
      <c r="I7512">
        <v>28.719280000000001</v>
      </c>
      <c r="J7512">
        <v>-188.39670000000001</v>
      </c>
      <c r="K7512">
        <v>1.120393</v>
      </c>
      <c r="L7512">
        <v>-2.5026860000000002</v>
      </c>
      <c r="M7512">
        <v>-3.7010889999999998E-2</v>
      </c>
      <c r="N7512">
        <v>-6.1864959999999997E-3</v>
      </c>
      <c r="O7512">
        <v>0.99929570000000001</v>
      </c>
      <c r="P7512">
        <v>2.6385229999999999E-2</v>
      </c>
      <c r="Q7512">
        <v>0.18851190000000001</v>
      </c>
      <c r="R7512">
        <v>0.98171640000000004</v>
      </c>
      <c r="S7512">
        <v>-6.7703250000000006E-2</v>
      </c>
      <c r="T7512">
        <v>-0.1093681</v>
      </c>
      <c r="U7512">
        <v>3.0790709999999999</v>
      </c>
      <c r="V7512">
        <v>6.2856519999999999E-2</v>
      </c>
      <c r="W7512">
        <v>0.19452150000000001</v>
      </c>
      <c r="X7512">
        <v>0.97888229999999998</v>
      </c>
      <c r="Y7512">
        <v>1.504231E-2</v>
      </c>
      <c r="Z7512">
        <v>-2.927393E-2</v>
      </c>
      <c r="AA7512">
        <v>0.99945830000000002</v>
      </c>
      <c r="AB7512">
        <v>32</v>
      </c>
      <c r="AC7512">
        <v>-0.68189999999998396</v>
      </c>
      <c r="AD7512">
        <v>-1.1203970615229999</v>
      </c>
      <c r="AE7512">
        <v>31.221965999999998</v>
      </c>
      <c r="AF7512">
        <v>0.473532601344404</v>
      </c>
      <c r="AG7512">
        <v>-1.1203970615229999</v>
      </c>
      <c r="AH7512">
        <v>31.185672592222598</v>
      </c>
      <c r="AI7512">
        <v>92.057324102165595</v>
      </c>
      <c r="AJ7512">
        <v>89.130070561721098</v>
      </c>
      <c r="AK7512">
        <v>31.2093847701186</v>
      </c>
      <c r="AL7512">
        <v>78.783228327390603</v>
      </c>
      <c r="AM7512">
        <v>86.325936552757597</v>
      </c>
      <c r="AN7512">
        <v>1.0000000566610201</v>
      </c>
    </row>
    <row r="7513" spans="1:40" x14ac:dyDescent="0.25">
      <c r="A7513" t="str">
        <f>"20190303170434165"</f>
        <v>20190303170434165</v>
      </c>
      <c r="B7513" t="str">
        <f>"1551603874153092"</f>
        <v>1551603874153092</v>
      </c>
      <c r="C7513" t="s">
        <v>40</v>
      </c>
      <c r="D7513">
        <v>4.8171530000000002</v>
      </c>
      <c r="E7513">
        <v>0.4866682</v>
      </c>
      <c r="F7513" t="s">
        <v>42</v>
      </c>
      <c r="G7513">
        <v>-189.0727</v>
      </c>
      <c r="H7513" s="1">
        <v>-4.1044190000000004E-6</v>
      </c>
      <c r="I7513">
        <v>28.81683</v>
      </c>
      <c r="J7513">
        <v>-188.40889999999999</v>
      </c>
      <c r="K7513">
        <v>1.1203559999999999</v>
      </c>
      <c r="L7513">
        <v>-2.1601870000000001</v>
      </c>
      <c r="M7513">
        <v>-3.6512000000000003E-2</v>
      </c>
      <c r="N7513">
        <v>-6.3180930000000003E-3</v>
      </c>
      <c r="O7513">
        <v>0.99931320000000001</v>
      </c>
      <c r="P7513">
        <v>2.562296E-2</v>
      </c>
      <c r="Q7513">
        <v>0.18775349999999999</v>
      </c>
      <c r="R7513">
        <v>0.98188189999999997</v>
      </c>
      <c r="S7513">
        <v>-6.6452029999999995E-2</v>
      </c>
      <c r="T7513">
        <v>-0.11013820000000001</v>
      </c>
      <c r="U7513">
        <v>3.0787960000000001</v>
      </c>
      <c r="V7513">
        <v>6.16371E-2</v>
      </c>
      <c r="W7513">
        <v>0.19388630000000001</v>
      </c>
      <c r="X7513">
        <v>0.97908580000000001</v>
      </c>
      <c r="Y7513">
        <v>1.4947220000000001E-2</v>
      </c>
      <c r="Z7513">
        <v>-2.939609E-2</v>
      </c>
      <c r="AA7513">
        <v>0.99945600000000001</v>
      </c>
      <c r="AB7513">
        <v>32</v>
      </c>
      <c r="AC7513">
        <v>-0.66380000000000905</v>
      </c>
      <c r="AD7513">
        <v>-1.1203601044189999</v>
      </c>
      <c r="AE7513">
        <v>30.977017</v>
      </c>
      <c r="AF7513">
        <v>0.46708738736899202</v>
      </c>
      <c r="AG7513">
        <v>-1.1203601044189999</v>
      </c>
      <c r="AH7513">
        <v>30.940144528208499</v>
      </c>
      <c r="AI7513">
        <v>92.073570383554497</v>
      </c>
      <c r="AJ7513">
        <v>89.135100899439493</v>
      </c>
      <c r="AK7513">
        <v>30.9639454982313</v>
      </c>
      <c r="AL7513">
        <v>78.820328503433501</v>
      </c>
      <c r="AM7513">
        <v>86.397770879816804</v>
      </c>
      <c r="AN7513">
        <v>1.00000001659287</v>
      </c>
    </row>
    <row r="7514" spans="1:40" x14ac:dyDescent="0.25">
      <c r="A7514" t="str">
        <f>"20190303170434185"</f>
        <v>20190303170434185</v>
      </c>
      <c r="B7514" t="str">
        <f>"1551603874172612"</f>
        <v>1551603874172612</v>
      </c>
      <c r="C7514" t="s">
        <v>40</v>
      </c>
      <c r="D7514">
        <v>4.8766369999999997</v>
      </c>
      <c r="E7514">
        <v>0.48676320000000001</v>
      </c>
      <c r="F7514" t="s">
        <v>42</v>
      </c>
      <c r="G7514">
        <v>-189.0805</v>
      </c>
      <c r="H7514" s="1">
        <v>-3.9951150000000003E-6</v>
      </c>
      <c r="I7514">
        <v>28.565280000000001</v>
      </c>
      <c r="J7514">
        <v>-188.41890000000001</v>
      </c>
      <c r="K7514">
        <v>1.1203160000000001</v>
      </c>
      <c r="L7514">
        <v>-1.875275</v>
      </c>
      <c r="M7514">
        <v>-3.602387E-2</v>
      </c>
      <c r="N7514">
        <v>-6.4476219999999897E-3</v>
      </c>
      <c r="O7514">
        <v>0.9993301</v>
      </c>
      <c r="P7514">
        <v>2.5458580000000001E-2</v>
      </c>
      <c r="Q7514">
        <v>0.18715129999999999</v>
      </c>
      <c r="R7514">
        <v>0.98200109999999996</v>
      </c>
      <c r="S7514">
        <v>-6.7291260000000006E-2</v>
      </c>
      <c r="T7514">
        <v>-0.1122561</v>
      </c>
      <c r="U7514">
        <v>3.0785830000000001</v>
      </c>
      <c r="V7514">
        <v>6.1023529999999999E-2</v>
      </c>
      <c r="W7514">
        <v>0.19340450000000001</v>
      </c>
      <c r="X7514">
        <v>0.97921950000000002</v>
      </c>
      <c r="Y7514">
        <v>1.4185400000000001E-2</v>
      </c>
      <c r="Z7514">
        <v>-2.9956130000000001E-2</v>
      </c>
      <c r="AA7514">
        <v>0.99945059999999997</v>
      </c>
      <c r="AB7514">
        <v>32</v>
      </c>
      <c r="AC7514">
        <v>-0.66159999999999197</v>
      </c>
      <c r="AD7514">
        <v>-1.120319995115</v>
      </c>
      <c r="AE7514">
        <v>30.440555</v>
      </c>
      <c r="AF7514">
        <v>0.43485013962392299</v>
      </c>
      <c r="AG7514">
        <v>-1.120319995115</v>
      </c>
      <c r="AH7514">
        <v>30.403467950454999</v>
      </c>
      <c r="AI7514">
        <v>92.110088994617897</v>
      </c>
      <c r="AJ7514">
        <v>89.180574431635804</v>
      </c>
      <c r="AK7514">
        <v>30.4272094505843</v>
      </c>
      <c r="AL7514">
        <v>78.848466030321006</v>
      </c>
      <c r="AM7514">
        <v>86.434022154698994</v>
      </c>
      <c r="AN7514">
        <v>1.0000000005070799</v>
      </c>
    </row>
    <row r="7515" spans="1:40" x14ac:dyDescent="0.25">
      <c r="A7515" t="str">
        <f>"20190303170434208"</f>
        <v>20190303170434208</v>
      </c>
      <c r="B7515" t="str">
        <f>"1551603874202868"</f>
        <v>1551603874202868</v>
      </c>
      <c r="C7515" t="s">
        <v>40</v>
      </c>
      <c r="D7515">
        <v>4.8767620000000003</v>
      </c>
      <c r="E7515">
        <v>0.48691960000000001</v>
      </c>
      <c r="F7515" t="s">
        <v>42</v>
      </c>
      <c r="G7515">
        <v>-189.07149999999999</v>
      </c>
      <c r="H7515" s="1">
        <v>-3.9186619999999997E-6</v>
      </c>
      <c r="I7515">
        <v>28.383330000000001</v>
      </c>
      <c r="J7515">
        <v>-188.4306</v>
      </c>
      <c r="K7515">
        <v>1.1202620000000001</v>
      </c>
      <c r="L7515">
        <v>-1.534332</v>
      </c>
      <c r="M7515">
        <v>-3.5334530000000003E-2</v>
      </c>
      <c r="N7515">
        <v>-6.6290400000000001E-3</v>
      </c>
      <c r="O7515">
        <v>0.99935350000000001</v>
      </c>
      <c r="P7515">
        <v>2.5609639999999999E-2</v>
      </c>
      <c r="Q7515">
        <v>0.18700939999999999</v>
      </c>
      <c r="R7515">
        <v>0.98202429999999996</v>
      </c>
      <c r="S7515">
        <v>-6.6390989999999997E-2</v>
      </c>
      <c r="T7515">
        <v>-0.11397839999999999</v>
      </c>
      <c r="U7515">
        <v>3.07843</v>
      </c>
      <c r="V7515">
        <v>6.0537100000000003E-2</v>
      </c>
      <c r="W7515">
        <v>0.1934292</v>
      </c>
      <c r="X7515">
        <v>0.97924480000000003</v>
      </c>
      <c r="Y7515">
        <v>1.3787000000000001E-2</v>
      </c>
      <c r="Z7515">
        <v>-3.0335999999999998E-2</v>
      </c>
      <c r="AA7515">
        <v>0.99944469999999996</v>
      </c>
      <c r="AB7515">
        <v>33</v>
      </c>
      <c r="AC7515">
        <v>-0.64089999999998704</v>
      </c>
      <c r="AD7515">
        <v>-1.1202659186620001</v>
      </c>
      <c r="AE7515">
        <v>29.917662</v>
      </c>
      <c r="AF7515">
        <v>0.41606693422669699</v>
      </c>
      <c r="AG7515">
        <v>-1.1202659186620001</v>
      </c>
      <c r="AH7515">
        <v>29.879749261438899</v>
      </c>
      <c r="AI7515">
        <v>92.146947262551393</v>
      </c>
      <c r="AJ7515">
        <v>89.202224271383002</v>
      </c>
      <c r="AK7515">
        <v>29.9036372929571</v>
      </c>
      <c r="AL7515">
        <v>78.847023435069403</v>
      </c>
      <c r="AM7515">
        <v>86.462465923960295</v>
      </c>
      <c r="AN7515">
        <v>0.99999998710804405</v>
      </c>
    </row>
    <row r="7516" spans="1:40" x14ac:dyDescent="0.25">
      <c r="A7516" t="str">
        <f>"20190303170434231"</f>
        <v>20190303170434231</v>
      </c>
      <c r="B7516" t="str">
        <f>"1551603874222896"</f>
        <v>1551603874222896</v>
      </c>
      <c r="C7516" t="s">
        <v>40</v>
      </c>
      <c r="D7516">
        <v>4.875934</v>
      </c>
      <c r="E7516">
        <v>0.48701509999999998</v>
      </c>
      <c r="F7516" t="s">
        <v>42</v>
      </c>
      <c r="G7516">
        <v>-189.06489999999999</v>
      </c>
      <c r="H7516" s="1">
        <v>-4.0251970000000001E-6</v>
      </c>
      <c r="I7516">
        <v>28.628969999999999</v>
      </c>
      <c r="J7516">
        <v>-188.4417</v>
      </c>
      <c r="K7516">
        <v>1.120196</v>
      </c>
      <c r="L7516">
        <v>-1.198364</v>
      </c>
      <c r="M7516">
        <v>-3.4531779999999998E-2</v>
      </c>
      <c r="N7516">
        <v>-6.8386219999999999E-3</v>
      </c>
      <c r="O7516">
        <v>0.99938020000000005</v>
      </c>
      <c r="P7516">
        <v>2.6199409999999999E-2</v>
      </c>
      <c r="Q7516">
        <v>0.18733749999999999</v>
      </c>
      <c r="R7516">
        <v>0.98194619999999999</v>
      </c>
      <c r="S7516">
        <v>-6.4743040000000002E-2</v>
      </c>
      <c r="T7516">
        <v>-0.1143308</v>
      </c>
      <c r="U7516">
        <v>3.0783689999999999</v>
      </c>
      <c r="V7516">
        <v>6.0382369999999998E-2</v>
      </c>
      <c r="W7516">
        <v>0.1939485</v>
      </c>
      <c r="X7516">
        <v>0.97915169999999996</v>
      </c>
      <c r="Y7516">
        <v>1.351814E-2</v>
      </c>
      <c r="Z7516">
        <v>-3.024319E-2</v>
      </c>
      <c r="AA7516">
        <v>0.99945119999999998</v>
      </c>
      <c r="AB7516">
        <v>33</v>
      </c>
      <c r="AC7516">
        <v>-0.62319999999999698</v>
      </c>
      <c r="AD7516">
        <v>-1.1202000251969999</v>
      </c>
      <c r="AE7516">
        <v>29.827334</v>
      </c>
      <c r="AF7516">
        <v>0.406613453869341</v>
      </c>
      <c r="AG7516">
        <v>-1.1202000251969999</v>
      </c>
      <c r="AH7516">
        <v>29.7890667624056</v>
      </c>
      <c r="AI7516">
        <v>92.1533583629014</v>
      </c>
      <c r="AJ7516">
        <v>89.217975230091099</v>
      </c>
      <c r="AK7516">
        <v>29.812894545353601</v>
      </c>
      <c r="AL7516">
        <v>78.816696143233401</v>
      </c>
      <c r="AM7516">
        <v>86.471150171108704</v>
      </c>
      <c r="AN7516">
        <v>1.0000000514359699</v>
      </c>
    </row>
    <row r="7517" spans="1:40" x14ac:dyDescent="0.25">
      <c r="A7517" t="str">
        <f>"20190303170434257"</f>
        <v>20190303170434257</v>
      </c>
      <c r="B7517" t="str">
        <f>"1551603874243391"</f>
        <v>1551603874243391</v>
      </c>
      <c r="C7517" t="s">
        <v>40</v>
      </c>
      <c r="D7517">
        <v>4.9946630000000001</v>
      </c>
      <c r="E7517">
        <v>0.4871239</v>
      </c>
      <c r="F7517" t="s">
        <v>42</v>
      </c>
      <c r="G7517">
        <v>-189.05269999999999</v>
      </c>
      <c r="H7517" s="1">
        <v>-4.3003439999999997E-6</v>
      </c>
      <c r="I7517">
        <v>29.265280000000001</v>
      </c>
      <c r="J7517">
        <v>-188.45330000000001</v>
      </c>
      <c r="K7517">
        <v>1.1201239999999999</v>
      </c>
      <c r="L7517">
        <v>-0.83691409999999999</v>
      </c>
      <c r="M7517">
        <v>-3.3518430000000002E-2</v>
      </c>
      <c r="N7517">
        <v>-7.1070760000000004E-3</v>
      </c>
      <c r="O7517">
        <v>0.99941279999999999</v>
      </c>
      <c r="P7517">
        <v>2.6011220000000002E-2</v>
      </c>
      <c r="Q7517">
        <v>0.1872665</v>
      </c>
      <c r="R7517">
        <v>0.98196470000000002</v>
      </c>
      <c r="S7517">
        <v>-6.1737060000000003E-2</v>
      </c>
      <c r="T7517">
        <v>-0.11319799999999999</v>
      </c>
      <c r="U7517">
        <v>3.0783999999999998</v>
      </c>
      <c r="V7517">
        <v>5.9256999999999997E-2</v>
      </c>
      <c r="W7517">
        <v>0.1941253</v>
      </c>
      <c r="X7517">
        <v>0.97918530000000004</v>
      </c>
      <c r="Y7517">
        <v>1.347961E-2</v>
      </c>
      <c r="Z7517">
        <v>-2.9609750000000001E-2</v>
      </c>
      <c r="AA7517">
        <v>0.99947070000000005</v>
      </c>
      <c r="AB7517">
        <v>33</v>
      </c>
      <c r="AC7517">
        <v>-0.59939999999997395</v>
      </c>
      <c r="AD7517">
        <v>-1.1201283003439999</v>
      </c>
      <c r="AE7517">
        <v>30.102194099999998</v>
      </c>
      <c r="AF7517">
        <v>0.40937400490967701</v>
      </c>
      <c r="AG7517">
        <v>-1.1201283003439999</v>
      </c>
      <c r="AH7517">
        <v>30.063759051980899</v>
      </c>
      <c r="AI7517">
        <v>92.133565880865007</v>
      </c>
      <c r="AJ7517">
        <v>89.219859593975599</v>
      </c>
      <c r="AK7517">
        <v>30.0874040558618</v>
      </c>
      <c r="AL7517">
        <v>78.806368706710003</v>
      </c>
      <c r="AM7517">
        <v>86.536875692318901</v>
      </c>
      <c r="AN7517">
        <v>0.99999993794258801</v>
      </c>
    </row>
    <row r="7518" spans="1:40" x14ac:dyDescent="0.25">
      <c r="A7518" t="str">
        <f>"20190303170434276"</f>
        <v>20190303170434276</v>
      </c>
      <c r="B7518" t="str">
        <f>"1551603874262911"</f>
        <v>1551603874262911</v>
      </c>
      <c r="C7518" t="s">
        <v>40</v>
      </c>
      <c r="D7518">
        <v>4.8773260000000001</v>
      </c>
      <c r="E7518">
        <v>0.4871994</v>
      </c>
      <c r="F7518" t="s">
        <v>42</v>
      </c>
      <c r="G7518">
        <v>-189.05600000000001</v>
      </c>
      <c r="H7518" s="1">
        <v>-4.4405099999999999E-6</v>
      </c>
      <c r="I7518">
        <v>29.593389999999999</v>
      </c>
      <c r="J7518">
        <v>-188.4623</v>
      </c>
      <c r="K7518">
        <v>1.120058</v>
      </c>
      <c r="L7518">
        <v>-0.5435181</v>
      </c>
      <c r="M7518">
        <v>-3.2566570000000003E-2</v>
      </c>
      <c r="N7518">
        <v>-7.354144E-3</v>
      </c>
      <c r="O7518">
        <v>0.99944250000000001</v>
      </c>
      <c r="P7518">
        <v>2.63574E-2</v>
      </c>
      <c r="Q7518">
        <v>0.1871043</v>
      </c>
      <c r="R7518">
        <v>0.98198640000000004</v>
      </c>
      <c r="S7518">
        <v>-6.097412E-2</v>
      </c>
      <c r="T7518">
        <v>-0.1133125</v>
      </c>
      <c r="U7518">
        <v>3.0783390000000002</v>
      </c>
      <c r="V7518">
        <v>5.8719550000000002E-2</v>
      </c>
      <c r="W7518">
        <v>0.19419169999999999</v>
      </c>
      <c r="X7518">
        <v>0.97920459999999998</v>
      </c>
      <c r="Y7518">
        <v>1.277447E-2</v>
      </c>
      <c r="Z7518">
        <v>-2.9402560000000001E-2</v>
      </c>
      <c r="AA7518">
        <v>0.99948599999999999</v>
      </c>
      <c r="AB7518">
        <v>33</v>
      </c>
      <c r="AC7518">
        <v>-0.59369999999998402</v>
      </c>
      <c r="AD7518">
        <v>-1.1200624405099999</v>
      </c>
      <c r="AE7518">
        <v>30.136908099999999</v>
      </c>
      <c r="AF7518">
        <v>0.38756208396254099</v>
      </c>
      <c r="AG7518">
        <v>-1.1200624405099999</v>
      </c>
      <c r="AH7518">
        <v>30.098697854173398</v>
      </c>
      <c r="AI7518">
        <v>92.130987200001599</v>
      </c>
      <c r="AJ7518">
        <v>89.262278896611093</v>
      </c>
      <c r="AK7518">
        <v>30.1220244465141</v>
      </c>
      <c r="AL7518">
        <v>78.802491455035806</v>
      </c>
      <c r="AM7518">
        <v>86.568277654938598</v>
      </c>
      <c r="AN7518">
        <v>1.0000000252811201</v>
      </c>
    </row>
    <row r="7519" spans="1:40" x14ac:dyDescent="0.25">
      <c r="A7519" t="str">
        <f>"20190303170434299"</f>
        <v>20190303170434299</v>
      </c>
      <c r="B7519" t="str">
        <f>"1551603874293167"</f>
        <v>1551603874293167</v>
      </c>
      <c r="C7519" t="s">
        <v>40</v>
      </c>
      <c r="D7519">
        <v>4.994561</v>
      </c>
      <c r="E7519">
        <v>0.48732219999999998</v>
      </c>
      <c r="F7519" t="s">
        <v>42</v>
      </c>
      <c r="G7519">
        <v>-189.0378</v>
      </c>
      <c r="H7519" s="1">
        <v>-2.8181769999999999E-7</v>
      </c>
      <c r="I7519">
        <v>29.723880000000001</v>
      </c>
      <c r="J7519">
        <v>-188.4717</v>
      </c>
      <c r="K7519">
        <v>1.1199859999999999</v>
      </c>
      <c r="L7519">
        <v>-0.21932979999999999</v>
      </c>
      <c r="M7519">
        <v>-3.1399160000000002E-2</v>
      </c>
      <c r="N7519">
        <v>-7.6238429999999999E-3</v>
      </c>
      <c r="O7519">
        <v>0.99947790000000003</v>
      </c>
      <c r="P7519">
        <v>2.7332809999999999E-2</v>
      </c>
      <c r="Q7519">
        <v>0.1868908</v>
      </c>
      <c r="R7519">
        <v>0.9820004</v>
      </c>
      <c r="S7519">
        <v>-5.8532710000000002E-2</v>
      </c>
      <c r="T7519">
        <v>-0.1139141</v>
      </c>
      <c r="U7519">
        <v>3.0783079999999998</v>
      </c>
      <c r="V7519">
        <v>5.860133E-2</v>
      </c>
      <c r="W7519">
        <v>0.19422729999999999</v>
      </c>
      <c r="X7519">
        <v>0.97920459999999998</v>
      </c>
      <c r="Y7519">
        <v>1.239872E-2</v>
      </c>
      <c r="Z7519">
        <v>-2.9330599999999998E-2</v>
      </c>
      <c r="AA7519">
        <v>0.99949290000000002</v>
      </c>
      <c r="AB7519">
        <v>33</v>
      </c>
      <c r="AC7519">
        <v>-0.56610000000000504</v>
      </c>
      <c r="AD7519">
        <v>-1.1199862818177</v>
      </c>
      <c r="AE7519">
        <v>29.943209800000002</v>
      </c>
      <c r="AF7519">
        <v>0.37387517999346298</v>
      </c>
      <c r="AG7519">
        <v>-1.1199862818177</v>
      </c>
      <c r="AH7519">
        <v>29.904397907114401</v>
      </c>
      <c r="AI7519">
        <v>92.144684590235101</v>
      </c>
      <c r="AJ7519">
        <v>89.283705563013498</v>
      </c>
      <c r="AK7519">
        <v>29.927698977848301</v>
      </c>
      <c r="AL7519">
        <v>78.800411897252005</v>
      </c>
      <c r="AM7519">
        <v>86.575170275252603</v>
      </c>
      <c r="AN7519">
        <v>1.0000000043021</v>
      </c>
    </row>
    <row r="7520" spans="1:40" x14ac:dyDescent="0.25">
      <c r="A7520" t="str">
        <f>"20190303170434319"</f>
        <v>20190303170434319</v>
      </c>
      <c r="B7520" t="str">
        <f>"1551603874312688"</f>
        <v>1551603874312688</v>
      </c>
      <c r="C7520" t="s">
        <v>40</v>
      </c>
      <c r="D7520">
        <v>4.9335149999999999</v>
      </c>
      <c r="E7520">
        <v>0.487402</v>
      </c>
      <c r="F7520" t="s">
        <v>42</v>
      </c>
      <c r="G7520">
        <v>-188.99789999999999</v>
      </c>
      <c r="H7520" s="1">
        <v>-3.3291010000000003E-7</v>
      </c>
      <c r="I7520">
        <v>29.8428</v>
      </c>
      <c r="J7520">
        <v>-188.4802</v>
      </c>
      <c r="K7520">
        <v>1.1199209999999999</v>
      </c>
      <c r="L7520">
        <v>8.6334229999999998E-2</v>
      </c>
      <c r="M7520">
        <v>-3.0192299999999998E-2</v>
      </c>
      <c r="N7520">
        <v>-7.8896769999999995E-3</v>
      </c>
      <c r="O7520">
        <v>0.99951299999999998</v>
      </c>
      <c r="P7520">
        <v>2.795077E-2</v>
      </c>
      <c r="Q7520">
        <v>0.18699669999999999</v>
      </c>
      <c r="R7520">
        <v>0.98196280000000002</v>
      </c>
      <c r="S7520">
        <v>-5.3878780000000001E-2</v>
      </c>
      <c r="T7520">
        <v>-0.1146846</v>
      </c>
      <c r="U7520">
        <v>3.0783079999999998</v>
      </c>
      <c r="V7520">
        <v>5.8081059999999997E-2</v>
      </c>
      <c r="W7520">
        <v>0.1945809</v>
      </c>
      <c r="X7520">
        <v>0.97916539999999996</v>
      </c>
      <c r="Y7520">
        <v>1.2701820000000001E-2</v>
      </c>
      <c r="Z7520">
        <v>-2.9316809999999999E-2</v>
      </c>
      <c r="AA7520">
        <v>0.99948950000000003</v>
      </c>
      <c r="AB7520">
        <v>33</v>
      </c>
      <c r="AC7520">
        <v>-0.51769999999998995</v>
      </c>
      <c r="AD7520">
        <v>-1.1199213329101001</v>
      </c>
      <c r="AE7520">
        <v>29.756465769999998</v>
      </c>
      <c r="AF7520">
        <v>0.38044138082978501</v>
      </c>
      <c r="AG7520">
        <v>-1.1199213329101001</v>
      </c>
      <c r="AH7520">
        <v>29.716450045389401</v>
      </c>
      <c r="AI7520">
        <v>92.158103083240704</v>
      </c>
      <c r="AJ7520">
        <v>89.266517546009396</v>
      </c>
      <c r="AK7520">
        <v>29.739979198652399</v>
      </c>
      <c r="AL7520">
        <v>78.7797581122569</v>
      </c>
      <c r="AM7520">
        <v>86.605369350640899</v>
      </c>
      <c r="AN7520">
        <v>1.0000000083663401</v>
      </c>
    </row>
    <row r="7521" spans="1:40" x14ac:dyDescent="0.25">
      <c r="A7521" t="str">
        <f>"20190303170434353"</f>
        <v>20190303170434353</v>
      </c>
      <c r="B7521" t="str">
        <f>"1551603874343450"</f>
        <v>1551603874343450</v>
      </c>
      <c r="C7521" t="s">
        <v>40</v>
      </c>
      <c r="D7521">
        <v>4.9917210000000001</v>
      </c>
      <c r="E7521">
        <v>0.48748970000000003</v>
      </c>
      <c r="F7521" t="s">
        <v>42</v>
      </c>
      <c r="G7521">
        <v>-188.97739999999999</v>
      </c>
      <c r="H7521" s="1">
        <v>-4.8251859999999996E-7</v>
      </c>
      <c r="I7521">
        <v>30.266459999999999</v>
      </c>
      <c r="J7521">
        <v>-188.49299999999999</v>
      </c>
      <c r="K7521">
        <v>1.1198250000000001</v>
      </c>
      <c r="L7521">
        <v>0.58596800000000004</v>
      </c>
      <c r="M7521">
        <v>-2.8002869999999999E-2</v>
      </c>
      <c r="N7521">
        <v>-8.3482079999999993E-3</v>
      </c>
      <c r="O7521">
        <v>0.99957300000000004</v>
      </c>
      <c r="P7521">
        <v>3.025568E-2</v>
      </c>
      <c r="Q7521">
        <v>0.18755150000000001</v>
      </c>
      <c r="R7521">
        <v>0.98178869999999896</v>
      </c>
      <c r="S7521">
        <v>-5.0720210000000002E-2</v>
      </c>
      <c r="T7521">
        <v>-0.1142296</v>
      </c>
      <c r="U7521">
        <v>3.0783079999999998</v>
      </c>
      <c r="V7521">
        <v>5.8307560000000001E-2</v>
      </c>
      <c r="W7521">
        <v>0.19556209999999999</v>
      </c>
      <c r="X7521">
        <v>0.97895650000000001</v>
      </c>
      <c r="Y7521">
        <v>1.15367E-2</v>
      </c>
      <c r="Z7521">
        <v>-2.8715000000000001E-2</v>
      </c>
      <c r="AA7521">
        <v>0.99952110000000005</v>
      </c>
      <c r="AB7521">
        <v>33</v>
      </c>
      <c r="AC7521">
        <v>-0.484399999999993</v>
      </c>
      <c r="AD7521">
        <v>-1.1198254825186</v>
      </c>
      <c r="AE7521">
        <v>29.680492000000001</v>
      </c>
      <c r="AF7521">
        <v>0.34646481952729802</v>
      </c>
      <c r="AG7521">
        <v>-1.1198254825186</v>
      </c>
      <c r="AH7521">
        <v>29.640235092185101</v>
      </c>
      <c r="AI7521">
        <v>92.163491481576003</v>
      </c>
      <c r="AJ7521">
        <v>89.330299917560197</v>
      </c>
      <c r="AK7521">
        <v>29.663404782702798</v>
      </c>
      <c r="AL7521">
        <v>78.722439000088201</v>
      </c>
      <c r="AM7521">
        <v>86.591436886939903</v>
      </c>
      <c r="AN7521">
        <v>1.0000000677009</v>
      </c>
    </row>
    <row r="7522" spans="1:40" x14ac:dyDescent="0.25">
      <c r="A7522" t="str">
        <f>"20190303170434374"</f>
        <v>20190303170434374</v>
      </c>
      <c r="B7522" t="str">
        <f>"1551603874362970"</f>
        <v>1551603874362970</v>
      </c>
      <c r="C7522" t="s">
        <v>40</v>
      </c>
      <c r="D7522">
        <v>4.932563</v>
      </c>
      <c r="E7522">
        <v>0.48756699999999997</v>
      </c>
      <c r="F7522" t="s">
        <v>42</v>
      </c>
      <c r="G7522">
        <v>-188.9419</v>
      </c>
      <c r="H7522" s="1">
        <v>-9.0534390000000004E-7</v>
      </c>
      <c r="I7522">
        <v>31.30564</v>
      </c>
      <c r="J7522">
        <v>-188.50030000000001</v>
      </c>
      <c r="K7522">
        <v>1.1197709999999901</v>
      </c>
      <c r="L7522">
        <v>0.89813229999999999</v>
      </c>
      <c r="M7522">
        <v>-2.6512919999999999E-2</v>
      </c>
      <c r="N7522">
        <v>-8.6382449999999993E-3</v>
      </c>
      <c r="O7522">
        <v>0.99961109999999997</v>
      </c>
      <c r="P7522">
        <v>3.1278930000000003E-2</v>
      </c>
      <c r="Q7522">
        <v>0.1870163</v>
      </c>
      <c r="R7522">
        <v>0.98185869999999997</v>
      </c>
      <c r="S7522">
        <v>-4.4982910000000001E-2</v>
      </c>
      <c r="T7522">
        <v>-0.11221929999999999</v>
      </c>
      <c r="U7522">
        <v>3.0784609999999999</v>
      </c>
      <c r="V7522">
        <v>5.7913439999999997E-2</v>
      </c>
      <c r="W7522">
        <v>0.19530020000000001</v>
      </c>
      <c r="X7522">
        <v>0.97903209999999996</v>
      </c>
      <c r="Y7522">
        <v>1.190895E-2</v>
      </c>
      <c r="Z7522">
        <v>-2.7774239999999999E-2</v>
      </c>
      <c r="AA7522">
        <v>0.99954330000000002</v>
      </c>
      <c r="AB7522">
        <v>33</v>
      </c>
      <c r="AC7522">
        <v>-0.441599999999993</v>
      </c>
      <c r="AD7522">
        <v>-1.1197719053438999</v>
      </c>
      <c r="AE7522">
        <v>30.4075077</v>
      </c>
      <c r="AF7522">
        <v>0.36428327755109302</v>
      </c>
      <c r="AG7522">
        <v>-1.1197719053438999</v>
      </c>
      <c r="AH7522">
        <v>30.367353284802899</v>
      </c>
      <c r="AI7522">
        <v>92.111627544669702</v>
      </c>
      <c r="AJ7522">
        <v>89.312719383950906</v>
      </c>
      <c r="AK7522">
        <v>30.390175006905299</v>
      </c>
      <c r="AL7522">
        <v>78.737738958779403</v>
      </c>
      <c r="AM7522">
        <v>86.614683537050396</v>
      </c>
      <c r="AN7522">
        <v>0.99999999374154103</v>
      </c>
    </row>
    <row r="7523" spans="1:40" x14ac:dyDescent="0.25">
      <c r="A7523" t="str">
        <f>"20190303170434398"</f>
        <v>20190303170434398</v>
      </c>
      <c r="B7523" t="str">
        <f>"1551603874393225"</f>
        <v>1551603874393225</v>
      </c>
      <c r="C7523" t="s">
        <v>40</v>
      </c>
      <c r="D7523">
        <v>4.9390340000000004</v>
      </c>
      <c r="E7523">
        <v>0.48767579999999999</v>
      </c>
      <c r="F7523" t="s">
        <v>42</v>
      </c>
      <c r="G7523">
        <v>-188.899</v>
      </c>
      <c r="H7523" s="1">
        <v>-8.6370179999999995E-7</v>
      </c>
      <c r="I7523">
        <v>31.190829999999998</v>
      </c>
      <c r="J7523">
        <v>-188.50749999999999</v>
      </c>
      <c r="K7523">
        <v>1.119705</v>
      </c>
      <c r="L7523">
        <v>1.230499</v>
      </c>
      <c r="M7523">
        <v>-2.4833580000000001E-2</v>
      </c>
      <c r="N7523">
        <v>-8.9524979999999997E-3</v>
      </c>
      <c r="O7523">
        <v>0.99965150000000003</v>
      </c>
      <c r="P7523">
        <v>3.3045099999999897E-2</v>
      </c>
      <c r="Q7523">
        <v>0.1855974</v>
      </c>
      <c r="R7523">
        <v>0.98207009999999995</v>
      </c>
      <c r="S7523">
        <v>-4.0512079999999999E-2</v>
      </c>
      <c r="T7523">
        <v>-0.1137933</v>
      </c>
      <c r="U7523">
        <v>3.0783999999999998</v>
      </c>
      <c r="V7523">
        <v>5.807665E-2</v>
      </c>
      <c r="W7523">
        <v>0.1941782</v>
      </c>
      <c r="X7523">
        <v>0.97924560000000005</v>
      </c>
      <c r="Y7523">
        <v>1.168026E-2</v>
      </c>
      <c r="Z7523">
        <v>-2.7973499999999998E-2</v>
      </c>
      <c r="AA7523">
        <v>0.9995404</v>
      </c>
      <c r="AB7523">
        <v>33</v>
      </c>
      <c r="AC7523">
        <v>-0.39150000000000701</v>
      </c>
      <c r="AD7523">
        <v>-1.1197058637018</v>
      </c>
      <c r="AE7523">
        <v>29.960331</v>
      </c>
      <c r="AF7523">
        <v>0.35218103160886599</v>
      </c>
      <c r="AG7523">
        <v>-1.1197058637018</v>
      </c>
      <c r="AH7523">
        <v>29.919031313512399</v>
      </c>
      <c r="AI7523">
        <v>92.143119386312094</v>
      </c>
      <c r="AJ7523">
        <v>89.325594648205197</v>
      </c>
      <c r="AK7523">
        <v>29.942047482414601</v>
      </c>
      <c r="AL7523">
        <v>78.803279759816903</v>
      </c>
      <c r="AM7523">
        <v>86.605903845229903</v>
      </c>
      <c r="AN7523">
        <v>1.0000000078749101</v>
      </c>
    </row>
    <row r="7524" spans="1:40" x14ac:dyDescent="0.25">
      <c r="A7524" t="str">
        <f>"20190303170434420"</f>
        <v>20190303170434420</v>
      </c>
      <c r="B7524" t="str">
        <f>"1551603874412746"</f>
        <v>1551603874412746</v>
      </c>
      <c r="C7524" t="s">
        <v>40</v>
      </c>
      <c r="D7524">
        <v>4.9383290000000004</v>
      </c>
      <c r="E7524">
        <v>0.48772330000000003</v>
      </c>
      <c r="F7524" t="s">
        <v>42</v>
      </c>
      <c r="G7524">
        <v>-188.83279999999999</v>
      </c>
      <c r="H7524" s="1">
        <v>-5.4870459999999999E-7</v>
      </c>
      <c r="I7524">
        <v>30.34788</v>
      </c>
      <c r="J7524">
        <v>-188.51419999999999</v>
      </c>
      <c r="K7524">
        <v>1.1196520000000001</v>
      </c>
      <c r="L7524">
        <v>1.574738</v>
      </c>
      <c r="M7524">
        <v>-2.301359E-2</v>
      </c>
      <c r="N7524">
        <v>-9.2716729999999994E-3</v>
      </c>
      <c r="O7524">
        <v>0.99969209999999997</v>
      </c>
      <c r="P7524">
        <v>3.529024E-2</v>
      </c>
      <c r="Q7524">
        <v>0.1832241</v>
      </c>
      <c r="R7524">
        <v>0.98243760000000002</v>
      </c>
      <c r="S7524">
        <v>-3.4393310000000003E-2</v>
      </c>
      <c r="T7524">
        <v>-0.118376</v>
      </c>
      <c r="U7524">
        <v>3.0783079999999998</v>
      </c>
      <c r="V7524">
        <v>5.8575719999999998E-2</v>
      </c>
      <c r="W7524">
        <v>0.19210740000000001</v>
      </c>
      <c r="X7524">
        <v>0.97962419999999995</v>
      </c>
      <c r="Y7524">
        <v>1.184613E-2</v>
      </c>
      <c r="Z7524">
        <v>-2.9143410000000002E-2</v>
      </c>
      <c r="AA7524">
        <v>0.99950499999999998</v>
      </c>
      <c r="AB7524">
        <v>33</v>
      </c>
      <c r="AC7524">
        <v>-0.31860000000000299</v>
      </c>
      <c r="AD7524">
        <v>-1.1196525487046001</v>
      </c>
      <c r="AE7524">
        <v>28.773142</v>
      </c>
      <c r="AF7524">
        <v>0.343166612866738</v>
      </c>
      <c r="AG7524">
        <v>-1.1196525487046001</v>
      </c>
      <c r="AH7524">
        <v>28.729355756333799</v>
      </c>
      <c r="AI7524">
        <v>92.231666725643294</v>
      </c>
      <c r="AJ7524">
        <v>89.315645511873399</v>
      </c>
      <c r="AK7524">
        <v>28.753213165279401</v>
      </c>
      <c r="AL7524">
        <v>78.9242044057778</v>
      </c>
      <c r="AM7524">
        <v>86.578126261027506</v>
      </c>
      <c r="AN7524">
        <v>0.999999970666958</v>
      </c>
    </row>
    <row r="7525" spans="1:40" x14ac:dyDescent="0.25">
      <c r="A7525" t="str">
        <f>"20190303170434445"</f>
        <v>20190303170434445</v>
      </c>
      <c r="B7525" t="str">
        <f>"1551603874432772"</f>
        <v>1551603874432772</v>
      </c>
      <c r="C7525" t="s">
        <v>40</v>
      </c>
      <c r="D7525">
        <v>4.9395959999999999</v>
      </c>
      <c r="E7525">
        <v>0.48780430000000002</v>
      </c>
      <c r="F7525" t="s">
        <v>42</v>
      </c>
      <c r="G7525">
        <v>-188.76339999999999</v>
      </c>
      <c r="H7525" s="1">
        <v>-4.2468359999999999E-6</v>
      </c>
      <c r="I7525">
        <v>29.020910000000001</v>
      </c>
      <c r="J7525">
        <v>-188.5205</v>
      </c>
      <c r="K7525">
        <v>1.119605</v>
      </c>
      <c r="L7525">
        <v>1.9361269999999999</v>
      </c>
      <c r="M7525">
        <v>-2.104176E-2</v>
      </c>
      <c r="N7525">
        <v>-9.5814699999999999E-3</v>
      </c>
      <c r="O7525">
        <v>0.99973270000000003</v>
      </c>
      <c r="P7525">
        <v>3.7719990000000002E-2</v>
      </c>
      <c r="Q7525">
        <v>0.18233640000000001</v>
      </c>
      <c r="R7525">
        <v>0.98251239999999995</v>
      </c>
      <c r="S7525">
        <v>-2.793884E-2</v>
      </c>
      <c r="T7525">
        <v>-0.1255684</v>
      </c>
      <c r="U7525">
        <v>3.0780639999999999</v>
      </c>
      <c r="V7525">
        <v>5.910062E-2</v>
      </c>
      <c r="W7525">
        <v>0.19151309999999999</v>
      </c>
      <c r="X7525">
        <v>0.9797091</v>
      </c>
      <c r="Y7525">
        <v>1.196901E-2</v>
      </c>
      <c r="Z7525">
        <v>-3.1170400000000001E-2</v>
      </c>
      <c r="AA7525">
        <v>0.99944239999999995</v>
      </c>
      <c r="AB7525">
        <v>33</v>
      </c>
      <c r="AC7525">
        <v>-0.24289999999999101</v>
      </c>
      <c r="AD7525">
        <v>-1.1196092468359999</v>
      </c>
      <c r="AE7525">
        <v>27.084783000000002</v>
      </c>
      <c r="AF7525">
        <v>0.32653351608224201</v>
      </c>
      <c r="AG7525">
        <v>-1.1196092468359999</v>
      </c>
      <c r="AH7525">
        <v>27.037699745201</v>
      </c>
      <c r="AI7525">
        <v>92.371044407335006</v>
      </c>
      <c r="AJ7525">
        <v>89.308074170214397</v>
      </c>
      <c r="AK7525">
        <v>27.062840880335699</v>
      </c>
      <c r="AL7525">
        <v>78.958900233720499</v>
      </c>
      <c r="AM7525">
        <v>86.547834980116505</v>
      </c>
      <c r="AN7525">
        <v>1.0000000356894001</v>
      </c>
    </row>
    <row r="7526" spans="1:40" x14ac:dyDescent="0.25">
      <c r="A7526" t="str">
        <f>"20190303170434466"</f>
        <v>20190303170434466</v>
      </c>
      <c r="B7526" t="str">
        <f>"1551603874453268"</f>
        <v>1551603874453268</v>
      </c>
      <c r="C7526" t="s">
        <v>40</v>
      </c>
      <c r="D7526">
        <v>4.874981</v>
      </c>
      <c r="E7526">
        <v>0.48785250000000002</v>
      </c>
      <c r="F7526" t="s">
        <v>42</v>
      </c>
      <c r="G7526">
        <v>-188.6953</v>
      </c>
      <c r="H7526" s="1">
        <v>-4.1717360000000004E-6</v>
      </c>
      <c r="I7526">
        <v>28.817689999999999</v>
      </c>
      <c r="J7526">
        <v>-188.52549999999999</v>
      </c>
      <c r="K7526">
        <v>1.1195850000000001</v>
      </c>
      <c r="L7526">
        <v>2.2528990000000002</v>
      </c>
      <c r="M7526">
        <v>-1.9278380000000001E-2</v>
      </c>
      <c r="N7526">
        <v>-9.8321510000000008E-3</v>
      </c>
      <c r="O7526">
        <v>0.99976580000000004</v>
      </c>
      <c r="P7526">
        <v>3.9565360000000001E-2</v>
      </c>
      <c r="Q7526">
        <v>0.18208479999999999</v>
      </c>
      <c r="R7526">
        <v>0.98248650000000004</v>
      </c>
      <c r="S7526">
        <v>-2.0004270000000001E-2</v>
      </c>
      <c r="T7526">
        <v>-0.12819539999999999</v>
      </c>
      <c r="U7526">
        <v>3.0779420000000002</v>
      </c>
      <c r="V7526">
        <v>5.9234080000000001E-2</v>
      </c>
      <c r="W7526">
        <v>0.19150139999999999</v>
      </c>
      <c r="X7526">
        <v>0.97970330000000005</v>
      </c>
      <c r="Y7526">
        <v>1.278107E-2</v>
      </c>
      <c r="Z7526">
        <v>-3.1774869999999997E-2</v>
      </c>
      <c r="AA7526">
        <v>0.99941329999999995</v>
      </c>
      <c r="AB7526">
        <v>33</v>
      </c>
      <c r="AC7526">
        <v>-0.169800000000009</v>
      </c>
      <c r="AD7526">
        <v>-1.119589171736</v>
      </c>
      <c r="AE7526">
        <v>26.564791</v>
      </c>
      <c r="AF7526">
        <v>0.341775400997686</v>
      </c>
      <c r="AG7526">
        <v>-1.119589171736</v>
      </c>
      <c r="AH7526">
        <v>26.516029983666101</v>
      </c>
      <c r="AI7526">
        <v>92.417569143681902</v>
      </c>
      <c r="AJ7526">
        <v>89.261533355650002</v>
      </c>
      <c r="AK7526">
        <v>26.5418563109831</v>
      </c>
      <c r="AL7526">
        <v>78.9595829401093</v>
      </c>
      <c r="AM7526">
        <v>86.5400378437906</v>
      </c>
      <c r="AN7526">
        <v>1.00000000923314</v>
      </c>
    </row>
    <row r="7527" spans="1:40" x14ac:dyDescent="0.25">
      <c r="A7527" t="str">
        <f>"20190303170434486"</f>
        <v>20190303170434486</v>
      </c>
      <c r="B7527" t="str">
        <f>"1551603874472788"</f>
        <v>1551603874472788</v>
      </c>
      <c r="C7527" t="s">
        <v>40</v>
      </c>
      <c r="D7527">
        <v>4.9341210000000002</v>
      </c>
      <c r="E7527">
        <v>0.48791420000000002</v>
      </c>
      <c r="F7527" t="s">
        <v>42</v>
      </c>
      <c r="G7527">
        <v>-188.64320000000001</v>
      </c>
      <c r="H7527" s="1">
        <v>-4.2426550000000003E-6</v>
      </c>
      <c r="I7527">
        <v>28.961469999999998</v>
      </c>
      <c r="J7527">
        <v>-188.52950000000001</v>
      </c>
      <c r="K7527">
        <v>1.11957</v>
      </c>
      <c r="L7527">
        <v>2.5490110000000001</v>
      </c>
      <c r="M7527">
        <v>-1.7611000000000002E-2</v>
      </c>
      <c r="N7527">
        <v>-1.0046340000000001E-2</v>
      </c>
      <c r="O7527">
        <v>0.99979439999999997</v>
      </c>
      <c r="P7527">
        <v>4.1610719999999997E-2</v>
      </c>
      <c r="Q7527">
        <v>0.18242249999999999</v>
      </c>
      <c r="R7527">
        <v>0.98233930000000003</v>
      </c>
      <c r="S7527">
        <v>-1.356506E-2</v>
      </c>
      <c r="T7527">
        <v>-0.12902339999999901</v>
      </c>
      <c r="U7527">
        <v>3.0779420000000002</v>
      </c>
      <c r="V7527">
        <v>5.9654690000000003E-2</v>
      </c>
      <c r="W7527">
        <v>0.1920424</v>
      </c>
      <c r="X7527">
        <v>0.97957190000000005</v>
      </c>
      <c r="Y7527">
        <v>1.320405E-2</v>
      </c>
      <c r="Z7527">
        <v>-3.1830940000000002E-2</v>
      </c>
      <c r="AA7527">
        <v>0.99940600000000002</v>
      </c>
      <c r="AB7527">
        <v>33</v>
      </c>
      <c r="AC7527">
        <v>-0.113699999999994</v>
      </c>
      <c r="AD7527">
        <v>-1.1195742426549999</v>
      </c>
      <c r="AE7527">
        <v>26.412458999999998</v>
      </c>
      <c r="AF7527">
        <v>0.35086054704896802</v>
      </c>
      <c r="AG7527">
        <v>-1.1195742426549999</v>
      </c>
      <c r="AH7527">
        <v>26.362997973417102</v>
      </c>
      <c r="AI7527">
        <v>92.431540134461699</v>
      </c>
      <c r="AJ7527">
        <v>89.237505469351603</v>
      </c>
      <c r="AK7527">
        <v>26.389092666378001</v>
      </c>
      <c r="AL7527">
        <v>78.928000027775397</v>
      </c>
      <c r="AM7527">
        <v>86.515063371883898</v>
      </c>
      <c r="AN7527">
        <v>1.00000003635318</v>
      </c>
    </row>
    <row r="7528" spans="1:40" x14ac:dyDescent="0.25">
      <c r="A7528" t="str">
        <f>"20190303170434508"</f>
        <v>20190303170434508</v>
      </c>
      <c r="B7528" t="str">
        <f>"1551603874503044"</f>
        <v>1551603874503044</v>
      </c>
      <c r="C7528" t="s">
        <v>40</v>
      </c>
      <c r="D7528">
        <v>4.9351149999999997</v>
      </c>
      <c r="E7528">
        <v>0.48797570000000001</v>
      </c>
      <c r="F7528" t="s">
        <v>42</v>
      </c>
      <c r="G7528">
        <v>-188.58850000000001</v>
      </c>
      <c r="H7528" s="1">
        <v>-4.5164980000000002E-6</v>
      </c>
      <c r="I7528">
        <v>29.577200000000001</v>
      </c>
      <c r="J7528">
        <v>-188.5335</v>
      </c>
      <c r="K7528">
        <v>1.1195569999999999</v>
      </c>
      <c r="L7528">
        <v>2.882568</v>
      </c>
      <c r="M7528">
        <v>-1.5721430000000002E-2</v>
      </c>
      <c r="N7528">
        <v>-1.0263970000000001E-2</v>
      </c>
      <c r="O7528">
        <v>0.99982369999999998</v>
      </c>
      <c r="P7528">
        <v>4.4017000000000001E-2</v>
      </c>
      <c r="Q7528">
        <v>0.1816362</v>
      </c>
      <c r="R7528">
        <v>0.98238020000000004</v>
      </c>
      <c r="S7528">
        <v>-6.7138669999999897E-3</v>
      </c>
      <c r="T7528">
        <v>-0.12749349999999901</v>
      </c>
      <c r="U7528">
        <v>3.0778810000000001</v>
      </c>
      <c r="V7528">
        <v>6.0213830000000003E-2</v>
      </c>
      <c r="W7528">
        <v>0.19146540000000001</v>
      </c>
      <c r="X7528">
        <v>0.97965060000000004</v>
      </c>
      <c r="Y7528">
        <v>1.3538629999999999E-2</v>
      </c>
      <c r="Z7528">
        <v>-3.1120209999999999E-2</v>
      </c>
      <c r="AA7528">
        <v>0.99942399999999998</v>
      </c>
      <c r="AB7528">
        <v>33</v>
      </c>
      <c r="AC7528">
        <v>-5.50000000000068E-2</v>
      </c>
      <c r="AD7528">
        <v>-1.119561516498</v>
      </c>
      <c r="AE7528">
        <v>26.694631999999999</v>
      </c>
      <c r="AF7528">
        <v>0.36406634268416199</v>
      </c>
      <c r="AG7528">
        <v>-1.119561516498</v>
      </c>
      <c r="AH7528">
        <v>26.645330188337098</v>
      </c>
      <c r="AI7528">
        <v>92.405767321629</v>
      </c>
      <c r="AJ7528">
        <v>89.217192400371403</v>
      </c>
      <c r="AK7528">
        <v>26.6713251102491</v>
      </c>
      <c r="AL7528">
        <v>78.961684387723494</v>
      </c>
      <c r="AM7528">
        <v>86.482762762900506</v>
      </c>
      <c r="AN7528">
        <v>1.00000000140039</v>
      </c>
    </row>
    <row r="7529" spans="1:40" x14ac:dyDescent="0.25">
      <c r="A7529" t="str">
        <f>"20190303170434531"</f>
        <v>20190303170434531</v>
      </c>
      <c r="B7529" t="str">
        <f>"1551603874523070"</f>
        <v>1551603874523070</v>
      </c>
      <c r="C7529" t="s">
        <v>40</v>
      </c>
      <c r="D7529">
        <v>4.9268970000000003</v>
      </c>
      <c r="E7529">
        <v>0.48799130000000002</v>
      </c>
      <c r="F7529" t="s">
        <v>42</v>
      </c>
      <c r="G7529">
        <v>-188.52979999999999</v>
      </c>
      <c r="H7529" s="1">
        <v>-4.5029060000000003E-6</v>
      </c>
      <c r="I7529">
        <v>29.521249999999998</v>
      </c>
      <c r="J7529">
        <v>-188.5369</v>
      </c>
      <c r="K7529">
        <v>1.119556</v>
      </c>
      <c r="L7529">
        <v>3.2231450000000001</v>
      </c>
      <c r="M7529">
        <v>-1.3790159999999999E-2</v>
      </c>
      <c r="N7529">
        <v>-1.0461700000000001E-2</v>
      </c>
      <c r="O7529">
        <v>0.99985020000000002</v>
      </c>
      <c r="P7529">
        <v>4.508301E-2</v>
      </c>
      <c r="Q7529">
        <v>0.1802009</v>
      </c>
      <c r="R7529">
        <v>0.98259620000000003</v>
      </c>
      <c r="S7529">
        <v>4.2724609999999998E-4</v>
      </c>
      <c r="T7529">
        <v>-0.12934849999999901</v>
      </c>
      <c r="U7529">
        <v>3.0776979999999998</v>
      </c>
      <c r="V7529">
        <v>5.9388240000000002E-2</v>
      </c>
      <c r="W7529">
        <v>0.19022829999999999</v>
      </c>
      <c r="X7529">
        <v>0.97994199999999998</v>
      </c>
      <c r="Y7529">
        <v>1.392583E-2</v>
      </c>
      <c r="Z7529">
        <v>-3.1527819999999998E-2</v>
      </c>
      <c r="AA7529">
        <v>0.99940589999999996</v>
      </c>
      <c r="AB7529">
        <v>33</v>
      </c>
      <c r="AC7529">
        <v>7.1000000000083201E-3</v>
      </c>
      <c r="AD7529">
        <v>-1.1195605029060001</v>
      </c>
      <c r="AE7529">
        <v>26.298105</v>
      </c>
      <c r="AF7529">
        <v>0.36910528662654701</v>
      </c>
      <c r="AG7529">
        <v>-1.1195605029060001</v>
      </c>
      <c r="AH7529">
        <v>26.2479352591149</v>
      </c>
      <c r="AI7529">
        <v>92.4421312849054</v>
      </c>
      <c r="AJ7529">
        <v>89.194344961645697</v>
      </c>
      <c r="AK7529">
        <v>26.274393614296201</v>
      </c>
      <c r="AL7529">
        <v>79.033892691943393</v>
      </c>
      <c r="AM7529">
        <v>86.5318979831966</v>
      </c>
      <c r="AN7529">
        <v>1.00000004626759</v>
      </c>
    </row>
    <row r="7530" spans="1:40" x14ac:dyDescent="0.25">
      <c r="A7530" t="str">
        <f>"20190303170434554"</f>
        <v>20190303170434554</v>
      </c>
      <c r="B7530" t="str">
        <f>"1551603874543567"</f>
        <v>1551603874543567</v>
      </c>
      <c r="C7530" t="s">
        <v>40</v>
      </c>
      <c r="D7530">
        <v>4.9345689999999998</v>
      </c>
      <c r="E7530">
        <v>0.48803220000000003</v>
      </c>
      <c r="F7530" t="s">
        <v>42</v>
      </c>
      <c r="G7530">
        <v>-188.49629999999999</v>
      </c>
      <c r="H7530" s="1">
        <v>-4.2802189999999996E-6</v>
      </c>
      <c r="I7530">
        <v>28.988299999999999</v>
      </c>
      <c r="J7530">
        <v>-188.53960000000001</v>
      </c>
      <c r="K7530">
        <v>1.119564</v>
      </c>
      <c r="L7530">
        <v>3.5531009999999998</v>
      </c>
      <c r="M7530">
        <v>-1.1921370000000001E-2</v>
      </c>
      <c r="N7530">
        <v>-1.0631109999999999E-2</v>
      </c>
      <c r="O7530">
        <v>0.99987239999999999</v>
      </c>
      <c r="P7530">
        <v>4.5122639999999999E-2</v>
      </c>
      <c r="Q7530">
        <v>0.17992749999999999</v>
      </c>
      <c r="R7530">
        <v>0.98264439999999997</v>
      </c>
      <c r="S7530">
        <v>4.8522950000000004E-3</v>
      </c>
      <c r="T7530">
        <v>-0.13372300000000001</v>
      </c>
      <c r="U7530">
        <v>3.0774539999999999</v>
      </c>
      <c r="V7530">
        <v>5.7596929999999998E-2</v>
      </c>
      <c r="W7530">
        <v>0.19012809999999999</v>
      </c>
      <c r="X7530">
        <v>0.9800683</v>
      </c>
      <c r="Y7530">
        <v>1.349391E-2</v>
      </c>
      <c r="Z7530">
        <v>-3.278126E-2</v>
      </c>
      <c r="AA7530">
        <v>0.99937149999999997</v>
      </c>
      <c r="AB7530">
        <v>33</v>
      </c>
      <c r="AC7530">
        <v>4.3300000000016298E-2</v>
      </c>
      <c r="AD7530">
        <v>-1.1195682802189999</v>
      </c>
      <c r="AE7530">
        <v>25.435199000000001</v>
      </c>
      <c r="AF7530">
        <v>0.34586638680293003</v>
      </c>
      <c r="AG7530">
        <v>-1.1195682802189999</v>
      </c>
      <c r="AH7530">
        <v>25.383695551216402</v>
      </c>
      <c r="AI7530">
        <v>92.525205531447099</v>
      </c>
      <c r="AJ7530">
        <v>89.219362760661596</v>
      </c>
      <c r="AK7530">
        <v>25.4107271940107</v>
      </c>
      <c r="AL7530">
        <v>79.0397397919795</v>
      </c>
      <c r="AM7530">
        <v>86.636693888597094</v>
      </c>
      <c r="AN7530">
        <v>0.99999998670996204</v>
      </c>
    </row>
    <row r="7531" spans="1:40" x14ac:dyDescent="0.25">
      <c r="A7531" t="str">
        <f>"20190303170434575"</f>
        <v>20190303170434575</v>
      </c>
      <c r="B7531" t="str">
        <f>"1551603874563086"</f>
        <v>1551603874563086</v>
      </c>
      <c r="C7531" t="s">
        <v>40</v>
      </c>
      <c r="D7531">
        <v>4.8153629999999996</v>
      </c>
      <c r="E7531">
        <v>0.48804209999999898</v>
      </c>
      <c r="F7531" t="s">
        <v>42</v>
      </c>
      <c r="G7531">
        <v>-188.48480000000001</v>
      </c>
      <c r="H7531" s="1">
        <v>-4.367779E-6</v>
      </c>
      <c r="I7531">
        <v>29.187660000000001</v>
      </c>
      <c r="J7531">
        <v>-188.54150000000001</v>
      </c>
      <c r="K7531">
        <v>1.1195820000000001</v>
      </c>
      <c r="L7531">
        <v>3.8637999999999999</v>
      </c>
      <c r="M7531">
        <v>-1.0166150000000001E-2</v>
      </c>
      <c r="N7531">
        <v>-1.0771609999999999E-2</v>
      </c>
      <c r="O7531">
        <v>0.99989030000000001</v>
      </c>
      <c r="P7531">
        <v>4.520308E-2</v>
      </c>
      <c r="Q7531">
        <v>0.18105959999999999</v>
      </c>
      <c r="R7531">
        <v>0.98243270000000005</v>
      </c>
      <c r="S7531">
        <v>6.5765379999999998E-3</v>
      </c>
      <c r="T7531">
        <v>-0.13439860000000001</v>
      </c>
      <c r="U7531">
        <v>3.0773009999999998</v>
      </c>
      <c r="V7531">
        <v>5.5959259999999997E-2</v>
      </c>
      <c r="W7531">
        <v>0.19140270000000001</v>
      </c>
      <c r="X7531">
        <v>0.97991510000000004</v>
      </c>
      <c r="Y7531">
        <v>1.2298949999999999E-2</v>
      </c>
      <c r="Z7531">
        <v>-3.2863499999999997E-2</v>
      </c>
      <c r="AA7531">
        <v>0.99938419999999895</v>
      </c>
      <c r="AB7531">
        <v>33</v>
      </c>
      <c r="AC7531">
        <v>5.6700000000006398E-2</v>
      </c>
      <c r="AD7531">
        <v>-1.1195863677789999</v>
      </c>
      <c r="AE7531">
        <v>25.32386</v>
      </c>
      <c r="AF7531">
        <v>0.31354531783994599</v>
      </c>
      <c r="AG7531">
        <v>-1.1195863677789999</v>
      </c>
      <c r="AH7531">
        <v>25.272577493890601</v>
      </c>
      <c r="AI7531">
        <v>92.536374953089407</v>
      </c>
      <c r="AJ7531">
        <v>89.289193919427007</v>
      </c>
      <c r="AK7531">
        <v>25.2993074507181</v>
      </c>
      <c r="AL7531">
        <v>78.965344708576595</v>
      </c>
      <c r="AM7531">
        <v>86.731603661559504</v>
      </c>
      <c r="AN7531">
        <v>1.0000000177775199</v>
      </c>
    </row>
    <row r="7532" spans="1:40" x14ac:dyDescent="0.25">
      <c r="A7532" t="str">
        <f>"20190303170434598"</f>
        <v>20190303170434598</v>
      </c>
      <c r="B7532" t="str">
        <f>"1551603874583582"</f>
        <v>1551603874583582</v>
      </c>
      <c r="C7532" t="s">
        <v>40</v>
      </c>
      <c r="D7532">
        <v>4.8815660000000003</v>
      </c>
      <c r="E7532">
        <v>0.47745989999999999</v>
      </c>
      <c r="F7532" t="s">
        <v>42</v>
      </c>
      <c r="G7532">
        <v>-188.4838</v>
      </c>
      <c r="H7532" s="1">
        <v>-5.9827530000000003E-7</v>
      </c>
      <c r="I7532">
        <v>30.22062</v>
      </c>
      <c r="J7532">
        <v>-188.54300000000001</v>
      </c>
      <c r="K7532">
        <v>1.1195999999999999</v>
      </c>
      <c r="L7532">
        <v>4.2035830000000001</v>
      </c>
      <c r="M7532">
        <v>-8.2509119999999991E-3</v>
      </c>
      <c r="N7532">
        <v>-1.0905450000000001E-2</v>
      </c>
      <c r="O7532">
        <v>0.99990650000000003</v>
      </c>
      <c r="P7532">
        <v>4.6970739999999997E-2</v>
      </c>
      <c r="Q7532">
        <v>0.1837762</v>
      </c>
      <c r="R7532">
        <v>0.98184519999999997</v>
      </c>
      <c r="S7532">
        <v>6.7443850000000003E-3</v>
      </c>
      <c r="T7532">
        <v>-0.13072249999999999</v>
      </c>
      <c r="U7532">
        <v>3.077423</v>
      </c>
      <c r="V7532">
        <v>5.5854920000000002E-2</v>
      </c>
      <c r="W7532">
        <v>0.19424459999999999</v>
      </c>
      <c r="X7532">
        <v>0.9793617</v>
      </c>
      <c r="Y7532">
        <v>1.043874E-2</v>
      </c>
      <c r="Z7532">
        <v>-3.1538030000000002E-2</v>
      </c>
      <c r="AA7532">
        <v>0.99944809999999995</v>
      </c>
      <c r="AB7532">
        <v>33</v>
      </c>
      <c r="AC7532">
        <v>5.9200000000004097E-2</v>
      </c>
      <c r="AD7532">
        <v>-1.1196005982752999</v>
      </c>
      <c r="AE7532">
        <v>26.017036999999998</v>
      </c>
      <c r="AF7532">
        <v>0.27336879088680599</v>
      </c>
      <c r="AG7532">
        <v>-1.1196005982752999</v>
      </c>
      <c r="AH7532">
        <v>25.967574476677498</v>
      </c>
      <c r="AI7532">
        <v>92.468660924896</v>
      </c>
      <c r="AJ7532">
        <v>89.396851661611393</v>
      </c>
      <c r="AK7532">
        <v>25.993136790262199</v>
      </c>
      <c r="AL7532">
        <v>78.799401819008395</v>
      </c>
      <c r="AM7532">
        <v>86.7358452175624</v>
      </c>
      <c r="AN7532">
        <v>1.0000000380721199</v>
      </c>
    </row>
    <row r="7533" spans="1:40" x14ac:dyDescent="0.25">
      <c r="A7533" t="str">
        <f>"20190303170434621"</f>
        <v>20190303170434621</v>
      </c>
      <c r="B7533" t="str">
        <f>"1551603874612862"</f>
        <v>1551603874612862</v>
      </c>
      <c r="C7533" t="s">
        <v>40</v>
      </c>
      <c r="D7533">
        <v>4.8883029999999996</v>
      </c>
      <c r="E7533">
        <v>0.47756159999999998</v>
      </c>
      <c r="F7533" t="s">
        <v>42</v>
      </c>
      <c r="G7533">
        <v>-189.7175</v>
      </c>
      <c r="H7533" s="1">
        <v>-2.5325709999999999E-6</v>
      </c>
      <c r="I7533">
        <v>55.419449999999998</v>
      </c>
      <c r="J7533">
        <v>-188.5438</v>
      </c>
      <c r="K7533">
        <v>1.119605</v>
      </c>
      <c r="L7533">
        <v>4.5386660000000001</v>
      </c>
      <c r="M7533">
        <v>-6.3649010000000001E-3</v>
      </c>
      <c r="N7533">
        <v>-1.102089E-2</v>
      </c>
      <c r="O7533">
        <v>0.999919</v>
      </c>
      <c r="P7533">
        <v>4.883535E-2</v>
      </c>
      <c r="Q7533">
        <v>0.18458579999999999</v>
      </c>
      <c r="R7533">
        <v>0.98160239999999999</v>
      </c>
      <c r="S7533">
        <v>-7.0434570000000002E-2</v>
      </c>
      <c r="T7533">
        <v>-6.7142489999999999E-2</v>
      </c>
      <c r="U7533">
        <v>3.0714109999999999</v>
      </c>
      <c r="V7533">
        <v>5.5872079999999998E-2</v>
      </c>
      <c r="W7533">
        <v>0.19516510000000001</v>
      </c>
      <c r="X7533">
        <v>0.97917770000000004</v>
      </c>
      <c r="Y7533">
        <v>-1.6557869999999999E-2</v>
      </c>
      <c r="Z7533">
        <v>-1.0831439999999999E-2</v>
      </c>
      <c r="AA7533">
        <v>0.99980429999999998</v>
      </c>
      <c r="AB7533">
        <v>33</v>
      </c>
      <c r="AC7533">
        <v>-1.17369999999999</v>
      </c>
      <c r="AD7533">
        <v>-1.119607532571</v>
      </c>
      <c r="AE7533">
        <v>50.880783999999998</v>
      </c>
      <c r="AF7533">
        <v>-0.84939433941379205</v>
      </c>
      <c r="AG7533">
        <v>-1.119607532571</v>
      </c>
      <c r="AH7533">
        <v>50.862609626977999</v>
      </c>
      <c r="AI7533">
        <v>91.260837578382294</v>
      </c>
      <c r="AJ7533">
        <v>90.956737922111202</v>
      </c>
      <c r="AK7533">
        <v>50.882020889870098</v>
      </c>
      <c r="AL7533">
        <v>78.745631986880198</v>
      </c>
      <c r="AM7533">
        <v>86.734232322176496</v>
      </c>
      <c r="AN7533">
        <v>1.00000003687941</v>
      </c>
    </row>
    <row r="7534" spans="1:40" x14ac:dyDescent="0.25">
      <c r="A7534" t="str">
        <f>"20190303170434644"</f>
        <v>20190303170434644</v>
      </c>
      <c r="B7534" t="str">
        <f>"1551603874632888"</f>
        <v>1551603874632888</v>
      </c>
      <c r="C7534" t="s">
        <v>40</v>
      </c>
      <c r="D7534">
        <v>4.8757809999999999</v>
      </c>
      <c r="E7534">
        <v>0.47748439999999998</v>
      </c>
      <c r="F7534" t="s">
        <v>42</v>
      </c>
      <c r="G7534">
        <v>-189.946</v>
      </c>
      <c r="H7534" s="1">
        <v>-8.8348839999999899E-7</v>
      </c>
      <c r="I7534">
        <v>71.669869999999904</v>
      </c>
      <c r="J7534">
        <v>-188.54400000000001</v>
      </c>
      <c r="K7534">
        <v>1.11959599999999</v>
      </c>
      <c r="L7534">
        <v>4.888763</v>
      </c>
      <c r="M7534">
        <v>-4.3954989999999998E-3</v>
      </c>
      <c r="N7534">
        <v>-1.112572E-2</v>
      </c>
      <c r="O7534">
        <v>0.9999285</v>
      </c>
      <c r="P7534">
        <v>5.064838E-2</v>
      </c>
      <c r="Q7534">
        <v>0.18283650000000001</v>
      </c>
      <c r="R7534">
        <v>0.98183790000000004</v>
      </c>
      <c r="S7534">
        <v>-6.410217E-2</v>
      </c>
      <c r="T7534">
        <v>-5.1184889999999997E-2</v>
      </c>
      <c r="U7534">
        <v>3.0690309999999998</v>
      </c>
      <c r="V7534">
        <v>5.5747900000000003E-2</v>
      </c>
      <c r="W7534">
        <v>0.19352230000000001</v>
      </c>
      <c r="X7534">
        <v>0.97951069999999996</v>
      </c>
      <c r="Y7534">
        <v>-1.648434E-2</v>
      </c>
      <c r="Z7534">
        <v>-5.5476619999999897E-3</v>
      </c>
      <c r="AA7534">
        <v>0.99984870000000003</v>
      </c>
      <c r="AB7534">
        <v>33</v>
      </c>
      <c r="AC7534">
        <v>-1.4019999999999799</v>
      </c>
      <c r="AD7534">
        <v>-1.11959688348839</v>
      </c>
      <c r="AE7534">
        <v>66.781106999999906</v>
      </c>
      <c r="AF7534">
        <v>-1.1081206890125099</v>
      </c>
      <c r="AG7534">
        <v>-1.11959688348839</v>
      </c>
      <c r="AH7534">
        <v>66.767866421094197</v>
      </c>
      <c r="AI7534">
        <v>90.960541915691394</v>
      </c>
      <c r="AJ7534">
        <v>90.9508287981607</v>
      </c>
      <c r="AK7534">
        <v>66.786446342562698</v>
      </c>
      <c r="AL7534">
        <v>78.8415861624229</v>
      </c>
      <c r="AM7534">
        <v>86.742580484494397</v>
      </c>
      <c r="AN7534">
        <v>0.99999996018309401</v>
      </c>
    </row>
    <row r="7535" spans="1:40" x14ac:dyDescent="0.25">
      <c r="A7535" t="str">
        <f>"20190303170434668"</f>
        <v>20190303170434668</v>
      </c>
      <c r="B7535" t="str">
        <f>"1551603874663145"</f>
        <v>1551603874663145</v>
      </c>
      <c r="C7535" t="s">
        <v>40</v>
      </c>
      <c r="D7535">
        <v>4.751404</v>
      </c>
      <c r="E7535">
        <v>0.47713119999999998</v>
      </c>
      <c r="F7535" t="s">
        <v>42</v>
      </c>
      <c r="G7535">
        <v>-189.7774</v>
      </c>
      <c r="H7535" s="1">
        <v>-4.3138790000000004E-6</v>
      </c>
      <c r="I7535">
        <v>69.596490000000003</v>
      </c>
      <c r="J7535">
        <v>-188.5436</v>
      </c>
      <c r="K7535">
        <v>1.1195930000000001</v>
      </c>
      <c r="L7535">
        <v>5.220154</v>
      </c>
      <c r="M7535">
        <v>-2.5319230000000002E-3</v>
      </c>
      <c r="N7535">
        <v>-1.1208650000000001E-2</v>
      </c>
      <c r="O7535">
        <v>0.99993399999999999</v>
      </c>
      <c r="P7535">
        <v>5.1328829999999999E-2</v>
      </c>
      <c r="Q7535">
        <v>0.1809935</v>
      </c>
      <c r="R7535">
        <v>0.98214389999999996</v>
      </c>
      <c r="S7535">
        <v>-5.8486940000000001E-2</v>
      </c>
      <c r="T7535">
        <v>-5.3090569999999997E-2</v>
      </c>
      <c r="U7535">
        <v>3.06839</v>
      </c>
      <c r="V7535">
        <v>5.459323E-2</v>
      </c>
      <c r="W7535">
        <v>0.19176960000000001</v>
      </c>
      <c r="X7535">
        <v>0.97992040000000002</v>
      </c>
      <c r="Y7535">
        <v>-1.652298E-2</v>
      </c>
      <c r="Z7535">
        <v>-6.0892100000000003E-3</v>
      </c>
      <c r="AA7535">
        <v>0.99984499999999998</v>
      </c>
      <c r="AB7535">
        <v>33</v>
      </c>
      <c r="AC7535">
        <v>-1.2338</v>
      </c>
      <c r="AD7535">
        <v>-1.1195973138789901</v>
      </c>
      <c r="AE7535">
        <v>64.376335999999995</v>
      </c>
      <c r="AF7535">
        <v>-1.0704662263709299</v>
      </c>
      <c r="AG7535">
        <v>-1.1195973138789901</v>
      </c>
      <c r="AH7535">
        <v>64.359794449053396</v>
      </c>
      <c r="AI7535">
        <v>90.996474014236796</v>
      </c>
      <c r="AJ7535">
        <v>90.952885921803897</v>
      </c>
      <c r="AK7535">
        <v>64.378432239465496</v>
      </c>
      <c r="AL7535">
        <v>78.943925873471201</v>
      </c>
      <c r="AM7535">
        <v>86.811239487945997</v>
      </c>
      <c r="AN7535">
        <v>0.99999999529107597</v>
      </c>
    </row>
    <row r="7536" spans="1:40" x14ac:dyDescent="0.25">
      <c r="A7536" t="str">
        <f>"20190303170434689"</f>
        <v>20190303170434689</v>
      </c>
      <c r="B7536" t="str">
        <f>"1551603874683640"</f>
        <v>1551603874683640</v>
      </c>
      <c r="C7536" t="s">
        <v>40</v>
      </c>
      <c r="D7536">
        <v>4.8166900000000004</v>
      </c>
      <c r="E7536">
        <v>0.47695739999999998</v>
      </c>
      <c r="F7536" t="s">
        <v>42</v>
      </c>
      <c r="G7536">
        <v>-189.69220000000001</v>
      </c>
      <c r="H7536" s="1">
        <v>-2.6341700000000001E-6</v>
      </c>
      <c r="I7536">
        <v>65.645809999999997</v>
      </c>
      <c r="J7536">
        <v>-188.54259999999999</v>
      </c>
      <c r="K7536">
        <v>1.119602</v>
      </c>
      <c r="L7536">
        <v>5.5390319999999997</v>
      </c>
      <c r="M7536">
        <v>-7.3871530000000003E-4</v>
      </c>
      <c r="N7536">
        <v>-1.127003E-2</v>
      </c>
      <c r="O7536">
        <v>0.99993620000000005</v>
      </c>
      <c r="P7536">
        <v>5.2282540000000002E-2</v>
      </c>
      <c r="Q7536">
        <v>0.18138299999999999</v>
      </c>
      <c r="R7536">
        <v>0.9820217</v>
      </c>
      <c r="S7536">
        <v>-5.8319089999999997E-2</v>
      </c>
      <c r="T7536">
        <v>-5.6846380000000002E-2</v>
      </c>
      <c r="U7536">
        <v>3.0680540000000001</v>
      </c>
      <c r="V7536">
        <v>5.3788000000000002E-2</v>
      </c>
      <c r="W7536">
        <v>0.19222210000000001</v>
      </c>
      <c r="X7536">
        <v>0.97987630000000003</v>
      </c>
      <c r="Y7536">
        <v>-1.8262859999999999E-2</v>
      </c>
      <c r="Z7536">
        <v>-7.2528799999999997E-3</v>
      </c>
      <c r="AA7536">
        <v>0.99980690000000005</v>
      </c>
      <c r="AB7536">
        <v>33</v>
      </c>
      <c r="AC7536">
        <v>-1.1496000000000199</v>
      </c>
      <c r="AD7536">
        <v>-1.1196046341699999</v>
      </c>
      <c r="AE7536">
        <v>60.106777999999998</v>
      </c>
      <c r="AF7536">
        <v>-1.1048118807835701</v>
      </c>
      <c r="AG7536">
        <v>-1.1196046341699999</v>
      </c>
      <c r="AH7536">
        <v>60.086770648979503</v>
      </c>
      <c r="AI7536">
        <v>91.067295844997204</v>
      </c>
      <c r="AJ7536">
        <v>91.053375395106798</v>
      </c>
      <c r="AK7536">
        <v>60.107355047879402</v>
      </c>
      <c r="AL7536">
        <v>78.917508370761496</v>
      </c>
      <c r="AM7536">
        <v>86.858036483886394</v>
      </c>
      <c r="AN7536">
        <v>1.0000000239870499</v>
      </c>
    </row>
    <row r="7537" spans="1:40" x14ac:dyDescent="0.25">
      <c r="A7537" t="str">
        <f>"20190303170434710"</f>
        <v>20190303170434710</v>
      </c>
      <c r="B7537" t="str">
        <f>"1551603874703161"</f>
        <v>1551603874703161</v>
      </c>
      <c r="C7537" t="s">
        <v>40</v>
      </c>
      <c r="D7537">
        <v>4.8103540000000002</v>
      </c>
      <c r="E7537">
        <v>0.47681570000000001</v>
      </c>
      <c r="F7537" t="s">
        <v>42</v>
      </c>
      <c r="G7537">
        <v>-189.68360000000001</v>
      </c>
      <c r="H7537" s="1">
        <v>-3.7561529999999999E-6</v>
      </c>
      <c r="I7537">
        <v>68.257630000000006</v>
      </c>
      <c r="J7537">
        <v>-188.54089999999999</v>
      </c>
      <c r="K7537">
        <v>1.119604</v>
      </c>
      <c r="L7537">
        <v>5.8705749999999997</v>
      </c>
      <c r="M7537">
        <v>1.125863E-3</v>
      </c>
      <c r="N7537">
        <v>-1.1315759999999999E-2</v>
      </c>
      <c r="O7537">
        <v>0.99993529999999997</v>
      </c>
      <c r="P7537">
        <v>5.4347119999999999E-2</v>
      </c>
      <c r="Q7537">
        <v>0.1834769</v>
      </c>
      <c r="R7537">
        <v>0.98152059999999997</v>
      </c>
      <c r="S7537">
        <v>-5.5816650000000002E-2</v>
      </c>
      <c r="T7537">
        <v>-5.4768089999999998E-2</v>
      </c>
      <c r="U7537">
        <v>3.0680239999999999</v>
      </c>
      <c r="V7537">
        <v>5.4030849999999998E-2</v>
      </c>
      <c r="W7537">
        <v>0.194355</v>
      </c>
      <c r="X7537">
        <v>0.97944209999999998</v>
      </c>
      <c r="Y7537">
        <v>-1.9312180000000002E-2</v>
      </c>
      <c r="Z7537">
        <v>-6.5300369999999998E-3</v>
      </c>
      <c r="AA7537">
        <v>0.99979220000000002</v>
      </c>
      <c r="AB7537">
        <v>33</v>
      </c>
      <c r="AC7537">
        <v>-1.14270000000001</v>
      </c>
      <c r="AD7537">
        <v>-1.119607756153</v>
      </c>
      <c r="AE7537">
        <v>62.387054999999997</v>
      </c>
      <c r="AF7537">
        <v>-1.2125526636661099</v>
      </c>
      <c r="AG7537">
        <v>-1.119607756153</v>
      </c>
      <c r="AH7537">
        <v>62.365649824756296</v>
      </c>
      <c r="AI7537">
        <v>91.028287076937701</v>
      </c>
      <c r="AJ7537">
        <v>91.113840682001197</v>
      </c>
      <c r="AK7537">
        <v>62.387483388528601</v>
      </c>
      <c r="AL7537">
        <v>78.792953189427195</v>
      </c>
      <c r="AM7537">
        <v>86.842482977153196</v>
      </c>
      <c r="AN7537">
        <v>1.0000000130145601</v>
      </c>
    </row>
    <row r="7538" spans="1:40" x14ac:dyDescent="0.25">
      <c r="A7538" t="str">
        <f>"20190303170434732"</f>
        <v>20190303170434732</v>
      </c>
      <c r="B7538" t="str">
        <f>"1551603874723187"</f>
        <v>1551603874723187</v>
      </c>
      <c r="C7538" t="s">
        <v>40</v>
      </c>
      <c r="D7538">
        <v>4.8170909999999996</v>
      </c>
      <c r="E7538">
        <v>0.476775</v>
      </c>
      <c r="F7538" t="s">
        <v>42</v>
      </c>
      <c r="G7538">
        <v>-189.7724</v>
      </c>
      <c r="H7538" s="1">
        <v>-4.3110419999999998E-6</v>
      </c>
      <c r="I7538">
        <v>79.587819999999994</v>
      </c>
      <c r="J7538">
        <v>-188.53870000000001</v>
      </c>
      <c r="K7538">
        <v>1.119607</v>
      </c>
      <c r="L7538">
        <v>6.1951599999999996</v>
      </c>
      <c r="M7538">
        <v>2.9522089999999999E-3</v>
      </c>
      <c r="N7538">
        <v>-1.134427E-2</v>
      </c>
      <c r="O7538">
        <v>0.99993129999999997</v>
      </c>
      <c r="P7538">
        <v>5.6407909999999999E-2</v>
      </c>
      <c r="Q7538">
        <v>0.18398909999999999</v>
      </c>
      <c r="R7538">
        <v>0.98130839999999997</v>
      </c>
      <c r="S7538">
        <v>-5.1254269999999998E-2</v>
      </c>
      <c r="T7538">
        <v>-4.6596770000000003E-2</v>
      </c>
      <c r="U7538">
        <v>3.0680239999999999</v>
      </c>
      <c r="V7538">
        <v>5.4301500000000003E-2</v>
      </c>
      <c r="W7538">
        <v>0.19489290000000001</v>
      </c>
      <c r="X7538">
        <v>0.97932019999999997</v>
      </c>
      <c r="Y7538">
        <v>-1.965246E-2</v>
      </c>
      <c r="Z7538">
        <v>-3.8392830000000002E-3</v>
      </c>
      <c r="AA7538">
        <v>0.99979949999999995</v>
      </c>
      <c r="AB7538">
        <v>33</v>
      </c>
      <c r="AC7538">
        <v>-1.23369999999999</v>
      </c>
      <c r="AD7538">
        <v>-1.1196113110420001</v>
      </c>
      <c r="AE7538">
        <v>73.392659999999907</v>
      </c>
      <c r="AF7538">
        <v>-1.45004168144882</v>
      </c>
      <c r="AG7538">
        <v>-1.1196113110420001</v>
      </c>
      <c r="AH7538">
        <v>73.371627706823801</v>
      </c>
      <c r="AI7538">
        <v>90.8740640700168</v>
      </c>
      <c r="AJ7538">
        <v>91.132187701173905</v>
      </c>
      <c r="AK7538">
        <v>73.394495043664605</v>
      </c>
      <c r="AL7538">
        <v>78.761532534417995</v>
      </c>
      <c r="AM7538">
        <v>86.826304478597294</v>
      </c>
      <c r="AN7538">
        <v>0.99999997475034896</v>
      </c>
    </row>
    <row r="7539" spans="1:40" x14ac:dyDescent="0.25">
      <c r="A7539" t="str">
        <f>"20190303170434754"</f>
        <v>20190303170434754</v>
      </c>
      <c r="B7539" t="str">
        <f>"1551603874742706"</f>
        <v>1551603874742706</v>
      </c>
      <c r="C7539" t="s">
        <v>40</v>
      </c>
      <c r="D7539">
        <v>4.8185630000000002</v>
      </c>
      <c r="E7539">
        <v>0.47658329999999999</v>
      </c>
      <c r="F7539" t="s">
        <v>42</v>
      </c>
      <c r="G7539">
        <v>-189.73</v>
      </c>
      <c r="H7539" s="1">
        <v>-2.3879890000000002E-6</v>
      </c>
      <c r="I7539">
        <v>85.087580000000003</v>
      </c>
      <c r="J7539">
        <v>-188.536</v>
      </c>
      <c r="K7539">
        <v>1.119605</v>
      </c>
      <c r="L7539">
        <v>6.5121460000000004</v>
      </c>
      <c r="M7539">
        <v>4.7363459999999998E-3</v>
      </c>
      <c r="N7539">
        <v>-1.135248E-2</v>
      </c>
      <c r="O7539">
        <v>0.99992440000000005</v>
      </c>
      <c r="P7539">
        <v>5.7983029999999998E-2</v>
      </c>
      <c r="Q7539">
        <v>0.182918</v>
      </c>
      <c r="R7539">
        <v>0.98141679999999998</v>
      </c>
      <c r="S7539">
        <v>-4.6325680000000001E-2</v>
      </c>
      <c r="T7539">
        <v>-4.3539290000000001E-2</v>
      </c>
      <c r="U7539">
        <v>3.0679630000000002</v>
      </c>
      <c r="V7539">
        <v>5.4120469999999997E-2</v>
      </c>
      <c r="W7539">
        <v>0.19383300000000001</v>
      </c>
      <c r="X7539">
        <v>0.97954059999999998</v>
      </c>
      <c r="Y7539">
        <v>-1.9831109999999999E-2</v>
      </c>
      <c r="Z7539">
        <v>-2.835073E-3</v>
      </c>
      <c r="AA7539">
        <v>0.99979929999999995</v>
      </c>
      <c r="AB7539">
        <v>33</v>
      </c>
      <c r="AC7539">
        <v>-1.1940000000000099</v>
      </c>
      <c r="AD7539">
        <v>-1.1196073879889901</v>
      </c>
      <c r="AE7539">
        <v>78.575434000000001</v>
      </c>
      <c r="AF7539">
        <v>-1.56585317037787</v>
      </c>
      <c r="AG7539">
        <v>-1.1196073879889901</v>
      </c>
      <c r="AH7539">
        <v>78.5529521396288</v>
      </c>
      <c r="AI7539">
        <v>90.816413572006994</v>
      </c>
      <c r="AJ7539">
        <v>91.141967237342499</v>
      </c>
      <c r="AK7539">
        <v>78.576534071599497</v>
      </c>
      <c r="AL7539">
        <v>78.823441485171998</v>
      </c>
      <c r="AM7539">
        <v>86.837573675677604</v>
      </c>
      <c r="AN7539">
        <v>1.0000000221051899</v>
      </c>
    </row>
    <row r="7540" spans="1:40" x14ac:dyDescent="0.25">
      <c r="A7540" t="str">
        <f>"20190303170434776"</f>
        <v>20190303170434776</v>
      </c>
      <c r="B7540" t="str">
        <f>"1551603874772963"</f>
        <v>1551603874772963</v>
      </c>
      <c r="C7540" t="s">
        <v>40</v>
      </c>
      <c r="D7540">
        <v>4.8154839999999997</v>
      </c>
      <c r="E7540">
        <v>0.47647509999999998</v>
      </c>
      <c r="F7540" t="s">
        <v>42</v>
      </c>
      <c r="G7540">
        <v>-189.56120000000001</v>
      </c>
      <c r="H7540" s="1">
        <v>-2.2102030000000001E-7</v>
      </c>
      <c r="I7540">
        <v>79.954490000000007</v>
      </c>
      <c r="J7540">
        <v>-188.5326</v>
      </c>
      <c r="K7540">
        <v>1.11959599999999</v>
      </c>
      <c r="L7540">
        <v>6.8343509999999998</v>
      </c>
      <c r="M7540">
        <v>6.5492850000000002E-3</v>
      </c>
      <c r="N7540">
        <v>-1.135039E-2</v>
      </c>
      <c r="O7540">
        <v>0.99991410000000003</v>
      </c>
      <c r="P7540">
        <v>5.9297000000000002E-2</v>
      </c>
      <c r="Q7540">
        <v>0.1817684</v>
      </c>
      <c r="R7540">
        <v>0.98155190000000003</v>
      </c>
      <c r="S7540">
        <v>-4.2831420000000002E-2</v>
      </c>
      <c r="T7540">
        <v>-4.6771529999999999E-2</v>
      </c>
      <c r="U7540">
        <v>3.0680540000000001</v>
      </c>
      <c r="V7540">
        <v>5.3648889999999998E-2</v>
      </c>
      <c r="W7540">
        <v>0.19268579999999999</v>
      </c>
      <c r="X7540">
        <v>0.97979280000000002</v>
      </c>
      <c r="Y7540">
        <v>-2.0504660000000001E-2</v>
      </c>
      <c r="Z7540">
        <v>-3.8895100000000001E-3</v>
      </c>
      <c r="AA7540">
        <v>0.99978219999999995</v>
      </c>
      <c r="AB7540">
        <v>33</v>
      </c>
      <c r="AC7540">
        <v>-1.02860000000001</v>
      </c>
      <c r="AD7540">
        <v>-1.1195962210203001</v>
      </c>
      <c r="AE7540">
        <v>73.120138999999995</v>
      </c>
      <c r="AF7540">
        <v>-1.50714015555072</v>
      </c>
      <c r="AG7540">
        <v>-1.1195962210203001</v>
      </c>
      <c r="AH7540">
        <v>73.094699969889007</v>
      </c>
      <c r="AI7540">
        <v>90.877348067195598</v>
      </c>
      <c r="AJ7540">
        <v>91.181214722344706</v>
      </c>
      <c r="AK7540">
        <v>73.118808324771607</v>
      </c>
      <c r="AL7540">
        <v>78.890433652946896</v>
      </c>
      <c r="AM7540">
        <v>86.865879673741503</v>
      </c>
      <c r="AN7540">
        <v>0.99999997592585499</v>
      </c>
    </row>
    <row r="7541" spans="1:40" x14ac:dyDescent="0.25">
      <c r="A7541" t="str">
        <f>"20190303170434800"</f>
        <v>20190303170434800</v>
      </c>
      <c r="B7541" t="str">
        <f>"1551603874793459"</f>
        <v>1551603874793459</v>
      </c>
      <c r="C7541" t="s">
        <v>40</v>
      </c>
      <c r="D7541">
        <v>4.8295969999999997</v>
      </c>
      <c r="E7541">
        <v>0.47626839999999998</v>
      </c>
      <c r="F7541" t="s">
        <v>42</v>
      </c>
      <c r="G7541">
        <v>-189.41820000000001</v>
      </c>
      <c r="H7541" s="1">
        <v>-2.5898970000000001E-6</v>
      </c>
      <c r="I7541">
        <v>75.429339999999996</v>
      </c>
      <c r="J7541">
        <v>-188.5283</v>
      </c>
      <c r="K7541">
        <v>1.119591</v>
      </c>
      <c r="L7541">
        <v>7.1819459999999999</v>
      </c>
      <c r="M7541">
        <v>8.5048929999999995E-3</v>
      </c>
      <c r="N7541">
        <v>-1.133841E-2</v>
      </c>
      <c r="O7541">
        <v>0.9998996</v>
      </c>
      <c r="P7541">
        <v>6.1015369999999999E-2</v>
      </c>
      <c r="Q7541">
        <v>0.18103530000000001</v>
      </c>
      <c r="R7541">
        <v>0.98158199999999995</v>
      </c>
      <c r="S7541">
        <v>-3.9611819999999999E-2</v>
      </c>
      <c r="T7541">
        <v>-5.0076370000000002E-2</v>
      </c>
      <c r="U7541">
        <v>3.0680540000000001</v>
      </c>
      <c r="V7541">
        <v>5.3443480000000002E-2</v>
      </c>
      <c r="W7541">
        <v>0.19194359999999999</v>
      </c>
      <c r="X7541">
        <v>0.97994970000000003</v>
      </c>
      <c r="Y7541">
        <v>-2.1410729999999999E-2</v>
      </c>
      <c r="Z7541">
        <v>-4.9776869999999997E-3</v>
      </c>
      <c r="AA7541">
        <v>0.99975840000000005</v>
      </c>
      <c r="AB7541">
        <v>33</v>
      </c>
      <c r="AC7541">
        <v>-0.88990000000001102</v>
      </c>
      <c r="AD7541">
        <v>-1.119593589897</v>
      </c>
      <c r="AE7541">
        <v>68.247394</v>
      </c>
      <c r="AF7541">
        <v>-1.4699463510549899</v>
      </c>
      <c r="AG7541">
        <v>-1.119593589897</v>
      </c>
      <c r="AH7541">
        <v>68.219000281461405</v>
      </c>
      <c r="AI7541">
        <v>90.9400217866568</v>
      </c>
      <c r="AJ7541">
        <v>91.234387645464807</v>
      </c>
      <c r="AK7541">
        <v>68.244019748865497</v>
      </c>
      <c r="AL7541">
        <v>78.933767559449805</v>
      </c>
      <c r="AM7541">
        <v>86.878354655532405</v>
      </c>
      <c r="AN7541">
        <v>0.99999998283278002</v>
      </c>
    </row>
    <row r="7542" spans="1:40" x14ac:dyDescent="0.25">
      <c r="A7542" t="str">
        <f>"20190303170434823"</f>
        <v>20190303170434823</v>
      </c>
      <c r="B7542" t="str">
        <f>"1551603874812978"</f>
        <v>1551603874812978</v>
      </c>
      <c r="C7542" t="s">
        <v>40</v>
      </c>
      <c r="D7542">
        <v>4.8705299999999996</v>
      </c>
      <c r="E7542">
        <v>0.47608299999999998</v>
      </c>
      <c r="F7542" t="s">
        <v>42</v>
      </c>
      <c r="G7542">
        <v>-189.3124</v>
      </c>
      <c r="H7542" s="1">
        <v>-1.84439E-6</v>
      </c>
      <c r="I7542">
        <v>73.647779999999997</v>
      </c>
      <c r="J7542">
        <v>-188.52350000000001</v>
      </c>
      <c r="K7542">
        <v>1.1195870000000001</v>
      </c>
      <c r="L7542">
        <v>7.520721</v>
      </c>
      <c r="M7542">
        <v>1.041021E-2</v>
      </c>
      <c r="N7542">
        <v>-1.132264E-2</v>
      </c>
      <c r="O7542">
        <v>0.99988169999999998</v>
      </c>
      <c r="P7542">
        <v>6.2784649999999997E-2</v>
      </c>
      <c r="Q7542">
        <v>0.1820948</v>
      </c>
      <c r="R7542">
        <v>0.98127450000000005</v>
      </c>
      <c r="S7542">
        <v>-3.619385E-2</v>
      </c>
      <c r="T7542">
        <v>-5.1680799999999999E-2</v>
      </c>
      <c r="U7542">
        <v>3.068085</v>
      </c>
      <c r="V7542">
        <v>5.3349059999999997E-2</v>
      </c>
      <c r="W7542">
        <v>0.19298570000000001</v>
      </c>
      <c r="X7542">
        <v>0.97975020000000002</v>
      </c>
      <c r="Y7542">
        <v>-2.220186E-2</v>
      </c>
      <c r="Z7542">
        <v>-5.5154160000000004E-3</v>
      </c>
      <c r="AA7542">
        <v>0.99973829999999997</v>
      </c>
      <c r="AB7542">
        <v>33</v>
      </c>
      <c r="AC7542">
        <v>-0.78889999999998395</v>
      </c>
      <c r="AD7542">
        <v>-1.1195888443899999</v>
      </c>
      <c r="AE7542">
        <v>66.127059000000003</v>
      </c>
      <c r="AF7542">
        <v>-1.4768746593648601</v>
      </c>
      <c r="AG7542">
        <v>-1.1195888443899999</v>
      </c>
      <c r="AH7542">
        <v>66.096318017421495</v>
      </c>
      <c r="AI7542">
        <v>90.970183825818793</v>
      </c>
      <c r="AJ7542">
        <v>91.280019964364996</v>
      </c>
      <c r="AK7542">
        <v>66.1222949798332</v>
      </c>
      <c r="AL7542">
        <v>78.872922564814203</v>
      </c>
      <c r="AM7542">
        <v>86.8832256015219</v>
      </c>
      <c r="AN7542">
        <v>1.0000000285037001</v>
      </c>
    </row>
    <row r="7543" spans="1:40" x14ac:dyDescent="0.25">
      <c r="A7543" t="str">
        <f>"20190303170434843"</f>
        <v>20190303170434843</v>
      </c>
      <c r="B7543" t="str">
        <f>"1551603874833006"</f>
        <v>1551603874833006</v>
      </c>
      <c r="C7543" t="s">
        <v>40</v>
      </c>
      <c r="D7543">
        <v>4.7541880000000001</v>
      </c>
      <c r="E7543">
        <v>0.47594130000000001</v>
      </c>
      <c r="F7543" t="s">
        <v>42</v>
      </c>
      <c r="G7543">
        <v>-189.29429999999999</v>
      </c>
      <c r="H7543" s="1">
        <v>-2.9865619999999998E-7</v>
      </c>
      <c r="I7543">
        <v>79.973879999999994</v>
      </c>
      <c r="J7543">
        <v>-188.51859999999999</v>
      </c>
      <c r="K7543">
        <v>1.119591</v>
      </c>
      <c r="L7543">
        <v>7.8290100000000002</v>
      </c>
      <c r="M7543">
        <v>1.214354E-2</v>
      </c>
      <c r="N7543">
        <v>-1.13074E-2</v>
      </c>
      <c r="O7543">
        <v>0.99986229999999998</v>
      </c>
      <c r="P7543">
        <v>6.3999349999999997E-2</v>
      </c>
      <c r="Q7543">
        <v>0.18252260000000001</v>
      </c>
      <c r="R7543">
        <v>0.98111649999999995</v>
      </c>
      <c r="S7543">
        <v>-3.2638550000000002E-2</v>
      </c>
      <c r="T7543">
        <v>-4.7410729999999998E-2</v>
      </c>
      <c r="U7543">
        <v>3.068146</v>
      </c>
      <c r="V7543">
        <v>5.2865759999999998E-2</v>
      </c>
      <c r="W7543">
        <v>0.19339980000000001</v>
      </c>
      <c r="X7543">
        <v>0.97969470000000003</v>
      </c>
      <c r="Y7543">
        <v>-2.2776580000000001E-2</v>
      </c>
      <c r="Z7543">
        <v>-4.1387999999999998E-3</v>
      </c>
      <c r="AA7543">
        <v>0.99973199999999995</v>
      </c>
      <c r="AB7543">
        <v>33</v>
      </c>
      <c r="AC7543">
        <v>-0.77569999999999995</v>
      </c>
      <c r="AD7543">
        <v>-1.1195912986562</v>
      </c>
      <c r="AE7543">
        <v>72.144869999999997</v>
      </c>
      <c r="AF7543">
        <v>-1.65139529177045</v>
      </c>
      <c r="AG7543">
        <v>-1.1195912986562</v>
      </c>
      <c r="AH7543">
        <v>72.112764523867995</v>
      </c>
      <c r="AI7543">
        <v>90.889244695283395</v>
      </c>
      <c r="AJ7543">
        <v>91.311854379105696</v>
      </c>
      <c r="AK7543">
        <v>72.140359011863396</v>
      </c>
      <c r="AL7543">
        <v>78.848740363802307</v>
      </c>
      <c r="AM7543">
        <v>86.9112315481444</v>
      </c>
      <c r="AN7543">
        <v>0.99999998821425296</v>
      </c>
    </row>
    <row r="7544" spans="1:40" x14ac:dyDescent="0.25">
      <c r="A7544" t="str">
        <f>"20190303170434867"</f>
        <v>20190303170434867</v>
      </c>
      <c r="B7544" t="str">
        <f>"1551603874853502"</f>
        <v>1551603874853502</v>
      </c>
      <c r="C7544" t="s">
        <v>40</v>
      </c>
      <c r="D7544">
        <v>4.771979</v>
      </c>
      <c r="E7544">
        <v>0.47587049999999997</v>
      </c>
      <c r="F7544" t="s">
        <v>42</v>
      </c>
      <c r="G7544">
        <v>-189.24719999999999</v>
      </c>
      <c r="H7544" s="1">
        <v>-1.8788239999999999E-6</v>
      </c>
      <c r="I7544">
        <v>83.701099999999997</v>
      </c>
      <c r="J7544">
        <v>-188.51230000000001</v>
      </c>
      <c r="K7544">
        <v>1.119594</v>
      </c>
      <c r="L7544">
        <v>8.1834410000000002</v>
      </c>
      <c r="M7544">
        <v>1.4134270000000001E-2</v>
      </c>
      <c r="N7544">
        <v>-1.128965E-2</v>
      </c>
      <c r="O7544">
        <v>0.99983639999999996</v>
      </c>
      <c r="P7544">
        <v>6.5730109999999994E-2</v>
      </c>
      <c r="Q7544">
        <v>0.1823611</v>
      </c>
      <c r="R7544">
        <v>0.98103209999999996</v>
      </c>
      <c r="S7544">
        <v>-2.946472E-2</v>
      </c>
      <c r="T7544">
        <v>-4.527366E-2</v>
      </c>
      <c r="U7544">
        <v>3.068085</v>
      </c>
      <c r="V7544">
        <v>5.264282E-2</v>
      </c>
      <c r="W7544">
        <v>0.193222</v>
      </c>
      <c r="X7544">
        <v>0.9797418</v>
      </c>
      <c r="Y7544">
        <v>-2.3733190000000001E-2</v>
      </c>
      <c r="Z7544">
        <v>-3.459962E-3</v>
      </c>
      <c r="AA7544">
        <v>0.9997123</v>
      </c>
      <c r="AB7544">
        <v>33</v>
      </c>
      <c r="AC7544">
        <v>-0.73489999999998101</v>
      </c>
      <c r="AD7544">
        <v>-1.1195958788239999</v>
      </c>
      <c r="AE7544">
        <v>75.517658999999995</v>
      </c>
      <c r="AF7544">
        <v>-1.8018855425181399</v>
      </c>
      <c r="AG7544">
        <v>-1.1195958788239999</v>
      </c>
      <c r="AH7544">
        <v>75.483136816829997</v>
      </c>
      <c r="AI7544">
        <v>90.8495294766782</v>
      </c>
      <c r="AJ7544">
        <v>91.367468782542304</v>
      </c>
      <c r="AK7544">
        <v>75.512940812475904</v>
      </c>
      <c r="AL7544">
        <v>78.859123549877594</v>
      </c>
      <c r="AM7544">
        <v>86.924379699229604</v>
      </c>
      <c r="AN7544">
        <v>1.0000000012243899</v>
      </c>
    </row>
    <row r="7545" spans="1:40" x14ac:dyDescent="0.25">
      <c r="A7545" t="str">
        <f>"20190303170434889"</f>
        <v>20190303170434889</v>
      </c>
      <c r="B7545" t="str">
        <f>"1551603874882782"</f>
        <v>1551603874882782</v>
      </c>
      <c r="C7545" t="s">
        <v>40</v>
      </c>
      <c r="D7545">
        <v>4.7678669999999999</v>
      </c>
      <c r="E7545">
        <v>0.47568519999999997</v>
      </c>
      <c r="F7545" t="s">
        <v>42</v>
      </c>
      <c r="G7545">
        <v>-189.1183</v>
      </c>
      <c r="H7545" s="1">
        <v>-2.196507E-6</v>
      </c>
      <c r="I7545">
        <v>84.388319999999993</v>
      </c>
      <c r="J7545">
        <v>-188.50579999999999</v>
      </c>
      <c r="K7545">
        <v>1.119591</v>
      </c>
      <c r="L7545">
        <v>8.5135500000000004</v>
      </c>
      <c r="M7545">
        <v>1.5983299999999999E-2</v>
      </c>
      <c r="N7545">
        <v>-1.127366E-2</v>
      </c>
      <c r="O7545">
        <v>0.99980869999999999</v>
      </c>
      <c r="P7545">
        <v>6.6911059999999994E-2</v>
      </c>
      <c r="Q7545">
        <v>0.18172949999999999</v>
      </c>
      <c r="R7545">
        <v>0.98106939999999998</v>
      </c>
      <c r="S7545">
        <v>-2.4398799999999998E-2</v>
      </c>
      <c r="T7545">
        <v>-4.5075179999999999E-2</v>
      </c>
      <c r="U7545">
        <v>3.0680239999999999</v>
      </c>
      <c r="V7545">
        <v>5.200478E-2</v>
      </c>
      <c r="W7545">
        <v>0.19257920000000001</v>
      </c>
      <c r="X7545">
        <v>0.97990239999999995</v>
      </c>
      <c r="Y7545">
        <v>-2.3931609999999999E-2</v>
      </c>
      <c r="Z7545">
        <v>-3.4110989999999999E-3</v>
      </c>
      <c r="AA7545">
        <v>0.99970780000000004</v>
      </c>
      <c r="AB7545">
        <v>33</v>
      </c>
      <c r="AC7545">
        <v>-0.61250000000001104</v>
      </c>
      <c r="AD7545">
        <v>-1.1195931965070001</v>
      </c>
      <c r="AE7545">
        <v>75.874769999999998</v>
      </c>
      <c r="AF7545">
        <v>-1.8248307334356799</v>
      </c>
      <c r="AG7545">
        <v>-1.1195931965070001</v>
      </c>
      <c r="AH7545">
        <v>75.838774464223704</v>
      </c>
      <c r="AI7545">
        <v>90.845540395391495</v>
      </c>
      <c r="AJ7545">
        <v>91.378383665958793</v>
      </c>
      <c r="AK7545">
        <v>75.868987131546405</v>
      </c>
      <c r="AL7545">
        <v>78.896657998250802</v>
      </c>
      <c r="AM7545">
        <v>86.962083513604398</v>
      </c>
      <c r="AN7545">
        <v>0.99999997947062302</v>
      </c>
    </row>
    <row r="7546" spans="1:40" x14ac:dyDescent="0.25">
      <c r="A7546" t="str">
        <f>"20190303170434912"</f>
        <v>20190303170434912</v>
      </c>
      <c r="B7546" t="str">
        <f>"1551603874903278"</f>
        <v>1551603874903278</v>
      </c>
      <c r="C7546" t="s">
        <v>40</v>
      </c>
      <c r="D7546">
        <v>4.7217699999999896</v>
      </c>
      <c r="E7546">
        <v>0.47554829999999998</v>
      </c>
      <c r="F7546" t="s">
        <v>42</v>
      </c>
      <c r="G7546">
        <v>-189.02500000000001</v>
      </c>
      <c r="H7546" s="1">
        <v>-1.381584E-6</v>
      </c>
      <c r="I7546">
        <v>82.450119999999998</v>
      </c>
      <c r="J7546">
        <v>-188.49850000000001</v>
      </c>
      <c r="K7546">
        <v>1.119597</v>
      </c>
      <c r="L7546">
        <v>8.8476560000000006</v>
      </c>
      <c r="M7546">
        <v>1.784378E-2</v>
      </c>
      <c r="N7546">
        <v>-1.1258280000000001E-2</v>
      </c>
      <c r="O7546">
        <v>0.99977740000000004</v>
      </c>
      <c r="P7546">
        <v>6.8732860000000007E-2</v>
      </c>
      <c r="Q7546">
        <v>0.18178859999999999</v>
      </c>
      <c r="R7546">
        <v>0.98093249999999999</v>
      </c>
      <c r="S7546">
        <v>-2.1545410000000001E-2</v>
      </c>
      <c r="T7546">
        <v>-4.645693E-2</v>
      </c>
      <c r="U7546">
        <v>3.0679630000000002</v>
      </c>
      <c r="V7546">
        <v>5.1999789999999997E-2</v>
      </c>
      <c r="W7546">
        <v>0.19262309999999999</v>
      </c>
      <c r="X7546">
        <v>0.97989400000000004</v>
      </c>
      <c r="Y7546">
        <v>-2.4862140000000001E-2</v>
      </c>
      <c r="Z7546">
        <v>-3.8760650000000002E-3</v>
      </c>
      <c r="AA7546">
        <v>0.9996834</v>
      </c>
      <c r="AB7546">
        <v>33</v>
      </c>
      <c r="AC7546">
        <v>-0.52649999999999797</v>
      </c>
      <c r="AD7546">
        <v>-1.119598381584</v>
      </c>
      <c r="AE7546">
        <v>73.602463999999998</v>
      </c>
      <c r="AF7546">
        <v>-1.8394199831115301</v>
      </c>
      <c r="AG7546">
        <v>-1.119598381584</v>
      </c>
      <c r="AH7546">
        <v>73.564327713878896</v>
      </c>
      <c r="AI7546">
        <v>90.871662567604801</v>
      </c>
      <c r="AJ7546">
        <v>91.432338871166905</v>
      </c>
      <c r="AK7546">
        <v>73.595837371452504</v>
      </c>
      <c r="AL7546">
        <v>78.894094322905502</v>
      </c>
      <c r="AM7546">
        <v>86.962348473173293</v>
      </c>
      <c r="AN7546">
        <v>0.99999994402482495</v>
      </c>
    </row>
    <row r="7547" spans="1:40" x14ac:dyDescent="0.25">
      <c r="A7547" t="str">
        <f>"20190303170434934"</f>
        <v>20190303170434934</v>
      </c>
      <c r="B7547" t="str">
        <f>"1551603874923304"</f>
        <v>1551603874923304</v>
      </c>
      <c r="C7547" t="s">
        <v>40</v>
      </c>
      <c r="D7547">
        <v>4.7762060000000002</v>
      </c>
      <c r="E7547">
        <v>0.47539619999999999</v>
      </c>
      <c r="F7547" t="s">
        <v>42</v>
      </c>
      <c r="G7547">
        <v>-188.946</v>
      </c>
      <c r="H7547" s="1">
        <v>-2.417333E-6</v>
      </c>
      <c r="I7547">
        <v>84.831810000000004</v>
      </c>
      <c r="J7547">
        <v>-188.49100000000001</v>
      </c>
      <c r="K7547">
        <v>1.11961</v>
      </c>
      <c r="L7547">
        <v>9.1715389999999992</v>
      </c>
      <c r="M7547">
        <v>1.9627370000000002E-2</v>
      </c>
      <c r="N7547">
        <v>-1.1244260000000001E-2</v>
      </c>
      <c r="O7547">
        <v>0.99974410000000002</v>
      </c>
      <c r="P7547">
        <v>7.0493189999999997E-2</v>
      </c>
      <c r="Q7547">
        <v>0.1824026</v>
      </c>
      <c r="R7547">
        <v>0.98069360000000005</v>
      </c>
      <c r="S7547">
        <v>-1.8066410000000001E-2</v>
      </c>
      <c r="T7547">
        <v>-4.5205349999999998E-2</v>
      </c>
      <c r="U7547">
        <v>3.0679630000000002</v>
      </c>
      <c r="V7547">
        <v>5.2010180000000003E-2</v>
      </c>
      <c r="W7547">
        <v>0.19322339999999999</v>
      </c>
      <c r="X7547">
        <v>0.97977530000000002</v>
      </c>
      <c r="Y7547">
        <v>-2.5512E-2</v>
      </c>
      <c r="Z7547">
        <v>-3.4816449999999998E-3</v>
      </c>
      <c r="AA7547">
        <v>0.99966849999999996</v>
      </c>
      <c r="AB7547">
        <v>33</v>
      </c>
      <c r="AC7547">
        <v>-0.45500000000001201</v>
      </c>
      <c r="AD7547">
        <v>-1.119612417333</v>
      </c>
      <c r="AE7547">
        <v>75.660270999999995</v>
      </c>
      <c r="AF7547">
        <v>-1.93959369744788</v>
      </c>
      <c r="AG7547">
        <v>-1.119612417333</v>
      </c>
      <c r="AH7547">
        <v>75.620204762802501</v>
      </c>
      <c r="AI7547">
        <v>90.847965084596893</v>
      </c>
      <c r="AJ7547">
        <v>91.469265689776705</v>
      </c>
      <c r="AK7547">
        <v>75.653360295788602</v>
      </c>
      <c r="AL7547">
        <v>78.859041666324302</v>
      </c>
      <c r="AM7547">
        <v>86.961375265814297</v>
      </c>
      <c r="AN7547">
        <v>0.99999998981064098</v>
      </c>
    </row>
    <row r="7548" spans="1:40" x14ac:dyDescent="0.25">
      <c r="A7548" t="str">
        <f>"20190303170434956"</f>
        <v>20190303170434956</v>
      </c>
      <c r="B7548" t="str">
        <f>"1551603874942824"</f>
        <v>1551603874942824</v>
      </c>
      <c r="C7548" t="s">
        <v>40</v>
      </c>
      <c r="D7548">
        <v>4.8402529999999997</v>
      </c>
      <c r="E7548">
        <v>0.47533300000000001</v>
      </c>
      <c r="F7548" t="s">
        <v>42</v>
      </c>
      <c r="G7548">
        <v>-188.88669999999999</v>
      </c>
      <c r="H7548" s="1">
        <v>-7.2594910000000003E-7</v>
      </c>
      <c r="I7548">
        <v>90.864649999999997</v>
      </c>
      <c r="J7548">
        <v>-188.483</v>
      </c>
      <c r="K7548">
        <v>1.1196280000000001</v>
      </c>
      <c r="L7548">
        <v>9.4926759999999994</v>
      </c>
      <c r="M7548">
        <v>2.136219E-2</v>
      </c>
      <c r="N7548">
        <v>-1.1231410000000001E-2</v>
      </c>
      <c r="O7548">
        <v>0.99970870000000001</v>
      </c>
      <c r="P7548">
        <v>7.221197E-2</v>
      </c>
      <c r="Q7548">
        <v>0.18263969999999999</v>
      </c>
      <c r="R7548">
        <v>0.98052439999999996</v>
      </c>
      <c r="S7548">
        <v>-1.486206E-2</v>
      </c>
      <c r="T7548">
        <v>-4.2046670000000001E-2</v>
      </c>
      <c r="U7548">
        <v>3.0679630000000002</v>
      </c>
      <c r="V7548">
        <v>5.2019500000000003E-2</v>
      </c>
      <c r="W7548">
        <v>0.19344980000000001</v>
      </c>
      <c r="X7548">
        <v>0.97973010000000005</v>
      </c>
      <c r="Y7548">
        <v>-2.6202719999999999E-2</v>
      </c>
      <c r="Z7548">
        <v>-2.464861E-3</v>
      </c>
      <c r="AA7548">
        <v>0.99965360000000003</v>
      </c>
      <c r="AB7548">
        <v>33</v>
      </c>
      <c r="AC7548">
        <v>-0.40369999999998601</v>
      </c>
      <c r="AD7548">
        <v>-1.1196287259491</v>
      </c>
      <c r="AE7548">
        <v>81.371973999999994</v>
      </c>
      <c r="AF7548">
        <v>-2.1415956673244501</v>
      </c>
      <c r="AG7548">
        <v>-1.1196287259491</v>
      </c>
      <c r="AH7548">
        <v>81.329381340073198</v>
      </c>
      <c r="AI7548">
        <v>90.788444749381199</v>
      </c>
      <c r="AJ7548">
        <v>91.508385310534806</v>
      </c>
      <c r="AK7548">
        <v>81.365276805559503</v>
      </c>
      <c r="AL7548">
        <v>78.845820126695102</v>
      </c>
      <c r="AM7548">
        <v>86.960691828430697</v>
      </c>
      <c r="AN7548">
        <v>0.99999996117314904</v>
      </c>
    </row>
    <row r="7549" spans="1:40" x14ac:dyDescent="0.25">
      <c r="A7549" t="str">
        <f>"20190303170434978"</f>
        <v>20190303170434978</v>
      </c>
      <c r="B7549" t="str">
        <f>"1551603874973080"</f>
        <v>1551603874973080</v>
      </c>
      <c r="C7549" t="s">
        <v>40</v>
      </c>
      <c r="D7549">
        <v>4.7428759999999999</v>
      </c>
      <c r="E7549">
        <v>0.47065030000000002</v>
      </c>
      <c r="F7549" t="s">
        <v>42</v>
      </c>
      <c r="G7549">
        <v>-188.7449</v>
      </c>
      <c r="H7549" s="1">
        <v>-1.9891959999999998E-6</v>
      </c>
      <c r="I7549">
        <v>93.750659999999996</v>
      </c>
      <c r="J7549">
        <v>-188.47370000000001</v>
      </c>
      <c r="K7549">
        <v>1.1196680000000001</v>
      </c>
      <c r="L7549">
        <v>9.8367000000000004</v>
      </c>
      <c r="M7549">
        <v>2.3158709999999999E-2</v>
      </c>
      <c r="N7549">
        <v>-1.121893E-2</v>
      </c>
      <c r="O7549">
        <v>0.99966880000000002</v>
      </c>
      <c r="P7549">
        <v>7.4747789999999995E-2</v>
      </c>
      <c r="Q7549">
        <v>0.18206410000000001</v>
      </c>
      <c r="R7549">
        <v>0.98044149999999997</v>
      </c>
      <c r="S7549">
        <v>-9.5367430000000003E-3</v>
      </c>
      <c r="T7549">
        <v>-4.0766240000000002E-2</v>
      </c>
      <c r="U7549">
        <v>3.0678709999999998</v>
      </c>
      <c r="V7549">
        <v>5.2771810000000002E-2</v>
      </c>
      <c r="W7549">
        <v>0.19286449999999999</v>
      </c>
      <c r="X7549">
        <v>0.97980529999999999</v>
      </c>
      <c r="Y7549">
        <v>-2.626417E-2</v>
      </c>
      <c r="Z7549">
        <v>-2.0600950000000001E-3</v>
      </c>
      <c r="AA7549">
        <v>0.99965289999999996</v>
      </c>
      <c r="AB7549">
        <v>33</v>
      </c>
      <c r="AC7549">
        <v>-0.271199999999993</v>
      </c>
      <c r="AD7549">
        <v>-1.119669989196</v>
      </c>
      <c r="AE7549">
        <v>83.913960000000003</v>
      </c>
      <c r="AF7549">
        <v>-2.2141945215974599</v>
      </c>
      <c r="AG7549">
        <v>-1.119669989196</v>
      </c>
      <c r="AH7549">
        <v>83.870238598700695</v>
      </c>
      <c r="AI7549">
        <v>90.764588423679697</v>
      </c>
      <c r="AJ7549">
        <v>91.512271122197703</v>
      </c>
      <c r="AK7549">
        <v>83.906932019155406</v>
      </c>
      <c r="AL7549">
        <v>78.879999477358396</v>
      </c>
      <c r="AM7549">
        <v>86.917057498814302</v>
      </c>
      <c r="AN7549">
        <v>1.0000000025994999</v>
      </c>
    </row>
    <row r="7550" spans="1:40" x14ac:dyDescent="0.25">
      <c r="A7550" t="str">
        <f>"20190303170435000"</f>
        <v>20190303170435000</v>
      </c>
      <c r="B7550" t="str">
        <f>"1551603874993577"</f>
        <v>1551603874993577</v>
      </c>
      <c r="C7550" t="s">
        <v>40</v>
      </c>
      <c r="D7550">
        <v>4.794594</v>
      </c>
      <c r="E7550">
        <v>0.46997949999999999</v>
      </c>
      <c r="F7550" t="s">
        <v>42</v>
      </c>
      <c r="G7550">
        <v>-190.4402</v>
      </c>
      <c r="H7550" s="1">
        <v>-3.8794770000000003E-6</v>
      </c>
      <c r="I7550">
        <v>167.55080000000001</v>
      </c>
      <c r="J7550">
        <v>-188.46440000000001</v>
      </c>
      <c r="K7550">
        <v>1.1197010000000001</v>
      </c>
      <c r="L7550">
        <v>10.165710000000001</v>
      </c>
      <c r="M7550">
        <v>2.4822529999999999E-2</v>
      </c>
      <c r="N7550">
        <v>-1.120819E-2</v>
      </c>
      <c r="O7550">
        <v>0.99962899999999999</v>
      </c>
      <c r="P7550">
        <v>7.7602690000000002E-2</v>
      </c>
      <c r="Q7550">
        <v>0.18057029999999999</v>
      </c>
      <c r="R7550">
        <v>0.98049589999999998</v>
      </c>
      <c r="S7550">
        <v>-3.823853E-2</v>
      </c>
      <c r="T7550">
        <v>-2.1772380000000001E-2</v>
      </c>
      <c r="U7550">
        <v>3.0668030000000002</v>
      </c>
      <c r="V7550">
        <v>5.39643E-2</v>
      </c>
      <c r="W7550">
        <v>0.1913638</v>
      </c>
      <c r="X7550">
        <v>0.98003459999999998</v>
      </c>
      <c r="Y7550">
        <v>-3.7281950000000001E-2</v>
      </c>
      <c r="Z7550">
        <v>4.116916E-3</v>
      </c>
      <c r="AA7550">
        <v>0.99929630000000003</v>
      </c>
      <c r="AB7550">
        <v>33</v>
      </c>
      <c r="AC7550">
        <v>-1.97579999999999</v>
      </c>
      <c r="AD7550">
        <v>-1.1197048794769999</v>
      </c>
      <c r="AE7550">
        <v>157.38508999999999</v>
      </c>
      <c r="AF7550">
        <v>-5.88183515010462</v>
      </c>
      <c r="AG7550">
        <v>-1.1197048794769999</v>
      </c>
      <c r="AH7550">
        <v>157.279582487722</v>
      </c>
      <c r="AI7550">
        <v>90.4076083270688</v>
      </c>
      <c r="AJ7550">
        <v>92.141710636425998</v>
      </c>
      <c r="AK7550">
        <v>157.39350936827799</v>
      </c>
      <c r="AL7550">
        <v>78.967615663495906</v>
      </c>
      <c r="AM7550">
        <v>86.848266997933905</v>
      </c>
      <c r="AN7550">
        <v>1.0000000334110399</v>
      </c>
    </row>
    <row r="7551" spans="1:40" x14ac:dyDescent="0.25">
      <c r="A7551" t="str">
        <f>"20190303170435024"</f>
        <v>20190303170435024</v>
      </c>
      <c r="B7551" t="str">
        <f>"1551603875013097"</f>
        <v>1551603875013097</v>
      </c>
      <c r="C7551" t="s">
        <v>40</v>
      </c>
      <c r="D7551">
        <v>4.7864959999999996</v>
      </c>
      <c r="E7551">
        <v>0.4687192</v>
      </c>
      <c r="F7551" t="s">
        <v>90</v>
      </c>
      <c r="G7551">
        <v>-189.91990000000001</v>
      </c>
      <c r="H7551" s="1">
        <v>-6.8335680000000001E-6</v>
      </c>
      <c r="I7551">
        <v>135.80549999999999</v>
      </c>
      <c r="J7551">
        <v>-188.45400000000001</v>
      </c>
      <c r="K7551">
        <v>1.1197520000000001</v>
      </c>
      <c r="L7551">
        <v>10.514250000000001</v>
      </c>
      <c r="M7551">
        <v>2.6504679999999999E-2</v>
      </c>
      <c r="N7551">
        <v>-1.1198090000000001E-2</v>
      </c>
      <c r="O7551">
        <v>0.99958599999999997</v>
      </c>
      <c r="P7551">
        <v>8.0005950000000006E-2</v>
      </c>
      <c r="Q7551">
        <v>0.17926520000000001</v>
      </c>
      <c r="R7551">
        <v>0.98054220000000003</v>
      </c>
      <c r="S7551">
        <v>-3.5537720000000002E-2</v>
      </c>
      <c r="T7551">
        <v>-2.7338029999999999E-2</v>
      </c>
      <c r="U7551">
        <v>3.0675349999999999</v>
      </c>
      <c r="V7551">
        <v>5.4682250000000002E-2</v>
      </c>
      <c r="W7551">
        <v>0.19005549999999999</v>
      </c>
      <c r="X7551">
        <v>0.98024929999999999</v>
      </c>
      <c r="Y7551">
        <v>-3.8080509999999998E-2</v>
      </c>
      <c r="Z7551">
        <v>2.296452E-3</v>
      </c>
      <c r="AA7551">
        <v>0.99927200000000005</v>
      </c>
      <c r="AB7551">
        <v>33</v>
      </c>
      <c r="AC7551">
        <v>-1.4659</v>
      </c>
      <c r="AD7551">
        <v>-1.119758833568</v>
      </c>
      <c r="AE7551">
        <v>125.29125000000001</v>
      </c>
      <c r="AF7551">
        <v>-4.7860153280554396</v>
      </c>
      <c r="AG7551">
        <v>-1.119758833568</v>
      </c>
      <c r="AH7551">
        <v>125.19837390055</v>
      </c>
      <c r="AI7551">
        <v>90.512058741569803</v>
      </c>
      <c r="AJ7551">
        <v>92.189205914663404</v>
      </c>
      <c r="AK7551">
        <v>125.294822837609</v>
      </c>
      <c r="AL7551">
        <v>79.043976489034605</v>
      </c>
      <c r="AM7551">
        <v>86.807120073452893</v>
      </c>
      <c r="AN7551">
        <v>0.99999996584789996</v>
      </c>
    </row>
    <row r="7552" spans="1:40" x14ac:dyDescent="0.25">
      <c r="A7552" t="str">
        <f>"20190303170435043"</f>
        <v>20190303170435043</v>
      </c>
      <c r="B7552" t="str">
        <f>"1551603875033123"</f>
        <v>1551603875033123</v>
      </c>
      <c r="C7552" t="s">
        <v>40</v>
      </c>
      <c r="D7552">
        <v>4.7787839999999999</v>
      </c>
      <c r="E7552">
        <v>0.46794439999999998</v>
      </c>
      <c r="F7552" t="s">
        <v>90</v>
      </c>
      <c r="G7552">
        <v>-190.00739999999999</v>
      </c>
      <c r="H7552" s="1">
        <v>-6.2326119999999997E-6</v>
      </c>
      <c r="I7552">
        <v>133.91139999999999</v>
      </c>
      <c r="J7552">
        <v>-188.44470000000001</v>
      </c>
      <c r="K7552">
        <v>1.1198109999999999</v>
      </c>
      <c r="L7552">
        <v>10.812530000000001</v>
      </c>
      <c r="M7552">
        <v>2.7855919999999999E-2</v>
      </c>
      <c r="N7552">
        <v>-1.1190179999999999E-2</v>
      </c>
      <c r="O7552">
        <v>0.99954929999999997</v>
      </c>
      <c r="P7552">
        <v>8.176166E-2</v>
      </c>
      <c r="Q7552">
        <v>0.17911869999999999</v>
      </c>
      <c r="R7552">
        <v>0.98042419999999997</v>
      </c>
      <c r="S7552">
        <v>-3.8620000000000002E-2</v>
      </c>
      <c r="T7552">
        <v>-2.7838350000000001E-2</v>
      </c>
      <c r="U7552">
        <v>3.06778</v>
      </c>
      <c r="V7552">
        <v>5.5084109999999999E-2</v>
      </c>
      <c r="W7552">
        <v>0.18990799999999999</v>
      </c>
      <c r="X7552">
        <v>0.9802554</v>
      </c>
      <c r="Y7552">
        <v>-4.0433869999999997E-2</v>
      </c>
      <c r="Z7552">
        <v>2.127543E-3</v>
      </c>
      <c r="AA7552">
        <v>0.99917999999999996</v>
      </c>
      <c r="AB7552">
        <v>33</v>
      </c>
      <c r="AC7552">
        <v>-1.56269999999997</v>
      </c>
      <c r="AD7552">
        <v>-1.1198172326119999</v>
      </c>
      <c r="AE7552">
        <v>123.09887000000001</v>
      </c>
      <c r="AF7552">
        <v>-4.9909275949315504</v>
      </c>
      <c r="AG7552">
        <v>-1.1198172326119999</v>
      </c>
      <c r="AH7552">
        <v>122.99738533103699</v>
      </c>
      <c r="AI7552">
        <v>90.521200320112001</v>
      </c>
      <c r="AJ7552">
        <v>92.323645287233006</v>
      </c>
      <c r="AK7552">
        <v>123.103696724201</v>
      </c>
      <c r="AL7552">
        <v>79.052584526599702</v>
      </c>
      <c r="AM7552">
        <v>86.783724645952603</v>
      </c>
      <c r="AN7552">
        <v>0.99999997843382504</v>
      </c>
    </row>
    <row r="7553" spans="1:40" x14ac:dyDescent="0.25">
      <c r="A7553" t="str">
        <f>"20190303170435069"</f>
        <v>20190303170435069</v>
      </c>
      <c r="B7553" t="str">
        <f>"1551603875063380"</f>
        <v>1551603875063380</v>
      </c>
      <c r="C7553" t="s">
        <v>40</v>
      </c>
      <c r="D7553">
        <v>4.838006</v>
      </c>
      <c r="E7553">
        <v>0.46779120000000002</v>
      </c>
      <c r="F7553" t="s">
        <v>90</v>
      </c>
      <c r="G7553">
        <v>-190.10570000000001</v>
      </c>
      <c r="H7553" s="1">
        <v>-8.3653939999999998E-6</v>
      </c>
      <c r="I7553">
        <v>140.7114</v>
      </c>
      <c r="J7553">
        <v>-188.4325</v>
      </c>
      <c r="K7553">
        <v>1.1199170000000001</v>
      </c>
      <c r="L7553">
        <v>11.188929999999999</v>
      </c>
      <c r="M7553">
        <v>2.941527E-2</v>
      </c>
      <c r="N7553">
        <v>-1.1181150000000001E-2</v>
      </c>
      <c r="O7553">
        <v>0.99950470000000002</v>
      </c>
      <c r="P7553">
        <v>8.3119299999999993E-2</v>
      </c>
      <c r="Q7553">
        <v>0.17899229999999899</v>
      </c>
      <c r="R7553">
        <v>0.98033309999999996</v>
      </c>
      <c r="S7553">
        <v>-3.9230349999999997E-2</v>
      </c>
      <c r="T7553">
        <v>-2.644825E-2</v>
      </c>
      <c r="U7553">
        <v>3.067993</v>
      </c>
      <c r="V7553">
        <v>5.486456E-2</v>
      </c>
      <c r="W7553">
        <v>0.18978680000000001</v>
      </c>
      <c r="X7553">
        <v>0.98029120000000003</v>
      </c>
      <c r="Y7553">
        <v>-4.2190390000000001E-2</v>
      </c>
      <c r="Z7553">
        <v>2.5727839999999998E-3</v>
      </c>
      <c r="AA7553">
        <v>0.9991063</v>
      </c>
      <c r="AB7553">
        <v>33</v>
      </c>
      <c r="AC7553">
        <v>-1.6732</v>
      </c>
      <c r="AD7553">
        <v>-1.119925365394</v>
      </c>
      <c r="AE7553">
        <v>129.52247</v>
      </c>
      <c r="AF7553">
        <v>-5.4822428297266397</v>
      </c>
      <c r="AG7553">
        <v>-1.119925365394</v>
      </c>
      <c r="AH7553">
        <v>129.407521660393</v>
      </c>
      <c r="AI7553">
        <v>90.495395436027707</v>
      </c>
      <c r="AJ7553">
        <v>92.425837859628601</v>
      </c>
      <c r="AK7553">
        <v>129.52843657495899</v>
      </c>
      <c r="AL7553">
        <v>79.059657567776895</v>
      </c>
      <c r="AM7553">
        <v>86.796633822772705</v>
      </c>
      <c r="AN7553">
        <v>0.99999999309783605</v>
      </c>
    </row>
    <row r="7554" spans="1:40" x14ac:dyDescent="0.25">
      <c r="A7554" t="str">
        <f>"20190303170435091"</f>
        <v>20190303170435091</v>
      </c>
      <c r="B7554" t="str">
        <f>"1551603875082899"</f>
        <v>1551603875082899</v>
      </c>
      <c r="C7554" t="s">
        <v>40</v>
      </c>
      <c r="D7554">
        <v>4.8415080000000001</v>
      </c>
      <c r="E7554">
        <v>0.46737380000000001</v>
      </c>
      <c r="F7554" t="s">
        <v>90</v>
      </c>
      <c r="G7554">
        <v>-190.14859999999999</v>
      </c>
      <c r="H7554" s="1">
        <v>-1.39768E-5</v>
      </c>
      <c r="I7554">
        <v>157.24420000000001</v>
      </c>
      <c r="J7554">
        <v>-188.42160000000001</v>
      </c>
      <c r="K7554">
        <v>1.1200209999999999</v>
      </c>
      <c r="L7554">
        <v>11.51834</v>
      </c>
      <c r="M7554">
        <v>3.0626049999999998E-2</v>
      </c>
      <c r="N7554">
        <v>-1.1174130000000001E-2</v>
      </c>
      <c r="O7554">
        <v>0.99946840000000003</v>
      </c>
      <c r="P7554">
        <v>8.4543030000000005E-2</v>
      </c>
      <c r="Q7554">
        <v>0.1782706</v>
      </c>
      <c r="R7554">
        <v>0.98034290000000002</v>
      </c>
      <c r="S7554">
        <v>-3.6041259999999999E-2</v>
      </c>
      <c r="T7554">
        <v>-2.3521420000000001E-2</v>
      </c>
      <c r="U7554">
        <v>3.0675349999999999</v>
      </c>
      <c r="V7554">
        <v>5.5044370000000002E-2</v>
      </c>
      <c r="W7554">
        <v>0.1890732</v>
      </c>
      <c r="X7554">
        <v>0.98041900000000004</v>
      </c>
      <c r="Y7554">
        <v>-4.2364239999999997E-2</v>
      </c>
      <c r="Z7554">
        <v>3.5177590000000001E-3</v>
      </c>
      <c r="AA7554">
        <v>0.99909599999999998</v>
      </c>
      <c r="AB7554">
        <v>33</v>
      </c>
      <c r="AC7554">
        <v>-1.7269999999999699</v>
      </c>
      <c r="AD7554">
        <v>-1.1200349768</v>
      </c>
      <c r="AE7554">
        <v>145.72586000000001</v>
      </c>
      <c r="AF7554">
        <v>-6.1891105808896896</v>
      </c>
      <c r="AG7554">
        <v>-1.1200349768</v>
      </c>
      <c r="AH7554">
        <v>145.595999181048</v>
      </c>
      <c r="AI7554">
        <v>90.440356280325204</v>
      </c>
      <c r="AJ7554">
        <v>92.434109147197901</v>
      </c>
      <c r="AK7554">
        <v>145.73178975659101</v>
      </c>
      <c r="AL7554">
        <v>79.101297693498097</v>
      </c>
      <c r="AM7554">
        <v>86.786575317725493</v>
      </c>
      <c r="AN7554">
        <v>0.99999998659396805</v>
      </c>
    </row>
    <row r="7555" spans="1:40" x14ac:dyDescent="0.25">
      <c r="A7555" t="str">
        <f>"20190303170435114"</f>
        <v>20190303170435114</v>
      </c>
      <c r="B7555" t="str">
        <f>"1551603875103395"</f>
        <v>1551603875103395</v>
      </c>
      <c r="C7555" t="s">
        <v>40</v>
      </c>
      <c r="D7555">
        <v>4.8260370000000004</v>
      </c>
      <c r="E7555">
        <v>0.46743400000000002</v>
      </c>
      <c r="F7555" t="s">
        <v>90</v>
      </c>
      <c r="G7555">
        <v>-190.00040000000001</v>
      </c>
      <c r="H7555" s="1">
        <v>-1.048408E-5</v>
      </c>
      <c r="I7555">
        <v>148.81610000000001</v>
      </c>
      <c r="J7555">
        <v>-188.4102</v>
      </c>
      <c r="K7555">
        <v>1.1201540000000001</v>
      </c>
      <c r="L7555">
        <v>11.852510000000001</v>
      </c>
      <c r="M7555">
        <v>3.1689700000000001E-2</v>
      </c>
      <c r="N7555">
        <v>-1.1167760000000001E-2</v>
      </c>
      <c r="O7555">
        <v>0.99943539999999997</v>
      </c>
      <c r="P7555">
        <v>8.5874049999999993E-2</v>
      </c>
      <c r="Q7555">
        <v>0.1776742</v>
      </c>
      <c r="R7555">
        <v>0.98033539999999997</v>
      </c>
      <c r="S7555">
        <v>-3.5278320000000002E-2</v>
      </c>
      <c r="T7555">
        <v>-2.502573E-2</v>
      </c>
      <c r="U7555">
        <v>3.0677490000000001</v>
      </c>
      <c r="V7555">
        <v>5.5267919999999998E-2</v>
      </c>
      <c r="W7555">
        <v>0.18848889999999999</v>
      </c>
      <c r="X7555">
        <v>0.98051889999999997</v>
      </c>
      <c r="Y7555">
        <v>-4.3178069999999999E-2</v>
      </c>
      <c r="Z7555">
        <v>3.022743E-3</v>
      </c>
      <c r="AA7555">
        <v>0.99906280000000003</v>
      </c>
      <c r="AB7555">
        <v>33</v>
      </c>
      <c r="AC7555">
        <v>-1.59020000000001</v>
      </c>
      <c r="AD7555">
        <v>-1.12016448408</v>
      </c>
      <c r="AE7555">
        <v>136.96358999999899</v>
      </c>
      <c r="AF7555">
        <v>-5.9296102619292999</v>
      </c>
      <c r="AG7555">
        <v>-1.12016448408</v>
      </c>
      <c r="AH7555">
        <v>136.83524457777801</v>
      </c>
      <c r="AI7555">
        <v>90.468586089882706</v>
      </c>
      <c r="AJ7555">
        <v>92.4812994885948</v>
      </c>
      <c r="AK7555">
        <v>136.968241592677</v>
      </c>
      <c r="AL7555">
        <v>79.135388316840903</v>
      </c>
      <c r="AM7555">
        <v>86.7738802833411</v>
      </c>
      <c r="AN7555">
        <v>0.99999996083077203</v>
      </c>
    </row>
    <row r="7556" spans="1:40" x14ac:dyDescent="0.25">
      <c r="A7556" t="str">
        <f>"20190303170435135"</f>
        <v>20190303170435135</v>
      </c>
      <c r="B7556" t="str">
        <f>"1551603875123422"</f>
        <v>1551603875123422</v>
      </c>
      <c r="C7556" t="s">
        <v>40</v>
      </c>
      <c r="D7556">
        <v>4.8164379999999998</v>
      </c>
      <c r="E7556">
        <v>0.46709539999999999</v>
      </c>
      <c r="F7556" t="s">
        <v>90</v>
      </c>
      <c r="G7556">
        <v>-189.7499</v>
      </c>
      <c r="H7556" s="1">
        <v>-9.2263849999999992E-6</v>
      </c>
      <c r="I7556">
        <v>144.00649999999999</v>
      </c>
      <c r="J7556">
        <v>-188.399</v>
      </c>
      <c r="K7556">
        <v>1.120296</v>
      </c>
      <c r="L7556">
        <v>12.174620000000001</v>
      </c>
      <c r="M7556">
        <v>3.2539310000000002E-2</v>
      </c>
      <c r="N7556">
        <v>-1.1162480000000001E-2</v>
      </c>
      <c r="O7556">
        <v>0.99940810000000002</v>
      </c>
      <c r="P7556">
        <v>8.6311390000000002E-2</v>
      </c>
      <c r="Q7556">
        <v>0.1774104</v>
      </c>
      <c r="R7556">
        <v>0.98034480000000002</v>
      </c>
      <c r="S7556">
        <v>-3.1097409999999999E-2</v>
      </c>
      <c r="T7556">
        <v>-2.600181E-2</v>
      </c>
      <c r="U7556">
        <v>3.0676269999999999</v>
      </c>
      <c r="V7556">
        <v>5.4805100000000002E-2</v>
      </c>
      <c r="W7556">
        <v>0.1882402</v>
      </c>
      <c r="X7556">
        <v>0.98059269999999998</v>
      </c>
      <c r="Y7556">
        <v>-4.2666339999999997E-2</v>
      </c>
      <c r="Z7556">
        <v>2.6993690000000001E-3</v>
      </c>
      <c r="AA7556">
        <v>0.99908569999999997</v>
      </c>
      <c r="AB7556">
        <v>33</v>
      </c>
      <c r="AC7556">
        <v>-1.35089999999999</v>
      </c>
      <c r="AD7556">
        <v>-1.120305226385</v>
      </c>
      <c r="AE7556">
        <v>131.83187999999899</v>
      </c>
      <c r="AF7556">
        <v>-5.6397630913334096</v>
      </c>
      <c r="AG7556">
        <v>-1.120305226385</v>
      </c>
      <c r="AH7556">
        <v>131.708590045118</v>
      </c>
      <c r="AI7556">
        <v>90.486896500344699</v>
      </c>
      <c r="AJ7556">
        <v>92.451907993394897</v>
      </c>
      <c r="AK7556">
        <v>131.83404227740101</v>
      </c>
      <c r="AL7556">
        <v>79.149898017670296</v>
      </c>
      <c r="AM7556">
        <v>86.801080104502205</v>
      </c>
      <c r="AN7556">
        <v>1.0000000075876601</v>
      </c>
    </row>
    <row r="7557" spans="1:40" x14ac:dyDescent="0.25">
      <c r="A7557" t="str">
        <f>"20190303170435158"</f>
        <v>20190303170435158</v>
      </c>
      <c r="B7557" t="str">
        <f>"1551603875152701"</f>
        <v>1551603875152701</v>
      </c>
      <c r="C7557" t="s">
        <v>40</v>
      </c>
      <c r="D7557">
        <v>4.8978400000000004</v>
      </c>
      <c r="E7557">
        <v>0.46644950000000002</v>
      </c>
      <c r="F7557" t="s">
        <v>90</v>
      </c>
      <c r="G7557">
        <v>-189.8408</v>
      </c>
      <c r="H7557" s="1">
        <v>-1.054072E-5</v>
      </c>
      <c r="I7557">
        <v>149.0206</v>
      </c>
      <c r="J7557">
        <v>-188.38749999999999</v>
      </c>
      <c r="K7557">
        <v>1.1204559999999999</v>
      </c>
      <c r="L7557">
        <v>12.505710000000001</v>
      </c>
      <c r="M7557">
        <v>3.3210199999999898E-2</v>
      </c>
      <c r="N7557">
        <v>-1.115788E-2</v>
      </c>
      <c r="O7557">
        <v>0.99938610000000005</v>
      </c>
      <c r="P7557">
        <v>8.6519059999999995E-2</v>
      </c>
      <c r="Q7557">
        <v>0.17737139999999901</v>
      </c>
      <c r="R7557">
        <v>0.98033360000000003</v>
      </c>
      <c r="S7557">
        <v>-3.2318119999999999E-2</v>
      </c>
      <c r="T7557">
        <v>-2.511275E-2</v>
      </c>
      <c r="U7557">
        <v>3.0675349999999999</v>
      </c>
      <c r="V7557">
        <v>5.428359E-2</v>
      </c>
      <c r="W7557">
        <v>0.1882182</v>
      </c>
      <c r="X7557">
        <v>0.98062590000000005</v>
      </c>
      <c r="Y7557">
        <v>-4.3734790000000003E-2</v>
      </c>
      <c r="Z7557">
        <v>2.9845399999999999E-3</v>
      </c>
      <c r="AA7557">
        <v>0.99903869999999895</v>
      </c>
      <c r="AB7557">
        <v>33</v>
      </c>
      <c r="AC7557">
        <v>-1.45330000000001</v>
      </c>
      <c r="AD7557">
        <v>-1.1204665407199901</v>
      </c>
      <c r="AE7557">
        <v>136.51488999999901</v>
      </c>
      <c r="AF7557">
        <v>-5.9860640966976497</v>
      </c>
      <c r="AG7557">
        <v>-1.1204665407199901</v>
      </c>
      <c r="AH7557">
        <v>136.38212372728401</v>
      </c>
      <c r="AI7557">
        <v>90.470258217130606</v>
      </c>
      <c r="AJ7557">
        <v>92.513204855696003</v>
      </c>
      <c r="AK7557">
        <v>136.51802841017999</v>
      </c>
      <c r="AL7557">
        <v>79.151181134297602</v>
      </c>
      <c r="AM7557">
        <v>86.831564865449195</v>
      </c>
      <c r="AN7557">
        <v>0.99999997735266899</v>
      </c>
    </row>
    <row r="7558" spans="1:40" x14ac:dyDescent="0.25">
      <c r="A7558" t="str">
        <f>"20190303170435179"</f>
        <v>20190303170435179</v>
      </c>
      <c r="B7558" t="str">
        <f>"1551603875163438"</f>
        <v>1551603875163438</v>
      </c>
      <c r="C7558" t="s">
        <v>40</v>
      </c>
      <c r="D7558">
        <v>4.8319390000000002</v>
      </c>
      <c r="E7558">
        <v>0.46644839999999999</v>
      </c>
      <c r="F7558" t="s">
        <v>42</v>
      </c>
      <c r="G7558">
        <v>-190.19540000000001</v>
      </c>
      <c r="H7558" s="1">
        <v>-2.2895799999999999E-6</v>
      </c>
      <c r="I7558">
        <v>164.3252</v>
      </c>
      <c r="J7558">
        <v>-188.37620000000001</v>
      </c>
      <c r="K7558">
        <v>1.120606</v>
      </c>
      <c r="L7558">
        <v>12.82663</v>
      </c>
      <c r="M7558">
        <v>3.3689810000000001E-2</v>
      </c>
      <c r="N7558">
        <v>-1.115411E-2</v>
      </c>
      <c r="O7558">
        <v>0.99937010000000004</v>
      </c>
      <c r="P7558">
        <v>8.6950029999999998E-2</v>
      </c>
      <c r="Q7558">
        <v>0.17885319999999999</v>
      </c>
      <c r="R7558">
        <v>0.98002610000000001</v>
      </c>
      <c r="S7558">
        <v>-3.6529539999999999E-2</v>
      </c>
      <c r="T7558">
        <v>-2.2638800000000001E-2</v>
      </c>
      <c r="U7558">
        <v>3.0675050000000001</v>
      </c>
      <c r="V7558">
        <v>5.418829E-2</v>
      </c>
      <c r="W7558">
        <v>0.1897124</v>
      </c>
      <c r="X7558">
        <v>0.98034319999999997</v>
      </c>
      <c r="Y7558">
        <v>-4.5585670000000002E-2</v>
      </c>
      <c r="Z7558">
        <v>3.7868839999999999E-3</v>
      </c>
      <c r="AA7558">
        <v>0.99895330000000004</v>
      </c>
      <c r="AB7558">
        <v>33</v>
      </c>
      <c r="AC7558">
        <v>-1.8191999999999899</v>
      </c>
      <c r="AD7558">
        <v>-1.12060828957999</v>
      </c>
      <c r="AE7558">
        <v>151.49857</v>
      </c>
      <c r="AF7558">
        <v>-6.9220640412259202</v>
      </c>
      <c r="AG7558">
        <v>-1.12060828957999</v>
      </c>
      <c r="AH7558">
        <v>151.34298764822799</v>
      </c>
      <c r="AI7558">
        <v>90.423791711220005</v>
      </c>
      <c r="AJ7558">
        <v>92.618746012017695</v>
      </c>
      <c r="AK7558">
        <v>151.50534856506201</v>
      </c>
      <c r="AL7558">
        <v>79.063999080101894</v>
      </c>
      <c r="AM7558">
        <v>86.836205827649195</v>
      </c>
      <c r="AN7558">
        <v>0.99999997763656101</v>
      </c>
    </row>
    <row r="7559" spans="1:40" x14ac:dyDescent="0.25">
      <c r="A7559" t="str">
        <f>"20190303170435202"</f>
        <v>20190303170435202</v>
      </c>
      <c r="B7559" t="str">
        <f>"1551603875192718"</f>
        <v>1551603875192718</v>
      </c>
      <c r="C7559" t="s">
        <v>40</v>
      </c>
      <c r="D7559">
        <v>4.8247150000000003</v>
      </c>
      <c r="E7559">
        <v>0.46570549999999999</v>
      </c>
      <c r="F7559" t="s">
        <v>57</v>
      </c>
      <c r="G7559">
        <v>-190.69800000000001</v>
      </c>
      <c r="H7559" s="1">
        <v>3.8411780000000004E-6</v>
      </c>
      <c r="I7559">
        <v>214.61189999999999</v>
      </c>
      <c r="J7559">
        <v>-188.3639</v>
      </c>
      <c r="K7559">
        <v>1.120752</v>
      </c>
      <c r="L7559">
        <v>13.178470000000001</v>
      </c>
      <c r="M7559">
        <v>3.4057190000000001E-2</v>
      </c>
      <c r="N7559">
        <v>-1.115065E-2</v>
      </c>
      <c r="O7559">
        <v>0.99935770000000002</v>
      </c>
      <c r="P7559">
        <v>8.7339730000000004E-2</v>
      </c>
      <c r="Q7559">
        <v>0.18024989999999999</v>
      </c>
      <c r="R7559">
        <v>0.97973560000000004</v>
      </c>
      <c r="S7559">
        <v>-3.5293579999999998E-2</v>
      </c>
      <c r="T7559">
        <v>-1.7034529999999999E-2</v>
      </c>
      <c r="U7559">
        <v>3.067383</v>
      </c>
      <c r="V7559">
        <v>5.4162479999999999E-2</v>
      </c>
      <c r="W7559">
        <v>0.19112180000000001</v>
      </c>
      <c r="X7559">
        <v>0.98007080000000002</v>
      </c>
      <c r="Y7559">
        <v>-4.555128E-2</v>
      </c>
      <c r="Z7559">
        <v>5.6075509999999997E-3</v>
      </c>
      <c r="AA7559">
        <v>0.99894620000000001</v>
      </c>
      <c r="AB7559">
        <v>33</v>
      </c>
      <c r="AC7559">
        <v>-2.3340999999999701</v>
      </c>
      <c r="AD7559">
        <v>-1.1207481588220001</v>
      </c>
      <c r="AE7559">
        <v>201.43342999999999</v>
      </c>
      <c r="AF7559">
        <v>-9.1931442229001306</v>
      </c>
      <c r="AG7559">
        <v>-1.1207481588220001</v>
      </c>
      <c r="AH7559">
        <v>201.23083463384</v>
      </c>
      <c r="AI7559">
        <v>90.318771088613104</v>
      </c>
      <c r="AJ7559">
        <v>92.615714347015597</v>
      </c>
      <c r="AK7559">
        <v>201.443835310417</v>
      </c>
      <c r="AL7559">
        <v>78.981740986327594</v>
      </c>
      <c r="AM7559">
        <v>86.836832550991801</v>
      </c>
      <c r="AN7559">
        <v>0.99999994484381305</v>
      </c>
    </row>
    <row r="7560" spans="1:40" x14ac:dyDescent="0.25">
      <c r="A7560" t="str">
        <f>"20190303170435223"</f>
        <v>20190303170435223</v>
      </c>
      <c r="B7560" t="str">
        <f>"1551603875213214"</f>
        <v>1551603875213214</v>
      </c>
      <c r="C7560" t="s">
        <v>40</v>
      </c>
      <c r="D7560">
        <v>4.7966639999999998</v>
      </c>
      <c r="E7560">
        <v>0.46537299999999998</v>
      </c>
      <c r="F7560" t="s">
        <v>42</v>
      </c>
      <c r="G7560">
        <v>-192.24529999999999</v>
      </c>
      <c r="H7560" s="1">
        <v>-3.8685560000000002E-6</v>
      </c>
      <c r="I7560">
        <v>307.21420000000001</v>
      </c>
      <c r="J7560">
        <v>-188.35249999999999</v>
      </c>
      <c r="K7560">
        <v>1.120868</v>
      </c>
      <c r="L7560">
        <v>13.503450000000001</v>
      </c>
      <c r="M7560">
        <v>3.4268510000000002E-2</v>
      </c>
      <c r="N7560">
        <v>-1.114557E-2</v>
      </c>
      <c r="O7560">
        <v>0.99935050000000003</v>
      </c>
      <c r="P7560">
        <v>8.7025080000000005E-2</v>
      </c>
      <c r="Q7560">
        <v>0.18015719999999999</v>
      </c>
      <c r="R7560">
        <v>0.9797806</v>
      </c>
      <c r="S7560">
        <v>-4.0496829999999998E-2</v>
      </c>
      <c r="T7560">
        <v>-1.169336E-2</v>
      </c>
      <c r="U7560">
        <v>3.0678100000000001</v>
      </c>
      <c r="V7560">
        <v>5.3585090000000002E-2</v>
      </c>
      <c r="W7560">
        <v>0.19103990000000001</v>
      </c>
      <c r="X7560">
        <v>0.98011859999999995</v>
      </c>
      <c r="Y7560">
        <v>-4.7455009999999999E-2</v>
      </c>
      <c r="Z7560">
        <v>7.342314E-3</v>
      </c>
      <c r="AA7560">
        <v>0.99884640000000002</v>
      </c>
      <c r="AB7560">
        <v>33</v>
      </c>
      <c r="AC7560">
        <v>-3.89279999999999</v>
      </c>
      <c r="AD7560">
        <v>-1.120871868556</v>
      </c>
      <c r="AE7560">
        <v>293.71075000000002</v>
      </c>
      <c r="AF7560">
        <v>-13.9559652204005</v>
      </c>
      <c r="AG7560">
        <v>-1.120871868556</v>
      </c>
      <c r="AH7560">
        <v>293.40054011463297</v>
      </c>
      <c r="AI7560">
        <v>90.2186375910414</v>
      </c>
      <c r="AJ7560">
        <v>92.723293096327794</v>
      </c>
      <c r="AK7560">
        <v>293.734407685816</v>
      </c>
      <c r="AL7560">
        <v>78.986522632087102</v>
      </c>
      <c r="AM7560">
        <v>86.870637899743798</v>
      </c>
      <c r="AN7560">
        <v>1.00000003766413</v>
      </c>
    </row>
    <row r="7561" spans="1:40" x14ac:dyDescent="0.25">
      <c r="A7561" t="str">
        <f>"20190303170435246"</f>
        <v>20190303170435246</v>
      </c>
      <c r="B7561" t="str">
        <f>"1551603875232733"</f>
        <v>1551603875232733</v>
      </c>
      <c r="C7561" t="s">
        <v>40</v>
      </c>
      <c r="D7561">
        <v>4.7867319999999998</v>
      </c>
      <c r="E7561">
        <v>0.46517320000000001</v>
      </c>
      <c r="F7561" t="s">
        <v>42</v>
      </c>
      <c r="G7561">
        <v>-192.8109</v>
      </c>
      <c r="H7561" s="1">
        <v>-2.5916380000000001E-6</v>
      </c>
      <c r="I7561">
        <v>323.88690000000003</v>
      </c>
      <c r="J7561">
        <v>-188.34100000000001</v>
      </c>
      <c r="K7561">
        <v>1.1209659999999999</v>
      </c>
      <c r="L7561">
        <v>13.833310000000001</v>
      </c>
      <c r="M7561">
        <v>3.4380269999999997E-2</v>
      </c>
      <c r="N7561">
        <v>-1.113629E-2</v>
      </c>
      <c r="O7561">
        <v>0.99934679999999998</v>
      </c>
      <c r="P7561">
        <v>8.6111649999999998E-2</v>
      </c>
      <c r="Q7561">
        <v>0.17924109999999999</v>
      </c>
      <c r="R7561">
        <v>0.98002929999999999</v>
      </c>
      <c r="S7561">
        <v>-4.4067380000000003E-2</v>
      </c>
      <c r="T7561">
        <v>-1.107883E-2</v>
      </c>
      <c r="U7561">
        <v>3.0678709999999998</v>
      </c>
      <c r="V7561">
        <v>5.2506150000000001E-2</v>
      </c>
      <c r="W7561">
        <v>0.19013140000000001</v>
      </c>
      <c r="X7561">
        <v>0.98035360000000005</v>
      </c>
      <c r="Y7561">
        <v>-4.8728630000000002E-2</v>
      </c>
      <c r="Z7561">
        <v>7.5335059999999997E-3</v>
      </c>
      <c r="AA7561">
        <v>0.99878359999999999</v>
      </c>
      <c r="AB7561">
        <v>33</v>
      </c>
      <c r="AC7561">
        <v>-4.4699000000000204</v>
      </c>
      <c r="AD7561">
        <v>-1.1209685916379999</v>
      </c>
      <c r="AE7561">
        <v>310.05358999999999</v>
      </c>
      <c r="AF7561">
        <v>-15.127446426996</v>
      </c>
      <c r="AG7561">
        <v>-1.1209685916379999</v>
      </c>
      <c r="AH7561">
        <v>309.71253760639502</v>
      </c>
      <c r="AI7561">
        <v>90.207127598377198</v>
      </c>
      <c r="AJ7561">
        <v>92.796304503886404</v>
      </c>
      <c r="AK7561">
        <v>310.08378247915198</v>
      </c>
      <c r="AL7561">
        <v>79.039547495080299</v>
      </c>
      <c r="AM7561">
        <v>86.934260025470806</v>
      </c>
      <c r="AN7561">
        <v>1.0000000130433699</v>
      </c>
    </row>
    <row r="7562" spans="1:40" x14ac:dyDescent="0.25">
      <c r="A7562" t="str">
        <f>"20190303170435269"</f>
        <v>20190303170435269</v>
      </c>
      <c r="B7562" t="str">
        <f>"1551603875262989"</f>
        <v>1551603875262989</v>
      </c>
      <c r="C7562" t="s">
        <v>40</v>
      </c>
      <c r="D7562">
        <v>4.7801980000000004</v>
      </c>
      <c r="E7562">
        <v>0.46481430000000001</v>
      </c>
      <c r="F7562" t="s">
        <v>57</v>
      </c>
      <c r="G7562">
        <v>-192.38509999999999</v>
      </c>
      <c r="H7562" s="1">
        <v>5.9314660000000002E-6</v>
      </c>
      <c r="I7562">
        <v>273.50990000000002</v>
      </c>
      <c r="J7562">
        <v>-188.3289</v>
      </c>
      <c r="K7562">
        <v>1.121051</v>
      </c>
      <c r="L7562">
        <v>14.1795299999999</v>
      </c>
      <c r="M7562">
        <v>3.4426360000000003E-2</v>
      </c>
      <c r="N7562">
        <v>-1.1122460000000001E-2</v>
      </c>
      <c r="O7562">
        <v>0.99934540000000005</v>
      </c>
      <c r="P7562">
        <v>8.5237439999999998E-2</v>
      </c>
      <c r="Q7562">
        <v>0.17989229999999901</v>
      </c>
      <c r="R7562">
        <v>0.97998640000000004</v>
      </c>
      <c r="S7562">
        <v>-4.7775270000000002E-2</v>
      </c>
      <c r="T7562">
        <v>-1.3242719999999999E-2</v>
      </c>
      <c r="U7562">
        <v>3.0677490000000001</v>
      </c>
      <c r="V7562">
        <v>5.1548999999999998E-2</v>
      </c>
      <c r="W7562">
        <v>0.1907797</v>
      </c>
      <c r="X7562">
        <v>0.98027839999999999</v>
      </c>
      <c r="Y7562">
        <v>-4.9981930000000001E-2</v>
      </c>
      <c r="Z7562">
        <v>6.8156880000000003E-3</v>
      </c>
      <c r="AA7562">
        <v>0.99872680000000003</v>
      </c>
      <c r="AB7562">
        <v>33</v>
      </c>
      <c r="AC7562">
        <v>-4.0561999999999898</v>
      </c>
      <c r="AD7562">
        <v>-1.1210450685340001</v>
      </c>
      <c r="AE7562">
        <v>259.33037000000002</v>
      </c>
      <c r="AF7562">
        <v>-12.981905258198699</v>
      </c>
      <c r="AG7562">
        <v>-1.1210450685340001</v>
      </c>
      <c r="AH7562">
        <v>259.03214141296797</v>
      </c>
      <c r="AI7562">
        <v>90.247653583945294</v>
      </c>
      <c r="AJ7562">
        <v>92.869090184516395</v>
      </c>
      <c r="AK7562">
        <v>259.35966704783999</v>
      </c>
      <c r="AL7562">
        <v>79.001709549682005</v>
      </c>
      <c r="AM7562">
        <v>86.989812102985994</v>
      </c>
      <c r="AN7562">
        <v>0.999999967419824</v>
      </c>
    </row>
    <row r="7563" spans="1:40" x14ac:dyDescent="0.25">
      <c r="A7563" t="str">
        <f>"20190303170435294"</f>
        <v>20190303170435294</v>
      </c>
      <c r="B7563" t="str">
        <f>"1551603875283486"</f>
        <v>1551603875283486</v>
      </c>
      <c r="C7563" t="s">
        <v>40</v>
      </c>
      <c r="D7563">
        <v>4.7709650000000003</v>
      </c>
      <c r="E7563">
        <v>0.46452280000000001</v>
      </c>
      <c r="F7563" t="s">
        <v>52</v>
      </c>
      <c r="G7563">
        <v>-194.54249999999999</v>
      </c>
      <c r="H7563" s="1">
        <v>-1.13952399999999E-5</v>
      </c>
      <c r="I7563">
        <v>374.0652</v>
      </c>
      <c r="J7563">
        <v>-188.31649999999999</v>
      </c>
      <c r="K7563">
        <v>1.121129</v>
      </c>
      <c r="L7563">
        <v>14.53946</v>
      </c>
      <c r="M7563">
        <v>3.4431990000000003E-2</v>
      </c>
      <c r="N7563">
        <v>-1.110475E-2</v>
      </c>
      <c r="O7563">
        <v>0.99934540000000005</v>
      </c>
      <c r="P7563">
        <v>8.3827470000000001E-2</v>
      </c>
      <c r="Q7563">
        <v>0.18168190000000001</v>
      </c>
      <c r="R7563">
        <v>0.97977789999999998</v>
      </c>
      <c r="S7563">
        <v>-5.2963259999999998E-2</v>
      </c>
      <c r="T7563">
        <v>-9.5558169999999994E-3</v>
      </c>
      <c r="U7563">
        <v>3.0676269999999999</v>
      </c>
      <c r="V7563">
        <v>5.0110729999999999E-2</v>
      </c>
      <c r="W7563">
        <v>0.19255810000000001</v>
      </c>
      <c r="X7563">
        <v>0.98000529999999997</v>
      </c>
      <c r="Y7563">
        <v>-5.1676760000000002E-2</v>
      </c>
      <c r="Z7563">
        <v>7.9982419999999992E-3</v>
      </c>
      <c r="AA7563">
        <v>0.99863179999999996</v>
      </c>
      <c r="AB7563">
        <v>33</v>
      </c>
      <c r="AC7563">
        <v>-6.2259999999999902</v>
      </c>
      <c r="AD7563">
        <v>-1.1211403952399901</v>
      </c>
      <c r="AE7563">
        <v>359.52573999999998</v>
      </c>
      <c r="AF7563">
        <v>-18.602076329479299</v>
      </c>
      <c r="AG7563">
        <v>-1.1211403952399901</v>
      </c>
      <c r="AH7563">
        <v>359.09465281436002</v>
      </c>
      <c r="AI7563">
        <v>90.1786447875064</v>
      </c>
      <c r="AJ7563">
        <v>92.965425978453794</v>
      </c>
      <c r="AK7563">
        <v>359.57789681711398</v>
      </c>
      <c r="AL7563">
        <v>78.897890763734495</v>
      </c>
      <c r="AM7563">
        <v>87.072837288941102</v>
      </c>
      <c r="AN7563">
        <v>1.00000004758241</v>
      </c>
    </row>
    <row r="7564" spans="1:40" x14ac:dyDescent="0.25">
      <c r="A7564" t="str">
        <f>"20190303170435314"</f>
        <v>20190303170435314</v>
      </c>
      <c r="B7564" t="str">
        <f>"1551603875303005"</f>
        <v>1551603875303005</v>
      </c>
      <c r="C7564" t="s">
        <v>40</v>
      </c>
      <c r="D7564">
        <v>4.7803490000000002</v>
      </c>
      <c r="E7564">
        <v>0.4642772</v>
      </c>
      <c r="F7564" t="s">
        <v>49</v>
      </c>
      <c r="G7564">
        <v>-195.57470000000001</v>
      </c>
      <c r="H7564">
        <v>0.76176359999999999</v>
      </c>
      <c r="I7564">
        <v>391.87</v>
      </c>
      <c r="J7564">
        <v>-188.3056</v>
      </c>
      <c r="K7564">
        <v>1.121178</v>
      </c>
      <c r="L7564">
        <v>14.851679999999901</v>
      </c>
      <c r="M7564">
        <v>3.441864E-2</v>
      </c>
      <c r="N7564">
        <v>-1.108488E-2</v>
      </c>
      <c r="O7564">
        <v>0.99934599999999996</v>
      </c>
      <c r="P7564">
        <v>8.2743269999999994E-2</v>
      </c>
      <c r="Q7564">
        <v>0.18376490000000001</v>
      </c>
      <c r="R7564">
        <v>0.9794815</v>
      </c>
      <c r="S7564">
        <v>-5.9005740000000001E-2</v>
      </c>
      <c r="T7564">
        <v>-2.9214620000000001E-3</v>
      </c>
      <c r="U7564">
        <v>3.0675050000000001</v>
      </c>
      <c r="V7564">
        <v>4.9031900000000003E-2</v>
      </c>
      <c r="W7564">
        <v>0.1946235</v>
      </c>
      <c r="X7564">
        <v>0.97965170000000001</v>
      </c>
      <c r="Y7564">
        <v>-5.3630619999999997E-2</v>
      </c>
      <c r="Z7564">
        <v>1.013784E-2</v>
      </c>
      <c r="AA7564">
        <v>0.99850939999999999</v>
      </c>
      <c r="AB7564">
        <v>34</v>
      </c>
      <c r="AC7564">
        <v>-7.2690999999999999</v>
      </c>
      <c r="AD7564">
        <v>-0.35941440000000002</v>
      </c>
      <c r="AE7564">
        <v>377.01832000000002</v>
      </c>
      <c r="AF7564">
        <v>-20.242029659768299</v>
      </c>
      <c r="AG7564">
        <v>-0.35941440000000002</v>
      </c>
      <c r="AH7564">
        <v>376.54436034631499</v>
      </c>
      <c r="AI7564">
        <v>90.054610381189704</v>
      </c>
      <c r="AJ7564">
        <v>93.077107832703007</v>
      </c>
      <c r="AK7564">
        <v>377.08821812948901</v>
      </c>
      <c r="AL7564">
        <v>78.777269004160303</v>
      </c>
      <c r="AM7564">
        <v>87.134717743153601</v>
      </c>
      <c r="AN7564">
        <v>0.99999994364137301</v>
      </c>
    </row>
    <row r="7565" spans="1:40" x14ac:dyDescent="0.25">
      <c r="A7565" t="str">
        <f>"20190303170435334"</f>
        <v>20190303170435334</v>
      </c>
      <c r="B7565" t="str">
        <f>"1551603875323502"</f>
        <v>1551603875323502</v>
      </c>
      <c r="C7565" t="s">
        <v>40</v>
      </c>
      <c r="D7565">
        <v>4.7193290000000001</v>
      </c>
      <c r="E7565">
        <v>0.4641266</v>
      </c>
      <c r="F7565" t="s">
        <v>49</v>
      </c>
      <c r="G7565">
        <v>-196.19739999999999</v>
      </c>
      <c r="H7565">
        <v>1.6296520000000001</v>
      </c>
      <c r="I7565">
        <v>391.87</v>
      </c>
      <c r="J7565">
        <v>-188.29519999999999</v>
      </c>
      <c r="K7565">
        <v>1.1212059999999999</v>
      </c>
      <c r="L7565">
        <v>15.15555</v>
      </c>
      <c r="M7565">
        <v>3.4400300000000002E-2</v>
      </c>
      <c r="N7565">
        <v>-1.106413E-2</v>
      </c>
      <c r="O7565">
        <v>0.99934690000000004</v>
      </c>
      <c r="P7565">
        <v>8.2054260000000004E-2</v>
      </c>
      <c r="Q7565">
        <v>0.1851363</v>
      </c>
      <c r="R7565">
        <v>0.97928119999999996</v>
      </c>
      <c r="S7565">
        <v>-6.4208979999999999E-2</v>
      </c>
      <c r="T7565">
        <v>4.1370390000000003E-3</v>
      </c>
      <c r="U7565">
        <v>3.0675050000000001</v>
      </c>
      <c r="V7565">
        <v>4.8355210000000003E-2</v>
      </c>
      <c r="W7565">
        <v>0.1959755</v>
      </c>
      <c r="X7565">
        <v>0.97941579999999995</v>
      </c>
      <c r="Y7565">
        <v>-5.5305300000000002E-2</v>
      </c>
      <c r="Z7565">
        <v>1.241431E-2</v>
      </c>
      <c r="AA7565">
        <v>0.99839230000000001</v>
      </c>
      <c r="AB7565">
        <v>34</v>
      </c>
      <c r="AC7565">
        <v>-7.9021999999999899</v>
      </c>
      <c r="AD7565">
        <v>0.50844599999999995</v>
      </c>
      <c r="AE7565">
        <v>376.71445</v>
      </c>
      <c r="AF7565">
        <v>-20.857367626793099</v>
      </c>
      <c r="AG7565">
        <v>0.50844599999999995</v>
      </c>
      <c r="AH7565">
        <v>376.21891869769797</v>
      </c>
      <c r="AI7565">
        <v>89.922685636018699</v>
      </c>
      <c r="AJ7565">
        <v>93.1731978377084</v>
      </c>
      <c r="AK7565">
        <v>376.796978607472</v>
      </c>
      <c r="AL7565">
        <v>78.698284395873301</v>
      </c>
      <c r="AM7565">
        <v>87.173517493125104</v>
      </c>
      <c r="AN7565">
        <v>0.99999996611201603</v>
      </c>
    </row>
    <row r="7566" spans="1:40" x14ac:dyDescent="0.25">
      <c r="A7566" t="str">
        <f>"20190303170435359"</f>
        <v>20190303170435359</v>
      </c>
      <c r="B7566" t="str">
        <f>"1551603875352782"</f>
        <v>1551603875352782</v>
      </c>
      <c r="C7566" t="s">
        <v>40</v>
      </c>
      <c r="D7566">
        <v>4.8271069999999998</v>
      </c>
      <c r="E7566">
        <v>0.46386690000000003</v>
      </c>
      <c r="F7566" t="s">
        <v>49</v>
      </c>
      <c r="G7566">
        <v>-196.58189999999999</v>
      </c>
      <c r="H7566">
        <v>2.2524470000000001</v>
      </c>
      <c r="I7566">
        <v>391.87</v>
      </c>
      <c r="J7566">
        <v>-188.28229999999999</v>
      </c>
      <c r="K7566">
        <v>1.1212299999999999</v>
      </c>
      <c r="L7566">
        <v>15.52713</v>
      </c>
      <c r="M7566">
        <v>3.437933E-2</v>
      </c>
      <c r="N7566">
        <v>-1.103382E-2</v>
      </c>
      <c r="O7566">
        <v>0.99934789999999996</v>
      </c>
      <c r="P7566">
        <v>8.2105940000000002E-2</v>
      </c>
      <c r="Q7566">
        <v>0.18659890000000001</v>
      </c>
      <c r="R7566">
        <v>0.97899919999999996</v>
      </c>
      <c r="S7566">
        <v>-6.7474370000000006E-2</v>
      </c>
      <c r="T7566">
        <v>9.2110630000000002E-3</v>
      </c>
      <c r="U7566">
        <v>3.067383</v>
      </c>
      <c r="V7566">
        <v>4.8426400000000001E-2</v>
      </c>
      <c r="W7566">
        <v>0.19740750000000001</v>
      </c>
      <c r="X7566">
        <v>0.97912469999999996</v>
      </c>
      <c r="Y7566">
        <v>-5.6347500000000002E-2</v>
      </c>
      <c r="Z7566">
        <v>1.4035239999999999E-2</v>
      </c>
      <c r="AA7566">
        <v>0.99831250000000005</v>
      </c>
      <c r="AB7566">
        <v>34</v>
      </c>
      <c r="AC7566">
        <v>-8.2995999999999892</v>
      </c>
      <c r="AD7566">
        <v>1.1312169999999999</v>
      </c>
      <c r="AE7566">
        <v>376.34287</v>
      </c>
      <c r="AF7566">
        <v>-21.233705370637999</v>
      </c>
      <c r="AG7566">
        <v>1.1312169999999999</v>
      </c>
      <c r="AH7566">
        <v>375.83162406468</v>
      </c>
      <c r="AI7566">
        <v>89.8278203208652</v>
      </c>
      <c r="AJ7566">
        <v>93.233654718143796</v>
      </c>
      <c r="AK7566">
        <v>376.43267597641301</v>
      </c>
      <c r="AL7566">
        <v>78.614602611212803</v>
      </c>
      <c r="AM7566">
        <v>87.168522825931902</v>
      </c>
      <c r="AN7566">
        <v>1.00000000771165</v>
      </c>
    </row>
    <row r="7567" spans="1:40" x14ac:dyDescent="0.25">
      <c r="A7567" t="str">
        <f>"20190303170435391"</f>
        <v>20190303170435391</v>
      </c>
      <c r="B7567" t="str">
        <f>"1551603875383038"</f>
        <v>1551603875383038</v>
      </c>
      <c r="C7567" t="s">
        <v>40</v>
      </c>
      <c r="D7567">
        <v>4.82273</v>
      </c>
      <c r="E7567">
        <v>0.46371069999999998</v>
      </c>
      <c r="F7567" t="s">
        <v>49</v>
      </c>
      <c r="G7567">
        <v>-196.79820000000001</v>
      </c>
      <c r="H7567">
        <v>2.8129970000000002</v>
      </c>
      <c r="I7567">
        <v>391.87</v>
      </c>
      <c r="J7567">
        <v>-188.2655</v>
      </c>
      <c r="K7567">
        <v>1.1212439999999999</v>
      </c>
      <c r="L7567">
        <v>16.017029999999998</v>
      </c>
      <c r="M7567">
        <v>3.4361080000000002E-2</v>
      </c>
      <c r="N7567">
        <v>-1.099427E-2</v>
      </c>
      <c r="O7567">
        <v>0.99934900000000004</v>
      </c>
      <c r="P7567">
        <v>8.2690639999999996E-2</v>
      </c>
      <c r="Q7567">
        <v>0.1864721</v>
      </c>
      <c r="R7567">
        <v>0.97897420000000002</v>
      </c>
      <c r="S7567">
        <v>-6.9412230000000005E-2</v>
      </c>
      <c r="T7567">
        <v>1.378942E-2</v>
      </c>
      <c r="U7567">
        <v>3.0675349999999999</v>
      </c>
      <c r="V7567">
        <v>4.9020300000000003E-2</v>
      </c>
      <c r="W7567">
        <v>0.19724430000000001</v>
      </c>
      <c r="X7567">
        <v>0.979128</v>
      </c>
      <c r="Y7567">
        <v>-5.6958490000000001E-2</v>
      </c>
      <c r="Z7567">
        <v>1.5485189999999999E-2</v>
      </c>
      <c r="AA7567">
        <v>0.99825640000000004</v>
      </c>
      <c r="AB7567">
        <v>34</v>
      </c>
      <c r="AC7567">
        <v>-8.5327000000000002</v>
      </c>
      <c r="AD7567">
        <v>1.6917529999999901</v>
      </c>
      <c r="AE7567">
        <v>375.85297000000003</v>
      </c>
      <c r="AF7567">
        <v>-21.442721174688302</v>
      </c>
      <c r="AG7567">
        <v>1.6917529999999901</v>
      </c>
      <c r="AH7567">
        <v>375.33018510795</v>
      </c>
      <c r="AI7567">
        <v>89.742168736421704</v>
      </c>
      <c r="AJ7567">
        <v>93.269770047520495</v>
      </c>
      <c r="AK7567">
        <v>375.94600699137197</v>
      </c>
      <c r="AL7567">
        <v>78.624140411980093</v>
      </c>
      <c r="AM7567">
        <v>87.133864864986606</v>
      </c>
      <c r="AN7567">
        <v>0.99999997203928903</v>
      </c>
    </row>
    <row r="7568" spans="1:40" x14ac:dyDescent="0.25">
      <c r="A7568" t="str">
        <f>"20190303170435414"</f>
        <v>20190303170435414</v>
      </c>
      <c r="B7568" t="str">
        <f>"1551603875403534"</f>
        <v>1551603875403534</v>
      </c>
      <c r="C7568" t="s">
        <v>40</v>
      </c>
      <c r="D7568">
        <v>4.8428129999999996</v>
      </c>
      <c r="E7568">
        <v>0.46353529999999998</v>
      </c>
      <c r="F7568" t="s">
        <v>49</v>
      </c>
      <c r="G7568">
        <v>-196.60120000000001</v>
      </c>
      <c r="H7568">
        <v>2.6337169999999999</v>
      </c>
      <c r="I7568">
        <v>391.87</v>
      </c>
      <c r="J7568">
        <v>-188.25409999999999</v>
      </c>
      <c r="K7568">
        <v>1.1212390000000001</v>
      </c>
      <c r="L7568">
        <v>16.34564</v>
      </c>
      <c r="M7568">
        <v>3.4355330000000003E-2</v>
      </c>
      <c r="N7568">
        <v>-1.097036E-2</v>
      </c>
      <c r="O7568">
        <v>0.9993495</v>
      </c>
      <c r="P7568">
        <v>8.2663100000000003E-2</v>
      </c>
      <c r="Q7568">
        <v>0.18608949999999999</v>
      </c>
      <c r="R7568">
        <v>0.97904930000000001</v>
      </c>
      <c r="S7568">
        <v>-6.8038940000000006E-2</v>
      </c>
      <c r="T7568">
        <v>1.234531E-2</v>
      </c>
      <c r="U7568">
        <v>3.067841</v>
      </c>
      <c r="V7568">
        <v>4.8991819999999998E-2</v>
      </c>
      <c r="W7568">
        <v>0.19683999999999999</v>
      </c>
      <c r="X7568">
        <v>0.97921080000000005</v>
      </c>
      <c r="Y7568">
        <v>-5.6503890000000001E-2</v>
      </c>
      <c r="Z7568">
        <v>1.4991010000000001E-2</v>
      </c>
      <c r="AA7568">
        <v>0.9982898</v>
      </c>
      <c r="AB7568">
        <v>34</v>
      </c>
      <c r="AC7568">
        <v>-8.34710000000001</v>
      </c>
      <c r="AD7568">
        <v>1.512478</v>
      </c>
      <c r="AE7568">
        <v>375.52436</v>
      </c>
      <c r="AF7568">
        <v>-21.243866828308398</v>
      </c>
      <c r="AG7568">
        <v>1.512478</v>
      </c>
      <c r="AH7568">
        <v>375.00978932005103</v>
      </c>
      <c r="AI7568">
        <v>89.769287557344697</v>
      </c>
      <c r="AJ7568">
        <v>93.242273743240901</v>
      </c>
      <c r="AK7568">
        <v>375.61407262426798</v>
      </c>
      <c r="AL7568">
        <v>78.647768498295207</v>
      </c>
      <c r="AM7568">
        <v>87.1357690793823</v>
      </c>
      <c r="AN7568">
        <v>0.99999998743177598</v>
      </c>
    </row>
    <row r="7569" spans="1:40" x14ac:dyDescent="0.25">
      <c r="A7569" t="str">
        <f>"20190303170435436"</f>
        <v>20190303170435436</v>
      </c>
      <c r="B7569" t="str">
        <f>"1551603875423054"</f>
        <v>1551603875423054</v>
      </c>
      <c r="C7569" t="s">
        <v>40</v>
      </c>
      <c r="D7569">
        <v>4.8223820000000002</v>
      </c>
      <c r="E7569">
        <v>0.4633929</v>
      </c>
      <c r="F7569" t="s">
        <v>49</v>
      </c>
      <c r="G7569">
        <v>-196.7431</v>
      </c>
      <c r="H7569">
        <v>2.5063749999999998</v>
      </c>
      <c r="I7569">
        <v>391.87</v>
      </c>
      <c r="J7569">
        <v>-188.24270000000001</v>
      </c>
      <c r="K7569">
        <v>1.1212359999999999</v>
      </c>
      <c r="L7569">
        <v>16.678190000000001</v>
      </c>
      <c r="M7569">
        <v>3.4353330000000001E-2</v>
      </c>
      <c r="N7569">
        <v>-1.094256E-2</v>
      </c>
      <c r="O7569">
        <v>0.99934979999999995</v>
      </c>
      <c r="P7569">
        <v>8.2495379999999993E-2</v>
      </c>
      <c r="Q7569">
        <v>0.18600549999999999</v>
      </c>
      <c r="R7569">
        <v>0.97907940000000004</v>
      </c>
      <c r="S7569">
        <v>-6.9351199999999905E-2</v>
      </c>
      <c r="T7569">
        <v>1.1316059999999999E-2</v>
      </c>
      <c r="U7569">
        <v>3.0679020000000001</v>
      </c>
      <c r="V7569">
        <v>4.8822360000000002E-2</v>
      </c>
      <c r="W7569">
        <v>0.19673009999999999</v>
      </c>
      <c r="X7569">
        <v>0.97924140000000004</v>
      </c>
      <c r="Y7569">
        <v>-5.6928239999999998E-2</v>
      </c>
      <c r="Z7569">
        <v>1.46283E-2</v>
      </c>
      <c r="AA7569">
        <v>0.99827109999999997</v>
      </c>
      <c r="AB7569">
        <v>34</v>
      </c>
      <c r="AC7569">
        <v>-8.5003999999999795</v>
      </c>
      <c r="AD7569">
        <v>1.3851389999999899</v>
      </c>
      <c r="AE7569">
        <v>375.19180999999998</v>
      </c>
      <c r="AF7569">
        <v>-21.384951077389399</v>
      </c>
      <c r="AG7569">
        <v>1.3851389999999899</v>
      </c>
      <c r="AH7569">
        <v>374.67318801451802</v>
      </c>
      <c r="AI7569">
        <v>89.788526890621895</v>
      </c>
      <c r="AJ7569">
        <v>93.266685626479898</v>
      </c>
      <c r="AK7569">
        <v>375.28553470603401</v>
      </c>
      <c r="AL7569">
        <v>78.654191456719303</v>
      </c>
      <c r="AM7569">
        <v>87.145748930812601</v>
      </c>
      <c r="AN7569">
        <v>1.0000000372779601</v>
      </c>
    </row>
    <row r="7570" spans="1:40" x14ac:dyDescent="0.25">
      <c r="A7570" t="str">
        <f>"20190303170435458"</f>
        <v>20190303170435458</v>
      </c>
      <c r="B7570" t="str">
        <f>"1551603875453310"</f>
        <v>1551603875453310</v>
      </c>
      <c r="C7570" t="s">
        <v>40</v>
      </c>
      <c r="D7570">
        <v>4.8365429999999998</v>
      </c>
      <c r="E7570">
        <v>0.46340500000000001</v>
      </c>
      <c r="F7570" t="s">
        <v>49</v>
      </c>
      <c r="G7570">
        <v>-196.9461</v>
      </c>
      <c r="H7570">
        <v>2.51261</v>
      </c>
      <c r="I7570">
        <v>391.87</v>
      </c>
      <c r="J7570">
        <v>-188.23099999999999</v>
      </c>
      <c r="K7570">
        <v>1.1212390000000001</v>
      </c>
      <c r="L7570">
        <v>17.018550000000001</v>
      </c>
      <c r="M7570">
        <v>3.4353359999999999E-2</v>
      </c>
      <c r="N7570">
        <v>-1.090781E-2</v>
      </c>
      <c r="O7570">
        <v>0.99935019999999997</v>
      </c>
      <c r="P7570">
        <v>8.1695309999999993E-2</v>
      </c>
      <c r="Q7570">
        <v>0.18545400000000001</v>
      </c>
      <c r="R7570">
        <v>0.97925110000000004</v>
      </c>
      <c r="S7570">
        <v>-7.1166989999999999E-2</v>
      </c>
      <c r="T7570">
        <v>1.137722E-2</v>
      </c>
      <c r="U7570">
        <v>3.0679319999999999</v>
      </c>
      <c r="V7570">
        <v>4.8015059999999998E-2</v>
      </c>
      <c r="W7570">
        <v>0.19614619999999999</v>
      </c>
      <c r="X7570">
        <v>0.9793984</v>
      </c>
      <c r="Y7570">
        <v>-5.7518560000000003E-2</v>
      </c>
      <c r="Z7570">
        <v>1.461342E-2</v>
      </c>
      <c r="AA7570">
        <v>0.9982375</v>
      </c>
      <c r="AB7570">
        <v>34</v>
      </c>
      <c r="AC7570">
        <v>-8.7150999999999996</v>
      </c>
      <c r="AD7570">
        <v>1.3913709999999999</v>
      </c>
      <c r="AE7570">
        <v>374.85145</v>
      </c>
      <c r="AF7570">
        <v>-21.587831268160102</v>
      </c>
      <c r="AG7570">
        <v>1.3913709999999999</v>
      </c>
      <c r="AH7570">
        <v>374.32560202275903</v>
      </c>
      <c r="AI7570">
        <v>89.787385427970094</v>
      </c>
      <c r="AJ7570">
        <v>93.300664057476098</v>
      </c>
      <c r="AK7570">
        <v>374.95016562447802</v>
      </c>
      <c r="AL7570">
        <v>78.688310838010906</v>
      </c>
      <c r="AM7570">
        <v>87.193318422263005</v>
      </c>
      <c r="AN7570">
        <v>1.0000000018419</v>
      </c>
    </row>
    <row r="7571" spans="1:40" x14ac:dyDescent="0.25">
      <c r="A7571" t="str">
        <f>"20190303170435481"</f>
        <v>20190303170435481</v>
      </c>
      <c r="B7571" t="str">
        <f>"1551603875472830"</f>
        <v>1551603875472830</v>
      </c>
      <c r="C7571" t="s">
        <v>40</v>
      </c>
      <c r="D7571">
        <v>4.8246869999999999</v>
      </c>
      <c r="E7571">
        <v>0.4634741</v>
      </c>
      <c r="F7571" t="s">
        <v>49</v>
      </c>
      <c r="G7571">
        <v>-197.1944</v>
      </c>
      <c r="H7571">
        <v>2.1371790000000002</v>
      </c>
      <c r="I7571">
        <v>391.87</v>
      </c>
      <c r="J7571">
        <v>-188.21899999999999</v>
      </c>
      <c r="K7571">
        <v>1.121245</v>
      </c>
      <c r="L7571">
        <v>17.36908</v>
      </c>
      <c r="M7571">
        <v>3.4354030000000001E-2</v>
      </c>
      <c r="N7571">
        <v>-1.0873209999999999E-2</v>
      </c>
      <c r="O7571">
        <v>0.99935050000000003</v>
      </c>
      <c r="P7571">
        <v>8.0982739999999998E-2</v>
      </c>
      <c r="Q7571">
        <v>0.18589549999999999</v>
      </c>
      <c r="R7571">
        <v>0.97922659999999995</v>
      </c>
      <c r="S7571">
        <v>-7.3364260000000001E-2</v>
      </c>
      <c r="T7571">
        <v>8.3153250000000001E-3</v>
      </c>
      <c r="U7571">
        <v>3.0681150000000001</v>
      </c>
      <c r="V7571">
        <v>4.7302070000000002E-2</v>
      </c>
      <c r="W7571">
        <v>0.19655339999999999</v>
      </c>
      <c r="X7571">
        <v>0.97935150000000004</v>
      </c>
      <c r="Y7571">
        <v>-5.8232350000000002E-2</v>
      </c>
      <c r="Z7571">
        <v>1.358263E-2</v>
      </c>
      <c r="AA7571">
        <v>0.99821070000000001</v>
      </c>
      <c r="AB7571">
        <v>34</v>
      </c>
      <c r="AC7571">
        <v>-8.9753999999999792</v>
      </c>
      <c r="AD7571">
        <v>1.0159339999999999</v>
      </c>
      <c r="AE7571">
        <v>374.50092000000001</v>
      </c>
      <c r="AF7571">
        <v>-21.836318240851998</v>
      </c>
      <c r="AG7571">
        <v>1.0159339999999999</v>
      </c>
      <c r="AH7571">
        <v>373.96872579224998</v>
      </c>
      <c r="AI7571">
        <v>89.844613717032303</v>
      </c>
      <c r="AJ7571">
        <v>93.341749699414194</v>
      </c>
      <c r="AK7571">
        <v>374.60708053490799</v>
      </c>
      <c r="AL7571">
        <v>78.664517289502299</v>
      </c>
      <c r="AM7571">
        <v>87.234798300207402</v>
      </c>
      <c r="AN7571">
        <v>1.0000000427150399</v>
      </c>
    </row>
    <row r="7572" spans="1:40" x14ac:dyDescent="0.25">
      <c r="A7572" t="str">
        <f>"20190303170435504"</f>
        <v>20190303170435504</v>
      </c>
      <c r="B7572" t="str">
        <f>"1551603875493326"</f>
        <v>1551603875493326</v>
      </c>
      <c r="C7572" t="s">
        <v>40</v>
      </c>
      <c r="D7572">
        <v>4.8527839999999998</v>
      </c>
      <c r="E7572">
        <v>0.46358389999999999</v>
      </c>
      <c r="F7572" t="s">
        <v>49</v>
      </c>
      <c r="G7572">
        <v>-197.29849999999999</v>
      </c>
      <c r="H7572">
        <v>2.1469429999999998</v>
      </c>
      <c r="I7572">
        <v>391.87</v>
      </c>
      <c r="J7572">
        <v>-188.2073</v>
      </c>
      <c r="K7572">
        <v>1.12124</v>
      </c>
      <c r="L7572">
        <v>17.708279999999998</v>
      </c>
      <c r="M7572">
        <v>3.435465E-2</v>
      </c>
      <c r="N7572">
        <v>-1.0842859999999999E-2</v>
      </c>
      <c r="O7572">
        <v>0.99935090000000004</v>
      </c>
      <c r="P7572">
        <v>8.0720799999999995E-2</v>
      </c>
      <c r="Q7572">
        <v>0.18665979999999999</v>
      </c>
      <c r="R7572">
        <v>0.97910280000000005</v>
      </c>
      <c r="S7572">
        <v>-7.4386599999999997E-2</v>
      </c>
      <c r="T7572">
        <v>8.4033010000000002E-3</v>
      </c>
      <c r="U7572">
        <v>3.0682070000000001</v>
      </c>
      <c r="V7572">
        <v>4.7043399999999999E-2</v>
      </c>
      <c r="W7572">
        <v>0.19728689999999999</v>
      </c>
      <c r="X7572">
        <v>0.97921639999999999</v>
      </c>
      <c r="Y7572">
        <v>-5.8564669999999999E-2</v>
      </c>
      <c r="Z7572">
        <v>1.358082E-2</v>
      </c>
      <c r="AA7572">
        <v>0.99819119999999995</v>
      </c>
      <c r="AB7572">
        <v>34</v>
      </c>
      <c r="AC7572">
        <v>-9.0911999999999793</v>
      </c>
      <c r="AD7572">
        <v>1.02570299999999</v>
      </c>
      <c r="AE7572">
        <v>374.16172</v>
      </c>
      <c r="AF7572">
        <v>-21.940618512740802</v>
      </c>
      <c r="AG7572">
        <v>1.02570299999999</v>
      </c>
      <c r="AH7572">
        <v>373.62567869525799</v>
      </c>
      <c r="AI7572">
        <v>89.842978572923798</v>
      </c>
      <c r="AJ7572">
        <v>93.360750806270602</v>
      </c>
      <c r="AK7572">
        <v>374.27074503340299</v>
      </c>
      <c r="AL7572">
        <v>78.621650783080696</v>
      </c>
      <c r="AM7572">
        <v>87.249517605542394</v>
      </c>
      <c r="AN7572">
        <v>0.99999998021206404</v>
      </c>
    </row>
    <row r="7573" spans="1:40" x14ac:dyDescent="0.25">
      <c r="A7573" t="str">
        <f>"20190303170435524"</f>
        <v>20190303170435524</v>
      </c>
      <c r="B7573" t="str">
        <f>"1551603875512846"</f>
        <v>1551603875512846</v>
      </c>
      <c r="C7573" t="s">
        <v>40</v>
      </c>
      <c r="D7573">
        <v>4.7881</v>
      </c>
      <c r="E7573">
        <v>0.46358640000000001</v>
      </c>
      <c r="F7573" t="s">
        <v>49</v>
      </c>
      <c r="G7573">
        <v>-197.2079</v>
      </c>
      <c r="H7573">
        <v>2.3329569999999999</v>
      </c>
      <c r="I7573">
        <v>391.87</v>
      </c>
      <c r="J7573">
        <v>-188.19669999999999</v>
      </c>
      <c r="K7573">
        <v>1.121243</v>
      </c>
      <c r="L7573">
        <v>18.01849</v>
      </c>
      <c r="M7573">
        <v>3.4355040000000003E-2</v>
      </c>
      <c r="N7573">
        <v>-1.08174E-2</v>
      </c>
      <c r="O7573">
        <v>0.99935110000000005</v>
      </c>
      <c r="P7573">
        <v>8.0576250000000002E-2</v>
      </c>
      <c r="Q7573">
        <v>0.1881524</v>
      </c>
      <c r="R7573">
        <v>0.97882899999999995</v>
      </c>
      <c r="S7573">
        <v>-7.3806759999999999E-2</v>
      </c>
      <c r="T7573">
        <v>9.9363330000000003E-3</v>
      </c>
      <c r="U7573">
        <v>3.0682070000000001</v>
      </c>
      <c r="V7573">
        <v>4.6907690000000002E-2</v>
      </c>
      <c r="W7573">
        <v>0.1987517</v>
      </c>
      <c r="X7573">
        <v>0.97892670000000004</v>
      </c>
      <c r="Y7573">
        <v>-5.8376549999999999E-2</v>
      </c>
      <c r="Z7573">
        <v>1.4053990000000001E-2</v>
      </c>
      <c r="AA7573">
        <v>0.99819570000000002</v>
      </c>
      <c r="AB7573">
        <v>34</v>
      </c>
      <c r="AC7573">
        <v>-9.0112000000000005</v>
      </c>
      <c r="AD7573">
        <v>1.211714</v>
      </c>
      <c r="AE7573">
        <v>373.85151000000002</v>
      </c>
      <c r="AF7573">
        <v>-21.850086291822901</v>
      </c>
      <c r="AG7573">
        <v>1.211714</v>
      </c>
      <c r="AH7573">
        <v>373.31727863624099</v>
      </c>
      <c r="AI7573">
        <v>89.814347613855205</v>
      </c>
      <c r="AJ7573">
        <v>93.349673754154793</v>
      </c>
      <c r="AK7573">
        <v>373.958132750375</v>
      </c>
      <c r="AL7573">
        <v>78.536028972690801</v>
      </c>
      <c r="AM7573">
        <v>87.256629635082703</v>
      </c>
      <c r="AN7573">
        <v>1.0000000268034499</v>
      </c>
    </row>
    <row r="7574" spans="1:40" x14ac:dyDescent="0.25">
      <c r="A7574" t="str">
        <f>"20190303170435547"</f>
        <v>20190303170435547</v>
      </c>
      <c r="B7574" t="str">
        <f>"1551603875533342"</f>
        <v>1551603875533342</v>
      </c>
      <c r="C7574" t="s">
        <v>40</v>
      </c>
      <c r="D7574">
        <v>4.8131130000000004</v>
      </c>
      <c r="E7574">
        <v>0.4635301</v>
      </c>
      <c r="F7574" t="s">
        <v>49</v>
      </c>
      <c r="G7574">
        <v>-197.2791</v>
      </c>
      <c r="H7574">
        <v>2.9093800000000001</v>
      </c>
      <c r="I7574">
        <v>391.87</v>
      </c>
      <c r="J7574">
        <v>-188.18539999999999</v>
      </c>
      <c r="K7574">
        <v>1.1212519999999999</v>
      </c>
      <c r="L7574">
        <v>18.34564</v>
      </c>
      <c r="M7574">
        <v>3.4355289999999997E-2</v>
      </c>
      <c r="N7574">
        <v>-1.0790040000000001E-2</v>
      </c>
      <c r="O7574">
        <v>0.9993514</v>
      </c>
      <c r="P7574">
        <v>7.9881259999999996E-2</v>
      </c>
      <c r="Q7574">
        <v>0.18871869999999999</v>
      </c>
      <c r="R7574">
        <v>0.97877689999999995</v>
      </c>
      <c r="S7574">
        <v>-7.4539179999999997E-2</v>
      </c>
      <c r="T7574">
        <v>1.4675260000000001E-2</v>
      </c>
      <c r="U7574">
        <v>3.0682070000000001</v>
      </c>
      <c r="V7574">
        <v>4.6214499999999999E-2</v>
      </c>
      <c r="W7574">
        <v>0.19928999999999999</v>
      </c>
      <c r="X7574">
        <v>0.9788502</v>
      </c>
      <c r="Y7574">
        <v>-5.8614869999999999E-2</v>
      </c>
      <c r="Z7574">
        <v>1.556804E-2</v>
      </c>
      <c r="AA7574">
        <v>0.99815929999999997</v>
      </c>
      <c r="AB7574">
        <v>34</v>
      </c>
      <c r="AC7574">
        <v>-9.0937000000000108</v>
      </c>
      <c r="AD7574">
        <v>1.7881279999999999</v>
      </c>
      <c r="AE7574">
        <v>373.52436</v>
      </c>
      <c r="AF7574">
        <v>-21.921114364262699</v>
      </c>
      <c r="AG7574">
        <v>1.7881279999999999</v>
      </c>
      <c r="AH7574">
        <v>372.9828589283</v>
      </c>
      <c r="AI7574">
        <v>89.725791906425798</v>
      </c>
      <c r="AJ7574">
        <v>93.363543796018405</v>
      </c>
      <c r="AK7574">
        <v>373.63076119484998</v>
      </c>
      <c r="AL7574">
        <v>78.504556744494806</v>
      </c>
      <c r="AM7574">
        <v>87.296898974368702</v>
      </c>
      <c r="AN7574">
        <v>0.99999999907514503</v>
      </c>
    </row>
    <row r="7575" spans="1:40" x14ac:dyDescent="0.25">
      <c r="A7575" t="str">
        <f>"20190303170435569"</f>
        <v>20190303170435569</v>
      </c>
      <c r="B7575" t="str">
        <f>"1551603875563598"</f>
        <v>1551603875563598</v>
      </c>
      <c r="C7575" t="s">
        <v>40</v>
      </c>
      <c r="D7575">
        <v>4.7868559999999896</v>
      </c>
      <c r="E7575">
        <v>0.46361570000000002</v>
      </c>
      <c r="F7575" t="s">
        <v>49</v>
      </c>
      <c r="G7575">
        <v>-197.51249999999999</v>
      </c>
      <c r="H7575">
        <v>3.0709900000000001</v>
      </c>
      <c r="I7575">
        <v>391.87</v>
      </c>
      <c r="J7575">
        <v>-188.17310000000001</v>
      </c>
      <c r="K7575">
        <v>1.1212530000000001</v>
      </c>
      <c r="L7575">
        <v>18.702729999999999</v>
      </c>
      <c r="M7575">
        <v>3.4355360000000001E-2</v>
      </c>
      <c r="N7575">
        <v>-1.075864E-2</v>
      </c>
      <c r="O7575">
        <v>0.99935180000000001</v>
      </c>
      <c r="P7575">
        <v>7.8344709999999998E-2</v>
      </c>
      <c r="Q7575">
        <v>0.1891987</v>
      </c>
      <c r="R7575">
        <v>0.97880849999999997</v>
      </c>
      <c r="S7575">
        <v>-7.6614379999999996E-2</v>
      </c>
      <c r="T7575">
        <v>1.601553E-2</v>
      </c>
      <c r="U7575">
        <v>3.0682070000000001</v>
      </c>
      <c r="V7575">
        <v>4.4677580000000001E-2</v>
      </c>
      <c r="W7575">
        <v>0.1997391</v>
      </c>
      <c r="X7575">
        <v>0.97882999999999998</v>
      </c>
      <c r="Y7575">
        <v>-5.928957E-2</v>
      </c>
      <c r="Z7575">
        <v>1.597254E-2</v>
      </c>
      <c r="AA7575">
        <v>0.99811300000000003</v>
      </c>
      <c r="AB7575">
        <v>34</v>
      </c>
      <c r="AC7575">
        <v>-9.3393999999999799</v>
      </c>
      <c r="AD7575">
        <v>1.9497369999999901</v>
      </c>
      <c r="AE7575">
        <v>373.16726999999997</v>
      </c>
      <c r="AF7575">
        <v>-22.154319270656199</v>
      </c>
      <c r="AG7575">
        <v>1.9497369999999901</v>
      </c>
      <c r="AH7575">
        <v>372.61591390015798</v>
      </c>
      <c r="AI7575">
        <v>89.700727337741398</v>
      </c>
      <c r="AJ7575">
        <v>93.402582598608205</v>
      </c>
      <c r="AK7575">
        <v>373.27903052323398</v>
      </c>
      <c r="AL7575">
        <v>78.478297054561494</v>
      </c>
      <c r="AM7575">
        <v>87.386613300768403</v>
      </c>
      <c r="AN7575">
        <v>0.99999998156173298</v>
      </c>
    </row>
    <row r="7576" spans="1:40" x14ac:dyDescent="0.25">
      <c r="A7576" t="str">
        <f>"20190303170435591"</f>
        <v>20190303170435591</v>
      </c>
      <c r="B7576" t="str">
        <f>"1551603875583118"</f>
        <v>1551603875583118</v>
      </c>
      <c r="C7576" t="s">
        <v>40</v>
      </c>
      <c r="D7576">
        <v>4.8109769999999896</v>
      </c>
      <c r="E7576">
        <v>0.46366760000000001</v>
      </c>
      <c r="F7576" t="s">
        <v>49</v>
      </c>
      <c r="G7576">
        <v>-197.935</v>
      </c>
      <c r="H7576">
        <v>3.1412629999999999</v>
      </c>
      <c r="I7576">
        <v>391.87</v>
      </c>
      <c r="J7576">
        <v>-188.16149999999999</v>
      </c>
      <c r="K7576">
        <v>1.121248</v>
      </c>
      <c r="L7576">
        <v>19.041869999999999</v>
      </c>
      <c r="M7576">
        <v>3.4355289999999997E-2</v>
      </c>
      <c r="N7576">
        <v>-1.0731060000000001E-2</v>
      </c>
      <c r="O7576">
        <v>0.99935209999999997</v>
      </c>
      <c r="P7576">
        <v>7.8399280000000002E-2</v>
      </c>
      <c r="Q7576">
        <v>0.18892239999999999</v>
      </c>
      <c r="R7576">
        <v>0.97885739999999999</v>
      </c>
      <c r="S7576">
        <v>-8.0261230000000003E-2</v>
      </c>
      <c r="T7576">
        <v>1.6608479999999998E-2</v>
      </c>
      <c r="U7576">
        <v>3.0681759999999998</v>
      </c>
      <c r="V7576">
        <v>4.473034E-2</v>
      </c>
      <c r="W7576">
        <v>0.19943669999999999</v>
      </c>
      <c r="X7576">
        <v>0.97888929999999996</v>
      </c>
      <c r="Y7576">
        <v>-6.0475269999999998E-2</v>
      </c>
      <c r="Z7576">
        <v>1.6137809999999999E-2</v>
      </c>
      <c r="AA7576">
        <v>0.99803920000000002</v>
      </c>
      <c r="AB7576">
        <v>34</v>
      </c>
      <c r="AC7576">
        <v>-9.7735000000000092</v>
      </c>
      <c r="AD7576">
        <v>2.0200149999999999</v>
      </c>
      <c r="AE7576">
        <v>372.82812999999999</v>
      </c>
      <c r="AF7576">
        <v>-22.576423269014999</v>
      </c>
      <c r="AG7576">
        <v>2.0200149999999999</v>
      </c>
      <c r="AH7576">
        <v>372.26130657351098</v>
      </c>
      <c r="AI7576">
        <v>89.689667060509507</v>
      </c>
      <c r="AJ7576">
        <v>93.470549732428097</v>
      </c>
      <c r="AK7576">
        <v>372.95074168050598</v>
      </c>
      <c r="AL7576">
        <v>78.495979640114001</v>
      </c>
      <c r="AM7576">
        <v>87.383689706721498</v>
      </c>
      <c r="AN7576">
        <v>1.0000000311389401</v>
      </c>
    </row>
    <row r="7577" spans="1:40" x14ac:dyDescent="0.25">
      <c r="A7577" t="str">
        <f>"20190303170435615"</f>
        <v>20190303170435615</v>
      </c>
      <c r="B7577" t="str">
        <f>"1551603875603615"</f>
        <v>1551603875603615</v>
      </c>
      <c r="C7577" t="s">
        <v>40</v>
      </c>
      <c r="D7577">
        <v>4.8270910000000002</v>
      </c>
      <c r="E7577">
        <v>0.46364329999999998</v>
      </c>
      <c r="F7577" t="s">
        <v>49</v>
      </c>
      <c r="G7577">
        <v>-197.8235</v>
      </c>
      <c r="H7577">
        <v>2.989957</v>
      </c>
      <c r="I7577">
        <v>391.87</v>
      </c>
      <c r="J7577">
        <v>-188.1498</v>
      </c>
      <c r="K7577">
        <v>1.1212470000000001</v>
      </c>
      <c r="L7577">
        <v>19.382390000000001</v>
      </c>
      <c r="M7577">
        <v>3.4355169999999997E-2</v>
      </c>
      <c r="N7577">
        <v>-1.070628E-2</v>
      </c>
      <c r="O7577">
        <v>0.99935229999999997</v>
      </c>
      <c r="P7577">
        <v>7.9323889999999994E-2</v>
      </c>
      <c r="Q7577">
        <v>0.18883140000000001</v>
      </c>
      <c r="R7577">
        <v>0.97880049999999996</v>
      </c>
      <c r="S7577">
        <v>-7.9513550000000002E-2</v>
      </c>
      <c r="T7577">
        <v>1.5378589999999999E-2</v>
      </c>
      <c r="U7577">
        <v>3.0682070000000001</v>
      </c>
      <c r="V7577">
        <v>4.5656349999999998E-2</v>
      </c>
      <c r="W7577">
        <v>0.1993209</v>
      </c>
      <c r="X7577">
        <v>0.97887009999999997</v>
      </c>
      <c r="Y7577">
        <v>-6.0231890000000003E-2</v>
      </c>
      <c r="Z7577">
        <v>1.571297E-2</v>
      </c>
      <c r="AA7577">
        <v>0.99806070000000002</v>
      </c>
      <c r="AB7577">
        <v>34</v>
      </c>
      <c r="AC7577">
        <v>-9.6736999999999895</v>
      </c>
      <c r="AD7577">
        <v>1.8687099999999901</v>
      </c>
      <c r="AE7577">
        <v>372.48761000000002</v>
      </c>
      <c r="AF7577">
        <v>-22.465032945402399</v>
      </c>
      <c r="AG7577">
        <v>1.8687099999999901</v>
      </c>
      <c r="AH7577">
        <v>371.92598521657698</v>
      </c>
      <c r="AI7577">
        <v>89.712648424325394</v>
      </c>
      <c r="AJ7577">
        <v>93.456573888854706</v>
      </c>
      <c r="AK7577">
        <v>372.60851877221501</v>
      </c>
      <c r="AL7577">
        <v>78.502750046428801</v>
      </c>
      <c r="AM7577">
        <v>87.329552011212101</v>
      </c>
      <c r="AN7577">
        <v>0.99999999807307105</v>
      </c>
    </row>
    <row r="7578" spans="1:40" x14ac:dyDescent="0.25">
      <c r="A7578" t="str">
        <f>"20190303170435636"</f>
        <v>20190303170435636</v>
      </c>
      <c r="B7578" t="str">
        <f>"1551603875623134"</f>
        <v>1551603875623134</v>
      </c>
      <c r="C7578" t="s">
        <v>40</v>
      </c>
      <c r="D7578">
        <v>4.7982740000000002</v>
      </c>
      <c r="E7578">
        <v>0.46361599999999997</v>
      </c>
      <c r="F7578" t="s">
        <v>49</v>
      </c>
      <c r="G7578">
        <v>-197.57650000000001</v>
      </c>
      <c r="H7578">
        <v>2.9487619999999999</v>
      </c>
      <c r="I7578">
        <v>391.87</v>
      </c>
      <c r="J7578">
        <v>-188.1387</v>
      </c>
      <c r="K7578">
        <v>1.1212439999999999</v>
      </c>
      <c r="L7578">
        <v>19.704799999999999</v>
      </c>
      <c r="M7578">
        <v>3.4354990000000002E-2</v>
      </c>
      <c r="N7578">
        <v>-1.0685160000000001E-2</v>
      </c>
      <c r="O7578">
        <v>0.99935260000000004</v>
      </c>
      <c r="P7578">
        <v>7.9677590000000006E-2</v>
      </c>
      <c r="Q7578">
        <v>0.19070119999999999</v>
      </c>
      <c r="R7578">
        <v>0.97840919999999998</v>
      </c>
      <c r="S7578">
        <v>-7.7651979999999995E-2</v>
      </c>
      <c r="T7578">
        <v>1.5054110000000001E-2</v>
      </c>
      <c r="U7578">
        <v>3.0683590000000001</v>
      </c>
      <c r="V7578">
        <v>4.6023429999999997E-2</v>
      </c>
      <c r="W7578">
        <v>0.20116619999999999</v>
      </c>
      <c r="X7578">
        <v>0.97847530000000005</v>
      </c>
      <c r="Y7578">
        <v>-5.9625329999999997E-2</v>
      </c>
      <c r="Z7578">
        <v>1.558609E-2</v>
      </c>
      <c r="AA7578">
        <v>0.99809910000000002</v>
      </c>
      <c r="AB7578">
        <v>34</v>
      </c>
      <c r="AC7578">
        <v>-9.43780000000001</v>
      </c>
      <c r="AD7578">
        <v>1.827518</v>
      </c>
      <c r="AE7578">
        <v>372.16520000000003</v>
      </c>
      <c r="AF7578">
        <v>-22.218154074892901</v>
      </c>
      <c r="AG7578">
        <v>1.827518</v>
      </c>
      <c r="AH7578">
        <v>371.61227426814099</v>
      </c>
      <c r="AI7578">
        <v>89.718734858508796</v>
      </c>
      <c r="AJ7578">
        <v>93.421557712779901</v>
      </c>
      <c r="AK7578">
        <v>372.28036287088298</v>
      </c>
      <c r="AL7578">
        <v>78.394835947616002</v>
      </c>
      <c r="AM7578">
        <v>87.307028355446903</v>
      </c>
      <c r="AN7578">
        <v>0.99999995442074596</v>
      </c>
    </row>
    <row r="7579" spans="1:40" x14ac:dyDescent="0.25">
      <c r="A7579" t="str">
        <f>"20190303170435660"</f>
        <v>20190303170435660</v>
      </c>
      <c r="B7579" t="str">
        <f>"1551603875653390"</f>
        <v>1551603875653390</v>
      </c>
      <c r="C7579" t="s">
        <v>40</v>
      </c>
      <c r="D7579">
        <v>4.7703870000000004</v>
      </c>
      <c r="E7579">
        <v>0.46367589999999997</v>
      </c>
      <c r="F7579" t="s">
        <v>49</v>
      </c>
      <c r="G7579">
        <v>-197.34039999999999</v>
      </c>
      <c r="H7579">
        <v>3.5645500000000001</v>
      </c>
      <c r="I7579">
        <v>391.87</v>
      </c>
      <c r="J7579">
        <v>-188.12629999999999</v>
      </c>
      <c r="K7579">
        <v>1.1212519999999999</v>
      </c>
      <c r="L7579">
        <v>20.064910000000001</v>
      </c>
      <c r="M7579">
        <v>3.4354780000000001E-2</v>
      </c>
      <c r="N7579">
        <v>-1.0664369999999999E-2</v>
      </c>
      <c r="O7579">
        <v>0.99935280000000004</v>
      </c>
      <c r="P7579">
        <v>8.0585199999999996E-2</v>
      </c>
      <c r="Q7579">
        <v>0.19244310000000001</v>
      </c>
      <c r="R7579">
        <v>0.97799369999999997</v>
      </c>
      <c r="S7579">
        <v>-7.5866699999999995E-2</v>
      </c>
      <c r="T7579">
        <v>2.0144700000000001E-2</v>
      </c>
      <c r="U7579">
        <v>3.068451</v>
      </c>
      <c r="V7579">
        <v>4.6944930000000003E-2</v>
      </c>
      <c r="W7579">
        <v>0.20288339999999999</v>
      </c>
      <c r="X7579">
        <v>0.97807690000000003</v>
      </c>
      <c r="Y7579">
        <v>-5.9043900000000003E-2</v>
      </c>
      <c r="Z7579">
        <v>1.7220719999999998E-2</v>
      </c>
      <c r="AA7579">
        <v>0.99810679999999996</v>
      </c>
      <c r="AB7579">
        <v>34</v>
      </c>
      <c r="AC7579">
        <v>-9.2141000000000002</v>
      </c>
      <c r="AD7579">
        <v>2.443298</v>
      </c>
      <c r="AE7579">
        <v>371.80509000000001</v>
      </c>
      <c r="AF7579">
        <v>-21.981720112218401</v>
      </c>
      <c r="AG7579">
        <v>2.443298</v>
      </c>
      <c r="AH7579">
        <v>371.25299989664597</v>
      </c>
      <c r="AI7579">
        <v>89.623588472411598</v>
      </c>
      <c r="AJ7579">
        <v>93.388500794026996</v>
      </c>
      <c r="AK7579">
        <v>371.911220127153</v>
      </c>
      <c r="AL7579">
        <v>78.294376259108304</v>
      </c>
      <c r="AM7579">
        <v>87.252073199343897</v>
      </c>
      <c r="AN7579">
        <v>0.99999996138093605</v>
      </c>
    </row>
    <row r="7580" spans="1:40" x14ac:dyDescent="0.25">
      <c r="A7580" t="str">
        <f>"20190303170435682"</f>
        <v>20190303170435682</v>
      </c>
      <c r="B7580" t="str">
        <f>"1551603875672910"</f>
        <v>1551603875672910</v>
      </c>
      <c r="C7580" t="s">
        <v>40</v>
      </c>
      <c r="D7580">
        <v>4.7858609999999997</v>
      </c>
      <c r="E7580">
        <v>0.46378449999999999</v>
      </c>
      <c r="F7580" t="s">
        <v>49</v>
      </c>
      <c r="G7580">
        <v>-196.88050000000001</v>
      </c>
      <c r="H7580">
        <v>4.1043260000000004</v>
      </c>
      <c r="I7580">
        <v>391.87</v>
      </c>
      <c r="J7580">
        <v>-188.11429999999999</v>
      </c>
      <c r="K7580">
        <v>1.1212530000000001</v>
      </c>
      <c r="L7580">
        <v>20.414400000000001</v>
      </c>
      <c r="M7580">
        <v>3.4354500000000003E-2</v>
      </c>
      <c r="N7580">
        <v>-1.064478E-2</v>
      </c>
      <c r="O7580">
        <v>0.99935300000000005</v>
      </c>
      <c r="P7580">
        <v>8.1423819999999994E-2</v>
      </c>
      <c r="Q7580">
        <v>0.19350590000000001</v>
      </c>
      <c r="R7580">
        <v>0.97771450000000004</v>
      </c>
      <c r="S7580">
        <v>-7.2250369999999994E-2</v>
      </c>
      <c r="T7580">
        <v>2.4620059999999999E-2</v>
      </c>
      <c r="U7580">
        <v>3.0686040000000001</v>
      </c>
      <c r="V7580">
        <v>4.7792870000000001E-2</v>
      </c>
      <c r="W7580">
        <v>0.20392450000000001</v>
      </c>
      <c r="X7580">
        <v>0.97781929999999995</v>
      </c>
      <c r="Y7580">
        <v>-5.7866630000000002E-2</v>
      </c>
      <c r="Z7580">
        <v>1.8656300000000001E-2</v>
      </c>
      <c r="AA7580">
        <v>0.99814999999999998</v>
      </c>
      <c r="AB7580">
        <v>34</v>
      </c>
      <c r="AC7580">
        <v>-8.7662000000000209</v>
      </c>
      <c r="AD7580">
        <v>2.9830730000000001</v>
      </c>
      <c r="AE7580">
        <v>371.4556</v>
      </c>
      <c r="AF7580">
        <v>-21.521532301887099</v>
      </c>
      <c r="AG7580">
        <v>2.9830730000000001</v>
      </c>
      <c r="AH7580">
        <v>370.91122516411798</v>
      </c>
      <c r="AI7580">
        <v>89.539979315765393</v>
      </c>
      <c r="AJ7580">
        <v>93.320772870231806</v>
      </c>
      <c r="AK7580">
        <v>371.54705224223198</v>
      </c>
      <c r="AL7580">
        <v>78.233452114051104</v>
      </c>
      <c r="AM7580">
        <v>87.201781275247697</v>
      </c>
      <c r="AN7580">
        <v>0.99999997178778799</v>
      </c>
    </row>
    <row r="7581" spans="1:40" x14ac:dyDescent="0.25">
      <c r="A7581" t="str">
        <f>"20190303170435705"</f>
        <v>20190303170435705</v>
      </c>
      <c r="B7581" t="str">
        <f>"1551603875693406"</f>
        <v>1551603875693406</v>
      </c>
      <c r="C7581" t="s">
        <v>40</v>
      </c>
      <c r="D7581">
        <v>4.8049580000000001</v>
      </c>
      <c r="E7581">
        <v>0.46383229999999998</v>
      </c>
      <c r="F7581" t="s">
        <v>49</v>
      </c>
      <c r="G7581">
        <v>-196.48509999999999</v>
      </c>
      <c r="H7581">
        <v>4.466513</v>
      </c>
      <c r="I7581">
        <v>391.87</v>
      </c>
      <c r="J7581">
        <v>-188.1028</v>
      </c>
      <c r="K7581">
        <v>1.1212420000000001</v>
      </c>
      <c r="L7581">
        <v>20.749210000000001</v>
      </c>
      <c r="M7581">
        <v>3.435419E-2</v>
      </c>
      <c r="N7581">
        <v>-1.062334E-2</v>
      </c>
      <c r="O7581">
        <v>0.99935320000000005</v>
      </c>
      <c r="P7581">
        <v>8.2035029999999995E-2</v>
      </c>
      <c r="Q7581">
        <v>0.1934063</v>
      </c>
      <c r="R7581">
        <v>0.97768310000000003</v>
      </c>
      <c r="S7581">
        <v>-6.9152829999999998E-2</v>
      </c>
      <c r="T7581">
        <v>2.763581E-2</v>
      </c>
      <c r="U7581">
        <v>3.0686650000000002</v>
      </c>
      <c r="V7581">
        <v>4.8405049999999998E-2</v>
      </c>
      <c r="W7581">
        <v>0.2038036</v>
      </c>
      <c r="X7581">
        <v>0.97781439999999997</v>
      </c>
      <c r="Y7581">
        <v>-5.6858720000000001E-2</v>
      </c>
      <c r="Z7581">
        <v>1.9615560000000001E-2</v>
      </c>
      <c r="AA7581">
        <v>0.99818949999999995</v>
      </c>
      <c r="AB7581">
        <v>34</v>
      </c>
      <c r="AC7581">
        <v>-8.3822999999999794</v>
      </c>
      <c r="AD7581">
        <v>3.3452709999999999</v>
      </c>
      <c r="AE7581">
        <v>371.12079</v>
      </c>
      <c r="AF7581">
        <v>-21.125910262878001</v>
      </c>
      <c r="AG7581">
        <v>3.3452709999999999</v>
      </c>
      <c r="AH7581">
        <v>370.58362172266402</v>
      </c>
      <c r="AI7581">
        <v>89.4836413995247</v>
      </c>
      <c r="AJ7581">
        <v>93.262736822109702</v>
      </c>
      <c r="AK7581">
        <v>371.20037124386801</v>
      </c>
      <c r="AL7581">
        <v>78.240527848918902</v>
      </c>
      <c r="AM7581">
        <v>87.165982710274804</v>
      </c>
      <c r="AN7581">
        <v>0.99999997854291101</v>
      </c>
    </row>
    <row r="7582" spans="1:40" x14ac:dyDescent="0.25">
      <c r="A7582" t="str">
        <f>"20190303170435725"</f>
        <v>20190303170435725</v>
      </c>
      <c r="B7582" t="str">
        <f>"1551603875712926"</f>
        <v>1551603875712926</v>
      </c>
      <c r="C7582" t="s">
        <v>40</v>
      </c>
      <c r="D7582">
        <v>4.7514710000000004</v>
      </c>
      <c r="E7582">
        <v>0.46382709999999999</v>
      </c>
      <c r="F7582" t="s">
        <v>49</v>
      </c>
      <c r="G7582">
        <v>-196.26259999999999</v>
      </c>
      <c r="H7582">
        <v>4.3517489999999999</v>
      </c>
      <c r="I7582">
        <v>391.87</v>
      </c>
      <c r="J7582">
        <v>-188.09190000000001</v>
      </c>
      <c r="K7582">
        <v>1.1212409999999999</v>
      </c>
      <c r="L7582">
        <v>21.066040000000001</v>
      </c>
      <c r="M7582">
        <v>3.4353889999999998E-2</v>
      </c>
      <c r="N7582">
        <v>-1.0601360000000001E-2</v>
      </c>
      <c r="O7582">
        <v>0.99935350000000001</v>
      </c>
      <c r="P7582">
        <v>8.2364380000000001E-2</v>
      </c>
      <c r="Q7582">
        <v>0.1932268</v>
      </c>
      <c r="R7582">
        <v>0.97769090000000003</v>
      </c>
      <c r="S7582">
        <v>-6.7474370000000006E-2</v>
      </c>
      <c r="T7582">
        <v>2.6713489999999999E-2</v>
      </c>
      <c r="U7582">
        <v>3.068848</v>
      </c>
      <c r="V7582">
        <v>4.873417E-2</v>
      </c>
      <c r="W7582">
        <v>0.2036029</v>
      </c>
      <c r="X7582">
        <v>0.97783989999999998</v>
      </c>
      <c r="Y7582">
        <v>-5.6311449999999999E-2</v>
      </c>
      <c r="Z7582">
        <v>1.9293210000000002E-2</v>
      </c>
      <c r="AA7582">
        <v>0.99822679999999997</v>
      </c>
      <c r="AB7582">
        <v>34</v>
      </c>
      <c r="AC7582">
        <v>-8.1706999999999805</v>
      </c>
      <c r="AD7582">
        <v>3.2305079999999999</v>
      </c>
      <c r="AE7582">
        <v>370.80396000000002</v>
      </c>
      <c r="AF7582">
        <v>-20.903565066370401</v>
      </c>
      <c r="AG7582">
        <v>3.2305079999999999</v>
      </c>
      <c r="AH7582">
        <v>370.27625912120999</v>
      </c>
      <c r="AI7582">
        <v>89.500925198019104</v>
      </c>
      <c r="AJ7582">
        <v>93.231144560396899</v>
      </c>
      <c r="AK7582">
        <v>370.87990412425899</v>
      </c>
      <c r="AL7582">
        <v>78.252273820425302</v>
      </c>
      <c r="AM7582">
        <v>87.146819421548997</v>
      </c>
      <c r="AN7582">
        <v>1.000000015123</v>
      </c>
    </row>
    <row r="7583" spans="1:40" x14ac:dyDescent="0.25">
      <c r="A7583" t="str">
        <f>"20190303170435748"</f>
        <v>20190303170435748</v>
      </c>
      <c r="B7583" t="str">
        <f>"1551603875743182"</f>
        <v>1551603875743182</v>
      </c>
      <c r="C7583" t="s">
        <v>40</v>
      </c>
      <c r="D7583">
        <v>4.9006439999999998</v>
      </c>
      <c r="E7583">
        <v>0.47820879999999999</v>
      </c>
      <c r="F7583" t="s">
        <v>49</v>
      </c>
      <c r="G7583">
        <v>-196.08600000000001</v>
      </c>
      <c r="H7583">
        <v>4.228656</v>
      </c>
      <c r="I7583">
        <v>391.87</v>
      </c>
      <c r="J7583">
        <v>-188.08</v>
      </c>
      <c r="K7583">
        <v>1.121238</v>
      </c>
      <c r="L7583">
        <v>21.411899999999999</v>
      </c>
      <c r="M7583">
        <v>3.4353519999999999E-2</v>
      </c>
      <c r="N7583">
        <v>-1.0572140000000001E-2</v>
      </c>
      <c r="O7583">
        <v>0.99935379999999996</v>
      </c>
      <c r="P7583">
        <v>8.28763E-2</v>
      </c>
      <c r="Q7583">
        <v>0.19453609999999999</v>
      </c>
      <c r="R7583">
        <v>0.97738800000000003</v>
      </c>
      <c r="S7583">
        <v>-6.6162109999999996E-2</v>
      </c>
      <c r="T7583">
        <v>2.5718330000000001E-2</v>
      </c>
      <c r="U7583">
        <v>3.0689389999999999</v>
      </c>
      <c r="V7583">
        <v>4.9256550000000003E-2</v>
      </c>
      <c r="W7583">
        <v>0.20488049999999999</v>
      </c>
      <c r="X7583">
        <v>0.97754680000000005</v>
      </c>
      <c r="Y7583">
        <v>-5.5883849999999999E-2</v>
      </c>
      <c r="Z7583">
        <v>1.8940189999999999E-2</v>
      </c>
      <c r="AA7583">
        <v>0.99825759999999997</v>
      </c>
      <c r="AB7583">
        <v>34</v>
      </c>
      <c r="AC7583">
        <v>-8.00599999999997</v>
      </c>
      <c r="AD7583">
        <v>3.107418</v>
      </c>
      <c r="AE7583">
        <v>370.4581</v>
      </c>
      <c r="AF7583">
        <v>-20.727067554731899</v>
      </c>
      <c r="AG7583">
        <v>3.107418</v>
      </c>
      <c r="AH7583">
        <v>369.93834419531601</v>
      </c>
      <c r="AI7583">
        <v>89.519490275404607</v>
      </c>
      <c r="AJ7583">
        <v>93.206840207915107</v>
      </c>
      <c r="AK7583">
        <v>370.531572044835</v>
      </c>
      <c r="AL7583">
        <v>78.177496115569895</v>
      </c>
      <c r="AM7583">
        <v>87.115424449377997</v>
      </c>
      <c r="AN7583">
        <v>0.99999998659419598</v>
      </c>
    </row>
    <row r="7584" spans="1:40" x14ac:dyDescent="0.25">
      <c r="A7584" t="str">
        <f>"20190303170435772"</f>
        <v>20190303170435772</v>
      </c>
      <c r="B7584" t="str">
        <f>"1551603875762702"</f>
        <v>1551603875762702</v>
      </c>
      <c r="C7584" t="s">
        <v>40</v>
      </c>
      <c r="D7584">
        <v>4.8942519999999998</v>
      </c>
      <c r="E7584">
        <v>0.47935559999999999</v>
      </c>
      <c r="F7584" t="s">
        <v>49</v>
      </c>
      <c r="G7584">
        <v>-182.09229999999999</v>
      </c>
      <c r="H7584">
        <v>1.0655269999999999</v>
      </c>
      <c r="I7584">
        <v>391.87</v>
      </c>
      <c r="J7584">
        <v>-188.0675</v>
      </c>
      <c r="K7584">
        <v>1.121243</v>
      </c>
      <c r="L7584">
        <v>21.77664</v>
      </c>
      <c r="M7584">
        <v>3.4353139999999997E-2</v>
      </c>
      <c r="N7584">
        <v>-1.053835E-2</v>
      </c>
      <c r="O7584">
        <v>0.99935419999999997</v>
      </c>
      <c r="P7584">
        <v>8.3421739999999994E-2</v>
      </c>
      <c r="Q7584">
        <v>0.19596820000000001</v>
      </c>
      <c r="R7584">
        <v>0.97705540000000002</v>
      </c>
      <c r="S7584">
        <v>4.9545289999999999E-2</v>
      </c>
      <c r="T7584">
        <v>-4.6098230000000002E-4</v>
      </c>
      <c r="U7584">
        <v>3.0653079999999999</v>
      </c>
      <c r="V7584">
        <v>4.9813509999999998E-2</v>
      </c>
      <c r="W7584">
        <v>0.20627619999999999</v>
      </c>
      <c r="X7584">
        <v>0.97722500000000001</v>
      </c>
      <c r="Y7584">
        <v>-1.8198829999999999E-2</v>
      </c>
      <c r="Z7584">
        <v>1.0385200000000001E-2</v>
      </c>
      <c r="AA7584">
        <v>0.99978049999999996</v>
      </c>
      <c r="AB7584">
        <v>34</v>
      </c>
      <c r="AC7584">
        <v>5.9752000000000001</v>
      </c>
      <c r="AD7584">
        <v>-5.57159999999998E-2</v>
      </c>
      <c r="AE7584">
        <v>370.09336000000002</v>
      </c>
      <c r="AF7584">
        <v>-6.7429020327467404</v>
      </c>
      <c r="AG7584">
        <v>-5.57159999999998E-2</v>
      </c>
      <c r="AH7584">
        <v>370.08016049872299</v>
      </c>
      <c r="AI7584">
        <v>90.008624514965405</v>
      </c>
      <c r="AJ7584">
        <v>91.043820032777404</v>
      </c>
      <c r="AK7584">
        <v>370.14158781047098</v>
      </c>
      <c r="AL7584">
        <v>78.095782952966701</v>
      </c>
      <c r="AM7584">
        <v>87.081904676054904</v>
      </c>
      <c r="AN7584">
        <v>0.99999997854497902</v>
      </c>
    </row>
    <row r="7585" spans="1:40" x14ac:dyDescent="0.25">
      <c r="A7585" t="str">
        <f>"20190303170435803"</f>
        <v>20190303170435803</v>
      </c>
      <c r="B7585" t="str">
        <f>"1551603875792958"</f>
        <v>1551603875792958</v>
      </c>
      <c r="C7585" t="s">
        <v>40</v>
      </c>
      <c r="D7585">
        <v>4.8327080000000002</v>
      </c>
      <c r="E7585">
        <v>0.47995640000000001</v>
      </c>
      <c r="F7585" t="s">
        <v>49</v>
      </c>
      <c r="G7585">
        <v>-180.75970000000001</v>
      </c>
      <c r="H7585">
        <v>1.90395</v>
      </c>
      <c r="I7585">
        <v>391.87</v>
      </c>
      <c r="J7585">
        <v>-188.05090000000001</v>
      </c>
      <c r="K7585">
        <v>1.1212390000000001</v>
      </c>
      <c r="L7585">
        <v>22.258610000000001</v>
      </c>
      <c r="M7585">
        <v>3.435266E-2</v>
      </c>
      <c r="N7585">
        <v>-1.0495600000000001E-2</v>
      </c>
      <c r="O7585">
        <v>0.99935469999999904</v>
      </c>
      <c r="P7585">
        <v>8.4182149999999997E-2</v>
      </c>
      <c r="Q7585">
        <v>0.19629640000000001</v>
      </c>
      <c r="R7585">
        <v>0.97692429999999997</v>
      </c>
      <c r="S7585">
        <v>6.0501100000000002E-2</v>
      </c>
      <c r="T7585">
        <v>6.4799790000000003E-3</v>
      </c>
      <c r="U7585">
        <v>3.0639949999999998</v>
      </c>
      <c r="V7585">
        <v>5.0578400000000003E-2</v>
      </c>
      <c r="W7585">
        <v>0.20656169999999999</v>
      </c>
      <c r="X7585">
        <v>0.97712540000000003</v>
      </c>
      <c r="Y7585">
        <v>-1.461847E-2</v>
      </c>
      <c r="Z7585">
        <v>1.2604580000000001E-2</v>
      </c>
      <c r="AA7585">
        <v>0.99981370000000003</v>
      </c>
      <c r="AB7585">
        <v>34</v>
      </c>
      <c r="AC7585">
        <v>7.2911999999999999</v>
      </c>
      <c r="AD7585">
        <v>0.78271100000000005</v>
      </c>
      <c r="AE7585">
        <v>369.61138999999997</v>
      </c>
      <c r="AF7585">
        <v>-5.4109129901480397</v>
      </c>
      <c r="AG7585">
        <v>0.78271100000000005</v>
      </c>
      <c r="AH7585">
        <v>369.64204031874499</v>
      </c>
      <c r="AI7585">
        <v>89.878690297674893</v>
      </c>
      <c r="AJ7585">
        <v>90.838650107333393</v>
      </c>
      <c r="AK7585">
        <v>369.68246994806401</v>
      </c>
      <c r="AL7585">
        <v>78.0790649680618</v>
      </c>
      <c r="AM7585">
        <v>87.036874880022296</v>
      </c>
      <c r="AN7585">
        <v>0.99999997888930403</v>
      </c>
    </row>
    <row r="7586" spans="1:40" x14ac:dyDescent="0.25">
      <c r="A7586" t="str">
        <f>"20190303170435826"</f>
        <v>20190303170435826</v>
      </c>
      <c r="B7586" t="str">
        <f>"1551603875813455"</f>
        <v>1551603875813455</v>
      </c>
      <c r="C7586" t="s">
        <v>40</v>
      </c>
      <c r="D7586">
        <v>4.8326909999999996</v>
      </c>
      <c r="E7586">
        <v>0.48021000000000003</v>
      </c>
      <c r="F7586" t="s">
        <v>49</v>
      </c>
      <c r="G7586">
        <v>-179.93049999999999</v>
      </c>
      <c r="H7586">
        <v>2.056368</v>
      </c>
      <c r="I7586">
        <v>391.87</v>
      </c>
      <c r="J7586">
        <v>-188.03899999999999</v>
      </c>
      <c r="K7586">
        <v>1.1212279999999999</v>
      </c>
      <c r="L7586">
        <v>22.605219999999999</v>
      </c>
      <c r="M7586">
        <v>3.4352300000000002E-2</v>
      </c>
      <c r="N7586">
        <v>-1.046235E-2</v>
      </c>
      <c r="O7586">
        <v>0.99935499999999999</v>
      </c>
      <c r="P7586">
        <v>8.4466959999999994E-2</v>
      </c>
      <c r="Q7586">
        <v>0.1955075</v>
      </c>
      <c r="R7586">
        <v>0.97705790000000003</v>
      </c>
      <c r="S7586">
        <v>6.7306519999999995E-2</v>
      </c>
      <c r="T7586">
        <v>7.7507499999999998E-3</v>
      </c>
      <c r="U7586">
        <v>3.063507</v>
      </c>
      <c r="V7586">
        <v>5.0858809999999997E-2</v>
      </c>
      <c r="W7586">
        <v>0.20574149999999999</v>
      </c>
      <c r="X7586">
        <v>0.97728389999999998</v>
      </c>
      <c r="Y7586">
        <v>-1.2395079999999999E-2</v>
      </c>
      <c r="Z7586">
        <v>1.298561E-2</v>
      </c>
      <c r="AA7586">
        <v>0.99983880000000003</v>
      </c>
      <c r="AB7586">
        <v>34</v>
      </c>
      <c r="AC7586">
        <v>8.10850000000001</v>
      </c>
      <c r="AD7586">
        <v>0.93513999999999997</v>
      </c>
      <c r="AE7586">
        <v>369.26477999999997</v>
      </c>
      <c r="AF7586">
        <v>-4.5820459963165598</v>
      </c>
      <c r="AG7586">
        <v>0.93513999999999997</v>
      </c>
      <c r="AH7586">
        <v>369.32300418246803</v>
      </c>
      <c r="AI7586">
        <v>89.854936364491493</v>
      </c>
      <c r="AJ7586">
        <v>90.710809847784702</v>
      </c>
      <c r="AK7586">
        <v>369.35261072678901</v>
      </c>
      <c r="AL7586">
        <v>78.127090837361905</v>
      </c>
      <c r="AM7586">
        <v>87.020958998394804</v>
      </c>
      <c r="AN7586">
        <v>1.00000000228803</v>
      </c>
    </row>
    <row r="7587" spans="1:40" x14ac:dyDescent="0.25">
      <c r="A7587" t="str">
        <f>"20190303170435848"</f>
        <v>20190303170435848</v>
      </c>
      <c r="B7587" t="str">
        <f>"1551603875842734"</f>
        <v>1551603875842734</v>
      </c>
      <c r="C7587" t="s">
        <v>40</v>
      </c>
      <c r="D7587">
        <v>4.833342</v>
      </c>
      <c r="E7587">
        <v>0.48017749999999998</v>
      </c>
      <c r="F7587" t="s">
        <v>45</v>
      </c>
      <c r="G7587">
        <v>-179.8227</v>
      </c>
      <c r="H7587">
        <v>1.7019519999999999</v>
      </c>
      <c r="I7587">
        <v>380.41269999999997</v>
      </c>
      <c r="J7587">
        <v>-188.0273</v>
      </c>
      <c r="K7587">
        <v>1.1212249999999999</v>
      </c>
      <c r="L7587">
        <v>22.944310000000002</v>
      </c>
      <c r="M7587">
        <v>3.4351920000000001E-2</v>
      </c>
      <c r="N7587">
        <v>-1.0431370000000001E-2</v>
      </c>
      <c r="O7587">
        <v>0.9993554</v>
      </c>
      <c r="P7587">
        <v>8.4186839999999999E-2</v>
      </c>
      <c r="Q7587">
        <v>0.1959012</v>
      </c>
      <c r="R7587">
        <v>0.97700319999999996</v>
      </c>
      <c r="S7587">
        <v>7.0343020000000006E-2</v>
      </c>
      <c r="T7587">
        <v>4.9729350000000004E-3</v>
      </c>
      <c r="U7587">
        <v>3.0633539999999999</v>
      </c>
      <c r="V7587">
        <v>5.0581109999999999E-2</v>
      </c>
      <c r="W7587">
        <v>0.2061045</v>
      </c>
      <c r="X7587">
        <v>0.97722180000000003</v>
      </c>
      <c r="Y7587">
        <v>-1.140274E-2</v>
      </c>
      <c r="Z7587">
        <v>1.204881E-2</v>
      </c>
      <c r="AA7587">
        <v>0.99986240000000004</v>
      </c>
      <c r="AB7587">
        <v>34</v>
      </c>
      <c r="AC7587">
        <v>8.2045999999999992</v>
      </c>
      <c r="AD7587">
        <v>0.58072699999999999</v>
      </c>
      <c r="AE7587">
        <v>357.46839</v>
      </c>
      <c r="AF7587">
        <v>-4.0806253071211902</v>
      </c>
      <c r="AG7587">
        <v>0.58072699999999999</v>
      </c>
      <c r="AH7587">
        <v>357.53830469255502</v>
      </c>
      <c r="AI7587">
        <v>89.906944208214298</v>
      </c>
      <c r="AJ7587">
        <v>90.653894852532403</v>
      </c>
      <c r="AK7587">
        <v>357.56206184265699</v>
      </c>
      <c r="AL7587">
        <v>78.1058366914841</v>
      </c>
      <c r="AM7587">
        <v>87.037008196310097</v>
      </c>
      <c r="AN7587">
        <v>0.99999998000216095</v>
      </c>
    </row>
    <row r="7588" spans="1:40" x14ac:dyDescent="0.25">
      <c r="A7588" t="str">
        <f>"20190303170435872"</f>
        <v>20190303170435872</v>
      </c>
      <c r="B7588" t="str">
        <f>"1551603875863230"</f>
        <v>1551603875863230</v>
      </c>
      <c r="C7588" t="s">
        <v>40</v>
      </c>
      <c r="D7588">
        <v>4.8283860000000001</v>
      </c>
      <c r="E7588">
        <v>0.48024739999999999</v>
      </c>
      <c r="F7588" t="s">
        <v>45</v>
      </c>
      <c r="G7588">
        <v>-179.89160000000001</v>
      </c>
      <c r="H7588">
        <v>1.76322599999999</v>
      </c>
      <c r="I7588">
        <v>380.36630000000002</v>
      </c>
      <c r="J7588">
        <v>-188.0145</v>
      </c>
      <c r="K7588">
        <v>1.1212260000000001</v>
      </c>
      <c r="L7588">
        <v>23.31897</v>
      </c>
      <c r="M7588">
        <v>3.43515E-2</v>
      </c>
      <c r="N7588">
        <v>-1.0400609999999999E-2</v>
      </c>
      <c r="O7588">
        <v>0.99935569999999896</v>
      </c>
      <c r="P7588">
        <v>8.3888580000000004E-2</v>
      </c>
      <c r="Q7588">
        <v>0.19707250000000001</v>
      </c>
      <c r="R7588">
        <v>0.97679329999999998</v>
      </c>
      <c r="S7588">
        <v>6.9732669999999997E-2</v>
      </c>
      <c r="T7588">
        <v>5.5037740000000003E-3</v>
      </c>
      <c r="U7588">
        <v>3.063507</v>
      </c>
      <c r="V7588">
        <v>5.0290710000000002E-2</v>
      </c>
      <c r="W7588">
        <v>0.20724329999999999</v>
      </c>
      <c r="X7588">
        <v>0.97699590000000003</v>
      </c>
      <c r="Y7588">
        <v>-1.1602599999999999E-2</v>
      </c>
      <c r="Z7588">
        <v>1.21911E-2</v>
      </c>
      <c r="AA7588">
        <v>0.99985840000000004</v>
      </c>
      <c r="AB7588">
        <v>34</v>
      </c>
      <c r="AC7588">
        <v>8.12289999999998</v>
      </c>
      <c r="AD7588">
        <v>0.64199999999999902</v>
      </c>
      <c r="AE7588">
        <v>357.04732999999999</v>
      </c>
      <c r="AF7588">
        <v>-4.1476558487555399</v>
      </c>
      <c r="AG7588">
        <v>0.64199999999999902</v>
      </c>
      <c r="AH7588">
        <v>357.11447743194998</v>
      </c>
      <c r="AI7588">
        <v>89.897003979247799</v>
      </c>
      <c r="AJ7588">
        <v>90.665423849758298</v>
      </c>
      <c r="AK7588">
        <v>357.13913983843099</v>
      </c>
      <c r="AL7588">
        <v>78.039148260212102</v>
      </c>
      <c r="AM7588">
        <v>87.053309517097901</v>
      </c>
      <c r="AN7588">
        <v>0.99999996476200104</v>
      </c>
    </row>
    <row r="7589" spans="1:40" x14ac:dyDescent="0.25">
      <c r="A7589" t="str">
        <f>"20190303170435895"</f>
        <v>20190303170435895</v>
      </c>
      <c r="B7589" t="str">
        <f>"1551603875882750"</f>
        <v>1551603875882750</v>
      </c>
      <c r="C7589" t="s">
        <v>40</v>
      </c>
      <c r="D7589">
        <v>4.8321100000000001</v>
      </c>
      <c r="E7589">
        <v>0.48029909999999998</v>
      </c>
      <c r="F7589" t="s">
        <v>45</v>
      </c>
      <c r="G7589">
        <v>-179.92859999999999</v>
      </c>
      <c r="H7589">
        <v>2.1152630000000001</v>
      </c>
      <c r="I7589">
        <v>380.3535</v>
      </c>
      <c r="J7589">
        <v>-188.0027</v>
      </c>
      <c r="K7589">
        <v>1.1212299999999999</v>
      </c>
      <c r="L7589">
        <v>23.661439999999999</v>
      </c>
      <c r="M7589">
        <v>3.4351119999999999E-2</v>
      </c>
      <c r="N7589">
        <v>-1.037543E-2</v>
      </c>
      <c r="O7589">
        <v>0.99935600000000002</v>
      </c>
      <c r="P7589">
        <v>8.422114E-2</v>
      </c>
      <c r="Q7589">
        <v>0.19801579999999999</v>
      </c>
      <c r="R7589">
        <v>0.97657389999999999</v>
      </c>
      <c r="S7589">
        <v>6.9381709999999999E-2</v>
      </c>
      <c r="T7589">
        <v>8.5306169999999903E-3</v>
      </c>
      <c r="U7589">
        <v>3.063599</v>
      </c>
      <c r="V7589">
        <v>5.0631019999999999E-2</v>
      </c>
      <c r="W7589">
        <v>0.20815990000000001</v>
      </c>
      <c r="X7589">
        <v>0.97678350000000003</v>
      </c>
      <c r="Y7589">
        <v>-1.1717699999999999E-2</v>
      </c>
      <c r="Z7589">
        <v>1.3152789999999999E-2</v>
      </c>
      <c r="AA7589">
        <v>0.99984479999999998</v>
      </c>
      <c r="AB7589">
        <v>34</v>
      </c>
      <c r="AC7589">
        <v>8.0741000000000103</v>
      </c>
      <c r="AD7589">
        <v>0.99403300000000006</v>
      </c>
      <c r="AE7589">
        <v>356.69206000000003</v>
      </c>
      <c r="AF7589">
        <v>-4.1840640791909998</v>
      </c>
      <c r="AG7589">
        <v>0.99403300000000006</v>
      </c>
      <c r="AH7589">
        <v>356.75612704680202</v>
      </c>
      <c r="AI7589">
        <v>89.840367614221407</v>
      </c>
      <c r="AJ7589">
        <v>90.671938627738598</v>
      </c>
      <c r="AK7589">
        <v>356.78204646430498</v>
      </c>
      <c r="AL7589">
        <v>77.985460860989207</v>
      </c>
      <c r="AM7589">
        <v>87.032761256451295</v>
      </c>
      <c r="AN7589">
        <v>1.0000000250132499</v>
      </c>
    </row>
    <row r="7590" spans="1:40" x14ac:dyDescent="0.25">
      <c r="A7590" t="str">
        <f>"20190303170435915"</f>
        <v>20190303170435915</v>
      </c>
      <c r="B7590" t="str">
        <f>"1551603875903245"</f>
        <v>1551603875903245</v>
      </c>
      <c r="C7590" t="s">
        <v>40</v>
      </c>
      <c r="D7590">
        <v>4.8913970000000004</v>
      </c>
      <c r="E7590">
        <v>0.4803036</v>
      </c>
      <c r="F7590" t="s">
        <v>49</v>
      </c>
      <c r="G7590">
        <v>-179.50210000000001</v>
      </c>
      <c r="H7590">
        <v>2.5432260000000002</v>
      </c>
      <c r="I7590">
        <v>391.87</v>
      </c>
      <c r="J7590">
        <v>-187.99199999999999</v>
      </c>
      <c r="K7590">
        <v>1.1212230000000001</v>
      </c>
      <c r="L7590">
        <v>23.974270000000001</v>
      </c>
      <c r="M7590">
        <v>3.4350760000000001E-2</v>
      </c>
      <c r="N7590">
        <v>-1.035489E-2</v>
      </c>
      <c r="O7590">
        <v>0.99935620000000003</v>
      </c>
      <c r="P7590">
        <v>8.3827620000000005E-2</v>
      </c>
      <c r="Q7590">
        <v>0.19796169999999999</v>
      </c>
      <c r="R7590">
        <v>0.97661869999999995</v>
      </c>
      <c r="S7590">
        <v>7.0724490000000001E-2</v>
      </c>
      <c r="T7590">
        <v>1.183093E-2</v>
      </c>
      <c r="U7590">
        <v>3.0634769999999998</v>
      </c>
      <c r="V7590">
        <v>5.023656E-2</v>
      </c>
      <c r="W7590">
        <v>0.20808570000000001</v>
      </c>
      <c r="X7590">
        <v>0.97681960000000001</v>
      </c>
      <c r="Y7590">
        <v>-1.127883E-2</v>
      </c>
      <c r="Z7590">
        <v>1.420835E-2</v>
      </c>
      <c r="AA7590">
        <v>0.99983540000000004</v>
      </c>
      <c r="AB7590">
        <v>34</v>
      </c>
      <c r="AC7590">
        <v>8.4899000000000004</v>
      </c>
      <c r="AD7590">
        <v>1.4220029999999999</v>
      </c>
      <c r="AE7590">
        <v>367.89572999999899</v>
      </c>
      <c r="AF7590">
        <v>-4.1532243521594099</v>
      </c>
      <c r="AG7590">
        <v>1.4220029999999999</v>
      </c>
      <c r="AH7590">
        <v>367.96474448952199</v>
      </c>
      <c r="AI7590">
        <v>89.778595159595397</v>
      </c>
      <c r="AJ7590">
        <v>90.646670981066507</v>
      </c>
      <c r="AK7590">
        <v>367.99092998644801</v>
      </c>
      <c r="AL7590">
        <v>77.989806479314794</v>
      </c>
      <c r="AM7590">
        <v>87.055946429353597</v>
      </c>
      <c r="AN7590">
        <v>0.99999995072463999</v>
      </c>
    </row>
    <row r="7591" spans="1:40" x14ac:dyDescent="0.25">
      <c r="A7591" t="str">
        <f>"20190303170435939"</f>
        <v>20190303170435939</v>
      </c>
      <c r="B7591" t="str">
        <f>"1551603875933502"</f>
        <v>1551603875933502</v>
      </c>
      <c r="C7591" t="s">
        <v>40</v>
      </c>
      <c r="D7591">
        <v>4.7748169999999996</v>
      </c>
      <c r="E7591">
        <v>0.48027049999999999</v>
      </c>
      <c r="F7591" t="s">
        <v>45</v>
      </c>
      <c r="G7591">
        <v>-179.9049</v>
      </c>
      <c r="H7591">
        <v>2.4002129999999999</v>
      </c>
      <c r="I7591">
        <v>380.36160000000001</v>
      </c>
      <c r="J7591">
        <v>-187.97989999999999</v>
      </c>
      <c r="K7591">
        <v>1.1212249999999999</v>
      </c>
      <c r="L7591">
        <v>24.324950000000001</v>
      </c>
      <c r="M7591">
        <v>3.4350369999999998E-2</v>
      </c>
      <c r="N7591">
        <v>-1.0334690000000001E-2</v>
      </c>
      <c r="O7591">
        <v>0.99935640000000003</v>
      </c>
      <c r="P7591">
        <v>8.3251399999999906E-2</v>
      </c>
      <c r="Q7591">
        <v>0.19836699999999999</v>
      </c>
      <c r="R7591">
        <v>0.9765857</v>
      </c>
      <c r="S7591">
        <v>6.9519040000000004E-2</v>
      </c>
      <c r="T7591">
        <v>1.099575E-2</v>
      </c>
      <c r="U7591">
        <v>3.0636290000000002</v>
      </c>
      <c r="V7591">
        <v>4.9662190000000002E-2</v>
      </c>
      <c r="W7591">
        <v>0.20847099999999999</v>
      </c>
      <c r="X7591">
        <v>0.97676689999999999</v>
      </c>
      <c r="Y7591">
        <v>-1.167266E-2</v>
      </c>
      <c r="Z7591">
        <v>1.3915739999999999E-2</v>
      </c>
      <c r="AA7591">
        <v>0.99983500000000003</v>
      </c>
      <c r="AB7591">
        <v>34</v>
      </c>
      <c r="AC7591">
        <v>8.0749999999999797</v>
      </c>
      <c r="AD7591">
        <v>1.278988</v>
      </c>
      <c r="AE7591">
        <v>356.03665000000001</v>
      </c>
      <c r="AF7591">
        <v>-4.1603563216405099</v>
      </c>
      <c r="AG7591">
        <v>1.278988</v>
      </c>
      <c r="AH7591">
        <v>356.09931430176198</v>
      </c>
      <c r="AI7591">
        <v>89.794227914139896</v>
      </c>
      <c r="AJ7591">
        <v>90.669363866449402</v>
      </c>
      <c r="AK7591">
        <v>356.12591315602498</v>
      </c>
      <c r="AL7591">
        <v>77.967236438061605</v>
      </c>
      <c r="AM7591">
        <v>87.089391730867007</v>
      </c>
      <c r="AN7591">
        <v>1.0000000339460999</v>
      </c>
    </row>
    <row r="7592" spans="1:40" x14ac:dyDescent="0.25">
      <c r="A7592" t="str">
        <f>"20190303170435960"</f>
        <v>20190303170435960</v>
      </c>
      <c r="B7592" t="str">
        <f>"1551603875953022"</f>
        <v>1551603875953022</v>
      </c>
      <c r="C7592" t="s">
        <v>40</v>
      </c>
      <c r="D7592">
        <v>4.7682370000000001</v>
      </c>
      <c r="E7592">
        <v>0.48037360000000001</v>
      </c>
      <c r="F7592" t="s">
        <v>49</v>
      </c>
      <c r="G7592">
        <v>-179.8965</v>
      </c>
      <c r="H7592">
        <v>2.5228839999999999</v>
      </c>
      <c r="I7592">
        <v>391.87</v>
      </c>
      <c r="J7592">
        <v>-187.96780000000001</v>
      </c>
      <c r="K7592">
        <v>1.1212310000000001</v>
      </c>
      <c r="L7592">
        <v>24.678100000000001</v>
      </c>
      <c r="M7592">
        <v>3.4349989999999997E-2</v>
      </c>
      <c r="N7592">
        <v>-1.031704E-2</v>
      </c>
      <c r="O7592">
        <v>0.99935660000000004</v>
      </c>
      <c r="P7592">
        <v>8.2653080000000004E-2</v>
      </c>
      <c r="Q7592">
        <v>0.2001559</v>
      </c>
      <c r="R7592">
        <v>0.97627149999999996</v>
      </c>
      <c r="S7592">
        <v>6.7382810000000001E-2</v>
      </c>
      <c r="T7592">
        <v>1.168406E-2</v>
      </c>
      <c r="U7592">
        <v>3.063812</v>
      </c>
      <c r="V7592">
        <v>4.9075479999999998E-2</v>
      </c>
      <c r="W7592">
        <v>0.21023910000000001</v>
      </c>
      <c r="X7592">
        <v>0.97641750000000005</v>
      </c>
      <c r="Y7592">
        <v>-1.237047E-2</v>
      </c>
      <c r="Z7592">
        <v>1.412243E-2</v>
      </c>
      <c r="AA7592">
        <v>0.99982369999999998</v>
      </c>
      <c r="AB7592">
        <v>34</v>
      </c>
      <c r="AC7592">
        <v>8.0713000000000008</v>
      </c>
      <c r="AD7592">
        <v>1.401653</v>
      </c>
      <c r="AE7592">
        <v>367.19189999999998</v>
      </c>
      <c r="AF7592">
        <v>-4.5471070048431104</v>
      </c>
      <c r="AG7592">
        <v>1.401653</v>
      </c>
      <c r="AH7592">
        <v>367.24709930884302</v>
      </c>
      <c r="AI7592">
        <v>89.781339984946399</v>
      </c>
      <c r="AJ7592">
        <v>90.709377224900393</v>
      </c>
      <c r="AK7592">
        <v>367.27792305555897</v>
      </c>
      <c r="AL7592">
        <v>77.863635620849394</v>
      </c>
      <c r="AM7592">
        <v>87.122692107928501</v>
      </c>
      <c r="AN7592">
        <v>1.00000000810614</v>
      </c>
    </row>
    <row r="7593" spans="1:40" x14ac:dyDescent="0.25">
      <c r="A7593" t="str">
        <f>"20190303170435983"</f>
        <v>20190303170435983</v>
      </c>
      <c r="B7593" t="str">
        <f>"1551603875973518"</f>
        <v>1551603875973518</v>
      </c>
      <c r="C7593" t="s">
        <v>40</v>
      </c>
      <c r="D7593">
        <v>4.7634119999999998</v>
      </c>
      <c r="E7593">
        <v>0.48039189999999998</v>
      </c>
      <c r="F7593" t="s">
        <v>49</v>
      </c>
      <c r="G7593">
        <v>-179.94669999999999</v>
      </c>
      <c r="H7593">
        <v>3.1843620000000001</v>
      </c>
      <c r="I7593">
        <v>391.87</v>
      </c>
      <c r="J7593">
        <v>-187.95599999999999</v>
      </c>
      <c r="K7593">
        <v>1.1212439999999999</v>
      </c>
      <c r="L7593">
        <v>25.02176</v>
      </c>
      <c r="M7593">
        <v>3.4349619999999997E-2</v>
      </c>
      <c r="N7593">
        <v>-1.0302159999999999E-2</v>
      </c>
      <c r="O7593">
        <v>0.99935680000000005</v>
      </c>
      <c r="P7593">
        <v>8.2440719999999995E-2</v>
      </c>
      <c r="Q7593">
        <v>0.20286489999999999</v>
      </c>
      <c r="R7593">
        <v>0.97573019999999999</v>
      </c>
      <c r="S7593">
        <v>6.692505E-2</v>
      </c>
      <c r="T7593">
        <v>1.721406E-2</v>
      </c>
      <c r="U7593">
        <v>3.0637210000000001</v>
      </c>
      <c r="V7593">
        <v>4.888232E-2</v>
      </c>
      <c r="W7593">
        <v>0.2129277</v>
      </c>
      <c r="X7593">
        <v>0.97584439999999995</v>
      </c>
      <c r="Y7593">
        <v>-1.251944E-2</v>
      </c>
      <c r="Z7593">
        <v>1.5910560000000001E-2</v>
      </c>
      <c r="AA7593">
        <v>0.99979499999999999</v>
      </c>
      <c r="AB7593">
        <v>34</v>
      </c>
      <c r="AC7593">
        <v>8.0092999999999908</v>
      </c>
      <c r="AD7593">
        <v>2.0631179999999998</v>
      </c>
      <c r="AE7593">
        <v>366.84823999999998</v>
      </c>
      <c r="AF7593">
        <v>-4.59704776043918</v>
      </c>
      <c r="AG7593">
        <v>2.0631179999999998</v>
      </c>
      <c r="AH7593">
        <v>366.895263966946</v>
      </c>
      <c r="AI7593">
        <v>89.6778442177785</v>
      </c>
      <c r="AJ7593">
        <v>90.717855144849295</v>
      </c>
      <c r="AK7593">
        <v>366.92986254237798</v>
      </c>
      <c r="AL7593">
        <v>77.706021519136897</v>
      </c>
      <c r="AM7593">
        <v>87.132317854416002</v>
      </c>
      <c r="AN7593">
        <v>0.99999998982361604</v>
      </c>
    </row>
    <row r="7594" spans="1:40" x14ac:dyDescent="0.25">
      <c r="A7594" t="str">
        <f>"20190303170436004"</f>
        <v>20190303170436004</v>
      </c>
      <c r="B7594" t="str">
        <f>"1551603875993038"</f>
        <v>1551603875993038</v>
      </c>
      <c r="C7594" t="s">
        <v>40</v>
      </c>
      <c r="D7594">
        <v>4.8909159999999998</v>
      </c>
      <c r="E7594">
        <v>0.48217199999999999</v>
      </c>
      <c r="F7594" t="s">
        <v>49</v>
      </c>
      <c r="G7594">
        <v>-180.01900000000001</v>
      </c>
      <c r="H7594">
        <v>4.2176210000000003</v>
      </c>
      <c r="I7594">
        <v>391.87</v>
      </c>
      <c r="J7594">
        <v>-187.94470000000001</v>
      </c>
      <c r="K7594">
        <v>1.1212439999999999</v>
      </c>
      <c r="L7594">
        <v>25.349730000000001</v>
      </c>
      <c r="M7594">
        <v>3.4349280000000003E-2</v>
      </c>
      <c r="N7594">
        <v>-1.028986E-2</v>
      </c>
      <c r="O7594">
        <v>0.99935689999999999</v>
      </c>
      <c r="P7594">
        <v>8.2223870000000004E-2</v>
      </c>
      <c r="Q7594">
        <v>0.20490240000000001</v>
      </c>
      <c r="R7594">
        <v>0.97532269999999999</v>
      </c>
      <c r="S7594">
        <v>6.6284179999999998E-2</v>
      </c>
      <c r="T7594">
        <v>2.5858760000000001E-2</v>
      </c>
      <c r="U7594">
        <v>3.06366</v>
      </c>
      <c r="V7594">
        <v>4.8680000000000001E-2</v>
      </c>
      <c r="W7594">
        <v>0.2149488</v>
      </c>
      <c r="X7594">
        <v>0.97541140000000004</v>
      </c>
      <c r="Y7594">
        <v>-1.2728939999999999E-2</v>
      </c>
      <c r="Z7594">
        <v>1.8716610000000002E-2</v>
      </c>
      <c r="AA7594">
        <v>0.99974379999999996</v>
      </c>
      <c r="AB7594">
        <v>34</v>
      </c>
      <c r="AC7594">
        <v>7.9257</v>
      </c>
      <c r="AD7594">
        <v>3.0963769999999999</v>
      </c>
      <c r="AE7594">
        <v>366.52026999999998</v>
      </c>
      <c r="AF7594">
        <v>-4.6690186085226397</v>
      </c>
      <c r="AG7594">
        <v>3.0963769999999999</v>
      </c>
      <c r="AH7594">
        <v>366.55006787226301</v>
      </c>
      <c r="AI7594">
        <v>89.516053221056197</v>
      </c>
      <c r="AJ7594">
        <v>90.729779142027496</v>
      </c>
      <c r="AK7594">
        <v>366.592879830546</v>
      </c>
      <c r="AL7594">
        <v>77.587477276944597</v>
      </c>
      <c r="AM7594">
        <v>87.142901623759997</v>
      </c>
      <c r="AN7594">
        <v>1.0000000641356901</v>
      </c>
    </row>
    <row r="7595" spans="1:40" x14ac:dyDescent="0.25">
      <c r="A7595" t="str">
        <f>"20190303170436028"</f>
        <v>20190303170436028</v>
      </c>
      <c r="B7595" t="str">
        <f>"1551603876013534"</f>
        <v>1551603876013534</v>
      </c>
      <c r="C7595" t="s">
        <v>40</v>
      </c>
      <c r="D7595">
        <v>4.8332059999999997</v>
      </c>
      <c r="E7595">
        <v>0.4835296</v>
      </c>
      <c r="F7595" t="s">
        <v>49</v>
      </c>
      <c r="G7595">
        <v>-178.40979999999999</v>
      </c>
      <c r="H7595">
        <v>5.0198900000000002</v>
      </c>
      <c r="I7595">
        <v>391.87</v>
      </c>
      <c r="J7595">
        <v>-187.9324</v>
      </c>
      <c r="K7595">
        <v>1.121246</v>
      </c>
      <c r="L7595">
        <v>25.708310000000001</v>
      </c>
      <c r="M7595">
        <v>3.4347269999999999E-2</v>
      </c>
      <c r="N7595">
        <v>-1.027839E-2</v>
      </c>
      <c r="O7595">
        <v>0.9993571</v>
      </c>
      <c r="P7595">
        <v>8.1935350000000004E-2</v>
      </c>
      <c r="Q7595">
        <v>0.20515820000000001</v>
      </c>
      <c r="R7595">
        <v>0.97529319999999997</v>
      </c>
      <c r="S7595">
        <v>7.9666139999999996E-2</v>
      </c>
      <c r="T7595">
        <v>3.2573940000000003E-2</v>
      </c>
      <c r="U7595">
        <v>3.0623469999999999</v>
      </c>
      <c r="V7595">
        <v>4.8394239999999998E-2</v>
      </c>
      <c r="W7595">
        <v>0.2151932</v>
      </c>
      <c r="X7595">
        <v>0.97537169999999895</v>
      </c>
      <c r="Y7595">
        <v>-8.3525779999999994E-3</v>
      </c>
      <c r="Z7595">
        <v>2.0897579999999999E-2</v>
      </c>
      <c r="AA7595">
        <v>0.99974669999999999</v>
      </c>
      <c r="AB7595">
        <v>35</v>
      </c>
      <c r="AC7595">
        <v>9.5226000000000095</v>
      </c>
      <c r="AD7595">
        <v>3.898644</v>
      </c>
      <c r="AE7595">
        <v>366.161689999999</v>
      </c>
      <c r="AF7595">
        <v>-3.0599915155369599</v>
      </c>
      <c r="AG7595">
        <v>3.898644</v>
      </c>
      <c r="AH7595">
        <v>366.23121917890302</v>
      </c>
      <c r="AI7595">
        <v>89.390113124716095</v>
      </c>
      <c r="AJ7595">
        <v>90.478715385960697</v>
      </c>
      <c r="AK7595">
        <v>366.26475243241703</v>
      </c>
      <c r="AL7595">
        <v>77.573138268100607</v>
      </c>
      <c r="AM7595">
        <v>87.159530318903904</v>
      </c>
      <c r="AN7595">
        <v>1.0000000344761499</v>
      </c>
    </row>
    <row r="7596" spans="1:40" x14ac:dyDescent="0.25">
      <c r="A7596" t="str">
        <f>"20190303170436049"</f>
        <v>20190303170436049</v>
      </c>
      <c r="B7596" t="str">
        <f>"1551603876042814"</f>
        <v>1551603876042814</v>
      </c>
      <c r="C7596" t="s">
        <v>40</v>
      </c>
      <c r="D7596">
        <v>4.8234269999999997</v>
      </c>
      <c r="E7596">
        <v>0.48544369999999998</v>
      </c>
      <c r="F7596" t="s">
        <v>49</v>
      </c>
      <c r="G7596">
        <v>-177.22669999999999</v>
      </c>
      <c r="H7596">
        <v>5.1014059999999999</v>
      </c>
      <c r="I7596">
        <v>391.00349999999997</v>
      </c>
      <c r="J7596">
        <v>-187.92089999999999</v>
      </c>
      <c r="K7596">
        <v>1.121251</v>
      </c>
      <c r="L7596">
        <v>26.040559999999999</v>
      </c>
      <c r="M7596">
        <v>3.4337699999999902E-2</v>
      </c>
      <c r="N7596">
        <v>-1.0269449999999999E-2</v>
      </c>
      <c r="O7596">
        <v>0.99935750000000001</v>
      </c>
      <c r="P7596">
        <v>8.1585030000000003E-2</v>
      </c>
      <c r="Q7596">
        <v>0.20427090000000001</v>
      </c>
      <c r="R7596">
        <v>0.97550870000000001</v>
      </c>
      <c r="S7596">
        <v>8.9721679999999998E-2</v>
      </c>
      <c r="T7596">
        <v>3.3356549999999999E-2</v>
      </c>
      <c r="U7596">
        <v>3.0614319999999999</v>
      </c>
      <c r="V7596">
        <v>4.8043950000000002E-2</v>
      </c>
      <c r="W7596">
        <v>0.21429999999999999</v>
      </c>
      <c r="X7596">
        <v>0.97558560000000005</v>
      </c>
      <c r="Y7596">
        <v>-5.0540999999999997E-3</v>
      </c>
      <c r="Z7596">
        <v>2.1146149999999999E-2</v>
      </c>
      <c r="AA7596">
        <v>0.99976359999999997</v>
      </c>
      <c r="AB7596">
        <v>35</v>
      </c>
      <c r="AC7596">
        <v>10.694199999999899</v>
      </c>
      <c r="AD7596">
        <v>3.9801549999999999</v>
      </c>
      <c r="AE7596">
        <v>364.96294</v>
      </c>
      <c r="AF7596">
        <v>-1.8445371024455799</v>
      </c>
      <c r="AG7596">
        <v>3.9801549999999999</v>
      </c>
      <c r="AH7596">
        <v>365.071545794587</v>
      </c>
      <c r="AI7596">
        <v>89.375371373559702</v>
      </c>
      <c r="AJ7596">
        <v>90.2894865213418</v>
      </c>
      <c r="AK7596">
        <v>365.09790125361599</v>
      </c>
      <c r="AL7596">
        <v>77.625536742949294</v>
      </c>
      <c r="AM7596">
        <v>87.180674347802906</v>
      </c>
      <c r="AN7596">
        <v>0.99999998702948101</v>
      </c>
    </row>
    <row r="7597" spans="1:40" x14ac:dyDescent="0.25">
      <c r="A7597" t="str">
        <f>"20190303170436074"</f>
        <v>20190303170436074</v>
      </c>
      <c r="B7597" t="str">
        <f>"1551603876063310"</f>
        <v>1551603876063310</v>
      </c>
      <c r="C7597" t="s">
        <v>40</v>
      </c>
      <c r="D7597">
        <v>4.7662370000000003</v>
      </c>
      <c r="E7597">
        <v>0.48648390000000002</v>
      </c>
      <c r="F7597" t="s">
        <v>49</v>
      </c>
      <c r="G7597">
        <v>-175.54570000000001</v>
      </c>
      <c r="H7597">
        <v>4.634188</v>
      </c>
      <c r="I7597">
        <v>391.00349999999997</v>
      </c>
      <c r="J7597">
        <v>-187.90819999999999</v>
      </c>
      <c r="K7597">
        <v>1.1212569999999999</v>
      </c>
      <c r="L7597">
        <v>26.412960000000002</v>
      </c>
      <c r="M7597">
        <v>3.4308190000000002E-2</v>
      </c>
      <c r="N7597">
        <v>-1.02611E-2</v>
      </c>
      <c r="O7597">
        <v>0.99935859999999999</v>
      </c>
      <c r="P7597">
        <v>8.1545699999999999E-2</v>
      </c>
      <c r="Q7597">
        <v>0.20412810000000001</v>
      </c>
      <c r="R7597">
        <v>0.97554189999999996</v>
      </c>
      <c r="S7597">
        <v>0.10377500000000001</v>
      </c>
      <c r="T7597">
        <v>2.945828E-2</v>
      </c>
      <c r="U7597">
        <v>3.0604550000000001</v>
      </c>
      <c r="V7597">
        <v>4.8026270000000003E-2</v>
      </c>
      <c r="W7597">
        <v>0.21415049999999999</v>
      </c>
      <c r="X7597">
        <v>0.97561929999999997</v>
      </c>
      <c r="Y7597">
        <v>-4.2805259999999999E-4</v>
      </c>
      <c r="Z7597">
        <v>1.9867900000000001E-2</v>
      </c>
      <c r="AA7597">
        <v>0.99980250000000004</v>
      </c>
      <c r="AB7597">
        <v>35</v>
      </c>
      <c r="AC7597">
        <v>12.362499999999899</v>
      </c>
      <c r="AD7597">
        <v>3.5129309999999898</v>
      </c>
      <c r="AE7597">
        <v>364.59053999999998</v>
      </c>
      <c r="AF7597">
        <v>-0.15386466261517001</v>
      </c>
      <c r="AG7597">
        <v>3.5129309999999898</v>
      </c>
      <c r="AH7597">
        <v>364.76621506615498</v>
      </c>
      <c r="AI7597">
        <v>89.448222254644193</v>
      </c>
      <c r="AJ7597">
        <v>90.024168343714607</v>
      </c>
      <c r="AK7597">
        <v>364.78316300541297</v>
      </c>
      <c r="AL7597">
        <v>77.6343060712328</v>
      </c>
      <c r="AM7597">
        <v>87.181807369349002</v>
      </c>
      <c r="AN7597">
        <v>0.99999998889642605</v>
      </c>
    </row>
    <row r="7598" spans="1:40" x14ac:dyDescent="0.25">
      <c r="A7598" t="str">
        <f>"20190303170436096"</f>
        <v>20190303170436096</v>
      </c>
      <c r="B7598" t="str">
        <f>"1551603876082830"</f>
        <v>1551603876082830</v>
      </c>
      <c r="C7598" t="s">
        <v>40</v>
      </c>
      <c r="D7598">
        <v>4.5671759999999999</v>
      </c>
      <c r="E7598">
        <v>0.48750130000000003</v>
      </c>
      <c r="F7598" t="s">
        <v>49</v>
      </c>
      <c r="G7598">
        <v>-174.5145</v>
      </c>
      <c r="H7598">
        <v>4.4524900000000001</v>
      </c>
      <c r="I7598">
        <v>391.00349999999997</v>
      </c>
      <c r="J7598">
        <v>-187.89619999999999</v>
      </c>
      <c r="K7598">
        <v>1.1212759999999999</v>
      </c>
      <c r="L7598">
        <v>26.761869999999998</v>
      </c>
      <c r="M7598">
        <v>3.424812E-2</v>
      </c>
      <c r="N7598">
        <v>-1.025481E-2</v>
      </c>
      <c r="O7598">
        <v>0.99936069999999999</v>
      </c>
      <c r="P7598">
        <v>8.1709329999999997E-2</v>
      </c>
      <c r="Q7598">
        <v>0.20545869999999999</v>
      </c>
      <c r="R7598">
        <v>0.97524889999999997</v>
      </c>
      <c r="S7598">
        <v>0.1124115</v>
      </c>
      <c r="T7598">
        <v>2.7958630000000002E-2</v>
      </c>
      <c r="U7598">
        <v>3.0599669999999999</v>
      </c>
      <c r="V7598">
        <v>4.8247699999999998E-2</v>
      </c>
      <c r="W7598">
        <v>0.21547450000000001</v>
      </c>
      <c r="X7598">
        <v>0.97531679999999998</v>
      </c>
      <c r="Y7598">
        <v>2.4561370000000002E-3</v>
      </c>
      <c r="Z7598">
        <v>1.937285E-2</v>
      </c>
      <c r="AA7598">
        <v>0.99980930000000001</v>
      </c>
      <c r="AB7598">
        <v>35</v>
      </c>
      <c r="AC7598">
        <v>13.381699999999899</v>
      </c>
      <c r="AD7598">
        <v>3.3312140000000001</v>
      </c>
      <c r="AE7598">
        <v>364.24162999999999</v>
      </c>
      <c r="AF7598">
        <v>0.898526266003839</v>
      </c>
      <c r="AG7598">
        <v>3.3312140000000001</v>
      </c>
      <c r="AH7598">
        <v>364.45580853861702</v>
      </c>
      <c r="AI7598">
        <v>89.476318929610699</v>
      </c>
      <c r="AJ7598">
        <v>89.858743756271096</v>
      </c>
      <c r="AK7598">
        <v>364.47213983197901</v>
      </c>
      <c r="AL7598">
        <v>77.556633096665195</v>
      </c>
      <c r="AM7598">
        <v>87.167958225110993</v>
      </c>
      <c r="AN7598">
        <v>0.99999998053388905</v>
      </c>
    </row>
    <row r="7599" spans="1:40" x14ac:dyDescent="0.25">
      <c r="A7599" t="str">
        <f>"20190303170436117"</f>
        <v>20190303170436117</v>
      </c>
      <c r="B7599" t="str">
        <f>"1551603876103327"</f>
        <v>1551603876103327</v>
      </c>
      <c r="C7599" t="s">
        <v>40</v>
      </c>
      <c r="D7599">
        <v>4.7651309999999896</v>
      </c>
      <c r="E7599">
        <v>0.48845850000000002</v>
      </c>
      <c r="F7599" t="s">
        <v>48</v>
      </c>
      <c r="G7599">
        <v>0</v>
      </c>
      <c r="H7599">
        <v>0</v>
      </c>
      <c r="I7599">
        <v>0</v>
      </c>
      <c r="J7599">
        <v>-187.88470000000001</v>
      </c>
      <c r="K7599">
        <v>1.1213139999999999</v>
      </c>
      <c r="L7599">
        <v>27.10089</v>
      </c>
      <c r="M7599">
        <v>3.4145469999999997E-2</v>
      </c>
      <c r="N7599">
        <v>-1.024986E-2</v>
      </c>
      <c r="O7599">
        <v>0.99936429999999998</v>
      </c>
      <c r="P7599">
        <v>8.108129E-2</v>
      </c>
      <c r="Q7599">
        <v>0.20672219999999999</v>
      </c>
      <c r="R7599">
        <v>0.97503419999999996</v>
      </c>
      <c r="S7599">
        <v>0.1209259</v>
      </c>
      <c r="T7599">
        <v>3.1241769999999999E-2</v>
      </c>
      <c r="U7599">
        <v>3.059418</v>
      </c>
      <c r="V7599">
        <v>4.7711469999999999E-2</v>
      </c>
      <c r="W7599">
        <v>0.21673390000000001</v>
      </c>
      <c r="X7599">
        <v>0.97506409999999999</v>
      </c>
      <c r="Y7599">
        <v>5.3430450000000003E-3</v>
      </c>
      <c r="Z7599">
        <v>2.0440030000000001E-2</v>
      </c>
      <c r="AA7599">
        <v>0.99977680000000002</v>
      </c>
      <c r="AB7599">
        <v>35</v>
      </c>
      <c r="AC7599">
        <v>0.1209259</v>
      </c>
      <c r="AD7599">
        <v>3.1241769999999999E-2</v>
      </c>
      <c r="AE7599">
        <v>3.059418</v>
      </c>
      <c r="AF7599">
        <v>1.6382917045574399E-2</v>
      </c>
      <c r="AG7599">
        <v>3.1241769999999999E-2</v>
      </c>
      <c r="AH7599">
        <v>3.0614443291494799</v>
      </c>
      <c r="AI7599">
        <v>89.415330278172604</v>
      </c>
      <c r="AJ7599">
        <v>89.693392091521901</v>
      </c>
      <c r="AK7599">
        <v>3.0616475676741701</v>
      </c>
      <c r="AL7599">
        <v>77.482728477347393</v>
      </c>
      <c r="AM7599">
        <v>87.198658783515</v>
      </c>
      <c r="AN7599">
        <v>0.99999998344379004</v>
      </c>
    </row>
    <row r="7600" spans="1:40" x14ac:dyDescent="0.25">
      <c r="A7600" t="str">
        <f>"20190303170436141"</f>
        <v>20190303170436141</v>
      </c>
      <c r="B7600" t="str">
        <f>"1551603876133582"</f>
        <v>1551603876133582</v>
      </c>
      <c r="C7600" t="s">
        <v>40</v>
      </c>
      <c r="D7600">
        <v>4.8220720000000004</v>
      </c>
      <c r="E7600">
        <v>0.48970720000000001</v>
      </c>
      <c r="F7600" t="s">
        <v>48</v>
      </c>
      <c r="G7600">
        <v>0</v>
      </c>
      <c r="H7600">
        <v>0</v>
      </c>
      <c r="I7600">
        <v>0</v>
      </c>
      <c r="J7600">
        <v>-187.87270000000001</v>
      </c>
      <c r="K7600">
        <v>1.121346</v>
      </c>
      <c r="L7600">
        <v>27.455380000000002</v>
      </c>
      <c r="M7600">
        <v>3.3994049999999998E-2</v>
      </c>
      <c r="N7600">
        <v>-1.0245779999999999E-2</v>
      </c>
      <c r="O7600">
        <v>0.99936950000000002</v>
      </c>
      <c r="P7600">
        <v>7.9900650000000004E-2</v>
      </c>
      <c r="Q7600">
        <v>0.20683070000000001</v>
      </c>
      <c r="R7600">
        <v>0.97510870000000005</v>
      </c>
      <c r="S7600">
        <v>0.12670899999999999</v>
      </c>
      <c r="T7600">
        <v>3.4499410000000001E-2</v>
      </c>
      <c r="U7600">
        <v>3.0589599999999999</v>
      </c>
      <c r="V7600">
        <v>4.6657829999999997E-2</v>
      </c>
      <c r="W7600">
        <v>0.2168428</v>
      </c>
      <c r="X7600">
        <v>0.97509089999999998</v>
      </c>
      <c r="Y7600">
        <v>7.3865959999999996E-3</v>
      </c>
      <c r="Z7600">
        <v>2.150001E-2</v>
      </c>
      <c r="AA7600">
        <v>0.99974160000000001</v>
      </c>
      <c r="AB7600">
        <v>35</v>
      </c>
      <c r="AC7600">
        <v>0.12670899999999999</v>
      </c>
      <c r="AD7600">
        <v>3.4499410000000001E-2</v>
      </c>
      <c r="AE7600">
        <v>3.0589599999999999</v>
      </c>
      <c r="AF7600">
        <v>2.2640984775935801E-2</v>
      </c>
      <c r="AG7600">
        <v>3.4499410000000001E-2</v>
      </c>
      <c r="AH7600">
        <v>3.06111072534561</v>
      </c>
      <c r="AI7600">
        <v>89.354308607883596</v>
      </c>
      <c r="AJ7600">
        <v>89.576229240460194</v>
      </c>
      <c r="AK7600">
        <v>3.06138885088254</v>
      </c>
      <c r="AL7600">
        <v>77.476337282266499</v>
      </c>
      <c r="AM7600">
        <v>87.2605022958018</v>
      </c>
      <c r="AN7600">
        <v>1.00000000813747</v>
      </c>
    </row>
    <row r="7601" spans="1:40" x14ac:dyDescent="0.25">
      <c r="A7601" t="str">
        <f>"20190303170436163"</f>
        <v>20190303170436163</v>
      </c>
      <c r="B7601" t="str">
        <f>"1551603876153102"</f>
        <v>1551603876153102</v>
      </c>
      <c r="C7601" t="s">
        <v>40</v>
      </c>
      <c r="D7601">
        <v>4.6388170000000004</v>
      </c>
      <c r="E7601">
        <v>0.49041469999999998</v>
      </c>
      <c r="F7601" t="s">
        <v>48</v>
      </c>
      <c r="G7601">
        <v>0</v>
      </c>
      <c r="H7601">
        <v>0</v>
      </c>
      <c r="I7601">
        <v>0</v>
      </c>
      <c r="J7601">
        <v>-187.86109999999999</v>
      </c>
      <c r="K7601">
        <v>1.121381</v>
      </c>
      <c r="L7601">
        <v>27.803190000000001</v>
      </c>
      <c r="M7601">
        <v>3.37919E-2</v>
      </c>
      <c r="N7601">
        <v>-1.0242680000000001E-2</v>
      </c>
      <c r="O7601">
        <v>0.99937640000000005</v>
      </c>
      <c r="P7601">
        <v>7.8594990000000003E-2</v>
      </c>
      <c r="Q7601">
        <v>0.20556740000000001</v>
      </c>
      <c r="R7601">
        <v>0.97548190000000001</v>
      </c>
      <c r="S7601">
        <v>0.13287349999999901</v>
      </c>
      <c r="T7601">
        <v>3.3723950000000003E-2</v>
      </c>
      <c r="U7601">
        <v>3.0585330000000002</v>
      </c>
      <c r="V7601">
        <v>4.551695E-2</v>
      </c>
      <c r="W7601">
        <v>0.21558440000000001</v>
      </c>
      <c r="X7601">
        <v>0.97542379999999995</v>
      </c>
      <c r="Y7601">
        <v>9.606234E-3</v>
      </c>
      <c r="Z7601">
        <v>2.1244590000000001E-2</v>
      </c>
      <c r="AA7601">
        <v>0.99972810000000001</v>
      </c>
      <c r="AB7601">
        <v>35</v>
      </c>
      <c r="AC7601">
        <v>0.13287349999999901</v>
      </c>
      <c r="AD7601">
        <v>3.3723950000000003E-2</v>
      </c>
      <c r="AE7601">
        <v>3.0585330000000002</v>
      </c>
      <c r="AF7601">
        <v>2.9434971301996599E-2</v>
      </c>
      <c r="AG7601">
        <v>3.3723950000000003E-2</v>
      </c>
      <c r="AH7601">
        <v>3.06090490964838</v>
      </c>
      <c r="AI7601">
        <v>89.368790420865096</v>
      </c>
      <c r="AJ7601">
        <v>89.449036251820303</v>
      </c>
      <c r="AK7601">
        <v>3.0612322009688699</v>
      </c>
      <c r="AL7601">
        <v>77.550185083350399</v>
      </c>
      <c r="AM7601">
        <v>87.328301121638404</v>
      </c>
      <c r="AN7601">
        <v>1.00000000793355</v>
      </c>
    </row>
    <row r="7602" spans="1:40" x14ac:dyDescent="0.25">
      <c r="A7602" t="str">
        <f>"20190303170436184"</f>
        <v>20190303170436184</v>
      </c>
      <c r="B7602" t="str">
        <f>"1551603876173599"</f>
        <v>1551603876173599</v>
      </c>
      <c r="C7602" t="s">
        <v>40</v>
      </c>
      <c r="D7602">
        <v>4.5615259999999997</v>
      </c>
      <c r="E7602">
        <v>0.49074659999999898</v>
      </c>
      <c r="F7602" t="s">
        <v>48</v>
      </c>
      <c r="G7602">
        <v>0</v>
      </c>
      <c r="H7602">
        <v>0</v>
      </c>
      <c r="I7602">
        <v>0</v>
      </c>
      <c r="J7602">
        <v>-187.8502</v>
      </c>
      <c r="K7602">
        <v>1.121418</v>
      </c>
      <c r="L7602">
        <v>28.13062</v>
      </c>
      <c r="M7602">
        <v>3.3545640000000002E-2</v>
      </c>
      <c r="N7602">
        <v>-1.024051E-2</v>
      </c>
      <c r="O7602">
        <v>0.99938470000000001</v>
      </c>
      <c r="P7602">
        <v>7.8616270000000002E-2</v>
      </c>
      <c r="Q7602">
        <v>0.20458670000000001</v>
      </c>
      <c r="R7602">
        <v>0.97568630000000001</v>
      </c>
      <c r="S7602">
        <v>0.13363649999999999</v>
      </c>
      <c r="T7602">
        <v>2.9246689999999999E-2</v>
      </c>
      <c r="U7602">
        <v>3.0584720000000001</v>
      </c>
      <c r="V7602">
        <v>4.575013E-2</v>
      </c>
      <c r="W7602">
        <v>0.2146083</v>
      </c>
      <c r="X7602">
        <v>0.9756281</v>
      </c>
      <c r="Y7602">
        <v>1.010365E-2</v>
      </c>
      <c r="Z7602">
        <v>1.978125E-2</v>
      </c>
      <c r="AA7602">
        <v>0.99975329999999996</v>
      </c>
      <c r="AB7602">
        <v>35</v>
      </c>
      <c r="AC7602">
        <v>0.13363649999999999</v>
      </c>
      <c r="AD7602">
        <v>2.9246689999999999E-2</v>
      </c>
      <c r="AE7602">
        <v>3.0584720000000001</v>
      </c>
      <c r="AF7602">
        <v>3.0954671584879599E-2</v>
      </c>
      <c r="AG7602">
        <v>2.9246689999999999E-2</v>
      </c>
      <c r="AH7602">
        <v>3.0609542619328698</v>
      </c>
      <c r="AI7602">
        <v>89.452597100111205</v>
      </c>
      <c r="AJ7602">
        <v>89.420601737160993</v>
      </c>
      <c r="AK7602">
        <v>3.0612504886424898</v>
      </c>
      <c r="AL7602">
        <v>77.6074517652022</v>
      </c>
      <c r="AM7602">
        <v>87.315195690200795</v>
      </c>
      <c r="AN7602">
        <v>0.99999999316675803</v>
      </c>
    </row>
    <row r="7603" spans="1:40" x14ac:dyDescent="0.25">
      <c r="A7603" t="str">
        <f>"20190303170436207"</f>
        <v>20190303170436207</v>
      </c>
      <c r="B7603" t="str">
        <f>"1551603876193118"</f>
        <v>1551603876193118</v>
      </c>
      <c r="C7603" t="s">
        <v>40</v>
      </c>
      <c r="D7603">
        <v>4.7011570000000003</v>
      </c>
      <c r="E7603">
        <v>0.50651619999999997</v>
      </c>
      <c r="F7603" t="s">
        <v>48</v>
      </c>
      <c r="G7603">
        <v>0</v>
      </c>
      <c r="H7603">
        <v>0</v>
      </c>
      <c r="I7603">
        <v>0</v>
      </c>
      <c r="J7603">
        <v>-187.83840000000001</v>
      </c>
      <c r="K7603">
        <v>1.121464</v>
      </c>
      <c r="L7603">
        <v>28.490390000000001</v>
      </c>
      <c r="M7603">
        <v>3.321259E-2</v>
      </c>
      <c r="N7603">
        <v>-1.023897E-2</v>
      </c>
      <c r="O7603">
        <v>0.99939579999999995</v>
      </c>
      <c r="P7603">
        <v>7.8639509999999996E-2</v>
      </c>
      <c r="Q7603">
        <v>0.20530029999999999</v>
      </c>
      <c r="R7603">
        <v>0.97553460000000003</v>
      </c>
      <c r="S7603">
        <v>0.13587949999999999</v>
      </c>
      <c r="T7603">
        <v>2.603316E-2</v>
      </c>
      <c r="U7603">
        <v>3.0583499999999999</v>
      </c>
      <c r="V7603">
        <v>4.607754E-2</v>
      </c>
      <c r="W7603">
        <v>0.21532409999999999</v>
      </c>
      <c r="X7603">
        <v>0.97545499999999996</v>
      </c>
      <c r="Y7603">
        <v>1.1171270000000001E-2</v>
      </c>
      <c r="Z7603">
        <v>1.8730960000000001E-2</v>
      </c>
      <c r="AA7603">
        <v>0.99976220000000005</v>
      </c>
      <c r="AB7603">
        <v>35</v>
      </c>
      <c r="AC7603">
        <v>0.13587949999999999</v>
      </c>
      <c r="AD7603">
        <v>2.603316E-2</v>
      </c>
      <c r="AE7603">
        <v>3.0583499999999999</v>
      </c>
      <c r="AF7603">
        <v>3.4220998393527803E-2</v>
      </c>
      <c r="AG7603">
        <v>2.603316E-2</v>
      </c>
      <c r="AH7603">
        <v>3.0609543577882898</v>
      </c>
      <c r="AI7603">
        <v>89.512746399353006</v>
      </c>
      <c r="AJ7603">
        <v>89.359468693019906</v>
      </c>
      <c r="AK7603">
        <v>3.0612563405591802</v>
      </c>
      <c r="AL7603">
        <v>77.565458181226802</v>
      </c>
      <c r="AM7603">
        <v>87.295531224694898</v>
      </c>
      <c r="AN7603">
        <v>1.00000003237913</v>
      </c>
    </row>
    <row r="7604" spans="1:40" x14ac:dyDescent="0.25">
      <c r="A7604" t="str">
        <f>"20190303170436229"</f>
        <v>20190303170436229</v>
      </c>
      <c r="B7604" t="str">
        <f>"1551603876223374"</f>
        <v>1551603876223374</v>
      </c>
      <c r="C7604" t="s">
        <v>40</v>
      </c>
      <c r="D7604">
        <v>4.4751669999999999</v>
      </c>
      <c r="E7604">
        <v>0.4883748</v>
      </c>
      <c r="F7604" t="s">
        <v>54</v>
      </c>
      <c r="G7604">
        <v>-167.21099999999899</v>
      </c>
      <c r="H7604">
        <v>2.3179479999999999</v>
      </c>
      <c r="I7604">
        <v>269.69009999999997</v>
      </c>
      <c r="J7604">
        <v>-187.82759999999999</v>
      </c>
      <c r="K7604">
        <v>1.1215079999999999</v>
      </c>
      <c r="L7604">
        <v>28.825959999999998</v>
      </c>
      <c r="M7604">
        <v>3.2851070000000003E-2</v>
      </c>
      <c r="N7604">
        <v>-1.023803E-2</v>
      </c>
      <c r="O7604">
        <v>0.99940779999999996</v>
      </c>
      <c r="P7604">
        <v>7.8032190000000001E-2</v>
      </c>
      <c r="Q7604">
        <v>0.20591509999999999</v>
      </c>
      <c r="R7604">
        <v>0.97545369999999998</v>
      </c>
      <c r="S7604">
        <v>0.26092530000000003</v>
      </c>
      <c r="T7604">
        <v>1.513577E-2</v>
      </c>
      <c r="U7604">
        <v>3.0510250000000001</v>
      </c>
      <c r="V7604">
        <v>4.5802570000000001E-2</v>
      </c>
      <c r="W7604">
        <v>0.215942</v>
      </c>
      <c r="X7604">
        <v>0.97533130000000001</v>
      </c>
      <c r="Y7604">
        <v>5.2418970000000002E-2</v>
      </c>
      <c r="Z7604">
        <v>1.5167659999999999E-2</v>
      </c>
      <c r="AA7604">
        <v>0.99851000000000001</v>
      </c>
      <c r="AB7604">
        <v>35</v>
      </c>
      <c r="AC7604">
        <v>20.616599999999998</v>
      </c>
      <c r="AD7604">
        <v>1.1964399999999999</v>
      </c>
      <c r="AE7604">
        <v>240.86413999999999</v>
      </c>
      <c r="AF7604">
        <v>12.6921006984392</v>
      </c>
      <c r="AG7604">
        <v>1.1964399999999999</v>
      </c>
      <c r="AH7604">
        <v>241.40552164604401</v>
      </c>
      <c r="AI7604">
        <v>89.716427967273304</v>
      </c>
      <c r="AJ7604">
        <v>86.9903966699774</v>
      </c>
      <c r="AK7604">
        <v>241.74190114667999</v>
      </c>
      <c r="AL7604">
        <v>77.529201561905495</v>
      </c>
      <c r="AM7604">
        <v>87.311306068162096</v>
      </c>
      <c r="AN7604">
        <v>0.99999998377114696</v>
      </c>
    </row>
    <row r="7605" spans="1:40" x14ac:dyDescent="0.25">
      <c r="A7605" t="str">
        <f>"20190303170436251"</f>
        <v>20190303170436251</v>
      </c>
      <c r="B7605" t="str">
        <f>"1551603876242894"</f>
        <v>1551603876242894</v>
      </c>
      <c r="C7605" t="s">
        <v>40</v>
      </c>
      <c r="D7605">
        <v>4.5157499999999997</v>
      </c>
      <c r="E7605">
        <v>0.46498610000000001</v>
      </c>
      <c r="F7605" t="s">
        <v>49</v>
      </c>
      <c r="G7605">
        <v>-174.2491</v>
      </c>
      <c r="H7605">
        <v>3.8772769999999999</v>
      </c>
      <c r="I7605">
        <v>391.00349999999997</v>
      </c>
      <c r="J7605">
        <v>-187.81620000000001</v>
      </c>
      <c r="K7605">
        <v>1.1215599999999999</v>
      </c>
      <c r="L7605">
        <v>29.183689999999999</v>
      </c>
      <c r="M7605">
        <v>3.242374E-2</v>
      </c>
      <c r="N7605">
        <v>-1.023729E-2</v>
      </c>
      <c r="O7605">
        <v>0.99942180000000003</v>
      </c>
      <c r="P7605">
        <v>7.7021820000000005E-2</v>
      </c>
      <c r="Q7605">
        <v>0.20576549999999999</v>
      </c>
      <c r="R7605">
        <v>0.97556560000000003</v>
      </c>
      <c r="S7605">
        <v>0.11477660000000001</v>
      </c>
      <c r="T7605">
        <v>2.3293850000000001E-2</v>
      </c>
      <c r="U7605">
        <v>3.061401</v>
      </c>
      <c r="V7605">
        <v>4.5185059999999999E-2</v>
      </c>
      <c r="W7605">
        <v>0.21579619999999999</v>
      </c>
      <c r="X7605">
        <v>0.97539240000000005</v>
      </c>
      <c r="Y7605">
        <v>5.0368019999999999E-3</v>
      </c>
      <c r="Z7605">
        <v>1.783032E-2</v>
      </c>
      <c r="AA7605">
        <v>0.9998283</v>
      </c>
      <c r="AB7605">
        <v>35</v>
      </c>
      <c r="AC7605">
        <v>13.5671</v>
      </c>
      <c r="AD7605">
        <v>2.7557170000000002</v>
      </c>
      <c r="AE7605">
        <v>361.81981000000002</v>
      </c>
      <c r="AF7605">
        <v>1.8276939341414999</v>
      </c>
      <c r="AG7605">
        <v>2.7557170000000002</v>
      </c>
      <c r="AH7605">
        <v>362.048496769324</v>
      </c>
      <c r="AI7605">
        <v>89.563909547123401</v>
      </c>
      <c r="AJ7605">
        <v>89.710761790064595</v>
      </c>
      <c r="AK7605">
        <v>362.063597250854</v>
      </c>
      <c r="AL7605">
        <v>77.537757358918896</v>
      </c>
      <c r="AM7605">
        <v>87.347668820676603</v>
      </c>
      <c r="AN7605">
        <v>1.0000000117797001</v>
      </c>
    </row>
    <row r="7606" spans="1:40" x14ac:dyDescent="0.25">
      <c r="A7606" t="str">
        <f>"20190303170436273"</f>
        <v>20190303170436273</v>
      </c>
      <c r="B7606" t="str">
        <f>"1551603876263391"</f>
        <v>1551603876263391</v>
      </c>
      <c r="C7606" t="s">
        <v>40</v>
      </c>
      <c r="D7606">
        <v>4.5054879999999997</v>
      </c>
      <c r="E7606">
        <v>0.46300140000000001</v>
      </c>
      <c r="F7606" t="s">
        <v>49</v>
      </c>
      <c r="G7606">
        <v>-196.58930000000001</v>
      </c>
      <c r="H7606">
        <v>3.996712</v>
      </c>
      <c r="I7606">
        <v>391.87</v>
      </c>
      <c r="J7606">
        <v>-187.8056</v>
      </c>
      <c r="K7606">
        <v>1.121588</v>
      </c>
      <c r="L7606">
        <v>29.523589999999999</v>
      </c>
      <c r="M7606">
        <v>3.1987969999999998E-2</v>
      </c>
      <c r="N7606">
        <v>-1.023687E-2</v>
      </c>
      <c r="O7606">
        <v>0.99943579999999999</v>
      </c>
      <c r="P7606">
        <v>7.5517699999999993E-2</v>
      </c>
      <c r="Q7606">
        <v>0.2055795</v>
      </c>
      <c r="R7606">
        <v>0.97572239999999999</v>
      </c>
      <c r="S7606">
        <v>-7.440186E-2</v>
      </c>
      <c r="T7606">
        <v>2.4383539999999999E-2</v>
      </c>
      <c r="U7606">
        <v>3.0758670000000001</v>
      </c>
      <c r="V7606">
        <v>4.4086609999999998E-2</v>
      </c>
      <c r="W7606">
        <v>0.21561330000000001</v>
      </c>
      <c r="X7606">
        <v>0.97548310000000005</v>
      </c>
      <c r="Y7606">
        <v>-5.6145100000000003E-2</v>
      </c>
      <c r="Z7606">
        <v>1.815373E-2</v>
      </c>
      <c r="AA7606">
        <v>0.99825759999999997</v>
      </c>
      <c r="AB7606">
        <v>35</v>
      </c>
      <c r="AC7606">
        <v>-8.7837000000000103</v>
      </c>
      <c r="AD7606">
        <v>2.875124</v>
      </c>
      <c r="AE7606">
        <v>362.34640999999999</v>
      </c>
      <c r="AF7606">
        <v>-20.3692566006718</v>
      </c>
      <c r="AG7606">
        <v>2.875124</v>
      </c>
      <c r="AH7606">
        <v>361.857204564705</v>
      </c>
      <c r="AI7606">
        <v>89.545487428319007</v>
      </c>
      <c r="AJ7606">
        <v>93.2218291431182</v>
      </c>
      <c r="AK7606">
        <v>362.44145658004197</v>
      </c>
      <c r="AL7606">
        <v>77.548489271970297</v>
      </c>
      <c r="AM7606">
        <v>87.412298609146902</v>
      </c>
      <c r="AN7606">
        <v>1.0000000013518899</v>
      </c>
    </row>
    <row r="7607" spans="1:40" x14ac:dyDescent="0.25">
      <c r="A7607" t="str">
        <f>"20190303170436296"</f>
        <v>20190303170436296</v>
      </c>
      <c r="B7607" t="str">
        <f>"1551603876282910"</f>
        <v>1551603876282910</v>
      </c>
      <c r="C7607" t="s">
        <v>40</v>
      </c>
      <c r="D7607">
        <v>4.4778900000000004</v>
      </c>
      <c r="E7607">
        <v>0.46215050000000002</v>
      </c>
      <c r="F7607" t="s">
        <v>49</v>
      </c>
      <c r="G7607">
        <v>-198.9864</v>
      </c>
      <c r="H7607">
        <v>3.7279360000000001</v>
      </c>
      <c r="I7607">
        <v>391.87</v>
      </c>
      <c r="J7607">
        <v>-187.7946</v>
      </c>
      <c r="K7607">
        <v>1.121613</v>
      </c>
      <c r="L7607">
        <v>29.88016</v>
      </c>
      <c r="M7607">
        <v>3.1510820000000002E-2</v>
      </c>
      <c r="N7607">
        <v>-1.0236810000000001E-2</v>
      </c>
      <c r="O7607">
        <v>0.99945099999999998</v>
      </c>
      <c r="P7607">
        <v>7.4908150000000007E-2</v>
      </c>
      <c r="Q7607">
        <v>0.20561360000000001</v>
      </c>
      <c r="R7607">
        <v>0.97576220000000002</v>
      </c>
      <c r="S7607">
        <v>-9.4955440000000002E-2</v>
      </c>
      <c r="T7607">
        <v>2.2135140000000001E-2</v>
      </c>
      <c r="U7607">
        <v>3.0773320000000002</v>
      </c>
      <c r="V7607">
        <v>4.3930219999999999E-2</v>
      </c>
      <c r="W7607">
        <v>0.21565000000000001</v>
      </c>
      <c r="X7607">
        <v>0.97548199999999996</v>
      </c>
      <c r="Y7607">
        <v>-6.2318249999999999E-2</v>
      </c>
      <c r="Z7607">
        <v>1.741987E-2</v>
      </c>
      <c r="AA7607">
        <v>0.99790429999999997</v>
      </c>
      <c r="AB7607">
        <v>35</v>
      </c>
      <c r="AC7607">
        <v>-11.191800000000001</v>
      </c>
      <c r="AD7607">
        <v>2.6063230000000002</v>
      </c>
      <c r="AE7607">
        <v>361.98984000000002</v>
      </c>
      <c r="AF7607">
        <v>-22.592265882951601</v>
      </c>
      <c r="AG7607">
        <v>2.6063230000000002</v>
      </c>
      <c r="AH7607">
        <v>361.43866061744001</v>
      </c>
      <c r="AI7607">
        <v>89.587653785482402</v>
      </c>
      <c r="AJ7607">
        <v>93.576705386680402</v>
      </c>
      <c r="AK7607">
        <v>362.15343265836202</v>
      </c>
      <c r="AL7607">
        <v>77.546335328067499</v>
      </c>
      <c r="AM7607">
        <v>87.421462739199796</v>
      </c>
      <c r="AN7607">
        <v>0.99999995952662302</v>
      </c>
    </row>
    <row r="7608" spans="1:40" x14ac:dyDescent="0.25">
      <c r="A7608" t="str">
        <f>"20190303170436319"</f>
        <v>20190303170436319</v>
      </c>
      <c r="B7608" t="str">
        <f>"1551603876313166"</f>
        <v>1551603876313166</v>
      </c>
      <c r="C7608" t="s">
        <v>40</v>
      </c>
      <c r="D7608">
        <v>4.4716680000000002</v>
      </c>
      <c r="E7608">
        <v>0.46270879999999998</v>
      </c>
      <c r="F7608" t="s">
        <v>49</v>
      </c>
      <c r="G7608">
        <v>-199.99340000000001</v>
      </c>
      <c r="H7608">
        <v>3.0545740000000001</v>
      </c>
      <c r="I7608">
        <v>391.87</v>
      </c>
      <c r="J7608">
        <v>-187.7841</v>
      </c>
      <c r="K7608">
        <v>1.1216330000000001</v>
      </c>
      <c r="L7608">
        <v>30.229099999999999</v>
      </c>
      <c r="M7608">
        <v>3.10327E-2</v>
      </c>
      <c r="N7608">
        <v>-1.0237069999999999E-2</v>
      </c>
      <c r="O7608">
        <v>0.99946590000000002</v>
      </c>
      <c r="P7608">
        <v>7.4275140000000003E-2</v>
      </c>
      <c r="Q7608">
        <v>0.20648540000000001</v>
      </c>
      <c r="R7608">
        <v>0.97562649999999995</v>
      </c>
      <c r="S7608">
        <v>-0.1037598</v>
      </c>
      <c r="T7608">
        <v>1.644135E-2</v>
      </c>
      <c r="U7608">
        <v>3.0790099999999998</v>
      </c>
      <c r="V7608">
        <v>4.3760029999999998E-2</v>
      </c>
      <c r="W7608">
        <v>0.21652199999999999</v>
      </c>
      <c r="X7608">
        <v>0.97529650000000001</v>
      </c>
      <c r="Y7608">
        <v>-6.4674759999999998E-2</v>
      </c>
      <c r="Z7608">
        <v>1.5570769999999999E-2</v>
      </c>
      <c r="AA7608">
        <v>0.99778489999999997</v>
      </c>
      <c r="AB7608">
        <v>35</v>
      </c>
      <c r="AC7608">
        <v>-12.209300000000001</v>
      </c>
      <c r="AD7608">
        <v>1.932941</v>
      </c>
      <c r="AE7608">
        <v>361.64089999999999</v>
      </c>
      <c r="AF7608">
        <v>-23.4260326956603</v>
      </c>
      <c r="AG7608">
        <v>1.932941</v>
      </c>
      <c r="AH7608">
        <v>361.07749355153697</v>
      </c>
      <c r="AI7608">
        <v>89.693927304387699</v>
      </c>
      <c r="AJ7608">
        <v>93.712040679589407</v>
      </c>
      <c r="AK7608">
        <v>361.84177704934501</v>
      </c>
      <c r="AL7608">
        <v>77.495164843275205</v>
      </c>
      <c r="AM7608">
        <v>87.430950959752707</v>
      </c>
      <c r="AN7608">
        <v>0.99999998981092497</v>
      </c>
    </row>
    <row r="7609" spans="1:40" x14ac:dyDescent="0.25">
      <c r="A7609" t="str">
        <f>"20190303170436341"</f>
        <v>20190303170436341</v>
      </c>
      <c r="B7609" t="str">
        <f>"1551603876332687"</f>
        <v>1551603876332687</v>
      </c>
      <c r="C7609" t="s">
        <v>40</v>
      </c>
      <c r="D7609">
        <v>4.4432720000000003</v>
      </c>
      <c r="E7609">
        <v>0.46252840000000001</v>
      </c>
      <c r="F7609" t="s">
        <v>49</v>
      </c>
      <c r="G7609">
        <v>-199.67509999999999</v>
      </c>
      <c r="H7609">
        <v>3.3640080000000001</v>
      </c>
      <c r="I7609">
        <v>391.87</v>
      </c>
      <c r="J7609">
        <v>-187.7732</v>
      </c>
      <c r="K7609">
        <v>1.1216429999999999</v>
      </c>
      <c r="L7609">
        <v>30.593540000000001</v>
      </c>
      <c r="M7609">
        <v>3.0530479999999999E-2</v>
      </c>
      <c r="N7609">
        <v>-1.0237680000000001E-2</v>
      </c>
      <c r="O7609">
        <v>0.99948139999999996</v>
      </c>
      <c r="P7609">
        <v>7.3679800000000004E-2</v>
      </c>
      <c r="Q7609">
        <v>0.207098</v>
      </c>
      <c r="R7609">
        <v>0.97554180000000001</v>
      </c>
      <c r="S7609">
        <v>-0.10122680000000001</v>
      </c>
      <c r="T7609">
        <v>1.9089100000000001E-2</v>
      </c>
      <c r="U7609">
        <v>3.0786129999999998</v>
      </c>
      <c r="V7609">
        <v>4.3651349999999998E-2</v>
      </c>
      <c r="W7609">
        <v>0.21713460000000001</v>
      </c>
      <c r="X7609">
        <v>0.97516519999999995</v>
      </c>
      <c r="Y7609">
        <v>-6.3357410000000003E-2</v>
      </c>
      <c r="Z7609">
        <v>1.6430489999999999E-2</v>
      </c>
      <c r="AA7609">
        <v>0.99785570000000001</v>
      </c>
      <c r="AB7609">
        <v>35</v>
      </c>
      <c r="AC7609">
        <v>-11.9018999999999</v>
      </c>
      <c r="AD7609">
        <v>2.2423649999999999</v>
      </c>
      <c r="AE7609">
        <v>361.27645999999999</v>
      </c>
      <c r="AF7609">
        <v>-22.925990802513802</v>
      </c>
      <c r="AG7609">
        <v>2.2423649999999999</v>
      </c>
      <c r="AH7609">
        <v>360.73075679561902</v>
      </c>
      <c r="AI7609">
        <v>89.644561169820705</v>
      </c>
      <c r="AJ7609">
        <v>93.636502307920296</v>
      </c>
      <c r="AK7609">
        <v>361.46550064066997</v>
      </c>
      <c r="AL7609">
        <v>77.459210473565705</v>
      </c>
      <c r="AM7609">
        <v>87.436978203294203</v>
      </c>
      <c r="AN7609">
        <v>1.00000002108251</v>
      </c>
    </row>
    <row r="7610" spans="1:40" x14ac:dyDescent="0.25">
      <c r="A7610" t="str">
        <f>"20190303170436363"</f>
        <v>20190303170436363</v>
      </c>
      <c r="B7610" t="str">
        <f>"1551603876353183"</f>
        <v>1551603876353183</v>
      </c>
      <c r="C7610" t="s">
        <v>40</v>
      </c>
      <c r="D7610">
        <v>4.4542820000000001</v>
      </c>
      <c r="E7610">
        <v>0.46216590000000002</v>
      </c>
      <c r="F7610" t="s">
        <v>49</v>
      </c>
      <c r="G7610">
        <v>-200.05160000000001</v>
      </c>
      <c r="H7610">
        <v>3.6099990000000002</v>
      </c>
      <c r="I7610">
        <v>391.87</v>
      </c>
      <c r="J7610">
        <v>-187.76320000000001</v>
      </c>
      <c r="K7610">
        <v>1.1216489999999999</v>
      </c>
      <c r="L7610">
        <v>30.937069999999999</v>
      </c>
      <c r="M7610">
        <v>3.0058049999999999E-2</v>
      </c>
      <c r="N7610">
        <v>-1.023642E-2</v>
      </c>
      <c r="O7610">
        <v>0.99949569999999999</v>
      </c>
      <c r="P7610">
        <v>7.2940640000000001E-2</v>
      </c>
      <c r="Q7610">
        <v>0.2070419</v>
      </c>
      <c r="R7610">
        <v>0.97560919999999896</v>
      </c>
      <c r="S7610">
        <v>-0.1046295</v>
      </c>
      <c r="T7610">
        <v>2.120447E-2</v>
      </c>
      <c r="U7610">
        <v>3.0786129999999998</v>
      </c>
      <c r="V7610">
        <v>4.3367450000000002E-2</v>
      </c>
      <c r="W7610">
        <v>0.21707879999999999</v>
      </c>
      <c r="X7610">
        <v>0.97519029999999995</v>
      </c>
      <c r="Y7610">
        <v>-6.3987180000000005E-2</v>
      </c>
      <c r="Z7610">
        <v>1.7114839999999999E-2</v>
      </c>
      <c r="AA7610">
        <v>0.99780389999999997</v>
      </c>
      <c r="AB7610">
        <v>35</v>
      </c>
      <c r="AC7610">
        <v>-12.2883999999999</v>
      </c>
      <c r="AD7610">
        <v>2.4883500000000001</v>
      </c>
      <c r="AE7610">
        <v>360.93293</v>
      </c>
      <c r="AF7610">
        <v>-23.131257708641801</v>
      </c>
      <c r="AG7610">
        <v>2.4883500000000001</v>
      </c>
      <c r="AH7610">
        <v>360.38333307763202</v>
      </c>
      <c r="AI7610">
        <v>89.605206697252001</v>
      </c>
      <c r="AJ7610">
        <v>93.672500397676501</v>
      </c>
      <c r="AK7610">
        <v>361.13348464113602</v>
      </c>
      <c r="AL7610">
        <v>77.462485827618096</v>
      </c>
      <c r="AM7610">
        <v>87.453691046094704</v>
      </c>
      <c r="AN7610">
        <v>1.00000003117151</v>
      </c>
    </row>
    <row r="7611" spans="1:40" x14ac:dyDescent="0.25">
      <c r="A7611" t="str">
        <f>"20190303170436384"</f>
        <v>20190303170436384</v>
      </c>
      <c r="B7611" t="str">
        <f>"1551603876372702"</f>
        <v>1551603876372702</v>
      </c>
      <c r="C7611" t="s">
        <v>40</v>
      </c>
      <c r="D7611">
        <v>4.4440839999999904</v>
      </c>
      <c r="E7611">
        <v>0.46179110000000001</v>
      </c>
      <c r="F7611" t="s">
        <v>49</v>
      </c>
      <c r="G7611">
        <v>-200.61750000000001</v>
      </c>
      <c r="H7611">
        <v>3.7712560000000002</v>
      </c>
      <c r="I7611">
        <v>391.87</v>
      </c>
      <c r="J7611">
        <v>-187.75389999999999</v>
      </c>
      <c r="K7611">
        <v>1.1216520000000001</v>
      </c>
      <c r="L7611">
        <v>31.257930000000002</v>
      </c>
      <c r="M7611">
        <v>2.961927E-2</v>
      </c>
      <c r="N7611">
        <v>-1.0229139999999999E-2</v>
      </c>
      <c r="O7611">
        <v>0.99950890000000003</v>
      </c>
      <c r="P7611">
        <v>7.1735430000000003E-2</v>
      </c>
      <c r="Q7611">
        <v>0.2060835</v>
      </c>
      <c r="R7611">
        <v>0.97590140000000003</v>
      </c>
      <c r="S7611">
        <v>-0.10963440000000001</v>
      </c>
      <c r="T7611">
        <v>2.2598509999999999E-2</v>
      </c>
      <c r="U7611">
        <v>3.0783999999999998</v>
      </c>
      <c r="V7611">
        <v>4.2580189999999997E-2</v>
      </c>
      <c r="W7611">
        <v>0.21611559999999999</v>
      </c>
      <c r="X7611">
        <v>0.9754389</v>
      </c>
      <c r="Y7611">
        <v>-6.5171519999999997E-2</v>
      </c>
      <c r="Z7611">
        <v>1.7559720000000001E-2</v>
      </c>
      <c r="AA7611">
        <v>0.99771960000000004</v>
      </c>
      <c r="AB7611">
        <v>35</v>
      </c>
      <c r="AC7611">
        <v>-12.8636</v>
      </c>
      <c r="AD7611">
        <v>2.6496040000000001</v>
      </c>
      <c r="AE7611">
        <v>360.61207000000002</v>
      </c>
      <c r="AF7611">
        <v>-23.538311658464401</v>
      </c>
      <c r="AG7611">
        <v>2.6496040000000001</v>
      </c>
      <c r="AH7611">
        <v>360.05339250128497</v>
      </c>
      <c r="AI7611">
        <v>89.579270641713705</v>
      </c>
      <c r="AJ7611">
        <v>93.740360630404794</v>
      </c>
      <c r="AK7611">
        <v>360.83170310931899</v>
      </c>
      <c r="AL7611">
        <v>77.519015133732594</v>
      </c>
      <c r="AM7611">
        <v>87.500492002715703</v>
      </c>
      <c r="AN7611">
        <v>1.0000000363885</v>
      </c>
    </row>
    <row r="7612" spans="1:40" x14ac:dyDescent="0.25">
      <c r="A7612" t="str">
        <f>"20190303170436399"</f>
        <v>20190303170436399</v>
      </c>
      <c r="B7612" t="str">
        <f>"1551603876393199"</f>
        <v>1551603876393199</v>
      </c>
      <c r="C7612" t="s">
        <v>40</v>
      </c>
      <c r="D7612">
        <v>4.4078520000000001</v>
      </c>
      <c r="E7612">
        <v>0.46177459999999998</v>
      </c>
      <c r="F7612" t="s">
        <v>49</v>
      </c>
      <c r="G7612">
        <v>-201.4308</v>
      </c>
      <c r="H7612">
        <v>3.621372</v>
      </c>
      <c r="I7612">
        <v>391.87</v>
      </c>
      <c r="J7612">
        <v>-187.74760000000001</v>
      </c>
      <c r="K7612">
        <v>1.12165</v>
      </c>
      <c r="L7612">
        <v>31.478729999999999</v>
      </c>
      <c r="M7612">
        <v>2.9318650000000002E-2</v>
      </c>
      <c r="N7612">
        <v>-1.022034E-2</v>
      </c>
      <c r="O7612">
        <v>0.99951789999999996</v>
      </c>
      <c r="P7612">
        <v>7.1154560000000006E-2</v>
      </c>
      <c r="Q7612">
        <v>0.20533489999999999</v>
      </c>
      <c r="R7612">
        <v>0.97610180000000002</v>
      </c>
      <c r="S7612">
        <v>-0.116745</v>
      </c>
      <c r="T7612">
        <v>2.1337390000000001E-2</v>
      </c>
      <c r="U7612">
        <v>3.0781559999999999</v>
      </c>
      <c r="V7612">
        <v>4.2286150000000002E-2</v>
      </c>
      <c r="W7612">
        <v>0.21536040000000001</v>
      </c>
      <c r="X7612">
        <v>0.97561869999999995</v>
      </c>
      <c r="Y7612">
        <v>-6.7175810000000002E-2</v>
      </c>
      <c r="Z7612">
        <v>1.7142330000000001E-2</v>
      </c>
      <c r="AA7612">
        <v>0.99759390000000003</v>
      </c>
      <c r="AB7612">
        <v>35</v>
      </c>
      <c r="AC7612">
        <v>-13.683199999999999</v>
      </c>
      <c r="AD7612">
        <v>2.4997220000000002</v>
      </c>
      <c r="AE7612">
        <v>360.39127000000002</v>
      </c>
      <c r="AF7612">
        <v>-24.242889575000401</v>
      </c>
      <c r="AG7612">
        <v>2.4997220000000002</v>
      </c>
      <c r="AH7612">
        <v>359.81784758382599</v>
      </c>
      <c r="AI7612">
        <v>89.602862232885101</v>
      </c>
      <c r="AJ7612">
        <v>93.854503555612396</v>
      </c>
      <c r="AK7612">
        <v>360.64227392927802</v>
      </c>
      <c r="AL7612">
        <v>77.563328397872397</v>
      </c>
      <c r="AM7612">
        <v>87.518187730514299</v>
      </c>
      <c r="AN7612">
        <v>1.0000000340798301</v>
      </c>
    </row>
    <row r="7613" spans="1:40" x14ac:dyDescent="0.25">
      <c r="A7613" t="str">
        <f>"20190303170436418"</f>
        <v>20190303170436418</v>
      </c>
      <c r="B7613" t="str">
        <f>"1551603876402959"</f>
        <v>1551603876402959</v>
      </c>
      <c r="C7613" t="s">
        <v>40</v>
      </c>
      <c r="D7613">
        <v>4.4084820000000002</v>
      </c>
      <c r="E7613">
        <v>0.46178229999999998</v>
      </c>
      <c r="F7613" t="s">
        <v>49</v>
      </c>
      <c r="G7613">
        <v>-201.66200000000001</v>
      </c>
      <c r="H7613">
        <v>3.1873040000000001</v>
      </c>
      <c r="I7613">
        <v>391.00349999999997</v>
      </c>
      <c r="J7613">
        <v>-187.73869999999999</v>
      </c>
      <c r="K7613">
        <v>1.121651</v>
      </c>
      <c r="L7613">
        <v>31.79504</v>
      </c>
      <c r="M7613">
        <v>2.8889749999999999E-2</v>
      </c>
      <c r="N7613">
        <v>-1.0201450000000001E-2</v>
      </c>
      <c r="O7613">
        <v>0.99953060000000005</v>
      </c>
      <c r="P7613">
        <v>7.0178840000000006E-2</v>
      </c>
      <c r="Q7613">
        <v>0.20430619999999999</v>
      </c>
      <c r="R7613">
        <v>0.97638820000000004</v>
      </c>
      <c r="S7613">
        <v>-0.1191406</v>
      </c>
      <c r="T7613">
        <v>1.7686960000000002E-2</v>
      </c>
      <c r="U7613">
        <v>3.0783999999999998</v>
      </c>
      <c r="V7613">
        <v>4.1720470000000003E-2</v>
      </c>
      <c r="W7613">
        <v>0.21431539999999999</v>
      </c>
      <c r="X7613">
        <v>0.97587310000000005</v>
      </c>
      <c r="Y7613">
        <v>-6.7520220000000006E-2</v>
      </c>
      <c r="Z7613">
        <v>1.5939789999999999E-2</v>
      </c>
      <c r="AA7613">
        <v>0.99759050000000005</v>
      </c>
      <c r="AB7613">
        <v>35</v>
      </c>
      <c r="AC7613">
        <v>-13.923299999999999</v>
      </c>
      <c r="AD7613">
        <v>2.06565299999999</v>
      </c>
      <c r="AE7613">
        <v>359.20845999999898</v>
      </c>
      <c r="AF7613">
        <v>-24.294667749847299</v>
      </c>
      <c r="AG7613">
        <v>2.06565299999999</v>
      </c>
      <c r="AH7613">
        <v>358.644408454124</v>
      </c>
      <c r="AI7613">
        <v>89.670756657408901</v>
      </c>
      <c r="AJ7613">
        <v>93.875310997407695</v>
      </c>
      <c r="AK7613">
        <v>359.47226529845199</v>
      </c>
      <c r="AL7613">
        <v>77.624633535227105</v>
      </c>
      <c r="AM7613">
        <v>87.551984876897706</v>
      </c>
      <c r="AN7613">
        <v>0.99999999779889504</v>
      </c>
    </row>
    <row r="7614" spans="1:40" x14ac:dyDescent="0.25">
      <c r="A7614" t="str">
        <f>"20190303170436441"</f>
        <v>20190303170436441</v>
      </c>
      <c r="B7614" t="str">
        <f>"1551603876433215"</f>
        <v>1551603876433215</v>
      </c>
      <c r="C7614" t="s">
        <v>40</v>
      </c>
      <c r="D7614">
        <v>4.4062400000000004</v>
      </c>
      <c r="E7614">
        <v>0.46183619999999997</v>
      </c>
      <c r="F7614" t="s">
        <v>49</v>
      </c>
      <c r="G7614">
        <v>-201.98840000000001</v>
      </c>
      <c r="H7614">
        <v>2.7832940000000002</v>
      </c>
      <c r="I7614">
        <v>391.00349999999997</v>
      </c>
      <c r="J7614">
        <v>-187.72880000000001</v>
      </c>
      <c r="K7614">
        <v>1.121648</v>
      </c>
      <c r="L7614">
        <v>32.156590000000001</v>
      </c>
      <c r="M7614">
        <v>2.8400459999999999E-2</v>
      </c>
      <c r="N7614">
        <v>-1.0173430000000001E-2</v>
      </c>
      <c r="O7614">
        <v>0.99954489999999996</v>
      </c>
      <c r="P7614">
        <v>6.9255940000000002E-2</v>
      </c>
      <c r="Q7614">
        <v>0.20487349999999999</v>
      </c>
      <c r="R7614">
        <v>0.97633519999999896</v>
      </c>
      <c r="S7614">
        <v>-0.12211610000000001</v>
      </c>
      <c r="T7614">
        <v>1.423991E-2</v>
      </c>
      <c r="U7614">
        <v>3.0783390000000002</v>
      </c>
      <c r="V7614">
        <v>4.127538E-2</v>
      </c>
      <c r="W7614">
        <v>0.2148542</v>
      </c>
      <c r="X7614">
        <v>0.97577360000000002</v>
      </c>
      <c r="Y7614">
        <v>-6.7995680000000003E-2</v>
      </c>
      <c r="Z7614">
        <v>1.479464E-2</v>
      </c>
      <c r="AA7614">
        <v>0.99757589999999996</v>
      </c>
      <c r="AB7614">
        <v>35</v>
      </c>
      <c r="AC7614">
        <v>-14.259600000000001</v>
      </c>
      <c r="AD7614">
        <v>1.66164599999999</v>
      </c>
      <c r="AE7614">
        <v>358.84690999999998</v>
      </c>
      <c r="AF7614">
        <v>-24.445268411295199</v>
      </c>
      <c r="AG7614">
        <v>1.66164599999999</v>
      </c>
      <c r="AH7614">
        <v>358.28947501073702</v>
      </c>
      <c r="AI7614">
        <v>89.7348964705604</v>
      </c>
      <c r="AJ7614">
        <v>93.903110658714795</v>
      </c>
      <c r="AK7614">
        <v>359.12627322238501</v>
      </c>
      <c r="AL7614">
        <v>77.593026964391797</v>
      </c>
      <c r="AM7614">
        <v>87.577823305403697</v>
      </c>
      <c r="AN7614">
        <v>1.0000000513543701</v>
      </c>
    </row>
    <row r="7615" spans="1:40" x14ac:dyDescent="0.25">
      <c r="A7615" t="str">
        <f>"20190303170436474"</f>
        <v>20190303170436474</v>
      </c>
      <c r="B7615" t="str">
        <f>"1551603876463471"</f>
        <v>1551603876463471</v>
      </c>
      <c r="C7615" t="s">
        <v>40</v>
      </c>
      <c r="D7615">
        <v>4.3819480000000004</v>
      </c>
      <c r="E7615">
        <v>0.46240799999999999</v>
      </c>
      <c r="F7615" t="s">
        <v>49</v>
      </c>
      <c r="G7615">
        <v>-202.1669</v>
      </c>
      <c r="H7615">
        <v>2.884995</v>
      </c>
      <c r="I7615">
        <v>391.00349999999997</v>
      </c>
      <c r="J7615">
        <v>-187.7148</v>
      </c>
      <c r="K7615">
        <v>1.121645</v>
      </c>
      <c r="L7615">
        <v>32.670290000000001</v>
      </c>
      <c r="M7615">
        <v>2.7705879999999999E-2</v>
      </c>
      <c r="N7615">
        <v>-1.013376E-2</v>
      </c>
      <c r="O7615">
        <v>0.99956480000000003</v>
      </c>
      <c r="P7615">
        <v>6.8365869999999995E-2</v>
      </c>
      <c r="Q7615">
        <v>0.2051491</v>
      </c>
      <c r="R7615">
        <v>0.97634010000000004</v>
      </c>
      <c r="S7615">
        <v>-0.1238556</v>
      </c>
      <c r="T7615">
        <v>1.512671E-2</v>
      </c>
      <c r="U7615">
        <v>3.0783390000000002</v>
      </c>
      <c r="V7615">
        <v>4.1062580000000001E-2</v>
      </c>
      <c r="W7615">
        <v>0.21509120000000001</v>
      </c>
      <c r="X7615">
        <v>0.97573030000000005</v>
      </c>
      <c r="Y7615">
        <v>-6.7865170000000002E-2</v>
      </c>
      <c r="Z7615">
        <v>1.5042410000000001E-2</v>
      </c>
      <c r="AA7615">
        <v>0.9975811</v>
      </c>
      <c r="AB7615">
        <v>35</v>
      </c>
      <c r="AC7615">
        <v>-14.4521</v>
      </c>
      <c r="AD7615">
        <v>1.76335</v>
      </c>
      <c r="AE7615">
        <v>358.33320999999899</v>
      </c>
      <c r="AF7615">
        <v>-24.374408475794599</v>
      </c>
      <c r="AG7615">
        <v>1.76335</v>
      </c>
      <c r="AH7615">
        <v>357.78655957685402</v>
      </c>
      <c r="AI7615">
        <v>89.718273199141805</v>
      </c>
      <c r="AJ7615">
        <v>93.897285088845194</v>
      </c>
      <c r="AK7615">
        <v>358.62019380621803</v>
      </c>
      <c r="AL7615">
        <v>77.579122000441203</v>
      </c>
      <c r="AM7615">
        <v>87.5901895497677</v>
      </c>
      <c r="AN7615">
        <v>0.99999998906589305</v>
      </c>
    </row>
    <row r="7616" spans="1:40" x14ac:dyDescent="0.25">
      <c r="A7616" t="str">
        <f>"20190303170436498"</f>
        <v>20190303170436498</v>
      </c>
      <c r="B7616" t="str">
        <f>"1551603876482990"</f>
        <v>1551603876482990</v>
      </c>
      <c r="C7616" t="s">
        <v>40</v>
      </c>
      <c r="D7616">
        <v>4.4040049999999997</v>
      </c>
      <c r="E7616">
        <v>0.46272819999999998</v>
      </c>
      <c r="F7616" t="s">
        <v>49</v>
      </c>
      <c r="G7616">
        <v>-201.85390000000001</v>
      </c>
      <c r="H7616">
        <v>2.9755950000000002</v>
      </c>
      <c r="I7616">
        <v>391.00349999999997</v>
      </c>
      <c r="J7616">
        <v>-187.70500000000001</v>
      </c>
      <c r="K7616">
        <v>1.1216390000000001</v>
      </c>
      <c r="L7616">
        <v>33.043790000000001</v>
      </c>
      <c r="M7616">
        <v>2.720094E-2</v>
      </c>
      <c r="N7616">
        <v>-1.010745E-2</v>
      </c>
      <c r="O7616">
        <v>0.99957890000000005</v>
      </c>
      <c r="P7616">
        <v>6.6527810000000007E-2</v>
      </c>
      <c r="Q7616">
        <v>0.2049571</v>
      </c>
      <c r="R7616">
        <v>0.97650740000000003</v>
      </c>
      <c r="S7616">
        <v>-0.1214447</v>
      </c>
      <c r="T7616">
        <v>1.5924219999999999E-2</v>
      </c>
      <c r="U7616">
        <v>3.0778500000000002</v>
      </c>
      <c r="V7616">
        <v>3.9713720000000001E-2</v>
      </c>
      <c r="W7616">
        <v>0.21487329999999999</v>
      </c>
      <c r="X7616">
        <v>0.97583410000000004</v>
      </c>
      <c r="Y7616">
        <v>-6.6587279999999999E-2</v>
      </c>
      <c r="Z7616">
        <v>1.52756E-2</v>
      </c>
      <c r="AA7616">
        <v>0.99766370000000004</v>
      </c>
      <c r="AB7616">
        <v>35</v>
      </c>
      <c r="AC7616">
        <v>-14.1488999999999</v>
      </c>
      <c r="AD7616">
        <v>1.8539559999999999</v>
      </c>
      <c r="AE7616">
        <v>357.95970999999997</v>
      </c>
      <c r="AF7616">
        <v>-23.880362447267899</v>
      </c>
      <c r="AG7616">
        <v>1.8539559999999999</v>
      </c>
      <c r="AH7616">
        <v>357.43279034573601</v>
      </c>
      <c r="AI7616">
        <v>89.703478172936101</v>
      </c>
      <c r="AJ7616">
        <v>93.822295134314103</v>
      </c>
      <c r="AK7616">
        <v>358.23443228952999</v>
      </c>
      <c r="AL7616">
        <v>77.591905200186801</v>
      </c>
      <c r="AM7616">
        <v>87.669508007502202</v>
      </c>
      <c r="AN7616">
        <v>0.99999995266596797</v>
      </c>
    </row>
    <row r="7617" spans="1:40" x14ac:dyDescent="0.25">
      <c r="A7617" t="str">
        <f>"20190303170436520"</f>
        <v>20190303170436520</v>
      </c>
      <c r="B7617" t="str">
        <f>"1551603876513247"</f>
        <v>1551603876513247</v>
      </c>
      <c r="C7617" t="s">
        <v>40</v>
      </c>
      <c r="D7617">
        <v>4.3889339999999999</v>
      </c>
      <c r="E7617">
        <v>0.46281679999999997</v>
      </c>
      <c r="F7617" t="s">
        <v>49</v>
      </c>
      <c r="G7617">
        <v>-202.18969999999999</v>
      </c>
      <c r="H7617">
        <v>2.9187280000000002</v>
      </c>
      <c r="I7617">
        <v>391.00349999999997</v>
      </c>
      <c r="J7617">
        <v>-187.69579999999999</v>
      </c>
      <c r="K7617">
        <v>1.121631</v>
      </c>
      <c r="L7617">
        <v>33.398709999999902</v>
      </c>
      <c r="M7617">
        <v>2.6721200000000001E-2</v>
      </c>
      <c r="N7617">
        <v>-1.008441E-2</v>
      </c>
      <c r="O7617">
        <v>0.99959209999999998</v>
      </c>
      <c r="P7617">
        <v>6.4712309999999995E-2</v>
      </c>
      <c r="Q7617">
        <v>0.20443529999999999</v>
      </c>
      <c r="R7617">
        <v>0.97673869999999896</v>
      </c>
      <c r="S7617">
        <v>-0.124527</v>
      </c>
      <c r="T7617">
        <v>1.544976E-2</v>
      </c>
      <c r="U7617">
        <v>3.077423</v>
      </c>
      <c r="V7617">
        <v>3.8361680000000002E-2</v>
      </c>
      <c r="W7617">
        <v>0.2143293</v>
      </c>
      <c r="X7617">
        <v>0.97600790000000004</v>
      </c>
      <c r="Y7617">
        <v>-6.7111550000000006E-2</v>
      </c>
      <c r="Z7617">
        <v>1.5099370000000001E-2</v>
      </c>
      <c r="AA7617">
        <v>0.99763120000000005</v>
      </c>
      <c r="AB7617">
        <v>35</v>
      </c>
      <c r="AC7617">
        <v>-14.493899999999901</v>
      </c>
      <c r="AD7617">
        <v>1.79709699999999</v>
      </c>
      <c r="AE7617">
        <v>357.60478999999998</v>
      </c>
      <c r="AF7617">
        <v>-24.044232469018102</v>
      </c>
      <c r="AG7617">
        <v>1.79709699999999</v>
      </c>
      <c r="AH7617">
        <v>357.080768149373</v>
      </c>
      <c r="AI7617">
        <v>89.712298779612794</v>
      </c>
      <c r="AJ7617">
        <v>93.852228158288497</v>
      </c>
      <c r="AK7617">
        <v>357.89388043776103</v>
      </c>
      <c r="AL7617">
        <v>77.623818759479406</v>
      </c>
      <c r="AM7617">
        <v>87.749166210221404</v>
      </c>
      <c r="AN7617">
        <v>1.0000000440966601</v>
      </c>
    </row>
    <row r="7618" spans="1:40" x14ac:dyDescent="0.25">
      <c r="A7618" t="str">
        <f>"20190303170436541"</f>
        <v>20190303170436541</v>
      </c>
      <c r="B7618" t="str">
        <f>"1551603876532639"</f>
        <v>1551603876532639</v>
      </c>
      <c r="C7618" t="s">
        <v>40</v>
      </c>
      <c r="D7618">
        <v>4.2519</v>
      </c>
      <c r="E7618">
        <v>0.4632347</v>
      </c>
      <c r="F7618" t="s">
        <v>49</v>
      </c>
      <c r="G7618">
        <v>-202.7174</v>
      </c>
      <c r="H7618">
        <v>2.7367110000000001</v>
      </c>
      <c r="I7618">
        <v>391.00349999999997</v>
      </c>
      <c r="J7618">
        <v>-187.68690000000001</v>
      </c>
      <c r="K7618">
        <v>1.121634</v>
      </c>
      <c r="L7618">
        <v>33.750029999999903</v>
      </c>
      <c r="M7618">
        <v>2.6246559999999999E-2</v>
      </c>
      <c r="N7618">
        <v>-1.0062E-2</v>
      </c>
      <c r="O7618">
        <v>0.99960490000000002</v>
      </c>
      <c r="P7618">
        <v>6.2736420000000001E-2</v>
      </c>
      <c r="Q7618">
        <v>0.2041499</v>
      </c>
      <c r="R7618">
        <v>0.97692730000000005</v>
      </c>
      <c r="S7618">
        <v>-0.12925719999999999</v>
      </c>
      <c r="T7618">
        <v>1.3897420000000001E-2</v>
      </c>
      <c r="U7618">
        <v>3.077118</v>
      </c>
      <c r="V7618">
        <v>3.6845450000000002E-2</v>
      </c>
      <c r="W7618">
        <v>0.21402189999999999</v>
      </c>
      <c r="X7618">
        <v>0.97613369999999999</v>
      </c>
      <c r="Y7618">
        <v>-6.8172880000000005E-2</v>
      </c>
      <c r="Z7618">
        <v>1.457397E-2</v>
      </c>
      <c r="AA7618">
        <v>0.99756710000000004</v>
      </c>
      <c r="AB7618">
        <v>35</v>
      </c>
      <c r="AC7618">
        <v>-15.0304999999999</v>
      </c>
      <c r="AD7618">
        <v>1.6150770000000001</v>
      </c>
      <c r="AE7618">
        <v>357.25346999999999</v>
      </c>
      <c r="AF7618">
        <v>-24.401972576657901</v>
      </c>
      <c r="AG7618">
        <v>1.6150770000000001</v>
      </c>
      <c r="AH7618">
        <v>356.72858688907201</v>
      </c>
      <c r="AI7618">
        <v>89.741201778979104</v>
      </c>
      <c r="AJ7618">
        <v>93.913214335934995</v>
      </c>
      <c r="AK7618">
        <v>357.56586727933302</v>
      </c>
      <c r="AL7618">
        <v>77.641849093156793</v>
      </c>
      <c r="AM7618">
        <v>87.838321717484007</v>
      </c>
      <c r="AN7618">
        <v>0.99999998057050099</v>
      </c>
    </row>
    <row r="7619" spans="1:40" x14ac:dyDescent="0.25">
      <c r="A7619" t="str">
        <f>"20190303170436564"</f>
        <v>20190303170436564</v>
      </c>
      <c r="B7619" t="str">
        <f>"1551603876553136"</f>
        <v>1551603876553136</v>
      </c>
      <c r="C7619" t="s">
        <v>40</v>
      </c>
      <c r="D7619">
        <v>4.4072559999999896</v>
      </c>
      <c r="E7619">
        <v>0.46369589999999999</v>
      </c>
      <c r="F7619" t="s">
        <v>49</v>
      </c>
      <c r="G7619">
        <v>-202.97219999999999</v>
      </c>
      <c r="H7619">
        <v>2.5764019999999999</v>
      </c>
      <c r="I7619">
        <v>391.00349999999997</v>
      </c>
      <c r="J7619">
        <v>-187.67789999999999</v>
      </c>
      <c r="K7619">
        <v>1.121631</v>
      </c>
      <c r="L7619">
        <v>34.107120000000002</v>
      </c>
      <c r="M7619">
        <v>2.5764189999999999E-2</v>
      </c>
      <c r="N7619">
        <v>-1.003661E-2</v>
      </c>
      <c r="O7619">
        <v>0.9996176</v>
      </c>
      <c r="P7619">
        <v>6.1609070000000002E-2</v>
      </c>
      <c r="Q7619">
        <v>0.20403979999999999</v>
      </c>
      <c r="R7619">
        <v>0.9770221</v>
      </c>
      <c r="S7619">
        <v>-0.13163759999999999</v>
      </c>
      <c r="T7619">
        <v>1.2528539999999999E-2</v>
      </c>
      <c r="U7619">
        <v>3.0766909999999998</v>
      </c>
      <c r="V7619">
        <v>3.6187440000000001E-2</v>
      </c>
      <c r="W7619">
        <v>0.21388689999999999</v>
      </c>
      <c r="X7619">
        <v>0.9761879</v>
      </c>
      <c r="Y7619">
        <v>-6.8467780000000006E-2</v>
      </c>
      <c r="Z7619">
        <v>1.410524E-2</v>
      </c>
      <c r="AA7619">
        <v>0.99755360000000004</v>
      </c>
      <c r="AB7619">
        <v>35</v>
      </c>
      <c r="AC7619">
        <v>-15.2942999999999</v>
      </c>
      <c r="AD7619">
        <v>1.45477099999999</v>
      </c>
      <c r="AE7619">
        <v>356.89638000000002</v>
      </c>
      <c r="AF7619">
        <v>-24.484426341648899</v>
      </c>
      <c r="AG7619">
        <v>1.45477099999999</v>
      </c>
      <c r="AH7619">
        <v>356.377920085244</v>
      </c>
      <c r="AI7619">
        <v>89.766664125149205</v>
      </c>
      <c r="AJ7619">
        <v>93.930247089294596</v>
      </c>
      <c r="AK7619">
        <v>357.220975610653</v>
      </c>
      <c r="AL7619">
        <v>77.649767330618005</v>
      </c>
      <c r="AM7619">
        <v>87.877008495717106</v>
      </c>
      <c r="AN7619">
        <v>0.99999997645588601</v>
      </c>
    </row>
    <row r="7620" spans="1:40" x14ac:dyDescent="0.25">
      <c r="A7620" t="str">
        <f>"20190303170436586"</f>
        <v>20190303170436586</v>
      </c>
      <c r="B7620" t="str">
        <f>"1551603876572655"</f>
        <v>1551603876572655</v>
      </c>
      <c r="C7620" t="s">
        <v>40</v>
      </c>
      <c r="D7620">
        <v>4.4701120000000003</v>
      </c>
      <c r="E7620">
        <v>0.46393050000000002</v>
      </c>
      <c r="F7620" t="s">
        <v>49</v>
      </c>
      <c r="G7620">
        <v>-202.916</v>
      </c>
      <c r="H7620">
        <v>2.5125380000000002</v>
      </c>
      <c r="I7620">
        <v>391.00349999999997</v>
      </c>
      <c r="J7620">
        <v>-187.66970000000001</v>
      </c>
      <c r="K7620">
        <v>1.1216219999999999</v>
      </c>
      <c r="L7620">
        <v>34.444180000000003</v>
      </c>
      <c r="M7620">
        <v>2.5308890000000001E-2</v>
      </c>
      <c r="N7620">
        <v>-1.001355E-2</v>
      </c>
      <c r="O7620">
        <v>0.99962949999999995</v>
      </c>
      <c r="P7620">
        <v>6.0981609999999999E-2</v>
      </c>
      <c r="Q7620">
        <v>0.20442250000000001</v>
      </c>
      <c r="R7620">
        <v>0.9769814</v>
      </c>
      <c r="S7620">
        <v>-0.13134770000000001</v>
      </c>
      <c r="T7620">
        <v>1.198924E-2</v>
      </c>
      <c r="U7620">
        <v>3.076355</v>
      </c>
      <c r="V7620">
        <v>3.6005759999999998E-2</v>
      </c>
      <c r="W7620">
        <v>0.2142464</v>
      </c>
      <c r="X7620">
        <v>0.97611579999999998</v>
      </c>
      <c r="Y7620">
        <v>-6.7924269999999995E-2</v>
      </c>
      <c r="Z7620">
        <v>1.390773E-2</v>
      </c>
      <c r="AA7620">
        <v>0.99759350000000002</v>
      </c>
      <c r="AB7620">
        <v>36</v>
      </c>
      <c r="AC7620">
        <v>-15.2462999999999</v>
      </c>
      <c r="AD7620">
        <v>1.390916</v>
      </c>
      <c r="AE7620">
        <v>356.55932000000001</v>
      </c>
      <c r="AF7620">
        <v>-24.265620517080801</v>
      </c>
      <c r="AG7620">
        <v>1.390916</v>
      </c>
      <c r="AH7620">
        <v>356.053800424869</v>
      </c>
      <c r="AI7620">
        <v>89.776694471072105</v>
      </c>
      <c r="AJ7620">
        <v>93.898767866452403</v>
      </c>
      <c r="AK7620">
        <v>356.88242291179102</v>
      </c>
      <c r="AL7620">
        <v>77.6286809200069</v>
      </c>
      <c r="AM7620">
        <v>87.887501465866393</v>
      </c>
      <c r="AN7620">
        <v>0.99999999483788804</v>
      </c>
    </row>
    <row r="7621" spans="1:40" x14ac:dyDescent="0.25">
      <c r="A7621" t="str">
        <f>"20190303170436607"</f>
        <v>20190303170436607</v>
      </c>
      <c r="B7621" t="str">
        <f>"1551603876593152"</f>
        <v>1551603876593152</v>
      </c>
      <c r="C7621" t="s">
        <v>40</v>
      </c>
      <c r="D7621">
        <v>4.4128720000000001</v>
      </c>
      <c r="E7621">
        <v>0.46415400000000001</v>
      </c>
      <c r="F7621" t="s">
        <v>49</v>
      </c>
      <c r="G7621">
        <v>-202.90350000000001</v>
      </c>
      <c r="H7621">
        <v>2.672428</v>
      </c>
      <c r="I7621">
        <v>391.00349999999997</v>
      </c>
      <c r="J7621">
        <v>-187.66120000000001</v>
      </c>
      <c r="K7621">
        <v>1.1216170000000001</v>
      </c>
      <c r="L7621">
        <v>34.795380000000002</v>
      </c>
      <c r="M7621">
        <v>2.4834519999999999E-2</v>
      </c>
      <c r="N7621">
        <v>-9.9921539999999996E-3</v>
      </c>
      <c r="O7621">
        <v>0.99964169999999997</v>
      </c>
      <c r="P7621">
        <v>6.0896680000000002E-2</v>
      </c>
      <c r="Q7621">
        <v>0.20481099999999999</v>
      </c>
      <c r="R7621">
        <v>0.97690529999999998</v>
      </c>
      <c r="S7621">
        <v>-0.13142400000000001</v>
      </c>
      <c r="T7621">
        <v>1.337898E-2</v>
      </c>
      <c r="U7621">
        <v>3.0760800000000001</v>
      </c>
      <c r="V7621">
        <v>3.6385929999999997E-2</v>
      </c>
      <c r="W7621">
        <v>0.21461340000000001</v>
      </c>
      <c r="X7621">
        <v>0.97602109999999997</v>
      </c>
      <c r="Y7621">
        <v>-6.7479220000000006E-2</v>
      </c>
      <c r="Z7621">
        <v>1.4337509999999999E-2</v>
      </c>
      <c r="AA7621">
        <v>0.99761770000000005</v>
      </c>
      <c r="AB7621">
        <v>36</v>
      </c>
      <c r="AC7621">
        <v>-15.2423</v>
      </c>
      <c r="AD7621">
        <v>1.5508109999999999</v>
      </c>
      <c r="AE7621">
        <v>356.20811999999898</v>
      </c>
      <c r="AF7621">
        <v>-24.083841555464701</v>
      </c>
      <c r="AG7621">
        <v>1.5508109999999999</v>
      </c>
      <c r="AH7621">
        <v>355.71296173479999</v>
      </c>
      <c r="AI7621">
        <v>89.750778256459697</v>
      </c>
      <c r="AJ7621">
        <v>93.873346986823407</v>
      </c>
      <c r="AK7621">
        <v>356.53071057760201</v>
      </c>
      <c r="AL7621">
        <v>77.607152892127701</v>
      </c>
      <c r="AM7621">
        <v>87.865010053930305</v>
      </c>
      <c r="AN7621">
        <v>1.0000000175033601</v>
      </c>
    </row>
    <row r="7622" spans="1:40" x14ac:dyDescent="0.25">
      <c r="A7622" t="str">
        <f>"20190303170436630"</f>
        <v>20190303170436630</v>
      </c>
      <c r="B7622" t="str">
        <f>"1551603876623408"</f>
        <v>1551603876623408</v>
      </c>
      <c r="C7622" t="s">
        <v>40</v>
      </c>
      <c r="D7622">
        <v>4.4137820000000003</v>
      </c>
      <c r="E7622">
        <v>0.4644588</v>
      </c>
      <c r="F7622" t="s">
        <v>49</v>
      </c>
      <c r="G7622">
        <v>-202.69800000000001</v>
      </c>
      <c r="H7622">
        <v>2.9231449999999999</v>
      </c>
      <c r="I7622">
        <v>391.00349999999997</v>
      </c>
      <c r="J7622">
        <v>-187.6525</v>
      </c>
      <c r="K7622">
        <v>1.1216140000000001</v>
      </c>
      <c r="L7622">
        <v>35.168329999999997</v>
      </c>
      <c r="M7622">
        <v>2.433105E-2</v>
      </c>
      <c r="N7622">
        <v>-9.9719539999999999E-3</v>
      </c>
      <c r="O7622">
        <v>0.99965420000000005</v>
      </c>
      <c r="P7622">
        <v>6.0426689999999998E-2</v>
      </c>
      <c r="Q7622">
        <v>0.2044376</v>
      </c>
      <c r="R7622">
        <v>0.97701280000000001</v>
      </c>
      <c r="S7622">
        <v>-0.12983699999999901</v>
      </c>
      <c r="T7622">
        <v>1.5555619999999999E-2</v>
      </c>
      <c r="U7622">
        <v>3.075745</v>
      </c>
      <c r="V7622">
        <v>3.6405779999999999E-2</v>
      </c>
      <c r="W7622">
        <v>0.2142213</v>
      </c>
      <c r="X7622">
        <v>0.97610649999999999</v>
      </c>
      <c r="Y7622">
        <v>-6.6467369999999998E-2</v>
      </c>
      <c r="Z7622">
        <v>1.5024060000000001E-2</v>
      </c>
      <c r="AA7622">
        <v>0.99767550000000005</v>
      </c>
      <c r="AB7622">
        <v>36</v>
      </c>
      <c r="AC7622">
        <v>-15.045499999999899</v>
      </c>
      <c r="AD7622">
        <v>1.801531</v>
      </c>
      <c r="AE7622">
        <v>355.83516999999898</v>
      </c>
      <c r="AF7622">
        <v>-23.698713051772</v>
      </c>
      <c r="AG7622">
        <v>1.801531</v>
      </c>
      <c r="AH7622">
        <v>355.35463342989601</v>
      </c>
      <c r="AI7622">
        <v>89.710175534872306</v>
      </c>
      <c r="AJ7622">
        <v>93.815423884691299</v>
      </c>
      <c r="AK7622">
        <v>356.14855048750297</v>
      </c>
      <c r="AL7622">
        <v>77.630153578471493</v>
      </c>
      <c r="AM7622">
        <v>87.864033129012299</v>
      </c>
      <c r="AN7622">
        <v>1.0000000227666701</v>
      </c>
    </row>
    <row r="7623" spans="1:40" x14ac:dyDescent="0.25">
      <c r="A7623" t="str">
        <f>"20190303170436653"</f>
        <v>20190303170436653</v>
      </c>
      <c r="B7623" t="str">
        <f>"1551603876643435"</f>
        <v>1551603876643435</v>
      </c>
      <c r="C7623" t="s">
        <v>40</v>
      </c>
      <c r="D7623">
        <v>4.396706</v>
      </c>
      <c r="E7623">
        <v>0.46482250000000003</v>
      </c>
      <c r="F7623" t="s">
        <v>49</v>
      </c>
      <c r="G7623">
        <v>-202.53</v>
      </c>
      <c r="H7623">
        <v>2.8260839999999998</v>
      </c>
      <c r="I7623">
        <v>391.00349999999997</v>
      </c>
      <c r="J7623">
        <v>-187.64420000000001</v>
      </c>
      <c r="K7623">
        <v>1.1216159999999999</v>
      </c>
      <c r="L7623">
        <v>35.525970000000001</v>
      </c>
      <c r="M7623">
        <v>2.3848279999999999E-2</v>
      </c>
      <c r="N7623">
        <v>-9.9548109999999992E-3</v>
      </c>
      <c r="O7623">
        <v>0.99966600000000005</v>
      </c>
      <c r="P7623">
        <v>5.9417079999999997E-2</v>
      </c>
      <c r="Q7623">
        <v>0.20352439999999999</v>
      </c>
      <c r="R7623">
        <v>0.9772653</v>
      </c>
      <c r="S7623">
        <v>-0.1285858</v>
      </c>
      <c r="T7623">
        <v>1.4731650000000001E-2</v>
      </c>
      <c r="U7623">
        <v>3.0754700000000001</v>
      </c>
      <c r="V7623">
        <v>3.586317E-2</v>
      </c>
      <c r="W7623">
        <v>0.21329290000000001</v>
      </c>
      <c r="X7623">
        <v>0.97632989999999997</v>
      </c>
      <c r="Y7623">
        <v>-6.5584180000000006E-2</v>
      </c>
      <c r="Z7623">
        <v>1.4740130000000001E-2</v>
      </c>
      <c r="AA7623">
        <v>0.99773820000000002</v>
      </c>
      <c r="AB7623">
        <v>36</v>
      </c>
      <c r="AC7623">
        <v>-14.8857999999999</v>
      </c>
      <c r="AD7623">
        <v>1.7044680000000001</v>
      </c>
      <c r="AE7623">
        <v>355.47753</v>
      </c>
      <c r="AF7623">
        <v>-23.358977764366202</v>
      </c>
      <c r="AG7623">
        <v>1.7044680000000001</v>
      </c>
      <c r="AH7623">
        <v>355.01325230481302</v>
      </c>
      <c r="AI7623">
        <v>89.725510631183596</v>
      </c>
      <c r="AJ7623">
        <v>93.764491679486895</v>
      </c>
      <c r="AK7623">
        <v>355.78498614387797</v>
      </c>
      <c r="AL7623">
        <v>77.684605889757805</v>
      </c>
      <c r="AM7623">
        <v>87.896320850757704</v>
      </c>
      <c r="AN7623">
        <v>1.0000000508934299</v>
      </c>
    </row>
    <row r="7624" spans="1:40" x14ac:dyDescent="0.25">
      <c r="A7624" t="str">
        <f>"20190303170436676"</f>
        <v>20190303170436676</v>
      </c>
      <c r="B7624" t="str">
        <f>"1551603876662955"</f>
        <v>1551603876662955</v>
      </c>
      <c r="C7624" t="s">
        <v>40</v>
      </c>
      <c r="D7624">
        <v>4.5314709999999998</v>
      </c>
      <c r="E7624">
        <v>0.46511639999999999</v>
      </c>
      <c r="F7624" t="s">
        <v>49</v>
      </c>
      <c r="G7624">
        <v>-202.524</v>
      </c>
      <c r="H7624">
        <v>2.4647410000000001</v>
      </c>
      <c r="I7624">
        <v>391.00349999999997</v>
      </c>
      <c r="J7624">
        <v>-187.63630000000001</v>
      </c>
      <c r="K7624">
        <v>1.121613</v>
      </c>
      <c r="L7624">
        <v>35.873170000000002</v>
      </c>
      <c r="M7624">
        <v>2.337968E-2</v>
      </c>
      <c r="N7624">
        <v>-9.9353459999999994E-3</v>
      </c>
      <c r="O7624">
        <v>0.99967729999999999</v>
      </c>
      <c r="P7624">
        <v>5.8532319999999999E-2</v>
      </c>
      <c r="Q7624">
        <v>0.20268320000000001</v>
      </c>
      <c r="R7624">
        <v>0.97749350000000002</v>
      </c>
      <c r="S7624">
        <v>-0.12872310000000001</v>
      </c>
      <c r="T7624">
        <v>1.161921E-2</v>
      </c>
      <c r="U7624">
        <v>3.0751949999999999</v>
      </c>
      <c r="V7624">
        <v>3.543226E-2</v>
      </c>
      <c r="W7624">
        <v>0.21243419999999999</v>
      </c>
      <c r="X7624">
        <v>0.97653279999999998</v>
      </c>
      <c r="Y7624">
        <v>-6.5164949999999999E-2</v>
      </c>
      <c r="Z7624">
        <v>1.3711070000000001E-2</v>
      </c>
      <c r="AA7624">
        <v>0.99778029999999995</v>
      </c>
      <c r="AB7624">
        <v>36</v>
      </c>
      <c r="AC7624">
        <v>-14.887699999999899</v>
      </c>
      <c r="AD7624">
        <v>1.3431280000000001</v>
      </c>
      <c r="AE7624">
        <v>355.13033000000001</v>
      </c>
      <c r="AF7624">
        <v>-23.186542276180599</v>
      </c>
      <c r="AG7624">
        <v>1.3431280000000001</v>
      </c>
      <c r="AH7624">
        <v>354.68009705381098</v>
      </c>
      <c r="AI7624">
        <v>89.783491417395595</v>
      </c>
      <c r="AJ7624">
        <v>93.740281351262496</v>
      </c>
      <c r="AK7624">
        <v>355.439714975198</v>
      </c>
      <c r="AL7624">
        <v>77.734959427903902</v>
      </c>
      <c r="AM7624">
        <v>87.922006542650195</v>
      </c>
      <c r="AN7624">
        <v>1.0000000219270899</v>
      </c>
    </row>
    <row r="7625" spans="1:40" x14ac:dyDescent="0.25">
      <c r="A7625" t="str">
        <f>"20190303170436699"</f>
        <v>20190303170436699</v>
      </c>
      <c r="B7625" t="str">
        <f>"1551603876693211"</f>
        <v>1551603876693211</v>
      </c>
      <c r="C7625" t="s">
        <v>40</v>
      </c>
      <c r="D7625">
        <v>4.4138529999999996</v>
      </c>
      <c r="E7625">
        <v>0.4653757</v>
      </c>
      <c r="F7625" t="s">
        <v>49</v>
      </c>
      <c r="G7625">
        <v>-202.51840000000001</v>
      </c>
      <c r="H7625">
        <v>2.116886</v>
      </c>
      <c r="I7625">
        <v>391.00349999999997</v>
      </c>
      <c r="J7625">
        <v>-187.62819999999999</v>
      </c>
      <c r="K7625">
        <v>1.12161</v>
      </c>
      <c r="L7625">
        <v>36.24091</v>
      </c>
      <c r="M7625">
        <v>2.2883480000000001E-2</v>
      </c>
      <c r="N7625">
        <v>-9.9140400000000007E-3</v>
      </c>
      <c r="O7625">
        <v>0.99968900000000005</v>
      </c>
      <c r="P7625">
        <v>5.808874E-2</v>
      </c>
      <c r="Q7625">
        <v>0.2025324</v>
      </c>
      <c r="R7625">
        <v>0.97755119999999895</v>
      </c>
      <c r="S7625">
        <v>-0.12886049999999999</v>
      </c>
      <c r="T7625">
        <v>8.6178780000000007E-3</v>
      </c>
      <c r="U7625">
        <v>3.0750120000000001</v>
      </c>
      <c r="V7625">
        <v>3.5472789999999997E-2</v>
      </c>
      <c r="W7625">
        <v>0.21226320000000001</v>
      </c>
      <c r="X7625">
        <v>0.97656849999999995</v>
      </c>
      <c r="Y7625">
        <v>-6.4716839999999998E-2</v>
      </c>
      <c r="Z7625">
        <v>1.2715890000000001E-2</v>
      </c>
      <c r="AA7625">
        <v>0.9978226</v>
      </c>
      <c r="AB7625">
        <v>36</v>
      </c>
      <c r="AC7625">
        <v>-14.8902</v>
      </c>
      <c r="AD7625">
        <v>0.99527600000000005</v>
      </c>
      <c r="AE7625">
        <v>354.76258999999999</v>
      </c>
      <c r="AF7625">
        <v>-23.004721175990198</v>
      </c>
      <c r="AG7625">
        <v>0.99527600000000005</v>
      </c>
      <c r="AH7625">
        <v>354.32614213162202</v>
      </c>
      <c r="AI7625">
        <v>89.839398936827095</v>
      </c>
      <c r="AJ7625">
        <v>93.7147303706234</v>
      </c>
      <c r="AK7625">
        <v>355.07354557693998</v>
      </c>
      <c r="AL7625">
        <v>77.744985516944794</v>
      </c>
      <c r="AM7625">
        <v>87.919707654075907</v>
      </c>
      <c r="AN7625">
        <v>1.0000000100484301</v>
      </c>
    </row>
    <row r="7626" spans="1:40" x14ac:dyDescent="0.25">
      <c r="A7626" t="str">
        <f>"20190303170436721"</f>
        <v>20190303170436721</v>
      </c>
      <c r="B7626" t="str">
        <f>"1551603876713707"</f>
        <v>1551603876713707</v>
      </c>
      <c r="C7626" t="s">
        <v>40</v>
      </c>
      <c r="D7626">
        <v>4.3016610000000002</v>
      </c>
      <c r="E7626">
        <v>0.46542939999999999</v>
      </c>
      <c r="F7626" t="s">
        <v>49</v>
      </c>
      <c r="G7626">
        <v>-202.458</v>
      </c>
      <c r="H7626">
        <v>2.1815910000000001</v>
      </c>
      <c r="I7626">
        <v>391.00349999999997</v>
      </c>
      <c r="J7626">
        <v>-187.62020000000001</v>
      </c>
      <c r="K7626">
        <v>1.1216120000000001</v>
      </c>
      <c r="L7626">
        <v>36.610840000000003</v>
      </c>
      <c r="M7626">
        <v>2.2384379999999999E-2</v>
      </c>
      <c r="N7626">
        <v>-9.8935429999999994E-3</v>
      </c>
      <c r="O7626">
        <v>0.99970049999999999</v>
      </c>
      <c r="P7626">
        <v>5.7828900000000003E-2</v>
      </c>
      <c r="Q7626">
        <v>0.20290330000000001</v>
      </c>
      <c r="R7626">
        <v>0.97748970000000002</v>
      </c>
      <c r="S7626">
        <v>-0.12852479999999999</v>
      </c>
      <c r="T7626">
        <v>9.1865060000000005E-3</v>
      </c>
      <c r="U7626">
        <v>3.0746150000000001</v>
      </c>
      <c r="V7626">
        <v>3.5702030000000003E-2</v>
      </c>
      <c r="W7626">
        <v>0.2126132</v>
      </c>
      <c r="X7626">
        <v>0.97648400000000002</v>
      </c>
      <c r="Y7626">
        <v>-6.4115249999999999E-2</v>
      </c>
      <c r="Z7626">
        <v>1.2880320000000001E-2</v>
      </c>
      <c r="AA7626">
        <v>0.99785939999999995</v>
      </c>
      <c r="AB7626">
        <v>36</v>
      </c>
      <c r="AC7626">
        <v>-14.8377999999999</v>
      </c>
      <c r="AD7626">
        <v>1.059979</v>
      </c>
      <c r="AE7626">
        <v>354.39265999999998</v>
      </c>
      <c r="AF7626">
        <v>-22.7671266499787</v>
      </c>
      <c r="AG7626">
        <v>1.059979</v>
      </c>
      <c r="AH7626">
        <v>353.96854187054402</v>
      </c>
      <c r="AI7626">
        <v>89.828778835788995</v>
      </c>
      <c r="AJ7626">
        <v>93.680174109487993</v>
      </c>
      <c r="AK7626">
        <v>354.70155658713298</v>
      </c>
      <c r="AL7626">
        <v>77.724463507762394</v>
      </c>
      <c r="AM7626">
        <v>87.906094842571605</v>
      </c>
      <c r="AN7626">
        <v>1.0000000050081801</v>
      </c>
    </row>
    <row r="7627" spans="1:40" x14ac:dyDescent="0.25">
      <c r="A7627" t="str">
        <f>"20190303170436743"</f>
        <v>20190303170436743</v>
      </c>
      <c r="B7627" t="str">
        <f>"1551603876732761"</f>
        <v>1551603876732761</v>
      </c>
      <c r="C7627" t="s">
        <v>40</v>
      </c>
      <c r="D7627">
        <v>4.3971410000000004</v>
      </c>
      <c r="E7627">
        <v>0.46541399999999999</v>
      </c>
      <c r="F7627" t="s">
        <v>49</v>
      </c>
      <c r="G7627">
        <v>-202.46940000000001</v>
      </c>
      <c r="H7627">
        <v>2.4504419999999998</v>
      </c>
      <c r="I7627">
        <v>391.00349999999997</v>
      </c>
      <c r="J7627">
        <v>-187.6129</v>
      </c>
      <c r="K7627">
        <v>1.121605</v>
      </c>
      <c r="L7627">
        <v>36.954099999999997</v>
      </c>
      <c r="M7627">
        <v>2.192117E-2</v>
      </c>
      <c r="N7627">
        <v>-9.8700290000000006E-3</v>
      </c>
      <c r="O7627">
        <v>0.99971100000000002</v>
      </c>
      <c r="P7627">
        <v>5.7105879999999998E-2</v>
      </c>
      <c r="Q7627">
        <v>0.2029522</v>
      </c>
      <c r="R7627">
        <v>0.977522</v>
      </c>
      <c r="S7627">
        <v>-0.1288147</v>
      </c>
      <c r="T7627">
        <v>1.152742E-2</v>
      </c>
      <c r="U7627">
        <v>3.0743100000000001</v>
      </c>
      <c r="V7627">
        <v>3.5431329999999997E-2</v>
      </c>
      <c r="W7627">
        <v>0.2126392</v>
      </c>
      <c r="X7627">
        <v>0.97648820000000003</v>
      </c>
      <c r="Y7627">
        <v>-6.3750769999999998E-2</v>
      </c>
      <c r="Z7627">
        <v>1.361707E-2</v>
      </c>
      <c r="AA7627">
        <v>0.99787289999999995</v>
      </c>
      <c r="AB7627">
        <v>36</v>
      </c>
      <c r="AC7627">
        <v>-14.8565</v>
      </c>
      <c r="AD7627">
        <v>1.3288369999999901</v>
      </c>
      <c r="AE7627">
        <v>354.04939999999999</v>
      </c>
      <c r="AF7627">
        <v>-22.614166665857901</v>
      </c>
      <c r="AG7627">
        <v>1.3288369999999901</v>
      </c>
      <c r="AH7627">
        <v>353.63365388147798</v>
      </c>
      <c r="AI7627">
        <v>89.785141499434502</v>
      </c>
      <c r="AJ7627">
        <v>93.658968624109406</v>
      </c>
      <c r="AK7627">
        <v>354.35847315864902</v>
      </c>
      <c r="AL7627">
        <v>77.722938976755998</v>
      </c>
      <c r="AM7627">
        <v>87.921966212166396</v>
      </c>
      <c r="AN7627">
        <v>1.00000000663072</v>
      </c>
    </row>
    <row r="7628" spans="1:40" x14ac:dyDescent="0.25">
      <c r="A7628" t="str">
        <f>"20190303170436764"</f>
        <v>20190303170436764</v>
      </c>
      <c r="B7628" t="str">
        <f>"1551603876753254"</f>
        <v>1551603876753254</v>
      </c>
      <c r="C7628" t="s">
        <v>40</v>
      </c>
      <c r="D7628">
        <v>4.335782</v>
      </c>
      <c r="E7628">
        <v>0.46557150000000003</v>
      </c>
      <c r="F7628" t="s">
        <v>49</v>
      </c>
      <c r="G7628">
        <v>-202.70609999999999</v>
      </c>
      <c r="H7628">
        <v>2.61348</v>
      </c>
      <c r="I7628">
        <v>391.00349999999997</v>
      </c>
      <c r="J7628">
        <v>-187.60579999999999</v>
      </c>
      <c r="K7628">
        <v>1.121597</v>
      </c>
      <c r="L7628">
        <v>37.299010000000003</v>
      </c>
      <c r="M7628">
        <v>2.1455849999999999E-2</v>
      </c>
      <c r="N7628">
        <v>-9.8400399999999996E-3</v>
      </c>
      <c r="O7628">
        <v>0.99972130000000003</v>
      </c>
      <c r="P7628">
        <v>5.6616930000000003E-2</v>
      </c>
      <c r="Q7628">
        <v>0.20288870000000001</v>
      </c>
      <c r="R7628">
        <v>0.97756370000000004</v>
      </c>
      <c r="S7628">
        <v>-0.13104250000000001</v>
      </c>
      <c r="T7628">
        <v>1.29528E-2</v>
      </c>
      <c r="U7628">
        <v>3.073944</v>
      </c>
      <c r="V7628">
        <v>3.5396660000000003E-2</v>
      </c>
      <c r="W7628">
        <v>0.2125465</v>
      </c>
      <c r="X7628">
        <v>0.97650959999999998</v>
      </c>
      <c r="Y7628">
        <v>-6.4013029999999999E-2</v>
      </c>
      <c r="Z7628">
        <v>1.405027E-2</v>
      </c>
      <c r="AA7628">
        <v>0.99785020000000002</v>
      </c>
      <c r="AB7628">
        <v>36</v>
      </c>
      <c r="AC7628">
        <v>-15.100300000000001</v>
      </c>
      <c r="AD7628">
        <v>1.4918830000000001</v>
      </c>
      <c r="AE7628">
        <v>353.70449000000002</v>
      </c>
      <c r="AF7628">
        <v>-22.685819124958101</v>
      </c>
      <c r="AG7628">
        <v>1.4918830000000001</v>
      </c>
      <c r="AH7628">
        <v>353.29277887565001</v>
      </c>
      <c r="AI7628">
        <v>89.758550364003796</v>
      </c>
      <c r="AJ7628">
        <v>93.674062157175698</v>
      </c>
      <c r="AK7628">
        <v>354.02352988175102</v>
      </c>
      <c r="AL7628">
        <v>77.728374073277195</v>
      </c>
      <c r="AM7628">
        <v>87.924043269516602</v>
      </c>
      <c r="AN7628">
        <v>0.99999996854678197</v>
      </c>
    </row>
    <row r="7629" spans="1:40" x14ac:dyDescent="0.25">
      <c r="A7629" t="str">
        <f>"20190303170436786"</f>
        <v>20190303170436786</v>
      </c>
      <c r="B7629" t="str">
        <f>"1551603876772774"</f>
        <v>1551603876772774</v>
      </c>
      <c r="C7629" t="s">
        <v>40</v>
      </c>
      <c r="D7629">
        <v>4.4173839999999904</v>
      </c>
      <c r="E7629">
        <v>0.46575030000000001</v>
      </c>
      <c r="F7629" t="s">
        <v>49</v>
      </c>
      <c r="G7629">
        <v>-202.65950000000001</v>
      </c>
      <c r="H7629">
        <v>2.665035</v>
      </c>
      <c r="I7629">
        <v>391.00349999999997</v>
      </c>
      <c r="J7629">
        <v>-187.59870000000001</v>
      </c>
      <c r="K7629">
        <v>1.1215869999999999</v>
      </c>
      <c r="L7629">
        <v>37.651119999999999</v>
      </c>
      <c r="M7629">
        <v>2.0980869999999999E-2</v>
      </c>
      <c r="N7629">
        <v>-9.8006910000000003E-3</v>
      </c>
      <c r="O7629">
        <v>0.99973179999999995</v>
      </c>
      <c r="P7629">
        <v>5.6322249999999997E-2</v>
      </c>
      <c r="Q7629">
        <v>0.20271059999999999</v>
      </c>
      <c r="R7629">
        <v>0.97761759999999998</v>
      </c>
      <c r="S7629">
        <v>-0.1308136</v>
      </c>
      <c r="T7629">
        <v>1.3412240000000001E-2</v>
      </c>
      <c r="U7629">
        <v>3.073639</v>
      </c>
      <c r="V7629">
        <v>3.5565560000000003E-2</v>
      </c>
      <c r="W7629">
        <v>0.21233079999999999</v>
      </c>
      <c r="X7629">
        <v>0.97655040000000004</v>
      </c>
      <c r="Y7629">
        <v>-6.3468940000000001E-2</v>
      </c>
      <c r="Z7629">
        <v>1.4160539999999999E-2</v>
      </c>
      <c r="AA7629">
        <v>0.99788330000000003</v>
      </c>
      <c r="AB7629">
        <v>36</v>
      </c>
      <c r="AC7629">
        <v>-15.0608</v>
      </c>
      <c r="AD7629">
        <v>1.5434479999999999</v>
      </c>
      <c r="AE7629">
        <v>353.35237999999998</v>
      </c>
      <c r="AF7629">
        <v>-22.471053213225499</v>
      </c>
      <c r="AG7629">
        <v>1.5434479999999999</v>
      </c>
      <c r="AH7629">
        <v>352.95186582371298</v>
      </c>
      <c r="AI7629">
        <v>89.749955102161096</v>
      </c>
      <c r="AJ7629">
        <v>93.642879633543302</v>
      </c>
      <c r="AK7629">
        <v>353.66983197988498</v>
      </c>
      <c r="AL7629">
        <v>77.741021608877105</v>
      </c>
      <c r="AM7629">
        <v>87.9142333568373</v>
      </c>
      <c r="AN7629">
        <v>0.99999998071345597</v>
      </c>
    </row>
    <row r="7630" spans="1:40" x14ac:dyDescent="0.25">
      <c r="A7630" t="str">
        <f>"20190303170436809"</f>
        <v>20190303170436809</v>
      </c>
      <c r="B7630" t="str">
        <f>"1551603876793270"</f>
        <v>1551603876793270</v>
      </c>
      <c r="C7630" t="s">
        <v>40</v>
      </c>
      <c r="D7630">
        <v>4.3016100000000002</v>
      </c>
      <c r="E7630">
        <v>0.46600380000000002</v>
      </c>
      <c r="F7630" t="s">
        <v>49</v>
      </c>
      <c r="G7630">
        <v>-202.6508</v>
      </c>
      <c r="H7630">
        <v>2.690283</v>
      </c>
      <c r="I7630">
        <v>391.00349999999997</v>
      </c>
      <c r="J7630">
        <v>-187.59129999999999</v>
      </c>
      <c r="K7630">
        <v>1.1215759999999999</v>
      </c>
      <c r="L7630">
        <v>38.026029999999999</v>
      </c>
      <c r="M7630">
        <v>2.0475030000000002E-2</v>
      </c>
      <c r="N7630">
        <v>-9.7482070000000001E-3</v>
      </c>
      <c r="O7630">
        <v>0.99974289999999999</v>
      </c>
      <c r="P7630">
        <v>5.6010009999999999E-2</v>
      </c>
      <c r="Q7630">
        <v>0.20184369999999999</v>
      </c>
      <c r="R7630">
        <v>0.97781490000000004</v>
      </c>
      <c r="S7630">
        <v>-0.13092039999999999</v>
      </c>
      <c r="T7630">
        <v>1.364422E-2</v>
      </c>
      <c r="U7630">
        <v>3.0733950000000001</v>
      </c>
      <c r="V7630">
        <v>3.5744989999999997E-2</v>
      </c>
      <c r="W7630">
        <v>0.21141460000000001</v>
      </c>
      <c r="X7630">
        <v>0.97674260000000002</v>
      </c>
      <c r="Y7630">
        <v>-6.3002000000000002E-2</v>
      </c>
      <c r="Z7630">
        <v>1.418375E-2</v>
      </c>
      <c r="AA7630">
        <v>0.99791260000000004</v>
      </c>
      <c r="AB7630">
        <v>36</v>
      </c>
      <c r="AC7630">
        <v>-15.0595</v>
      </c>
      <c r="AD7630">
        <v>1.5687070000000001</v>
      </c>
      <c r="AE7630">
        <v>352.97746999999998</v>
      </c>
      <c r="AF7630">
        <v>-22.2834706434735</v>
      </c>
      <c r="AG7630">
        <v>1.5687070000000001</v>
      </c>
      <c r="AH7630">
        <v>352.58815672987703</v>
      </c>
      <c r="AI7630">
        <v>89.745593449443405</v>
      </c>
      <c r="AJ7630">
        <v>93.616267289755996</v>
      </c>
      <c r="AK7630">
        <v>353.29509219877701</v>
      </c>
      <c r="AL7630">
        <v>77.794735348524796</v>
      </c>
      <c r="AM7630">
        <v>87.904132056826498</v>
      </c>
      <c r="AN7630">
        <v>0.99999997202900903</v>
      </c>
    </row>
    <row r="7631" spans="1:40" x14ac:dyDescent="0.25">
      <c r="A7631" t="str">
        <f>"20190303170436831"</f>
        <v>20190303170436831</v>
      </c>
      <c r="B7631" t="str">
        <f>"1551603876823527"</f>
        <v>1551603876823527</v>
      </c>
      <c r="C7631" t="s">
        <v>40</v>
      </c>
      <c r="D7631">
        <v>4.3261000000000003</v>
      </c>
      <c r="E7631">
        <v>0.46624460000000001</v>
      </c>
      <c r="F7631" t="s">
        <v>49</v>
      </c>
      <c r="G7631">
        <v>-202.54769999999999</v>
      </c>
      <c r="H7631">
        <v>2.4067970000000001</v>
      </c>
      <c r="I7631">
        <v>391.00349999999997</v>
      </c>
      <c r="J7631">
        <v>-187.58430000000001</v>
      </c>
      <c r="K7631">
        <v>1.121564</v>
      </c>
      <c r="L7631">
        <v>38.392490000000002</v>
      </c>
      <c r="M7631">
        <v>1.9980620000000001E-2</v>
      </c>
      <c r="N7631">
        <v>-9.6901650000000006E-3</v>
      </c>
      <c r="O7631">
        <v>0.99975340000000001</v>
      </c>
      <c r="P7631">
        <v>5.513581E-2</v>
      </c>
      <c r="Q7631">
        <v>0.20160610000000001</v>
      </c>
      <c r="R7631">
        <v>0.97791360000000005</v>
      </c>
      <c r="S7631">
        <v>-0.13021849999999999</v>
      </c>
      <c r="T7631">
        <v>1.118982E-2</v>
      </c>
      <c r="U7631">
        <v>3.0732119999999998</v>
      </c>
      <c r="V7631">
        <v>3.535282E-2</v>
      </c>
      <c r="W7631">
        <v>0.21112049999999999</v>
      </c>
      <c r="X7631">
        <v>0.97682049999999998</v>
      </c>
      <c r="Y7631">
        <v>-6.2283760000000001E-2</v>
      </c>
      <c r="Z7631">
        <v>1.332884E-2</v>
      </c>
      <c r="AA7631">
        <v>0.99796940000000001</v>
      </c>
      <c r="AB7631">
        <v>36</v>
      </c>
      <c r="AC7631">
        <v>-14.963399999999901</v>
      </c>
      <c r="AD7631">
        <v>1.2852330000000001</v>
      </c>
      <c r="AE7631">
        <v>352.61101000000002</v>
      </c>
      <c r="AF7631">
        <v>-22.005838161378001</v>
      </c>
      <c r="AG7631">
        <v>1.2852330000000001</v>
      </c>
      <c r="AH7631">
        <v>352.23694754750198</v>
      </c>
      <c r="AI7631">
        <v>89.791348370273894</v>
      </c>
      <c r="AJ7631">
        <v>93.574880794685996</v>
      </c>
      <c r="AK7631">
        <v>352.92602051227499</v>
      </c>
      <c r="AL7631">
        <v>77.811975371953906</v>
      </c>
      <c r="AM7631">
        <v>87.9272715060184</v>
      </c>
      <c r="AN7631">
        <v>0.99999998831122605</v>
      </c>
    </row>
    <row r="7632" spans="1:40" x14ac:dyDescent="0.25">
      <c r="A7632" t="str">
        <f>"20190303170436854"</f>
        <v>20190303170436854</v>
      </c>
      <c r="B7632" t="str">
        <f>"1551603876843552"</f>
        <v>1551603876843552</v>
      </c>
      <c r="C7632" t="s">
        <v>40</v>
      </c>
      <c r="D7632">
        <v>4.3472080000000002</v>
      </c>
      <c r="E7632">
        <v>0.44379200000000002</v>
      </c>
      <c r="F7632" t="s">
        <v>49</v>
      </c>
      <c r="G7632">
        <v>-202.53720000000001</v>
      </c>
      <c r="H7632">
        <v>2.3366229999999999</v>
      </c>
      <c r="I7632">
        <v>391.00349999999997</v>
      </c>
      <c r="J7632">
        <v>-187.57769999999999</v>
      </c>
      <c r="K7632">
        <v>1.121551</v>
      </c>
      <c r="L7632">
        <v>38.74042</v>
      </c>
      <c r="M7632">
        <v>1.9511420000000002E-2</v>
      </c>
      <c r="N7632">
        <v>-9.6306640000000006E-3</v>
      </c>
      <c r="O7632">
        <v>0.99976330000000002</v>
      </c>
      <c r="P7632">
        <v>5.3975040000000002E-2</v>
      </c>
      <c r="Q7632">
        <v>0.20227010000000001</v>
      </c>
      <c r="R7632">
        <v>0.97784130000000002</v>
      </c>
      <c r="S7632">
        <v>-0.13031010000000001</v>
      </c>
      <c r="T7632">
        <v>1.058888E-2</v>
      </c>
      <c r="U7632">
        <v>3.0729060000000001</v>
      </c>
      <c r="V7632">
        <v>3.465182E-2</v>
      </c>
      <c r="W7632">
        <v>0.211725</v>
      </c>
      <c r="X7632">
        <v>0.97671479999999999</v>
      </c>
      <c r="Y7632">
        <v>-6.1849330000000001E-2</v>
      </c>
      <c r="Z7632">
        <v>1.3074469999999999E-2</v>
      </c>
      <c r="AA7632">
        <v>0.99799979999999999</v>
      </c>
      <c r="AB7632">
        <v>36</v>
      </c>
      <c r="AC7632">
        <v>-14.9595</v>
      </c>
      <c r="AD7632">
        <v>1.2150719999999999</v>
      </c>
      <c r="AE7632">
        <v>352.26307999999898</v>
      </c>
      <c r="AF7632">
        <v>-21.829864016176</v>
      </c>
      <c r="AG7632">
        <v>1.2150719999999999</v>
      </c>
      <c r="AH7632">
        <v>351.89994097902797</v>
      </c>
      <c r="AI7632">
        <v>89.802544289440704</v>
      </c>
      <c r="AJ7632">
        <v>93.549754381013301</v>
      </c>
      <c r="AK7632">
        <v>352.57848462997998</v>
      </c>
      <c r="AL7632">
        <v>77.776539322233305</v>
      </c>
      <c r="AM7632">
        <v>87.968116517830197</v>
      </c>
      <c r="AN7632">
        <v>1.0000000123966699</v>
      </c>
    </row>
    <row r="7633" spans="1:40" x14ac:dyDescent="0.25">
      <c r="A7633" t="str">
        <f>"20190303170436875"</f>
        <v>20190303170436875</v>
      </c>
      <c r="B7633" t="str">
        <f>"1551603876872832"</f>
        <v>1551603876872832</v>
      </c>
      <c r="C7633" t="s">
        <v>40</v>
      </c>
      <c r="D7633">
        <v>4.2886879999999996</v>
      </c>
      <c r="E7633">
        <v>0.43402649999999998</v>
      </c>
      <c r="F7633" t="s">
        <v>49</v>
      </c>
      <c r="G7633">
        <v>-223.4171</v>
      </c>
      <c r="H7633">
        <v>5.5991439999999999</v>
      </c>
      <c r="I7633">
        <v>391.87</v>
      </c>
      <c r="J7633">
        <v>-187.57140000000001</v>
      </c>
      <c r="K7633">
        <v>1.1215409999999999</v>
      </c>
      <c r="L7633">
        <v>39.089080000000003</v>
      </c>
      <c r="M7633">
        <v>1.9041260000000001E-2</v>
      </c>
      <c r="N7633">
        <v>-9.5714000000000007E-3</v>
      </c>
      <c r="O7633">
        <v>0.99977289999999996</v>
      </c>
      <c r="P7633">
        <v>5.3159199999999997E-2</v>
      </c>
      <c r="Q7633">
        <v>0.20242579999999999</v>
      </c>
      <c r="R7633">
        <v>0.97785370000000005</v>
      </c>
      <c r="S7633">
        <v>-0.31230160000000001</v>
      </c>
      <c r="T7633">
        <v>3.901744E-2</v>
      </c>
      <c r="U7633">
        <v>3.0771480000000002</v>
      </c>
      <c r="V7633">
        <v>3.42955E-2</v>
      </c>
      <c r="W7633">
        <v>0.2118215</v>
      </c>
      <c r="X7633">
        <v>0.97670639999999997</v>
      </c>
      <c r="Y7633">
        <v>-0.1198753</v>
      </c>
      <c r="Z7633">
        <v>2.217649E-2</v>
      </c>
      <c r="AA7633">
        <v>0.99254129999999996</v>
      </c>
      <c r="AB7633">
        <v>36</v>
      </c>
      <c r="AC7633">
        <v>-35.845699999999901</v>
      </c>
      <c r="AD7633">
        <v>4.4776030000000002</v>
      </c>
      <c r="AE7633">
        <v>352.78091999999998</v>
      </c>
      <c r="AF7633">
        <v>-42.550116814844699</v>
      </c>
      <c r="AG7633">
        <v>4.4776030000000002</v>
      </c>
      <c r="AH7633">
        <v>351.97825361035899</v>
      </c>
      <c r="AI7633">
        <v>89.276432809080703</v>
      </c>
      <c r="AJ7633">
        <v>96.8929517566567</v>
      </c>
      <c r="AK7633">
        <v>354.56910805114001</v>
      </c>
      <c r="AL7633">
        <v>77.770881319493299</v>
      </c>
      <c r="AM7633">
        <v>87.988975576767402</v>
      </c>
      <c r="AN7633">
        <v>0.99999996049172901</v>
      </c>
    </row>
    <row r="7634" spans="1:40" x14ac:dyDescent="0.25">
      <c r="A7634" t="str">
        <f>"20190303170436900"</f>
        <v>20190303170436900</v>
      </c>
      <c r="B7634" t="str">
        <f>"1551603876893328"</f>
        <v>1551603876893328</v>
      </c>
      <c r="C7634" t="s">
        <v>40</v>
      </c>
      <c r="D7634">
        <v>4.2622070000000001</v>
      </c>
      <c r="E7634">
        <v>0.4322722</v>
      </c>
      <c r="F7634" t="s">
        <v>49</v>
      </c>
      <c r="G7634">
        <v>-232.37389999999999</v>
      </c>
      <c r="H7634">
        <v>6.8709759999999998</v>
      </c>
      <c r="I7634">
        <v>390.11860000000001</v>
      </c>
      <c r="J7634">
        <v>-187.5643</v>
      </c>
      <c r="K7634">
        <v>1.121532</v>
      </c>
      <c r="L7634">
        <v>39.486240000000002</v>
      </c>
      <c r="M7634">
        <v>1.8505710000000002E-2</v>
      </c>
      <c r="N7634">
        <v>-9.5032080000000008E-3</v>
      </c>
      <c r="O7634">
        <v>0.99978359999999999</v>
      </c>
      <c r="P7634">
        <v>5.2803839999999998E-2</v>
      </c>
      <c r="Q7634">
        <v>0.2019195</v>
      </c>
      <c r="R7634">
        <v>0.9779776</v>
      </c>
      <c r="S7634">
        <v>-0.39295960000000002</v>
      </c>
      <c r="T7634">
        <v>5.0427909999999999E-2</v>
      </c>
      <c r="U7634">
        <v>3.0788570000000002</v>
      </c>
      <c r="V7634">
        <v>3.4462079999999999E-2</v>
      </c>
      <c r="W7634">
        <v>0.2112501</v>
      </c>
      <c r="X7634">
        <v>0.97682429999999998</v>
      </c>
      <c r="Y7634">
        <v>-0.14490329999999901</v>
      </c>
      <c r="Z7634">
        <v>2.5732560000000002E-2</v>
      </c>
      <c r="AA7634">
        <v>0.98911119999999997</v>
      </c>
      <c r="AB7634">
        <v>36</v>
      </c>
      <c r="AC7634">
        <v>-44.809599999999897</v>
      </c>
      <c r="AD7634">
        <v>5.7494440000000004</v>
      </c>
      <c r="AE7634">
        <v>350.63236000000001</v>
      </c>
      <c r="AF7634">
        <v>-51.277354041863497</v>
      </c>
      <c r="AG7634">
        <v>5.7494440000000004</v>
      </c>
      <c r="AH7634">
        <v>349.65053854837299</v>
      </c>
      <c r="AI7634">
        <v>89.067915554592304</v>
      </c>
      <c r="AJ7634">
        <v>98.343133629844203</v>
      </c>
      <c r="AK7634">
        <v>353.43729606680103</v>
      </c>
      <c r="AL7634">
        <v>77.804378351668205</v>
      </c>
      <c r="AM7634">
        <v>87.979459414707193</v>
      </c>
      <c r="AN7634">
        <v>0.99999997638921201</v>
      </c>
    </row>
    <row r="7635" spans="1:40" x14ac:dyDescent="0.25">
      <c r="A7635" t="str">
        <f>"20190303170436921"</f>
        <v>20190303170436921</v>
      </c>
      <c r="B7635" t="str">
        <f>"1551603876912848"</f>
        <v>1551603876912848</v>
      </c>
      <c r="C7635" t="s">
        <v>40</v>
      </c>
      <c r="D7635">
        <v>4.2518820000000002</v>
      </c>
      <c r="E7635">
        <v>0.43139169999999999</v>
      </c>
      <c r="F7635" t="s">
        <v>49</v>
      </c>
      <c r="G7635">
        <v>-234.02189999999999</v>
      </c>
      <c r="H7635">
        <v>7.1402789999999996</v>
      </c>
      <c r="I7635">
        <v>390.11860000000001</v>
      </c>
      <c r="J7635">
        <v>-187.5582</v>
      </c>
      <c r="K7635">
        <v>1.1215200000000001</v>
      </c>
      <c r="L7635">
        <v>39.841889999999999</v>
      </c>
      <c r="M7635">
        <v>1.8026540000000001E-2</v>
      </c>
      <c r="N7635">
        <v>-9.4435860000000003E-3</v>
      </c>
      <c r="O7635">
        <v>0.99979289999999998</v>
      </c>
      <c r="P7635">
        <v>5.211623E-2</v>
      </c>
      <c r="Q7635">
        <v>0.20069390000000001</v>
      </c>
      <c r="R7635">
        <v>0.97826679999999999</v>
      </c>
      <c r="S7635">
        <v>-0.40791319999999998</v>
      </c>
      <c r="T7635">
        <v>5.2846669999999998E-2</v>
      </c>
      <c r="U7635">
        <v>3.0786739999999999</v>
      </c>
      <c r="V7635">
        <v>3.4239119999999998E-2</v>
      </c>
      <c r="W7635">
        <v>0.20996870000000001</v>
      </c>
      <c r="X7635">
        <v>0.97710839999999999</v>
      </c>
      <c r="Y7635">
        <v>-0.1491577</v>
      </c>
      <c r="Z7635">
        <v>2.6441139999999998E-2</v>
      </c>
      <c r="AA7635">
        <v>0.9884598</v>
      </c>
      <c r="AB7635">
        <v>36</v>
      </c>
      <c r="AC7635">
        <v>-46.463699999999903</v>
      </c>
      <c r="AD7635">
        <v>6.0187589999999904</v>
      </c>
      <c r="AE7635">
        <v>350.27670999999998</v>
      </c>
      <c r="AF7635">
        <v>-52.755401390007002</v>
      </c>
      <c r="AG7635">
        <v>6.0187589999999904</v>
      </c>
      <c r="AH7635">
        <v>349.28082857535099</v>
      </c>
      <c r="AI7635">
        <v>89.023854235705699</v>
      </c>
      <c r="AJ7635">
        <v>98.589037108272393</v>
      </c>
      <c r="AK7635">
        <v>353.29372347383202</v>
      </c>
      <c r="AL7635">
        <v>77.879481993901393</v>
      </c>
      <c r="AM7635">
        <v>87.993104224445005</v>
      </c>
      <c r="AN7635">
        <v>0.99999999883431201</v>
      </c>
    </row>
    <row r="7636" spans="1:40" x14ac:dyDescent="0.25">
      <c r="A7636" t="str">
        <f>"20190303170436943"</f>
        <v>20190303170436943</v>
      </c>
      <c r="B7636" t="str">
        <f>"1551603876933344"</f>
        <v>1551603876933344</v>
      </c>
      <c r="C7636" t="s">
        <v>40</v>
      </c>
      <c r="D7636">
        <v>4.2458580000000001</v>
      </c>
      <c r="E7636">
        <v>0.43119479999999999</v>
      </c>
      <c r="F7636" t="s">
        <v>49</v>
      </c>
      <c r="G7636">
        <v>-234.87710000000001</v>
      </c>
      <c r="H7636">
        <v>6.5669170000000001</v>
      </c>
      <c r="I7636">
        <v>390.11860000000001</v>
      </c>
      <c r="J7636">
        <v>-187.5523</v>
      </c>
      <c r="K7636">
        <v>1.1215029999999999</v>
      </c>
      <c r="L7636">
        <v>40.19312</v>
      </c>
      <c r="M7636">
        <v>1.7553280000000001E-2</v>
      </c>
      <c r="N7636">
        <v>-9.3815080000000002E-3</v>
      </c>
      <c r="O7636">
        <v>0.99980190000000002</v>
      </c>
      <c r="P7636">
        <v>5.1509569999999998E-2</v>
      </c>
      <c r="Q7636">
        <v>0.20020740000000001</v>
      </c>
      <c r="R7636">
        <v>0.97839860000000001</v>
      </c>
      <c r="S7636">
        <v>-0.41593930000000001</v>
      </c>
      <c r="T7636">
        <v>4.7865749999999999E-2</v>
      </c>
      <c r="U7636">
        <v>3.0789789999999999</v>
      </c>
      <c r="V7636">
        <v>3.4093569999999997E-2</v>
      </c>
      <c r="W7636">
        <v>0.20942230000000001</v>
      </c>
      <c r="X7636">
        <v>0.97723070000000001</v>
      </c>
      <c r="Y7636">
        <v>-0.1512126</v>
      </c>
      <c r="Z7636">
        <v>2.477207E-2</v>
      </c>
      <c r="AA7636">
        <v>0.98819080000000004</v>
      </c>
      <c r="AB7636">
        <v>36</v>
      </c>
      <c r="AC7636">
        <v>-47.324800000000003</v>
      </c>
      <c r="AD7636">
        <v>5.4454140000000004</v>
      </c>
      <c r="AE7636">
        <v>349.92547999999999</v>
      </c>
      <c r="AF7636">
        <v>-53.447407749114397</v>
      </c>
      <c r="AG7636">
        <v>5.4454140000000004</v>
      </c>
      <c r="AH7636">
        <v>348.95783260250698</v>
      </c>
      <c r="AI7636">
        <v>89.116287608964399</v>
      </c>
      <c r="AJ7636">
        <v>98.707918191947201</v>
      </c>
      <c r="AK7636">
        <v>353.06918141261002</v>
      </c>
      <c r="AL7636">
        <v>77.911499755263094</v>
      </c>
      <c r="AM7636">
        <v>88.001878469858596</v>
      </c>
      <c r="AN7636">
        <v>0.99999995613756099</v>
      </c>
    </row>
    <row r="7637" spans="1:40" x14ac:dyDescent="0.25">
      <c r="A7637" t="str">
        <f>"20190303170436965"</f>
        <v>20190303170436965</v>
      </c>
      <c r="B7637" t="str">
        <f>"1551603876952864"</f>
        <v>1551603876952864</v>
      </c>
      <c r="C7637" t="s">
        <v>40</v>
      </c>
      <c r="D7637">
        <v>4.2509620000000004</v>
      </c>
      <c r="E7637">
        <v>0.4310831</v>
      </c>
      <c r="F7637" t="s">
        <v>49</v>
      </c>
      <c r="G7637">
        <v>-235.12970000000001</v>
      </c>
      <c r="H7637">
        <v>6.4393039999999999</v>
      </c>
      <c r="I7637">
        <v>390.11860000000001</v>
      </c>
      <c r="J7637">
        <v>-187.54650000000001</v>
      </c>
      <c r="K7637">
        <v>1.1214980000000001</v>
      </c>
      <c r="L7637">
        <v>40.545499999999997</v>
      </c>
      <c r="M7637">
        <v>1.7078820000000001E-2</v>
      </c>
      <c r="N7637">
        <v>-9.3143219999999999E-3</v>
      </c>
      <c r="O7637">
        <v>0.9998108</v>
      </c>
      <c r="P7637">
        <v>5.1078169999999999E-2</v>
      </c>
      <c r="Q7637">
        <v>0.2009504</v>
      </c>
      <c r="R7637">
        <v>0.9782689</v>
      </c>
      <c r="S7637">
        <v>-0.41859439999999998</v>
      </c>
      <c r="T7637">
        <v>4.6786899999999999E-2</v>
      </c>
      <c r="U7637">
        <v>3.0787049999999998</v>
      </c>
      <c r="V7637">
        <v>3.4127539999999998E-2</v>
      </c>
      <c r="W7637">
        <v>0.2100987</v>
      </c>
      <c r="X7637">
        <v>0.97708430000000002</v>
      </c>
      <c r="Y7637">
        <v>-0.15159310000000001</v>
      </c>
      <c r="Z7637">
        <v>2.4358270000000001E-2</v>
      </c>
      <c r="AA7637">
        <v>0.98814279999999999</v>
      </c>
      <c r="AB7637">
        <v>36</v>
      </c>
      <c r="AC7637">
        <v>-47.583199999999998</v>
      </c>
      <c r="AD7637">
        <v>5.317806</v>
      </c>
      <c r="AE7637">
        <v>349.57310000000001</v>
      </c>
      <c r="AF7637">
        <v>-53.534650742917499</v>
      </c>
      <c r="AG7637">
        <v>5.317806</v>
      </c>
      <c r="AH7637">
        <v>348.630198754905</v>
      </c>
      <c r="AI7637">
        <v>89.136233484197405</v>
      </c>
      <c r="AJ7637">
        <v>98.729984277738097</v>
      </c>
      <c r="AK7637">
        <v>352.75664894471402</v>
      </c>
      <c r="AL7637">
        <v>77.871862896074802</v>
      </c>
      <c r="AM7637">
        <v>87.999589766370804</v>
      </c>
      <c r="AN7637">
        <v>0.99999994101731404</v>
      </c>
    </row>
    <row r="7638" spans="1:40" x14ac:dyDescent="0.25">
      <c r="A7638" t="str">
        <f>"20190303170436988"</f>
        <v>20190303170436988</v>
      </c>
      <c r="B7638" t="str">
        <f>"1551603876983120"</f>
        <v>1551603876983120</v>
      </c>
      <c r="C7638" t="s">
        <v>40</v>
      </c>
      <c r="D7638">
        <v>4.2457729999999998</v>
      </c>
      <c r="E7638">
        <v>0.4308805</v>
      </c>
      <c r="F7638" t="s">
        <v>50</v>
      </c>
      <c r="G7638">
        <v>-240.37880000000001</v>
      </c>
      <c r="H7638">
        <v>7.4042389999999996</v>
      </c>
      <c r="I7638">
        <v>426.75069999999999</v>
      </c>
      <c r="J7638">
        <v>-187.54060000000001</v>
      </c>
      <c r="K7638">
        <v>1.12148799999999</v>
      </c>
      <c r="L7638">
        <v>40.91431</v>
      </c>
      <c r="M7638">
        <v>1.6582510000000002E-2</v>
      </c>
      <c r="N7638">
        <v>-9.2470009999999995E-3</v>
      </c>
      <c r="O7638">
        <v>0.99981980000000004</v>
      </c>
      <c r="P7638">
        <v>4.97388E-2</v>
      </c>
      <c r="Q7638">
        <v>0.20179859999999999</v>
      </c>
      <c r="R7638">
        <v>0.97816329999999996</v>
      </c>
      <c r="S7638">
        <v>-0.42111209999999999</v>
      </c>
      <c r="T7638">
        <v>5.0078270000000001E-2</v>
      </c>
      <c r="U7638">
        <v>3.0783390000000002</v>
      </c>
      <c r="V7638">
        <v>3.3274379999999999E-2</v>
      </c>
      <c r="W7638">
        <v>0.21087910000000001</v>
      </c>
      <c r="X7638">
        <v>0.97694559999999997</v>
      </c>
      <c r="Y7638">
        <v>-0.15190899999999999</v>
      </c>
      <c r="Z7638">
        <v>2.534867E-2</v>
      </c>
      <c r="AA7638">
        <v>0.98806939999999999</v>
      </c>
      <c r="AB7638">
        <v>36</v>
      </c>
      <c r="AC7638">
        <v>-52.838200000000001</v>
      </c>
      <c r="AD7638">
        <v>6.2827509999999904</v>
      </c>
      <c r="AE7638">
        <v>385.83638999999999</v>
      </c>
      <c r="AF7638">
        <v>-59.213931531516003</v>
      </c>
      <c r="AG7638">
        <v>6.2827509999999904</v>
      </c>
      <c r="AH7638">
        <v>384.80695215910998</v>
      </c>
      <c r="AI7638">
        <v>89.075493441720894</v>
      </c>
      <c r="AJ7638">
        <v>98.748033054910906</v>
      </c>
      <c r="AK7638">
        <v>389.386893818386</v>
      </c>
      <c r="AL7638">
        <v>77.826124570644794</v>
      </c>
      <c r="AM7638">
        <v>88.049282535509406</v>
      </c>
      <c r="AN7638">
        <v>0.999999942270275</v>
      </c>
    </row>
    <row r="7639" spans="1:40" x14ac:dyDescent="0.25">
      <c r="A7639" t="str">
        <f>"20190303170437010"</f>
        <v>20190303170437010</v>
      </c>
      <c r="B7639" t="str">
        <f>"1551603877003616"</f>
        <v>1551603877003616</v>
      </c>
      <c r="C7639" t="s">
        <v>40</v>
      </c>
      <c r="D7639">
        <v>4.209327</v>
      </c>
      <c r="E7639">
        <v>0.4308652</v>
      </c>
      <c r="F7639" t="s">
        <v>50</v>
      </c>
      <c r="G7639">
        <v>-240.37870000000001</v>
      </c>
      <c r="H7639">
        <v>7.7409179999999997</v>
      </c>
      <c r="I7639">
        <v>422.40129999999999</v>
      </c>
      <c r="J7639">
        <v>-187.53479999999999</v>
      </c>
      <c r="K7639">
        <v>1.1214869999999999</v>
      </c>
      <c r="L7639">
        <v>41.295960000000001</v>
      </c>
      <c r="M7639">
        <v>1.6068989999999998E-2</v>
      </c>
      <c r="N7639">
        <v>-9.1807810000000007E-3</v>
      </c>
      <c r="O7639">
        <v>0.99982879999999996</v>
      </c>
      <c r="P7639">
        <v>4.8432000000000003E-2</v>
      </c>
      <c r="Q7639">
        <v>0.2020815</v>
      </c>
      <c r="R7639">
        <v>0.97817050000000005</v>
      </c>
      <c r="S7639">
        <v>-0.42626950000000002</v>
      </c>
      <c r="T7639">
        <v>5.34023E-2</v>
      </c>
      <c r="U7639">
        <v>3.0776370000000002</v>
      </c>
      <c r="V7639">
        <v>3.2469329999999998E-2</v>
      </c>
      <c r="W7639">
        <v>0.2110958</v>
      </c>
      <c r="X7639">
        <v>0.97692599999999996</v>
      </c>
      <c r="Y7639">
        <v>-0.15305369999999999</v>
      </c>
      <c r="Z7639">
        <v>2.6350490000000001E-2</v>
      </c>
      <c r="AA7639">
        <v>0.98786649999999998</v>
      </c>
      <c r="AB7639">
        <v>37</v>
      </c>
      <c r="AC7639">
        <v>-52.843899999999998</v>
      </c>
      <c r="AD7639">
        <v>6.6194309999999996</v>
      </c>
      <c r="AE7639">
        <v>381.10534000000001</v>
      </c>
      <c r="AF7639">
        <v>-58.9438651784711</v>
      </c>
      <c r="AG7639">
        <v>6.6194309999999996</v>
      </c>
      <c r="AH7639">
        <v>380.09444071315801</v>
      </c>
      <c r="AI7639">
        <v>89.014064351894902</v>
      </c>
      <c r="AJ7639">
        <v>98.815035257122304</v>
      </c>
      <c r="AK7639">
        <v>384.69465809910798</v>
      </c>
      <c r="AL7639">
        <v>77.813423993894304</v>
      </c>
      <c r="AM7639">
        <v>88.096405444706903</v>
      </c>
      <c r="AN7639">
        <v>1.0000000518221399</v>
      </c>
    </row>
    <row r="7640" spans="1:40" x14ac:dyDescent="0.25">
      <c r="A7640" t="str">
        <f>"20190303170437025"</f>
        <v>20190303170437025</v>
      </c>
      <c r="B7640" t="str">
        <f>"1551603877013377"</f>
        <v>1551603877013377</v>
      </c>
      <c r="C7640" t="s">
        <v>40</v>
      </c>
      <c r="D7640">
        <v>4.2301580000000003</v>
      </c>
      <c r="E7640">
        <v>0.43084549999999999</v>
      </c>
      <c r="F7640" t="s">
        <v>50</v>
      </c>
      <c r="G7640">
        <v>-241.88820000000001</v>
      </c>
      <c r="H7640">
        <v>7.9793779999999996</v>
      </c>
      <c r="I7640">
        <v>429.98669999999998</v>
      </c>
      <c r="J7640">
        <v>-187.53139999999999</v>
      </c>
      <c r="K7640">
        <v>1.121483</v>
      </c>
      <c r="L7640">
        <v>41.521419999999999</v>
      </c>
      <c r="M7640">
        <v>1.576553E-2</v>
      </c>
      <c r="N7640">
        <v>-9.1429010000000002E-3</v>
      </c>
      <c r="O7640">
        <v>0.99983390000000005</v>
      </c>
      <c r="P7640">
        <v>4.7792639999999997E-2</v>
      </c>
      <c r="Q7640">
        <v>0.20186229999999999</v>
      </c>
      <c r="R7640">
        <v>0.97824719999999998</v>
      </c>
      <c r="S7640">
        <v>-0.43028260000000002</v>
      </c>
      <c r="T7640">
        <v>5.4289940000000002E-2</v>
      </c>
      <c r="U7640">
        <v>3.077026</v>
      </c>
      <c r="V7640">
        <v>3.2125760000000003E-2</v>
      </c>
      <c r="W7640">
        <v>0.2108399</v>
      </c>
      <c r="X7640">
        <v>0.97699250000000004</v>
      </c>
      <c r="Y7640">
        <v>-0.1540435</v>
      </c>
      <c r="Z7640">
        <v>2.6598239999999999E-2</v>
      </c>
      <c r="AA7640">
        <v>0.98770599999999997</v>
      </c>
      <c r="AB7640">
        <v>37</v>
      </c>
      <c r="AC7640">
        <v>-54.3568</v>
      </c>
      <c r="AD7640">
        <v>6.8578949999999903</v>
      </c>
      <c r="AE7640">
        <v>388.46528000000001</v>
      </c>
      <c r="AF7640">
        <v>-60.456181092810098</v>
      </c>
      <c r="AG7640">
        <v>6.8578949999999903</v>
      </c>
      <c r="AH7640">
        <v>387.441566306624</v>
      </c>
      <c r="AI7640">
        <v>88.998065916448198</v>
      </c>
      <c r="AJ7640">
        <v>98.868884407402106</v>
      </c>
      <c r="AK7640">
        <v>392.18993849701002</v>
      </c>
      <c r="AL7640">
        <v>77.828422153269202</v>
      </c>
      <c r="AM7640">
        <v>88.116661605820497</v>
      </c>
      <c r="AN7640">
        <v>0.99999993647191598</v>
      </c>
    </row>
    <row r="7641" spans="1:40" x14ac:dyDescent="0.25">
      <c r="A7641" t="str">
        <f>"20190303170437043"</f>
        <v>20190303170437043</v>
      </c>
      <c r="B7641" t="str">
        <f>"1551603877033403"</f>
        <v>1551603877033403</v>
      </c>
      <c r="C7641" t="s">
        <v>40</v>
      </c>
      <c r="D7641">
        <v>4.2269959999999998</v>
      </c>
      <c r="E7641">
        <v>0.43077910000000003</v>
      </c>
      <c r="F7641" t="s">
        <v>50</v>
      </c>
      <c r="G7641">
        <v>-240.37870000000001</v>
      </c>
      <c r="H7641">
        <v>7.7088289999999997</v>
      </c>
      <c r="I7641">
        <v>417.55040000000002</v>
      </c>
      <c r="J7641">
        <v>-187.52690000000001</v>
      </c>
      <c r="K7641">
        <v>1.121475</v>
      </c>
      <c r="L7641">
        <v>41.826050000000002</v>
      </c>
      <c r="M7641">
        <v>1.535565E-2</v>
      </c>
      <c r="N7641">
        <v>-9.0941949999999994E-3</v>
      </c>
      <c r="O7641">
        <v>0.99984070000000003</v>
      </c>
      <c r="P7641">
        <v>4.6967519999999999E-2</v>
      </c>
      <c r="Q7641">
        <v>0.20152880000000001</v>
      </c>
      <c r="R7641">
        <v>0.97835589999999995</v>
      </c>
      <c r="S7641">
        <v>-0.4324036</v>
      </c>
      <c r="T7641">
        <v>5.3898809999999998E-2</v>
      </c>
      <c r="U7641">
        <v>3.076721</v>
      </c>
      <c r="V7641">
        <v>3.1700140000000002E-2</v>
      </c>
      <c r="W7641">
        <v>0.21045910000000001</v>
      </c>
      <c r="X7641">
        <v>0.97708859999999997</v>
      </c>
      <c r="Y7641">
        <v>-0.15432029999999999</v>
      </c>
      <c r="Z7641">
        <v>2.6424320000000001E-2</v>
      </c>
      <c r="AA7641">
        <v>0.98766739999999997</v>
      </c>
      <c r="AB7641">
        <v>37</v>
      </c>
      <c r="AC7641">
        <v>-52.851799999999997</v>
      </c>
      <c r="AD7641">
        <v>6.5873540000000004</v>
      </c>
      <c r="AE7641">
        <v>375.72435000000002</v>
      </c>
      <c r="AF7641">
        <v>-58.597635849526903</v>
      </c>
      <c r="AG7641">
        <v>6.5873540000000004</v>
      </c>
      <c r="AH7641">
        <v>374.75547998224903</v>
      </c>
      <c r="AI7641">
        <v>89.005060257988802</v>
      </c>
      <c r="AJ7641">
        <v>98.886941068823702</v>
      </c>
      <c r="AK7641">
        <v>379.36624248422697</v>
      </c>
      <c r="AL7641">
        <v>77.850742367658896</v>
      </c>
      <c r="AM7641">
        <v>88.141778162601</v>
      </c>
      <c r="AN7641">
        <v>1.00000003194939</v>
      </c>
    </row>
    <row r="7642" spans="1:40" x14ac:dyDescent="0.25">
      <c r="A7642" t="str">
        <f>"20190303170437065"</f>
        <v>20190303170437065</v>
      </c>
      <c r="B7642" t="str">
        <f>"1551603877052923"</f>
        <v>1551603877052923</v>
      </c>
      <c r="C7642" t="s">
        <v>40</v>
      </c>
      <c r="D7642">
        <v>4.2924670000000003</v>
      </c>
      <c r="E7642">
        <v>0.43071989999999999</v>
      </c>
      <c r="F7642" t="s">
        <v>50</v>
      </c>
      <c r="G7642">
        <v>-240.37880000000001</v>
      </c>
      <c r="H7642">
        <v>7.4586809999999897</v>
      </c>
      <c r="I7642">
        <v>415.60590000000002</v>
      </c>
      <c r="J7642">
        <v>-187.52170000000001</v>
      </c>
      <c r="K7642">
        <v>1.1214740000000001</v>
      </c>
      <c r="L7642">
        <v>42.193539999999999</v>
      </c>
      <c r="M7642">
        <v>1.4861650000000001E-2</v>
      </c>
      <c r="N7642">
        <v>-9.0410449999999993E-3</v>
      </c>
      <c r="O7642">
        <v>0.99984870000000003</v>
      </c>
      <c r="P7642">
        <v>4.5765500000000001E-2</v>
      </c>
      <c r="Q7642">
        <v>0.2024688</v>
      </c>
      <c r="R7642">
        <v>0.9782187</v>
      </c>
      <c r="S7642">
        <v>-0.43501279999999998</v>
      </c>
      <c r="T7642">
        <v>5.2160499999999999E-2</v>
      </c>
      <c r="U7642">
        <v>3.076508</v>
      </c>
      <c r="V7642">
        <v>3.0982079999999999E-2</v>
      </c>
      <c r="W7642">
        <v>0.21134520000000001</v>
      </c>
      <c r="X7642">
        <v>0.97692029999999996</v>
      </c>
      <c r="Y7642">
        <v>-0.15466469999999999</v>
      </c>
      <c r="Z7642">
        <v>2.5812370000000001E-2</v>
      </c>
      <c r="AA7642">
        <v>0.9876298</v>
      </c>
      <c r="AB7642">
        <v>37</v>
      </c>
      <c r="AC7642">
        <v>-52.857100000000003</v>
      </c>
      <c r="AD7642">
        <v>6.3372069999999896</v>
      </c>
      <c r="AE7642">
        <v>373.41235999999998</v>
      </c>
      <c r="AF7642">
        <v>-58.384527066711698</v>
      </c>
      <c r="AG7642">
        <v>6.3372069999999896</v>
      </c>
      <c r="AH7642">
        <v>372.48036759176699</v>
      </c>
      <c r="AI7642">
        <v>89.037045818082404</v>
      </c>
      <c r="AJ7642">
        <v>98.908356343254397</v>
      </c>
      <c r="AK7642">
        <v>377.081605802593</v>
      </c>
      <c r="AL7642">
        <v>77.798803672318797</v>
      </c>
      <c r="AM7642">
        <v>88.183528738894395</v>
      </c>
      <c r="AN7642">
        <v>0.99999997769812798</v>
      </c>
    </row>
    <row r="7643" spans="1:40" x14ac:dyDescent="0.25">
      <c r="A7643" t="str">
        <f>"20190303170437090"</f>
        <v>20190303170437090</v>
      </c>
      <c r="B7643" t="str">
        <f>"1551603877083179"</f>
        <v>1551603877083179</v>
      </c>
      <c r="C7643" t="s">
        <v>40</v>
      </c>
      <c r="D7643">
        <v>4.2385000000000002</v>
      </c>
      <c r="E7643">
        <v>0.4306874</v>
      </c>
      <c r="F7643" t="s">
        <v>50</v>
      </c>
      <c r="G7643">
        <v>-240.37870000000001</v>
      </c>
      <c r="H7643">
        <v>7.5888059999999999</v>
      </c>
      <c r="I7643">
        <v>412.44400000000002</v>
      </c>
      <c r="J7643">
        <v>-187.51650000000001</v>
      </c>
      <c r="K7643">
        <v>1.1214770000000001</v>
      </c>
      <c r="L7643">
        <v>42.575650000000003</v>
      </c>
      <c r="M7643">
        <v>1.4348319999999999E-2</v>
      </c>
      <c r="N7643">
        <v>-8.9921629999999992E-3</v>
      </c>
      <c r="O7643">
        <v>0.99985670000000004</v>
      </c>
      <c r="P7643">
        <v>4.4252029999999998E-2</v>
      </c>
      <c r="Q7643">
        <v>0.20374629999999999</v>
      </c>
      <c r="R7643">
        <v>0.97802310000000003</v>
      </c>
      <c r="S7643">
        <v>-0.43916319999999998</v>
      </c>
      <c r="T7643">
        <v>5.3734179999999999E-2</v>
      </c>
      <c r="U7643">
        <v>3.0762330000000002</v>
      </c>
      <c r="V7643">
        <v>2.9971729999999999E-2</v>
      </c>
      <c r="W7643">
        <v>0.2125717</v>
      </c>
      <c r="X7643">
        <v>0.97668569999999999</v>
      </c>
      <c r="Y7643">
        <v>-0.15547449999999999</v>
      </c>
      <c r="Z7643">
        <v>2.6267720000000001E-2</v>
      </c>
      <c r="AA7643">
        <v>0.9874906</v>
      </c>
      <c r="AB7643">
        <v>37</v>
      </c>
      <c r="AC7643">
        <v>-52.862200000000001</v>
      </c>
      <c r="AD7643">
        <v>6.4673289999999897</v>
      </c>
      <c r="AE7643">
        <v>369.86835000000002</v>
      </c>
      <c r="AF7643">
        <v>-58.146539417812903</v>
      </c>
      <c r="AG7643">
        <v>6.4673289999999897</v>
      </c>
      <c r="AH7643">
        <v>368.96120848509298</v>
      </c>
      <c r="AI7643">
        <v>89.008035247323505</v>
      </c>
      <c r="AJ7643">
        <v>98.955884737376806</v>
      </c>
      <c r="AK7643">
        <v>373.57090325323998</v>
      </c>
      <c r="AL7643">
        <v>77.726896775724796</v>
      </c>
      <c r="AM7643">
        <v>88.242305697290305</v>
      </c>
      <c r="AN7643">
        <v>0.99999999441228604</v>
      </c>
    </row>
    <row r="7644" spans="1:40" x14ac:dyDescent="0.25">
      <c r="A7644" t="str">
        <f>"20190303170437113"</f>
        <v>20190303170437113</v>
      </c>
      <c r="B7644" t="str">
        <f>"1551603877103675"</f>
        <v>1551603877103675</v>
      </c>
      <c r="C7644" t="s">
        <v>40</v>
      </c>
      <c r="D7644">
        <v>4.2524739999999897</v>
      </c>
      <c r="E7644">
        <v>0.43063560000000001</v>
      </c>
      <c r="F7644" t="s">
        <v>50</v>
      </c>
      <c r="G7644">
        <v>-242.6422</v>
      </c>
      <c r="H7644">
        <v>8.2667300000000008</v>
      </c>
      <c r="I7644">
        <v>424.30239999999998</v>
      </c>
      <c r="J7644">
        <v>-187.51140000000001</v>
      </c>
      <c r="K7644">
        <v>1.1214770000000001</v>
      </c>
      <c r="L7644">
        <v>42.968719999999998</v>
      </c>
      <c r="M7644">
        <v>1.382072E-2</v>
      </c>
      <c r="N7644">
        <v>-8.9480189999999998E-3</v>
      </c>
      <c r="O7644">
        <v>0.99986450000000004</v>
      </c>
      <c r="P7644">
        <v>4.310245E-2</v>
      </c>
      <c r="Q7644">
        <v>0.2040438</v>
      </c>
      <c r="R7644">
        <v>0.9780124</v>
      </c>
      <c r="S7644">
        <v>-0.44413760000000002</v>
      </c>
      <c r="T7644">
        <v>5.7568189999999998E-2</v>
      </c>
      <c r="U7644">
        <v>3.0754999999999999</v>
      </c>
      <c r="V7644">
        <v>2.9337410000000001E-2</v>
      </c>
      <c r="W7644">
        <v>0.21282509999999999</v>
      </c>
      <c r="X7644">
        <v>0.97664980000000001</v>
      </c>
      <c r="Y7644">
        <v>-0.1565473</v>
      </c>
      <c r="Z7644">
        <v>2.7455650000000002E-2</v>
      </c>
      <c r="AA7644">
        <v>0.98728879999999997</v>
      </c>
      <c r="AB7644">
        <v>37</v>
      </c>
      <c r="AC7644">
        <v>-55.130800000000001</v>
      </c>
      <c r="AD7644">
        <v>7.1452530000000003</v>
      </c>
      <c r="AE7644">
        <v>381.33368000000002</v>
      </c>
      <c r="AF7644">
        <v>-60.375287274028203</v>
      </c>
      <c r="AG7644">
        <v>7.1452530000000003</v>
      </c>
      <c r="AH7644">
        <v>380.40445405738399</v>
      </c>
      <c r="AI7644">
        <v>88.937221724323095</v>
      </c>
      <c r="AJ7644">
        <v>99.018386262570999</v>
      </c>
      <c r="AK7644">
        <v>385.232110059055</v>
      </c>
      <c r="AL7644">
        <v>77.712038336603598</v>
      </c>
      <c r="AM7644">
        <v>88.279419634890104</v>
      </c>
      <c r="AN7644">
        <v>1.0000000193277701</v>
      </c>
    </row>
    <row r="7645" spans="1:40" x14ac:dyDescent="0.25">
      <c r="A7645" t="str">
        <f>"20190303170437136"</f>
        <v>20190303170437136</v>
      </c>
      <c r="B7645" t="str">
        <f>"1551603877132955"</f>
        <v>1551603877132955</v>
      </c>
      <c r="C7645" t="s">
        <v>40</v>
      </c>
      <c r="D7645">
        <v>4.2701449999999896</v>
      </c>
      <c r="E7645">
        <v>0.4305716</v>
      </c>
      <c r="F7645" t="s">
        <v>50</v>
      </c>
      <c r="G7645">
        <v>-242.6422</v>
      </c>
      <c r="H7645">
        <v>8.3019079999999992</v>
      </c>
      <c r="I7645">
        <v>421.41989999999998</v>
      </c>
      <c r="J7645">
        <v>-187.50649999999999</v>
      </c>
      <c r="K7645">
        <v>1.1214740000000001</v>
      </c>
      <c r="L7645">
        <v>43.350070000000002</v>
      </c>
      <c r="M7645">
        <v>1.3309039999999999E-2</v>
      </c>
      <c r="N7645">
        <v>-8.9109859999999992E-3</v>
      </c>
      <c r="O7645">
        <v>0.99987170000000003</v>
      </c>
      <c r="P7645">
        <v>4.1801730000000002E-2</v>
      </c>
      <c r="Q7645">
        <v>0.2033219</v>
      </c>
      <c r="R7645">
        <v>0.97821919999999996</v>
      </c>
      <c r="S7645">
        <v>-0.44795230000000003</v>
      </c>
      <c r="T7645">
        <v>5.834305E-2</v>
      </c>
      <c r="U7645">
        <v>3.0750120000000001</v>
      </c>
      <c r="V7645">
        <v>2.8534730000000001E-2</v>
      </c>
      <c r="W7645">
        <v>0.21206800000000001</v>
      </c>
      <c r="X7645">
        <v>0.97683819999999999</v>
      </c>
      <c r="Y7645">
        <v>-0.15726289999999901</v>
      </c>
      <c r="Z7645">
        <v>2.7667629999999999E-2</v>
      </c>
      <c r="AA7645">
        <v>0.98716910000000002</v>
      </c>
      <c r="AB7645">
        <v>37</v>
      </c>
      <c r="AC7645">
        <v>-55.1357</v>
      </c>
      <c r="AD7645">
        <v>7.180434</v>
      </c>
      <c r="AE7645">
        <v>378.06983000000002</v>
      </c>
      <c r="AF7645">
        <v>-60.141520843397302</v>
      </c>
      <c r="AG7645">
        <v>7.180434</v>
      </c>
      <c r="AH7645">
        <v>377.16929432542901</v>
      </c>
      <c r="AI7645">
        <v>88.922955369478203</v>
      </c>
      <c r="AJ7645">
        <v>99.059826241261803</v>
      </c>
      <c r="AK7645">
        <v>382.00162007997699</v>
      </c>
      <c r="AL7645">
        <v>77.756429685719297</v>
      </c>
      <c r="AM7645">
        <v>88.326790649365805</v>
      </c>
      <c r="AN7645">
        <v>0.99999996820970505</v>
      </c>
    </row>
    <row r="7646" spans="1:40" x14ac:dyDescent="0.25">
      <c r="A7646" t="str">
        <f>"20190303170437154"</f>
        <v>20190303170437154</v>
      </c>
      <c r="B7646" t="str">
        <f>"1551603877143691"</f>
        <v>1551603877143691</v>
      </c>
      <c r="C7646" t="s">
        <v>40</v>
      </c>
      <c r="D7646">
        <v>4.314025</v>
      </c>
      <c r="E7646">
        <v>0.43052289999999999</v>
      </c>
      <c r="F7646" t="s">
        <v>50</v>
      </c>
      <c r="G7646">
        <v>-240.37870000000001</v>
      </c>
      <c r="H7646">
        <v>7.5776810000000001</v>
      </c>
      <c r="I7646">
        <v>402.64280000000002</v>
      </c>
      <c r="J7646">
        <v>-187.5027</v>
      </c>
      <c r="K7646">
        <v>1.121472</v>
      </c>
      <c r="L7646">
        <v>43.667479999999998</v>
      </c>
      <c r="M7646">
        <v>1.2883459999999999E-2</v>
      </c>
      <c r="N7646">
        <v>-8.8842739999999993E-3</v>
      </c>
      <c r="O7646">
        <v>0.99987749999999997</v>
      </c>
      <c r="P7646">
        <v>4.0655070000000001E-2</v>
      </c>
      <c r="Q7646">
        <v>0.20298359999999999</v>
      </c>
      <c r="R7646">
        <v>0.97833780000000004</v>
      </c>
      <c r="S7646">
        <v>-0.45245360000000001</v>
      </c>
      <c r="T7646">
        <v>5.524921E-2</v>
      </c>
      <c r="U7646">
        <v>3.074646</v>
      </c>
      <c r="V7646">
        <v>2.7802759999999999E-2</v>
      </c>
      <c r="W7646">
        <v>0.21170349999999999</v>
      </c>
      <c r="X7646">
        <v>0.97693839999999998</v>
      </c>
      <c r="Y7646">
        <v>-0.15827749999999999</v>
      </c>
      <c r="Z7646">
        <v>2.664586E-2</v>
      </c>
      <c r="AA7646">
        <v>0.987035</v>
      </c>
      <c r="AB7646">
        <v>37</v>
      </c>
      <c r="AC7646">
        <v>-52.875999999999998</v>
      </c>
      <c r="AD7646">
        <v>6.4562089999999897</v>
      </c>
      <c r="AE7646">
        <v>358.97532000000001</v>
      </c>
      <c r="AF7646">
        <v>-57.478440680685999</v>
      </c>
      <c r="AG7646">
        <v>6.4562089999999897</v>
      </c>
      <c r="AH7646">
        <v>358.150882876975</v>
      </c>
      <c r="AI7646">
        <v>88.980314353314995</v>
      </c>
      <c r="AJ7646">
        <v>99.117462684221493</v>
      </c>
      <c r="AK7646">
        <v>362.79127426564702</v>
      </c>
      <c r="AL7646">
        <v>77.777799616758799</v>
      </c>
      <c r="AM7646">
        <v>88.369855301008201</v>
      </c>
      <c r="AN7646">
        <v>1.0000000013852099</v>
      </c>
    </row>
    <row r="7647" spans="1:40" x14ac:dyDescent="0.25">
      <c r="A7647" t="str">
        <f>"20190303170437178"</f>
        <v>20190303170437178</v>
      </c>
      <c r="B7647" t="str">
        <f>"1551603877172972"</f>
        <v>1551603877172972</v>
      </c>
      <c r="C7647" t="s">
        <v>40</v>
      </c>
      <c r="D7647">
        <v>4.2945599999999997</v>
      </c>
      <c r="E7647">
        <v>0.43048629999999999</v>
      </c>
      <c r="F7647" t="s">
        <v>50</v>
      </c>
      <c r="G7647">
        <v>-240.37880000000001</v>
      </c>
      <c r="H7647">
        <v>7.4029579999999999</v>
      </c>
      <c r="I7647">
        <v>399.79489999999998</v>
      </c>
      <c r="J7647">
        <v>-187.4982</v>
      </c>
      <c r="K7647">
        <v>1.12147</v>
      </c>
      <c r="L7647">
        <v>44.05594</v>
      </c>
      <c r="M7647">
        <v>1.2362440000000001E-2</v>
      </c>
      <c r="N7647">
        <v>-8.8562569999999993E-3</v>
      </c>
      <c r="O7647">
        <v>0.99988440000000001</v>
      </c>
      <c r="P7647">
        <v>4.0132380000000002E-2</v>
      </c>
      <c r="Q7647">
        <v>0.2032234</v>
      </c>
      <c r="R7647">
        <v>0.9783096</v>
      </c>
      <c r="S7647">
        <v>-0.45643620000000001</v>
      </c>
      <c r="T7647">
        <v>5.4223180000000003E-2</v>
      </c>
      <c r="U7647">
        <v>3.0741580000000002</v>
      </c>
      <c r="V7647">
        <v>2.7789359999999999E-2</v>
      </c>
      <c r="W7647">
        <v>0.21191560000000001</v>
      </c>
      <c r="X7647">
        <v>0.97689280000000001</v>
      </c>
      <c r="Y7647">
        <v>-0.15903809999999999</v>
      </c>
      <c r="Z7647">
        <v>2.6288180000000001E-2</v>
      </c>
      <c r="AA7647">
        <v>0.98692239999999998</v>
      </c>
      <c r="AB7647">
        <v>37</v>
      </c>
      <c r="AC7647">
        <v>-52.880600000000001</v>
      </c>
      <c r="AD7647">
        <v>6.2814880000000004</v>
      </c>
      <c r="AE7647">
        <v>355.73896000000002</v>
      </c>
      <c r="AF7647">
        <v>-57.257066283937696</v>
      </c>
      <c r="AG7647">
        <v>6.2814880000000004</v>
      </c>
      <c r="AH7647">
        <v>354.94973699132998</v>
      </c>
      <c r="AI7647">
        <v>88.999087770594102</v>
      </c>
      <c r="AJ7647">
        <v>99.163465430769705</v>
      </c>
      <c r="AK7647">
        <v>359.59302624098802</v>
      </c>
      <c r="AL7647">
        <v>77.765365115585496</v>
      </c>
      <c r="AM7647">
        <v>88.3705645373512</v>
      </c>
      <c r="AN7647">
        <v>1.0000000063722001</v>
      </c>
    </row>
    <row r="7648" spans="1:40" x14ac:dyDescent="0.25">
      <c r="A7648" t="str">
        <f>"20190303170437200"</f>
        <v>20190303170437200</v>
      </c>
      <c r="B7648" t="str">
        <f>"1551603877193468"</f>
        <v>1551603877193468</v>
      </c>
      <c r="C7648" t="s">
        <v>40</v>
      </c>
      <c r="D7648">
        <v>4.3235919999999997</v>
      </c>
      <c r="E7648">
        <v>0.43043559999999997</v>
      </c>
      <c r="F7648" t="s">
        <v>50</v>
      </c>
      <c r="G7648">
        <v>-240.37880000000001</v>
      </c>
      <c r="H7648">
        <v>7.4155619999999898</v>
      </c>
      <c r="I7648">
        <v>398.82859999999999</v>
      </c>
      <c r="J7648">
        <v>-187.4941</v>
      </c>
      <c r="K7648">
        <v>1.121459</v>
      </c>
      <c r="L7648">
        <v>44.420960000000001</v>
      </c>
      <c r="M7648">
        <v>1.1872870000000001E-2</v>
      </c>
      <c r="N7648">
        <v>-8.8338229999999993E-3</v>
      </c>
      <c r="O7648">
        <v>0.99989050000000002</v>
      </c>
      <c r="P7648">
        <v>3.9764290000000001E-2</v>
      </c>
      <c r="Q7648">
        <v>0.2039232</v>
      </c>
      <c r="R7648">
        <v>0.97817900000000002</v>
      </c>
      <c r="S7648">
        <v>-0.45819090000000001</v>
      </c>
      <c r="T7648">
        <v>5.4536220000000003E-2</v>
      </c>
      <c r="U7648">
        <v>3.0739749999999999</v>
      </c>
      <c r="V7648">
        <v>2.790049E-2</v>
      </c>
      <c r="W7648">
        <v>0.2125927</v>
      </c>
      <c r="X7648">
        <v>0.97674249999999996</v>
      </c>
      <c r="Y7648">
        <v>-0.15911420000000001</v>
      </c>
      <c r="Z7648">
        <v>2.636635E-2</v>
      </c>
      <c r="AA7648">
        <v>0.98690800000000001</v>
      </c>
      <c r="AB7648">
        <v>37</v>
      </c>
      <c r="AC7648">
        <v>-52.884700000000002</v>
      </c>
      <c r="AD7648">
        <v>6.2941029999999998</v>
      </c>
      <c r="AE7648">
        <v>354.40764000000001</v>
      </c>
      <c r="AF7648">
        <v>-57.071363904385301</v>
      </c>
      <c r="AG7648">
        <v>6.2941029999999998</v>
      </c>
      <c r="AH7648">
        <v>353.64562968351299</v>
      </c>
      <c r="AI7648">
        <v>88.993391478014004</v>
      </c>
      <c r="AJ7648">
        <v>99.167359917689296</v>
      </c>
      <c r="AK7648">
        <v>358.27641243142102</v>
      </c>
      <c r="AL7648">
        <v>77.725665518677403</v>
      </c>
      <c r="AM7648">
        <v>88.363800337414702</v>
      </c>
      <c r="AN7648">
        <v>1.0000000023708899</v>
      </c>
    </row>
    <row r="7649" spans="1:40" x14ac:dyDescent="0.25">
      <c r="A7649" t="str">
        <f>"20190303170437222"</f>
        <v>20190303170437222</v>
      </c>
      <c r="B7649" t="str">
        <f>"1551603877212987"</f>
        <v>1551603877212987</v>
      </c>
      <c r="C7649" t="s">
        <v>40</v>
      </c>
      <c r="D7649">
        <v>4.3657570000000003</v>
      </c>
      <c r="E7649">
        <v>0.43035689999999999</v>
      </c>
      <c r="F7649" t="s">
        <v>50</v>
      </c>
      <c r="G7649">
        <v>-240.37870000000001</v>
      </c>
      <c r="H7649">
        <v>7.6203209999999997</v>
      </c>
      <c r="I7649">
        <v>398.08769999999998</v>
      </c>
      <c r="J7649">
        <v>-187.49010000000001</v>
      </c>
      <c r="K7649">
        <v>1.1214569999999999</v>
      </c>
      <c r="L7649">
        <v>44.792140000000003</v>
      </c>
      <c r="M7649">
        <v>1.1375339999999999E-2</v>
      </c>
      <c r="N7649">
        <v>-8.8145559999999994E-3</v>
      </c>
      <c r="O7649">
        <v>0.99989649999999997</v>
      </c>
      <c r="P7649">
        <v>3.9237660000000001E-2</v>
      </c>
      <c r="Q7649">
        <v>0.20413690000000001</v>
      </c>
      <c r="R7649">
        <v>0.97815569999999996</v>
      </c>
      <c r="S7649">
        <v>-0.45964050000000001</v>
      </c>
      <c r="T7649">
        <v>5.6484340000000001E-2</v>
      </c>
      <c r="U7649">
        <v>3.0738530000000002</v>
      </c>
      <c r="V7649">
        <v>2.7860059999999999E-2</v>
      </c>
      <c r="W7649">
        <v>0.21278739999999999</v>
      </c>
      <c r="X7649">
        <v>0.97670129999999999</v>
      </c>
      <c r="Y7649">
        <v>-0.159082</v>
      </c>
      <c r="Z7649">
        <v>2.697281E-2</v>
      </c>
      <c r="AA7649">
        <v>0.98689689999999997</v>
      </c>
      <c r="AB7649">
        <v>37</v>
      </c>
      <c r="AC7649">
        <v>-52.888599999999997</v>
      </c>
      <c r="AD7649">
        <v>6.4988640000000002</v>
      </c>
      <c r="AE7649">
        <v>353.29556000000002</v>
      </c>
      <c r="AF7649">
        <v>-56.885364127430698</v>
      </c>
      <c r="AG7649">
        <v>6.4988640000000002</v>
      </c>
      <c r="AH7649">
        <v>352.55436959849499</v>
      </c>
      <c r="AI7649">
        <v>88.957430379197504</v>
      </c>
      <c r="AJ7649">
        <v>99.165793086311993</v>
      </c>
      <c r="AK7649">
        <v>357.17329604576099</v>
      </c>
      <c r="AL7649">
        <v>77.714249344643704</v>
      </c>
      <c r="AM7649">
        <v>88.366101150957903</v>
      </c>
      <c r="AN7649">
        <v>1.00000004498182</v>
      </c>
    </row>
    <row r="7650" spans="1:40" x14ac:dyDescent="0.25">
      <c r="A7650" t="str">
        <f>"20190303170437244"</f>
        <v>20190303170437244</v>
      </c>
      <c r="B7650" t="str">
        <f>"1551603877233483"</f>
        <v>1551603877233483</v>
      </c>
      <c r="C7650" t="s">
        <v>40</v>
      </c>
      <c r="D7650">
        <v>4.3658130000000002</v>
      </c>
      <c r="E7650">
        <v>0.43032189999999998</v>
      </c>
      <c r="F7650" t="s">
        <v>50</v>
      </c>
      <c r="G7650">
        <v>-240.37870000000001</v>
      </c>
      <c r="H7650">
        <v>7.6312350000000002</v>
      </c>
      <c r="I7650">
        <v>396.78980000000001</v>
      </c>
      <c r="J7650">
        <v>-187.48650000000001</v>
      </c>
      <c r="K7650">
        <v>1.121451</v>
      </c>
      <c r="L7650">
        <v>45.146819999999998</v>
      </c>
      <c r="M7650">
        <v>1.090004E-2</v>
      </c>
      <c r="N7650">
        <v>-8.7991249999999997E-3</v>
      </c>
      <c r="O7650">
        <v>0.99990190000000001</v>
      </c>
      <c r="P7650">
        <v>3.9181630000000002E-2</v>
      </c>
      <c r="Q7650">
        <v>0.20399729999999999</v>
      </c>
      <c r="R7650">
        <v>0.97818709999999998</v>
      </c>
      <c r="S7650">
        <v>-0.46182250000000002</v>
      </c>
      <c r="T7650">
        <v>5.6843520000000002E-2</v>
      </c>
      <c r="U7650">
        <v>3.073639</v>
      </c>
      <c r="V7650">
        <v>2.826822E-2</v>
      </c>
      <c r="W7650">
        <v>0.21263319999999999</v>
      </c>
      <c r="X7650">
        <v>0.97672309999999996</v>
      </c>
      <c r="Y7650">
        <v>-0.15930759999999999</v>
      </c>
      <c r="Z7650">
        <v>2.7072579999999999E-2</v>
      </c>
      <c r="AA7650">
        <v>0.98685769999999995</v>
      </c>
      <c r="AB7650">
        <v>37</v>
      </c>
      <c r="AC7650">
        <v>-52.892200000000003</v>
      </c>
      <c r="AD7650">
        <v>6.5097839999999998</v>
      </c>
      <c r="AE7650">
        <v>351.642979999999</v>
      </c>
      <c r="AF7650">
        <v>-56.703125523129501</v>
      </c>
      <c r="AG7650">
        <v>6.5097839999999998</v>
      </c>
      <c r="AH7650">
        <v>350.92793244656599</v>
      </c>
      <c r="AI7650">
        <v>88.950877651383905</v>
      </c>
      <c r="AJ7650">
        <v>99.178553041815206</v>
      </c>
      <c r="AK7650">
        <v>355.53907732208501</v>
      </c>
      <c r="AL7650">
        <v>77.723290615122906</v>
      </c>
      <c r="AM7650">
        <v>88.342214182053993</v>
      </c>
      <c r="AN7650">
        <v>0.99999999203890899</v>
      </c>
    </row>
    <row r="7651" spans="1:40" x14ac:dyDescent="0.25">
      <c r="A7651" t="str">
        <f>"20190303170437257"</f>
        <v>20190303170437257</v>
      </c>
      <c r="B7651" t="str">
        <f>"1551603877253003"</f>
        <v>1551603877253003</v>
      </c>
      <c r="C7651" t="s">
        <v>40</v>
      </c>
      <c r="D7651">
        <v>4.3685369999999999</v>
      </c>
      <c r="E7651">
        <v>0.4302861</v>
      </c>
      <c r="F7651" t="s">
        <v>50</v>
      </c>
      <c r="G7651">
        <v>-240.37870000000001</v>
      </c>
      <c r="H7651">
        <v>7.5149899999999903</v>
      </c>
      <c r="I7651">
        <v>396.99689999999998</v>
      </c>
      <c r="J7651">
        <v>-187.48419999999999</v>
      </c>
      <c r="K7651">
        <v>1.1214489999999999</v>
      </c>
      <c r="L7651">
        <v>45.377899999999997</v>
      </c>
      <c r="M7651">
        <v>1.0590540000000001E-2</v>
      </c>
      <c r="N7651">
        <v>-8.7903359999999993E-3</v>
      </c>
      <c r="O7651">
        <v>0.9999053</v>
      </c>
      <c r="P7651">
        <v>3.9110060000000002E-2</v>
      </c>
      <c r="Q7651">
        <v>0.20350950000000001</v>
      </c>
      <c r="R7651">
        <v>0.97829149999999998</v>
      </c>
      <c r="S7651">
        <v>-0.4620667</v>
      </c>
      <c r="T7651">
        <v>5.5854199999999903E-2</v>
      </c>
      <c r="U7651">
        <v>3.0737610000000002</v>
      </c>
      <c r="V7651">
        <v>2.84985E-2</v>
      </c>
      <c r="W7651">
        <v>0.2121374</v>
      </c>
      <c r="X7651">
        <v>0.97682420000000003</v>
      </c>
      <c r="Y7651">
        <v>-0.15907399999999999</v>
      </c>
      <c r="Z7651">
        <v>2.6745430000000001E-2</v>
      </c>
      <c r="AA7651">
        <v>0.98690429999999996</v>
      </c>
      <c r="AB7651">
        <v>37</v>
      </c>
      <c r="AC7651">
        <v>-52.894500000000001</v>
      </c>
      <c r="AD7651">
        <v>6.3935409999999901</v>
      </c>
      <c r="AE7651">
        <v>351.61900000000003</v>
      </c>
      <c r="AF7651">
        <v>-56.597213790644197</v>
      </c>
      <c r="AG7651">
        <v>6.3935409999999901</v>
      </c>
      <c r="AH7651">
        <v>350.92561830182302</v>
      </c>
      <c r="AI7651">
        <v>88.969551858843204</v>
      </c>
      <c r="AJ7651">
        <v>99.161759472532196</v>
      </c>
      <c r="AK7651">
        <v>355.51780764948899</v>
      </c>
      <c r="AL7651">
        <v>77.752360918709797</v>
      </c>
      <c r="AM7651">
        <v>88.328889949194902</v>
      </c>
      <c r="AN7651">
        <v>0.99999997934332396</v>
      </c>
    </row>
    <row r="7652" spans="1:40" x14ac:dyDescent="0.25">
      <c r="A7652" t="str">
        <f>"20190303170437278"</f>
        <v>20190303170437278</v>
      </c>
      <c r="B7652" t="str">
        <f>"1551603877273499"</f>
        <v>1551603877273499</v>
      </c>
      <c r="C7652" t="s">
        <v>40</v>
      </c>
      <c r="D7652">
        <v>4.3659049999999997</v>
      </c>
      <c r="E7652">
        <v>0.43019000000000002</v>
      </c>
      <c r="F7652" t="s">
        <v>50</v>
      </c>
      <c r="G7652">
        <v>-240.37880000000001</v>
      </c>
      <c r="H7652">
        <v>7.3286759999999997</v>
      </c>
      <c r="I7652">
        <v>396.791</v>
      </c>
      <c r="J7652">
        <v>-187.48089999999999</v>
      </c>
      <c r="K7652">
        <v>1.1214470000000001</v>
      </c>
      <c r="L7652">
        <v>45.722140000000003</v>
      </c>
      <c r="M7652">
        <v>1.012969E-2</v>
      </c>
      <c r="N7652">
        <v>-8.7792990000000008E-3</v>
      </c>
      <c r="O7652">
        <v>0.99991019999999997</v>
      </c>
      <c r="P7652">
        <v>3.9364940000000001E-2</v>
      </c>
      <c r="Q7652">
        <v>0.20281759999999999</v>
      </c>
      <c r="R7652">
        <v>0.97842499999999999</v>
      </c>
      <c r="S7652">
        <v>-0.46266170000000001</v>
      </c>
      <c r="T7652">
        <v>5.429399E-2</v>
      </c>
      <c r="U7652">
        <v>3.0737610000000002</v>
      </c>
      <c r="V7652">
        <v>2.9203090000000001E-2</v>
      </c>
      <c r="W7652">
        <v>0.2114374</v>
      </c>
      <c r="X7652">
        <v>0.97695520000000002</v>
      </c>
      <c r="Y7652">
        <v>-0.15880749999999999</v>
      </c>
      <c r="Z7652">
        <v>2.6233179999999998E-2</v>
      </c>
      <c r="AA7652">
        <v>0.98696099999999998</v>
      </c>
      <c r="AB7652">
        <v>37</v>
      </c>
      <c r="AC7652">
        <v>-52.8979</v>
      </c>
      <c r="AD7652">
        <v>6.2072289999999999</v>
      </c>
      <c r="AE7652">
        <v>351.06885999999997</v>
      </c>
      <c r="AF7652">
        <v>-56.434290785666597</v>
      </c>
      <c r="AG7652">
        <v>6.2072289999999999</v>
      </c>
      <c r="AH7652">
        <v>350.40787526011701</v>
      </c>
      <c r="AI7652">
        <v>88.998060064286705</v>
      </c>
      <c r="AJ7652">
        <v>99.149101903874296</v>
      </c>
      <c r="AK7652">
        <v>354.97751747490901</v>
      </c>
      <c r="AL7652">
        <v>77.793399492859294</v>
      </c>
      <c r="AM7652">
        <v>88.287827611631499</v>
      </c>
      <c r="AN7652">
        <v>1.0000000286956701</v>
      </c>
    </row>
    <row r="7653" spans="1:40" x14ac:dyDescent="0.25">
      <c r="A7653" t="str">
        <f>"20190303170437301"</f>
        <v>20190303170437301</v>
      </c>
      <c r="B7653" t="str">
        <f>"1551603877293019"</f>
        <v>1551603877293019</v>
      </c>
      <c r="C7653" t="s">
        <v>40</v>
      </c>
      <c r="D7653">
        <v>4.4165109999999999</v>
      </c>
      <c r="E7653">
        <v>0.43010340000000002</v>
      </c>
      <c r="F7653" t="s">
        <v>50</v>
      </c>
      <c r="G7653">
        <v>-240.37889999999999</v>
      </c>
      <c r="H7653">
        <v>7.0788440000000001</v>
      </c>
      <c r="I7653">
        <v>397.38709999999998</v>
      </c>
      <c r="J7653">
        <v>-187.47739999999999</v>
      </c>
      <c r="K7653">
        <v>1.1214409999999999</v>
      </c>
      <c r="L7653">
        <v>46.117190000000001</v>
      </c>
      <c r="M7653">
        <v>9.6010920000000003E-3</v>
      </c>
      <c r="N7653">
        <v>-8.7691179999999994E-3</v>
      </c>
      <c r="O7653">
        <v>0.99991549999999996</v>
      </c>
      <c r="P7653">
        <v>3.944201E-2</v>
      </c>
      <c r="Q7653">
        <v>0.2019213</v>
      </c>
      <c r="R7653">
        <v>0.97860720000000001</v>
      </c>
      <c r="S7653">
        <v>-0.4623871</v>
      </c>
      <c r="T7653">
        <v>5.2074549999999997E-2</v>
      </c>
      <c r="U7653">
        <v>3.073944</v>
      </c>
      <c r="V7653">
        <v>2.9796010000000001E-2</v>
      </c>
      <c r="W7653">
        <v>0.2105332</v>
      </c>
      <c r="X7653">
        <v>0.97713249999999996</v>
      </c>
      <c r="Y7653">
        <v>-0.1581929</v>
      </c>
      <c r="Z7653">
        <v>2.5509779999999999E-2</v>
      </c>
      <c r="AA7653">
        <v>0.98707869999999998</v>
      </c>
      <c r="AB7653">
        <v>37</v>
      </c>
      <c r="AC7653">
        <v>-52.901499999999999</v>
      </c>
      <c r="AD7653">
        <v>5.9574030000000002</v>
      </c>
      <c r="AE7653">
        <v>351.26990999999998</v>
      </c>
      <c r="AF7653">
        <v>-56.255943791107903</v>
      </c>
      <c r="AG7653">
        <v>5.9574030000000002</v>
      </c>
      <c r="AH7653">
        <v>350.64716709934902</v>
      </c>
      <c r="AI7653">
        <v>89.038940991061295</v>
      </c>
      <c r="AJ7653">
        <v>99.114555395007699</v>
      </c>
      <c r="AK7653">
        <v>355.18116174303401</v>
      </c>
      <c r="AL7653">
        <v>77.846398762248</v>
      </c>
      <c r="AM7653">
        <v>88.2534029146167</v>
      </c>
      <c r="AN7653">
        <v>0.999999976535204</v>
      </c>
    </row>
    <row r="7654" spans="1:40" x14ac:dyDescent="0.25">
      <c r="A7654" t="str">
        <f>"20190303170437324"</f>
        <v>20190303170437324</v>
      </c>
      <c r="B7654" t="str">
        <f>"1551603877313515"</f>
        <v>1551603877313515</v>
      </c>
      <c r="C7654" t="s">
        <v>40</v>
      </c>
      <c r="D7654">
        <v>4.477576</v>
      </c>
      <c r="E7654">
        <v>0.43005860000000001</v>
      </c>
      <c r="F7654" t="s">
        <v>50</v>
      </c>
      <c r="G7654">
        <v>-240.37899999999999</v>
      </c>
      <c r="H7654">
        <v>6.7920249999999998</v>
      </c>
      <c r="I7654">
        <v>397.24540000000002</v>
      </c>
      <c r="J7654">
        <v>-187.4743</v>
      </c>
      <c r="K7654">
        <v>1.121437</v>
      </c>
      <c r="L7654">
        <v>46.480469999999997</v>
      </c>
      <c r="M7654">
        <v>9.1152579999999993E-3</v>
      </c>
      <c r="N7654">
        <v>-8.7615820000000004E-3</v>
      </c>
      <c r="O7654">
        <v>0.99992009999999998</v>
      </c>
      <c r="P7654">
        <v>3.9487019999999998E-2</v>
      </c>
      <c r="Q7654">
        <v>0.2018838</v>
      </c>
      <c r="R7654">
        <v>0.97861310000000001</v>
      </c>
      <c r="S7654">
        <v>-0.46313480000000001</v>
      </c>
      <c r="T7654">
        <v>4.9644229999999998E-2</v>
      </c>
      <c r="U7654">
        <v>3.0740050000000001</v>
      </c>
      <c r="V7654">
        <v>3.0315829999999998E-2</v>
      </c>
      <c r="W7654">
        <v>0.21048890000000001</v>
      </c>
      <c r="X7654">
        <v>0.9771261</v>
      </c>
      <c r="Y7654">
        <v>-0.15794749999999999</v>
      </c>
      <c r="Z7654">
        <v>2.4721030000000001E-2</v>
      </c>
      <c r="AA7654">
        <v>0.98713799999999996</v>
      </c>
      <c r="AB7654">
        <v>37</v>
      </c>
      <c r="AC7654">
        <v>-52.904699999999998</v>
      </c>
      <c r="AD7654">
        <v>5.6705880000000004</v>
      </c>
      <c r="AE7654">
        <v>350.76492999999999</v>
      </c>
      <c r="AF7654">
        <v>-56.085605397233699</v>
      </c>
      <c r="AG7654">
        <v>5.6705880000000004</v>
      </c>
      <c r="AH7654">
        <v>350.17861410024699</v>
      </c>
      <c r="AI7654">
        <v>89.083939716016801</v>
      </c>
      <c r="AJ7654">
        <v>99.099374494138402</v>
      </c>
      <c r="AK7654">
        <v>354.68692176933899</v>
      </c>
      <c r="AL7654">
        <v>77.848995694233295</v>
      </c>
      <c r="AM7654">
        <v>88.222939589804099</v>
      </c>
      <c r="AN7654">
        <v>1.0000000209365001</v>
      </c>
    </row>
    <row r="7655" spans="1:40" x14ac:dyDescent="0.25">
      <c r="A7655" t="str">
        <f>"20190303170437344"</f>
        <v>20190303170437344</v>
      </c>
      <c r="B7655" t="str">
        <f>"1551603877333035"</f>
        <v>1551603877333035</v>
      </c>
      <c r="C7655" t="s">
        <v>40</v>
      </c>
      <c r="D7655">
        <v>4.385249</v>
      </c>
      <c r="E7655">
        <v>0.46384140000000001</v>
      </c>
      <c r="F7655" t="s">
        <v>50</v>
      </c>
      <c r="G7655">
        <v>-240.37899999999999</v>
      </c>
      <c r="H7655">
        <v>6.7883209999999998</v>
      </c>
      <c r="I7655">
        <v>397.3553</v>
      </c>
      <c r="J7655">
        <v>-187.47149999999999</v>
      </c>
      <c r="K7655">
        <v>1.1214409999999999</v>
      </c>
      <c r="L7655">
        <v>46.831180000000003</v>
      </c>
      <c r="M7655">
        <v>8.6464439999999997E-3</v>
      </c>
      <c r="N7655">
        <v>-8.7558089999999998E-3</v>
      </c>
      <c r="O7655">
        <v>0.99992429999999999</v>
      </c>
      <c r="P7655">
        <v>3.970978E-2</v>
      </c>
      <c r="Q7655">
        <v>0.20197390000000001</v>
      </c>
      <c r="R7655">
        <v>0.9785855</v>
      </c>
      <c r="S7655">
        <v>-0.463501</v>
      </c>
      <c r="T7655">
        <v>4.9648169999999998E-2</v>
      </c>
      <c r="U7655">
        <v>3.074036</v>
      </c>
      <c r="V7655">
        <v>3.0996909999999999E-2</v>
      </c>
      <c r="W7655">
        <v>0.21057419999999999</v>
      </c>
      <c r="X7655">
        <v>0.97708629999999996</v>
      </c>
      <c r="Y7655">
        <v>-0.15759799999999999</v>
      </c>
      <c r="Z7655">
        <v>2.4716470000000001E-2</v>
      </c>
      <c r="AA7655">
        <v>0.98719400000000002</v>
      </c>
      <c r="AB7655">
        <v>38</v>
      </c>
      <c r="AC7655">
        <v>-52.907499999999999</v>
      </c>
      <c r="AD7655">
        <v>5.6668799999999999</v>
      </c>
      <c r="AE7655">
        <v>350.52411999999998</v>
      </c>
      <c r="AF7655">
        <v>-55.922134738690502</v>
      </c>
      <c r="AG7655">
        <v>5.6668799999999999</v>
      </c>
      <c r="AH7655">
        <v>349.96410481288399</v>
      </c>
      <c r="AI7655">
        <v>89.083924884373204</v>
      </c>
      <c r="AJ7655">
        <v>99.078763535860801</v>
      </c>
      <c r="AK7655">
        <v>354.44925354717498</v>
      </c>
      <c r="AL7655">
        <v>77.843995683558504</v>
      </c>
      <c r="AM7655">
        <v>88.182968388932593</v>
      </c>
      <c r="AN7655">
        <v>0.99999996989143802</v>
      </c>
    </row>
    <row r="7656" spans="1:40" x14ac:dyDescent="0.25">
      <c r="A7656" t="str">
        <f>"20190303170437367"</f>
        <v>20190303170437367</v>
      </c>
      <c r="B7656" t="str">
        <f>"1551603877353532"</f>
        <v>1551603877353532</v>
      </c>
      <c r="C7656" t="s">
        <v>40</v>
      </c>
      <c r="D7656">
        <v>4.3007109999999997</v>
      </c>
      <c r="E7656">
        <v>0.48129519999999998</v>
      </c>
      <c r="F7656" t="s">
        <v>57</v>
      </c>
      <c r="G7656">
        <v>-197.81549999999999</v>
      </c>
      <c r="H7656" s="1">
        <v>3.1663690000000001E-6</v>
      </c>
      <c r="I7656">
        <v>209.0461</v>
      </c>
      <c r="J7656">
        <v>-187.46870000000001</v>
      </c>
      <c r="K7656">
        <v>1.12144</v>
      </c>
      <c r="L7656">
        <v>47.210909999999998</v>
      </c>
      <c r="M7656">
        <v>8.1389530000000009E-3</v>
      </c>
      <c r="N7656">
        <v>-8.7510929999999997E-3</v>
      </c>
      <c r="O7656">
        <v>0.99992859999999995</v>
      </c>
      <c r="P7656">
        <v>3.8920429999999999E-2</v>
      </c>
      <c r="Q7656">
        <v>0.2019155</v>
      </c>
      <c r="R7656">
        <v>0.97862939999999998</v>
      </c>
      <c r="S7656">
        <v>-0.1962738</v>
      </c>
      <c r="T7656">
        <v>-2.1279099999999999E-2</v>
      </c>
      <c r="U7656">
        <v>3.0780029999999998</v>
      </c>
      <c r="V7656">
        <v>3.0703330000000001E-2</v>
      </c>
      <c r="W7656">
        <v>0.2105108</v>
      </c>
      <c r="X7656">
        <v>0.97710929999999996</v>
      </c>
      <c r="Y7656">
        <v>-7.1752999999999997E-2</v>
      </c>
      <c r="Z7656">
        <v>1.856559E-3</v>
      </c>
      <c r="AA7656">
        <v>0.99742070000000005</v>
      </c>
      <c r="AB7656">
        <v>38</v>
      </c>
      <c r="AC7656">
        <v>-10.346799999999901</v>
      </c>
      <c r="AD7656">
        <v>-1.1214368336310001</v>
      </c>
      <c r="AE7656">
        <v>161.83518999999899</v>
      </c>
      <c r="AF7656">
        <v>-11.6631189337905</v>
      </c>
      <c r="AG7656">
        <v>-1.1214368336310001</v>
      </c>
      <c r="AH7656">
        <v>161.73787926328399</v>
      </c>
      <c r="AI7656">
        <v>90.3962347259789</v>
      </c>
      <c r="AJ7656">
        <v>94.124530332272599</v>
      </c>
      <c r="AK7656">
        <v>162.161732700475</v>
      </c>
      <c r="AL7656">
        <v>77.847712365292395</v>
      </c>
      <c r="AM7656">
        <v>88.200208944741604</v>
      </c>
      <c r="AN7656">
        <v>1.0000000377681</v>
      </c>
    </row>
    <row r="7657" spans="1:40" x14ac:dyDescent="0.25">
      <c r="A7657" t="str">
        <f>"20190303170437382"</f>
        <v>20190303170437382</v>
      </c>
      <c r="B7657" t="str">
        <f>"1551603877374028"</f>
        <v>1551603877374028</v>
      </c>
      <c r="C7657" t="s">
        <v>40</v>
      </c>
      <c r="D7657">
        <v>4.3006890000000002</v>
      </c>
      <c r="E7657">
        <v>0.49088910000000002</v>
      </c>
      <c r="F7657" t="s">
        <v>42</v>
      </c>
      <c r="G7657">
        <v>-188.37209999999999</v>
      </c>
      <c r="H7657" s="1">
        <v>-1.592615E-6</v>
      </c>
      <c r="I7657">
        <v>92.672089999999997</v>
      </c>
      <c r="J7657">
        <v>-187.46690000000001</v>
      </c>
      <c r="K7657">
        <v>1.1214390000000001</v>
      </c>
      <c r="L7657">
        <v>47.472839999999998</v>
      </c>
      <c r="M7657">
        <v>7.7891000000000002E-3</v>
      </c>
      <c r="N7657">
        <v>-8.7486709999999995E-3</v>
      </c>
      <c r="O7657">
        <v>0.99993140000000003</v>
      </c>
      <c r="P7657">
        <v>3.8484600000000001E-2</v>
      </c>
      <c r="Q7657">
        <v>0.20188320000000001</v>
      </c>
      <c r="R7657">
        <v>0.9786532</v>
      </c>
      <c r="S7657">
        <v>-6.1279300000000002E-2</v>
      </c>
      <c r="T7657">
        <v>-7.606781E-2</v>
      </c>
      <c r="U7657">
        <v>3.0836489999999999</v>
      </c>
      <c r="V7657">
        <v>3.0609290000000001E-2</v>
      </c>
      <c r="W7657">
        <v>0.21047630000000001</v>
      </c>
      <c r="X7657">
        <v>0.97711959999999998</v>
      </c>
      <c r="Y7657">
        <v>-2.7649119999999999E-2</v>
      </c>
      <c r="Z7657">
        <v>-1.5904709999999999E-2</v>
      </c>
      <c r="AA7657">
        <v>0.99949120000000002</v>
      </c>
      <c r="AB7657">
        <v>38</v>
      </c>
      <c r="AC7657">
        <v>-0.90519999999997902</v>
      </c>
      <c r="AD7657">
        <v>-1.121440592615</v>
      </c>
      <c r="AE7657">
        <v>45.1992499999999</v>
      </c>
      <c r="AF7657">
        <v>-1.25647432762373</v>
      </c>
      <c r="AG7657">
        <v>-1.121440592615</v>
      </c>
      <c r="AH7657">
        <v>45.163037116321</v>
      </c>
      <c r="AI7657">
        <v>91.421865747897897</v>
      </c>
      <c r="AJ7657">
        <v>91.593606534486099</v>
      </c>
      <c r="AK7657">
        <v>45.194427513897402</v>
      </c>
      <c r="AL7657">
        <v>77.849733377074301</v>
      </c>
      <c r="AM7657">
        <v>88.205736745294601</v>
      </c>
      <c r="AN7657">
        <v>0.99999995710007605</v>
      </c>
    </row>
    <row r="7658" spans="1:40" x14ac:dyDescent="0.25">
      <c r="A7658" t="str">
        <f>"20190303170437401"</f>
        <v>20190303170437401</v>
      </c>
      <c r="B7658" t="str">
        <f>"1551603877393547"</f>
        <v>1551603877393547</v>
      </c>
      <c r="C7658" t="s">
        <v>40</v>
      </c>
      <c r="D7658">
        <v>4.3190239999999998</v>
      </c>
      <c r="E7658">
        <v>0.49620379999999997</v>
      </c>
      <c r="F7658" t="s">
        <v>42</v>
      </c>
      <c r="G7658">
        <v>-187.34690000000001</v>
      </c>
      <c r="H7658" s="1">
        <v>-3.6647650000000001E-6</v>
      </c>
      <c r="I7658">
        <v>77.078429999999997</v>
      </c>
      <c r="J7658">
        <v>-187.46469999999999</v>
      </c>
      <c r="K7658">
        <v>1.121442</v>
      </c>
      <c r="L7658">
        <v>47.793520000000001</v>
      </c>
      <c r="M7658">
        <v>7.3608179999999999E-3</v>
      </c>
      <c r="N7658">
        <v>-8.7479440000000006E-3</v>
      </c>
      <c r="O7658">
        <v>0.99993469999999995</v>
      </c>
      <c r="P7658">
        <v>3.8194659999999998E-2</v>
      </c>
      <c r="Q7658">
        <v>0.20192479999999999</v>
      </c>
      <c r="R7658">
        <v>0.97865599999999997</v>
      </c>
      <c r="S7658">
        <v>1.2512209999999999E-2</v>
      </c>
      <c r="T7658">
        <v>-0.11701259999999999</v>
      </c>
      <c r="U7658">
        <v>3.0890810000000002</v>
      </c>
      <c r="V7658">
        <v>3.0737899999999999E-2</v>
      </c>
      <c r="W7658">
        <v>0.21051739999999999</v>
      </c>
      <c r="X7658">
        <v>0.97710680000000005</v>
      </c>
      <c r="Y7658">
        <v>-3.31176E-3</v>
      </c>
      <c r="Z7658">
        <v>-2.9107500000000001E-2</v>
      </c>
      <c r="AA7658">
        <v>0.99957079999999998</v>
      </c>
      <c r="AB7658">
        <v>38</v>
      </c>
      <c r="AC7658">
        <v>0.117799999999988</v>
      </c>
      <c r="AD7658">
        <v>-1.121445664765</v>
      </c>
      <c r="AE7658">
        <v>29.28491</v>
      </c>
      <c r="AF7658">
        <v>-9.7629154232808005E-2</v>
      </c>
      <c r="AG7658">
        <v>-1.121445664765</v>
      </c>
      <c r="AH7658">
        <v>29.2421021862163</v>
      </c>
      <c r="AI7658">
        <v>92.196226274021498</v>
      </c>
      <c r="AJ7658">
        <v>90.191289862670999</v>
      </c>
      <c r="AK7658">
        <v>29.263761072355202</v>
      </c>
      <c r="AL7658">
        <v>77.847325651369601</v>
      </c>
      <c r="AM7658">
        <v>88.198179222282604</v>
      </c>
      <c r="AN7658">
        <v>1.0000000464026999</v>
      </c>
    </row>
    <row r="7659" spans="1:40" x14ac:dyDescent="0.25">
      <c r="A7659" t="str">
        <f>"20190303170437423"</f>
        <v>20190303170437423</v>
      </c>
      <c r="B7659" t="str">
        <f>"1551603877413067"</f>
        <v>1551603877413067</v>
      </c>
      <c r="C7659" t="s">
        <v>40</v>
      </c>
      <c r="D7659">
        <v>4.297784</v>
      </c>
      <c r="E7659">
        <v>0.49897200000000003</v>
      </c>
      <c r="F7659" t="s">
        <v>42</v>
      </c>
      <c r="G7659">
        <v>-187.03819999999999</v>
      </c>
      <c r="H7659" s="1">
        <v>-1.953659E-6</v>
      </c>
      <c r="I7659">
        <v>72.962119999999999</v>
      </c>
      <c r="J7659">
        <v>-187.4624</v>
      </c>
      <c r="K7659">
        <v>1.1214409999999999</v>
      </c>
      <c r="L7659">
        <v>48.161439999999999</v>
      </c>
      <c r="M7659">
        <v>6.8697849999999998E-3</v>
      </c>
      <c r="N7659">
        <v>-8.7541570000000003E-3</v>
      </c>
      <c r="O7659">
        <v>0.99993810000000005</v>
      </c>
      <c r="P7659">
        <v>3.7688930000000002E-2</v>
      </c>
      <c r="Q7659">
        <v>0.20131470000000001</v>
      </c>
      <c r="R7659">
        <v>0.97880129999999999</v>
      </c>
      <c r="S7659">
        <v>5.2398680000000003E-2</v>
      </c>
      <c r="T7659">
        <v>-0.137762</v>
      </c>
      <c r="U7659">
        <v>3.0917970000000001</v>
      </c>
      <c r="V7659">
        <v>3.0711840000000001E-2</v>
      </c>
      <c r="W7659">
        <v>0.20991460000000001</v>
      </c>
      <c r="X7659">
        <v>0.97723729999999998</v>
      </c>
      <c r="Y7659">
        <v>1.006256E-2</v>
      </c>
      <c r="Z7659">
        <v>-3.5760510000000002E-2</v>
      </c>
      <c r="AA7659">
        <v>0.99930969999999997</v>
      </c>
      <c r="AB7659">
        <v>38</v>
      </c>
      <c r="AC7659">
        <v>0.42420000000001301</v>
      </c>
      <c r="AD7659">
        <v>-1.12144295365899</v>
      </c>
      <c r="AE7659">
        <v>24.80068</v>
      </c>
      <c r="AF7659">
        <v>0.253290375391032</v>
      </c>
      <c r="AG7659">
        <v>-1.12144295365899</v>
      </c>
      <c r="AH7659">
        <v>24.7524128254517</v>
      </c>
      <c r="AI7659">
        <v>92.593956463640296</v>
      </c>
      <c r="AJ7659">
        <v>89.413715216964903</v>
      </c>
      <c r="AK7659">
        <v>24.7790986719485</v>
      </c>
      <c r="AL7659">
        <v>77.882652960869507</v>
      </c>
      <c r="AM7659">
        <v>88.199946076811003</v>
      </c>
      <c r="AN7659">
        <v>1.00000004846031</v>
      </c>
    </row>
    <row r="7660" spans="1:40" x14ac:dyDescent="0.25">
      <c r="A7660" t="str">
        <f>"20190303170437438"</f>
        <v>20190303170437438</v>
      </c>
      <c r="B7660" t="str">
        <f>"1551603877433565"</f>
        <v>1551603877433565</v>
      </c>
      <c r="C7660" t="s">
        <v>40</v>
      </c>
      <c r="D7660">
        <v>4.3317489999999896</v>
      </c>
      <c r="E7660">
        <v>0.50120750000000003</v>
      </c>
      <c r="F7660" t="s">
        <v>42</v>
      </c>
      <c r="G7660">
        <v>-186.9134</v>
      </c>
      <c r="H7660" s="1">
        <v>-1.5029679999999901E-6</v>
      </c>
      <c r="I7660">
        <v>71.651259999999994</v>
      </c>
      <c r="J7660">
        <v>-187.46090000000001</v>
      </c>
      <c r="K7660">
        <v>1.121445</v>
      </c>
      <c r="L7660">
        <v>48.420929999999998</v>
      </c>
      <c r="M7660">
        <v>6.5235600000000003E-3</v>
      </c>
      <c r="N7660">
        <v>-8.7636350000000005E-3</v>
      </c>
      <c r="O7660">
        <v>0.9999403</v>
      </c>
      <c r="P7660">
        <v>3.7053549999999998E-2</v>
      </c>
      <c r="Q7660">
        <v>0.20107920000000001</v>
      </c>
      <c r="R7660">
        <v>0.97887389999999996</v>
      </c>
      <c r="S7660">
        <v>7.2280880000000006E-2</v>
      </c>
      <c r="T7660">
        <v>-0.14764379999999999</v>
      </c>
      <c r="U7660">
        <v>3.0925600000000002</v>
      </c>
      <c r="V7660">
        <v>3.0414679999999999E-2</v>
      </c>
      <c r="W7660">
        <v>0.2096885</v>
      </c>
      <c r="X7660">
        <v>0.97729509999999997</v>
      </c>
      <c r="Y7660">
        <v>1.682173E-2</v>
      </c>
      <c r="Z7660">
        <v>-3.8921079999999997E-2</v>
      </c>
      <c r="AA7660">
        <v>0.99910069999999995</v>
      </c>
      <c r="AB7660">
        <v>38</v>
      </c>
      <c r="AC7660">
        <v>0.54750000000001298</v>
      </c>
      <c r="AD7660">
        <v>-1.1214465029680001</v>
      </c>
      <c r="AE7660">
        <v>23.230329999999899</v>
      </c>
      <c r="AF7660">
        <v>0.39501800226002598</v>
      </c>
      <c r="AG7660">
        <v>-1.1214465029680001</v>
      </c>
      <c r="AH7660">
        <v>23.1794181349624</v>
      </c>
      <c r="AI7660">
        <v>92.769473372888598</v>
      </c>
      <c r="AJ7660">
        <v>89.023673778698793</v>
      </c>
      <c r="AK7660">
        <v>23.209892428801801</v>
      </c>
      <c r="AL7660">
        <v>77.895902018842094</v>
      </c>
      <c r="AM7660">
        <v>88.217457013748501</v>
      </c>
      <c r="AN7660">
        <v>1.0000000161378799</v>
      </c>
    </row>
    <row r="7661" spans="1:40" x14ac:dyDescent="0.25">
      <c r="A7661" t="str">
        <f>"20190303170437456"</f>
        <v>20190303170437456</v>
      </c>
      <c r="B7661" t="str">
        <f>"1551603877443323"</f>
        <v>1551603877443323</v>
      </c>
      <c r="C7661" t="s">
        <v>40</v>
      </c>
      <c r="D7661">
        <v>4.3095429999999997</v>
      </c>
      <c r="E7661">
        <v>0.50211320000000004</v>
      </c>
      <c r="F7661" t="s">
        <v>42</v>
      </c>
      <c r="G7661">
        <v>-186.82929999999999</v>
      </c>
      <c r="H7661" s="1">
        <v>-1.1828309999999999E-6</v>
      </c>
      <c r="I7661">
        <v>70.644759999999906</v>
      </c>
      <c r="J7661">
        <v>-187.45920000000001</v>
      </c>
      <c r="K7661">
        <v>1.1214459999999999</v>
      </c>
      <c r="L7661">
        <v>48.73312</v>
      </c>
      <c r="M7661">
        <v>6.1072280000000001E-3</v>
      </c>
      <c r="N7661">
        <v>-8.7812800000000007E-3</v>
      </c>
      <c r="O7661">
        <v>0.99994280000000002</v>
      </c>
      <c r="P7661">
        <v>3.6218939999999998E-2</v>
      </c>
      <c r="Q7661">
        <v>0.20169690000000001</v>
      </c>
      <c r="R7661">
        <v>0.97877809999999998</v>
      </c>
      <c r="S7661">
        <v>8.7921139999999995E-2</v>
      </c>
      <c r="T7661">
        <v>-0.15610109999999999</v>
      </c>
      <c r="U7661">
        <v>3.0934750000000002</v>
      </c>
      <c r="V7661">
        <v>2.9986860000000001E-2</v>
      </c>
      <c r="W7661">
        <v>0.21032200000000001</v>
      </c>
      <c r="X7661">
        <v>0.97717209999999999</v>
      </c>
      <c r="Y7661">
        <v>2.2274080000000002E-2</v>
      </c>
      <c r="Z7661">
        <v>-4.160817E-2</v>
      </c>
      <c r="AA7661">
        <v>0.99888569999999999</v>
      </c>
      <c r="AB7661">
        <v>38</v>
      </c>
      <c r="AC7661">
        <v>0.62990000000002</v>
      </c>
      <c r="AD7661">
        <v>-1.121447182831</v>
      </c>
      <c r="AE7661">
        <v>21.911639999999899</v>
      </c>
      <c r="AF7661">
        <v>0.49476876640485701</v>
      </c>
      <c r="AG7661">
        <v>-1.121447182831</v>
      </c>
      <c r="AH7661">
        <v>21.857870395937599</v>
      </c>
      <c r="AI7661">
        <v>92.936310215737606</v>
      </c>
      <c r="AJ7661">
        <v>88.703289868400802</v>
      </c>
      <c r="AK7661">
        <v>21.892211815202501</v>
      </c>
      <c r="AL7661">
        <v>77.858776260574601</v>
      </c>
      <c r="AM7661">
        <v>88.242293761468801</v>
      </c>
      <c r="AN7661">
        <v>0.99999993423753197</v>
      </c>
    </row>
    <row r="7662" spans="1:40" x14ac:dyDescent="0.25">
      <c r="A7662" t="str">
        <f>"20190303170437479"</f>
        <v>20190303170437479</v>
      </c>
      <c r="B7662" t="str">
        <f>"1551603877473579"</f>
        <v>1551603877473579</v>
      </c>
      <c r="C7662" t="s">
        <v>40</v>
      </c>
      <c r="D7662">
        <v>4.4003119999999996</v>
      </c>
      <c r="E7662">
        <v>0.50420869999999995</v>
      </c>
      <c r="F7662" t="s">
        <v>42</v>
      </c>
      <c r="G7662">
        <v>-186.80680000000001</v>
      </c>
      <c r="H7662" s="1">
        <v>-1.217315E-6</v>
      </c>
      <c r="I7662">
        <v>70.728549999999998</v>
      </c>
      <c r="J7662">
        <v>-187.4573</v>
      </c>
      <c r="K7662">
        <v>1.1214440000000001</v>
      </c>
      <c r="L7662">
        <v>49.111969999999999</v>
      </c>
      <c r="M7662">
        <v>5.6023560000000002E-3</v>
      </c>
      <c r="N7662">
        <v>-8.8109339999999994E-3</v>
      </c>
      <c r="O7662">
        <v>0.99994550000000004</v>
      </c>
      <c r="P7662">
        <v>3.5387179999999997E-2</v>
      </c>
      <c r="Q7662">
        <v>0.201824</v>
      </c>
      <c r="R7662">
        <v>0.97878229999999999</v>
      </c>
      <c r="S7662">
        <v>9.1766360000000005E-2</v>
      </c>
      <c r="T7662">
        <v>-0.1577566</v>
      </c>
      <c r="U7662">
        <v>3.094147</v>
      </c>
      <c r="V7662">
        <v>2.9648259999999999E-2</v>
      </c>
      <c r="W7662">
        <v>0.21047769999999999</v>
      </c>
      <c r="X7662">
        <v>0.97714900000000005</v>
      </c>
      <c r="Y7662">
        <v>2.4011830000000001E-2</v>
      </c>
      <c r="Z7662">
        <v>-4.209889E-2</v>
      </c>
      <c r="AA7662">
        <v>0.99882490000000002</v>
      </c>
      <c r="AB7662">
        <v>38</v>
      </c>
      <c r="AC7662">
        <v>0.65049999999999297</v>
      </c>
      <c r="AD7662">
        <v>-1.121445217315</v>
      </c>
      <c r="AE7662">
        <v>21.616579999999999</v>
      </c>
      <c r="AF7662">
        <v>0.52796163119040795</v>
      </c>
      <c r="AG7662">
        <v>-1.121445217315</v>
      </c>
      <c r="AH7662">
        <v>21.561905481545001</v>
      </c>
      <c r="AI7662">
        <v>92.976408217025494</v>
      </c>
      <c r="AJ7662">
        <v>88.597344289238407</v>
      </c>
      <c r="AK7662">
        <v>21.597503347714301</v>
      </c>
      <c r="AL7662">
        <v>77.849652160783506</v>
      </c>
      <c r="AM7662">
        <v>88.262087800302297</v>
      </c>
      <c r="AN7662">
        <v>1.0000000248596499</v>
      </c>
    </row>
    <row r="7663" spans="1:40" x14ac:dyDescent="0.25">
      <c r="A7663" t="str">
        <f>"20190303170437503"</f>
        <v>20190303170437503</v>
      </c>
      <c r="B7663" t="str">
        <f>"1551603877493100"</f>
        <v>1551603877493100</v>
      </c>
      <c r="C7663" t="s">
        <v>40</v>
      </c>
      <c r="D7663">
        <v>4.3708019999999896</v>
      </c>
      <c r="E7663">
        <v>0.5044286</v>
      </c>
      <c r="F7663" t="s">
        <v>42</v>
      </c>
      <c r="G7663">
        <v>-186.74510000000001</v>
      </c>
      <c r="H7663" s="1">
        <v>-1.002933E-6</v>
      </c>
      <c r="I7663">
        <v>70.050349999999995</v>
      </c>
      <c r="J7663">
        <v>-187.4555</v>
      </c>
      <c r="K7663">
        <v>1.121445</v>
      </c>
      <c r="L7663">
        <v>49.516170000000002</v>
      </c>
      <c r="M7663">
        <v>5.064074E-3</v>
      </c>
      <c r="N7663">
        <v>-8.8512639999999993E-3</v>
      </c>
      <c r="O7663">
        <v>0.99994799999999995</v>
      </c>
      <c r="P7663">
        <v>3.4344520000000003E-2</v>
      </c>
      <c r="Q7663">
        <v>0.20134050000000001</v>
      </c>
      <c r="R7663">
        <v>0.97891899999999998</v>
      </c>
      <c r="S7663">
        <v>0.10528559999999999</v>
      </c>
      <c r="T7663">
        <v>-0.16578899999999999</v>
      </c>
      <c r="U7663">
        <v>3.0954280000000001</v>
      </c>
      <c r="V7663">
        <v>2.913145E-2</v>
      </c>
      <c r="W7663">
        <v>0.21003440000000001</v>
      </c>
      <c r="X7663">
        <v>0.97725989999999996</v>
      </c>
      <c r="Y7663">
        <v>2.8889999999999999E-2</v>
      </c>
      <c r="Z7663">
        <v>-4.4615120000000001E-2</v>
      </c>
      <c r="AA7663">
        <v>0.99858639999999999</v>
      </c>
      <c r="AB7663">
        <v>38</v>
      </c>
      <c r="AC7663">
        <v>0.71039999999999204</v>
      </c>
      <c r="AD7663">
        <v>-1.121446002933</v>
      </c>
      <c r="AE7663">
        <v>20.5341799999999</v>
      </c>
      <c r="AF7663">
        <v>0.60459905866678298</v>
      </c>
      <c r="AG7663">
        <v>-1.121446002933</v>
      </c>
      <c r="AH7663">
        <v>20.476513118819401</v>
      </c>
      <c r="AI7663">
        <v>93.133447981213493</v>
      </c>
      <c r="AJ7663">
        <v>88.308749511543098</v>
      </c>
      <c r="AK7663">
        <v>20.516110027595801</v>
      </c>
      <c r="AL7663">
        <v>77.875631837076199</v>
      </c>
      <c r="AM7663">
        <v>88.292557576582297</v>
      </c>
      <c r="AN7663">
        <v>1.0000000013552299</v>
      </c>
    </row>
    <row r="7664" spans="1:40" x14ac:dyDescent="0.25">
      <c r="A7664" t="str">
        <f>"20190303170437525"</f>
        <v>20190303170437525</v>
      </c>
      <c r="B7664" t="str">
        <f>"1551603877513595"</f>
        <v>1551603877513595</v>
      </c>
      <c r="C7664" t="s">
        <v>40</v>
      </c>
      <c r="D7664">
        <v>4.3818199999999896</v>
      </c>
      <c r="E7664">
        <v>0.48235810000000001</v>
      </c>
      <c r="F7664" t="s">
        <v>42</v>
      </c>
      <c r="G7664">
        <v>-186.7731</v>
      </c>
      <c r="H7664" s="1">
        <v>-9.5272100000000005E-7</v>
      </c>
      <c r="I7664">
        <v>69.924619999999905</v>
      </c>
      <c r="J7664">
        <v>-187.45410000000001</v>
      </c>
      <c r="K7664">
        <v>1.121448</v>
      </c>
      <c r="L7664">
        <v>49.885829999999999</v>
      </c>
      <c r="M7664">
        <v>4.5719469999999998E-3</v>
      </c>
      <c r="N7664">
        <v>-8.8955849999999993E-3</v>
      </c>
      <c r="O7664">
        <v>0.99995000000000001</v>
      </c>
      <c r="P7664">
        <v>3.3179500000000001E-2</v>
      </c>
      <c r="Q7664">
        <v>0.20093929999999999</v>
      </c>
      <c r="R7664">
        <v>0.97904159999999996</v>
      </c>
      <c r="S7664">
        <v>0.1035309</v>
      </c>
      <c r="T7664">
        <v>-0.17012260000000001</v>
      </c>
      <c r="U7664">
        <v>3.0959469999999998</v>
      </c>
      <c r="V7664">
        <v>2.844733E-2</v>
      </c>
      <c r="W7664">
        <v>0.20967640000000001</v>
      </c>
      <c r="X7664">
        <v>0.97735689999999997</v>
      </c>
      <c r="Y7664">
        <v>2.880868E-2</v>
      </c>
      <c r="Z7664">
        <v>-4.5956129999999998E-2</v>
      </c>
      <c r="AA7664">
        <v>0.99852790000000002</v>
      </c>
      <c r="AB7664">
        <v>38</v>
      </c>
      <c r="AC7664">
        <v>0.68100000000001104</v>
      </c>
      <c r="AD7664">
        <v>-1.1214489527210001</v>
      </c>
      <c r="AE7664">
        <v>20.038789999999899</v>
      </c>
      <c r="AF7664">
        <v>0.58753496030899</v>
      </c>
      <c r="AG7664">
        <v>-1.1214489527210001</v>
      </c>
      <c r="AH7664">
        <v>19.979192347492301</v>
      </c>
      <c r="AI7664">
        <v>93.2113039697186</v>
      </c>
      <c r="AJ7664">
        <v>88.315568813746495</v>
      </c>
      <c r="AK7664">
        <v>20.019265020006099</v>
      </c>
      <c r="AL7664">
        <v>77.896610574769994</v>
      </c>
      <c r="AM7664">
        <v>88.332797462265901</v>
      </c>
      <c r="AN7664">
        <v>0.99999997663934903</v>
      </c>
    </row>
    <row r="7665" spans="1:40" x14ac:dyDescent="0.25">
      <c r="A7665" t="str">
        <f>"20190303170437546"</f>
        <v>20190303170437546</v>
      </c>
      <c r="B7665" t="str">
        <f>"1551603877533115"</f>
        <v>1551603877533115</v>
      </c>
      <c r="C7665" t="s">
        <v>40</v>
      </c>
      <c r="D7665">
        <v>4.3445720000000003</v>
      </c>
      <c r="E7665">
        <v>0.47977950000000003</v>
      </c>
      <c r="F7665" t="s">
        <v>90</v>
      </c>
      <c r="G7665">
        <v>-189.4195</v>
      </c>
      <c r="H7665" s="1">
        <v>-7.355149E-6</v>
      </c>
      <c r="I7665">
        <v>137.34530000000001</v>
      </c>
      <c r="J7665">
        <v>-187.4528</v>
      </c>
      <c r="K7665">
        <v>1.1214580000000001</v>
      </c>
      <c r="L7665">
        <v>50.250579999999999</v>
      </c>
      <c r="M7665">
        <v>4.0866160000000004E-3</v>
      </c>
      <c r="N7665">
        <v>-8.9457879999999997E-3</v>
      </c>
      <c r="O7665">
        <v>0.9999517</v>
      </c>
      <c r="P7665">
        <v>3.2801360000000002E-2</v>
      </c>
      <c r="Q7665">
        <v>0.20098959999999999</v>
      </c>
      <c r="R7665">
        <v>0.97904400000000003</v>
      </c>
      <c r="S7665">
        <v>-6.9091799999999995E-2</v>
      </c>
      <c r="T7665">
        <v>-3.9424899999999999E-2</v>
      </c>
      <c r="U7665">
        <v>3.074646</v>
      </c>
      <c r="V7665">
        <v>2.8543510000000001E-2</v>
      </c>
      <c r="W7665">
        <v>0.20977609999999999</v>
      </c>
      <c r="X7665">
        <v>0.97733270000000005</v>
      </c>
      <c r="Y7665">
        <v>-2.6548599999999999E-2</v>
      </c>
      <c r="Z7665">
        <v>-3.871513E-3</v>
      </c>
      <c r="AA7665">
        <v>0.99963999999999997</v>
      </c>
      <c r="AB7665">
        <v>38</v>
      </c>
      <c r="AC7665">
        <v>-1.9666999999999999</v>
      </c>
      <c r="AD7665">
        <v>-1.1214653551489999</v>
      </c>
      <c r="AE7665">
        <v>87.094719999999995</v>
      </c>
      <c r="AF7665">
        <v>-2.32223563841031</v>
      </c>
      <c r="AG7665">
        <v>-1.1214653551489999</v>
      </c>
      <c r="AH7665">
        <v>87.071525991238602</v>
      </c>
      <c r="AI7665">
        <v>90.737656098881303</v>
      </c>
      <c r="AJ7665">
        <v>91.527741306273299</v>
      </c>
      <c r="AK7665">
        <v>87.109707273908597</v>
      </c>
      <c r="AL7665">
        <v>77.890768236453198</v>
      </c>
      <c r="AM7665">
        <v>88.327122474642294</v>
      </c>
      <c r="AN7665">
        <v>0.99999997529180895</v>
      </c>
    </row>
    <row r="7666" spans="1:40" x14ac:dyDescent="0.25">
      <c r="A7666" t="str">
        <f>"20190303170437569"</f>
        <v>20190303170437569</v>
      </c>
      <c r="B7666" t="str">
        <f>"1551603877563372"</f>
        <v>1551603877563372</v>
      </c>
      <c r="C7666" t="s">
        <v>40</v>
      </c>
      <c r="D7666">
        <v>4.3300599999999996</v>
      </c>
      <c r="E7666">
        <v>0.47860789999999998</v>
      </c>
      <c r="F7666" t="s">
        <v>42</v>
      </c>
      <c r="G7666">
        <v>-195.84020000000001</v>
      </c>
      <c r="H7666" s="1">
        <v>-4.8815410000000003E-6</v>
      </c>
      <c r="I7666">
        <v>338.28719999999998</v>
      </c>
      <c r="J7666">
        <v>-187.45169999999999</v>
      </c>
      <c r="K7666">
        <v>1.121475</v>
      </c>
      <c r="L7666">
        <v>50.64188</v>
      </c>
      <c r="M7666">
        <v>3.5664289999999999E-3</v>
      </c>
      <c r="N7666">
        <v>-9.0092249999999992E-3</v>
      </c>
      <c r="O7666">
        <v>0.99995299999999998</v>
      </c>
      <c r="P7666">
        <v>3.322249E-2</v>
      </c>
      <c r="Q7666">
        <v>0.20105390000000001</v>
      </c>
      <c r="R7666">
        <v>0.97901669999999996</v>
      </c>
      <c r="S7666">
        <v>-8.9385989999999999E-2</v>
      </c>
      <c r="T7666">
        <v>-1.1951679999999999E-2</v>
      </c>
      <c r="U7666">
        <v>3.0696720000000002</v>
      </c>
      <c r="V7666">
        <v>2.947311E-2</v>
      </c>
      <c r="W7666">
        <v>0.20990339999999999</v>
      </c>
      <c r="X7666">
        <v>0.97727779999999997</v>
      </c>
      <c r="Y7666">
        <v>-3.2669330000000003E-2</v>
      </c>
      <c r="Z7666">
        <v>5.1182409999999999E-3</v>
      </c>
      <c r="AA7666">
        <v>0.99945309999999998</v>
      </c>
      <c r="AB7666">
        <v>38</v>
      </c>
      <c r="AC7666">
        <v>-8.3885000000000201</v>
      </c>
      <c r="AD7666">
        <v>-1.1214798815410001</v>
      </c>
      <c r="AE7666">
        <v>287.64532000000003</v>
      </c>
      <c r="AF7666">
        <v>-9.4142119683938503</v>
      </c>
      <c r="AG7666">
        <v>-1.1214798815410001</v>
      </c>
      <c r="AH7666">
        <v>287.60920410554002</v>
      </c>
      <c r="AI7666">
        <v>90.223293770773495</v>
      </c>
      <c r="AJ7666">
        <v>91.874773438115895</v>
      </c>
      <c r="AK7666">
        <v>287.765424244006</v>
      </c>
      <c r="AL7666">
        <v>77.883308699509001</v>
      </c>
      <c r="AM7666">
        <v>88.272576003594494</v>
      </c>
      <c r="AN7666">
        <v>0.99999999995873601</v>
      </c>
    </row>
    <row r="7667" spans="1:40" x14ac:dyDescent="0.25">
      <c r="A7667" t="str">
        <f>"20190303170437591"</f>
        <v>20190303170437591</v>
      </c>
      <c r="B7667" t="str">
        <f>"1551603877582891"</f>
        <v>1551603877582891</v>
      </c>
      <c r="C7667" t="s">
        <v>40</v>
      </c>
      <c r="D7667">
        <v>4.351</v>
      </c>
      <c r="E7667">
        <v>0.47836380000000001</v>
      </c>
      <c r="F7667" t="s">
        <v>49</v>
      </c>
      <c r="G7667">
        <v>-198.25729999999999</v>
      </c>
      <c r="H7667">
        <v>1.6963299999999999</v>
      </c>
      <c r="I7667">
        <v>391.87</v>
      </c>
      <c r="J7667">
        <v>-187.45079999999999</v>
      </c>
      <c r="K7667">
        <v>1.1214850000000001</v>
      </c>
      <c r="L7667">
        <v>51.015810000000002</v>
      </c>
      <c r="M7667">
        <v>3.0695150000000001E-3</v>
      </c>
      <c r="N7667">
        <v>-9.0792530000000007E-3</v>
      </c>
      <c r="O7667">
        <v>0.99995400000000001</v>
      </c>
      <c r="P7667">
        <v>3.3216389999999998E-2</v>
      </c>
      <c r="Q7667">
        <v>0.20116700000000001</v>
      </c>
      <c r="R7667">
        <v>0.97899360000000002</v>
      </c>
      <c r="S7667">
        <v>-9.7106929999999994E-2</v>
      </c>
      <c r="T7667">
        <v>5.1660539999999998E-3</v>
      </c>
      <c r="U7667">
        <v>3.0665279999999999</v>
      </c>
      <c r="V7667">
        <v>2.9952639999999999E-2</v>
      </c>
      <c r="W7667">
        <v>0.2100852</v>
      </c>
      <c r="X7667">
        <v>0.97722419999999999</v>
      </c>
      <c r="Y7667">
        <v>-3.4715830000000003E-2</v>
      </c>
      <c r="Z7667">
        <v>1.076333E-2</v>
      </c>
      <c r="AA7667">
        <v>0.99933930000000004</v>
      </c>
      <c r="AB7667">
        <v>38</v>
      </c>
      <c r="AC7667">
        <v>-10.8065</v>
      </c>
      <c r="AD7667">
        <v>0.57484499999999905</v>
      </c>
      <c r="AE7667">
        <v>340.85419000000002</v>
      </c>
      <c r="AF7667">
        <v>-11.8527156582469</v>
      </c>
      <c r="AG7667">
        <v>0.57484499999999905</v>
      </c>
      <c r="AH7667">
        <v>340.81844363766299</v>
      </c>
      <c r="AI7667">
        <v>89.903419951450601</v>
      </c>
      <c r="AJ7667">
        <v>91.991784804204599</v>
      </c>
      <c r="AK7667">
        <v>341.02496805783699</v>
      </c>
      <c r="AL7667">
        <v>77.872655320183298</v>
      </c>
      <c r="AM7667">
        <v>88.244391886216803</v>
      </c>
      <c r="AN7667">
        <v>1.00000004448382</v>
      </c>
    </row>
    <row r="7668" spans="1:40" x14ac:dyDescent="0.25">
      <c r="A7668" t="str">
        <f>"20190303170437614"</f>
        <v>20190303170437614</v>
      </c>
      <c r="B7668" t="str">
        <f>"1551603877603388"</f>
        <v>1551603877603388</v>
      </c>
      <c r="C7668" t="s">
        <v>40</v>
      </c>
      <c r="D7668">
        <v>4.3204510000000003</v>
      </c>
      <c r="E7668">
        <v>0.47811920000000002</v>
      </c>
      <c r="F7668" t="s">
        <v>49</v>
      </c>
      <c r="G7668">
        <v>-198.49629999999999</v>
      </c>
      <c r="H7668">
        <v>2.1446890000000001</v>
      </c>
      <c r="I7668">
        <v>391.87</v>
      </c>
      <c r="J7668">
        <v>-187.45</v>
      </c>
      <c r="K7668">
        <v>1.1214869999999999</v>
      </c>
      <c r="L7668">
        <v>51.401859999999999</v>
      </c>
      <c r="M7668">
        <v>2.5568190000000001E-3</v>
      </c>
      <c r="N7668">
        <v>-9.1573729999999999E-3</v>
      </c>
      <c r="O7668">
        <v>0.99995480000000003</v>
      </c>
      <c r="P7668">
        <v>3.2852859999999998E-2</v>
      </c>
      <c r="Q7668">
        <v>0.20082649999999999</v>
      </c>
      <c r="R7668">
        <v>0.97907580000000005</v>
      </c>
      <c r="S7668">
        <v>-9.9349980000000004E-2</v>
      </c>
      <c r="T7668">
        <v>9.2033150000000001E-3</v>
      </c>
      <c r="U7668">
        <v>3.0658569999999998</v>
      </c>
      <c r="V7668">
        <v>3.0090450000000001E-2</v>
      </c>
      <c r="W7668">
        <v>0.2098218</v>
      </c>
      <c r="X7668">
        <v>0.97727649999999999</v>
      </c>
      <c r="Y7668">
        <v>-3.4940400000000003E-2</v>
      </c>
      <c r="Z7668">
        <v>1.215773E-2</v>
      </c>
      <c r="AA7668">
        <v>0.99931539999999996</v>
      </c>
      <c r="AB7668">
        <v>38</v>
      </c>
      <c r="AC7668">
        <v>-11.0463</v>
      </c>
      <c r="AD7668">
        <v>1.0232019999999999</v>
      </c>
      <c r="AE7668">
        <v>340.46814000000001</v>
      </c>
      <c r="AF7668">
        <v>-11.916708287790501</v>
      </c>
      <c r="AG7668">
        <v>1.0232019999999999</v>
      </c>
      <c r="AH7668">
        <v>340.43571097345898</v>
      </c>
      <c r="AI7668">
        <v>89.827899675706504</v>
      </c>
      <c r="AJ7668">
        <v>92.004779183030195</v>
      </c>
      <c r="AK7668">
        <v>340.64575174916399</v>
      </c>
      <c r="AL7668">
        <v>77.888090402002405</v>
      </c>
      <c r="AM7668">
        <v>88.236413871606402</v>
      </c>
      <c r="AN7668">
        <v>0.99999999019434604</v>
      </c>
    </row>
    <row r="7669" spans="1:40" x14ac:dyDescent="0.25">
      <c r="A7669" t="str">
        <f>"20190303170437635"</f>
        <v>20190303170437635</v>
      </c>
      <c r="B7669" t="str">
        <f>"1551603877622907"</f>
        <v>1551603877622907</v>
      </c>
      <c r="C7669" t="s">
        <v>40</v>
      </c>
      <c r="D7669">
        <v>4.3425890000000003</v>
      </c>
      <c r="E7669">
        <v>0.47821669999999999</v>
      </c>
      <c r="F7669" t="s">
        <v>49</v>
      </c>
      <c r="G7669">
        <v>-198.79820000000001</v>
      </c>
      <c r="H7669">
        <v>2.2889029999999999</v>
      </c>
      <c r="I7669">
        <v>391.87</v>
      </c>
      <c r="J7669">
        <v>-187.4495</v>
      </c>
      <c r="K7669">
        <v>1.1215079999999999</v>
      </c>
      <c r="L7669">
        <v>51.766629999999999</v>
      </c>
      <c r="M7669">
        <v>2.0729390000000002E-3</v>
      </c>
      <c r="N7669">
        <v>-9.2348589999999998E-3</v>
      </c>
      <c r="O7669">
        <v>0.99995520000000004</v>
      </c>
      <c r="P7669">
        <v>3.3016040000000003E-2</v>
      </c>
      <c r="Q7669">
        <v>0.20137830000000001</v>
      </c>
      <c r="R7669">
        <v>0.97895690000000002</v>
      </c>
      <c r="S7669">
        <v>-0.1021729</v>
      </c>
      <c r="T7669">
        <v>1.0510800000000001E-2</v>
      </c>
      <c r="U7669">
        <v>3.0653990000000002</v>
      </c>
      <c r="V7669">
        <v>3.0726139999999999E-2</v>
      </c>
      <c r="W7669">
        <v>0.21044930000000001</v>
      </c>
      <c r="X7669">
        <v>0.97712180000000004</v>
      </c>
      <c r="Y7669">
        <v>-3.5380699999999897E-2</v>
      </c>
      <c r="Z7669">
        <v>1.2661769999999999E-2</v>
      </c>
      <c r="AA7669">
        <v>0.99929369999999995</v>
      </c>
      <c r="AB7669">
        <v>38</v>
      </c>
      <c r="AC7669">
        <v>-11.348699999999999</v>
      </c>
      <c r="AD7669">
        <v>1.167395</v>
      </c>
      <c r="AE7669">
        <v>340.10336999999998</v>
      </c>
      <c r="AF7669">
        <v>-12.053577369969901</v>
      </c>
      <c r="AG7669">
        <v>1.167395</v>
      </c>
      <c r="AH7669">
        <v>340.07511078521401</v>
      </c>
      <c r="AI7669">
        <v>89.803441746109698</v>
      </c>
      <c r="AJ7669">
        <v>92.029934289178897</v>
      </c>
      <c r="AK7669">
        <v>340.29065886984802</v>
      </c>
      <c r="AL7669">
        <v>77.851316431904095</v>
      </c>
      <c r="AM7669">
        <v>88.198895757314105</v>
      </c>
      <c r="AN7669">
        <v>1.00000000779251</v>
      </c>
    </row>
    <row r="7670" spans="1:40" x14ac:dyDescent="0.25">
      <c r="A7670" t="str">
        <f>"20190303170437657"</f>
        <v>20190303170437657</v>
      </c>
      <c r="B7670" t="str">
        <f>"1551603877653163"</f>
        <v>1551603877653163</v>
      </c>
      <c r="C7670" t="s">
        <v>40</v>
      </c>
      <c r="D7670">
        <v>4.2390129999999999</v>
      </c>
      <c r="E7670">
        <v>0.47847410000000001</v>
      </c>
      <c r="F7670" t="s">
        <v>49</v>
      </c>
      <c r="G7670">
        <v>-198.64109999999999</v>
      </c>
      <c r="H7670">
        <v>2.6353569999999999</v>
      </c>
      <c r="I7670">
        <v>391.87</v>
      </c>
      <c r="J7670">
        <v>-187.44919999999999</v>
      </c>
      <c r="K7670">
        <v>1.121518</v>
      </c>
      <c r="L7670">
        <v>52.135469999999998</v>
      </c>
      <c r="M7670">
        <v>1.58474299999999E-3</v>
      </c>
      <c r="N7670">
        <v>-9.3165790000000002E-3</v>
      </c>
      <c r="O7670">
        <v>0.99995540000000005</v>
      </c>
      <c r="P7670">
        <v>3.3484170000000001E-2</v>
      </c>
      <c r="Q7670">
        <v>0.20187540000000001</v>
      </c>
      <c r="R7670">
        <v>0.97883869999999895</v>
      </c>
      <c r="S7670">
        <v>-0.10086059999999999</v>
      </c>
      <c r="T7670">
        <v>1.364315E-2</v>
      </c>
      <c r="U7670">
        <v>3.0650940000000002</v>
      </c>
      <c r="V7670">
        <v>3.1671299999999999E-2</v>
      </c>
      <c r="W7670">
        <v>0.2110264</v>
      </c>
      <c r="X7670">
        <v>0.97696719999999904</v>
      </c>
      <c r="Y7670">
        <v>-3.446842E-2</v>
      </c>
      <c r="Z7670">
        <v>1.3765090000000001E-2</v>
      </c>
      <c r="AA7670">
        <v>0.99931099999999995</v>
      </c>
      <c r="AB7670">
        <v>38</v>
      </c>
      <c r="AC7670">
        <v>-11.1919</v>
      </c>
      <c r="AD7670">
        <v>1.5138389999999999</v>
      </c>
      <c r="AE7670">
        <v>339.73453000000001</v>
      </c>
      <c r="AF7670">
        <v>-11.7300685470763</v>
      </c>
      <c r="AG7670">
        <v>1.5138389999999999</v>
      </c>
      <c r="AH7670">
        <v>339.70962852284998</v>
      </c>
      <c r="AI7670">
        <v>89.744828102111597</v>
      </c>
      <c r="AJ7670">
        <v>91.977619847665693</v>
      </c>
      <c r="AK7670">
        <v>339.915457029788</v>
      </c>
      <c r="AL7670">
        <v>77.817492077724793</v>
      </c>
      <c r="AM7670">
        <v>88.1432370079131</v>
      </c>
      <c r="AN7670">
        <v>1.00000006130824</v>
      </c>
    </row>
    <row r="7671" spans="1:40" x14ac:dyDescent="0.25">
      <c r="A7671" t="str">
        <f>"20190303170437680"</f>
        <v>20190303170437680</v>
      </c>
      <c r="B7671" t="str">
        <f>"1551603877673661"</f>
        <v>1551603877673661</v>
      </c>
      <c r="C7671" t="s">
        <v>40</v>
      </c>
      <c r="D7671">
        <v>4.2027650000000003</v>
      </c>
      <c r="E7671">
        <v>0.47866520000000001</v>
      </c>
      <c r="F7671" t="s">
        <v>49</v>
      </c>
      <c r="G7671">
        <v>-198.24039999999999</v>
      </c>
      <c r="H7671">
        <v>2.9060320000000002</v>
      </c>
      <c r="I7671">
        <v>391.87</v>
      </c>
      <c r="J7671">
        <v>-187.44900000000001</v>
      </c>
      <c r="K7671">
        <v>1.121534</v>
      </c>
      <c r="L7671">
        <v>52.550260000000002</v>
      </c>
      <c r="M7671">
        <v>1.0392579999999999E-3</v>
      </c>
      <c r="N7671">
        <v>-9.4103680000000006E-3</v>
      </c>
      <c r="O7671">
        <v>0.99995520000000004</v>
      </c>
      <c r="P7671">
        <v>3.3811519999999998E-2</v>
      </c>
      <c r="Q7671">
        <v>0.20211499999999999</v>
      </c>
      <c r="R7671">
        <v>0.97877800000000004</v>
      </c>
      <c r="S7671">
        <v>-9.7351069999999998E-2</v>
      </c>
      <c r="T7671">
        <v>1.6098620000000001E-2</v>
      </c>
      <c r="U7671">
        <v>3.0648499999999999</v>
      </c>
      <c r="V7671">
        <v>3.2532569999999997E-2</v>
      </c>
      <c r="W7671">
        <v>0.2113573</v>
      </c>
      <c r="X7671">
        <v>0.97686729999999999</v>
      </c>
      <c r="Y7671">
        <v>-3.2782440000000003E-2</v>
      </c>
      <c r="Z7671">
        <v>1.4660009999999999E-2</v>
      </c>
      <c r="AA7671">
        <v>0.99935499999999999</v>
      </c>
      <c r="AB7671">
        <v>38</v>
      </c>
      <c r="AC7671">
        <v>-10.7913999999999</v>
      </c>
      <c r="AD7671">
        <v>1.7844979999999999</v>
      </c>
      <c r="AE7671">
        <v>339.319739999999</v>
      </c>
      <c r="AF7671">
        <v>-11.143742637398001</v>
      </c>
      <c r="AG7671">
        <v>1.7844979999999999</v>
      </c>
      <c r="AH7671">
        <v>339.29896649618502</v>
      </c>
      <c r="AI7671">
        <v>89.6988256007985</v>
      </c>
      <c r="AJ7671">
        <v>91.881113870043507</v>
      </c>
      <c r="AK7671">
        <v>339.48660665548999</v>
      </c>
      <c r="AL7671">
        <v>77.798094635424604</v>
      </c>
      <c r="AM7671">
        <v>88.092586054426405</v>
      </c>
      <c r="AN7671">
        <v>0.99999999909169202</v>
      </c>
    </row>
    <row r="7672" spans="1:40" x14ac:dyDescent="0.25">
      <c r="A7672" t="str">
        <f>"20190303170437716"</f>
        <v>20190303170437716</v>
      </c>
      <c r="B7672" t="str">
        <f>"1551603877702939"</f>
        <v>1551603877702939</v>
      </c>
      <c r="C7672" t="s">
        <v>40</v>
      </c>
      <c r="D7672">
        <v>4.2283720000000002</v>
      </c>
      <c r="E7672">
        <v>0.47881970000000001</v>
      </c>
      <c r="F7672" t="s">
        <v>49</v>
      </c>
      <c r="G7672">
        <v>-197.95269999999999</v>
      </c>
      <c r="H7672">
        <v>3.132612</v>
      </c>
      <c r="I7672">
        <v>391.87</v>
      </c>
      <c r="J7672">
        <v>-187.44919999999999</v>
      </c>
      <c r="K7672">
        <v>1.1215329999999999</v>
      </c>
      <c r="L7672">
        <v>53.143740000000001</v>
      </c>
      <c r="M7672">
        <v>2.6493620000000003E-4</v>
      </c>
      <c r="N7672">
        <v>-9.5448000000000009E-3</v>
      </c>
      <c r="O7672">
        <v>0.99995440000000002</v>
      </c>
      <c r="P7672">
        <v>3.3134499999999997E-2</v>
      </c>
      <c r="Q7672">
        <v>0.20156070000000001</v>
      </c>
      <c r="R7672">
        <v>0.97891539999999999</v>
      </c>
      <c r="S7672">
        <v>-9.4863890000000006E-2</v>
      </c>
      <c r="T7672">
        <v>1.8163080000000002E-2</v>
      </c>
      <c r="U7672">
        <v>3.064575</v>
      </c>
      <c r="V7672">
        <v>3.2615390000000001E-2</v>
      </c>
      <c r="W7672">
        <v>0.2109355</v>
      </c>
      <c r="X7672">
        <v>0.97695569999999998</v>
      </c>
      <c r="Y7672">
        <v>-3.1200749999999999E-2</v>
      </c>
      <c r="Z7672">
        <v>1.546822E-2</v>
      </c>
      <c r="AA7672">
        <v>0.99939350000000005</v>
      </c>
      <c r="AB7672">
        <v>38</v>
      </c>
      <c r="AC7672">
        <v>-10.503500000000001</v>
      </c>
      <c r="AD7672">
        <v>2.0110790000000001</v>
      </c>
      <c r="AE7672">
        <v>338.72626000000002</v>
      </c>
      <c r="AF7672">
        <v>-10.592871527489301</v>
      </c>
      <c r="AG7672">
        <v>2.0110790000000001</v>
      </c>
      <c r="AH7672">
        <v>338.711537076051</v>
      </c>
      <c r="AI7672">
        <v>89.659980053066207</v>
      </c>
      <c r="AJ7672">
        <v>91.7912855332834</v>
      </c>
      <c r="AK7672">
        <v>338.88310479332398</v>
      </c>
      <c r="AL7672">
        <v>77.822819370273805</v>
      </c>
      <c r="AM7672">
        <v>88.087906746934394</v>
      </c>
      <c r="AN7672">
        <v>0.99999999429379605</v>
      </c>
    </row>
    <row r="7673" spans="1:40" x14ac:dyDescent="0.25">
      <c r="A7673" t="str">
        <f>"20190303170437736"</f>
        <v>20190303170437736</v>
      </c>
      <c r="B7673" t="str">
        <f>"1551603877723436"</f>
        <v>1551603877723436</v>
      </c>
      <c r="C7673" t="s">
        <v>40</v>
      </c>
      <c r="D7673">
        <v>4.1846899999999998</v>
      </c>
      <c r="E7673">
        <v>0.47892410000000002</v>
      </c>
      <c r="F7673" t="s">
        <v>49</v>
      </c>
      <c r="G7673">
        <v>-198.0292</v>
      </c>
      <c r="H7673">
        <v>2.9368159999999999</v>
      </c>
      <c r="I7673">
        <v>391.87</v>
      </c>
      <c r="J7673">
        <v>-187.4494</v>
      </c>
      <c r="K7673">
        <v>1.1215360000000001</v>
      </c>
      <c r="L7673">
        <v>53.49268</v>
      </c>
      <c r="M7673">
        <v>-1.8309199999999999E-4</v>
      </c>
      <c r="N7673">
        <v>-9.6339760000000007E-3</v>
      </c>
      <c r="O7673">
        <v>0.9999536</v>
      </c>
      <c r="P7673">
        <v>3.2270029999999998E-2</v>
      </c>
      <c r="Q7673">
        <v>0.20123949999999999</v>
      </c>
      <c r="R7673">
        <v>0.97901039999999995</v>
      </c>
      <c r="S7673">
        <v>-9.5718380000000006E-2</v>
      </c>
      <c r="T7673">
        <v>1.6422989999999998E-2</v>
      </c>
      <c r="U7673">
        <v>3.0644840000000002</v>
      </c>
      <c r="V7673">
        <v>3.2191520000000001E-2</v>
      </c>
      <c r="W7673">
        <v>0.21070150000000001</v>
      </c>
      <c r="X7673">
        <v>0.97702029999999995</v>
      </c>
      <c r="Y7673">
        <v>-3.103237E-2</v>
      </c>
      <c r="Z7673">
        <v>1.499003E-2</v>
      </c>
      <c r="AA7673">
        <v>0.99940600000000002</v>
      </c>
      <c r="AB7673">
        <v>38</v>
      </c>
      <c r="AC7673">
        <v>-10.579800000000001</v>
      </c>
      <c r="AD7673">
        <v>1.81528</v>
      </c>
      <c r="AE7673">
        <v>338.37732</v>
      </c>
      <c r="AF7673">
        <v>-10.5175403736206</v>
      </c>
      <c r="AG7673">
        <v>1.81528</v>
      </c>
      <c r="AH7673">
        <v>338.369522865421</v>
      </c>
      <c r="AI7673">
        <v>89.692771742512406</v>
      </c>
      <c r="AJ7673">
        <v>91.780351581972397</v>
      </c>
      <c r="AK7673">
        <v>338.53780867306699</v>
      </c>
      <c r="AL7673">
        <v>77.836535415778101</v>
      </c>
      <c r="AM7673">
        <v>88.112862939839005</v>
      </c>
      <c r="AN7673">
        <v>1.0000000413371199</v>
      </c>
    </row>
    <row r="7674" spans="1:40" x14ac:dyDescent="0.25">
      <c r="A7674" t="str">
        <f>"20190303170437758"</f>
        <v>20190303170437758</v>
      </c>
      <c r="B7674" t="str">
        <f>"1551603877753691"</f>
        <v>1551603877753691</v>
      </c>
      <c r="C7674" t="s">
        <v>40</v>
      </c>
      <c r="D7674">
        <v>4.1662600000000003</v>
      </c>
      <c r="E7674">
        <v>0.4789254</v>
      </c>
      <c r="F7674" t="s">
        <v>49</v>
      </c>
      <c r="G7674">
        <v>-198.2748</v>
      </c>
      <c r="H7674">
        <v>2.794387</v>
      </c>
      <c r="I7674">
        <v>391.87</v>
      </c>
      <c r="J7674">
        <v>-187.45</v>
      </c>
      <c r="K7674">
        <v>1.121542</v>
      </c>
      <c r="L7674">
        <v>53.888179999999998</v>
      </c>
      <c r="M7674">
        <v>-6.8254809999999998E-4</v>
      </c>
      <c r="N7674">
        <v>-9.7343529999999994E-3</v>
      </c>
      <c r="O7674">
        <v>0.99995239999999996</v>
      </c>
      <c r="P7674">
        <v>3.1944889999999997E-2</v>
      </c>
      <c r="Q7674">
        <v>0.201298</v>
      </c>
      <c r="R7674">
        <v>0.97900900000000002</v>
      </c>
      <c r="S7674">
        <v>-9.8037719999999995E-2</v>
      </c>
      <c r="T7674">
        <v>1.514983E-2</v>
      </c>
      <c r="U7674">
        <v>3.0644529999999999</v>
      </c>
      <c r="V7674">
        <v>3.2357660000000003E-2</v>
      </c>
      <c r="W7674">
        <v>0.21085760000000001</v>
      </c>
      <c r="X7674">
        <v>0.97698110000000005</v>
      </c>
      <c r="Y7674">
        <v>-3.1289150000000002E-2</v>
      </c>
      <c r="Z7674">
        <v>1.467509E-2</v>
      </c>
      <c r="AA7674">
        <v>0.99940260000000003</v>
      </c>
      <c r="AB7674">
        <v>38</v>
      </c>
      <c r="AC7674">
        <v>-10.8248</v>
      </c>
      <c r="AD7674">
        <v>1.6728449999999999</v>
      </c>
      <c r="AE7674">
        <v>337.98182000000003</v>
      </c>
      <c r="AF7674">
        <v>-10.593838443247799</v>
      </c>
      <c r="AG7674">
        <v>1.6728449999999999</v>
      </c>
      <c r="AH7674">
        <v>337.980858803052</v>
      </c>
      <c r="AI7674">
        <v>89.716554576367798</v>
      </c>
      <c r="AJ7674">
        <v>91.795319323170006</v>
      </c>
      <c r="AK7674">
        <v>338.15098512440301</v>
      </c>
      <c r="AL7674">
        <v>77.827385574769707</v>
      </c>
      <c r="AM7674">
        <v>88.103054494154094</v>
      </c>
      <c r="AN7674">
        <v>1.0000000076978199</v>
      </c>
    </row>
    <row r="7675" spans="1:40" x14ac:dyDescent="0.25">
      <c r="A7675" t="str">
        <f>"20190303170437781"</f>
        <v>20190303170437781</v>
      </c>
      <c r="B7675" t="str">
        <f>"1551603877773212"</f>
        <v>1551603877773212</v>
      </c>
      <c r="C7675" t="s">
        <v>40</v>
      </c>
      <c r="D7675">
        <v>4.1520780000000004</v>
      </c>
      <c r="E7675">
        <v>0.47902299999999998</v>
      </c>
      <c r="F7675" t="s">
        <v>49</v>
      </c>
      <c r="G7675">
        <v>-198.41980000000001</v>
      </c>
      <c r="H7675">
        <v>2.8799939999999999</v>
      </c>
      <c r="I7675">
        <v>391.87</v>
      </c>
      <c r="J7675">
        <v>-187.45070000000001</v>
      </c>
      <c r="K7675">
        <v>1.1215440000000001</v>
      </c>
      <c r="L7675">
        <v>54.294069999999998</v>
      </c>
      <c r="M7675">
        <v>-1.177476E-3</v>
      </c>
      <c r="N7675">
        <v>-9.8356109999999993E-3</v>
      </c>
      <c r="O7675">
        <v>0.99995089999999998</v>
      </c>
      <c r="P7675">
        <v>3.2339609999999998E-2</v>
      </c>
      <c r="Q7675">
        <v>0.2017823</v>
      </c>
      <c r="R7675">
        <v>0.97889630000000005</v>
      </c>
      <c r="S7675">
        <v>-9.9456790000000003E-2</v>
      </c>
      <c r="T7675">
        <v>1.5942930000000001E-2</v>
      </c>
      <c r="U7675">
        <v>3.0643009999999999</v>
      </c>
      <c r="V7675">
        <v>3.3241039999999999E-2</v>
      </c>
      <c r="W7675">
        <v>0.2114403</v>
      </c>
      <c r="X7675">
        <v>0.97682550000000001</v>
      </c>
      <c r="Y7675">
        <v>-3.12582E-2</v>
      </c>
      <c r="Z7675">
        <v>1.5035120000000001E-2</v>
      </c>
      <c r="AA7675">
        <v>0.99939820000000001</v>
      </c>
      <c r="AB7675">
        <v>39</v>
      </c>
      <c r="AC7675">
        <v>-10.9690999999999</v>
      </c>
      <c r="AD7675">
        <v>1.7584499999999901</v>
      </c>
      <c r="AE7675">
        <v>337.575929999999</v>
      </c>
      <c r="AF7675">
        <v>-10.571299056193</v>
      </c>
      <c r="AG7675">
        <v>1.7584499999999901</v>
      </c>
      <c r="AH7675">
        <v>337.57946214938499</v>
      </c>
      <c r="AI7675">
        <v>89.701695449122198</v>
      </c>
      <c r="AJ7675">
        <v>91.793630887589799</v>
      </c>
      <c r="AK7675">
        <v>337.74951928197697</v>
      </c>
      <c r="AL7675">
        <v>77.793229288699806</v>
      </c>
      <c r="AM7675">
        <v>88.050996177721004</v>
      </c>
      <c r="AN7675">
        <v>1.0000000123273101</v>
      </c>
    </row>
    <row r="7676" spans="1:40" x14ac:dyDescent="0.25">
      <c r="A7676" t="str">
        <f>"20190303170437802"</f>
        <v>20190303170437802</v>
      </c>
      <c r="B7676" t="str">
        <f>"1551603877793708"</f>
        <v>1551603877793708</v>
      </c>
      <c r="C7676" t="s">
        <v>40</v>
      </c>
      <c r="D7676">
        <v>4.1687459999999996</v>
      </c>
      <c r="E7676">
        <v>0.47905809999999999</v>
      </c>
      <c r="F7676" t="s">
        <v>49</v>
      </c>
      <c r="G7676">
        <v>-198.21260000000001</v>
      </c>
      <c r="H7676">
        <v>3.0889440000000001</v>
      </c>
      <c r="I7676">
        <v>391.87</v>
      </c>
      <c r="J7676">
        <v>-187.45150000000001</v>
      </c>
      <c r="K7676">
        <v>1.1215440000000001</v>
      </c>
      <c r="L7676">
        <v>54.652009999999997</v>
      </c>
      <c r="M7676">
        <v>-1.593351E-3</v>
      </c>
      <c r="N7676">
        <v>-9.9255100000000002E-3</v>
      </c>
      <c r="O7676">
        <v>0.99994950000000005</v>
      </c>
      <c r="P7676">
        <v>3.1829139999999999E-2</v>
      </c>
      <c r="Q7676">
        <v>0.2010702</v>
      </c>
      <c r="R7676">
        <v>0.97905960000000003</v>
      </c>
      <c r="S7676">
        <v>-9.7686770000000006E-2</v>
      </c>
      <c r="T7676">
        <v>1.7858269999999999E-2</v>
      </c>
      <c r="U7676">
        <v>3.064209</v>
      </c>
      <c r="V7676">
        <v>3.3145679999999997E-2</v>
      </c>
      <c r="W7676">
        <v>0.21081569999999999</v>
      </c>
      <c r="X7676">
        <v>0.97696369999999999</v>
      </c>
      <c r="Y7676">
        <v>-3.026651E-2</v>
      </c>
      <c r="Z7676">
        <v>1.5749889999999999E-2</v>
      </c>
      <c r="AA7676">
        <v>0.99941780000000002</v>
      </c>
      <c r="AB7676">
        <v>39</v>
      </c>
      <c r="AC7676">
        <v>-10.761100000000001</v>
      </c>
      <c r="AD7676">
        <v>1.9674</v>
      </c>
      <c r="AE7676">
        <v>337.21798999999999</v>
      </c>
      <c r="AF7676">
        <v>-10.223405633753099</v>
      </c>
      <c r="AG7676">
        <v>1.9674</v>
      </c>
      <c r="AH7676">
        <v>337.22324222895202</v>
      </c>
      <c r="AI7676">
        <v>89.6658869862747</v>
      </c>
      <c r="AJ7676">
        <v>91.736471768919699</v>
      </c>
      <c r="AK7676">
        <v>337.38391156799202</v>
      </c>
      <c r="AL7676">
        <v>77.829841171745201</v>
      </c>
      <c r="AM7676">
        <v>88.056857777564801</v>
      </c>
      <c r="AN7676">
        <v>0.99999998329342099</v>
      </c>
    </row>
    <row r="7677" spans="1:40" x14ac:dyDescent="0.25">
      <c r="A7677" t="str">
        <f>"20190303170437826"</f>
        <v>20190303170437826</v>
      </c>
      <c r="B7677" t="str">
        <f>"1551603877813228"</f>
        <v>1551603877813228</v>
      </c>
      <c r="C7677" t="s">
        <v>40</v>
      </c>
      <c r="D7677">
        <v>4.1687620000000001</v>
      </c>
      <c r="E7677">
        <v>0.47900090000000001</v>
      </c>
      <c r="F7677" t="s">
        <v>49</v>
      </c>
      <c r="G7677">
        <v>-198.29259999999999</v>
      </c>
      <c r="H7677">
        <v>2.8055150000000002</v>
      </c>
      <c r="I7677">
        <v>391.87</v>
      </c>
      <c r="J7677">
        <v>-187.45259999999999</v>
      </c>
      <c r="K7677">
        <v>1.121532</v>
      </c>
      <c r="L7677">
        <v>55.049770000000002</v>
      </c>
      <c r="M7677">
        <v>-2.0239559999999999E-3</v>
      </c>
      <c r="N7677">
        <v>-1.002894E-2</v>
      </c>
      <c r="O7677">
        <v>0.99994769999999999</v>
      </c>
      <c r="P7677">
        <v>3.0273700000000001E-2</v>
      </c>
      <c r="Q7677">
        <v>0.20042550000000001</v>
      </c>
      <c r="R7677">
        <v>0.97924109999999998</v>
      </c>
      <c r="S7677">
        <v>-9.8510739999999999E-2</v>
      </c>
      <c r="T7677">
        <v>1.530194E-2</v>
      </c>
      <c r="U7677">
        <v>3.0642399999999999</v>
      </c>
      <c r="V7677">
        <v>3.2024440000000001E-2</v>
      </c>
      <c r="W7677">
        <v>0.21027080000000001</v>
      </c>
      <c r="X7677">
        <v>0.97711859999999995</v>
      </c>
      <c r="Y7677">
        <v>-3.010446E-2</v>
      </c>
      <c r="Z7677">
        <v>1.501946E-2</v>
      </c>
      <c r="AA7677">
        <v>0.99943389999999999</v>
      </c>
      <c r="AB7677">
        <v>39</v>
      </c>
      <c r="AC7677">
        <v>-10.84</v>
      </c>
      <c r="AD7677">
        <v>1.683983</v>
      </c>
      <c r="AE7677">
        <v>336.82022999999998</v>
      </c>
      <c r="AF7677">
        <v>-10.157980559908401</v>
      </c>
      <c r="AG7677">
        <v>1.683983</v>
      </c>
      <c r="AH7677">
        <v>336.83306990724202</v>
      </c>
      <c r="AI7677">
        <v>89.713684671783497</v>
      </c>
      <c r="AJ7677">
        <v>91.727363266464394</v>
      </c>
      <c r="AK7677">
        <v>336.99041136349302</v>
      </c>
      <c r="AL7677">
        <v>77.861778533249407</v>
      </c>
      <c r="AM7677">
        <v>88.1228392362775</v>
      </c>
      <c r="AN7677">
        <v>1.00000006627795</v>
      </c>
    </row>
    <row r="7678" spans="1:40" x14ac:dyDescent="0.25">
      <c r="A7678" t="str">
        <f>"20190303170437848"</f>
        <v>20190303170437848</v>
      </c>
      <c r="B7678" t="str">
        <f>"1551603877843484"</f>
        <v>1551603877843484</v>
      </c>
      <c r="C7678" t="s">
        <v>40</v>
      </c>
      <c r="D7678">
        <v>4.1619900000000003</v>
      </c>
      <c r="E7678">
        <v>0.47908269999999997</v>
      </c>
      <c r="F7678" t="s">
        <v>49</v>
      </c>
      <c r="G7678">
        <v>-198.7792</v>
      </c>
      <c r="H7678">
        <v>2.5172370000000002</v>
      </c>
      <c r="I7678">
        <v>391.87</v>
      </c>
      <c r="J7678">
        <v>-187.4537</v>
      </c>
      <c r="K7678">
        <v>1.121513</v>
      </c>
      <c r="L7678">
        <v>55.432310000000001</v>
      </c>
      <c r="M7678">
        <v>-2.3954610000000002E-3</v>
      </c>
      <c r="N7678">
        <v>-1.013638E-2</v>
      </c>
      <c r="O7678">
        <v>0.9999458</v>
      </c>
      <c r="P7678">
        <v>2.8419139999999999E-2</v>
      </c>
      <c r="Q7678">
        <v>0.20049639999999999</v>
      </c>
      <c r="R7678">
        <v>0.97928210000000004</v>
      </c>
      <c r="S7678">
        <v>-0.1030426</v>
      </c>
      <c r="T7678">
        <v>1.269722E-2</v>
      </c>
      <c r="U7678">
        <v>3.0641780000000001</v>
      </c>
      <c r="V7678">
        <v>3.0549360000000001E-2</v>
      </c>
      <c r="W7678">
        <v>0.2104432</v>
      </c>
      <c r="X7678">
        <v>0.97712860000000001</v>
      </c>
      <c r="Y7678">
        <v>-3.1210439999999999E-2</v>
      </c>
      <c r="Z7678">
        <v>1.42772E-2</v>
      </c>
      <c r="AA7678">
        <v>0.99941089999999999</v>
      </c>
      <c r="AB7678">
        <v>39</v>
      </c>
      <c r="AC7678">
        <v>-11.3255</v>
      </c>
      <c r="AD7678">
        <v>1.39572399999999</v>
      </c>
      <c r="AE7678">
        <v>336.43768999999998</v>
      </c>
      <c r="AF7678">
        <v>-10.519321930018201</v>
      </c>
      <c r="AG7678">
        <v>1.39572399999999</v>
      </c>
      <c r="AH7678">
        <v>336.45807179857297</v>
      </c>
      <c r="AI7678">
        <v>89.762438213695603</v>
      </c>
      <c r="AJ7678">
        <v>91.790762454703199</v>
      </c>
      <c r="AK7678">
        <v>336.62536781675402</v>
      </c>
      <c r="AL7678">
        <v>77.851673259013396</v>
      </c>
      <c r="AM7678">
        <v>88.209263931202798</v>
      </c>
      <c r="AN7678">
        <v>0.99999995238030304</v>
      </c>
    </row>
    <row r="7679" spans="1:40" x14ac:dyDescent="0.25">
      <c r="A7679" t="str">
        <f>"20190303170437870"</f>
        <v>20190303170437870</v>
      </c>
      <c r="B7679" t="str">
        <f>"1551603877863004"</f>
        <v>1551603877863004</v>
      </c>
      <c r="C7679" t="s">
        <v>40</v>
      </c>
      <c r="D7679">
        <v>4.1590889999999998</v>
      </c>
      <c r="E7679">
        <v>0.47912729999999998</v>
      </c>
      <c r="F7679" t="s">
        <v>49</v>
      </c>
      <c r="G7679">
        <v>-199.29679999999999</v>
      </c>
      <c r="H7679">
        <v>2.4147050000000001</v>
      </c>
      <c r="I7679">
        <v>391.87</v>
      </c>
      <c r="J7679">
        <v>-187.45490000000001</v>
      </c>
      <c r="K7679">
        <v>1.1214919999999999</v>
      </c>
      <c r="L7679">
        <v>55.829799999999999</v>
      </c>
      <c r="M7679">
        <v>-2.7219089999999998E-3</v>
      </c>
      <c r="N7679">
        <v>-1.0257499999999999E-2</v>
      </c>
      <c r="O7679">
        <v>0.99994369999999999</v>
      </c>
      <c r="P7679">
        <v>2.7118420000000001E-2</v>
      </c>
      <c r="Q7679">
        <v>0.2013411</v>
      </c>
      <c r="R7679">
        <v>0.97914570000000001</v>
      </c>
      <c r="S7679">
        <v>-0.1078644</v>
      </c>
      <c r="T7679">
        <v>1.177812E-2</v>
      </c>
      <c r="U7679">
        <v>3.064209</v>
      </c>
      <c r="V7679">
        <v>2.9589230000000001E-2</v>
      </c>
      <c r="W7679">
        <v>0.21140059999999999</v>
      </c>
      <c r="X7679">
        <v>0.97695149999999997</v>
      </c>
      <c r="Y7679">
        <v>-3.2454530000000002E-2</v>
      </c>
      <c r="Z7679">
        <v>1.409825E-2</v>
      </c>
      <c r="AA7679">
        <v>0.99937379999999998</v>
      </c>
      <c r="AB7679">
        <v>39</v>
      </c>
      <c r="AC7679">
        <v>-11.8418999999999</v>
      </c>
      <c r="AD7679">
        <v>1.2932129999999999</v>
      </c>
      <c r="AE7679">
        <v>336.04020000000003</v>
      </c>
      <c r="AF7679">
        <v>-10.926975544721699</v>
      </c>
      <c r="AG7679">
        <v>1.2932129999999999</v>
      </c>
      <c r="AH7679">
        <v>336.06621831356301</v>
      </c>
      <c r="AI7679">
        <v>89.779638230740105</v>
      </c>
      <c r="AJ7679">
        <v>91.8622791101525</v>
      </c>
      <c r="AK7679">
        <v>336.24630003317202</v>
      </c>
      <c r="AL7679">
        <v>77.795556196755399</v>
      </c>
      <c r="AM7679">
        <v>88.2651954641793</v>
      </c>
      <c r="AN7679">
        <v>0.99999998478230101</v>
      </c>
    </row>
    <row r="7680" spans="1:40" x14ac:dyDescent="0.25">
      <c r="A7680" t="str">
        <f>"20190303170437893"</f>
        <v>20190303170437893</v>
      </c>
      <c r="B7680" t="str">
        <f>"1551603877883500"</f>
        <v>1551603877883500</v>
      </c>
      <c r="C7680" t="s">
        <v>40</v>
      </c>
      <c r="D7680">
        <v>4.2385580000000003</v>
      </c>
      <c r="E7680">
        <v>0.4790568</v>
      </c>
      <c r="F7680" t="s">
        <v>49</v>
      </c>
      <c r="G7680">
        <v>-199.7234</v>
      </c>
      <c r="H7680">
        <v>2.7368070000000002</v>
      </c>
      <c r="I7680">
        <v>391.87</v>
      </c>
      <c r="J7680">
        <v>-187.4562</v>
      </c>
      <c r="K7680">
        <v>1.121464</v>
      </c>
      <c r="L7680">
        <v>56.203130000000002</v>
      </c>
      <c r="M7680">
        <v>-2.961876E-3</v>
      </c>
      <c r="N7680">
        <v>-1.0383720000000001E-2</v>
      </c>
      <c r="O7680">
        <v>0.99994170000000004</v>
      </c>
      <c r="P7680">
        <v>2.691112E-2</v>
      </c>
      <c r="Q7680">
        <v>0.2024321</v>
      </c>
      <c r="R7680">
        <v>0.97892650000000003</v>
      </c>
      <c r="S7680">
        <v>-0.11186219999999999</v>
      </c>
      <c r="T7680">
        <v>1.472819E-2</v>
      </c>
      <c r="U7680">
        <v>3.063965</v>
      </c>
      <c r="V7680">
        <v>2.9641420000000002E-2</v>
      </c>
      <c r="W7680">
        <v>0.21260850000000001</v>
      </c>
      <c r="X7680">
        <v>0.97668779999999999</v>
      </c>
      <c r="Y7680">
        <v>-3.3519260000000002E-2</v>
      </c>
      <c r="Z7680">
        <v>1.518664E-2</v>
      </c>
      <c r="AA7680">
        <v>0.99932270000000001</v>
      </c>
      <c r="AB7680">
        <v>39</v>
      </c>
      <c r="AC7680">
        <v>-12.267200000000001</v>
      </c>
      <c r="AD7680">
        <v>1.61534299999999</v>
      </c>
      <c r="AE7680">
        <v>335.66687000000002</v>
      </c>
      <c r="AF7680">
        <v>-11.2726282255179</v>
      </c>
      <c r="AG7680">
        <v>1.61534299999999</v>
      </c>
      <c r="AH7680">
        <v>335.69396953080502</v>
      </c>
      <c r="AI7680">
        <v>89.7244529430765</v>
      </c>
      <c r="AJ7680">
        <v>91.923273805754306</v>
      </c>
      <c r="AK7680">
        <v>335.88706831235299</v>
      </c>
      <c r="AL7680">
        <v>77.724739327563697</v>
      </c>
      <c r="AM7680">
        <v>88.261668535512101</v>
      </c>
      <c r="AN7680">
        <v>1.0000000233603501</v>
      </c>
    </row>
    <row r="7681" spans="1:40" x14ac:dyDescent="0.25">
      <c r="A7681" t="str">
        <f>"20190303170437915"</f>
        <v>20190303170437915</v>
      </c>
      <c r="B7681" t="str">
        <f>"1551603877903019"</f>
        <v>1551603877903019</v>
      </c>
      <c r="C7681" t="s">
        <v>40</v>
      </c>
      <c r="D7681">
        <v>4.1672699999999896</v>
      </c>
      <c r="E7681">
        <v>0.47906979999999999</v>
      </c>
      <c r="F7681" t="s">
        <v>49</v>
      </c>
      <c r="G7681">
        <v>-199.8749</v>
      </c>
      <c r="H7681">
        <v>3.093998</v>
      </c>
      <c r="I7681">
        <v>391.87</v>
      </c>
      <c r="J7681">
        <v>-187.45750000000001</v>
      </c>
      <c r="K7681">
        <v>1.121424</v>
      </c>
      <c r="L7681">
        <v>56.594569999999997</v>
      </c>
      <c r="M7681">
        <v>-3.1401900000000002E-3</v>
      </c>
      <c r="N7681">
        <v>-1.0527740000000001E-2</v>
      </c>
      <c r="O7681">
        <v>0.99993969999999999</v>
      </c>
      <c r="P7681">
        <v>2.715236E-2</v>
      </c>
      <c r="Q7681">
        <v>0.20284540000000001</v>
      </c>
      <c r="R7681">
        <v>0.97883430000000005</v>
      </c>
      <c r="S7681">
        <v>-0.1133575</v>
      </c>
      <c r="T7681">
        <v>1.800525E-2</v>
      </c>
      <c r="U7681">
        <v>3.063965</v>
      </c>
      <c r="V7681">
        <v>3.0087650000000001E-2</v>
      </c>
      <c r="W7681">
        <v>0.21315780000000001</v>
      </c>
      <c r="X7681">
        <v>0.97655440000000004</v>
      </c>
      <c r="Y7681">
        <v>-3.382752E-2</v>
      </c>
      <c r="Z7681">
        <v>1.6399239999999999E-2</v>
      </c>
      <c r="AA7681">
        <v>0.99929310000000005</v>
      </c>
      <c r="AB7681">
        <v>39</v>
      </c>
      <c r="AC7681">
        <v>-12.417399999999899</v>
      </c>
      <c r="AD7681">
        <v>1.972574</v>
      </c>
      <c r="AE7681">
        <v>335.27542999999997</v>
      </c>
      <c r="AF7681">
        <v>-11.3640590932085</v>
      </c>
      <c r="AG7681">
        <v>1.972574</v>
      </c>
      <c r="AH7681">
        <v>335.30118140634801</v>
      </c>
      <c r="AI7681">
        <v>89.663126723509095</v>
      </c>
      <c r="AJ7681">
        <v>91.941130919205307</v>
      </c>
      <c r="AK7681">
        <v>335.499500953059</v>
      </c>
      <c r="AL7681">
        <v>77.692528180552699</v>
      </c>
      <c r="AM7681">
        <v>88.235274760034102</v>
      </c>
      <c r="AN7681">
        <v>1.00000000527136</v>
      </c>
    </row>
    <row r="7682" spans="1:40" x14ac:dyDescent="0.25">
      <c r="A7682" t="str">
        <f>"20190303170437941"</f>
        <v>20190303170437941</v>
      </c>
      <c r="B7682" t="str">
        <f>"1551603877933276"</f>
        <v>1551603877933276</v>
      </c>
      <c r="C7682" t="s">
        <v>40</v>
      </c>
      <c r="D7682">
        <v>4.2963529999999999</v>
      </c>
      <c r="E7682">
        <v>0.47896260000000002</v>
      </c>
      <c r="F7682" t="s">
        <v>49</v>
      </c>
      <c r="G7682">
        <v>-199.68289999999999</v>
      </c>
      <c r="H7682">
        <v>3.2050130000000001</v>
      </c>
      <c r="I7682">
        <v>391.87</v>
      </c>
      <c r="J7682">
        <v>-187.45910000000001</v>
      </c>
      <c r="K7682">
        <v>1.121383</v>
      </c>
      <c r="L7682">
        <v>57.035029999999999</v>
      </c>
      <c r="M7682">
        <v>-3.252792E-3</v>
      </c>
      <c r="N7682">
        <v>-1.0704200000000001E-2</v>
      </c>
      <c r="O7682">
        <v>0.99993739999999998</v>
      </c>
      <c r="P7682">
        <v>2.7640359999999999E-2</v>
      </c>
      <c r="Q7682">
        <v>0.20269019999999999</v>
      </c>
      <c r="R7682">
        <v>0.97885270000000002</v>
      </c>
      <c r="S7682">
        <v>-0.1117249</v>
      </c>
      <c r="T7682">
        <v>1.9041539999999999E-2</v>
      </c>
      <c r="U7682">
        <v>3.0640260000000001</v>
      </c>
      <c r="V7682">
        <v>3.0720020000000001E-2</v>
      </c>
      <c r="W7682">
        <v>0.2131709</v>
      </c>
      <c r="X7682">
        <v>0.97653190000000001</v>
      </c>
      <c r="Y7682">
        <v>-3.3182179999999999E-2</v>
      </c>
      <c r="Z7682">
        <v>1.6913609999999999E-2</v>
      </c>
      <c r="AA7682">
        <v>0.99930620000000003</v>
      </c>
      <c r="AB7682">
        <v>39</v>
      </c>
      <c r="AC7682">
        <v>-12.223799999999899</v>
      </c>
      <c r="AD7682">
        <v>2.0836299999999999</v>
      </c>
      <c r="AE7682">
        <v>334.83497</v>
      </c>
      <c r="AF7682">
        <v>-11.1340938086281</v>
      </c>
      <c r="AG7682">
        <v>2.0836299999999999</v>
      </c>
      <c r="AH7682">
        <v>334.86001232173402</v>
      </c>
      <c r="AI7682">
        <v>89.643684750676002</v>
      </c>
      <c r="AJ7682">
        <v>91.904382797111396</v>
      </c>
      <c r="AK7682">
        <v>335.05154440925702</v>
      </c>
      <c r="AL7682">
        <v>77.6917605329552</v>
      </c>
      <c r="AM7682">
        <v>88.198167191735905</v>
      </c>
      <c r="AN7682">
        <v>1.0000000519765999</v>
      </c>
    </row>
    <row r="7683" spans="1:40" x14ac:dyDescent="0.25">
      <c r="A7683" t="str">
        <f>"20190303170437959"</f>
        <v>20190303170437959</v>
      </c>
      <c r="B7683" t="str">
        <f>"1551603877952796"</f>
        <v>1551603877952796</v>
      </c>
      <c r="C7683" t="s">
        <v>40</v>
      </c>
      <c r="D7683">
        <v>4.0900189999999998</v>
      </c>
      <c r="E7683">
        <v>0.47899239999999998</v>
      </c>
      <c r="F7683" t="s">
        <v>49</v>
      </c>
      <c r="G7683">
        <v>-199.4846</v>
      </c>
      <c r="H7683">
        <v>3.1395979999999999</v>
      </c>
      <c r="I7683">
        <v>391.87</v>
      </c>
      <c r="J7683">
        <v>-187.46019999999999</v>
      </c>
      <c r="K7683">
        <v>1.1213610000000001</v>
      </c>
      <c r="L7683">
        <v>57.36224</v>
      </c>
      <c r="M7683">
        <v>-3.2976839999999999E-3</v>
      </c>
      <c r="N7683">
        <v>-1.0834089999999999E-2</v>
      </c>
      <c r="O7683">
        <v>0.99993589999999999</v>
      </c>
      <c r="P7683">
        <v>2.8183420000000001E-2</v>
      </c>
      <c r="Q7683">
        <v>0.2035701</v>
      </c>
      <c r="R7683">
        <v>0.97865460000000004</v>
      </c>
      <c r="S7683">
        <v>-0.1100464</v>
      </c>
      <c r="T7683">
        <v>1.8468740000000001E-2</v>
      </c>
      <c r="U7683">
        <v>3.0640869999999998</v>
      </c>
      <c r="V7683">
        <v>3.1327830000000001E-2</v>
      </c>
      <c r="W7683">
        <v>0.2141719</v>
      </c>
      <c r="X7683">
        <v>0.97629350000000004</v>
      </c>
      <c r="Y7683">
        <v>-3.258987E-2</v>
      </c>
      <c r="Z7683">
        <v>1.6856690000000001E-2</v>
      </c>
      <c r="AA7683">
        <v>0.99932659999999995</v>
      </c>
      <c r="AB7683">
        <v>39</v>
      </c>
      <c r="AC7683">
        <v>-12.0244</v>
      </c>
      <c r="AD7683">
        <v>2.0182370000000001</v>
      </c>
      <c r="AE7683">
        <v>334.50776000000002</v>
      </c>
      <c r="AF7683">
        <v>-10.9207719778561</v>
      </c>
      <c r="AG7683">
        <v>2.0182370000000001</v>
      </c>
      <c r="AH7683">
        <v>334.53343378210599</v>
      </c>
      <c r="AI7683">
        <v>89.654523335565599</v>
      </c>
      <c r="AJ7683">
        <v>91.86974440054</v>
      </c>
      <c r="AK7683">
        <v>334.717724148613</v>
      </c>
      <c r="AL7683">
        <v>77.6330511695094</v>
      </c>
      <c r="AM7683">
        <v>88.162092906935399</v>
      </c>
      <c r="AN7683">
        <v>1.0000000169121801</v>
      </c>
    </row>
    <row r="7684" spans="1:40" x14ac:dyDescent="0.25">
      <c r="A7684" t="str">
        <f>"20190303170437983"</f>
        <v>20190303170437983</v>
      </c>
      <c r="B7684" t="str">
        <f>"1551603877973291"</f>
        <v>1551603877973291</v>
      </c>
      <c r="C7684" t="s">
        <v>40</v>
      </c>
      <c r="D7684">
        <v>4.2893119999999998</v>
      </c>
      <c r="E7684">
        <v>0.47902489999999998</v>
      </c>
      <c r="F7684" t="s">
        <v>49</v>
      </c>
      <c r="G7684">
        <v>-199.2319</v>
      </c>
      <c r="H7684">
        <v>3.3714719999999998</v>
      </c>
      <c r="I7684">
        <v>391.87</v>
      </c>
      <c r="J7684">
        <v>-187.4616</v>
      </c>
      <c r="K7684">
        <v>1.121346</v>
      </c>
      <c r="L7684">
        <v>57.761989999999997</v>
      </c>
      <c r="M7684">
        <v>-3.3165289999999999E-3</v>
      </c>
      <c r="N7684">
        <v>-1.0992210000000001E-2</v>
      </c>
      <c r="O7684">
        <v>0.99993410000000005</v>
      </c>
      <c r="P7684">
        <v>2.9102059999999999E-2</v>
      </c>
      <c r="Q7684">
        <v>0.20480180000000001</v>
      </c>
      <c r="R7684">
        <v>0.97837070000000004</v>
      </c>
      <c r="S7684">
        <v>-0.1078339</v>
      </c>
      <c r="T7684">
        <v>2.0611999999999998E-2</v>
      </c>
      <c r="U7684">
        <v>3.0642399999999999</v>
      </c>
      <c r="V7684">
        <v>3.2285229999999998E-2</v>
      </c>
      <c r="W7684">
        <v>0.21555170000000001</v>
      </c>
      <c r="X7684">
        <v>0.97595860000000001</v>
      </c>
      <c r="Y7684">
        <v>-3.1848170000000002E-2</v>
      </c>
      <c r="Z7684">
        <v>1.7713550000000002E-2</v>
      </c>
      <c r="AA7684">
        <v>0.9993358</v>
      </c>
      <c r="AB7684">
        <v>39</v>
      </c>
      <c r="AC7684">
        <v>-11.770299999999899</v>
      </c>
      <c r="AD7684">
        <v>2.2501259999999998</v>
      </c>
      <c r="AE7684">
        <v>334.10800999999998</v>
      </c>
      <c r="AF7684">
        <v>-10.661606448668801</v>
      </c>
      <c r="AG7684">
        <v>2.2501259999999998</v>
      </c>
      <c r="AH7684">
        <v>334.13007498605401</v>
      </c>
      <c r="AI7684">
        <v>89.614356188450699</v>
      </c>
      <c r="AJ7684">
        <v>91.827605193460101</v>
      </c>
      <c r="AK7684">
        <v>334.30770246775302</v>
      </c>
      <c r="AL7684">
        <v>77.552104047194803</v>
      </c>
      <c r="AM7684">
        <v>88.105316044255602</v>
      </c>
      <c r="AN7684">
        <v>1.0000000301815</v>
      </c>
    </row>
    <row r="7685" spans="1:40" x14ac:dyDescent="0.25">
      <c r="A7685" t="str">
        <f>"20190303170438003"</f>
        <v>20190303170438003</v>
      </c>
      <c r="B7685" t="str">
        <f>"1551603877992812"</f>
        <v>1551603877992812</v>
      </c>
      <c r="C7685" t="s">
        <v>40</v>
      </c>
      <c r="D7685">
        <v>4.2860699999999996</v>
      </c>
      <c r="E7685">
        <v>0.47905219999999998</v>
      </c>
      <c r="F7685" t="s">
        <v>49</v>
      </c>
      <c r="G7685">
        <v>-199.02090000000001</v>
      </c>
      <c r="H7685">
        <v>3.8033779999999999</v>
      </c>
      <c r="I7685">
        <v>391.87</v>
      </c>
      <c r="J7685">
        <v>-187.46279999999999</v>
      </c>
      <c r="K7685">
        <v>1.1213379999999999</v>
      </c>
      <c r="L7685">
        <v>58.124600000000001</v>
      </c>
      <c r="M7685">
        <v>-3.3131599999999999E-3</v>
      </c>
      <c r="N7685">
        <v>-1.1136160000000001E-2</v>
      </c>
      <c r="O7685">
        <v>0.9999325</v>
      </c>
      <c r="P7685">
        <v>3.0417929999999999E-2</v>
      </c>
      <c r="Q7685">
        <v>0.2044647</v>
      </c>
      <c r="R7685">
        <v>0.97840119999999997</v>
      </c>
      <c r="S7685">
        <v>-0.1060181</v>
      </c>
      <c r="T7685">
        <v>2.4598720000000001E-2</v>
      </c>
      <c r="U7685">
        <v>3.0643310000000001</v>
      </c>
      <c r="V7685">
        <v>3.3613980000000002E-2</v>
      </c>
      <c r="W7685">
        <v>0.21535389999999999</v>
      </c>
      <c r="X7685">
        <v>0.97595739999999997</v>
      </c>
      <c r="Y7685">
        <v>-3.1258309999999997E-2</v>
      </c>
      <c r="Z7685">
        <v>1.9157420000000001E-2</v>
      </c>
      <c r="AA7685">
        <v>0.99932770000000004</v>
      </c>
      <c r="AB7685">
        <v>39</v>
      </c>
      <c r="AC7685">
        <v>-11.5581</v>
      </c>
      <c r="AD7685">
        <v>2.6820400000000002</v>
      </c>
      <c r="AE7685">
        <v>333.74540000000002</v>
      </c>
      <c r="AF7685">
        <v>-10.451541917552101</v>
      </c>
      <c r="AG7685">
        <v>2.6820400000000002</v>
      </c>
      <c r="AH7685">
        <v>333.76033569471099</v>
      </c>
      <c r="AI7685">
        <v>89.539816555132404</v>
      </c>
      <c r="AJ7685">
        <v>91.793603239493507</v>
      </c>
      <c r="AK7685">
        <v>333.93470881305899</v>
      </c>
      <c r="AL7685">
        <v>77.563709645036994</v>
      </c>
      <c r="AM7685">
        <v>88.027395277310603</v>
      </c>
      <c r="AN7685">
        <v>1.0000000242556999</v>
      </c>
    </row>
    <row r="7686" spans="1:40" x14ac:dyDescent="0.25">
      <c r="A7686" t="str">
        <f>"20190303170438025"</f>
        <v>20190303170438025</v>
      </c>
      <c r="B7686" t="str">
        <f>"1551603878013308"</f>
        <v>1551603878013308</v>
      </c>
      <c r="C7686" t="s">
        <v>40</v>
      </c>
      <c r="D7686">
        <v>4.2303639999999998</v>
      </c>
      <c r="E7686">
        <v>0.47907919999999998</v>
      </c>
      <c r="F7686" t="s">
        <v>49</v>
      </c>
      <c r="G7686">
        <v>-198.7381</v>
      </c>
      <c r="H7686">
        <v>3.6979820000000001</v>
      </c>
      <c r="I7686">
        <v>391.87</v>
      </c>
      <c r="J7686">
        <v>-187.4641</v>
      </c>
      <c r="K7686">
        <v>1.121321</v>
      </c>
      <c r="L7686">
        <v>58.503660000000004</v>
      </c>
      <c r="M7686">
        <v>-3.2981180000000001E-3</v>
      </c>
      <c r="N7686">
        <v>-1.128768E-2</v>
      </c>
      <c r="O7686">
        <v>0.99993089999999996</v>
      </c>
      <c r="P7686">
        <v>3.1273679999999998E-2</v>
      </c>
      <c r="Q7686">
        <v>0.2029948</v>
      </c>
      <c r="R7686">
        <v>0.97868029999999995</v>
      </c>
      <c r="S7686">
        <v>-0.1035309</v>
      </c>
      <c r="T7686">
        <v>2.3658990000000001E-2</v>
      </c>
      <c r="U7686">
        <v>3.0644840000000002</v>
      </c>
      <c r="V7686">
        <v>3.4470380000000002E-2</v>
      </c>
      <c r="W7686">
        <v>0.2140331</v>
      </c>
      <c r="X7686">
        <v>0.97621800000000003</v>
      </c>
      <c r="Y7686">
        <v>-3.0461510000000001E-2</v>
      </c>
      <c r="Z7686">
        <v>1.900232E-2</v>
      </c>
      <c r="AA7686">
        <v>0.99935529999999995</v>
      </c>
      <c r="AB7686">
        <v>39</v>
      </c>
      <c r="AC7686">
        <v>-11.273999999999999</v>
      </c>
      <c r="AD7686">
        <v>2.5766610000000001</v>
      </c>
      <c r="AE7686">
        <v>333.36633999999998</v>
      </c>
      <c r="AF7686">
        <v>-10.173780054683499</v>
      </c>
      <c r="AG7686">
        <v>2.5766610000000001</v>
      </c>
      <c r="AH7686">
        <v>333.38181825800399</v>
      </c>
      <c r="AI7686">
        <v>89.557383871387998</v>
      </c>
      <c r="AJ7686">
        <v>91.747947174849998</v>
      </c>
      <c r="AK7686">
        <v>333.54697079650202</v>
      </c>
      <c r="AL7686">
        <v>77.641192141193102</v>
      </c>
      <c r="AM7686">
        <v>87.977719024427699</v>
      </c>
      <c r="AN7686">
        <v>0.99999997925847695</v>
      </c>
    </row>
    <row r="7687" spans="1:40" x14ac:dyDescent="0.25">
      <c r="A7687" t="str">
        <f>"20190303170438048"</f>
        <v>20190303170438048</v>
      </c>
      <c r="B7687" t="str">
        <f>"1551603878043564"</f>
        <v>1551603878043564</v>
      </c>
      <c r="C7687" t="s">
        <v>40</v>
      </c>
      <c r="D7687">
        <v>4.1443120000000002</v>
      </c>
      <c r="E7687">
        <v>0.47905609999999998</v>
      </c>
      <c r="F7687" t="s">
        <v>49</v>
      </c>
      <c r="G7687">
        <v>-198.37729999999999</v>
      </c>
      <c r="H7687">
        <v>3.1352370000000001</v>
      </c>
      <c r="I7687">
        <v>391.87</v>
      </c>
      <c r="J7687">
        <v>-187.46539999999999</v>
      </c>
      <c r="K7687">
        <v>1.1213089999999999</v>
      </c>
      <c r="L7687">
        <v>58.9022199999999</v>
      </c>
      <c r="M7687">
        <v>-3.281497E-3</v>
      </c>
      <c r="N7687">
        <v>-1.144411E-2</v>
      </c>
      <c r="O7687">
        <v>0.99992910000000002</v>
      </c>
      <c r="P7687">
        <v>3.1533909999999998E-2</v>
      </c>
      <c r="Q7687">
        <v>0.20141120000000001</v>
      </c>
      <c r="R7687">
        <v>0.97899899999999995</v>
      </c>
      <c r="S7687">
        <v>-0.1003265</v>
      </c>
      <c r="T7687">
        <v>1.8514280000000001E-2</v>
      </c>
      <c r="U7687">
        <v>3.0646969999999998</v>
      </c>
      <c r="V7687">
        <v>3.472799E-2</v>
      </c>
      <c r="W7687">
        <v>0.2126034</v>
      </c>
      <c r="X7687">
        <v>0.97652130000000004</v>
      </c>
      <c r="Y7687">
        <v>-2.9432639999999999E-2</v>
      </c>
      <c r="Z7687">
        <v>1.7480949999999999E-2</v>
      </c>
      <c r="AA7687">
        <v>0.99941389999999997</v>
      </c>
      <c r="AB7687">
        <v>39</v>
      </c>
      <c r="AC7687">
        <v>-10.911899999999999</v>
      </c>
      <c r="AD7687">
        <v>2.0139279999999999</v>
      </c>
      <c r="AE7687">
        <v>332.96778</v>
      </c>
      <c r="AF7687">
        <v>-9.8187780625766798</v>
      </c>
      <c r="AG7687">
        <v>2.0139279999999999</v>
      </c>
      <c r="AH7687">
        <v>332.98962793119301</v>
      </c>
      <c r="AI7687">
        <v>89.653628735443206</v>
      </c>
      <c r="AJ7687">
        <v>91.688976274290596</v>
      </c>
      <c r="AK7687">
        <v>333.14044578583599</v>
      </c>
      <c r="AL7687">
        <v>77.725038632183995</v>
      </c>
      <c r="AM7687">
        <v>87.963250716308096</v>
      </c>
      <c r="AN7687">
        <v>1.00000004416734</v>
      </c>
    </row>
    <row r="7688" spans="1:40" x14ac:dyDescent="0.25">
      <c r="A7688" t="str">
        <f>"20190303170438070"</f>
        <v>20190303170438070</v>
      </c>
      <c r="B7688" t="str">
        <f>"1551603878063084"</f>
        <v>1551603878063084</v>
      </c>
      <c r="C7688" t="s">
        <v>40</v>
      </c>
      <c r="D7688">
        <v>4.2330230000000002</v>
      </c>
      <c r="E7688">
        <v>0.4790508</v>
      </c>
      <c r="F7688" t="s">
        <v>49</v>
      </c>
      <c r="G7688">
        <v>-198.23560000000001</v>
      </c>
      <c r="H7688">
        <v>2.5244330000000001</v>
      </c>
      <c r="I7688">
        <v>391.87</v>
      </c>
      <c r="J7688">
        <v>-187.4667</v>
      </c>
      <c r="K7688">
        <v>1.1212959999999901</v>
      </c>
      <c r="L7688">
        <v>59.288789999999999</v>
      </c>
      <c r="M7688">
        <v>-3.273832E-3</v>
      </c>
      <c r="N7688">
        <v>-1.159088E-2</v>
      </c>
      <c r="O7688">
        <v>0.99992749999999997</v>
      </c>
      <c r="P7688">
        <v>3.2238459999999997E-2</v>
      </c>
      <c r="Q7688">
        <v>0.20046349999999999</v>
      </c>
      <c r="R7688">
        <v>0.9791706</v>
      </c>
      <c r="S7688">
        <v>-9.9136349999999998E-2</v>
      </c>
      <c r="T7688">
        <v>1.2915370000000001E-2</v>
      </c>
      <c r="U7688">
        <v>3.06488</v>
      </c>
      <c r="V7688">
        <v>3.5434599999999997E-2</v>
      </c>
      <c r="W7688">
        <v>0.21179999999999999</v>
      </c>
      <c r="X7688">
        <v>0.97667040000000005</v>
      </c>
      <c r="Y7688">
        <v>-2.9051210000000001E-2</v>
      </c>
      <c r="Z7688">
        <v>1.5801820000000001E-2</v>
      </c>
      <c r="AA7688">
        <v>0.99945300000000004</v>
      </c>
      <c r="AB7688">
        <v>39</v>
      </c>
      <c r="AC7688">
        <v>-10.7689</v>
      </c>
      <c r="AD7688">
        <v>1.4031370000000001</v>
      </c>
      <c r="AE7688">
        <v>332.58121</v>
      </c>
      <c r="AF7688">
        <v>-9.67978205153854</v>
      </c>
      <c r="AG7688">
        <v>1.4031370000000001</v>
      </c>
      <c r="AH7688">
        <v>332.60877136636702</v>
      </c>
      <c r="AI7688">
        <v>89.758396845890701</v>
      </c>
      <c r="AJ7688">
        <v>91.666985982995698</v>
      </c>
      <c r="AK7688">
        <v>332.752553354366</v>
      </c>
      <c r="AL7688">
        <v>77.772141778523704</v>
      </c>
      <c r="AM7688">
        <v>87.922161953725507</v>
      </c>
      <c r="AN7688">
        <v>0.99999996055665896</v>
      </c>
    </row>
    <row r="7689" spans="1:40" x14ac:dyDescent="0.25">
      <c r="A7689" t="str">
        <f>"20190303170438084"</f>
        <v>20190303170438084</v>
      </c>
      <c r="B7689" t="str">
        <f>"1551603878072844"</f>
        <v>1551603878072844</v>
      </c>
      <c r="C7689" t="s">
        <v>40</v>
      </c>
      <c r="D7689">
        <v>4.1665799999999997</v>
      </c>
      <c r="E7689">
        <v>0.47904380000000002</v>
      </c>
      <c r="F7689" t="s">
        <v>49</v>
      </c>
      <c r="G7689">
        <v>-197.98869999999999</v>
      </c>
      <c r="H7689">
        <v>2.1583019999999999</v>
      </c>
      <c r="I7689">
        <v>391.87</v>
      </c>
      <c r="J7689">
        <v>-187.4675</v>
      </c>
      <c r="K7689">
        <v>1.1212979999999999</v>
      </c>
      <c r="L7689">
        <v>59.517119999999998</v>
      </c>
      <c r="M7689">
        <v>-3.27284E-3</v>
      </c>
      <c r="N7689">
        <v>-1.167519E-2</v>
      </c>
      <c r="O7689">
        <v>0.99992650000000005</v>
      </c>
      <c r="P7689">
        <v>3.2729229999999998E-2</v>
      </c>
      <c r="Q7689">
        <v>0.20069329999999999</v>
      </c>
      <c r="R7689">
        <v>0.97910730000000001</v>
      </c>
      <c r="S7689">
        <v>-9.6969600000000003E-2</v>
      </c>
      <c r="T7689">
        <v>9.557009E-3</v>
      </c>
      <c r="U7689">
        <v>3.0650629999999999</v>
      </c>
      <c r="V7689">
        <v>3.5927929999999997E-2</v>
      </c>
      <c r="W7689">
        <v>0.2121104</v>
      </c>
      <c r="X7689">
        <v>0.97658500000000004</v>
      </c>
      <c r="Y7689">
        <v>-2.834478E-2</v>
      </c>
      <c r="Z7689">
        <v>1.4790920000000001E-2</v>
      </c>
      <c r="AA7689">
        <v>0.99948879999999996</v>
      </c>
      <c r="AB7689">
        <v>39</v>
      </c>
      <c r="AC7689">
        <v>-10.521199999999901</v>
      </c>
      <c r="AD7689">
        <v>1.037004</v>
      </c>
      <c r="AE7689">
        <v>332.352879999999</v>
      </c>
      <c r="AF7689">
        <v>-9.4332399696948102</v>
      </c>
      <c r="AG7689">
        <v>1.037004</v>
      </c>
      <c r="AH7689">
        <v>332.38230361165802</v>
      </c>
      <c r="AI7689">
        <v>89.821314657569701</v>
      </c>
      <c r="AJ7689">
        <v>91.6256575274179</v>
      </c>
      <c r="AK7689">
        <v>332.51775463547</v>
      </c>
      <c r="AL7689">
        <v>77.7539435658462</v>
      </c>
      <c r="AM7689">
        <v>87.893075560332093</v>
      </c>
      <c r="AN7689">
        <v>0.99999995008362097</v>
      </c>
    </row>
    <row r="7690" spans="1:40" x14ac:dyDescent="0.25">
      <c r="A7690" t="str">
        <f>"20190303170438107"</f>
        <v>20190303170438107</v>
      </c>
      <c r="B7690" t="str">
        <f>"1551603878093340"</f>
        <v>1551603878093340</v>
      </c>
      <c r="C7690" t="s">
        <v>40</v>
      </c>
      <c r="D7690">
        <v>4.2375610000000004</v>
      </c>
      <c r="E7690">
        <v>0.4790488</v>
      </c>
      <c r="F7690" t="s">
        <v>49</v>
      </c>
      <c r="G7690">
        <v>-197.8612</v>
      </c>
      <c r="H7690">
        <v>2.2315990000000001</v>
      </c>
      <c r="I7690">
        <v>391.87</v>
      </c>
      <c r="J7690">
        <v>-187.46870000000001</v>
      </c>
      <c r="K7690">
        <v>1.1213120000000001</v>
      </c>
      <c r="L7690">
        <v>59.899810000000002</v>
      </c>
      <c r="M7690">
        <v>-3.2728060000000001E-3</v>
      </c>
      <c r="N7690">
        <v>-1.181601E-2</v>
      </c>
      <c r="O7690">
        <v>0.99992479999999995</v>
      </c>
      <c r="P7690">
        <v>3.3723129999999997E-2</v>
      </c>
      <c r="Q7690">
        <v>0.20157120000000001</v>
      </c>
      <c r="R7690">
        <v>0.97889320000000002</v>
      </c>
      <c r="S7690">
        <v>-9.5855709999999997E-2</v>
      </c>
      <c r="T7690">
        <v>1.0239720000000001E-2</v>
      </c>
      <c r="U7690">
        <v>3.0651250000000001</v>
      </c>
      <c r="V7690">
        <v>3.6925479999999997E-2</v>
      </c>
      <c r="W7690">
        <v>0.2131229</v>
      </c>
      <c r="X7690">
        <v>0.97632739999999996</v>
      </c>
      <c r="Y7690">
        <v>-2.798115E-2</v>
      </c>
      <c r="Z7690">
        <v>1.5154310000000001E-2</v>
      </c>
      <c r="AA7690">
        <v>0.99949359999999998</v>
      </c>
      <c r="AB7690">
        <v>39</v>
      </c>
      <c r="AC7690">
        <v>-10.392499999999901</v>
      </c>
      <c r="AD7690">
        <v>1.110287</v>
      </c>
      <c r="AE7690">
        <v>331.97019</v>
      </c>
      <c r="AF7690">
        <v>-9.3057904230075206</v>
      </c>
      <c r="AG7690">
        <v>1.110287</v>
      </c>
      <c r="AH7690">
        <v>331.99871676916302</v>
      </c>
      <c r="AI7690">
        <v>89.808464478796395</v>
      </c>
      <c r="AJ7690">
        <v>91.605557256809604</v>
      </c>
      <c r="AK7690">
        <v>332.13096574843797</v>
      </c>
      <c r="AL7690">
        <v>77.694575100911095</v>
      </c>
      <c r="AM7690">
        <v>87.834060313154197</v>
      </c>
      <c r="AN7690">
        <v>1.00000002678419</v>
      </c>
    </row>
    <row r="7691" spans="1:40" x14ac:dyDescent="0.25">
      <c r="A7691" t="str">
        <f>"20190303170438128"</f>
        <v>20190303170438128</v>
      </c>
      <c r="B7691" t="str">
        <f>"1551603878123596"</f>
        <v>1551603878123596</v>
      </c>
      <c r="C7691" t="s">
        <v>40</v>
      </c>
      <c r="D7691">
        <v>4.1923519999999996</v>
      </c>
      <c r="E7691">
        <v>0.47902980000000001</v>
      </c>
      <c r="F7691" t="s">
        <v>49</v>
      </c>
      <c r="G7691">
        <v>-197.5162</v>
      </c>
      <c r="H7691">
        <v>2.4982579999999999</v>
      </c>
      <c r="I7691">
        <v>391.87</v>
      </c>
      <c r="J7691">
        <v>-187.4699</v>
      </c>
      <c r="K7691">
        <v>1.1213249999999999</v>
      </c>
      <c r="L7691">
        <v>60.267400000000002</v>
      </c>
      <c r="M7691">
        <v>-3.2719950000000002E-3</v>
      </c>
      <c r="N7691">
        <v>-1.195446E-2</v>
      </c>
      <c r="O7691">
        <v>0.99992320000000001</v>
      </c>
      <c r="P7691">
        <v>3.4067819999999999E-2</v>
      </c>
      <c r="Q7691">
        <v>0.2017699</v>
      </c>
      <c r="R7691">
        <v>0.9788403</v>
      </c>
      <c r="S7691">
        <v>-9.2773439999999999E-2</v>
      </c>
      <c r="T7691">
        <v>1.271415E-2</v>
      </c>
      <c r="U7691">
        <v>3.065277</v>
      </c>
      <c r="V7691">
        <v>3.7271529999999997E-2</v>
      </c>
      <c r="W7691">
        <v>0.21345549999999999</v>
      </c>
      <c r="X7691">
        <v>0.97624160000000004</v>
      </c>
      <c r="Y7691">
        <v>-2.6976E-2</v>
      </c>
      <c r="Z7691">
        <v>1.6099499999999999E-2</v>
      </c>
      <c r="AA7691">
        <v>0.99950640000000002</v>
      </c>
      <c r="AB7691">
        <v>39</v>
      </c>
      <c r="AC7691">
        <v>-10.0463</v>
      </c>
      <c r="AD7691">
        <v>1.376933</v>
      </c>
      <c r="AE7691">
        <v>331.6026</v>
      </c>
      <c r="AF7691">
        <v>-8.9610122752650394</v>
      </c>
      <c r="AG7691">
        <v>1.376933</v>
      </c>
      <c r="AH7691">
        <v>331.627985758828</v>
      </c>
      <c r="AI7691">
        <v>89.762193740496798</v>
      </c>
      <c r="AJ7691">
        <v>91.547828592629699</v>
      </c>
      <c r="AK7691">
        <v>331.75189015880699</v>
      </c>
      <c r="AL7691">
        <v>77.675069847307995</v>
      </c>
      <c r="AM7691">
        <v>87.813589690245905</v>
      </c>
      <c r="AN7691">
        <v>1.00000003949967</v>
      </c>
    </row>
    <row r="7692" spans="1:40" x14ac:dyDescent="0.25">
      <c r="A7692" t="str">
        <f>"20190303170438150"</f>
        <v>20190303170438150</v>
      </c>
      <c r="B7692" t="str">
        <f>"1551603878143116"</f>
        <v>1551603878143116</v>
      </c>
      <c r="C7692" t="s">
        <v>40</v>
      </c>
      <c r="D7692">
        <v>4.2389590000000004</v>
      </c>
      <c r="E7692">
        <v>0.47896860000000002</v>
      </c>
      <c r="F7692" t="s">
        <v>49</v>
      </c>
      <c r="G7692">
        <v>-197.374</v>
      </c>
      <c r="H7692">
        <v>2.546576</v>
      </c>
      <c r="I7692">
        <v>391.87</v>
      </c>
      <c r="J7692">
        <v>-187.47120000000001</v>
      </c>
      <c r="K7692">
        <v>1.1213379999999999</v>
      </c>
      <c r="L7692">
        <v>60.662289999999999</v>
      </c>
      <c r="M7692">
        <v>-3.2703960000000001E-3</v>
      </c>
      <c r="N7692">
        <v>-1.2108219999999999E-2</v>
      </c>
      <c r="O7692">
        <v>0.99992130000000001</v>
      </c>
      <c r="P7692">
        <v>3.4245060000000001E-2</v>
      </c>
      <c r="Q7692">
        <v>0.2013267</v>
      </c>
      <c r="R7692">
        <v>0.9789253</v>
      </c>
      <c r="S7692">
        <v>-9.1552729999999999E-2</v>
      </c>
      <c r="T7692">
        <v>1.3175009999999999E-2</v>
      </c>
      <c r="U7692">
        <v>3.0653380000000001</v>
      </c>
      <c r="V7692">
        <v>3.7448969999999998E-2</v>
      </c>
      <c r="W7692">
        <v>0.21316289999999999</v>
      </c>
      <c r="X7692">
        <v>0.97629869999999996</v>
      </c>
      <c r="Y7692">
        <v>-2.6579169999999999E-2</v>
      </c>
      <c r="Z7692">
        <v>1.6403480000000002E-2</v>
      </c>
      <c r="AA7692">
        <v>0.99951210000000001</v>
      </c>
      <c r="AB7692">
        <v>39</v>
      </c>
      <c r="AC7692">
        <v>-9.9028000000000098</v>
      </c>
      <c r="AD7692">
        <v>1.425238</v>
      </c>
      <c r="AE7692">
        <v>331.20771000000002</v>
      </c>
      <c r="AF7692">
        <v>-8.8193240425772697</v>
      </c>
      <c r="AG7692">
        <v>1.425238</v>
      </c>
      <c r="AH7692">
        <v>331.232198979418</v>
      </c>
      <c r="AI7692">
        <v>89.753554489526095</v>
      </c>
      <c r="AJ7692">
        <v>91.525185920068594</v>
      </c>
      <c r="AK7692">
        <v>331.35265416269903</v>
      </c>
      <c r="AL7692">
        <v>77.692229025646</v>
      </c>
      <c r="AM7692">
        <v>87.803319294250898</v>
      </c>
      <c r="AN7692">
        <v>0.99999999945607998</v>
      </c>
    </row>
    <row r="7693" spans="1:40" x14ac:dyDescent="0.25">
      <c r="A7693" t="str">
        <f>"20190303170438172"</f>
        <v>20190303170438172</v>
      </c>
      <c r="B7693" t="str">
        <f>"1551603878163612"</f>
        <v>1551603878163612</v>
      </c>
      <c r="C7693" t="s">
        <v>40</v>
      </c>
      <c r="D7693">
        <v>4.1720449999999998</v>
      </c>
      <c r="E7693">
        <v>0.47897830000000002</v>
      </c>
      <c r="F7693" t="s">
        <v>49</v>
      </c>
      <c r="G7693">
        <v>-197.3485</v>
      </c>
      <c r="H7693">
        <v>2.395349</v>
      </c>
      <c r="I7693">
        <v>391.87</v>
      </c>
      <c r="J7693">
        <v>-187.4725</v>
      </c>
      <c r="K7693">
        <v>1.1213630000000001</v>
      </c>
      <c r="L7693">
        <v>61.042270000000002</v>
      </c>
      <c r="M7693">
        <v>-3.2695760000000002E-3</v>
      </c>
      <c r="N7693">
        <v>-1.227338E-2</v>
      </c>
      <c r="O7693">
        <v>0.99991940000000001</v>
      </c>
      <c r="P7693">
        <v>3.4635199999999998E-2</v>
      </c>
      <c r="Q7693">
        <v>0.20119029999999999</v>
      </c>
      <c r="R7693">
        <v>0.97893969999999997</v>
      </c>
      <c r="S7693">
        <v>-9.1415410000000002E-2</v>
      </c>
      <c r="T7693">
        <v>1.179111E-2</v>
      </c>
      <c r="U7693">
        <v>3.065369</v>
      </c>
      <c r="V7693">
        <v>3.7839539999999998E-2</v>
      </c>
      <c r="W7693">
        <v>0.21318809999999999</v>
      </c>
      <c r="X7693">
        <v>0.97627810000000004</v>
      </c>
      <c r="Y7693">
        <v>-2.6534970000000001E-2</v>
      </c>
      <c r="Z7693">
        <v>1.6117369999999999E-2</v>
      </c>
      <c r="AA7693">
        <v>0.99951789999999996</v>
      </c>
      <c r="AB7693">
        <v>39</v>
      </c>
      <c r="AC7693">
        <v>-9.8759999999999994</v>
      </c>
      <c r="AD7693">
        <v>1.2739860000000001</v>
      </c>
      <c r="AE7693">
        <v>330.82772999999997</v>
      </c>
      <c r="AF7693">
        <v>-8.7940690962794594</v>
      </c>
      <c r="AG7693">
        <v>1.2739860000000001</v>
      </c>
      <c r="AH7693">
        <v>330.85335218668502</v>
      </c>
      <c r="AI7693">
        <v>89.779455493434796</v>
      </c>
      <c r="AJ7693">
        <v>91.522561074615993</v>
      </c>
      <c r="AK7693">
        <v>330.97265649108402</v>
      </c>
      <c r="AL7693">
        <v>77.690750742545902</v>
      </c>
      <c r="AM7693">
        <v>87.780385257796098</v>
      </c>
      <c r="AN7693">
        <v>0.99999996265431501</v>
      </c>
    </row>
    <row r="7694" spans="1:40" x14ac:dyDescent="0.25">
      <c r="A7694" t="str">
        <f>"20190303170438194"</f>
        <v>20190303170438194</v>
      </c>
      <c r="B7694" t="str">
        <f>"1551603878183132"</f>
        <v>1551603878183132</v>
      </c>
      <c r="C7694" t="s">
        <v>40</v>
      </c>
      <c r="D7694">
        <v>4.1654229999999997</v>
      </c>
      <c r="E7694">
        <v>0.49754100000000001</v>
      </c>
      <c r="F7694" t="s">
        <v>49</v>
      </c>
      <c r="G7694">
        <v>-197.26079999999999</v>
      </c>
      <c r="H7694">
        <v>2.33813</v>
      </c>
      <c r="I7694">
        <v>391.87</v>
      </c>
      <c r="J7694">
        <v>-187.47370000000001</v>
      </c>
      <c r="K7694">
        <v>1.121394</v>
      </c>
      <c r="L7694">
        <v>61.418909999999997</v>
      </c>
      <c r="M7694">
        <v>-3.2700619999999998E-3</v>
      </c>
      <c r="N7694">
        <v>-1.2457080000000001E-2</v>
      </c>
      <c r="O7694">
        <v>0.9999171</v>
      </c>
      <c r="P7694">
        <v>3.4532340000000002E-2</v>
      </c>
      <c r="Q7694">
        <v>0.2020073</v>
      </c>
      <c r="R7694">
        <v>0.97877499999999995</v>
      </c>
      <c r="S7694">
        <v>-9.0698239999999999E-2</v>
      </c>
      <c r="T7694">
        <v>1.127446E-2</v>
      </c>
      <c r="U7694">
        <v>3.0654300000000001</v>
      </c>
      <c r="V7694">
        <v>3.7737760000000002E-2</v>
      </c>
      <c r="W7694">
        <v>0.21418209999999999</v>
      </c>
      <c r="X7694">
        <v>0.9760645</v>
      </c>
      <c r="Y7694">
        <v>-2.6300179999999999E-2</v>
      </c>
      <c r="Z7694">
        <v>1.6132549999999999E-2</v>
      </c>
      <c r="AA7694">
        <v>0.99952390000000002</v>
      </c>
      <c r="AB7694">
        <v>39</v>
      </c>
      <c r="AC7694">
        <v>-9.7870999999999793</v>
      </c>
      <c r="AD7694">
        <v>1.216736</v>
      </c>
      <c r="AE7694">
        <v>330.451089999999</v>
      </c>
      <c r="AF7694">
        <v>-8.70625037021696</v>
      </c>
      <c r="AG7694">
        <v>1.216736</v>
      </c>
      <c r="AH7694">
        <v>330.47685331995802</v>
      </c>
      <c r="AI7694">
        <v>89.789124887441901</v>
      </c>
      <c r="AJ7694">
        <v>91.509080114922995</v>
      </c>
      <c r="AK7694">
        <v>330.59375345318199</v>
      </c>
      <c r="AL7694">
        <v>77.632452773607298</v>
      </c>
      <c r="AM7694">
        <v>87.785865634734094</v>
      </c>
      <c r="AN7694">
        <v>1.0000000093252299</v>
      </c>
    </row>
    <row r="7695" spans="1:40" x14ac:dyDescent="0.25">
      <c r="A7695" t="str">
        <f>"20190303170438216"</f>
        <v>20190303170438216</v>
      </c>
      <c r="B7695" t="str">
        <f>"1551603878203628"</f>
        <v>1551603878203628</v>
      </c>
      <c r="C7695" t="s">
        <v>40</v>
      </c>
      <c r="D7695">
        <v>4.1620499999999998</v>
      </c>
      <c r="E7695">
        <v>0.51098789999999905</v>
      </c>
      <c r="F7695" t="s">
        <v>49</v>
      </c>
      <c r="G7695">
        <v>-181.4314</v>
      </c>
      <c r="H7695">
        <v>0.51577759999999995</v>
      </c>
      <c r="I7695">
        <v>391.87</v>
      </c>
      <c r="J7695">
        <v>-187.47489999999999</v>
      </c>
      <c r="K7695">
        <v>1.1214299999999999</v>
      </c>
      <c r="L7695">
        <v>61.778869999999998</v>
      </c>
      <c r="M7695">
        <v>-3.2714279999999998E-3</v>
      </c>
      <c r="N7695">
        <v>-1.2632610000000001E-2</v>
      </c>
      <c r="O7695">
        <v>0.99991479999999999</v>
      </c>
      <c r="P7695">
        <v>3.5050409999999997E-2</v>
      </c>
      <c r="Q7695">
        <v>0.20313349999999999</v>
      </c>
      <c r="R7695">
        <v>0.97852349999999999</v>
      </c>
      <c r="S7695">
        <v>5.603027E-2</v>
      </c>
      <c r="T7695">
        <v>-5.6158299999999996E-3</v>
      </c>
      <c r="U7695">
        <v>3.0642399999999999</v>
      </c>
      <c r="V7695">
        <v>3.8257329999999999E-2</v>
      </c>
      <c r="W7695">
        <v>0.2154759</v>
      </c>
      <c r="X7695">
        <v>0.97575940000000005</v>
      </c>
      <c r="Y7695">
        <v>2.155017E-2</v>
      </c>
      <c r="Z7695">
        <v>1.0800789999999999E-2</v>
      </c>
      <c r="AA7695">
        <v>0.99970939999999997</v>
      </c>
      <c r="AB7695">
        <v>39</v>
      </c>
      <c r="AC7695">
        <v>6.0434999999999901</v>
      </c>
      <c r="AD7695">
        <v>-0.60565239999999998</v>
      </c>
      <c r="AE7695">
        <v>330.091129999999</v>
      </c>
      <c r="AF7695">
        <v>7.1233992803334596</v>
      </c>
      <c r="AG7695">
        <v>-0.60565239999999998</v>
      </c>
      <c r="AH7695">
        <v>330.06848009718198</v>
      </c>
      <c r="AI7695">
        <v>90.105109124446798</v>
      </c>
      <c r="AJ7695">
        <v>88.763658479898893</v>
      </c>
      <c r="AK7695">
        <v>330.145893789095</v>
      </c>
      <c r="AL7695">
        <v>77.556550525632503</v>
      </c>
      <c r="AM7695">
        <v>87.754711487138906</v>
      </c>
      <c r="AN7695">
        <v>0.99999994673394799</v>
      </c>
    </row>
    <row r="7696" spans="1:40" x14ac:dyDescent="0.25">
      <c r="A7696" t="str">
        <f>"20190303170438230"</f>
        <v>20190303170438230</v>
      </c>
      <c r="B7696" t="str">
        <f>"1551603878223148"</f>
        <v>1551603878223148</v>
      </c>
      <c r="C7696" t="s">
        <v>40</v>
      </c>
      <c r="D7696">
        <v>4.3115670000000001</v>
      </c>
      <c r="E7696">
        <v>0.51604280000000002</v>
      </c>
      <c r="F7696" t="s">
        <v>48</v>
      </c>
      <c r="G7696">
        <v>0</v>
      </c>
      <c r="H7696">
        <v>0</v>
      </c>
      <c r="I7696">
        <v>0</v>
      </c>
      <c r="J7696">
        <v>-187.47579999999999</v>
      </c>
      <c r="K7696">
        <v>1.1214489999999999</v>
      </c>
      <c r="L7696">
        <v>62.059600000000003</v>
      </c>
      <c r="M7696">
        <v>-3.272657E-3</v>
      </c>
      <c r="N7696">
        <v>-1.2759639999999999E-2</v>
      </c>
      <c r="O7696">
        <v>0.99991319999999995</v>
      </c>
      <c r="P7696">
        <v>3.5103950000000002E-2</v>
      </c>
      <c r="Q7696">
        <v>0.20323939999999999</v>
      </c>
      <c r="R7696">
        <v>0.97849960000000002</v>
      </c>
      <c r="S7696">
        <v>0.16464229999999899</v>
      </c>
      <c r="T7696">
        <v>-4.7878030000000002E-3</v>
      </c>
      <c r="U7696">
        <v>3.0609440000000001</v>
      </c>
      <c r="V7696">
        <v>3.8312560000000002E-2</v>
      </c>
      <c r="W7696">
        <v>0.21570539999999999</v>
      </c>
      <c r="X7696">
        <v>0.97570659999999998</v>
      </c>
      <c r="Y7696">
        <v>5.6969800000000001E-2</v>
      </c>
      <c r="Z7696">
        <v>1.119913E-2</v>
      </c>
      <c r="AA7696">
        <v>0.99831309999999995</v>
      </c>
      <c r="AB7696">
        <v>39</v>
      </c>
      <c r="AC7696">
        <v>0.16464229999999899</v>
      </c>
      <c r="AD7696">
        <v>-4.7878030000000002E-3</v>
      </c>
      <c r="AE7696">
        <v>3.0609440000000001</v>
      </c>
      <c r="AF7696">
        <v>0.17465922782125101</v>
      </c>
      <c r="AG7696">
        <v>-4.7878030000000002E-3</v>
      </c>
      <c r="AH7696">
        <v>3.06038127792515</v>
      </c>
      <c r="AI7696">
        <v>90.089490491408597</v>
      </c>
      <c r="AJ7696">
        <v>86.733611924960101</v>
      </c>
      <c r="AK7696">
        <v>3.06536495954323</v>
      </c>
      <c r="AL7696">
        <v>77.543085407958799</v>
      </c>
      <c r="AM7696">
        <v>87.751351859160394</v>
      </c>
      <c r="AN7696">
        <v>1.00000002056323</v>
      </c>
    </row>
    <row r="7697" spans="1:40" x14ac:dyDescent="0.25">
      <c r="A7697" t="str">
        <f>"20190303170438250"</f>
        <v>20190303170438250</v>
      </c>
      <c r="B7697" t="str">
        <f>"1551603878243644"</f>
        <v>1551603878243644</v>
      </c>
      <c r="C7697" t="s">
        <v>40</v>
      </c>
      <c r="D7697">
        <v>4.1845549999999996</v>
      </c>
      <c r="E7697">
        <v>0.51856239999999998</v>
      </c>
      <c r="F7697" t="s">
        <v>53</v>
      </c>
      <c r="G7697">
        <v>-168.8674</v>
      </c>
      <c r="H7697">
        <v>0.3961016</v>
      </c>
      <c r="I7697">
        <v>339.94389999999999</v>
      </c>
      <c r="J7697">
        <v>-187.4768</v>
      </c>
      <c r="K7697">
        <v>1.1214660000000001</v>
      </c>
      <c r="L7697">
        <v>62.378269999999901</v>
      </c>
      <c r="M7697">
        <v>-3.2738260000000001E-3</v>
      </c>
      <c r="N7697">
        <v>-1.2893999999999999E-2</v>
      </c>
      <c r="O7697">
        <v>0.99991149999999995</v>
      </c>
      <c r="P7697">
        <v>3.5551020000000003E-2</v>
      </c>
      <c r="Q7697">
        <v>0.203263</v>
      </c>
      <c r="R7697">
        <v>0.97847859999999998</v>
      </c>
      <c r="S7697">
        <v>0.20492550000000001</v>
      </c>
      <c r="T7697">
        <v>-7.9878569999999992E-3</v>
      </c>
      <c r="U7697">
        <v>3.0602109999999998</v>
      </c>
      <c r="V7697">
        <v>3.8761209999999997E-2</v>
      </c>
      <c r="W7697">
        <v>0.21586</v>
      </c>
      <c r="X7697">
        <v>0.97565469999999999</v>
      </c>
      <c r="Y7697">
        <v>7.0070770000000004E-2</v>
      </c>
      <c r="Z7697">
        <v>1.02915E-2</v>
      </c>
      <c r="AA7697">
        <v>0.99748890000000001</v>
      </c>
      <c r="AB7697">
        <v>39</v>
      </c>
      <c r="AC7697">
        <v>18.609399999999901</v>
      </c>
      <c r="AD7697">
        <v>-0.72536440000000002</v>
      </c>
      <c r="AE7697">
        <v>277.56563</v>
      </c>
      <c r="AF7697">
        <v>19.517944689493898</v>
      </c>
      <c r="AG7697">
        <v>-0.72536440000000002</v>
      </c>
      <c r="AH7697">
        <v>277.50132659946098</v>
      </c>
      <c r="AI7697">
        <v>90.149396785192494</v>
      </c>
      <c r="AJ7697">
        <v>85.976749841390202</v>
      </c>
      <c r="AK7697">
        <v>278.18781889736903</v>
      </c>
      <c r="AL7697">
        <v>77.534013914389007</v>
      </c>
      <c r="AM7697">
        <v>87.724926224967703</v>
      </c>
      <c r="AN7697">
        <v>1.00000003231637</v>
      </c>
    </row>
    <row r="7698" spans="1:40" x14ac:dyDescent="0.25">
      <c r="A7698" t="str">
        <f>"20190303170438273"</f>
        <v>20190303170438273</v>
      </c>
      <c r="B7698" t="str">
        <f>"1551603878263164"</f>
        <v>1551603878263164</v>
      </c>
      <c r="C7698" t="s">
        <v>40</v>
      </c>
      <c r="D7698">
        <v>4.1538559999999896</v>
      </c>
      <c r="E7698">
        <v>0.52035920000000002</v>
      </c>
      <c r="F7698" t="s">
        <v>53</v>
      </c>
      <c r="G7698">
        <v>-168.80690000000001</v>
      </c>
      <c r="H7698">
        <v>0.27019130000000002</v>
      </c>
      <c r="I7698">
        <v>314.49709999999999</v>
      </c>
      <c r="J7698">
        <v>-187.47810000000001</v>
      </c>
      <c r="K7698">
        <v>1.121481</v>
      </c>
      <c r="L7698">
        <v>62.77328</v>
      </c>
      <c r="M7698">
        <v>-3.2747829999999999E-3</v>
      </c>
      <c r="N7698">
        <v>-1.3047130000000001E-2</v>
      </c>
      <c r="O7698">
        <v>0.99990950000000001</v>
      </c>
      <c r="P7698">
        <v>3.5408330000000002E-2</v>
      </c>
      <c r="Q7698">
        <v>0.20284559999999999</v>
      </c>
      <c r="R7698">
        <v>0.9785703</v>
      </c>
      <c r="S7698">
        <v>0.22659299999999999</v>
      </c>
      <c r="T7698">
        <v>-1.033163E-2</v>
      </c>
      <c r="U7698">
        <v>3.0599059999999998</v>
      </c>
      <c r="V7698">
        <v>3.8620139999999997E-2</v>
      </c>
      <c r="W7698">
        <v>0.21559320000000001</v>
      </c>
      <c r="X7698">
        <v>0.97571929999999996</v>
      </c>
      <c r="Y7698">
        <v>7.7104080000000005E-2</v>
      </c>
      <c r="Z7698">
        <v>9.6821489999999993E-3</v>
      </c>
      <c r="AA7698">
        <v>0.99697599999999997</v>
      </c>
      <c r="AB7698">
        <v>38</v>
      </c>
      <c r="AC7698">
        <v>18.671199999999999</v>
      </c>
      <c r="AD7698">
        <v>-0.85128969999999904</v>
      </c>
      <c r="AE7698">
        <v>251.72381999999999</v>
      </c>
      <c r="AF7698">
        <v>19.495289195897101</v>
      </c>
      <c r="AG7698">
        <v>-0.85128969999999904</v>
      </c>
      <c r="AH7698">
        <v>251.65845823341999</v>
      </c>
      <c r="AI7698">
        <v>90.193235799758497</v>
      </c>
      <c r="AJ7698">
        <v>85.570300409439</v>
      </c>
      <c r="AK7698">
        <v>252.41388748523099</v>
      </c>
      <c r="AL7698">
        <v>77.5496692418793</v>
      </c>
      <c r="AM7698">
        <v>87.733347542087301</v>
      </c>
      <c r="AN7698">
        <v>1.0000000477461699</v>
      </c>
    </row>
    <row r="7699" spans="1:40" x14ac:dyDescent="0.25">
      <c r="A7699" t="str">
        <f>"20190303170438288"</f>
        <v>20190303170438288</v>
      </c>
      <c r="B7699" t="str">
        <f>"1551603878272923"</f>
        <v>1551603878272923</v>
      </c>
      <c r="C7699" t="s">
        <v>40</v>
      </c>
      <c r="D7699">
        <v>4.3428190000000004</v>
      </c>
      <c r="E7699">
        <v>0.52181940000000004</v>
      </c>
      <c r="F7699" t="s">
        <v>53</v>
      </c>
      <c r="G7699">
        <v>-167.66159999999999</v>
      </c>
      <c r="H7699">
        <v>0.164219899999999</v>
      </c>
      <c r="I7699">
        <v>314.49709999999999</v>
      </c>
      <c r="J7699">
        <v>-187.47900000000001</v>
      </c>
      <c r="K7699">
        <v>1.12148799999999</v>
      </c>
      <c r="L7699">
        <v>63.023380000000003</v>
      </c>
      <c r="M7699">
        <v>-3.2750750000000001E-3</v>
      </c>
      <c r="N7699">
        <v>-1.313491E-2</v>
      </c>
      <c r="O7699">
        <v>0.99990840000000003</v>
      </c>
      <c r="P7699">
        <v>3.5241179999999997E-2</v>
      </c>
      <c r="Q7699">
        <v>0.2031898</v>
      </c>
      <c r="R7699">
        <v>0.97850499999999996</v>
      </c>
      <c r="S7699">
        <v>0.24084469999999999</v>
      </c>
      <c r="T7699">
        <v>-1.1634230000000001E-2</v>
      </c>
      <c r="U7699">
        <v>3.0593870000000001</v>
      </c>
      <c r="V7699">
        <v>3.845324E-2</v>
      </c>
      <c r="W7699">
        <v>0.21602209999999999</v>
      </c>
      <c r="X7699">
        <v>0.97563100000000003</v>
      </c>
      <c r="Y7699">
        <v>8.1732719999999995E-2</v>
      </c>
      <c r="Z7699">
        <v>9.3463169999999998E-3</v>
      </c>
      <c r="AA7699">
        <v>0.99661049999999995</v>
      </c>
      <c r="AB7699">
        <v>38</v>
      </c>
      <c r="AC7699">
        <v>19.817399999999999</v>
      </c>
      <c r="AD7699">
        <v>-0.95726809999999896</v>
      </c>
      <c r="AE7699">
        <v>251.47371999999999</v>
      </c>
      <c r="AF7699">
        <v>20.6406627765335</v>
      </c>
      <c r="AG7699">
        <v>-0.95726809999999896</v>
      </c>
      <c r="AH7699">
        <v>251.40384155518001</v>
      </c>
      <c r="AI7699">
        <v>90.217431977995204</v>
      </c>
      <c r="AJ7699">
        <v>85.306450666417106</v>
      </c>
      <c r="AK7699">
        <v>252.25155077971601</v>
      </c>
      <c r="AL7699">
        <v>77.524501736403295</v>
      </c>
      <c r="AM7699">
        <v>87.742928861882106</v>
      </c>
      <c r="AN7699">
        <v>1.0000000237579501</v>
      </c>
    </row>
    <row r="7700" spans="1:40" x14ac:dyDescent="0.25">
      <c r="A7700" t="str">
        <f>"20190303170438307"</f>
        <v>20190303170438307</v>
      </c>
      <c r="B7700" t="str">
        <f>"1551603878293420"</f>
        <v>1551603878293420</v>
      </c>
      <c r="C7700" t="s">
        <v>40</v>
      </c>
      <c r="D7700">
        <v>4.360449</v>
      </c>
      <c r="E7700">
        <v>0.52275300000000002</v>
      </c>
      <c r="F7700" t="s">
        <v>54</v>
      </c>
      <c r="G7700">
        <v>-168.1866</v>
      </c>
      <c r="H7700">
        <v>0.24145130000000001</v>
      </c>
      <c r="I7700">
        <v>297.38529999999997</v>
      </c>
      <c r="J7700">
        <v>-187.48</v>
      </c>
      <c r="K7700">
        <v>1.1215040000000001</v>
      </c>
      <c r="L7700">
        <v>63.345089999999999</v>
      </c>
      <c r="M7700">
        <v>-3.275287E-3</v>
      </c>
      <c r="N7700">
        <v>-1.3239870000000001E-2</v>
      </c>
      <c r="O7700">
        <v>0.99990699999999999</v>
      </c>
      <c r="P7700">
        <v>3.5133289999999998E-2</v>
      </c>
      <c r="Q7700">
        <v>0.20310249999999999</v>
      </c>
      <c r="R7700">
        <v>0.97852689999999998</v>
      </c>
      <c r="S7700">
        <v>0.25183109999999997</v>
      </c>
      <c r="T7700">
        <v>-1.1486410000000001E-2</v>
      </c>
      <c r="U7700">
        <v>3.0592039999999998</v>
      </c>
      <c r="V7700">
        <v>3.8345770000000001E-2</v>
      </c>
      <c r="W7700">
        <v>0.2160379</v>
      </c>
      <c r="X7700">
        <v>0.97563169999999999</v>
      </c>
      <c r="Y7700">
        <v>8.5292469999999995E-2</v>
      </c>
      <c r="Z7700">
        <v>9.5004059999999994E-3</v>
      </c>
      <c r="AA7700">
        <v>0.99631069999999999</v>
      </c>
      <c r="AB7700">
        <v>38</v>
      </c>
      <c r="AC7700">
        <v>19.293399999999899</v>
      </c>
      <c r="AD7700">
        <v>-0.88005270000000002</v>
      </c>
      <c r="AE7700">
        <v>234.04021</v>
      </c>
      <c r="AF7700">
        <v>20.0596308166444</v>
      </c>
      <c r="AG7700">
        <v>-0.88005270000000002</v>
      </c>
      <c r="AH7700">
        <v>233.972471541045</v>
      </c>
      <c r="AI7700">
        <v>90.214720848682802</v>
      </c>
      <c r="AJ7700">
        <v>85.099729127618204</v>
      </c>
      <c r="AK7700">
        <v>234.83245244275699</v>
      </c>
      <c r="AL7700">
        <v>77.523574182006001</v>
      </c>
      <c r="AM7700">
        <v>87.749232092685702</v>
      </c>
      <c r="AN7700">
        <v>0.99999999317909605</v>
      </c>
    </row>
    <row r="7701" spans="1:40" x14ac:dyDescent="0.25">
      <c r="A7701" t="str">
        <f>"20190303170438328"</f>
        <v>20190303170438328</v>
      </c>
      <c r="B7701" t="str">
        <f>"1551603878323676"</f>
        <v>1551603878323676</v>
      </c>
      <c r="C7701" t="s">
        <v>40</v>
      </c>
      <c r="D7701">
        <v>4.2089290000000004</v>
      </c>
      <c r="E7701">
        <v>0.52354109999999998</v>
      </c>
      <c r="F7701" t="s">
        <v>54</v>
      </c>
      <c r="G7701">
        <v>-167.67500000000001</v>
      </c>
      <c r="H7701">
        <v>6.502724E-2</v>
      </c>
      <c r="I7701">
        <v>297.38529999999997</v>
      </c>
      <c r="J7701">
        <v>-187.4813</v>
      </c>
      <c r="K7701">
        <v>1.121516</v>
      </c>
      <c r="L7701">
        <v>63.723750000000003</v>
      </c>
      <c r="M7701">
        <v>-3.2754030000000001E-3</v>
      </c>
      <c r="N7701">
        <v>-1.335103E-2</v>
      </c>
      <c r="O7701">
        <v>0.9999055</v>
      </c>
      <c r="P7701">
        <v>3.5098890000000001E-2</v>
      </c>
      <c r="Q7701">
        <v>0.2030158</v>
      </c>
      <c r="R7701">
        <v>0.97854620000000003</v>
      </c>
      <c r="S7701">
        <v>0.25889590000000001</v>
      </c>
      <c r="T7701">
        <v>-1.3809439999999999E-2</v>
      </c>
      <c r="U7701">
        <v>3.059418</v>
      </c>
      <c r="V7701">
        <v>3.8311659999999997E-2</v>
      </c>
      <c r="W7701">
        <v>0.2160598</v>
      </c>
      <c r="X7701">
        <v>0.97562819999999995</v>
      </c>
      <c r="Y7701">
        <v>8.7571079999999996E-2</v>
      </c>
      <c r="Z7701">
        <v>8.8561790000000005E-3</v>
      </c>
      <c r="AA7701">
        <v>0.99611890000000003</v>
      </c>
      <c r="AB7701">
        <v>38</v>
      </c>
      <c r="AC7701">
        <v>19.8063</v>
      </c>
      <c r="AD7701">
        <v>-1.0564887599999999</v>
      </c>
      <c r="AE7701">
        <v>233.66155000000001</v>
      </c>
      <c r="AF7701">
        <v>20.571180156766001</v>
      </c>
      <c r="AG7701">
        <v>-1.0564887599999999</v>
      </c>
      <c r="AH7701">
        <v>233.590675640136</v>
      </c>
      <c r="AI7701">
        <v>90.258137733603405</v>
      </c>
      <c r="AJ7701">
        <v>84.967226619984402</v>
      </c>
      <c r="AK7701">
        <v>234.49710737567199</v>
      </c>
      <c r="AL7701">
        <v>77.522289171793801</v>
      </c>
      <c r="AM7701">
        <v>87.751224119704403</v>
      </c>
      <c r="AN7701">
        <v>1.00000000255161</v>
      </c>
    </row>
    <row r="7702" spans="1:40" x14ac:dyDescent="0.25">
      <c r="A7702" t="str">
        <f>"20190303170438351"</f>
        <v>20190303170438351</v>
      </c>
      <c r="B7702" t="str">
        <f>"1551603878343197"</f>
        <v>1551603878343197</v>
      </c>
      <c r="C7702" t="s">
        <v>40</v>
      </c>
      <c r="D7702">
        <v>4.2182170000000001</v>
      </c>
      <c r="E7702">
        <v>0.52413480000000001</v>
      </c>
      <c r="F7702" t="s">
        <v>44</v>
      </c>
      <c r="G7702">
        <v>-168.69980000000001</v>
      </c>
      <c r="H7702">
        <v>-0.05</v>
      </c>
      <c r="I7702">
        <v>280.976</v>
      </c>
      <c r="J7702">
        <v>-187.48249999999999</v>
      </c>
      <c r="K7702">
        <v>1.121515</v>
      </c>
      <c r="L7702">
        <v>64.108729999999994</v>
      </c>
      <c r="M7702">
        <v>-3.2755269999999999E-3</v>
      </c>
      <c r="N7702">
        <v>-1.3451029999999999E-2</v>
      </c>
      <c r="O7702">
        <v>0.99990420000000002</v>
      </c>
      <c r="P7702">
        <v>3.5556270000000001E-2</v>
      </c>
      <c r="Q7702">
        <v>0.20283200000000001</v>
      </c>
      <c r="R7702">
        <v>0.97856779999999999</v>
      </c>
      <c r="S7702">
        <v>0.2645111</v>
      </c>
      <c r="T7702">
        <v>-1.6499159999999999E-2</v>
      </c>
      <c r="U7702">
        <v>3.0596920000000001</v>
      </c>
      <c r="V7702">
        <v>3.8769339999999999E-2</v>
      </c>
      <c r="W7702">
        <v>0.2159731</v>
      </c>
      <c r="X7702">
        <v>0.97562930000000003</v>
      </c>
      <c r="Y7702">
        <v>8.9378070000000004E-2</v>
      </c>
      <c r="Z7702">
        <v>8.0817289999999993E-3</v>
      </c>
      <c r="AA7702">
        <v>0.99596499999999999</v>
      </c>
      <c r="AB7702">
        <v>38</v>
      </c>
      <c r="AC7702">
        <v>18.782699999999899</v>
      </c>
      <c r="AD7702">
        <v>-1.1715149999999901</v>
      </c>
      <c r="AE7702">
        <v>216.86726999999999</v>
      </c>
      <c r="AF7702">
        <v>19.492453481894501</v>
      </c>
      <c r="AG7702">
        <v>-1.1715149999999901</v>
      </c>
      <c r="AH7702">
        <v>216.79829819041399</v>
      </c>
      <c r="AI7702">
        <v>90.308362873018098</v>
      </c>
      <c r="AJ7702">
        <v>84.862319606323695</v>
      </c>
      <c r="AK7702">
        <v>217.67597545066499</v>
      </c>
      <c r="AL7702">
        <v>77.527376631501397</v>
      </c>
      <c r="AM7702">
        <v>87.724390358951197</v>
      </c>
      <c r="AN7702">
        <v>0.99999998633306697</v>
      </c>
    </row>
    <row r="7703" spans="1:40" x14ac:dyDescent="0.25">
      <c r="A7703" t="str">
        <f>"20190303170438374"</f>
        <v>20190303170438374</v>
      </c>
      <c r="B7703" t="str">
        <f>"1551603878363692"</f>
        <v>1551603878363692</v>
      </c>
      <c r="C7703" t="s">
        <v>40</v>
      </c>
      <c r="D7703">
        <v>4.2684699999999998</v>
      </c>
      <c r="E7703">
        <v>0.52455769999999902</v>
      </c>
      <c r="F7703" t="s">
        <v>44</v>
      </c>
      <c r="G7703">
        <v>-170.5401</v>
      </c>
      <c r="H7703">
        <v>-0.05</v>
      </c>
      <c r="I7703">
        <v>255.94239999999999</v>
      </c>
      <c r="J7703">
        <v>-187.4838</v>
      </c>
      <c r="K7703">
        <v>1.1215189999999999</v>
      </c>
      <c r="L7703">
        <v>64.506709999999998</v>
      </c>
      <c r="M7703">
        <v>-3.2757350000000001E-3</v>
      </c>
      <c r="N7703">
        <v>-1.354171E-2</v>
      </c>
      <c r="O7703">
        <v>0.99990299999999999</v>
      </c>
      <c r="P7703">
        <v>3.6705040000000001E-2</v>
      </c>
      <c r="Q7703">
        <v>0.20244470000000001</v>
      </c>
      <c r="R7703">
        <v>0.97860559999999996</v>
      </c>
      <c r="S7703">
        <v>0.27023320000000001</v>
      </c>
      <c r="T7703">
        <v>-1.86857E-2</v>
      </c>
      <c r="U7703">
        <v>3.0597530000000002</v>
      </c>
      <c r="V7703">
        <v>3.9918549999999997E-2</v>
      </c>
      <c r="W7703">
        <v>0.21567520000000001</v>
      </c>
      <c r="X7703">
        <v>0.97564890000000004</v>
      </c>
      <c r="Y7703">
        <v>9.1224470000000002E-2</v>
      </c>
      <c r="Z7703">
        <v>7.4617729999999997E-3</v>
      </c>
      <c r="AA7703">
        <v>0.99580239999999998</v>
      </c>
      <c r="AB7703">
        <v>38</v>
      </c>
      <c r="AC7703">
        <v>16.9437</v>
      </c>
      <c r="AD7703">
        <v>-1.171519</v>
      </c>
      <c r="AE7703">
        <v>191.43568999999999</v>
      </c>
      <c r="AF7703">
        <v>17.570106247361299</v>
      </c>
      <c r="AG7703">
        <v>-1.171519</v>
      </c>
      <c r="AH7703">
        <v>191.372043364169</v>
      </c>
      <c r="AI7703">
        <v>90.349273282894004</v>
      </c>
      <c r="AJ7703">
        <v>84.754309134978101</v>
      </c>
      <c r="AK7703">
        <v>192.180488269981</v>
      </c>
      <c r="AL7703">
        <v>77.544857561693107</v>
      </c>
      <c r="AM7703">
        <v>87.657057306696203</v>
      </c>
      <c r="AN7703">
        <v>1.0000000293001701</v>
      </c>
    </row>
    <row r="7704" spans="1:40" x14ac:dyDescent="0.25">
      <c r="A7704" t="str">
        <f>"20190303170438394"</f>
        <v>20190303170438394</v>
      </c>
      <c r="B7704" t="str">
        <f>"1551603878383212"</f>
        <v>1551603878383212</v>
      </c>
      <c r="C7704" t="s">
        <v>40</v>
      </c>
      <c r="D7704">
        <v>4.3350359999999997</v>
      </c>
      <c r="E7704">
        <v>0.52509629999999996</v>
      </c>
      <c r="F7704" t="s">
        <v>44</v>
      </c>
      <c r="G7704">
        <v>-172.51169999999999</v>
      </c>
      <c r="H7704">
        <v>-0.05</v>
      </c>
      <c r="I7704">
        <v>230.09970000000001</v>
      </c>
      <c r="J7704">
        <v>-187.48490000000001</v>
      </c>
      <c r="K7704">
        <v>1.121521</v>
      </c>
      <c r="L7704">
        <v>64.850340000000003</v>
      </c>
      <c r="M7704">
        <v>-3.2759719999999998E-3</v>
      </c>
      <c r="N7704">
        <v>-1.360987E-2</v>
      </c>
      <c r="O7704">
        <v>0.99990199999999996</v>
      </c>
      <c r="P7704">
        <v>3.8196729999999998E-2</v>
      </c>
      <c r="Q7704">
        <v>0.2018132</v>
      </c>
      <c r="R7704">
        <v>0.97867890000000002</v>
      </c>
      <c r="S7704">
        <v>0.27664179999999999</v>
      </c>
      <c r="T7704">
        <v>-2.164638E-2</v>
      </c>
      <c r="U7704">
        <v>3.0596920000000001</v>
      </c>
      <c r="V7704">
        <v>4.141077E-2</v>
      </c>
      <c r="W7704">
        <v>0.21511079999999999</v>
      </c>
      <c r="X7704">
        <v>0.97571129999999995</v>
      </c>
      <c r="Y7704">
        <v>9.3295069999999994E-2</v>
      </c>
      <c r="Z7704">
        <v>6.5675369999999896E-3</v>
      </c>
      <c r="AA7704">
        <v>0.99561690000000003</v>
      </c>
      <c r="AB7704">
        <v>38</v>
      </c>
      <c r="AC7704">
        <v>14.9732</v>
      </c>
      <c r="AD7704">
        <v>-1.17152099999999</v>
      </c>
      <c r="AE7704">
        <v>165.24936</v>
      </c>
      <c r="AF7704">
        <v>15.513748698987801</v>
      </c>
      <c r="AG7704">
        <v>-1.17152099999999</v>
      </c>
      <c r="AH7704">
        <v>165.191181914433</v>
      </c>
      <c r="AI7704">
        <v>90.404549649598593</v>
      </c>
      <c r="AJ7704">
        <v>84.634865945331697</v>
      </c>
      <c r="AK7704">
        <v>165.92219695518801</v>
      </c>
      <c r="AL7704">
        <v>77.577972533525596</v>
      </c>
      <c r="AM7704">
        <v>87.569732700186293</v>
      </c>
      <c r="AN7704">
        <v>1.0000000245481599</v>
      </c>
    </row>
    <row r="7705" spans="1:40" x14ac:dyDescent="0.25">
      <c r="A7705" t="str">
        <f>"20190303170438410"</f>
        <v>20190303170438410</v>
      </c>
      <c r="B7705" t="str">
        <f>"1551603878403708"</f>
        <v>1551603878403708</v>
      </c>
      <c r="C7705" t="s">
        <v>40</v>
      </c>
      <c r="D7705">
        <v>4.3474729999999999</v>
      </c>
      <c r="E7705">
        <v>0.52564129999999998</v>
      </c>
      <c r="F7705" t="s">
        <v>42</v>
      </c>
      <c r="G7705">
        <v>-174.9632</v>
      </c>
      <c r="H7705">
        <v>7.9986870000000002E-2</v>
      </c>
      <c r="I7705">
        <v>199.04490000000001</v>
      </c>
      <c r="J7705">
        <v>-187.48580000000001</v>
      </c>
      <c r="K7705">
        <v>1.1215280000000001</v>
      </c>
      <c r="L7705">
        <v>65.13364</v>
      </c>
      <c r="M7705">
        <v>-3.2761600000000002E-3</v>
      </c>
      <c r="N7705">
        <v>-1.365952E-2</v>
      </c>
      <c r="O7705">
        <v>0.99990140000000005</v>
      </c>
      <c r="P7705">
        <v>3.8866339999999999E-2</v>
      </c>
      <c r="Q7705">
        <v>0.20156360000000001</v>
      </c>
      <c r="R7705">
        <v>0.97870400000000002</v>
      </c>
      <c r="S7705">
        <v>0.28544619999999998</v>
      </c>
      <c r="T7705">
        <v>-2.3742909999999999E-2</v>
      </c>
      <c r="U7705">
        <v>3.059113</v>
      </c>
      <c r="V7705">
        <v>4.2080689999999997E-2</v>
      </c>
      <c r="W7705">
        <v>0.21491009999999999</v>
      </c>
      <c r="X7705">
        <v>0.97572680000000001</v>
      </c>
      <c r="Y7705">
        <v>9.6152689999999999E-2</v>
      </c>
      <c r="Z7705">
        <v>5.9356010000000004E-3</v>
      </c>
      <c r="AA7705">
        <v>0.99534889999999998</v>
      </c>
      <c r="AB7705">
        <v>38</v>
      </c>
      <c r="AC7705">
        <v>12.522600000000001</v>
      </c>
      <c r="AD7705">
        <v>-1.0415411299999999</v>
      </c>
      <c r="AE7705">
        <v>133.91126</v>
      </c>
      <c r="AF7705">
        <v>12.960511155676601</v>
      </c>
      <c r="AG7705">
        <v>-1.0415411299999999</v>
      </c>
      <c r="AH7705">
        <v>133.86148361434601</v>
      </c>
      <c r="AI7705">
        <v>90.443719634324594</v>
      </c>
      <c r="AJ7705">
        <v>84.469841752227197</v>
      </c>
      <c r="AK7705">
        <v>134.49147353187701</v>
      </c>
      <c r="AL7705">
        <v>77.589746394783205</v>
      </c>
      <c r="AM7705">
        <v>87.5305046799092</v>
      </c>
      <c r="AN7705">
        <v>0.99999996189556195</v>
      </c>
    </row>
    <row r="7706" spans="1:40" x14ac:dyDescent="0.25">
      <c r="A7706" t="str">
        <f>"20190303170438430"</f>
        <v>20190303170438430</v>
      </c>
      <c r="B7706" t="str">
        <f>"1551603878423229"</f>
        <v>1551603878423229</v>
      </c>
      <c r="C7706" t="s">
        <v>40</v>
      </c>
      <c r="D7706">
        <v>4.2791160000000001</v>
      </c>
      <c r="E7706">
        <v>0.52574600000000005</v>
      </c>
      <c r="F7706" t="s">
        <v>42</v>
      </c>
      <c r="G7706">
        <v>-175.2319</v>
      </c>
      <c r="H7706">
        <v>7.9986719999999997E-2</v>
      </c>
      <c r="I7706">
        <v>193.56880000000001</v>
      </c>
      <c r="J7706">
        <v>-187.48689999999999</v>
      </c>
      <c r="K7706">
        <v>1.121529</v>
      </c>
      <c r="L7706">
        <v>65.452969999999993</v>
      </c>
      <c r="M7706">
        <v>-3.276358E-3</v>
      </c>
      <c r="N7706">
        <v>-1.370997E-2</v>
      </c>
      <c r="O7706">
        <v>0.99990060000000003</v>
      </c>
      <c r="P7706">
        <v>4.0035809999999998E-2</v>
      </c>
      <c r="Q7706">
        <v>0.20111850000000001</v>
      </c>
      <c r="R7706">
        <v>0.97874839999999996</v>
      </c>
      <c r="S7706">
        <v>0.29183959999999998</v>
      </c>
      <c r="T7706">
        <v>-2.4805310000000001E-2</v>
      </c>
      <c r="U7706">
        <v>3.0588069999999998</v>
      </c>
      <c r="V7706">
        <v>4.3250539999999997E-2</v>
      </c>
      <c r="W7706">
        <v>0.2145147</v>
      </c>
      <c r="X7706">
        <v>0.97576269999999998</v>
      </c>
      <c r="Y7706">
        <v>9.8223489999999997E-2</v>
      </c>
      <c r="Z7706">
        <v>5.641213E-3</v>
      </c>
      <c r="AA7706">
        <v>0.99514840000000004</v>
      </c>
      <c r="AB7706">
        <v>38</v>
      </c>
      <c r="AC7706">
        <v>12.2549999999999</v>
      </c>
      <c r="AD7706">
        <v>-1.04154228</v>
      </c>
      <c r="AE7706">
        <v>128.11582999999999</v>
      </c>
      <c r="AF7706">
        <v>12.673896963297601</v>
      </c>
      <c r="AG7706">
        <v>-1.04154228</v>
      </c>
      <c r="AH7706">
        <v>128.06659927488101</v>
      </c>
      <c r="AI7706">
        <v>90.463700794759902</v>
      </c>
      <c r="AJ7706">
        <v>84.348221679181194</v>
      </c>
      <c r="AK7706">
        <v>128.69641146663901</v>
      </c>
      <c r="AL7706">
        <v>77.612942691662894</v>
      </c>
      <c r="AM7706">
        <v>87.462034130043705</v>
      </c>
      <c r="AN7706">
        <v>1.0000000062188299</v>
      </c>
    </row>
    <row r="7707" spans="1:40" x14ac:dyDescent="0.25">
      <c r="A7707" t="str">
        <f>"20190303170438451"</f>
        <v>20190303170438451</v>
      </c>
      <c r="B7707" t="str">
        <f>"1551603878443724"</f>
        <v>1551603878443724</v>
      </c>
      <c r="C7707" t="s">
        <v>40</v>
      </c>
      <c r="D7707">
        <v>4.2727190000000004</v>
      </c>
      <c r="E7707">
        <v>0.52602519999999997</v>
      </c>
      <c r="F7707" t="s">
        <v>42</v>
      </c>
      <c r="G7707">
        <v>-175.56110000000001</v>
      </c>
      <c r="H7707">
        <v>7.9986719999999997E-2</v>
      </c>
      <c r="I7707">
        <v>188.6336</v>
      </c>
      <c r="J7707">
        <v>-187.4881</v>
      </c>
      <c r="K7707">
        <v>1.121534</v>
      </c>
      <c r="L7707">
        <v>65.828459999999893</v>
      </c>
      <c r="M7707">
        <v>-3.2765559999999999E-3</v>
      </c>
      <c r="N7707">
        <v>-1.376233E-2</v>
      </c>
      <c r="O7707">
        <v>0.99989989999999995</v>
      </c>
      <c r="P7707">
        <v>4.1011150000000003E-2</v>
      </c>
      <c r="Q7707">
        <v>0.2009041</v>
      </c>
      <c r="R7707">
        <v>0.97875210000000001</v>
      </c>
      <c r="S7707">
        <v>0.29609679999999999</v>
      </c>
      <c r="T7707">
        <v>-2.5859589999999998E-2</v>
      </c>
      <c r="U7707">
        <v>3.0583499999999999</v>
      </c>
      <c r="V7707">
        <v>4.4226109999999999E-2</v>
      </c>
      <c r="W7707">
        <v>0.21435119999999999</v>
      </c>
      <c r="X7707">
        <v>0.97575489999999998</v>
      </c>
      <c r="Y7707">
        <v>9.9609859999999995E-2</v>
      </c>
      <c r="Z7707">
        <v>5.3504750000000004E-3</v>
      </c>
      <c r="AA7707">
        <v>0.99501220000000001</v>
      </c>
      <c r="AB7707">
        <v>38</v>
      </c>
      <c r="AC7707">
        <v>11.9269999999999</v>
      </c>
      <c r="AD7707">
        <v>-1.0415472800000001</v>
      </c>
      <c r="AE7707">
        <v>122.80513999999999</v>
      </c>
      <c r="AF7707">
        <v>12.328473473850099</v>
      </c>
      <c r="AG7707">
        <v>-1.0415472800000001</v>
      </c>
      <c r="AH7707">
        <v>122.756649806204</v>
      </c>
      <c r="AI7707">
        <v>90.483689938151699</v>
      </c>
      <c r="AJ7707">
        <v>84.265003960068995</v>
      </c>
      <c r="AK7707">
        <v>123.37856844109901</v>
      </c>
      <c r="AL7707">
        <v>77.622533638187406</v>
      </c>
      <c r="AM7707">
        <v>87.404843822241006</v>
      </c>
      <c r="AN7707">
        <v>1.00000000531059</v>
      </c>
    </row>
    <row r="7708" spans="1:40" x14ac:dyDescent="0.25">
      <c r="A7708" t="str">
        <f>"20190303170438473"</f>
        <v>20190303170438473</v>
      </c>
      <c r="B7708" t="str">
        <f>"1551603878463244"</f>
        <v>1551603878463244</v>
      </c>
      <c r="C7708" t="s">
        <v>40</v>
      </c>
      <c r="D7708">
        <v>4.3298160000000001</v>
      </c>
      <c r="E7708">
        <v>0.52630569999999999</v>
      </c>
      <c r="F7708" t="s">
        <v>42</v>
      </c>
      <c r="G7708">
        <v>-175.56829999999999</v>
      </c>
      <c r="H7708">
        <v>7.9986199999999993E-2</v>
      </c>
      <c r="I7708">
        <v>186.84520000000001</v>
      </c>
      <c r="J7708">
        <v>-187.48929999999999</v>
      </c>
      <c r="K7708">
        <v>1.1215379999999999</v>
      </c>
      <c r="L7708">
        <v>66.194699999999997</v>
      </c>
      <c r="M7708">
        <v>-3.2767199999999999E-3</v>
      </c>
      <c r="N7708">
        <v>-1.380663E-2</v>
      </c>
      <c r="O7708">
        <v>0.99989930000000005</v>
      </c>
      <c r="P7708">
        <v>4.2505439999999999E-2</v>
      </c>
      <c r="Q7708">
        <v>0.2008856</v>
      </c>
      <c r="R7708">
        <v>0.97869209999999995</v>
      </c>
      <c r="S7708">
        <v>0.30119319999999999</v>
      </c>
      <c r="T7708">
        <v>-2.6318190000000002E-2</v>
      </c>
      <c r="U7708">
        <v>3.0578919999999998</v>
      </c>
      <c r="V7708">
        <v>4.5720370000000003E-2</v>
      </c>
      <c r="W7708">
        <v>0.2143755</v>
      </c>
      <c r="X7708">
        <v>0.97568069999999896</v>
      </c>
      <c r="Y7708">
        <v>0.10126640000000001</v>
      </c>
      <c r="Z7708">
        <v>5.2457370000000003E-3</v>
      </c>
      <c r="AA7708">
        <v>0.99484550000000005</v>
      </c>
      <c r="AB7708">
        <v>38</v>
      </c>
      <c r="AC7708">
        <v>11.9209999999999</v>
      </c>
      <c r="AD7708">
        <v>-1.0415517999999999</v>
      </c>
      <c r="AE7708">
        <v>120.65049999999999</v>
      </c>
      <c r="AF7708">
        <v>12.315402653316101</v>
      </c>
      <c r="AG7708">
        <v>-1.0415517999999999</v>
      </c>
      <c r="AH7708">
        <v>120.601885675994</v>
      </c>
      <c r="AI7708">
        <v>90.492250422972106</v>
      </c>
      <c r="AJ7708">
        <v>84.169385050076301</v>
      </c>
      <c r="AK7708">
        <v>121.233530020663</v>
      </c>
      <c r="AL7708">
        <v>77.621108372323903</v>
      </c>
      <c r="AM7708">
        <v>87.317084010900501</v>
      </c>
      <c r="AN7708">
        <v>1.0000000177928301</v>
      </c>
    </row>
    <row r="7709" spans="1:40" x14ac:dyDescent="0.25">
      <c r="A7709" t="str">
        <f>"20190303170438494"</f>
        <v>20190303170438494</v>
      </c>
      <c r="B7709" t="str">
        <f>"1551603878483741"</f>
        <v>1551603878483741</v>
      </c>
      <c r="C7709" t="s">
        <v>40</v>
      </c>
      <c r="D7709">
        <v>4.2376699999999996</v>
      </c>
      <c r="E7709">
        <v>0.52624069999999901</v>
      </c>
      <c r="F7709" t="s">
        <v>42</v>
      </c>
      <c r="G7709">
        <v>-175.5335</v>
      </c>
      <c r="H7709">
        <v>7.9985639999999997E-2</v>
      </c>
      <c r="I7709">
        <v>184.91919999999999</v>
      </c>
      <c r="J7709">
        <v>-187.49039999999999</v>
      </c>
      <c r="K7709">
        <v>1.121545</v>
      </c>
      <c r="L7709">
        <v>66.555790000000002</v>
      </c>
      <c r="M7709">
        <v>-3.2768559999999999E-3</v>
      </c>
      <c r="N7709">
        <v>-1.384444E-2</v>
      </c>
      <c r="O7709">
        <v>0.99989879999999998</v>
      </c>
      <c r="P7709">
        <v>4.3809939999999999E-2</v>
      </c>
      <c r="Q7709">
        <v>0.20103879999999999</v>
      </c>
      <c r="R7709">
        <v>0.97860309999999995</v>
      </c>
      <c r="S7709">
        <v>0.30789179999999999</v>
      </c>
      <c r="T7709">
        <v>-2.682269E-2</v>
      </c>
      <c r="U7709">
        <v>3.0574650000000001</v>
      </c>
      <c r="V7709">
        <v>4.7024730000000001E-2</v>
      </c>
      <c r="W7709">
        <v>0.21456410000000001</v>
      </c>
      <c r="X7709">
        <v>0.97557720000000003</v>
      </c>
      <c r="Y7709">
        <v>0.1034376</v>
      </c>
      <c r="Z7709">
        <v>5.1201739999999999E-3</v>
      </c>
      <c r="AA7709">
        <v>0.99462280000000003</v>
      </c>
      <c r="AB7709">
        <v>38</v>
      </c>
      <c r="AC7709">
        <v>11.9568999999999</v>
      </c>
      <c r="AD7709">
        <v>-1.0415593599999999</v>
      </c>
      <c r="AE7709">
        <v>118.36341</v>
      </c>
      <c r="AF7709">
        <v>12.3437866384341</v>
      </c>
      <c r="AG7709">
        <v>-1.0415593599999999</v>
      </c>
      <c r="AH7709">
        <v>118.31452055222699</v>
      </c>
      <c r="AI7709">
        <v>90.501656770344596</v>
      </c>
      <c r="AJ7709">
        <v>84.043863576016804</v>
      </c>
      <c r="AK7709">
        <v>118.961252885043</v>
      </c>
      <c r="AL7709">
        <v>77.610044419693907</v>
      </c>
      <c r="AM7709">
        <v>87.240367261299099</v>
      </c>
      <c r="AN7709">
        <v>0.99999997570011101</v>
      </c>
    </row>
    <row r="7710" spans="1:40" x14ac:dyDescent="0.25">
      <c r="A7710" t="str">
        <f>"20190303170438510"</f>
        <v>20190303170438510</v>
      </c>
      <c r="B7710" t="str">
        <f>"1551603878503260"</f>
        <v>1551603878503260</v>
      </c>
      <c r="C7710" t="s">
        <v>40</v>
      </c>
      <c r="D7710">
        <v>4.3194269999999904</v>
      </c>
      <c r="E7710">
        <v>0.52630840000000001</v>
      </c>
      <c r="F7710" t="s">
        <v>42</v>
      </c>
      <c r="G7710">
        <v>-175.6071</v>
      </c>
      <c r="H7710">
        <v>7.9986630000000003E-2</v>
      </c>
      <c r="I7710">
        <v>183.29859999999999</v>
      </c>
      <c r="J7710">
        <v>-187.4913</v>
      </c>
      <c r="K7710">
        <v>1.12155</v>
      </c>
      <c r="L7710">
        <v>66.813230000000004</v>
      </c>
      <c r="M7710">
        <v>-3.2769610000000001E-3</v>
      </c>
      <c r="N7710">
        <v>-1.3867819999999999E-2</v>
      </c>
      <c r="O7710">
        <v>0.99989850000000002</v>
      </c>
      <c r="P7710">
        <v>4.4157620000000002E-2</v>
      </c>
      <c r="Q7710">
        <v>0.20099790000000001</v>
      </c>
      <c r="R7710">
        <v>0.97859589999999996</v>
      </c>
      <c r="S7710">
        <v>0.31120300000000001</v>
      </c>
      <c r="T7710">
        <v>-2.7276519999999999E-2</v>
      </c>
      <c r="U7710">
        <v>3.0572810000000001</v>
      </c>
      <c r="V7710">
        <v>4.737251E-2</v>
      </c>
      <c r="W7710">
        <v>0.21454590000000001</v>
      </c>
      <c r="X7710">
        <v>0.9755644</v>
      </c>
      <c r="Y7710">
        <v>0.10450959999999999</v>
      </c>
      <c r="Z7710">
        <v>4.9963899999999999E-3</v>
      </c>
      <c r="AA7710">
        <v>0.99451129999999999</v>
      </c>
      <c r="AB7710">
        <v>38</v>
      </c>
      <c r="AC7710">
        <v>11.8841999999999</v>
      </c>
      <c r="AD7710">
        <v>-1.04156337</v>
      </c>
      <c r="AE7710">
        <v>116.48537</v>
      </c>
      <c r="AF7710">
        <v>12.2649203895537</v>
      </c>
      <c r="AG7710">
        <v>-1.04156337</v>
      </c>
      <c r="AH7710">
        <v>116.43658321381599</v>
      </c>
      <c r="AI7710">
        <v>90.509696102152603</v>
      </c>
      <c r="AJ7710">
        <v>83.986887455947993</v>
      </c>
      <c r="AK7710">
        <v>117.08540061392701</v>
      </c>
      <c r="AL7710">
        <v>77.611112349900793</v>
      </c>
      <c r="AM7710">
        <v>87.219953373759296</v>
      </c>
      <c r="AN7710">
        <v>0.99999999822893504</v>
      </c>
    </row>
    <row r="7711" spans="1:40" x14ac:dyDescent="0.25">
      <c r="A7711" t="str">
        <f>"20190303170438530"</f>
        <v>20190303170438530</v>
      </c>
      <c r="B7711" t="str">
        <f>"1551603878523757"</f>
        <v>1551603878523757</v>
      </c>
      <c r="C7711" t="s">
        <v>40</v>
      </c>
      <c r="D7711">
        <v>4.3085599999999999</v>
      </c>
      <c r="E7711">
        <v>0.52629969999999904</v>
      </c>
      <c r="F7711" t="s">
        <v>42</v>
      </c>
      <c r="G7711">
        <v>-175.8365</v>
      </c>
      <c r="H7711">
        <v>7.9985840000000002E-2</v>
      </c>
      <c r="I7711">
        <v>180.67910000000001</v>
      </c>
      <c r="J7711">
        <v>-187.4924</v>
      </c>
      <c r="K7711">
        <v>1.1215539999999999</v>
      </c>
      <c r="L7711">
        <v>67.163240000000002</v>
      </c>
      <c r="M7711">
        <v>-3.277112E-3</v>
      </c>
      <c r="N7711">
        <v>-1.3896439999999999E-2</v>
      </c>
      <c r="O7711">
        <v>0.99989810000000001</v>
      </c>
      <c r="P7711">
        <v>4.5001550000000001E-2</v>
      </c>
      <c r="Q7711">
        <v>0.20041539999999999</v>
      </c>
      <c r="R7711">
        <v>0.97867689999999996</v>
      </c>
      <c r="S7711">
        <v>0.31292720000000002</v>
      </c>
      <c r="T7711">
        <v>-2.7965549999999999E-2</v>
      </c>
      <c r="U7711">
        <v>3.0572509999999999</v>
      </c>
      <c r="V7711">
        <v>4.8216830000000002E-2</v>
      </c>
      <c r="W7711">
        <v>0.21399260000000001</v>
      </c>
      <c r="X7711">
        <v>0.97564459999999997</v>
      </c>
      <c r="Y7711">
        <v>0.1050657</v>
      </c>
      <c r="Z7711">
        <v>4.8013090000000001E-3</v>
      </c>
      <c r="AA7711">
        <v>0.9944537</v>
      </c>
      <c r="AB7711">
        <v>38</v>
      </c>
      <c r="AC7711">
        <v>11.655900000000001</v>
      </c>
      <c r="AD7711">
        <v>-1.04156816</v>
      </c>
      <c r="AE7711">
        <v>113.51586</v>
      </c>
      <c r="AF7711">
        <v>12.026875516041001</v>
      </c>
      <c r="AG7711">
        <v>-1.04156816</v>
      </c>
      <c r="AH7711">
        <v>113.467595745762</v>
      </c>
      <c r="AI7711">
        <v>90.522998482128699</v>
      </c>
      <c r="AJ7711">
        <v>83.949586335456203</v>
      </c>
      <c r="AK7711">
        <v>114.107957142497</v>
      </c>
      <c r="AL7711">
        <v>77.6435684281074</v>
      </c>
      <c r="AM7711">
        <v>87.170716648940996</v>
      </c>
      <c r="AN7711">
        <v>1.0000000405295799</v>
      </c>
    </row>
    <row r="7712" spans="1:40" x14ac:dyDescent="0.25">
      <c r="A7712" t="str">
        <f>"20190303170438553"</f>
        <v>20190303170438553</v>
      </c>
      <c r="B7712" t="str">
        <f>"1551603878542806"</f>
        <v>1551603878542806</v>
      </c>
      <c r="C7712" t="s">
        <v>40</v>
      </c>
      <c r="D7712">
        <v>4.2943379999999998</v>
      </c>
      <c r="E7712">
        <v>0.52632250000000003</v>
      </c>
      <c r="F7712" t="s">
        <v>42</v>
      </c>
      <c r="G7712">
        <v>-176.64439999999999</v>
      </c>
      <c r="H7712">
        <v>7.9986260000000003E-2</v>
      </c>
      <c r="I7712">
        <v>172.20269999999999</v>
      </c>
      <c r="J7712">
        <v>-187.49369999999999</v>
      </c>
      <c r="K7712">
        <v>1.1215580000000001</v>
      </c>
      <c r="L7712">
        <v>67.549009999999996</v>
      </c>
      <c r="M7712">
        <v>-3.277285E-3</v>
      </c>
      <c r="N7712">
        <v>-1.3923710000000001E-2</v>
      </c>
      <c r="O7712">
        <v>0.9998977</v>
      </c>
      <c r="P7712">
        <v>4.4283450000000002E-2</v>
      </c>
      <c r="Q7712">
        <v>0.19979659999999999</v>
      </c>
      <c r="R7712">
        <v>0.97883620000000005</v>
      </c>
      <c r="S7712">
        <v>0.31571959999999999</v>
      </c>
      <c r="T7712">
        <v>-3.0313489999999998E-2</v>
      </c>
      <c r="U7712">
        <v>3.0570369999999998</v>
      </c>
      <c r="V7712">
        <v>4.7499430000000002E-2</v>
      </c>
      <c r="W7712">
        <v>0.21340239999999999</v>
      </c>
      <c r="X7712">
        <v>0.97580900000000004</v>
      </c>
      <c r="Y7712">
        <v>0.1059713</v>
      </c>
      <c r="Z7712">
        <v>4.0650670000000003E-3</v>
      </c>
      <c r="AA7712">
        <v>0.99436089999999999</v>
      </c>
      <c r="AB7712">
        <v>38</v>
      </c>
      <c r="AC7712">
        <v>10.849299999999999</v>
      </c>
      <c r="AD7712">
        <v>-1.04157174</v>
      </c>
      <c r="AE7712">
        <v>104.65369</v>
      </c>
      <c r="AF7712">
        <v>11.191158205781999</v>
      </c>
      <c r="AG7712">
        <v>-1.04157174</v>
      </c>
      <c r="AH7712">
        <v>104.607316640143</v>
      </c>
      <c r="AI7712">
        <v>90.567236771032697</v>
      </c>
      <c r="AJ7712">
        <v>83.893576876546007</v>
      </c>
      <c r="AK7712">
        <v>105.209398764215</v>
      </c>
      <c r="AL7712">
        <v>77.6781834173634</v>
      </c>
      <c r="AM7712">
        <v>87.213214449197295</v>
      </c>
      <c r="AN7712">
        <v>0.99999999232854198</v>
      </c>
    </row>
    <row r="7713" spans="1:40" x14ac:dyDescent="0.25">
      <c r="A7713" t="str">
        <f>"20190303170438574"</f>
        <v>20190303170438574</v>
      </c>
      <c r="B7713" t="str">
        <f>"1551603878563303"</f>
        <v>1551603878563303</v>
      </c>
      <c r="C7713" t="s">
        <v>40</v>
      </c>
      <c r="D7713">
        <v>4.2752589999999904</v>
      </c>
      <c r="E7713">
        <v>0.52632419999999902</v>
      </c>
      <c r="F7713" t="s">
        <v>42</v>
      </c>
      <c r="G7713">
        <v>-177.46780000000001</v>
      </c>
      <c r="H7713">
        <v>7.9985420000000002E-2</v>
      </c>
      <c r="I7713">
        <v>165.26490000000001</v>
      </c>
      <c r="J7713">
        <v>-187.4949</v>
      </c>
      <c r="K7713">
        <v>1.1215619999999999</v>
      </c>
      <c r="L7713">
        <v>67.899810000000002</v>
      </c>
      <c r="M7713">
        <v>-3.2774530000000001E-3</v>
      </c>
      <c r="N7713">
        <v>-1.394491E-2</v>
      </c>
      <c r="O7713">
        <v>0.99989740000000005</v>
      </c>
      <c r="P7713">
        <v>4.351534E-2</v>
      </c>
      <c r="Q7713">
        <v>0.1994322</v>
      </c>
      <c r="R7713">
        <v>0.97894499999999995</v>
      </c>
      <c r="S7713">
        <v>0.31369019999999997</v>
      </c>
      <c r="T7713">
        <v>-3.2588480000000003E-2</v>
      </c>
      <c r="U7713">
        <v>3.057312</v>
      </c>
      <c r="V7713">
        <v>4.6731849999999998E-2</v>
      </c>
      <c r="W7713">
        <v>0.21306040000000001</v>
      </c>
      <c r="X7713">
        <v>0.97592080000000003</v>
      </c>
      <c r="Y7713">
        <v>0.105309</v>
      </c>
      <c r="Z7713">
        <v>3.346449E-3</v>
      </c>
      <c r="AA7713">
        <v>0.99443389999999998</v>
      </c>
      <c r="AB7713">
        <v>38</v>
      </c>
      <c r="AC7713">
        <v>10.0270999999999</v>
      </c>
      <c r="AD7713">
        <v>-1.0415765800000001</v>
      </c>
      <c r="AE7713">
        <v>97.365089999999995</v>
      </c>
      <c r="AF7713">
        <v>10.3450152173204</v>
      </c>
      <c r="AG7713">
        <v>-1.0415765800000001</v>
      </c>
      <c r="AH7713">
        <v>97.320679972054194</v>
      </c>
      <c r="AI7713">
        <v>90.609750903044997</v>
      </c>
      <c r="AJ7713">
        <v>83.9323455099086</v>
      </c>
      <c r="AK7713">
        <v>97.874506240601704</v>
      </c>
      <c r="AL7713">
        <v>77.698239981406601</v>
      </c>
      <c r="AM7713">
        <v>87.258492607621207</v>
      </c>
      <c r="AN7713">
        <v>1.00000000386261</v>
      </c>
    </row>
    <row r="7714" spans="1:40" x14ac:dyDescent="0.25">
      <c r="A7714" t="str">
        <f>"20190303170438597"</f>
        <v>20190303170438597</v>
      </c>
      <c r="B7714" t="str">
        <f>"1551603878582822"</f>
        <v>1551603878582822</v>
      </c>
      <c r="C7714" t="s">
        <v>40</v>
      </c>
      <c r="D7714">
        <v>4.4063970000000001</v>
      </c>
      <c r="E7714">
        <v>0.52625500000000003</v>
      </c>
      <c r="F7714" t="s">
        <v>42</v>
      </c>
      <c r="G7714">
        <v>-178.029</v>
      </c>
      <c r="H7714">
        <v>7.9985749999999994E-2</v>
      </c>
      <c r="I7714">
        <v>160.86320000000001</v>
      </c>
      <c r="J7714">
        <v>-187.49610000000001</v>
      </c>
      <c r="K7714">
        <v>1.121567</v>
      </c>
      <c r="L7714">
        <v>68.279969999999906</v>
      </c>
      <c r="M7714">
        <v>-3.2776329999999998E-3</v>
      </c>
      <c r="N7714">
        <v>-1.3964600000000001E-2</v>
      </c>
      <c r="O7714">
        <v>0.99989709999999998</v>
      </c>
      <c r="P7714">
        <v>4.2923370000000002E-2</v>
      </c>
      <c r="Q7714">
        <v>0.1995344</v>
      </c>
      <c r="R7714">
        <v>0.97895030000000005</v>
      </c>
      <c r="S7714">
        <v>0.31134030000000001</v>
      </c>
      <c r="T7714">
        <v>-3.4258370000000003E-2</v>
      </c>
      <c r="U7714">
        <v>3.0576479999999999</v>
      </c>
      <c r="V7714">
        <v>4.614008E-2</v>
      </c>
      <c r="W7714">
        <v>0.2131816</v>
      </c>
      <c r="X7714">
        <v>0.97592250000000003</v>
      </c>
      <c r="Y7714">
        <v>0.1045416</v>
      </c>
      <c r="Z7714">
        <v>2.8232719999999999E-3</v>
      </c>
      <c r="AA7714">
        <v>0.99451650000000003</v>
      </c>
      <c r="AB7714">
        <v>38</v>
      </c>
      <c r="AC7714">
        <v>9.4670999999999808</v>
      </c>
      <c r="AD7714">
        <v>-1.0415812499999999</v>
      </c>
      <c r="AE7714">
        <v>92.58323</v>
      </c>
      <c r="AF7714">
        <v>9.7693089055053406</v>
      </c>
      <c r="AG7714">
        <v>-1.0415812499999999</v>
      </c>
      <c r="AH7714">
        <v>92.540108535465606</v>
      </c>
      <c r="AI7714">
        <v>90.641299636527094</v>
      </c>
      <c r="AJ7714">
        <v>83.973698570781195</v>
      </c>
      <c r="AK7714">
        <v>93.060173950768501</v>
      </c>
      <c r="AL7714">
        <v>77.691132567067498</v>
      </c>
      <c r="AM7714">
        <v>87.293161329707004</v>
      </c>
      <c r="AN7714">
        <v>1.0000000137836</v>
      </c>
    </row>
    <row r="7715" spans="1:40" x14ac:dyDescent="0.25">
      <c r="A7715" t="str">
        <f>"20190303170438617"</f>
        <v>20190303170438617</v>
      </c>
      <c r="B7715" t="str">
        <f>"1551603878603318"</f>
        <v>1551603878603318</v>
      </c>
      <c r="C7715" t="s">
        <v>40</v>
      </c>
      <c r="D7715">
        <v>4.3046530000000001</v>
      </c>
      <c r="E7715">
        <v>0.52609680000000003</v>
      </c>
      <c r="F7715" t="s">
        <v>42</v>
      </c>
      <c r="G7715">
        <v>-178.06309999999999</v>
      </c>
      <c r="H7715">
        <v>7.9986009999999996E-2</v>
      </c>
      <c r="I7715">
        <v>161.92070000000001</v>
      </c>
      <c r="J7715">
        <v>-187.4973</v>
      </c>
      <c r="K7715">
        <v>1.1215710000000001</v>
      </c>
      <c r="L7715">
        <v>68.657869999999903</v>
      </c>
      <c r="M7715">
        <v>-3.277804E-3</v>
      </c>
      <c r="N7715">
        <v>-1.3981260000000001E-2</v>
      </c>
      <c r="O7715">
        <v>0.99989689999999998</v>
      </c>
      <c r="P7715">
        <v>4.2620579999999998E-2</v>
      </c>
      <c r="Q7715">
        <v>0.19928399999999999</v>
      </c>
      <c r="R7715">
        <v>0.97901450000000001</v>
      </c>
      <c r="S7715">
        <v>0.3080444</v>
      </c>
      <c r="T7715">
        <v>-3.4013750000000002E-2</v>
      </c>
      <c r="U7715">
        <v>3.057922</v>
      </c>
      <c r="V7715">
        <v>4.5837669999999997E-2</v>
      </c>
      <c r="W7715">
        <v>0.21294859999999999</v>
      </c>
      <c r="X7715">
        <v>0.97598759999999996</v>
      </c>
      <c r="Y7715">
        <v>0.1034718</v>
      </c>
      <c r="Z7715">
        <v>2.9192519999999998E-3</v>
      </c>
      <c r="AA7715">
        <v>0.99462810000000001</v>
      </c>
      <c r="AB7715">
        <v>38</v>
      </c>
      <c r="AC7715">
        <v>9.4342000000000006</v>
      </c>
      <c r="AD7715">
        <v>-1.0415849899999901</v>
      </c>
      <c r="AE7715">
        <v>93.262829999999994</v>
      </c>
      <c r="AF7715">
        <v>9.7386740600075097</v>
      </c>
      <c r="AG7715">
        <v>-1.0415849899999901</v>
      </c>
      <c r="AH7715">
        <v>93.219892834097294</v>
      </c>
      <c r="AI7715">
        <v>90.636698418629095</v>
      </c>
      <c r="AJ7715">
        <v>84.035949273647205</v>
      </c>
      <c r="AK7715">
        <v>93.732998947750801</v>
      </c>
      <c r="AL7715">
        <v>77.704796016297394</v>
      </c>
      <c r="AM7715">
        <v>87.311055392822993</v>
      </c>
      <c r="AN7715">
        <v>0.99999999679337404</v>
      </c>
    </row>
    <row r="7716" spans="1:40" x14ac:dyDescent="0.25">
      <c r="A7716" t="str">
        <f>"20190303170438641"</f>
        <v>20190303170438641</v>
      </c>
      <c r="B7716" t="str">
        <f>"1551603878633574"</f>
        <v>1551603878633574</v>
      </c>
      <c r="C7716" t="s">
        <v>40</v>
      </c>
      <c r="D7716">
        <v>4.3870849999999999</v>
      </c>
      <c r="E7716">
        <v>0.52640159999999903</v>
      </c>
      <c r="F7716" t="s">
        <v>90</v>
      </c>
      <c r="G7716">
        <v>-178.42410000000001</v>
      </c>
      <c r="H7716">
        <v>7.9985020000000004E-2</v>
      </c>
      <c r="I7716">
        <v>159.52940000000001</v>
      </c>
      <c r="J7716">
        <v>-187.49860000000001</v>
      </c>
      <c r="K7716">
        <v>1.121567</v>
      </c>
      <c r="L7716">
        <v>69.051850000000002</v>
      </c>
      <c r="M7716">
        <v>-3.2779910000000001E-3</v>
      </c>
      <c r="N7716">
        <v>-1.399564E-2</v>
      </c>
      <c r="O7716">
        <v>0.99989669999999997</v>
      </c>
      <c r="P7716">
        <v>4.2840610000000001E-2</v>
      </c>
      <c r="Q7716">
        <v>0.19860700000000001</v>
      </c>
      <c r="R7716">
        <v>0.97914239999999997</v>
      </c>
      <c r="S7716">
        <v>0.30534359999999999</v>
      </c>
      <c r="T7716">
        <v>-3.5052899999999998E-2</v>
      </c>
      <c r="U7716">
        <v>3.0581360000000002</v>
      </c>
      <c r="V7716">
        <v>4.6058259999999997E-2</v>
      </c>
      <c r="W7716">
        <v>0.21228749999999999</v>
      </c>
      <c r="X7716">
        <v>0.97612120000000002</v>
      </c>
      <c r="Y7716">
        <v>0.1025954</v>
      </c>
      <c r="Z7716">
        <v>2.59538E-3</v>
      </c>
      <c r="AA7716">
        <v>0.99471980000000004</v>
      </c>
      <c r="AB7716">
        <v>38</v>
      </c>
      <c r="AC7716">
        <v>9.0745000000000005</v>
      </c>
      <c r="AD7716">
        <v>-1.0415819799999999</v>
      </c>
      <c r="AE7716">
        <v>90.477549999999994</v>
      </c>
      <c r="AF7716">
        <v>9.3698354855800208</v>
      </c>
      <c r="AG7716">
        <v>-1.0415819799999999</v>
      </c>
      <c r="AH7716">
        <v>90.435448957512804</v>
      </c>
      <c r="AI7716">
        <v>90.656356549227198</v>
      </c>
      <c r="AJ7716">
        <v>84.0848047334634</v>
      </c>
      <c r="AK7716">
        <v>90.925514231126598</v>
      </c>
      <c r="AL7716">
        <v>77.743560279700105</v>
      </c>
      <c r="AM7716">
        <v>87.298503450350196</v>
      </c>
      <c r="AN7716">
        <v>0.99999997152995801</v>
      </c>
    </row>
    <row r="7717" spans="1:40" x14ac:dyDescent="0.25">
      <c r="A7717" t="str">
        <f>"20190303170438664"</f>
        <v>20190303170438664</v>
      </c>
      <c r="B7717" t="str">
        <f>"1551603878653601"</f>
        <v>1551603878653601</v>
      </c>
      <c r="C7717" t="s">
        <v>40</v>
      </c>
      <c r="D7717">
        <v>4.3266460000000002</v>
      </c>
      <c r="E7717">
        <v>0.52659849999999997</v>
      </c>
      <c r="F7717" t="s">
        <v>90</v>
      </c>
      <c r="G7717">
        <v>-178.8536</v>
      </c>
      <c r="H7717">
        <v>7.9984459999999993E-2</v>
      </c>
      <c r="I7717">
        <v>154.69290000000001</v>
      </c>
      <c r="J7717">
        <v>-187.4999</v>
      </c>
      <c r="K7717">
        <v>1.121564</v>
      </c>
      <c r="L7717">
        <v>69.430509999999998</v>
      </c>
      <c r="M7717">
        <v>-3.2781500000000001E-3</v>
      </c>
      <c r="N7717">
        <v>-1.400711E-2</v>
      </c>
      <c r="O7717">
        <v>0.99989649999999997</v>
      </c>
      <c r="P7717">
        <v>4.2773119999999998E-2</v>
      </c>
      <c r="Q7717">
        <v>0.1980797</v>
      </c>
      <c r="R7717">
        <v>0.97925220000000002</v>
      </c>
      <c r="S7717">
        <v>0.3086853</v>
      </c>
      <c r="T7717">
        <v>-3.7191389999999998E-2</v>
      </c>
      <c r="U7717">
        <v>3.0579529999999999</v>
      </c>
      <c r="V7717">
        <v>4.5991249999999997E-2</v>
      </c>
      <c r="W7717">
        <v>0.2117735</v>
      </c>
      <c r="X7717">
        <v>0.97623599999999999</v>
      </c>
      <c r="Y7717">
        <v>0.1036769</v>
      </c>
      <c r="Z7717">
        <v>1.911898E-3</v>
      </c>
      <c r="AA7717">
        <v>0.99460919999999997</v>
      </c>
      <c r="AB7717">
        <v>38</v>
      </c>
      <c r="AC7717">
        <v>8.6462999999999894</v>
      </c>
      <c r="AD7717">
        <v>-1.0415795400000001</v>
      </c>
      <c r="AE7717">
        <v>85.262389999999996</v>
      </c>
      <c r="AF7717">
        <v>8.9244655826795398</v>
      </c>
      <c r="AG7717">
        <v>-1.0415795400000001</v>
      </c>
      <c r="AH7717">
        <v>85.220996656103196</v>
      </c>
      <c r="AI7717">
        <v>90.696431931250999</v>
      </c>
      <c r="AJ7717">
        <v>84.021693713005007</v>
      </c>
      <c r="AK7717">
        <v>85.693344227741093</v>
      </c>
      <c r="AL7717">
        <v>77.7736954635904</v>
      </c>
      <c r="AM7717">
        <v>87.302744789424395</v>
      </c>
      <c r="AN7717">
        <v>0.99999996903740496</v>
      </c>
    </row>
    <row r="7718" spans="1:40" x14ac:dyDescent="0.25">
      <c r="A7718" t="str">
        <f>"20190303170438684"</f>
        <v>20190303170438684</v>
      </c>
      <c r="B7718" t="str">
        <f>"1551603878673121"</f>
        <v>1551603878673121</v>
      </c>
      <c r="C7718" t="s">
        <v>40</v>
      </c>
      <c r="D7718">
        <v>4.4282019999999997</v>
      </c>
      <c r="E7718">
        <v>0.52686630000000001</v>
      </c>
      <c r="F7718" t="s">
        <v>90</v>
      </c>
      <c r="G7718">
        <v>-179.209</v>
      </c>
      <c r="H7718">
        <v>7.9984719999999995E-2</v>
      </c>
      <c r="I7718">
        <v>151.2133</v>
      </c>
      <c r="J7718">
        <v>-187.501</v>
      </c>
      <c r="K7718">
        <v>1.1215569999999999</v>
      </c>
      <c r="L7718">
        <v>69.777159999999995</v>
      </c>
      <c r="M7718">
        <v>-3.2782929999999998E-3</v>
      </c>
      <c r="N7718">
        <v>-1.4015919999999999E-2</v>
      </c>
      <c r="O7718">
        <v>0.99989640000000002</v>
      </c>
      <c r="P7718">
        <v>4.3000549999999998E-2</v>
      </c>
      <c r="Q7718">
        <v>0.1973664</v>
      </c>
      <c r="R7718">
        <v>0.97938630000000004</v>
      </c>
      <c r="S7718">
        <v>0.30999759999999998</v>
      </c>
      <c r="T7718">
        <v>-3.894508E-2</v>
      </c>
      <c r="U7718">
        <v>3.0578919999999998</v>
      </c>
      <c r="V7718">
        <v>4.6219209999999997E-2</v>
      </c>
      <c r="W7718">
        <v>0.2110706</v>
      </c>
      <c r="X7718">
        <v>0.97637750000000001</v>
      </c>
      <c r="Y7718">
        <v>0.1041011</v>
      </c>
      <c r="Z7718">
        <v>1.3506239999999999E-3</v>
      </c>
      <c r="AA7718">
        <v>0.99456580000000006</v>
      </c>
      <c r="AB7718">
        <v>38</v>
      </c>
      <c r="AC7718">
        <v>8.2919999999999696</v>
      </c>
      <c r="AD7718">
        <v>-1.04157228</v>
      </c>
      <c r="AE7718">
        <v>81.436139999999995</v>
      </c>
      <c r="AF7718">
        <v>8.5575676589159109</v>
      </c>
      <c r="AG7718">
        <v>-1.04157228</v>
      </c>
      <c r="AH7718">
        <v>81.395337575715899</v>
      </c>
      <c r="AI7718">
        <v>90.729125008072899</v>
      </c>
      <c r="AJ7718">
        <v>83.998208645564503</v>
      </c>
      <c r="AK7718">
        <v>81.850582258870602</v>
      </c>
      <c r="AL7718">
        <v>77.814900712088701</v>
      </c>
      <c r="AM7718">
        <v>87.289787722248406</v>
      </c>
      <c r="AN7718">
        <v>1.00000001803181</v>
      </c>
    </row>
    <row r="7719" spans="1:40" x14ac:dyDescent="0.25">
      <c r="A7719" t="str">
        <f>"20190303170438711"</f>
        <v>20190303170438711</v>
      </c>
      <c r="B7719" t="str">
        <f>"1551603878703377"</f>
        <v>1551603878703377</v>
      </c>
      <c r="C7719" t="s">
        <v>40</v>
      </c>
      <c r="D7719">
        <v>4.3071400000000004</v>
      </c>
      <c r="E7719">
        <v>0.5270939</v>
      </c>
      <c r="F7719" t="s">
        <v>90</v>
      </c>
      <c r="G7719">
        <v>-179.21170000000001</v>
      </c>
      <c r="H7719">
        <v>3.2280950000000003E-2</v>
      </c>
      <c r="I7719">
        <v>150.79730000000001</v>
      </c>
      <c r="J7719">
        <v>-187.5025</v>
      </c>
      <c r="K7719">
        <v>1.1215679999999999</v>
      </c>
      <c r="L7719">
        <v>70.220730000000003</v>
      </c>
      <c r="M7719">
        <v>-3.2784730000000001E-3</v>
      </c>
      <c r="N7719">
        <v>-1.402523E-2</v>
      </c>
      <c r="O7719">
        <v>0.99989629999999996</v>
      </c>
      <c r="P7719">
        <v>4.3706839999999997E-2</v>
      </c>
      <c r="Q7719">
        <v>0.1975527</v>
      </c>
      <c r="R7719">
        <v>0.9793174</v>
      </c>
      <c r="S7719">
        <v>0.31283569999999999</v>
      </c>
      <c r="T7719">
        <v>-4.1108970000000002E-2</v>
      </c>
      <c r="U7719">
        <v>3.0576780000000001</v>
      </c>
      <c r="V7719">
        <v>4.692545E-2</v>
      </c>
      <c r="W7719">
        <v>0.21126449999999999</v>
      </c>
      <c r="X7719">
        <v>0.9763018</v>
      </c>
      <c r="Y7719">
        <v>0.1050213</v>
      </c>
      <c r="Z7719">
        <v>6.5650910000000003E-4</v>
      </c>
      <c r="AA7719">
        <v>0.99446979999999996</v>
      </c>
      <c r="AB7719">
        <v>38</v>
      </c>
      <c r="AC7719">
        <v>8.2907999999999902</v>
      </c>
      <c r="AD7719">
        <v>-1.08928705</v>
      </c>
      <c r="AE7719">
        <v>80.576569999999904</v>
      </c>
      <c r="AF7719">
        <v>8.5534027274689493</v>
      </c>
      <c r="AG7719">
        <v>-1.08928705</v>
      </c>
      <c r="AH7719">
        <v>80.534389240872102</v>
      </c>
      <c r="AI7719">
        <v>90.770586993259599</v>
      </c>
      <c r="AJ7719">
        <v>83.937452682149299</v>
      </c>
      <c r="AK7719">
        <v>80.994660903641403</v>
      </c>
      <c r="AL7719">
        <v>77.803533861828996</v>
      </c>
      <c r="AM7719">
        <v>87.248225209170499</v>
      </c>
      <c r="AN7719">
        <v>0.99999994575059403</v>
      </c>
    </row>
    <row r="7720" spans="1:40" x14ac:dyDescent="0.25">
      <c r="A7720" t="str">
        <f>"20190303170438733"</f>
        <v>20190303170438733</v>
      </c>
      <c r="B7720" t="str">
        <f>"1551603878723873"</f>
        <v>1551603878723873</v>
      </c>
      <c r="C7720" t="s">
        <v>40</v>
      </c>
      <c r="D7720">
        <v>4.2655830000000003</v>
      </c>
      <c r="E7720">
        <v>0.52711779999999997</v>
      </c>
      <c r="F7720" t="s">
        <v>90</v>
      </c>
      <c r="G7720">
        <v>-179.1422</v>
      </c>
      <c r="H7720">
        <v>6.0968179999999997E-2</v>
      </c>
      <c r="I7720">
        <v>150.7433</v>
      </c>
      <c r="J7720">
        <v>-187.50380000000001</v>
      </c>
      <c r="K7720">
        <v>1.1215710000000001</v>
      </c>
      <c r="L7720">
        <v>70.600250000000003</v>
      </c>
      <c r="M7720">
        <v>-3.2786400000000002E-3</v>
      </c>
      <c r="N7720">
        <v>-1.4031689999999999E-2</v>
      </c>
      <c r="O7720">
        <v>0.99989620000000001</v>
      </c>
      <c r="P7720">
        <v>4.3668529999999997E-2</v>
      </c>
      <c r="Q7720">
        <v>0.19731399999999999</v>
      </c>
      <c r="R7720">
        <v>0.97936730000000005</v>
      </c>
      <c r="S7720">
        <v>0.31742859999999901</v>
      </c>
      <c r="T7720">
        <v>-4.0269260000000001E-2</v>
      </c>
      <c r="U7720">
        <v>3.057312</v>
      </c>
      <c r="V7720">
        <v>4.6887449999999997E-2</v>
      </c>
      <c r="W7720">
        <v>0.2110329</v>
      </c>
      <c r="X7720">
        <v>0.97635380000000005</v>
      </c>
      <c r="Y7720">
        <v>0.1065115</v>
      </c>
      <c r="Z7720">
        <v>9.3659820000000003E-4</v>
      </c>
      <c r="AA7720">
        <v>0.99431099999999994</v>
      </c>
      <c r="AB7720">
        <v>38</v>
      </c>
      <c r="AC7720">
        <v>8.3616000000000099</v>
      </c>
      <c r="AD7720">
        <v>-1.0606028199999999</v>
      </c>
      <c r="AE7720">
        <v>80.143050000000002</v>
      </c>
      <c r="AF7720">
        <v>8.6228472201451698</v>
      </c>
      <c r="AG7720">
        <v>-1.0606028199999999</v>
      </c>
      <c r="AH7720">
        <v>80.101324280660904</v>
      </c>
      <c r="AI7720">
        <v>90.7542385306093</v>
      </c>
      <c r="AJ7720">
        <v>83.855813277695205</v>
      </c>
      <c r="AK7720">
        <v>80.571089877445203</v>
      </c>
      <c r="AL7720">
        <v>77.817110691450793</v>
      </c>
      <c r="AM7720">
        <v>87.250596376587595</v>
      </c>
      <c r="AN7720">
        <v>1.0000000303121701</v>
      </c>
    </row>
    <row r="7721" spans="1:40" x14ac:dyDescent="0.25">
      <c r="A7721" t="str">
        <f>"20190303170438752"</f>
        <v>20190303170438752</v>
      </c>
      <c r="B7721" t="str">
        <f>"1551603878742926"</f>
        <v>1551603878742926</v>
      </c>
      <c r="C7721" t="s">
        <v>40</v>
      </c>
      <c r="D7721">
        <v>4.2561780000000002</v>
      </c>
      <c r="E7721">
        <v>0.5270494</v>
      </c>
      <c r="F7721" t="s">
        <v>90</v>
      </c>
      <c r="G7721">
        <v>-179.16820000000001</v>
      </c>
      <c r="H7721">
        <v>5.5577109999999999E-2</v>
      </c>
      <c r="I7721">
        <v>150.76179999999999</v>
      </c>
      <c r="J7721">
        <v>-187.50489999999999</v>
      </c>
      <c r="K7721">
        <v>1.1215660000000001</v>
      </c>
      <c r="L7721">
        <v>70.935640000000006</v>
      </c>
      <c r="M7721">
        <v>-3.2787739999999999E-3</v>
      </c>
      <c r="N7721">
        <v>-1.4036389999999999E-2</v>
      </c>
      <c r="O7721">
        <v>0.99989609999999995</v>
      </c>
      <c r="P7721">
        <v>4.3665589999999997E-2</v>
      </c>
      <c r="Q7721">
        <v>0.19646949999999999</v>
      </c>
      <c r="R7721">
        <v>0.9795372</v>
      </c>
      <c r="S7721">
        <v>0.31790159999999901</v>
      </c>
      <c r="T7721">
        <v>-4.0655139999999999E-2</v>
      </c>
      <c r="U7721">
        <v>3.05722</v>
      </c>
      <c r="V7721">
        <v>4.6885160000000002E-2</v>
      </c>
      <c r="W7721">
        <v>0.21019570000000001</v>
      </c>
      <c r="X7721">
        <v>0.97653440000000002</v>
      </c>
      <c r="Y7721">
        <v>0.10666680000000001</v>
      </c>
      <c r="Z7721">
        <v>8.1563239999999997E-4</v>
      </c>
      <c r="AA7721">
        <v>0.99429449999999997</v>
      </c>
      <c r="AB7721">
        <v>38</v>
      </c>
      <c r="AC7721">
        <v>8.3366999999999791</v>
      </c>
      <c r="AD7721">
        <v>-1.0659888900000001</v>
      </c>
      <c r="AE7721">
        <v>79.826159999999902</v>
      </c>
      <c r="AF7721">
        <v>8.5968963966097807</v>
      </c>
      <c r="AG7721">
        <v>-1.0659888900000001</v>
      </c>
      <c r="AH7721">
        <v>79.784319864038196</v>
      </c>
      <c r="AI7721">
        <v>90.761071695386605</v>
      </c>
      <c r="AJ7721">
        <v>83.850010235025493</v>
      </c>
      <c r="AK7721">
        <v>80.253228322197799</v>
      </c>
      <c r="AL7721">
        <v>77.866178283656595</v>
      </c>
      <c r="AM7721">
        <v>87.251238121694897</v>
      </c>
      <c r="AN7721">
        <v>0.99999994245503598</v>
      </c>
    </row>
    <row r="7722" spans="1:40" x14ac:dyDescent="0.25">
      <c r="A7722" t="str">
        <f>"20190303170438774"</f>
        <v>20190303170438774</v>
      </c>
      <c r="B7722" t="str">
        <f>"1551603878763420"</f>
        <v>1551603878763420</v>
      </c>
      <c r="C7722" t="s">
        <v>40</v>
      </c>
      <c r="D7722">
        <v>4.2673259999999997</v>
      </c>
      <c r="E7722">
        <v>0.52701180000000003</v>
      </c>
      <c r="F7722" t="s">
        <v>90</v>
      </c>
      <c r="G7722">
        <v>-179.28319999999999</v>
      </c>
      <c r="H7722" s="1">
        <v>-1.140159E-5</v>
      </c>
      <c r="I7722">
        <v>150.06970000000001</v>
      </c>
      <c r="J7722">
        <v>-187.506</v>
      </c>
      <c r="K7722">
        <v>1.121567</v>
      </c>
      <c r="L7722">
        <v>71.291560000000004</v>
      </c>
      <c r="M7722">
        <v>-3.2789149999999999E-3</v>
      </c>
      <c r="N7722">
        <v>-1.404071E-2</v>
      </c>
      <c r="O7722">
        <v>0.99989600000000001</v>
      </c>
      <c r="P7722">
        <v>4.3507509999999999E-2</v>
      </c>
      <c r="Q7722">
        <v>0.1956272</v>
      </c>
      <c r="R7722">
        <v>0.97971280000000005</v>
      </c>
      <c r="S7722">
        <v>0.31762699999999999</v>
      </c>
      <c r="T7722">
        <v>-4.3329949999999999E-2</v>
      </c>
      <c r="U7722">
        <v>3.0571899999999999</v>
      </c>
      <c r="V7722">
        <v>4.672776E-2</v>
      </c>
      <c r="W7722">
        <v>0.20935980000000001</v>
      </c>
      <c r="X7722">
        <v>0.97672159999999997</v>
      </c>
      <c r="Y7722">
        <v>0.10657899999999999</v>
      </c>
      <c r="Z7722" s="1">
        <v>-5.023264E-5</v>
      </c>
      <c r="AA7722">
        <v>0.99430419999999997</v>
      </c>
      <c r="AB7722">
        <v>38</v>
      </c>
      <c r="AC7722">
        <v>8.2227999999999692</v>
      </c>
      <c r="AD7722">
        <v>-1.1215784015900001</v>
      </c>
      <c r="AE7722">
        <v>78.778139999999993</v>
      </c>
      <c r="AF7722">
        <v>8.4793878664526101</v>
      </c>
      <c r="AG7722">
        <v>-1.1215784015900001</v>
      </c>
      <c r="AH7722">
        <v>78.7349645544042</v>
      </c>
      <c r="AI7722">
        <v>90.811430924845993</v>
      </c>
      <c r="AJ7722">
        <v>83.853203249255202</v>
      </c>
      <c r="AK7722">
        <v>79.198185585807096</v>
      </c>
      <c r="AL7722">
        <v>77.915163035127406</v>
      </c>
      <c r="AM7722">
        <v>87.260976282054898</v>
      </c>
      <c r="AN7722">
        <v>1.0000000466586001</v>
      </c>
    </row>
    <row r="7723" spans="1:40" x14ac:dyDescent="0.25">
      <c r="A7723" t="str">
        <f>"20190303170438797"</f>
        <v>20190303170438797</v>
      </c>
      <c r="B7723" t="str">
        <f>"1551603878782940"</f>
        <v>1551603878782940</v>
      </c>
      <c r="C7723" t="s">
        <v>40</v>
      </c>
      <c r="D7723">
        <v>4.2492179999999999</v>
      </c>
      <c r="E7723">
        <v>0.52699849999999904</v>
      </c>
      <c r="F7723" t="s">
        <v>90</v>
      </c>
      <c r="G7723">
        <v>-179.7765</v>
      </c>
      <c r="H7723" s="1">
        <v>-1.055299E-5</v>
      </c>
      <c r="I7723">
        <v>145.89490000000001</v>
      </c>
      <c r="J7723">
        <v>-187.50720000000001</v>
      </c>
      <c r="K7723">
        <v>1.121569</v>
      </c>
      <c r="L7723">
        <v>71.659480000000002</v>
      </c>
      <c r="M7723">
        <v>-3.2790789999999998E-3</v>
      </c>
      <c r="N7723">
        <v>-1.4044299999999999E-2</v>
      </c>
      <c r="O7723">
        <v>0.99989600000000001</v>
      </c>
      <c r="P7723">
        <v>4.3614630000000001E-2</v>
      </c>
      <c r="Q7723">
        <v>0.1956127</v>
      </c>
      <c r="R7723">
        <v>0.97971090000000005</v>
      </c>
      <c r="S7723">
        <v>0.31675720000000002</v>
      </c>
      <c r="T7723">
        <v>-4.5962330000000003E-2</v>
      </c>
      <c r="U7723">
        <v>3.0572509999999999</v>
      </c>
      <c r="V7723">
        <v>4.6835040000000001E-2</v>
      </c>
      <c r="W7723">
        <v>0.20934910000000001</v>
      </c>
      <c r="X7723">
        <v>0.97671870000000005</v>
      </c>
      <c r="Y7723">
        <v>0.1062966</v>
      </c>
      <c r="Z7723">
        <v>-9.028994E-4</v>
      </c>
      <c r="AA7723">
        <v>0.99433400000000005</v>
      </c>
      <c r="AB7723">
        <v>38</v>
      </c>
      <c r="AC7723">
        <v>7.7307000000000103</v>
      </c>
      <c r="AD7723">
        <v>-1.1215795529899999</v>
      </c>
      <c r="AE7723">
        <v>74.235419999999905</v>
      </c>
      <c r="AF7723">
        <v>7.9723059775910299</v>
      </c>
      <c r="AG7723">
        <v>-1.1215795529899999</v>
      </c>
      <c r="AH7723">
        <v>74.192914843730406</v>
      </c>
      <c r="AI7723">
        <v>90.861122022585306</v>
      </c>
      <c r="AJ7723">
        <v>83.866887051145</v>
      </c>
      <c r="AK7723">
        <v>74.628441068422802</v>
      </c>
      <c r="AL7723">
        <v>77.9157893326135</v>
      </c>
      <c r="AM7723">
        <v>87.254689360751399</v>
      </c>
      <c r="AN7723">
        <v>0.99999999278615004</v>
      </c>
    </row>
    <row r="7724" spans="1:40" x14ac:dyDescent="0.25">
      <c r="A7724" t="str">
        <f>"20190303170438821"</f>
        <v>20190303170438821</v>
      </c>
      <c r="B7724" t="str">
        <f>"1551603878813196"</f>
        <v>1551603878813196</v>
      </c>
      <c r="C7724" t="s">
        <v>40</v>
      </c>
      <c r="D7724">
        <v>4.1934239999999896</v>
      </c>
      <c r="E7724">
        <v>0.52700880000000005</v>
      </c>
      <c r="F7724" t="s">
        <v>90</v>
      </c>
      <c r="G7724">
        <v>-179.76140000000001</v>
      </c>
      <c r="H7724" s="1">
        <v>-1.066965E-5</v>
      </c>
      <c r="I7724">
        <v>146.34979999999999</v>
      </c>
      <c r="J7724">
        <v>-187.5086</v>
      </c>
      <c r="K7724">
        <v>1.1215790000000001</v>
      </c>
      <c r="L7724">
        <v>72.091030000000003</v>
      </c>
      <c r="M7724">
        <v>-3.2792820000000001E-3</v>
      </c>
      <c r="N7724">
        <v>-1.404734E-2</v>
      </c>
      <c r="O7724">
        <v>0.99989589999999995</v>
      </c>
      <c r="P7724">
        <v>4.398183E-2</v>
      </c>
      <c r="Q7724">
        <v>0.19642879999999999</v>
      </c>
      <c r="R7724">
        <v>0.97953120000000005</v>
      </c>
      <c r="S7724">
        <v>0.31704710000000003</v>
      </c>
      <c r="T7724">
        <v>-4.5907969999999999E-2</v>
      </c>
      <c r="U7724">
        <v>3.0571899999999999</v>
      </c>
      <c r="V7724">
        <v>4.720187E-2</v>
      </c>
      <c r="W7724">
        <v>0.2101654</v>
      </c>
      <c r="X7724">
        <v>0.97652570000000005</v>
      </c>
      <c r="Y7724">
        <v>0.1063921</v>
      </c>
      <c r="Z7724">
        <v>-8.8232190000000002E-4</v>
      </c>
      <c r="AA7724">
        <v>0.99432379999999998</v>
      </c>
      <c r="AB7724">
        <v>38</v>
      </c>
      <c r="AC7724">
        <v>7.7471999999999897</v>
      </c>
      <c r="AD7724">
        <v>-1.1215896696500001</v>
      </c>
      <c r="AE7724">
        <v>74.258769999999899</v>
      </c>
      <c r="AF7724">
        <v>7.9888949841529797</v>
      </c>
      <c r="AG7724">
        <v>-1.1215896696500001</v>
      </c>
      <c r="AH7724">
        <v>74.216214611789695</v>
      </c>
      <c r="AI7724">
        <v>90.860842114837794</v>
      </c>
      <c r="AJ7724">
        <v>83.856137329045794</v>
      </c>
      <c r="AK7724">
        <v>74.653378475177604</v>
      </c>
      <c r="AL7724">
        <v>77.8679544405108</v>
      </c>
      <c r="AM7724">
        <v>87.232674341762603</v>
      </c>
      <c r="AN7724">
        <v>0.99999997732457302</v>
      </c>
    </row>
    <row r="7725" spans="1:40" x14ac:dyDescent="0.25">
      <c r="A7725" t="str">
        <f>"20190303170438842"</f>
        <v>20190303170438842</v>
      </c>
      <c r="B7725" t="str">
        <f>"1551603878833692"</f>
        <v>1551603878833692</v>
      </c>
      <c r="C7725" t="s">
        <v>40</v>
      </c>
      <c r="D7725">
        <v>4.3546319999999996</v>
      </c>
      <c r="E7725">
        <v>0.52720259999999997</v>
      </c>
      <c r="F7725" t="s">
        <v>90</v>
      </c>
      <c r="G7725">
        <v>-179.298</v>
      </c>
      <c r="H7725">
        <v>9.4219669999999998E-3</v>
      </c>
      <c r="I7725">
        <v>150.9111</v>
      </c>
      <c r="J7725">
        <v>-187.50980000000001</v>
      </c>
      <c r="K7725">
        <v>1.12158</v>
      </c>
      <c r="L7725">
        <v>72.439639999999997</v>
      </c>
      <c r="M7725">
        <v>-3.2794489999999998E-3</v>
      </c>
      <c r="N7725">
        <v>-1.404917E-2</v>
      </c>
      <c r="O7725">
        <v>0.99989589999999995</v>
      </c>
      <c r="P7725">
        <v>4.4597659999999997E-2</v>
      </c>
      <c r="Q7725">
        <v>0.19714029999999999</v>
      </c>
      <c r="R7725">
        <v>0.97936040000000002</v>
      </c>
      <c r="S7725">
        <v>0.31845089999999998</v>
      </c>
      <c r="T7725">
        <v>-4.3135050000000001E-2</v>
      </c>
      <c r="U7725">
        <v>3.0570369999999998</v>
      </c>
      <c r="V7725">
        <v>4.7817329999999998E-2</v>
      </c>
      <c r="W7725">
        <v>0.21087629999999999</v>
      </c>
      <c r="X7725">
        <v>0.9763425</v>
      </c>
      <c r="Y7725">
        <v>0.10684970000000001</v>
      </c>
      <c r="Z7725" s="1">
        <v>2.1329149999999999E-5</v>
      </c>
      <c r="AA7725">
        <v>0.99427520000000003</v>
      </c>
      <c r="AB7725">
        <v>38</v>
      </c>
      <c r="AC7725">
        <v>8.2118000000000002</v>
      </c>
      <c r="AD7725">
        <v>-1.112158033</v>
      </c>
      <c r="AE7725">
        <v>78.471459999999993</v>
      </c>
      <c r="AF7725">
        <v>8.4674419827322396</v>
      </c>
      <c r="AG7725">
        <v>-1.112158033</v>
      </c>
      <c r="AH7725">
        <v>78.428522019395302</v>
      </c>
      <c r="AI7725">
        <v>90.807736785646398</v>
      </c>
      <c r="AJ7725">
        <v>83.837997240986894</v>
      </c>
      <c r="AK7725">
        <v>78.892125940223394</v>
      </c>
      <c r="AL7725">
        <v>77.826289330444098</v>
      </c>
      <c r="AM7725">
        <v>87.196123496739304</v>
      </c>
      <c r="AN7725">
        <v>0.99999999412813401</v>
      </c>
    </row>
    <row r="7726" spans="1:40" x14ac:dyDescent="0.25">
      <c r="A7726" t="str">
        <f>"20190303170438863"</f>
        <v>20190303170438863</v>
      </c>
      <c r="B7726" t="str">
        <f>"1551603878853212"</f>
        <v>1551603878853212</v>
      </c>
      <c r="C7726" t="s">
        <v>40</v>
      </c>
      <c r="D7726">
        <v>4.2722290000000003</v>
      </c>
      <c r="E7726">
        <v>0.52733419999999998</v>
      </c>
      <c r="F7726" t="s">
        <v>90</v>
      </c>
      <c r="G7726">
        <v>-179.23390000000001</v>
      </c>
      <c r="H7726">
        <v>7.9984659999999999E-2</v>
      </c>
      <c r="I7726">
        <v>151.0642</v>
      </c>
      <c r="J7726">
        <v>-187.51089999999999</v>
      </c>
      <c r="K7726">
        <v>1.121586</v>
      </c>
      <c r="L7726">
        <v>72.800629999999998</v>
      </c>
      <c r="M7726">
        <v>-3.2795979999999999E-3</v>
      </c>
      <c r="N7726">
        <v>-1.405055E-2</v>
      </c>
      <c r="O7726">
        <v>0.99989589999999995</v>
      </c>
      <c r="P7726">
        <v>4.4855539999999999E-2</v>
      </c>
      <c r="Q7726">
        <v>0.19746810000000001</v>
      </c>
      <c r="R7726">
        <v>0.9792826</v>
      </c>
      <c r="S7726">
        <v>0.3217468</v>
      </c>
      <c r="T7726">
        <v>-4.0494679999999998E-2</v>
      </c>
      <c r="U7726">
        <v>3.0567319999999998</v>
      </c>
      <c r="V7726">
        <v>4.8075109999999997E-2</v>
      </c>
      <c r="W7726">
        <v>0.21120439999999999</v>
      </c>
      <c r="X7726">
        <v>0.97625890000000004</v>
      </c>
      <c r="Y7726">
        <v>0.1079208</v>
      </c>
      <c r="Z7726">
        <v>8.8166500000000001E-4</v>
      </c>
      <c r="AA7726">
        <v>0.99415909999999996</v>
      </c>
      <c r="AB7726">
        <v>38</v>
      </c>
      <c r="AC7726">
        <v>8.2769999999999797</v>
      </c>
      <c r="AD7726">
        <v>-1.0416013399999999</v>
      </c>
      <c r="AE7726">
        <v>78.263570000000001</v>
      </c>
      <c r="AF7726">
        <v>8.5321593116790808</v>
      </c>
      <c r="AG7726">
        <v>-1.0416013399999999</v>
      </c>
      <c r="AH7726">
        <v>78.222299115557306</v>
      </c>
      <c r="AI7726">
        <v>90.758402844255201</v>
      </c>
      <c r="AJ7726">
        <v>83.775026835351795</v>
      </c>
      <c r="AK7726">
        <v>78.693142997310005</v>
      </c>
      <c r="AL7726">
        <v>77.807057223376702</v>
      </c>
      <c r="AM7726">
        <v>87.1807912964385</v>
      </c>
      <c r="AN7726">
        <v>0.99999997730503998</v>
      </c>
    </row>
    <row r="7727" spans="1:40" x14ac:dyDescent="0.25">
      <c r="A7727" t="str">
        <f>"20190303170438886"</f>
        <v>20190303170438886</v>
      </c>
      <c r="B7727" t="str">
        <f>"1551603878873709"</f>
        <v>1551603878873709</v>
      </c>
      <c r="C7727" t="s">
        <v>40</v>
      </c>
      <c r="D7727">
        <v>4.3017379999999896</v>
      </c>
      <c r="E7727">
        <v>0.52747299999999997</v>
      </c>
      <c r="F7727" t="s">
        <v>90</v>
      </c>
      <c r="G7727">
        <v>-178.845</v>
      </c>
      <c r="H7727">
        <v>7.9984449999999999E-2</v>
      </c>
      <c r="I7727">
        <v>154.63159999999999</v>
      </c>
      <c r="J7727">
        <v>-187.5121</v>
      </c>
      <c r="K7727">
        <v>1.12159599999999</v>
      </c>
      <c r="L7727">
        <v>73.161900000000003</v>
      </c>
      <c r="M7727">
        <v>-3.2797529999999998E-3</v>
      </c>
      <c r="N7727">
        <v>-1.405149E-2</v>
      </c>
      <c r="O7727">
        <v>0.99989589999999995</v>
      </c>
      <c r="P7727">
        <v>4.5678169999999997E-2</v>
      </c>
      <c r="Q7727">
        <v>0.19772809999999999</v>
      </c>
      <c r="R7727">
        <v>0.97919210000000001</v>
      </c>
      <c r="S7727">
        <v>0.32368469999999999</v>
      </c>
      <c r="T7727">
        <v>-3.8905139999999998E-2</v>
      </c>
      <c r="U7727">
        <v>3.0564879999999999</v>
      </c>
      <c r="V7727">
        <v>4.8897620000000003E-2</v>
      </c>
      <c r="W7727">
        <v>0.2114636</v>
      </c>
      <c r="X7727">
        <v>0.97616199999999997</v>
      </c>
      <c r="Y7727">
        <v>0.1085528</v>
      </c>
      <c r="Z7727">
        <v>1.39945E-3</v>
      </c>
      <c r="AA7727">
        <v>0.99408969999999997</v>
      </c>
      <c r="AB7727">
        <v>38</v>
      </c>
      <c r="AC7727">
        <v>8.6670999999999996</v>
      </c>
      <c r="AD7727">
        <v>-1.0416115499999901</v>
      </c>
      <c r="AE7727">
        <v>81.469699999999904</v>
      </c>
      <c r="AF7727">
        <v>8.9328364026377507</v>
      </c>
      <c r="AG7727">
        <v>-1.0416115499999901</v>
      </c>
      <c r="AH7727">
        <v>81.427671531511095</v>
      </c>
      <c r="AI7727">
        <v>90.728509634933502</v>
      </c>
      <c r="AJ7727">
        <v>83.739531759314005</v>
      </c>
      <c r="AK7727">
        <v>81.922806420807206</v>
      </c>
      <c r="AL7727">
        <v>77.791863765419606</v>
      </c>
      <c r="AM7727">
        <v>87.132353529148105</v>
      </c>
      <c r="AN7727">
        <v>1.00000004080531</v>
      </c>
    </row>
    <row r="7728" spans="1:40" x14ac:dyDescent="0.25">
      <c r="A7728" t="str">
        <f>"20190303170438908"</f>
        <v>20190303170438908</v>
      </c>
      <c r="B7728" t="str">
        <f>"1551603878893228"</f>
        <v>1551603878893228</v>
      </c>
      <c r="C7728" t="s">
        <v>40</v>
      </c>
      <c r="D7728">
        <v>4.3645870000000002</v>
      </c>
      <c r="E7728">
        <v>0.52767120000000001</v>
      </c>
      <c r="F7728" t="s">
        <v>90</v>
      </c>
      <c r="G7728">
        <v>-178.4778</v>
      </c>
      <c r="H7728">
        <v>7.998479E-2</v>
      </c>
      <c r="I7728">
        <v>157.4074</v>
      </c>
      <c r="J7728">
        <v>-187.51339999999999</v>
      </c>
      <c r="K7728">
        <v>1.1215900000000001</v>
      </c>
      <c r="L7728">
        <v>73.537689999999998</v>
      </c>
      <c r="M7728">
        <v>-3.2799320000000002E-3</v>
      </c>
      <c r="N7728">
        <v>-1.4052159999999999E-2</v>
      </c>
      <c r="O7728">
        <v>0.99989589999999995</v>
      </c>
      <c r="P7728">
        <v>4.6454309999999999E-2</v>
      </c>
      <c r="Q7728">
        <v>0.1979062</v>
      </c>
      <c r="R7728">
        <v>0.97911959999999998</v>
      </c>
      <c r="S7728">
        <v>0.32772829999999997</v>
      </c>
      <c r="T7728">
        <v>-3.7785529999999998E-2</v>
      </c>
      <c r="U7728">
        <v>3.0560909999999999</v>
      </c>
      <c r="V7728">
        <v>4.9673700000000001E-2</v>
      </c>
      <c r="W7728">
        <v>0.21164160000000001</v>
      </c>
      <c r="X7728">
        <v>0.97608419999999896</v>
      </c>
      <c r="Y7728">
        <v>0.1098669</v>
      </c>
      <c r="Z7728">
        <v>1.764456E-3</v>
      </c>
      <c r="AA7728">
        <v>0.99394479999999996</v>
      </c>
      <c r="AB7728">
        <v>38</v>
      </c>
      <c r="AC7728">
        <v>9.0355999999999792</v>
      </c>
      <c r="AD7728">
        <v>-1.0416052099999999</v>
      </c>
      <c r="AE7728">
        <v>83.869709999999998</v>
      </c>
      <c r="AF7728">
        <v>9.3092461124028905</v>
      </c>
      <c r="AG7728">
        <v>-1.0416052099999999</v>
      </c>
      <c r="AH7728">
        <v>83.826838619847507</v>
      </c>
      <c r="AI7728">
        <v>90.707552955335302</v>
      </c>
      <c r="AJ7728">
        <v>83.663080851193897</v>
      </c>
      <c r="AK7728">
        <v>84.348597365888295</v>
      </c>
      <c r="AL7728">
        <v>77.781428490073395</v>
      </c>
      <c r="AM7728">
        <v>87.086685588146295</v>
      </c>
      <c r="AN7728">
        <v>1.0000000044059401</v>
      </c>
    </row>
    <row r="7729" spans="1:40" x14ac:dyDescent="0.25">
      <c r="A7729" t="str">
        <f>"20190303170438933"</f>
        <v>20190303170438933</v>
      </c>
      <c r="B7729" t="str">
        <f>"1551603878923483"</f>
        <v>1551603878923483</v>
      </c>
      <c r="C7729" t="s">
        <v>40</v>
      </c>
      <c r="D7729">
        <v>4.2426949999999897</v>
      </c>
      <c r="E7729">
        <v>0.52790019999999904</v>
      </c>
      <c r="F7729" t="s">
        <v>42</v>
      </c>
      <c r="G7729">
        <v>-178.08080000000001</v>
      </c>
      <c r="H7729">
        <v>7.9985630000000002E-2</v>
      </c>
      <c r="I7729">
        <v>160.42339999999999</v>
      </c>
      <c r="J7729">
        <v>-187.5147</v>
      </c>
      <c r="K7729">
        <v>1.121594</v>
      </c>
      <c r="L7729">
        <v>73.94641</v>
      </c>
      <c r="M7729">
        <v>-3.2801179999999998E-3</v>
      </c>
      <c r="N7729">
        <v>-1.4052449999999999E-2</v>
      </c>
      <c r="O7729">
        <v>0.99989589999999995</v>
      </c>
      <c r="P7729">
        <v>4.6773589999999997E-2</v>
      </c>
      <c r="Q7729">
        <v>0.19787489999999999</v>
      </c>
      <c r="R7729">
        <v>0.9791107</v>
      </c>
      <c r="S7729">
        <v>0.33172610000000002</v>
      </c>
      <c r="T7729">
        <v>-3.6631579999999997E-2</v>
      </c>
      <c r="U7729">
        <v>3.055634</v>
      </c>
      <c r="V7729">
        <v>4.9993139999999998E-2</v>
      </c>
      <c r="W7729">
        <v>0.2116104</v>
      </c>
      <c r="X7729">
        <v>0.97607460000000001</v>
      </c>
      <c r="Y7729">
        <v>0.11116819999999999</v>
      </c>
      <c r="Z7729">
        <v>2.1400170000000001E-3</v>
      </c>
      <c r="AA7729">
        <v>0.99379930000000005</v>
      </c>
      <c r="AB7729">
        <v>38</v>
      </c>
      <c r="AC7729">
        <v>9.4338999999999906</v>
      </c>
      <c r="AD7729">
        <v>-1.0416083700000001</v>
      </c>
      <c r="AE7729">
        <v>86.476989999999901</v>
      </c>
      <c r="AF7729">
        <v>9.7161389362158008</v>
      </c>
      <c r="AG7729">
        <v>-1.0416083700000001</v>
      </c>
      <c r="AH7729">
        <v>86.433185082001302</v>
      </c>
      <c r="AI7729">
        <v>90.686118342953307</v>
      </c>
      <c r="AJ7729">
        <v>83.586184649582094</v>
      </c>
      <c r="AK7729">
        <v>86.983813363428695</v>
      </c>
      <c r="AL7729">
        <v>77.7832568714812</v>
      </c>
      <c r="AM7729">
        <v>87.067954540595494</v>
      </c>
      <c r="AN7729">
        <v>0.99999995010018805</v>
      </c>
    </row>
    <row r="7730" spans="1:40" x14ac:dyDescent="0.25">
      <c r="A7730" t="str">
        <f>"20190303170438953"</f>
        <v>20190303170438953</v>
      </c>
      <c r="B7730" t="str">
        <f>"1551603878943004"</f>
        <v>1551603878943004</v>
      </c>
      <c r="C7730" t="s">
        <v>40</v>
      </c>
      <c r="D7730">
        <v>4.1717979999999999</v>
      </c>
      <c r="E7730">
        <v>0.52796560000000003</v>
      </c>
      <c r="F7730" t="s">
        <v>42</v>
      </c>
      <c r="G7730">
        <v>-177.86600000000001</v>
      </c>
      <c r="H7730">
        <v>7.9986089999999996E-2</v>
      </c>
      <c r="I7730">
        <v>162.19890000000001</v>
      </c>
      <c r="J7730">
        <v>-187.51589999999999</v>
      </c>
      <c r="K7730">
        <v>1.1216010000000001</v>
      </c>
      <c r="L7730">
        <v>74.301240000000007</v>
      </c>
      <c r="M7730">
        <v>-3.2802780000000002E-3</v>
      </c>
      <c r="N7730">
        <v>-1.405237E-2</v>
      </c>
      <c r="O7730">
        <v>0.99989589999999995</v>
      </c>
      <c r="P7730">
        <v>4.6471329999999998E-2</v>
      </c>
      <c r="Q7730">
        <v>0.19808329999999999</v>
      </c>
      <c r="R7730">
        <v>0.97908289999999998</v>
      </c>
      <c r="S7730">
        <v>0.33404539999999999</v>
      </c>
      <c r="T7730">
        <v>-3.6061169999999997E-2</v>
      </c>
      <c r="U7730">
        <v>3.0553590000000002</v>
      </c>
      <c r="V7730">
        <v>4.9690970000000001E-2</v>
      </c>
      <c r="W7730">
        <v>0.21181820000000001</v>
      </c>
      <c r="X7730">
        <v>0.97604500000000005</v>
      </c>
      <c r="Y7730">
        <v>0.11192340000000001</v>
      </c>
      <c r="Z7730">
        <v>2.3254090000000001E-3</v>
      </c>
      <c r="AA7730">
        <v>0.99371410000000004</v>
      </c>
      <c r="AB7730">
        <v>37</v>
      </c>
      <c r="AC7730">
        <v>9.6499000000000006</v>
      </c>
      <c r="AD7730">
        <v>-1.0416149100000001</v>
      </c>
      <c r="AE7730">
        <v>87.897660000000002</v>
      </c>
      <c r="AF7730">
        <v>9.9368264894115796</v>
      </c>
      <c r="AG7730">
        <v>-1.0416149100000001</v>
      </c>
      <c r="AH7730">
        <v>87.853339214395703</v>
      </c>
      <c r="AI7730">
        <v>90.6749802556524</v>
      </c>
      <c r="AJ7730">
        <v>83.546872456103699</v>
      </c>
      <c r="AK7730">
        <v>88.419651059145707</v>
      </c>
      <c r="AL7730">
        <v>77.771075179169699</v>
      </c>
      <c r="AM7730">
        <v>87.085557621564803</v>
      </c>
      <c r="AN7730">
        <v>0.99999999218789004</v>
      </c>
    </row>
    <row r="7731" spans="1:40" x14ac:dyDescent="0.25">
      <c r="A7731" t="str">
        <f>"20190303170438974"</f>
        <v>20190303170438974</v>
      </c>
      <c r="B7731" t="str">
        <f>"1551603878963501"</f>
        <v>1551603878963501</v>
      </c>
      <c r="C7731" t="s">
        <v>40</v>
      </c>
      <c r="D7731">
        <v>4.2081879999999998</v>
      </c>
      <c r="E7731">
        <v>0.5280321</v>
      </c>
      <c r="F7731" t="s">
        <v>42</v>
      </c>
      <c r="G7731">
        <v>-177.78970000000001</v>
      </c>
      <c r="H7731">
        <v>7.9986409999999994E-2</v>
      </c>
      <c r="I7731">
        <v>163.4409</v>
      </c>
      <c r="J7731">
        <v>-187.517</v>
      </c>
      <c r="K7731">
        <v>1.1215980000000001</v>
      </c>
      <c r="L7731">
        <v>74.649479999999997</v>
      </c>
      <c r="M7731">
        <v>-3.2804259999999999E-3</v>
      </c>
      <c r="N7731">
        <v>-1.405211E-2</v>
      </c>
      <c r="O7731">
        <v>0.99989589999999995</v>
      </c>
      <c r="P7731">
        <v>4.5791909999999998E-2</v>
      </c>
      <c r="Q7731">
        <v>0.1981385</v>
      </c>
      <c r="R7731">
        <v>0.97910379999999997</v>
      </c>
      <c r="S7731">
        <v>0.3333893</v>
      </c>
      <c r="T7731">
        <v>-3.5703899999999997E-2</v>
      </c>
      <c r="U7731">
        <v>3.0554809999999999</v>
      </c>
      <c r="V7731">
        <v>4.901179E-2</v>
      </c>
      <c r="W7731">
        <v>0.21187320000000001</v>
      </c>
      <c r="X7731">
        <v>0.97606740000000003</v>
      </c>
      <c r="Y7731">
        <v>0.1117085</v>
      </c>
      <c r="Z7731">
        <v>2.4415259999999999E-3</v>
      </c>
      <c r="AA7731">
        <v>0.99373800000000001</v>
      </c>
      <c r="AB7731">
        <v>37</v>
      </c>
      <c r="AC7731">
        <v>9.7272999999999801</v>
      </c>
      <c r="AD7731">
        <v>-1.04161158999999</v>
      </c>
      <c r="AE7731">
        <v>88.791419999999903</v>
      </c>
      <c r="AF7731">
        <v>10.0171879116153</v>
      </c>
      <c r="AG7731">
        <v>-1.04161158999999</v>
      </c>
      <c r="AH7731">
        <v>88.746961133160497</v>
      </c>
      <c r="AI7731">
        <v>90.668199548173604</v>
      </c>
      <c r="AJ7731">
        <v>83.560076663628607</v>
      </c>
      <c r="AK7731">
        <v>89.316583671408694</v>
      </c>
      <c r="AL7731">
        <v>77.767850685303301</v>
      </c>
      <c r="AM7731">
        <v>87.125391026676994</v>
      </c>
      <c r="AN7731">
        <v>0.99999998889000197</v>
      </c>
    </row>
    <row r="7732" spans="1:40" x14ac:dyDescent="0.25">
      <c r="A7732" t="str">
        <f>"20190303170438997"</f>
        <v>20190303170438997</v>
      </c>
      <c r="B7732" t="str">
        <f>"1551603878983020"</f>
        <v>1551603878983020</v>
      </c>
      <c r="C7732" t="s">
        <v>40</v>
      </c>
      <c r="D7732">
        <v>4.1891100000000003</v>
      </c>
      <c r="E7732">
        <v>0.52812440000000005</v>
      </c>
      <c r="F7732" t="s">
        <v>42</v>
      </c>
      <c r="G7732">
        <v>-177.7825</v>
      </c>
      <c r="H7732">
        <v>7.9986650000000006E-2</v>
      </c>
      <c r="I7732">
        <v>164.3811</v>
      </c>
      <c r="J7732">
        <v>-187.51820000000001</v>
      </c>
      <c r="K7732">
        <v>1.121599</v>
      </c>
      <c r="L7732">
        <v>75.024259999999998</v>
      </c>
      <c r="M7732">
        <v>-3.2805960000000002E-3</v>
      </c>
      <c r="N7732">
        <v>-1.4051650000000001E-2</v>
      </c>
      <c r="O7732">
        <v>0.99989589999999995</v>
      </c>
      <c r="P7732">
        <v>4.6060469999999999E-2</v>
      </c>
      <c r="Q7732">
        <v>0.19775599999999999</v>
      </c>
      <c r="R7732">
        <v>0.9791685</v>
      </c>
      <c r="S7732">
        <v>0.33149719999999999</v>
      </c>
      <c r="T7732">
        <v>-3.5471080000000002E-2</v>
      </c>
      <c r="U7732">
        <v>3.0557249999999998</v>
      </c>
      <c r="V7732">
        <v>4.9280709999999998E-2</v>
      </c>
      <c r="W7732">
        <v>0.2114915</v>
      </c>
      <c r="X7732">
        <v>0.97613660000000002</v>
      </c>
      <c r="Y7732">
        <v>0.1110922</v>
      </c>
      <c r="Z7732">
        <v>2.5169060000000002E-3</v>
      </c>
      <c r="AA7732">
        <v>0.99380690000000005</v>
      </c>
      <c r="AB7732">
        <v>37</v>
      </c>
      <c r="AC7732">
        <v>9.7356999999999996</v>
      </c>
      <c r="AD7732">
        <v>-1.0416123500000001</v>
      </c>
      <c r="AE7732">
        <v>89.356840000000005</v>
      </c>
      <c r="AF7732">
        <v>10.027473681616</v>
      </c>
      <c r="AG7732">
        <v>-1.0416123500000001</v>
      </c>
      <c r="AH7732">
        <v>89.312423577409902</v>
      </c>
      <c r="AI7732">
        <v>90.664014094938096</v>
      </c>
      <c r="AJ7732">
        <v>83.593993862333207</v>
      </c>
      <c r="AK7732">
        <v>89.879609422793195</v>
      </c>
      <c r="AL7732">
        <v>77.790227125926293</v>
      </c>
      <c r="AM7732">
        <v>87.109849725613699</v>
      </c>
      <c r="AN7732">
        <v>0.99999995240495498</v>
      </c>
    </row>
    <row r="7733" spans="1:40" x14ac:dyDescent="0.25">
      <c r="A7733" t="str">
        <f>"20190303170439021"</f>
        <v>20190303170439021</v>
      </c>
      <c r="B7733" t="str">
        <f>"1551603879013276"</f>
        <v>1551603879013276</v>
      </c>
      <c r="C7733" t="s">
        <v>40</v>
      </c>
      <c r="D7733">
        <v>4.1902869999999997</v>
      </c>
      <c r="E7733">
        <v>0.52816549999999995</v>
      </c>
      <c r="F7733" t="s">
        <v>42</v>
      </c>
      <c r="G7733">
        <v>-178.0008</v>
      </c>
      <c r="H7733">
        <v>7.9986109999999999E-2</v>
      </c>
      <c r="I7733">
        <v>162.2997</v>
      </c>
      <c r="J7733">
        <v>-187.5196</v>
      </c>
      <c r="K7733">
        <v>1.1216029999999999</v>
      </c>
      <c r="L7733">
        <v>75.432559999999995</v>
      </c>
      <c r="M7733">
        <v>-3.280767E-3</v>
      </c>
      <c r="N7733">
        <v>-1.40508E-2</v>
      </c>
      <c r="O7733">
        <v>0.99989589999999995</v>
      </c>
      <c r="P7733">
        <v>4.6649459999999997E-2</v>
      </c>
      <c r="Q7733">
        <v>0.19697129999999999</v>
      </c>
      <c r="R7733">
        <v>0.97929880000000002</v>
      </c>
      <c r="S7733">
        <v>0.33320620000000001</v>
      </c>
      <c r="T7733">
        <v>-3.646684E-2</v>
      </c>
      <c r="U7733">
        <v>3.0555110000000001</v>
      </c>
      <c r="V7733">
        <v>4.9870249999999998E-2</v>
      </c>
      <c r="W7733">
        <v>0.21070759999999999</v>
      </c>
      <c r="X7733">
        <v>0.97627620000000004</v>
      </c>
      <c r="Y7733">
        <v>0.11164880000000001</v>
      </c>
      <c r="Z7733">
        <v>2.1921229999999998E-3</v>
      </c>
      <c r="AA7733">
        <v>0.99374530000000005</v>
      </c>
      <c r="AB7733">
        <v>37</v>
      </c>
      <c r="AC7733">
        <v>9.5188000000000006</v>
      </c>
      <c r="AD7733">
        <v>-1.04161689</v>
      </c>
      <c r="AE7733">
        <v>86.867140000000006</v>
      </c>
      <c r="AF7733">
        <v>9.8023750610897302</v>
      </c>
      <c r="AG7733">
        <v>-1.04161689</v>
      </c>
      <c r="AH7733">
        <v>86.823104869879003</v>
      </c>
      <c r="AI7733">
        <v>90.683005780052895</v>
      </c>
      <c r="AJ7733">
        <v>83.558552085838201</v>
      </c>
      <c r="AK7733">
        <v>87.380907879409193</v>
      </c>
      <c r="AL7733">
        <v>77.836177085515303</v>
      </c>
      <c r="AM7733">
        <v>87.075752310814394</v>
      </c>
      <c r="AN7733">
        <v>0.99999997660963102</v>
      </c>
    </row>
    <row r="7734" spans="1:40" x14ac:dyDescent="0.25">
      <c r="A7734" t="str">
        <f>"20190303170439042"</f>
        <v>20190303170439042</v>
      </c>
      <c r="B7734" t="str">
        <f>"1551603879033773"</f>
        <v>1551603879033773</v>
      </c>
      <c r="C7734" t="s">
        <v>40</v>
      </c>
      <c r="D7734">
        <v>4.3407920000000004</v>
      </c>
      <c r="E7734">
        <v>0.52818730000000003</v>
      </c>
      <c r="F7734" t="s">
        <v>90</v>
      </c>
      <c r="G7734">
        <v>-178.4743</v>
      </c>
      <c r="H7734">
        <v>7.9984819999999998E-2</v>
      </c>
      <c r="I7734">
        <v>157.73679999999999</v>
      </c>
      <c r="J7734">
        <v>-187.52070000000001</v>
      </c>
      <c r="K7734">
        <v>1.121602</v>
      </c>
      <c r="L7734">
        <v>75.781679999999994</v>
      </c>
      <c r="M7734">
        <v>-3.2809229999999998E-3</v>
      </c>
      <c r="N7734">
        <v>-1.404995E-2</v>
      </c>
      <c r="O7734">
        <v>0.99989589999999995</v>
      </c>
      <c r="P7734">
        <v>4.6607990000000002E-2</v>
      </c>
      <c r="Q7734">
        <v>0.19600629999999999</v>
      </c>
      <c r="R7734">
        <v>0.97949439999999999</v>
      </c>
      <c r="S7734">
        <v>0.3357697</v>
      </c>
      <c r="T7734">
        <v>-3.8665770000000002E-2</v>
      </c>
      <c r="U7734">
        <v>3.0552060000000001</v>
      </c>
      <c r="V7734">
        <v>4.9829539999999999E-2</v>
      </c>
      <c r="W7734">
        <v>0.20974490000000001</v>
      </c>
      <c r="X7734">
        <v>0.97648559999999995</v>
      </c>
      <c r="Y7734">
        <v>0.112483</v>
      </c>
      <c r="Z7734">
        <v>1.476031E-3</v>
      </c>
      <c r="AA7734">
        <v>0.9936526</v>
      </c>
      <c r="AB7734">
        <v>37</v>
      </c>
      <c r="AC7734">
        <v>9.0464000000000002</v>
      </c>
      <c r="AD7734">
        <v>-1.04161718</v>
      </c>
      <c r="AE7734">
        <v>81.955119999999894</v>
      </c>
      <c r="AF7734">
        <v>9.3137799030530601</v>
      </c>
      <c r="AG7734">
        <v>-1.04161718</v>
      </c>
      <c r="AH7734">
        <v>81.9119230498831</v>
      </c>
      <c r="AI7734">
        <v>90.723887503873101</v>
      </c>
      <c r="AJ7734">
        <v>83.513054468364402</v>
      </c>
      <c r="AK7734">
        <v>82.446313441912906</v>
      </c>
      <c r="AL7734">
        <v>77.892597046793398</v>
      </c>
      <c r="AM7734">
        <v>87.078760776215802</v>
      </c>
      <c r="AN7734">
        <v>1.00000001656999</v>
      </c>
    </row>
    <row r="7735" spans="1:40" x14ac:dyDescent="0.25">
      <c r="A7735" t="str">
        <f>"20190303170439064"</f>
        <v>20190303170439064</v>
      </c>
      <c r="B7735" t="str">
        <f>"1551603879053292"</f>
        <v>1551603879053292</v>
      </c>
      <c r="C7735" t="s">
        <v>40</v>
      </c>
      <c r="D7735">
        <v>4.1850319999999996</v>
      </c>
      <c r="E7735">
        <v>0.52818540000000003</v>
      </c>
      <c r="F7735" t="s">
        <v>90</v>
      </c>
      <c r="G7735">
        <v>-179.06610000000001</v>
      </c>
      <c r="H7735">
        <v>7.9984760000000002E-2</v>
      </c>
      <c r="I7735">
        <v>152.6703</v>
      </c>
      <c r="J7735">
        <v>-187.52199999999999</v>
      </c>
      <c r="K7735">
        <v>1.1215980000000001</v>
      </c>
      <c r="L7735">
        <v>76.147400000000005</v>
      </c>
      <c r="M7735">
        <v>-3.2810869999999998E-3</v>
      </c>
      <c r="N7735">
        <v>-1.40489E-2</v>
      </c>
      <c r="O7735">
        <v>0.99989589999999995</v>
      </c>
      <c r="P7735">
        <v>4.618684E-2</v>
      </c>
      <c r="Q7735">
        <v>0.195629</v>
      </c>
      <c r="R7735">
        <v>0.97958979999999996</v>
      </c>
      <c r="S7735">
        <v>0.3359375</v>
      </c>
      <c r="T7735">
        <v>-4.1387920000000002E-2</v>
      </c>
      <c r="U7735">
        <v>3.0551149999999998</v>
      </c>
      <c r="V7735">
        <v>4.9408859999999999E-2</v>
      </c>
      <c r="W7735">
        <v>0.20936769999999999</v>
      </c>
      <c r="X7735">
        <v>0.97658789999999995</v>
      </c>
      <c r="Y7735">
        <v>0.11253970000000001</v>
      </c>
      <c r="Z7735">
        <v>5.893243E-4</v>
      </c>
      <c r="AA7735">
        <v>0.99364699999999995</v>
      </c>
      <c r="AB7735">
        <v>37</v>
      </c>
      <c r="AC7735">
        <v>8.4559000000000104</v>
      </c>
      <c r="AD7735">
        <v>-1.04161323999999</v>
      </c>
      <c r="AE7735">
        <v>76.522899999999893</v>
      </c>
      <c r="AF7735">
        <v>8.7053640767354405</v>
      </c>
      <c r="AG7735">
        <v>-1.04161323999999</v>
      </c>
      <c r="AH7735">
        <v>76.480741267805499</v>
      </c>
      <c r="AI7735">
        <v>90.775274048392902</v>
      </c>
      <c r="AJ7735">
        <v>83.5062978896663</v>
      </c>
      <c r="AK7735">
        <v>76.981634866526903</v>
      </c>
      <c r="AL7735">
        <v>77.914699540805302</v>
      </c>
      <c r="AM7735">
        <v>87.103683725342194</v>
      </c>
      <c r="AN7735">
        <v>0.99999999783809901</v>
      </c>
    </row>
    <row r="7736" spans="1:40" x14ac:dyDescent="0.25">
      <c r="A7736" t="str">
        <f>"20190303170439080"</f>
        <v>20190303170439080</v>
      </c>
      <c r="B7736" t="str">
        <f>"1551603879073789"</f>
        <v>1551603879073789</v>
      </c>
      <c r="C7736" t="s">
        <v>40</v>
      </c>
      <c r="D7736">
        <v>4.208145</v>
      </c>
      <c r="E7736">
        <v>0.52817720000000001</v>
      </c>
      <c r="F7736" t="s">
        <v>90</v>
      </c>
      <c r="G7736">
        <v>-179.30340000000001</v>
      </c>
      <c r="H7736">
        <v>7.9984639999999996E-2</v>
      </c>
      <c r="I7736">
        <v>151.12289999999999</v>
      </c>
      <c r="J7736">
        <v>-187.52279999999999</v>
      </c>
      <c r="K7736">
        <v>1.1215980000000001</v>
      </c>
      <c r="L7736">
        <v>76.415440000000004</v>
      </c>
      <c r="M7736">
        <v>-3.2812079999999999E-3</v>
      </c>
      <c r="N7736">
        <v>-1.404803E-2</v>
      </c>
      <c r="O7736">
        <v>0.99989589999999995</v>
      </c>
      <c r="P7736">
        <v>4.6196870000000001E-2</v>
      </c>
      <c r="Q7736">
        <v>0.19535079999999999</v>
      </c>
      <c r="R7736">
        <v>0.97964479999999998</v>
      </c>
      <c r="S7736">
        <v>0.33489989999999997</v>
      </c>
      <c r="T7736">
        <v>-4.2444709999999997E-2</v>
      </c>
      <c r="U7736">
        <v>3.0551759999999999</v>
      </c>
      <c r="V7736">
        <v>4.9419190000000002E-2</v>
      </c>
      <c r="W7736">
        <v>0.20908979999999999</v>
      </c>
      <c r="X7736">
        <v>0.97664689999999998</v>
      </c>
      <c r="Y7736">
        <v>0.112204</v>
      </c>
      <c r="Z7736">
        <v>2.4449600000000003E-4</v>
      </c>
      <c r="AA7736">
        <v>0.99368520000000005</v>
      </c>
      <c r="AB7736">
        <v>37</v>
      </c>
      <c r="AC7736">
        <v>8.2193999999999701</v>
      </c>
      <c r="AD7736">
        <v>-1.0416133599999999</v>
      </c>
      <c r="AE7736">
        <v>74.707459999999898</v>
      </c>
      <c r="AF7736">
        <v>8.4628851939214798</v>
      </c>
      <c r="AG7736">
        <v>-1.0416133599999999</v>
      </c>
      <c r="AH7736">
        <v>74.665744477817299</v>
      </c>
      <c r="AI7736">
        <v>90.794160141550094</v>
      </c>
      <c r="AJ7736">
        <v>83.533486429214804</v>
      </c>
      <c r="AK7736">
        <v>75.151039797357001</v>
      </c>
      <c r="AL7736">
        <v>77.930982262732897</v>
      </c>
      <c r="AM7736">
        <v>87.103253925770801</v>
      </c>
      <c r="AN7736">
        <v>0.99999998404195201</v>
      </c>
    </row>
    <row r="7737" spans="1:40" x14ac:dyDescent="0.25">
      <c r="A7737" t="str">
        <f>"20190303170439100"</f>
        <v>20190303170439100</v>
      </c>
      <c r="B7737" t="str">
        <f>"1551603879093309"</f>
        <v>1551603879093309</v>
      </c>
      <c r="C7737" t="s">
        <v>40</v>
      </c>
      <c r="D7737">
        <v>4.212548</v>
      </c>
      <c r="E7737">
        <v>0.52819759999999905</v>
      </c>
      <c r="F7737" t="s">
        <v>90</v>
      </c>
      <c r="G7737">
        <v>-179.34099999999901</v>
      </c>
      <c r="H7737">
        <v>6.2768969999999993E-2</v>
      </c>
      <c r="I7737">
        <v>151.01490000000001</v>
      </c>
      <c r="J7737">
        <v>-187.5239</v>
      </c>
      <c r="K7737">
        <v>1.1215999999999999</v>
      </c>
      <c r="L7737">
        <v>76.735109999999906</v>
      </c>
      <c r="M7737">
        <v>-3.281352E-3</v>
      </c>
      <c r="N7737">
        <v>-1.4046879999999999E-2</v>
      </c>
      <c r="O7737">
        <v>0.99989589999999995</v>
      </c>
      <c r="P7737">
        <v>4.5973529999999999E-2</v>
      </c>
      <c r="Q7737">
        <v>0.1953453</v>
      </c>
      <c r="R7737">
        <v>0.97965639999999998</v>
      </c>
      <c r="S7737">
        <v>0.33508300000000002</v>
      </c>
      <c r="T7737">
        <v>-4.3363690000000003E-2</v>
      </c>
      <c r="U7737">
        <v>3.0551759999999999</v>
      </c>
      <c r="V7737">
        <v>4.9196009999999998E-2</v>
      </c>
      <c r="W7737">
        <v>0.2090833</v>
      </c>
      <c r="X7737">
        <v>0.97665959999999996</v>
      </c>
      <c r="Y7737">
        <v>0.1122628</v>
      </c>
      <c r="Z7737" s="1">
        <v>-5.5445290000000002E-5</v>
      </c>
      <c r="AA7737">
        <v>0.99367859999999997</v>
      </c>
      <c r="AB7737">
        <v>37</v>
      </c>
      <c r="AC7737">
        <v>8.1829000000000107</v>
      </c>
      <c r="AD7737">
        <v>-1.0588310299999999</v>
      </c>
      <c r="AE7737">
        <v>74.279790000000006</v>
      </c>
      <c r="AF7737">
        <v>8.4249267655467399</v>
      </c>
      <c r="AG7737">
        <v>-1.0588310299999999</v>
      </c>
      <c r="AH7737">
        <v>74.237632590163798</v>
      </c>
      <c r="AI7737">
        <v>90.811927612225801</v>
      </c>
      <c r="AJ7737">
        <v>83.5254357878203</v>
      </c>
      <c r="AK7737">
        <v>74.721660893927293</v>
      </c>
      <c r="AL7737">
        <v>77.931363592531895</v>
      </c>
      <c r="AM7737">
        <v>87.1163511075153</v>
      </c>
      <c r="AN7737">
        <v>1.00000002400548</v>
      </c>
    </row>
    <row r="7738" spans="1:40" x14ac:dyDescent="0.25">
      <c r="A7738" t="str">
        <f>"20190303170439123"</f>
        <v>20190303170439123</v>
      </c>
      <c r="B7738" t="str">
        <f>"1551603879113804"</f>
        <v>1551603879113804</v>
      </c>
      <c r="C7738" t="s">
        <v>40</v>
      </c>
      <c r="D7738">
        <v>4.171532</v>
      </c>
      <c r="E7738">
        <v>0.52821109999999905</v>
      </c>
      <c r="F7738" t="s">
        <v>90</v>
      </c>
      <c r="G7738">
        <v>-179.3784</v>
      </c>
      <c r="H7738">
        <v>6.6225610000000004E-2</v>
      </c>
      <c r="I7738">
        <v>151.08940000000001</v>
      </c>
      <c r="J7738">
        <v>-187.52520000000001</v>
      </c>
      <c r="K7738">
        <v>1.121597</v>
      </c>
      <c r="L7738">
        <v>77.132840000000002</v>
      </c>
      <c r="M7738">
        <v>-3.281525E-3</v>
      </c>
      <c r="N7738">
        <v>-1.404531E-2</v>
      </c>
      <c r="O7738">
        <v>0.99989600000000001</v>
      </c>
      <c r="P7738">
        <v>4.5817660000000003E-2</v>
      </c>
      <c r="Q7738">
        <v>0.19497</v>
      </c>
      <c r="R7738">
        <v>0.97973849999999996</v>
      </c>
      <c r="S7738">
        <v>0.33470149999999999</v>
      </c>
      <c r="T7738">
        <v>-4.3365599999999997E-2</v>
      </c>
      <c r="U7738">
        <v>3.055237</v>
      </c>
      <c r="V7738">
        <v>4.9040569999999999E-2</v>
      </c>
      <c r="W7738">
        <v>0.20870739999999999</v>
      </c>
      <c r="X7738">
        <v>0.97674780000000005</v>
      </c>
      <c r="Y7738">
        <v>0.11213819999999999</v>
      </c>
      <c r="Z7738" s="1">
        <v>-5.7552339999999997E-5</v>
      </c>
      <c r="AA7738">
        <v>0.99369260000000004</v>
      </c>
      <c r="AB7738">
        <v>37</v>
      </c>
      <c r="AC7738">
        <v>8.1468000000000096</v>
      </c>
      <c r="AD7738">
        <v>-1.0553713899999999</v>
      </c>
      <c r="AE7738">
        <v>73.956559999999996</v>
      </c>
      <c r="AF7738">
        <v>8.3877827760125392</v>
      </c>
      <c r="AG7738">
        <v>-1.0553713899999999</v>
      </c>
      <c r="AH7738">
        <v>73.914553857377499</v>
      </c>
      <c r="AI7738">
        <v>90.812812499913605</v>
      </c>
      <c r="AJ7738">
        <v>83.525802445489802</v>
      </c>
      <c r="AK7738">
        <v>74.396437956420797</v>
      </c>
      <c r="AL7738">
        <v>77.953386790706702</v>
      </c>
      <c r="AM7738">
        <v>87.125706131778998</v>
      </c>
      <c r="AN7738">
        <v>1.00000001056276</v>
      </c>
    </row>
    <row r="7739" spans="1:40" x14ac:dyDescent="0.25">
      <c r="A7739" t="str">
        <f>"20190303170439145"</f>
        <v>20190303170439145</v>
      </c>
      <c r="B7739" t="str">
        <f>"1551603879133324"</f>
        <v>1551603879133324</v>
      </c>
      <c r="C7739" t="s">
        <v>40</v>
      </c>
      <c r="D7739">
        <v>4.4674800000000001</v>
      </c>
      <c r="E7739">
        <v>0.52818980000000004</v>
      </c>
      <c r="F7739" t="s">
        <v>90</v>
      </c>
      <c r="G7739">
        <v>-179.4221</v>
      </c>
      <c r="H7739">
        <v>4.5008970000000002E-2</v>
      </c>
      <c r="I7739">
        <v>151.13470000000001</v>
      </c>
      <c r="J7739">
        <v>-187.5264</v>
      </c>
      <c r="K7739">
        <v>1.121594</v>
      </c>
      <c r="L7739">
        <v>77.488680000000002</v>
      </c>
      <c r="M7739">
        <v>-3.2816780000000001E-3</v>
      </c>
      <c r="N7739">
        <v>-1.404386E-2</v>
      </c>
      <c r="O7739">
        <v>0.99989600000000001</v>
      </c>
      <c r="P7739">
        <v>4.5502090000000002E-2</v>
      </c>
      <c r="Q7739">
        <v>0.193998</v>
      </c>
      <c r="R7739">
        <v>0.97994610000000004</v>
      </c>
      <c r="S7739">
        <v>0.33454899999999999</v>
      </c>
      <c r="T7739">
        <v>-4.4448380000000003E-2</v>
      </c>
      <c r="U7739">
        <v>3.0552670000000002</v>
      </c>
      <c r="V7739">
        <v>4.8725810000000001E-2</v>
      </c>
      <c r="W7739">
        <v>0.20773730000000001</v>
      </c>
      <c r="X7739">
        <v>0.97697029999999996</v>
      </c>
      <c r="Y7739">
        <v>0.11208799999999999</v>
      </c>
      <c r="Z7739">
        <v>-4.1109430000000003E-4</v>
      </c>
      <c r="AA7739">
        <v>0.99369819999999998</v>
      </c>
      <c r="AB7739">
        <v>37</v>
      </c>
      <c r="AC7739">
        <v>8.1042999999999896</v>
      </c>
      <c r="AD7739">
        <v>-1.0765850299999999</v>
      </c>
      <c r="AE7739">
        <v>73.646019999999993</v>
      </c>
      <c r="AF7739">
        <v>8.3442009167908093</v>
      </c>
      <c r="AG7739">
        <v>-1.0765850299999999</v>
      </c>
      <c r="AH7739">
        <v>73.603484392293197</v>
      </c>
      <c r="AI7739">
        <v>90.8326625093666</v>
      </c>
      <c r="AJ7739">
        <v>83.532167484588498</v>
      </c>
      <c r="AK7739">
        <v>74.082775588885298</v>
      </c>
      <c r="AL7739">
        <v>78.010214629546397</v>
      </c>
      <c r="AM7739">
        <v>87.144773078237606</v>
      </c>
      <c r="AN7739">
        <v>0.99999997872676805</v>
      </c>
    </row>
    <row r="7740" spans="1:40" x14ac:dyDescent="0.25">
      <c r="A7740" t="str">
        <f>"20190303170439165"</f>
        <v>20190303170439165</v>
      </c>
      <c r="B7740" t="str">
        <f>"1551603879153821"</f>
        <v>1551603879153821</v>
      </c>
      <c r="C7740" t="s">
        <v>40</v>
      </c>
      <c r="D7740">
        <v>4.220866</v>
      </c>
      <c r="E7740">
        <v>0.50874870000000005</v>
      </c>
      <c r="F7740" t="s">
        <v>90</v>
      </c>
      <c r="G7740">
        <v>-179.60249999999999</v>
      </c>
      <c r="H7740" s="1">
        <v>-1.1547060000000001E-5</v>
      </c>
      <c r="I7740">
        <v>149.95859999999999</v>
      </c>
      <c r="J7740">
        <v>-187.5275</v>
      </c>
      <c r="K7740">
        <v>1.121599</v>
      </c>
      <c r="L7740">
        <v>77.830079999999995</v>
      </c>
      <c r="M7740">
        <v>-3.2818320000000002E-3</v>
      </c>
      <c r="N7740">
        <v>-1.404241E-2</v>
      </c>
      <c r="O7740">
        <v>0.99989600000000001</v>
      </c>
      <c r="P7740">
        <v>4.4409770000000001E-2</v>
      </c>
      <c r="Q7740">
        <v>0.193463</v>
      </c>
      <c r="R7740">
        <v>0.98010189999999997</v>
      </c>
      <c r="S7740">
        <v>0.33406069999999999</v>
      </c>
      <c r="T7740">
        <v>-4.7285439999999998E-2</v>
      </c>
      <c r="U7740">
        <v>3.055237</v>
      </c>
      <c r="V7740">
        <v>4.7634129999999997E-2</v>
      </c>
      <c r="W7740">
        <v>0.2072032</v>
      </c>
      <c r="X7740">
        <v>0.97713760000000005</v>
      </c>
      <c r="Y7740">
        <v>0.1119315</v>
      </c>
      <c r="Z7740">
        <v>-1.33566E-3</v>
      </c>
      <c r="AA7740">
        <v>0.99371500000000001</v>
      </c>
      <c r="AB7740">
        <v>37</v>
      </c>
      <c r="AC7740">
        <v>7.9250000000000096</v>
      </c>
      <c r="AD7740">
        <v>-1.12161054706</v>
      </c>
      <c r="AE7740">
        <v>72.128519999999895</v>
      </c>
      <c r="AF7740">
        <v>8.1597447905395395</v>
      </c>
      <c r="AG7740">
        <v>-1.12161054706</v>
      </c>
      <c r="AH7740">
        <v>72.084897643834594</v>
      </c>
      <c r="AI7740">
        <v>90.885770290573106</v>
      </c>
      <c r="AJ7740">
        <v>83.541819026659397</v>
      </c>
      <c r="AK7740">
        <v>72.553924177732299</v>
      </c>
      <c r="AL7740">
        <v>78.041497625850496</v>
      </c>
      <c r="AM7740">
        <v>87.209117997110297</v>
      </c>
      <c r="AN7740">
        <v>1.0000000328824199</v>
      </c>
    </row>
    <row r="7741" spans="1:40" x14ac:dyDescent="0.25">
      <c r="A7741" t="str">
        <f>"20190303170439187"</f>
        <v>20190303170439187</v>
      </c>
      <c r="B7741" t="str">
        <f>"1551603879173341"</f>
        <v>1551603879173341</v>
      </c>
      <c r="C7741" t="s">
        <v>40</v>
      </c>
      <c r="D7741">
        <v>4.2471969999999999</v>
      </c>
      <c r="E7741">
        <v>0.49773230000000002</v>
      </c>
      <c r="F7741" t="s">
        <v>42</v>
      </c>
      <c r="G7741">
        <v>-181.6644</v>
      </c>
      <c r="H7741" s="1">
        <v>-5.6254439999999999E-6</v>
      </c>
      <c r="I7741">
        <v>179.29920000000001</v>
      </c>
      <c r="J7741">
        <v>-187.52869999999999</v>
      </c>
      <c r="K7741">
        <v>1.121602</v>
      </c>
      <c r="L7741">
        <v>78.202579999999998</v>
      </c>
      <c r="M7741">
        <v>-3.2820150000000001E-3</v>
      </c>
      <c r="N7741">
        <v>-1.404072E-2</v>
      </c>
      <c r="O7741">
        <v>0.99989600000000001</v>
      </c>
      <c r="P7741">
        <v>4.3376499999999998E-2</v>
      </c>
      <c r="Q7741">
        <v>0.19334750000000001</v>
      </c>
      <c r="R7741">
        <v>0.98017100000000001</v>
      </c>
      <c r="S7741">
        <v>0.17678829999999901</v>
      </c>
      <c r="T7741">
        <v>-3.3819439999999999E-2</v>
      </c>
      <c r="U7741">
        <v>3.0595699999999999</v>
      </c>
      <c r="V7741">
        <v>4.6601280000000002E-2</v>
      </c>
      <c r="W7741">
        <v>0.2070871</v>
      </c>
      <c r="X7741">
        <v>0.97721199999999997</v>
      </c>
      <c r="Y7741">
        <v>6.0951430000000001E-2</v>
      </c>
      <c r="Z7741">
        <v>3.0088620000000002E-3</v>
      </c>
      <c r="AA7741">
        <v>0.99813620000000003</v>
      </c>
      <c r="AB7741">
        <v>37</v>
      </c>
      <c r="AC7741">
        <v>5.8642999999999796</v>
      </c>
      <c r="AD7741">
        <v>-1.1216076254439999</v>
      </c>
      <c r="AE7741">
        <v>101.09662</v>
      </c>
      <c r="AF7741">
        <v>6.1953417537184903</v>
      </c>
      <c r="AG7741">
        <v>-1.1216076254439999</v>
      </c>
      <c r="AH7741">
        <v>101.06442888589601</v>
      </c>
      <c r="AI7741">
        <v>90.634648167459503</v>
      </c>
      <c r="AJ7741">
        <v>86.492106005577199</v>
      </c>
      <c r="AK7741">
        <v>101.260352799816</v>
      </c>
      <c r="AL7741">
        <v>78.048296984796096</v>
      </c>
      <c r="AM7741">
        <v>87.269747619357403</v>
      </c>
      <c r="AN7741">
        <v>1.00000001961402</v>
      </c>
    </row>
    <row r="7742" spans="1:40" x14ac:dyDescent="0.25">
      <c r="A7742" t="str">
        <f>"20190303170439202"</f>
        <v>20190303170439202</v>
      </c>
      <c r="B7742" t="str">
        <f>"1551603879193837"</f>
        <v>1551603879193837</v>
      </c>
      <c r="C7742" t="s">
        <v>40</v>
      </c>
      <c r="D7742">
        <v>4.2142289999999996</v>
      </c>
      <c r="E7742">
        <v>0.49139339999999998</v>
      </c>
      <c r="F7742" t="s">
        <v>42</v>
      </c>
      <c r="G7742">
        <v>-184.76439999999999</v>
      </c>
      <c r="H7742" s="1">
        <v>-4.0808580000000003E-6</v>
      </c>
      <c r="I7742">
        <v>176.98050000000001</v>
      </c>
      <c r="J7742">
        <v>-187.52950000000001</v>
      </c>
      <c r="K7742">
        <v>1.121604</v>
      </c>
      <c r="L7742">
        <v>78.44708</v>
      </c>
      <c r="M7742">
        <v>-3.2821370000000001E-3</v>
      </c>
      <c r="N7742">
        <v>-1.4039650000000001E-2</v>
      </c>
      <c r="O7742">
        <v>0.99989600000000001</v>
      </c>
      <c r="P7742">
        <v>4.3294880000000001E-2</v>
      </c>
      <c r="Q7742">
        <v>0.19402659999999999</v>
      </c>
      <c r="R7742">
        <v>0.98004040000000003</v>
      </c>
      <c r="S7742">
        <v>8.5739140000000005E-2</v>
      </c>
      <c r="T7742">
        <v>-3.4788369999999999E-2</v>
      </c>
      <c r="U7742">
        <v>3.0637509999999999</v>
      </c>
      <c r="V7742">
        <v>4.6519369999999997E-2</v>
      </c>
      <c r="W7742">
        <v>0.20776339999999999</v>
      </c>
      <c r="X7742">
        <v>0.9770723</v>
      </c>
      <c r="Y7742">
        <v>3.124942E-2</v>
      </c>
      <c r="Z7742">
        <v>2.691494E-3</v>
      </c>
      <c r="AA7742">
        <v>0.99950799999999995</v>
      </c>
      <c r="AB7742">
        <v>37</v>
      </c>
      <c r="AC7742">
        <v>2.7651000000000101</v>
      </c>
      <c r="AD7742">
        <v>-1.121608080858</v>
      </c>
      <c r="AE7742">
        <v>98.533419999999893</v>
      </c>
      <c r="AF7742">
        <v>3.0881173594637201</v>
      </c>
      <c r="AG7742">
        <v>-1.121608080858</v>
      </c>
      <c r="AH7742">
        <v>98.511058492173206</v>
      </c>
      <c r="AI7742">
        <v>90.651998723711401</v>
      </c>
      <c r="AJ7742">
        <v>88.204484143467297</v>
      </c>
      <c r="AK7742">
        <v>98.565831395881006</v>
      </c>
      <c r="AL7742">
        <v>78.008685879857396</v>
      </c>
      <c r="AM7742">
        <v>87.274150185427999</v>
      </c>
      <c r="AN7742">
        <v>0.99999998079602304</v>
      </c>
    </row>
    <row r="7743" spans="1:40" x14ac:dyDescent="0.25">
      <c r="A7743" t="str">
        <f>"20190303170439222"</f>
        <v>20190303170439222</v>
      </c>
      <c r="B7743" t="str">
        <f>"1551603879213356"</f>
        <v>1551603879213356</v>
      </c>
      <c r="C7743" t="s">
        <v>40</v>
      </c>
      <c r="D7743">
        <v>4.2372639999999997</v>
      </c>
      <c r="E7743">
        <v>0.48805739999999997</v>
      </c>
      <c r="F7743" t="s">
        <v>57</v>
      </c>
      <c r="G7743">
        <v>-185.9074</v>
      </c>
      <c r="H7743" s="1">
        <v>2.9142279999999999E-6</v>
      </c>
      <c r="I7743">
        <v>218.49860000000001</v>
      </c>
      <c r="J7743">
        <v>-187.53059999999999</v>
      </c>
      <c r="K7743">
        <v>1.12161</v>
      </c>
      <c r="L7743">
        <v>78.770110000000003</v>
      </c>
      <c r="M7743">
        <v>-3.2822929999999999E-3</v>
      </c>
      <c r="N7743">
        <v>-1.403825E-2</v>
      </c>
      <c r="O7743">
        <v>0.99989600000000001</v>
      </c>
      <c r="P7743">
        <v>4.3508140000000001E-2</v>
      </c>
      <c r="Q7743">
        <v>0.1951784</v>
      </c>
      <c r="R7743">
        <v>0.97980230000000001</v>
      </c>
      <c r="S7743">
        <v>3.549194E-2</v>
      </c>
      <c r="T7743">
        <v>-2.4541139999999999E-2</v>
      </c>
      <c r="U7743">
        <v>3.0643919999999998</v>
      </c>
      <c r="V7743">
        <v>4.6732030000000001E-2</v>
      </c>
      <c r="W7743">
        <v>0.20891019999999999</v>
      </c>
      <c r="X7743">
        <v>0.97681759999999995</v>
      </c>
      <c r="Y7743">
        <v>1.48611E-2</v>
      </c>
      <c r="Z7743">
        <v>6.0314059999999996E-3</v>
      </c>
      <c r="AA7743">
        <v>0.99987139999999997</v>
      </c>
      <c r="AB7743">
        <v>37</v>
      </c>
      <c r="AC7743">
        <v>1.62319999999999</v>
      </c>
      <c r="AD7743">
        <v>-1.121607085772</v>
      </c>
      <c r="AE7743">
        <v>139.72848999999999</v>
      </c>
      <c r="AF7743">
        <v>2.0817322152084499</v>
      </c>
      <c r="AG7743">
        <v>-1.121607085772</v>
      </c>
      <c r="AH7743">
        <v>139.713407821559</v>
      </c>
      <c r="AI7743">
        <v>90.459904606751294</v>
      </c>
      <c r="AJ7743">
        <v>89.146355054149595</v>
      </c>
      <c r="AK7743">
        <v>139.733417393921</v>
      </c>
      <c r="AL7743">
        <v>77.941505032671401</v>
      </c>
      <c r="AM7743">
        <v>87.260995171513102</v>
      </c>
      <c r="AN7743">
        <v>0.99999998898085996</v>
      </c>
    </row>
    <row r="7744" spans="1:40" x14ac:dyDescent="0.25">
      <c r="A7744" t="str">
        <f>"20190303170439235"</f>
        <v>20190303170439235</v>
      </c>
      <c r="B7744" t="str">
        <f>"1551603879223117"</f>
        <v>1551603879223117</v>
      </c>
      <c r="C7744" t="s">
        <v>40</v>
      </c>
      <c r="D7744">
        <v>4.3686930000000004</v>
      </c>
      <c r="E7744">
        <v>0.48725580000000002</v>
      </c>
      <c r="F7744" t="s">
        <v>57</v>
      </c>
      <c r="G7744">
        <v>-186.905</v>
      </c>
      <c r="H7744" s="1">
        <v>3.2097520000000001E-6</v>
      </c>
      <c r="I7744">
        <v>287.14229999999998</v>
      </c>
      <c r="J7744">
        <v>-187.53129999999999</v>
      </c>
      <c r="K7744">
        <v>1.121615</v>
      </c>
      <c r="L7744">
        <v>78.991389999999996</v>
      </c>
      <c r="M7744">
        <v>-3.2823930000000002E-3</v>
      </c>
      <c r="N7744">
        <v>-1.403719E-2</v>
      </c>
      <c r="O7744">
        <v>0.99989609999999995</v>
      </c>
      <c r="P7744">
        <v>4.3921620000000001E-2</v>
      </c>
      <c r="Q7744">
        <v>0.1953587</v>
      </c>
      <c r="R7744">
        <v>0.9797479</v>
      </c>
      <c r="S7744">
        <v>9.2010500000000005E-3</v>
      </c>
      <c r="T7744">
        <v>-1.6496540000000001E-2</v>
      </c>
      <c r="U7744">
        <v>3.0647280000000001</v>
      </c>
      <c r="V7744">
        <v>4.7145439999999997E-2</v>
      </c>
      <c r="W7744">
        <v>0.20908840000000001</v>
      </c>
      <c r="X7744">
        <v>0.97675959999999995</v>
      </c>
      <c r="Y7744">
        <v>6.2839439999999996E-3</v>
      </c>
      <c r="Z7744">
        <v>8.6550659999999995E-3</v>
      </c>
      <c r="AA7744">
        <v>0.99994280000000002</v>
      </c>
      <c r="AB7744">
        <v>37</v>
      </c>
      <c r="AC7744">
        <v>0.62629999999998598</v>
      </c>
      <c r="AD7744">
        <v>-1.1216117902480001</v>
      </c>
      <c r="AE7744">
        <v>208.15091000000001</v>
      </c>
      <c r="AF7744">
        <v>1.3095590056219</v>
      </c>
      <c r="AG7744">
        <v>-1.1216117902480001</v>
      </c>
      <c r="AH7744">
        <v>208.14168905889201</v>
      </c>
      <c r="AI7744">
        <v>90.308740302042807</v>
      </c>
      <c r="AJ7744">
        <v>89.639518568551793</v>
      </c>
      <c r="AK7744">
        <v>208.14883060465499</v>
      </c>
      <c r="AL7744">
        <v>77.931064287673394</v>
      </c>
      <c r="AM7744">
        <v>87.236638417028999</v>
      </c>
      <c r="AN7744">
        <v>0.99999998385975597</v>
      </c>
    </row>
    <row r="7745" spans="1:40" x14ac:dyDescent="0.25">
      <c r="A7745" t="str">
        <f>"20190303170439253"</f>
        <v>20190303170439253</v>
      </c>
      <c r="B7745" t="str">
        <f>"1551603879243613"</f>
        <v>1551603879243613</v>
      </c>
      <c r="C7745" t="s">
        <v>40</v>
      </c>
      <c r="D7745">
        <v>4.2049969999999997</v>
      </c>
      <c r="E7745">
        <v>0.4863788</v>
      </c>
      <c r="F7745" t="s">
        <v>57</v>
      </c>
      <c r="G7745">
        <v>-187.28139999999999</v>
      </c>
      <c r="H7745" s="1">
        <v>5.4578999999999999E-6</v>
      </c>
      <c r="I7745">
        <v>275.08980000000003</v>
      </c>
      <c r="J7745">
        <v>-187.53229999999999</v>
      </c>
      <c r="K7745">
        <v>1.1216140000000001</v>
      </c>
      <c r="L7745">
        <v>79.297640000000001</v>
      </c>
      <c r="M7745">
        <v>-3.2825110000000001E-3</v>
      </c>
      <c r="N7745">
        <v>-1.4035529999999999E-2</v>
      </c>
      <c r="O7745">
        <v>0.99989609999999995</v>
      </c>
      <c r="P7745">
        <v>4.4921969999999999E-2</v>
      </c>
      <c r="Q7745">
        <v>0.1946852</v>
      </c>
      <c r="R7745">
        <v>0.97983659999999995</v>
      </c>
      <c r="S7745">
        <v>3.90625E-3</v>
      </c>
      <c r="T7745">
        <v>-1.7532590000000001E-2</v>
      </c>
      <c r="U7745">
        <v>3.0653380000000001</v>
      </c>
      <c r="V7745">
        <v>4.814616E-2</v>
      </c>
      <c r="W7745">
        <v>0.2084145</v>
      </c>
      <c r="X7745">
        <v>0.97685480000000002</v>
      </c>
      <c r="Y7745">
        <v>4.5564780000000001E-3</v>
      </c>
      <c r="Z7745">
        <v>8.3164369999999994E-3</v>
      </c>
      <c r="AA7745">
        <v>0.99995509999999999</v>
      </c>
      <c r="AB7745">
        <v>37</v>
      </c>
      <c r="AC7745">
        <v>0.25090000000000101</v>
      </c>
      <c r="AD7745">
        <v>-1.1216085420999999</v>
      </c>
      <c r="AE7745">
        <v>195.79216</v>
      </c>
      <c r="AF7745">
        <v>0.89362256035170196</v>
      </c>
      <c r="AG7745">
        <v>-1.1216085420999999</v>
      </c>
      <c r="AH7745">
        <v>195.783856380949</v>
      </c>
      <c r="AI7745">
        <v>90.3282296330854</v>
      </c>
      <c r="AJ7745">
        <v>89.738484844567395</v>
      </c>
      <c r="AK7745">
        <v>195.789108446813</v>
      </c>
      <c r="AL7745">
        <v>77.970545675113499</v>
      </c>
      <c r="AM7745">
        <v>87.178351060724594</v>
      </c>
      <c r="AN7745">
        <v>0.99999997840801702</v>
      </c>
    </row>
    <row r="7746" spans="1:40" x14ac:dyDescent="0.25">
      <c r="A7746" t="str">
        <f>"20190303170439276"</f>
        <v>20190303170439276</v>
      </c>
      <c r="B7746" t="str">
        <f>"1551603879263133"</f>
        <v>1551603879263133</v>
      </c>
      <c r="C7746" t="s">
        <v>40</v>
      </c>
      <c r="D7746">
        <v>4.2267530000000004</v>
      </c>
      <c r="E7746">
        <v>0.48560589999999998</v>
      </c>
      <c r="F7746" t="s">
        <v>42</v>
      </c>
      <c r="G7746">
        <v>-187.49260000000001</v>
      </c>
      <c r="H7746" s="1">
        <v>-1.707891E-6</v>
      </c>
      <c r="I7746">
        <v>242.30330000000001</v>
      </c>
      <c r="J7746">
        <v>-187.5335</v>
      </c>
      <c r="K7746">
        <v>1.1216090000000001</v>
      </c>
      <c r="L7746">
        <v>79.660060000000001</v>
      </c>
      <c r="M7746">
        <v>-3.2826520000000001E-3</v>
      </c>
      <c r="N7746">
        <v>-1.4033489999999999E-2</v>
      </c>
      <c r="O7746">
        <v>0.99989609999999995</v>
      </c>
      <c r="P7746">
        <v>4.5761719999999999E-2</v>
      </c>
      <c r="Q7746">
        <v>0.19374659999999999</v>
      </c>
      <c r="R7746">
        <v>0.97998370000000001</v>
      </c>
      <c r="S7746">
        <v>7.4768070000000005E-4</v>
      </c>
      <c r="T7746">
        <v>-2.1095869999999999E-2</v>
      </c>
      <c r="U7746">
        <v>3.065887</v>
      </c>
      <c r="V7746">
        <v>4.8986500000000002E-2</v>
      </c>
      <c r="W7746">
        <v>0.2074761</v>
      </c>
      <c r="X7746">
        <v>0.97701280000000001</v>
      </c>
      <c r="Y7746">
        <v>3.5263209999999998E-3</v>
      </c>
      <c r="Z7746">
        <v>7.1532439999999996E-3</v>
      </c>
      <c r="AA7746">
        <v>0.99996819999999997</v>
      </c>
      <c r="AB7746">
        <v>37</v>
      </c>
      <c r="AC7746">
        <v>4.0899999999993497E-2</v>
      </c>
      <c r="AD7746">
        <v>-1.121610707891</v>
      </c>
      <c r="AE7746">
        <v>162.64323999999999</v>
      </c>
      <c r="AF7746">
        <v>0.57482620040699595</v>
      </c>
      <c r="AG7746">
        <v>-1.121610707891</v>
      </c>
      <c r="AH7746">
        <v>162.634494876259</v>
      </c>
      <c r="AI7746">
        <v>90.3951322853313</v>
      </c>
      <c r="AJ7746">
        <v>89.797490820651902</v>
      </c>
      <c r="AK7746">
        <v>162.639378255688</v>
      </c>
      <c r="AL7746">
        <v>78.025513999841493</v>
      </c>
      <c r="AM7746">
        <v>87.129647346054</v>
      </c>
      <c r="AN7746">
        <v>1.0000000103086499</v>
      </c>
    </row>
    <row r="7747" spans="1:40" x14ac:dyDescent="0.25">
      <c r="A7747" t="str">
        <f>"20190303170439291"</f>
        <v>20190303170439291</v>
      </c>
      <c r="B7747" t="str">
        <f>"1551603879283629"</f>
        <v>1551603879283629</v>
      </c>
      <c r="C7747" t="s">
        <v>40</v>
      </c>
      <c r="D7747">
        <v>4.2472089999999998</v>
      </c>
      <c r="E7747">
        <v>0.48509380000000002</v>
      </c>
      <c r="F7747" t="s">
        <v>57</v>
      </c>
      <c r="G7747">
        <v>-187.66050000000001</v>
      </c>
      <c r="H7747" s="1">
        <v>3.7376130000000002E-6</v>
      </c>
      <c r="I7747">
        <v>212.63730000000001</v>
      </c>
      <c r="J7747">
        <v>-187.5343</v>
      </c>
      <c r="K7747">
        <v>1.121607</v>
      </c>
      <c r="L7747">
        <v>79.914029999999997</v>
      </c>
      <c r="M7747">
        <v>-3.2827450000000001E-3</v>
      </c>
      <c r="N7747">
        <v>-1.4032050000000001E-2</v>
      </c>
      <c r="O7747">
        <v>0.99989620000000001</v>
      </c>
      <c r="P7747">
        <v>4.6523290000000002E-2</v>
      </c>
      <c r="Q7747">
        <v>0.19331490000000001</v>
      </c>
      <c r="R7747">
        <v>0.98003320000000005</v>
      </c>
      <c r="S7747">
        <v>-2.9296880000000002E-3</v>
      </c>
      <c r="T7747">
        <v>-2.586484E-2</v>
      </c>
      <c r="U7747">
        <v>3.0665279999999999</v>
      </c>
      <c r="V7747">
        <v>4.9748290000000001E-2</v>
      </c>
      <c r="W7747">
        <v>0.2070437</v>
      </c>
      <c r="X7747">
        <v>0.97706599999999999</v>
      </c>
      <c r="Y7747">
        <v>2.3273450000000002E-3</v>
      </c>
      <c r="Z7747">
        <v>5.5981759999999998E-3</v>
      </c>
      <c r="AA7747">
        <v>0.99998160000000003</v>
      </c>
      <c r="AB7747">
        <v>37</v>
      </c>
      <c r="AC7747">
        <v>-0.126200000000011</v>
      </c>
      <c r="AD7747">
        <v>-1.121603262387</v>
      </c>
      <c r="AE7747">
        <v>132.72326999999899</v>
      </c>
      <c r="AF7747">
        <v>0.30951810881646002</v>
      </c>
      <c r="AG7747">
        <v>-1.121603262387</v>
      </c>
      <c r="AH7747">
        <v>132.71349142497399</v>
      </c>
      <c r="AI7747">
        <v>90.484211724424696</v>
      </c>
      <c r="AJ7747">
        <v>89.866373426136505</v>
      </c>
      <c r="AK7747">
        <v>132.71859177049899</v>
      </c>
      <c r="AL7747">
        <v>78.050838193936897</v>
      </c>
      <c r="AM7747">
        <v>87.085245269840598</v>
      </c>
      <c r="AN7747">
        <v>0.999999977211806</v>
      </c>
    </row>
    <row r="7748" spans="1:40" x14ac:dyDescent="0.25">
      <c r="A7748" t="str">
        <f>"20190303170439304"</f>
        <v>20190303170439304</v>
      </c>
      <c r="B7748" t="str">
        <f>"1551603879293388"</f>
        <v>1551603879293388</v>
      </c>
      <c r="C7748" t="s">
        <v>40</v>
      </c>
      <c r="D7748">
        <v>4.2428129999999999</v>
      </c>
      <c r="E7748">
        <v>0.48490169999999999</v>
      </c>
      <c r="F7748" t="s">
        <v>57</v>
      </c>
      <c r="G7748">
        <v>-187.73050000000001</v>
      </c>
      <c r="H7748" s="1">
        <v>5.0525759999999999E-6</v>
      </c>
      <c r="I7748">
        <v>206.67869999999999</v>
      </c>
      <c r="J7748">
        <v>-187.535</v>
      </c>
      <c r="K7748">
        <v>1.1216029999999999</v>
      </c>
      <c r="L7748">
        <v>80.127499999999998</v>
      </c>
      <c r="M7748">
        <v>-3.2828330000000002E-3</v>
      </c>
      <c r="N7748">
        <v>-1.4030829999999999E-2</v>
      </c>
      <c r="O7748">
        <v>0.99989620000000001</v>
      </c>
      <c r="P7748">
        <v>4.7354609999999998E-2</v>
      </c>
      <c r="Q7748">
        <v>0.1931155</v>
      </c>
      <c r="R7748">
        <v>0.98003260000000003</v>
      </c>
      <c r="S7748">
        <v>-4.745483E-3</v>
      </c>
      <c r="T7748">
        <v>-2.71337E-2</v>
      </c>
      <c r="U7748">
        <v>3.066681</v>
      </c>
      <c r="V7748">
        <v>5.0579680000000002E-2</v>
      </c>
      <c r="W7748">
        <v>0.2068431</v>
      </c>
      <c r="X7748">
        <v>0.97706579999999998</v>
      </c>
      <c r="Y7748">
        <v>1.7354720000000001E-3</v>
      </c>
      <c r="Z7748">
        <v>5.1836360000000001E-3</v>
      </c>
      <c r="AA7748">
        <v>0.99998500000000001</v>
      </c>
      <c r="AB7748">
        <v>37</v>
      </c>
      <c r="AC7748">
        <v>-0.195500000000009</v>
      </c>
      <c r="AD7748">
        <v>-1.1215979474240001</v>
      </c>
      <c r="AE7748">
        <v>126.55119999999999</v>
      </c>
      <c r="AF7748">
        <v>0.21997111920016801</v>
      </c>
      <c r="AG7748">
        <v>-1.1215979474240001</v>
      </c>
      <c r="AH7748">
        <v>126.54122010986799</v>
      </c>
      <c r="AI7748">
        <v>90.5078270050697</v>
      </c>
      <c r="AJ7748">
        <v>89.900400801897007</v>
      </c>
      <c r="AK7748">
        <v>126.546381837423</v>
      </c>
      <c r="AL7748">
        <v>78.062586004721297</v>
      </c>
      <c r="AM7748">
        <v>87.036619595167906</v>
      </c>
      <c r="AN7748">
        <v>0.99999997478807501</v>
      </c>
    </row>
    <row r="7749" spans="1:40" x14ac:dyDescent="0.25">
      <c r="A7749" t="str">
        <f>"20190303170439323"</f>
        <v>20190303170439323</v>
      </c>
      <c r="B7749" t="str">
        <f>"1551603879312909"</f>
        <v>1551603879312909</v>
      </c>
      <c r="C7749" t="s">
        <v>40</v>
      </c>
      <c r="D7749">
        <v>4.2450210000000004</v>
      </c>
      <c r="E7749">
        <v>0.48429519999999998</v>
      </c>
      <c r="F7749" t="s">
        <v>57</v>
      </c>
      <c r="G7749">
        <v>-187.68090000000001</v>
      </c>
      <c r="H7749" s="1">
        <v>6.657354E-6</v>
      </c>
      <c r="I7749">
        <v>201.82839999999999</v>
      </c>
      <c r="J7749">
        <v>-187.536</v>
      </c>
      <c r="K7749">
        <v>1.121602</v>
      </c>
      <c r="L7749">
        <v>80.442899999999995</v>
      </c>
      <c r="M7749">
        <v>-3.2829650000000001E-3</v>
      </c>
      <c r="N7749">
        <v>-1.402899E-2</v>
      </c>
      <c r="O7749">
        <v>0.99989620000000001</v>
      </c>
      <c r="P7749">
        <v>4.8587560000000002E-2</v>
      </c>
      <c r="Q7749">
        <v>0.19225639999999999</v>
      </c>
      <c r="R7749">
        <v>0.98014120000000005</v>
      </c>
      <c r="S7749">
        <v>-3.6773679999999999E-3</v>
      </c>
      <c r="T7749">
        <v>-2.8264520000000001E-2</v>
      </c>
      <c r="U7749">
        <v>3.0668950000000001</v>
      </c>
      <c r="V7749">
        <v>5.1813049999999999E-2</v>
      </c>
      <c r="W7749">
        <v>0.20598369999999999</v>
      </c>
      <c r="X7749">
        <v>0.97718269999999996</v>
      </c>
      <c r="Y7749">
        <v>2.083915E-3</v>
      </c>
      <c r="Z7749">
        <v>4.8137420000000002E-3</v>
      </c>
      <c r="AA7749">
        <v>0.99998620000000005</v>
      </c>
      <c r="AB7749">
        <v>37</v>
      </c>
      <c r="AC7749">
        <v>-0.144900000000035</v>
      </c>
      <c r="AD7749">
        <v>-1.1215953426459999</v>
      </c>
      <c r="AE7749">
        <v>121.38549999999999</v>
      </c>
      <c r="AF7749">
        <v>0.25362269649277702</v>
      </c>
      <c r="AG7749">
        <v>-1.1215953426459999</v>
      </c>
      <c r="AH7749">
        <v>121.374958915463</v>
      </c>
      <c r="AI7749">
        <v>90.529439603346802</v>
      </c>
      <c r="AJ7749">
        <v>89.880276054650807</v>
      </c>
      <c r="AK7749">
        <v>121.38040596535799</v>
      </c>
      <c r="AL7749">
        <v>78.112909465686101</v>
      </c>
      <c r="AM7749">
        <v>86.964854466840706</v>
      </c>
      <c r="AN7749">
        <v>0.99999995299764</v>
      </c>
    </row>
    <row r="7750" spans="1:40" x14ac:dyDescent="0.25">
      <c r="A7750" t="str">
        <f>"20190303170439345"</f>
        <v>20190303170439345</v>
      </c>
      <c r="B7750" t="str">
        <f>"1551603879333404"</f>
        <v>1551603879333404</v>
      </c>
      <c r="C7750" t="s">
        <v>40</v>
      </c>
      <c r="D7750">
        <v>4.2983010000000004</v>
      </c>
      <c r="E7750">
        <v>0.48403119999999999</v>
      </c>
      <c r="F7750" t="s">
        <v>42</v>
      </c>
      <c r="G7750">
        <v>-187.70930000000001</v>
      </c>
      <c r="H7750" s="1">
        <v>-3.204808E-6</v>
      </c>
      <c r="I7750">
        <v>196.15610000000001</v>
      </c>
      <c r="J7750">
        <v>-187.53720000000001</v>
      </c>
      <c r="K7750">
        <v>1.1215930000000001</v>
      </c>
      <c r="L7750">
        <v>80.791899999999998</v>
      </c>
      <c r="M7750">
        <v>-3.2831090000000002E-3</v>
      </c>
      <c r="N7750">
        <v>-1.40269E-2</v>
      </c>
      <c r="O7750">
        <v>0.99989620000000001</v>
      </c>
      <c r="P7750">
        <v>4.9745659999999997E-2</v>
      </c>
      <c r="Q7750">
        <v>0.19246669999999999</v>
      </c>
      <c r="R7750">
        <v>0.98004179999999996</v>
      </c>
      <c r="S7750">
        <v>-4.592896E-3</v>
      </c>
      <c r="T7750">
        <v>-2.9726740000000001E-2</v>
      </c>
      <c r="U7750">
        <v>3.0668329999999999</v>
      </c>
      <c r="V7750">
        <v>5.2970950000000003E-2</v>
      </c>
      <c r="W7750">
        <v>0.2061904</v>
      </c>
      <c r="X7750">
        <v>0.97707710000000003</v>
      </c>
      <c r="Y7750">
        <v>1.785554E-3</v>
      </c>
      <c r="Z7750">
        <v>4.3347359999999996E-3</v>
      </c>
      <c r="AA7750">
        <v>0.99998900000000002</v>
      </c>
      <c r="AB7750">
        <v>37</v>
      </c>
      <c r="AC7750">
        <v>-0.1721</v>
      </c>
      <c r="AD7750">
        <v>-1.1215962048079999</v>
      </c>
      <c r="AE7750">
        <v>115.3642</v>
      </c>
      <c r="AF7750">
        <v>0.206671912883054</v>
      </c>
      <c r="AG7750">
        <v>-1.1215962048079999</v>
      </c>
      <c r="AH7750">
        <v>115.353239864988</v>
      </c>
      <c r="AI7750">
        <v>90.557076687133502</v>
      </c>
      <c r="AJ7750">
        <v>89.897346483759804</v>
      </c>
      <c r="AK7750">
        <v>115.358877589355</v>
      </c>
      <c r="AL7750">
        <v>78.100807565144194</v>
      </c>
      <c r="AM7750">
        <v>86.896822492985194</v>
      </c>
      <c r="AN7750">
        <v>1.0000000309702299</v>
      </c>
    </row>
    <row r="7751" spans="1:40" x14ac:dyDescent="0.25">
      <c r="A7751" t="str">
        <f>"20190303170439365"</f>
        <v>20190303170439365</v>
      </c>
      <c r="B7751" t="str">
        <f>"1551603879352924"</f>
        <v>1551603879352924</v>
      </c>
      <c r="C7751" t="s">
        <v>40</v>
      </c>
      <c r="D7751">
        <v>4.2964390000000003</v>
      </c>
      <c r="E7751">
        <v>0.48374640000000002</v>
      </c>
      <c r="F7751" t="s">
        <v>42</v>
      </c>
      <c r="G7751">
        <v>-187.66040000000001</v>
      </c>
      <c r="H7751" s="1">
        <v>-4.0553E-6</v>
      </c>
      <c r="I7751">
        <v>198.11840000000001</v>
      </c>
      <c r="J7751">
        <v>-187.53829999999999</v>
      </c>
      <c r="K7751">
        <v>1.121597</v>
      </c>
      <c r="L7751">
        <v>81.132260000000002</v>
      </c>
      <c r="M7751">
        <v>-3.2832479999999999E-3</v>
      </c>
      <c r="N7751">
        <v>-1.4024969999999999E-2</v>
      </c>
      <c r="O7751">
        <v>0.99989620000000001</v>
      </c>
      <c r="P7751">
        <v>5.0780800000000001E-2</v>
      </c>
      <c r="Q7751">
        <v>0.1926966</v>
      </c>
      <c r="R7751">
        <v>0.97994349999999997</v>
      </c>
      <c r="S7751">
        <v>-3.219604E-3</v>
      </c>
      <c r="T7751">
        <v>-2.9319520000000002E-2</v>
      </c>
      <c r="U7751">
        <v>3.0670169999999999</v>
      </c>
      <c r="V7751">
        <v>5.4005909999999997E-2</v>
      </c>
      <c r="W7751">
        <v>0.20641670000000001</v>
      </c>
      <c r="X7751">
        <v>0.97697259999999997</v>
      </c>
      <c r="Y7751">
        <v>2.233465E-3</v>
      </c>
      <c r="Z7751">
        <v>4.4661509999999998E-3</v>
      </c>
      <c r="AA7751">
        <v>0.99998750000000003</v>
      </c>
      <c r="AB7751">
        <v>37</v>
      </c>
      <c r="AC7751">
        <v>-0.122100000000017</v>
      </c>
      <c r="AD7751">
        <v>-1.1216010553</v>
      </c>
      <c r="AE7751">
        <v>116.986139999999</v>
      </c>
      <c r="AF7751">
        <v>0.26200888700293801</v>
      </c>
      <c r="AG7751">
        <v>-1.1216010553</v>
      </c>
      <c r="AH7751">
        <v>116.975157964658</v>
      </c>
      <c r="AI7751">
        <v>90.549354900862596</v>
      </c>
      <c r="AJ7751">
        <v>89.871665244344499</v>
      </c>
      <c r="AK7751">
        <v>116.980828422613</v>
      </c>
      <c r="AL7751">
        <v>78.087555818344796</v>
      </c>
      <c r="AM7751">
        <v>86.835976091208195</v>
      </c>
      <c r="AN7751">
        <v>0.99999997675228802</v>
      </c>
    </row>
    <row r="7752" spans="1:40" x14ac:dyDescent="0.25">
      <c r="A7752" t="str">
        <f>"20190303170439379"</f>
        <v>20190303170439379</v>
      </c>
      <c r="B7752" t="str">
        <f>"1551603879373420"</f>
        <v>1551603879373420</v>
      </c>
      <c r="C7752" t="s">
        <v>40</v>
      </c>
      <c r="D7752">
        <v>4.2089160000000003</v>
      </c>
      <c r="E7752">
        <v>0.48342780000000002</v>
      </c>
      <c r="F7752" t="s">
        <v>57</v>
      </c>
      <c r="G7752">
        <v>-187.6147</v>
      </c>
      <c r="H7752" s="1">
        <v>6.2478039999999998E-6</v>
      </c>
      <c r="I7752">
        <v>202.94550000000001</v>
      </c>
      <c r="J7752">
        <v>-187.53899999999999</v>
      </c>
      <c r="K7752">
        <v>1.1215980000000001</v>
      </c>
      <c r="L7752">
        <v>81.353610000000003</v>
      </c>
      <c r="M7752">
        <v>-3.2833390000000001E-3</v>
      </c>
      <c r="N7752">
        <v>-1.402377E-2</v>
      </c>
      <c r="O7752">
        <v>0.99989629999999996</v>
      </c>
      <c r="P7752">
        <v>5.1237659999999997E-2</v>
      </c>
      <c r="Q7752">
        <v>0.1924823</v>
      </c>
      <c r="R7752">
        <v>0.97996190000000005</v>
      </c>
      <c r="S7752">
        <v>-1.922607E-3</v>
      </c>
      <c r="T7752">
        <v>-2.8239730000000001E-2</v>
      </c>
      <c r="U7752">
        <v>3.0670470000000001</v>
      </c>
      <c r="V7752">
        <v>5.4462900000000002E-2</v>
      </c>
      <c r="W7752">
        <v>0.20620160000000001</v>
      </c>
      <c r="X7752">
        <v>0.97699270000000005</v>
      </c>
      <c r="Y7752">
        <v>2.6563799999999999E-3</v>
      </c>
      <c r="Z7752">
        <v>4.8170829999999998E-3</v>
      </c>
      <c r="AA7752">
        <v>0.99998489999999995</v>
      </c>
      <c r="AB7752">
        <v>37</v>
      </c>
      <c r="AC7752">
        <v>-7.5699999999983406E-2</v>
      </c>
      <c r="AD7752">
        <v>-1.1215917521959999</v>
      </c>
      <c r="AE7752">
        <v>121.591889999999</v>
      </c>
      <c r="AF7752">
        <v>0.32353952544224801</v>
      </c>
      <c r="AG7752">
        <v>-1.1215917521959999</v>
      </c>
      <c r="AH7752">
        <v>121.581138139893</v>
      </c>
      <c r="AI7752">
        <v>90.528539412891206</v>
      </c>
      <c r="AJ7752">
        <v>89.847530580483493</v>
      </c>
      <c r="AK7752">
        <v>121.58674186470699</v>
      </c>
      <c r="AL7752">
        <v>78.1001516463364</v>
      </c>
      <c r="AM7752">
        <v>86.809323187521201</v>
      </c>
      <c r="AN7752">
        <v>1.00000002158612</v>
      </c>
    </row>
    <row r="7753" spans="1:40" x14ac:dyDescent="0.25">
      <c r="A7753" t="str">
        <f>"20190303170439392"</f>
        <v>20190303170439392</v>
      </c>
      <c r="B7753" t="str">
        <f>"1551603879383180"</f>
        <v>1551603879383180</v>
      </c>
      <c r="C7753" t="s">
        <v>40</v>
      </c>
      <c r="D7753">
        <v>4.2986899999999997</v>
      </c>
      <c r="E7753">
        <v>0.4832998</v>
      </c>
      <c r="F7753" t="s">
        <v>57</v>
      </c>
      <c r="G7753">
        <v>-187.65180000000001</v>
      </c>
      <c r="H7753" s="1">
        <v>6.1508280000000004E-6</v>
      </c>
      <c r="I7753">
        <v>203.2431</v>
      </c>
      <c r="J7753">
        <v>-187.53980000000001</v>
      </c>
      <c r="K7753">
        <v>1.121602</v>
      </c>
      <c r="L7753">
        <v>81.586979999999997</v>
      </c>
      <c r="M7753">
        <v>-3.2834399999999999E-3</v>
      </c>
      <c r="N7753">
        <v>-1.402246E-2</v>
      </c>
      <c r="O7753">
        <v>0.99989629999999996</v>
      </c>
      <c r="P7753">
        <v>5.183252E-2</v>
      </c>
      <c r="Q7753">
        <v>0.19216430000000001</v>
      </c>
      <c r="R7753">
        <v>0.979993</v>
      </c>
      <c r="S7753">
        <v>-2.8381349999999999E-3</v>
      </c>
      <c r="T7753">
        <v>-2.822208E-2</v>
      </c>
      <c r="U7753">
        <v>3.0670470000000001</v>
      </c>
      <c r="V7753">
        <v>5.505794E-2</v>
      </c>
      <c r="W7753">
        <v>0.20588239999999999</v>
      </c>
      <c r="X7753">
        <v>0.97702659999999997</v>
      </c>
      <c r="Y7753">
        <v>2.358031E-3</v>
      </c>
      <c r="Z7753">
        <v>4.8215180000000003E-3</v>
      </c>
      <c r="AA7753">
        <v>0.99998560000000003</v>
      </c>
      <c r="AB7753">
        <v>37</v>
      </c>
      <c r="AC7753">
        <v>-0.11199999999999399</v>
      </c>
      <c r="AD7753">
        <v>-1.1215958491719999</v>
      </c>
      <c r="AE7753">
        <v>121.65612</v>
      </c>
      <c r="AF7753">
        <v>0.28746601414222001</v>
      </c>
      <c r="AG7753">
        <v>-1.1215958491719999</v>
      </c>
      <c r="AH7753">
        <v>121.64549234141199</v>
      </c>
      <c r="AI7753">
        <v>90.528262140066502</v>
      </c>
      <c r="AJ7753">
        <v>89.864601980828795</v>
      </c>
      <c r="AK7753">
        <v>121.651002548037</v>
      </c>
      <c r="AL7753">
        <v>78.118840720383005</v>
      </c>
      <c r="AM7753">
        <v>86.774648006210398</v>
      </c>
      <c r="AN7753">
        <v>0.99999995824718002</v>
      </c>
    </row>
    <row r="7754" spans="1:40" x14ac:dyDescent="0.25">
      <c r="A7754" t="str">
        <f>"20190303170439411"</f>
        <v>20190303170439411</v>
      </c>
      <c r="B7754" t="str">
        <f>"1551603879403677"</f>
        <v>1551603879403677</v>
      </c>
      <c r="C7754" t="s">
        <v>40</v>
      </c>
      <c r="D7754">
        <v>4.2168039999999998</v>
      </c>
      <c r="E7754">
        <v>0.48306149999999998</v>
      </c>
      <c r="F7754" t="s">
        <v>42</v>
      </c>
      <c r="G7754">
        <v>-187.6156</v>
      </c>
      <c r="H7754" s="1">
        <v>-4.3823210000000003E-6</v>
      </c>
      <c r="I7754">
        <v>198.8622</v>
      </c>
      <c r="J7754">
        <v>-187.54079999999999</v>
      </c>
      <c r="K7754">
        <v>1.1216060000000001</v>
      </c>
      <c r="L7754">
        <v>81.900019999999998</v>
      </c>
      <c r="M7754">
        <v>-3.283588E-3</v>
      </c>
      <c r="N7754">
        <v>-1.4020650000000001E-2</v>
      </c>
      <c r="O7754">
        <v>0.99989629999999996</v>
      </c>
      <c r="P7754">
        <v>5.2873209999999997E-2</v>
      </c>
      <c r="Q7754">
        <v>0.19204450000000001</v>
      </c>
      <c r="R7754">
        <v>0.97996090000000002</v>
      </c>
      <c r="S7754">
        <v>-1.9836430000000002E-3</v>
      </c>
      <c r="T7754">
        <v>-2.933347E-2</v>
      </c>
      <c r="U7754">
        <v>3.0671080000000002</v>
      </c>
      <c r="V7754">
        <v>5.6098660000000002E-2</v>
      </c>
      <c r="W7754">
        <v>0.20576059999999999</v>
      </c>
      <c r="X7754">
        <v>0.97699309999999995</v>
      </c>
      <c r="Y7754">
        <v>2.6367370000000001E-3</v>
      </c>
      <c r="Z7754">
        <v>4.4575780000000002E-3</v>
      </c>
      <c r="AA7754">
        <v>0.99998659999999995</v>
      </c>
      <c r="AB7754">
        <v>37</v>
      </c>
      <c r="AC7754">
        <v>-7.48000000000104E-2</v>
      </c>
      <c r="AD7754">
        <v>-1.121610382321</v>
      </c>
      <c r="AE7754">
        <v>116.96218</v>
      </c>
      <c r="AF7754">
        <v>0.309265334015976</v>
      </c>
      <c r="AG7754">
        <v>-1.121610382321</v>
      </c>
      <c r="AH7754">
        <v>116.951040301737</v>
      </c>
      <c r="AI7754">
        <v>90.549472208169504</v>
      </c>
      <c r="AJ7754">
        <v>89.848487392332999</v>
      </c>
      <c r="AK7754">
        <v>116.956827430274</v>
      </c>
      <c r="AL7754">
        <v>78.125972543917101</v>
      </c>
      <c r="AM7754">
        <v>86.713701481316406</v>
      </c>
      <c r="AN7754">
        <v>1.0000000008068799</v>
      </c>
    </row>
    <row r="7755" spans="1:40" x14ac:dyDescent="0.25">
      <c r="A7755" t="str">
        <f>"20190303170439425"</f>
        <v>20190303170439425</v>
      </c>
      <c r="B7755" t="str">
        <f>"1551603879413437"</f>
        <v>1551603879413437</v>
      </c>
      <c r="C7755" t="s">
        <v>40</v>
      </c>
      <c r="D7755">
        <v>4.2737470000000002</v>
      </c>
      <c r="E7755">
        <v>0.48284660000000001</v>
      </c>
      <c r="F7755" t="s">
        <v>57</v>
      </c>
      <c r="G7755">
        <v>-187.54669999999999</v>
      </c>
      <c r="H7755" s="1">
        <v>7.06557699999999E-6</v>
      </c>
      <c r="I7755">
        <v>200.51169999999999</v>
      </c>
      <c r="J7755">
        <v>-187.54150000000001</v>
      </c>
      <c r="K7755">
        <v>1.121607</v>
      </c>
      <c r="L7755">
        <v>82.117980000000003</v>
      </c>
      <c r="M7755">
        <v>-3.2836889999999998E-3</v>
      </c>
      <c r="N7755">
        <v>-1.401939E-2</v>
      </c>
      <c r="O7755">
        <v>0.99989629999999996</v>
      </c>
      <c r="P7755">
        <v>5.3095749999999997E-2</v>
      </c>
      <c r="Q7755">
        <v>0.19226589999999999</v>
      </c>
      <c r="R7755">
        <v>0.97990540000000004</v>
      </c>
      <c r="S7755">
        <v>-1.5258789999999999E-4</v>
      </c>
      <c r="T7755">
        <v>-2.9002190000000001E-2</v>
      </c>
      <c r="U7755">
        <v>3.0670470000000001</v>
      </c>
      <c r="V7755">
        <v>5.6321110000000001E-2</v>
      </c>
      <c r="W7755">
        <v>0.20597989999999999</v>
      </c>
      <c r="X7755">
        <v>0.97693410000000003</v>
      </c>
      <c r="Y7755">
        <v>3.2337300000000002E-3</v>
      </c>
      <c r="Z7755">
        <v>4.5641509999999998E-3</v>
      </c>
      <c r="AA7755">
        <v>0.9999844</v>
      </c>
      <c r="AB7755">
        <v>37</v>
      </c>
      <c r="AC7755">
        <v>-5.1999999999736701E-3</v>
      </c>
      <c r="AD7755">
        <v>-1.1215999344230001</v>
      </c>
      <c r="AE7755">
        <v>118.39372</v>
      </c>
      <c r="AF7755">
        <v>0.383571982578992</v>
      </c>
      <c r="AG7755">
        <v>-1.1215999344230001</v>
      </c>
      <c r="AH7755">
        <v>118.382474213232</v>
      </c>
      <c r="AI7755">
        <v>90.542822600677795</v>
      </c>
      <c r="AJ7755">
        <v>89.814356145362297</v>
      </c>
      <c r="AK7755">
        <v>118.388408700875</v>
      </c>
      <c r="AL7755">
        <v>78.113132662699201</v>
      </c>
      <c r="AM7755">
        <v>86.700500122073805</v>
      </c>
      <c r="AN7755">
        <v>1.00000001118922</v>
      </c>
    </row>
    <row r="7756" spans="1:40" x14ac:dyDescent="0.25">
      <c r="A7756" t="str">
        <f>"20190303170439443"</f>
        <v>20190303170439443</v>
      </c>
      <c r="B7756" t="str">
        <f>"1551603879432956"</f>
        <v>1551603879432956</v>
      </c>
      <c r="C7756" t="s">
        <v>40</v>
      </c>
      <c r="D7756">
        <v>4.2518649999999996</v>
      </c>
      <c r="E7756">
        <v>0.48246820000000001</v>
      </c>
      <c r="F7756" t="s">
        <v>57</v>
      </c>
      <c r="G7756">
        <v>-187.5729</v>
      </c>
      <c r="H7756" s="1">
        <v>5.2687089999999997E-6</v>
      </c>
      <c r="I7756">
        <v>205.98820000000001</v>
      </c>
      <c r="J7756">
        <v>-187.54249999999999</v>
      </c>
      <c r="K7756">
        <v>1.121607</v>
      </c>
      <c r="L7756">
        <v>82.417909999999907</v>
      </c>
      <c r="M7756">
        <v>-3.2838260000000001E-3</v>
      </c>
      <c r="N7756">
        <v>-1.4017699999999999E-2</v>
      </c>
      <c r="O7756">
        <v>0.99989629999999996</v>
      </c>
      <c r="P7756">
        <v>5.4493399999999997E-2</v>
      </c>
      <c r="Q7756">
        <v>0.1928589</v>
      </c>
      <c r="R7756">
        <v>0.97971220000000003</v>
      </c>
      <c r="S7756">
        <v>-7.7819819999999998E-4</v>
      </c>
      <c r="T7756">
        <v>-2.7770759999999999E-2</v>
      </c>
      <c r="U7756">
        <v>3.0670169999999999</v>
      </c>
      <c r="V7756">
        <v>5.7718279999999997E-2</v>
      </c>
      <c r="W7756">
        <v>0.20656830000000001</v>
      </c>
      <c r="X7756">
        <v>0.97672829999999999</v>
      </c>
      <c r="Y7756">
        <v>3.0299329999999998E-3</v>
      </c>
      <c r="Z7756">
        <v>4.9638290000000003E-3</v>
      </c>
      <c r="AA7756">
        <v>0.99998310000000001</v>
      </c>
      <c r="AB7756">
        <v>37</v>
      </c>
      <c r="AC7756">
        <v>-3.0400000000014402E-2</v>
      </c>
      <c r="AD7756">
        <v>-1.121601731291</v>
      </c>
      <c r="AE7756">
        <v>123.57029</v>
      </c>
      <c r="AF7756">
        <v>0.37539246383707497</v>
      </c>
      <c r="AG7756">
        <v>-1.121601731291</v>
      </c>
      <c r="AH7756">
        <v>123.55954396702801</v>
      </c>
      <c r="AI7756">
        <v>90.520081103256302</v>
      </c>
      <c r="AJ7756">
        <v>89.825927346670696</v>
      </c>
      <c r="AK7756">
        <v>123.565204711058</v>
      </c>
      <c r="AL7756">
        <v>78.078678944098797</v>
      </c>
      <c r="AM7756">
        <v>86.618125550600993</v>
      </c>
      <c r="AN7756">
        <v>1.00000001721596</v>
      </c>
    </row>
    <row r="7757" spans="1:40" x14ac:dyDescent="0.25">
      <c r="A7757" t="str">
        <f>"20190303170439466"</f>
        <v>20190303170439466</v>
      </c>
      <c r="B7757" t="str">
        <f>"1551603879453453"</f>
        <v>1551603879453453</v>
      </c>
      <c r="C7757" t="s">
        <v>40</v>
      </c>
      <c r="D7757">
        <v>4.2566930000000003</v>
      </c>
      <c r="E7757">
        <v>0.48213679999999898</v>
      </c>
      <c r="F7757" t="s">
        <v>57</v>
      </c>
      <c r="G7757">
        <v>-187.5351</v>
      </c>
      <c r="H7757" s="1">
        <v>3.2176549999999999E-6</v>
      </c>
      <c r="I7757">
        <v>218.3304</v>
      </c>
      <c r="J7757">
        <v>-187.5437</v>
      </c>
      <c r="K7757">
        <v>1.1216109999999999</v>
      </c>
      <c r="L7757">
        <v>82.784940000000006</v>
      </c>
      <c r="M7757">
        <v>-3.2839810000000001E-3</v>
      </c>
      <c r="N7757">
        <v>-1.4015669999999999E-2</v>
      </c>
      <c r="O7757">
        <v>0.99989640000000002</v>
      </c>
      <c r="P7757">
        <v>5.6281669999999999E-2</v>
      </c>
      <c r="Q7757">
        <v>0.1933337</v>
      </c>
      <c r="R7757">
        <v>0.97951750000000004</v>
      </c>
      <c r="S7757">
        <v>1.67846699999999E-4</v>
      </c>
      <c r="T7757">
        <v>-2.531075E-2</v>
      </c>
      <c r="U7757">
        <v>3.067078</v>
      </c>
      <c r="V7757">
        <v>5.950606E-2</v>
      </c>
      <c r="W7757">
        <v>0.20703849999999999</v>
      </c>
      <c r="X7757">
        <v>0.97652139999999998</v>
      </c>
      <c r="Y7757">
        <v>3.3385070000000001E-3</v>
      </c>
      <c r="Z7757">
        <v>5.7639709999999997E-3</v>
      </c>
      <c r="AA7757">
        <v>0.99997780000000003</v>
      </c>
      <c r="AB7757">
        <v>37</v>
      </c>
      <c r="AC7757">
        <v>8.6000000000012698E-3</v>
      </c>
      <c r="AD7757">
        <v>-1.1216077823449999</v>
      </c>
      <c r="AE7757">
        <v>135.54545999999999</v>
      </c>
      <c r="AF7757">
        <v>0.45374131951901597</v>
      </c>
      <c r="AG7757">
        <v>-1.1216077823449999</v>
      </c>
      <c r="AH7757">
        <v>135.535420351071</v>
      </c>
      <c r="AI7757">
        <v>90.474131153607004</v>
      </c>
      <c r="AJ7757">
        <v>89.808187664820395</v>
      </c>
      <c r="AK7757">
        <v>135.54082062221701</v>
      </c>
      <c r="AL7757">
        <v>78.051142742102002</v>
      </c>
      <c r="AM7757">
        <v>86.512892207448999</v>
      </c>
      <c r="AN7757">
        <v>0.99999997815846597</v>
      </c>
    </row>
    <row r="7758" spans="1:40" x14ac:dyDescent="0.25">
      <c r="A7758" t="str">
        <f>"20190303170439479"</f>
        <v>20190303170439479</v>
      </c>
      <c r="B7758" t="str">
        <f>"1551603879472972"</f>
        <v>1551603879472972</v>
      </c>
      <c r="C7758" t="s">
        <v>40</v>
      </c>
      <c r="D7758">
        <v>4.2951870000000003</v>
      </c>
      <c r="E7758">
        <v>0.48201860000000002</v>
      </c>
      <c r="F7758" t="s">
        <v>57</v>
      </c>
      <c r="G7758">
        <v>-187.40870000000001</v>
      </c>
      <c r="H7758" s="1">
        <v>3.3767859999999999E-7</v>
      </c>
      <c r="I7758">
        <v>228.6611</v>
      </c>
      <c r="J7758">
        <v>-187.5444</v>
      </c>
      <c r="K7758">
        <v>1.121613</v>
      </c>
      <c r="L7758">
        <v>83.002110000000002</v>
      </c>
      <c r="M7758">
        <v>-3.284066E-3</v>
      </c>
      <c r="N7758">
        <v>-1.401444E-2</v>
      </c>
      <c r="O7758">
        <v>0.99989640000000002</v>
      </c>
      <c r="P7758">
        <v>5.708908E-2</v>
      </c>
      <c r="Q7758">
        <v>0.193272</v>
      </c>
      <c r="R7758">
        <v>0.97948290000000005</v>
      </c>
      <c r="S7758">
        <v>2.8381349999999999E-3</v>
      </c>
      <c r="T7758">
        <v>-2.358329E-2</v>
      </c>
      <c r="U7758">
        <v>3.0672299999999999</v>
      </c>
      <c r="V7758">
        <v>6.031342E-2</v>
      </c>
      <c r="W7758">
        <v>0.2069751</v>
      </c>
      <c r="X7758">
        <v>0.9764853</v>
      </c>
      <c r="Y7758">
        <v>4.2090319999999997E-3</v>
      </c>
      <c r="Z7758">
        <v>6.3263349999999998E-3</v>
      </c>
      <c r="AA7758">
        <v>0.99997119999999995</v>
      </c>
      <c r="AB7758">
        <v>37</v>
      </c>
      <c r="AC7758">
        <v>0.135699999999985</v>
      </c>
      <c r="AD7758">
        <v>-1.1216126623214</v>
      </c>
      <c r="AE7758">
        <v>145.65898999999999</v>
      </c>
      <c r="AF7758">
        <v>0.614063576702648</v>
      </c>
      <c r="AG7758">
        <v>-1.1216126623214</v>
      </c>
      <c r="AH7758">
        <v>145.64912255851601</v>
      </c>
      <c r="AI7758">
        <v>90.441209869916307</v>
      </c>
      <c r="AJ7758">
        <v>89.758439719920304</v>
      </c>
      <c r="AK7758">
        <v>145.654735560181</v>
      </c>
      <c r="AL7758">
        <v>78.054855631365697</v>
      </c>
      <c r="AM7758">
        <v>86.465568993257506</v>
      </c>
      <c r="AN7758">
        <v>0.99999997088409698</v>
      </c>
    </row>
    <row r="7759" spans="1:40" x14ac:dyDescent="0.25">
      <c r="A7759" t="str">
        <f>"20190303170439492"</f>
        <v>20190303170439492</v>
      </c>
      <c r="B7759" t="str">
        <f>"1551603879483709"</f>
        <v>1551603879483709</v>
      </c>
      <c r="C7759" t="s">
        <v>40</v>
      </c>
      <c r="D7759">
        <v>4.2594289999999999</v>
      </c>
      <c r="E7759">
        <v>0.48196460000000002</v>
      </c>
      <c r="F7759" t="s">
        <v>57</v>
      </c>
      <c r="G7759">
        <v>-187.3494</v>
      </c>
      <c r="H7759" s="1">
        <v>8.7236169999999998E-7</v>
      </c>
      <c r="I7759">
        <v>227.14850000000001</v>
      </c>
      <c r="J7759">
        <v>-187.54519999999999</v>
      </c>
      <c r="K7759">
        <v>1.121615</v>
      </c>
      <c r="L7759">
        <v>83.222080000000005</v>
      </c>
      <c r="M7759">
        <v>-3.2841469999999998E-3</v>
      </c>
      <c r="N7759">
        <v>-1.40132E-2</v>
      </c>
      <c r="O7759">
        <v>0.99989640000000002</v>
      </c>
      <c r="P7759">
        <v>5.7648119999999997E-2</v>
      </c>
      <c r="Q7759">
        <v>0.19299069999999999</v>
      </c>
      <c r="R7759">
        <v>0.97950559999999998</v>
      </c>
      <c r="S7759">
        <v>4.1503909999999998E-3</v>
      </c>
      <c r="T7759">
        <v>-2.3866769999999999E-2</v>
      </c>
      <c r="U7759">
        <v>3.067291</v>
      </c>
      <c r="V7759">
        <v>6.0872629999999997E-2</v>
      </c>
      <c r="W7759">
        <v>0.20669290000000001</v>
      </c>
      <c r="X7759">
        <v>0.9765104</v>
      </c>
      <c r="Y7759">
        <v>4.6368370000000004E-3</v>
      </c>
      <c r="Z7759">
        <v>6.2328599999999998E-3</v>
      </c>
      <c r="AA7759">
        <v>0.99996980000000002</v>
      </c>
      <c r="AB7759">
        <v>37</v>
      </c>
      <c r="AC7759">
        <v>0.19579999999999101</v>
      </c>
      <c r="AD7759">
        <v>-1.1216141276383</v>
      </c>
      <c r="AE7759">
        <v>143.92642000000001</v>
      </c>
      <c r="AF7759">
        <v>0.66848029179993596</v>
      </c>
      <c r="AG7759">
        <v>-1.1216141276383</v>
      </c>
      <c r="AH7759">
        <v>143.91626050740001</v>
      </c>
      <c r="AI7759">
        <v>90.446521895927702</v>
      </c>
      <c r="AJ7759">
        <v>89.733867293220598</v>
      </c>
      <c r="AK7759">
        <v>143.92218356662599</v>
      </c>
      <c r="AL7759">
        <v>78.071382175183203</v>
      </c>
      <c r="AM7759">
        <v>86.432974366873395</v>
      </c>
      <c r="AN7759">
        <v>0.99999999665084305</v>
      </c>
    </row>
    <row r="7760" spans="1:40" x14ac:dyDescent="0.25">
      <c r="A7760" t="str">
        <f>"20190303170439505"</f>
        <v>20190303170439505</v>
      </c>
      <c r="B7760" t="str">
        <f>"1551603879493470"</f>
        <v>1551603879493470</v>
      </c>
      <c r="C7760" t="s">
        <v>40</v>
      </c>
      <c r="D7760">
        <v>4.352544</v>
      </c>
      <c r="E7760">
        <v>0.48189850000000001</v>
      </c>
      <c r="F7760" t="s">
        <v>57</v>
      </c>
      <c r="G7760">
        <v>-187.30600000000001</v>
      </c>
      <c r="H7760" s="1">
        <v>2.8226069999999999E-6</v>
      </c>
      <c r="I7760">
        <v>220.96619999999999</v>
      </c>
      <c r="J7760">
        <v>-187.54580000000001</v>
      </c>
      <c r="K7760">
        <v>1.1216120000000001</v>
      </c>
      <c r="L7760">
        <v>83.419399999999996</v>
      </c>
      <c r="M7760">
        <v>-3.2842330000000001E-3</v>
      </c>
      <c r="N7760">
        <v>-1.401208E-2</v>
      </c>
      <c r="O7760">
        <v>0.99989640000000002</v>
      </c>
      <c r="P7760">
        <v>5.83428E-2</v>
      </c>
      <c r="Q7760">
        <v>0.1929073</v>
      </c>
      <c r="R7760">
        <v>0.97948089999999999</v>
      </c>
      <c r="S7760">
        <v>5.3253170000000004E-3</v>
      </c>
      <c r="T7760">
        <v>-2.4976849999999998E-2</v>
      </c>
      <c r="U7760">
        <v>3.067383</v>
      </c>
      <c r="V7760">
        <v>6.1567289999999997E-2</v>
      </c>
      <c r="W7760">
        <v>0.20660790000000001</v>
      </c>
      <c r="X7760">
        <v>0.97648480000000004</v>
      </c>
      <c r="Y7760">
        <v>5.0198409999999997E-3</v>
      </c>
      <c r="Z7760">
        <v>5.8701279999999996E-3</v>
      </c>
      <c r="AA7760">
        <v>0.99997020000000003</v>
      </c>
      <c r="AB7760">
        <v>37</v>
      </c>
      <c r="AC7760">
        <v>0.23980000000002999</v>
      </c>
      <c r="AD7760">
        <v>-1.1216091773929999</v>
      </c>
      <c r="AE7760">
        <v>137.54679999999999</v>
      </c>
      <c r="AF7760">
        <v>0.69153283115508601</v>
      </c>
      <c r="AG7760">
        <v>-1.1216091773929999</v>
      </c>
      <c r="AH7760">
        <v>137.536125120843</v>
      </c>
      <c r="AI7760">
        <v>90.467231683899797</v>
      </c>
      <c r="AJ7760">
        <v>89.7119187508153</v>
      </c>
      <c r="AK7760">
        <v>137.54243686244499</v>
      </c>
      <c r="AL7760">
        <v>78.076359315961994</v>
      </c>
      <c r="AM7760">
        <v>86.392281120723794</v>
      </c>
      <c r="AN7760">
        <v>0.99999996008569603</v>
      </c>
    </row>
    <row r="7761" spans="1:40" x14ac:dyDescent="0.25">
      <c r="A7761" t="str">
        <f>"20190303170439524"</f>
        <v>20190303170439524</v>
      </c>
      <c r="B7761" t="str">
        <f>"1551603879512988"</f>
        <v>1551603879512988</v>
      </c>
      <c r="C7761" t="s">
        <v>40</v>
      </c>
      <c r="D7761">
        <v>4.2583320000000002</v>
      </c>
      <c r="E7761">
        <v>0.48178650000000001</v>
      </c>
      <c r="F7761" t="s">
        <v>57</v>
      </c>
      <c r="G7761">
        <v>-187.2354</v>
      </c>
      <c r="H7761" s="1">
        <v>3.151777E-6</v>
      </c>
      <c r="I7761">
        <v>218.4759</v>
      </c>
      <c r="J7761">
        <v>-187.54679999999999</v>
      </c>
      <c r="K7761">
        <v>1.1216079999999999</v>
      </c>
      <c r="L7761">
        <v>83.745540000000005</v>
      </c>
      <c r="M7761">
        <v>-3.2843820000000002E-3</v>
      </c>
      <c r="N7761">
        <v>-1.401022E-2</v>
      </c>
      <c r="O7761">
        <v>0.99989649999999997</v>
      </c>
      <c r="P7761">
        <v>6.0885670000000003E-2</v>
      </c>
      <c r="Q7761">
        <v>0.19286159999999999</v>
      </c>
      <c r="R7761">
        <v>0.97933510000000001</v>
      </c>
      <c r="S7761">
        <v>7.0495610000000002E-3</v>
      </c>
      <c r="T7761">
        <v>-2.547431E-2</v>
      </c>
      <c r="U7761">
        <v>3.0674440000000001</v>
      </c>
      <c r="V7761">
        <v>6.4109830000000007E-2</v>
      </c>
      <c r="W7761">
        <v>0.20655799999999999</v>
      </c>
      <c r="X7761">
        <v>0.97633179999999997</v>
      </c>
      <c r="Y7761">
        <v>5.5819559999999999E-3</v>
      </c>
      <c r="Z7761">
        <v>5.7063019999999999E-3</v>
      </c>
      <c r="AA7761">
        <v>0.99996810000000003</v>
      </c>
      <c r="AB7761">
        <v>37</v>
      </c>
      <c r="AC7761">
        <v>0.31139999999999102</v>
      </c>
      <c r="AD7761">
        <v>-1.1216048482230001</v>
      </c>
      <c r="AE7761">
        <v>134.73035999999999</v>
      </c>
      <c r="AF7761">
        <v>0.75389545948532</v>
      </c>
      <c r="AG7761">
        <v>-1.1216048482230001</v>
      </c>
      <c r="AH7761">
        <v>134.71927398845401</v>
      </c>
      <c r="AI7761">
        <v>90.476997324389401</v>
      </c>
      <c r="AJ7761">
        <v>89.679373441844007</v>
      </c>
      <c r="AK7761">
        <v>134.72605219398099</v>
      </c>
      <c r="AL7761">
        <v>78.079282261533706</v>
      </c>
      <c r="AM7761">
        <v>86.243124569731705</v>
      </c>
      <c r="AN7761">
        <v>1.0000000306789301</v>
      </c>
    </row>
    <row r="7762" spans="1:40" x14ac:dyDescent="0.25">
      <c r="A7762" t="str">
        <f>"20190303170439556"</f>
        <v>20190303170439556</v>
      </c>
      <c r="B7762" t="str">
        <f>"1551603879543244"</f>
        <v>1551603879543244</v>
      </c>
      <c r="C7762" t="s">
        <v>40</v>
      </c>
      <c r="D7762">
        <v>4.351629</v>
      </c>
      <c r="E7762">
        <v>0.48154010000000003</v>
      </c>
      <c r="F7762" t="s">
        <v>57</v>
      </c>
      <c r="G7762">
        <v>-186.94450000000001</v>
      </c>
      <c r="H7762" s="1">
        <v>3.2318469999999999E-6</v>
      </c>
      <c r="I7762">
        <v>216.96969999999999</v>
      </c>
      <c r="J7762">
        <v>-187.54849999999999</v>
      </c>
      <c r="K7762">
        <v>1.1216090000000001</v>
      </c>
      <c r="L7762">
        <v>84.251400000000004</v>
      </c>
      <c r="M7762">
        <v>-3.284595E-3</v>
      </c>
      <c r="N7762">
        <v>-1.400735E-2</v>
      </c>
      <c r="O7762">
        <v>0.99989649999999997</v>
      </c>
      <c r="P7762">
        <v>6.3235180000000002E-2</v>
      </c>
      <c r="Q7762">
        <v>0.192243</v>
      </c>
      <c r="R7762">
        <v>0.97930790000000001</v>
      </c>
      <c r="S7762">
        <v>1.3870240000000001E-2</v>
      </c>
      <c r="T7762">
        <v>-2.5825379999999998E-2</v>
      </c>
      <c r="U7762">
        <v>3.0675349999999999</v>
      </c>
      <c r="V7762">
        <v>6.6459389999999993E-2</v>
      </c>
      <c r="W7762">
        <v>0.20593610000000001</v>
      </c>
      <c r="X7762">
        <v>0.97630600000000001</v>
      </c>
      <c r="Y7762">
        <v>7.8051400000000003E-3</v>
      </c>
      <c r="Z7762">
        <v>5.5893849999999997E-3</v>
      </c>
      <c r="AA7762">
        <v>0.99995389999999995</v>
      </c>
      <c r="AB7762">
        <v>37</v>
      </c>
      <c r="AC7762">
        <v>0.60399999999998499</v>
      </c>
      <c r="AD7762">
        <v>-1.1216057681530001</v>
      </c>
      <c r="AE7762">
        <v>132.7183</v>
      </c>
      <c r="AF7762">
        <v>1.0398911092585601</v>
      </c>
      <c r="AG7762">
        <v>-1.1216057681530001</v>
      </c>
      <c r="AH7762">
        <v>132.70612219441699</v>
      </c>
      <c r="AI7762">
        <v>90.484226144638896</v>
      </c>
      <c r="AJ7762">
        <v>89.551036898148297</v>
      </c>
      <c r="AK7762">
        <v>132.71493601286099</v>
      </c>
      <c r="AL7762">
        <v>78.115696663137101</v>
      </c>
      <c r="AM7762">
        <v>86.105752485577796</v>
      </c>
      <c r="AN7762">
        <v>0.99999996671919</v>
      </c>
    </row>
    <row r="7763" spans="1:40" x14ac:dyDescent="0.25">
      <c r="A7763" t="str">
        <f>"20190303170439579"</f>
        <v>20190303170439579</v>
      </c>
      <c r="B7763" t="str">
        <f>"1551603879573501"</f>
        <v>1551603879573501</v>
      </c>
      <c r="C7763" t="s">
        <v>40</v>
      </c>
      <c r="D7763">
        <v>4.287776</v>
      </c>
      <c r="E7763">
        <v>0.48133199999999998</v>
      </c>
      <c r="F7763" t="s">
        <v>57</v>
      </c>
      <c r="G7763">
        <v>-186.786</v>
      </c>
      <c r="H7763" s="1">
        <v>5.3577649999999999E-6</v>
      </c>
      <c r="I7763">
        <v>205.0531</v>
      </c>
      <c r="J7763">
        <v>-187.5497</v>
      </c>
      <c r="K7763">
        <v>1.121613</v>
      </c>
      <c r="L7763">
        <v>84.635769999999994</v>
      </c>
      <c r="M7763">
        <v>-3.2847390000000001E-3</v>
      </c>
      <c r="N7763">
        <v>-1.4005190000000001E-2</v>
      </c>
      <c r="O7763">
        <v>0.99989649999999997</v>
      </c>
      <c r="P7763">
        <v>6.4753499999999894E-2</v>
      </c>
      <c r="Q7763">
        <v>0.19209699999999999</v>
      </c>
      <c r="R7763">
        <v>0.97923729999999998</v>
      </c>
      <c r="S7763">
        <v>1.9363399999999999E-2</v>
      </c>
      <c r="T7763">
        <v>-2.8483029999999999E-2</v>
      </c>
      <c r="U7763">
        <v>3.0677490000000001</v>
      </c>
      <c r="V7763">
        <v>6.7977620000000002E-2</v>
      </c>
      <c r="W7763">
        <v>0.20578730000000001</v>
      </c>
      <c r="X7763">
        <v>0.97623289999999996</v>
      </c>
      <c r="Y7763">
        <v>9.5951279999999996E-3</v>
      </c>
      <c r="Z7763">
        <v>4.7217550000000002E-3</v>
      </c>
      <c r="AA7763">
        <v>0.99994280000000002</v>
      </c>
      <c r="AB7763">
        <v>37</v>
      </c>
      <c r="AC7763">
        <v>0.76370000000002802</v>
      </c>
      <c r="AD7763">
        <v>-1.1216076422350001</v>
      </c>
      <c r="AE7763">
        <v>120.41733000000001</v>
      </c>
      <c r="AF7763">
        <v>1.1591736251804501</v>
      </c>
      <c r="AG7763">
        <v>-1.1216076422350001</v>
      </c>
      <c r="AH7763">
        <v>120.403726015807</v>
      </c>
      <c r="AI7763">
        <v>90.533692351802003</v>
      </c>
      <c r="AJ7763">
        <v>89.448408227831294</v>
      </c>
      <c r="AK7763">
        <v>120.41452954559099</v>
      </c>
      <c r="AL7763">
        <v>78.124409551911796</v>
      </c>
      <c r="AM7763">
        <v>86.016776297543302</v>
      </c>
      <c r="AN7763">
        <v>1.00000002235228</v>
      </c>
    </row>
    <row r="7764" spans="1:40" x14ac:dyDescent="0.25">
      <c r="A7764" t="str">
        <f>"20190303170439600"</f>
        <v>20190303170439600</v>
      </c>
      <c r="B7764" t="str">
        <f>"1551603879593020"</f>
        <v>1551603879593020</v>
      </c>
      <c r="C7764" t="s">
        <v>40</v>
      </c>
      <c r="D7764">
        <v>4.3449229999999996</v>
      </c>
      <c r="E7764">
        <v>0.47599010000000003</v>
      </c>
      <c r="F7764" t="s">
        <v>57</v>
      </c>
      <c r="G7764">
        <v>-186.6815</v>
      </c>
      <c r="H7764" s="1">
        <v>5.6598420000000003E-6</v>
      </c>
      <c r="I7764">
        <v>204.02350000000001</v>
      </c>
      <c r="J7764">
        <v>-187.55090000000001</v>
      </c>
      <c r="K7764">
        <v>1.121613</v>
      </c>
      <c r="L7764">
        <v>84.995940000000004</v>
      </c>
      <c r="M7764">
        <v>-3.2849020000000001E-3</v>
      </c>
      <c r="N7764">
        <v>-1.400322E-2</v>
      </c>
      <c r="O7764">
        <v>0.99989649999999997</v>
      </c>
      <c r="P7764">
        <v>6.5459039999999996E-2</v>
      </c>
      <c r="Q7764">
        <v>0.19190499999999999</v>
      </c>
      <c r="R7764">
        <v>0.97922810000000005</v>
      </c>
      <c r="S7764">
        <v>2.2308350000000001E-2</v>
      </c>
      <c r="T7764">
        <v>-2.8820749999999999E-2</v>
      </c>
      <c r="U7764">
        <v>3.06778</v>
      </c>
      <c r="V7764">
        <v>6.8683309999999997E-2</v>
      </c>
      <c r="W7764">
        <v>0.20559259999999999</v>
      </c>
      <c r="X7764">
        <v>0.97622450000000005</v>
      </c>
      <c r="Y7764">
        <v>1.0554920000000001E-2</v>
      </c>
      <c r="Z7764">
        <v>4.6099009999999996E-3</v>
      </c>
      <c r="AA7764">
        <v>0.99993370000000004</v>
      </c>
      <c r="AB7764">
        <v>37</v>
      </c>
      <c r="AC7764">
        <v>0.86940000000001205</v>
      </c>
      <c r="AD7764">
        <v>-1.121607340158</v>
      </c>
      <c r="AE7764">
        <v>119.02755999999999</v>
      </c>
      <c r="AF7764">
        <v>1.26031563692078</v>
      </c>
      <c r="AG7764">
        <v>-1.121607340158</v>
      </c>
      <c r="AH7764">
        <v>119.013494316451</v>
      </c>
      <c r="AI7764">
        <v>90.539920805882701</v>
      </c>
      <c r="AJ7764">
        <v>89.393278315434401</v>
      </c>
      <c r="AK7764">
        <v>119.02545201738199</v>
      </c>
      <c r="AL7764">
        <v>78.135808450026403</v>
      </c>
      <c r="AM7764">
        <v>85.975526275103405</v>
      </c>
      <c r="AN7764">
        <v>0.99999999432378295</v>
      </c>
    </row>
    <row r="7765" spans="1:40" x14ac:dyDescent="0.25">
      <c r="A7765" t="str">
        <f>"20190303170439622"</f>
        <v>20190303170439622</v>
      </c>
      <c r="B7765" t="str">
        <f>"1551603879613517"</f>
        <v>1551603879613517</v>
      </c>
      <c r="C7765" t="s">
        <v>40</v>
      </c>
      <c r="D7765">
        <v>4.3068970000000002</v>
      </c>
      <c r="E7765">
        <v>0.47602260000000002</v>
      </c>
      <c r="F7765" t="s">
        <v>42</v>
      </c>
      <c r="G7765">
        <v>-188.18119999999999</v>
      </c>
      <c r="H7765" s="1">
        <v>-3.444338E-6</v>
      </c>
      <c r="I7765">
        <v>186.90960000000001</v>
      </c>
      <c r="J7765">
        <v>-187.55199999999999</v>
      </c>
      <c r="K7765">
        <v>1.1216140000000001</v>
      </c>
      <c r="L7765">
        <v>85.342410000000001</v>
      </c>
      <c r="M7765">
        <v>-3.2850750000000001E-3</v>
      </c>
      <c r="N7765">
        <v>-1.400128E-2</v>
      </c>
      <c r="O7765">
        <v>0.99989660000000002</v>
      </c>
      <c r="P7765">
        <v>6.6636600000000004E-2</v>
      </c>
      <c r="Q7765">
        <v>0.19161800000000001</v>
      </c>
      <c r="R7765">
        <v>0.97920479999999999</v>
      </c>
      <c r="S7765">
        <v>-1.8997190000000001E-2</v>
      </c>
      <c r="T7765">
        <v>-3.3803939999999998E-2</v>
      </c>
      <c r="U7765">
        <v>3.0715330000000001</v>
      </c>
      <c r="V7765">
        <v>6.9860950000000005E-2</v>
      </c>
      <c r="W7765">
        <v>0.20530370000000001</v>
      </c>
      <c r="X7765">
        <v>0.97620169999999995</v>
      </c>
      <c r="Y7765">
        <v>-2.8989010000000002E-3</v>
      </c>
      <c r="Z7765">
        <v>2.996692E-3</v>
      </c>
      <c r="AA7765">
        <v>0.99999130000000003</v>
      </c>
      <c r="AB7765">
        <v>36</v>
      </c>
      <c r="AC7765">
        <v>-0.62919999999996801</v>
      </c>
      <c r="AD7765">
        <v>-1.12161744433799</v>
      </c>
      <c r="AE7765">
        <v>101.56719</v>
      </c>
      <c r="AF7765">
        <v>-0.29547203338356698</v>
      </c>
      <c r="AG7765">
        <v>-1.12161744433799</v>
      </c>
      <c r="AH7765">
        <v>101.556324678415</v>
      </c>
      <c r="AI7765">
        <v>90.632762768177798</v>
      </c>
      <c r="AJ7765">
        <v>90.166698162452505</v>
      </c>
      <c r="AK7765">
        <v>101.562948025358</v>
      </c>
      <c r="AL7765">
        <v>78.152721592103106</v>
      </c>
      <c r="AM7765">
        <v>85.906660187384006</v>
      </c>
      <c r="AN7765">
        <v>0.99999996032574001</v>
      </c>
    </row>
    <row r="7766" spans="1:40" x14ac:dyDescent="0.25">
      <c r="A7766" t="str">
        <f>"20190303170439645"</f>
        <v>20190303170439645</v>
      </c>
      <c r="B7766" t="str">
        <f>"1551603879633036"</f>
        <v>1551603879633036</v>
      </c>
      <c r="C7766" t="s">
        <v>40</v>
      </c>
      <c r="D7766">
        <v>4.4098730000000002</v>
      </c>
      <c r="E7766">
        <v>0.47599449999999999</v>
      </c>
      <c r="F7766" t="s">
        <v>42</v>
      </c>
      <c r="G7766">
        <v>-188.10659999999999</v>
      </c>
      <c r="H7766" s="1">
        <v>-1.1175239999999999E-6</v>
      </c>
      <c r="I7766">
        <v>191.45160000000001</v>
      </c>
      <c r="J7766">
        <v>-187.5532</v>
      </c>
      <c r="K7766">
        <v>1.1216109999999999</v>
      </c>
      <c r="L7766">
        <v>85.709379999999996</v>
      </c>
      <c r="M7766">
        <v>-3.2852599999999999E-3</v>
      </c>
      <c r="N7766">
        <v>-1.399922E-2</v>
      </c>
      <c r="O7766">
        <v>0.99989660000000002</v>
      </c>
      <c r="P7766">
        <v>6.7975030000000006E-2</v>
      </c>
      <c r="Q7766">
        <v>0.1915299</v>
      </c>
      <c r="R7766">
        <v>0.9791301</v>
      </c>
      <c r="S7766">
        <v>-1.6052250000000001E-2</v>
      </c>
      <c r="T7766">
        <v>-3.2463430000000001E-2</v>
      </c>
      <c r="U7766">
        <v>3.071167</v>
      </c>
      <c r="V7766">
        <v>7.1199310000000002E-2</v>
      </c>
      <c r="W7766">
        <v>0.20521229999999999</v>
      </c>
      <c r="X7766">
        <v>0.97612429999999994</v>
      </c>
      <c r="Y7766">
        <v>-1.9407560000000001E-3</v>
      </c>
      <c r="Z7766">
        <v>3.4297189999999999E-3</v>
      </c>
      <c r="AA7766">
        <v>0.99999229999999995</v>
      </c>
      <c r="AB7766">
        <v>36</v>
      </c>
      <c r="AC7766">
        <v>-0.55339999999998202</v>
      </c>
      <c r="AD7766">
        <v>-1.1216121175239999</v>
      </c>
      <c r="AE7766">
        <v>105.74221999999899</v>
      </c>
      <c r="AF7766">
        <v>-0.20594910810044001</v>
      </c>
      <c r="AG7766">
        <v>-1.1216121175239999</v>
      </c>
      <c r="AH7766">
        <v>105.731572030819</v>
      </c>
      <c r="AI7766">
        <v>90.607775965529896</v>
      </c>
      <c r="AJ7766">
        <v>90.111603370104902</v>
      </c>
      <c r="AK7766">
        <v>105.73772152304799</v>
      </c>
      <c r="AL7766">
        <v>78.158073305915195</v>
      </c>
      <c r="AM7766">
        <v>85.828186729380604</v>
      </c>
      <c r="AN7766">
        <v>1.0000000394331201</v>
      </c>
    </row>
    <row r="7767" spans="1:40" x14ac:dyDescent="0.25">
      <c r="A7767" t="str">
        <f>"20190303170439667"</f>
        <v>20190303170439667</v>
      </c>
      <c r="B7767" t="str">
        <f>"1551603879653533"</f>
        <v>1551603879653533</v>
      </c>
      <c r="C7767" t="s">
        <v>40</v>
      </c>
      <c r="D7767">
        <v>4.4137230000000001</v>
      </c>
      <c r="E7767">
        <v>0.47610140000000001</v>
      </c>
      <c r="F7767" t="s">
        <v>42</v>
      </c>
      <c r="G7767">
        <v>-187.98759999999999</v>
      </c>
      <c r="H7767" s="1">
        <v>-2.0845600000000001E-6</v>
      </c>
      <c r="I7767">
        <v>193.65989999999999</v>
      </c>
      <c r="J7767">
        <v>-187.55439999999999</v>
      </c>
      <c r="K7767">
        <v>1.1216170000000001</v>
      </c>
      <c r="L7767">
        <v>86.065219999999997</v>
      </c>
      <c r="M7767">
        <v>-3.285418E-3</v>
      </c>
      <c r="N7767">
        <v>-1.3997229999999999E-2</v>
      </c>
      <c r="O7767">
        <v>0.99989660000000002</v>
      </c>
      <c r="P7767">
        <v>6.9046239999999995E-2</v>
      </c>
      <c r="Q7767">
        <v>0.19041649999999999</v>
      </c>
      <c r="R7767">
        <v>0.97927229999999998</v>
      </c>
      <c r="S7767">
        <v>-1.235962E-2</v>
      </c>
      <c r="T7767">
        <v>-3.1908390000000002E-2</v>
      </c>
      <c r="U7767">
        <v>3.0710449999999998</v>
      </c>
      <c r="V7767">
        <v>7.2271089999999996E-2</v>
      </c>
      <c r="W7767">
        <v>0.20409910000000001</v>
      </c>
      <c r="X7767">
        <v>0.97627889999999995</v>
      </c>
      <c r="Y7767">
        <v>-7.3864509999999896E-4</v>
      </c>
      <c r="Z7767">
        <v>3.6080090000000001E-3</v>
      </c>
      <c r="AA7767">
        <v>0.99999320000000003</v>
      </c>
      <c r="AB7767">
        <v>36</v>
      </c>
      <c r="AC7767">
        <v>-0.43319999999999897</v>
      </c>
      <c r="AD7767">
        <v>-1.12161908456</v>
      </c>
      <c r="AE7767">
        <v>107.59468</v>
      </c>
      <c r="AF7767">
        <v>-7.9660859957527502E-2</v>
      </c>
      <c r="AG7767">
        <v>-1.12161908456</v>
      </c>
      <c r="AH7767">
        <v>107.583831647751</v>
      </c>
      <c r="AI7767">
        <v>90.597317394207096</v>
      </c>
      <c r="AJ7767">
        <v>90.042424871506199</v>
      </c>
      <c r="AK7767">
        <v>107.589707719814</v>
      </c>
      <c r="AL7767">
        <v>78.223233951817505</v>
      </c>
      <c r="AM7767">
        <v>85.7662822753597</v>
      </c>
      <c r="AN7767">
        <v>1.0000000218278999</v>
      </c>
    </row>
    <row r="7768" spans="1:40" x14ac:dyDescent="0.25">
      <c r="A7768" t="str">
        <f>"20190303170439691"</f>
        <v>20190303170439691</v>
      </c>
      <c r="B7768" t="str">
        <f>"1551603879683789"</f>
        <v>1551603879683789</v>
      </c>
      <c r="C7768" t="s">
        <v>40</v>
      </c>
      <c r="D7768">
        <v>4.3360560000000001</v>
      </c>
      <c r="E7768">
        <v>0.47611320000000001</v>
      </c>
      <c r="F7768" t="s">
        <v>42</v>
      </c>
      <c r="G7768">
        <v>-187.8107</v>
      </c>
      <c r="H7768" s="1">
        <v>-1.769239E-6</v>
      </c>
      <c r="I7768">
        <v>182.85169999999999</v>
      </c>
      <c r="J7768">
        <v>-187.5556</v>
      </c>
      <c r="K7768">
        <v>1.121615</v>
      </c>
      <c r="L7768">
        <v>86.471190000000007</v>
      </c>
      <c r="M7768">
        <v>-3.285573E-3</v>
      </c>
      <c r="N7768">
        <v>-1.3994940000000001E-2</v>
      </c>
      <c r="O7768">
        <v>0.99989660000000002</v>
      </c>
      <c r="P7768">
        <v>7.0174150000000005E-2</v>
      </c>
      <c r="Q7768">
        <v>0.1897528</v>
      </c>
      <c r="R7768">
        <v>0.97932090000000005</v>
      </c>
      <c r="S7768">
        <v>-8.1329350000000009E-3</v>
      </c>
      <c r="T7768">
        <v>-3.5588740000000001E-2</v>
      </c>
      <c r="U7768">
        <v>3.0710139999999999</v>
      </c>
      <c r="V7768">
        <v>7.3399309999999995E-2</v>
      </c>
      <c r="W7768">
        <v>0.2034339</v>
      </c>
      <c r="X7768">
        <v>0.97633360000000002</v>
      </c>
      <c r="Y7768">
        <v>6.37511E-4</v>
      </c>
      <c r="Z7768">
        <v>2.4073720000000001E-3</v>
      </c>
      <c r="AA7768">
        <v>0.99999689999999997</v>
      </c>
      <c r="AB7768">
        <v>36</v>
      </c>
      <c r="AC7768">
        <v>-0.255099999999998</v>
      </c>
      <c r="AD7768">
        <v>-1.121616769239</v>
      </c>
      <c r="AE7768">
        <v>96.380510000000001</v>
      </c>
      <c r="AF7768">
        <v>6.1589274515526801E-2</v>
      </c>
      <c r="AG7768">
        <v>-1.121616769239</v>
      </c>
      <c r="AH7768">
        <v>96.367777048653394</v>
      </c>
      <c r="AI7768">
        <v>90.666830701764695</v>
      </c>
      <c r="AJ7768">
        <v>89.963381898798204</v>
      </c>
      <c r="AK7768">
        <v>96.374323710803495</v>
      </c>
      <c r="AL7768">
        <v>78.262164261043296</v>
      </c>
      <c r="AM7768">
        <v>85.700675873421702</v>
      </c>
      <c r="AN7768">
        <v>1.0000000544333201</v>
      </c>
    </row>
    <row r="7769" spans="1:40" x14ac:dyDescent="0.25">
      <c r="A7769" t="str">
        <f>"20190303170439712"</f>
        <v>20190303170439712</v>
      </c>
      <c r="B7769" t="str">
        <f>"1551603879703308"</f>
        <v>1551603879703308</v>
      </c>
      <c r="C7769" t="s">
        <v>40</v>
      </c>
      <c r="D7769">
        <v>4.4560639999999996</v>
      </c>
      <c r="E7769">
        <v>0.44487969999999999</v>
      </c>
      <c r="F7769" t="s">
        <v>42</v>
      </c>
      <c r="G7769">
        <v>-187.68270000000001</v>
      </c>
      <c r="H7769" s="1">
        <v>-1.375038E-6</v>
      </c>
      <c r="I7769">
        <v>181.8768</v>
      </c>
      <c r="J7769">
        <v>-187.55670000000001</v>
      </c>
      <c r="K7769">
        <v>1.12161</v>
      </c>
      <c r="L7769">
        <v>86.804569999999998</v>
      </c>
      <c r="M7769">
        <v>-3.2857110000000002E-3</v>
      </c>
      <c r="N7769">
        <v>-1.399307E-2</v>
      </c>
      <c r="O7769">
        <v>0.99989669999999997</v>
      </c>
      <c r="P7769">
        <v>7.0805480000000004E-2</v>
      </c>
      <c r="Q7769">
        <v>0.1896601</v>
      </c>
      <c r="R7769">
        <v>0.97929350000000004</v>
      </c>
      <c r="S7769">
        <v>-4.0893550000000002E-3</v>
      </c>
      <c r="T7769">
        <v>-3.6099079999999999E-2</v>
      </c>
      <c r="U7769">
        <v>3.0706180000000001</v>
      </c>
      <c r="V7769">
        <v>7.4030650000000003E-2</v>
      </c>
      <c r="W7769">
        <v>0.20333860000000001</v>
      </c>
      <c r="X7769">
        <v>0.97630570000000005</v>
      </c>
      <c r="Y7769">
        <v>1.953921E-3</v>
      </c>
      <c r="Z7769">
        <v>2.2378559999999999E-3</v>
      </c>
      <c r="AA7769">
        <v>0.99999559999999998</v>
      </c>
      <c r="AB7769">
        <v>36</v>
      </c>
      <c r="AC7769">
        <v>-0.126000000000004</v>
      </c>
      <c r="AD7769">
        <v>-1.1216113750379999</v>
      </c>
      <c r="AE7769">
        <v>95.072230000000005</v>
      </c>
      <c r="AF7769">
        <v>0.18638519655418501</v>
      </c>
      <c r="AG7769">
        <v>-1.1216113750379999</v>
      </c>
      <c r="AH7769">
        <v>95.058900449936303</v>
      </c>
      <c r="AI7769">
        <v>90.676007109624805</v>
      </c>
      <c r="AJ7769">
        <v>89.887658374012403</v>
      </c>
      <c r="AK7769">
        <v>95.065699946242503</v>
      </c>
      <c r="AL7769">
        <v>78.267740127242007</v>
      </c>
      <c r="AM7769">
        <v>85.663712482849306</v>
      </c>
      <c r="AN7769">
        <v>0.99999997162093501</v>
      </c>
    </row>
    <row r="7770" spans="1:40" x14ac:dyDescent="0.25">
      <c r="A7770" t="str">
        <f>"20190303170439734"</f>
        <v>20190303170439734</v>
      </c>
      <c r="B7770" t="str">
        <f>"1551603879723805"</f>
        <v>1551603879723805</v>
      </c>
      <c r="C7770" t="s">
        <v>40</v>
      </c>
      <c r="D7770">
        <v>4.3840240000000001</v>
      </c>
      <c r="E7770">
        <v>0.4313051</v>
      </c>
      <c r="F7770" t="s">
        <v>49</v>
      </c>
      <c r="G7770">
        <v>-212.29560000000001</v>
      </c>
      <c r="H7770">
        <v>1.6780759999999999</v>
      </c>
      <c r="I7770">
        <v>391.87</v>
      </c>
      <c r="J7770">
        <v>-187.55789999999999</v>
      </c>
      <c r="K7770">
        <v>1.12161</v>
      </c>
      <c r="L7770">
        <v>87.162899999999993</v>
      </c>
      <c r="M7770">
        <v>-3.285872E-3</v>
      </c>
      <c r="N7770">
        <v>-1.3991109999999999E-2</v>
      </c>
      <c r="O7770">
        <v>0.99989669999999997</v>
      </c>
      <c r="P7770">
        <v>7.0880830000000006E-2</v>
      </c>
      <c r="Q7770">
        <v>0.19027720000000001</v>
      </c>
      <c r="R7770">
        <v>0.97916820000000004</v>
      </c>
      <c r="S7770">
        <v>-0.24980160000000001</v>
      </c>
      <c r="T7770">
        <v>5.6189300000000003E-3</v>
      </c>
      <c r="U7770">
        <v>3.0804140000000002</v>
      </c>
      <c r="V7770">
        <v>7.4105809999999994E-2</v>
      </c>
      <c r="W7770">
        <v>0.2039521</v>
      </c>
      <c r="X7770">
        <v>0.97617209999999999</v>
      </c>
      <c r="Y7770">
        <v>-7.753562E-2</v>
      </c>
      <c r="Z7770">
        <v>1.5807379999999999E-2</v>
      </c>
      <c r="AA7770">
        <v>0.99686430000000004</v>
      </c>
      <c r="AB7770">
        <v>36</v>
      </c>
      <c r="AC7770">
        <v>-24.7377</v>
      </c>
      <c r="AD7770">
        <v>0.55646599999999902</v>
      </c>
      <c r="AE7770">
        <v>304.70710000000003</v>
      </c>
      <c r="AF7770">
        <v>-23.736161223914898</v>
      </c>
      <c r="AG7770">
        <v>0.55646599999999902</v>
      </c>
      <c r="AH7770">
        <v>304.78573775081998</v>
      </c>
      <c r="AI7770">
        <v>89.895707489129705</v>
      </c>
      <c r="AJ7770">
        <v>94.453103339085004</v>
      </c>
      <c r="AK7770">
        <v>305.709111641064</v>
      </c>
      <c r="AL7770">
        <v>78.231837730234602</v>
      </c>
      <c r="AM7770">
        <v>85.6587350633082</v>
      </c>
      <c r="AN7770">
        <v>1.00000004949428</v>
      </c>
    </row>
    <row r="7771" spans="1:40" x14ac:dyDescent="0.25">
      <c r="A7771" t="str">
        <f>"20190303170439757"</f>
        <v>20190303170439757</v>
      </c>
      <c r="B7771" t="str">
        <f>"1551603879753085"</f>
        <v>1551603879753085</v>
      </c>
      <c r="C7771" t="s">
        <v>40</v>
      </c>
      <c r="D7771">
        <v>4.4211039999999997</v>
      </c>
      <c r="E7771">
        <v>0.42336259999999998</v>
      </c>
      <c r="F7771" t="s">
        <v>49</v>
      </c>
      <c r="G7771">
        <v>-222.86609999999999</v>
      </c>
      <c r="H7771">
        <v>5.0118159999999996</v>
      </c>
      <c r="I7771">
        <v>391.87</v>
      </c>
      <c r="J7771">
        <v>-187.5591</v>
      </c>
      <c r="K7771">
        <v>1.1216120000000001</v>
      </c>
      <c r="L7771">
        <v>87.527739999999994</v>
      </c>
      <c r="M7771">
        <v>-3.2860480000000002E-3</v>
      </c>
      <c r="N7771">
        <v>-1.3989079999999999E-2</v>
      </c>
      <c r="O7771">
        <v>0.99989680000000003</v>
      </c>
      <c r="P7771">
        <v>7.1204820000000002E-2</v>
      </c>
      <c r="Q7771">
        <v>0.19073760000000001</v>
      </c>
      <c r="R7771">
        <v>0.97905520000000001</v>
      </c>
      <c r="S7771">
        <v>-0.35713200000000001</v>
      </c>
      <c r="T7771">
        <v>3.9348359999999999E-2</v>
      </c>
      <c r="U7771">
        <v>3.0820310000000002</v>
      </c>
      <c r="V7771">
        <v>7.4429599999999999E-2</v>
      </c>
      <c r="W7771">
        <v>0.20440900000000001</v>
      </c>
      <c r="X7771">
        <v>0.97605180000000002</v>
      </c>
      <c r="Y7771">
        <v>-0.1117982</v>
      </c>
      <c r="Z7771">
        <v>2.6667469999999999E-2</v>
      </c>
      <c r="AA7771">
        <v>0.99337299999999995</v>
      </c>
      <c r="AB7771">
        <v>36</v>
      </c>
      <c r="AC7771">
        <v>-35.306999999999903</v>
      </c>
      <c r="AD7771">
        <v>3.8902040000000002</v>
      </c>
      <c r="AE7771">
        <v>304.34226000000001</v>
      </c>
      <c r="AF7771">
        <v>-34.301098281139801</v>
      </c>
      <c r="AG7771">
        <v>3.8902040000000002</v>
      </c>
      <c r="AH7771">
        <v>304.40757229609</v>
      </c>
      <c r="AI7771">
        <v>89.272427249319506</v>
      </c>
      <c r="AJ7771">
        <v>96.429055072569298</v>
      </c>
      <c r="AK7771">
        <v>306.35872617187403</v>
      </c>
      <c r="AL7771">
        <v>78.2050948614623</v>
      </c>
      <c r="AM7771">
        <v>85.639304468632005</v>
      </c>
      <c r="AN7771">
        <v>0.99999996046019901</v>
      </c>
    </row>
    <row r="7772" spans="1:40" x14ac:dyDescent="0.25">
      <c r="A7772" t="str">
        <f>"20190303170439779"</f>
        <v>20190303170439779</v>
      </c>
      <c r="B7772" t="str">
        <f>"1551603879773581"</f>
        <v>1551603879773581</v>
      </c>
      <c r="C7772" t="s">
        <v>40</v>
      </c>
      <c r="D7772">
        <v>4.4007990000000001</v>
      </c>
      <c r="E7772">
        <v>0.42103390000000002</v>
      </c>
      <c r="F7772" t="s">
        <v>49</v>
      </c>
      <c r="G7772">
        <v>-228.6395</v>
      </c>
      <c r="H7772">
        <v>7.1151169999999997</v>
      </c>
      <c r="I7772">
        <v>390.11860000000001</v>
      </c>
      <c r="J7772">
        <v>-187.56030000000001</v>
      </c>
      <c r="K7772">
        <v>1.1216159999999999</v>
      </c>
      <c r="L7772">
        <v>87.894809999999893</v>
      </c>
      <c r="M7772">
        <v>-3.2861560000000001E-3</v>
      </c>
      <c r="N7772">
        <v>-1.398698E-2</v>
      </c>
      <c r="O7772">
        <v>0.99989680000000003</v>
      </c>
      <c r="P7772">
        <v>7.1761800000000001E-2</v>
      </c>
      <c r="Q7772">
        <v>0.19018180000000001</v>
      </c>
      <c r="R7772">
        <v>0.97912259999999995</v>
      </c>
      <c r="S7772">
        <v>-0.4185181</v>
      </c>
      <c r="T7772">
        <v>6.1060549999999998E-2</v>
      </c>
      <c r="U7772">
        <v>3.0827330000000002</v>
      </c>
      <c r="V7772">
        <v>7.4986880000000006E-2</v>
      </c>
      <c r="W7772">
        <v>0.20385220000000001</v>
      </c>
      <c r="X7772">
        <v>0.97612569999999999</v>
      </c>
      <c r="Y7772">
        <v>-0.13119979999999901</v>
      </c>
      <c r="Z7772">
        <v>3.3606860000000002E-2</v>
      </c>
      <c r="AA7772">
        <v>0.9907861</v>
      </c>
      <c r="AB7772">
        <v>36</v>
      </c>
      <c r="AC7772">
        <v>-41.079199999999901</v>
      </c>
      <c r="AD7772">
        <v>5.9935010000000002</v>
      </c>
      <c r="AE7772">
        <v>302.22379000000001</v>
      </c>
      <c r="AF7772">
        <v>-40.070253455289702</v>
      </c>
      <c r="AG7772">
        <v>5.9935010000000002</v>
      </c>
      <c r="AH7772">
        <v>302.24045425190798</v>
      </c>
      <c r="AI7772">
        <v>88.873811481289195</v>
      </c>
      <c r="AJ7772">
        <v>97.552083883074403</v>
      </c>
      <c r="AK7772">
        <v>304.94399396054303</v>
      </c>
      <c r="AL7772">
        <v>78.237684617365105</v>
      </c>
      <c r="AM7772">
        <v>85.607113088576895</v>
      </c>
      <c r="AN7772">
        <v>1.0000000669087299</v>
      </c>
    </row>
    <row r="7773" spans="1:40" x14ac:dyDescent="0.25">
      <c r="A7773" t="str">
        <f>"20190303170439801"</f>
        <v>20190303170439801</v>
      </c>
      <c r="B7773" t="str">
        <f>"1551603879793100"</f>
        <v>1551603879793100</v>
      </c>
      <c r="C7773" t="s">
        <v>40</v>
      </c>
      <c r="D7773">
        <v>4.4479319999999998</v>
      </c>
      <c r="E7773">
        <v>0.4196222</v>
      </c>
      <c r="F7773" t="s">
        <v>49</v>
      </c>
      <c r="G7773">
        <v>-230.18369999999999</v>
      </c>
      <c r="H7773">
        <v>7.3872859999999996</v>
      </c>
      <c r="I7773">
        <v>390.11860000000001</v>
      </c>
      <c r="J7773">
        <v>-187.5615</v>
      </c>
      <c r="K7773">
        <v>1.1216189999999999</v>
      </c>
      <c r="L7773">
        <v>88.248689999999996</v>
      </c>
      <c r="M7773">
        <v>-3.2861840000000002E-3</v>
      </c>
      <c r="N7773">
        <v>-1.3984989999999999E-2</v>
      </c>
      <c r="O7773">
        <v>0.99989680000000003</v>
      </c>
      <c r="P7773">
        <v>7.1920020000000001E-2</v>
      </c>
      <c r="Q7773">
        <v>0.1900355</v>
      </c>
      <c r="R7773">
        <v>0.97913939999999999</v>
      </c>
      <c r="S7773">
        <v>-0.43486019999999997</v>
      </c>
      <c r="T7773">
        <v>6.3924789999999995E-2</v>
      </c>
      <c r="U7773">
        <v>3.083405</v>
      </c>
      <c r="V7773">
        <v>7.5145119999999996E-2</v>
      </c>
      <c r="W7773">
        <v>0.20370369999999999</v>
      </c>
      <c r="X7773">
        <v>0.97614449999999997</v>
      </c>
      <c r="Y7773">
        <v>-0.13631849999999901</v>
      </c>
      <c r="Z7773">
        <v>3.450574E-2</v>
      </c>
      <c r="AA7773">
        <v>0.99006400000000006</v>
      </c>
      <c r="AB7773">
        <v>36</v>
      </c>
      <c r="AC7773">
        <v>-42.6221999999999</v>
      </c>
      <c r="AD7773">
        <v>6.2656669999999997</v>
      </c>
      <c r="AE7773">
        <v>301.86991</v>
      </c>
      <c r="AF7773">
        <v>-41.612295757205899</v>
      </c>
      <c r="AG7773">
        <v>6.2656669999999997</v>
      </c>
      <c r="AH7773">
        <v>301.880843864638</v>
      </c>
      <c r="AI7773">
        <v>88.822106752233594</v>
      </c>
      <c r="AJ7773">
        <v>97.848388478650904</v>
      </c>
      <c r="AK7773">
        <v>304.79974677411701</v>
      </c>
      <c r="AL7773">
        <v>78.246375025076304</v>
      </c>
      <c r="AM7773">
        <v>85.597963910384294</v>
      </c>
      <c r="AN7773">
        <v>1.0000000356668699</v>
      </c>
    </row>
    <row r="7774" spans="1:40" x14ac:dyDescent="0.25">
      <c r="A7774" t="str">
        <f>"20190303170439824"</f>
        <v>20190303170439824</v>
      </c>
      <c r="B7774" t="str">
        <f>"1551603879813597"</f>
        <v>1551603879813597</v>
      </c>
      <c r="C7774" t="s">
        <v>40</v>
      </c>
      <c r="D7774">
        <v>4.4094490000000004</v>
      </c>
      <c r="E7774">
        <v>0.4185874</v>
      </c>
      <c r="F7774" t="s">
        <v>49</v>
      </c>
      <c r="G7774">
        <v>-231.17920000000001</v>
      </c>
      <c r="H7774">
        <v>7.6794609999999999</v>
      </c>
      <c r="I7774">
        <v>390.11860000000001</v>
      </c>
      <c r="J7774">
        <v>-187.5626</v>
      </c>
      <c r="K7774">
        <v>1.121626</v>
      </c>
      <c r="L7774">
        <v>88.607699999999994</v>
      </c>
      <c r="M7774">
        <v>-3.2863660000000002E-3</v>
      </c>
      <c r="N7774">
        <v>-1.39831E-2</v>
      </c>
      <c r="O7774">
        <v>0.99989680000000003</v>
      </c>
      <c r="P7774">
        <v>7.1607030000000002E-2</v>
      </c>
      <c r="Q7774">
        <v>0.1908609</v>
      </c>
      <c r="R7774">
        <v>0.97900180000000003</v>
      </c>
      <c r="S7774">
        <v>-0.44555660000000002</v>
      </c>
      <c r="T7774">
        <v>6.6988710000000007E-2</v>
      </c>
      <c r="U7774">
        <v>3.083618</v>
      </c>
      <c r="V7774">
        <v>7.4831930000000005E-2</v>
      </c>
      <c r="W7774">
        <v>0.20452580000000001</v>
      </c>
      <c r="X7774">
        <v>0.97599659999999999</v>
      </c>
      <c r="Y7774">
        <v>-0.13966999999999999</v>
      </c>
      <c r="Z7774">
        <v>3.5475109999999997E-2</v>
      </c>
      <c r="AA7774">
        <v>0.98956250000000001</v>
      </c>
      <c r="AB7774">
        <v>36</v>
      </c>
      <c r="AC7774">
        <v>-43.616599999999998</v>
      </c>
      <c r="AD7774">
        <v>6.5578349999999999</v>
      </c>
      <c r="AE7774">
        <v>301.51089999999999</v>
      </c>
      <c r="AF7774">
        <v>-42.605650491884298</v>
      </c>
      <c r="AG7774">
        <v>6.5578349999999999</v>
      </c>
      <c r="AH7774">
        <v>301.51291598333898</v>
      </c>
      <c r="AI7774">
        <v>88.766279123114103</v>
      </c>
      <c r="AJ7774">
        <v>98.042999411158206</v>
      </c>
      <c r="AK7774">
        <v>304.57886525249899</v>
      </c>
      <c r="AL7774">
        <v>78.198258656770506</v>
      </c>
      <c r="AM7774">
        <v>85.615577346837199</v>
      </c>
      <c r="AN7774">
        <v>0.999999991912362</v>
      </c>
    </row>
    <row r="7775" spans="1:40" x14ac:dyDescent="0.25">
      <c r="A7775" t="str">
        <f>"20190303170439845"</f>
        <v>20190303170439845</v>
      </c>
      <c r="B7775" t="str">
        <f>"1551603879833117"</f>
        <v>1551603879833117</v>
      </c>
      <c r="C7775" t="s">
        <v>40</v>
      </c>
      <c r="D7775">
        <v>4.4291019999999897</v>
      </c>
      <c r="E7775">
        <v>0.41765799999999997</v>
      </c>
      <c r="F7775" t="s">
        <v>49</v>
      </c>
      <c r="G7775">
        <v>-232.16560000000001</v>
      </c>
      <c r="H7775">
        <v>8.1545310000000004</v>
      </c>
      <c r="I7775">
        <v>391.00349999999997</v>
      </c>
      <c r="J7775">
        <v>-187.56379999999999</v>
      </c>
      <c r="K7775">
        <v>1.1216280000000001</v>
      </c>
      <c r="L7775">
        <v>88.96396</v>
      </c>
      <c r="M7775">
        <v>-3.2863929999999999E-3</v>
      </c>
      <c r="N7775">
        <v>-1.3981220000000001E-2</v>
      </c>
      <c r="O7775">
        <v>0.99989689999999998</v>
      </c>
      <c r="P7775">
        <v>7.1788740000000004E-2</v>
      </c>
      <c r="Q7775">
        <v>0.1917257</v>
      </c>
      <c r="R7775">
        <v>0.97881949999999995</v>
      </c>
      <c r="S7775">
        <v>-0.45483400000000002</v>
      </c>
      <c r="T7775">
        <v>7.1717260000000005E-2</v>
      </c>
      <c r="U7775">
        <v>3.0836489999999999</v>
      </c>
      <c r="V7775">
        <v>7.5013049999999998E-2</v>
      </c>
      <c r="W7775">
        <v>0.20538590000000001</v>
      </c>
      <c r="X7775">
        <v>0.97580210000000001</v>
      </c>
      <c r="Y7775">
        <v>-0.1425767</v>
      </c>
      <c r="Z7775">
        <v>3.6979449999999997E-2</v>
      </c>
      <c r="AA7775">
        <v>0.98909270000000005</v>
      </c>
      <c r="AB7775">
        <v>36</v>
      </c>
      <c r="AC7775">
        <v>-44.601799999999997</v>
      </c>
      <c r="AD7775">
        <v>7.0329030000000001</v>
      </c>
      <c r="AE7775">
        <v>302.03953999999999</v>
      </c>
      <c r="AF7775">
        <v>-43.585714580103499</v>
      </c>
      <c r="AG7775">
        <v>7.0329030000000001</v>
      </c>
      <c r="AH7775">
        <v>302.02424571640302</v>
      </c>
      <c r="AI7775">
        <v>88.679730092473207</v>
      </c>
      <c r="AJ7775">
        <v>98.211774139176896</v>
      </c>
      <c r="AK7775">
        <v>305.234043384134</v>
      </c>
      <c r="AL7775">
        <v>78.147910189538095</v>
      </c>
      <c r="AM7775">
        <v>85.604134415006797</v>
      </c>
      <c r="AN7775">
        <v>1.0000000319767599</v>
      </c>
    </row>
    <row r="7776" spans="1:40" x14ac:dyDescent="0.25">
      <c r="A7776" t="str">
        <f>"20190303170439868"</f>
        <v>20190303170439868</v>
      </c>
      <c r="B7776" t="str">
        <f>"1551603879863373"</f>
        <v>1551603879863373</v>
      </c>
      <c r="C7776" t="s">
        <v>40</v>
      </c>
      <c r="D7776">
        <v>4.4326030000000003</v>
      </c>
      <c r="E7776">
        <v>0.41670810000000003</v>
      </c>
      <c r="F7776" t="s">
        <v>49</v>
      </c>
      <c r="G7776">
        <v>-232.87370000000001</v>
      </c>
      <c r="H7776">
        <v>8.6731890000000007</v>
      </c>
      <c r="I7776">
        <v>391.00349999999997</v>
      </c>
      <c r="J7776">
        <v>-187.565</v>
      </c>
      <c r="K7776">
        <v>1.1216379999999999</v>
      </c>
      <c r="L7776">
        <v>89.322019999999995</v>
      </c>
      <c r="M7776">
        <v>-3.2865490000000002E-3</v>
      </c>
      <c r="N7776">
        <v>-1.39791E-2</v>
      </c>
      <c r="O7776">
        <v>0.99989689999999998</v>
      </c>
      <c r="P7776">
        <v>7.2978749999999995E-2</v>
      </c>
      <c r="Q7776">
        <v>0.19250909999999999</v>
      </c>
      <c r="R7776">
        <v>0.97857769999999999</v>
      </c>
      <c r="S7776">
        <v>-0.46260069999999998</v>
      </c>
      <c r="T7776">
        <v>7.7099319999999999E-2</v>
      </c>
      <c r="U7776">
        <v>3.0837400000000001</v>
      </c>
      <c r="V7776">
        <v>7.6202469999999994E-2</v>
      </c>
      <c r="W7776">
        <v>0.20616380000000001</v>
      </c>
      <c r="X7776">
        <v>0.97554580000000002</v>
      </c>
      <c r="Y7776">
        <v>-0.1450013</v>
      </c>
      <c r="Z7776">
        <v>3.8692440000000002E-2</v>
      </c>
      <c r="AA7776">
        <v>0.98867459999999996</v>
      </c>
      <c r="AB7776">
        <v>36</v>
      </c>
      <c r="AC7776">
        <v>-45.308700000000002</v>
      </c>
      <c r="AD7776">
        <v>7.5515509999999999</v>
      </c>
      <c r="AE7776">
        <v>301.68148000000002</v>
      </c>
      <c r="AF7776">
        <v>-44.2897285961322</v>
      </c>
      <c r="AG7776">
        <v>7.5515509999999999</v>
      </c>
      <c r="AH7776">
        <v>301.64393995232302</v>
      </c>
      <c r="AI7776">
        <v>88.581126119779199</v>
      </c>
      <c r="AJ7776">
        <v>98.352931546695601</v>
      </c>
      <c r="AK7776">
        <v>304.97159292561298</v>
      </c>
      <c r="AL7776">
        <v>78.102364341324304</v>
      </c>
      <c r="AM7776">
        <v>85.533544111401596</v>
      </c>
      <c r="AN7776">
        <v>0.99999996838108995</v>
      </c>
    </row>
    <row r="7777" spans="1:40" x14ac:dyDescent="0.25">
      <c r="A7777" t="str">
        <f>"20190303170439891"</f>
        <v>20190303170439891</v>
      </c>
      <c r="B7777" t="str">
        <f>"1551603879883869"</f>
        <v>1551603879883869</v>
      </c>
      <c r="C7777" t="s">
        <v>40</v>
      </c>
      <c r="D7777">
        <v>4.4313880000000001</v>
      </c>
      <c r="E7777">
        <v>0.41611619999999999</v>
      </c>
      <c r="F7777" t="s">
        <v>49</v>
      </c>
      <c r="G7777">
        <v>-233.125</v>
      </c>
      <c r="H7777">
        <v>8.9862199999999994</v>
      </c>
      <c r="I7777">
        <v>391.00349999999997</v>
      </c>
      <c r="J7777">
        <v>-187.56620000000001</v>
      </c>
      <c r="K7777">
        <v>1.1216390000000001</v>
      </c>
      <c r="L7777">
        <v>89.700680000000006</v>
      </c>
      <c r="M7777">
        <v>-3.279138E-3</v>
      </c>
      <c r="N7777">
        <v>-1.3976789999999999E-2</v>
      </c>
      <c r="O7777">
        <v>0.99989689999999998</v>
      </c>
      <c r="P7777">
        <v>7.5464149999999994E-2</v>
      </c>
      <c r="Q7777">
        <v>0.1917643</v>
      </c>
      <c r="R7777">
        <v>0.9785355</v>
      </c>
      <c r="S7777">
        <v>-0.46583560000000002</v>
      </c>
      <c r="T7777">
        <v>8.0412750000000005E-2</v>
      </c>
      <c r="U7777">
        <v>3.0845950000000002</v>
      </c>
      <c r="V7777">
        <v>7.8682150000000006E-2</v>
      </c>
      <c r="W7777">
        <v>0.2054153</v>
      </c>
      <c r="X7777">
        <v>0.97550689999999995</v>
      </c>
      <c r="Y7777">
        <v>-0.1459773</v>
      </c>
      <c r="Z7777">
        <v>3.9740549999999999E-2</v>
      </c>
      <c r="AA7777">
        <v>0.98848939999999996</v>
      </c>
      <c r="AB7777">
        <v>36</v>
      </c>
      <c r="AC7777">
        <v>-45.558799999999898</v>
      </c>
      <c r="AD7777">
        <v>7.8645809999999896</v>
      </c>
      <c r="AE7777">
        <v>301.30282</v>
      </c>
      <c r="AF7777">
        <v>-44.540777146211099</v>
      </c>
      <c r="AG7777">
        <v>7.8645809999999896</v>
      </c>
      <c r="AH7777">
        <v>301.24995101237698</v>
      </c>
      <c r="AI7777">
        <v>88.520622908458193</v>
      </c>
      <c r="AJ7777">
        <v>98.410433436808304</v>
      </c>
      <c r="AK7777">
        <v>304.62643589822198</v>
      </c>
      <c r="AL7777">
        <v>78.146188839169</v>
      </c>
      <c r="AM7777">
        <v>85.388636494024396</v>
      </c>
      <c r="AN7777">
        <v>1.0000000190751599</v>
      </c>
    </row>
    <row r="7778" spans="1:40" x14ac:dyDescent="0.25">
      <c r="A7778" t="str">
        <f>"20190303170439913"</f>
        <v>20190303170439913</v>
      </c>
      <c r="B7778" t="str">
        <f>"1551603879903389"</f>
        <v>1551603879903389</v>
      </c>
      <c r="C7778" t="s">
        <v>40</v>
      </c>
      <c r="D7778">
        <v>4.4107560000000001</v>
      </c>
      <c r="E7778">
        <v>0.41557870000000002</v>
      </c>
      <c r="F7778" t="s">
        <v>49</v>
      </c>
      <c r="G7778">
        <v>-232.81319999999999</v>
      </c>
      <c r="H7778">
        <v>8.916112</v>
      </c>
      <c r="I7778">
        <v>391.00349999999997</v>
      </c>
      <c r="J7778">
        <v>-187.56729999999999</v>
      </c>
      <c r="K7778">
        <v>1.1216189999999999</v>
      </c>
      <c r="L7778">
        <v>90.053190000000001</v>
      </c>
      <c r="M7778">
        <v>-3.2471050000000001E-3</v>
      </c>
      <c r="N7778">
        <v>-1.39747E-2</v>
      </c>
      <c r="O7778">
        <v>0.99989709999999998</v>
      </c>
      <c r="P7778">
        <v>7.8640230000000005E-2</v>
      </c>
      <c r="Q7778">
        <v>0.19195789999999999</v>
      </c>
      <c r="R7778">
        <v>0.97824730000000004</v>
      </c>
      <c r="S7778">
        <v>-0.46340940000000003</v>
      </c>
      <c r="T7778">
        <v>7.9829220000000006E-2</v>
      </c>
      <c r="U7778">
        <v>3.0858759999999998</v>
      </c>
      <c r="V7778">
        <v>8.1832680000000005E-2</v>
      </c>
      <c r="W7778">
        <v>0.20560010000000001</v>
      </c>
      <c r="X7778">
        <v>0.97520870000000004</v>
      </c>
      <c r="Y7778">
        <v>-0.14518929999999999</v>
      </c>
      <c r="Z7778">
        <v>3.9544169999999997E-2</v>
      </c>
      <c r="AA7778">
        <v>0.98861339999999998</v>
      </c>
      <c r="AB7778">
        <v>36</v>
      </c>
      <c r="AC7778">
        <v>-45.245899999999999</v>
      </c>
      <c r="AD7778">
        <v>7.7944929999999903</v>
      </c>
      <c r="AE7778">
        <v>300.95030999999898</v>
      </c>
      <c r="AF7778">
        <v>-44.239329412127397</v>
      </c>
      <c r="AG7778">
        <v>7.7944929999999903</v>
      </c>
      <c r="AH7778">
        <v>300.898277661431</v>
      </c>
      <c r="AI7778">
        <v>88.531912718187698</v>
      </c>
      <c r="AJ7778">
        <v>98.363944485783605</v>
      </c>
      <c r="AK7778">
        <v>304.23288100988998</v>
      </c>
      <c r="AL7778">
        <v>78.135369402578704</v>
      </c>
      <c r="AM7778">
        <v>85.203376938923498</v>
      </c>
      <c r="AN7778">
        <v>0.99999999859584099</v>
      </c>
    </row>
    <row r="7779" spans="1:40" x14ac:dyDescent="0.25">
      <c r="A7779" t="str">
        <f>"20190303170439936"</f>
        <v>20190303170439936</v>
      </c>
      <c r="B7779" t="str">
        <f>"1551603879922910"</f>
        <v>1551603879922910</v>
      </c>
      <c r="C7779" t="s">
        <v>40</v>
      </c>
      <c r="D7779">
        <v>4.4301919999999999</v>
      </c>
      <c r="E7779">
        <v>0.41509079999999898</v>
      </c>
      <c r="F7779" t="s">
        <v>49</v>
      </c>
      <c r="G7779">
        <v>-232.20439999999999</v>
      </c>
      <c r="H7779">
        <v>9.0594429999999999</v>
      </c>
      <c r="I7779">
        <v>391.00349999999997</v>
      </c>
      <c r="J7779">
        <v>-187.5684</v>
      </c>
      <c r="K7779">
        <v>1.1215949999999999</v>
      </c>
      <c r="L7779">
        <v>90.410430000000005</v>
      </c>
      <c r="M7779">
        <v>-3.1671830000000001E-3</v>
      </c>
      <c r="N7779">
        <v>-1.397252E-2</v>
      </c>
      <c r="O7779">
        <v>0.99989740000000005</v>
      </c>
      <c r="P7779">
        <v>8.1301499999999999E-2</v>
      </c>
      <c r="Q7779">
        <v>0.19255539999999999</v>
      </c>
      <c r="R7779">
        <v>0.97791229999999996</v>
      </c>
      <c r="S7779">
        <v>-0.45794679999999999</v>
      </c>
      <c r="T7779">
        <v>8.1436869999999995E-2</v>
      </c>
      <c r="U7779">
        <v>3.087555</v>
      </c>
      <c r="V7779">
        <v>8.4429820000000003E-2</v>
      </c>
      <c r="W7779">
        <v>0.2061838</v>
      </c>
      <c r="X7779">
        <v>0.97486399999999995</v>
      </c>
      <c r="Y7779">
        <v>-0.14347560000000001</v>
      </c>
      <c r="Z7779">
        <v>4.0049340000000003E-2</v>
      </c>
      <c r="AA7779">
        <v>0.98884309999999997</v>
      </c>
      <c r="AB7779">
        <v>36</v>
      </c>
      <c r="AC7779">
        <v>-44.636000000000003</v>
      </c>
      <c r="AD7779">
        <v>7.9378479999999998</v>
      </c>
      <c r="AE7779">
        <v>300.59306999999899</v>
      </c>
      <c r="AF7779">
        <v>-43.653864875370402</v>
      </c>
      <c r="AG7779">
        <v>7.9378479999999998</v>
      </c>
      <c r="AH7779">
        <v>300.52789605044302</v>
      </c>
      <c r="AI7779">
        <v>88.502703974452302</v>
      </c>
      <c r="AJ7779">
        <v>98.264824235077398</v>
      </c>
      <c r="AK7779">
        <v>303.78559158382399</v>
      </c>
      <c r="AL7779">
        <v>78.101193480614896</v>
      </c>
      <c r="AM7779">
        <v>85.050148911298507</v>
      </c>
      <c r="AN7779">
        <v>0.99999998619183605</v>
      </c>
    </row>
    <row r="7780" spans="1:40" x14ac:dyDescent="0.25">
      <c r="A7780" t="str">
        <f>"20190303170439958"</f>
        <v>20190303170439958</v>
      </c>
      <c r="B7780" t="str">
        <f>"1551603879953167"</f>
        <v>1551603879953167</v>
      </c>
      <c r="C7780" t="s">
        <v>40</v>
      </c>
      <c r="D7780">
        <v>4.44686</v>
      </c>
      <c r="E7780">
        <v>0.41421140000000001</v>
      </c>
      <c r="F7780" t="s">
        <v>49</v>
      </c>
      <c r="G7780">
        <v>-231.6927</v>
      </c>
      <c r="H7780">
        <v>9.2736909999999995</v>
      </c>
      <c r="I7780">
        <v>391.00349999999997</v>
      </c>
      <c r="J7780">
        <v>-187.5694</v>
      </c>
      <c r="K7780">
        <v>1.1215489999999999</v>
      </c>
      <c r="L7780">
        <v>90.772189999999995</v>
      </c>
      <c r="M7780">
        <v>-3.0185009999999998E-3</v>
      </c>
      <c r="N7780">
        <v>-1.3970379999999999E-2</v>
      </c>
      <c r="O7780">
        <v>0.99989779999999995</v>
      </c>
      <c r="P7780">
        <v>8.2690079999999999E-2</v>
      </c>
      <c r="Q7780">
        <v>0.1935799</v>
      </c>
      <c r="R7780">
        <v>0.9775935</v>
      </c>
      <c r="S7780">
        <v>-0.45343020000000001</v>
      </c>
      <c r="T7780">
        <v>8.3772659999999999E-2</v>
      </c>
      <c r="U7780">
        <v>3.088959</v>
      </c>
      <c r="V7780">
        <v>8.5696579999999994E-2</v>
      </c>
      <c r="W7780">
        <v>0.2071916</v>
      </c>
      <c r="X7780">
        <v>0.97453979999999996</v>
      </c>
      <c r="Y7780">
        <v>-0.14213870000000001</v>
      </c>
      <c r="Z7780">
        <v>4.0788150000000002E-2</v>
      </c>
      <c r="AA7780">
        <v>0.98900600000000005</v>
      </c>
      <c r="AB7780">
        <v>36</v>
      </c>
      <c r="AC7780">
        <v>-44.1233</v>
      </c>
      <c r="AD7780">
        <v>8.1521419999999996</v>
      </c>
      <c r="AE7780">
        <v>300.23130999999898</v>
      </c>
      <c r="AF7780">
        <v>-43.185595288275302</v>
      </c>
      <c r="AG7780">
        <v>8.1521419999999996</v>
      </c>
      <c r="AH7780">
        <v>300.14652817457301</v>
      </c>
      <c r="AI7780">
        <v>88.460048726875698</v>
      </c>
      <c r="AJ7780">
        <v>98.187623308147195</v>
      </c>
      <c r="AK7780">
        <v>303.34698191154098</v>
      </c>
      <c r="AL7780">
        <v>78.042177114855306</v>
      </c>
      <c r="AM7780">
        <v>84.9745973858723</v>
      </c>
      <c r="AN7780">
        <v>1.00000004235914</v>
      </c>
    </row>
    <row r="7781" spans="1:40" x14ac:dyDescent="0.25">
      <c r="A7781" t="str">
        <f>"20190303170439980"</f>
        <v>20190303170439980</v>
      </c>
      <c r="B7781" t="str">
        <f>"1551603879973662"</f>
        <v>1551603879973662</v>
      </c>
      <c r="C7781" t="s">
        <v>40</v>
      </c>
      <c r="D7781">
        <v>4.4364670000000004</v>
      </c>
      <c r="E7781">
        <v>0.41355779999999998</v>
      </c>
      <c r="F7781" t="s">
        <v>49</v>
      </c>
      <c r="G7781">
        <v>-231.7963</v>
      </c>
      <c r="H7781">
        <v>9.5949939999999998</v>
      </c>
      <c r="I7781">
        <v>391.00349999999997</v>
      </c>
      <c r="J7781">
        <v>-187.5703</v>
      </c>
      <c r="K7781">
        <v>1.1214869999999999</v>
      </c>
      <c r="L7781">
        <v>91.136930000000007</v>
      </c>
      <c r="M7781">
        <v>-2.807028E-3</v>
      </c>
      <c r="N7781">
        <v>-1.3968319999999999E-2</v>
      </c>
      <c r="O7781">
        <v>0.99989850000000002</v>
      </c>
      <c r="P7781">
        <v>8.3905590000000002E-2</v>
      </c>
      <c r="Q7781">
        <v>0.19418540000000001</v>
      </c>
      <c r="R7781">
        <v>0.97736990000000001</v>
      </c>
      <c r="S7781">
        <v>-0.4551849</v>
      </c>
      <c r="T7781">
        <v>8.7209110000000006E-2</v>
      </c>
      <c r="U7781">
        <v>3.0899960000000002</v>
      </c>
      <c r="V7781">
        <v>8.6732569999999995E-2</v>
      </c>
      <c r="W7781">
        <v>0.2077803</v>
      </c>
      <c r="X7781">
        <v>0.97432269999999999</v>
      </c>
      <c r="Y7781">
        <v>-0.14284459999999999</v>
      </c>
      <c r="Z7781">
        <v>4.1873639999999997E-2</v>
      </c>
      <c r="AA7781">
        <v>0.98885889999999999</v>
      </c>
      <c r="AB7781">
        <v>36</v>
      </c>
      <c r="AC7781">
        <v>-44.225999999999999</v>
      </c>
      <c r="AD7781">
        <v>8.4735069999999997</v>
      </c>
      <c r="AE7781">
        <v>299.86657000000002</v>
      </c>
      <c r="AF7781">
        <v>-43.350131941988799</v>
      </c>
      <c r="AG7781">
        <v>8.4735069999999997</v>
      </c>
      <c r="AH7781">
        <v>299.75528762210701</v>
      </c>
      <c r="AI7781">
        <v>88.397452102828893</v>
      </c>
      <c r="AJ7781">
        <v>98.228972573181593</v>
      </c>
      <c r="AK7781">
        <v>302.99218920242703</v>
      </c>
      <c r="AL7781">
        <v>78.007695698396503</v>
      </c>
      <c r="AM7781">
        <v>84.913034496380405</v>
      </c>
      <c r="AN7781">
        <v>0.99999995775109096</v>
      </c>
    </row>
    <row r="7782" spans="1:40" x14ac:dyDescent="0.25">
      <c r="A7782" t="str">
        <f>"20190303170440001"</f>
        <v>20190303170440001</v>
      </c>
      <c r="B7782" t="str">
        <f>"1551603879993181"</f>
        <v>1551603879993181</v>
      </c>
      <c r="C7782" t="s">
        <v>40</v>
      </c>
      <c r="D7782">
        <v>4.44346</v>
      </c>
      <c r="E7782">
        <v>0.4132403</v>
      </c>
      <c r="F7782" t="s">
        <v>49</v>
      </c>
      <c r="G7782">
        <v>-231.95439999999999</v>
      </c>
      <c r="H7782">
        <v>9.9468060000000005</v>
      </c>
      <c r="I7782">
        <v>391.00349999999997</v>
      </c>
      <c r="J7782">
        <v>-187.571</v>
      </c>
      <c r="K7782">
        <v>1.1214329999999999</v>
      </c>
      <c r="L7782">
        <v>91.482029999999995</v>
      </c>
      <c r="M7782">
        <v>-2.538953E-3</v>
      </c>
      <c r="N7782">
        <v>-1.396654E-2</v>
      </c>
      <c r="O7782">
        <v>0.99989930000000005</v>
      </c>
      <c r="P7782">
        <v>8.6012950000000005E-2</v>
      </c>
      <c r="Q7782">
        <v>0.19345190000000001</v>
      </c>
      <c r="R7782">
        <v>0.97733219999999998</v>
      </c>
      <c r="S7782">
        <v>-0.45745849999999999</v>
      </c>
      <c r="T7782">
        <v>9.0960860000000004E-2</v>
      </c>
      <c r="U7782">
        <v>3.090668</v>
      </c>
      <c r="V7782">
        <v>8.8605450000000002E-2</v>
      </c>
      <c r="W7782">
        <v>0.20703199999999999</v>
      </c>
      <c r="X7782">
        <v>0.97431350000000005</v>
      </c>
      <c r="Y7782">
        <v>-0.14378469999999999</v>
      </c>
      <c r="Z7782">
        <v>4.3061729999999999E-2</v>
      </c>
      <c r="AA7782">
        <v>0.98867169999999904</v>
      </c>
      <c r="AB7782">
        <v>36</v>
      </c>
      <c r="AC7782">
        <v>-44.383400000000002</v>
      </c>
      <c r="AD7782">
        <v>8.8253729999999901</v>
      </c>
      <c r="AE7782">
        <v>299.52147000000002</v>
      </c>
      <c r="AF7782">
        <v>-43.5856846190391</v>
      </c>
      <c r="AG7782">
        <v>8.8253729999999901</v>
      </c>
      <c r="AH7782">
        <v>299.37887223876601</v>
      </c>
      <c r="AI7782">
        <v>88.329075049410307</v>
      </c>
      <c r="AJ7782">
        <v>98.2833269262089</v>
      </c>
      <c r="AK7782">
        <v>302.66368836590698</v>
      </c>
      <c r="AL7782">
        <v>78.051523501953</v>
      </c>
      <c r="AM7782">
        <v>84.803734147632298</v>
      </c>
      <c r="AN7782">
        <v>0.99999998553797598</v>
      </c>
    </row>
    <row r="7783" spans="1:40" x14ac:dyDescent="0.25">
      <c r="A7783" t="str">
        <f>"20190303170440024"</f>
        <v>20190303170440024</v>
      </c>
      <c r="B7783" t="str">
        <f>"1551603880013678"</f>
        <v>1551603880013678</v>
      </c>
      <c r="C7783" t="s">
        <v>40</v>
      </c>
      <c r="D7783">
        <v>4.4632620000000003</v>
      </c>
      <c r="E7783">
        <v>0.4020415</v>
      </c>
      <c r="F7783" t="s">
        <v>49</v>
      </c>
      <c r="G7783">
        <v>-231.59569999999999</v>
      </c>
      <c r="H7783">
        <v>9.9415800000000001</v>
      </c>
      <c r="I7783">
        <v>391.00349999999997</v>
      </c>
      <c r="J7783">
        <v>-187.57149999999999</v>
      </c>
      <c r="K7783">
        <v>1.1213690000000001</v>
      </c>
      <c r="L7783">
        <v>91.837829999999997</v>
      </c>
      <c r="M7783">
        <v>-2.183118E-3</v>
      </c>
      <c r="N7783">
        <v>-1.396475E-2</v>
      </c>
      <c r="O7783">
        <v>0.99990009999999996</v>
      </c>
      <c r="P7783">
        <v>8.7715009999999996E-2</v>
      </c>
      <c r="Q7783">
        <v>0.19140769999999999</v>
      </c>
      <c r="R7783">
        <v>0.97758330000000004</v>
      </c>
      <c r="S7783">
        <v>-0.4544067</v>
      </c>
      <c r="T7783">
        <v>9.1038350000000004E-2</v>
      </c>
      <c r="U7783">
        <v>3.0915530000000002</v>
      </c>
      <c r="V7783">
        <v>8.9989699999999895E-2</v>
      </c>
      <c r="W7783">
        <v>0.20497660000000001</v>
      </c>
      <c r="X7783">
        <v>0.97462119999999997</v>
      </c>
      <c r="Y7783">
        <v>-0.1431405</v>
      </c>
      <c r="Z7783">
        <v>4.3080319999999998E-2</v>
      </c>
      <c r="AA7783">
        <v>0.98876430000000004</v>
      </c>
      <c r="AB7783">
        <v>36</v>
      </c>
      <c r="AC7783">
        <v>-44.0242</v>
      </c>
      <c r="AD7783">
        <v>8.8202110000000005</v>
      </c>
      <c r="AE7783">
        <v>299.16566999999998</v>
      </c>
      <c r="AF7783">
        <v>-43.334048579915802</v>
      </c>
      <c r="AG7783">
        <v>8.8202110000000005</v>
      </c>
      <c r="AH7783">
        <v>299.00667989982497</v>
      </c>
      <c r="AI7783">
        <v>88.327817331519697</v>
      </c>
      <c r="AJ7783">
        <v>98.246273359069704</v>
      </c>
      <c r="AK7783">
        <v>302.25921079948398</v>
      </c>
      <c r="AL7783">
        <v>78.171870978106696</v>
      </c>
      <c r="AM7783">
        <v>84.724666229709797</v>
      </c>
      <c r="AN7783">
        <v>1.00000001807154</v>
      </c>
    </row>
    <row r="7784" spans="1:40" x14ac:dyDescent="0.25">
      <c r="A7784" t="str">
        <f>"20190303170440046"</f>
        <v>20190303170440046</v>
      </c>
      <c r="B7784" t="str">
        <f>"1551603880033197"</f>
        <v>1551603880033197</v>
      </c>
      <c r="C7784" t="s">
        <v>40</v>
      </c>
      <c r="D7784">
        <v>4.4525110000000003</v>
      </c>
      <c r="E7784">
        <v>0.4020784</v>
      </c>
      <c r="F7784" t="s">
        <v>50</v>
      </c>
      <c r="G7784">
        <v>-242.64109999999999</v>
      </c>
      <c r="H7784">
        <v>11.591799999999999</v>
      </c>
      <c r="I7784">
        <v>409.05220000000003</v>
      </c>
      <c r="J7784">
        <v>-187.5719</v>
      </c>
      <c r="K7784">
        <v>1.1213</v>
      </c>
      <c r="L7784">
        <v>92.193420000000003</v>
      </c>
      <c r="M7784">
        <v>-1.7476429999999999E-3</v>
      </c>
      <c r="N7784">
        <v>-1.396303E-2</v>
      </c>
      <c r="O7784">
        <v>0.99990100000000004</v>
      </c>
      <c r="P7784">
        <v>8.8016179999999999E-2</v>
      </c>
      <c r="Q7784">
        <v>0.1901997</v>
      </c>
      <c r="R7784">
        <v>0.97779199999999999</v>
      </c>
      <c r="S7784">
        <v>-0.53765869999999905</v>
      </c>
      <c r="T7784">
        <v>0.10222580000000001</v>
      </c>
      <c r="U7784">
        <v>3.0970460000000002</v>
      </c>
      <c r="V7784">
        <v>8.9896840000000006E-2</v>
      </c>
      <c r="W7784">
        <v>0.20375650000000001</v>
      </c>
      <c r="X7784">
        <v>0.97488560000000002</v>
      </c>
      <c r="Y7784">
        <v>-0.16916010000000001</v>
      </c>
      <c r="Z7784">
        <v>4.6459060000000003E-2</v>
      </c>
      <c r="AA7784">
        <v>0.98449299999999995</v>
      </c>
      <c r="AB7784">
        <v>36</v>
      </c>
      <c r="AC7784">
        <v>-55.069200000000002</v>
      </c>
      <c r="AD7784">
        <v>10.470499999999999</v>
      </c>
      <c r="AE7784">
        <v>316.858779999999</v>
      </c>
      <c r="AF7784">
        <v>-54.457584342297203</v>
      </c>
      <c r="AG7784">
        <v>10.470499999999999</v>
      </c>
      <c r="AH7784">
        <v>316.61895100166799</v>
      </c>
      <c r="AI7784">
        <v>88.133324790504503</v>
      </c>
      <c r="AJ7784">
        <v>99.759227435795097</v>
      </c>
      <c r="AK7784">
        <v>321.43867221609298</v>
      </c>
      <c r="AL7784">
        <v>78.243285090009195</v>
      </c>
      <c r="AM7784">
        <v>84.731500377829803</v>
      </c>
      <c r="AN7784">
        <v>1.00000004311079</v>
      </c>
    </row>
    <row r="7785" spans="1:40" x14ac:dyDescent="0.25">
      <c r="A7785" t="str">
        <f>"20190303170440069"</f>
        <v>20190303170440069</v>
      </c>
      <c r="B7785" t="str">
        <f>"1551603880063452"</f>
        <v>1551603880063452</v>
      </c>
      <c r="C7785" t="s">
        <v>40</v>
      </c>
      <c r="D7785">
        <v>4.5047379999999997</v>
      </c>
      <c r="E7785">
        <v>0.43685200000000002</v>
      </c>
      <c r="F7785" t="s">
        <v>50</v>
      </c>
      <c r="G7785">
        <v>-242.6413</v>
      </c>
      <c r="H7785">
        <v>11.25113</v>
      </c>
      <c r="I7785">
        <v>410.2011</v>
      </c>
      <c r="J7785">
        <v>-187.57210000000001</v>
      </c>
      <c r="K7785">
        <v>1.121224</v>
      </c>
      <c r="L7785">
        <v>92.567229999999995</v>
      </c>
      <c r="M7785">
        <v>-1.2101810000000001E-3</v>
      </c>
      <c r="N7785">
        <v>-1.396128E-2</v>
      </c>
      <c r="O7785">
        <v>0.99990179999999995</v>
      </c>
      <c r="P7785">
        <v>8.9368539999999996E-2</v>
      </c>
      <c r="Q7785">
        <v>0.1900086</v>
      </c>
      <c r="R7785">
        <v>0.97770650000000003</v>
      </c>
      <c r="S7785">
        <v>-0.5363464</v>
      </c>
      <c r="T7785">
        <v>9.8659520000000001E-2</v>
      </c>
      <c r="U7785">
        <v>3.097229</v>
      </c>
      <c r="V7785">
        <v>9.0758069999999996E-2</v>
      </c>
      <c r="W7785">
        <v>0.2035468</v>
      </c>
      <c r="X7785">
        <v>0.97484959999999998</v>
      </c>
      <c r="Y7785">
        <v>-0.16928270000000001</v>
      </c>
      <c r="Z7785">
        <v>4.5324629999999998E-2</v>
      </c>
      <c r="AA7785">
        <v>0.98452479999999998</v>
      </c>
      <c r="AB7785">
        <v>36</v>
      </c>
      <c r="AC7785">
        <v>-55.069200000000002</v>
      </c>
      <c r="AD7785">
        <v>10.129906</v>
      </c>
      <c r="AE7785">
        <v>317.63387</v>
      </c>
      <c r="AF7785">
        <v>-54.6307849992263</v>
      </c>
      <c r="AG7785">
        <v>10.129906</v>
      </c>
      <c r="AH7785">
        <v>317.38689807096199</v>
      </c>
      <c r="AI7785">
        <v>88.198410689061603</v>
      </c>
      <c r="AJ7785">
        <v>99.766436393598497</v>
      </c>
      <c r="AK7785">
        <v>322.21356385526002</v>
      </c>
      <c r="AL7785">
        <v>78.255557097391403</v>
      </c>
      <c r="AM7785">
        <v>84.681119891332003</v>
      </c>
      <c r="AN7785">
        <v>1.00000003484026</v>
      </c>
    </row>
    <row r="7786" spans="1:40" x14ac:dyDescent="0.25">
      <c r="A7786" t="str">
        <f>"20190303170440082"</f>
        <v>20190303170440082</v>
      </c>
      <c r="B7786" t="str">
        <f>"1551603880073213"</f>
        <v>1551603880073213</v>
      </c>
      <c r="C7786" t="s">
        <v>40</v>
      </c>
      <c r="D7786">
        <v>4.4723430000000004</v>
      </c>
      <c r="E7786">
        <v>0.44099339999999998</v>
      </c>
      <c r="F7786" t="s">
        <v>49</v>
      </c>
      <c r="G7786">
        <v>-212.7107</v>
      </c>
      <c r="H7786">
        <v>3.126449</v>
      </c>
      <c r="I7786">
        <v>391.87</v>
      </c>
      <c r="J7786">
        <v>-187.572</v>
      </c>
      <c r="K7786">
        <v>1.1211869999999999</v>
      </c>
      <c r="L7786">
        <v>92.774230000000003</v>
      </c>
      <c r="M7786">
        <v>-8.7841380000000004E-4</v>
      </c>
      <c r="N7786">
        <v>-1.396035E-2</v>
      </c>
      <c r="O7786">
        <v>0.99990219999999996</v>
      </c>
      <c r="P7786">
        <v>9.010427E-2</v>
      </c>
      <c r="Q7786">
        <v>0.19011239999999999</v>
      </c>
      <c r="R7786">
        <v>0.97761880000000001</v>
      </c>
      <c r="S7786">
        <v>-0.25936890000000001</v>
      </c>
      <c r="T7786">
        <v>2.0689010000000001E-2</v>
      </c>
      <c r="U7786">
        <v>3.0880740000000002</v>
      </c>
      <c r="V7786">
        <v>9.118822E-2</v>
      </c>
      <c r="W7786">
        <v>0.20364019999999999</v>
      </c>
      <c r="X7786">
        <v>0.97478989999999999</v>
      </c>
      <c r="Y7786">
        <v>-8.2798339999999998E-2</v>
      </c>
      <c r="Z7786">
        <v>2.0635110000000002E-2</v>
      </c>
      <c r="AA7786">
        <v>0.99635269999999998</v>
      </c>
      <c r="AB7786">
        <v>36</v>
      </c>
      <c r="AC7786">
        <v>-25.1387</v>
      </c>
      <c r="AD7786">
        <v>2.0052620000000001</v>
      </c>
      <c r="AE7786">
        <v>299.09577000000002</v>
      </c>
      <c r="AF7786">
        <v>-24.874824591811901</v>
      </c>
      <c r="AG7786">
        <v>2.0052620000000001</v>
      </c>
      <c r="AH7786">
        <v>299.104388730972</v>
      </c>
      <c r="AI7786">
        <v>89.617203620865098</v>
      </c>
      <c r="AJ7786">
        <v>94.754026776744197</v>
      </c>
      <c r="AK7786">
        <v>300.14365449279501</v>
      </c>
      <c r="AL7786">
        <v>78.250090607096297</v>
      </c>
      <c r="AM7786">
        <v>84.655731148049298</v>
      </c>
      <c r="AN7786">
        <v>0.99999998583240901</v>
      </c>
    </row>
    <row r="7787" spans="1:40" x14ac:dyDescent="0.25">
      <c r="A7787" t="str">
        <f>"20190303170440102"</f>
        <v>20190303170440102</v>
      </c>
      <c r="B7787" t="str">
        <f>"1551603880093709"</f>
        <v>1551603880093709</v>
      </c>
      <c r="C7787" t="s">
        <v>40</v>
      </c>
      <c r="D7787">
        <v>4.47248</v>
      </c>
      <c r="E7787">
        <v>0.44494440000000002</v>
      </c>
      <c r="F7787" t="s">
        <v>49</v>
      </c>
      <c r="G7787">
        <v>-209.30699999999999</v>
      </c>
      <c r="H7787">
        <v>2.76938</v>
      </c>
      <c r="I7787">
        <v>391.87</v>
      </c>
      <c r="J7787">
        <v>-187.5718</v>
      </c>
      <c r="K7787">
        <v>1.1211409999999999</v>
      </c>
      <c r="L7787">
        <v>93.097139999999996</v>
      </c>
      <c r="M7787">
        <v>-3.2076899999999999E-4</v>
      </c>
      <c r="N7787">
        <v>-1.395891E-2</v>
      </c>
      <c r="O7787">
        <v>0.99990250000000003</v>
      </c>
      <c r="P7787">
        <v>9.1236189999999995E-2</v>
      </c>
      <c r="Q7787">
        <v>0.19087019999999999</v>
      </c>
      <c r="R7787">
        <v>0.97736610000000002</v>
      </c>
      <c r="S7787">
        <v>-0.2242584</v>
      </c>
      <c r="T7787">
        <v>1.7005799999999901E-2</v>
      </c>
      <c r="U7787">
        <v>3.0860289999999999</v>
      </c>
      <c r="V7787">
        <v>9.1803659999999995E-2</v>
      </c>
      <c r="W7787">
        <v>0.20438010000000001</v>
      </c>
      <c r="X7787">
        <v>0.97457720000000003</v>
      </c>
      <c r="Y7787">
        <v>-7.2139880000000003E-2</v>
      </c>
      <c r="Z7787">
        <v>1.945407E-2</v>
      </c>
      <c r="AA7787">
        <v>0.9972048</v>
      </c>
      <c r="AB7787">
        <v>36</v>
      </c>
      <c r="AC7787">
        <v>-21.735199999999999</v>
      </c>
      <c r="AD7787">
        <v>1.648239</v>
      </c>
      <c r="AE7787">
        <v>298.77285999999998</v>
      </c>
      <c r="AF7787">
        <v>-21.6386973861946</v>
      </c>
      <c r="AG7787">
        <v>1.648239</v>
      </c>
      <c r="AH7787">
        <v>298.77077238272301</v>
      </c>
      <c r="AI7787">
        <v>89.684743347821694</v>
      </c>
      <c r="AJ7787">
        <v>94.142456858528504</v>
      </c>
      <c r="AK7787">
        <v>299.55788146290098</v>
      </c>
      <c r="AL7787">
        <v>78.206786032605393</v>
      </c>
      <c r="AM7787">
        <v>84.618705685048894</v>
      </c>
      <c r="AN7787">
        <v>0.99999992801262005</v>
      </c>
    </row>
    <row r="7788" spans="1:40" x14ac:dyDescent="0.25">
      <c r="A7788" t="str">
        <f>"20190303170440118"</f>
        <v>20190303170440118</v>
      </c>
      <c r="B7788" t="str">
        <f>"1551603880113229"</f>
        <v>1551603880113229</v>
      </c>
      <c r="C7788" t="s">
        <v>40</v>
      </c>
      <c r="D7788">
        <v>4.50936</v>
      </c>
      <c r="E7788">
        <v>0.4465905</v>
      </c>
      <c r="F7788" t="s">
        <v>49</v>
      </c>
      <c r="G7788">
        <v>-205.92250000000001</v>
      </c>
      <c r="H7788">
        <v>2.541652</v>
      </c>
      <c r="I7788">
        <v>391.87</v>
      </c>
      <c r="J7788">
        <v>-187.57149999999999</v>
      </c>
      <c r="K7788">
        <v>1.121105</v>
      </c>
      <c r="L7788">
        <v>93.33878</v>
      </c>
      <c r="M7788">
        <v>1.241003E-4</v>
      </c>
      <c r="N7788">
        <v>-1.3957779999999999E-2</v>
      </c>
      <c r="O7788">
        <v>0.99990259999999997</v>
      </c>
      <c r="P7788">
        <v>9.1953690000000005E-2</v>
      </c>
      <c r="Q7788">
        <v>0.19090779999999999</v>
      </c>
      <c r="R7788">
        <v>0.97729149999999998</v>
      </c>
      <c r="S7788">
        <v>-0.18943789999999999</v>
      </c>
      <c r="T7788">
        <v>1.4664170000000001E-2</v>
      </c>
      <c r="U7788">
        <v>3.0842900000000002</v>
      </c>
      <c r="V7788">
        <v>9.2105720000000002E-2</v>
      </c>
      <c r="W7788">
        <v>0.20440720000000001</v>
      </c>
      <c r="X7788">
        <v>0.9745431</v>
      </c>
      <c r="Y7788">
        <v>-6.141394E-2</v>
      </c>
      <c r="Z7788">
        <v>1.8702679999999999E-2</v>
      </c>
      <c r="AA7788">
        <v>0.99793710000000002</v>
      </c>
      <c r="AB7788">
        <v>36</v>
      </c>
      <c r="AC7788">
        <v>-18.350999999999999</v>
      </c>
      <c r="AD7788">
        <v>1.420547</v>
      </c>
      <c r="AE7788">
        <v>298.53122000000002</v>
      </c>
      <c r="AF7788">
        <v>-18.387636499389899</v>
      </c>
      <c r="AG7788">
        <v>1.420547</v>
      </c>
      <c r="AH7788">
        <v>298.52220615668199</v>
      </c>
      <c r="AI7788">
        <v>89.727870244459695</v>
      </c>
      <c r="AJ7788">
        <v>93.524711384168</v>
      </c>
      <c r="AK7788">
        <v>299.09134173102598</v>
      </c>
      <c r="AL7788">
        <v>78.205200816052098</v>
      </c>
      <c r="AM7788">
        <v>84.600916361820595</v>
      </c>
      <c r="AN7788">
        <v>1.00000001041308</v>
      </c>
    </row>
    <row r="7789" spans="1:40" x14ac:dyDescent="0.25">
      <c r="A7789" t="str">
        <f>"20190303170440137"</f>
        <v>20190303170440137</v>
      </c>
      <c r="B7789" t="str">
        <f>"1551603880122990"</f>
        <v>1551603880122990</v>
      </c>
      <c r="C7789" t="s">
        <v>40</v>
      </c>
      <c r="D7789">
        <v>4.4717929999999999</v>
      </c>
      <c r="E7789">
        <v>0.44665690000000002</v>
      </c>
      <c r="F7789" t="s">
        <v>49</v>
      </c>
      <c r="G7789">
        <v>-204.37450000000001</v>
      </c>
      <c r="H7789">
        <v>2.7012770000000002</v>
      </c>
      <c r="I7789">
        <v>391.00349999999997</v>
      </c>
      <c r="J7789">
        <v>-187.57079999999999</v>
      </c>
      <c r="K7789">
        <v>1.1210580000000001</v>
      </c>
      <c r="L7789">
        <v>93.650419999999997</v>
      </c>
      <c r="M7789">
        <v>7.3115279999999897E-4</v>
      </c>
      <c r="N7789">
        <v>-1.395631E-2</v>
      </c>
      <c r="O7789">
        <v>0.99990239999999997</v>
      </c>
      <c r="P7789">
        <v>9.2682849999999997E-2</v>
      </c>
      <c r="Q7789">
        <v>0.1906958</v>
      </c>
      <c r="R7789">
        <v>0.97726400000000002</v>
      </c>
      <c r="S7789">
        <v>-0.1740265</v>
      </c>
      <c r="T7789">
        <v>1.6365649999999999E-2</v>
      </c>
      <c r="U7789">
        <v>3.0828859999999998</v>
      </c>
      <c r="V7789">
        <v>9.2262919999999998E-2</v>
      </c>
      <c r="W7789">
        <v>0.204184</v>
      </c>
      <c r="X7789">
        <v>0.97457499999999997</v>
      </c>
      <c r="Y7789">
        <v>-5.7075649999999999E-2</v>
      </c>
      <c r="Z7789">
        <v>1.9255810000000002E-2</v>
      </c>
      <c r="AA7789">
        <v>0.99818410000000002</v>
      </c>
      <c r="AB7789">
        <v>36</v>
      </c>
      <c r="AC7789">
        <v>-16.803699999999999</v>
      </c>
      <c r="AD7789">
        <v>1.580219</v>
      </c>
      <c r="AE7789">
        <v>297.35307999999998</v>
      </c>
      <c r="AF7789">
        <v>-17.020648047307599</v>
      </c>
      <c r="AG7789">
        <v>1.580219</v>
      </c>
      <c r="AH7789">
        <v>297.332342818494</v>
      </c>
      <c r="AI7789">
        <v>89.695993220182601</v>
      </c>
      <c r="AJ7789">
        <v>93.2762939382459</v>
      </c>
      <c r="AK7789">
        <v>297.82330606917299</v>
      </c>
      <c r="AL7789">
        <v>78.218264535745206</v>
      </c>
      <c r="AM7789">
        <v>84.591932125376402</v>
      </c>
      <c r="AN7789">
        <v>0.99999999144396301</v>
      </c>
    </row>
    <row r="7790" spans="1:40" x14ac:dyDescent="0.25">
      <c r="A7790" t="str">
        <f>"20190303170440161"</f>
        <v>20190303170440161</v>
      </c>
      <c r="B7790" t="str">
        <f>"1551603880153245"</f>
        <v>1551603880153245</v>
      </c>
      <c r="C7790" t="s">
        <v>40</v>
      </c>
      <c r="D7790">
        <v>4.4940709999999999</v>
      </c>
      <c r="E7790">
        <v>0.4468628</v>
      </c>
      <c r="F7790" t="s">
        <v>49</v>
      </c>
      <c r="G7790">
        <v>-204.07740000000001</v>
      </c>
      <c r="H7790">
        <v>2.8873859999999998</v>
      </c>
      <c r="I7790">
        <v>391.00349999999997</v>
      </c>
      <c r="J7790">
        <v>-187.56989999999999</v>
      </c>
      <c r="K7790">
        <v>1.121016</v>
      </c>
      <c r="L7790">
        <v>94.015659999999997</v>
      </c>
      <c r="M7790">
        <v>1.4773340000000001E-3</v>
      </c>
      <c r="N7790">
        <v>-1.395449E-2</v>
      </c>
      <c r="O7790">
        <v>0.9999015</v>
      </c>
      <c r="P7790">
        <v>9.4081730000000002E-2</v>
      </c>
      <c r="Q7790">
        <v>0.18972</v>
      </c>
      <c r="R7790">
        <v>0.97732030000000003</v>
      </c>
      <c r="S7790">
        <v>-0.17111209999999999</v>
      </c>
      <c r="T7790">
        <v>1.831031E-2</v>
      </c>
      <c r="U7790">
        <v>3.0824579999999999</v>
      </c>
      <c r="V7790">
        <v>9.2951130000000007E-2</v>
      </c>
      <c r="W7790">
        <v>0.20319860000000001</v>
      </c>
      <c r="X7790">
        <v>0.97471560000000002</v>
      </c>
      <c r="Y7790">
        <v>-5.6887239999999999E-2</v>
      </c>
      <c r="Z7790">
        <v>1.988492E-2</v>
      </c>
      <c r="AA7790">
        <v>0.99818260000000003</v>
      </c>
      <c r="AB7790">
        <v>36</v>
      </c>
      <c r="AC7790">
        <v>-16.5075</v>
      </c>
      <c r="AD7790">
        <v>1.76637</v>
      </c>
      <c r="AE7790">
        <v>296.98784000000001</v>
      </c>
      <c r="AF7790">
        <v>-16.945677365685601</v>
      </c>
      <c r="AG7790">
        <v>1.76637</v>
      </c>
      <c r="AH7790">
        <v>296.95265428490899</v>
      </c>
      <c r="AI7790">
        <v>89.659743824023707</v>
      </c>
      <c r="AJ7790">
        <v>93.266055796821007</v>
      </c>
      <c r="AK7790">
        <v>297.44101084284199</v>
      </c>
      <c r="AL7790">
        <v>78.275933409911701</v>
      </c>
      <c r="AM7790">
        <v>84.552615113403206</v>
      </c>
      <c r="AN7790">
        <v>1.0000000422467901</v>
      </c>
    </row>
    <row r="7791" spans="1:40" x14ac:dyDescent="0.25">
      <c r="A7791" t="str">
        <f>"20190303170440181"</f>
        <v>20190303170440181</v>
      </c>
      <c r="B7791" t="str">
        <f>"1551603880173741"</f>
        <v>1551603880173741</v>
      </c>
      <c r="C7791" t="s">
        <v>40</v>
      </c>
      <c r="D7791">
        <v>4.4806900000000001</v>
      </c>
      <c r="E7791">
        <v>0.44717820000000003</v>
      </c>
      <c r="F7791" t="s">
        <v>49</v>
      </c>
      <c r="G7791">
        <v>-203.4811</v>
      </c>
      <c r="H7791">
        <v>2.8899870000000001</v>
      </c>
      <c r="I7791">
        <v>391.00349999999997</v>
      </c>
      <c r="J7791">
        <v>-187.5686</v>
      </c>
      <c r="K7791">
        <v>1.1209899999999999</v>
      </c>
      <c r="L7791">
        <v>94.360230000000001</v>
      </c>
      <c r="M7791">
        <v>2.2022439999999999E-3</v>
      </c>
      <c r="N7791">
        <v>-1.395271E-2</v>
      </c>
      <c r="O7791">
        <v>0.99990020000000002</v>
      </c>
      <c r="P7791">
        <v>9.5599290000000003E-2</v>
      </c>
      <c r="Q7791">
        <v>0.18995029999999999</v>
      </c>
      <c r="R7791">
        <v>0.97712829999999995</v>
      </c>
      <c r="S7791">
        <v>-0.1651154</v>
      </c>
      <c r="T7791">
        <v>1.8357160000000001E-2</v>
      </c>
      <c r="U7791">
        <v>3.0819399999999999</v>
      </c>
      <c r="V7791">
        <v>9.3775430000000007E-2</v>
      </c>
      <c r="W7791">
        <v>0.20341699999999999</v>
      </c>
      <c r="X7791">
        <v>0.97459099999999999</v>
      </c>
      <c r="Y7791">
        <v>-5.5683900000000001E-2</v>
      </c>
      <c r="Z7791">
        <v>1.9900060000000001E-2</v>
      </c>
      <c r="AA7791">
        <v>0.99825010000000003</v>
      </c>
      <c r="AB7791">
        <v>36</v>
      </c>
      <c r="AC7791">
        <v>-15.9124999999999</v>
      </c>
      <c r="AD7791">
        <v>1.7689969999999999</v>
      </c>
      <c r="AE7791">
        <v>296.64326999999997</v>
      </c>
      <c r="AF7791">
        <v>-16.565218485642699</v>
      </c>
      <c r="AG7791">
        <v>1.7689969999999999</v>
      </c>
      <c r="AH7791">
        <v>296.59698660164599</v>
      </c>
      <c r="AI7791">
        <v>89.658805861295903</v>
      </c>
      <c r="AJ7791">
        <v>93.196701662172003</v>
      </c>
      <c r="AK7791">
        <v>297.06448504498201</v>
      </c>
      <c r="AL7791">
        <v>78.263152141071998</v>
      </c>
      <c r="AM7791">
        <v>84.503903311212198</v>
      </c>
      <c r="AN7791">
        <v>0.99999996222084098</v>
      </c>
    </row>
    <row r="7792" spans="1:40" x14ac:dyDescent="0.25">
      <c r="A7792" t="str">
        <f>"20190303170440203"</f>
        <v>20190303170440203</v>
      </c>
      <c r="B7792" t="str">
        <f>"1551603880193261"</f>
        <v>1551603880193261</v>
      </c>
      <c r="C7792" t="s">
        <v>40</v>
      </c>
      <c r="D7792">
        <v>4.5237970000000001</v>
      </c>
      <c r="E7792">
        <v>0.44753589999999999</v>
      </c>
      <c r="F7792" t="s">
        <v>49</v>
      </c>
      <c r="G7792">
        <v>-202.79390000000001</v>
      </c>
      <c r="H7792">
        <v>2.893373</v>
      </c>
      <c r="I7792">
        <v>391.00349999999997</v>
      </c>
      <c r="J7792">
        <v>-187.56720000000001</v>
      </c>
      <c r="K7792">
        <v>1.1209720000000001</v>
      </c>
      <c r="L7792">
        <v>94.69229</v>
      </c>
      <c r="M7792">
        <v>2.9119829999999999E-3</v>
      </c>
      <c r="N7792">
        <v>-1.395103E-2</v>
      </c>
      <c r="O7792">
        <v>0.99989839999999997</v>
      </c>
      <c r="P7792">
        <v>9.6887529999999999E-2</v>
      </c>
      <c r="Q7792">
        <v>0.19105520000000001</v>
      </c>
      <c r="R7792">
        <v>0.97678589999999998</v>
      </c>
      <c r="S7792">
        <v>-0.15818789999999999</v>
      </c>
      <c r="T7792">
        <v>1.8414860000000002E-2</v>
      </c>
      <c r="U7792">
        <v>3.0820919999999998</v>
      </c>
      <c r="V7792">
        <v>9.438328E-2</v>
      </c>
      <c r="W7792">
        <v>0.20451079999999999</v>
      </c>
      <c r="X7792">
        <v>0.97430340000000004</v>
      </c>
      <c r="Y7792">
        <v>-5.4152400000000003E-2</v>
      </c>
      <c r="Z7792">
        <v>1.9917580000000001E-2</v>
      </c>
      <c r="AA7792">
        <v>0.99833400000000005</v>
      </c>
      <c r="AB7792">
        <v>36</v>
      </c>
      <c r="AC7792">
        <v>-15.2266999999999</v>
      </c>
      <c r="AD7792">
        <v>1.7724009999999999</v>
      </c>
      <c r="AE7792">
        <v>296.31121000000002</v>
      </c>
      <c r="AF7792">
        <v>-16.088998518706401</v>
      </c>
      <c r="AG7792">
        <v>1.7724009999999999</v>
      </c>
      <c r="AH7792">
        <v>296.25503745403898</v>
      </c>
      <c r="AI7792">
        <v>89.657725765410405</v>
      </c>
      <c r="AJ7792">
        <v>93.108561634652105</v>
      </c>
      <c r="AK7792">
        <v>296.69688993235798</v>
      </c>
      <c r="AL7792">
        <v>78.199136665569497</v>
      </c>
      <c r="AM7792">
        <v>84.466875312438404</v>
      </c>
      <c r="AN7792">
        <v>0.99999999305587906</v>
      </c>
    </row>
    <row r="7793" spans="1:40" x14ac:dyDescent="0.25">
      <c r="A7793" t="str">
        <f>"20190303170440225"</f>
        <v>20190303170440225</v>
      </c>
      <c r="B7793" t="str">
        <f>"1551603880213757"</f>
        <v>1551603880213757</v>
      </c>
      <c r="C7793" t="s">
        <v>40</v>
      </c>
      <c r="D7793">
        <v>4.5366939999999998</v>
      </c>
      <c r="E7793">
        <v>0.4478029</v>
      </c>
      <c r="F7793" t="s">
        <v>49</v>
      </c>
      <c r="G7793">
        <v>-202.11510000000001</v>
      </c>
      <c r="H7793">
        <v>3.1687259999999999</v>
      </c>
      <c r="I7793">
        <v>391.00349999999997</v>
      </c>
      <c r="J7793">
        <v>-187.56540000000001</v>
      </c>
      <c r="K7793">
        <v>1.1209549999999999</v>
      </c>
      <c r="L7793">
        <v>95.0488</v>
      </c>
      <c r="M7793">
        <v>3.67922E-3</v>
      </c>
      <c r="N7793">
        <v>-1.394922E-2</v>
      </c>
      <c r="O7793">
        <v>0.99989589999999995</v>
      </c>
      <c r="P7793">
        <v>9.8176609999999997E-2</v>
      </c>
      <c r="Q7793">
        <v>0.19095899999999999</v>
      </c>
      <c r="R7793">
        <v>0.97667599999999999</v>
      </c>
      <c r="S7793">
        <v>-0.15132139999999999</v>
      </c>
      <c r="T7793">
        <v>2.129996E-2</v>
      </c>
      <c r="U7793">
        <v>3.0821230000000002</v>
      </c>
      <c r="V7793">
        <v>9.4931180000000004E-2</v>
      </c>
      <c r="W7793">
        <v>0.2044077</v>
      </c>
      <c r="X7793">
        <v>0.97427180000000002</v>
      </c>
      <c r="Y7793">
        <v>-5.2698990000000001E-2</v>
      </c>
      <c r="Z7793">
        <v>2.0851089999999999E-2</v>
      </c>
      <c r="AA7793">
        <v>0.99839279999999997</v>
      </c>
      <c r="AB7793">
        <v>36</v>
      </c>
      <c r="AC7793">
        <v>-14.5497</v>
      </c>
      <c r="AD7793">
        <v>2.047771</v>
      </c>
      <c r="AE7793">
        <v>295.9547</v>
      </c>
      <c r="AF7793">
        <v>-15.6378430842844</v>
      </c>
      <c r="AG7793">
        <v>2.047771</v>
      </c>
      <c r="AH7793">
        <v>295.88502827027401</v>
      </c>
      <c r="AI7793">
        <v>89.604024407153403</v>
      </c>
      <c r="AJ7793">
        <v>93.025329060101498</v>
      </c>
      <c r="AK7793">
        <v>296.30505472721501</v>
      </c>
      <c r="AL7793">
        <v>78.20517128825</v>
      </c>
      <c r="AM7793">
        <v>84.434776916037094</v>
      </c>
      <c r="AN7793">
        <v>0.99999998851536098</v>
      </c>
    </row>
    <row r="7794" spans="1:40" x14ac:dyDescent="0.25">
      <c r="A7794" t="str">
        <f>"20190303170440237"</f>
        <v>20190303170440237</v>
      </c>
      <c r="B7794" t="str">
        <f>"1551603880233277"</f>
        <v>1551603880233277</v>
      </c>
      <c r="C7794" t="s">
        <v>40</v>
      </c>
      <c r="D7794">
        <v>4.546691</v>
      </c>
      <c r="E7794">
        <v>0.44801869999999999</v>
      </c>
      <c r="F7794" t="s">
        <v>49</v>
      </c>
      <c r="G7794">
        <v>-201.5361</v>
      </c>
      <c r="H7794">
        <v>3.1663459999999999</v>
      </c>
      <c r="I7794">
        <v>391.00349999999997</v>
      </c>
      <c r="J7794">
        <v>-187.56440000000001</v>
      </c>
      <c r="K7794">
        <v>1.1209359999999999</v>
      </c>
      <c r="L7794">
        <v>95.238889999999998</v>
      </c>
      <c r="M7794">
        <v>4.0891189999999996E-3</v>
      </c>
      <c r="N7794">
        <v>-1.3948220000000001E-2</v>
      </c>
      <c r="O7794">
        <v>0.99989439999999996</v>
      </c>
      <c r="P7794">
        <v>9.8933599999999997E-2</v>
      </c>
      <c r="Q7794">
        <v>0.1908407</v>
      </c>
      <c r="R7794">
        <v>0.97662280000000001</v>
      </c>
      <c r="S7794">
        <v>-0.1454926</v>
      </c>
      <c r="T7794">
        <v>2.1301029999999999E-2</v>
      </c>
      <c r="U7794">
        <v>3.0821230000000002</v>
      </c>
      <c r="V7794">
        <v>9.5291219999999996E-2</v>
      </c>
      <c r="W7794">
        <v>0.20428579999999999</v>
      </c>
      <c r="X7794">
        <v>0.97426219999999997</v>
      </c>
      <c r="Y7794">
        <v>-5.1224609999999997E-2</v>
      </c>
      <c r="Z7794">
        <v>2.0851080000000001E-2</v>
      </c>
      <c r="AA7794">
        <v>0.99846950000000001</v>
      </c>
      <c r="AB7794">
        <v>36</v>
      </c>
      <c r="AC7794">
        <v>-13.971699999999901</v>
      </c>
      <c r="AD7794">
        <v>2.0454099999999902</v>
      </c>
      <c r="AE7794">
        <v>295.76460999999898</v>
      </c>
      <c r="AF7794">
        <v>-15.180393058883199</v>
      </c>
      <c r="AG7794">
        <v>2.0454099999999902</v>
      </c>
      <c r="AH7794">
        <v>295.690888920649</v>
      </c>
      <c r="AI7794">
        <v>89.604190164942807</v>
      </c>
      <c r="AJ7794">
        <v>92.938912051402099</v>
      </c>
      <c r="AK7794">
        <v>296.08736856910002</v>
      </c>
      <c r="AL7794">
        <v>78.212305973606803</v>
      </c>
      <c r="AM7794">
        <v>84.413748574494093</v>
      </c>
      <c r="AN7794">
        <v>0.99999996951978298</v>
      </c>
    </row>
    <row r="7795" spans="1:40" x14ac:dyDescent="0.25">
      <c r="A7795" t="str">
        <f>"20190303170440250"</f>
        <v>20190303170440250</v>
      </c>
      <c r="B7795" t="str">
        <f>"1551603880243037"</f>
        <v>1551603880243037</v>
      </c>
      <c r="C7795" t="s">
        <v>40</v>
      </c>
      <c r="D7795">
        <v>4.5566209999999998</v>
      </c>
      <c r="E7795">
        <v>0.44811309999999899</v>
      </c>
      <c r="F7795" t="s">
        <v>49</v>
      </c>
      <c r="G7795">
        <v>-201.20529999999999</v>
      </c>
      <c r="H7795">
        <v>3.0692240000000002</v>
      </c>
      <c r="I7795">
        <v>391.87</v>
      </c>
      <c r="J7795">
        <v>-187.56299999999999</v>
      </c>
      <c r="K7795">
        <v>1.120927</v>
      </c>
      <c r="L7795">
        <v>95.458529999999996</v>
      </c>
      <c r="M7795">
        <v>4.5622550000000003E-3</v>
      </c>
      <c r="N7795">
        <v>-1.3947070000000001E-2</v>
      </c>
      <c r="O7795">
        <v>0.99989240000000001</v>
      </c>
      <c r="P7795">
        <v>9.9611099999999994E-2</v>
      </c>
      <c r="Q7795">
        <v>0.1906091</v>
      </c>
      <c r="R7795">
        <v>0.97659910000000005</v>
      </c>
      <c r="S7795">
        <v>-0.1417389</v>
      </c>
      <c r="T7795">
        <v>2.0244120000000001E-2</v>
      </c>
      <c r="U7795">
        <v>3.082214</v>
      </c>
      <c r="V7795">
        <v>9.5509339999999998E-2</v>
      </c>
      <c r="W7795">
        <v>0.20405139999999999</v>
      </c>
      <c r="X7795">
        <v>0.97428999999999999</v>
      </c>
      <c r="Y7795">
        <v>-5.0482659999999999E-2</v>
      </c>
      <c r="Z7795">
        <v>2.050774E-2</v>
      </c>
      <c r="AA7795">
        <v>0.99851440000000002</v>
      </c>
      <c r="AB7795">
        <v>36</v>
      </c>
      <c r="AC7795">
        <v>-13.642300000000001</v>
      </c>
      <c r="AD7795">
        <v>1.9482969999999999</v>
      </c>
      <c r="AE7795">
        <v>296.41147000000001</v>
      </c>
      <c r="AF7795">
        <v>-14.993947728144301</v>
      </c>
      <c r="AG7795">
        <v>1.9482969999999999</v>
      </c>
      <c r="AH7795">
        <v>296.33336328684402</v>
      </c>
      <c r="AI7795">
        <v>89.623785286582006</v>
      </c>
      <c r="AJ7795">
        <v>92.896595561875401</v>
      </c>
      <c r="AK7795">
        <v>296.71885097945398</v>
      </c>
      <c r="AL7795">
        <v>78.226025523260901</v>
      </c>
      <c r="AM7795">
        <v>84.401201638178904</v>
      </c>
      <c r="AN7795">
        <v>1.0000000059845899</v>
      </c>
    </row>
    <row r="7796" spans="1:40" x14ac:dyDescent="0.25">
      <c r="A7796" t="str">
        <f>"20190303170440263"</f>
        <v>20190303170440263</v>
      </c>
      <c r="B7796" t="str">
        <f>"1551603880253773"</f>
        <v>1551603880253773</v>
      </c>
      <c r="C7796" t="s">
        <v>40</v>
      </c>
      <c r="D7796">
        <v>4.5495020000000004</v>
      </c>
      <c r="E7796">
        <v>0.44819239999999999</v>
      </c>
      <c r="F7796" t="s">
        <v>49</v>
      </c>
      <c r="G7796">
        <v>-200.91849999999999</v>
      </c>
      <c r="H7796">
        <v>2.905052</v>
      </c>
      <c r="I7796">
        <v>391.87</v>
      </c>
      <c r="J7796">
        <v>-187.5617</v>
      </c>
      <c r="K7796">
        <v>1.120922</v>
      </c>
      <c r="L7796">
        <v>95.661900000000003</v>
      </c>
      <c r="M7796">
        <v>4.99972E-3</v>
      </c>
      <c r="N7796">
        <v>-1.394601E-2</v>
      </c>
      <c r="O7796">
        <v>0.99989030000000001</v>
      </c>
      <c r="P7796">
        <v>0.1003098</v>
      </c>
      <c r="Q7796">
        <v>0.19023200000000001</v>
      </c>
      <c r="R7796">
        <v>0.9766011</v>
      </c>
      <c r="S7796">
        <v>-0.1388855</v>
      </c>
      <c r="T7796">
        <v>1.8553380000000001E-2</v>
      </c>
      <c r="U7796">
        <v>3.0824280000000002</v>
      </c>
      <c r="V7796">
        <v>9.578238E-2</v>
      </c>
      <c r="W7796">
        <v>0.2036724</v>
      </c>
      <c r="X7796">
        <v>0.9743425</v>
      </c>
      <c r="Y7796">
        <v>-4.9994360000000002E-2</v>
      </c>
      <c r="Z7796">
        <v>1.9958779999999999E-2</v>
      </c>
      <c r="AA7796">
        <v>0.9985501</v>
      </c>
      <c r="AB7796">
        <v>36</v>
      </c>
      <c r="AC7796">
        <v>-13.3567999999999</v>
      </c>
      <c r="AD7796">
        <v>1.78413</v>
      </c>
      <c r="AE7796">
        <v>296.2081</v>
      </c>
      <c r="AF7796">
        <v>-14.8371973590284</v>
      </c>
      <c r="AG7796">
        <v>1.78413</v>
      </c>
      <c r="AH7796">
        <v>296.12688883718403</v>
      </c>
      <c r="AI7796">
        <v>89.655236252240101</v>
      </c>
      <c r="AJ7796">
        <v>92.868359850641298</v>
      </c>
      <c r="AK7796">
        <v>296.503726515734</v>
      </c>
      <c r="AL7796">
        <v>78.248206467217102</v>
      </c>
      <c r="AM7796">
        <v>84.385598645768297</v>
      </c>
      <c r="AN7796">
        <v>1.0000000090732299</v>
      </c>
    </row>
    <row r="7797" spans="1:40" x14ac:dyDescent="0.25">
      <c r="A7797" t="str">
        <f>"20190303170440282"</f>
        <v>20190303170440282</v>
      </c>
      <c r="B7797" t="str">
        <f>"1551603880273293"</f>
        <v>1551603880273293</v>
      </c>
      <c r="C7797" t="s">
        <v>40</v>
      </c>
      <c r="D7797">
        <v>4.5798719999999999</v>
      </c>
      <c r="E7797">
        <v>0.44826050000000001</v>
      </c>
      <c r="F7797" t="s">
        <v>49</v>
      </c>
      <c r="G7797">
        <v>-200.6568</v>
      </c>
      <c r="H7797">
        <v>2.7694670000000001</v>
      </c>
      <c r="I7797">
        <v>391.87</v>
      </c>
      <c r="J7797">
        <v>-187.55959999999999</v>
      </c>
      <c r="K7797">
        <v>1.1209180000000001</v>
      </c>
      <c r="L7797">
        <v>95.961910000000003</v>
      </c>
      <c r="M7797">
        <v>5.6439219999999896E-3</v>
      </c>
      <c r="N7797">
        <v>-1.3944420000000001E-2</v>
      </c>
      <c r="O7797">
        <v>0.99988690000000002</v>
      </c>
      <c r="P7797">
        <v>0.10210370000000001</v>
      </c>
      <c r="Q7797">
        <v>0.18964059999999999</v>
      </c>
      <c r="R7797">
        <v>0.97653029999999996</v>
      </c>
      <c r="S7797">
        <v>-0.13627619999999999</v>
      </c>
      <c r="T7797">
        <v>1.715589E-2</v>
      </c>
      <c r="U7797">
        <v>3.0825499999999999</v>
      </c>
      <c r="V7797">
        <v>9.6949160000000006E-2</v>
      </c>
      <c r="W7797">
        <v>0.2030758</v>
      </c>
      <c r="X7797">
        <v>0.97435159999999998</v>
      </c>
      <c r="Y7797">
        <v>-4.9792740000000002E-2</v>
      </c>
      <c r="Z7797">
        <v>1.9504509999999999E-2</v>
      </c>
      <c r="AA7797">
        <v>0.99856909999999999</v>
      </c>
      <c r="AB7797">
        <v>36</v>
      </c>
      <c r="AC7797">
        <v>-13.097200000000001</v>
      </c>
      <c r="AD7797">
        <v>1.6485489999999901</v>
      </c>
      <c r="AE7797">
        <v>295.90809000000002</v>
      </c>
      <c r="AF7797">
        <v>-14.7667784075011</v>
      </c>
      <c r="AG7797">
        <v>1.6485489999999901</v>
      </c>
      <c r="AH7797">
        <v>295.820285740668</v>
      </c>
      <c r="AI7797">
        <v>89.681102115425304</v>
      </c>
      <c r="AJ7797">
        <v>92.857722800812198</v>
      </c>
      <c r="AK7797">
        <v>296.19320875744597</v>
      </c>
      <c r="AL7797">
        <v>78.283118415860301</v>
      </c>
      <c r="AM7797">
        <v>84.317704047772096</v>
      </c>
      <c r="AN7797">
        <v>0.99999998029645198</v>
      </c>
    </row>
    <row r="7798" spans="1:40" x14ac:dyDescent="0.25">
      <c r="A7798" t="str">
        <f>"20190303170440295"</f>
        <v>20190303170440295</v>
      </c>
      <c r="B7798" t="str">
        <f>"1551603880283053"</f>
        <v>1551603880283053</v>
      </c>
      <c r="C7798" t="s">
        <v>40</v>
      </c>
      <c r="D7798">
        <v>4.5540659999999997</v>
      </c>
      <c r="E7798">
        <v>0.44827230000000001</v>
      </c>
      <c r="F7798" t="s">
        <v>49</v>
      </c>
      <c r="G7798">
        <v>-200.08170000000001</v>
      </c>
      <c r="H7798">
        <v>2.5001229999999999</v>
      </c>
      <c r="I7798">
        <v>391.87</v>
      </c>
      <c r="J7798">
        <v>-187.55799999999999</v>
      </c>
      <c r="K7798">
        <v>1.120914</v>
      </c>
      <c r="L7798">
        <v>96.162260000000003</v>
      </c>
      <c r="M7798">
        <v>6.073579E-3</v>
      </c>
      <c r="N7798">
        <v>-1.394336E-2</v>
      </c>
      <c r="O7798">
        <v>0.99988440000000001</v>
      </c>
      <c r="P7798">
        <v>0.1033562</v>
      </c>
      <c r="Q7798">
        <v>0.18916169999999999</v>
      </c>
      <c r="R7798">
        <v>0.97649129999999995</v>
      </c>
      <c r="S7798">
        <v>-0.13046259999999901</v>
      </c>
      <c r="T7798">
        <v>1.4369369999999999E-2</v>
      </c>
      <c r="U7798">
        <v>3.0829469999999999</v>
      </c>
      <c r="V7798">
        <v>9.7782720000000004E-2</v>
      </c>
      <c r="W7798">
        <v>0.20259389999999999</v>
      </c>
      <c r="X7798">
        <v>0.97436860000000003</v>
      </c>
      <c r="Y7798">
        <v>-4.8337190000000002E-2</v>
      </c>
      <c r="Z7798">
        <v>1.8600479999999999E-2</v>
      </c>
      <c r="AA7798">
        <v>0.99865789999999999</v>
      </c>
      <c r="AB7798">
        <v>36</v>
      </c>
      <c r="AC7798">
        <v>-12.5237</v>
      </c>
      <c r="AD7798">
        <v>1.3792089999999999</v>
      </c>
      <c r="AE7798">
        <v>295.70774</v>
      </c>
      <c r="AF7798">
        <v>-14.3193368470781</v>
      </c>
      <c r="AG7798">
        <v>1.3792089999999999</v>
      </c>
      <c r="AH7798">
        <v>295.61979439618301</v>
      </c>
      <c r="AI7798">
        <v>89.7330025150805</v>
      </c>
      <c r="AJ7798">
        <v>92.773145868082395</v>
      </c>
      <c r="AK7798">
        <v>295.96960733164298</v>
      </c>
      <c r="AL7798">
        <v>78.311315127857895</v>
      </c>
      <c r="AM7798">
        <v>84.2692713339015</v>
      </c>
      <c r="AN7798">
        <v>0.99999995865688296</v>
      </c>
    </row>
    <row r="7799" spans="1:40" x14ac:dyDescent="0.25">
      <c r="A7799" t="str">
        <f>"20190303170440309"</f>
        <v>20190303170440309</v>
      </c>
      <c r="B7799" t="str">
        <f>"1551603880303550"</f>
        <v>1551603880303550</v>
      </c>
      <c r="C7799" t="s">
        <v>40</v>
      </c>
      <c r="D7799">
        <v>4.5935379999999997</v>
      </c>
      <c r="E7799">
        <v>0.44827230000000001</v>
      </c>
      <c r="F7799" t="s">
        <v>49</v>
      </c>
      <c r="G7799">
        <v>-199.67689999999999</v>
      </c>
      <c r="H7799">
        <v>2.29522</v>
      </c>
      <c r="I7799">
        <v>391.87</v>
      </c>
      <c r="J7799">
        <v>-187.55619999999999</v>
      </c>
      <c r="K7799">
        <v>1.1209119999999999</v>
      </c>
      <c r="L7799">
        <v>96.386170000000007</v>
      </c>
      <c r="M7799">
        <v>6.552998E-3</v>
      </c>
      <c r="N7799">
        <v>-1.394216E-2</v>
      </c>
      <c r="O7799">
        <v>0.99988129999999997</v>
      </c>
      <c r="P7799">
        <v>0.1046632</v>
      </c>
      <c r="Q7799">
        <v>0.18924569999999999</v>
      </c>
      <c r="R7799">
        <v>0.97633579999999998</v>
      </c>
      <c r="S7799">
        <v>-0.126358</v>
      </c>
      <c r="T7799">
        <v>1.224399E-2</v>
      </c>
      <c r="U7799">
        <v>3.083221</v>
      </c>
      <c r="V7799">
        <v>9.8623680000000005E-2</v>
      </c>
      <c r="W7799">
        <v>0.2026733</v>
      </c>
      <c r="X7799">
        <v>0.97426740000000001</v>
      </c>
      <c r="Y7799">
        <v>-4.7485489999999998E-2</v>
      </c>
      <c r="Z7799">
        <v>1.7910639999999999E-2</v>
      </c>
      <c r="AA7799">
        <v>0.99871129999999997</v>
      </c>
      <c r="AB7799">
        <v>36</v>
      </c>
      <c r="AC7799">
        <v>-12.120699999999999</v>
      </c>
      <c r="AD7799">
        <v>1.1743079999999999</v>
      </c>
      <c r="AE7799">
        <v>295.48382999999899</v>
      </c>
      <c r="AF7799">
        <v>-14.0567112893605</v>
      </c>
      <c r="AG7799">
        <v>1.1743079999999999</v>
      </c>
      <c r="AH7799">
        <v>295.393392096637</v>
      </c>
      <c r="AI7799">
        <v>89.772484794795503</v>
      </c>
      <c r="AJ7799">
        <v>92.724445266869495</v>
      </c>
      <c r="AK7799">
        <v>295.72998871590499</v>
      </c>
      <c r="AL7799">
        <v>78.306670333518994</v>
      </c>
      <c r="AM7799">
        <v>84.219721360907897</v>
      </c>
      <c r="AN7799">
        <v>1.0000000317461899</v>
      </c>
    </row>
    <row r="7800" spans="1:40" x14ac:dyDescent="0.25">
      <c r="A7800" t="str">
        <f>"20190303170440326"</f>
        <v>20190303170440326</v>
      </c>
      <c r="B7800" t="str">
        <f>"1551603880313309"</f>
        <v>1551603880313309</v>
      </c>
      <c r="C7800" t="s">
        <v>40</v>
      </c>
      <c r="D7800">
        <v>4.5799909999999997</v>
      </c>
      <c r="E7800">
        <v>0.4482698</v>
      </c>
      <c r="F7800" t="s">
        <v>49</v>
      </c>
      <c r="G7800">
        <v>-199.27420000000001</v>
      </c>
      <c r="H7800">
        <v>2.2361149999999999</v>
      </c>
      <c r="I7800">
        <v>391.87</v>
      </c>
      <c r="J7800">
        <v>-187.5539</v>
      </c>
      <c r="K7800">
        <v>1.1209119999999999</v>
      </c>
      <c r="L7800">
        <v>96.65643</v>
      </c>
      <c r="M7800">
        <v>7.1311639999999997E-3</v>
      </c>
      <c r="N7800">
        <v>-1.394068E-2</v>
      </c>
      <c r="O7800">
        <v>0.99987740000000003</v>
      </c>
      <c r="P7800">
        <v>0.1062028</v>
      </c>
      <c r="Q7800">
        <v>0.1895636</v>
      </c>
      <c r="R7800">
        <v>0.97610790000000003</v>
      </c>
      <c r="S7800">
        <v>-0.1222839</v>
      </c>
      <c r="T7800">
        <v>1.163781E-2</v>
      </c>
      <c r="U7800">
        <v>3.0835569999999999</v>
      </c>
      <c r="V7800">
        <v>9.9601590000000004E-2</v>
      </c>
      <c r="W7800">
        <v>0.2029852</v>
      </c>
      <c r="X7800">
        <v>0.97410300000000005</v>
      </c>
      <c r="Y7800">
        <v>-4.6741350000000001E-2</v>
      </c>
      <c r="Z7800">
        <v>1.7712619999999998E-2</v>
      </c>
      <c r="AA7800">
        <v>0.99875000000000003</v>
      </c>
      <c r="AB7800">
        <v>36</v>
      </c>
      <c r="AC7800">
        <v>-11.7203</v>
      </c>
      <c r="AD7800">
        <v>1.1152029999999999</v>
      </c>
      <c r="AE7800">
        <v>295.21357</v>
      </c>
      <c r="AF7800">
        <v>-13.825225915949201</v>
      </c>
      <c r="AG7800">
        <v>1.1152029999999999</v>
      </c>
      <c r="AH7800">
        <v>295.11826980094497</v>
      </c>
      <c r="AI7800">
        <v>89.783726963941007</v>
      </c>
      <c r="AJ7800">
        <v>92.682139587291303</v>
      </c>
      <c r="AK7800">
        <v>295.44402806565898</v>
      </c>
      <c r="AL7800">
        <v>78.2884207922949</v>
      </c>
      <c r="AM7800">
        <v>84.161822103306804</v>
      </c>
      <c r="AN7800">
        <v>1.0000000613792801</v>
      </c>
    </row>
    <row r="7801" spans="1:40" x14ac:dyDescent="0.25">
      <c r="A7801" t="str">
        <f>"20190303170440350"</f>
        <v>20190303170440350</v>
      </c>
      <c r="B7801" t="str">
        <f>"1551603880343566"</f>
        <v>1551603880343566</v>
      </c>
      <c r="C7801" t="s">
        <v>40</v>
      </c>
      <c r="D7801">
        <v>4.5960619999999999</v>
      </c>
      <c r="E7801">
        <v>0.44816279999999997</v>
      </c>
      <c r="F7801" t="s">
        <v>49</v>
      </c>
      <c r="G7801">
        <v>-198.7929</v>
      </c>
      <c r="H7801">
        <v>2.317161</v>
      </c>
      <c r="I7801">
        <v>391.87</v>
      </c>
      <c r="J7801">
        <v>-187.55029999999999</v>
      </c>
      <c r="K7801">
        <v>1.120906</v>
      </c>
      <c r="L7801">
        <v>97.033910000000006</v>
      </c>
      <c r="M7801">
        <v>7.9384109999999994E-3</v>
      </c>
      <c r="N7801">
        <v>-1.393866E-2</v>
      </c>
      <c r="O7801">
        <v>0.99987130000000002</v>
      </c>
      <c r="P7801">
        <v>0.10774350000000001</v>
      </c>
      <c r="Q7801">
        <v>0.18981690000000001</v>
      </c>
      <c r="R7801">
        <v>0.97588980000000003</v>
      </c>
      <c r="S7801">
        <v>-0.11740109999999999</v>
      </c>
      <c r="T7801">
        <v>1.2495879999999999E-2</v>
      </c>
      <c r="U7801">
        <v>3.083771</v>
      </c>
      <c r="V7801">
        <v>0.1003568</v>
      </c>
      <c r="W7801">
        <v>0.2032331</v>
      </c>
      <c r="X7801">
        <v>0.9739738</v>
      </c>
      <c r="Y7801">
        <v>-4.5965989999999998E-2</v>
      </c>
      <c r="Z7801">
        <v>1.7988569999999999E-2</v>
      </c>
      <c r="AA7801">
        <v>0.99878100000000003</v>
      </c>
      <c r="AB7801">
        <v>35</v>
      </c>
      <c r="AC7801">
        <v>-11.242599999999999</v>
      </c>
      <c r="AD7801">
        <v>1.1962549999999901</v>
      </c>
      <c r="AE7801">
        <v>294.83609000000001</v>
      </c>
      <c r="AF7801">
        <v>-13.582779955296999</v>
      </c>
      <c r="AG7801">
        <v>1.1962549999999901</v>
      </c>
      <c r="AH7801">
        <v>294.73269606281002</v>
      </c>
      <c r="AI7801">
        <v>89.767696899602996</v>
      </c>
      <c r="AJ7801">
        <v>92.638613661563994</v>
      </c>
      <c r="AK7801">
        <v>295.04793689465401</v>
      </c>
      <c r="AL7801">
        <v>78.273914930488502</v>
      </c>
      <c r="AM7801">
        <v>84.117089656194594</v>
      </c>
      <c r="AN7801">
        <v>1.00000007166414</v>
      </c>
    </row>
    <row r="7802" spans="1:40" x14ac:dyDescent="0.25">
      <c r="A7802" t="str">
        <f>"20190303170440372"</f>
        <v>20190303170440372</v>
      </c>
      <c r="B7802" t="str">
        <f>"1551603880363592"</f>
        <v>1551603880363592</v>
      </c>
      <c r="C7802" t="s">
        <v>40</v>
      </c>
      <c r="D7802">
        <v>4.6314330000000004</v>
      </c>
      <c r="E7802">
        <v>0.44805010000000001</v>
      </c>
      <c r="F7802" t="s">
        <v>49</v>
      </c>
      <c r="G7802">
        <v>-198.3998</v>
      </c>
      <c r="H7802">
        <v>2.3028770000000001</v>
      </c>
      <c r="I7802">
        <v>391.87</v>
      </c>
      <c r="J7802">
        <v>-187.54679999999999</v>
      </c>
      <c r="K7802">
        <v>1.1209</v>
      </c>
      <c r="L7802">
        <v>97.381410000000002</v>
      </c>
      <c r="M7802">
        <v>8.6815429999999999E-3</v>
      </c>
      <c r="N7802">
        <v>-1.393674E-2</v>
      </c>
      <c r="O7802">
        <v>0.99986520000000001</v>
      </c>
      <c r="P7802">
        <v>0.1094873</v>
      </c>
      <c r="Q7802">
        <v>0.18908559999999999</v>
      </c>
      <c r="R7802">
        <v>0.97583770000000003</v>
      </c>
      <c r="S7802">
        <v>-0.113494899999999</v>
      </c>
      <c r="T7802">
        <v>1.236451E-2</v>
      </c>
      <c r="U7802">
        <v>3.0842589999999999</v>
      </c>
      <c r="V7802">
        <v>0.10137409999999999</v>
      </c>
      <c r="W7802">
        <v>0.2024986</v>
      </c>
      <c r="X7802">
        <v>0.97402140000000004</v>
      </c>
      <c r="Y7802">
        <v>-4.5439279999999999E-2</v>
      </c>
      <c r="Z7802">
        <v>1.7943690000000002E-2</v>
      </c>
      <c r="AA7802">
        <v>0.99880590000000002</v>
      </c>
      <c r="AB7802">
        <v>35</v>
      </c>
      <c r="AC7802">
        <v>-10.853</v>
      </c>
      <c r="AD7802">
        <v>1.1819770000000001</v>
      </c>
      <c r="AE7802">
        <v>294.48858999999999</v>
      </c>
      <c r="AF7802">
        <v>-13.4092388560471</v>
      </c>
      <c r="AG7802">
        <v>1.1819770000000001</v>
      </c>
      <c r="AH7802">
        <v>294.37852416685803</v>
      </c>
      <c r="AI7802">
        <v>89.770187781809994</v>
      </c>
      <c r="AJ7802">
        <v>92.608077746759804</v>
      </c>
      <c r="AK7802">
        <v>294.68613853892799</v>
      </c>
      <c r="AL7802">
        <v>78.316891945120005</v>
      </c>
      <c r="AM7802">
        <v>84.058168462282197</v>
      </c>
      <c r="AN7802">
        <v>1.0000000394053601</v>
      </c>
    </row>
    <row r="7803" spans="1:40" x14ac:dyDescent="0.25">
      <c r="A7803" t="str">
        <f>"20190303170440392"</f>
        <v>20190303170440392</v>
      </c>
      <c r="B7803" t="str">
        <f>"1551603880383112"</f>
        <v>1551603880383112</v>
      </c>
      <c r="C7803" t="s">
        <v>40</v>
      </c>
      <c r="D7803">
        <v>4.6362709999999998</v>
      </c>
      <c r="E7803">
        <v>0.44789289999999998</v>
      </c>
      <c r="F7803" t="s">
        <v>49</v>
      </c>
      <c r="G7803">
        <v>-197.93459999999999</v>
      </c>
      <c r="H7803">
        <v>1.9820260000000001</v>
      </c>
      <c r="I7803">
        <v>391.87</v>
      </c>
      <c r="J7803">
        <v>-187.54320000000001</v>
      </c>
      <c r="K7803">
        <v>1.1208959999999999</v>
      </c>
      <c r="L7803">
        <v>97.714110000000005</v>
      </c>
      <c r="M7803">
        <v>9.3931150000000005E-3</v>
      </c>
      <c r="N7803">
        <v>-1.393496E-2</v>
      </c>
      <c r="O7803">
        <v>0.99985880000000005</v>
      </c>
      <c r="P7803">
        <v>0.1117271</v>
      </c>
      <c r="Q7803">
        <v>0.18797179999999999</v>
      </c>
      <c r="R7803">
        <v>0.97579899999999997</v>
      </c>
      <c r="S7803">
        <v>-0.1088104</v>
      </c>
      <c r="T7803">
        <v>9.0202089999999995E-3</v>
      </c>
      <c r="U7803">
        <v>3.0847470000000001</v>
      </c>
      <c r="V7803">
        <v>0.1029171</v>
      </c>
      <c r="W7803">
        <v>0.20138059999999999</v>
      </c>
      <c r="X7803">
        <v>0.97409140000000005</v>
      </c>
      <c r="Y7803">
        <v>-4.4629969999999998E-2</v>
      </c>
      <c r="Z7803">
        <v>1.685849E-2</v>
      </c>
      <c r="AA7803">
        <v>0.99886129999999995</v>
      </c>
      <c r="AB7803">
        <v>35</v>
      </c>
      <c r="AC7803">
        <v>-10.3913999999999</v>
      </c>
      <c r="AD7803">
        <v>0.86112999999999995</v>
      </c>
      <c r="AE7803">
        <v>294.15589</v>
      </c>
      <c r="AF7803">
        <v>-13.154137253365599</v>
      </c>
      <c r="AG7803">
        <v>0.86112999999999995</v>
      </c>
      <c r="AH7803">
        <v>294.042776510593</v>
      </c>
      <c r="AI7803">
        <v>89.832372424433601</v>
      </c>
      <c r="AJ7803">
        <v>92.561444942575903</v>
      </c>
      <c r="AK7803">
        <v>294.33811728999001</v>
      </c>
      <c r="AL7803">
        <v>78.382296393361003</v>
      </c>
      <c r="AM7803">
        <v>83.968820735842996</v>
      </c>
      <c r="AN7803">
        <v>1.0000000655413599</v>
      </c>
    </row>
    <row r="7804" spans="1:40" x14ac:dyDescent="0.25">
      <c r="A7804" t="str">
        <f>"20190303170440406"</f>
        <v>20190303170440406</v>
      </c>
      <c r="B7804" t="str">
        <f>"1551603880393849"</f>
        <v>1551603880393849</v>
      </c>
      <c r="C7804" t="s">
        <v>40</v>
      </c>
      <c r="D7804">
        <v>4.4827149999999998</v>
      </c>
      <c r="E7804">
        <v>0.44789289999999998</v>
      </c>
      <c r="F7804" t="s">
        <v>49</v>
      </c>
      <c r="G7804">
        <v>-197.3689</v>
      </c>
      <c r="H7804">
        <v>1.5631550000000001</v>
      </c>
      <c r="I7804">
        <v>391.87</v>
      </c>
      <c r="J7804">
        <v>-187.54079999999999</v>
      </c>
      <c r="K7804">
        <v>1.1208940000000001</v>
      </c>
      <c r="L7804">
        <v>97.922269999999997</v>
      </c>
      <c r="M7804">
        <v>9.8381110000000001E-3</v>
      </c>
      <c r="N7804">
        <v>-1.3933849999999999E-2</v>
      </c>
      <c r="O7804">
        <v>0.99985449999999998</v>
      </c>
      <c r="P7804">
        <v>0.112969</v>
      </c>
      <c r="Q7804">
        <v>0.18742310000000001</v>
      </c>
      <c r="R7804">
        <v>0.97576149999999995</v>
      </c>
      <c r="S7804">
        <v>-0.10305789999999999</v>
      </c>
      <c r="T7804">
        <v>4.6386719999999999E-3</v>
      </c>
      <c r="U7804">
        <v>3.0852970000000002</v>
      </c>
      <c r="V7804">
        <v>0.1037237</v>
      </c>
      <c r="W7804">
        <v>0.20083039999999999</v>
      </c>
      <c r="X7804">
        <v>0.97411939999999997</v>
      </c>
      <c r="Y7804">
        <v>-4.3208539999999997E-2</v>
      </c>
      <c r="Z7804">
        <v>1.5438220000000001E-2</v>
      </c>
      <c r="AA7804">
        <v>0.99894680000000002</v>
      </c>
      <c r="AB7804">
        <v>35</v>
      </c>
      <c r="AC7804">
        <v>-9.8280999999999992</v>
      </c>
      <c r="AD7804">
        <v>0.44226099999999902</v>
      </c>
      <c r="AE7804">
        <v>293.94772999999998</v>
      </c>
      <c r="AF7804">
        <v>-12.7197667369862</v>
      </c>
      <c r="AG7804">
        <v>0.44226099999999902</v>
      </c>
      <c r="AH7804">
        <v>293.83613778373501</v>
      </c>
      <c r="AI7804">
        <v>89.913843269697495</v>
      </c>
      <c r="AJ7804">
        <v>92.478708846537899</v>
      </c>
      <c r="AK7804">
        <v>294.11165214642102</v>
      </c>
      <c r="AL7804">
        <v>78.414477601495506</v>
      </c>
      <c r="AM7804">
        <v>83.922077987223702</v>
      </c>
      <c r="AN7804">
        <v>1.0000000304811001</v>
      </c>
    </row>
    <row r="7805" spans="1:40" x14ac:dyDescent="0.25">
      <c r="A7805" t="str">
        <f>"20190303170440426"</f>
        <v>20190303170440426</v>
      </c>
      <c r="B7805" t="str">
        <f>"1551603880413368"</f>
        <v>1551603880413368</v>
      </c>
      <c r="C7805" t="s">
        <v>40</v>
      </c>
      <c r="D7805">
        <v>4.334346</v>
      </c>
      <c r="E7805">
        <v>0.48386699999999999</v>
      </c>
      <c r="F7805" t="s">
        <v>49</v>
      </c>
      <c r="G7805">
        <v>-196.9854</v>
      </c>
      <c r="H7805">
        <v>1.3819900000000001</v>
      </c>
      <c r="I7805">
        <v>391.87</v>
      </c>
      <c r="J7805">
        <v>-187.53710000000001</v>
      </c>
      <c r="K7805">
        <v>1.120892</v>
      </c>
      <c r="L7805">
        <v>98.23245</v>
      </c>
      <c r="M7805">
        <v>1.05013E-2</v>
      </c>
      <c r="N7805">
        <v>-1.3932140000000001E-2</v>
      </c>
      <c r="O7805">
        <v>0.99984779999999995</v>
      </c>
      <c r="P7805">
        <v>0.11430269999999999</v>
      </c>
      <c r="Q7805">
        <v>0.18742900000000001</v>
      </c>
      <c r="R7805">
        <v>0.9756051</v>
      </c>
      <c r="S7805">
        <v>-9.9136349999999998E-2</v>
      </c>
      <c r="T7805">
        <v>2.7406219999999998E-3</v>
      </c>
      <c r="U7805">
        <v>3.08548</v>
      </c>
      <c r="V7805">
        <v>0.1044109</v>
      </c>
      <c r="W7805">
        <v>0.2008318</v>
      </c>
      <c r="X7805">
        <v>0.97404570000000001</v>
      </c>
      <c r="Y7805">
        <v>-4.2601130000000001E-2</v>
      </c>
      <c r="Z7805">
        <v>1.4821930000000001E-2</v>
      </c>
      <c r="AA7805">
        <v>0.99898220000000004</v>
      </c>
      <c r="AB7805">
        <v>35</v>
      </c>
      <c r="AC7805">
        <v>-9.4482999999999802</v>
      </c>
      <c r="AD7805">
        <v>0.261098</v>
      </c>
      <c r="AE7805">
        <v>293.63754999999998</v>
      </c>
      <c r="AF7805">
        <v>-12.5316443278073</v>
      </c>
      <c r="AG7805">
        <v>0.261098</v>
      </c>
      <c r="AH7805">
        <v>293.52189473557797</v>
      </c>
      <c r="AI7805">
        <v>89.949079799047595</v>
      </c>
      <c r="AJ7805">
        <v>92.444705354388901</v>
      </c>
      <c r="AK7805">
        <v>293.78940241419201</v>
      </c>
      <c r="AL7805">
        <v>78.414395793457103</v>
      </c>
      <c r="AM7805">
        <v>83.881654959771197</v>
      </c>
      <c r="AN7805">
        <v>1.0000000368092601</v>
      </c>
    </row>
    <row r="7806" spans="1:40" x14ac:dyDescent="0.25">
      <c r="A7806" t="str">
        <f>"20190303170440449"</f>
        <v>20190303170440449</v>
      </c>
      <c r="B7806" t="str">
        <f>"1551603880443625"</f>
        <v>1551603880443625</v>
      </c>
      <c r="C7806" t="s">
        <v>40</v>
      </c>
      <c r="D7806">
        <v>4.6311220000000004</v>
      </c>
      <c r="E7806">
        <v>0.54414839999999998</v>
      </c>
      <c r="F7806" t="s">
        <v>57</v>
      </c>
      <c r="G7806">
        <v>-175.28309999999999</v>
      </c>
      <c r="H7806">
        <v>7.9999529999999999E-2</v>
      </c>
      <c r="I7806">
        <v>295.01659999999998</v>
      </c>
      <c r="J7806">
        <v>-187.5325</v>
      </c>
      <c r="K7806">
        <v>1.1209</v>
      </c>
      <c r="L7806">
        <v>98.599789999999999</v>
      </c>
      <c r="M7806">
        <v>1.128701E-2</v>
      </c>
      <c r="N7806">
        <v>-1.393026E-2</v>
      </c>
      <c r="O7806">
        <v>0.99983920000000004</v>
      </c>
      <c r="P7806">
        <v>0.11534179999999999</v>
      </c>
      <c r="Q7806">
        <v>0.18792130000000001</v>
      </c>
      <c r="R7806">
        <v>0.97538809999999998</v>
      </c>
      <c r="S7806">
        <v>0.1902924</v>
      </c>
      <c r="T7806">
        <v>-1.616395E-2</v>
      </c>
      <c r="U7806">
        <v>3.055847</v>
      </c>
      <c r="V7806">
        <v>0.1046855</v>
      </c>
      <c r="W7806">
        <v>0.20132040000000001</v>
      </c>
      <c r="X7806">
        <v>0.97391530000000004</v>
      </c>
      <c r="Y7806">
        <v>5.0871800000000002E-2</v>
      </c>
      <c r="Z7806">
        <v>8.6452960000000002E-3</v>
      </c>
      <c r="AA7806">
        <v>0.99866779999999999</v>
      </c>
      <c r="AB7806">
        <v>35</v>
      </c>
      <c r="AC7806">
        <v>12.2494</v>
      </c>
      <c r="AD7806">
        <v>-1.04090047</v>
      </c>
      <c r="AE7806">
        <v>196.41681</v>
      </c>
      <c r="AF7806">
        <v>10.0311651607102</v>
      </c>
      <c r="AG7806">
        <v>-1.04090047</v>
      </c>
      <c r="AH7806">
        <v>196.537070090621</v>
      </c>
      <c r="AI7806">
        <v>90.303052847222503</v>
      </c>
      <c r="AJ7806">
        <v>87.078184131888406</v>
      </c>
      <c r="AK7806">
        <v>196.79564951511401</v>
      </c>
      <c r="AL7806">
        <v>78.385816763717003</v>
      </c>
      <c r="AM7806">
        <v>83.864871201073996</v>
      </c>
      <c r="AN7806">
        <v>0.99999998447024996</v>
      </c>
    </row>
    <row r="7807" spans="1:40" x14ac:dyDescent="0.25">
      <c r="A7807" t="str">
        <f>"20190303170440461"</f>
        <v>20190303170440461</v>
      </c>
      <c r="B7807" t="str">
        <f>"1551603880452914"</f>
        <v>1551603880452914</v>
      </c>
      <c r="C7807" t="s">
        <v>40</v>
      </c>
      <c r="D7807">
        <v>4.6171049999999996</v>
      </c>
      <c r="E7807">
        <v>0.54444429999999999</v>
      </c>
      <c r="F7807" t="s">
        <v>90</v>
      </c>
      <c r="G7807">
        <v>-179.81059999999999</v>
      </c>
      <c r="H7807" s="1">
        <v>-6.6943679999999998E-6</v>
      </c>
      <c r="I7807">
        <v>133.48840000000001</v>
      </c>
      <c r="J7807">
        <v>-187.52979999999999</v>
      </c>
      <c r="K7807">
        <v>1.1209020000000001</v>
      </c>
      <c r="L7807">
        <v>98.802340000000001</v>
      </c>
      <c r="M7807">
        <v>1.1720299999999999E-2</v>
      </c>
      <c r="N7807">
        <v>-1.3929189999999999E-2</v>
      </c>
      <c r="O7807">
        <v>0.99983429999999995</v>
      </c>
      <c r="P7807">
        <v>0.1160059</v>
      </c>
      <c r="Q7807">
        <v>0.18851879999999999</v>
      </c>
      <c r="R7807">
        <v>0.97519400000000001</v>
      </c>
      <c r="S7807">
        <v>0.667404199999999</v>
      </c>
      <c r="T7807">
        <v>-9.6880670000000002E-2</v>
      </c>
      <c r="U7807">
        <v>3.0154420000000002</v>
      </c>
      <c r="V7807">
        <v>0.1049293</v>
      </c>
      <c r="W7807">
        <v>0.20191439999999999</v>
      </c>
      <c r="X7807">
        <v>0.97376609999999997</v>
      </c>
      <c r="Y7807">
        <v>0.204543</v>
      </c>
      <c r="Z7807">
        <v>-1.7482060000000001E-2</v>
      </c>
      <c r="AA7807">
        <v>0.9787015</v>
      </c>
      <c r="AB7807">
        <v>35</v>
      </c>
      <c r="AC7807">
        <v>7.7191999999999998</v>
      </c>
      <c r="AD7807">
        <v>-1.120908694368</v>
      </c>
      <c r="AE7807">
        <v>34.686059999999998</v>
      </c>
      <c r="AF7807">
        <v>7.3048306896289699</v>
      </c>
      <c r="AG7807">
        <v>-1.120908694368</v>
      </c>
      <c r="AH7807">
        <v>34.739590218831601</v>
      </c>
      <c r="AI7807">
        <v>91.808543326875807</v>
      </c>
      <c r="AJ7807">
        <v>78.1251887574916</v>
      </c>
      <c r="AK7807">
        <v>35.516983490685</v>
      </c>
      <c r="AL7807">
        <v>78.351069698360803</v>
      </c>
      <c r="AM7807">
        <v>83.849757588717097</v>
      </c>
      <c r="AN7807">
        <v>1.00000000021753</v>
      </c>
    </row>
    <row r="7808" spans="1:40" x14ac:dyDescent="0.25">
      <c r="A7808" t="str">
        <f>"20190303170440474"</f>
        <v>20190303170440474</v>
      </c>
      <c r="B7808" t="str">
        <f>"1551603880463651"</f>
        <v>1551603880463651</v>
      </c>
      <c r="C7808" t="s">
        <v>40</v>
      </c>
      <c r="D7808">
        <v>4.6302969999999997</v>
      </c>
      <c r="E7808">
        <v>0.54435069999999997</v>
      </c>
      <c r="F7808" t="s">
        <v>90</v>
      </c>
      <c r="G7808">
        <v>-179.5565</v>
      </c>
      <c r="H7808" s="1">
        <v>-6.9206579999999998E-6</v>
      </c>
      <c r="I7808">
        <v>134.58789999999999</v>
      </c>
      <c r="J7808">
        <v>-187.52699999999999</v>
      </c>
      <c r="K7808">
        <v>1.12090499999999</v>
      </c>
      <c r="L7808">
        <v>99.003330000000005</v>
      </c>
      <c r="M7808">
        <v>1.2150350000000001E-2</v>
      </c>
      <c r="N7808">
        <v>-1.3928019999999999E-2</v>
      </c>
      <c r="O7808">
        <v>0.99982919999999997</v>
      </c>
      <c r="P7808">
        <v>0.1166403</v>
      </c>
      <c r="Q7808">
        <v>0.18840899999999999</v>
      </c>
      <c r="R7808">
        <v>0.9751396</v>
      </c>
      <c r="S7808">
        <v>0.67169190000000001</v>
      </c>
      <c r="T7808">
        <v>-9.4428540000000005E-2</v>
      </c>
      <c r="U7808">
        <v>3.0146790000000001</v>
      </c>
      <c r="V7808">
        <v>0.105144</v>
      </c>
      <c r="W7808">
        <v>0.20180329999999999</v>
      </c>
      <c r="X7808">
        <v>0.97376600000000002</v>
      </c>
      <c r="Y7808">
        <v>0.20550450000000001</v>
      </c>
      <c r="Z7808">
        <v>-1.6689550000000001E-2</v>
      </c>
      <c r="AA7808">
        <v>0.97851379999999999</v>
      </c>
      <c r="AB7808">
        <v>35</v>
      </c>
      <c r="AC7808">
        <v>7.9705000000000101</v>
      </c>
      <c r="AD7808">
        <v>-1.1209119206579901</v>
      </c>
      <c r="AE7808">
        <v>35.5845699999999</v>
      </c>
      <c r="AF7808">
        <v>7.5303895675489496</v>
      </c>
      <c r="AG7808">
        <v>-1.1209119206579901</v>
      </c>
      <c r="AH7808">
        <v>35.645117410007401</v>
      </c>
      <c r="AI7808">
        <v>91.762283083839804</v>
      </c>
      <c r="AJ7808">
        <v>78.071091799810404</v>
      </c>
      <c r="AK7808">
        <v>36.449109807320902</v>
      </c>
      <c r="AL7808">
        <v>78.357569375429605</v>
      </c>
      <c r="AM7808">
        <v>83.837269443261107</v>
      </c>
      <c r="AN7808">
        <v>1.00000002769144</v>
      </c>
    </row>
    <row r="7809" spans="1:40" x14ac:dyDescent="0.25">
      <c r="A7809" t="str">
        <f>"20190303170440488"</f>
        <v>20190303170440488</v>
      </c>
      <c r="B7809" t="str">
        <f>"1551603880473410"</f>
        <v>1551603880473410</v>
      </c>
      <c r="C7809" t="s">
        <v>40</v>
      </c>
      <c r="D7809">
        <v>4.6020830000000004</v>
      </c>
      <c r="E7809">
        <v>0.54441600000000001</v>
      </c>
      <c r="F7809" t="s">
        <v>90</v>
      </c>
      <c r="G7809">
        <v>-179.6455</v>
      </c>
      <c r="H7809" s="1">
        <v>-6.880845E-6</v>
      </c>
      <c r="I7809">
        <v>134.31559999999999</v>
      </c>
      <c r="J7809">
        <v>-187.5241</v>
      </c>
      <c r="K7809">
        <v>1.120903</v>
      </c>
      <c r="L7809">
        <v>99.206329999999994</v>
      </c>
      <c r="M7809">
        <v>1.2584659999999999E-2</v>
      </c>
      <c r="N7809">
        <v>-1.392677E-2</v>
      </c>
      <c r="O7809">
        <v>0.99982380000000004</v>
      </c>
      <c r="P7809">
        <v>0.1171502</v>
      </c>
      <c r="Q7809">
        <v>0.18828249999999999</v>
      </c>
      <c r="R7809">
        <v>0.97510280000000005</v>
      </c>
      <c r="S7809">
        <v>0.672821</v>
      </c>
      <c r="T7809">
        <v>-9.5688579999999995E-2</v>
      </c>
      <c r="U7809">
        <v>3.0144959999999998</v>
      </c>
      <c r="V7809">
        <v>0.1052297</v>
      </c>
      <c r="W7809">
        <v>0.2016753</v>
      </c>
      <c r="X7809">
        <v>0.97378330000000002</v>
      </c>
      <c r="Y7809">
        <v>0.20543919999999999</v>
      </c>
      <c r="Z7809">
        <v>-1.710004E-2</v>
      </c>
      <c r="AA7809">
        <v>0.97852050000000002</v>
      </c>
      <c r="AB7809">
        <v>35</v>
      </c>
      <c r="AC7809">
        <v>7.8785999999999996</v>
      </c>
      <c r="AD7809">
        <v>-1.120909880845</v>
      </c>
      <c r="AE7809">
        <v>35.109269999999903</v>
      </c>
      <c r="AF7809">
        <v>7.4288857213661101</v>
      </c>
      <c r="AG7809">
        <v>-1.120909880845</v>
      </c>
      <c r="AH7809">
        <v>35.171517027486999</v>
      </c>
      <c r="AI7809">
        <v>91.7860093977405</v>
      </c>
      <c r="AJ7809">
        <v>78.073354569334001</v>
      </c>
      <c r="AK7809">
        <v>35.964988419807703</v>
      </c>
      <c r="AL7809">
        <v>78.365057640524995</v>
      </c>
      <c r="AM7809">
        <v>83.832393798744803</v>
      </c>
      <c r="AN7809">
        <v>1.0000000658755299</v>
      </c>
    </row>
    <row r="7810" spans="1:40" x14ac:dyDescent="0.25">
      <c r="A7810" t="str">
        <f>"20190303170440504"</f>
        <v>20190303170440504</v>
      </c>
      <c r="B7810" t="str">
        <f>"1551603880492930"</f>
        <v>1551603880492930</v>
      </c>
      <c r="C7810" t="s">
        <v>40</v>
      </c>
      <c r="D7810">
        <v>4.6323109999999996</v>
      </c>
      <c r="E7810">
        <v>0.544346</v>
      </c>
      <c r="F7810" t="s">
        <v>90</v>
      </c>
      <c r="G7810">
        <v>-179.51169999999999</v>
      </c>
      <c r="H7810" s="1">
        <v>-7.0292579999999999E-6</v>
      </c>
      <c r="I7810">
        <v>134.97819999999999</v>
      </c>
      <c r="J7810">
        <v>-187.52019999999999</v>
      </c>
      <c r="K7810">
        <v>1.1208990000000001</v>
      </c>
      <c r="L7810">
        <v>99.473479999999995</v>
      </c>
      <c r="M7810">
        <v>1.315651E-2</v>
      </c>
      <c r="N7810">
        <v>-1.3925130000000001E-2</v>
      </c>
      <c r="O7810">
        <v>0.9998165</v>
      </c>
      <c r="P7810">
        <v>0.1182967</v>
      </c>
      <c r="Q7810">
        <v>0.18658040000000001</v>
      </c>
      <c r="R7810">
        <v>0.97529160000000004</v>
      </c>
      <c r="S7810">
        <v>0.67503359999999901</v>
      </c>
      <c r="T7810">
        <v>-9.4435210000000006E-2</v>
      </c>
      <c r="U7810">
        <v>3.0137330000000002</v>
      </c>
      <c r="V7810">
        <v>0.1058118</v>
      </c>
      <c r="W7810">
        <v>0.19997500000000001</v>
      </c>
      <c r="X7810">
        <v>0.97407080000000001</v>
      </c>
      <c r="Y7810">
        <v>0.2056182</v>
      </c>
      <c r="Z7810">
        <v>-1.6700989999999999E-2</v>
      </c>
      <c r="AA7810">
        <v>0.97848979999999997</v>
      </c>
      <c r="AB7810">
        <v>35</v>
      </c>
      <c r="AC7810">
        <v>8.0084999999999908</v>
      </c>
      <c r="AD7810">
        <v>-1.12090602925799</v>
      </c>
      <c r="AE7810">
        <v>35.504719999999899</v>
      </c>
      <c r="AF7810">
        <v>7.5334980962200397</v>
      </c>
      <c r="AG7810">
        <v>-1.12090602925799</v>
      </c>
      <c r="AH7810">
        <v>35.573281135902597</v>
      </c>
      <c r="AI7810">
        <v>91.765646658522201</v>
      </c>
      <c r="AJ7810">
        <v>78.042902928571095</v>
      </c>
      <c r="AK7810">
        <v>36.379504596216599</v>
      </c>
      <c r="AL7810">
        <v>78.464503251877304</v>
      </c>
      <c r="AM7810">
        <v>83.800357635832995</v>
      </c>
      <c r="AN7810">
        <v>1.00000003052843</v>
      </c>
    </row>
    <row r="7811" spans="1:40" x14ac:dyDescent="0.25">
      <c r="A7811" t="str">
        <f>"20190303170440527"</f>
        <v>20190303170440527</v>
      </c>
      <c r="B7811" t="str">
        <f>"1551603880513427"</f>
        <v>1551603880513427</v>
      </c>
      <c r="C7811" t="s">
        <v>40</v>
      </c>
      <c r="D7811">
        <v>4.6511139999999997</v>
      </c>
      <c r="E7811">
        <v>0.54443799999999998</v>
      </c>
      <c r="F7811" t="s">
        <v>90</v>
      </c>
      <c r="G7811">
        <v>-179.8201</v>
      </c>
      <c r="H7811" s="1">
        <v>-6.759315E-6</v>
      </c>
      <c r="I7811">
        <v>133.65710000000001</v>
      </c>
      <c r="J7811">
        <v>-187.51480000000001</v>
      </c>
      <c r="K7811">
        <v>1.120895</v>
      </c>
      <c r="L7811">
        <v>99.822779999999995</v>
      </c>
      <c r="M7811">
        <v>1.390457E-2</v>
      </c>
      <c r="N7811">
        <v>-1.3923029999999999E-2</v>
      </c>
      <c r="O7811">
        <v>0.99980639999999998</v>
      </c>
      <c r="P7811">
        <v>0.1190976</v>
      </c>
      <c r="Q7811">
        <v>0.18513850000000001</v>
      </c>
      <c r="R7811">
        <v>0.97546889999999997</v>
      </c>
      <c r="S7811">
        <v>0.67860410000000004</v>
      </c>
      <c r="T7811">
        <v>-9.8785399999999995E-2</v>
      </c>
      <c r="U7811">
        <v>3.0126040000000001</v>
      </c>
      <c r="V7811">
        <v>0.1058762</v>
      </c>
      <c r="W7811">
        <v>0.19853489999999999</v>
      </c>
      <c r="X7811">
        <v>0.97435830000000001</v>
      </c>
      <c r="Y7811">
        <v>0.20606070000000001</v>
      </c>
      <c r="Z7811">
        <v>-1.811871E-2</v>
      </c>
      <c r="AA7811">
        <v>0.9783714</v>
      </c>
      <c r="AB7811">
        <v>35</v>
      </c>
      <c r="AC7811">
        <v>7.6947000000000099</v>
      </c>
      <c r="AD7811">
        <v>-1.1209017593149999</v>
      </c>
      <c r="AE7811">
        <v>33.834319999999998</v>
      </c>
      <c r="AF7811">
        <v>7.2159284226970604</v>
      </c>
      <c r="AG7811">
        <v>-1.1209017593149999</v>
      </c>
      <c r="AH7811">
        <v>33.902670712609897</v>
      </c>
      <c r="AI7811">
        <v>91.8521837908728</v>
      </c>
      <c r="AJ7811">
        <v>77.984327289697106</v>
      </c>
      <c r="AK7811">
        <v>34.6802123004341</v>
      </c>
      <c r="AL7811">
        <v>78.548702805032704</v>
      </c>
      <c r="AM7811">
        <v>83.798429914729198</v>
      </c>
      <c r="AN7811">
        <v>0.99999998651166899</v>
      </c>
    </row>
    <row r="7812" spans="1:40" x14ac:dyDescent="0.25">
      <c r="A7812" t="str">
        <f>"20190303170440551"</f>
        <v>20190303170440551</v>
      </c>
      <c r="B7812" t="str">
        <f>"1551603880543682"</f>
        <v>1551603880543682</v>
      </c>
      <c r="C7812" t="s">
        <v>40</v>
      </c>
      <c r="D7812">
        <v>4.6597920000000004</v>
      </c>
      <c r="E7812">
        <v>0.54477830000000005</v>
      </c>
      <c r="F7812" t="s">
        <v>90</v>
      </c>
      <c r="G7812">
        <v>-180.1369</v>
      </c>
      <c r="H7812" s="1">
        <v>-6.39242899999999E-6</v>
      </c>
      <c r="I7812">
        <v>132.40790000000001</v>
      </c>
      <c r="J7812">
        <v>-187.5087</v>
      </c>
      <c r="K7812">
        <v>1.1209009999999999</v>
      </c>
      <c r="L7812">
        <v>100.2021</v>
      </c>
      <c r="M7812">
        <v>1.471694E-2</v>
      </c>
      <c r="N7812">
        <v>-1.3920770000000001E-2</v>
      </c>
      <c r="O7812">
        <v>0.99979479999999998</v>
      </c>
      <c r="P7812">
        <v>0.11961919999999999</v>
      </c>
      <c r="Q7812">
        <v>0.18561</v>
      </c>
      <c r="R7812">
        <v>0.9753155</v>
      </c>
      <c r="S7812">
        <v>0.68194580000000005</v>
      </c>
      <c r="T7812">
        <v>-0.1036048</v>
      </c>
      <c r="U7812">
        <v>3.011841</v>
      </c>
      <c r="V7812">
        <v>0.1056064</v>
      </c>
      <c r="W7812">
        <v>0.19900409999999999</v>
      </c>
      <c r="X7812">
        <v>0.97429189999999999</v>
      </c>
      <c r="Y7812">
        <v>0.20634269999999999</v>
      </c>
      <c r="Z7812">
        <v>-1.9685749999999998E-2</v>
      </c>
      <c r="AA7812">
        <v>0.97828170000000003</v>
      </c>
      <c r="AB7812">
        <v>35</v>
      </c>
      <c r="AC7812">
        <v>7.3718000000000004</v>
      </c>
      <c r="AD7812">
        <v>-1.1209073924289901</v>
      </c>
      <c r="AE7812">
        <v>32.205800000000004</v>
      </c>
      <c r="AF7812">
        <v>6.8890550995326203</v>
      </c>
      <c r="AG7812">
        <v>-1.1209073924289901</v>
      </c>
      <c r="AH7812">
        <v>32.273663782460403</v>
      </c>
      <c r="AI7812">
        <v>91.945368291542295</v>
      </c>
      <c r="AJ7812">
        <v>77.950621313354702</v>
      </c>
      <c r="AK7812">
        <v>33.019765103496702</v>
      </c>
      <c r="AL7812">
        <v>78.521272730793498</v>
      </c>
      <c r="AM7812">
        <v>83.813692137592597</v>
      </c>
      <c r="AN7812">
        <v>1.0000000249716801</v>
      </c>
    </row>
    <row r="7813" spans="1:40" x14ac:dyDescent="0.25">
      <c r="A7813" t="str">
        <f>"20190303170440573"</f>
        <v>20190303170440573</v>
      </c>
      <c r="B7813" t="str">
        <f>"1551603880563709"</f>
        <v>1551603880563709</v>
      </c>
      <c r="C7813" t="s">
        <v>40</v>
      </c>
      <c r="D7813">
        <v>4.6304730000000003</v>
      </c>
      <c r="E7813">
        <v>0.54486219999999996</v>
      </c>
      <c r="F7813" t="s">
        <v>90</v>
      </c>
      <c r="G7813">
        <v>-179.97749999999999</v>
      </c>
      <c r="H7813" s="1">
        <v>-6.6974310000000003E-6</v>
      </c>
      <c r="I7813">
        <v>133.24010000000001</v>
      </c>
      <c r="J7813">
        <v>-187.50290000000001</v>
      </c>
      <c r="K7813">
        <v>1.1208959999999999</v>
      </c>
      <c r="L7813">
        <v>100.5446</v>
      </c>
      <c r="M7813">
        <v>1.545091E-2</v>
      </c>
      <c r="N7813">
        <v>-1.391863E-2</v>
      </c>
      <c r="O7813">
        <v>0.9997838</v>
      </c>
      <c r="P7813">
        <v>0.1198529</v>
      </c>
      <c r="Q7813">
        <v>0.1865522</v>
      </c>
      <c r="R7813">
        <v>0.97510699999999995</v>
      </c>
      <c r="S7813">
        <v>0.68641660000000004</v>
      </c>
      <c r="T7813">
        <v>-0.1021634</v>
      </c>
      <c r="U7813">
        <v>3.0112000000000001</v>
      </c>
      <c r="V7813">
        <v>0.1051272</v>
      </c>
      <c r="W7813">
        <v>0.1999437</v>
      </c>
      <c r="X7813">
        <v>0.97415130000000005</v>
      </c>
      <c r="Y7813">
        <v>0.20705280000000001</v>
      </c>
      <c r="Z7813">
        <v>-1.9220810000000001E-2</v>
      </c>
      <c r="AA7813">
        <v>0.97814100000000004</v>
      </c>
      <c r="AB7813">
        <v>35</v>
      </c>
      <c r="AC7813">
        <v>7.5254000000000101</v>
      </c>
      <c r="AD7813">
        <v>-1.1209026974309999</v>
      </c>
      <c r="AE7813">
        <v>32.695500000000003</v>
      </c>
      <c r="AF7813">
        <v>7.0114511921901999</v>
      </c>
      <c r="AG7813">
        <v>-1.1209026974309999</v>
      </c>
      <c r="AH7813">
        <v>32.771302581253302</v>
      </c>
      <c r="AI7813">
        <v>91.915648592517101</v>
      </c>
      <c r="AJ7813">
        <v>77.923582900308105</v>
      </c>
      <c r="AK7813">
        <v>33.531703558716401</v>
      </c>
      <c r="AL7813">
        <v>78.466333022606094</v>
      </c>
      <c r="AM7813">
        <v>83.840664937884696</v>
      </c>
      <c r="AN7813">
        <v>0.99999998332060902</v>
      </c>
    </row>
    <row r="7814" spans="1:40" x14ac:dyDescent="0.25">
      <c r="A7814" t="str">
        <f>"20190303170440593"</f>
        <v>20190303170440593</v>
      </c>
      <c r="B7814" t="str">
        <f>"1551603880583229"</f>
        <v>1551603880583229</v>
      </c>
      <c r="C7814" t="s">
        <v>40</v>
      </c>
      <c r="D7814">
        <v>4.6232089999999904</v>
      </c>
      <c r="E7814">
        <v>0.54485790000000001</v>
      </c>
      <c r="F7814" t="s">
        <v>90</v>
      </c>
      <c r="G7814">
        <v>-179.8117</v>
      </c>
      <c r="H7814" s="1">
        <v>-6.9450179999999996E-6</v>
      </c>
      <c r="I7814">
        <v>134.20320000000001</v>
      </c>
      <c r="J7814">
        <v>-187.49709999999999</v>
      </c>
      <c r="K7814">
        <v>1.1208929999999999</v>
      </c>
      <c r="L7814">
        <v>100.8729</v>
      </c>
      <c r="M7814">
        <v>1.6154189999999999E-2</v>
      </c>
      <c r="N7814">
        <v>-1.3916609999999999E-2</v>
      </c>
      <c r="O7814">
        <v>0.99977269999999896</v>
      </c>
      <c r="P7814">
        <v>0.1203253</v>
      </c>
      <c r="Q7814">
        <v>0.18663350000000001</v>
      </c>
      <c r="R7814">
        <v>0.97503320000000004</v>
      </c>
      <c r="S7814">
        <v>0.68807980000000002</v>
      </c>
      <c r="T7814">
        <v>-0.1002796</v>
      </c>
      <c r="U7814">
        <v>3.0112000000000001</v>
      </c>
      <c r="V7814">
        <v>0.1049134</v>
      </c>
      <c r="W7814">
        <v>0.2000236</v>
      </c>
      <c r="X7814">
        <v>0.97415799999999997</v>
      </c>
      <c r="Y7814">
        <v>0.2068817</v>
      </c>
      <c r="Z7814">
        <v>-1.861194E-2</v>
      </c>
      <c r="AA7814">
        <v>0.97818890000000003</v>
      </c>
      <c r="AB7814">
        <v>35</v>
      </c>
      <c r="AC7814">
        <v>7.68539999999998</v>
      </c>
      <c r="AD7814">
        <v>-1.1208999450179999</v>
      </c>
      <c r="AE7814">
        <v>33.330300000000001</v>
      </c>
      <c r="AF7814">
        <v>7.1382551759814499</v>
      </c>
      <c r="AG7814">
        <v>-1.1208999450179999</v>
      </c>
      <c r="AH7814">
        <v>33.414230394677297</v>
      </c>
      <c r="AI7814">
        <v>91.878934904035802</v>
      </c>
      <c r="AJ7814">
        <v>77.941212058156395</v>
      </c>
      <c r="AK7814">
        <v>34.186574799367399</v>
      </c>
      <c r="AL7814">
        <v>78.461661315813004</v>
      </c>
      <c r="AM7814">
        <v>83.853137302475503</v>
      </c>
      <c r="AN7814">
        <v>1.0000000355102501</v>
      </c>
    </row>
    <row r="7815" spans="1:40" x14ac:dyDescent="0.25">
      <c r="A7815" t="str">
        <f>"20190303170440616"</f>
        <v>20190303170440616</v>
      </c>
      <c r="B7815" t="str">
        <f>"1551603880603725"</f>
        <v>1551603880603725</v>
      </c>
      <c r="C7815" t="s">
        <v>40</v>
      </c>
      <c r="D7815">
        <v>4.6778839999999997</v>
      </c>
      <c r="E7815">
        <v>0.54506379999999999</v>
      </c>
      <c r="F7815" t="s">
        <v>90</v>
      </c>
      <c r="G7815">
        <v>-179.78720000000001</v>
      </c>
      <c r="H7815" s="1">
        <v>-7.0499320000000001E-6</v>
      </c>
      <c r="I7815">
        <v>134.54679999999999</v>
      </c>
      <c r="J7815">
        <v>-187.49080000000001</v>
      </c>
      <c r="K7815">
        <v>1.1208929999999999</v>
      </c>
      <c r="L7815">
        <v>101.2165</v>
      </c>
      <c r="M7815">
        <v>1.68904E-2</v>
      </c>
      <c r="N7815">
        <v>-1.3914640000000001E-2</v>
      </c>
      <c r="O7815">
        <v>0.99976050000000005</v>
      </c>
      <c r="P7815">
        <v>0.1220871</v>
      </c>
      <c r="Q7815">
        <v>0.18564539999999999</v>
      </c>
      <c r="R7815">
        <v>0.97500279999999995</v>
      </c>
      <c r="S7815">
        <v>0.68937680000000001</v>
      </c>
      <c r="T7815">
        <v>-0.10022440000000001</v>
      </c>
      <c r="U7815">
        <v>3.0109249999999999</v>
      </c>
      <c r="V7815">
        <v>0.1059539</v>
      </c>
      <c r="W7815">
        <v>0.19903299999999999</v>
      </c>
      <c r="X7815">
        <v>0.97424820000000001</v>
      </c>
      <c r="Y7815">
        <v>0.20658119999999999</v>
      </c>
      <c r="Z7815">
        <v>-1.8599029999999999E-2</v>
      </c>
      <c r="AA7815">
        <v>0.97825260000000003</v>
      </c>
      <c r="AB7815">
        <v>35</v>
      </c>
      <c r="AC7815">
        <v>7.70359999999999</v>
      </c>
      <c r="AD7815">
        <v>-1.1209000499320001</v>
      </c>
      <c r="AE7815">
        <v>33.330299999999902</v>
      </c>
      <c r="AF7815">
        <v>7.1318273038999003</v>
      </c>
      <c r="AG7815">
        <v>-1.1209000499320001</v>
      </c>
      <c r="AH7815">
        <v>33.419793498740802</v>
      </c>
      <c r="AI7815">
        <v>91.878709900815593</v>
      </c>
      <c r="AJ7815">
        <v>77.9537003424375</v>
      </c>
      <c r="AK7815">
        <v>34.190670878370803</v>
      </c>
      <c r="AL7815">
        <v>78.519582322017698</v>
      </c>
      <c r="AM7815">
        <v>83.793218355622301</v>
      </c>
      <c r="AN7815">
        <v>0.99999995960872401</v>
      </c>
    </row>
    <row r="7816" spans="1:40" x14ac:dyDescent="0.25">
      <c r="A7816" t="str">
        <f>"20190303170440638"</f>
        <v>20190303170440638</v>
      </c>
      <c r="B7816" t="str">
        <f>"1551603880633005"</f>
        <v>1551603880633005</v>
      </c>
      <c r="C7816" t="s">
        <v>40</v>
      </c>
      <c r="D7816">
        <v>4.6388369999999997</v>
      </c>
      <c r="E7816">
        <v>0.54547909999999999</v>
      </c>
      <c r="F7816" t="s">
        <v>90</v>
      </c>
      <c r="G7816">
        <v>-179.99789999999999</v>
      </c>
      <c r="H7816" s="1">
        <v>-6.8146349999999998E-6</v>
      </c>
      <c r="I7816">
        <v>133.5804</v>
      </c>
      <c r="J7816">
        <v>-187.48390000000001</v>
      </c>
      <c r="K7816">
        <v>1.1208929999999999</v>
      </c>
      <c r="L7816">
        <v>101.58069999999999</v>
      </c>
      <c r="M7816">
        <v>1.7670930000000001E-2</v>
      </c>
      <c r="N7816">
        <v>-1.3912509999999999E-2</v>
      </c>
      <c r="O7816">
        <v>0.99974700000000005</v>
      </c>
      <c r="P7816">
        <v>0.1243879</v>
      </c>
      <c r="Q7816">
        <v>0.18330450000000001</v>
      </c>
      <c r="R7816">
        <v>0.97515490000000005</v>
      </c>
      <c r="S7816">
        <v>0.69676210000000005</v>
      </c>
      <c r="T7816">
        <v>-0.1042315</v>
      </c>
      <c r="U7816">
        <v>3.0094910000000001</v>
      </c>
      <c r="V7816">
        <v>0.1074842</v>
      </c>
      <c r="W7816">
        <v>0.1966918</v>
      </c>
      <c r="X7816">
        <v>0.97455599999999998</v>
      </c>
      <c r="Y7816">
        <v>0.20819019999999999</v>
      </c>
      <c r="Z7816">
        <v>-1.990039E-2</v>
      </c>
      <c r="AA7816">
        <v>0.97788589999999997</v>
      </c>
      <c r="AB7816">
        <v>35</v>
      </c>
      <c r="AC7816">
        <v>7.4860000000000104</v>
      </c>
      <c r="AD7816">
        <v>-1.120899814635</v>
      </c>
      <c r="AE7816">
        <v>31.999700000000001</v>
      </c>
      <c r="AF7816">
        <v>6.9112716006462103</v>
      </c>
      <c r="AG7816">
        <v>-1.120899814635</v>
      </c>
      <c r="AH7816">
        <v>32.089669151253297</v>
      </c>
      <c r="AI7816">
        <v>91.955732925833402</v>
      </c>
      <c r="AJ7816">
        <v>77.845654577328602</v>
      </c>
      <c r="AK7816">
        <v>32.844618398898199</v>
      </c>
      <c r="AL7816">
        <v>78.656428695758805</v>
      </c>
      <c r="AM7816">
        <v>83.706260575750704</v>
      </c>
      <c r="AN7816">
        <v>0.99999995728643898</v>
      </c>
    </row>
    <row r="7817" spans="1:40" x14ac:dyDescent="0.25">
      <c r="A7817" t="str">
        <f>"20190303170440661"</f>
        <v>20190303170440661</v>
      </c>
      <c r="B7817" t="str">
        <f>"1551603880653031"</f>
        <v>1551603880653031</v>
      </c>
      <c r="C7817" t="s">
        <v>40</v>
      </c>
      <c r="D7817">
        <v>4.6473110000000002</v>
      </c>
      <c r="E7817">
        <v>0.54574669999999903</v>
      </c>
      <c r="F7817" t="s">
        <v>90</v>
      </c>
      <c r="G7817">
        <v>-180.2664</v>
      </c>
      <c r="H7817" s="1">
        <v>-6.3220989999999998E-6</v>
      </c>
      <c r="I7817">
        <v>132.23929999999999</v>
      </c>
      <c r="J7817">
        <v>-187.47659999999999</v>
      </c>
      <c r="K7817">
        <v>1.1208929999999999</v>
      </c>
      <c r="L7817">
        <v>101.9452</v>
      </c>
      <c r="M7817">
        <v>1.8452389999999999E-2</v>
      </c>
      <c r="N7817">
        <v>-1.391041E-2</v>
      </c>
      <c r="O7817">
        <v>0.99973299999999998</v>
      </c>
      <c r="P7817">
        <v>0.12598099999999901</v>
      </c>
      <c r="Q7817">
        <v>0.1829953</v>
      </c>
      <c r="R7817">
        <v>0.97500849999999994</v>
      </c>
      <c r="S7817">
        <v>0.70783999999999903</v>
      </c>
      <c r="T7817">
        <v>-0.1099308</v>
      </c>
      <c r="U7817">
        <v>3.0068049999999999</v>
      </c>
      <c r="V7817">
        <v>0.1083148</v>
      </c>
      <c r="W7817">
        <v>0.196379</v>
      </c>
      <c r="X7817">
        <v>0.97452720000000004</v>
      </c>
      <c r="Y7817">
        <v>0.2110206</v>
      </c>
      <c r="Z7817">
        <v>-2.1754200000000001E-2</v>
      </c>
      <c r="AA7817">
        <v>0.97723950000000004</v>
      </c>
      <c r="AB7817">
        <v>35</v>
      </c>
      <c r="AC7817">
        <v>7.21019999999998</v>
      </c>
      <c r="AD7817">
        <v>-1.120899322099</v>
      </c>
      <c r="AE7817">
        <v>30.294099999999901</v>
      </c>
      <c r="AF7817">
        <v>6.6413147259999397</v>
      </c>
      <c r="AG7817">
        <v>-1.120899322099</v>
      </c>
      <c r="AH7817">
        <v>30.382634220444</v>
      </c>
      <c r="AI7817">
        <v>92.0641467161837</v>
      </c>
      <c r="AJ7817">
        <v>77.669707214268996</v>
      </c>
      <c r="AK7817">
        <v>31.120217524197301</v>
      </c>
      <c r="AL7817">
        <v>78.674708207183798</v>
      </c>
      <c r="AM7817">
        <v>83.657833663388601</v>
      </c>
      <c r="AN7817">
        <v>1.0000000355399301</v>
      </c>
    </row>
    <row r="7818" spans="1:40" x14ac:dyDescent="0.25">
      <c r="A7818" t="str">
        <f>"20190303170440682"</f>
        <v>20190303170440682</v>
      </c>
      <c r="B7818" t="str">
        <f>"1551603880673527"</f>
        <v>1551603880673527</v>
      </c>
      <c r="C7818" t="s">
        <v>40</v>
      </c>
      <c r="D7818">
        <v>4.6362500000000004</v>
      </c>
      <c r="E7818">
        <v>0.54592079999999998</v>
      </c>
      <c r="F7818" t="s">
        <v>90</v>
      </c>
      <c r="G7818">
        <v>-180.24600000000001</v>
      </c>
      <c r="H7818" s="1">
        <v>-6.3574630000000002E-6</v>
      </c>
      <c r="I7818">
        <v>132.33529999999999</v>
      </c>
      <c r="J7818">
        <v>-187.47</v>
      </c>
      <c r="K7818">
        <v>1.1208959999999999</v>
      </c>
      <c r="L7818">
        <v>102.26560000000001</v>
      </c>
      <c r="M7818">
        <v>1.913948E-2</v>
      </c>
      <c r="N7818">
        <v>-1.390859E-2</v>
      </c>
      <c r="O7818">
        <v>0.9997201</v>
      </c>
      <c r="P7818">
        <v>0.1282654</v>
      </c>
      <c r="Q7818">
        <v>0.18427099999999999</v>
      </c>
      <c r="R7818">
        <v>0.97447019999999995</v>
      </c>
      <c r="S7818">
        <v>0.71504209999999901</v>
      </c>
      <c r="T7818">
        <v>-0.1108466</v>
      </c>
      <c r="U7818">
        <v>3.0053100000000001</v>
      </c>
      <c r="V7818">
        <v>0.1099392</v>
      </c>
      <c r="W7818">
        <v>0.19764399999999999</v>
      </c>
      <c r="X7818">
        <v>0.97408939999999999</v>
      </c>
      <c r="Y7818">
        <v>0.21267220000000001</v>
      </c>
      <c r="Z7818">
        <v>-2.205443E-2</v>
      </c>
      <c r="AA7818">
        <v>0.97687460000000004</v>
      </c>
      <c r="AB7818">
        <v>35</v>
      </c>
      <c r="AC7818">
        <v>7.22400000000001</v>
      </c>
      <c r="AD7818">
        <v>-1.1209023574629999</v>
      </c>
      <c r="AE7818">
        <v>30.069699999999902</v>
      </c>
      <c r="AF7818">
        <v>6.6383813096870803</v>
      </c>
      <c r="AG7818">
        <v>-1.1209023574629999</v>
      </c>
      <c r="AH7818">
        <v>30.162841819862798</v>
      </c>
      <c r="AI7818">
        <v>92.078530270906697</v>
      </c>
      <c r="AJ7818">
        <v>77.587950256321193</v>
      </c>
      <c r="AK7818">
        <v>30.905040934414401</v>
      </c>
      <c r="AL7818">
        <v>78.600779369240499</v>
      </c>
      <c r="AM7818">
        <v>83.560643839765106</v>
      </c>
      <c r="AN7818">
        <v>0.99999996881249897</v>
      </c>
    </row>
    <row r="7819" spans="1:40" x14ac:dyDescent="0.25">
      <c r="A7819" t="str">
        <f>"20190303170440704"</f>
        <v>20190303170440704</v>
      </c>
      <c r="B7819" t="str">
        <f>"1551603880693047"</f>
        <v>1551603880693047</v>
      </c>
      <c r="C7819" t="s">
        <v>40</v>
      </c>
      <c r="D7819">
        <v>4.619821</v>
      </c>
      <c r="E7819">
        <v>0.54605619999999999</v>
      </c>
      <c r="F7819" t="s">
        <v>90</v>
      </c>
      <c r="G7819">
        <v>-179.7663</v>
      </c>
      <c r="H7819" s="1">
        <v>-6.9286659999999997E-6</v>
      </c>
      <c r="I7819">
        <v>134.23740000000001</v>
      </c>
      <c r="J7819">
        <v>-187.4624</v>
      </c>
      <c r="K7819">
        <v>1.1208959999999999</v>
      </c>
      <c r="L7819">
        <v>102.619</v>
      </c>
      <c r="M7819">
        <v>1.9897689999999999E-2</v>
      </c>
      <c r="N7819">
        <v>-1.390652E-2</v>
      </c>
      <c r="O7819">
        <v>0.99970530000000002</v>
      </c>
      <c r="P7819">
        <v>0.13078310000000001</v>
      </c>
      <c r="Q7819">
        <v>0.18463689999999999</v>
      </c>
      <c r="R7819">
        <v>0.97406619999999999</v>
      </c>
      <c r="S7819">
        <v>0.72364810000000002</v>
      </c>
      <c r="T7819">
        <v>-0.1052918</v>
      </c>
      <c r="U7819">
        <v>3.0032649999999999</v>
      </c>
      <c r="V7819">
        <v>0.1117237</v>
      </c>
      <c r="W7819">
        <v>0.1980016</v>
      </c>
      <c r="X7819">
        <v>0.9738137</v>
      </c>
      <c r="Y7819">
        <v>0.2147386</v>
      </c>
      <c r="Z7819">
        <v>-2.0262039999999999E-2</v>
      </c>
      <c r="AA7819">
        <v>0.97646140000000003</v>
      </c>
      <c r="AB7819">
        <v>35</v>
      </c>
      <c r="AC7819">
        <v>7.6961000000000004</v>
      </c>
      <c r="AD7819">
        <v>-1.1209029286659999</v>
      </c>
      <c r="AE7819">
        <v>31.618400000000001</v>
      </c>
      <c r="AF7819">
        <v>7.0570090983619398</v>
      </c>
      <c r="AG7819">
        <v>-1.1209029286659999</v>
      </c>
      <c r="AH7819">
        <v>31.727644329383999</v>
      </c>
      <c r="AI7819">
        <v>91.9751275816987</v>
      </c>
      <c r="AJ7819">
        <v>77.460142178083004</v>
      </c>
      <c r="AK7819">
        <v>32.522318728555398</v>
      </c>
      <c r="AL7819">
        <v>78.579877347141803</v>
      </c>
      <c r="AM7819">
        <v>83.455185005652595</v>
      </c>
      <c r="AN7819">
        <v>0.99999997052596901</v>
      </c>
    </row>
    <row r="7820" spans="1:40" x14ac:dyDescent="0.25">
      <c r="A7820" t="str">
        <f>"20190303170440728"</f>
        <v>20190303170440728</v>
      </c>
      <c r="B7820" t="str">
        <f>"1551603880723303"</f>
        <v>1551603880723303</v>
      </c>
      <c r="C7820" t="s">
        <v>40</v>
      </c>
      <c r="D7820">
        <v>4.5763099999999897</v>
      </c>
      <c r="E7820">
        <v>0.54641439999999997</v>
      </c>
      <c r="F7820" t="s">
        <v>90</v>
      </c>
      <c r="G7820">
        <v>-179.59229999999999</v>
      </c>
      <c r="H7820" s="1">
        <v>-7.0480159999999997E-6</v>
      </c>
      <c r="I7820">
        <v>134.88839999999999</v>
      </c>
      <c r="J7820">
        <v>-187.4545</v>
      </c>
      <c r="K7820">
        <v>1.1208979999999999</v>
      </c>
      <c r="L7820">
        <v>102.97839999999999</v>
      </c>
      <c r="M7820">
        <v>2.0668700000000002E-2</v>
      </c>
      <c r="N7820">
        <v>-1.390445E-2</v>
      </c>
      <c r="O7820">
        <v>0.99968970000000001</v>
      </c>
      <c r="P7820">
        <v>0.13334489999999999</v>
      </c>
      <c r="Q7820">
        <v>0.1839277</v>
      </c>
      <c r="R7820">
        <v>0.97385310000000003</v>
      </c>
      <c r="S7820">
        <v>0.73199459999999905</v>
      </c>
      <c r="T7820">
        <v>-0.104254</v>
      </c>
      <c r="U7820">
        <v>3.0013429999999999</v>
      </c>
      <c r="V7820">
        <v>0.11353439999999999</v>
      </c>
      <c r="W7820">
        <v>0.19728599999999999</v>
      </c>
      <c r="X7820">
        <v>0.97374950000000005</v>
      </c>
      <c r="Y7820">
        <v>0.21669350000000001</v>
      </c>
      <c r="Z7820">
        <v>-1.9931549999999999E-2</v>
      </c>
      <c r="AA7820">
        <v>0.97603620000000002</v>
      </c>
      <c r="AB7820">
        <v>35</v>
      </c>
      <c r="AC7820">
        <v>7.8621999999999996</v>
      </c>
      <c r="AD7820">
        <v>-1.1209050480160001</v>
      </c>
      <c r="AE7820">
        <v>31.91</v>
      </c>
      <c r="AF7820">
        <v>7.1925511362817804</v>
      </c>
      <c r="AG7820">
        <v>-1.1209050480160001</v>
      </c>
      <c r="AH7820">
        <v>32.028440778890598</v>
      </c>
      <c r="AI7820">
        <v>91.955704627157203</v>
      </c>
      <c r="AJ7820">
        <v>77.343197798913906</v>
      </c>
      <c r="AK7820">
        <v>32.845246820531003</v>
      </c>
      <c r="AL7820">
        <v>78.621703118501699</v>
      </c>
      <c r="AM7820">
        <v>83.3496215728332</v>
      </c>
      <c r="AN7820">
        <v>0.99999995726480395</v>
      </c>
    </row>
    <row r="7821" spans="1:40" x14ac:dyDescent="0.25">
      <c r="A7821" t="str">
        <f>"20190303170440752"</f>
        <v>20190303170440752</v>
      </c>
      <c r="B7821" t="str">
        <f>"1551603880743799"</f>
        <v>1551603880743799</v>
      </c>
      <c r="C7821" t="s">
        <v>40</v>
      </c>
      <c r="D7821">
        <v>4.5290140000000001</v>
      </c>
      <c r="E7821">
        <v>0.54660430000000004</v>
      </c>
      <c r="F7821" t="s">
        <v>90</v>
      </c>
      <c r="G7821">
        <v>-179.54679999999999</v>
      </c>
      <c r="H7821" s="1">
        <v>-7.0129299999999998E-6</v>
      </c>
      <c r="I7821">
        <v>134.869</v>
      </c>
      <c r="J7821">
        <v>-187.446</v>
      </c>
      <c r="K7821">
        <v>1.1209</v>
      </c>
      <c r="L7821">
        <v>103.34739999999999</v>
      </c>
      <c r="M7821">
        <v>2.1460369999999999E-2</v>
      </c>
      <c r="N7821">
        <v>-1.3902329999999999E-2</v>
      </c>
      <c r="O7821">
        <v>0.99967300000000003</v>
      </c>
      <c r="P7821">
        <v>0.13489139999999999</v>
      </c>
      <c r="Q7821">
        <v>0.1833929</v>
      </c>
      <c r="R7821">
        <v>0.97374090000000002</v>
      </c>
      <c r="S7821">
        <v>0.74354549999999997</v>
      </c>
      <c r="T7821">
        <v>-0.1053969</v>
      </c>
      <c r="U7821">
        <v>2.9986269999999999</v>
      </c>
      <c r="V7821">
        <v>0.114308199999999</v>
      </c>
      <c r="W7821">
        <v>0.1967488</v>
      </c>
      <c r="X7821">
        <v>0.97376770000000001</v>
      </c>
      <c r="Y7821">
        <v>0.21966469999999999</v>
      </c>
      <c r="Z7821">
        <v>-2.030796E-2</v>
      </c>
      <c r="AA7821">
        <v>0.97536400000000001</v>
      </c>
      <c r="AB7821">
        <v>35</v>
      </c>
      <c r="AC7821">
        <v>7.8992000000000004</v>
      </c>
      <c r="AD7821">
        <v>-1.1209070129300001</v>
      </c>
      <c r="AE7821">
        <v>31.521599999999999</v>
      </c>
      <c r="AF7821">
        <v>7.2122687433604096</v>
      </c>
      <c r="AG7821">
        <v>-1.1209070129300001</v>
      </c>
      <c r="AH7821">
        <v>31.646222828219599</v>
      </c>
      <c r="AI7821">
        <v>91.977890926297306</v>
      </c>
      <c r="AJ7821">
        <v>77.161400970729304</v>
      </c>
      <c r="AK7821">
        <v>32.477017600934602</v>
      </c>
      <c r="AL7821">
        <v>78.653098173015294</v>
      </c>
      <c r="AM7821">
        <v>83.3048296727859</v>
      </c>
      <c r="AN7821">
        <v>0.99999999422598496</v>
      </c>
    </row>
    <row r="7822" spans="1:40" x14ac:dyDescent="0.25">
      <c r="A7822" t="str">
        <f>"20190303170440772"</f>
        <v>20190303170440772</v>
      </c>
      <c r="B7822" t="str">
        <f>"1551603880763826"</f>
        <v>1551603880763826</v>
      </c>
      <c r="C7822" t="s">
        <v>40</v>
      </c>
      <c r="D7822">
        <v>4.5006550000000001</v>
      </c>
      <c r="E7822">
        <v>0.54680779999999995</v>
      </c>
      <c r="F7822" t="s">
        <v>90</v>
      </c>
      <c r="G7822">
        <v>-179.51070000000001</v>
      </c>
      <c r="H7822" s="1">
        <v>-7.0523269999999999E-6</v>
      </c>
      <c r="I7822">
        <v>135.04599999999999</v>
      </c>
      <c r="J7822">
        <v>-187.4384</v>
      </c>
      <c r="K7822">
        <v>1.1208959999999999</v>
      </c>
      <c r="L7822">
        <v>103.6708</v>
      </c>
      <c r="M7822">
        <v>2.2154989999999999E-2</v>
      </c>
      <c r="N7822">
        <v>-1.39005E-2</v>
      </c>
      <c r="O7822">
        <v>0.99965789999999999</v>
      </c>
      <c r="P7822">
        <v>0.13515279999999999</v>
      </c>
      <c r="Q7822">
        <v>0.1838138</v>
      </c>
      <c r="R7822">
        <v>0.97362530000000003</v>
      </c>
      <c r="S7822">
        <v>0.75024409999999997</v>
      </c>
      <c r="T7822">
        <v>-0.1059755</v>
      </c>
      <c r="U7822">
        <v>2.9969329999999998</v>
      </c>
      <c r="V7822">
        <v>0.11389389999999899</v>
      </c>
      <c r="W7822">
        <v>0.19716810000000001</v>
      </c>
      <c r="X7822">
        <v>0.97373149999999997</v>
      </c>
      <c r="Y7822">
        <v>0.22116620000000001</v>
      </c>
      <c r="Z7822">
        <v>-2.0501740000000001E-2</v>
      </c>
      <c r="AA7822">
        <v>0.97502060000000002</v>
      </c>
      <c r="AB7822">
        <v>35</v>
      </c>
      <c r="AC7822">
        <v>7.9276999999999802</v>
      </c>
      <c r="AD7822">
        <v>-1.1209030523269901</v>
      </c>
      <c r="AE7822">
        <v>31.3751999999999</v>
      </c>
      <c r="AF7822">
        <v>7.2219049737214398</v>
      </c>
      <c r="AG7822">
        <v>-1.1209030523269901</v>
      </c>
      <c r="AH7822">
        <v>31.5053544413603</v>
      </c>
      <c r="AI7822">
        <v>91.986149281285904</v>
      </c>
      <c r="AJ7822">
        <v>77.089260203814902</v>
      </c>
      <c r="AK7822">
        <v>32.3419185203648</v>
      </c>
      <c r="AL7822">
        <v>78.628594786320704</v>
      </c>
      <c r="AM7822">
        <v>83.328630844481793</v>
      </c>
      <c r="AN7822">
        <v>1.0000000571035299</v>
      </c>
    </row>
    <row r="7823" spans="1:40" x14ac:dyDescent="0.25">
      <c r="A7823" t="str">
        <f>"20190303170440796"</f>
        <v>20190303170440796</v>
      </c>
      <c r="B7823" t="str">
        <f>"1551603880783346"</f>
        <v>1551603880783346</v>
      </c>
      <c r="C7823" t="s">
        <v>40</v>
      </c>
      <c r="D7823">
        <v>4.4566030000000003</v>
      </c>
      <c r="E7823">
        <v>0.54698429999999998</v>
      </c>
      <c r="F7823" t="s">
        <v>90</v>
      </c>
      <c r="G7823">
        <v>-179.41419999999999</v>
      </c>
      <c r="H7823" s="1">
        <v>-7.207383E-6</v>
      </c>
      <c r="I7823">
        <v>135.66120000000001</v>
      </c>
      <c r="J7823">
        <v>-187.4297</v>
      </c>
      <c r="K7823">
        <v>1.120897</v>
      </c>
      <c r="L7823">
        <v>104.02509999999999</v>
      </c>
      <c r="M7823">
        <v>2.292131E-2</v>
      </c>
      <c r="N7823">
        <v>-1.3898539999999999E-2</v>
      </c>
      <c r="O7823">
        <v>0.99964059999999999</v>
      </c>
      <c r="P7823">
        <v>0.13605200000000001</v>
      </c>
      <c r="Q7823">
        <v>0.1848668</v>
      </c>
      <c r="R7823">
        <v>0.97330059999999996</v>
      </c>
      <c r="S7823">
        <v>0.75167850000000003</v>
      </c>
      <c r="T7823">
        <v>-0.1050025</v>
      </c>
      <c r="U7823">
        <v>2.99675</v>
      </c>
      <c r="V7823">
        <v>0.1140544</v>
      </c>
      <c r="W7823">
        <v>0.19821520000000001</v>
      </c>
      <c r="X7823">
        <v>0.97350009999999998</v>
      </c>
      <c r="Y7823">
        <v>0.22087380000000001</v>
      </c>
      <c r="Z7823">
        <v>-2.0190179999999999E-2</v>
      </c>
      <c r="AA7823">
        <v>0.9750934</v>
      </c>
      <c r="AB7823">
        <v>35</v>
      </c>
      <c r="AC7823">
        <v>8.0154999999999994</v>
      </c>
      <c r="AD7823">
        <v>-1.120904207383</v>
      </c>
      <c r="AE7823">
        <v>31.636099999999999</v>
      </c>
      <c r="AF7823">
        <v>7.2795954368533904</v>
      </c>
      <c r="AG7823">
        <v>-1.120904207383</v>
      </c>
      <c r="AH7823">
        <v>31.774048225998001</v>
      </c>
      <c r="AI7823">
        <v>91.969421547641005</v>
      </c>
      <c r="AJ7823">
        <v>77.095944686981895</v>
      </c>
      <c r="AK7823">
        <v>32.616546056172702</v>
      </c>
      <c r="AL7823">
        <v>78.567392515899797</v>
      </c>
      <c r="AM7823">
        <v>83.317740796464406</v>
      </c>
      <c r="AN7823">
        <v>1.0000000581852</v>
      </c>
    </row>
    <row r="7824" spans="1:40" x14ac:dyDescent="0.25">
      <c r="A7824" t="str">
        <f>"20190303170440819"</f>
        <v>20190303170440819</v>
      </c>
      <c r="B7824" t="str">
        <f>"1551603880813602"</f>
        <v>1551603880813602</v>
      </c>
      <c r="C7824" t="s">
        <v>40</v>
      </c>
      <c r="D7824">
        <v>4.4453899999999997</v>
      </c>
      <c r="E7824">
        <v>0.54717799999999905</v>
      </c>
      <c r="F7824" t="s">
        <v>90</v>
      </c>
      <c r="G7824">
        <v>-179.0882</v>
      </c>
      <c r="H7824" s="1">
        <v>-7.5217600000000003E-6</v>
      </c>
      <c r="I7824">
        <v>137.1405</v>
      </c>
      <c r="J7824">
        <v>-187.4204</v>
      </c>
      <c r="K7824">
        <v>1.1209020000000001</v>
      </c>
      <c r="L7824">
        <v>104.3935</v>
      </c>
      <c r="M7824">
        <v>2.3734640000000001E-2</v>
      </c>
      <c r="N7824">
        <v>-1.3896540000000001E-2</v>
      </c>
      <c r="O7824">
        <v>0.99962169999999895</v>
      </c>
      <c r="P7824">
        <v>0.13703489999999999</v>
      </c>
      <c r="Q7824">
        <v>0.1855223</v>
      </c>
      <c r="R7824">
        <v>0.97303799999999996</v>
      </c>
      <c r="S7824">
        <v>0.75468440000000003</v>
      </c>
      <c r="T7824">
        <v>-0.1014119</v>
      </c>
      <c r="U7824">
        <v>2.9960629999999999</v>
      </c>
      <c r="V7824">
        <v>0.11425390000000001</v>
      </c>
      <c r="W7824">
        <v>0.19886429999999999</v>
      </c>
      <c r="X7824">
        <v>0.97334430000000005</v>
      </c>
      <c r="Y7824">
        <v>0.22106049999999999</v>
      </c>
      <c r="Z7824">
        <v>-1.9032150000000001E-2</v>
      </c>
      <c r="AA7824">
        <v>0.97507440000000001</v>
      </c>
      <c r="AB7824">
        <v>35</v>
      </c>
      <c r="AC7824">
        <v>8.3322000000000003</v>
      </c>
      <c r="AD7824">
        <v>-1.12090952176</v>
      </c>
      <c r="AE7824">
        <v>32.747</v>
      </c>
      <c r="AF7824">
        <v>7.5442372457366096</v>
      </c>
      <c r="AG7824">
        <v>-1.12090952176</v>
      </c>
      <c r="AH7824">
        <v>32.899351294817102</v>
      </c>
      <c r="AI7824">
        <v>91.902032087736103</v>
      </c>
      <c r="AJ7824">
        <v>77.0846450043571</v>
      </c>
      <c r="AK7824">
        <v>33.771870978607602</v>
      </c>
      <c r="AL7824">
        <v>78.529446273591404</v>
      </c>
      <c r="AM7824">
        <v>83.305096661191101</v>
      </c>
      <c r="AN7824">
        <v>1.00000004491109</v>
      </c>
    </row>
    <row r="7825" spans="1:40" x14ac:dyDescent="0.25">
      <c r="A7825" t="str">
        <f>"20190303170440840"</f>
        <v>20190303170440840</v>
      </c>
      <c r="B7825" t="str">
        <f>"1551603880833122"</f>
        <v>1551603880833122</v>
      </c>
      <c r="C7825" t="s">
        <v>40</v>
      </c>
      <c r="D7825">
        <v>4.4484009999999996</v>
      </c>
      <c r="E7825">
        <v>0.54739669999999996</v>
      </c>
      <c r="F7825" t="s">
        <v>90</v>
      </c>
      <c r="G7825">
        <v>-178.7672</v>
      </c>
      <c r="H7825" s="1">
        <v>-7.8012579999999994E-6</v>
      </c>
      <c r="I7825">
        <v>138.51140000000001</v>
      </c>
      <c r="J7825">
        <v>-187.4118</v>
      </c>
      <c r="K7825">
        <v>1.1208899999999999</v>
      </c>
      <c r="L7825">
        <v>104.7234</v>
      </c>
      <c r="M7825">
        <v>2.4477430000000001E-2</v>
      </c>
      <c r="N7825">
        <v>-1.389483E-2</v>
      </c>
      <c r="O7825">
        <v>0.99960380000000004</v>
      </c>
      <c r="P7825">
        <v>0.13733139999999999</v>
      </c>
      <c r="Q7825">
        <v>0.1852528</v>
      </c>
      <c r="R7825">
        <v>0.97304749999999995</v>
      </c>
      <c r="S7825">
        <v>0.75959779999999999</v>
      </c>
      <c r="T7825">
        <v>-9.8395469999999999E-2</v>
      </c>
      <c r="U7825">
        <v>2.9949340000000002</v>
      </c>
      <c r="V7825">
        <v>0.113829399999999</v>
      </c>
      <c r="W7825">
        <v>0.1985923</v>
      </c>
      <c r="X7825">
        <v>0.97344949999999997</v>
      </c>
      <c r="Y7825">
        <v>0.22193199999999999</v>
      </c>
      <c r="Z7825">
        <v>-1.8059260000000001E-2</v>
      </c>
      <c r="AA7825">
        <v>0.97489490000000001</v>
      </c>
      <c r="AB7825">
        <v>35</v>
      </c>
      <c r="AC7825">
        <v>8.6445999999999898</v>
      </c>
      <c r="AD7825">
        <v>-1.120897801258</v>
      </c>
      <c r="AE7825">
        <v>33.787999999999997</v>
      </c>
      <c r="AF7825">
        <v>7.8068222667415901</v>
      </c>
      <c r="AG7825">
        <v>-1.120897801258</v>
      </c>
      <c r="AH7825">
        <v>33.9544200877083</v>
      </c>
      <c r="AI7825">
        <v>91.842708005011403</v>
      </c>
      <c r="AJ7825">
        <v>77.051553671979306</v>
      </c>
      <c r="AK7825">
        <v>34.858363835354197</v>
      </c>
      <c r="AL7825">
        <v>78.545347152326599</v>
      </c>
      <c r="AM7825">
        <v>83.330460769066804</v>
      </c>
      <c r="AN7825">
        <v>0.99999998148694902</v>
      </c>
    </row>
    <row r="7826" spans="1:40" x14ac:dyDescent="0.25">
      <c r="A7826" t="str">
        <f>"20190303170440862"</f>
        <v>20190303170440862</v>
      </c>
      <c r="B7826" t="str">
        <f>"1551603880853149"</f>
        <v>1551603880853149</v>
      </c>
      <c r="C7826" t="s">
        <v>40</v>
      </c>
      <c r="D7826">
        <v>4.44184</v>
      </c>
      <c r="E7826">
        <v>0.54755699999999996</v>
      </c>
      <c r="F7826" t="s">
        <v>90</v>
      </c>
      <c r="G7826">
        <v>-178.66120000000001</v>
      </c>
      <c r="H7826" s="1">
        <v>-7.9210189999999995E-6</v>
      </c>
      <c r="I7826">
        <v>139.04249999999999</v>
      </c>
      <c r="J7826">
        <v>-187.40260000000001</v>
      </c>
      <c r="K7826">
        <v>1.1208739999999999</v>
      </c>
      <c r="L7826">
        <v>105.0673</v>
      </c>
      <c r="M7826">
        <v>2.5274270000000001E-2</v>
      </c>
      <c r="N7826">
        <v>-1.389312E-2</v>
      </c>
      <c r="O7826">
        <v>0.99958400000000003</v>
      </c>
      <c r="P7826">
        <v>0.13872909999999999</v>
      </c>
      <c r="Q7826">
        <v>0.1846257</v>
      </c>
      <c r="R7826">
        <v>0.97296850000000001</v>
      </c>
      <c r="S7826">
        <v>0.7633972</v>
      </c>
      <c r="T7826">
        <v>-9.7786310000000001E-2</v>
      </c>
      <c r="U7826">
        <v>2.993973</v>
      </c>
      <c r="V7826">
        <v>0.1144568</v>
      </c>
      <c r="W7826">
        <v>0.1979591</v>
      </c>
      <c r="X7826">
        <v>0.97350499999999995</v>
      </c>
      <c r="Y7826">
        <v>0.22239229999999999</v>
      </c>
      <c r="Z7826">
        <v>-1.786751E-2</v>
      </c>
      <c r="AA7826">
        <v>0.97479360000000004</v>
      </c>
      <c r="AB7826">
        <v>35</v>
      </c>
      <c r="AC7826">
        <v>8.7413999999999898</v>
      </c>
      <c r="AD7826">
        <v>-1.120881921019</v>
      </c>
      <c r="AE7826">
        <v>33.975199999999901</v>
      </c>
      <c r="AF7826">
        <v>7.8717899413399897</v>
      </c>
      <c r="AG7826">
        <v>-1.120881921019</v>
      </c>
      <c r="AH7826">
        <v>34.150436337033099</v>
      </c>
      <c r="AI7826">
        <v>91.831879318002706</v>
      </c>
      <c r="AJ7826">
        <v>77.019847706720796</v>
      </c>
      <c r="AK7826">
        <v>35.063852543198898</v>
      </c>
      <c r="AL7826">
        <v>78.582362796207704</v>
      </c>
      <c r="AM7826">
        <v>83.294412611073298</v>
      </c>
      <c r="AN7826">
        <v>1.0000000746820199</v>
      </c>
    </row>
    <row r="7827" spans="1:40" x14ac:dyDescent="0.25">
      <c r="A7827" t="str">
        <f>"20190303170440884"</f>
        <v>20190303170440884</v>
      </c>
      <c r="B7827" t="str">
        <f>"1551603880873646"</f>
        <v>1551603880873646</v>
      </c>
      <c r="C7827" t="s">
        <v>40</v>
      </c>
      <c r="D7827">
        <v>4.3984300000000003</v>
      </c>
      <c r="E7827">
        <v>0.54775769999999901</v>
      </c>
      <c r="F7827" t="s">
        <v>90</v>
      </c>
      <c r="G7827">
        <v>-178.72</v>
      </c>
      <c r="H7827" s="1">
        <v>-7.8825289999999903E-6</v>
      </c>
      <c r="I7827">
        <v>138.8278</v>
      </c>
      <c r="J7827">
        <v>-187.39340000000001</v>
      </c>
      <c r="K7827">
        <v>1.1208560000000001</v>
      </c>
      <c r="L7827">
        <v>105.3993</v>
      </c>
      <c r="M7827">
        <v>2.607512E-2</v>
      </c>
      <c r="N7827">
        <v>-1.3891519999999999E-2</v>
      </c>
      <c r="O7827">
        <v>0.99956350000000005</v>
      </c>
      <c r="P7827">
        <v>0.140127</v>
      </c>
      <c r="Q7827">
        <v>0.18482560000000001</v>
      </c>
      <c r="R7827">
        <v>0.97273019999999999</v>
      </c>
      <c r="S7827">
        <v>0.7696075</v>
      </c>
      <c r="T7827">
        <v>-9.9352720000000005E-2</v>
      </c>
      <c r="U7827">
        <v>2.9924620000000002</v>
      </c>
      <c r="V7827">
        <v>0.115089</v>
      </c>
      <c r="W7827">
        <v>0.19814880000000001</v>
      </c>
      <c r="X7827">
        <v>0.97339180000000003</v>
      </c>
      <c r="Y7827">
        <v>0.22362380000000001</v>
      </c>
      <c r="Z7827">
        <v>-1.8380489999999999E-2</v>
      </c>
      <c r="AA7827">
        <v>0.97450219999999999</v>
      </c>
      <c r="AB7827">
        <v>35</v>
      </c>
      <c r="AC7827">
        <v>8.6734000000000098</v>
      </c>
      <c r="AD7827">
        <v>-1.1208638825289901</v>
      </c>
      <c r="AE7827">
        <v>33.4285</v>
      </c>
      <c r="AF7827">
        <v>7.79050790696399</v>
      </c>
      <c r="AG7827">
        <v>-1.1208638825289901</v>
      </c>
      <c r="AH7827">
        <v>33.607912152236302</v>
      </c>
      <c r="AI7827">
        <v>91.860868798417897</v>
      </c>
      <c r="AJ7827">
        <v>76.949009613831194</v>
      </c>
      <c r="AK7827">
        <v>34.517243640303299</v>
      </c>
      <c r="AL7827">
        <v>78.571273391259297</v>
      </c>
      <c r="AM7827">
        <v>83.256937607708693</v>
      </c>
      <c r="AN7827">
        <v>1.0000000105848399</v>
      </c>
    </row>
    <row r="7828" spans="1:40" x14ac:dyDescent="0.25">
      <c r="A7828" t="str">
        <f>"20190303170440906"</f>
        <v>20190303170440906</v>
      </c>
      <c r="B7828" t="str">
        <f>"1551603880893165"</f>
        <v>1551603880893165</v>
      </c>
      <c r="C7828" t="s">
        <v>40</v>
      </c>
      <c r="D7828">
        <v>4.4330480000000003</v>
      </c>
      <c r="E7828">
        <v>0.54795649999999996</v>
      </c>
      <c r="F7828" t="s">
        <v>90</v>
      </c>
      <c r="G7828">
        <v>-178.5899</v>
      </c>
      <c r="H7828" s="1">
        <v>-7.9907529999999996E-6</v>
      </c>
      <c r="I7828">
        <v>139.369</v>
      </c>
      <c r="J7828">
        <v>-187.38329999999999</v>
      </c>
      <c r="K7828">
        <v>1.120824</v>
      </c>
      <c r="L7828">
        <v>105.7497</v>
      </c>
      <c r="M7828">
        <v>2.696658E-2</v>
      </c>
      <c r="N7828">
        <v>-1.388991E-2</v>
      </c>
      <c r="O7828">
        <v>0.99953990000000004</v>
      </c>
      <c r="P7828">
        <v>0.14110599999999901</v>
      </c>
      <c r="Q7828">
        <v>0.1857578</v>
      </c>
      <c r="R7828">
        <v>0.97241100000000003</v>
      </c>
      <c r="S7828">
        <v>0.77519229999999995</v>
      </c>
      <c r="T7828">
        <v>-9.8696950000000006E-2</v>
      </c>
      <c r="U7828">
        <v>2.9911799999999999</v>
      </c>
      <c r="V7828">
        <v>0.11522259999999999</v>
      </c>
      <c r="W7828">
        <v>0.1990681</v>
      </c>
      <c r="X7828">
        <v>0.97318839999999995</v>
      </c>
      <c r="Y7828">
        <v>0.22456190000000001</v>
      </c>
      <c r="Z7828">
        <v>-1.817276E-2</v>
      </c>
      <c r="AA7828">
        <v>0.9742904</v>
      </c>
      <c r="AB7828">
        <v>35</v>
      </c>
      <c r="AC7828">
        <v>8.7933999999999894</v>
      </c>
      <c r="AD7828">
        <v>-1.120831990753</v>
      </c>
      <c r="AE7828">
        <v>33.619300000000003</v>
      </c>
      <c r="AF7828">
        <v>7.8753237750701199</v>
      </c>
      <c r="AG7828">
        <v>-1.120831990753</v>
      </c>
      <c r="AH7828">
        <v>33.8090502393054</v>
      </c>
      <c r="AI7828">
        <v>91.849292880553193</v>
      </c>
      <c r="AJ7828">
        <v>76.88760365537</v>
      </c>
      <c r="AK7828">
        <v>34.732245349207602</v>
      </c>
      <c r="AL7828">
        <v>78.517530749186605</v>
      </c>
      <c r="AM7828">
        <v>83.2477842686977</v>
      </c>
      <c r="AN7828">
        <v>1.00000000894146</v>
      </c>
    </row>
    <row r="7829" spans="1:40" x14ac:dyDescent="0.25">
      <c r="A7829" t="str">
        <f>"20190303170440930"</f>
        <v>20190303170440930</v>
      </c>
      <c r="B7829" t="str">
        <f>"1551603880923422"</f>
        <v>1551603880923422</v>
      </c>
      <c r="C7829" t="s">
        <v>40</v>
      </c>
      <c r="D7829">
        <v>4.4134520000000004</v>
      </c>
      <c r="E7829">
        <v>0.54816899999999902</v>
      </c>
      <c r="F7829" t="s">
        <v>90</v>
      </c>
      <c r="G7829">
        <v>-178.23949999999999</v>
      </c>
      <c r="H7829" s="1">
        <v>-8.2541859999999997E-6</v>
      </c>
      <c r="I7829">
        <v>140.8372</v>
      </c>
      <c r="J7829">
        <v>-187.3725</v>
      </c>
      <c r="K7829">
        <v>1.1207860000000001</v>
      </c>
      <c r="L7829">
        <v>106.1148</v>
      </c>
      <c r="M7829">
        <v>2.7957349999999999E-2</v>
      </c>
      <c r="N7829">
        <v>-1.388841E-2</v>
      </c>
      <c r="O7829">
        <v>0.99951259999999997</v>
      </c>
      <c r="P7829">
        <v>0.14176250000000001</v>
      </c>
      <c r="Q7829">
        <v>0.18637319999999999</v>
      </c>
      <c r="R7829">
        <v>0.97219770000000005</v>
      </c>
      <c r="S7829">
        <v>0.77926640000000003</v>
      </c>
      <c r="T7829">
        <v>-9.5520850000000004E-2</v>
      </c>
      <c r="U7829">
        <v>2.990265</v>
      </c>
      <c r="V7829">
        <v>0.11493979999999999</v>
      </c>
      <c r="W7829">
        <v>0.1996685</v>
      </c>
      <c r="X7829">
        <v>0.97309880000000004</v>
      </c>
      <c r="Y7829">
        <v>0.2249179</v>
      </c>
      <c r="Z7829">
        <v>-1.7148210000000001E-2</v>
      </c>
      <c r="AA7829">
        <v>0.97422679999999995</v>
      </c>
      <c r="AB7829">
        <v>35</v>
      </c>
      <c r="AC7829">
        <v>9.1330000000000098</v>
      </c>
      <c r="AD7829">
        <v>-1.1207942541859901</v>
      </c>
      <c r="AE7829">
        <v>34.722399999999901</v>
      </c>
      <c r="AF7829">
        <v>8.1506466531053405</v>
      </c>
      <c r="AG7829">
        <v>-1.1207942541859901</v>
      </c>
      <c r="AH7829">
        <v>34.930144832705402</v>
      </c>
      <c r="AI7829">
        <v>91.789757674511606</v>
      </c>
      <c r="AJ7829">
        <v>76.865542863936895</v>
      </c>
      <c r="AK7829">
        <v>35.885989447941498</v>
      </c>
      <c r="AL7829">
        <v>78.482425171796706</v>
      </c>
      <c r="AM7829">
        <v>83.263589797476001</v>
      </c>
      <c r="AN7829">
        <v>0.99999997103886396</v>
      </c>
    </row>
    <row r="7830" spans="1:40" x14ac:dyDescent="0.25">
      <c r="A7830" t="str">
        <f>"20190303170440953"</f>
        <v>20190303170440953</v>
      </c>
      <c r="B7830" t="str">
        <f>"1551603880943918"</f>
        <v>1551603880943918</v>
      </c>
      <c r="C7830" t="s">
        <v>40</v>
      </c>
      <c r="D7830">
        <v>4.438002</v>
      </c>
      <c r="E7830">
        <v>0.54835159999999905</v>
      </c>
      <c r="F7830" t="s">
        <v>90</v>
      </c>
      <c r="G7830">
        <v>-177.93979999999999</v>
      </c>
      <c r="H7830" s="1">
        <v>-8.4756879999999997E-6</v>
      </c>
      <c r="I7830">
        <v>142.09829999999999</v>
      </c>
      <c r="J7830">
        <v>-187.36179999999999</v>
      </c>
      <c r="K7830">
        <v>1.120733</v>
      </c>
      <c r="L7830">
        <v>106.4623</v>
      </c>
      <c r="M7830">
        <v>2.8971739999999999E-2</v>
      </c>
      <c r="N7830">
        <v>-1.3887099999999999E-2</v>
      </c>
      <c r="O7830">
        <v>0.99948380000000003</v>
      </c>
      <c r="P7830">
        <v>0.14306659999999999</v>
      </c>
      <c r="Q7830">
        <v>0.1870301</v>
      </c>
      <c r="R7830">
        <v>0.97188050000000004</v>
      </c>
      <c r="S7830">
        <v>0.78363039999999995</v>
      </c>
      <c r="T7830">
        <v>-9.3111159999999998E-2</v>
      </c>
      <c r="U7830">
        <v>2.9893649999999998</v>
      </c>
      <c r="V7830">
        <v>0.115289</v>
      </c>
      <c r="W7830">
        <v>0.2003067</v>
      </c>
      <c r="X7830">
        <v>0.97292630000000002</v>
      </c>
      <c r="Y7830">
        <v>0.22533619999999999</v>
      </c>
      <c r="Z7830">
        <v>-1.6370989999999998E-2</v>
      </c>
      <c r="AA7830">
        <v>0.97414350000000005</v>
      </c>
      <c r="AB7830">
        <v>35</v>
      </c>
      <c r="AC7830">
        <v>9.4219999999999899</v>
      </c>
      <c r="AD7830">
        <v>-1.1207414756880001</v>
      </c>
      <c r="AE7830">
        <v>35.636000000000003</v>
      </c>
      <c r="AF7830">
        <v>8.37776282046174</v>
      </c>
      <c r="AG7830">
        <v>-1.1207414756880001</v>
      </c>
      <c r="AH7830">
        <v>35.860884351301102</v>
      </c>
      <c r="AI7830">
        <v>91.743146126173698</v>
      </c>
      <c r="AJ7830">
        <v>76.850488287308295</v>
      </c>
      <c r="AK7830">
        <v>36.843534002435597</v>
      </c>
      <c r="AL7830">
        <v>78.445104907566005</v>
      </c>
      <c r="AM7830">
        <v>83.242125877241605</v>
      </c>
      <c r="AN7830">
        <v>0.99999995640878803</v>
      </c>
    </row>
    <row r="7831" spans="1:40" x14ac:dyDescent="0.25">
      <c r="A7831" t="str">
        <f>"20190303170440975"</f>
        <v>20190303170440975</v>
      </c>
      <c r="B7831" t="str">
        <f>"1551603880963944"</f>
        <v>1551603880963944</v>
      </c>
      <c r="C7831" t="s">
        <v>40</v>
      </c>
      <c r="D7831">
        <v>4.413564</v>
      </c>
      <c r="E7831">
        <v>0.54854040000000004</v>
      </c>
      <c r="F7831" t="s">
        <v>90</v>
      </c>
      <c r="G7831">
        <v>-177.62970000000001</v>
      </c>
      <c r="H7831" s="1">
        <v>-8.6758420000000007E-6</v>
      </c>
      <c r="I7831">
        <v>143.3135</v>
      </c>
      <c r="J7831">
        <v>-187.35050000000001</v>
      </c>
      <c r="K7831">
        <v>1.120665</v>
      </c>
      <c r="L7831">
        <v>106.8134</v>
      </c>
      <c r="M7831">
        <v>3.0083619999999998E-2</v>
      </c>
      <c r="N7831">
        <v>-1.388608E-2</v>
      </c>
      <c r="O7831">
        <v>0.99945090000000003</v>
      </c>
      <c r="P7831">
        <v>0.14629149999999999</v>
      </c>
      <c r="Q7831">
        <v>0.1862772</v>
      </c>
      <c r="R7831">
        <v>0.97154499999999999</v>
      </c>
      <c r="S7831">
        <v>0.78913880000000003</v>
      </c>
      <c r="T7831">
        <v>-9.0876940000000003E-2</v>
      </c>
      <c r="U7831">
        <v>2.9881289999999998</v>
      </c>
      <c r="V7831">
        <v>0.1174669</v>
      </c>
      <c r="W7831">
        <v>0.19952829999999999</v>
      </c>
      <c r="X7831">
        <v>0.97282579999999996</v>
      </c>
      <c r="Y7831">
        <v>0.2260344</v>
      </c>
      <c r="Z7831">
        <v>-1.5651180000000001E-2</v>
      </c>
      <c r="AA7831">
        <v>0.97399360000000001</v>
      </c>
      <c r="AB7831">
        <v>35</v>
      </c>
      <c r="AC7831">
        <v>9.7207999999999899</v>
      </c>
      <c r="AD7831">
        <v>-1.120673675842</v>
      </c>
      <c r="AE7831">
        <v>36.500100000000003</v>
      </c>
      <c r="AF7831">
        <v>8.6106587258261609</v>
      </c>
      <c r="AG7831">
        <v>-1.120673675842</v>
      </c>
      <c r="AH7831">
        <v>36.743697455039303</v>
      </c>
      <c r="AI7831">
        <v>91.700913346053696</v>
      </c>
      <c r="AJ7831">
        <v>76.811082309195598</v>
      </c>
      <c r="AK7831">
        <v>37.755776456693802</v>
      </c>
      <c r="AL7831">
        <v>78.490623641378093</v>
      </c>
      <c r="AM7831">
        <v>83.114973909628603</v>
      </c>
      <c r="AN7831">
        <v>1.00000002612106</v>
      </c>
    </row>
    <row r="7832" spans="1:40" x14ac:dyDescent="0.25">
      <c r="A7832" t="str">
        <f>"20190303170440996"</f>
        <v>20190303170440996</v>
      </c>
      <c r="B7832" t="str">
        <f>"1551603880983464"</f>
        <v>1551603880983464</v>
      </c>
      <c r="C7832" t="s">
        <v>40</v>
      </c>
      <c r="D7832">
        <v>4.3865999999999996</v>
      </c>
      <c r="E7832">
        <v>0.54872069999999995</v>
      </c>
      <c r="F7832" t="s">
        <v>90</v>
      </c>
      <c r="G7832">
        <v>-177.7363</v>
      </c>
      <c r="H7832" s="1">
        <v>-8.5348929999999994E-6</v>
      </c>
      <c r="I7832">
        <v>142.67269999999999</v>
      </c>
      <c r="J7832">
        <v>-187.34010000000001</v>
      </c>
      <c r="K7832">
        <v>1.120592</v>
      </c>
      <c r="L7832">
        <v>107.124</v>
      </c>
      <c r="M7832">
        <v>3.1160520000000001E-2</v>
      </c>
      <c r="N7832">
        <v>-1.3885399999999999E-2</v>
      </c>
      <c r="O7832">
        <v>0.99941800000000003</v>
      </c>
      <c r="P7832">
        <v>0.14864669999999999</v>
      </c>
      <c r="Q7832">
        <v>0.1851448</v>
      </c>
      <c r="R7832">
        <v>0.97140389999999999</v>
      </c>
      <c r="S7832">
        <v>0.80036929999999995</v>
      </c>
      <c r="T7832">
        <v>-9.3294740000000001E-2</v>
      </c>
      <c r="U7832">
        <v>2.9852449999999999</v>
      </c>
      <c r="V7832">
        <v>0.11880499999999999</v>
      </c>
      <c r="W7832">
        <v>0.19837270000000001</v>
      </c>
      <c r="X7832">
        <v>0.97289959999999998</v>
      </c>
      <c r="Y7832">
        <v>0.22863269999999999</v>
      </c>
      <c r="Z7832">
        <v>-1.6441480000000001E-2</v>
      </c>
      <c r="AA7832">
        <v>0.97337390000000001</v>
      </c>
      <c r="AB7832">
        <v>35</v>
      </c>
      <c r="AC7832">
        <v>9.6037999999999997</v>
      </c>
      <c r="AD7832">
        <v>-1.1206005348929999</v>
      </c>
      <c r="AE7832">
        <v>35.548699999999997</v>
      </c>
      <c r="AF7832">
        <v>8.4834561467546905</v>
      </c>
      <c r="AG7832">
        <v>-1.1206005348929999</v>
      </c>
      <c r="AH7832">
        <v>35.797569908751001</v>
      </c>
      <c r="AI7832">
        <v>91.744698903018005</v>
      </c>
      <c r="AJ7832">
        <v>76.667763500921794</v>
      </c>
      <c r="AK7832">
        <v>36.806124288284202</v>
      </c>
      <c r="AL7832">
        <v>78.558184860418706</v>
      </c>
      <c r="AM7832">
        <v>83.037833123535606</v>
      </c>
      <c r="AN7832">
        <v>0.99999999390522398</v>
      </c>
    </row>
    <row r="7833" spans="1:40" x14ac:dyDescent="0.25">
      <c r="A7833" t="str">
        <f>"20190303170441018"</f>
        <v>20190303170441018</v>
      </c>
      <c r="B7833" t="str">
        <f>"1551603881013721"</f>
        <v>1551603881013721</v>
      </c>
      <c r="C7833" t="s">
        <v>40</v>
      </c>
      <c r="D7833">
        <v>4.4324770000000004</v>
      </c>
      <c r="E7833">
        <v>0.54894989999999999</v>
      </c>
      <c r="F7833" t="s">
        <v>90</v>
      </c>
      <c r="G7833">
        <v>-177.9306</v>
      </c>
      <c r="H7833" s="1">
        <v>-8.3749649999999995E-6</v>
      </c>
      <c r="I7833">
        <v>141.8047</v>
      </c>
      <c r="J7833">
        <v>-187.32759999999999</v>
      </c>
      <c r="K7833">
        <v>1.1205039999999999</v>
      </c>
      <c r="L7833">
        <v>107.48009999999999</v>
      </c>
      <c r="M7833">
        <v>3.2522160000000001E-2</v>
      </c>
      <c r="N7833">
        <v>-1.3885059999999999E-2</v>
      </c>
      <c r="O7833">
        <v>0.9993746</v>
      </c>
      <c r="P7833">
        <v>0.1499479</v>
      </c>
      <c r="Q7833">
        <v>0.18515200000000001</v>
      </c>
      <c r="R7833">
        <v>0.97120260000000003</v>
      </c>
      <c r="S7833">
        <v>0.80929569999999995</v>
      </c>
      <c r="T7833">
        <v>-9.6380950000000007E-2</v>
      </c>
      <c r="U7833">
        <v>2.982834</v>
      </c>
      <c r="V7833">
        <v>0.11882810000000001</v>
      </c>
      <c r="W7833">
        <v>0.19835259999999999</v>
      </c>
      <c r="X7833">
        <v>0.97290089999999996</v>
      </c>
      <c r="Y7833">
        <v>0.23021150000000001</v>
      </c>
      <c r="Z7833">
        <v>-1.745002E-2</v>
      </c>
      <c r="AA7833">
        <v>0.97298410000000002</v>
      </c>
      <c r="AB7833">
        <v>35</v>
      </c>
      <c r="AC7833">
        <v>9.3969999999999896</v>
      </c>
      <c r="AD7833">
        <v>-1.1205123749649999</v>
      </c>
      <c r="AE7833">
        <v>34.324599999999997</v>
      </c>
      <c r="AF7833">
        <v>8.2674144108072394</v>
      </c>
      <c r="AG7833">
        <v>-1.1205123749649999</v>
      </c>
      <c r="AH7833">
        <v>34.577800195372298</v>
      </c>
      <c r="AI7833">
        <v>91.805204516849699</v>
      </c>
      <c r="AJ7833">
        <v>76.553250122337204</v>
      </c>
      <c r="AK7833">
        <v>35.570071062250598</v>
      </c>
      <c r="AL7833">
        <v>78.559360113329703</v>
      </c>
      <c r="AM7833">
        <v>83.036501928934797</v>
      </c>
      <c r="AN7833">
        <v>1.00000001624858</v>
      </c>
    </row>
    <row r="7834" spans="1:40" x14ac:dyDescent="0.25">
      <c r="A7834" t="str">
        <f>"20190303170441041"</f>
        <v>20190303170441041</v>
      </c>
      <c r="B7834" t="str">
        <f>"1551603881033240"</f>
        <v>1551603881033240</v>
      </c>
      <c r="C7834" t="s">
        <v>40</v>
      </c>
      <c r="D7834">
        <v>4.4386080000000003</v>
      </c>
      <c r="E7834">
        <v>0.54911359999999998</v>
      </c>
      <c r="F7834" t="s">
        <v>90</v>
      </c>
      <c r="G7834">
        <v>-177.72980000000001</v>
      </c>
      <c r="H7834" s="1">
        <v>-8.4800959999999994E-6</v>
      </c>
      <c r="I7834">
        <v>142.51599999999999</v>
      </c>
      <c r="J7834">
        <v>-187.31450000000001</v>
      </c>
      <c r="K7834">
        <v>1.1204130000000001</v>
      </c>
      <c r="L7834">
        <v>107.83759999999999</v>
      </c>
      <c r="M7834">
        <v>3.4002190000000002E-2</v>
      </c>
      <c r="N7834">
        <v>-1.388497E-2</v>
      </c>
      <c r="O7834">
        <v>0.99932529999999997</v>
      </c>
      <c r="P7834">
        <v>0.15216740000000001</v>
      </c>
      <c r="Q7834">
        <v>0.1869777</v>
      </c>
      <c r="R7834">
        <v>0.97050729999999996</v>
      </c>
      <c r="S7834">
        <v>0.81663509999999995</v>
      </c>
      <c r="T7834">
        <v>-9.5339060000000003E-2</v>
      </c>
      <c r="U7834">
        <v>2.981033</v>
      </c>
      <c r="V7834">
        <v>0.1196768</v>
      </c>
      <c r="W7834">
        <v>0.20014129999999999</v>
      </c>
      <c r="X7834">
        <v>0.97243040000000003</v>
      </c>
      <c r="Y7834">
        <v>0.2311502</v>
      </c>
      <c r="Z7834">
        <v>-1.7117980000000001E-2</v>
      </c>
      <c r="AA7834">
        <v>0.97276750000000001</v>
      </c>
      <c r="AB7834">
        <v>35</v>
      </c>
      <c r="AC7834">
        <v>9.5846999999999891</v>
      </c>
      <c r="AD7834">
        <v>-1.120421480096</v>
      </c>
      <c r="AE7834">
        <v>34.678400000000003</v>
      </c>
      <c r="AF7834">
        <v>8.3917632333552508</v>
      </c>
      <c r="AG7834">
        <v>-1.120421480096</v>
      </c>
      <c r="AH7834">
        <v>34.950381534684901</v>
      </c>
      <c r="AI7834">
        <v>91.785420254451296</v>
      </c>
      <c r="AJ7834">
        <v>76.498575543842094</v>
      </c>
      <c r="AK7834">
        <v>35.961176341685501</v>
      </c>
      <c r="AL7834">
        <v>78.454777770318202</v>
      </c>
      <c r="AM7834">
        <v>82.983901149353699</v>
      </c>
      <c r="AN7834">
        <v>0.99999997963404397</v>
      </c>
    </row>
    <row r="7835" spans="1:40" x14ac:dyDescent="0.25">
      <c r="A7835" t="str">
        <f>"20190303170441053"</f>
        <v>20190303170441053</v>
      </c>
      <c r="B7835" t="str">
        <f>"1551603881043976"</f>
        <v>1551603881043976</v>
      </c>
      <c r="C7835" t="s">
        <v>40</v>
      </c>
      <c r="D7835">
        <v>4.4294840000000004</v>
      </c>
      <c r="E7835">
        <v>0.54911359999999998</v>
      </c>
      <c r="F7835" t="s">
        <v>90</v>
      </c>
      <c r="G7835">
        <v>-177.07470000000001</v>
      </c>
      <c r="H7835" s="1">
        <v>-8.8262119999999998E-6</v>
      </c>
      <c r="I7835">
        <v>144.8458</v>
      </c>
      <c r="J7835">
        <v>-187.3073</v>
      </c>
      <c r="K7835">
        <v>1.120363</v>
      </c>
      <c r="L7835">
        <v>108.02849999999999</v>
      </c>
      <c r="M7835">
        <v>3.4833839999999998E-2</v>
      </c>
      <c r="N7835">
        <v>-1.3884870000000001E-2</v>
      </c>
      <c r="O7835">
        <v>0.99929670000000004</v>
      </c>
      <c r="P7835">
        <v>0.15400440000000001</v>
      </c>
      <c r="Q7835">
        <v>0.1869673</v>
      </c>
      <c r="R7835">
        <v>0.97021950000000001</v>
      </c>
      <c r="S7835">
        <v>0.82434079999999998</v>
      </c>
      <c r="T7835">
        <v>-9.0198520000000004E-2</v>
      </c>
      <c r="U7835">
        <v>2.9793090000000002</v>
      </c>
      <c r="V7835">
        <v>0.12073639999999999</v>
      </c>
      <c r="W7835">
        <v>0.20011100000000001</v>
      </c>
      <c r="X7835">
        <v>0.97230570000000005</v>
      </c>
      <c r="Y7835">
        <v>0.2328315</v>
      </c>
      <c r="Z7835">
        <v>-1.545242E-2</v>
      </c>
      <c r="AA7835">
        <v>0.97239430000000004</v>
      </c>
      <c r="AB7835">
        <v>34</v>
      </c>
      <c r="AC7835">
        <v>10.2325999999999</v>
      </c>
      <c r="AD7835">
        <v>-1.1203718262119999</v>
      </c>
      <c r="AE7835">
        <v>36.817300000000003</v>
      </c>
      <c r="AF7835">
        <v>8.9360956491837502</v>
      </c>
      <c r="AG7835">
        <v>-1.1203718262119999</v>
      </c>
      <c r="AH7835">
        <v>37.119518368401799</v>
      </c>
      <c r="AI7835">
        <v>91.680831854157503</v>
      </c>
      <c r="AJ7835">
        <v>76.464267205676407</v>
      </c>
      <c r="AK7835">
        <v>38.196435466970598</v>
      </c>
      <c r="AL7835">
        <v>78.456550295740399</v>
      </c>
      <c r="AM7835">
        <v>82.921510455633495</v>
      </c>
      <c r="AN7835">
        <v>1.00000003242922</v>
      </c>
    </row>
    <row r="7836" spans="1:40" x14ac:dyDescent="0.25">
      <c r="A7836" t="str">
        <f>"20190303170441066"</f>
        <v>20190303170441066</v>
      </c>
      <c r="B7836" t="str">
        <f>"1551603881053267"</f>
        <v>1551603881053267</v>
      </c>
      <c r="C7836" t="s">
        <v>40</v>
      </c>
      <c r="D7836">
        <v>4.4316769999999996</v>
      </c>
      <c r="E7836">
        <v>0.55538920000000003</v>
      </c>
      <c r="F7836" t="s">
        <v>90</v>
      </c>
      <c r="G7836">
        <v>-177.0506</v>
      </c>
      <c r="H7836" s="1">
        <v>-8.8144789999999993E-6</v>
      </c>
      <c r="I7836">
        <v>144.8561</v>
      </c>
      <c r="J7836">
        <v>-187.2996</v>
      </c>
      <c r="K7836">
        <v>1.120306</v>
      </c>
      <c r="L7836">
        <v>108.2244</v>
      </c>
      <c r="M7836">
        <v>3.5750959999999998E-2</v>
      </c>
      <c r="N7836">
        <v>-1.388492E-2</v>
      </c>
      <c r="O7836">
        <v>0.99926420000000005</v>
      </c>
      <c r="P7836">
        <v>0.15592039999999999</v>
      </c>
      <c r="Q7836">
        <v>0.18673429999999999</v>
      </c>
      <c r="R7836">
        <v>0.96995830000000005</v>
      </c>
      <c r="S7836">
        <v>0.82936100000000001</v>
      </c>
      <c r="T7836">
        <v>-9.0593580000000007E-2</v>
      </c>
      <c r="U7836">
        <v>2.9778899999999999</v>
      </c>
      <c r="V7836">
        <v>0.121793</v>
      </c>
      <c r="W7836">
        <v>0.19985629999999999</v>
      </c>
      <c r="X7836">
        <v>0.97222629999999999</v>
      </c>
      <c r="Y7836">
        <v>0.23357900000000001</v>
      </c>
      <c r="Z7836">
        <v>-1.558551E-2</v>
      </c>
      <c r="AA7836">
        <v>0.97221290000000005</v>
      </c>
      <c r="AB7836">
        <v>34</v>
      </c>
      <c r="AC7836">
        <v>10.248999999999899</v>
      </c>
      <c r="AD7836">
        <v>-1.1203148144790001</v>
      </c>
      <c r="AE7836">
        <v>36.631700000000002</v>
      </c>
      <c r="AF7836">
        <v>8.9249602864264492</v>
      </c>
      <c r="AG7836">
        <v>-1.1203148144790001</v>
      </c>
      <c r="AH7836">
        <v>36.942679675198796</v>
      </c>
      <c r="AI7836">
        <v>91.688459885932701</v>
      </c>
      <c r="AJ7836">
        <v>76.418190946771105</v>
      </c>
      <c r="AK7836">
        <v>38.021988414366</v>
      </c>
      <c r="AL7836">
        <v>78.471444338725703</v>
      </c>
      <c r="AM7836">
        <v>82.859623985147294</v>
      </c>
      <c r="AN7836">
        <v>1.0000000269551801</v>
      </c>
    </row>
    <row r="7837" spans="1:40" x14ac:dyDescent="0.25">
      <c r="A7837" t="str">
        <f>"20190303170441079"</f>
        <v>20190303170441079</v>
      </c>
      <c r="B7837" t="str">
        <f>"1551603881073763"</f>
        <v>1551603881073763</v>
      </c>
      <c r="C7837" t="s">
        <v>40</v>
      </c>
      <c r="D7837">
        <v>4.4308300000000003</v>
      </c>
      <c r="E7837">
        <v>0.55484469999999997</v>
      </c>
      <c r="F7837" t="s">
        <v>90</v>
      </c>
      <c r="G7837">
        <v>-176.7715</v>
      </c>
      <c r="H7837" s="1">
        <v>-8.2241669999999997E-6</v>
      </c>
      <c r="I7837">
        <v>143.56870000000001</v>
      </c>
      <c r="J7837">
        <v>-187.29140000000001</v>
      </c>
      <c r="K7837">
        <v>1.1202350000000001</v>
      </c>
      <c r="L7837">
        <v>108.4272</v>
      </c>
      <c r="M7837">
        <v>3.6741889999999999E-2</v>
      </c>
      <c r="N7837">
        <v>-1.3885140000000001E-2</v>
      </c>
      <c r="O7837">
        <v>0.99922829999999996</v>
      </c>
      <c r="P7837">
        <v>0.15822990000000001</v>
      </c>
      <c r="Q7837">
        <v>0.1865049</v>
      </c>
      <c r="R7837">
        <v>0.96962839999999995</v>
      </c>
      <c r="S7837">
        <v>0.88433839999999997</v>
      </c>
      <c r="T7837">
        <v>-9.4104170000000001E-2</v>
      </c>
      <c r="U7837">
        <v>2.9688569999999999</v>
      </c>
      <c r="V7837">
        <v>0.1231771</v>
      </c>
      <c r="W7837">
        <v>0.19960159999999999</v>
      </c>
      <c r="X7837">
        <v>0.97210419999999997</v>
      </c>
      <c r="Y7837">
        <v>0.24995220000000001</v>
      </c>
      <c r="Z7837">
        <v>-1.6677979999999999E-2</v>
      </c>
      <c r="AA7837">
        <v>0.96811460000000005</v>
      </c>
      <c r="AB7837">
        <v>34</v>
      </c>
      <c r="AC7837">
        <v>10.5199</v>
      </c>
      <c r="AD7837">
        <v>-1.120243224167</v>
      </c>
      <c r="AE7837">
        <v>35.141500000000001</v>
      </c>
      <c r="AF7837">
        <v>9.2129135687328301</v>
      </c>
      <c r="AG7837">
        <v>-1.120243224167</v>
      </c>
      <c r="AH7837">
        <v>35.471244112953997</v>
      </c>
      <c r="AI7837">
        <v>91.750844943173206</v>
      </c>
      <c r="AJ7837">
        <v>75.440324497779102</v>
      </c>
      <c r="AK7837">
        <v>36.6652680370266</v>
      </c>
      <c r="AL7837">
        <v>78.486337180102197</v>
      </c>
      <c r="AM7837">
        <v>82.778432506888805</v>
      </c>
      <c r="AN7837">
        <v>0.99999998617230401</v>
      </c>
    </row>
    <row r="7838" spans="1:40" x14ac:dyDescent="0.25">
      <c r="A7838" t="str">
        <f>"20190303170441096"</f>
        <v>20190303170441096</v>
      </c>
      <c r="B7838" t="str">
        <f>"1551603881083523"</f>
        <v>1551603881083523</v>
      </c>
      <c r="C7838" t="s">
        <v>40</v>
      </c>
      <c r="D7838">
        <v>4.4391509999999998</v>
      </c>
      <c r="E7838">
        <v>0.55508380000000002</v>
      </c>
      <c r="F7838" t="s">
        <v>90</v>
      </c>
      <c r="G7838">
        <v>-177.0095</v>
      </c>
      <c r="H7838" s="1">
        <v>-8.133616E-6</v>
      </c>
      <c r="I7838">
        <v>142.83099999999999</v>
      </c>
      <c r="J7838">
        <v>-187.28149999999999</v>
      </c>
      <c r="K7838">
        <v>1.1201430000000001</v>
      </c>
      <c r="L7838">
        <v>108.66679999999999</v>
      </c>
      <c r="M7838">
        <v>3.7987519999999997E-2</v>
      </c>
      <c r="N7838">
        <v>-1.388576E-2</v>
      </c>
      <c r="O7838">
        <v>0.99918169999999995</v>
      </c>
      <c r="P7838">
        <v>0.16101370000000001</v>
      </c>
      <c r="Q7838">
        <v>0.1853515</v>
      </c>
      <c r="R7838">
        <v>0.96939129999999996</v>
      </c>
      <c r="S7838">
        <v>0.8869629</v>
      </c>
      <c r="T7838">
        <v>-9.6637009999999995E-2</v>
      </c>
      <c r="U7838">
        <v>2.967819</v>
      </c>
      <c r="V7838">
        <v>0.1247914</v>
      </c>
      <c r="W7838">
        <v>0.1984176</v>
      </c>
      <c r="X7838">
        <v>0.97214069999999997</v>
      </c>
      <c r="Y7838">
        <v>0.24961849999999999</v>
      </c>
      <c r="Z7838">
        <v>-1.750585E-2</v>
      </c>
      <c r="AA7838">
        <v>0.96818599999999999</v>
      </c>
      <c r="AB7838">
        <v>34</v>
      </c>
      <c r="AC7838">
        <v>10.271999999999901</v>
      </c>
      <c r="AD7838">
        <v>-1.1201511336159999</v>
      </c>
      <c r="AE7838">
        <v>34.164200000000001</v>
      </c>
      <c r="AF7838">
        <v>8.9578146220572705</v>
      </c>
      <c r="AG7838">
        <v>-1.1201511336159999</v>
      </c>
      <c r="AH7838">
        <v>34.495772667286197</v>
      </c>
      <c r="AI7838">
        <v>91.800197387374794</v>
      </c>
      <c r="AJ7838">
        <v>75.443032951110894</v>
      </c>
      <c r="AK7838">
        <v>35.657474858413202</v>
      </c>
      <c r="AL7838">
        <v>78.555560049012598</v>
      </c>
      <c r="AM7838">
        <v>82.685080413899897</v>
      </c>
      <c r="AN7838">
        <v>0.99999998905010401</v>
      </c>
    </row>
    <row r="7839" spans="1:40" x14ac:dyDescent="0.25">
      <c r="A7839" t="str">
        <f>"20190303170441119"</f>
        <v>20190303170441119</v>
      </c>
      <c r="B7839" t="str">
        <f>"1551603881113779"</f>
        <v>1551603881113779</v>
      </c>
      <c r="C7839" t="s">
        <v>40</v>
      </c>
      <c r="D7839">
        <v>4.4606339999999998</v>
      </c>
      <c r="E7839">
        <v>0.55554910000000002</v>
      </c>
      <c r="F7839" t="s">
        <v>90</v>
      </c>
      <c r="G7839">
        <v>-177.27629999999999</v>
      </c>
      <c r="H7839" s="1">
        <v>-7.9427549999999998E-6</v>
      </c>
      <c r="I7839">
        <v>141.7278</v>
      </c>
      <c r="J7839">
        <v>-187.26519999999999</v>
      </c>
      <c r="K7839">
        <v>1.1199859999999999</v>
      </c>
      <c r="L7839">
        <v>109.0389</v>
      </c>
      <c r="M7839">
        <v>4.0124840000000002E-2</v>
      </c>
      <c r="N7839">
        <v>-1.3887979999999999E-2</v>
      </c>
      <c r="O7839">
        <v>0.99909820000000005</v>
      </c>
      <c r="P7839">
        <v>0.1644815</v>
      </c>
      <c r="Q7839">
        <v>0.1847761</v>
      </c>
      <c r="R7839">
        <v>0.96891879999999997</v>
      </c>
      <c r="S7839">
        <v>0.89726260000000002</v>
      </c>
      <c r="T7839">
        <v>-0.100455</v>
      </c>
      <c r="U7839">
        <v>2.9649049999999999</v>
      </c>
      <c r="V7839">
        <v>0.1262643</v>
      </c>
      <c r="W7839">
        <v>0.1977894</v>
      </c>
      <c r="X7839">
        <v>0.97207860000000001</v>
      </c>
      <c r="Y7839">
        <v>0.25088310000000003</v>
      </c>
      <c r="Z7839">
        <v>-1.8750269999999999E-2</v>
      </c>
      <c r="AA7839">
        <v>0.96783580000000002</v>
      </c>
      <c r="AB7839">
        <v>34</v>
      </c>
      <c r="AC7839">
        <v>9.9888999999999992</v>
      </c>
      <c r="AD7839">
        <v>-1.1199939427550001</v>
      </c>
      <c r="AE7839">
        <v>32.688899999999997</v>
      </c>
      <c r="AF7839">
        <v>8.6597932436078295</v>
      </c>
      <c r="AG7839">
        <v>-1.1199939427550001</v>
      </c>
      <c r="AH7839">
        <v>33.027951027280899</v>
      </c>
      <c r="AI7839">
        <v>91.878726649123905</v>
      </c>
      <c r="AJ7839">
        <v>75.307997925543802</v>
      </c>
      <c r="AK7839">
        <v>34.162727562568897</v>
      </c>
      <c r="AL7839">
        <v>78.592281875844407</v>
      </c>
      <c r="AM7839">
        <v>82.599227171027295</v>
      </c>
      <c r="AN7839">
        <v>1.0000000623923999</v>
      </c>
    </row>
    <row r="7840" spans="1:40" x14ac:dyDescent="0.25">
      <c r="A7840" t="str">
        <f>"20190303170441143"</f>
        <v>20190303170441143</v>
      </c>
      <c r="B7840" t="str">
        <f>"1551603881133299"</f>
        <v>1551603881133299</v>
      </c>
      <c r="C7840" t="s">
        <v>40</v>
      </c>
      <c r="D7840">
        <v>4.431953</v>
      </c>
      <c r="E7840">
        <v>0.5553321</v>
      </c>
      <c r="F7840" t="s">
        <v>90</v>
      </c>
      <c r="G7840">
        <v>-177.48740000000001</v>
      </c>
      <c r="H7840" s="1">
        <v>-7.7669939999999904E-6</v>
      </c>
      <c r="I7840">
        <v>140.77860000000001</v>
      </c>
      <c r="J7840">
        <v>-187.2482</v>
      </c>
      <c r="K7840">
        <v>1.119823</v>
      </c>
      <c r="L7840">
        <v>109.4055</v>
      </c>
      <c r="M7840">
        <v>4.242303E-2</v>
      </c>
      <c r="N7840">
        <v>-1.3890599999999999E-2</v>
      </c>
      <c r="O7840">
        <v>0.99900319999999998</v>
      </c>
      <c r="P7840">
        <v>0.1685934</v>
      </c>
      <c r="Q7840">
        <v>0.1850318</v>
      </c>
      <c r="R7840">
        <v>0.968163</v>
      </c>
      <c r="S7840">
        <v>0.91226200000000002</v>
      </c>
      <c r="T7840">
        <v>-0.1044943</v>
      </c>
      <c r="U7840">
        <v>2.9612880000000001</v>
      </c>
      <c r="V7840">
        <v>0.1282422</v>
      </c>
      <c r="W7840">
        <v>0.1979843</v>
      </c>
      <c r="X7840">
        <v>0.97177990000000003</v>
      </c>
      <c r="Y7840">
        <v>0.25345630000000002</v>
      </c>
      <c r="Z7840">
        <v>-2.006032E-2</v>
      </c>
      <c r="AA7840">
        <v>0.96713879999999997</v>
      </c>
      <c r="AB7840">
        <v>34</v>
      </c>
      <c r="AC7840">
        <v>9.7607999999999802</v>
      </c>
      <c r="AD7840">
        <v>-1.119830766994</v>
      </c>
      <c r="AE7840">
        <v>31.373100000000001</v>
      </c>
      <c r="AF7840">
        <v>8.4111700951976704</v>
      </c>
      <c r="AG7840">
        <v>-1.119830766994</v>
      </c>
      <c r="AH7840">
        <v>31.722124129952402</v>
      </c>
      <c r="AI7840">
        <v>91.954296498465894</v>
      </c>
      <c r="AJ7840">
        <v>75.149660320078596</v>
      </c>
      <c r="AK7840">
        <v>32.837401886159697</v>
      </c>
      <c r="AL7840">
        <v>78.580889033902906</v>
      </c>
      <c r="AM7840">
        <v>82.482327357116901</v>
      </c>
      <c r="AN7840">
        <v>1.00000000947567</v>
      </c>
    </row>
    <row r="7841" spans="1:40" x14ac:dyDescent="0.25">
      <c r="A7841" t="str">
        <f>"20190303170441165"</f>
        <v>20190303170441165</v>
      </c>
      <c r="B7841" t="str">
        <f>"1551603881153327"</f>
        <v>1551603881153327</v>
      </c>
      <c r="C7841" t="s">
        <v>40</v>
      </c>
      <c r="D7841">
        <v>4.4260809999999999</v>
      </c>
      <c r="E7841">
        <v>0.55523409999999995</v>
      </c>
      <c r="F7841" t="s">
        <v>90</v>
      </c>
      <c r="G7841">
        <v>-177.3526</v>
      </c>
      <c r="H7841" s="1">
        <v>-7.7919389999999906E-6</v>
      </c>
      <c r="I7841">
        <v>141.11490000000001</v>
      </c>
      <c r="J7841">
        <v>-187.2321</v>
      </c>
      <c r="K7841">
        <v>1.1196759999999999</v>
      </c>
      <c r="L7841">
        <v>109.73439999999999</v>
      </c>
      <c r="M7841">
        <v>4.4653900000000003E-2</v>
      </c>
      <c r="N7841">
        <v>-1.3892989999999999E-2</v>
      </c>
      <c r="O7841">
        <v>0.99890590000000001</v>
      </c>
      <c r="P7841">
        <v>0.17338429999999999</v>
      </c>
      <c r="Q7841">
        <v>0.18555070000000001</v>
      </c>
      <c r="R7841">
        <v>0.96721699999999999</v>
      </c>
      <c r="S7841">
        <v>0.92306520000000003</v>
      </c>
      <c r="T7841">
        <v>-0.1044586</v>
      </c>
      <c r="U7841">
        <v>2.9578700000000002</v>
      </c>
      <c r="V7841">
        <v>0.13096769999999999</v>
      </c>
      <c r="W7841">
        <v>0.19844049999999999</v>
      </c>
      <c r="X7841">
        <v>0.9713233</v>
      </c>
      <c r="Y7841">
        <v>0.2548319</v>
      </c>
      <c r="Z7841">
        <v>-2.0060379999999999E-2</v>
      </c>
      <c r="AA7841">
        <v>0.96677729999999995</v>
      </c>
      <c r="AB7841">
        <v>34</v>
      </c>
      <c r="AC7841">
        <v>9.8795000000000002</v>
      </c>
      <c r="AD7841">
        <v>-1.1196837919389999</v>
      </c>
      <c r="AE7841">
        <v>31.380500000000001</v>
      </c>
      <c r="AF7841">
        <v>8.4584489370572804</v>
      </c>
      <c r="AG7841">
        <v>-1.1196837919389999</v>
      </c>
      <c r="AH7841">
        <v>31.753612523389201</v>
      </c>
      <c r="AI7841">
        <v>91.951510447702105</v>
      </c>
      <c r="AJ7841">
        <v>75.084050298885003</v>
      </c>
      <c r="AK7841">
        <v>32.879947665716799</v>
      </c>
      <c r="AL7841">
        <v>78.5542222000511</v>
      </c>
      <c r="AM7841">
        <v>82.320876255444105</v>
      </c>
      <c r="AN7841">
        <v>1.0000000618032101</v>
      </c>
    </row>
    <row r="7842" spans="1:40" x14ac:dyDescent="0.25">
      <c r="A7842" t="str">
        <f>"20190303170441186"</f>
        <v>20190303170441186</v>
      </c>
      <c r="B7842" t="str">
        <f>"1551603881173822"</f>
        <v>1551603881173822</v>
      </c>
      <c r="C7842" t="s">
        <v>40</v>
      </c>
      <c r="D7842">
        <v>4.4395939999999996</v>
      </c>
      <c r="E7842">
        <v>0.55548569999999997</v>
      </c>
      <c r="F7842" t="s">
        <v>90</v>
      </c>
      <c r="G7842">
        <v>-177.1584</v>
      </c>
      <c r="H7842" s="1">
        <v>-7.7936870000000007E-6</v>
      </c>
      <c r="I7842">
        <v>141.4941</v>
      </c>
      <c r="J7842">
        <v>-187.21510000000001</v>
      </c>
      <c r="K7842">
        <v>1.119524</v>
      </c>
      <c r="L7842">
        <v>110.0611</v>
      </c>
      <c r="M7842">
        <v>4.7047949999999998E-2</v>
      </c>
      <c r="N7842">
        <v>-1.3895660000000001E-2</v>
      </c>
      <c r="O7842">
        <v>0.99879600000000002</v>
      </c>
      <c r="P7842">
        <v>0.178308299999999</v>
      </c>
      <c r="Q7842">
        <v>0.184395</v>
      </c>
      <c r="R7842">
        <v>0.96654260000000003</v>
      </c>
      <c r="S7842">
        <v>0.9368744</v>
      </c>
      <c r="T7842">
        <v>-0.104133</v>
      </c>
      <c r="U7842">
        <v>2.9537200000000001</v>
      </c>
      <c r="V7842">
        <v>0.13364949999999901</v>
      </c>
      <c r="W7842">
        <v>0.19722419999999999</v>
      </c>
      <c r="X7842">
        <v>0.97120569999999895</v>
      </c>
      <c r="Y7842">
        <v>0.25701220000000002</v>
      </c>
      <c r="Z7842">
        <v>-1.9965400000000001E-2</v>
      </c>
      <c r="AA7842">
        <v>0.96620189999999995</v>
      </c>
      <c r="AB7842">
        <v>34</v>
      </c>
      <c r="AC7842">
        <v>10.056699999999999</v>
      </c>
      <c r="AD7842">
        <v>-1.119531793687</v>
      </c>
      <c r="AE7842">
        <v>31.433</v>
      </c>
      <c r="AF7842">
        <v>8.5567138623660792</v>
      </c>
      <c r="AG7842">
        <v>-1.119531793687</v>
      </c>
      <c r="AH7842">
        <v>31.834744684167799</v>
      </c>
      <c r="AI7842">
        <v>91.945107793622</v>
      </c>
      <c r="AJ7842">
        <v>74.955308838052503</v>
      </c>
      <c r="AK7842">
        <v>32.983657660508698</v>
      </c>
      <c r="AL7842">
        <v>78.625315948730602</v>
      </c>
      <c r="AM7842">
        <v>82.164628934180598</v>
      </c>
      <c r="AN7842">
        <v>1.00000004281418</v>
      </c>
    </row>
    <row r="7843" spans="1:40" x14ac:dyDescent="0.25">
      <c r="A7843" t="str">
        <f>"20190303170441201"</f>
        <v>20190303170441201</v>
      </c>
      <c r="B7843" t="str">
        <f>"1551603881193342"</f>
        <v>1551603881193342</v>
      </c>
      <c r="C7843" t="s">
        <v>40</v>
      </c>
      <c r="D7843">
        <v>4.435867</v>
      </c>
      <c r="E7843">
        <v>0.55548379999999997</v>
      </c>
      <c r="F7843" t="s">
        <v>90</v>
      </c>
      <c r="G7843">
        <v>-177.3047</v>
      </c>
      <c r="H7843" s="1">
        <v>-7.6279799999999999E-6</v>
      </c>
      <c r="I7843">
        <v>140.70050000000001</v>
      </c>
      <c r="J7843">
        <v>-187.2029</v>
      </c>
      <c r="K7843">
        <v>1.119408</v>
      </c>
      <c r="L7843">
        <v>110.2876</v>
      </c>
      <c r="M7843">
        <v>4.8809190000000002E-2</v>
      </c>
      <c r="N7843">
        <v>-1.3897899999999901E-2</v>
      </c>
      <c r="O7843">
        <v>0.99871140000000003</v>
      </c>
      <c r="P7843">
        <v>0.18164240000000001</v>
      </c>
      <c r="Q7843">
        <v>0.18385580000000001</v>
      </c>
      <c r="R7843">
        <v>0.96602440000000001</v>
      </c>
      <c r="S7843">
        <v>0.95368960000000003</v>
      </c>
      <c r="T7843">
        <v>-0.10773339999999899</v>
      </c>
      <c r="U7843">
        <v>2.9484560000000002</v>
      </c>
      <c r="V7843">
        <v>0.13533510000000001</v>
      </c>
      <c r="W7843">
        <v>0.19664219999999999</v>
      </c>
      <c r="X7843">
        <v>0.97109029999999996</v>
      </c>
      <c r="Y7843">
        <v>0.2607891</v>
      </c>
      <c r="Z7843">
        <v>-2.11422E-2</v>
      </c>
      <c r="AA7843">
        <v>0.96516420000000003</v>
      </c>
      <c r="AB7843">
        <v>34</v>
      </c>
      <c r="AC7843">
        <v>9.8981999999999992</v>
      </c>
      <c r="AD7843">
        <v>-1.1194156279799901</v>
      </c>
      <c r="AE7843">
        <v>30.4129</v>
      </c>
      <c r="AF7843">
        <v>8.3915480554944093</v>
      </c>
      <c r="AG7843">
        <v>-1.1194156279799901</v>
      </c>
      <c r="AH7843">
        <v>30.822056807491599</v>
      </c>
      <c r="AI7843">
        <v>92.007000218737204</v>
      </c>
      <c r="AJ7843">
        <v>74.7699162262779</v>
      </c>
      <c r="AK7843">
        <v>31.9635785850095</v>
      </c>
      <c r="AL7843">
        <v>78.659328323617899</v>
      </c>
      <c r="AM7843">
        <v>82.066128207402798</v>
      </c>
      <c r="AN7843">
        <v>1.00000005743346</v>
      </c>
    </row>
    <row r="7844" spans="1:40" x14ac:dyDescent="0.25">
      <c r="A7844" t="str">
        <f>"20190303170441219"</f>
        <v>20190303170441219</v>
      </c>
      <c r="B7844" t="str">
        <f>"1551603881213839"</f>
        <v>1551603881213839</v>
      </c>
      <c r="C7844" t="s">
        <v>40</v>
      </c>
      <c r="D7844">
        <v>4.4633609999999999</v>
      </c>
      <c r="E7844">
        <v>0.55557819999999902</v>
      </c>
      <c r="F7844" t="s">
        <v>90</v>
      </c>
      <c r="G7844">
        <v>-177.44069999999999</v>
      </c>
      <c r="H7844" s="1">
        <v>-7.5248659999999899E-6</v>
      </c>
      <c r="I7844">
        <v>140.12020000000001</v>
      </c>
      <c r="J7844">
        <v>-187.18639999999999</v>
      </c>
      <c r="K7844">
        <v>1.1192690000000001</v>
      </c>
      <c r="L7844">
        <v>110.5787</v>
      </c>
      <c r="M7844">
        <v>5.1196800000000001E-2</v>
      </c>
      <c r="N7844">
        <v>-1.390125E-2</v>
      </c>
      <c r="O7844">
        <v>0.99859180000000003</v>
      </c>
      <c r="P7844">
        <v>0.186973</v>
      </c>
      <c r="Q7844">
        <v>0.18225930000000001</v>
      </c>
      <c r="R7844">
        <v>0.96530959999999999</v>
      </c>
      <c r="S7844">
        <v>0.96380619999999995</v>
      </c>
      <c r="T7844">
        <v>-0.1105182</v>
      </c>
      <c r="U7844">
        <v>2.9453279999999999</v>
      </c>
      <c r="V7844">
        <v>0.13842360000000001</v>
      </c>
      <c r="W7844">
        <v>0.19498499999999999</v>
      </c>
      <c r="X7844">
        <v>0.97098899999999999</v>
      </c>
      <c r="Y7844">
        <v>0.26177050000000002</v>
      </c>
      <c r="Z7844">
        <v>-2.20536E-2</v>
      </c>
      <c r="AA7844">
        <v>0.96487809999999896</v>
      </c>
      <c r="AB7844">
        <v>34</v>
      </c>
      <c r="AC7844">
        <v>9.7456999999999994</v>
      </c>
      <c r="AD7844">
        <v>-1.1192765248659999</v>
      </c>
      <c r="AE7844">
        <v>29.541499999999999</v>
      </c>
      <c r="AF7844">
        <v>8.2097119045747302</v>
      </c>
      <c r="AG7844">
        <v>-1.1192765248659999</v>
      </c>
      <c r="AH7844">
        <v>29.962957440075801</v>
      </c>
      <c r="AI7844">
        <v>92.063329000190294</v>
      </c>
      <c r="AJ7844">
        <v>74.677276018678697</v>
      </c>
      <c r="AK7844">
        <v>31.087472847612201</v>
      </c>
      <c r="AL7844">
        <v>78.756151988746396</v>
      </c>
      <c r="AM7844">
        <v>81.886617097945702</v>
      </c>
      <c r="AN7844">
        <v>0.99999994069147802</v>
      </c>
    </row>
    <row r="7845" spans="1:40" x14ac:dyDescent="0.25">
      <c r="A7845" t="str">
        <f>"20190303170441232"</f>
        <v>20190303170441232</v>
      </c>
      <c r="B7845" t="str">
        <f>"1551603881223599"</f>
        <v>1551603881223599</v>
      </c>
      <c r="C7845" t="s">
        <v>40</v>
      </c>
      <c r="D7845">
        <v>4.4575469999999999</v>
      </c>
      <c r="E7845">
        <v>0.55559380000000003</v>
      </c>
      <c r="F7845" t="s">
        <v>90</v>
      </c>
      <c r="G7845">
        <v>-177.77520000000001</v>
      </c>
      <c r="H7845" s="1">
        <v>-7.2819669999999996E-6</v>
      </c>
      <c r="I7845">
        <v>138.79239999999999</v>
      </c>
      <c r="J7845">
        <v>-187.17429999999999</v>
      </c>
      <c r="K7845">
        <v>1.1191690000000001</v>
      </c>
      <c r="L7845">
        <v>110.78449999999999</v>
      </c>
      <c r="M7845">
        <v>5.2958949999999998E-2</v>
      </c>
      <c r="N7845">
        <v>-1.39037999999999E-2</v>
      </c>
      <c r="O7845">
        <v>0.9984999</v>
      </c>
      <c r="P7845">
        <v>0.19029869999999999</v>
      </c>
      <c r="Q7845">
        <v>0.1818372</v>
      </c>
      <c r="R7845">
        <v>0.96473909999999996</v>
      </c>
      <c r="S7845">
        <v>0.98065190000000002</v>
      </c>
      <c r="T7845">
        <v>-0.1166295</v>
      </c>
      <c r="U7845">
        <v>2.9398960000000001</v>
      </c>
      <c r="V7845">
        <v>0.140099799999999</v>
      </c>
      <c r="W7845">
        <v>0.1945211</v>
      </c>
      <c r="X7845">
        <v>0.97084170000000003</v>
      </c>
      <c r="Y7845">
        <v>0.26555669999999998</v>
      </c>
      <c r="Z7845">
        <v>-2.4044610000000001E-2</v>
      </c>
      <c r="AA7845">
        <v>0.96379539999999997</v>
      </c>
      <c r="AB7845">
        <v>34</v>
      </c>
      <c r="AC7845">
        <v>9.3990999999999705</v>
      </c>
      <c r="AD7845">
        <v>-1.1191762819669999</v>
      </c>
      <c r="AE7845">
        <v>28.0078999999999</v>
      </c>
      <c r="AF7845">
        <v>7.8911704360406603</v>
      </c>
      <c r="AG7845">
        <v>-1.1191762819669999</v>
      </c>
      <c r="AH7845">
        <v>28.425608941349601</v>
      </c>
      <c r="AI7845">
        <v>92.172610907237299</v>
      </c>
      <c r="AJ7845">
        <v>74.484931381775198</v>
      </c>
      <c r="AK7845">
        <v>29.521828704998899</v>
      </c>
      <c r="AL7845">
        <v>78.783251154808596</v>
      </c>
      <c r="AM7845">
        <v>81.788473328555796</v>
      </c>
      <c r="AN7845">
        <v>1.00000000938207</v>
      </c>
    </row>
    <row r="7846" spans="1:40" x14ac:dyDescent="0.25">
      <c r="A7846" t="str">
        <f>"20190303170441247"</f>
        <v>20190303170441247</v>
      </c>
      <c r="B7846" t="str">
        <f>"1551603881233358"</f>
        <v>1551603881233358</v>
      </c>
      <c r="C7846" t="s">
        <v>40</v>
      </c>
      <c r="D7846">
        <v>4.4268029999999996</v>
      </c>
      <c r="E7846">
        <v>0.55563030000000002</v>
      </c>
      <c r="F7846" t="s">
        <v>90</v>
      </c>
      <c r="G7846">
        <v>-177.84110000000001</v>
      </c>
      <c r="H7846" s="1">
        <v>-7.2007280000000003E-6</v>
      </c>
      <c r="I7846">
        <v>138.4427</v>
      </c>
      <c r="J7846">
        <v>-187.16239999999999</v>
      </c>
      <c r="K7846">
        <v>1.119078</v>
      </c>
      <c r="L7846">
        <v>110.9782</v>
      </c>
      <c r="M7846">
        <v>5.4685440000000002E-2</v>
      </c>
      <c r="N7846">
        <v>-1.390635E-2</v>
      </c>
      <c r="O7846">
        <v>0.99840680000000004</v>
      </c>
      <c r="P7846">
        <v>0.19352829999999999</v>
      </c>
      <c r="Q7846">
        <v>0.1818255</v>
      </c>
      <c r="R7846">
        <v>0.96409869999999998</v>
      </c>
      <c r="S7846">
        <v>0.99093629999999999</v>
      </c>
      <c r="T7846">
        <v>-0.11882760000000001</v>
      </c>
      <c r="U7846">
        <v>2.9365839999999999</v>
      </c>
      <c r="V7846">
        <v>0.14171719999999999</v>
      </c>
      <c r="W7846">
        <v>0.19446910000000001</v>
      </c>
      <c r="X7846">
        <v>0.97061739999999996</v>
      </c>
      <c r="Y7846">
        <v>0.26724140000000002</v>
      </c>
      <c r="Z7846">
        <v>-2.4765039999999999E-2</v>
      </c>
      <c r="AA7846">
        <v>0.96331129999999998</v>
      </c>
      <c r="AB7846">
        <v>34</v>
      </c>
      <c r="AC7846">
        <v>9.3212999999999795</v>
      </c>
      <c r="AD7846">
        <v>-1.1190852007279899</v>
      </c>
      <c r="AE7846">
        <v>27.464500000000001</v>
      </c>
      <c r="AF7846">
        <v>7.7936925055796999</v>
      </c>
      <c r="AG7846">
        <v>-1.1190852007279899</v>
      </c>
      <c r="AH7846">
        <v>27.891658790638498</v>
      </c>
      <c r="AI7846">
        <v>92.212941788746406</v>
      </c>
      <c r="AJ7846">
        <v>74.388182778580003</v>
      </c>
      <c r="AK7846">
        <v>28.9816946476809</v>
      </c>
      <c r="AL7846">
        <v>78.786289186497896</v>
      </c>
      <c r="AM7846">
        <v>81.693096783467496</v>
      </c>
      <c r="AN7846">
        <v>1.0000000664066999</v>
      </c>
    </row>
    <row r="7847" spans="1:40" x14ac:dyDescent="0.25">
      <c r="A7847" t="str">
        <f>"20190303170441260"</f>
        <v>20190303170441260</v>
      </c>
      <c r="B7847" t="str">
        <f>"1551603881253385"</f>
        <v>1551603881253385</v>
      </c>
      <c r="C7847" t="s">
        <v>40</v>
      </c>
      <c r="D7847">
        <v>4.4054060000000002</v>
      </c>
      <c r="E7847">
        <v>0.55552409999999997</v>
      </c>
      <c r="F7847" t="s">
        <v>90</v>
      </c>
      <c r="G7847">
        <v>-177.80500000000001</v>
      </c>
      <c r="H7847" s="1">
        <v>-7.1643259999999996E-6</v>
      </c>
      <c r="I7847">
        <v>138.40299999999999</v>
      </c>
      <c r="J7847">
        <v>-187.14879999999999</v>
      </c>
      <c r="K7847">
        <v>1.118984</v>
      </c>
      <c r="L7847">
        <v>111.1944</v>
      </c>
      <c r="M7847">
        <v>5.6657119999999998E-2</v>
      </c>
      <c r="N7847">
        <v>-1.3909019999999999E-2</v>
      </c>
      <c r="O7847">
        <v>0.99829679999999998</v>
      </c>
      <c r="P7847">
        <v>0.19714019999999999</v>
      </c>
      <c r="Q7847">
        <v>0.1817452</v>
      </c>
      <c r="R7847">
        <v>0.96338179999999995</v>
      </c>
      <c r="S7847">
        <v>1.0008699999999999</v>
      </c>
      <c r="T7847">
        <v>-0.1196976</v>
      </c>
      <c r="U7847">
        <v>2.9333650000000002</v>
      </c>
      <c r="V7847">
        <v>0.1434858</v>
      </c>
      <c r="W7847">
        <v>0.19434419999999999</v>
      </c>
      <c r="X7847">
        <v>0.97038250000000004</v>
      </c>
      <c r="Y7847">
        <v>0.26857999999999999</v>
      </c>
      <c r="Z7847">
        <v>-2.505597E-2</v>
      </c>
      <c r="AA7847">
        <v>0.96293150000000005</v>
      </c>
      <c r="AB7847">
        <v>34</v>
      </c>
      <c r="AC7847">
        <v>9.3437999999999803</v>
      </c>
      <c r="AD7847">
        <v>-1.118991164326</v>
      </c>
      <c r="AE7847">
        <v>27.208599999999901</v>
      </c>
      <c r="AF7847">
        <v>7.7753143642658999</v>
      </c>
      <c r="AG7847">
        <v>-1.118991164326</v>
      </c>
      <c r="AH7847">
        <v>27.652493347466301</v>
      </c>
      <c r="AI7847">
        <v>92.230859761181605</v>
      </c>
      <c r="AJ7847">
        <v>74.295105281609295</v>
      </c>
      <c r="AK7847">
        <v>28.746617940562501</v>
      </c>
      <c r="AL7847">
        <v>78.793584086808195</v>
      </c>
      <c r="AM7847">
        <v>81.588895332986596</v>
      </c>
      <c r="AN7847">
        <v>1.0000000195907599</v>
      </c>
    </row>
    <row r="7848" spans="1:40" x14ac:dyDescent="0.25">
      <c r="A7848" t="str">
        <f>"20190303170441273"</f>
        <v>20190303170441273</v>
      </c>
      <c r="B7848" t="str">
        <f>"1551603881263146"</f>
        <v>1551603881263146</v>
      </c>
      <c r="C7848" t="s">
        <v>40</v>
      </c>
      <c r="D7848">
        <v>4.444083</v>
      </c>
      <c r="E7848">
        <v>0.555421099999999</v>
      </c>
      <c r="F7848" t="s">
        <v>90</v>
      </c>
      <c r="G7848">
        <v>-177.7466</v>
      </c>
      <c r="H7848" s="1">
        <v>-7.1421949999999996E-6</v>
      </c>
      <c r="I7848">
        <v>138.44370000000001</v>
      </c>
      <c r="J7848">
        <v>-187.1344</v>
      </c>
      <c r="K7848">
        <v>1.1188940000000001</v>
      </c>
      <c r="L7848">
        <v>111.4147</v>
      </c>
      <c r="M7848">
        <v>5.8725109999999997E-2</v>
      </c>
      <c r="N7848">
        <v>-1.391156E-2</v>
      </c>
      <c r="O7848">
        <v>0.99817719999999999</v>
      </c>
      <c r="P7848">
        <v>0.20213239999999999</v>
      </c>
      <c r="Q7848">
        <v>0.1813438</v>
      </c>
      <c r="R7848">
        <v>0.96242240000000001</v>
      </c>
      <c r="S7848">
        <v>1.0109250000000001</v>
      </c>
      <c r="T7848">
        <v>-0.1203138</v>
      </c>
      <c r="U7848">
        <v>2.92984</v>
      </c>
      <c r="V7848">
        <v>0.14655109999999999</v>
      </c>
      <c r="W7848">
        <v>0.1938877</v>
      </c>
      <c r="X7848">
        <v>0.97001559999999998</v>
      </c>
      <c r="Y7848">
        <v>0.26989220000000003</v>
      </c>
      <c r="Z7848">
        <v>-2.5268100000000002E-2</v>
      </c>
      <c r="AA7848">
        <v>0.9625589</v>
      </c>
      <c r="AB7848">
        <v>34</v>
      </c>
      <c r="AC7848">
        <v>9.3878000000000004</v>
      </c>
      <c r="AD7848">
        <v>-1.1189011421949999</v>
      </c>
      <c r="AE7848">
        <v>27.029</v>
      </c>
      <c r="AF7848">
        <v>7.7722753710252999</v>
      </c>
      <c r="AG7848">
        <v>-1.1189011421949999</v>
      </c>
      <c r="AH7848">
        <v>27.4916572348404</v>
      </c>
      <c r="AI7848">
        <v>92.242819327402501</v>
      </c>
      <c r="AJ7848">
        <v>74.213661544668796</v>
      </c>
      <c r="AK7848">
        <v>28.591107388959301</v>
      </c>
      <c r="AL7848">
        <v>78.820246149927797</v>
      </c>
      <c r="AM7848">
        <v>81.408660192036905</v>
      </c>
      <c r="AN7848">
        <v>0.99999996468292895</v>
      </c>
    </row>
    <row r="7849" spans="1:40" x14ac:dyDescent="0.25">
      <c r="A7849" t="str">
        <f>"20190303170441288"</f>
        <v>20190303170441288</v>
      </c>
      <c r="B7849" t="str">
        <f>"1551603881273882"</f>
        <v>1551603881273882</v>
      </c>
      <c r="C7849" t="s">
        <v>40</v>
      </c>
      <c r="D7849">
        <v>4.4515000000000002</v>
      </c>
      <c r="E7849">
        <v>0.55534269999999997</v>
      </c>
      <c r="F7849" t="s">
        <v>90</v>
      </c>
      <c r="G7849">
        <v>-177.77520000000001</v>
      </c>
      <c r="H7849" s="1">
        <v>-7.0505389999999997E-6</v>
      </c>
      <c r="I7849">
        <v>138.13059999999999</v>
      </c>
      <c r="J7849">
        <v>-187.12</v>
      </c>
      <c r="K7849">
        <v>1.1188089999999999</v>
      </c>
      <c r="L7849">
        <v>111.6263</v>
      </c>
      <c r="M7849">
        <v>6.0786760000000002E-2</v>
      </c>
      <c r="N7849">
        <v>-1.391418E-2</v>
      </c>
      <c r="O7849">
        <v>0.99805379999999999</v>
      </c>
      <c r="P7849">
        <v>0.2056191</v>
      </c>
      <c r="Q7849">
        <v>0.18157909999999999</v>
      </c>
      <c r="R7849">
        <v>0.96163920000000003</v>
      </c>
      <c r="S7849">
        <v>1.0247040000000001</v>
      </c>
      <c r="T7849">
        <v>-0.1225039</v>
      </c>
      <c r="U7849">
        <v>2.9250180000000001</v>
      </c>
      <c r="V7849">
        <v>0.14811050000000001</v>
      </c>
      <c r="W7849">
        <v>0.19408139999999999</v>
      </c>
      <c r="X7849">
        <v>0.96974000000000005</v>
      </c>
      <c r="Y7849">
        <v>0.2724278</v>
      </c>
      <c r="Z7849">
        <v>-2.5992060000000001E-2</v>
      </c>
      <c r="AA7849">
        <v>0.96182509999999999</v>
      </c>
      <c r="AB7849">
        <v>34</v>
      </c>
      <c r="AC7849">
        <v>9.3447999999999904</v>
      </c>
      <c r="AD7849">
        <v>-1.1188160505389999</v>
      </c>
      <c r="AE7849">
        <v>26.504299999999901</v>
      </c>
      <c r="AF7849">
        <v>7.7040394901425699</v>
      </c>
      <c r="AG7849">
        <v>-1.1188160505389999</v>
      </c>
      <c r="AH7849">
        <v>26.980611954674099</v>
      </c>
      <c r="AI7849">
        <v>92.283387568096202</v>
      </c>
      <c r="AJ7849">
        <v>74.063845444377506</v>
      </c>
      <c r="AK7849">
        <v>28.0812641323236</v>
      </c>
      <c r="AL7849">
        <v>78.808933333751895</v>
      </c>
      <c r="AM7849">
        <v>81.316198651747499</v>
      </c>
      <c r="AN7849">
        <v>0.99999998881810404</v>
      </c>
    </row>
    <row r="7850" spans="1:40" x14ac:dyDescent="0.25">
      <c r="A7850" t="str">
        <f>"20190303170441301"</f>
        <v>20190303170441301</v>
      </c>
      <c r="B7850" t="str">
        <f>"1551603881293402"</f>
        <v>1551603881293402</v>
      </c>
      <c r="C7850" t="s">
        <v>40</v>
      </c>
      <c r="D7850">
        <v>4.4613620000000003</v>
      </c>
      <c r="E7850">
        <v>0.55526609999999998</v>
      </c>
      <c r="F7850" t="s">
        <v>90</v>
      </c>
      <c r="G7850">
        <v>-177.65190000000001</v>
      </c>
      <c r="H7850" s="1">
        <v>-7.0555380000000002E-6</v>
      </c>
      <c r="I7850">
        <v>138.36429999999999</v>
      </c>
      <c r="J7850">
        <v>-187.10570000000001</v>
      </c>
      <c r="K7850">
        <v>1.118727</v>
      </c>
      <c r="L7850">
        <v>111.83110000000001</v>
      </c>
      <c r="M7850">
        <v>6.2823850000000001E-2</v>
      </c>
      <c r="N7850">
        <v>-1.3916629999999999E-2</v>
      </c>
      <c r="O7850">
        <v>0.99792760000000003</v>
      </c>
      <c r="P7850">
        <v>0.20972450000000001</v>
      </c>
      <c r="Q7850">
        <v>0.18148690000000001</v>
      </c>
      <c r="R7850">
        <v>0.96076950000000005</v>
      </c>
      <c r="S7850">
        <v>1.0345310000000001</v>
      </c>
      <c r="T7850">
        <v>-0.1222478</v>
      </c>
      <c r="U7850">
        <v>2.9215390000000001</v>
      </c>
      <c r="V7850">
        <v>0.15031410000000001</v>
      </c>
      <c r="W7850">
        <v>0.19394339999999999</v>
      </c>
      <c r="X7850">
        <v>0.96942850000000003</v>
      </c>
      <c r="Y7850">
        <v>0.27369900000000003</v>
      </c>
      <c r="Z7850">
        <v>-2.592098E-2</v>
      </c>
      <c r="AA7850">
        <v>0.96146609999999999</v>
      </c>
      <c r="AB7850">
        <v>34</v>
      </c>
      <c r="AC7850">
        <v>9.4537999999999993</v>
      </c>
      <c r="AD7850">
        <v>-1.1187340555380001</v>
      </c>
      <c r="AE7850">
        <v>26.533199999999901</v>
      </c>
      <c r="AF7850">
        <v>7.7558076228824397</v>
      </c>
      <c r="AG7850">
        <v>-1.1187340555380001</v>
      </c>
      <c r="AH7850">
        <v>27.0321154116623</v>
      </c>
      <c r="AI7850">
        <v>92.2780492964975</v>
      </c>
      <c r="AJ7850">
        <v>73.991239455594695</v>
      </c>
      <c r="AK7850">
        <v>28.144970801185998</v>
      </c>
      <c r="AL7850">
        <v>78.816993355042896</v>
      </c>
      <c r="AM7850">
        <v>81.186226415403993</v>
      </c>
      <c r="AN7850">
        <v>0.99999999383730998</v>
      </c>
    </row>
    <row r="7851" spans="1:40" x14ac:dyDescent="0.25">
      <c r="A7851" t="str">
        <f>"20190303170441312"</f>
        <v>20190303170441312</v>
      </c>
      <c r="B7851" t="str">
        <f>"1551603881303162"</f>
        <v>1551603881303162</v>
      </c>
      <c r="C7851" t="s">
        <v>40</v>
      </c>
      <c r="D7851">
        <v>4.4605069999999998</v>
      </c>
      <c r="E7851">
        <v>0.55517969999999905</v>
      </c>
      <c r="F7851" t="s">
        <v>90</v>
      </c>
      <c r="G7851">
        <v>-177.55629999999999</v>
      </c>
      <c r="H7851" s="1">
        <v>-7.026647E-6</v>
      </c>
      <c r="I7851">
        <v>138.452</v>
      </c>
      <c r="J7851">
        <v>-187.0925</v>
      </c>
      <c r="K7851">
        <v>1.1186529999999999</v>
      </c>
      <c r="L7851">
        <v>112.01479999999999</v>
      </c>
      <c r="M7851">
        <v>6.4687729999999999E-2</v>
      </c>
      <c r="N7851">
        <v>-1.3918760000000001E-2</v>
      </c>
      <c r="O7851">
        <v>0.99780849999999999</v>
      </c>
      <c r="P7851">
        <v>0.21371409999999999</v>
      </c>
      <c r="Q7851">
        <v>0.18166479999999999</v>
      </c>
      <c r="R7851">
        <v>0.9598563</v>
      </c>
      <c r="S7851">
        <v>1.0464629999999999</v>
      </c>
      <c r="T7851">
        <v>-0.1225955</v>
      </c>
      <c r="U7851">
        <v>2.9172359999999999</v>
      </c>
      <c r="V7851">
        <v>0.15257299999999999</v>
      </c>
      <c r="W7851">
        <v>0.1940762</v>
      </c>
      <c r="X7851">
        <v>0.96904900000000005</v>
      </c>
      <c r="Y7851">
        <v>0.27583479999999999</v>
      </c>
      <c r="Z7851">
        <v>-2.6047000000000001E-2</v>
      </c>
      <c r="AA7851">
        <v>0.96085209999999999</v>
      </c>
      <c r="AB7851">
        <v>34</v>
      </c>
      <c r="AC7851">
        <v>9.5361999999999991</v>
      </c>
      <c r="AD7851">
        <v>-1.1186600266469999</v>
      </c>
      <c r="AE7851">
        <v>26.437200000000001</v>
      </c>
      <c r="AF7851">
        <v>7.7935474880712299</v>
      </c>
      <c r="AG7851">
        <v>-1.1186600266469999</v>
      </c>
      <c r="AH7851">
        <v>26.956045827336201</v>
      </c>
      <c r="AI7851">
        <v>92.282979474160697</v>
      </c>
      <c r="AJ7851">
        <v>73.874330372952102</v>
      </c>
      <c r="AK7851">
        <v>28.082364383176301</v>
      </c>
      <c r="AL7851">
        <v>78.809237491533494</v>
      </c>
      <c r="AM7851">
        <v>81.052454036231197</v>
      </c>
      <c r="AN7851">
        <v>1.00000002806821</v>
      </c>
    </row>
    <row r="7852" spans="1:40" x14ac:dyDescent="0.25">
      <c r="A7852" t="str">
        <f>"20190303170441331"</f>
        <v>20190303170441331</v>
      </c>
      <c r="B7852" t="str">
        <f>"1551603881323658"</f>
        <v>1551603881323658</v>
      </c>
      <c r="C7852" t="s">
        <v>40</v>
      </c>
      <c r="D7852">
        <v>4.4913049999999997</v>
      </c>
      <c r="E7852">
        <v>0.5550406</v>
      </c>
      <c r="F7852" t="s">
        <v>90</v>
      </c>
      <c r="G7852">
        <v>-177.4597</v>
      </c>
      <c r="H7852" s="1">
        <v>-7.0019020000000003E-6</v>
      </c>
      <c r="I7852">
        <v>138.5531</v>
      </c>
      <c r="J7852">
        <v>-187.07230000000001</v>
      </c>
      <c r="K7852">
        <v>1.1185480000000001</v>
      </c>
      <c r="L7852">
        <v>112.28440000000001</v>
      </c>
      <c r="M7852">
        <v>6.751074E-2</v>
      </c>
      <c r="N7852">
        <v>-1.392232E-2</v>
      </c>
      <c r="O7852">
        <v>0.99762139999999999</v>
      </c>
      <c r="P7852">
        <v>0.2219865</v>
      </c>
      <c r="Q7852">
        <v>0.18146509999999999</v>
      </c>
      <c r="R7852">
        <v>0.95801480000000006</v>
      </c>
      <c r="S7852">
        <v>1.0574490000000001</v>
      </c>
      <c r="T7852">
        <v>-0.12280199999999999</v>
      </c>
      <c r="U7852">
        <v>2.9132690000000001</v>
      </c>
      <c r="V7852">
        <v>0.1582471</v>
      </c>
      <c r="W7852">
        <v>0.19378899999999999</v>
      </c>
      <c r="X7852">
        <v>0.9681961</v>
      </c>
      <c r="Y7852">
        <v>0.27673520000000001</v>
      </c>
      <c r="Z7852">
        <v>-2.6128660000000001E-2</v>
      </c>
      <c r="AA7852">
        <v>0.96059099999999997</v>
      </c>
      <c r="AB7852">
        <v>34</v>
      </c>
      <c r="AC7852">
        <v>9.6126000000000094</v>
      </c>
      <c r="AD7852">
        <v>-1.1185550019020001</v>
      </c>
      <c r="AE7852">
        <v>26.2686999999999</v>
      </c>
      <c r="AF7852">
        <v>7.80459389475969</v>
      </c>
      <c r="AG7852">
        <v>-1.1185550019020001</v>
      </c>
      <c r="AH7852">
        <v>26.8148960697355</v>
      </c>
      <c r="AI7852">
        <v>92.293582872677902</v>
      </c>
      <c r="AJ7852">
        <v>73.772129806715995</v>
      </c>
      <c r="AK7852">
        <v>27.949982153574201</v>
      </c>
      <c r="AL7852">
        <v>78.826011026608199</v>
      </c>
      <c r="AM7852">
        <v>80.717353496114995</v>
      </c>
      <c r="AN7852">
        <v>1.0000000046173001</v>
      </c>
    </row>
    <row r="7853" spans="1:40" x14ac:dyDescent="0.25">
      <c r="A7853" t="str">
        <f>"20190303170441344"</f>
        <v>20190303170441344</v>
      </c>
      <c r="B7853" t="str">
        <f>"1551603881333417"</f>
        <v>1551603881333417</v>
      </c>
      <c r="C7853" t="s">
        <v>40</v>
      </c>
      <c r="D7853">
        <v>4.4639509999999998</v>
      </c>
      <c r="E7853">
        <v>0.55499980000000004</v>
      </c>
      <c r="F7853" t="s">
        <v>90</v>
      </c>
      <c r="G7853">
        <v>-177.41149999999999</v>
      </c>
      <c r="H7853" s="1">
        <v>-6.8723829999999998E-6</v>
      </c>
      <c r="I7853">
        <v>138.26849999999999</v>
      </c>
      <c r="J7853">
        <v>-187.05719999999999</v>
      </c>
      <c r="K7853">
        <v>1.1184700000000001</v>
      </c>
      <c r="L7853">
        <v>112.4794</v>
      </c>
      <c r="M7853">
        <v>6.9611590000000001E-2</v>
      </c>
      <c r="N7853">
        <v>-1.3925119999999999E-2</v>
      </c>
      <c r="O7853">
        <v>0.99747699999999995</v>
      </c>
      <c r="P7853">
        <v>0.2264361</v>
      </c>
      <c r="Q7853">
        <v>0.18088190000000001</v>
      </c>
      <c r="R7853">
        <v>0.95708329999999997</v>
      </c>
      <c r="S7853">
        <v>1.0800320000000001</v>
      </c>
      <c r="T7853">
        <v>-0.1250492</v>
      </c>
      <c r="U7853">
        <v>2.9049070000000001</v>
      </c>
      <c r="V7853">
        <v>0.1607364</v>
      </c>
      <c r="W7853">
        <v>0.193157</v>
      </c>
      <c r="X7853">
        <v>0.96791229999999995</v>
      </c>
      <c r="Y7853">
        <v>0.28216069999999999</v>
      </c>
      <c r="Z7853">
        <v>-2.6878820000000001E-2</v>
      </c>
      <c r="AA7853">
        <v>0.95899060000000003</v>
      </c>
      <c r="AB7853">
        <v>34</v>
      </c>
      <c r="AC7853">
        <v>9.6456999999999997</v>
      </c>
      <c r="AD7853">
        <v>-1.1184768723829901</v>
      </c>
      <c r="AE7853">
        <v>25.789099999999902</v>
      </c>
      <c r="AF7853">
        <v>7.8140082309655101</v>
      </c>
      <c r="AG7853">
        <v>-1.1184768723829901</v>
      </c>
      <c r="AH7853">
        <v>26.354557118736999</v>
      </c>
      <c r="AI7853">
        <v>92.330011243799007</v>
      </c>
      <c r="AJ7853">
        <v>73.485145518191999</v>
      </c>
      <c r="AK7853">
        <v>27.511313964847702</v>
      </c>
      <c r="AL7853">
        <v>78.862919478831202</v>
      </c>
      <c r="AM7853">
        <v>80.5712197910768</v>
      </c>
      <c r="AN7853">
        <v>1.0000000187126199</v>
      </c>
    </row>
    <row r="7854" spans="1:40" x14ac:dyDescent="0.25">
      <c r="A7854" t="str">
        <f>"20190303170441364"</f>
        <v>20190303170441364</v>
      </c>
      <c r="B7854" t="str">
        <f>"1551603881353913"</f>
        <v>1551603881353913</v>
      </c>
      <c r="C7854" t="s">
        <v>40</v>
      </c>
      <c r="D7854">
        <v>4.5319690000000001</v>
      </c>
      <c r="E7854">
        <v>0.57068629999999998</v>
      </c>
      <c r="F7854" t="s">
        <v>90</v>
      </c>
      <c r="G7854">
        <v>-177.47059999999999</v>
      </c>
      <c r="H7854" s="1">
        <v>-6.78789E-6</v>
      </c>
      <c r="I7854">
        <v>137.92169999999999</v>
      </c>
      <c r="J7854">
        <v>-187.03299999999999</v>
      </c>
      <c r="K7854">
        <v>1.118355</v>
      </c>
      <c r="L7854">
        <v>112.78060000000001</v>
      </c>
      <c r="M7854">
        <v>7.2940030000000003E-2</v>
      </c>
      <c r="N7854">
        <v>-1.392973E-2</v>
      </c>
      <c r="O7854">
        <v>0.99723910000000004</v>
      </c>
      <c r="P7854">
        <v>0.23370540000000001</v>
      </c>
      <c r="Q7854">
        <v>0.1805688</v>
      </c>
      <c r="R7854">
        <v>0.95539350000000001</v>
      </c>
      <c r="S7854">
        <v>1.092743</v>
      </c>
      <c r="T7854">
        <v>-0.12749160000000001</v>
      </c>
      <c r="U7854">
        <v>2.9000849999999998</v>
      </c>
      <c r="V7854">
        <v>0.16492229999999999</v>
      </c>
      <c r="W7854">
        <v>0.19276109999999999</v>
      </c>
      <c r="X7854">
        <v>0.9672868</v>
      </c>
      <c r="Y7854">
        <v>0.28315590000000002</v>
      </c>
      <c r="Z7854">
        <v>-2.7689579999999998E-2</v>
      </c>
      <c r="AA7854">
        <v>0.95867409999999997</v>
      </c>
      <c r="AB7854">
        <v>34</v>
      </c>
      <c r="AC7854">
        <v>9.5623999999999896</v>
      </c>
      <c r="AD7854">
        <v>-1.1183617878899901</v>
      </c>
      <c r="AE7854">
        <v>25.141099999999899</v>
      </c>
      <c r="AF7854">
        <v>7.6896604830655102</v>
      </c>
      <c r="AG7854">
        <v>-1.1183617878899901</v>
      </c>
      <c r="AH7854">
        <v>25.727194365572899</v>
      </c>
      <c r="AI7854">
        <v>92.384956946085495</v>
      </c>
      <c r="AJ7854">
        <v>73.358999300260393</v>
      </c>
      <c r="AK7854">
        <v>26.8750840251226</v>
      </c>
      <c r="AL7854">
        <v>78.886036901137899</v>
      </c>
      <c r="AM7854">
        <v>80.324119486906795</v>
      </c>
      <c r="AN7854">
        <v>0.99999998008236901</v>
      </c>
    </row>
    <row r="7855" spans="1:40" x14ac:dyDescent="0.25">
      <c r="A7855" t="str">
        <f>"20190303170441378"</f>
        <v>20190303170441378</v>
      </c>
      <c r="B7855" t="str">
        <f>"1551603881363674"</f>
        <v>1551603881363674</v>
      </c>
      <c r="C7855" t="s">
        <v>40</v>
      </c>
      <c r="D7855">
        <v>4.485703</v>
      </c>
      <c r="E7855">
        <v>0.57761470000000004</v>
      </c>
      <c r="F7855" t="s">
        <v>90</v>
      </c>
      <c r="G7855">
        <v>-177.36510000000001</v>
      </c>
      <c r="H7855" s="1">
        <v>-5.7631489999999998E-6</v>
      </c>
      <c r="I7855">
        <v>135.17910000000001</v>
      </c>
      <c r="J7855">
        <v>-187.01480000000001</v>
      </c>
      <c r="K7855">
        <v>1.1182780000000001</v>
      </c>
      <c r="L7855">
        <v>112.9983</v>
      </c>
      <c r="M7855">
        <v>7.5411300000000001E-2</v>
      </c>
      <c r="N7855">
        <v>-1.3933320000000001E-2</v>
      </c>
      <c r="O7855">
        <v>0.99705520000000003</v>
      </c>
      <c r="P7855">
        <v>0.23799300000000001</v>
      </c>
      <c r="Q7855">
        <v>0.18108949999999999</v>
      </c>
      <c r="R7855">
        <v>0.95423579999999997</v>
      </c>
      <c r="S7855">
        <v>1.2364649999999999</v>
      </c>
      <c r="T7855">
        <v>-0.14303179999999999</v>
      </c>
      <c r="U7855">
        <v>2.8646389999999999</v>
      </c>
      <c r="V7855">
        <v>0.1669254</v>
      </c>
      <c r="W7855">
        <v>0.19322810000000001</v>
      </c>
      <c r="X7855">
        <v>0.96684990000000004</v>
      </c>
      <c r="Y7855">
        <v>0.32557960000000002</v>
      </c>
      <c r="Z7855">
        <v>-3.2534830000000001E-2</v>
      </c>
      <c r="AA7855">
        <v>0.94495469999999904</v>
      </c>
      <c r="AB7855">
        <v>34</v>
      </c>
      <c r="AC7855">
        <v>9.6496999999999904</v>
      </c>
      <c r="AD7855">
        <v>-1.1182837631489999</v>
      </c>
      <c r="AE7855">
        <v>22.180800000000001</v>
      </c>
      <c r="AF7855">
        <v>7.9324178278082504</v>
      </c>
      <c r="AG7855">
        <v>-1.1182837631489999</v>
      </c>
      <c r="AH7855">
        <v>22.796671352298901</v>
      </c>
      <c r="AI7855">
        <v>92.652617856696395</v>
      </c>
      <c r="AJ7855">
        <v>70.813950253023293</v>
      </c>
      <c r="AK7855">
        <v>24.163237281345001</v>
      </c>
      <c r="AL7855">
        <v>78.858766849997096</v>
      </c>
      <c r="AM7855">
        <v>80.204521606026503</v>
      </c>
      <c r="AN7855">
        <v>0.99999995846238898</v>
      </c>
    </row>
    <row r="7856" spans="1:40" x14ac:dyDescent="0.25">
      <c r="A7856" t="str">
        <f>"20190303170441392"</f>
        <v>20190303170441392</v>
      </c>
      <c r="B7856" t="str">
        <f>"1551603881383194"</f>
        <v>1551603881383194</v>
      </c>
      <c r="C7856" t="s">
        <v>40</v>
      </c>
      <c r="D7856">
        <v>4.4903490000000001</v>
      </c>
      <c r="E7856">
        <v>0.58356770000000002</v>
      </c>
      <c r="F7856" t="s">
        <v>90</v>
      </c>
      <c r="G7856">
        <v>-176.4126</v>
      </c>
      <c r="H7856" s="1">
        <v>-5.4868560000000004E-6</v>
      </c>
      <c r="I7856">
        <v>136.1335</v>
      </c>
      <c r="J7856">
        <v>-186.9948</v>
      </c>
      <c r="K7856">
        <v>1.1181890000000001</v>
      </c>
      <c r="L7856">
        <v>113.23139999999999</v>
      </c>
      <c r="M7856">
        <v>7.8125219999999995E-2</v>
      </c>
      <c r="N7856">
        <v>-1.393751E-2</v>
      </c>
      <c r="O7856">
        <v>0.99684609999999996</v>
      </c>
      <c r="P7856">
        <v>0.24224999999999999</v>
      </c>
      <c r="Q7856">
        <v>0.1818545</v>
      </c>
      <c r="R7856">
        <v>0.95301829999999998</v>
      </c>
      <c r="S7856">
        <v>1.303696</v>
      </c>
      <c r="T7856">
        <v>-0.13750860000000001</v>
      </c>
      <c r="U7856">
        <v>2.8448030000000002</v>
      </c>
      <c r="V7856">
        <v>0.16867480000000001</v>
      </c>
      <c r="W7856">
        <v>0.19393959999999999</v>
      </c>
      <c r="X7856">
        <v>0.96640380000000004</v>
      </c>
      <c r="Y7856">
        <v>0.34397889999999998</v>
      </c>
      <c r="Z7856">
        <v>-3.0682569999999999E-2</v>
      </c>
      <c r="AA7856">
        <v>0.93847590000000003</v>
      </c>
      <c r="AB7856">
        <v>34</v>
      </c>
      <c r="AC7856">
        <v>10.5822</v>
      </c>
      <c r="AD7856">
        <v>-1.1181944868560001</v>
      </c>
      <c r="AE7856">
        <v>22.902100000000001</v>
      </c>
      <c r="AF7856">
        <v>8.7432685085379802</v>
      </c>
      <c r="AG7856">
        <v>-1.1181944868560001</v>
      </c>
      <c r="AH7856">
        <v>23.612518476682499</v>
      </c>
      <c r="AI7856">
        <v>92.542796108675304</v>
      </c>
      <c r="AJ7856">
        <v>69.681362851981902</v>
      </c>
      <c r="AK7856">
        <v>25.204089587495499</v>
      </c>
      <c r="AL7856">
        <v>78.817215709656296</v>
      </c>
      <c r="AM7856">
        <v>80.099405281108204</v>
      </c>
      <c r="AN7856">
        <v>1.0000000306288099</v>
      </c>
    </row>
    <row r="7857" spans="1:40" x14ac:dyDescent="0.25">
      <c r="A7857" t="str">
        <f>"20190303170441409"</f>
        <v>20190303170441409</v>
      </c>
      <c r="B7857" t="str">
        <f>"1551603881403690"</f>
        <v>1551603881403690</v>
      </c>
      <c r="C7857" t="s">
        <v>40</v>
      </c>
      <c r="D7857">
        <v>4.4826090000000001</v>
      </c>
      <c r="E7857">
        <v>0.58654329999999999</v>
      </c>
      <c r="F7857" t="s">
        <v>90</v>
      </c>
      <c r="G7857">
        <v>-175.2602</v>
      </c>
      <c r="H7857" s="1">
        <v>-5.242202E-6</v>
      </c>
      <c r="I7857">
        <v>137.56030000000001</v>
      </c>
      <c r="J7857">
        <v>-186.9727</v>
      </c>
      <c r="K7857">
        <v>1.118096</v>
      </c>
      <c r="L7857">
        <v>113.4766</v>
      </c>
      <c r="M7857">
        <v>8.1074259999999995E-2</v>
      </c>
      <c r="N7857">
        <v>-1.394224E-2</v>
      </c>
      <c r="O7857">
        <v>0.99661049999999995</v>
      </c>
      <c r="P7857">
        <v>0.2483341</v>
      </c>
      <c r="Q7857">
        <v>0.1833649</v>
      </c>
      <c r="R7857">
        <v>0.95116109999999998</v>
      </c>
      <c r="S7857">
        <v>1.3631439999999999</v>
      </c>
      <c r="T7857">
        <v>-0.12989519999999999</v>
      </c>
      <c r="U7857">
        <v>2.8261720000000001</v>
      </c>
      <c r="V7857">
        <v>0.17208180000000001</v>
      </c>
      <c r="W7857">
        <v>0.19537180000000001</v>
      </c>
      <c r="X7857">
        <v>0.96551419999999999</v>
      </c>
      <c r="Y7857">
        <v>0.35967070000000001</v>
      </c>
      <c r="Z7857">
        <v>-2.8172880000000001E-2</v>
      </c>
      <c r="AA7857">
        <v>0.93265390000000004</v>
      </c>
      <c r="AB7857">
        <v>34</v>
      </c>
      <c r="AC7857">
        <v>11.7125</v>
      </c>
      <c r="AD7857">
        <v>-1.118101242202</v>
      </c>
      <c r="AE7857">
        <v>24.0837</v>
      </c>
      <c r="AF7857">
        <v>9.7042623220795008</v>
      </c>
      <c r="AG7857">
        <v>-1.118101242202</v>
      </c>
      <c r="AH7857">
        <v>24.9106558751179</v>
      </c>
      <c r="AI7857">
        <v>92.394885470429003</v>
      </c>
      <c r="AJ7857">
        <v>68.715967309498296</v>
      </c>
      <c r="AK7857">
        <v>26.7574967762698</v>
      </c>
      <c r="AL7857">
        <v>78.733555825390795</v>
      </c>
      <c r="AM7857">
        <v>79.8943906453148</v>
      </c>
      <c r="AN7857">
        <v>0.99999997826405895</v>
      </c>
    </row>
    <row r="7858" spans="1:40" x14ac:dyDescent="0.25">
      <c r="A7858" t="str">
        <f>"20190303170441422"</f>
        <v>20190303170441422</v>
      </c>
      <c r="B7858" t="str">
        <f>"1551603881413449"</f>
        <v>1551603881413449</v>
      </c>
      <c r="C7858" t="s">
        <v>40</v>
      </c>
      <c r="D7858">
        <v>4.4993949999999998</v>
      </c>
      <c r="E7858">
        <v>0.58753480000000002</v>
      </c>
      <c r="F7858" t="s">
        <v>90</v>
      </c>
      <c r="G7858">
        <v>-173.64449999999999</v>
      </c>
      <c r="H7858" s="1">
        <v>-5.40166399999999E-6</v>
      </c>
      <c r="I7858">
        <v>140.1352</v>
      </c>
      <c r="J7858">
        <v>-186.95529999999999</v>
      </c>
      <c r="K7858">
        <v>1.118017</v>
      </c>
      <c r="L7858">
        <v>113.6641</v>
      </c>
      <c r="M7858">
        <v>8.3393579999999995E-2</v>
      </c>
      <c r="N7858">
        <v>-1.3946160000000001E-2</v>
      </c>
      <c r="O7858">
        <v>0.9964191</v>
      </c>
      <c r="P7858">
        <v>0.2524092</v>
      </c>
      <c r="Q7858">
        <v>0.18379090000000001</v>
      </c>
      <c r="R7858">
        <v>0.95000549999999995</v>
      </c>
      <c r="S7858">
        <v>1.4048609999999999</v>
      </c>
      <c r="T7858">
        <v>-0.117854</v>
      </c>
      <c r="U7858">
        <v>2.8099669999999999</v>
      </c>
      <c r="V7858">
        <v>0.17402799999999999</v>
      </c>
      <c r="W7858">
        <v>0.1957449</v>
      </c>
      <c r="X7858">
        <v>0.96508970000000005</v>
      </c>
      <c r="Y7858">
        <v>0.37076969999999998</v>
      </c>
      <c r="Z7858">
        <v>-2.429123E-2</v>
      </c>
      <c r="AA7858">
        <v>0.92840710000000004</v>
      </c>
      <c r="AB7858">
        <v>34</v>
      </c>
      <c r="AC7858">
        <v>13.3108</v>
      </c>
      <c r="AD7858">
        <v>-1.1180224016639999</v>
      </c>
      <c r="AE7858">
        <v>26.4711</v>
      </c>
      <c r="AF7858">
        <v>11.0409703615762</v>
      </c>
      <c r="AG7858">
        <v>-1.1180224016639999</v>
      </c>
      <c r="AH7858">
        <v>27.449934176086501</v>
      </c>
      <c r="AI7858">
        <v>92.164027684688406</v>
      </c>
      <c r="AJ7858">
        <v>68.088918344290093</v>
      </c>
      <c r="AK7858">
        <v>29.6083077342713</v>
      </c>
      <c r="AL7858">
        <v>78.711757800299296</v>
      </c>
      <c r="AM7858">
        <v>79.778094069195504</v>
      </c>
      <c r="AN7858">
        <v>0.99999996985304895</v>
      </c>
    </row>
    <row r="7859" spans="1:40" x14ac:dyDescent="0.25">
      <c r="A7859" t="str">
        <f>"20190303170441434"</f>
        <v>20190303170441434</v>
      </c>
      <c r="B7859" t="str">
        <f>"1551603881423210"</f>
        <v>1551603881423210</v>
      </c>
      <c r="C7859" t="s">
        <v>40</v>
      </c>
      <c r="D7859">
        <v>4.4942209999999996</v>
      </c>
      <c r="E7859">
        <v>0.58830000000000005</v>
      </c>
      <c r="F7859" t="s">
        <v>90</v>
      </c>
      <c r="G7859">
        <v>-173.39060000000001</v>
      </c>
      <c r="H7859" s="1">
        <v>-5.3573240000000002E-6</v>
      </c>
      <c r="I7859">
        <v>140.34620000000001</v>
      </c>
      <c r="J7859">
        <v>-186.9367</v>
      </c>
      <c r="K7859">
        <v>1.1179319999999999</v>
      </c>
      <c r="L7859">
        <v>113.8612</v>
      </c>
      <c r="M7859">
        <v>8.5877060000000005E-2</v>
      </c>
      <c r="N7859">
        <v>-1.395032E-2</v>
      </c>
      <c r="O7859">
        <v>0.99620810000000004</v>
      </c>
      <c r="P7859">
        <v>0.25639580000000001</v>
      </c>
      <c r="Q7859">
        <v>0.1842124</v>
      </c>
      <c r="R7859">
        <v>0.94885560000000002</v>
      </c>
      <c r="S7859">
        <v>1.424545</v>
      </c>
      <c r="T7859">
        <v>-0.1174128</v>
      </c>
      <c r="U7859">
        <v>2.8021090000000002</v>
      </c>
      <c r="V7859">
        <v>0.1757331</v>
      </c>
      <c r="W7859">
        <v>0.19611149999999999</v>
      </c>
      <c r="X7859">
        <v>0.96470619999999996</v>
      </c>
      <c r="Y7859">
        <v>0.37469000000000002</v>
      </c>
      <c r="Z7859">
        <v>-2.415223E-2</v>
      </c>
      <c r="AA7859">
        <v>0.92683550000000003</v>
      </c>
      <c r="AB7859">
        <v>34</v>
      </c>
      <c r="AC7859">
        <v>13.5460999999999</v>
      </c>
      <c r="AD7859">
        <v>-1.1179373573239999</v>
      </c>
      <c r="AE7859">
        <v>26.484999999999999</v>
      </c>
      <c r="AF7859">
        <v>11.2055470673905</v>
      </c>
      <c r="AG7859">
        <v>-1.1179373573239999</v>
      </c>
      <c r="AH7859">
        <v>27.511697191807901</v>
      </c>
      <c r="AI7859">
        <v>92.155203274678797</v>
      </c>
      <c r="AJ7859">
        <v>67.8388737367559</v>
      </c>
      <c r="AK7859">
        <v>29.727219032195599</v>
      </c>
      <c r="AL7859">
        <v>78.690337758582402</v>
      </c>
      <c r="AM7859">
        <v>79.676069109367504</v>
      </c>
      <c r="AN7859">
        <v>0.99999994759314803</v>
      </c>
    </row>
    <row r="7860" spans="1:40" x14ac:dyDescent="0.25">
      <c r="A7860" t="str">
        <f>"20190303170441446"</f>
        <v>20190303170441446</v>
      </c>
      <c r="B7860" t="str">
        <f>"1551603881433945"</f>
        <v>1551603881433945</v>
      </c>
      <c r="C7860" t="s">
        <v>40</v>
      </c>
      <c r="D7860">
        <v>4.4708220000000001</v>
      </c>
      <c r="E7860">
        <v>0.58888819999999997</v>
      </c>
      <c r="F7860" t="s">
        <v>90</v>
      </c>
      <c r="G7860">
        <v>-173.095</v>
      </c>
      <c r="H7860" s="1">
        <v>-5.3339669999999998E-6</v>
      </c>
      <c r="I7860">
        <v>140.67910000000001</v>
      </c>
      <c r="J7860">
        <v>-186.91909999999999</v>
      </c>
      <c r="K7860">
        <v>1.117845</v>
      </c>
      <c r="L7860">
        <v>114.0403</v>
      </c>
      <c r="M7860">
        <v>8.823164E-2</v>
      </c>
      <c r="N7860">
        <v>-1.395563E-2</v>
      </c>
      <c r="O7860">
        <v>0.99600219999999995</v>
      </c>
      <c r="P7860">
        <v>0.25999410000000001</v>
      </c>
      <c r="Q7860">
        <v>0.18406249999999999</v>
      </c>
      <c r="R7860">
        <v>0.94790509999999994</v>
      </c>
      <c r="S7860">
        <v>1.442383</v>
      </c>
      <c r="T7860">
        <v>-0.1164951</v>
      </c>
      <c r="U7860">
        <v>2.7945709999999999</v>
      </c>
      <c r="V7860">
        <v>0.17715600000000001</v>
      </c>
      <c r="W7860">
        <v>0.1959119</v>
      </c>
      <c r="X7860">
        <v>0.96448650000000002</v>
      </c>
      <c r="Y7860">
        <v>0.37819150000000001</v>
      </c>
      <c r="Z7860">
        <v>-2.3862250000000002E-2</v>
      </c>
      <c r="AA7860">
        <v>0.92541969999999996</v>
      </c>
      <c r="AB7860">
        <v>34</v>
      </c>
      <c r="AC7860">
        <v>13.8240999999999</v>
      </c>
      <c r="AD7860">
        <v>-1.1178503339669901</v>
      </c>
      <c r="AE7860">
        <v>26.6388</v>
      </c>
      <c r="AF7860">
        <v>11.403740824966</v>
      </c>
      <c r="AG7860">
        <v>-1.1178503339669901</v>
      </c>
      <c r="AH7860">
        <v>27.716278859019798</v>
      </c>
      <c r="AI7860">
        <v>92.1360403513157</v>
      </c>
      <c r="AJ7860">
        <v>67.635499852218402</v>
      </c>
      <c r="AK7860">
        <v>29.9914489140338</v>
      </c>
      <c r="AL7860">
        <v>78.702000427465606</v>
      </c>
      <c r="AM7860">
        <v>79.591977311697207</v>
      </c>
      <c r="AN7860">
        <v>0.99999996478992903</v>
      </c>
    </row>
    <row r="7861" spans="1:40" x14ac:dyDescent="0.25">
      <c r="A7861" t="str">
        <f>"20190303170441464"</f>
        <v>20190303170441464</v>
      </c>
      <c r="B7861" t="str">
        <f>"1551603881453466"</f>
        <v>1551603881453466</v>
      </c>
      <c r="C7861" t="s">
        <v>40</v>
      </c>
      <c r="D7861">
        <v>4.4798400000000003</v>
      </c>
      <c r="E7861">
        <v>0.5892693</v>
      </c>
      <c r="F7861" t="s">
        <v>90</v>
      </c>
      <c r="G7861">
        <v>-173.0197</v>
      </c>
      <c r="H7861" s="1">
        <v>-5.2822099999999999E-6</v>
      </c>
      <c r="I7861">
        <v>140.6224</v>
      </c>
      <c r="J7861">
        <v>-186.89279999999999</v>
      </c>
      <c r="K7861">
        <v>1.117712</v>
      </c>
      <c r="L7861">
        <v>114.2998</v>
      </c>
      <c r="M7861">
        <v>9.1721860000000002E-2</v>
      </c>
      <c r="N7861">
        <v>-1.3963669999999999E-2</v>
      </c>
      <c r="O7861">
        <v>0.99568679999999998</v>
      </c>
      <c r="P7861">
        <v>0.26512380000000002</v>
      </c>
      <c r="Q7861">
        <v>0.18442919999999999</v>
      </c>
      <c r="R7861">
        <v>0.94641180000000003</v>
      </c>
      <c r="S7861">
        <v>1.457703</v>
      </c>
      <c r="T7861">
        <v>-0.117235199999999</v>
      </c>
      <c r="U7861">
        <v>2.787811</v>
      </c>
      <c r="V7861">
        <v>0.17907879999999901</v>
      </c>
      <c r="W7861">
        <v>0.19620409999999999</v>
      </c>
      <c r="X7861">
        <v>0.96407189999999998</v>
      </c>
      <c r="Y7861">
        <v>0.37985940000000001</v>
      </c>
      <c r="Z7861">
        <v>-2.4111899999999999E-2</v>
      </c>
      <c r="AA7861">
        <v>0.92472989999999999</v>
      </c>
      <c r="AB7861">
        <v>34</v>
      </c>
      <c r="AC7861">
        <v>13.8730999999999</v>
      </c>
      <c r="AD7861">
        <v>-1.1177172822100001</v>
      </c>
      <c r="AE7861">
        <v>26.322599999999898</v>
      </c>
      <c r="AF7861">
        <v>11.383951970698901</v>
      </c>
      <c r="AG7861">
        <v>-1.1177172822100001</v>
      </c>
      <c r="AH7861">
        <v>27.445482445873399</v>
      </c>
      <c r="AI7861">
        <v>92.154302518975001</v>
      </c>
      <c r="AJ7861">
        <v>67.472099501297606</v>
      </c>
      <c r="AK7861">
        <v>29.7337882060271</v>
      </c>
      <c r="AL7861">
        <v>78.684927044003999</v>
      </c>
      <c r="AM7861">
        <v>79.477097205699494</v>
      </c>
      <c r="AN7861">
        <v>0.99999994691792804</v>
      </c>
    </row>
    <row r="7862" spans="1:40" x14ac:dyDescent="0.25">
      <c r="A7862" t="str">
        <f>"20190303170441475"</f>
        <v>20190303170441475</v>
      </c>
      <c r="B7862" t="str">
        <f>"1551603881463227"</f>
        <v>1551603881463227</v>
      </c>
      <c r="C7862" t="s">
        <v>40</v>
      </c>
      <c r="D7862">
        <v>4.4943269999999904</v>
      </c>
      <c r="E7862">
        <v>0.58946149999999997</v>
      </c>
      <c r="F7862" t="s">
        <v>90</v>
      </c>
      <c r="G7862">
        <v>-172.57329999999999</v>
      </c>
      <c r="H7862" s="1">
        <v>-5.2792890000000003E-6</v>
      </c>
      <c r="I7862">
        <v>141.2251</v>
      </c>
      <c r="J7862">
        <v>-186.87389999999999</v>
      </c>
      <c r="K7862">
        <v>1.1176170000000001</v>
      </c>
      <c r="L7862">
        <v>114.4813</v>
      </c>
      <c r="M7862">
        <v>9.4221150000000004E-2</v>
      </c>
      <c r="N7862">
        <v>-1.3969509999999999E-2</v>
      </c>
      <c r="O7862">
        <v>0.99545329999999999</v>
      </c>
      <c r="P7862">
        <v>0.26816109999999999</v>
      </c>
      <c r="Q7862">
        <v>0.18482119999999999</v>
      </c>
      <c r="R7862">
        <v>0.94547910000000002</v>
      </c>
      <c r="S7862">
        <v>1.4776149999999999</v>
      </c>
      <c r="T7862">
        <v>-0.11533690000000001</v>
      </c>
      <c r="U7862">
        <v>2.7784119999999999</v>
      </c>
      <c r="V7862">
        <v>0.179814</v>
      </c>
      <c r="W7862">
        <v>0.19654869999999999</v>
      </c>
      <c r="X7862">
        <v>0.96386490000000002</v>
      </c>
      <c r="Y7862">
        <v>0.3840055</v>
      </c>
      <c r="Z7862">
        <v>-2.3514690000000001E-2</v>
      </c>
      <c r="AA7862">
        <v>0.9230313</v>
      </c>
      <c r="AB7862">
        <v>34</v>
      </c>
      <c r="AC7862">
        <v>14.300599999999999</v>
      </c>
      <c r="AD7862">
        <v>-1.117622279289</v>
      </c>
      <c r="AE7862">
        <v>26.7438</v>
      </c>
      <c r="AF7862">
        <v>11.7010000064991</v>
      </c>
      <c r="AG7862">
        <v>-1.117622279289</v>
      </c>
      <c r="AH7862">
        <v>27.934414588231501</v>
      </c>
      <c r="AI7862">
        <v>92.113382003927399</v>
      </c>
      <c r="AJ7862">
        <v>67.272457336288198</v>
      </c>
      <c r="AK7862">
        <v>30.306665918547601</v>
      </c>
      <c r="AL7862">
        <v>78.664791512594107</v>
      </c>
      <c r="AM7862">
        <v>79.432648759719498</v>
      </c>
      <c r="AN7862">
        <v>1.0000000057598499</v>
      </c>
    </row>
    <row r="7863" spans="1:40" x14ac:dyDescent="0.25">
      <c r="A7863" t="str">
        <f>"20190303170441486"</f>
        <v>20190303170441486</v>
      </c>
      <c r="B7863" t="str">
        <f>"1551603881473961"</f>
        <v>1551603881473961</v>
      </c>
      <c r="C7863" t="s">
        <v>40</v>
      </c>
      <c r="D7863">
        <v>4.5047249999999996</v>
      </c>
      <c r="E7863">
        <v>0.58960449999999998</v>
      </c>
      <c r="F7863" t="s">
        <v>90</v>
      </c>
      <c r="G7863">
        <v>-172.33170000000001</v>
      </c>
      <c r="H7863" s="1">
        <v>-5.2811750000000003E-6</v>
      </c>
      <c r="I7863">
        <v>141.56200000000001</v>
      </c>
      <c r="J7863">
        <v>-186.85550000000001</v>
      </c>
      <c r="K7863">
        <v>1.117526</v>
      </c>
      <c r="L7863">
        <v>114.65179999999999</v>
      </c>
      <c r="M7863">
        <v>9.6654470000000006E-2</v>
      </c>
      <c r="N7863">
        <v>-1.3975639999999999E-2</v>
      </c>
      <c r="O7863">
        <v>0.99521990000000005</v>
      </c>
      <c r="P7863">
        <v>0.27152769999999998</v>
      </c>
      <c r="Q7863">
        <v>0.18527260000000001</v>
      </c>
      <c r="R7863">
        <v>0.94442930000000003</v>
      </c>
      <c r="S7863">
        <v>1.48909</v>
      </c>
      <c r="T7863">
        <v>-0.1144421</v>
      </c>
      <c r="U7863">
        <v>2.7730100000000002</v>
      </c>
      <c r="V7863">
        <v>0.18095140000000001</v>
      </c>
      <c r="W7863">
        <v>0.19695070000000001</v>
      </c>
      <c r="X7863">
        <v>0.96356989999999998</v>
      </c>
      <c r="Y7863">
        <v>0.38546589999999997</v>
      </c>
      <c r="Z7863">
        <v>-2.3236420000000001E-2</v>
      </c>
      <c r="AA7863">
        <v>0.92242939999999995</v>
      </c>
      <c r="AB7863">
        <v>34</v>
      </c>
      <c r="AC7863">
        <v>14.5237999999999</v>
      </c>
      <c r="AD7863">
        <v>-1.117531281175</v>
      </c>
      <c r="AE7863">
        <v>26.9102</v>
      </c>
      <c r="AF7863">
        <v>11.8387298401028</v>
      </c>
      <c r="AG7863">
        <v>-1.117531281175</v>
      </c>
      <c r="AH7863">
        <v>28.150512408368598</v>
      </c>
      <c r="AI7863">
        <v>92.095749008335304</v>
      </c>
      <c r="AJ7863">
        <v>67.190757068588596</v>
      </c>
      <c r="AK7863">
        <v>30.559053474298899</v>
      </c>
      <c r="AL7863">
        <v>78.641299012987304</v>
      </c>
      <c r="AM7863">
        <v>79.364144278906807</v>
      </c>
      <c r="AN7863">
        <v>0.999999969789229</v>
      </c>
    </row>
    <row r="7864" spans="1:40" x14ac:dyDescent="0.25">
      <c r="A7864" t="str">
        <f>"20190303170441498"</f>
        <v>20190303170441498</v>
      </c>
      <c r="B7864" t="str">
        <f>"1551603881493482"</f>
        <v>1551603881493482</v>
      </c>
      <c r="C7864" t="s">
        <v>40</v>
      </c>
      <c r="D7864">
        <v>4.5420530000000001</v>
      </c>
      <c r="E7864">
        <v>0.58978459999999999</v>
      </c>
      <c r="F7864" t="s">
        <v>90</v>
      </c>
      <c r="G7864">
        <v>-172.13329999999999</v>
      </c>
      <c r="H7864" s="1">
        <v>-5.2698400000000002E-6</v>
      </c>
      <c r="I7864">
        <v>141.7989</v>
      </c>
      <c r="J7864">
        <v>-186.8374</v>
      </c>
      <c r="K7864">
        <v>1.11744</v>
      </c>
      <c r="L7864">
        <v>114.81699999999999</v>
      </c>
      <c r="M7864">
        <v>9.9037520000000004E-2</v>
      </c>
      <c r="N7864">
        <v>-1.398129E-2</v>
      </c>
      <c r="O7864">
        <v>0.99498549999999997</v>
      </c>
      <c r="P7864">
        <v>0.2746014</v>
      </c>
      <c r="Q7864">
        <v>0.18644559999999999</v>
      </c>
      <c r="R7864">
        <v>0.94330910000000001</v>
      </c>
      <c r="S7864">
        <v>1.5007779999999999</v>
      </c>
      <c r="T7864">
        <v>-0.1139213</v>
      </c>
      <c r="U7864">
        <v>2.7673800000000002</v>
      </c>
      <c r="V7864">
        <v>0.18186060000000001</v>
      </c>
      <c r="W7864">
        <v>0.1980759</v>
      </c>
      <c r="X7864">
        <v>0.96316800000000002</v>
      </c>
      <c r="Y7864">
        <v>0.38705519999999999</v>
      </c>
      <c r="Z7864">
        <v>-2.3079539999999999E-2</v>
      </c>
      <c r="AA7864">
        <v>0.92176769999999997</v>
      </c>
      <c r="AB7864">
        <v>34</v>
      </c>
      <c r="AC7864">
        <v>14.7041</v>
      </c>
      <c r="AD7864">
        <v>-1.1174452698399999</v>
      </c>
      <c r="AE7864">
        <v>26.9819</v>
      </c>
      <c r="AF7864">
        <v>11.9435199729604</v>
      </c>
      <c r="AG7864">
        <v>-1.1174452698399999</v>
      </c>
      <c r="AH7864">
        <v>28.268239994542</v>
      </c>
      <c r="AI7864">
        <v>92.085409282939295</v>
      </c>
      <c r="AJ7864">
        <v>67.095617874919895</v>
      </c>
      <c r="AK7864">
        <v>30.708138101562199</v>
      </c>
      <c r="AL7864">
        <v>78.575534224094895</v>
      </c>
      <c r="AM7864">
        <v>79.307575038979806</v>
      </c>
      <c r="AN7864">
        <v>0.99999996810858405</v>
      </c>
    </row>
    <row r="7865" spans="1:40" x14ac:dyDescent="0.25">
      <c r="A7865" t="str">
        <f>"20190303170441510"</f>
        <v>20190303170441510</v>
      </c>
      <c r="B7865" t="str">
        <f>"1551603881503242"</f>
        <v>1551603881503242</v>
      </c>
      <c r="C7865" t="s">
        <v>40</v>
      </c>
      <c r="D7865">
        <v>4.4950799999999997</v>
      </c>
      <c r="E7865">
        <v>0.58993509999999905</v>
      </c>
      <c r="F7865" t="s">
        <v>90</v>
      </c>
      <c r="G7865">
        <v>-171.85730000000001</v>
      </c>
      <c r="H7865" s="1">
        <v>-5.2768539999999901E-6</v>
      </c>
      <c r="I7865">
        <v>142.19880000000001</v>
      </c>
      <c r="J7865">
        <v>-186.81569999999999</v>
      </c>
      <c r="K7865">
        <v>1.1173420000000001</v>
      </c>
      <c r="L7865">
        <v>115.00839999999999</v>
      </c>
      <c r="M7865">
        <v>0.10186969999999999</v>
      </c>
      <c r="N7865">
        <v>-1.3987879999999999E-2</v>
      </c>
      <c r="O7865">
        <v>0.99469940000000001</v>
      </c>
      <c r="P7865">
        <v>0.27994550000000001</v>
      </c>
      <c r="Q7865">
        <v>0.1877721</v>
      </c>
      <c r="R7865">
        <v>0.94147340000000002</v>
      </c>
      <c r="S7865">
        <v>1.511368</v>
      </c>
      <c r="T7865">
        <v>-0.1127412</v>
      </c>
      <c r="U7865">
        <v>2.7626040000000001</v>
      </c>
      <c r="V7865">
        <v>0.18467459999999999</v>
      </c>
      <c r="W7865">
        <v>0.19932549999999999</v>
      </c>
      <c r="X7865">
        <v>0.96237439999999996</v>
      </c>
      <c r="Y7865">
        <v>0.38782630000000001</v>
      </c>
      <c r="Z7865">
        <v>-2.270755E-2</v>
      </c>
      <c r="AA7865">
        <v>0.92145279999999996</v>
      </c>
      <c r="AB7865">
        <v>34</v>
      </c>
      <c r="AC7865">
        <v>14.9583999999999</v>
      </c>
      <c r="AD7865">
        <v>-1.117347276854</v>
      </c>
      <c r="AE7865">
        <v>27.1904</v>
      </c>
      <c r="AF7865">
        <v>12.094739628289</v>
      </c>
      <c r="AG7865">
        <v>-1.117347276854</v>
      </c>
      <c r="AH7865">
        <v>28.535885707009701</v>
      </c>
      <c r="AI7865">
        <v>92.064695947787001</v>
      </c>
      <c r="AJ7865">
        <v>67.030673439259999</v>
      </c>
      <c r="AK7865">
        <v>31.013351394145001</v>
      </c>
      <c r="AL7865">
        <v>78.502480229171695</v>
      </c>
      <c r="AM7865">
        <v>79.137290460482603</v>
      </c>
      <c r="AN7865">
        <v>0.99999992430538198</v>
      </c>
    </row>
    <row r="7866" spans="1:40" x14ac:dyDescent="0.25">
      <c r="A7866" t="str">
        <f>"20190303170441522"</f>
        <v>20190303170441522</v>
      </c>
      <c r="B7866" t="str">
        <f>"1551603881513978"</f>
        <v>1551603881513978</v>
      </c>
      <c r="C7866" t="s">
        <v>40</v>
      </c>
      <c r="D7866">
        <v>4.4864059999999997</v>
      </c>
      <c r="E7866">
        <v>0.59002049999999995</v>
      </c>
      <c r="F7866" t="s">
        <v>90</v>
      </c>
      <c r="G7866">
        <v>-171.4265</v>
      </c>
      <c r="H7866" s="1">
        <v>-5.2652430000000001E-6</v>
      </c>
      <c r="I7866">
        <v>142.7533</v>
      </c>
      <c r="J7866">
        <v>-186.7955</v>
      </c>
      <c r="K7866">
        <v>1.117254</v>
      </c>
      <c r="L7866">
        <v>115.1819</v>
      </c>
      <c r="M7866">
        <v>0.10449369999999999</v>
      </c>
      <c r="N7866">
        <v>-1.3993719999999999E-2</v>
      </c>
      <c r="O7866">
        <v>0.99442710000000001</v>
      </c>
      <c r="P7866">
        <v>0.28434189999999998</v>
      </c>
      <c r="Q7866">
        <v>0.18813170000000001</v>
      </c>
      <c r="R7866">
        <v>0.940083</v>
      </c>
      <c r="S7866">
        <v>1.5277559999999999</v>
      </c>
      <c r="T7866">
        <v>-0.1109242</v>
      </c>
      <c r="U7866">
        <v>2.7543639999999998</v>
      </c>
      <c r="V7866">
        <v>0.186691</v>
      </c>
      <c r="W7866">
        <v>0.19962460000000001</v>
      </c>
      <c r="X7866">
        <v>0.96192330000000004</v>
      </c>
      <c r="Y7866">
        <v>0.39076240000000001</v>
      </c>
      <c r="Z7866">
        <v>-2.2137830000000001E-2</v>
      </c>
      <c r="AA7866">
        <v>0.92022530000000002</v>
      </c>
      <c r="AB7866">
        <v>34</v>
      </c>
      <c r="AC7866">
        <v>15.369</v>
      </c>
      <c r="AD7866">
        <v>-1.117259265243</v>
      </c>
      <c r="AE7866">
        <v>27.571400000000001</v>
      </c>
      <c r="AF7866">
        <v>12.3880073138232</v>
      </c>
      <c r="AG7866">
        <v>-1.117259265243</v>
      </c>
      <c r="AH7866">
        <v>28.9902342326194</v>
      </c>
      <c r="AI7866">
        <v>92.029664805054097</v>
      </c>
      <c r="AJ7866">
        <v>66.862178809266595</v>
      </c>
      <c r="AK7866">
        <v>31.545913750202999</v>
      </c>
      <c r="AL7866">
        <v>78.484992154656496</v>
      </c>
      <c r="AM7866">
        <v>79.016527774575394</v>
      </c>
      <c r="AN7866">
        <v>0.99999997274452401</v>
      </c>
    </row>
    <row r="7867" spans="1:40" x14ac:dyDescent="0.25">
      <c r="A7867" t="str">
        <f>"20190303170441543"</f>
        <v>20190303170441543</v>
      </c>
      <c r="B7867" t="str">
        <f>"1551603881533498"</f>
        <v>1551603881533498</v>
      </c>
      <c r="C7867" t="s">
        <v>40</v>
      </c>
      <c r="D7867">
        <v>4.5202900000000001</v>
      </c>
      <c r="E7867">
        <v>0.5900474</v>
      </c>
      <c r="F7867" t="s">
        <v>90</v>
      </c>
      <c r="G7867">
        <v>-171.6499</v>
      </c>
      <c r="H7867" s="1">
        <v>-5.1907909999999999E-6</v>
      </c>
      <c r="I7867">
        <v>142.21719999999999</v>
      </c>
      <c r="J7867">
        <v>-186.75899999999999</v>
      </c>
      <c r="K7867">
        <v>1.117105</v>
      </c>
      <c r="L7867">
        <v>115.4863</v>
      </c>
      <c r="M7867">
        <v>0.1092147</v>
      </c>
      <c r="N7867">
        <v>-1.400378E-2</v>
      </c>
      <c r="O7867">
        <v>0.99391960000000001</v>
      </c>
      <c r="P7867">
        <v>0.29209390000000002</v>
      </c>
      <c r="Q7867">
        <v>0.18749750000000001</v>
      </c>
      <c r="R7867">
        <v>0.93783039999999995</v>
      </c>
      <c r="S7867">
        <v>1.5396270000000001</v>
      </c>
      <c r="T7867">
        <v>-0.1135746</v>
      </c>
      <c r="U7867">
        <v>2.7482600000000001</v>
      </c>
      <c r="V7867">
        <v>0.19012390000000001</v>
      </c>
      <c r="W7867">
        <v>0.1988886</v>
      </c>
      <c r="X7867">
        <v>0.96140329999999996</v>
      </c>
      <c r="Y7867">
        <v>0.3902774</v>
      </c>
      <c r="Z7867">
        <v>-2.3011739999999999E-2</v>
      </c>
      <c r="AA7867">
        <v>0.9204097</v>
      </c>
      <c r="AB7867">
        <v>34</v>
      </c>
      <c r="AC7867">
        <v>15.1091</v>
      </c>
      <c r="AD7867">
        <v>-1.1171101907909999</v>
      </c>
      <c r="AE7867">
        <v>26.730899999999899</v>
      </c>
      <c r="AF7867">
        <v>12.083015814196299</v>
      </c>
      <c r="AG7867">
        <v>-1.1171101907909999</v>
      </c>
      <c r="AH7867">
        <v>28.183962154214299</v>
      </c>
      <c r="AI7867">
        <v>92.086341214224205</v>
      </c>
      <c r="AJ7867">
        <v>66.794239629006995</v>
      </c>
      <c r="AK7867">
        <v>30.685223301365699</v>
      </c>
      <c r="AL7867">
        <v>78.528025537978706</v>
      </c>
      <c r="AM7867">
        <v>78.813711293922296</v>
      </c>
      <c r="AN7867">
        <v>1.00000003890602</v>
      </c>
    </row>
    <row r="7868" spans="1:40" x14ac:dyDescent="0.25">
      <c r="A7868" t="str">
        <f>"20190303170441565"</f>
        <v>20190303170441565</v>
      </c>
      <c r="B7868" t="str">
        <f>"1551603881553018"</f>
        <v>1551603881553018</v>
      </c>
      <c r="C7868" t="s">
        <v>40</v>
      </c>
      <c r="D7868">
        <v>4.5207169999999897</v>
      </c>
      <c r="E7868">
        <v>0.59012500000000001</v>
      </c>
      <c r="F7868" t="s">
        <v>90</v>
      </c>
      <c r="G7868">
        <v>-172.4271</v>
      </c>
      <c r="H7868" s="1">
        <v>-5.0219909999999999E-6</v>
      </c>
      <c r="I7868">
        <v>140.63030000000001</v>
      </c>
      <c r="J7868">
        <v>-186.71559999999999</v>
      </c>
      <c r="K7868">
        <v>1.1169290000000001</v>
      </c>
      <c r="L7868">
        <v>115.83069999999999</v>
      </c>
      <c r="M7868">
        <v>0.11474280000000001</v>
      </c>
      <c r="N7868">
        <v>-1.401551E-2</v>
      </c>
      <c r="O7868">
        <v>0.99329639999999997</v>
      </c>
      <c r="P7868">
        <v>0.29943170000000002</v>
      </c>
      <c r="Q7868">
        <v>0.1845194</v>
      </c>
      <c r="R7868">
        <v>0.93610539999999998</v>
      </c>
      <c r="S7868">
        <v>1.560211</v>
      </c>
      <c r="T7868">
        <v>-0.1216121</v>
      </c>
      <c r="U7868">
        <v>2.7372589999999999</v>
      </c>
      <c r="V7868">
        <v>0.1922875</v>
      </c>
      <c r="W7868">
        <v>0.19582630000000001</v>
      </c>
      <c r="X7868">
        <v>0.96160159999999995</v>
      </c>
      <c r="Y7868">
        <v>0.39193309999999998</v>
      </c>
      <c r="Z7868">
        <v>-2.5631580000000001E-2</v>
      </c>
      <c r="AA7868">
        <v>0.91963660000000003</v>
      </c>
      <c r="AB7868">
        <v>34</v>
      </c>
      <c r="AC7868">
        <v>14.288500000000001</v>
      </c>
      <c r="AD7868">
        <v>-1.116934021991</v>
      </c>
      <c r="AE7868">
        <v>24.799600000000002</v>
      </c>
      <c r="AF7868">
        <v>11.3309981280643</v>
      </c>
      <c r="AG7868">
        <v>-1.116934021991</v>
      </c>
      <c r="AH7868">
        <v>26.2354812944528</v>
      </c>
      <c r="AI7868">
        <v>92.238205776659598</v>
      </c>
      <c r="AJ7868">
        <v>66.640679717225694</v>
      </c>
      <c r="AK7868">
        <v>28.5996422869109</v>
      </c>
      <c r="AL7868">
        <v>78.707002566688303</v>
      </c>
      <c r="AM7868">
        <v>78.6919478623348</v>
      </c>
      <c r="AN7868">
        <v>1.0000000297752401</v>
      </c>
    </row>
    <row r="7869" spans="1:40" x14ac:dyDescent="0.25">
      <c r="A7869" t="str">
        <f>"20190303170441588"</f>
        <v>20190303170441588</v>
      </c>
      <c r="B7869" t="str">
        <f>"1551603881573514"</f>
        <v>1551603881573514</v>
      </c>
      <c r="C7869" t="s">
        <v>40</v>
      </c>
      <c r="D7869">
        <v>4.518313</v>
      </c>
      <c r="E7869">
        <v>0.59010640000000003</v>
      </c>
      <c r="F7869" t="s">
        <v>90</v>
      </c>
      <c r="G7869">
        <v>-173.28819999999999</v>
      </c>
      <c r="H7869" s="1">
        <v>-4.8187720000000004E-6</v>
      </c>
      <c r="I7869">
        <v>138.9392</v>
      </c>
      <c r="J7869">
        <v>-186.67179999999999</v>
      </c>
      <c r="K7869">
        <v>1.1167739999999999</v>
      </c>
      <c r="L7869">
        <v>116.1636</v>
      </c>
      <c r="M7869">
        <v>0.1202546</v>
      </c>
      <c r="N7869">
        <v>-1.4027100000000001E-2</v>
      </c>
      <c r="O7869">
        <v>0.99264399999999997</v>
      </c>
      <c r="P7869">
        <v>0.3052011</v>
      </c>
      <c r="Q7869">
        <v>0.183117</v>
      </c>
      <c r="R7869">
        <v>0.93451620000000002</v>
      </c>
      <c r="S7869">
        <v>1.5830229999999901</v>
      </c>
      <c r="T7869">
        <v>-0.13168070000000001</v>
      </c>
      <c r="U7869">
        <v>2.7243650000000001</v>
      </c>
      <c r="V7869">
        <v>0.1929053</v>
      </c>
      <c r="W7869">
        <v>0.19436110000000001</v>
      </c>
      <c r="X7869">
        <v>0.96177509999999999</v>
      </c>
      <c r="Y7869">
        <v>0.39441939999999998</v>
      </c>
      <c r="Z7869">
        <v>-2.8915010000000001E-2</v>
      </c>
      <c r="AA7869">
        <v>0.9184755</v>
      </c>
      <c r="AB7869">
        <v>34</v>
      </c>
      <c r="AC7869">
        <v>13.383599999999999</v>
      </c>
      <c r="AD7869">
        <v>-1.116778818772</v>
      </c>
      <c r="AE7869">
        <v>22.775600000000001</v>
      </c>
      <c r="AF7869">
        <v>10.528500526105599</v>
      </c>
      <c r="AG7869">
        <v>-1.116778818772</v>
      </c>
      <c r="AH7869">
        <v>24.176675995502102</v>
      </c>
      <c r="AI7869">
        <v>92.425075103402406</v>
      </c>
      <c r="AJ7869">
        <v>66.467754875386802</v>
      </c>
      <c r="AK7869">
        <v>26.393335909842001</v>
      </c>
      <c r="AL7869">
        <v>78.792596941383096</v>
      </c>
      <c r="AM7869">
        <v>78.658550032879702</v>
      </c>
      <c r="AN7869">
        <v>1.00000001747065</v>
      </c>
    </row>
    <row r="7870" spans="1:40" x14ac:dyDescent="0.25">
      <c r="A7870" t="str">
        <f>"20190303170441610"</f>
        <v>20190303170441610</v>
      </c>
      <c r="B7870" t="str">
        <f>"1551603881603770"</f>
        <v>1551603881603770</v>
      </c>
      <c r="C7870" t="s">
        <v>40</v>
      </c>
      <c r="D7870">
        <v>4.510078</v>
      </c>
      <c r="E7870">
        <v>0.59014200000000006</v>
      </c>
      <c r="F7870" t="s">
        <v>90</v>
      </c>
      <c r="G7870">
        <v>-173.5394</v>
      </c>
      <c r="H7870" s="1">
        <v>-4.7327069999999996E-6</v>
      </c>
      <c r="I7870">
        <v>138.4188</v>
      </c>
      <c r="J7870">
        <v>-186.6249</v>
      </c>
      <c r="K7870">
        <v>1.116608</v>
      </c>
      <c r="L7870">
        <v>116.5034</v>
      </c>
      <c r="M7870">
        <v>0.1260598</v>
      </c>
      <c r="N7870">
        <v>-1.403914E-2</v>
      </c>
      <c r="O7870">
        <v>0.99192329999999995</v>
      </c>
      <c r="P7870">
        <v>0.31258540000000001</v>
      </c>
      <c r="Q7870">
        <v>0.1841786</v>
      </c>
      <c r="R7870">
        <v>0.931863</v>
      </c>
      <c r="S7870">
        <v>1.6014250000000001</v>
      </c>
      <c r="T7870">
        <v>-0.13618559999999999</v>
      </c>
      <c r="U7870">
        <v>2.7139129999999998</v>
      </c>
      <c r="V7870">
        <v>0.1950057</v>
      </c>
      <c r="W7870">
        <v>0.1953288</v>
      </c>
      <c r="X7870">
        <v>0.96115530000000005</v>
      </c>
      <c r="Y7870">
        <v>0.39518579999999998</v>
      </c>
      <c r="Z7870">
        <v>-3.040147E-2</v>
      </c>
      <c r="AA7870">
        <v>0.91809799999999997</v>
      </c>
      <c r="AB7870">
        <v>34</v>
      </c>
      <c r="AC7870">
        <v>13.0854999999999</v>
      </c>
      <c r="AD7870">
        <v>-1.1166127327069999</v>
      </c>
      <c r="AE7870">
        <v>21.915400000000002</v>
      </c>
      <c r="AF7870">
        <v>10.198650954065901</v>
      </c>
      <c r="AG7870">
        <v>-1.1166127327069999</v>
      </c>
      <c r="AH7870">
        <v>23.345579413875601</v>
      </c>
      <c r="AI7870">
        <v>92.509663147476004</v>
      </c>
      <c r="AJ7870">
        <v>66.401611428303397</v>
      </c>
      <c r="AK7870">
        <v>25.5004977097955</v>
      </c>
      <c r="AL7870">
        <v>78.7360686130678</v>
      </c>
      <c r="AM7870">
        <v>78.531117638265997</v>
      </c>
      <c r="AN7870">
        <v>1.0000000369299999</v>
      </c>
    </row>
    <row r="7871" spans="1:40" x14ac:dyDescent="0.25">
      <c r="A7871" t="str">
        <f>"20190303170441632"</f>
        <v>20190303170441632</v>
      </c>
      <c r="B7871" t="str">
        <f>"1551603881623289"</f>
        <v>1551603881623289</v>
      </c>
      <c r="C7871" t="s">
        <v>40</v>
      </c>
      <c r="D7871">
        <v>4.5205000000000002</v>
      </c>
      <c r="E7871">
        <v>0.59027779999999996</v>
      </c>
      <c r="F7871" t="s">
        <v>90</v>
      </c>
      <c r="G7871">
        <v>-173.45320000000001</v>
      </c>
      <c r="H7871" s="1">
        <v>-4.70828899999999E-6</v>
      </c>
      <c r="I7871">
        <v>138.45519999999999</v>
      </c>
      <c r="J7871">
        <v>-186.57820000000001</v>
      </c>
      <c r="K7871">
        <v>1.1164510000000001</v>
      </c>
      <c r="L7871">
        <v>116.827</v>
      </c>
      <c r="M7871">
        <v>0.13177130000000001</v>
      </c>
      <c r="N7871">
        <v>-1.405176E-2</v>
      </c>
      <c r="O7871">
        <v>0.99118050000000002</v>
      </c>
      <c r="P7871">
        <v>0.320212099999999</v>
      </c>
      <c r="Q7871">
        <v>0.18468129999999999</v>
      </c>
      <c r="R7871">
        <v>0.9291701</v>
      </c>
      <c r="S7871">
        <v>1.621613</v>
      </c>
      <c r="T7871">
        <v>-0.13747039999999999</v>
      </c>
      <c r="U7871">
        <v>2.7025600000000001</v>
      </c>
      <c r="V7871">
        <v>0.1974467</v>
      </c>
      <c r="W7871">
        <v>0.19573090000000001</v>
      </c>
      <c r="X7871">
        <v>0.96057490000000001</v>
      </c>
      <c r="Y7871">
        <v>0.39663130000000002</v>
      </c>
      <c r="Z7871">
        <v>-3.0847550000000001E-2</v>
      </c>
      <c r="AA7871">
        <v>0.91745949999999998</v>
      </c>
      <c r="AB7871">
        <v>34</v>
      </c>
      <c r="AC7871">
        <v>13.125</v>
      </c>
      <c r="AD7871">
        <v>-1.1164557082889901</v>
      </c>
      <c r="AE7871">
        <v>21.6281999999999</v>
      </c>
      <c r="AF7871">
        <v>10.1405231631284</v>
      </c>
      <c r="AG7871">
        <v>-1.1164557082889901</v>
      </c>
      <c r="AH7871">
        <v>23.1242030586547</v>
      </c>
      <c r="AI7871">
        <v>92.531752003146806</v>
      </c>
      <c r="AJ7871">
        <v>66.321385043282703</v>
      </c>
      <c r="AK7871">
        <v>25.274600896323001</v>
      </c>
      <c r="AL7871">
        <v>78.712575668572498</v>
      </c>
      <c r="AM7871">
        <v>78.384604989625203</v>
      </c>
      <c r="AN7871">
        <v>0.99999996153285398</v>
      </c>
    </row>
    <row r="7872" spans="1:40" x14ac:dyDescent="0.25">
      <c r="A7872" t="str">
        <f>"20190303170441653"</f>
        <v>20190303170441653</v>
      </c>
      <c r="B7872" t="str">
        <f>"1551603881643786"</f>
        <v>1551603881643786</v>
      </c>
      <c r="C7872" t="s">
        <v>40</v>
      </c>
      <c r="D7872">
        <v>4.5467779999999998</v>
      </c>
      <c r="E7872">
        <v>0.59039779999999997</v>
      </c>
      <c r="F7872" t="s">
        <v>90</v>
      </c>
      <c r="G7872">
        <v>-173.28739999999999</v>
      </c>
      <c r="H7872" s="1">
        <v>-4.6760169999999996E-6</v>
      </c>
      <c r="I7872">
        <v>138.56389999999999</v>
      </c>
      <c r="J7872">
        <v>-186.52940000000001</v>
      </c>
      <c r="K7872">
        <v>1.1162780000000001</v>
      </c>
      <c r="L7872">
        <v>117.1516</v>
      </c>
      <c r="M7872">
        <v>0.1377004</v>
      </c>
      <c r="N7872">
        <v>-1.4066399999999901E-2</v>
      </c>
      <c r="O7872">
        <v>0.99037399999999998</v>
      </c>
      <c r="P7872">
        <v>0.3270419</v>
      </c>
      <c r="Q7872">
        <v>0.18426819999999999</v>
      </c>
      <c r="R7872">
        <v>0.92687050000000004</v>
      </c>
      <c r="S7872">
        <v>1.6444240000000001</v>
      </c>
      <c r="T7872">
        <v>-0.1381347</v>
      </c>
      <c r="U7872">
        <v>2.6894230000000001</v>
      </c>
      <c r="V7872">
        <v>0.19883770000000001</v>
      </c>
      <c r="W7872">
        <v>0.19522819999999999</v>
      </c>
      <c r="X7872">
        <v>0.96039030000000003</v>
      </c>
      <c r="Y7872">
        <v>0.39879249999999999</v>
      </c>
      <c r="Z7872">
        <v>-3.1096249999999999E-2</v>
      </c>
      <c r="AA7872">
        <v>0.91651380000000005</v>
      </c>
      <c r="AB7872">
        <v>34</v>
      </c>
      <c r="AC7872">
        <v>13.242000000000001</v>
      </c>
      <c r="AD7872">
        <v>-1.1162826760169999</v>
      </c>
      <c r="AE7872">
        <v>21.412299999999899</v>
      </c>
      <c r="AF7872">
        <v>10.147107891847</v>
      </c>
      <c r="AG7872">
        <v>-1.1162826760169999</v>
      </c>
      <c r="AH7872">
        <v>22.9867029537231</v>
      </c>
      <c r="AI7872">
        <v>92.543756021505502</v>
      </c>
      <c r="AJ7872">
        <v>66.181715382335</v>
      </c>
      <c r="AK7872">
        <v>25.151508866552401</v>
      </c>
      <c r="AL7872">
        <v>78.741945347362503</v>
      </c>
      <c r="AM7872">
        <v>78.302835700514095</v>
      </c>
      <c r="AN7872">
        <v>1.0000000046753099</v>
      </c>
    </row>
    <row r="7873" spans="1:40" x14ac:dyDescent="0.25">
      <c r="A7873" t="str">
        <f>"20190303170441675"</f>
        <v>20190303170441675</v>
      </c>
      <c r="B7873" t="str">
        <f>"1551603881663306"</f>
        <v>1551603881663306</v>
      </c>
      <c r="C7873" t="s">
        <v>40</v>
      </c>
      <c r="D7873">
        <v>4.5137689999999999</v>
      </c>
      <c r="E7873">
        <v>0.59053149999999999</v>
      </c>
      <c r="F7873" t="s">
        <v>90</v>
      </c>
      <c r="G7873">
        <v>-173.27269999999999</v>
      </c>
      <c r="H7873" s="1">
        <v>-4.6282440000000004E-6</v>
      </c>
      <c r="I7873">
        <v>138.45519999999999</v>
      </c>
      <c r="J7873">
        <v>-186.47630000000001</v>
      </c>
      <c r="K7873">
        <v>1.11607099999999</v>
      </c>
      <c r="L7873">
        <v>117.488</v>
      </c>
      <c r="M7873">
        <v>0.14409859999999999</v>
      </c>
      <c r="N7873">
        <v>-1.4084340000000001E-2</v>
      </c>
      <c r="O7873">
        <v>0.98946310000000004</v>
      </c>
      <c r="P7873">
        <v>0.33457330000000002</v>
      </c>
      <c r="Q7873">
        <v>0.18237049999999999</v>
      </c>
      <c r="R7873">
        <v>0.92455489999999996</v>
      </c>
      <c r="S7873">
        <v>1.66572599999999</v>
      </c>
      <c r="T7873">
        <v>-0.14026359999999999</v>
      </c>
      <c r="U7873">
        <v>2.6768489999999998</v>
      </c>
      <c r="V7873">
        <v>0.2004676</v>
      </c>
      <c r="W7873">
        <v>0.19322810000000001</v>
      </c>
      <c r="X7873">
        <v>0.96045599999999998</v>
      </c>
      <c r="Y7873">
        <v>0.40004109999999998</v>
      </c>
      <c r="Z7873">
        <v>-3.1814990000000001E-2</v>
      </c>
      <c r="AA7873">
        <v>0.9159448</v>
      </c>
      <c r="AB7873">
        <v>34</v>
      </c>
      <c r="AC7873">
        <v>13.2036</v>
      </c>
      <c r="AD7873">
        <v>-1.1160756282440001</v>
      </c>
      <c r="AE7873">
        <v>20.967199999999899</v>
      </c>
      <c r="AF7873">
        <v>10.0237903971355</v>
      </c>
      <c r="AG7873">
        <v>-1.1160756282440001</v>
      </c>
      <c r="AH7873">
        <v>22.60527518808</v>
      </c>
      <c r="AI7873">
        <v>92.584236896824507</v>
      </c>
      <c r="AJ7873">
        <v>66.086206764889297</v>
      </c>
      <c r="AK7873">
        <v>24.753191007675898</v>
      </c>
      <c r="AL7873">
        <v>78.858767799476695</v>
      </c>
      <c r="AM7873">
        <v>78.210409951769407</v>
      </c>
      <c r="AN7873">
        <v>1.0000000426076801</v>
      </c>
    </row>
    <row r="7874" spans="1:40" x14ac:dyDescent="0.25">
      <c r="A7874" t="str">
        <f>"20190303170441699"</f>
        <v>20190303170441699</v>
      </c>
      <c r="B7874" t="str">
        <f>"1551603881693562"</f>
        <v>1551603881693562</v>
      </c>
      <c r="C7874" t="s">
        <v>40</v>
      </c>
      <c r="D7874">
        <v>4.5222020000000001</v>
      </c>
      <c r="E7874">
        <v>0.59067890000000001</v>
      </c>
      <c r="F7874" t="s">
        <v>90</v>
      </c>
      <c r="G7874">
        <v>-173.6617</v>
      </c>
      <c r="H7874" s="1">
        <v>-4.5118800000000002E-6</v>
      </c>
      <c r="I7874">
        <v>137.69399999999999</v>
      </c>
      <c r="J7874">
        <v>-186.41890000000001</v>
      </c>
      <c r="K7874">
        <v>1.1158349999999999</v>
      </c>
      <c r="L7874">
        <v>117.83410000000001</v>
      </c>
      <c r="M7874">
        <v>0.15100820000000001</v>
      </c>
      <c r="N7874">
        <v>-1.410725E-2</v>
      </c>
      <c r="O7874">
        <v>0.98843190000000003</v>
      </c>
      <c r="P7874">
        <v>0.34299580000000002</v>
      </c>
      <c r="Q7874">
        <v>0.1811083</v>
      </c>
      <c r="R7874">
        <v>0.92171230000000004</v>
      </c>
      <c r="S7874">
        <v>1.6886749999999999</v>
      </c>
      <c r="T7874">
        <v>-0.14707410000000001</v>
      </c>
      <c r="U7874">
        <v>2.6627040000000002</v>
      </c>
      <c r="V7874">
        <v>0.20258509999999999</v>
      </c>
      <c r="W7874">
        <v>0.1918388</v>
      </c>
      <c r="X7874">
        <v>0.96029010000000004</v>
      </c>
      <c r="Y7874">
        <v>0.4014239</v>
      </c>
      <c r="Z7874">
        <v>-3.404799E-2</v>
      </c>
      <c r="AA7874">
        <v>0.9152593</v>
      </c>
      <c r="AB7874">
        <v>34</v>
      </c>
      <c r="AC7874">
        <v>12.757199999999999</v>
      </c>
      <c r="AD7874">
        <v>-1.11583951188</v>
      </c>
      <c r="AE7874">
        <v>19.8598999999999</v>
      </c>
      <c r="AF7874">
        <v>9.59014038323261</v>
      </c>
      <c r="AG7874">
        <v>-1.11583951188</v>
      </c>
      <c r="AH7874">
        <v>21.510674423673901</v>
      </c>
      <c r="AI7874">
        <v>92.712554740550104</v>
      </c>
      <c r="AJ7874">
        <v>65.971172428920397</v>
      </c>
      <c r="AK7874">
        <v>23.578061933663701</v>
      </c>
      <c r="AL7874">
        <v>78.939885625628307</v>
      </c>
      <c r="AM7874">
        <v>78.087418924234498</v>
      </c>
      <c r="AN7874">
        <v>0.99999996204272901</v>
      </c>
    </row>
    <row r="7875" spans="1:40" x14ac:dyDescent="0.25">
      <c r="A7875" t="str">
        <f>"20190303170441720"</f>
        <v>20190303170441720</v>
      </c>
      <c r="B7875" t="str">
        <f>"1551603881713098"</f>
        <v>1551603881713098</v>
      </c>
      <c r="C7875" t="s">
        <v>40</v>
      </c>
      <c r="D7875">
        <v>4.4965710000000003</v>
      </c>
      <c r="E7875">
        <v>0.59073260000000005</v>
      </c>
      <c r="F7875" t="s">
        <v>90</v>
      </c>
      <c r="G7875">
        <v>-173.9385</v>
      </c>
      <c r="H7875" s="1">
        <v>-4.4124910000000001E-6</v>
      </c>
      <c r="I7875">
        <v>137.1086</v>
      </c>
      <c r="J7875">
        <v>-186.36269999999999</v>
      </c>
      <c r="K7875">
        <v>1.115604</v>
      </c>
      <c r="L7875">
        <v>118.1584</v>
      </c>
      <c r="M7875">
        <v>0.15773570000000001</v>
      </c>
      <c r="N7875">
        <v>-1.413127E-2</v>
      </c>
      <c r="O7875">
        <v>0.98738029999999999</v>
      </c>
      <c r="P7875">
        <v>0.35041879999999997</v>
      </c>
      <c r="Q7875">
        <v>0.18066579999999999</v>
      </c>
      <c r="R7875">
        <v>0.91900300000000001</v>
      </c>
      <c r="S7875">
        <v>1.7140200000000001</v>
      </c>
      <c r="T7875">
        <v>-0.1532453</v>
      </c>
      <c r="U7875">
        <v>2.6470950000000002</v>
      </c>
      <c r="V7875">
        <v>0.20388100000000001</v>
      </c>
      <c r="W7875">
        <v>0.19128709999999999</v>
      </c>
      <c r="X7875">
        <v>0.96012589999999998</v>
      </c>
      <c r="Y7875">
        <v>0.40377990000000002</v>
      </c>
      <c r="Z7875">
        <v>-3.6073460000000002E-2</v>
      </c>
      <c r="AA7875">
        <v>0.91414470000000003</v>
      </c>
      <c r="AB7875">
        <v>34</v>
      </c>
      <c r="AC7875">
        <v>12.4241999999999</v>
      </c>
      <c r="AD7875">
        <v>-1.115608412491</v>
      </c>
      <c r="AE7875">
        <v>18.950199999999899</v>
      </c>
      <c r="AF7875">
        <v>9.2567761934649599</v>
      </c>
      <c r="AG7875">
        <v>-1.115608412491</v>
      </c>
      <c r="AH7875">
        <v>20.6228702378714</v>
      </c>
      <c r="AI7875">
        <v>92.825372416999301</v>
      </c>
      <c r="AJ7875">
        <v>65.826608028210302</v>
      </c>
      <c r="AK7875">
        <v>22.632615060438798</v>
      </c>
      <c r="AL7875">
        <v>78.972092367455105</v>
      </c>
      <c r="AM7875">
        <v>78.011423049510299</v>
      </c>
      <c r="AN7875">
        <v>0.99999998031910897</v>
      </c>
    </row>
    <row r="7876" spans="1:40" x14ac:dyDescent="0.25">
      <c r="A7876" t="str">
        <f>"20190303170441743"</f>
        <v>20190303170441743</v>
      </c>
      <c r="B7876" t="str">
        <f>"1551603881733578"</f>
        <v>1551603881733578</v>
      </c>
      <c r="C7876" t="s">
        <v>40</v>
      </c>
      <c r="D7876">
        <v>4.4944899999999999</v>
      </c>
      <c r="E7876">
        <v>0.5908409</v>
      </c>
      <c r="F7876" t="s">
        <v>90</v>
      </c>
      <c r="G7876">
        <v>-174.05240000000001</v>
      </c>
      <c r="H7876" s="1">
        <v>-4.3663680000000002E-6</v>
      </c>
      <c r="I7876">
        <v>136.85399999999899</v>
      </c>
      <c r="J7876">
        <v>-186.304</v>
      </c>
      <c r="K7876">
        <v>1.1153729999999999</v>
      </c>
      <c r="L7876">
        <v>118.4825</v>
      </c>
      <c r="M7876">
        <v>0.16474469999999999</v>
      </c>
      <c r="N7876">
        <v>-1.4155330000000001E-2</v>
      </c>
      <c r="O7876">
        <v>0.98623470000000002</v>
      </c>
      <c r="P7876">
        <v>0.35708230000000002</v>
      </c>
      <c r="Q7876">
        <v>0.18015229999999999</v>
      </c>
      <c r="R7876">
        <v>0.91653560000000001</v>
      </c>
      <c r="S7876">
        <v>1.734375</v>
      </c>
      <c r="T7876">
        <v>-0.15717600000000001</v>
      </c>
      <c r="U7876">
        <v>2.6339869999999999</v>
      </c>
      <c r="V7876">
        <v>0.20411850000000001</v>
      </c>
      <c r="W7876">
        <v>0.19067899999999999</v>
      </c>
      <c r="X7876">
        <v>0.96019639999999995</v>
      </c>
      <c r="Y7876">
        <v>0.40427079999999999</v>
      </c>
      <c r="Z7876">
        <v>-3.737331E-2</v>
      </c>
      <c r="AA7876">
        <v>0.91387549999999995</v>
      </c>
      <c r="AB7876">
        <v>33</v>
      </c>
      <c r="AC7876">
        <v>12.2515999999999</v>
      </c>
      <c r="AD7876">
        <v>-1.115377366368</v>
      </c>
      <c r="AE7876">
        <v>18.371499999999902</v>
      </c>
      <c r="AF7876">
        <v>9.0342036318160908</v>
      </c>
      <c r="AG7876">
        <v>-1.115377366368</v>
      </c>
      <c r="AH7876">
        <v>20.0877633403788</v>
      </c>
      <c r="AI7876">
        <v>92.898960547479405</v>
      </c>
      <c r="AJ7876">
        <v>65.784803241364202</v>
      </c>
      <c r="AK7876">
        <v>22.0540050319571</v>
      </c>
      <c r="AL7876">
        <v>79.007587325379802</v>
      </c>
      <c r="AM7876">
        <v>77.998718034587995</v>
      </c>
      <c r="AN7876">
        <v>0.99999998482810404</v>
      </c>
    </row>
    <row r="7877" spans="1:40" x14ac:dyDescent="0.25">
      <c r="A7877" t="str">
        <f>"20190303170441777"</f>
        <v>20190303170441777</v>
      </c>
      <c r="B7877" t="str">
        <f>"1551603881763837"</f>
        <v>1551603881763837</v>
      </c>
      <c r="C7877" t="s">
        <v>40</v>
      </c>
      <c r="D7877">
        <v>4.4646239999999997</v>
      </c>
      <c r="E7877">
        <v>0.59101719999999902</v>
      </c>
      <c r="F7877" t="s">
        <v>90</v>
      </c>
      <c r="G7877">
        <v>-173.9804</v>
      </c>
      <c r="H7877" s="1">
        <v>-4.3448469999999997E-6</v>
      </c>
      <c r="I7877">
        <v>136.88149999999999</v>
      </c>
      <c r="J7877">
        <v>-186.20750000000001</v>
      </c>
      <c r="K7877">
        <v>1.1149639999999901</v>
      </c>
      <c r="L7877">
        <v>118.98699999999999</v>
      </c>
      <c r="M7877">
        <v>0.17629069999999999</v>
      </c>
      <c r="N7877">
        <v>-1.419862E-2</v>
      </c>
      <c r="O7877">
        <v>0.98423570000000005</v>
      </c>
      <c r="P7877">
        <v>0.3679791</v>
      </c>
      <c r="Q7877">
        <v>0.17997270000000001</v>
      </c>
      <c r="R7877">
        <v>0.91225060000000002</v>
      </c>
      <c r="S7877">
        <v>1.7552639999999999</v>
      </c>
      <c r="T7877">
        <v>-0.1588637</v>
      </c>
      <c r="U7877">
        <v>2.6205750000000001</v>
      </c>
      <c r="V7877">
        <v>0.2044878</v>
      </c>
      <c r="W7877">
        <v>0.19033729999999999</v>
      </c>
      <c r="X7877">
        <v>0.96018559999999997</v>
      </c>
      <c r="Y7877">
        <v>0.40073130000000001</v>
      </c>
      <c r="Z7877">
        <v>-3.793291E-2</v>
      </c>
      <c r="AA7877">
        <v>0.91540999999999995</v>
      </c>
      <c r="AB7877">
        <v>33</v>
      </c>
      <c r="AC7877">
        <v>12.2271</v>
      </c>
      <c r="AD7877">
        <v>-1.11496834484699</v>
      </c>
      <c r="AE7877">
        <v>17.894499999999901</v>
      </c>
      <c r="AF7877">
        <v>8.8571684412074401</v>
      </c>
      <c r="AG7877">
        <v>-1.11496834484699</v>
      </c>
      <c r="AH7877">
        <v>19.717738175972801</v>
      </c>
      <c r="AI7877">
        <v>92.952779889125395</v>
      </c>
      <c r="AJ7877">
        <v>65.810479487970596</v>
      </c>
      <c r="AK7877">
        <v>21.644440070885299</v>
      </c>
      <c r="AL7877">
        <v>79.027530346520393</v>
      </c>
      <c r="AM7877">
        <v>77.977504708458198</v>
      </c>
      <c r="AN7877">
        <v>0.99999996728374396</v>
      </c>
    </row>
    <row r="7878" spans="1:40" x14ac:dyDescent="0.25">
      <c r="A7878" t="str">
        <f>"20190303170441790"</f>
        <v>20190303170441790</v>
      </c>
      <c r="B7878" t="str">
        <f>"1551603881783355"</f>
        <v>1551603881783355</v>
      </c>
      <c r="C7878" t="s">
        <v>40</v>
      </c>
      <c r="D7878">
        <v>4.461176</v>
      </c>
      <c r="E7878">
        <v>0.59115909999999905</v>
      </c>
      <c r="F7878" t="s">
        <v>90</v>
      </c>
      <c r="G7878">
        <v>-173.595</v>
      </c>
      <c r="H7878" s="1">
        <v>-4.3297780000000003E-6</v>
      </c>
      <c r="I7878">
        <v>137.2921</v>
      </c>
      <c r="J7878">
        <v>-186.16659999999999</v>
      </c>
      <c r="K7878">
        <v>1.1147689999999999</v>
      </c>
      <c r="L7878">
        <v>119.18940000000001</v>
      </c>
      <c r="M7878">
        <v>0.18120339999999999</v>
      </c>
      <c r="N7878">
        <v>-1.4220669999999999E-2</v>
      </c>
      <c r="O7878">
        <v>0.98334279999999996</v>
      </c>
      <c r="P7878">
        <v>0.37346049999999997</v>
      </c>
      <c r="Q7878">
        <v>0.1800001</v>
      </c>
      <c r="R7878">
        <v>0.91001500000000002</v>
      </c>
      <c r="S7878">
        <v>1.7899020000000001</v>
      </c>
      <c r="T7878">
        <v>-0.15823129999999999</v>
      </c>
      <c r="U7878">
        <v>2.597763</v>
      </c>
      <c r="V7878">
        <v>0.20555950000000001</v>
      </c>
      <c r="W7878">
        <v>0.1902741</v>
      </c>
      <c r="X7878">
        <v>0.95996930000000003</v>
      </c>
      <c r="Y7878">
        <v>0.40817900000000001</v>
      </c>
      <c r="Z7878">
        <v>-3.7782030000000001E-2</v>
      </c>
      <c r="AA7878">
        <v>0.91211969999999998</v>
      </c>
      <c r="AB7878">
        <v>33</v>
      </c>
      <c r="AC7878">
        <v>12.571599999999901</v>
      </c>
      <c r="AD7878">
        <v>-1.114773329778</v>
      </c>
      <c r="AE7878">
        <v>18.102699999999999</v>
      </c>
      <c r="AF7878">
        <v>9.0596625041427092</v>
      </c>
      <c r="AG7878">
        <v>-1.114773329778</v>
      </c>
      <c r="AH7878">
        <v>20.0299639406309</v>
      </c>
      <c r="AI7878">
        <v>92.902948460559699</v>
      </c>
      <c r="AJ7878">
        <v>65.662499682596405</v>
      </c>
      <c r="AK7878">
        <v>22.011807279928799</v>
      </c>
      <c r="AL7878">
        <v>79.031219200542495</v>
      </c>
      <c r="AM7878">
        <v>77.913700585810005</v>
      </c>
      <c r="AN7878">
        <v>0.99999999905677495</v>
      </c>
    </row>
    <row r="7879" spans="1:40" x14ac:dyDescent="0.25">
      <c r="A7879" t="str">
        <f>"20190303170441810"</f>
        <v>20190303170441810</v>
      </c>
      <c r="B7879" t="str">
        <f>"1551603881803851"</f>
        <v>1551603881803851</v>
      </c>
      <c r="C7879" t="s">
        <v>40</v>
      </c>
      <c r="D7879">
        <v>4.4534449999999897</v>
      </c>
      <c r="E7879">
        <v>0.5912444</v>
      </c>
      <c r="F7879" t="s">
        <v>90</v>
      </c>
      <c r="G7879">
        <v>-173.42310000000001</v>
      </c>
      <c r="H7879" s="1">
        <v>-4.3066179999999996E-6</v>
      </c>
      <c r="I7879">
        <v>137.43199999999999</v>
      </c>
      <c r="J7879">
        <v>-186.1052</v>
      </c>
      <c r="K7879">
        <v>1.114487</v>
      </c>
      <c r="L7879">
        <v>119.4838</v>
      </c>
      <c r="M7879">
        <v>0.1885635</v>
      </c>
      <c r="N7879">
        <v>-1.4256049999999999E-2</v>
      </c>
      <c r="O7879">
        <v>0.98195759999999999</v>
      </c>
      <c r="P7879">
        <v>0.38064589999999998</v>
      </c>
      <c r="Q7879">
        <v>0.17927570000000001</v>
      </c>
      <c r="R7879">
        <v>0.90717639999999999</v>
      </c>
      <c r="S7879">
        <v>1.806778</v>
      </c>
      <c r="T7879">
        <v>-0.15805229999999901</v>
      </c>
      <c r="U7879">
        <v>2.5864259999999999</v>
      </c>
      <c r="V7879">
        <v>0.20604890000000001</v>
      </c>
      <c r="W7879">
        <v>0.18944269999999999</v>
      </c>
      <c r="X7879">
        <v>0.96002880000000002</v>
      </c>
      <c r="Y7879">
        <v>0.407221</v>
      </c>
      <c r="Z7879">
        <v>-3.7730729999999997E-2</v>
      </c>
      <c r="AA7879">
        <v>0.91254999999999997</v>
      </c>
      <c r="AB7879">
        <v>33</v>
      </c>
      <c r="AC7879">
        <v>12.682099999999901</v>
      </c>
      <c r="AD7879">
        <v>-1.114491306618</v>
      </c>
      <c r="AE7879">
        <v>17.9482</v>
      </c>
      <c r="AF7879">
        <v>9.0465644869138107</v>
      </c>
      <c r="AG7879">
        <v>-1.114491306618</v>
      </c>
      <c r="AH7879">
        <v>19.9664364172422</v>
      </c>
      <c r="AI7879">
        <v>92.910578482080098</v>
      </c>
      <c r="AJ7879">
        <v>65.625262267472095</v>
      </c>
      <c r="AK7879">
        <v>21.948599114572101</v>
      </c>
      <c r="AL7879">
        <v>79.079737301400598</v>
      </c>
      <c r="AM7879">
        <v>77.8865029074218</v>
      </c>
      <c r="AN7879">
        <v>0.99999999130196904</v>
      </c>
    </row>
    <row r="7880" spans="1:40" x14ac:dyDescent="0.25">
      <c r="A7880" t="str">
        <f>"20190303170441832"</f>
        <v>20190303170441832</v>
      </c>
      <c r="B7880" t="str">
        <f>"1551603881823370"</f>
        <v>1551603881823370</v>
      </c>
      <c r="C7880" t="s">
        <v>40</v>
      </c>
      <c r="D7880">
        <v>4.4747009999999996</v>
      </c>
      <c r="E7880">
        <v>0.59136919999999904</v>
      </c>
      <c r="F7880" t="s">
        <v>90</v>
      </c>
      <c r="G7880">
        <v>-173.53139999999999</v>
      </c>
      <c r="H7880" s="1">
        <v>-4.2613080000000004E-6</v>
      </c>
      <c r="I7880">
        <v>137.18600000000001</v>
      </c>
      <c r="J7880">
        <v>-186.03579999999999</v>
      </c>
      <c r="K7880">
        <v>1.1141559999999999</v>
      </c>
      <c r="L7880">
        <v>119.8027</v>
      </c>
      <c r="M7880">
        <v>0.19692850000000001</v>
      </c>
      <c r="N7880">
        <v>-1.429544E-2</v>
      </c>
      <c r="O7880">
        <v>0.98031360000000001</v>
      </c>
      <c r="P7880">
        <v>0.3890438</v>
      </c>
      <c r="Q7880">
        <v>0.17879100000000001</v>
      </c>
      <c r="R7880">
        <v>0.90370280000000003</v>
      </c>
      <c r="S7880">
        <v>1.827118</v>
      </c>
      <c r="T7880">
        <v>-0.16194829999999999</v>
      </c>
      <c r="U7880">
        <v>2.572327</v>
      </c>
      <c r="V7880">
        <v>0.20689340000000001</v>
      </c>
      <c r="W7880">
        <v>0.1888195</v>
      </c>
      <c r="X7880">
        <v>0.95996999999999999</v>
      </c>
      <c r="Y7880">
        <v>0.40656150000000002</v>
      </c>
      <c r="Z7880">
        <v>-3.9000090000000001E-2</v>
      </c>
      <c r="AA7880">
        <v>0.91279060000000001</v>
      </c>
      <c r="AB7880">
        <v>33</v>
      </c>
      <c r="AC7880">
        <v>12.5044</v>
      </c>
      <c r="AD7880">
        <v>-1.1141602613079999</v>
      </c>
      <c r="AE7880">
        <v>17.383299999999998</v>
      </c>
      <c r="AF7880">
        <v>8.8120135039868099</v>
      </c>
      <c r="AG7880">
        <v>-1.1141602613079999</v>
      </c>
      <c r="AH7880">
        <v>19.452889131227298</v>
      </c>
      <c r="AI7880">
        <v>92.986500930060103</v>
      </c>
      <c r="AJ7880">
        <v>65.629828645426599</v>
      </c>
      <c r="AK7880">
        <v>21.384756969255999</v>
      </c>
      <c r="AL7880">
        <v>79.1161008729744</v>
      </c>
      <c r="AM7880">
        <v>77.837607475649307</v>
      </c>
      <c r="AN7880">
        <v>1.0000000417218999</v>
      </c>
    </row>
    <row r="7881" spans="1:40" x14ac:dyDescent="0.25">
      <c r="A7881" t="str">
        <f>"20190303170441854"</f>
        <v>20190303170441854</v>
      </c>
      <c r="B7881" t="str">
        <f>"1551603881843867"</f>
        <v>1551603881843867</v>
      </c>
      <c r="C7881" t="s">
        <v>40</v>
      </c>
      <c r="D7881">
        <v>4.4552329999999998</v>
      </c>
      <c r="E7881">
        <v>0.59148469999999997</v>
      </c>
      <c r="F7881" t="s">
        <v>90</v>
      </c>
      <c r="G7881">
        <v>-173.4563</v>
      </c>
      <c r="H7881" s="1">
        <v>-4.2156230000000003E-6</v>
      </c>
      <c r="I7881">
        <v>137.1533</v>
      </c>
      <c r="J7881">
        <v>-185.96209999999999</v>
      </c>
      <c r="K7881">
        <v>1.1137889999999999</v>
      </c>
      <c r="L7881">
        <v>120.126</v>
      </c>
      <c r="M7881">
        <v>0.20588329999999999</v>
      </c>
      <c r="N7881">
        <v>-1.4344010000000001E-2</v>
      </c>
      <c r="O7881">
        <v>0.97847139999999999</v>
      </c>
      <c r="P7881">
        <v>0.3986536</v>
      </c>
      <c r="Q7881">
        <v>0.17807629999999999</v>
      </c>
      <c r="R7881">
        <v>0.89964659999999996</v>
      </c>
      <c r="S7881">
        <v>1.8522339999999999</v>
      </c>
      <c r="T7881">
        <v>-0.164051799999999</v>
      </c>
      <c r="U7881">
        <v>2.5547490000000002</v>
      </c>
      <c r="V7881">
        <v>0.20848059999999999</v>
      </c>
      <c r="W7881">
        <v>0.1879334</v>
      </c>
      <c r="X7881">
        <v>0.9598004</v>
      </c>
      <c r="Y7881">
        <v>0.4070588</v>
      </c>
      <c r="Z7881">
        <v>-3.9688649999999999E-2</v>
      </c>
      <c r="AA7881">
        <v>0.91253930000000005</v>
      </c>
      <c r="AB7881">
        <v>33</v>
      </c>
      <c r="AC7881">
        <v>12.505799999999899</v>
      </c>
      <c r="AD7881">
        <v>-1.1137932156229999</v>
      </c>
      <c r="AE7881">
        <v>17.027299999999901</v>
      </c>
      <c r="AF7881">
        <v>8.7076269944348006</v>
      </c>
      <c r="AG7881">
        <v>-1.1137932156229999</v>
      </c>
      <c r="AH7881">
        <v>19.184119636274499</v>
      </c>
      <c r="AI7881">
        <v>93.026240218781496</v>
      </c>
      <c r="AJ7881">
        <v>65.586813200893502</v>
      </c>
      <c r="AK7881">
        <v>21.097245067076098</v>
      </c>
      <c r="AL7881">
        <v>79.167795334933402</v>
      </c>
      <c r="AM7881">
        <v>77.7450115922978</v>
      </c>
      <c r="AN7881">
        <v>0.99999996562603899</v>
      </c>
    </row>
    <row r="7882" spans="1:40" x14ac:dyDescent="0.25">
      <c r="A7882" t="str">
        <f>"20190303170441878"</f>
        <v>20190303170441878</v>
      </c>
      <c r="B7882" t="str">
        <f>"1551603881863386"</f>
        <v>1551603881863386</v>
      </c>
      <c r="C7882" t="s">
        <v>40</v>
      </c>
      <c r="D7882">
        <v>4.4727449999999997</v>
      </c>
      <c r="E7882">
        <v>0.59163080000000001</v>
      </c>
      <c r="F7882" t="s">
        <v>90</v>
      </c>
      <c r="G7882">
        <v>-173.23660000000001</v>
      </c>
      <c r="H7882" s="1">
        <v>-4.1568809999999996E-6</v>
      </c>
      <c r="I7882">
        <v>137.25540000000001</v>
      </c>
      <c r="J7882">
        <v>-185.88079999999999</v>
      </c>
      <c r="K7882">
        <v>1.1133690000000001</v>
      </c>
      <c r="L7882">
        <v>120.4652</v>
      </c>
      <c r="M7882">
        <v>0.21584739999999999</v>
      </c>
      <c r="N7882">
        <v>-1.440804E-2</v>
      </c>
      <c r="O7882">
        <v>0.97632079999999999</v>
      </c>
      <c r="P7882">
        <v>0.40975299999999998</v>
      </c>
      <c r="Q7882">
        <v>0.1783148</v>
      </c>
      <c r="R7882">
        <v>0.89459840000000002</v>
      </c>
      <c r="S7882">
        <v>1.882004</v>
      </c>
      <c r="T7882">
        <v>-0.16472029999999999</v>
      </c>
      <c r="U7882">
        <v>2.5332789999999998</v>
      </c>
      <c r="V7882">
        <v>0.21078530000000001</v>
      </c>
      <c r="W7882">
        <v>0.18796860000000001</v>
      </c>
      <c r="X7882">
        <v>0.95928999999999998</v>
      </c>
      <c r="Y7882">
        <v>0.40835470000000001</v>
      </c>
      <c r="Z7882">
        <v>-3.9910330000000001E-2</v>
      </c>
      <c r="AA7882">
        <v>0.91195040000000005</v>
      </c>
      <c r="AB7882">
        <v>33</v>
      </c>
      <c r="AC7882">
        <v>12.6441999999999</v>
      </c>
      <c r="AD7882">
        <v>-1.1133731568809999</v>
      </c>
      <c r="AE7882">
        <v>16.790199999999999</v>
      </c>
      <c r="AF7882">
        <v>8.6971765454502208</v>
      </c>
      <c r="AG7882">
        <v>-1.1133731568809999</v>
      </c>
      <c r="AH7882">
        <v>19.0703153053298</v>
      </c>
      <c r="AI7882">
        <v>93.040646965330893</v>
      </c>
      <c r="AJ7882">
        <v>65.484246517630694</v>
      </c>
      <c r="AK7882">
        <v>20.989459390224699</v>
      </c>
      <c r="AL7882">
        <v>79.1657419839851</v>
      </c>
      <c r="AM7882">
        <v>77.607309032551399</v>
      </c>
      <c r="AN7882">
        <v>0.99999997069102398</v>
      </c>
    </row>
    <row r="7883" spans="1:40" x14ac:dyDescent="0.25">
      <c r="A7883" t="str">
        <f>"20190303170441899"</f>
        <v>20190303170441899</v>
      </c>
      <c r="B7883" t="str">
        <f>"1551603881893642"</f>
        <v>1551603881893642</v>
      </c>
      <c r="C7883" t="s">
        <v>40</v>
      </c>
      <c r="D7883">
        <v>4.4321549999999998</v>
      </c>
      <c r="E7883">
        <v>0.59185059999999901</v>
      </c>
      <c r="F7883" t="s">
        <v>90</v>
      </c>
      <c r="G7883">
        <v>-172.84700000000001</v>
      </c>
      <c r="H7883" s="1">
        <v>-4.0907109999999997E-6</v>
      </c>
      <c r="I7883">
        <v>137.53630000000001</v>
      </c>
      <c r="J7883">
        <v>-185.79929999999999</v>
      </c>
      <c r="K7883">
        <v>1.1129420000000001</v>
      </c>
      <c r="L7883">
        <v>120.7886</v>
      </c>
      <c r="M7883">
        <v>0.22586300000000001</v>
      </c>
      <c r="N7883">
        <v>-1.447566E-2</v>
      </c>
      <c r="O7883">
        <v>0.97405149999999996</v>
      </c>
      <c r="P7883">
        <v>0.4209214</v>
      </c>
      <c r="Q7883">
        <v>0.17811450000000001</v>
      </c>
      <c r="R7883">
        <v>0.88943830000000002</v>
      </c>
      <c r="S7883">
        <v>1.915451</v>
      </c>
      <c r="T7883">
        <v>-0.1636214</v>
      </c>
      <c r="U7883">
        <v>2.508759</v>
      </c>
      <c r="V7883">
        <v>0.21312639999999999</v>
      </c>
      <c r="W7883">
        <v>0.18756909999999999</v>
      </c>
      <c r="X7883">
        <v>0.95885089999999995</v>
      </c>
      <c r="Y7883">
        <v>0.4109699</v>
      </c>
      <c r="Z7883">
        <v>-3.9563279999999999E-2</v>
      </c>
      <c r="AA7883">
        <v>0.91079010000000005</v>
      </c>
      <c r="AB7883">
        <v>33</v>
      </c>
      <c r="AC7883">
        <v>12.9522999999999</v>
      </c>
      <c r="AD7883">
        <v>-1.112946090711</v>
      </c>
      <c r="AE7883">
        <v>16.747699999999998</v>
      </c>
      <c r="AF7883">
        <v>8.81010220601115</v>
      </c>
      <c r="AG7883">
        <v>-1.112946090711</v>
      </c>
      <c r="AH7883">
        <v>19.1875626989581</v>
      </c>
      <c r="AI7883">
        <v>93.017411102687007</v>
      </c>
      <c r="AJ7883">
        <v>65.337451202007003</v>
      </c>
      <c r="AK7883">
        <v>21.142826495235699</v>
      </c>
      <c r="AL7883">
        <v>79.189046902163298</v>
      </c>
      <c r="AM7883">
        <v>77.468435030870097</v>
      </c>
      <c r="AN7883">
        <v>1.00000003904128</v>
      </c>
    </row>
    <row r="7884" spans="1:40" x14ac:dyDescent="0.25">
      <c r="A7884" t="str">
        <f>"20190303170441920"</f>
        <v>20190303170441920</v>
      </c>
      <c r="B7884" t="str">
        <f>"1551603881913162"</f>
        <v>1551603881913162</v>
      </c>
      <c r="C7884" t="s">
        <v>40</v>
      </c>
      <c r="D7884">
        <v>4.4455140000000002</v>
      </c>
      <c r="E7884">
        <v>0.59193090000000004</v>
      </c>
      <c r="F7884" t="s">
        <v>90</v>
      </c>
      <c r="G7884">
        <v>-172.87370000000001</v>
      </c>
      <c r="H7884" s="1">
        <v>-4.009994E-6</v>
      </c>
      <c r="I7884">
        <v>137.29230000000001</v>
      </c>
      <c r="J7884">
        <v>-185.71549999999999</v>
      </c>
      <c r="K7884">
        <v>1.1125499999999999</v>
      </c>
      <c r="L7884">
        <v>121.1057</v>
      </c>
      <c r="M7884">
        <v>0.23611750000000001</v>
      </c>
      <c r="N7884">
        <v>-1.454329E-2</v>
      </c>
      <c r="O7884">
        <v>0.97161569999999997</v>
      </c>
      <c r="P7884">
        <v>0.43185200000000001</v>
      </c>
      <c r="Q7884">
        <v>0.17780379999999901</v>
      </c>
      <c r="R7884">
        <v>0.88424519999999995</v>
      </c>
      <c r="S7884">
        <v>1.9464870000000001</v>
      </c>
      <c r="T7884">
        <v>-0.16760059999999999</v>
      </c>
      <c r="U7884">
        <v>2.4853209999999999</v>
      </c>
      <c r="V7884">
        <v>0.21499770000000001</v>
      </c>
      <c r="W7884">
        <v>0.18708050000000001</v>
      </c>
      <c r="X7884">
        <v>0.95852850000000001</v>
      </c>
      <c r="Y7884">
        <v>0.41254540000000001</v>
      </c>
      <c r="Z7884">
        <v>-4.084803E-2</v>
      </c>
      <c r="AA7884">
        <v>0.91002070000000002</v>
      </c>
      <c r="AB7884">
        <v>33</v>
      </c>
      <c r="AC7884">
        <v>12.8417999999999</v>
      </c>
      <c r="AD7884">
        <v>-1.1125540099939999</v>
      </c>
      <c r="AE7884">
        <v>16.186599999999999</v>
      </c>
      <c r="AF7884">
        <v>8.6312453937278892</v>
      </c>
      <c r="AG7884">
        <v>-1.1125540099939999</v>
      </c>
      <c r="AH7884">
        <v>18.707074105983001</v>
      </c>
      <c r="AI7884">
        <v>93.0910590127652</v>
      </c>
      <c r="AJ7884">
        <v>65.231901382488104</v>
      </c>
      <c r="AK7884">
        <v>20.6322755671459</v>
      </c>
      <c r="AL7884">
        <v>79.217545738826502</v>
      </c>
      <c r="AM7884">
        <v>77.357810493477999</v>
      </c>
      <c r="AN7884">
        <v>1.00000000489889</v>
      </c>
    </row>
    <row r="7885" spans="1:40" x14ac:dyDescent="0.25">
      <c r="A7885" t="str">
        <f>"20190303170441944"</f>
        <v>20190303170441944</v>
      </c>
      <c r="B7885" t="str">
        <f>"1551603881933659"</f>
        <v>1551603881933659</v>
      </c>
      <c r="C7885" t="s">
        <v>40</v>
      </c>
      <c r="D7885">
        <v>4.4717269999999996</v>
      </c>
      <c r="E7885">
        <v>0.59196910000000003</v>
      </c>
      <c r="F7885" t="s">
        <v>90</v>
      </c>
      <c r="G7885">
        <v>-172.82220000000001</v>
      </c>
      <c r="H7885" s="1">
        <v>-3.9398160000000004E-6</v>
      </c>
      <c r="I7885">
        <v>137.16749999999999</v>
      </c>
      <c r="J7885">
        <v>-185.62450000000001</v>
      </c>
      <c r="K7885">
        <v>1.1121589999999999</v>
      </c>
      <c r="L7885">
        <v>121.43429999999999</v>
      </c>
      <c r="M7885">
        <v>0.24720500000000001</v>
      </c>
      <c r="N7885">
        <v>-1.461055E-2</v>
      </c>
      <c r="O7885">
        <v>0.96885310000000002</v>
      </c>
      <c r="P7885">
        <v>0.44386249999999999</v>
      </c>
      <c r="Q7885">
        <v>0.1776992</v>
      </c>
      <c r="R7885">
        <v>0.87829889999999999</v>
      </c>
      <c r="S7885">
        <v>1.9762120000000001</v>
      </c>
      <c r="T7885">
        <v>-0.1705256</v>
      </c>
      <c r="U7885">
        <v>2.4618679999999999</v>
      </c>
      <c r="V7885">
        <v>0.2172789</v>
      </c>
      <c r="W7885">
        <v>0.18678629999999999</v>
      </c>
      <c r="X7885">
        <v>0.95807140000000002</v>
      </c>
      <c r="Y7885">
        <v>0.4130238</v>
      </c>
      <c r="Z7885">
        <v>-4.1789199999999999E-2</v>
      </c>
      <c r="AA7885">
        <v>0.90976100000000004</v>
      </c>
      <c r="AB7885">
        <v>33</v>
      </c>
      <c r="AC7885">
        <v>12.802300000000001</v>
      </c>
      <c r="AD7885">
        <v>-1.112162939816</v>
      </c>
      <c r="AE7885">
        <v>15.733199999999901</v>
      </c>
      <c r="AF7885">
        <v>8.4896081135674404</v>
      </c>
      <c r="AG7885">
        <v>-1.112162939816</v>
      </c>
      <c r="AH7885">
        <v>18.354735627006601</v>
      </c>
      <c r="AI7885">
        <v>93.147807673186406</v>
      </c>
      <c r="AJ7885">
        <v>65.178062639622595</v>
      </c>
      <c r="AK7885">
        <v>20.253559496146799</v>
      </c>
      <c r="AL7885">
        <v>79.234704841479399</v>
      </c>
      <c r="AM7885">
        <v>77.222156624521503</v>
      </c>
      <c r="AN7885">
        <v>1.0000000248754199</v>
      </c>
    </row>
    <row r="7886" spans="1:40" x14ac:dyDescent="0.25">
      <c r="A7886" t="str">
        <f>"20190303170441965"</f>
        <v>20190303170441965</v>
      </c>
      <c r="B7886" t="str">
        <f>"1551603881953178"</f>
        <v>1551603881953178</v>
      </c>
      <c r="C7886" t="s">
        <v>40</v>
      </c>
      <c r="D7886">
        <v>4.4926529999999998</v>
      </c>
      <c r="E7886">
        <v>0.591978</v>
      </c>
      <c r="F7886" t="s">
        <v>90</v>
      </c>
      <c r="G7886">
        <v>-172.56950000000001</v>
      </c>
      <c r="H7886" s="1">
        <v>-3.8569960000000004E-6</v>
      </c>
      <c r="I7886">
        <v>137.24469999999999</v>
      </c>
      <c r="J7886">
        <v>-185.5335</v>
      </c>
      <c r="K7886">
        <v>1.1118049999999999</v>
      </c>
      <c r="L7886">
        <v>121.74809999999999</v>
      </c>
      <c r="M7886">
        <v>0.25821929999999998</v>
      </c>
      <c r="N7886">
        <v>-1.467571E-2</v>
      </c>
      <c r="O7886">
        <v>0.96597489999999997</v>
      </c>
      <c r="P7886">
        <v>0.4565748</v>
      </c>
      <c r="Q7886">
        <v>0.177647</v>
      </c>
      <c r="R7886">
        <v>0.87176889999999996</v>
      </c>
      <c r="S7886">
        <v>2.0102229999999999</v>
      </c>
      <c r="T7886">
        <v>-0.17125109999999999</v>
      </c>
      <c r="U7886">
        <v>2.4344790000000001</v>
      </c>
      <c r="V7886">
        <v>0.22045290000000001</v>
      </c>
      <c r="W7886">
        <v>0.1865291</v>
      </c>
      <c r="X7886">
        <v>0.95739609999999997</v>
      </c>
      <c r="Y7886">
        <v>0.41523100000000002</v>
      </c>
      <c r="Z7886">
        <v>-4.2032720000000003E-2</v>
      </c>
      <c r="AA7886">
        <v>0.90874440000000001</v>
      </c>
      <c r="AB7886">
        <v>33</v>
      </c>
      <c r="AC7886">
        <v>12.964</v>
      </c>
      <c r="AD7886">
        <v>-1.1118088569960001</v>
      </c>
      <c r="AE7886">
        <v>15.496600000000001</v>
      </c>
      <c r="AF7886">
        <v>8.4965659758320093</v>
      </c>
      <c r="AG7886">
        <v>-1.1118088569960001</v>
      </c>
      <c r="AH7886">
        <v>18.263548959185801</v>
      </c>
      <c r="AI7886">
        <v>93.159247599819494</v>
      </c>
      <c r="AJ7886">
        <v>65.0512149780877</v>
      </c>
      <c r="AK7886">
        <v>20.173868565566099</v>
      </c>
      <c r="AL7886">
        <v>79.249704011110595</v>
      </c>
      <c r="AM7886">
        <v>77.032924504308198</v>
      </c>
      <c r="AN7886">
        <v>0.99999993928021302</v>
      </c>
    </row>
    <row r="7887" spans="1:40" x14ac:dyDescent="0.25">
      <c r="A7887" t="str">
        <f>"20190303170441989"</f>
        <v>20190303170441989</v>
      </c>
      <c r="B7887" t="str">
        <f>"1551603881983434"</f>
        <v>1551603881983434</v>
      </c>
      <c r="C7887" t="s">
        <v>40</v>
      </c>
      <c r="D7887">
        <v>4.4385120000000002</v>
      </c>
      <c r="E7887">
        <v>0.59198680000000004</v>
      </c>
      <c r="F7887" t="s">
        <v>90</v>
      </c>
      <c r="G7887">
        <v>-172.33459999999999</v>
      </c>
      <c r="H7887" s="1">
        <v>-3.762247E-6</v>
      </c>
      <c r="I7887">
        <v>137.26949999999999</v>
      </c>
      <c r="J7887">
        <v>-185.43209999999999</v>
      </c>
      <c r="K7887">
        <v>1.111429</v>
      </c>
      <c r="L7887">
        <v>122.0821</v>
      </c>
      <c r="M7887">
        <v>0.27038980000000001</v>
      </c>
      <c r="N7887">
        <v>-1.4748839999999999E-2</v>
      </c>
      <c r="O7887">
        <v>0.96263799999999999</v>
      </c>
      <c r="P7887">
        <v>0.47087770000000001</v>
      </c>
      <c r="Q7887">
        <v>0.17746219999999999</v>
      </c>
      <c r="R7887">
        <v>0.86416510000000002</v>
      </c>
      <c r="S7887">
        <v>2.0453030000000001</v>
      </c>
      <c r="T7887">
        <v>-0.17228579999999999</v>
      </c>
      <c r="U7887">
        <v>2.4051819999999999</v>
      </c>
      <c r="V7887">
        <v>0.22430720000000001</v>
      </c>
      <c r="W7887">
        <v>0.18611449999999999</v>
      </c>
      <c r="X7887">
        <v>0.95658120000000002</v>
      </c>
      <c r="Y7887">
        <v>0.41689480000000001</v>
      </c>
      <c r="Z7887">
        <v>-4.2367589999999997E-2</v>
      </c>
      <c r="AA7887">
        <v>0.90796679999999996</v>
      </c>
      <c r="AB7887">
        <v>33</v>
      </c>
      <c r="AC7887">
        <v>13.097499999999901</v>
      </c>
      <c r="AD7887">
        <v>-1.1114327622469999</v>
      </c>
      <c r="AE7887">
        <v>15.187399999999901</v>
      </c>
      <c r="AF7887">
        <v>8.4765236253955898</v>
      </c>
      <c r="AG7887">
        <v>-1.1114327622469999</v>
      </c>
      <c r="AH7887">
        <v>18.107759166110799</v>
      </c>
      <c r="AI7887">
        <v>93.181771358115498</v>
      </c>
      <c r="AJ7887">
        <v>64.914975254104704</v>
      </c>
      <c r="AK7887">
        <v>20.024427022383399</v>
      </c>
      <c r="AL7887">
        <v>79.273882454296398</v>
      </c>
      <c r="AM7887">
        <v>76.803230145893394</v>
      </c>
      <c r="AN7887">
        <v>0.999999959637764</v>
      </c>
    </row>
    <row r="7888" spans="1:40" x14ac:dyDescent="0.25">
      <c r="A7888" t="str">
        <f>"20190303170442011"</f>
        <v>20190303170442011</v>
      </c>
      <c r="B7888" t="str">
        <f>"1551603882003931"</f>
        <v>1551603882003931</v>
      </c>
      <c r="C7888" t="s">
        <v>40</v>
      </c>
      <c r="D7888">
        <v>4.4587680000000001</v>
      </c>
      <c r="E7888">
        <v>0.59192599999999995</v>
      </c>
      <c r="F7888" t="s">
        <v>90</v>
      </c>
      <c r="G7888">
        <v>-172.1557</v>
      </c>
      <c r="H7888" s="1">
        <v>-3.6519199999999998E-6</v>
      </c>
      <c r="I7888">
        <v>137.18780000000001</v>
      </c>
      <c r="J7888">
        <v>-185.3321</v>
      </c>
      <c r="K7888">
        <v>1.11107</v>
      </c>
      <c r="L7888">
        <v>122.39619999999999</v>
      </c>
      <c r="M7888">
        <v>0.282248</v>
      </c>
      <c r="N7888">
        <v>-1.482108E-2</v>
      </c>
      <c r="O7888">
        <v>0.95922700000000005</v>
      </c>
      <c r="P7888">
        <v>0.48400850000000001</v>
      </c>
      <c r="Q7888">
        <v>0.1772879</v>
      </c>
      <c r="R7888">
        <v>0.85691589999999995</v>
      </c>
      <c r="S7888">
        <v>2.0843959999999999</v>
      </c>
      <c r="T7888">
        <v>-0.1744955</v>
      </c>
      <c r="U7888">
        <v>2.371597</v>
      </c>
      <c r="V7888">
        <v>0.22724659999999999</v>
      </c>
      <c r="W7888">
        <v>0.18574209999999999</v>
      </c>
      <c r="X7888">
        <v>0.95595969999999997</v>
      </c>
      <c r="Y7888">
        <v>0.42047309999999999</v>
      </c>
      <c r="Z7888">
        <v>-4.3096839999999997E-2</v>
      </c>
      <c r="AA7888">
        <v>0.90628089999999994</v>
      </c>
      <c r="AB7888">
        <v>33</v>
      </c>
      <c r="AC7888">
        <v>13.176399999999999</v>
      </c>
      <c r="AD7888">
        <v>-1.11107365192</v>
      </c>
      <c r="AE7888">
        <v>14.791600000000001</v>
      </c>
      <c r="AF7888">
        <v>8.4386415398674792</v>
      </c>
      <c r="AG7888">
        <v>-1.11107365192</v>
      </c>
      <c r="AH7888">
        <v>17.853316477053301</v>
      </c>
      <c r="AI7888">
        <v>93.220345578870806</v>
      </c>
      <c r="AJ7888">
        <v>64.701527983763</v>
      </c>
      <c r="AK7888">
        <v>19.7784242276322</v>
      </c>
      <c r="AL7888">
        <v>79.295598992157693</v>
      </c>
      <c r="AM7888">
        <v>76.628084968996106</v>
      </c>
      <c r="AN7888">
        <v>1.00000004647402</v>
      </c>
    </row>
    <row r="7889" spans="1:40" x14ac:dyDescent="0.25">
      <c r="A7889" t="str">
        <f>"20190303170442032"</f>
        <v>20190303170442032</v>
      </c>
      <c r="B7889" t="str">
        <f>"1551603882023451"</f>
        <v>1551603882023451</v>
      </c>
      <c r="C7889" t="s">
        <v>40</v>
      </c>
      <c r="D7889">
        <v>4.4634199999999904</v>
      </c>
      <c r="E7889">
        <v>0.59185909999999997</v>
      </c>
      <c r="F7889" t="s">
        <v>90</v>
      </c>
      <c r="G7889">
        <v>-171.97370000000001</v>
      </c>
      <c r="H7889" s="1">
        <v>-3.555896E-6</v>
      </c>
      <c r="I7889">
        <v>137.1474</v>
      </c>
      <c r="J7889">
        <v>-185.2312</v>
      </c>
      <c r="K7889">
        <v>1.110741</v>
      </c>
      <c r="L7889">
        <v>122.6996</v>
      </c>
      <c r="M7889">
        <v>0.29407280000000002</v>
      </c>
      <c r="N7889">
        <v>-1.489323E-2</v>
      </c>
      <c r="O7889">
        <v>0.95566700000000004</v>
      </c>
      <c r="P7889">
        <v>0.49484020000000001</v>
      </c>
      <c r="Q7889">
        <v>0.177453</v>
      </c>
      <c r="R7889">
        <v>0.8506724</v>
      </c>
      <c r="S7889">
        <v>2.119354</v>
      </c>
      <c r="T7889">
        <v>-0.1762753</v>
      </c>
      <c r="U7889">
        <v>2.3403320000000001</v>
      </c>
      <c r="V7889">
        <v>0.2277323</v>
      </c>
      <c r="W7889">
        <v>0.18578520000000001</v>
      </c>
      <c r="X7889">
        <v>0.95583569999999995</v>
      </c>
      <c r="Y7889">
        <v>0.42271009999999998</v>
      </c>
      <c r="Z7889">
        <v>-4.3672889999999999E-2</v>
      </c>
      <c r="AA7889">
        <v>0.90521200000000002</v>
      </c>
      <c r="AB7889">
        <v>33</v>
      </c>
      <c r="AC7889">
        <v>13.257499999999901</v>
      </c>
      <c r="AD7889">
        <v>-1.1107445558960001</v>
      </c>
      <c r="AE7889">
        <v>14.447800000000001</v>
      </c>
      <c r="AF7889">
        <v>8.3950468383021501</v>
      </c>
      <c r="AG7889">
        <v>-1.1107445558960001</v>
      </c>
      <c r="AH7889">
        <v>17.651281495565598</v>
      </c>
      <c r="AI7889">
        <v>93.252467599281303</v>
      </c>
      <c r="AJ7889">
        <v>64.563981757643703</v>
      </c>
      <c r="AK7889">
        <v>19.5774948173007</v>
      </c>
      <c r="AL7889">
        <v>79.293085440231707</v>
      </c>
      <c r="AM7889">
        <v>76.598858938133802</v>
      </c>
      <c r="AN7889">
        <v>1.0000000131984099</v>
      </c>
    </row>
    <row r="7890" spans="1:40" x14ac:dyDescent="0.25">
      <c r="A7890" t="str">
        <f>"20190303170442054"</f>
        <v>20190303170442054</v>
      </c>
      <c r="B7890" t="str">
        <f>"1551603882043946"</f>
        <v>1551603882043946</v>
      </c>
      <c r="C7890" t="s">
        <v>40</v>
      </c>
      <c r="D7890">
        <v>4.4751640000000004</v>
      </c>
      <c r="E7890">
        <v>0.59180519999999903</v>
      </c>
      <c r="F7890" t="s">
        <v>90</v>
      </c>
      <c r="G7890">
        <v>-171.69970000000001</v>
      </c>
      <c r="H7890" s="1">
        <v>-3.4802280000000001E-6</v>
      </c>
      <c r="I7890">
        <v>137.26820000000001</v>
      </c>
      <c r="J7890">
        <v>-185.12209999999999</v>
      </c>
      <c r="K7890">
        <v>1.1104069999999999</v>
      </c>
      <c r="L7890">
        <v>123.0136</v>
      </c>
      <c r="M7890">
        <v>0.30667759999999999</v>
      </c>
      <c r="N7890">
        <v>-1.496946E-2</v>
      </c>
      <c r="O7890">
        <v>0.95169570000000003</v>
      </c>
      <c r="P7890">
        <v>0.50701019999999997</v>
      </c>
      <c r="Q7890">
        <v>0.17827229999999999</v>
      </c>
      <c r="R7890">
        <v>0.84330280000000002</v>
      </c>
      <c r="S7890">
        <v>2.1487729999999998</v>
      </c>
      <c r="T7890">
        <v>-0.1763844</v>
      </c>
      <c r="U7890">
        <v>2.3134769999999998</v>
      </c>
      <c r="V7890">
        <v>0.22906070000000001</v>
      </c>
      <c r="W7890">
        <v>0.18645510000000001</v>
      </c>
      <c r="X7890">
        <v>0.95538769999999995</v>
      </c>
      <c r="Y7890">
        <v>0.42215390000000003</v>
      </c>
      <c r="Z7890">
        <v>-4.3667600000000001E-2</v>
      </c>
      <c r="AA7890">
        <v>0.90547180000000005</v>
      </c>
      <c r="AB7890">
        <v>33</v>
      </c>
      <c r="AC7890">
        <v>13.4223999999999</v>
      </c>
      <c r="AD7890">
        <v>-1.1104104802279999</v>
      </c>
      <c r="AE7890">
        <v>14.2546</v>
      </c>
      <c r="AF7890">
        <v>8.3764738118645496</v>
      </c>
      <c r="AG7890">
        <v>-1.1104104802279999</v>
      </c>
      <c r="AH7890">
        <v>17.627675773946301</v>
      </c>
      <c r="AI7890">
        <v>93.256361296080001</v>
      </c>
      <c r="AJ7890">
        <v>64.583457232334695</v>
      </c>
      <c r="AK7890">
        <v>19.548229539956498</v>
      </c>
      <c r="AL7890">
        <v>79.254020084860997</v>
      </c>
      <c r="AM7890">
        <v>76.517442745234902</v>
      </c>
      <c r="AN7890">
        <v>0.99999998295589398</v>
      </c>
    </row>
    <row r="7891" spans="1:40" x14ac:dyDescent="0.25">
      <c r="A7891" t="str">
        <f>"20190303170442067"</f>
        <v>20190303170442067</v>
      </c>
      <c r="B7891" t="str">
        <f>"1551603882053706"</f>
        <v>1551603882053706</v>
      </c>
      <c r="C7891" t="s">
        <v>40</v>
      </c>
      <c r="D7891">
        <v>4.4693800000000001</v>
      </c>
      <c r="E7891">
        <v>0.59180519999999903</v>
      </c>
      <c r="F7891" t="s">
        <v>90</v>
      </c>
      <c r="G7891">
        <v>-171.2423</v>
      </c>
      <c r="H7891" s="1">
        <v>-3.3786569999999998E-6</v>
      </c>
      <c r="I7891">
        <v>137.5351</v>
      </c>
      <c r="J7891">
        <v>-185.06139999999999</v>
      </c>
      <c r="K7891">
        <v>1.110242</v>
      </c>
      <c r="L7891">
        <v>123.18040000000001</v>
      </c>
      <c r="M7891">
        <v>0.31357400000000002</v>
      </c>
      <c r="N7891">
        <v>-1.501182E-2</v>
      </c>
      <c r="O7891">
        <v>0.94944510000000004</v>
      </c>
      <c r="P7891">
        <v>0.51374310000000001</v>
      </c>
      <c r="Q7891">
        <v>0.17884169999999999</v>
      </c>
      <c r="R7891">
        <v>0.83909699999999998</v>
      </c>
      <c r="S7891">
        <v>2.1817319999999998</v>
      </c>
      <c r="T7891">
        <v>-0.1745428</v>
      </c>
      <c r="U7891">
        <v>2.2826080000000002</v>
      </c>
      <c r="V7891">
        <v>0.22990969999999999</v>
      </c>
      <c r="W7891">
        <v>0.18694379999999999</v>
      </c>
      <c r="X7891">
        <v>0.9550883</v>
      </c>
      <c r="Y7891">
        <v>0.42853259999999999</v>
      </c>
      <c r="Z7891">
        <v>-4.3133659999999997E-2</v>
      </c>
      <c r="AA7891">
        <v>0.90249619999999997</v>
      </c>
      <c r="AB7891">
        <v>33</v>
      </c>
      <c r="AC7891">
        <v>13.819099999999899</v>
      </c>
      <c r="AD7891">
        <v>-1.1102453786569999</v>
      </c>
      <c r="AE7891">
        <v>14.3546999999999</v>
      </c>
      <c r="AF7891">
        <v>8.5935071183923508</v>
      </c>
      <c r="AG7891">
        <v>-1.1102453786569999</v>
      </c>
      <c r="AH7891">
        <v>17.908732963339201</v>
      </c>
      <c r="AI7891">
        <v>93.199096529802205</v>
      </c>
      <c r="AJ7891">
        <v>64.365975426780594</v>
      </c>
      <c r="AK7891">
        <v>19.894816554743102</v>
      </c>
      <c r="AL7891">
        <v>79.225519309841204</v>
      </c>
      <c r="AM7891">
        <v>76.465219011044496</v>
      </c>
      <c r="AN7891">
        <v>1.0000000576546999</v>
      </c>
    </row>
    <row r="7892" spans="1:40" x14ac:dyDescent="0.25">
      <c r="A7892" t="str">
        <f>"20190303170442078"</f>
        <v>20190303170442078</v>
      </c>
      <c r="B7892" t="str">
        <f>"1551603882063466"</f>
        <v>1551603882063466</v>
      </c>
      <c r="C7892" t="s">
        <v>40</v>
      </c>
      <c r="D7892">
        <v>4.4859390000000001</v>
      </c>
      <c r="E7892">
        <v>0.60877939999999997</v>
      </c>
      <c r="F7892" t="s">
        <v>90</v>
      </c>
      <c r="G7892">
        <v>-170.9067</v>
      </c>
      <c r="H7892" s="1">
        <v>-3.3114970000000001E-6</v>
      </c>
      <c r="I7892">
        <v>137.75020000000001</v>
      </c>
      <c r="J7892">
        <v>-185.00450000000001</v>
      </c>
      <c r="K7892">
        <v>1.110085</v>
      </c>
      <c r="L7892">
        <v>123.3355</v>
      </c>
      <c r="M7892">
        <v>0.32001839999999998</v>
      </c>
      <c r="N7892">
        <v>-1.504984E-2</v>
      </c>
      <c r="O7892">
        <v>0.94729180000000002</v>
      </c>
      <c r="P7892">
        <v>0.52016220000000002</v>
      </c>
      <c r="Q7892">
        <v>0.1795746</v>
      </c>
      <c r="R7892">
        <v>0.83497559999999904</v>
      </c>
      <c r="S7892">
        <v>2.200348</v>
      </c>
      <c r="T7892">
        <v>-0.1725872</v>
      </c>
      <c r="U7892">
        <v>2.2648769999999998</v>
      </c>
      <c r="V7892">
        <v>0.23088890000000001</v>
      </c>
      <c r="W7892">
        <v>0.18759390000000001</v>
      </c>
      <c r="X7892">
        <v>0.95472449999999998</v>
      </c>
      <c r="Y7892">
        <v>0.42976189999999997</v>
      </c>
      <c r="Z7892">
        <v>-4.2500040000000003E-2</v>
      </c>
      <c r="AA7892">
        <v>0.90194149999999995</v>
      </c>
      <c r="AB7892">
        <v>33</v>
      </c>
      <c r="AC7892">
        <v>14.097799999999999</v>
      </c>
      <c r="AD7892">
        <v>-1.1100883114969999</v>
      </c>
      <c r="AE7892">
        <v>14.4147</v>
      </c>
      <c r="AF7892">
        <v>8.71632982858684</v>
      </c>
      <c r="AG7892">
        <v>-1.1100883114969999</v>
      </c>
      <c r="AH7892">
        <v>18.113633102668999</v>
      </c>
      <c r="AI7892">
        <v>93.160869754045706</v>
      </c>
      <c r="AJ7892">
        <v>64.303012851435895</v>
      </c>
      <c r="AK7892">
        <v>20.132322417399799</v>
      </c>
      <c r="AL7892">
        <v>79.187600005117503</v>
      </c>
      <c r="AM7892">
        <v>76.404720762009504</v>
      </c>
      <c r="AN7892">
        <v>1.0000000131803299</v>
      </c>
    </row>
    <row r="7893" spans="1:40" x14ac:dyDescent="0.25">
      <c r="A7893" t="str">
        <f>"20190303170442089"</f>
        <v>20190303170442089</v>
      </c>
      <c r="B7893" t="str">
        <f>"1551603882083963"</f>
        <v>1551603882083963</v>
      </c>
      <c r="C7893" t="s">
        <v>40</v>
      </c>
      <c r="D7893">
        <v>4.5887250000000002</v>
      </c>
      <c r="E7893">
        <v>0.62109099999999995</v>
      </c>
      <c r="F7893" t="s">
        <v>42</v>
      </c>
      <c r="G7893">
        <v>-165.90790000000001</v>
      </c>
      <c r="H7893" s="1">
        <v>-2.3119619999999999E-6</v>
      </c>
      <c r="I7893">
        <v>141.10890000000001</v>
      </c>
      <c r="J7893">
        <v>-184.93860000000001</v>
      </c>
      <c r="K7893">
        <v>1.1099110000000001</v>
      </c>
      <c r="L7893">
        <v>123.5098</v>
      </c>
      <c r="M7893">
        <v>0.32739950000000001</v>
      </c>
      <c r="N7893">
        <v>-1.5093799999999999E-2</v>
      </c>
      <c r="O7893">
        <v>0.94476539999999998</v>
      </c>
      <c r="P7893">
        <v>0.52742599999999995</v>
      </c>
      <c r="Q7893">
        <v>0.18031340000000001</v>
      </c>
      <c r="R7893">
        <v>0.83024629999999999</v>
      </c>
      <c r="S7893">
        <v>2.3312680000000001</v>
      </c>
      <c r="T7893">
        <v>-0.1355169</v>
      </c>
      <c r="U7893">
        <v>2.1697389999999999</v>
      </c>
      <c r="V7893">
        <v>0.23192370000000001</v>
      </c>
      <c r="W7893">
        <v>0.1882453</v>
      </c>
      <c r="X7893">
        <v>0.95434540000000001</v>
      </c>
      <c r="Y7893">
        <v>0.46805540000000001</v>
      </c>
      <c r="Z7893">
        <v>-3.060715E-2</v>
      </c>
      <c r="AA7893">
        <v>0.88316890000000003</v>
      </c>
      <c r="AB7893">
        <v>33</v>
      </c>
      <c r="AC7893">
        <v>19.0307</v>
      </c>
      <c r="AD7893">
        <v>-1.1099133119619999</v>
      </c>
      <c r="AE7893">
        <v>17.5991</v>
      </c>
      <c r="AF7893">
        <v>12.196640535651399</v>
      </c>
      <c r="AG7893">
        <v>-1.1099133119619999</v>
      </c>
      <c r="AH7893">
        <v>22.818430430906702</v>
      </c>
      <c r="AI7893">
        <v>92.456348960260598</v>
      </c>
      <c r="AJ7893">
        <v>61.8751262298249</v>
      </c>
      <c r="AK7893">
        <v>25.8973109655442</v>
      </c>
      <c r="AL7893">
        <v>79.149600616009906</v>
      </c>
      <c r="AM7893">
        <v>76.340844635177305</v>
      </c>
      <c r="AN7893">
        <v>1.0000000190474601</v>
      </c>
    </row>
    <row r="7894" spans="1:40" x14ac:dyDescent="0.25">
      <c r="A7894" t="str">
        <f>"20190303170442102"</f>
        <v>20190303170442102</v>
      </c>
      <c r="B7894" t="str">
        <f>"1551603882093722"</f>
        <v>1551603882093722</v>
      </c>
      <c r="C7894" t="s">
        <v>40</v>
      </c>
      <c r="D7894">
        <v>4.6526050000000003</v>
      </c>
      <c r="E7894">
        <v>0.62570740000000002</v>
      </c>
      <c r="F7894" t="s">
        <v>42</v>
      </c>
      <c r="G7894">
        <v>-153.57550000000001</v>
      </c>
      <c r="H7894">
        <v>7.9986470000000004E-2</v>
      </c>
      <c r="I7894">
        <v>150.43729999999999</v>
      </c>
      <c r="J7894">
        <v>-184.87639999999999</v>
      </c>
      <c r="K7894">
        <v>1.1097490000000001</v>
      </c>
      <c r="L7894">
        <v>123.67059999999999</v>
      </c>
      <c r="M7894">
        <v>0.33429950000000003</v>
      </c>
      <c r="N7894">
        <v>-1.5134480000000001E-2</v>
      </c>
      <c r="O7894">
        <v>0.9423454</v>
      </c>
      <c r="P7894">
        <v>0.53403909999999999</v>
      </c>
      <c r="Q7894">
        <v>0.18063889999999999</v>
      </c>
      <c r="R7894">
        <v>0.82593689999999997</v>
      </c>
      <c r="S7894">
        <v>2.4304809999999999</v>
      </c>
      <c r="T7894">
        <v>-7.9813839999999997E-2</v>
      </c>
      <c r="U7894">
        <v>2.0867460000000002</v>
      </c>
      <c r="V7894">
        <v>0.23267270000000001</v>
      </c>
      <c r="W7894">
        <v>0.1884991</v>
      </c>
      <c r="X7894">
        <v>0.95411290000000004</v>
      </c>
      <c r="Y7894">
        <v>0.49707669999999998</v>
      </c>
      <c r="Z7894">
        <v>-1.277675E-2</v>
      </c>
      <c r="AA7894">
        <v>0.86761250000000001</v>
      </c>
      <c r="AB7894">
        <v>33</v>
      </c>
      <c r="AC7894">
        <v>31.300899999999899</v>
      </c>
      <c r="AD7894">
        <v>-1.02976253</v>
      </c>
      <c r="AE7894">
        <v>26.7667</v>
      </c>
      <c r="AF7894">
        <v>20.5376782940418</v>
      </c>
      <c r="AG7894">
        <v>-1.02976253</v>
      </c>
      <c r="AH7894">
        <v>35.669139398099901</v>
      </c>
      <c r="AI7894">
        <v>91.433183139067197</v>
      </c>
      <c r="AJ7894">
        <v>60.067401130380702</v>
      </c>
      <c r="AK7894">
        <v>41.172128266326297</v>
      </c>
      <c r="AL7894">
        <v>79.134793234298897</v>
      </c>
      <c r="AM7894">
        <v>76.295179430076203</v>
      </c>
      <c r="AN7894">
        <v>0.99999996098625399</v>
      </c>
    </row>
    <row r="7895" spans="1:40" x14ac:dyDescent="0.25">
      <c r="A7895" t="str">
        <f>"20190303170442116"</f>
        <v>20190303170442116</v>
      </c>
      <c r="B7895" t="str">
        <f>"1551603882103482"</f>
        <v>1551603882103482</v>
      </c>
      <c r="C7895" t="s">
        <v>40</v>
      </c>
      <c r="D7895">
        <v>4.6160489999999896</v>
      </c>
      <c r="E7895">
        <v>0.62868239999999997</v>
      </c>
      <c r="F7895" t="s">
        <v>44</v>
      </c>
      <c r="G7895">
        <v>-140.26089999999999</v>
      </c>
      <c r="H7895">
        <v>-0.05</v>
      </c>
      <c r="I7895">
        <v>160.49359999999999</v>
      </c>
      <c r="J7895">
        <v>-184.8021</v>
      </c>
      <c r="K7895">
        <v>1.1095660000000001</v>
      </c>
      <c r="L7895">
        <v>123.8591</v>
      </c>
      <c r="M7895">
        <v>0.34246369999999998</v>
      </c>
      <c r="N7895">
        <v>-1.518134E-2</v>
      </c>
      <c r="O7895">
        <v>0.93940840000000003</v>
      </c>
      <c r="P7895">
        <v>0.54169940000000005</v>
      </c>
      <c r="Q7895">
        <v>0.18107790000000001</v>
      </c>
      <c r="R7895">
        <v>0.82083649999999997</v>
      </c>
      <c r="S7895">
        <v>2.4772639999999999</v>
      </c>
      <c r="T7895">
        <v>-6.4394709999999994E-2</v>
      </c>
      <c r="U7895">
        <v>2.0445859999999998</v>
      </c>
      <c r="V7895">
        <v>0.23339960000000001</v>
      </c>
      <c r="W7895">
        <v>0.18885969999999999</v>
      </c>
      <c r="X7895">
        <v>0.95386400000000005</v>
      </c>
      <c r="Y7895">
        <v>0.50644400000000001</v>
      </c>
      <c r="Z7895">
        <v>-7.8511369999999994E-3</v>
      </c>
      <c r="AA7895">
        <v>0.86223709999999898</v>
      </c>
      <c r="AB7895">
        <v>33</v>
      </c>
      <c r="AC7895">
        <v>44.541200000000003</v>
      </c>
      <c r="AD7895">
        <v>-1.1595659999999901</v>
      </c>
      <c r="AE7895">
        <v>36.634499999999903</v>
      </c>
      <c r="AF7895">
        <v>29.287927458211499</v>
      </c>
      <c r="AG7895">
        <v>-1.1595659999999901</v>
      </c>
      <c r="AH7895">
        <v>49.654152254574001</v>
      </c>
      <c r="AI7895">
        <v>91.152321394509002</v>
      </c>
      <c r="AJ7895">
        <v>59.466262330706201</v>
      </c>
      <c r="AK7895">
        <v>57.659883144403203</v>
      </c>
      <c r="AL7895">
        <v>79.113754317083803</v>
      </c>
      <c r="AM7895">
        <v>76.250534764654006</v>
      </c>
      <c r="AN7895">
        <v>0.99999994503012302</v>
      </c>
    </row>
    <row r="7896" spans="1:40" x14ac:dyDescent="0.25">
      <c r="A7896" t="str">
        <f>"20190303170442127"</f>
        <v>20190303170442127</v>
      </c>
      <c r="B7896" t="str">
        <f>"1551603882113244"</f>
        <v>1551603882113244</v>
      </c>
      <c r="C7896" t="s">
        <v>40</v>
      </c>
      <c r="D7896">
        <v>4.585013</v>
      </c>
      <c r="E7896">
        <v>0.63063719999999901</v>
      </c>
      <c r="F7896" t="s">
        <v>56</v>
      </c>
      <c r="G7896">
        <v>-138.47470000000001</v>
      </c>
      <c r="H7896">
        <v>0.1203747</v>
      </c>
      <c r="I7896">
        <v>160.81899999999999</v>
      </c>
      <c r="J7896">
        <v>-184.73390000000001</v>
      </c>
      <c r="K7896">
        <v>1.1094090000000001</v>
      </c>
      <c r="L7896">
        <v>124.0261</v>
      </c>
      <c r="M7896">
        <v>0.34985680000000002</v>
      </c>
      <c r="N7896">
        <v>-1.522393E-2</v>
      </c>
      <c r="O7896">
        <v>0.9366795</v>
      </c>
      <c r="P7896">
        <v>0.54856870000000002</v>
      </c>
      <c r="Q7896">
        <v>0.1814143</v>
      </c>
      <c r="R7896">
        <v>0.816187</v>
      </c>
      <c r="S7896">
        <v>2.51532</v>
      </c>
      <c r="T7896">
        <v>-5.3705570000000001E-2</v>
      </c>
      <c r="U7896">
        <v>2.0067140000000001</v>
      </c>
      <c r="V7896">
        <v>0.2339946</v>
      </c>
      <c r="W7896">
        <v>0.18913269999999999</v>
      </c>
      <c r="X7896">
        <v>0.95366419999999996</v>
      </c>
      <c r="Y7896">
        <v>0.51397230000000005</v>
      </c>
      <c r="Z7896">
        <v>-4.4618929999999998E-3</v>
      </c>
      <c r="AA7896">
        <v>0.85779509999999903</v>
      </c>
      <c r="AB7896">
        <v>33</v>
      </c>
      <c r="AC7896">
        <v>46.2591999999999</v>
      </c>
      <c r="AD7896">
        <v>-0.98903430000000003</v>
      </c>
      <c r="AE7896">
        <v>36.792899999999896</v>
      </c>
      <c r="AF7896">
        <v>30.452801191852299</v>
      </c>
      <c r="AG7896">
        <v>-0.98903430000000003</v>
      </c>
      <c r="AH7896">
        <v>50.638941717565103</v>
      </c>
      <c r="AI7896">
        <v>90.958907015464803</v>
      </c>
      <c r="AJ7896">
        <v>58.978510748326002</v>
      </c>
      <c r="AK7896">
        <v>59.098677714074199</v>
      </c>
      <c r="AL7896">
        <v>79.097826419586298</v>
      </c>
      <c r="AM7896">
        <v>76.214041170537101</v>
      </c>
      <c r="AN7896">
        <v>1.0000000287000399</v>
      </c>
    </row>
    <row r="7897" spans="1:40" x14ac:dyDescent="0.25">
      <c r="A7897" t="str">
        <f>"20190303170442144"</f>
        <v>20190303170442144</v>
      </c>
      <c r="B7897" t="str">
        <f>"1551603882133739"</f>
        <v>1551603882133739</v>
      </c>
      <c r="C7897" t="s">
        <v>40</v>
      </c>
      <c r="D7897">
        <v>4.57986</v>
      </c>
      <c r="E7897">
        <v>0.63318750000000001</v>
      </c>
      <c r="F7897" t="s">
        <v>56</v>
      </c>
      <c r="G7897">
        <v>-137.35329999999999</v>
      </c>
      <c r="H7897">
        <v>0.25497629999999999</v>
      </c>
      <c r="I7897">
        <v>160.8186</v>
      </c>
      <c r="J7897">
        <v>-184.636</v>
      </c>
      <c r="K7897">
        <v>1.1091979999999999</v>
      </c>
      <c r="L7897">
        <v>124.2603</v>
      </c>
      <c r="M7897">
        <v>0.36033029999999999</v>
      </c>
      <c r="N7897">
        <v>-1.528229E-2</v>
      </c>
      <c r="O7897">
        <v>0.93269959999999996</v>
      </c>
      <c r="P7897">
        <v>0.5582416</v>
      </c>
      <c r="Q7897">
        <v>0.18159400000000001</v>
      </c>
      <c r="R7897">
        <v>0.80956159999999999</v>
      </c>
      <c r="S7897">
        <v>2.5443120000000001</v>
      </c>
      <c r="T7897">
        <v>-4.588068E-2</v>
      </c>
      <c r="U7897">
        <v>1.9757389999999999</v>
      </c>
      <c r="V7897">
        <v>0.23477410000000001</v>
      </c>
      <c r="W7897">
        <v>0.1892268</v>
      </c>
      <c r="X7897">
        <v>0.95345389999999997</v>
      </c>
      <c r="Y7897">
        <v>0.51563499999999995</v>
      </c>
      <c r="Z7897">
        <v>-1.9841759999999998E-3</v>
      </c>
      <c r="AA7897">
        <v>0.85680599999999996</v>
      </c>
      <c r="AB7897">
        <v>33</v>
      </c>
      <c r="AC7897">
        <v>47.282699999999998</v>
      </c>
      <c r="AD7897">
        <v>-0.85422169999999897</v>
      </c>
      <c r="AE7897">
        <v>36.558300000000003</v>
      </c>
      <c r="AF7897">
        <v>30.924786984183701</v>
      </c>
      <c r="AG7897">
        <v>-0.85422169999999897</v>
      </c>
      <c r="AH7897">
        <v>51.130828526294302</v>
      </c>
      <c r="AI7897">
        <v>90.819005317630001</v>
      </c>
      <c r="AJ7897">
        <v>58.833744087197601</v>
      </c>
      <c r="AK7897">
        <v>59.761473965383402</v>
      </c>
      <c r="AL7897">
        <v>79.092335417996495</v>
      </c>
      <c r="AM7897">
        <v>76.166943509969599</v>
      </c>
      <c r="AN7897">
        <v>0.99999999964712905</v>
      </c>
    </row>
    <row r="7898" spans="1:40" x14ac:dyDescent="0.25">
      <c r="A7898" t="str">
        <f>"20190303170442157"</f>
        <v>20190303170442157</v>
      </c>
      <c r="B7898" t="str">
        <f>"1551603882143498"</f>
        <v>1551603882143498</v>
      </c>
      <c r="C7898" t="s">
        <v>40</v>
      </c>
      <c r="D7898">
        <v>4.6048150000000003</v>
      </c>
      <c r="E7898">
        <v>0.63387230000000006</v>
      </c>
      <c r="F7898" t="s">
        <v>56</v>
      </c>
      <c r="G7898">
        <v>-135.75360000000001</v>
      </c>
      <c r="H7898">
        <v>0.40365410000000002</v>
      </c>
      <c r="I7898">
        <v>160.81799999999899</v>
      </c>
      <c r="J7898">
        <v>-184.56450000000001</v>
      </c>
      <c r="K7898">
        <v>1.109051</v>
      </c>
      <c r="L7898">
        <v>124.4277</v>
      </c>
      <c r="M7898">
        <v>0.36789899999999998</v>
      </c>
      <c r="N7898">
        <v>-1.53232E-2</v>
      </c>
      <c r="O7898">
        <v>0.92973950000000005</v>
      </c>
      <c r="P7898">
        <v>0.56502529999999995</v>
      </c>
      <c r="Q7898">
        <v>0.18199319999999999</v>
      </c>
      <c r="R7898">
        <v>0.80475149999999995</v>
      </c>
      <c r="S7898">
        <v>2.5838320000000001</v>
      </c>
      <c r="T7898">
        <v>-3.7291879999999999E-2</v>
      </c>
      <c r="U7898">
        <v>1.9323729999999999</v>
      </c>
      <c r="V7898">
        <v>0.23515</v>
      </c>
      <c r="W7898">
        <v>0.18957189999999999</v>
      </c>
      <c r="X7898">
        <v>0.95329269999999999</v>
      </c>
      <c r="Y7898">
        <v>0.52418589999999998</v>
      </c>
      <c r="Z7898">
        <v>7.0133960000000003E-4</v>
      </c>
      <c r="AA7898">
        <v>0.85160360000000002</v>
      </c>
      <c r="AB7898">
        <v>33</v>
      </c>
      <c r="AC7898">
        <v>48.810899999999997</v>
      </c>
      <c r="AD7898">
        <v>-0.70539689999999999</v>
      </c>
      <c r="AE7898">
        <v>36.390299999999897</v>
      </c>
      <c r="AF7898">
        <v>31.9929286413693</v>
      </c>
      <c r="AG7898">
        <v>-0.70539689999999999</v>
      </c>
      <c r="AH7898">
        <v>51.790109486488703</v>
      </c>
      <c r="AI7898">
        <v>90.663892750497098</v>
      </c>
      <c r="AJ7898">
        <v>58.294630646994101</v>
      </c>
      <c r="AK7898">
        <v>60.879064615520903</v>
      </c>
      <c r="AL7898">
        <v>79.072198164809393</v>
      </c>
      <c r="AM7898">
        <v>76.143395398068805</v>
      </c>
      <c r="AN7898">
        <v>0.99999999982145005</v>
      </c>
    </row>
    <row r="7899" spans="1:40" x14ac:dyDescent="0.25">
      <c r="A7899" t="str">
        <f>"20190303170442169"</f>
        <v>20190303170442169</v>
      </c>
      <c r="B7899" t="str">
        <f>"1551603882163994"</f>
        <v>1551603882163994</v>
      </c>
      <c r="C7899" t="s">
        <v>40</v>
      </c>
      <c r="D7899">
        <v>4.6354160000000002</v>
      </c>
      <c r="E7899">
        <v>0.634602</v>
      </c>
      <c r="F7899" t="s">
        <v>56</v>
      </c>
      <c r="G7899">
        <v>-134.864</v>
      </c>
      <c r="H7899">
        <v>0.45098690000000002</v>
      </c>
      <c r="I7899">
        <v>160.8177</v>
      </c>
      <c r="J7899">
        <v>-184.48400000000001</v>
      </c>
      <c r="K7899">
        <v>1.1089</v>
      </c>
      <c r="L7899">
        <v>124.6101</v>
      </c>
      <c r="M7899">
        <v>0.37628529999999999</v>
      </c>
      <c r="N7899">
        <v>-1.5368379999999999E-2</v>
      </c>
      <c r="O7899">
        <v>0.92637639999999999</v>
      </c>
      <c r="P7899">
        <v>0.57251879999999999</v>
      </c>
      <c r="Q7899">
        <v>0.1820995</v>
      </c>
      <c r="R7899">
        <v>0.7994137</v>
      </c>
      <c r="S7899">
        <v>2.6045229999999999</v>
      </c>
      <c r="T7899">
        <v>-3.4483670000000001E-2</v>
      </c>
      <c r="U7899">
        <v>1.906998</v>
      </c>
      <c r="V7899">
        <v>0.2355247</v>
      </c>
      <c r="W7899">
        <v>0.18962480000000001</v>
      </c>
      <c r="X7899">
        <v>0.95318970000000003</v>
      </c>
      <c r="Y7899">
        <v>0.52512159999999997</v>
      </c>
      <c r="Z7899">
        <v>1.5603150000000001E-3</v>
      </c>
      <c r="AA7899">
        <v>0.85102579999999906</v>
      </c>
      <c r="AB7899">
        <v>33</v>
      </c>
      <c r="AC7899">
        <v>49.62</v>
      </c>
      <c r="AD7899">
        <v>-0.65791309999999903</v>
      </c>
      <c r="AE7899">
        <v>36.207599999999999</v>
      </c>
      <c r="AF7899">
        <v>32.342518364311999</v>
      </c>
      <c r="AG7899">
        <v>-0.65791309999999903</v>
      </c>
      <c r="AH7899">
        <v>52.213318734448201</v>
      </c>
      <c r="AI7899">
        <v>90.613724160171103</v>
      </c>
      <c r="AJ7899">
        <v>58.224665912829202</v>
      </c>
      <c r="AK7899">
        <v>61.422324907627001</v>
      </c>
      <c r="AL7899">
        <v>79.069111523074199</v>
      </c>
      <c r="AM7899">
        <v>76.120726806300794</v>
      </c>
      <c r="AN7899">
        <v>1.0000000266355999</v>
      </c>
    </row>
    <row r="7900" spans="1:40" x14ac:dyDescent="0.25">
      <c r="A7900" t="str">
        <f>"20190303170442183"</f>
        <v>20190303170442183</v>
      </c>
      <c r="B7900" t="str">
        <f>"1551603882173754"</f>
        <v>1551603882173754</v>
      </c>
      <c r="C7900" t="s">
        <v>40</v>
      </c>
      <c r="D7900">
        <v>4.6161019999999997</v>
      </c>
      <c r="E7900">
        <v>0.63486619999999905</v>
      </c>
      <c r="F7900" t="s">
        <v>56</v>
      </c>
      <c r="G7900">
        <v>-133.83699999999999</v>
      </c>
      <c r="H7900">
        <v>0.53658289999999997</v>
      </c>
      <c r="I7900">
        <v>160.81729999999999</v>
      </c>
      <c r="J7900">
        <v>-184.4066</v>
      </c>
      <c r="K7900">
        <v>1.10876</v>
      </c>
      <c r="L7900">
        <v>124.78149999999999</v>
      </c>
      <c r="M7900">
        <v>0.38425320000000002</v>
      </c>
      <c r="N7900">
        <v>-1.541057E-2</v>
      </c>
      <c r="O7900">
        <v>0.92309909999999995</v>
      </c>
      <c r="P7900">
        <v>0.57983839999999998</v>
      </c>
      <c r="Q7900">
        <v>0.1826402</v>
      </c>
      <c r="R7900">
        <v>0.79399619999999904</v>
      </c>
      <c r="S7900">
        <v>2.627075</v>
      </c>
      <c r="T7900">
        <v>-2.968442E-2</v>
      </c>
      <c r="U7900">
        <v>1.878082</v>
      </c>
      <c r="V7900">
        <v>0.23619850000000001</v>
      </c>
      <c r="W7900">
        <v>0.1901042</v>
      </c>
      <c r="X7900">
        <v>0.95292739999999998</v>
      </c>
      <c r="Y7900">
        <v>0.527447</v>
      </c>
      <c r="Z7900">
        <v>3.044812E-3</v>
      </c>
      <c r="AA7900">
        <v>0.84958250000000002</v>
      </c>
      <c r="AB7900">
        <v>33</v>
      </c>
      <c r="AC7900">
        <v>50.569599999999902</v>
      </c>
      <c r="AD7900">
        <v>-0.57217709999999899</v>
      </c>
      <c r="AE7900">
        <v>36.035800000000002</v>
      </c>
      <c r="AF7900">
        <v>32.834993097421602</v>
      </c>
      <c r="AG7900">
        <v>-0.57217709999999899</v>
      </c>
      <c r="AH7900">
        <v>52.697930359803898</v>
      </c>
      <c r="AI7900">
        <v>90.527979266721601</v>
      </c>
      <c r="AJ7900">
        <v>58.073817985883103</v>
      </c>
      <c r="AK7900">
        <v>62.092962745775303</v>
      </c>
      <c r="AL7900">
        <v>79.041134569741203</v>
      </c>
      <c r="AM7900">
        <v>76.078879912953795</v>
      </c>
      <c r="AN7900">
        <v>0.99999998396532397</v>
      </c>
    </row>
    <row r="7901" spans="1:40" x14ac:dyDescent="0.25">
      <c r="A7901" t="str">
        <f>"20190303170442199"</f>
        <v>20190303170442199</v>
      </c>
      <c r="B7901" t="str">
        <f>"1551603882183515"</f>
        <v>1551603882183515</v>
      </c>
      <c r="C7901" t="s">
        <v>40</v>
      </c>
      <c r="D7901">
        <v>4.6065239999999896</v>
      </c>
      <c r="E7901">
        <v>0.63502119999999995</v>
      </c>
      <c r="F7901" t="s">
        <v>56</v>
      </c>
      <c r="G7901">
        <v>-132.91999999999999</v>
      </c>
      <c r="H7901">
        <v>0.58804889999999999</v>
      </c>
      <c r="I7901">
        <v>160.81700000000001</v>
      </c>
      <c r="J7901">
        <v>-184.31059999999999</v>
      </c>
      <c r="K7901">
        <v>1.108595</v>
      </c>
      <c r="L7901">
        <v>124.9893</v>
      </c>
      <c r="M7901">
        <v>0.39400360000000001</v>
      </c>
      <c r="N7901">
        <v>-1.5461000000000001E-2</v>
      </c>
      <c r="O7901">
        <v>0.91897879999999998</v>
      </c>
      <c r="P7901">
        <v>0.58830909999999903</v>
      </c>
      <c r="Q7901">
        <v>0.18332390000000001</v>
      </c>
      <c r="R7901">
        <v>0.78758159999999999</v>
      </c>
      <c r="S7901">
        <v>2.6461790000000001</v>
      </c>
      <c r="T7901">
        <v>-2.6760579999999999E-2</v>
      </c>
      <c r="U7901">
        <v>1.852066</v>
      </c>
      <c r="V7901">
        <v>0.2364773</v>
      </c>
      <c r="W7901">
        <v>0.1907343</v>
      </c>
      <c r="X7901">
        <v>0.95273229999999998</v>
      </c>
      <c r="Y7901">
        <v>0.52694209999999997</v>
      </c>
      <c r="Z7901">
        <v>3.9297619999999998E-3</v>
      </c>
      <c r="AA7901">
        <v>0.84989210000000004</v>
      </c>
      <c r="AB7901">
        <v>33</v>
      </c>
      <c r="AC7901">
        <v>51.390599999999999</v>
      </c>
      <c r="AD7901">
        <v>-0.52054609999999901</v>
      </c>
      <c r="AE7901">
        <v>35.8277</v>
      </c>
      <c r="AF7901">
        <v>33.112302514669302</v>
      </c>
      <c r="AG7901">
        <v>-0.52054609999999901</v>
      </c>
      <c r="AH7901">
        <v>53.175665463282698</v>
      </c>
      <c r="AI7901">
        <v>90.476105424555499</v>
      </c>
      <c r="AJ7901">
        <v>58.089621269187703</v>
      </c>
      <c r="AK7901">
        <v>62.644608255843998</v>
      </c>
      <c r="AL7901">
        <v>79.004359366228798</v>
      </c>
      <c r="AM7901">
        <v>76.060345412598096</v>
      </c>
      <c r="AN7901">
        <v>0.99999996103753397</v>
      </c>
    </row>
    <row r="7902" spans="1:40" x14ac:dyDescent="0.25">
      <c r="A7902" t="str">
        <f>"20190303170442211"</f>
        <v>20190303170442211</v>
      </c>
      <c r="B7902" t="str">
        <f>"1551603882203034"</f>
        <v>1551603882203034</v>
      </c>
      <c r="C7902" t="s">
        <v>40</v>
      </c>
      <c r="D7902">
        <v>4.6466120000000002</v>
      </c>
      <c r="E7902">
        <v>0.63491339999999996</v>
      </c>
      <c r="F7902" t="s">
        <v>56</v>
      </c>
      <c r="G7902">
        <v>-131.886</v>
      </c>
      <c r="H7902">
        <v>0.63208390000000003</v>
      </c>
      <c r="I7902">
        <v>160.8167</v>
      </c>
      <c r="J7902">
        <v>-184.22020000000001</v>
      </c>
      <c r="K7902">
        <v>1.1084459999999901</v>
      </c>
      <c r="L7902">
        <v>125.1794</v>
      </c>
      <c r="M7902">
        <v>0.40304780000000001</v>
      </c>
      <c r="N7902">
        <v>-1.550726E-2</v>
      </c>
      <c r="O7902">
        <v>0.91504759999999996</v>
      </c>
      <c r="P7902">
        <v>0.59736999999999996</v>
      </c>
      <c r="Q7902">
        <v>0.18461250000000001</v>
      </c>
      <c r="R7902">
        <v>0.7804276</v>
      </c>
      <c r="S7902">
        <v>2.6669309999999999</v>
      </c>
      <c r="T7902">
        <v>-2.4239299999999998E-2</v>
      </c>
      <c r="U7902">
        <v>1.8226009999999999</v>
      </c>
      <c r="V7902">
        <v>0.23832449999999999</v>
      </c>
      <c r="W7902">
        <v>0.19191739999999999</v>
      </c>
      <c r="X7902">
        <v>0.95203419999999905</v>
      </c>
      <c r="Y7902">
        <v>0.52804059999999997</v>
      </c>
      <c r="Z7902">
        <v>4.6755649999999996E-3</v>
      </c>
      <c r="AA7902">
        <v>0.84920629999999997</v>
      </c>
      <c r="AB7902">
        <v>33</v>
      </c>
      <c r="AC7902">
        <v>52.334200000000003</v>
      </c>
      <c r="AD7902">
        <v>-0.47636209999999901</v>
      </c>
      <c r="AE7902">
        <v>35.637300000000003</v>
      </c>
      <c r="AF7902">
        <v>33.526880715286197</v>
      </c>
      <c r="AG7902">
        <v>-0.47636209999999901</v>
      </c>
      <c r="AH7902">
        <v>53.706425195349098</v>
      </c>
      <c r="AI7902">
        <v>90.431086464673399</v>
      </c>
      <c r="AJ7902">
        <v>58.025033316943897</v>
      </c>
      <c r="AK7902">
        <v>63.313969695565397</v>
      </c>
      <c r="AL7902">
        <v>78.935297191150099</v>
      </c>
      <c r="AM7902">
        <v>75.945861784434598</v>
      </c>
      <c r="AN7902">
        <v>0.99999998684632396</v>
      </c>
    </row>
    <row r="7903" spans="1:40" x14ac:dyDescent="0.25">
      <c r="A7903" t="str">
        <f>"20190303170442226"</f>
        <v>20190303170442226</v>
      </c>
      <c r="B7903" t="str">
        <f>"1551603882213891"</f>
        <v>1551603882213891</v>
      </c>
      <c r="C7903" t="s">
        <v>40</v>
      </c>
      <c r="D7903">
        <v>4.6137230000000002</v>
      </c>
      <c r="E7903">
        <v>0.63481299999999996</v>
      </c>
      <c r="F7903" t="s">
        <v>56</v>
      </c>
      <c r="G7903">
        <v>-130.82929999999999</v>
      </c>
      <c r="H7903">
        <v>0.64487649999999996</v>
      </c>
      <c r="I7903">
        <v>160.81630000000001</v>
      </c>
      <c r="J7903">
        <v>-184.13130000000001</v>
      </c>
      <c r="K7903">
        <v>1.108311</v>
      </c>
      <c r="L7903">
        <v>125.3609</v>
      </c>
      <c r="M7903">
        <v>0.411798</v>
      </c>
      <c r="N7903">
        <v>-1.5551860000000001E-2</v>
      </c>
      <c r="O7903">
        <v>0.91114249999999997</v>
      </c>
      <c r="P7903">
        <v>0.60511199999999998</v>
      </c>
      <c r="Q7903">
        <v>0.18466170000000001</v>
      </c>
      <c r="R7903">
        <v>0.77442860000000002</v>
      </c>
      <c r="S7903">
        <v>2.6865230000000002</v>
      </c>
      <c r="T7903">
        <v>-2.3324129999999998E-2</v>
      </c>
      <c r="U7903">
        <v>1.7931820000000001</v>
      </c>
      <c r="V7903">
        <v>0.23875179999999999</v>
      </c>
      <c r="W7903">
        <v>0.19191929999999999</v>
      </c>
      <c r="X7903">
        <v>0.95192679999999996</v>
      </c>
      <c r="Y7903">
        <v>0.52919369999999999</v>
      </c>
      <c r="Z7903">
        <v>4.9062330000000003E-3</v>
      </c>
      <c r="AA7903">
        <v>0.84848690000000004</v>
      </c>
      <c r="AB7903">
        <v>33</v>
      </c>
      <c r="AC7903">
        <v>53.302</v>
      </c>
      <c r="AD7903">
        <v>-0.46343450000000003</v>
      </c>
      <c r="AE7903">
        <v>35.455399999999997</v>
      </c>
      <c r="AF7903">
        <v>33.967580932108</v>
      </c>
      <c r="AG7903">
        <v>-0.46343450000000003</v>
      </c>
      <c r="AH7903">
        <v>54.258294568415998</v>
      </c>
      <c r="AI7903">
        <v>90.414791831922003</v>
      </c>
      <c r="AJ7903">
        <v>57.952001088403698</v>
      </c>
      <c r="AK7903">
        <v>64.015418887859298</v>
      </c>
      <c r="AL7903">
        <v>78.935186819465102</v>
      </c>
      <c r="AM7903">
        <v>75.920139659860396</v>
      </c>
      <c r="AN7903">
        <v>1.0000000361369801</v>
      </c>
    </row>
    <row r="7904" spans="1:40" x14ac:dyDescent="0.25">
      <c r="A7904" t="str">
        <f>"20190303170442239"</f>
        <v>20190303170442239</v>
      </c>
      <c r="B7904" t="str">
        <f>"1551603882223651"</f>
        <v>1551603882223651</v>
      </c>
      <c r="C7904" t="s">
        <v>40</v>
      </c>
      <c r="D7904">
        <v>4.6168209999999998</v>
      </c>
      <c r="E7904">
        <v>0.63471840000000002</v>
      </c>
      <c r="F7904" t="s">
        <v>56</v>
      </c>
      <c r="G7904">
        <v>-129.9066</v>
      </c>
      <c r="H7904">
        <v>0.61188509999999996</v>
      </c>
      <c r="I7904">
        <v>160.816</v>
      </c>
      <c r="J7904">
        <v>-184.04990000000001</v>
      </c>
      <c r="K7904">
        <v>1.108193</v>
      </c>
      <c r="L7904">
        <v>125.5241</v>
      </c>
      <c r="M7904">
        <v>0.41971079999999999</v>
      </c>
      <c r="N7904">
        <v>-1.5590990000000001E-2</v>
      </c>
      <c r="O7904">
        <v>0.907524</v>
      </c>
      <c r="P7904">
        <v>0.61210880000000001</v>
      </c>
      <c r="Q7904">
        <v>0.18480920000000001</v>
      </c>
      <c r="R7904">
        <v>0.76887469999999902</v>
      </c>
      <c r="S7904">
        <v>2.7032470000000002</v>
      </c>
      <c r="T7904">
        <v>-2.4746420000000002E-2</v>
      </c>
      <c r="U7904">
        <v>1.7675320000000001</v>
      </c>
      <c r="V7904">
        <v>0.23917550000000001</v>
      </c>
      <c r="W7904">
        <v>0.19202279999999999</v>
      </c>
      <c r="X7904">
        <v>0.95179950000000002</v>
      </c>
      <c r="Y7904">
        <v>0.52985419999999905</v>
      </c>
      <c r="Z7904">
        <v>4.3981910000000001E-3</v>
      </c>
      <c r="AA7904">
        <v>0.84807739999999998</v>
      </c>
      <c r="AB7904">
        <v>33</v>
      </c>
      <c r="AC7904">
        <v>54.143300000000004</v>
      </c>
      <c r="AD7904">
        <v>-0.49630790000000002</v>
      </c>
      <c r="AE7904">
        <v>35.291899999999998</v>
      </c>
      <c r="AF7904">
        <v>34.326100072839203</v>
      </c>
      <c r="AG7904">
        <v>-0.49630790000000002</v>
      </c>
      <c r="AH7904">
        <v>54.7561996015068</v>
      </c>
      <c r="AI7904">
        <v>90.440005259802604</v>
      </c>
      <c r="AJ7904">
        <v>57.916822609522001</v>
      </c>
      <c r="AK7904">
        <v>64.627926336392903</v>
      </c>
      <c r="AL7904">
        <v>78.929143711083199</v>
      </c>
      <c r="AM7904">
        <v>75.894338219201401</v>
      </c>
      <c r="AN7904">
        <v>0.99999998186016903</v>
      </c>
    </row>
    <row r="7905" spans="1:40" x14ac:dyDescent="0.25">
      <c r="A7905" t="str">
        <f>"20190303170442250"</f>
        <v>20190303170442250</v>
      </c>
      <c r="B7905" t="str">
        <f>"1551603882243171"</f>
        <v>1551603882243171</v>
      </c>
      <c r="C7905" t="s">
        <v>40</v>
      </c>
      <c r="D7905">
        <v>4.6339899999999998</v>
      </c>
      <c r="E7905">
        <v>0.63471650000000002</v>
      </c>
      <c r="F7905" t="s">
        <v>56</v>
      </c>
      <c r="G7905">
        <v>-129.01750000000001</v>
      </c>
      <c r="H7905">
        <v>0.61045459999999996</v>
      </c>
      <c r="I7905">
        <v>160.81569999999999</v>
      </c>
      <c r="J7905">
        <v>-183.96700000000001</v>
      </c>
      <c r="K7905">
        <v>1.108079</v>
      </c>
      <c r="L7905">
        <v>125.6862</v>
      </c>
      <c r="M7905">
        <v>0.42766199999999999</v>
      </c>
      <c r="N7905">
        <v>-1.5629779999999999E-2</v>
      </c>
      <c r="O7905">
        <v>0.90380360000000004</v>
      </c>
      <c r="P7905">
        <v>0.61893129999999996</v>
      </c>
      <c r="Q7905">
        <v>0.18461549999999999</v>
      </c>
      <c r="R7905">
        <v>0.76344040000000002</v>
      </c>
      <c r="S7905">
        <v>2.7185820000000001</v>
      </c>
      <c r="T7905">
        <v>-2.4586440000000001E-2</v>
      </c>
      <c r="U7905">
        <v>1.743393</v>
      </c>
      <c r="V7905">
        <v>0.23932229999999999</v>
      </c>
      <c r="W7905">
        <v>0.19179760000000001</v>
      </c>
      <c r="X7905">
        <v>0.95180799999999999</v>
      </c>
      <c r="Y7905">
        <v>0.52991769999999905</v>
      </c>
      <c r="Z7905">
        <v>4.3958110000000003E-3</v>
      </c>
      <c r="AA7905">
        <v>0.84803770000000001</v>
      </c>
      <c r="AB7905">
        <v>32</v>
      </c>
      <c r="AC7905">
        <v>54.9495</v>
      </c>
      <c r="AD7905">
        <v>-0.49762440000000002</v>
      </c>
      <c r="AE7905">
        <v>35.129499999999901</v>
      </c>
      <c r="AF7905">
        <v>34.642218373645697</v>
      </c>
      <c r="AG7905">
        <v>-0.49762440000000002</v>
      </c>
      <c r="AH7905">
        <v>55.2535140041931</v>
      </c>
      <c r="AI7905">
        <v>90.437186193326696</v>
      </c>
      <c r="AJ7905">
        <v>57.913579312273697</v>
      </c>
      <c r="AK7905">
        <v>65.217188943578407</v>
      </c>
      <c r="AL7905">
        <v>78.942291029717694</v>
      </c>
      <c r="AM7905">
        <v>75.886147432747094</v>
      </c>
      <c r="AN7905">
        <v>0.99999997575352395</v>
      </c>
    </row>
    <row r="7906" spans="1:40" x14ac:dyDescent="0.25">
      <c r="A7906" t="str">
        <f>"20190303170442261"</f>
        <v>20190303170442261</v>
      </c>
      <c r="B7906" t="str">
        <f>"1551603882253907"</f>
        <v>1551603882253907</v>
      </c>
      <c r="C7906" t="s">
        <v>40</v>
      </c>
      <c r="D7906">
        <v>4.4295949999999999</v>
      </c>
      <c r="E7906">
        <v>0.63485859999999905</v>
      </c>
      <c r="F7906" t="s">
        <v>56</v>
      </c>
      <c r="G7906">
        <v>-128.07859999999999</v>
      </c>
      <c r="H7906">
        <v>0.67676539999999996</v>
      </c>
      <c r="I7906">
        <v>160.81540000000001</v>
      </c>
      <c r="J7906">
        <v>-183.8937</v>
      </c>
      <c r="K7906">
        <v>1.107982</v>
      </c>
      <c r="L7906">
        <v>125.82640000000001</v>
      </c>
      <c r="M7906">
        <v>0.43459880000000001</v>
      </c>
      <c r="N7906">
        <v>-1.5663090000000001E-2</v>
      </c>
      <c r="O7906">
        <v>0.90048799999999996</v>
      </c>
      <c r="P7906">
        <v>0.62485210000000002</v>
      </c>
      <c r="Q7906">
        <v>0.1845839</v>
      </c>
      <c r="R7906">
        <v>0.7586098</v>
      </c>
      <c r="S7906">
        <v>2.7337950000000002</v>
      </c>
      <c r="T7906">
        <v>-2.1096110000000001E-2</v>
      </c>
      <c r="U7906">
        <v>1.71835299999999</v>
      </c>
      <c r="V7906">
        <v>0.2394491</v>
      </c>
      <c r="W7906">
        <v>0.1917401</v>
      </c>
      <c r="X7906">
        <v>0.95178770000000001</v>
      </c>
      <c r="Y7906">
        <v>0.53108699999999998</v>
      </c>
      <c r="Z7906">
        <v>5.4483459999999997E-3</v>
      </c>
      <c r="AA7906">
        <v>0.84729979999999905</v>
      </c>
      <c r="AB7906">
        <v>32</v>
      </c>
      <c r="AC7906">
        <v>55.815100000000001</v>
      </c>
      <c r="AD7906">
        <v>-0.43121660000000001</v>
      </c>
      <c r="AE7906">
        <v>34.988999999999997</v>
      </c>
      <c r="AF7906">
        <v>35.057447439542699</v>
      </c>
      <c r="AG7906">
        <v>-0.43121660000000001</v>
      </c>
      <c r="AH7906">
        <v>55.768799668124501</v>
      </c>
      <c r="AI7906">
        <v>90.375066162326405</v>
      </c>
      <c r="AJ7906">
        <v>57.845662545917399</v>
      </c>
      <c r="AK7906">
        <v>65.873891528858493</v>
      </c>
      <c r="AL7906">
        <v>78.945647905163497</v>
      </c>
      <c r="AM7906">
        <v>75.878679453577007</v>
      </c>
      <c r="AN7906">
        <v>0.99999998165505399</v>
      </c>
    </row>
    <row r="7907" spans="1:40" x14ac:dyDescent="0.25">
      <c r="A7907" t="str">
        <f>"20190303170442272"</f>
        <v>20190303170442272</v>
      </c>
      <c r="B7907" t="str">
        <f>"1551603882263668"</f>
        <v>1551603882263668</v>
      </c>
      <c r="C7907" t="s">
        <v>40</v>
      </c>
      <c r="D7907">
        <v>4.4667479999999999</v>
      </c>
      <c r="E7907">
        <v>0.63486419999999999</v>
      </c>
      <c r="F7907" t="s">
        <v>56</v>
      </c>
      <c r="G7907">
        <v>-127.1863</v>
      </c>
      <c r="H7907">
        <v>0.73797609999999902</v>
      </c>
      <c r="I7907">
        <v>160.8151</v>
      </c>
      <c r="J7907">
        <v>-183.81100000000001</v>
      </c>
      <c r="K7907">
        <v>1.1078669999999999</v>
      </c>
      <c r="L7907">
        <v>125.9825</v>
      </c>
      <c r="M7907">
        <v>0.4423533</v>
      </c>
      <c r="N7907">
        <v>-1.5699370000000001E-2</v>
      </c>
      <c r="O7907">
        <v>0.89670349999999999</v>
      </c>
      <c r="P7907">
        <v>0.63153530000000002</v>
      </c>
      <c r="Q7907">
        <v>0.18454190000000001</v>
      </c>
      <c r="R7907">
        <v>0.75306530000000005</v>
      </c>
      <c r="S7907">
        <v>2.7480009999999999</v>
      </c>
      <c r="T7907">
        <v>-1.7928599999999899E-2</v>
      </c>
      <c r="U7907">
        <v>1.6955260000000001</v>
      </c>
      <c r="V7907">
        <v>0.23969489999999999</v>
      </c>
      <c r="W7907">
        <v>0.19166520000000001</v>
      </c>
      <c r="X7907">
        <v>0.9517409</v>
      </c>
      <c r="Y7907">
        <v>0.53082759999999996</v>
      </c>
      <c r="Z7907">
        <v>6.3981860000000002E-3</v>
      </c>
      <c r="AA7907">
        <v>0.84745569999999903</v>
      </c>
      <c r="AB7907">
        <v>32</v>
      </c>
      <c r="AC7907">
        <v>56.624699999999898</v>
      </c>
      <c r="AD7907">
        <v>-0.36989090000000002</v>
      </c>
      <c r="AE7907">
        <v>34.832599999999999</v>
      </c>
      <c r="AF7907">
        <v>35.370514049307303</v>
      </c>
      <c r="AG7907">
        <v>-0.36989090000000002</v>
      </c>
      <c r="AH7907">
        <v>56.287829793730097</v>
      </c>
      <c r="AI7907">
        <v>90.318794253032294</v>
      </c>
      <c r="AJ7907">
        <v>57.8552991320852</v>
      </c>
      <c r="AK7907">
        <v>66.479544720749104</v>
      </c>
      <c r="AL7907">
        <v>78.950020296610006</v>
      </c>
      <c r="AM7907">
        <v>75.864097171999305</v>
      </c>
      <c r="AN7907">
        <v>0.99999996735492902</v>
      </c>
    </row>
    <row r="7908" spans="1:40" x14ac:dyDescent="0.25">
      <c r="A7908" t="str">
        <f>"20190303170442284"</f>
        <v>20190303170442284</v>
      </c>
      <c r="B7908" t="str">
        <f>"1551603882273427"</f>
        <v>1551603882273427</v>
      </c>
      <c r="C7908" t="s">
        <v>40</v>
      </c>
      <c r="D7908">
        <v>4.4786580000000002</v>
      </c>
      <c r="E7908">
        <v>0.63463159999999996</v>
      </c>
      <c r="F7908" t="s">
        <v>56</v>
      </c>
      <c r="G7908">
        <v>-126.2132</v>
      </c>
      <c r="H7908">
        <v>0.75870700000000002</v>
      </c>
      <c r="I7908">
        <v>160.81469999999999</v>
      </c>
      <c r="J7908">
        <v>-183.7336</v>
      </c>
      <c r="K7908">
        <v>1.107774</v>
      </c>
      <c r="L7908">
        <v>126.124</v>
      </c>
      <c r="M7908">
        <v>0.4494765</v>
      </c>
      <c r="N7908">
        <v>-1.5732570000000001E-2</v>
      </c>
      <c r="O7908">
        <v>0.89315359999999999</v>
      </c>
      <c r="P7908">
        <v>0.6380962</v>
      </c>
      <c r="Q7908">
        <v>0.18371689999999999</v>
      </c>
      <c r="R7908">
        <v>0.74771739999999998</v>
      </c>
      <c r="S7908">
        <v>2.7628330000000001</v>
      </c>
      <c r="T7908">
        <v>-1.6746759999999999E-2</v>
      </c>
      <c r="U7908">
        <v>1.670822</v>
      </c>
      <c r="V7908">
        <v>0.24036730000000001</v>
      </c>
      <c r="W7908">
        <v>0.19079930000000001</v>
      </c>
      <c r="X7908">
        <v>0.95174530000000002</v>
      </c>
      <c r="Y7908">
        <v>0.53164299999999998</v>
      </c>
      <c r="Z7908">
        <v>6.7129470000000004E-3</v>
      </c>
      <c r="AA7908">
        <v>0.84694190000000003</v>
      </c>
      <c r="AB7908">
        <v>32</v>
      </c>
      <c r="AC7908">
        <v>57.520400000000002</v>
      </c>
      <c r="AD7908">
        <v>-0.34906700000000002</v>
      </c>
      <c r="AE7908">
        <v>34.6906999999999</v>
      </c>
      <c r="AF7908">
        <v>35.785360769662702</v>
      </c>
      <c r="AG7908">
        <v>-0.34906700000000002</v>
      </c>
      <c r="AH7908">
        <v>56.843692275970596</v>
      </c>
      <c r="AI7908">
        <v>90.2977506523995</v>
      </c>
      <c r="AJ7908">
        <v>57.807956188461297</v>
      </c>
      <c r="AK7908">
        <v>67.170821379157303</v>
      </c>
      <c r="AL7908">
        <v>79.000565499129195</v>
      </c>
      <c r="AM7908">
        <v>75.826101630736602</v>
      </c>
      <c r="AN7908">
        <v>0.99999996393093404</v>
      </c>
    </row>
    <row r="7909" spans="1:40" x14ac:dyDescent="0.25">
      <c r="A7909" t="str">
        <f>"20190303170442296"</f>
        <v>20190303170442296</v>
      </c>
      <c r="B7909" t="str">
        <f>"1551603882283187"</f>
        <v>1551603882283187</v>
      </c>
      <c r="C7909" t="s">
        <v>40</v>
      </c>
      <c r="D7909">
        <v>4.4163350000000001</v>
      </c>
      <c r="E7909">
        <v>0.63443559999999999</v>
      </c>
      <c r="F7909" t="s">
        <v>56</v>
      </c>
      <c r="G7909">
        <v>-125.29989999999999</v>
      </c>
      <c r="H7909">
        <v>0.72905159999999902</v>
      </c>
      <c r="I7909">
        <v>160.81440000000001</v>
      </c>
      <c r="J7909">
        <v>-183.64529999999999</v>
      </c>
      <c r="K7909">
        <v>1.107667</v>
      </c>
      <c r="L7909">
        <v>126.28400000000001</v>
      </c>
      <c r="M7909">
        <v>0.45754099999999998</v>
      </c>
      <c r="N7909">
        <v>-1.5768810000000001E-2</v>
      </c>
      <c r="O7909">
        <v>0.88904869999999903</v>
      </c>
      <c r="P7909">
        <v>0.645505</v>
      </c>
      <c r="Q7909">
        <v>0.18336369999999999</v>
      </c>
      <c r="R7909">
        <v>0.74141829999999997</v>
      </c>
      <c r="S7909">
        <v>2.7757109999999998</v>
      </c>
      <c r="T7909">
        <v>-1.7988440000000001E-2</v>
      </c>
      <c r="U7909">
        <v>1.647858</v>
      </c>
      <c r="V7909">
        <v>0.24122189999999999</v>
      </c>
      <c r="W7909">
        <v>0.19039300000000001</v>
      </c>
      <c r="X7909">
        <v>0.95161039999999997</v>
      </c>
      <c r="Y7909">
        <v>0.53088349999999995</v>
      </c>
      <c r="Z7909">
        <v>6.2593659999999997E-3</v>
      </c>
      <c r="AA7909">
        <v>0.84742169999999895</v>
      </c>
      <c r="AB7909">
        <v>32</v>
      </c>
      <c r="AC7909">
        <v>58.345399999999998</v>
      </c>
      <c r="AD7909">
        <v>-0.37861539999999999</v>
      </c>
      <c r="AE7909">
        <v>34.5304</v>
      </c>
      <c r="AF7909">
        <v>36.076188638862298</v>
      </c>
      <c r="AG7909">
        <v>-0.37861539999999999</v>
      </c>
      <c r="AH7909">
        <v>57.399966487639396</v>
      </c>
      <c r="AI7909">
        <v>90.319973997451299</v>
      </c>
      <c r="AJ7909">
        <v>57.850416867510901</v>
      </c>
      <c r="AK7909">
        <v>67.796687891887601</v>
      </c>
      <c r="AL7909">
        <v>79.024279070995604</v>
      </c>
      <c r="AM7909">
        <v>75.775814823148494</v>
      </c>
      <c r="AN7909">
        <v>0.99999992643838198</v>
      </c>
    </row>
    <row r="7910" spans="1:40" x14ac:dyDescent="0.25">
      <c r="A7910" t="str">
        <f>"20190303170442308"</f>
        <v>20190303170442308</v>
      </c>
      <c r="B7910" t="str">
        <f>"1551603882293923"</f>
        <v>1551603882293923</v>
      </c>
      <c r="C7910" t="s">
        <v>40</v>
      </c>
      <c r="D7910">
        <v>4.4748890000000001</v>
      </c>
      <c r="E7910">
        <v>0.63435640000000004</v>
      </c>
      <c r="F7910" t="s">
        <v>56</v>
      </c>
      <c r="G7910">
        <v>-124.19670000000001</v>
      </c>
      <c r="H7910">
        <v>0.74157910000000005</v>
      </c>
      <c r="I7910">
        <v>160.8141</v>
      </c>
      <c r="J7910">
        <v>-183.55260000000001</v>
      </c>
      <c r="K7910">
        <v>1.107561</v>
      </c>
      <c r="L7910">
        <v>126.44710000000001</v>
      </c>
      <c r="M7910">
        <v>0.46586280000000002</v>
      </c>
      <c r="N7910">
        <v>-1.5805860000000001E-2</v>
      </c>
      <c r="O7910">
        <v>0.88471580000000005</v>
      </c>
      <c r="P7910">
        <v>0.6533911</v>
      </c>
      <c r="Q7910">
        <v>0.18305370000000001</v>
      </c>
      <c r="R7910">
        <v>0.73455519999999996</v>
      </c>
      <c r="S7910">
        <v>2.7906650000000002</v>
      </c>
      <c r="T7910">
        <v>-1.7183540000000001E-2</v>
      </c>
      <c r="U7910">
        <v>1.6209260000000001</v>
      </c>
      <c r="V7910">
        <v>0.24246419999999999</v>
      </c>
      <c r="W7910">
        <v>0.19001660000000001</v>
      </c>
      <c r="X7910">
        <v>0.95136989999999999</v>
      </c>
      <c r="Y7910">
        <v>0.5310165</v>
      </c>
      <c r="Z7910">
        <v>6.4438669999999998E-3</v>
      </c>
      <c r="AA7910">
        <v>0.84733700000000001</v>
      </c>
      <c r="AB7910">
        <v>32</v>
      </c>
      <c r="AC7910">
        <v>59.355899999999998</v>
      </c>
      <c r="AD7910">
        <v>-0.36598190000000003</v>
      </c>
      <c r="AE7910">
        <v>34.366999999999898</v>
      </c>
      <c r="AF7910">
        <v>36.506316405053099</v>
      </c>
      <c r="AG7910">
        <v>-0.36598190000000003</v>
      </c>
      <c r="AH7910">
        <v>58.062333248696397</v>
      </c>
      <c r="AI7910">
        <v>90.305736274205998</v>
      </c>
      <c r="AJ7910">
        <v>57.840637304992903</v>
      </c>
      <c r="AK7910">
        <v>68.586293255282897</v>
      </c>
      <c r="AL7910">
        <v>79.046246395097398</v>
      </c>
      <c r="AM7910">
        <v>75.702089366094697</v>
      </c>
      <c r="AN7910">
        <v>0.99999994159160299</v>
      </c>
    </row>
    <row r="7911" spans="1:40" x14ac:dyDescent="0.25">
      <c r="A7911" t="str">
        <f>"20190303170442323"</f>
        <v>20190303170442323</v>
      </c>
      <c r="B7911" t="str">
        <f>"1551603882313443"</f>
        <v>1551603882313443</v>
      </c>
      <c r="C7911" t="s">
        <v>40</v>
      </c>
      <c r="D7911">
        <v>4.449071</v>
      </c>
      <c r="E7911">
        <v>0.63394899999999998</v>
      </c>
      <c r="F7911" t="s">
        <v>56</v>
      </c>
      <c r="G7911">
        <v>-122.94889999999999</v>
      </c>
      <c r="H7911">
        <v>0.71454810000000002</v>
      </c>
      <c r="I7911">
        <v>160.81370000000001</v>
      </c>
      <c r="J7911">
        <v>-183.45410000000001</v>
      </c>
      <c r="K7911">
        <v>1.1074520000000001</v>
      </c>
      <c r="L7911">
        <v>126.61669999999999</v>
      </c>
      <c r="M7911">
        <v>0.47457009999999999</v>
      </c>
      <c r="N7911">
        <v>-1.5843550000000001E-2</v>
      </c>
      <c r="O7911">
        <v>0.88007519999999995</v>
      </c>
      <c r="P7911">
        <v>0.66171569999999902</v>
      </c>
      <c r="Q7911">
        <v>0.1827442</v>
      </c>
      <c r="R7911">
        <v>0.72714299999999998</v>
      </c>
      <c r="S7911">
        <v>2.8070219999999999</v>
      </c>
      <c r="T7911">
        <v>-1.8201950000000001E-2</v>
      </c>
      <c r="U7911">
        <v>1.591782</v>
      </c>
      <c r="V7911">
        <v>0.24391450000000001</v>
      </c>
      <c r="W7911">
        <v>0.1896342</v>
      </c>
      <c r="X7911">
        <v>0.95107549999999996</v>
      </c>
      <c r="Y7911">
        <v>0.53143099999999999</v>
      </c>
      <c r="Z7911">
        <v>6.0463009999999996E-3</v>
      </c>
      <c r="AA7911">
        <v>0.84707999999999894</v>
      </c>
      <c r="AB7911">
        <v>32</v>
      </c>
      <c r="AC7911">
        <v>60.505200000000002</v>
      </c>
      <c r="AD7911">
        <v>-0.39290389999999997</v>
      </c>
      <c r="AE7911">
        <v>34.197000000000003</v>
      </c>
      <c r="AF7911">
        <v>37.023713400162698</v>
      </c>
      <c r="AG7911">
        <v>-0.39290389999999997</v>
      </c>
      <c r="AH7911">
        <v>58.815388717186202</v>
      </c>
      <c r="AI7911">
        <v>90.3239146132575</v>
      </c>
      <c r="AJ7911">
        <v>57.809985424570101</v>
      </c>
      <c r="AK7911">
        <v>69.499350193838097</v>
      </c>
      <c r="AL7911">
        <v>79.068562804938395</v>
      </c>
      <c r="AM7911">
        <v>75.615836358320095</v>
      </c>
      <c r="AN7911">
        <v>1.0000000099100601</v>
      </c>
    </row>
    <row r="7912" spans="1:40" x14ac:dyDescent="0.25">
      <c r="A7912" t="str">
        <f>"20190303170442335"</f>
        <v>20190303170442335</v>
      </c>
      <c r="B7912" t="str">
        <f>"1551603882323203"</f>
        <v>1551603882323203</v>
      </c>
      <c r="C7912" t="s">
        <v>40</v>
      </c>
      <c r="D7912">
        <v>4.4386299999999999</v>
      </c>
      <c r="E7912">
        <v>0.63375709999999996</v>
      </c>
      <c r="F7912" t="s">
        <v>56</v>
      </c>
      <c r="G7912">
        <v>-121.71729999999999</v>
      </c>
      <c r="H7912">
        <v>0.67403789999999997</v>
      </c>
      <c r="I7912">
        <v>160.8133</v>
      </c>
      <c r="J7912">
        <v>-183.36</v>
      </c>
      <c r="K7912">
        <v>1.1073599999999999</v>
      </c>
      <c r="L7912">
        <v>126.77630000000001</v>
      </c>
      <c r="M7912">
        <v>0.48279369999999999</v>
      </c>
      <c r="N7912">
        <v>-1.5878010000000001E-2</v>
      </c>
      <c r="O7912">
        <v>0.87559010000000004</v>
      </c>
      <c r="P7912">
        <v>0.66874330000000004</v>
      </c>
      <c r="Q7912">
        <v>0.18285789999999999</v>
      </c>
      <c r="R7912">
        <v>0.72065630000000003</v>
      </c>
      <c r="S7912">
        <v>2.8216549999999998</v>
      </c>
      <c r="T7912">
        <v>-1.9807580000000002E-2</v>
      </c>
      <c r="U7912">
        <v>1.562943</v>
      </c>
      <c r="V7912">
        <v>0.24429719999999999</v>
      </c>
      <c r="W7912">
        <v>0.18971470000000001</v>
      </c>
      <c r="X7912">
        <v>0.95096119999999995</v>
      </c>
      <c r="Y7912">
        <v>0.53198029999999996</v>
      </c>
      <c r="Z7912">
        <v>5.4639629999999996E-3</v>
      </c>
      <c r="AA7912">
        <v>0.84673909999999997</v>
      </c>
      <c r="AB7912">
        <v>32</v>
      </c>
      <c r="AC7912">
        <v>61.642699999999998</v>
      </c>
      <c r="AD7912">
        <v>-0.43332209999999999</v>
      </c>
      <c r="AE7912">
        <v>34.0369999999999</v>
      </c>
      <c r="AF7912">
        <v>37.544202101538097</v>
      </c>
      <c r="AG7912">
        <v>-0.43332209999999999</v>
      </c>
      <c r="AH7912">
        <v>59.568424572880197</v>
      </c>
      <c r="AI7912">
        <v>90.352595114704599</v>
      </c>
      <c r="AJ7912">
        <v>57.777991529756498</v>
      </c>
      <c r="AK7912">
        <v>70.414146913659394</v>
      </c>
      <c r="AL7912">
        <v>79.063865072447001</v>
      </c>
      <c r="AM7912">
        <v>75.592546786749296</v>
      </c>
      <c r="AN7912">
        <v>0.99999999661468397</v>
      </c>
    </row>
    <row r="7913" spans="1:40" x14ac:dyDescent="0.25">
      <c r="A7913" t="str">
        <f>"20190303170442346"</f>
        <v>20190303170442346</v>
      </c>
      <c r="B7913" t="str">
        <f>"1551603882333939"</f>
        <v>1551603882333939</v>
      </c>
      <c r="C7913" t="s">
        <v>40</v>
      </c>
      <c r="D7913">
        <v>4.6705350000000001</v>
      </c>
      <c r="E7913">
        <v>0.63397369999999897</v>
      </c>
      <c r="F7913" t="s">
        <v>56</v>
      </c>
      <c r="G7913">
        <v>-121.2693</v>
      </c>
      <c r="H7913">
        <v>0.70357890000000001</v>
      </c>
      <c r="I7913">
        <v>160.41550000000001</v>
      </c>
      <c r="J7913">
        <v>-183.2724</v>
      </c>
      <c r="K7913">
        <v>1.1072820000000001</v>
      </c>
      <c r="L7913">
        <v>126.9199</v>
      </c>
      <c r="M7913">
        <v>0.49029260000000002</v>
      </c>
      <c r="N7913">
        <v>-1.5908789999999999E-2</v>
      </c>
      <c r="O7913">
        <v>0.87141270000000004</v>
      </c>
      <c r="P7913">
        <v>0.67534320000000003</v>
      </c>
      <c r="Q7913">
        <v>0.1828465</v>
      </c>
      <c r="R7913">
        <v>0.71447799999999995</v>
      </c>
      <c r="S7913">
        <v>2.835556</v>
      </c>
      <c r="T7913">
        <v>-1.843846E-2</v>
      </c>
      <c r="U7913">
        <v>1.53624</v>
      </c>
      <c r="V7913">
        <v>0.2449144</v>
      </c>
      <c r="W7913">
        <v>0.18966649999999999</v>
      </c>
      <c r="X7913">
        <v>0.95081199999999999</v>
      </c>
      <c r="Y7913">
        <v>0.53261139999999996</v>
      </c>
      <c r="Z7913">
        <v>5.8225899999999999E-3</v>
      </c>
      <c r="AA7913">
        <v>0.84633989999999903</v>
      </c>
      <c r="AB7913">
        <v>32</v>
      </c>
      <c r="AC7913">
        <v>62.003100000000003</v>
      </c>
      <c r="AD7913">
        <v>-0.40370309999999898</v>
      </c>
      <c r="AE7913">
        <v>33.495600000000003</v>
      </c>
      <c r="AF7913">
        <v>37.611169349422298</v>
      </c>
      <c r="AG7913">
        <v>-0.40370309999999898</v>
      </c>
      <c r="AH7913">
        <v>59.593738201234103</v>
      </c>
      <c r="AI7913">
        <v>90.328228289509596</v>
      </c>
      <c r="AJ7913">
        <v>57.742903217970799</v>
      </c>
      <c r="AK7913">
        <v>70.471105205049099</v>
      </c>
      <c r="AL7913">
        <v>79.066677302709493</v>
      </c>
      <c r="AM7913">
        <v>75.555496436992499</v>
      </c>
      <c r="AN7913">
        <v>0.99999995194680302</v>
      </c>
    </row>
    <row r="7914" spans="1:40" x14ac:dyDescent="0.25">
      <c r="A7914" t="str">
        <f>"20190303170442357"</f>
        <v>20190303170442357</v>
      </c>
      <c r="B7914" t="str">
        <f>"1551603882343699"</f>
        <v>1551603882343699</v>
      </c>
      <c r="C7914" t="s">
        <v>40</v>
      </c>
      <c r="D7914">
        <v>4.6425429999999999</v>
      </c>
      <c r="E7914">
        <v>0.63397369999999897</v>
      </c>
      <c r="F7914" t="s">
        <v>56</v>
      </c>
      <c r="G7914">
        <v>-120.7653</v>
      </c>
      <c r="H7914">
        <v>0.70122719999999905</v>
      </c>
      <c r="I7914">
        <v>159.99979999999999</v>
      </c>
      <c r="J7914">
        <v>-183.19329999999999</v>
      </c>
      <c r="K7914">
        <v>1.10721</v>
      </c>
      <c r="L7914">
        <v>127.04859999999999</v>
      </c>
      <c r="M7914">
        <v>0.49700620000000001</v>
      </c>
      <c r="N7914">
        <v>-1.5935290000000001E-2</v>
      </c>
      <c r="O7914">
        <v>0.86760059999999894</v>
      </c>
      <c r="P7914">
        <v>0.68086789999999997</v>
      </c>
      <c r="Q7914">
        <v>0.18265339999999999</v>
      </c>
      <c r="R7914">
        <v>0.70926489999999998</v>
      </c>
      <c r="S7914">
        <v>2.8509669999999998</v>
      </c>
      <c r="T7914">
        <v>-1.851881E-2</v>
      </c>
      <c r="U7914">
        <v>1.5087889999999999</v>
      </c>
      <c r="V7914">
        <v>0.24495220000000001</v>
      </c>
      <c r="W7914">
        <v>0.1894595</v>
      </c>
      <c r="X7914">
        <v>0.95084360000000001</v>
      </c>
      <c r="Y7914">
        <v>0.53433459999999999</v>
      </c>
      <c r="Z7914">
        <v>5.7250799999999996E-3</v>
      </c>
      <c r="AA7914">
        <v>0.84525360000000005</v>
      </c>
      <c r="AB7914">
        <v>32</v>
      </c>
      <c r="AC7914">
        <v>62.427999999999997</v>
      </c>
      <c r="AD7914">
        <v>-0.40598279999999998</v>
      </c>
      <c r="AE7914">
        <v>32.9512</v>
      </c>
      <c r="AF7914">
        <v>37.789169990412702</v>
      </c>
      <c r="AG7914">
        <v>-0.40598279999999998</v>
      </c>
      <c r="AH7914">
        <v>59.621185573271198</v>
      </c>
      <c r="AI7914">
        <v>90.329528360303797</v>
      </c>
      <c r="AJ7914">
        <v>57.632611475068799</v>
      </c>
      <c r="AK7914">
        <v>70.5894606847272</v>
      </c>
      <c r="AL7914">
        <v>79.078757263387104</v>
      </c>
      <c r="AM7914">
        <v>75.553820388459599</v>
      </c>
      <c r="AN7914">
        <v>1.0000000170430201</v>
      </c>
    </row>
    <row r="7915" spans="1:40" x14ac:dyDescent="0.25">
      <c r="A7915" t="str">
        <f>"20190303170442370"</f>
        <v>20190303170442370</v>
      </c>
      <c r="B7915" t="str">
        <f>"1551603882363219"</f>
        <v>1551603882363219</v>
      </c>
      <c r="C7915" t="s">
        <v>40</v>
      </c>
      <c r="D7915">
        <v>4.6431120000000004</v>
      </c>
      <c r="E7915">
        <v>0.66321680000000005</v>
      </c>
      <c r="F7915" t="s">
        <v>56</v>
      </c>
      <c r="G7915">
        <v>-119.7291</v>
      </c>
      <c r="H7915">
        <v>0.70006939999999995</v>
      </c>
      <c r="I7915">
        <v>159.99950000000001</v>
      </c>
      <c r="J7915">
        <v>-183.08500000000001</v>
      </c>
      <c r="K7915">
        <v>1.1071200000000001</v>
      </c>
      <c r="L7915">
        <v>127.22029999999999</v>
      </c>
      <c r="M7915">
        <v>0.50604659999999901</v>
      </c>
      <c r="N7915">
        <v>-1.5970149999999999E-2</v>
      </c>
      <c r="O7915">
        <v>0.86235830000000002</v>
      </c>
      <c r="P7915">
        <v>0.68867979999999995</v>
      </c>
      <c r="Q7915">
        <v>0.1825446</v>
      </c>
      <c r="R7915">
        <v>0.70171049999999902</v>
      </c>
      <c r="S7915">
        <v>2.862762</v>
      </c>
      <c r="T7915">
        <v>-1.836407E-2</v>
      </c>
      <c r="U7915">
        <v>1.486359</v>
      </c>
      <c r="V7915">
        <v>0.24556510000000001</v>
      </c>
      <c r="W7915">
        <v>0.18931290000000001</v>
      </c>
      <c r="X7915">
        <v>0.95071459999999997</v>
      </c>
      <c r="Y7915">
        <v>0.53213959999999905</v>
      </c>
      <c r="Z7915">
        <v>5.7037040000000004E-3</v>
      </c>
      <c r="AA7915">
        <v>0.84663739999999998</v>
      </c>
      <c r="AB7915">
        <v>32</v>
      </c>
      <c r="AC7915">
        <v>63.355899999999998</v>
      </c>
      <c r="AD7915">
        <v>-0.40705059999999998</v>
      </c>
      <c r="AE7915">
        <v>32.779200000000003</v>
      </c>
      <c r="AF7915">
        <v>38.051296507937302</v>
      </c>
      <c r="AG7915">
        <v>-0.40705059999999998</v>
      </c>
      <c r="AH7915">
        <v>60.334181748972497</v>
      </c>
      <c r="AI7915">
        <v>90.3269549170695</v>
      </c>
      <c r="AJ7915">
        <v>57.761369895473699</v>
      </c>
      <c r="AK7915">
        <v>71.332183083401901</v>
      </c>
      <c r="AL7915">
        <v>79.087310580877698</v>
      </c>
      <c r="AM7915">
        <v>75.517310002500395</v>
      </c>
      <c r="AN7915">
        <v>0.99999992154878603</v>
      </c>
    </row>
    <row r="7916" spans="1:40" x14ac:dyDescent="0.25">
      <c r="A7916" t="str">
        <f>"20190303170442383"</f>
        <v>20190303170442383</v>
      </c>
      <c r="B7916" t="str">
        <f>"1551603882373955"</f>
        <v>1551603882373955</v>
      </c>
      <c r="C7916" t="s">
        <v>40</v>
      </c>
      <c r="D7916">
        <v>4.6159119999999998</v>
      </c>
      <c r="E7916">
        <v>0.66240779999999999</v>
      </c>
      <c r="F7916" t="s">
        <v>119</v>
      </c>
      <c r="G7916">
        <v>-111.3884</v>
      </c>
      <c r="H7916">
        <v>0.95021149999999999</v>
      </c>
      <c r="I7916">
        <v>157.5676</v>
      </c>
      <c r="J7916">
        <v>-182.99010000000001</v>
      </c>
      <c r="K7916">
        <v>1.1070489999999999</v>
      </c>
      <c r="L7916">
        <v>127.3674</v>
      </c>
      <c r="M7916">
        <v>0.5138431</v>
      </c>
      <c r="N7916">
        <v>-1.5999180000000002E-2</v>
      </c>
      <c r="O7916">
        <v>0.85773500000000003</v>
      </c>
      <c r="P7916">
        <v>0.6951851</v>
      </c>
      <c r="Q7916">
        <v>0.18201320000000001</v>
      </c>
      <c r="R7916">
        <v>0.69540559999999996</v>
      </c>
      <c r="S7916">
        <v>3.0447690000000001</v>
      </c>
      <c r="T7916">
        <v>-6.6633219999999898E-3</v>
      </c>
      <c r="U7916">
        <v>1.2887729999999999</v>
      </c>
      <c r="V7916">
        <v>0.2457435</v>
      </c>
      <c r="W7916">
        <v>0.18876419999999999</v>
      </c>
      <c r="X7916">
        <v>0.95077769999999995</v>
      </c>
      <c r="Y7916">
        <v>0.58956149999999996</v>
      </c>
      <c r="Z7916">
        <v>8.9757999999999904E-3</v>
      </c>
      <c r="AA7916">
        <v>0.80767359999999999</v>
      </c>
      <c r="AB7916">
        <v>32</v>
      </c>
      <c r="AC7916">
        <v>71.601699999999994</v>
      </c>
      <c r="AD7916">
        <v>-0.15683749999999899</v>
      </c>
      <c r="AE7916">
        <v>30.200199999999899</v>
      </c>
      <c r="AF7916">
        <v>45.902807329882997</v>
      </c>
      <c r="AG7916">
        <v>-0.15683749999999899</v>
      </c>
      <c r="AH7916">
        <v>62.703577301964202</v>
      </c>
      <c r="AI7916">
        <v>90.115636890005703</v>
      </c>
      <c r="AJ7916">
        <v>53.793618186755097</v>
      </c>
      <c r="AK7916">
        <v>77.709915231128505</v>
      </c>
      <c r="AL7916">
        <v>79.119327033421001</v>
      </c>
      <c r="AM7916">
        <v>75.5081527765022</v>
      </c>
      <c r="AN7916">
        <v>1.0000000129055899</v>
      </c>
    </row>
    <row r="7917" spans="1:40" x14ac:dyDescent="0.25">
      <c r="A7917" t="str">
        <f>"20190303170442403"</f>
        <v>20190303170442403</v>
      </c>
      <c r="B7917" t="str">
        <f>"1551603882393475"</f>
        <v>1551603882393475</v>
      </c>
      <c r="C7917" t="s">
        <v>40</v>
      </c>
      <c r="D7917">
        <v>4.6251189999999998</v>
      </c>
      <c r="E7917">
        <v>0.66134939999999998</v>
      </c>
      <c r="F7917" t="s">
        <v>119</v>
      </c>
      <c r="G7917">
        <v>-110.1652</v>
      </c>
      <c r="H7917">
        <v>0.847579999999999</v>
      </c>
      <c r="I7917">
        <v>157.5676</v>
      </c>
      <c r="J7917">
        <v>-182.8304</v>
      </c>
      <c r="K7917">
        <v>1.1069340000000001</v>
      </c>
      <c r="L7917">
        <v>127.60899999999999</v>
      </c>
      <c r="M7917">
        <v>0.52671919999999905</v>
      </c>
      <c r="N7917">
        <v>-1.6045179999999999E-2</v>
      </c>
      <c r="O7917">
        <v>0.84988790000000003</v>
      </c>
      <c r="P7917">
        <v>0.7057329</v>
      </c>
      <c r="Q7917">
        <v>0.18138509999999999</v>
      </c>
      <c r="R7917">
        <v>0.68486519999999995</v>
      </c>
      <c r="S7917">
        <v>3.0521240000000001</v>
      </c>
      <c r="T7917">
        <v>-1.087427E-2</v>
      </c>
      <c r="U7917">
        <v>1.265701</v>
      </c>
      <c r="V7917">
        <v>0.2458785</v>
      </c>
      <c r="W7917">
        <v>0.18811520000000001</v>
      </c>
      <c r="X7917">
        <v>0.95087140000000003</v>
      </c>
      <c r="Y7917">
        <v>0.58326639999999996</v>
      </c>
      <c r="Z7917">
        <v>7.5618919999999997E-3</v>
      </c>
      <c r="AA7917">
        <v>0.81224580000000002</v>
      </c>
      <c r="AB7917">
        <v>32</v>
      </c>
      <c r="AC7917">
        <v>72.665199999999999</v>
      </c>
      <c r="AD7917">
        <v>-0.25935399999999997</v>
      </c>
      <c r="AE7917">
        <v>29.958600000000001</v>
      </c>
      <c r="AF7917">
        <v>45.9829231435655</v>
      </c>
      <c r="AG7917">
        <v>-0.25935399999999997</v>
      </c>
      <c r="AH7917">
        <v>63.743119294363403</v>
      </c>
      <c r="AI7917">
        <v>90.189061720425997</v>
      </c>
      <c r="AJ7917">
        <v>54.194125637495702</v>
      </c>
      <c r="AK7917">
        <v>78.5982298954615</v>
      </c>
      <c r="AL7917">
        <v>79.157190098168599</v>
      </c>
      <c r="AM7917">
        <v>75.501895692719799</v>
      </c>
      <c r="AN7917">
        <v>0.99999999228562497</v>
      </c>
    </row>
    <row r="7918" spans="1:40" x14ac:dyDescent="0.25">
      <c r="A7918" t="str">
        <f>"20190303170442418"</f>
        <v>20190303170442418</v>
      </c>
      <c r="B7918" t="str">
        <f>"1551603882403235"</f>
        <v>1551603882403235</v>
      </c>
      <c r="C7918" t="s">
        <v>40</v>
      </c>
      <c r="D7918">
        <v>4.6373699999999998</v>
      </c>
      <c r="E7918">
        <v>0.66044150000000001</v>
      </c>
      <c r="F7918" t="s">
        <v>119</v>
      </c>
      <c r="G7918">
        <v>-106.453</v>
      </c>
      <c r="H7918">
        <v>0.71448040000000002</v>
      </c>
      <c r="I7918">
        <v>158.15520000000001</v>
      </c>
      <c r="J7918">
        <v>-182.6994</v>
      </c>
      <c r="K7918">
        <v>1.106849</v>
      </c>
      <c r="L7918">
        <v>127.8017</v>
      </c>
      <c r="M7918">
        <v>0.53705829999999999</v>
      </c>
      <c r="N7918">
        <v>-1.6080509999999999E-2</v>
      </c>
      <c r="O7918">
        <v>0.84339179999999903</v>
      </c>
      <c r="P7918">
        <v>0.71391380000000004</v>
      </c>
      <c r="Q7918">
        <v>0.18116789999999999</v>
      </c>
      <c r="R7918">
        <v>0.67639139999999998</v>
      </c>
      <c r="S7918">
        <v>3.065277</v>
      </c>
      <c r="T7918">
        <v>-1.575029E-2</v>
      </c>
      <c r="U7918">
        <v>1.225922</v>
      </c>
      <c r="V7918">
        <v>0.24569369999999999</v>
      </c>
      <c r="W7918">
        <v>0.18789320000000001</v>
      </c>
      <c r="X7918">
        <v>0.95096309999999995</v>
      </c>
      <c r="Y7918">
        <v>0.58363449999999994</v>
      </c>
      <c r="Z7918">
        <v>5.9316539999999997E-3</v>
      </c>
      <c r="AA7918">
        <v>0.81199489999999996</v>
      </c>
      <c r="AB7918">
        <v>32</v>
      </c>
      <c r="AC7918">
        <v>76.246399999999994</v>
      </c>
      <c r="AD7918">
        <v>-0.39236860000000001</v>
      </c>
      <c r="AE7918">
        <v>30.3535</v>
      </c>
      <c r="AF7918">
        <v>48.009101400534703</v>
      </c>
      <c r="AG7918">
        <v>-0.39236860000000001</v>
      </c>
      <c r="AH7918">
        <v>66.5557417676645</v>
      </c>
      <c r="AI7918">
        <v>90.273942604775399</v>
      </c>
      <c r="AJ7918">
        <v>54.195703969788298</v>
      </c>
      <c r="AK7918">
        <v>82.065184656156902</v>
      </c>
      <c r="AL7918">
        <v>79.170141141844994</v>
      </c>
      <c r="AM7918">
        <v>75.513671852805402</v>
      </c>
      <c r="AN7918">
        <v>1.00000003319376</v>
      </c>
    </row>
    <row r="7919" spans="1:40" x14ac:dyDescent="0.25">
      <c r="A7919" t="str">
        <f>"20190303170442432"</f>
        <v>20190303170442432</v>
      </c>
      <c r="B7919" t="str">
        <f>"1551603882423731"</f>
        <v>1551603882423731</v>
      </c>
      <c r="C7919" t="s">
        <v>40</v>
      </c>
      <c r="D7919">
        <v>4.754251</v>
      </c>
      <c r="E7919">
        <v>0.65939740000000002</v>
      </c>
      <c r="F7919" t="s">
        <v>119</v>
      </c>
      <c r="G7919">
        <v>-104.5574</v>
      </c>
      <c r="H7919">
        <v>0.66046519999999898</v>
      </c>
      <c r="I7919">
        <v>158.15520000000001</v>
      </c>
      <c r="J7919">
        <v>-182.5789</v>
      </c>
      <c r="K7919">
        <v>1.106778</v>
      </c>
      <c r="L7919">
        <v>127.9742</v>
      </c>
      <c r="M7919">
        <v>0.54638199999999904</v>
      </c>
      <c r="N7919">
        <v>-1.6111360000000002E-2</v>
      </c>
      <c r="O7919">
        <v>0.83738109999999999</v>
      </c>
      <c r="P7919">
        <v>0.72111359999999902</v>
      </c>
      <c r="Q7919">
        <v>0.1812744</v>
      </c>
      <c r="R7919">
        <v>0.66868139999999998</v>
      </c>
      <c r="S7919">
        <v>3.0749659999999999</v>
      </c>
      <c r="T7919">
        <v>-1.756549E-2</v>
      </c>
      <c r="U7919">
        <v>1.1944429999999999</v>
      </c>
      <c r="V7919">
        <v>0.24537339999999999</v>
      </c>
      <c r="W7919">
        <v>0.18800269999999999</v>
      </c>
      <c r="X7919">
        <v>0.95102410000000004</v>
      </c>
      <c r="Y7919">
        <v>0.5827078</v>
      </c>
      <c r="Z7919">
        <v>5.267463E-3</v>
      </c>
      <c r="AA7919">
        <v>0.81266470000000002</v>
      </c>
      <c r="AB7919">
        <v>32</v>
      </c>
      <c r="AC7919">
        <v>78.021500000000003</v>
      </c>
      <c r="AD7919">
        <v>-0.44631280000000001</v>
      </c>
      <c r="AE7919">
        <v>30.181000000000001</v>
      </c>
      <c r="AF7919">
        <v>48.8483251424625</v>
      </c>
      <c r="AG7919">
        <v>-0.44631280000000001</v>
      </c>
      <c r="AH7919">
        <v>67.909424830461802</v>
      </c>
      <c r="AI7919">
        <v>90.305686018369698</v>
      </c>
      <c r="AJ7919">
        <v>54.271937330559197</v>
      </c>
      <c r="AK7919">
        <v>83.654336678640405</v>
      </c>
      <c r="AL7919">
        <v>79.163752831920604</v>
      </c>
      <c r="AM7919">
        <v>75.532652981401498</v>
      </c>
      <c r="AN7919">
        <v>0.99999997970782895</v>
      </c>
    </row>
    <row r="7920" spans="1:40" x14ac:dyDescent="0.25">
      <c r="A7920" t="str">
        <f>"20190303170442447"</f>
        <v>20190303170442447</v>
      </c>
      <c r="B7920" t="str">
        <f>"1551603882433491"</f>
        <v>1551603882433491</v>
      </c>
      <c r="C7920" t="s">
        <v>40</v>
      </c>
      <c r="D7920">
        <v>4.6723280000000003</v>
      </c>
      <c r="E7920">
        <v>0.65904640000000003</v>
      </c>
      <c r="F7920" t="s">
        <v>119</v>
      </c>
      <c r="G7920">
        <v>-103.6973</v>
      </c>
      <c r="H7920">
        <v>0.63847259999999995</v>
      </c>
      <c r="I7920">
        <v>157.85120000000001</v>
      </c>
      <c r="J7920">
        <v>-182.4589</v>
      </c>
      <c r="K7920">
        <v>1.1067199999999999</v>
      </c>
      <c r="L7920">
        <v>128.1414</v>
      </c>
      <c r="M7920">
        <v>0.55548149999999996</v>
      </c>
      <c r="N7920">
        <v>-1.614034E-2</v>
      </c>
      <c r="O7920">
        <v>0.83137229999999995</v>
      </c>
      <c r="P7920">
        <v>0.72736559999999995</v>
      </c>
      <c r="Q7920">
        <v>0.18216060000000001</v>
      </c>
      <c r="R7920">
        <v>0.66163209999999995</v>
      </c>
      <c r="S7920">
        <v>3.0822750000000001</v>
      </c>
      <c r="T7920">
        <v>-1.8298749999999999E-2</v>
      </c>
      <c r="U7920">
        <v>1.167435</v>
      </c>
      <c r="V7920">
        <v>0.2441306</v>
      </c>
      <c r="W7920">
        <v>0.1889286</v>
      </c>
      <c r="X7920">
        <v>0.95116049999999996</v>
      </c>
      <c r="Y7920">
        <v>0.58070459999999902</v>
      </c>
      <c r="Z7920">
        <v>4.9458760000000001E-3</v>
      </c>
      <c r="AA7920">
        <v>0.81409940000000003</v>
      </c>
      <c r="AB7920">
        <v>32</v>
      </c>
      <c r="AC7920">
        <v>78.761600000000001</v>
      </c>
      <c r="AD7920">
        <v>-0.46824739999999998</v>
      </c>
      <c r="AE7920">
        <v>29.709800000000001</v>
      </c>
      <c r="AF7920">
        <v>48.981830782856903</v>
      </c>
      <c r="AG7920">
        <v>-0.46824739999999998</v>
      </c>
      <c r="AH7920">
        <v>68.457312340290002</v>
      </c>
      <c r="AI7920">
        <v>90.318716462000594</v>
      </c>
      <c r="AJ7920">
        <v>54.415934443584199</v>
      </c>
      <c r="AK7920">
        <v>84.177447189399004</v>
      </c>
      <c r="AL7920">
        <v>79.109735217015498</v>
      </c>
      <c r="AM7920">
        <v>75.604854966577804</v>
      </c>
      <c r="AN7920">
        <v>1.0000000312572801</v>
      </c>
    </row>
    <row r="7921" spans="1:40" x14ac:dyDescent="0.25">
      <c r="A7921" t="str">
        <f>"20190303170442459"</f>
        <v>20190303170442459</v>
      </c>
      <c r="B7921" t="str">
        <f>"1551603882443251"</f>
        <v>1551603882443251</v>
      </c>
      <c r="C7921" t="s">
        <v>40</v>
      </c>
      <c r="D7921">
        <v>4.6598800000000002</v>
      </c>
      <c r="E7921">
        <v>0.65811629999999999</v>
      </c>
      <c r="F7921" t="s">
        <v>119</v>
      </c>
      <c r="G7921">
        <v>-102.5989</v>
      </c>
      <c r="H7921">
        <v>0.74735830000000003</v>
      </c>
      <c r="I7921">
        <v>157.5675</v>
      </c>
      <c r="J7921">
        <v>-182.35130000000001</v>
      </c>
      <c r="K7921">
        <v>1.1066659999999999</v>
      </c>
      <c r="L7921">
        <v>128.28880000000001</v>
      </c>
      <c r="M7921">
        <v>0.56352380000000002</v>
      </c>
      <c r="N7921">
        <v>-1.6164990000000001E-2</v>
      </c>
      <c r="O7921">
        <v>0.82594159999999905</v>
      </c>
      <c r="P7921">
        <v>0.73342350000000001</v>
      </c>
      <c r="Q7921">
        <v>0.1828389</v>
      </c>
      <c r="R7921">
        <v>0.6547212</v>
      </c>
      <c r="S7921">
        <v>3.0917050000000001</v>
      </c>
      <c r="T7921">
        <v>-1.39122E-2</v>
      </c>
      <c r="U7921">
        <v>1.1392059999999999</v>
      </c>
      <c r="V7921">
        <v>0.243807</v>
      </c>
      <c r="W7921">
        <v>0.18961169999999999</v>
      </c>
      <c r="X7921">
        <v>0.95110749999999999</v>
      </c>
      <c r="Y7921">
        <v>0.58014709999999903</v>
      </c>
      <c r="Z7921">
        <v>6.1907809999999898E-3</v>
      </c>
      <c r="AA7921">
        <v>0.8144882</v>
      </c>
      <c r="AB7921">
        <v>32</v>
      </c>
      <c r="AC7921">
        <v>79.752399999999994</v>
      </c>
      <c r="AD7921">
        <v>-0.35930769999999901</v>
      </c>
      <c r="AE7921">
        <v>29.278699999999901</v>
      </c>
      <c r="AF7921">
        <v>49.377151509280701</v>
      </c>
      <c r="AG7921">
        <v>-0.35930769999999901</v>
      </c>
      <c r="AH7921">
        <v>69.132671662250402</v>
      </c>
      <c r="AI7921">
        <v>90.242323367465701</v>
      </c>
      <c r="AJ7921">
        <v>54.464148748972001</v>
      </c>
      <c r="AK7921">
        <v>84.956215101393596</v>
      </c>
      <c r="AL7921">
        <v>79.069875265491802</v>
      </c>
      <c r="AM7921">
        <v>75.6223766929172</v>
      </c>
      <c r="AN7921">
        <v>0.99999996329106899</v>
      </c>
    </row>
    <row r="7922" spans="1:40" x14ac:dyDescent="0.25">
      <c r="A7922" t="str">
        <f>"20190303170442470"</f>
        <v>20190303170442470</v>
      </c>
      <c r="B7922" t="str">
        <f>"1551603882463747"</f>
        <v>1551603882463747</v>
      </c>
      <c r="C7922" t="s">
        <v>40</v>
      </c>
      <c r="D7922">
        <v>4.6675800000000001</v>
      </c>
      <c r="E7922">
        <v>0.65644089999999999</v>
      </c>
      <c r="F7922" t="s">
        <v>119</v>
      </c>
      <c r="G7922">
        <v>-99.453379999999996</v>
      </c>
      <c r="H7922">
        <v>0.75764849999999995</v>
      </c>
      <c r="I7922">
        <v>158.15520000000001</v>
      </c>
      <c r="J7922">
        <v>-182.2467</v>
      </c>
      <c r="K7922">
        <v>1.106619</v>
      </c>
      <c r="L7922">
        <v>128.429</v>
      </c>
      <c r="M7922">
        <v>0.57121390000000005</v>
      </c>
      <c r="N7922">
        <v>-1.618783E-2</v>
      </c>
      <c r="O7922">
        <v>0.82064159999999997</v>
      </c>
      <c r="P7922">
        <v>0.73937050000000004</v>
      </c>
      <c r="Q7922">
        <v>0.1834662</v>
      </c>
      <c r="R7922">
        <v>0.64782059999999997</v>
      </c>
      <c r="S7922">
        <v>3.097458</v>
      </c>
      <c r="T7922">
        <v>-1.304078E-2</v>
      </c>
      <c r="U7922">
        <v>1.1159520000000001</v>
      </c>
      <c r="V7922">
        <v>0.24375250000000001</v>
      </c>
      <c r="W7922">
        <v>0.19023390000000001</v>
      </c>
      <c r="X7922">
        <v>0.95099730000000005</v>
      </c>
      <c r="Y7922">
        <v>0.57842759999999904</v>
      </c>
      <c r="Z7922">
        <v>6.3675619999999898E-3</v>
      </c>
      <c r="AA7922">
        <v>0.81570889999999996</v>
      </c>
      <c r="AB7922">
        <v>32</v>
      </c>
      <c r="AC7922">
        <v>82.793319999999994</v>
      </c>
      <c r="AD7922">
        <v>-0.34897050000000002</v>
      </c>
      <c r="AE7922">
        <v>29.726199999999999</v>
      </c>
      <c r="AF7922">
        <v>50.969500531791901</v>
      </c>
      <c r="AG7922">
        <v>-0.34897050000000002</v>
      </c>
      <c r="AH7922">
        <v>71.695517736687293</v>
      </c>
      <c r="AI7922">
        <v>90.227295509445995</v>
      </c>
      <c r="AJ7922">
        <v>54.590364767613202</v>
      </c>
      <c r="AK7922">
        <v>87.967374795442495</v>
      </c>
      <c r="AL7922">
        <v>79.033565812261003</v>
      </c>
      <c r="AM7922">
        <v>75.623860776069293</v>
      </c>
      <c r="AN7922">
        <v>1.0000000412863701</v>
      </c>
    </row>
    <row r="7923" spans="1:40" x14ac:dyDescent="0.25">
      <c r="A7923" t="str">
        <f>"20190303170442483"</f>
        <v>20190303170442483</v>
      </c>
      <c r="B7923" t="str">
        <f>"1551603882473507"</f>
        <v>1551603882473507</v>
      </c>
      <c r="C7923" t="s">
        <v>40</v>
      </c>
      <c r="D7923">
        <v>4.6827909999999999</v>
      </c>
      <c r="E7923">
        <v>0.65552840000000001</v>
      </c>
      <c r="F7923" t="s">
        <v>119</v>
      </c>
      <c r="G7923">
        <v>-98.387249999999995</v>
      </c>
      <c r="H7923">
        <v>0.68576340000000002</v>
      </c>
      <c r="I7923">
        <v>158.15520000000001</v>
      </c>
      <c r="J7923">
        <v>-182.13939999999999</v>
      </c>
      <c r="K7923">
        <v>1.1065700000000001</v>
      </c>
      <c r="L7923">
        <v>128.56979999999999</v>
      </c>
      <c r="M7923">
        <v>0.57898099999999997</v>
      </c>
      <c r="N7923">
        <v>-1.621044E-2</v>
      </c>
      <c r="O7923">
        <v>0.81517989999999996</v>
      </c>
      <c r="P7923">
        <v>0.74566549999999998</v>
      </c>
      <c r="Q7923">
        <v>0.18408430000000001</v>
      </c>
      <c r="R7923">
        <v>0.64038739999999905</v>
      </c>
      <c r="S7923">
        <v>3.0988769999999999</v>
      </c>
      <c r="T7923">
        <v>-1.5551809999999999E-2</v>
      </c>
      <c r="U7923">
        <v>1.0984799999999999</v>
      </c>
      <c r="V7923">
        <v>0.2441622</v>
      </c>
      <c r="W7923">
        <v>0.19082879999999999</v>
      </c>
      <c r="X7923">
        <v>0.95077290000000003</v>
      </c>
      <c r="Y7923">
        <v>0.57487709999999903</v>
      </c>
      <c r="Z7923">
        <v>5.5252290000000004E-3</v>
      </c>
      <c r="AA7923">
        <v>0.81822119999999998</v>
      </c>
      <c r="AB7923">
        <v>32</v>
      </c>
      <c r="AC7923">
        <v>83.75215</v>
      </c>
      <c r="AD7923">
        <v>-0.42080659999999998</v>
      </c>
      <c r="AE7923">
        <v>29.5854</v>
      </c>
      <c r="AF7923">
        <v>51.149256654204997</v>
      </c>
      <c r="AG7923">
        <v>-0.42080659999999998</v>
      </c>
      <c r="AH7923">
        <v>72.616237316720799</v>
      </c>
      <c r="AI7923">
        <v>90.271444420038193</v>
      </c>
      <c r="AJ7923">
        <v>54.839988533948699</v>
      </c>
      <c r="AK7923">
        <v>88.823090784495093</v>
      </c>
      <c r="AL7923">
        <v>78.998843582561094</v>
      </c>
      <c r="AM7923">
        <v>75.597444031267102</v>
      </c>
      <c r="AN7923">
        <v>0.99999995909634398</v>
      </c>
    </row>
    <row r="7924" spans="1:40" x14ac:dyDescent="0.25">
      <c r="A7924" t="str">
        <f>"20190303170442495"</f>
        <v>20190303170442495</v>
      </c>
      <c r="B7924" t="str">
        <f>"1551603882483267"</f>
        <v>1551603882483267</v>
      </c>
      <c r="C7924" t="s">
        <v>40</v>
      </c>
      <c r="D7924">
        <v>4.6895480000000003</v>
      </c>
      <c r="E7924">
        <v>0.65552840000000001</v>
      </c>
      <c r="F7924" t="s">
        <v>119</v>
      </c>
      <c r="G7924">
        <v>-96.64573</v>
      </c>
      <c r="H7924">
        <v>0.64660640000000003</v>
      </c>
      <c r="I7924">
        <v>158.15520000000001</v>
      </c>
      <c r="J7924">
        <v>-182.02889999999999</v>
      </c>
      <c r="K7924">
        <v>1.1065210000000001</v>
      </c>
      <c r="L7924">
        <v>128.71279999999999</v>
      </c>
      <c r="M7924">
        <v>0.58687080000000003</v>
      </c>
      <c r="N7924">
        <v>-1.6232770000000001E-2</v>
      </c>
      <c r="O7924">
        <v>0.80951779999999995</v>
      </c>
      <c r="P7924">
        <v>0.75219769999999997</v>
      </c>
      <c r="Q7924">
        <v>0.18398709999999999</v>
      </c>
      <c r="R7924">
        <v>0.63273000000000001</v>
      </c>
      <c r="S7924">
        <v>3.1046749999999999</v>
      </c>
      <c r="T7924">
        <v>-1.6703249999999999E-2</v>
      </c>
      <c r="U7924">
        <v>1.074387</v>
      </c>
      <c r="V7924">
        <v>0.24468760000000001</v>
      </c>
      <c r="W7924">
        <v>0.19070619999999999</v>
      </c>
      <c r="X7924">
        <v>0.95066249999999997</v>
      </c>
      <c r="Y7924">
        <v>0.57306869999999999</v>
      </c>
      <c r="Z7924">
        <v>5.0847519999999997E-3</v>
      </c>
      <c r="AA7924">
        <v>0.81949159999999899</v>
      </c>
      <c r="AB7924">
        <v>32</v>
      </c>
      <c r="AC7924">
        <v>85.383169999999893</v>
      </c>
      <c r="AD7924">
        <v>-0.45991459999999901</v>
      </c>
      <c r="AE7924">
        <v>29.442399999999999</v>
      </c>
      <c r="AF7924">
        <v>51.8458004785453</v>
      </c>
      <c r="AG7924">
        <v>-0.45991459999999901</v>
      </c>
      <c r="AH7924">
        <v>73.950866007933797</v>
      </c>
      <c r="AI7924">
        <v>90.291768472231993</v>
      </c>
      <c r="AJ7924">
        <v>54.966301004211303</v>
      </c>
      <c r="AK7924">
        <v>90.315719185664506</v>
      </c>
      <c r="AL7924">
        <v>79.006000279637107</v>
      </c>
      <c r="AM7924">
        <v>75.566139024103194</v>
      </c>
      <c r="AN7924">
        <v>1.00000003260922</v>
      </c>
    </row>
    <row r="7925" spans="1:40" x14ac:dyDescent="0.25">
      <c r="A7925" t="str">
        <f>"20190303170442508"</f>
        <v>20190303170442508</v>
      </c>
      <c r="B7925" t="str">
        <f>"1551603882493027"</f>
        <v>1551603882493027</v>
      </c>
      <c r="C7925" t="s">
        <v>40</v>
      </c>
      <c r="D7925">
        <v>4.6819169999999897</v>
      </c>
      <c r="E7925">
        <v>0.64182459999999997</v>
      </c>
      <c r="F7925" t="s">
        <v>119</v>
      </c>
      <c r="G7925">
        <v>-94.225669999999994</v>
      </c>
      <c r="H7925">
        <v>0.60344600000000004</v>
      </c>
      <c r="I7925">
        <v>158.1088</v>
      </c>
      <c r="J7925">
        <v>-181.91399999999999</v>
      </c>
      <c r="K7925">
        <v>1.1064750000000001</v>
      </c>
      <c r="L7925">
        <v>128.857</v>
      </c>
      <c r="M7925">
        <v>0.59490669999999901</v>
      </c>
      <c r="N7925">
        <v>-1.6254999999999999E-2</v>
      </c>
      <c r="O7925">
        <v>0.80363039999999997</v>
      </c>
      <c r="P7925">
        <v>0.7586794</v>
      </c>
      <c r="Q7925">
        <v>0.18323159999999999</v>
      </c>
      <c r="R7925">
        <v>0.62516539999999998</v>
      </c>
      <c r="S7925">
        <v>3.1153409999999999</v>
      </c>
      <c r="T7925">
        <v>-1.7849449999999999E-2</v>
      </c>
      <c r="U7925">
        <v>1.042999</v>
      </c>
      <c r="V7925">
        <v>0.2448767</v>
      </c>
      <c r="W7925">
        <v>0.18994130000000001</v>
      </c>
      <c r="X7925">
        <v>0.95076689999999997</v>
      </c>
      <c r="Y7925">
        <v>0.57317450000000003</v>
      </c>
      <c r="Z7925">
        <v>4.6321369999999997E-3</v>
      </c>
      <c r="AA7925">
        <v>0.81942019999999904</v>
      </c>
      <c r="AB7925">
        <v>32</v>
      </c>
      <c r="AC7925">
        <v>87.688329999999993</v>
      </c>
      <c r="AD7925">
        <v>-0.50302899999999995</v>
      </c>
      <c r="AE7925">
        <v>29.251799999999999</v>
      </c>
      <c r="AF7925">
        <v>53.072355777531897</v>
      </c>
      <c r="AG7925">
        <v>-0.50302899999999995</v>
      </c>
      <c r="AH7925">
        <v>75.681768080435702</v>
      </c>
      <c r="AI7925">
        <v>90.311795940570804</v>
      </c>
      <c r="AJ7925">
        <v>54.9596792708899</v>
      </c>
      <c r="AK7925">
        <v>92.437319334415093</v>
      </c>
      <c r="AL7925">
        <v>79.050641410682999</v>
      </c>
      <c r="AM7925">
        <v>75.556970473824606</v>
      </c>
      <c r="AN7925">
        <v>0.99999999689209496</v>
      </c>
    </row>
    <row r="7926" spans="1:40" x14ac:dyDescent="0.25">
      <c r="A7926" t="str">
        <f>"20190303170442520"</f>
        <v>20190303170442520</v>
      </c>
      <c r="B7926" t="str">
        <f>"1551603882503762"</f>
        <v>1551603882503762</v>
      </c>
      <c r="C7926" t="s">
        <v>40</v>
      </c>
      <c r="D7926">
        <v>4.6956030000000002</v>
      </c>
      <c r="E7926">
        <v>0.64132730000000004</v>
      </c>
      <c r="F7926" t="s">
        <v>44</v>
      </c>
      <c r="G7926">
        <v>-100.7696</v>
      </c>
      <c r="H7926">
        <v>-0.05</v>
      </c>
      <c r="I7926">
        <v>158.02789999999999</v>
      </c>
      <c r="J7926">
        <v>-181.81</v>
      </c>
      <c r="K7926">
        <v>1.106436</v>
      </c>
      <c r="L7926">
        <v>128.98589999999999</v>
      </c>
      <c r="M7926">
        <v>0.60209269999999904</v>
      </c>
      <c r="N7926">
        <v>-1.6274199999999999E-2</v>
      </c>
      <c r="O7926">
        <v>0.79826030000000003</v>
      </c>
      <c r="P7926">
        <v>0.76436870000000001</v>
      </c>
      <c r="Q7926">
        <v>0.18265339999999999</v>
      </c>
      <c r="R7926">
        <v>0.61836740000000001</v>
      </c>
      <c r="S7926">
        <v>3.0586850000000001</v>
      </c>
      <c r="T7926">
        <v>-4.3592569999999997E-2</v>
      </c>
      <c r="U7926">
        <v>1.0995790000000001</v>
      </c>
      <c r="V7926">
        <v>0.24494170000000001</v>
      </c>
      <c r="W7926">
        <v>0.18935840000000001</v>
      </c>
      <c r="X7926">
        <v>0.95086649999999995</v>
      </c>
      <c r="Y7926">
        <v>0.54747880000000004</v>
      </c>
      <c r="Z7926">
        <v>-3.0425029999999998E-3</v>
      </c>
      <c r="AA7926">
        <v>0.83681399999999995</v>
      </c>
      <c r="AB7926">
        <v>32</v>
      </c>
      <c r="AC7926">
        <v>81.040400000000005</v>
      </c>
      <c r="AD7926">
        <v>-1.156436</v>
      </c>
      <c r="AE7926">
        <v>29.041999999999899</v>
      </c>
      <c r="AF7926">
        <v>47.203092799401297</v>
      </c>
      <c r="AG7926">
        <v>-1.156436</v>
      </c>
      <c r="AH7926">
        <v>71.973455257486606</v>
      </c>
      <c r="AI7926">
        <v>90.769765644452505</v>
      </c>
      <c r="AJ7926">
        <v>56.741522747260198</v>
      </c>
      <c r="AK7926">
        <v>86.079309800627598</v>
      </c>
      <c r="AL7926">
        <v>79.084657245647307</v>
      </c>
      <c r="AM7926">
        <v>75.554747061646097</v>
      </c>
      <c r="AN7926">
        <v>1.00000007043584</v>
      </c>
    </row>
    <row r="7927" spans="1:40" x14ac:dyDescent="0.25">
      <c r="A7927" t="str">
        <f>"20190303170442532"</f>
        <v>20190303170442532</v>
      </c>
      <c r="B7927" t="str">
        <f>"1551603882523284"</f>
        <v>1551603882523284</v>
      </c>
      <c r="C7927" t="s">
        <v>40</v>
      </c>
      <c r="D7927">
        <v>4.5338599999999998</v>
      </c>
      <c r="E7927">
        <v>0.64145149999999995</v>
      </c>
      <c r="F7927" t="s">
        <v>42</v>
      </c>
      <c r="G7927">
        <v>-117.05759999999999</v>
      </c>
      <c r="H7927">
        <v>7.9986070000000006E-2</v>
      </c>
      <c r="I7927">
        <v>151.68549999999999</v>
      </c>
      <c r="J7927">
        <v>-181.69470000000001</v>
      </c>
      <c r="K7927">
        <v>1.1063970000000001</v>
      </c>
      <c r="L7927">
        <v>129.1259</v>
      </c>
      <c r="M7927">
        <v>0.60992829999999998</v>
      </c>
      <c r="N7927">
        <v>-1.62945E-2</v>
      </c>
      <c r="O7927">
        <v>0.79228909999999997</v>
      </c>
      <c r="P7927">
        <v>0.77006169999999996</v>
      </c>
      <c r="Q7927">
        <v>0.18258189999999999</v>
      </c>
      <c r="R7927">
        <v>0.61128459999999996</v>
      </c>
      <c r="S7927">
        <v>3.0667270000000002</v>
      </c>
      <c r="T7927">
        <v>-4.8613549999999998E-2</v>
      </c>
      <c r="U7927">
        <v>1.0750729999999999</v>
      </c>
      <c r="V7927">
        <v>0.24437929999999999</v>
      </c>
      <c r="W7927">
        <v>0.1893069</v>
      </c>
      <c r="X7927">
        <v>0.95102140000000002</v>
      </c>
      <c r="Y7927">
        <v>0.54586140000000005</v>
      </c>
      <c r="Z7927">
        <v>-4.6039499999999999E-3</v>
      </c>
      <c r="AA7927">
        <v>0.83786280000000002</v>
      </c>
      <c r="AB7927">
        <v>32</v>
      </c>
      <c r="AC7927">
        <v>64.637100000000004</v>
      </c>
      <c r="AD7927">
        <v>-1.0264109299999999</v>
      </c>
      <c r="AE7927">
        <v>22.5595999999999</v>
      </c>
      <c r="AF7927">
        <v>37.448085487436899</v>
      </c>
      <c r="AG7927">
        <v>-1.0264109299999999</v>
      </c>
      <c r="AH7927">
        <v>57.292449880579497</v>
      </c>
      <c r="AI7927">
        <v>90.859145197129394</v>
      </c>
      <c r="AJ7927">
        <v>56.830149863316599</v>
      </c>
      <c r="AK7927">
        <v>68.453176985369495</v>
      </c>
      <c r="AL7927">
        <v>79.087661817628799</v>
      </c>
      <c r="AM7927">
        <v>75.588780861480998</v>
      </c>
      <c r="AN7927">
        <v>1.0000000239570199</v>
      </c>
    </row>
    <row r="7928" spans="1:40" x14ac:dyDescent="0.25">
      <c r="A7928" t="str">
        <f>"20190303170442546"</f>
        <v>20190303170442546</v>
      </c>
      <c r="B7928" t="str">
        <f>"1551603882534019"</f>
        <v>1551603882534019</v>
      </c>
      <c r="C7928" t="s">
        <v>40</v>
      </c>
      <c r="D7928">
        <v>4.5377320000000001</v>
      </c>
      <c r="E7928">
        <v>0.64090649999999905</v>
      </c>
      <c r="F7928" t="s">
        <v>119</v>
      </c>
      <c r="G7928">
        <v>-95.609530000000007</v>
      </c>
      <c r="H7928">
        <v>1.4128099999999999</v>
      </c>
      <c r="I7928">
        <v>158.15539999999999</v>
      </c>
      <c r="J7928">
        <v>-181.56039999999999</v>
      </c>
      <c r="K7928">
        <v>1.1063499999999999</v>
      </c>
      <c r="L7928">
        <v>129.28489999999999</v>
      </c>
      <c r="M7928">
        <v>0.61887969999999903</v>
      </c>
      <c r="N7928">
        <v>-1.6316830000000001E-2</v>
      </c>
      <c r="O7928">
        <v>0.78531629999999997</v>
      </c>
      <c r="P7928">
        <v>0.77653499999999998</v>
      </c>
      <c r="Q7928">
        <v>0.18362229999999999</v>
      </c>
      <c r="R7928">
        <v>0.60272429999999999</v>
      </c>
      <c r="S7928">
        <v>3.071091</v>
      </c>
      <c r="T7928">
        <v>1.093149E-2</v>
      </c>
      <c r="U7928">
        <v>1.0356289999999999</v>
      </c>
      <c r="V7928">
        <v>0.24397750000000001</v>
      </c>
      <c r="W7928">
        <v>0.19035840000000001</v>
      </c>
      <c r="X7928">
        <v>0.95091460000000005</v>
      </c>
      <c r="Y7928">
        <v>0.54630999999999996</v>
      </c>
      <c r="Z7928">
        <v>1.3081270000000001E-2</v>
      </c>
      <c r="AA7928">
        <v>0.83748089999999997</v>
      </c>
      <c r="AB7928">
        <v>32</v>
      </c>
      <c r="AC7928">
        <v>85.950869999999895</v>
      </c>
      <c r="AD7928">
        <v>0.30646000000000001</v>
      </c>
      <c r="AE7928">
        <v>28.8705</v>
      </c>
      <c r="AF7928">
        <v>49.637293654128698</v>
      </c>
      <c r="AG7928">
        <v>0.30646000000000001</v>
      </c>
      <c r="AH7928">
        <v>75.874956806947793</v>
      </c>
      <c r="AI7928">
        <v>89.806341802289793</v>
      </c>
      <c r="AJ7928">
        <v>56.807342928766602</v>
      </c>
      <c r="AK7928">
        <v>90.669531318376201</v>
      </c>
      <c r="AL7928">
        <v>79.0262987953748</v>
      </c>
      <c r="AM7928">
        <v>75.609941920646307</v>
      </c>
      <c r="AN7928">
        <v>0.99999995872498404</v>
      </c>
    </row>
    <row r="7929" spans="1:40" x14ac:dyDescent="0.25">
      <c r="A7929" t="str">
        <f>"20190303170442558"</f>
        <v>20190303170442558</v>
      </c>
      <c r="B7929" t="str">
        <f>"1551603882543779"</f>
        <v>1551603882543779</v>
      </c>
      <c r="C7929" t="s">
        <v>40</v>
      </c>
      <c r="D7929">
        <v>4.4921749999999996</v>
      </c>
      <c r="E7929">
        <v>0.64005570000000001</v>
      </c>
      <c r="F7929" t="s">
        <v>119</v>
      </c>
      <c r="G7929">
        <v>-94.225669999999994</v>
      </c>
      <c r="H7929">
        <v>1.527933</v>
      </c>
      <c r="I7929">
        <v>157.774</v>
      </c>
      <c r="J7929">
        <v>-181.44839999999999</v>
      </c>
      <c r="K7929">
        <v>1.106317</v>
      </c>
      <c r="L7929">
        <v>129.41540000000001</v>
      </c>
      <c r="M7929">
        <v>0.62623469999999903</v>
      </c>
      <c r="N7929">
        <v>-1.633457E-2</v>
      </c>
      <c r="O7929">
        <v>0.77946349999999998</v>
      </c>
      <c r="P7929">
        <v>0.78195819999999905</v>
      </c>
      <c r="Q7929">
        <v>0.18471509999999999</v>
      </c>
      <c r="R7929">
        <v>0.59533319999999901</v>
      </c>
      <c r="S7929">
        <v>3.0799560000000001</v>
      </c>
      <c r="T7929">
        <v>1.4867780000000001E-2</v>
      </c>
      <c r="U7929">
        <v>1.0046999999999999</v>
      </c>
      <c r="V7929">
        <v>0.24391170000000001</v>
      </c>
      <c r="W7929">
        <v>0.19144900000000001</v>
      </c>
      <c r="X7929">
        <v>0.95071260000000002</v>
      </c>
      <c r="Y7929">
        <v>0.54673139999999998</v>
      </c>
      <c r="Z7929">
        <v>1.4120789999999999E-2</v>
      </c>
      <c r="AA7929">
        <v>0.83718899999999996</v>
      </c>
      <c r="AB7929">
        <v>32</v>
      </c>
      <c r="AC7929">
        <v>87.222729999999999</v>
      </c>
      <c r="AD7929">
        <v>0.42161599999999999</v>
      </c>
      <c r="AE7929">
        <v>28.358599999999999</v>
      </c>
      <c r="AF7929">
        <v>50.233434064936901</v>
      </c>
      <c r="AG7929">
        <v>0.42161599999999999</v>
      </c>
      <c r="AH7929">
        <v>76.735007759316801</v>
      </c>
      <c r="AI7929">
        <v>89.736612100110904</v>
      </c>
      <c r="AJ7929">
        <v>56.789831664190601</v>
      </c>
      <c r="AK7929">
        <v>91.716067697160994</v>
      </c>
      <c r="AL7929">
        <v>78.962642206954001</v>
      </c>
      <c r="AM7929">
        <v>75.610731987578404</v>
      </c>
      <c r="AN7929">
        <v>1.00000004239832</v>
      </c>
    </row>
    <row r="7930" spans="1:40" x14ac:dyDescent="0.25">
      <c r="A7930" t="str">
        <f>"20190303170442569"</f>
        <v>20190303170442569</v>
      </c>
      <c r="B7930" t="str">
        <f>"1551603882563053"</f>
        <v>1551603882563053</v>
      </c>
      <c r="C7930" t="s">
        <v>40</v>
      </c>
      <c r="D7930">
        <v>4.5380099999999999</v>
      </c>
      <c r="E7930">
        <v>0.63924040000000004</v>
      </c>
      <c r="F7930" t="s">
        <v>119</v>
      </c>
      <c r="G7930">
        <v>-93.021929999999998</v>
      </c>
      <c r="H7930">
        <v>1.5468729999999999</v>
      </c>
      <c r="I7930">
        <v>157.56780000000001</v>
      </c>
      <c r="J7930">
        <v>-181.33529999999999</v>
      </c>
      <c r="K7930">
        <v>1.1062909999999999</v>
      </c>
      <c r="L7930">
        <v>129.54409999999999</v>
      </c>
      <c r="M7930">
        <v>0.63353219999999899</v>
      </c>
      <c r="N7930">
        <v>-1.6351770000000002E-2</v>
      </c>
      <c r="O7930">
        <v>0.77354350000000005</v>
      </c>
      <c r="P7930">
        <v>0.78754499999999905</v>
      </c>
      <c r="Q7930">
        <v>0.18564700000000001</v>
      </c>
      <c r="R7930">
        <v>0.58762919999999996</v>
      </c>
      <c r="S7930">
        <v>3.0851139999999999</v>
      </c>
      <c r="T7930">
        <v>1.5370730000000001E-2</v>
      </c>
      <c r="U7930">
        <v>0.98220830000000003</v>
      </c>
      <c r="V7930">
        <v>0.24418960000000001</v>
      </c>
      <c r="W7930">
        <v>0.19236529999999999</v>
      </c>
      <c r="X7930">
        <v>0.95045630000000003</v>
      </c>
      <c r="Y7930">
        <v>0.54480340000000005</v>
      </c>
      <c r="Z7930">
        <v>1.414282E-2</v>
      </c>
      <c r="AA7930">
        <v>0.83844449999999904</v>
      </c>
      <c r="AB7930">
        <v>32</v>
      </c>
      <c r="AC7930">
        <v>88.313369999999907</v>
      </c>
      <c r="AD7930">
        <v>0.44058199999999997</v>
      </c>
      <c r="AE7930">
        <v>28.023700000000002</v>
      </c>
      <c r="AF7930">
        <v>50.565935029494803</v>
      </c>
      <c r="AG7930">
        <v>0.44058199999999997</v>
      </c>
      <c r="AH7930">
        <v>77.635540090925105</v>
      </c>
      <c r="AI7930">
        <v>89.727543968763001</v>
      </c>
      <c r="AJ7930">
        <v>56.922813262102203</v>
      </c>
      <c r="AK7930">
        <v>92.651956175330994</v>
      </c>
      <c r="AL7930">
        <v>78.909148140920493</v>
      </c>
      <c r="AM7930">
        <v>75.5912966749205</v>
      </c>
      <c r="AN7930">
        <v>1.00000007380096</v>
      </c>
    </row>
    <row r="7931" spans="1:40" x14ac:dyDescent="0.25">
      <c r="A7931" t="str">
        <f>"20190303170442582"</f>
        <v>20190303170442582</v>
      </c>
      <c r="B7931" t="str">
        <f>"1551603882573789"</f>
        <v>1551603882573789</v>
      </c>
      <c r="C7931" t="s">
        <v>40</v>
      </c>
      <c r="D7931">
        <v>4.5555370000000002</v>
      </c>
      <c r="E7931">
        <v>0.63332599999999994</v>
      </c>
      <c r="F7931" t="s">
        <v>119</v>
      </c>
      <c r="G7931">
        <v>-89.045909999999907</v>
      </c>
      <c r="H7931">
        <v>1.612938</v>
      </c>
      <c r="I7931">
        <v>158.15549999999999</v>
      </c>
      <c r="J7931">
        <v>-181.21709999999999</v>
      </c>
      <c r="K7931">
        <v>1.106257</v>
      </c>
      <c r="L7931">
        <v>129.67619999999999</v>
      </c>
      <c r="M7931">
        <v>0.64104689999999998</v>
      </c>
      <c r="N7931">
        <v>-1.6369060000000001E-2</v>
      </c>
      <c r="O7931">
        <v>0.76732709999999904</v>
      </c>
      <c r="P7931">
        <v>0.79328790000000005</v>
      </c>
      <c r="Q7931">
        <v>0.1861814</v>
      </c>
      <c r="R7931">
        <v>0.57968160000000002</v>
      </c>
      <c r="S7931">
        <v>3.090408</v>
      </c>
      <c r="T7931">
        <v>1.6965750000000002E-2</v>
      </c>
      <c r="U7931">
        <v>0.95808409999999999</v>
      </c>
      <c r="V7931">
        <v>0.24441389999999999</v>
      </c>
      <c r="W7931">
        <v>0.19288839999999999</v>
      </c>
      <c r="X7931">
        <v>0.95029249999999998</v>
      </c>
      <c r="Y7931">
        <v>0.54299160000000002</v>
      </c>
      <c r="Z7931">
        <v>1.44791E-2</v>
      </c>
      <c r="AA7931">
        <v>0.83961330000000001</v>
      </c>
      <c r="AB7931">
        <v>32</v>
      </c>
      <c r="AC7931">
        <v>92.171189999999996</v>
      </c>
      <c r="AD7931">
        <v>0.50668099999999905</v>
      </c>
      <c r="AE7931">
        <v>28.479299999999899</v>
      </c>
      <c r="AF7931">
        <v>52.474469497598101</v>
      </c>
      <c r="AG7931">
        <v>0.50668099999999905</v>
      </c>
      <c r="AH7931">
        <v>80.947609077878397</v>
      </c>
      <c r="AI7931">
        <v>89.699067050418904</v>
      </c>
      <c r="AJ7931">
        <v>57.046585056013697</v>
      </c>
      <c r="AK7931">
        <v>96.46938421134</v>
      </c>
      <c r="AL7931">
        <v>78.878603451537103</v>
      </c>
      <c r="AM7931">
        <v>75.5762312016723</v>
      </c>
      <c r="AN7931">
        <v>0.99999996246200895</v>
      </c>
    </row>
    <row r="7932" spans="1:40" x14ac:dyDescent="0.25">
      <c r="A7932" t="str">
        <f>"20190303170442596"</f>
        <v>20190303170442596</v>
      </c>
      <c r="B7932" t="str">
        <f>"1551603882583549"</f>
        <v>1551603882583549</v>
      </c>
      <c r="C7932" t="s">
        <v>40</v>
      </c>
      <c r="D7932">
        <v>4.5404929999999997</v>
      </c>
      <c r="E7932">
        <v>0.63308009999999904</v>
      </c>
      <c r="F7932" t="s">
        <v>119</v>
      </c>
      <c r="G7932">
        <v>-92.822379999999995</v>
      </c>
      <c r="H7932">
        <v>0.82858849999999995</v>
      </c>
      <c r="I7932">
        <v>157.5676</v>
      </c>
      <c r="J7932">
        <v>-181.0873</v>
      </c>
      <c r="K7932">
        <v>1.106222</v>
      </c>
      <c r="L7932">
        <v>129.81899999999999</v>
      </c>
      <c r="M7932">
        <v>0.64917340000000001</v>
      </c>
      <c r="N7932">
        <v>-1.6387240000000001E-2</v>
      </c>
      <c r="O7932">
        <v>0.76046380000000002</v>
      </c>
      <c r="P7932">
        <v>0.79950730000000003</v>
      </c>
      <c r="Q7932">
        <v>0.1861844</v>
      </c>
      <c r="R7932">
        <v>0.57107220000000003</v>
      </c>
      <c r="S7932">
        <v>3.0749970000000002</v>
      </c>
      <c r="T7932">
        <v>-9.6591709999999994E-3</v>
      </c>
      <c r="U7932">
        <v>0.97026060000000003</v>
      </c>
      <c r="V7932">
        <v>0.2445928</v>
      </c>
      <c r="W7932">
        <v>0.19288279999999999</v>
      </c>
      <c r="X7932">
        <v>0.95024759999999997</v>
      </c>
      <c r="Y7932">
        <v>0.52985499999999996</v>
      </c>
      <c r="Z7932">
        <v>6.5763849999999997E-3</v>
      </c>
      <c r="AA7932">
        <v>0.84806269999999995</v>
      </c>
      <c r="AB7932">
        <v>32</v>
      </c>
      <c r="AC7932">
        <v>88.264919999999904</v>
      </c>
      <c r="AD7932">
        <v>-0.27763349999999998</v>
      </c>
      <c r="AE7932">
        <v>27.7486</v>
      </c>
      <c r="AF7932">
        <v>49.1147804448036</v>
      </c>
      <c r="AG7932">
        <v>-0.27763349999999998</v>
      </c>
      <c r="AH7932">
        <v>78.410873530311804</v>
      </c>
      <c r="AI7932">
        <v>90.171926551725306</v>
      </c>
      <c r="AJ7932">
        <v>57.937910817497901</v>
      </c>
      <c r="AK7932">
        <v>92.523531203084403</v>
      </c>
      <c r="AL7932">
        <v>78.878930385039098</v>
      </c>
      <c r="AM7932">
        <v>75.5654610209033</v>
      </c>
      <c r="AN7932">
        <v>0.99999995682671905</v>
      </c>
    </row>
    <row r="7933" spans="1:40" x14ac:dyDescent="0.25">
      <c r="A7933" t="str">
        <f>"20190303170442609"</f>
        <v>20190303170442609</v>
      </c>
      <c r="B7933" t="str">
        <f>"1551603882593309"</f>
        <v>1551603882593309</v>
      </c>
      <c r="C7933" t="s">
        <v>40</v>
      </c>
      <c r="D7933">
        <v>4.5582370000000001</v>
      </c>
      <c r="E7933">
        <v>0.63250399999999996</v>
      </c>
      <c r="F7933" t="s">
        <v>119</v>
      </c>
      <c r="G7933">
        <v>-87.974369999999993</v>
      </c>
      <c r="H7933">
        <v>0.89693259999999897</v>
      </c>
      <c r="I7933">
        <v>158.15530000000001</v>
      </c>
      <c r="J7933">
        <v>-180.9485</v>
      </c>
      <c r="K7933">
        <v>1.1061879999999999</v>
      </c>
      <c r="L7933">
        <v>129.96709999999999</v>
      </c>
      <c r="M7933">
        <v>0.65767390000000003</v>
      </c>
      <c r="N7933">
        <v>-1.6405469999999998E-2</v>
      </c>
      <c r="O7933">
        <v>0.75312409999999996</v>
      </c>
      <c r="P7933">
        <v>0.80589509999999998</v>
      </c>
      <c r="Q7933">
        <v>0.18566769999999999</v>
      </c>
      <c r="R7933">
        <v>0.56219269999999999</v>
      </c>
      <c r="S7933">
        <v>3.0836329999999998</v>
      </c>
      <c r="T7933">
        <v>-6.9309469999999998E-3</v>
      </c>
      <c r="U7933">
        <v>0.93841549999999996</v>
      </c>
      <c r="V7933">
        <v>0.2445167</v>
      </c>
      <c r="W7933">
        <v>0.1923704</v>
      </c>
      <c r="X7933">
        <v>0.95037110000000002</v>
      </c>
      <c r="Y7933">
        <v>0.52899969999999996</v>
      </c>
      <c r="Z7933">
        <v>7.2438379999999998E-3</v>
      </c>
      <c r="AA7933">
        <v>0.84859110000000004</v>
      </c>
      <c r="AB7933">
        <v>32</v>
      </c>
      <c r="AC7933">
        <v>92.974130000000002</v>
      </c>
      <c r="AD7933">
        <v>-0.20925540000000001</v>
      </c>
      <c r="AE7933">
        <v>28.188199999999998</v>
      </c>
      <c r="AF7933">
        <v>51.4891048481336</v>
      </c>
      <c r="AG7933">
        <v>-0.20925540000000001</v>
      </c>
      <c r="AH7933">
        <v>82.386576427227197</v>
      </c>
      <c r="AI7933">
        <v>90.123407938672898</v>
      </c>
      <c r="AJ7933">
        <v>57.995869766974003</v>
      </c>
      <c r="AK7933">
        <v>97.153073452587606</v>
      </c>
      <c r="AL7933">
        <v>78.908849626812994</v>
      </c>
      <c r="AM7933">
        <v>75.571561399822997</v>
      </c>
      <c r="AN7933">
        <v>1.0000000075451301</v>
      </c>
    </row>
    <row r="7934" spans="1:40" x14ac:dyDescent="0.25">
      <c r="A7934" t="str">
        <f>"20190303170442622"</f>
        <v>20190303170442622</v>
      </c>
      <c r="B7934" t="str">
        <f>"1551603882613805"</f>
        <v>1551603882613805</v>
      </c>
      <c r="C7934" t="s">
        <v>40</v>
      </c>
      <c r="D7934">
        <v>4.5720599999999996</v>
      </c>
      <c r="E7934">
        <v>0.63246610000000003</v>
      </c>
      <c r="F7934" t="s">
        <v>119</v>
      </c>
      <c r="G7934">
        <v>-85.628150000000005</v>
      </c>
      <c r="H7934">
        <v>0.86630339999999995</v>
      </c>
      <c r="I7934">
        <v>157.9563</v>
      </c>
      <c r="J7934">
        <v>-180.82210000000001</v>
      </c>
      <c r="K7934">
        <v>1.1061620000000001</v>
      </c>
      <c r="L7934">
        <v>130.09950000000001</v>
      </c>
      <c r="M7934">
        <v>0.66528690000000001</v>
      </c>
      <c r="N7934">
        <v>-1.6421120000000001E-2</v>
      </c>
      <c r="O7934">
        <v>0.74640719999999905</v>
      </c>
      <c r="P7934">
        <v>0.81142009999999998</v>
      </c>
      <c r="Q7934">
        <v>0.18492980000000001</v>
      </c>
      <c r="R7934">
        <v>0.55443509999999996</v>
      </c>
      <c r="S7934">
        <v>3.0911559999999998</v>
      </c>
      <c r="T7934">
        <v>-7.779121E-3</v>
      </c>
      <c r="U7934">
        <v>0.90766910000000001</v>
      </c>
      <c r="V7934">
        <v>0.24409400000000001</v>
      </c>
      <c r="W7934">
        <v>0.19165209999999999</v>
      </c>
      <c r="X7934">
        <v>0.95062480000000005</v>
      </c>
      <c r="Y7934">
        <v>0.52871029999999997</v>
      </c>
      <c r="Z7934">
        <v>6.8710169999999897E-3</v>
      </c>
      <c r="AA7934">
        <v>0.84877459999999905</v>
      </c>
      <c r="AB7934">
        <v>32</v>
      </c>
      <c r="AC7934">
        <v>95.193950000000001</v>
      </c>
      <c r="AD7934">
        <v>-0.23985860000000001</v>
      </c>
      <c r="AE7934">
        <v>27.8568</v>
      </c>
      <c r="AF7934">
        <v>52.527460452478898</v>
      </c>
      <c r="AG7934">
        <v>-0.23985860000000001</v>
      </c>
      <c r="AH7934">
        <v>84.134655511085896</v>
      </c>
      <c r="AI7934">
        <v>90.138557057456396</v>
      </c>
      <c r="AJ7934">
        <v>58.022391305188897</v>
      </c>
      <c r="AK7934">
        <v>99.185845218477795</v>
      </c>
      <c r="AL7934">
        <v>78.950784958723901</v>
      </c>
      <c r="AM7934">
        <v>75.599149790455797</v>
      </c>
      <c r="AN7934">
        <v>0.99999995932272401</v>
      </c>
    </row>
    <row r="7935" spans="1:40" x14ac:dyDescent="0.25">
      <c r="A7935" t="str">
        <f>"20190303170442635"</f>
        <v>20190303170442635</v>
      </c>
      <c r="B7935" t="str">
        <f>"1551603882623566"</f>
        <v>1551603882623566</v>
      </c>
      <c r="C7935" t="s">
        <v>40</v>
      </c>
      <c r="D7935">
        <v>4.5757180000000002</v>
      </c>
      <c r="E7935">
        <v>0.62446880000000005</v>
      </c>
      <c r="F7935" t="s">
        <v>119</v>
      </c>
      <c r="G7935">
        <v>-83.815579999999997</v>
      </c>
      <c r="H7935">
        <v>0.71500779999999997</v>
      </c>
      <c r="I7935">
        <v>157.5675</v>
      </c>
      <c r="J7935">
        <v>-180.6883</v>
      </c>
      <c r="K7935">
        <v>1.1061399999999999</v>
      </c>
      <c r="L7935">
        <v>130.23740000000001</v>
      </c>
      <c r="M7935">
        <v>0.67321600000000004</v>
      </c>
      <c r="N7935">
        <v>-1.643681E-2</v>
      </c>
      <c r="O7935">
        <v>0.73926309999999995</v>
      </c>
      <c r="P7935">
        <v>0.81692580000000004</v>
      </c>
      <c r="Q7935">
        <v>0.1845996</v>
      </c>
      <c r="R7935">
        <v>0.54640200000000005</v>
      </c>
      <c r="S7935">
        <v>3.1002350000000001</v>
      </c>
      <c r="T7935">
        <v>-1.250076E-2</v>
      </c>
      <c r="U7935">
        <v>0.87785340000000001</v>
      </c>
      <c r="V7935">
        <v>0.2433796</v>
      </c>
      <c r="W7935">
        <v>0.19135350000000001</v>
      </c>
      <c r="X7935">
        <v>0.95086809999999999</v>
      </c>
      <c r="Y7935">
        <v>0.52786750000000005</v>
      </c>
      <c r="Z7935">
        <v>5.3789909999999996E-3</v>
      </c>
      <c r="AA7935">
        <v>0.84930969999999995</v>
      </c>
      <c r="AB7935">
        <v>32</v>
      </c>
      <c r="AC7935">
        <v>96.872720000000001</v>
      </c>
      <c r="AD7935">
        <v>-0.39113219999999899</v>
      </c>
      <c r="AE7935">
        <v>27.330099999999899</v>
      </c>
      <c r="AF7935">
        <v>53.221756180983903</v>
      </c>
      <c r="AG7935">
        <v>-0.39113219999999899</v>
      </c>
      <c r="AH7935">
        <v>85.430655817187201</v>
      </c>
      <c r="AI7935">
        <v>90.222648043006501</v>
      </c>
      <c r="AJ7935">
        <v>58.077838998744802</v>
      </c>
      <c r="AK7935">
        <v>100.653391739874</v>
      </c>
      <c r="AL7935">
        <v>78.9682161863294</v>
      </c>
      <c r="AM7935">
        <v>75.643074420787698</v>
      </c>
      <c r="AN7935">
        <v>0.99999996762800902</v>
      </c>
    </row>
    <row r="7936" spans="1:40" x14ac:dyDescent="0.25">
      <c r="A7936" t="str">
        <f>"20190303170442647"</f>
        <v>20190303170442647</v>
      </c>
      <c r="B7936" t="str">
        <f>"1551603882633325"</f>
        <v>1551603882633325</v>
      </c>
      <c r="C7936" t="s">
        <v>40</v>
      </c>
      <c r="D7936">
        <v>4.5973369999999996</v>
      </c>
      <c r="E7936">
        <v>0.62438369999999999</v>
      </c>
      <c r="F7936" t="s">
        <v>119</v>
      </c>
      <c r="G7936">
        <v>-85.628150000000005</v>
      </c>
      <c r="H7936">
        <v>0.23767279999999999</v>
      </c>
      <c r="I7936">
        <v>158.06630000000001</v>
      </c>
      <c r="J7936">
        <v>-180.5547</v>
      </c>
      <c r="K7936">
        <v>1.106114</v>
      </c>
      <c r="L7936">
        <v>130.37090000000001</v>
      </c>
      <c r="M7936">
        <v>0.68096780000000001</v>
      </c>
      <c r="N7936">
        <v>-1.645143E-2</v>
      </c>
      <c r="O7936">
        <v>0.73212860000000002</v>
      </c>
      <c r="P7936">
        <v>0.8225481</v>
      </c>
      <c r="Q7936">
        <v>0.185055</v>
      </c>
      <c r="R7936">
        <v>0.53774480000000002</v>
      </c>
      <c r="S7936">
        <v>3.0762939999999999</v>
      </c>
      <c r="T7936">
        <v>-2.8104779999999999E-2</v>
      </c>
      <c r="U7936">
        <v>0.90058899999999997</v>
      </c>
      <c r="V7936">
        <v>0.2433544</v>
      </c>
      <c r="W7936">
        <v>0.19181029999999999</v>
      </c>
      <c r="X7936">
        <v>0.95078249999999997</v>
      </c>
      <c r="Y7936">
        <v>0.51130379999999997</v>
      </c>
      <c r="Z7936">
        <v>9.0273100000000004E-4</v>
      </c>
      <c r="AA7936">
        <v>0.85939959999999904</v>
      </c>
      <c r="AB7936">
        <v>32</v>
      </c>
      <c r="AC7936">
        <v>94.926550000000006</v>
      </c>
      <c r="AD7936">
        <v>-0.86844120000000002</v>
      </c>
      <c r="AE7936">
        <v>27.695399999999999</v>
      </c>
      <c r="AF7936">
        <v>50.641712533838401</v>
      </c>
      <c r="AG7936">
        <v>-0.86844120000000002</v>
      </c>
      <c r="AH7936">
        <v>84.923458608104497</v>
      </c>
      <c r="AI7936">
        <v>90.503220673154701</v>
      </c>
      <c r="AJ7936">
        <v>59.191453351070201</v>
      </c>
      <c r="AK7936">
        <v>98.880387643052003</v>
      </c>
      <c r="AL7936">
        <v>78.941549417057203</v>
      </c>
      <c r="AM7936">
        <v>75.643260505355002</v>
      </c>
      <c r="AN7936">
        <v>0.99999995874584902</v>
      </c>
    </row>
    <row r="7937" spans="1:40" x14ac:dyDescent="0.25">
      <c r="A7937" t="str">
        <f>"20190303170442659"</f>
        <v>20190303170442659</v>
      </c>
      <c r="B7937" t="str">
        <f>"1551603882643085"</f>
        <v>1551603882643085</v>
      </c>
      <c r="C7937" t="s">
        <v>40</v>
      </c>
      <c r="D7937">
        <v>4.613747</v>
      </c>
      <c r="E7937">
        <v>0.62455059999999996</v>
      </c>
      <c r="F7937" t="s">
        <v>119</v>
      </c>
      <c r="G7937">
        <v>-83.949489999999997</v>
      </c>
      <c r="H7937">
        <v>0.27331070000000002</v>
      </c>
      <c r="I7937">
        <v>157.56739999999999</v>
      </c>
      <c r="J7937">
        <v>-180.44829999999999</v>
      </c>
      <c r="K7937">
        <v>1.106096</v>
      </c>
      <c r="L7937">
        <v>130.476</v>
      </c>
      <c r="M7937">
        <v>0.68705629999999995</v>
      </c>
      <c r="N7937">
        <v>-1.646243E-2</v>
      </c>
      <c r="O7937">
        <v>0.72641769999999894</v>
      </c>
      <c r="P7937">
        <v>0.82702330000000002</v>
      </c>
      <c r="Q7937">
        <v>0.18519540000000001</v>
      </c>
      <c r="R7937">
        <v>0.53078719999999902</v>
      </c>
      <c r="S7937">
        <v>3.0853419999999998</v>
      </c>
      <c r="T7937">
        <v>-2.6597619999999999E-2</v>
      </c>
      <c r="U7937">
        <v>0.86859129999999996</v>
      </c>
      <c r="V7937">
        <v>0.24342710000000001</v>
      </c>
      <c r="W7937">
        <v>0.1919488</v>
      </c>
      <c r="X7937">
        <v>0.95073600000000003</v>
      </c>
      <c r="Y7937">
        <v>0.5130439</v>
      </c>
      <c r="Z7937">
        <v>1.2340669999999999E-3</v>
      </c>
      <c r="AA7937">
        <v>0.8583615</v>
      </c>
      <c r="AB7937">
        <v>32</v>
      </c>
      <c r="AC7937">
        <v>96.498810000000006</v>
      </c>
      <c r="AD7937">
        <v>-0.83278529999999995</v>
      </c>
      <c r="AE7937">
        <v>27.0914</v>
      </c>
      <c r="AF7937">
        <v>51.488548784094803</v>
      </c>
      <c r="AG7937">
        <v>-0.83278529999999995</v>
      </c>
      <c r="AH7937">
        <v>85.985502908306998</v>
      </c>
      <c r="AI7937">
        <v>90.476079908574306</v>
      </c>
      <c r="AJ7937">
        <v>59.086614603906902</v>
      </c>
      <c r="AK7937">
        <v>100.22609888468401</v>
      </c>
      <c r="AL7937">
        <v>78.933464373472901</v>
      </c>
      <c r="AM7937">
        <v>75.638475584839398</v>
      </c>
      <c r="AN7937">
        <v>1.0000000182659201</v>
      </c>
    </row>
    <row r="7938" spans="1:40" x14ac:dyDescent="0.25">
      <c r="A7938" t="str">
        <f>"20190303170442670"</f>
        <v>20190303170442670</v>
      </c>
      <c r="B7938" t="str">
        <f>"1551603882663391"</f>
        <v>1551603882663391</v>
      </c>
      <c r="C7938" t="s">
        <v>40</v>
      </c>
      <c r="D7938">
        <v>4.6173099999999998</v>
      </c>
      <c r="E7938">
        <v>0.61881549999999996</v>
      </c>
      <c r="F7938" t="s">
        <v>44</v>
      </c>
      <c r="G7938">
        <v>-66.059809999999999</v>
      </c>
      <c r="H7938">
        <v>-0.05</v>
      </c>
      <c r="I7938">
        <v>161.626</v>
      </c>
      <c r="J7938">
        <v>-180.3322</v>
      </c>
      <c r="K7938">
        <v>1.1060749999999999</v>
      </c>
      <c r="L7938">
        <v>130.5883</v>
      </c>
      <c r="M7938">
        <v>0.69359369999999998</v>
      </c>
      <c r="N7938">
        <v>-1.6473649999999999E-2</v>
      </c>
      <c r="O7938">
        <v>0.72017810000000004</v>
      </c>
      <c r="P7938">
        <v>0.83180359999999998</v>
      </c>
      <c r="Q7938">
        <v>0.18547050000000001</v>
      </c>
      <c r="R7938">
        <v>0.52316689999999999</v>
      </c>
      <c r="S7938">
        <v>3.09375</v>
      </c>
      <c r="T7938">
        <v>-3.1267759999999999E-2</v>
      </c>
      <c r="U7938">
        <v>0.84248349999999905</v>
      </c>
      <c r="V7938">
        <v>0.24354219999999999</v>
      </c>
      <c r="W7938">
        <v>0.19222069999999999</v>
      </c>
      <c r="X7938">
        <v>0.95065149999999998</v>
      </c>
      <c r="Y7938">
        <v>0.51262129999999995</v>
      </c>
      <c r="Z7938">
        <v>-1.760186E-4</v>
      </c>
      <c r="AA7938">
        <v>0.85861480000000001</v>
      </c>
      <c r="AB7938">
        <v>32</v>
      </c>
      <c r="AC7938">
        <v>114.27238999999901</v>
      </c>
      <c r="AD7938">
        <v>-1.156075</v>
      </c>
      <c r="AE7938">
        <v>31.037700000000001</v>
      </c>
      <c r="AF7938">
        <v>60.771371380164702</v>
      </c>
      <c r="AG7938">
        <v>-1.156075</v>
      </c>
      <c r="AH7938">
        <v>101.615381323392</v>
      </c>
      <c r="AI7938">
        <v>90.559420941282696</v>
      </c>
      <c r="AJ7938">
        <v>59.118344673332402</v>
      </c>
      <c r="AK7938">
        <v>118.406848663115</v>
      </c>
      <c r="AL7938">
        <v>78.917589139316604</v>
      </c>
      <c r="AM7938">
        <v>75.630741823777399</v>
      </c>
      <c r="AN7938">
        <v>0.99999993757078798</v>
      </c>
    </row>
    <row r="7939" spans="1:40" x14ac:dyDescent="0.25">
      <c r="A7939" t="str">
        <f>"20190303170442682"</f>
        <v>20190303170442682</v>
      </c>
      <c r="B7939" t="str">
        <f>"1551603882673151"</f>
        <v>1551603882673151</v>
      </c>
      <c r="C7939" t="s">
        <v>40</v>
      </c>
      <c r="D7939">
        <v>4.6243230000000004</v>
      </c>
      <c r="E7939">
        <v>0.61768230000000002</v>
      </c>
      <c r="F7939" t="s">
        <v>42</v>
      </c>
      <c r="G7939">
        <v>-111.9248</v>
      </c>
      <c r="H7939">
        <v>2.7768749999999998E-2</v>
      </c>
      <c r="I7939">
        <v>149.6163</v>
      </c>
      <c r="J7939">
        <v>-180.19909999999999</v>
      </c>
      <c r="K7939">
        <v>1.10606</v>
      </c>
      <c r="L7939">
        <v>130.71449999999999</v>
      </c>
      <c r="M7939">
        <v>0.70096449999999999</v>
      </c>
      <c r="N7939">
        <v>-1.6485630000000001E-2</v>
      </c>
      <c r="O7939">
        <v>0.71300559999999902</v>
      </c>
      <c r="P7939">
        <v>0.83715740000000005</v>
      </c>
      <c r="Q7939">
        <v>0.18538399999999999</v>
      </c>
      <c r="R7939">
        <v>0.51458749999999998</v>
      </c>
      <c r="S7939">
        <v>3.078827</v>
      </c>
      <c r="T7939">
        <v>-4.8531530000000003E-2</v>
      </c>
      <c r="U7939">
        <v>0.85639949999999998</v>
      </c>
      <c r="V7939">
        <v>0.24355550000000001</v>
      </c>
      <c r="W7939">
        <v>0.19213649999999999</v>
      </c>
      <c r="X7939">
        <v>0.95066519999999999</v>
      </c>
      <c r="Y7939">
        <v>0.49903969999999997</v>
      </c>
      <c r="Z7939">
        <v>-5.0093189999999999E-3</v>
      </c>
      <c r="AA7939">
        <v>0.86656460000000002</v>
      </c>
      <c r="AB7939">
        <v>32</v>
      </c>
      <c r="AC7939">
        <v>68.274299999999897</v>
      </c>
      <c r="AD7939">
        <v>-1.0782912499999999</v>
      </c>
      <c r="AE7939">
        <v>18.901800000000001</v>
      </c>
      <c r="AF7939">
        <v>35.427075481206998</v>
      </c>
      <c r="AG7939">
        <v>-1.0782912499999999</v>
      </c>
      <c r="AH7939">
        <v>61.329077853931302</v>
      </c>
      <c r="AI7939">
        <v>90.872231893830801</v>
      </c>
      <c r="AJ7939">
        <v>59.986887963185097</v>
      </c>
      <c r="AK7939">
        <v>70.834286751435101</v>
      </c>
      <c r="AL7939">
        <v>78.922505994901599</v>
      </c>
      <c r="AM7939">
        <v>75.630188114149803</v>
      </c>
      <c r="AN7939">
        <v>1.00000001935177</v>
      </c>
    </row>
    <row r="7940" spans="1:40" x14ac:dyDescent="0.25">
      <c r="A7940" t="str">
        <f>"20190303170442693"</f>
        <v>20190303170442693</v>
      </c>
      <c r="B7940" t="str">
        <f>"1551603882683887"</f>
        <v>1551603882683887</v>
      </c>
      <c r="C7940" t="s">
        <v>40</v>
      </c>
      <c r="D7940">
        <v>4.6027870000000002</v>
      </c>
      <c r="E7940">
        <v>0.61700189999999999</v>
      </c>
      <c r="F7940" t="s">
        <v>42</v>
      </c>
      <c r="G7940">
        <v>-113.7047</v>
      </c>
      <c r="H7940" s="1">
        <v>-4.6237460000000003E-6</v>
      </c>
      <c r="I7940">
        <v>148.684</v>
      </c>
      <c r="J7940">
        <v>-180.077</v>
      </c>
      <c r="K7940">
        <v>1.1060430000000001</v>
      </c>
      <c r="L7940">
        <v>130.8288</v>
      </c>
      <c r="M7940">
        <v>0.70762259999999999</v>
      </c>
      <c r="N7940">
        <v>-1.6496009999999998E-2</v>
      </c>
      <c r="O7940">
        <v>0.70639810000000003</v>
      </c>
      <c r="P7940">
        <v>0.8417559</v>
      </c>
      <c r="Q7940">
        <v>0.18568879999999999</v>
      </c>
      <c r="R7940">
        <v>0.50691900000000001</v>
      </c>
      <c r="S7940">
        <v>3.0828090000000001</v>
      </c>
      <c r="T7940">
        <v>-5.1279310000000002E-2</v>
      </c>
      <c r="U7940">
        <v>0.83309940000000005</v>
      </c>
      <c r="V7940">
        <v>0.24329000000000001</v>
      </c>
      <c r="W7940">
        <v>0.19245419999999999</v>
      </c>
      <c r="X7940">
        <v>0.95066890000000004</v>
      </c>
      <c r="Y7940">
        <v>0.49728299999999998</v>
      </c>
      <c r="Z7940">
        <v>-5.8243729999999999E-3</v>
      </c>
      <c r="AA7940">
        <v>0.86756889999999998</v>
      </c>
      <c r="AB7940">
        <v>31</v>
      </c>
      <c r="AC7940">
        <v>66.372299999999996</v>
      </c>
      <c r="AD7940">
        <v>-1.106047623746</v>
      </c>
      <c r="AE7940">
        <v>17.8551999999999</v>
      </c>
      <c r="AF7940">
        <v>34.246313889529702</v>
      </c>
      <c r="AG7940">
        <v>-1.106047623746</v>
      </c>
      <c r="AH7940">
        <v>59.5720960406139</v>
      </c>
      <c r="AI7940">
        <v>90.922172797374003</v>
      </c>
      <c r="AJ7940">
        <v>60.106621699020501</v>
      </c>
      <c r="AK7940">
        <v>68.723125533100699</v>
      </c>
      <c r="AL7940">
        <v>78.903956733005899</v>
      </c>
      <c r="AM7940">
        <v>75.645258561343994</v>
      </c>
      <c r="AN7940">
        <v>1.0000000003124201</v>
      </c>
    </row>
    <row r="7941" spans="1:40" x14ac:dyDescent="0.25">
      <c r="A7941" t="str">
        <f>"20190303170442705"</f>
        <v>20190303170442705</v>
      </c>
      <c r="B7941" t="str">
        <f>"1551603882693647"</f>
        <v>1551603882693647</v>
      </c>
      <c r="C7941" t="s">
        <v>40</v>
      </c>
      <c r="D7941">
        <v>4.6234970000000004</v>
      </c>
      <c r="E7941">
        <v>0.61591430000000003</v>
      </c>
      <c r="F7941" t="s">
        <v>42</v>
      </c>
      <c r="G7941">
        <v>-111.14879999999999</v>
      </c>
      <c r="H7941" s="1">
        <v>-5.5327109999999997E-6</v>
      </c>
      <c r="I7941">
        <v>148.90469999999999</v>
      </c>
      <c r="J7941">
        <v>-179.96860000000001</v>
      </c>
      <c r="K7941">
        <v>1.1060380000000001</v>
      </c>
      <c r="L7941">
        <v>130.9272</v>
      </c>
      <c r="M7941">
        <v>0.71341739999999998</v>
      </c>
      <c r="N7941">
        <v>-1.6504189999999998E-2</v>
      </c>
      <c r="O7941">
        <v>0.70054510000000003</v>
      </c>
      <c r="P7941">
        <v>0.84599169999999901</v>
      </c>
      <c r="Q7941">
        <v>0.18511059999999999</v>
      </c>
      <c r="R7941">
        <v>0.50003229999999999</v>
      </c>
      <c r="S7941">
        <v>3.087326</v>
      </c>
      <c r="T7941">
        <v>-4.9540399999999998E-2</v>
      </c>
      <c r="U7941">
        <v>0.80963130000000005</v>
      </c>
      <c r="V7941">
        <v>0.2432887</v>
      </c>
      <c r="W7941">
        <v>0.19188089999999999</v>
      </c>
      <c r="X7941">
        <v>0.95078510000000005</v>
      </c>
      <c r="Y7941">
        <v>0.49661949999999999</v>
      </c>
      <c r="Z7941">
        <v>-5.38602E-3</v>
      </c>
      <c r="AA7941">
        <v>0.86795159999999905</v>
      </c>
      <c r="AB7941">
        <v>31</v>
      </c>
      <c r="AC7941">
        <v>68.819800000000001</v>
      </c>
      <c r="AD7941">
        <v>-1.1060435327110001</v>
      </c>
      <c r="AE7941">
        <v>17.9774999999999</v>
      </c>
      <c r="AF7941">
        <v>35.382173679181001</v>
      </c>
      <c r="AG7941">
        <v>-1.1060435327110001</v>
      </c>
      <c r="AH7941">
        <v>61.684774349417999</v>
      </c>
      <c r="AI7941">
        <v>90.891081118299994</v>
      </c>
      <c r="AJ7941">
        <v>60.161566436583797</v>
      </c>
      <c r="AK7941">
        <v>71.120552114691904</v>
      </c>
      <c r="AL7941">
        <v>78.937428113169503</v>
      </c>
      <c r="AM7941">
        <v>75.647013964564707</v>
      </c>
      <c r="AN7941">
        <v>0.99999998885725405</v>
      </c>
    </row>
    <row r="7942" spans="1:40" x14ac:dyDescent="0.25">
      <c r="A7942" t="str">
        <f>"20190303170442718"</f>
        <v>20190303170442718</v>
      </c>
      <c r="B7942" t="str">
        <f>"1551603882703407"</f>
        <v>1551603882703407</v>
      </c>
      <c r="C7942" t="s">
        <v>40</v>
      </c>
      <c r="D7942">
        <v>4.6224679999999996</v>
      </c>
      <c r="E7942">
        <v>0.61500529999999998</v>
      </c>
      <c r="F7942" t="s">
        <v>42</v>
      </c>
      <c r="G7942">
        <v>-114.895</v>
      </c>
      <c r="H7942" s="1">
        <v>-4.0269469999999997E-6</v>
      </c>
      <c r="I7942">
        <v>147.60310000000001</v>
      </c>
      <c r="J7942">
        <v>-179.8331</v>
      </c>
      <c r="K7942">
        <v>1.106028</v>
      </c>
      <c r="L7942">
        <v>131.04929999999999</v>
      </c>
      <c r="M7942">
        <v>0.72056969999999898</v>
      </c>
      <c r="N7942">
        <v>-1.6513949999999999E-2</v>
      </c>
      <c r="O7942">
        <v>0.69318590000000002</v>
      </c>
      <c r="P7942">
        <v>0.85111239999999999</v>
      </c>
      <c r="Q7942">
        <v>0.18503610000000001</v>
      </c>
      <c r="R7942">
        <v>0.49129349999999999</v>
      </c>
      <c r="S7942">
        <v>3.089661</v>
      </c>
      <c r="T7942">
        <v>-5.2514310000000002E-2</v>
      </c>
      <c r="U7942">
        <v>0.79176329999999995</v>
      </c>
      <c r="V7942">
        <v>0.243335</v>
      </c>
      <c r="W7942">
        <v>0.19180839999999999</v>
      </c>
      <c r="X7942">
        <v>0.95078790000000002</v>
      </c>
      <c r="Y7942">
        <v>0.49256260000000002</v>
      </c>
      <c r="Z7942">
        <v>-6.2243929999999999E-3</v>
      </c>
      <c r="AA7942">
        <v>0.8702548</v>
      </c>
      <c r="AB7942">
        <v>31</v>
      </c>
      <c r="AC7942">
        <v>64.938100000000006</v>
      </c>
      <c r="AD7942">
        <v>-1.1060320269470001</v>
      </c>
      <c r="AE7942">
        <v>16.553799999999999</v>
      </c>
      <c r="AF7942">
        <v>33.081508267752596</v>
      </c>
      <c r="AG7942">
        <v>-1.1060320269470001</v>
      </c>
      <c r="AH7942">
        <v>58.259362529846697</v>
      </c>
      <c r="AI7942">
        <v>90.945797930572098</v>
      </c>
      <c r="AJ7942">
        <v>60.410719628017702</v>
      </c>
      <c r="AK7942">
        <v>67.005692433539807</v>
      </c>
      <c r="AL7942">
        <v>78.941660886349993</v>
      </c>
      <c r="AM7942">
        <v>75.644435872282799</v>
      </c>
      <c r="AN7942">
        <v>1.0000000076609801</v>
      </c>
    </row>
    <row r="7943" spans="1:40" x14ac:dyDescent="0.25">
      <c r="A7943" t="str">
        <f>"20190303170442728"</f>
        <v>20190303170442728</v>
      </c>
      <c r="B7943" t="str">
        <f>"1551603882713168"</f>
        <v>1551603882713168</v>
      </c>
      <c r="C7943" t="s">
        <v>40</v>
      </c>
      <c r="D7943">
        <v>4.6158650000000003</v>
      </c>
      <c r="E7943">
        <v>0.61423839999999996</v>
      </c>
      <c r="F7943" t="s">
        <v>42</v>
      </c>
      <c r="G7943">
        <v>-115.8746</v>
      </c>
      <c r="H7943" s="1">
        <v>-3.5655279999999999E-6</v>
      </c>
      <c r="I7943">
        <v>146.8811</v>
      </c>
      <c r="J7943">
        <v>-179.71119999999999</v>
      </c>
      <c r="K7943">
        <v>1.106025</v>
      </c>
      <c r="L7943">
        <v>131.15610000000001</v>
      </c>
      <c r="M7943">
        <v>0.72687400000000002</v>
      </c>
      <c r="N7943">
        <v>-1.652176E-2</v>
      </c>
      <c r="O7943">
        <v>0.68657209999999902</v>
      </c>
      <c r="P7943">
        <v>0.8555992</v>
      </c>
      <c r="Q7943">
        <v>0.1844539</v>
      </c>
      <c r="R7943">
        <v>0.48365970000000003</v>
      </c>
      <c r="S7943">
        <v>3.0943149999999999</v>
      </c>
      <c r="T7943">
        <v>-5.3509830000000001E-2</v>
      </c>
      <c r="U7943">
        <v>0.7659454</v>
      </c>
      <c r="V7943">
        <v>0.24321960000000001</v>
      </c>
      <c r="W7943">
        <v>0.1912365</v>
      </c>
      <c r="X7943">
        <v>0.95093260000000002</v>
      </c>
      <c r="Y7943">
        <v>0.49174990000000002</v>
      </c>
      <c r="Z7943">
        <v>-6.5458479999999999E-3</v>
      </c>
      <c r="AA7943">
        <v>0.87071189999999998</v>
      </c>
      <c r="AB7943">
        <v>31</v>
      </c>
      <c r="AC7943">
        <v>63.836599999999898</v>
      </c>
      <c r="AD7943">
        <v>-1.106028565528</v>
      </c>
      <c r="AE7943">
        <v>15.7249999999999</v>
      </c>
      <c r="AF7943">
        <v>32.393589306188602</v>
      </c>
      <c r="AG7943">
        <v>-1.106028565528</v>
      </c>
      <c r="AH7943">
        <v>57.189133026211302</v>
      </c>
      <c r="AI7943">
        <v>90.964071071302101</v>
      </c>
      <c r="AJ7943">
        <v>60.471521792505101</v>
      </c>
      <c r="AK7943">
        <v>65.735567721101106</v>
      </c>
      <c r="AL7943">
        <v>78.975046183955996</v>
      </c>
      <c r="AM7943">
        <v>75.653056030983507</v>
      </c>
      <c r="AN7943">
        <v>0.99999999124958405</v>
      </c>
    </row>
    <row r="7944" spans="1:40" x14ac:dyDescent="0.25">
      <c r="A7944" t="str">
        <f>"20190303170442740"</f>
        <v>20190303170442740</v>
      </c>
      <c r="B7944" t="str">
        <f>"1551603882733663"</f>
        <v>1551603882733663</v>
      </c>
      <c r="C7944" t="s">
        <v>40</v>
      </c>
      <c r="D7944">
        <v>4.6341679999999998</v>
      </c>
      <c r="E7944">
        <v>0.60696240000000001</v>
      </c>
      <c r="F7944" t="s">
        <v>42</v>
      </c>
      <c r="G7944">
        <v>-119.74590000000001</v>
      </c>
      <c r="H7944" s="1">
        <v>-1.6652369999999999E-6</v>
      </c>
      <c r="I7944">
        <v>145.5316</v>
      </c>
      <c r="J7944">
        <v>-179.58619999999999</v>
      </c>
      <c r="K7944">
        <v>1.1060179999999999</v>
      </c>
      <c r="L7944">
        <v>131.26410000000001</v>
      </c>
      <c r="M7944">
        <v>0.73324460000000002</v>
      </c>
      <c r="N7944">
        <v>-1.6529189999999999E-2</v>
      </c>
      <c r="O7944">
        <v>0.67976409999999998</v>
      </c>
      <c r="P7944">
        <v>0.86017030000000005</v>
      </c>
      <c r="Q7944">
        <v>0.18434149999999999</v>
      </c>
      <c r="R7944">
        <v>0.47552660000000002</v>
      </c>
      <c r="S7944">
        <v>3.0987089999999999</v>
      </c>
      <c r="T7944">
        <v>-5.715394E-2</v>
      </c>
      <c r="U7944">
        <v>0.74285889999999999</v>
      </c>
      <c r="V7944">
        <v>0.2433824</v>
      </c>
      <c r="W7944">
        <v>0.19112229999999999</v>
      </c>
      <c r="X7944">
        <v>0.95091389999999998</v>
      </c>
      <c r="Y7944">
        <v>0.49002990000000002</v>
      </c>
      <c r="Z7944">
        <v>-7.5727650000000004E-3</v>
      </c>
      <c r="AA7944">
        <v>0.87167269999999897</v>
      </c>
      <c r="AB7944">
        <v>31</v>
      </c>
      <c r="AC7944">
        <v>59.8402999999999</v>
      </c>
      <c r="AD7944">
        <v>-1.106019665237</v>
      </c>
      <c r="AE7944">
        <v>14.267499999999901</v>
      </c>
      <c r="AF7944">
        <v>30.210082393599901</v>
      </c>
      <c r="AG7944">
        <v>-1.106019665237</v>
      </c>
      <c r="AH7944">
        <v>53.566114371327799</v>
      </c>
      <c r="AI7944">
        <v>91.030336731208706</v>
      </c>
      <c r="AJ7944">
        <v>60.5779804806985</v>
      </c>
      <c r="AK7944">
        <v>61.507730949614498</v>
      </c>
      <c r="AL7944">
        <v>78.981712256230793</v>
      </c>
      <c r="AM7944">
        <v>75.6435789916857</v>
      </c>
      <c r="AN7944">
        <v>0.99999998570012905</v>
      </c>
    </row>
    <row r="7945" spans="1:40" x14ac:dyDescent="0.25">
      <c r="A7945" t="str">
        <f>"20190303170442750"</f>
        <v>20190303170442750</v>
      </c>
      <c r="B7945" t="str">
        <f>"1551603882743423"</f>
        <v>1551603882743423</v>
      </c>
      <c r="C7945" t="s">
        <v>40</v>
      </c>
      <c r="D7945">
        <v>4.614109</v>
      </c>
      <c r="E7945">
        <v>0.60601660000000002</v>
      </c>
      <c r="F7945" t="s">
        <v>42</v>
      </c>
      <c r="G7945">
        <v>-128.73079999999999</v>
      </c>
      <c r="H7945" s="1">
        <v>-1.6658899999999999E-6</v>
      </c>
      <c r="I7945">
        <v>143.8973</v>
      </c>
      <c r="J7945">
        <v>-179.4684</v>
      </c>
      <c r="K7945">
        <v>1.106012</v>
      </c>
      <c r="L7945">
        <v>131.364</v>
      </c>
      <c r="M7945">
        <v>0.73915189999999997</v>
      </c>
      <c r="N7945">
        <v>-1.6535540000000001E-2</v>
      </c>
      <c r="O7945">
        <v>0.67333569999999998</v>
      </c>
      <c r="P7945">
        <v>0.86438440000000005</v>
      </c>
      <c r="Q7945">
        <v>0.18474969999999999</v>
      </c>
      <c r="R7945">
        <v>0.4676614</v>
      </c>
      <c r="S7945">
        <v>3.0791629999999999</v>
      </c>
      <c r="T7945">
        <v>-6.6966529999999996E-2</v>
      </c>
      <c r="U7945">
        <v>0.76490780000000003</v>
      </c>
      <c r="V7945">
        <v>0.24371180000000001</v>
      </c>
      <c r="W7945">
        <v>0.1915201</v>
      </c>
      <c r="X7945">
        <v>0.95074950000000003</v>
      </c>
      <c r="Y7945">
        <v>0.47517150000000002</v>
      </c>
      <c r="Z7945">
        <v>-1.0110299999999999E-2</v>
      </c>
      <c r="AA7945">
        <v>0.87983509999999998</v>
      </c>
      <c r="AB7945">
        <v>31</v>
      </c>
      <c r="AC7945">
        <v>50.7376</v>
      </c>
      <c r="AD7945">
        <v>-1.1060136658899999</v>
      </c>
      <c r="AE7945">
        <v>12.533299999999899</v>
      </c>
      <c r="AF7945">
        <v>24.891682776614299</v>
      </c>
      <c r="AG7945">
        <v>-1.1060136658899999</v>
      </c>
      <c r="AH7945">
        <v>45.927626776241802</v>
      </c>
      <c r="AI7945">
        <v>91.212888929723604</v>
      </c>
      <c r="AJ7945">
        <v>61.543359231466297</v>
      </c>
      <c r="AK7945">
        <v>52.250990794228002</v>
      </c>
      <c r="AL7945">
        <v>78.958491210878194</v>
      </c>
      <c r="AM7945">
        <v>75.622570666416905</v>
      </c>
      <c r="AN7945">
        <v>1.00000000095675</v>
      </c>
    </row>
    <row r="7946" spans="1:40" x14ac:dyDescent="0.25">
      <c r="A7946" t="str">
        <f>"20190303170442761"</f>
        <v>20190303170442761</v>
      </c>
      <c r="B7946" t="str">
        <f>"1551603882753183"</f>
        <v>1551603882753183</v>
      </c>
      <c r="C7946" t="s">
        <v>40</v>
      </c>
      <c r="D7946">
        <v>4.6432500000000001</v>
      </c>
      <c r="E7946">
        <v>0.60495659999999996</v>
      </c>
      <c r="F7946" t="s">
        <v>42</v>
      </c>
      <c r="G7946">
        <v>-129.89429999999999</v>
      </c>
      <c r="H7946" s="1">
        <v>-1.013358E-6</v>
      </c>
      <c r="I7946">
        <v>143.32079999999999</v>
      </c>
      <c r="J7946">
        <v>-179.35589999999999</v>
      </c>
      <c r="K7946">
        <v>1.1060099999999999</v>
      </c>
      <c r="L7946">
        <v>131.45760000000001</v>
      </c>
      <c r="M7946">
        <v>0.74470000000000003</v>
      </c>
      <c r="N7946">
        <v>-1.654102E-2</v>
      </c>
      <c r="O7946">
        <v>0.66719439999999997</v>
      </c>
      <c r="P7946">
        <v>0.86861180000000004</v>
      </c>
      <c r="Q7946">
        <v>0.1842425</v>
      </c>
      <c r="R7946">
        <v>0.45996569999999998</v>
      </c>
      <c r="S7946">
        <v>3.0830690000000001</v>
      </c>
      <c r="T7946">
        <v>-6.8784120000000004E-2</v>
      </c>
      <c r="U7946">
        <v>0.74360660000000001</v>
      </c>
      <c r="V7946">
        <v>0.24434149999999999</v>
      </c>
      <c r="W7946">
        <v>0.1909922</v>
      </c>
      <c r="X7946">
        <v>0.95069409999999999</v>
      </c>
      <c r="Y7946">
        <v>0.47387639999999998</v>
      </c>
      <c r="Z7946">
        <v>-1.060752E-2</v>
      </c>
      <c r="AA7946">
        <v>0.88052750000000002</v>
      </c>
      <c r="AB7946">
        <v>31</v>
      </c>
      <c r="AC7946">
        <v>49.461599999999997</v>
      </c>
      <c r="AD7946">
        <v>-1.1060110133579999</v>
      </c>
      <c r="AE7946">
        <v>11.8631999999999</v>
      </c>
      <c r="AF7946">
        <v>24.157861183588</v>
      </c>
      <c r="AG7946">
        <v>-1.1060110133579999</v>
      </c>
      <c r="AH7946">
        <v>44.734084825174499</v>
      </c>
      <c r="AI7946">
        <v>91.246249806304604</v>
      </c>
      <c r="AJ7946">
        <v>61.629510508663898</v>
      </c>
      <c r="AK7946">
        <v>50.8523732236076</v>
      </c>
      <c r="AL7946">
        <v>78.989306827112699</v>
      </c>
      <c r="AM7946">
        <v>75.586163090140303</v>
      </c>
      <c r="AN7946">
        <v>1.00000003042894</v>
      </c>
    </row>
    <row r="7947" spans="1:40" x14ac:dyDescent="0.25">
      <c r="A7947" t="str">
        <f>"20190303170442772"</f>
        <v>20190303170442772</v>
      </c>
      <c r="B7947" t="str">
        <f>"1551603882763451"</f>
        <v>1551603882763451</v>
      </c>
      <c r="C7947" t="s">
        <v>40</v>
      </c>
      <c r="D7947">
        <v>4.6467669999999996</v>
      </c>
      <c r="E7947">
        <v>0.60390159999999904</v>
      </c>
      <c r="F7947" t="s">
        <v>42</v>
      </c>
      <c r="G7947">
        <v>-131.8451</v>
      </c>
      <c r="H7947" s="1">
        <v>-4.1780230000000001E-6</v>
      </c>
      <c r="I7947">
        <v>142.6035</v>
      </c>
      <c r="J7947">
        <v>-179.23310000000001</v>
      </c>
      <c r="K7947">
        <v>1.106007</v>
      </c>
      <c r="L7947">
        <v>131.5583</v>
      </c>
      <c r="M7947">
        <v>0.75066759999999999</v>
      </c>
      <c r="N7947">
        <v>-1.654657E-2</v>
      </c>
      <c r="O7947">
        <v>0.66047290000000003</v>
      </c>
      <c r="P7947">
        <v>0.87277749999999998</v>
      </c>
      <c r="Q7947">
        <v>0.18434929999999999</v>
      </c>
      <c r="R7947">
        <v>0.45196779999999998</v>
      </c>
      <c r="S7947">
        <v>3.085693</v>
      </c>
      <c r="T7947">
        <v>-7.1832419999999994E-2</v>
      </c>
      <c r="U7947">
        <v>0.72389219999999999</v>
      </c>
      <c r="V7947">
        <v>0.24451809999999999</v>
      </c>
      <c r="W7947">
        <v>0.19109609999999999</v>
      </c>
      <c r="X7947">
        <v>0.95062780000000002</v>
      </c>
      <c r="Y7947">
        <v>0.47144000000000003</v>
      </c>
      <c r="Z7947">
        <v>-1.141321E-2</v>
      </c>
      <c r="AA7947">
        <v>0.88182430000000001</v>
      </c>
      <c r="AB7947">
        <v>31</v>
      </c>
      <c r="AC7947">
        <v>47.387999999999998</v>
      </c>
      <c r="AD7947">
        <v>-1.106011178023</v>
      </c>
      <c r="AE7947">
        <v>11.0451999999999</v>
      </c>
      <c r="AF7947">
        <v>22.9984827632614</v>
      </c>
      <c r="AG7947">
        <v>-1.106011178023</v>
      </c>
      <c r="AH7947">
        <v>42.851419473698598</v>
      </c>
      <c r="AI7947">
        <v>91.302793887674994</v>
      </c>
      <c r="AJ7947">
        <v>61.777413941970003</v>
      </c>
      <c r="AK7947">
        <v>48.6456331138656</v>
      </c>
      <c r="AL7947">
        <v>78.983241946793996</v>
      </c>
      <c r="AM7947">
        <v>75.575215819872696</v>
      </c>
      <c r="AN7947">
        <v>1.0000000173978301</v>
      </c>
    </row>
    <row r="7948" spans="1:40" x14ac:dyDescent="0.25">
      <c r="A7948" t="str">
        <f>"20190303170442785"</f>
        <v>20190303170442785</v>
      </c>
      <c r="B7948" t="str">
        <f>"1551603882773211"</f>
        <v>1551603882773211</v>
      </c>
      <c r="C7948" t="s">
        <v>40</v>
      </c>
      <c r="D7948">
        <v>4.649165</v>
      </c>
      <c r="E7948">
        <v>0.60289890000000002</v>
      </c>
      <c r="F7948" t="s">
        <v>42</v>
      </c>
      <c r="G7948">
        <v>-132.88679999999999</v>
      </c>
      <c r="H7948" s="1">
        <v>-3.6993579999999998E-6</v>
      </c>
      <c r="I7948">
        <v>142.11750000000001</v>
      </c>
      <c r="J7948">
        <v>-179.08770000000001</v>
      </c>
      <c r="K7948">
        <v>1.106007</v>
      </c>
      <c r="L7948">
        <v>131.6746</v>
      </c>
      <c r="M7948">
        <v>0.75759480000000001</v>
      </c>
      <c r="N7948">
        <v>-1.6552259999999999E-2</v>
      </c>
      <c r="O7948">
        <v>0.65251519999999996</v>
      </c>
      <c r="P7948">
        <v>0.87744330000000004</v>
      </c>
      <c r="Q7948">
        <v>0.18437020000000001</v>
      </c>
      <c r="R7948">
        <v>0.44283299999999998</v>
      </c>
      <c r="S7948">
        <v>3.0884860000000001</v>
      </c>
      <c r="T7948">
        <v>-7.3703770000000002E-2</v>
      </c>
      <c r="U7948">
        <v>0.70365909999999998</v>
      </c>
      <c r="V7948">
        <v>0.2444075</v>
      </c>
      <c r="W7948">
        <v>0.19112699999999999</v>
      </c>
      <c r="X7948">
        <v>0.95065</v>
      </c>
      <c r="Y7948">
        <v>0.46778370000000002</v>
      </c>
      <c r="Z7948">
        <v>-1.187218E-2</v>
      </c>
      <c r="AA7948">
        <v>0.88376330000000003</v>
      </c>
      <c r="AB7948">
        <v>31</v>
      </c>
      <c r="AC7948">
        <v>46.200899999999997</v>
      </c>
      <c r="AD7948">
        <v>-1.1060106993579999</v>
      </c>
      <c r="AE7948">
        <v>10.4429</v>
      </c>
      <c r="AF7948">
        <v>22.226231645109099</v>
      </c>
      <c r="AG7948">
        <v>-1.1060106993579999</v>
      </c>
      <c r="AH7948">
        <v>41.798653425128201</v>
      </c>
      <c r="AI7948">
        <v>91.338348349095597</v>
      </c>
      <c r="AJ7948">
        <v>61.998404133771501</v>
      </c>
      <c r="AK7948">
        <v>47.353522160058198</v>
      </c>
      <c r="AL7948">
        <v>78.981437949315506</v>
      </c>
      <c r="AM7948">
        <v>75.581791035191301</v>
      </c>
      <c r="AN7948">
        <v>0.99999998934262402</v>
      </c>
    </row>
    <row r="7949" spans="1:40" x14ac:dyDescent="0.25">
      <c r="A7949" t="str">
        <f>"20190303170442799"</f>
        <v>20190303170442799</v>
      </c>
      <c r="B7949" t="str">
        <f>"1551603882793706"</f>
        <v>1551603882793706</v>
      </c>
      <c r="C7949" t="s">
        <v>40</v>
      </c>
      <c r="D7949">
        <v>4.6614810000000002</v>
      </c>
      <c r="E7949">
        <v>0.59528729999999996</v>
      </c>
      <c r="F7949" t="s">
        <v>42</v>
      </c>
      <c r="G7949">
        <v>-133.2876</v>
      </c>
      <c r="H7949" s="1">
        <v>-3.422262E-6</v>
      </c>
      <c r="I7949">
        <v>141.72229999999999</v>
      </c>
      <c r="J7949">
        <v>-178.93379999999999</v>
      </c>
      <c r="K7949">
        <v>1.1060080000000001</v>
      </c>
      <c r="L7949">
        <v>131.79560000000001</v>
      </c>
      <c r="M7949">
        <v>0.76479600000000003</v>
      </c>
      <c r="N7949">
        <v>-1.655775E-2</v>
      </c>
      <c r="O7949">
        <v>0.64405970000000001</v>
      </c>
      <c r="P7949">
        <v>0.88214769999999898</v>
      </c>
      <c r="Q7949">
        <v>0.1845099</v>
      </c>
      <c r="R7949">
        <v>0.4333263</v>
      </c>
      <c r="S7949">
        <v>3.092346</v>
      </c>
      <c r="T7949">
        <v>-7.4675920000000007E-2</v>
      </c>
      <c r="U7949">
        <v>0.67840579999999995</v>
      </c>
      <c r="V7949">
        <v>0.24410480000000001</v>
      </c>
      <c r="W7949">
        <v>0.19128519999999999</v>
      </c>
      <c r="X7949">
        <v>0.95069599999999999</v>
      </c>
      <c r="Y7949">
        <v>0.46507270000000001</v>
      </c>
      <c r="Z7949">
        <v>-1.2100919999999999E-2</v>
      </c>
      <c r="AA7949">
        <v>0.88518980000000003</v>
      </c>
      <c r="AB7949">
        <v>31</v>
      </c>
      <c r="AC7949">
        <v>45.646199999999901</v>
      </c>
      <c r="AD7949">
        <v>-1.1060114222619899</v>
      </c>
      <c r="AE7949">
        <v>9.9266999999999808</v>
      </c>
      <c r="AF7949">
        <v>21.797748077485601</v>
      </c>
      <c r="AG7949">
        <v>-1.1060114222619899</v>
      </c>
      <c r="AH7949">
        <v>41.285937790461801</v>
      </c>
      <c r="AI7949">
        <v>91.3570804652432</v>
      </c>
      <c r="AJ7949">
        <v>62.167277739927002</v>
      </c>
      <c r="AK7949">
        <v>46.700040061584303</v>
      </c>
      <c r="AL7949">
        <v>78.972203863124903</v>
      </c>
      <c r="AM7949">
        <v>75.599572829454303</v>
      </c>
      <c r="AN7949">
        <v>1.0000000327690299</v>
      </c>
    </row>
    <row r="7950" spans="1:40" x14ac:dyDescent="0.25">
      <c r="A7950" t="str">
        <f>"20190303170442813"</f>
        <v>20190303170442813</v>
      </c>
      <c r="B7950" t="str">
        <f>"1551603882803466"</f>
        <v>1551603882803466</v>
      </c>
      <c r="C7950" t="s">
        <v>40</v>
      </c>
      <c r="D7950">
        <v>4.6897869999999999</v>
      </c>
      <c r="E7950">
        <v>0.59478779999999998</v>
      </c>
      <c r="F7950" t="s">
        <v>42</v>
      </c>
      <c r="G7950">
        <v>-142.40790000000001</v>
      </c>
      <c r="H7950" s="1">
        <v>-3.3764110000000001E-6</v>
      </c>
      <c r="I7950">
        <v>140.13149999999999</v>
      </c>
      <c r="J7950">
        <v>-178.77119999999999</v>
      </c>
      <c r="K7950">
        <v>1.1060110000000001</v>
      </c>
      <c r="L7950">
        <v>131.92019999999999</v>
      </c>
      <c r="M7950">
        <v>0.77223609999999998</v>
      </c>
      <c r="N7950">
        <v>-1.6562770000000001E-2</v>
      </c>
      <c r="O7950">
        <v>0.63511969999999995</v>
      </c>
      <c r="P7950">
        <v>0.88692709999999997</v>
      </c>
      <c r="Q7950">
        <v>0.18436549999999999</v>
      </c>
      <c r="R7950">
        <v>0.42352060000000002</v>
      </c>
      <c r="S7950">
        <v>3.0754999999999999</v>
      </c>
      <c r="T7950">
        <v>-9.3126650000000005E-2</v>
      </c>
      <c r="U7950">
        <v>0.70188899999999999</v>
      </c>
      <c r="V7950">
        <v>0.2435959</v>
      </c>
      <c r="W7950">
        <v>0.19116910000000001</v>
      </c>
      <c r="X7950">
        <v>0.95084979999999997</v>
      </c>
      <c r="Y7950">
        <v>0.44713009999999997</v>
      </c>
      <c r="Z7950">
        <v>-1.6626800000000001E-2</v>
      </c>
      <c r="AA7950">
        <v>0.89431439999999995</v>
      </c>
      <c r="AB7950">
        <v>31</v>
      </c>
      <c r="AC7950">
        <v>36.363299999999903</v>
      </c>
      <c r="AD7950">
        <v>-1.106014376411</v>
      </c>
      <c r="AE7950">
        <v>8.2112999999999907</v>
      </c>
      <c r="AF7950">
        <v>16.741548388573801</v>
      </c>
      <c r="AG7950">
        <v>-1.106014376411</v>
      </c>
      <c r="AH7950">
        <v>33.2714935494729</v>
      </c>
      <c r="AI7950">
        <v>91.700885329251406</v>
      </c>
      <c r="AJ7950">
        <v>63.289376229903198</v>
      </c>
      <c r="AK7950">
        <v>37.262514585846297</v>
      </c>
      <c r="AL7950">
        <v>78.978980209608906</v>
      </c>
      <c r="AM7950">
        <v>75.630577918313307</v>
      </c>
      <c r="AN7950">
        <v>0.99999996472582897</v>
      </c>
    </row>
    <row r="7951" spans="1:40" x14ac:dyDescent="0.25">
      <c r="A7951" t="str">
        <f>"20190303170442826"</f>
        <v>20190303170442826</v>
      </c>
      <c r="B7951" t="str">
        <f>"1551603882814204"</f>
        <v>1551603882814204</v>
      </c>
      <c r="C7951" t="s">
        <v>40</v>
      </c>
      <c r="D7951">
        <v>4.6683370000000002</v>
      </c>
      <c r="E7951">
        <v>0.59382380000000001</v>
      </c>
      <c r="F7951" t="s">
        <v>42</v>
      </c>
      <c r="G7951">
        <v>-143.5736</v>
      </c>
      <c r="H7951" s="1">
        <v>-2.7444899999999999E-6</v>
      </c>
      <c r="I7951">
        <v>139.5865</v>
      </c>
      <c r="J7951">
        <v>-178.61320000000001</v>
      </c>
      <c r="K7951">
        <v>1.1060160000000001</v>
      </c>
      <c r="L7951">
        <v>132.03799999999899</v>
      </c>
      <c r="M7951">
        <v>0.77930410000000006</v>
      </c>
      <c r="N7951">
        <v>-1.656672E-2</v>
      </c>
      <c r="O7951">
        <v>0.62642690000000001</v>
      </c>
      <c r="P7951">
        <v>0.89096749999999902</v>
      </c>
      <c r="Q7951">
        <v>0.18381320000000001</v>
      </c>
      <c r="R7951">
        <v>0.41519810000000001</v>
      </c>
      <c r="S7951">
        <v>3.0820620000000001</v>
      </c>
      <c r="T7951">
        <v>-9.6847530000000001E-2</v>
      </c>
      <c r="U7951">
        <v>0.67129519999999998</v>
      </c>
      <c r="V7951">
        <v>0.24188770000000001</v>
      </c>
      <c r="W7951">
        <v>0.1906959</v>
      </c>
      <c r="X7951">
        <v>0.95138080000000003</v>
      </c>
      <c r="Y7951">
        <v>0.44595269999999998</v>
      </c>
      <c r="Z7951">
        <v>-1.7521149999999999E-2</v>
      </c>
      <c r="AA7951">
        <v>0.89488500000000004</v>
      </c>
      <c r="AB7951">
        <v>31</v>
      </c>
      <c r="AC7951">
        <v>35.0396</v>
      </c>
      <c r="AD7951">
        <v>-1.10601874448999</v>
      </c>
      <c r="AE7951">
        <v>7.5485000000000104</v>
      </c>
      <c r="AF7951">
        <v>16.054090451726399</v>
      </c>
      <c r="AG7951">
        <v>-1.10601874448999</v>
      </c>
      <c r="AH7951">
        <v>32.009007092538099</v>
      </c>
      <c r="AI7951">
        <v>91.769092338585295</v>
      </c>
      <c r="AJ7951">
        <v>63.363984809625997</v>
      </c>
      <c r="AK7951">
        <v>35.8264376228719</v>
      </c>
      <c r="AL7951">
        <v>79.006601164374004</v>
      </c>
      <c r="AM7951">
        <v>75.734852709738803</v>
      </c>
      <c r="AN7951">
        <v>1.00000000614837</v>
      </c>
    </row>
    <row r="7952" spans="1:40" x14ac:dyDescent="0.25">
      <c r="A7952" t="str">
        <f>"20190303170442842"</f>
        <v>20190303170442842</v>
      </c>
      <c r="B7952" t="str">
        <f>"1551603882833723"</f>
        <v>1551603882833723</v>
      </c>
      <c r="C7952" t="s">
        <v>40</v>
      </c>
      <c r="D7952">
        <v>4.6315530000000003</v>
      </c>
      <c r="E7952">
        <v>0.59324639999999995</v>
      </c>
      <c r="F7952" t="s">
        <v>42</v>
      </c>
      <c r="G7952">
        <v>-144.42760000000001</v>
      </c>
      <c r="H7952" s="1">
        <v>-2.4433930000000002E-6</v>
      </c>
      <c r="I7952">
        <v>139.2184</v>
      </c>
      <c r="J7952">
        <v>-178.43700000000001</v>
      </c>
      <c r="K7952">
        <v>1.106017</v>
      </c>
      <c r="L7952">
        <v>132.16650000000001</v>
      </c>
      <c r="M7952">
        <v>0.78701659999999996</v>
      </c>
      <c r="N7952">
        <v>-1.6570560000000002E-2</v>
      </c>
      <c r="O7952">
        <v>0.61670919999999996</v>
      </c>
      <c r="P7952">
        <v>0.89574900000000002</v>
      </c>
      <c r="Q7952">
        <v>0.18378040000000001</v>
      </c>
      <c r="R7952">
        <v>0.4047944</v>
      </c>
      <c r="S7952">
        <v>3.0856780000000001</v>
      </c>
      <c r="T7952">
        <v>-9.9832180000000006E-2</v>
      </c>
      <c r="U7952">
        <v>0.64813229999999999</v>
      </c>
      <c r="V7952">
        <v>0.24116029999999999</v>
      </c>
      <c r="W7952">
        <v>0.19070110000000001</v>
      </c>
      <c r="X7952">
        <v>0.95156439999999998</v>
      </c>
      <c r="Y7952">
        <v>0.441465</v>
      </c>
      <c r="Z7952">
        <v>-1.8136650000000001E-2</v>
      </c>
      <c r="AA7952">
        <v>0.89709509999999903</v>
      </c>
      <c r="AB7952">
        <v>31</v>
      </c>
      <c r="AC7952">
        <v>34.009399999999999</v>
      </c>
      <c r="AD7952">
        <v>-1.106019443393</v>
      </c>
      <c r="AE7952">
        <v>7.0518999999999803</v>
      </c>
      <c r="AF7952">
        <v>15.410439453902599</v>
      </c>
      <c r="AG7952">
        <v>-1.106019443393</v>
      </c>
      <c r="AH7952">
        <v>31.087683992922699</v>
      </c>
      <c r="AI7952">
        <v>91.825738261400602</v>
      </c>
      <c r="AJ7952">
        <v>63.631978996044097</v>
      </c>
      <c r="AK7952">
        <v>34.715256289063802</v>
      </c>
      <c r="AL7952">
        <v>79.006297628095297</v>
      </c>
      <c r="AM7952">
        <v>75.778640277460696</v>
      </c>
      <c r="AN7952">
        <v>1.00000000359233</v>
      </c>
    </row>
    <row r="7953" spans="1:40" x14ac:dyDescent="0.25">
      <c r="A7953" t="str">
        <f>"20190303170442856"</f>
        <v>20190303170442856</v>
      </c>
      <c r="B7953" t="str">
        <f>"1551603882843483"</f>
        <v>1551603882843483</v>
      </c>
      <c r="C7953" t="s">
        <v>40</v>
      </c>
      <c r="D7953">
        <v>4.623265</v>
      </c>
      <c r="E7953">
        <v>0.58667999999999998</v>
      </c>
      <c r="F7953" t="s">
        <v>42</v>
      </c>
      <c r="G7953">
        <v>-144.38290000000001</v>
      </c>
      <c r="H7953" s="1">
        <v>-2.5104589999999999E-6</v>
      </c>
      <c r="I7953">
        <v>138.9485</v>
      </c>
      <c r="J7953">
        <v>-178.28120000000001</v>
      </c>
      <c r="K7953">
        <v>1.1060239999999999</v>
      </c>
      <c r="L7953">
        <v>132.27789999999999</v>
      </c>
      <c r="M7953">
        <v>0.793695699999999</v>
      </c>
      <c r="N7953">
        <v>-1.6573540000000001E-2</v>
      </c>
      <c r="O7953">
        <v>0.6080892</v>
      </c>
      <c r="P7953">
        <v>0.89975159999999998</v>
      </c>
      <c r="Q7953">
        <v>0.1843436</v>
      </c>
      <c r="R7953">
        <v>0.39555620000000002</v>
      </c>
      <c r="S7953">
        <v>3.0915219999999999</v>
      </c>
      <c r="T7953">
        <v>-0.1004075</v>
      </c>
      <c r="U7953">
        <v>0.61569209999999996</v>
      </c>
      <c r="V7953">
        <v>0.24051990000000001</v>
      </c>
      <c r="W7953">
        <v>0.19129599999999999</v>
      </c>
      <c r="X7953">
        <v>0.95160710000000004</v>
      </c>
      <c r="Y7953">
        <v>0.44105280000000002</v>
      </c>
      <c r="Z7953">
        <v>-1.8221850000000001E-2</v>
      </c>
      <c r="AA7953">
        <v>0.89729609999999904</v>
      </c>
      <c r="AB7953">
        <v>31</v>
      </c>
      <c r="AC7953">
        <v>33.898299999999999</v>
      </c>
      <c r="AD7953">
        <v>-1.1060265104589999</v>
      </c>
      <c r="AE7953">
        <v>6.6706000000000003</v>
      </c>
      <c r="AF7953">
        <v>15.305181699014801</v>
      </c>
      <c r="AG7953">
        <v>-1.1060265104589999</v>
      </c>
      <c r="AH7953">
        <v>30.933803956250099</v>
      </c>
      <c r="AI7953">
        <v>91.835509143668205</v>
      </c>
      <c r="AJ7953">
        <v>63.6750810054846</v>
      </c>
      <c r="AK7953">
        <v>34.5307415021081</v>
      </c>
      <c r="AL7953">
        <v>78.971573366129107</v>
      </c>
      <c r="AM7953">
        <v>75.815489574574499</v>
      </c>
      <c r="AN7953">
        <v>1.0000000273412</v>
      </c>
    </row>
    <row r="7954" spans="1:40" x14ac:dyDescent="0.25">
      <c r="A7954" t="str">
        <f>"20190303170442868"</f>
        <v>20190303170442868</v>
      </c>
      <c r="B7954" t="str">
        <f>"1551603882863003"</f>
        <v>1551603882863003</v>
      </c>
      <c r="C7954" t="s">
        <v>40</v>
      </c>
      <c r="D7954">
        <v>4.6312530000000001</v>
      </c>
      <c r="E7954">
        <v>0.58515629999999996</v>
      </c>
      <c r="F7954" t="s">
        <v>42</v>
      </c>
      <c r="G7954">
        <v>-147.36009999999999</v>
      </c>
      <c r="H7954" s="1">
        <v>-1.28773E-6</v>
      </c>
      <c r="I7954">
        <v>138.6414</v>
      </c>
      <c r="J7954">
        <v>-178.1276</v>
      </c>
      <c r="K7954">
        <v>1.1060319999999999</v>
      </c>
      <c r="L7954">
        <v>132.38399999999999</v>
      </c>
      <c r="M7954">
        <v>0.80011999999999905</v>
      </c>
      <c r="N7954">
        <v>-1.6575719999999999E-2</v>
      </c>
      <c r="O7954">
        <v>0.59961100000000001</v>
      </c>
      <c r="P7954">
        <v>0.90374239999999995</v>
      </c>
      <c r="Q7954">
        <v>0.1848532</v>
      </c>
      <c r="R7954">
        <v>0.3861077</v>
      </c>
      <c r="S7954">
        <v>3.0783079999999998</v>
      </c>
      <c r="T7954">
        <v>-0.110109</v>
      </c>
      <c r="U7954">
        <v>0.63351440000000003</v>
      </c>
      <c r="V7954">
        <v>0.24031859999999999</v>
      </c>
      <c r="W7954">
        <v>0.1918192</v>
      </c>
      <c r="X7954">
        <v>0.95155259999999997</v>
      </c>
      <c r="Y7954">
        <v>0.42564809999999997</v>
      </c>
      <c r="Z7954">
        <v>-2.0290809999999999E-2</v>
      </c>
      <c r="AA7954">
        <v>0.9046613</v>
      </c>
      <c r="AB7954">
        <v>31</v>
      </c>
      <c r="AC7954">
        <v>30.767499999999998</v>
      </c>
      <c r="AD7954">
        <v>-1.1060332877300001</v>
      </c>
      <c r="AE7954">
        <v>6.2574000000000103</v>
      </c>
      <c r="AF7954">
        <v>13.427044599191101</v>
      </c>
      <c r="AG7954">
        <v>-1.1060332877300001</v>
      </c>
      <c r="AH7954">
        <v>28.338428179873301</v>
      </c>
      <c r="AI7954">
        <v>92.020023053231597</v>
      </c>
      <c r="AJ7954">
        <v>64.647914893525098</v>
      </c>
      <c r="AK7954">
        <v>31.377943654868002</v>
      </c>
      <c r="AL7954">
        <v>78.941030217720794</v>
      </c>
      <c r="AM7954">
        <v>75.826103487311698</v>
      </c>
      <c r="AN7954">
        <v>0.99999999278067997</v>
      </c>
    </row>
    <row r="7955" spans="1:40" x14ac:dyDescent="0.25">
      <c r="A7955" t="str">
        <f>"20190303170442881"</f>
        <v>20190303170442881</v>
      </c>
      <c r="B7955" t="str">
        <f>"1551603882873740"</f>
        <v>1551603882873740</v>
      </c>
      <c r="C7955" t="s">
        <v>40</v>
      </c>
      <c r="D7955">
        <v>4.6772450000000001</v>
      </c>
      <c r="E7955">
        <v>0.58515629999999996</v>
      </c>
      <c r="F7955" t="s">
        <v>42</v>
      </c>
      <c r="G7955">
        <v>-148.9444</v>
      </c>
      <c r="H7955" s="1">
        <v>-7.2202110000000002E-7</v>
      </c>
      <c r="I7955">
        <v>138.2002</v>
      </c>
      <c r="J7955">
        <v>-177.982</v>
      </c>
      <c r="K7955">
        <v>1.106047</v>
      </c>
      <c r="L7955">
        <v>132.48310000000001</v>
      </c>
      <c r="M7955">
        <v>0.80610360000000003</v>
      </c>
      <c r="N7955">
        <v>-1.6577499999999998E-2</v>
      </c>
      <c r="O7955">
        <v>0.59154209999999996</v>
      </c>
      <c r="P7955">
        <v>0.90731320000000004</v>
      </c>
      <c r="Q7955">
        <v>0.1852328</v>
      </c>
      <c r="R7955">
        <v>0.37745430000000002</v>
      </c>
      <c r="S7955">
        <v>3.08107</v>
      </c>
      <c r="T7955">
        <v>-0.11677129999999999</v>
      </c>
      <c r="U7955">
        <v>0.61405940000000003</v>
      </c>
      <c r="V7955">
        <v>0.23981450000000001</v>
      </c>
      <c r="W7955">
        <v>0.19222539999999999</v>
      </c>
      <c r="X7955">
        <v>0.95159780000000005</v>
      </c>
      <c r="Y7955">
        <v>0.42214819999999997</v>
      </c>
      <c r="Z7955">
        <v>-2.1767499999999999E-2</v>
      </c>
      <c r="AA7955">
        <v>0.90626549999999995</v>
      </c>
      <c r="AB7955">
        <v>31</v>
      </c>
      <c r="AC7955">
        <v>29.037600000000001</v>
      </c>
      <c r="AD7955">
        <v>-1.1060477220211</v>
      </c>
      <c r="AE7955">
        <v>5.7170999999999799</v>
      </c>
      <c r="AF7955">
        <v>12.552583616793701</v>
      </c>
      <c r="AG7955">
        <v>-1.1060477220211</v>
      </c>
      <c r="AH7955">
        <v>26.7555325877466</v>
      </c>
      <c r="AI7955">
        <v>92.1432894781275</v>
      </c>
      <c r="AJ7955">
        <v>64.865982500079497</v>
      </c>
      <c r="AK7955">
        <v>29.574469075098499</v>
      </c>
      <c r="AL7955">
        <v>78.917315274069296</v>
      </c>
      <c r="AM7955">
        <v>75.855285377017793</v>
      </c>
      <c r="AN7955">
        <v>0.99999998589012495</v>
      </c>
    </row>
    <row r="7956" spans="1:40" x14ac:dyDescent="0.25">
      <c r="A7956" t="str">
        <f>"20190303170442896"</f>
        <v>20190303170442896</v>
      </c>
      <c r="B7956" t="str">
        <f>"1551603882883499"</f>
        <v>1551603882883499</v>
      </c>
      <c r="C7956" t="s">
        <v>40</v>
      </c>
      <c r="D7956">
        <v>4.6154989999999998</v>
      </c>
      <c r="E7956">
        <v>0.57974099999999995</v>
      </c>
      <c r="F7956" t="s">
        <v>42</v>
      </c>
      <c r="G7956">
        <v>-148.57470000000001</v>
      </c>
      <c r="H7956" s="1">
        <v>-8.8563590000000004E-7</v>
      </c>
      <c r="I7956">
        <v>138.0582</v>
      </c>
      <c r="J7956">
        <v>-177.8135</v>
      </c>
      <c r="K7956">
        <v>1.106058</v>
      </c>
      <c r="L7956">
        <v>132.59549999999999</v>
      </c>
      <c r="M7956">
        <v>0.81288499999999997</v>
      </c>
      <c r="N7956">
        <v>-1.657923E-2</v>
      </c>
      <c r="O7956">
        <v>0.58218809999999999</v>
      </c>
      <c r="P7956">
        <v>0.91140980000000005</v>
      </c>
      <c r="Q7956">
        <v>0.18523519999999999</v>
      </c>
      <c r="R7956">
        <v>0.36745070000000002</v>
      </c>
      <c r="S7956">
        <v>3.0867</v>
      </c>
      <c r="T7956">
        <v>-0.1160948</v>
      </c>
      <c r="U7956">
        <v>0.58518979999999998</v>
      </c>
      <c r="V7956">
        <v>0.23928060000000001</v>
      </c>
      <c r="W7956">
        <v>0.19225719999999999</v>
      </c>
      <c r="X7956">
        <v>0.95172579999999996</v>
      </c>
      <c r="Y7956">
        <v>0.42016680000000001</v>
      </c>
      <c r="Z7956">
        <v>-2.1441080000000001E-2</v>
      </c>
      <c r="AA7956">
        <v>0.90719360000000004</v>
      </c>
      <c r="AB7956">
        <v>31</v>
      </c>
      <c r="AC7956">
        <v>29.238800000000001</v>
      </c>
      <c r="AD7956">
        <v>-1.1060588856358999</v>
      </c>
      <c r="AE7956">
        <v>5.4627000000000097</v>
      </c>
      <c r="AF7956">
        <v>12.5662891018797</v>
      </c>
      <c r="AG7956">
        <v>-1.1060588856358999</v>
      </c>
      <c r="AH7956">
        <v>26.914591355401999</v>
      </c>
      <c r="AI7956">
        <v>92.132506935489104</v>
      </c>
      <c r="AJ7956">
        <v>64.972362806184904</v>
      </c>
      <c r="AK7956">
        <v>29.724236169812698</v>
      </c>
      <c r="AL7956">
        <v>78.9154589918016</v>
      </c>
      <c r="AM7956">
        <v>75.887338298088494</v>
      </c>
      <c r="AN7956">
        <v>1.0000000174369099</v>
      </c>
    </row>
    <row r="7957" spans="1:40" x14ac:dyDescent="0.25">
      <c r="A7957" t="str">
        <f>"20190303170442909"</f>
        <v>20190303170442909</v>
      </c>
      <c r="B7957" t="str">
        <f>"1551603882903019"</f>
        <v>1551603882903019</v>
      </c>
      <c r="C7957" t="s">
        <v>40</v>
      </c>
      <c r="D7957">
        <v>4.6485370000000001</v>
      </c>
      <c r="E7957">
        <v>0.57854469999999902</v>
      </c>
      <c r="F7957" t="s">
        <v>42</v>
      </c>
      <c r="G7957">
        <v>-153.69149999999999</v>
      </c>
      <c r="H7957" s="1">
        <v>-3.1091270000000001E-6</v>
      </c>
      <c r="I7957">
        <v>137.2457</v>
      </c>
      <c r="J7957">
        <v>-177.63229999999999</v>
      </c>
      <c r="K7957">
        <v>1.106074</v>
      </c>
      <c r="L7957">
        <v>132.7122</v>
      </c>
      <c r="M7957">
        <v>0.81999109999999997</v>
      </c>
      <c r="N7957">
        <v>-1.6580350000000001E-2</v>
      </c>
      <c r="O7957">
        <v>0.57213619999999898</v>
      </c>
      <c r="P7957">
        <v>0.9156957</v>
      </c>
      <c r="Q7957">
        <v>0.1847906</v>
      </c>
      <c r="R7957">
        <v>0.35686679999999998</v>
      </c>
      <c r="S7957">
        <v>3.0808719999999998</v>
      </c>
      <c r="T7957">
        <v>-0.14126620000000001</v>
      </c>
      <c r="U7957">
        <v>0.59393309999999999</v>
      </c>
      <c r="V7957">
        <v>0.238617</v>
      </c>
      <c r="W7957">
        <v>0.19184870000000001</v>
      </c>
      <c r="X7957">
        <v>0.95197480000000001</v>
      </c>
      <c r="Y7957">
        <v>0.40591650000000001</v>
      </c>
      <c r="Z7957">
        <v>-2.6974959999999999E-2</v>
      </c>
      <c r="AA7957">
        <v>0.91351199999999999</v>
      </c>
      <c r="AB7957">
        <v>31</v>
      </c>
      <c r="AC7957">
        <v>23.940799999999999</v>
      </c>
      <c r="AD7957">
        <v>-1.1060771091270001</v>
      </c>
      <c r="AE7957">
        <v>4.5335000000000001</v>
      </c>
      <c r="AF7957">
        <v>9.9608148101764495</v>
      </c>
      <c r="AG7957">
        <v>-1.1060771091270001</v>
      </c>
      <c r="AH7957">
        <v>22.182367416135001</v>
      </c>
      <c r="AI7957">
        <v>92.604437381177405</v>
      </c>
      <c r="AJ7957">
        <v>65.817916688383505</v>
      </c>
      <c r="AK7957">
        <v>24.341295414138798</v>
      </c>
      <c r="AL7957">
        <v>78.939308177929803</v>
      </c>
      <c r="AM7957">
        <v>75.928454605095993</v>
      </c>
      <c r="AN7957">
        <v>1.0000000081078599</v>
      </c>
    </row>
    <row r="7958" spans="1:40" x14ac:dyDescent="0.25">
      <c r="A7958" t="str">
        <f>"20190303170442925"</f>
        <v>20190303170442925</v>
      </c>
      <c r="B7958" t="str">
        <f>"1551603882913756"</f>
        <v>1551603882913756</v>
      </c>
      <c r="C7958" t="s">
        <v>40</v>
      </c>
      <c r="D7958">
        <v>4.6171829999999998</v>
      </c>
      <c r="E7958">
        <v>0.57786759999999904</v>
      </c>
      <c r="F7958" t="s">
        <v>42</v>
      </c>
      <c r="G7958">
        <v>-153.52500000000001</v>
      </c>
      <c r="H7958" s="1">
        <v>-3.1995270000000001E-6</v>
      </c>
      <c r="I7958">
        <v>137.1386</v>
      </c>
      <c r="J7958">
        <v>-177.45480000000001</v>
      </c>
      <c r="K7958">
        <v>1.106088</v>
      </c>
      <c r="L7958">
        <v>132.8237</v>
      </c>
      <c r="M7958">
        <v>0.826785199999999</v>
      </c>
      <c r="N7958">
        <v>-1.658111E-2</v>
      </c>
      <c r="O7958">
        <v>0.56227340000000003</v>
      </c>
      <c r="P7958">
        <v>0.91974149999999999</v>
      </c>
      <c r="Q7958">
        <v>0.18371270000000001</v>
      </c>
      <c r="R7958">
        <v>0.3468794</v>
      </c>
      <c r="S7958">
        <v>3.0840610000000002</v>
      </c>
      <c r="T7958">
        <v>-0.14150119999999999</v>
      </c>
      <c r="U7958">
        <v>0.56626889999999996</v>
      </c>
      <c r="V7958">
        <v>0.237648</v>
      </c>
      <c r="W7958">
        <v>0.19082180000000001</v>
      </c>
      <c r="X7958">
        <v>0.95242349999999998</v>
      </c>
      <c r="Y7958">
        <v>0.40306180000000003</v>
      </c>
      <c r="Z7958">
        <v>-2.67762E-2</v>
      </c>
      <c r="AA7958">
        <v>0.91478099999999996</v>
      </c>
      <c r="AB7958">
        <v>31</v>
      </c>
      <c r="AC7958">
        <v>23.9298</v>
      </c>
      <c r="AD7958">
        <v>-1.106091199527</v>
      </c>
      <c r="AE7958">
        <v>4.31489999999999</v>
      </c>
      <c r="AF7958">
        <v>9.8685334340255402</v>
      </c>
      <c r="AG7958">
        <v>-1.106091199527</v>
      </c>
      <c r="AH7958">
        <v>22.168140116791001</v>
      </c>
      <c r="AI7958">
        <v>92.609899839525596</v>
      </c>
      <c r="AJ7958">
        <v>66.002930258526305</v>
      </c>
      <c r="AK7958">
        <v>24.290694228815902</v>
      </c>
      <c r="AL7958">
        <v>78.999252920780293</v>
      </c>
      <c r="AM7958">
        <v>75.989683971122503</v>
      </c>
      <c r="AN7958">
        <v>1.0000000273057399</v>
      </c>
    </row>
    <row r="7959" spans="1:40" x14ac:dyDescent="0.25">
      <c r="A7959" t="str">
        <f>"20190303170442948"</f>
        <v>20190303170442948</v>
      </c>
      <c r="B7959" t="str">
        <f>"1551603882943038"</f>
        <v>1551603882943038</v>
      </c>
      <c r="C7959" t="s">
        <v>40</v>
      </c>
      <c r="D7959">
        <v>4.599024</v>
      </c>
      <c r="E7959">
        <v>0.57001859999999904</v>
      </c>
      <c r="F7959" t="s">
        <v>42</v>
      </c>
      <c r="G7959">
        <v>-153.9332</v>
      </c>
      <c r="H7959" s="1">
        <v>-3.0649890000000002E-6</v>
      </c>
      <c r="I7959">
        <v>136.90979999999999</v>
      </c>
      <c r="J7959">
        <v>-177.1722</v>
      </c>
      <c r="K7959">
        <v>1.1061099999999999</v>
      </c>
      <c r="L7959">
        <v>132.9956</v>
      </c>
      <c r="M7959">
        <v>0.83727609999999997</v>
      </c>
      <c r="N7959">
        <v>-1.658159E-2</v>
      </c>
      <c r="O7959">
        <v>0.54652880000000004</v>
      </c>
      <c r="P7959">
        <v>0.92612499999999998</v>
      </c>
      <c r="Q7959">
        <v>0.1836248</v>
      </c>
      <c r="R7959">
        <v>0.32950629999999997</v>
      </c>
      <c r="S7959">
        <v>3.0884399999999999</v>
      </c>
      <c r="T7959">
        <v>-0.14523220000000001</v>
      </c>
      <c r="U7959">
        <v>0.5365143</v>
      </c>
      <c r="V7959">
        <v>0.23754980000000001</v>
      </c>
      <c r="W7959">
        <v>0.19075059999999999</v>
      </c>
      <c r="X7959">
        <v>0.95246229999999998</v>
      </c>
      <c r="Y7959">
        <v>0.39447549999999998</v>
      </c>
      <c r="Z7959">
        <v>-2.7074669999999999E-2</v>
      </c>
      <c r="AA7959">
        <v>0.91850750000000003</v>
      </c>
      <c r="AB7959">
        <v>31</v>
      </c>
      <c r="AC7959">
        <v>23.239000000000001</v>
      </c>
      <c r="AD7959">
        <v>-1.1061130649890001</v>
      </c>
      <c r="AE7959">
        <v>3.9141999999999899</v>
      </c>
      <c r="AF7959">
        <v>9.4040954420165903</v>
      </c>
      <c r="AG7959">
        <v>-1.1061130649890001</v>
      </c>
      <c r="AH7959">
        <v>21.552173015157202</v>
      </c>
      <c r="AI7959">
        <v>92.693182689122295</v>
      </c>
      <c r="AJ7959">
        <v>66.426386184560798</v>
      </c>
      <c r="AK7959">
        <v>23.540532255460299</v>
      </c>
      <c r="AL7959">
        <v>79.003409145109998</v>
      </c>
      <c r="AM7959">
        <v>75.995793419245402</v>
      </c>
      <c r="AN7959">
        <v>1.0000000659008399</v>
      </c>
    </row>
    <row r="7960" spans="1:40" x14ac:dyDescent="0.25">
      <c r="A7960" t="str">
        <f>"20190303170442964"</f>
        <v>20190303170442964</v>
      </c>
      <c r="B7960" t="str">
        <f>"1551603882953771"</f>
        <v>1551603882953771</v>
      </c>
      <c r="C7960" t="s">
        <v>40</v>
      </c>
      <c r="D7960">
        <v>4.5954879999999996</v>
      </c>
      <c r="E7960">
        <v>0.56947579999999998</v>
      </c>
      <c r="F7960" t="s">
        <v>42</v>
      </c>
      <c r="G7960">
        <v>-154.41489999999999</v>
      </c>
      <c r="H7960" s="1">
        <v>-2.8464139999999999E-6</v>
      </c>
      <c r="I7960">
        <v>136.97710000000001</v>
      </c>
      <c r="J7960">
        <v>-176.9898</v>
      </c>
      <c r="K7960">
        <v>1.1061259999999999</v>
      </c>
      <c r="L7960">
        <v>133.1026</v>
      </c>
      <c r="M7960">
        <v>0.84383069999999905</v>
      </c>
      <c r="N7960">
        <v>-1.658138E-2</v>
      </c>
      <c r="O7960">
        <v>0.53635319999999997</v>
      </c>
      <c r="P7960">
        <v>0.93002549999999995</v>
      </c>
      <c r="Q7960">
        <v>0.18392710000000001</v>
      </c>
      <c r="R7960">
        <v>0.31815660000000001</v>
      </c>
      <c r="S7960">
        <v>3.0773929999999998</v>
      </c>
      <c r="T7960">
        <v>-0.14957579999999901</v>
      </c>
      <c r="U7960">
        <v>0.53840639999999995</v>
      </c>
      <c r="V7960">
        <v>0.2376395</v>
      </c>
      <c r="W7960">
        <v>0.19105630000000001</v>
      </c>
      <c r="X7960">
        <v>0.95237859999999996</v>
      </c>
      <c r="Y7960">
        <v>0.38218160000000001</v>
      </c>
      <c r="Z7960">
        <v>-2.7575880000000001E-2</v>
      </c>
      <c r="AA7960">
        <v>0.92367569999999999</v>
      </c>
      <c r="AB7960">
        <v>31</v>
      </c>
      <c r="AC7960">
        <v>22.5749</v>
      </c>
      <c r="AD7960">
        <v>-1.106128846414</v>
      </c>
      <c r="AE7960">
        <v>3.87450000000001</v>
      </c>
      <c r="AF7960">
        <v>8.8193455398045906</v>
      </c>
      <c r="AG7960">
        <v>-1.106128846414</v>
      </c>
      <c r="AH7960">
        <v>21.0812356405118</v>
      </c>
      <c r="AI7960">
        <v>92.771222166410794</v>
      </c>
      <c r="AJ7960">
        <v>67.297979196912706</v>
      </c>
      <c r="AK7960">
        <v>22.878436854517101</v>
      </c>
      <c r="AL7960">
        <v>78.9855651488691</v>
      </c>
      <c r="AM7960">
        <v>75.989530864288795</v>
      </c>
      <c r="AN7960">
        <v>1.00000001973394</v>
      </c>
    </row>
    <row r="7961" spans="1:40" x14ac:dyDescent="0.25">
      <c r="A7961" t="str">
        <f>"20190303170442976"</f>
        <v>20190303170442976</v>
      </c>
      <c r="B7961" t="str">
        <f>"1551603882963062"</f>
        <v>1551603882963062</v>
      </c>
      <c r="C7961" t="s">
        <v>40</v>
      </c>
      <c r="D7961">
        <v>4.565499</v>
      </c>
      <c r="E7961">
        <v>0.56861549999999905</v>
      </c>
      <c r="F7961" t="s">
        <v>42</v>
      </c>
      <c r="G7961">
        <v>-154.02379999999999</v>
      </c>
      <c r="H7961" s="1">
        <v>-3.0339470000000001E-6</v>
      </c>
      <c r="I7961">
        <v>136.86580000000001</v>
      </c>
      <c r="J7961">
        <v>-176.83629999999999</v>
      </c>
      <c r="K7961">
        <v>1.106142</v>
      </c>
      <c r="L7961">
        <v>133.1908</v>
      </c>
      <c r="M7961">
        <v>0.84922469999999906</v>
      </c>
      <c r="N7961">
        <v>-1.658111E-2</v>
      </c>
      <c r="O7961">
        <v>0.5277712</v>
      </c>
      <c r="P7961">
        <v>0.93309219999999904</v>
      </c>
      <c r="Q7961">
        <v>0.18410789999999999</v>
      </c>
      <c r="R7961">
        <v>0.30893920000000002</v>
      </c>
      <c r="S7961">
        <v>3.082306</v>
      </c>
      <c r="T7961">
        <v>-0.14845510000000001</v>
      </c>
      <c r="U7961">
        <v>0.50508120000000001</v>
      </c>
      <c r="V7961">
        <v>0.23738860000000001</v>
      </c>
      <c r="W7961">
        <v>0.19125429999999999</v>
      </c>
      <c r="X7961">
        <v>0.95240139999999995</v>
      </c>
      <c r="Y7961">
        <v>0.38278719999999999</v>
      </c>
      <c r="Z7961">
        <v>-2.715352E-2</v>
      </c>
      <c r="AA7961">
        <v>0.92343739999999996</v>
      </c>
      <c r="AB7961">
        <v>31</v>
      </c>
      <c r="AC7961">
        <v>22.8125</v>
      </c>
      <c r="AD7961">
        <v>-1.106145033947</v>
      </c>
      <c r="AE7961">
        <v>3.67500000000001</v>
      </c>
      <c r="AF7961">
        <v>8.8997110213820392</v>
      </c>
      <c r="AG7961">
        <v>-1.106145033947</v>
      </c>
      <c r="AH7961">
        <v>21.2666922119076</v>
      </c>
      <c r="AI7961">
        <v>92.747005341468693</v>
      </c>
      <c r="AJ7961">
        <v>67.291606173522695</v>
      </c>
      <c r="AK7961">
        <v>23.080307856184401</v>
      </c>
      <c r="AL7961">
        <v>78.974007134541395</v>
      </c>
      <c r="AM7961">
        <v>76.004063250913006</v>
      </c>
      <c r="AN7961">
        <v>0.99999999070020396</v>
      </c>
    </row>
    <row r="7962" spans="1:40" x14ac:dyDescent="0.25">
      <c r="A7962" t="str">
        <f>"20190303170442988"</f>
        <v>20190303170442988</v>
      </c>
      <c r="B7962" t="str">
        <f>"1551603882973799"</f>
        <v>1551603882973799</v>
      </c>
      <c r="C7962" t="s">
        <v>40</v>
      </c>
      <c r="D7962">
        <v>4.5961530000000002</v>
      </c>
      <c r="E7962">
        <v>0.56778419999999996</v>
      </c>
      <c r="F7962" t="s">
        <v>42</v>
      </c>
      <c r="G7962">
        <v>-154.3682</v>
      </c>
      <c r="H7962" s="1">
        <v>-2.9161649999999998E-6</v>
      </c>
      <c r="I7962">
        <v>136.6969</v>
      </c>
      <c r="J7962">
        <v>-176.68389999999999</v>
      </c>
      <c r="K7962">
        <v>1.10616</v>
      </c>
      <c r="L7962">
        <v>133.27539999999999</v>
      </c>
      <c r="M7962">
        <v>0.85445859999999996</v>
      </c>
      <c r="N7962">
        <v>-1.6580399999999999E-2</v>
      </c>
      <c r="O7962">
        <v>0.51925500000000002</v>
      </c>
      <c r="P7962">
        <v>0.93589849999999997</v>
      </c>
      <c r="Q7962">
        <v>0.18456220000000001</v>
      </c>
      <c r="R7962">
        <v>0.30005159999999997</v>
      </c>
      <c r="S7962">
        <v>3.0856629999999998</v>
      </c>
      <c r="T7962">
        <v>-0.151912299999999</v>
      </c>
      <c r="U7962">
        <v>0.48152159999999999</v>
      </c>
      <c r="V7962">
        <v>0.2368874</v>
      </c>
      <c r="W7962">
        <v>0.19173490000000001</v>
      </c>
      <c r="X7962">
        <v>0.95242950000000004</v>
      </c>
      <c r="Y7962">
        <v>0.38055410000000001</v>
      </c>
      <c r="Z7962">
        <v>-2.7653469999999999E-2</v>
      </c>
      <c r="AA7962">
        <v>0.92434510000000003</v>
      </c>
      <c r="AB7962">
        <v>31</v>
      </c>
      <c r="AC7962">
        <v>22.3157</v>
      </c>
      <c r="AD7962">
        <v>-1.106162916165</v>
      </c>
      <c r="AE7962">
        <v>3.4215</v>
      </c>
      <c r="AF7962">
        <v>8.6444469934333092</v>
      </c>
      <c r="AG7962">
        <v>-1.106162916165</v>
      </c>
      <c r="AH7962">
        <v>20.797409844105701</v>
      </c>
      <c r="AI7962">
        <v>92.811759252339698</v>
      </c>
      <c r="AJ7962">
        <v>67.429778264143806</v>
      </c>
      <c r="AK7962">
        <v>22.549552466580899</v>
      </c>
      <c r="AL7962">
        <v>78.945950923300799</v>
      </c>
      <c r="AM7962">
        <v>76.032850874435297</v>
      </c>
      <c r="AN7962">
        <v>0.99999993231350703</v>
      </c>
    </row>
    <row r="7963" spans="1:40" x14ac:dyDescent="0.25">
      <c r="A7963" t="str">
        <f>"20190303170443002"</f>
        <v>20190303170443002</v>
      </c>
      <c r="B7963" t="str">
        <f>"1551603882993318"</f>
        <v>1551603882993318</v>
      </c>
      <c r="C7963" t="s">
        <v>40</v>
      </c>
      <c r="D7963">
        <v>4.5701900000000002</v>
      </c>
      <c r="E7963">
        <v>0.56195439999999997</v>
      </c>
      <c r="F7963" t="s">
        <v>42</v>
      </c>
      <c r="G7963">
        <v>-154.10749999999999</v>
      </c>
      <c r="H7963" s="1">
        <v>-3.0407299999999999E-6</v>
      </c>
      <c r="I7963">
        <v>136.6251</v>
      </c>
      <c r="J7963">
        <v>-176.51730000000001</v>
      </c>
      <c r="K7963">
        <v>1.1061799999999999</v>
      </c>
      <c r="L7963">
        <v>133.36609999999999</v>
      </c>
      <c r="M7963">
        <v>0.86005469999999895</v>
      </c>
      <c r="N7963">
        <v>-1.6579529999999999E-2</v>
      </c>
      <c r="O7963">
        <v>0.50993250000000001</v>
      </c>
      <c r="P7963">
        <v>0.93887039999999999</v>
      </c>
      <c r="Q7963">
        <v>0.18473909999999999</v>
      </c>
      <c r="R7963">
        <v>0.29050670000000001</v>
      </c>
      <c r="S7963">
        <v>3.088409</v>
      </c>
      <c r="T7963">
        <v>-0.15132119999999999</v>
      </c>
      <c r="U7963">
        <v>0.4582367</v>
      </c>
      <c r="V7963">
        <v>0.2362078</v>
      </c>
      <c r="W7963">
        <v>0.1919469</v>
      </c>
      <c r="X7963">
        <v>0.95255570000000001</v>
      </c>
      <c r="Y7963">
        <v>0.37744830000000001</v>
      </c>
      <c r="Z7963">
        <v>-2.7209629999999999E-2</v>
      </c>
      <c r="AA7963">
        <v>0.92563079999999998</v>
      </c>
      <c r="AB7963">
        <v>31</v>
      </c>
      <c r="AC7963">
        <v>22.409800000000001</v>
      </c>
      <c r="AD7963">
        <v>-1.10618304073</v>
      </c>
      <c r="AE7963">
        <v>3.2590000000000101</v>
      </c>
      <c r="AF7963">
        <v>8.6052192280975497</v>
      </c>
      <c r="AG7963">
        <v>-1.10618304073</v>
      </c>
      <c r="AH7963">
        <v>20.888558318994999</v>
      </c>
      <c r="AI7963">
        <v>92.803208371998593</v>
      </c>
      <c r="AJ7963">
        <v>67.610371524284503</v>
      </c>
      <c r="AK7963">
        <v>22.618693762666201</v>
      </c>
      <c r="AL7963">
        <v>78.933575646989595</v>
      </c>
      <c r="AM7963">
        <v>76.073132116381998</v>
      </c>
      <c r="AN7963">
        <v>1.00000004940146</v>
      </c>
    </row>
    <row r="7964" spans="1:40" x14ac:dyDescent="0.25">
      <c r="A7964" t="str">
        <f>"20190303170443016"</f>
        <v>20190303170443016</v>
      </c>
      <c r="B7964" t="str">
        <f>"1551603883004055"</f>
        <v>1551603883004055</v>
      </c>
      <c r="C7964" t="s">
        <v>40</v>
      </c>
      <c r="D7964">
        <v>4.5391199999999996</v>
      </c>
      <c r="E7964">
        <v>0.5611199</v>
      </c>
      <c r="F7964" t="s">
        <v>42</v>
      </c>
      <c r="G7964">
        <v>-155.62360000000001</v>
      </c>
      <c r="H7964" s="1">
        <v>-2.4010610000000002E-6</v>
      </c>
      <c r="I7964">
        <v>136.56460000000001</v>
      </c>
      <c r="J7964">
        <v>-176.3313</v>
      </c>
      <c r="K7964">
        <v>1.1061989999999999</v>
      </c>
      <c r="L7964">
        <v>133.4649</v>
      </c>
      <c r="M7964">
        <v>0.8661548</v>
      </c>
      <c r="N7964">
        <v>-1.657842E-2</v>
      </c>
      <c r="O7964">
        <v>0.49950070000000002</v>
      </c>
      <c r="P7964">
        <v>0.94206089999999998</v>
      </c>
      <c r="Q7964">
        <v>0.1850521</v>
      </c>
      <c r="R7964">
        <v>0.27978029999999998</v>
      </c>
      <c r="S7964">
        <v>3.0814509999999999</v>
      </c>
      <c r="T7964">
        <v>-0.16314229999999999</v>
      </c>
      <c r="U7964">
        <v>0.47172550000000002</v>
      </c>
      <c r="V7964">
        <v>0.23552999999999999</v>
      </c>
      <c r="W7964">
        <v>0.1922951</v>
      </c>
      <c r="X7964">
        <v>0.95265330000000004</v>
      </c>
      <c r="Y7964">
        <v>0.36183100000000001</v>
      </c>
      <c r="Z7964">
        <v>-2.9019650000000001E-2</v>
      </c>
      <c r="AA7964">
        <v>0.93179190000000001</v>
      </c>
      <c r="AB7964">
        <v>31</v>
      </c>
      <c r="AC7964">
        <v>20.7076999999999</v>
      </c>
      <c r="AD7964">
        <v>-1.106201401061</v>
      </c>
      <c r="AE7964">
        <v>3.0997000000000101</v>
      </c>
      <c r="AF7964">
        <v>7.6384236847496902</v>
      </c>
      <c r="AG7964">
        <v>-1.106201401061</v>
      </c>
      <c r="AH7964">
        <v>19.4328152437879</v>
      </c>
      <c r="AI7964">
        <v>93.0326187560363</v>
      </c>
      <c r="AJ7964">
        <v>68.541783507522595</v>
      </c>
      <c r="AK7964">
        <v>20.909411905327499</v>
      </c>
      <c r="AL7964">
        <v>78.91324653817</v>
      </c>
      <c r="AM7964">
        <v>76.112913949681797</v>
      </c>
      <c r="AN7964">
        <v>1.00000004819244</v>
      </c>
    </row>
    <row r="7965" spans="1:40" x14ac:dyDescent="0.25">
      <c r="A7965" t="str">
        <f>"20190303170443032"</f>
        <v>20190303170443032</v>
      </c>
      <c r="B7965" t="str">
        <f>"1551603883023575"</f>
        <v>1551603883023575</v>
      </c>
      <c r="C7965" t="s">
        <v>40</v>
      </c>
      <c r="D7965">
        <v>4.5405629999999997</v>
      </c>
      <c r="E7965">
        <v>0.56061559999999999</v>
      </c>
      <c r="F7965" t="s">
        <v>42</v>
      </c>
      <c r="G7965">
        <v>-155.36859999999999</v>
      </c>
      <c r="H7965" s="1">
        <v>-2.5275229999999999E-6</v>
      </c>
      <c r="I7965">
        <v>136.4683</v>
      </c>
      <c r="J7965">
        <v>-176.13120000000001</v>
      </c>
      <c r="K7965">
        <v>1.1062179999999999</v>
      </c>
      <c r="L7965">
        <v>133.5676</v>
      </c>
      <c r="M7965">
        <v>0.87253179999999997</v>
      </c>
      <c r="N7965">
        <v>-1.6576790000000001E-2</v>
      </c>
      <c r="O7965">
        <v>0.48827619999999999</v>
      </c>
      <c r="P7965">
        <v>0.94556280000000004</v>
      </c>
      <c r="Q7965">
        <v>0.1851313</v>
      </c>
      <c r="R7965">
        <v>0.26765220000000001</v>
      </c>
      <c r="S7965">
        <v>3.0851899999999999</v>
      </c>
      <c r="T7965">
        <v>-0.16280539999999999</v>
      </c>
      <c r="U7965">
        <v>0.44203189999999998</v>
      </c>
      <c r="V7965">
        <v>0.23545749999999999</v>
      </c>
      <c r="W7965">
        <v>0.1923868</v>
      </c>
      <c r="X7965">
        <v>0.95265259999999996</v>
      </c>
      <c r="Y7965">
        <v>0.35875359999999901</v>
      </c>
      <c r="Z7965">
        <v>-2.8535999999999999E-2</v>
      </c>
      <c r="AA7965">
        <v>0.93299600000000005</v>
      </c>
      <c r="AB7965">
        <v>31</v>
      </c>
      <c r="AC7965">
        <v>20.762599999999999</v>
      </c>
      <c r="AD7965">
        <v>-1.1062205275229999</v>
      </c>
      <c r="AE7965">
        <v>2.9007000000000001</v>
      </c>
      <c r="AF7965">
        <v>7.5868506236344402</v>
      </c>
      <c r="AG7965">
        <v>-1.1062205275229999</v>
      </c>
      <c r="AH7965">
        <v>19.4808124365811</v>
      </c>
      <c r="AI7965">
        <v>93.028920055022596</v>
      </c>
      <c r="AJ7965">
        <v>68.721450710356606</v>
      </c>
      <c r="AK7965">
        <v>20.935283122759699</v>
      </c>
      <c r="AL7965">
        <v>78.907891395343299</v>
      </c>
      <c r="AM7965">
        <v>76.117013432308696</v>
      </c>
      <c r="AN7965">
        <v>0.99999994570362305</v>
      </c>
    </row>
    <row r="7966" spans="1:40" x14ac:dyDescent="0.25">
      <c r="A7966" t="str">
        <f>"20190303170443048"</f>
        <v>20190303170443048</v>
      </c>
      <c r="B7966" t="str">
        <f>"1551603883044071"</f>
        <v>1551603883044071</v>
      </c>
      <c r="C7966" t="s">
        <v>40</v>
      </c>
      <c r="D7966">
        <v>4.5290879999999998</v>
      </c>
      <c r="E7966">
        <v>0.55487799999999998</v>
      </c>
      <c r="F7966" t="s">
        <v>42</v>
      </c>
      <c r="G7966">
        <v>-155.1711</v>
      </c>
      <c r="H7966" s="1">
        <v>-2.6379950000000001E-6</v>
      </c>
      <c r="I7966">
        <v>136.32339999999999</v>
      </c>
      <c r="J7966">
        <v>-175.92850000000001</v>
      </c>
      <c r="K7966">
        <v>1.1062350000000001</v>
      </c>
      <c r="L7966">
        <v>133.66810000000001</v>
      </c>
      <c r="M7966">
        <v>0.87880559999999996</v>
      </c>
      <c r="N7966">
        <v>-1.657484E-2</v>
      </c>
      <c r="O7966">
        <v>0.47689189999999998</v>
      </c>
      <c r="P7966">
        <v>0.94897580000000004</v>
      </c>
      <c r="Q7966">
        <v>0.18493000000000001</v>
      </c>
      <c r="R7966">
        <v>0.25543300000000002</v>
      </c>
      <c r="S7966">
        <v>3.0896300000000001</v>
      </c>
      <c r="T7966">
        <v>-0.16306199999999901</v>
      </c>
      <c r="U7966">
        <v>0.40621950000000001</v>
      </c>
      <c r="V7966">
        <v>0.23536290000000001</v>
      </c>
      <c r="W7966">
        <v>0.1921987</v>
      </c>
      <c r="X7966">
        <v>0.95271399999999995</v>
      </c>
      <c r="Y7966">
        <v>0.35742770000000001</v>
      </c>
      <c r="Z7966">
        <v>-2.8224490000000001E-2</v>
      </c>
      <c r="AA7966">
        <v>0.93351419999999996</v>
      </c>
      <c r="AB7966">
        <v>31</v>
      </c>
      <c r="AC7966">
        <v>20.757400000000001</v>
      </c>
      <c r="AD7966">
        <v>-1.1062376379950001</v>
      </c>
      <c r="AE7966">
        <v>2.65529999999998</v>
      </c>
      <c r="AF7966">
        <v>7.5454974798154497</v>
      </c>
      <c r="AG7966">
        <v>-1.1062376379950001</v>
      </c>
      <c r="AH7966">
        <v>19.456321298423799</v>
      </c>
      <c r="AI7966">
        <v>93.0344442424108</v>
      </c>
      <c r="AJ7966">
        <v>68.802847000356095</v>
      </c>
      <c r="AK7966">
        <v>20.897529337151699</v>
      </c>
      <c r="AL7966">
        <v>78.918874301583898</v>
      </c>
      <c r="AM7966">
        <v>76.123235378048307</v>
      </c>
      <c r="AN7966">
        <v>1.0000000003870499</v>
      </c>
    </row>
    <row r="7967" spans="1:40" x14ac:dyDescent="0.25">
      <c r="A7967" t="str">
        <f>"20190303170443064"</f>
        <v>20190303170443064</v>
      </c>
      <c r="B7967" t="str">
        <f>"1551603883053831"</f>
        <v>1551603883053831</v>
      </c>
      <c r="C7967" t="s">
        <v>40</v>
      </c>
      <c r="D7967">
        <v>4.5033570000000003</v>
      </c>
      <c r="E7967">
        <v>0.55423369999999905</v>
      </c>
      <c r="F7967" t="s">
        <v>42</v>
      </c>
      <c r="G7967">
        <v>-156.0309</v>
      </c>
      <c r="H7967" s="1">
        <v>-2.269314E-6</v>
      </c>
      <c r="I7967">
        <v>136.32239999999999</v>
      </c>
      <c r="J7967">
        <v>-175.72890000000001</v>
      </c>
      <c r="K7967">
        <v>1.1062590000000001</v>
      </c>
      <c r="L7967">
        <v>133.76390000000001</v>
      </c>
      <c r="M7967">
        <v>0.88480539999999996</v>
      </c>
      <c r="N7967">
        <v>-1.6572799999999999E-2</v>
      </c>
      <c r="O7967">
        <v>0.46566580000000002</v>
      </c>
      <c r="P7967">
        <v>0.95198709999999997</v>
      </c>
      <c r="Q7967">
        <v>0.18497549999999999</v>
      </c>
      <c r="R7967">
        <v>0.2439355</v>
      </c>
      <c r="S7967">
        <v>3.0839690000000002</v>
      </c>
      <c r="T7967">
        <v>-0.1714572</v>
      </c>
      <c r="U7967">
        <v>0.41140749999999998</v>
      </c>
      <c r="V7967">
        <v>0.23474519999999999</v>
      </c>
      <c r="W7967">
        <v>0.1922787</v>
      </c>
      <c r="X7967">
        <v>0.95285019999999998</v>
      </c>
      <c r="Y7967">
        <v>0.34366609999999997</v>
      </c>
      <c r="Z7967">
        <v>-2.9166040000000001E-2</v>
      </c>
      <c r="AA7967">
        <v>0.93863890000000005</v>
      </c>
      <c r="AB7967">
        <v>31</v>
      </c>
      <c r="AC7967">
        <v>19.698</v>
      </c>
      <c r="AD7967">
        <v>-1.1062612693139999</v>
      </c>
      <c r="AE7967">
        <v>2.55849999999998</v>
      </c>
      <c r="AF7967">
        <v>6.8884933559438704</v>
      </c>
      <c r="AG7967">
        <v>-1.1062612693139999</v>
      </c>
      <c r="AH7967">
        <v>18.565276687697601</v>
      </c>
      <c r="AI7967">
        <v>93.197563483379895</v>
      </c>
      <c r="AJ7967">
        <v>69.643041905642903</v>
      </c>
      <c r="AK7967">
        <v>19.832918423712499</v>
      </c>
      <c r="AL7967">
        <v>78.914203017029195</v>
      </c>
      <c r="AM7967">
        <v>76.160154529582798</v>
      </c>
      <c r="AN7967">
        <v>0.99999995551838305</v>
      </c>
    </row>
    <row r="7968" spans="1:40" x14ac:dyDescent="0.25">
      <c r="A7968" t="str">
        <f>"20190303170443082"</f>
        <v>20190303170443082</v>
      </c>
      <c r="B7968" t="str">
        <f>"1551603883073351"</f>
        <v>1551603883073351</v>
      </c>
      <c r="C7968" t="s">
        <v>40</v>
      </c>
      <c r="D7968">
        <v>4.4803989999999896</v>
      </c>
      <c r="E7968">
        <v>0.55253680000000005</v>
      </c>
      <c r="F7968" t="s">
        <v>42</v>
      </c>
      <c r="G7968">
        <v>-155.9213</v>
      </c>
      <c r="H7968" s="1">
        <v>-2.3386579999999998E-6</v>
      </c>
      <c r="I7968">
        <v>136.19640000000001</v>
      </c>
      <c r="J7968">
        <v>-175.50880000000001</v>
      </c>
      <c r="K7968">
        <v>1.1062920000000001</v>
      </c>
      <c r="L7968">
        <v>133.86619999999999</v>
      </c>
      <c r="M7968">
        <v>0.89122080000000004</v>
      </c>
      <c r="N7968">
        <v>-1.6570359999999999E-2</v>
      </c>
      <c r="O7968">
        <v>0.45326689999999997</v>
      </c>
      <c r="P7968">
        <v>0.95487889999999997</v>
      </c>
      <c r="Q7968">
        <v>0.1855675</v>
      </c>
      <c r="R7968">
        <v>0.23188639999999999</v>
      </c>
      <c r="S7968">
        <v>3.0876459999999999</v>
      </c>
      <c r="T7968">
        <v>-0.17244590000000001</v>
      </c>
      <c r="U7968">
        <v>0.37918089999999999</v>
      </c>
      <c r="V7968">
        <v>0.2334377</v>
      </c>
      <c r="W7968">
        <v>0.1929324</v>
      </c>
      <c r="X7968">
        <v>0.95303930000000003</v>
      </c>
      <c r="Y7968">
        <v>0.34034170000000002</v>
      </c>
      <c r="Z7968">
        <v>-2.885277E-2</v>
      </c>
      <c r="AA7968">
        <v>0.939859</v>
      </c>
      <c r="AB7968">
        <v>31</v>
      </c>
      <c r="AC7968">
        <v>19.587499999999999</v>
      </c>
      <c r="AD7968">
        <v>-1.106294338658</v>
      </c>
      <c r="AE7968">
        <v>2.3302000000000098</v>
      </c>
      <c r="AF7968">
        <v>6.7812468198131599</v>
      </c>
      <c r="AG7968">
        <v>-1.106294338658</v>
      </c>
      <c r="AH7968">
        <v>18.457475619477201</v>
      </c>
      <c r="AI7968">
        <v>93.220097512274506</v>
      </c>
      <c r="AJ7968">
        <v>69.826749217603194</v>
      </c>
      <c r="AK7968">
        <v>19.6948623208838</v>
      </c>
      <c r="AL7968">
        <v>78.8760344763636</v>
      </c>
      <c r="AM7968">
        <v>76.236928042466602</v>
      </c>
      <c r="AN7968">
        <v>0.99999998904776999</v>
      </c>
    </row>
    <row r="7969" spans="1:40" x14ac:dyDescent="0.25">
      <c r="A7969" t="str">
        <f>"20190303170443101"</f>
        <v>20190303170443101</v>
      </c>
      <c r="B7969" t="str">
        <f>"1551603883093847"</f>
        <v>1551603883093847</v>
      </c>
      <c r="C7969" t="s">
        <v>40</v>
      </c>
      <c r="D7969">
        <v>4.4976560000000001</v>
      </c>
      <c r="E7969">
        <v>0.55106540000000004</v>
      </c>
      <c r="F7969" t="s">
        <v>42</v>
      </c>
      <c r="G7969">
        <v>-155.9897</v>
      </c>
      <c r="H7969" s="1">
        <v>-2.3262720000000001E-6</v>
      </c>
      <c r="I7969">
        <v>136.10069999999999</v>
      </c>
      <c r="J7969">
        <v>-175.27189999999999</v>
      </c>
      <c r="K7969">
        <v>1.1063240000000001</v>
      </c>
      <c r="L7969">
        <v>133.97210000000001</v>
      </c>
      <c r="M7969">
        <v>0.89789140000000001</v>
      </c>
      <c r="N7969">
        <v>-1.6567430000000001E-2</v>
      </c>
      <c r="O7969">
        <v>0.4399052</v>
      </c>
      <c r="P7969">
        <v>0.9578738</v>
      </c>
      <c r="Q7969">
        <v>0.18580070000000001</v>
      </c>
      <c r="R7969">
        <v>0.21898860000000001</v>
      </c>
      <c r="S7969">
        <v>3.089874</v>
      </c>
      <c r="T7969">
        <v>-0.17512659999999999</v>
      </c>
      <c r="U7969">
        <v>0.35372920000000002</v>
      </c>
      <c r="V7969">
        <v>0.2320284</v>
      </c>
      <c r="W7969">
        <v>0.19323270000000001</v>
      </c>
      <c r="X7969">
        <v>0.95332260000000002</v>
      </c>
      <c r="Y7969">
        <v>0.33399649999999997</v>
      </c>
      <c r="Z7969">
        <v>-2.8714320000000002E-2</v>
      </c>
      <c r="AA7969">
        <v>0.9421368</v>
      </c>
      <c r="AB7969">
        <v>31</v>
      </c>
      <c r="AC7969">
        <v>19.2821999999999</v>
      </c>
      <c r="AD7969">
        <v>-1.106326326272</v>
      </c>
      <c r="AE7969">
        <v>2.1285999999999698</v>
      </c>
      <c r="AF7969">
        <v>6.5506854088978201</v>
      </c>
      <c r="AG7969">
        <v>-1.106326326272</v>
      </c>
      <c r="AH7969">
        <v>18.1930390565654</v>
      </c>
      <c r="AI7969">
        <v>93.274583007981093</v>
      </c>
      <c r="AJ7969">
        <v>70.197802235636303</v>
      </c>
      <c r="AK7969">
        <v>19.368069273426901</v>
      </c>
      <c r="AL7969">
        <v>78.858498889718504</v>
      </c>
      <c r="AM7969">
        <v>76.320799000414198</v>
      </c>
      <c r="AN7969">
        <v>1.0000000172132999</v>
      </c>
    </row>
    <row r="7970" spans="1:40" x14ac:dyDescent="0.25">
      <c r="A7970" t="str">
        <f>"20190303170443117"</f>
        <v>20190303170443117</v>
      </c>
      <c r="B7970" t="str">
        <f>"1551603883103608"</f>
        <v>1551603883103608</v>
      </c>
      <c r="C7970" t="s">
        <v>40</v>
      </c>
      <c r="D7970">
        <v>4.4778390000000003</v>
      </c>
      <c r="E7970">
        <v>0.55106540000000004</v>
      </c>
      <c r="F7970" t="s">
        <v>42</v>
      </c>
      <c r="G7970">
        <v>-155.86000000000001</v>
      </c>
      <c r="H7970" s="1">
        <v>-2.3998709999999999E-6</v>
      </c>
      <c r="I7970">
        <v>135.99969999999999</v>
      </c>
      <c r="J7970">
        <v>-175.0599</v>
      </c>
      <c r="K7970">
        <v>1.1063499999999999</v>
      </c>
      <c r="L7970">
        <v>134.0635</v>
      </c>
      <c r="M7970">
        <v>0.90366299999999999</v>
      </c>
      <c r="N7970">
        <v>-1.6564639999999999E-2</v>
      </c>
      <c r="O7970">
        <v>0.42792370000000002</v>
      </c>
      <c r="P7970">
        <v>0.96046730000000002</v>
      </c>
      <c r="Q7970">
        <v>0.18620629999999999</v>
      </c>
      <c r="R7970">
        <v>0.20695330000000001</v>
      </c>
      <c r="S7970">
        <v>3.0922700000000001</v>
      </c>
      <c r="T7970">
        <v>-0.17623420000000001</v>
      </c>
      <c r="U7970">
        <v>0.32299800000000001</v>
      </c>
      <c r="V7970">
        <v>0.23127819999999999</v>
      </c>
      <c r="W7970">
        <v>0.19367760000000001</v>
      </c>
      <c r="X7970">
        <v>0.9534146</v>
      </c>
      <c r="Y7970">
        <v>0.3307949</v>
      </c>
      <c r="Z7970">
        <v>-2.841376E-2</v>
      </c>
      <c r="AA7970">
        <v>0.94327490000000003</v>
      </c>
      <c r="AB7970">
        <v>31</v>
      </c>
      <c r="AC7970">
        <v>19.1998999999999</v>
      </c>
      <c r="AD7970">
        <v>-1.1063523998710001</v>
      </c>
      <c r="AE7970">
        <v>1.9361999999999799</v>
      </c>
      <c r="AF7970">
        <v>6.4461194587041302</v>
      </c>
      <c r="AG7970">
        <v>-1.1063523998710001</v>
      </c>
      <c r="AH7970">
        <v>18.1217151591126</v>
      </c>
      <c r="AI7970">
        <v>93.292053555039104</v>
      </c>
      <c r="AJ7970">
        <v>70.418894737879299</v>
      </c>
      <c r="AK7970">
        <v>19.265851448005002</v>
      </c>
      <c r="AL7970">
        <v>78.832517087533404</v>
      </c>
      <c r="AM7970">
        <v>76.364639757673601</v>
      </c>
      <c r="AN7970">
        <v>1.00000000901508</v>
      </c>
    </row>
    <row r="7971" spans="1:40" x14ac:dyDescent="0.25">
      <c r="A7971" t="str">
        <f>"20190303170443130"</f>
        <v>20190303170443130</v>
      </c>
      <c r="B7971" t="str">
        <f>"1551603883124104"</f>
        <v>1551603883124104</v>
      </c>
      <c r="C7971" t="s">
        <v>40</v>
      </c>
      <c r="D7971">
        <v>4.4910889999999997</v>
      </c>
      <c r="E7971">
        <v>0.54251830000000001</v>
      </c>
      <c r="F7971" t="s">
        <v>42</v>
      </c>
      <c r="G7971">
        <v>-155.4734</v>
      </c>
      <c r="H7971" s="1">
        <v>-2.5903399999999998E-6</v>
      </c>
      <c r="I7971">
        <v>135.86070000000001</v>
      </c>
      <c r="J7971">
        <v>-174.87389999999999</v>
      </c>
      <c r="K7971">
        <v>1.106379</v>
      </c>
      <c r="L7971">
        <v>134.1405</v>
      </c>
      <c r="M7971">
        <v>0.9085683</v>
      </c>
      <c r="N7971">
        <v>-1.6561929999999999E-2</v>
      </c>
      <c r="O7971">
        <v>0.4174079</v>
      </c>
      <c r="P7971">
        <v>0.96218499999999996</v>
      </c>
      <c r="Q7971">
        <v>0.18861230000000001</v>
      </c>
      <c r="R7971">
        <v>0.1965346</v>
      </c>
      <c r="S7971">
        <v>3.0961759999999998</v>
      </c>
      <c r="T7971">
        <v>-0.174889299999999</v>
      </c>
      <c r="U7971">
        <v>0.28410340000000001</v>
      </c>
      <c r="V7971">
        <v>0.23042499999999999</v>
      </c>
      <c r="W7971">
        <v>0.19611990000000001</v>
      </c>
      <c r="X7971">
        <v>0.95312189999999997</v>
      </c>
      <c r="Y7971">
        <v>0.33172560000000001</v>
      </c>
      <c r="Z7971">
        <v>-2.784E-2</v>
      </c>
      <c r="AA7971">
        <v>0.94296500000000005</v>
      </c>
      <c r="AB7971">
        <v>31</v>
      </c>
      <c r="AC7971">
        <v>19.400499999999901</v>
      </c>
      <c r="AD7971">
        <v>-1.1063815903400001</v>
      </c>
      <c r="AE7971">
        <v>1.7202</v>
      </c>
      <c r="AF7971">
        <v>6.5148764670466397</v>
      </c>
      <c r="AG7971">
        <v>-1.1063815903400001</v>
      </c>
      <c r="AH7971">
        <v>18.288206898630701</v>
      </c>
      <c r="AI7971">
        <v>93.261698251279796</v>
      </c>
      <c r="AJ7971">
        <v>70.392385091473002</v>
      </c>
      <c r="AK7971">
        <v>19.4454675225731</v>
      </c>
      <c r="AL7971">
        <v>78.689847841580502</v>
      </c>
      <c r="AM7971">
        <v>76.409055796131298</v>
      </c>
      <c r="AN7971">
        <v>1.0000000260302999</v>
      </c>
    </row>
    <row r="7972" spans="1:40" x14ac:dyDescent="0.25">
      <c r="A7972" t="str">
        <f>"20190303170443146"</f>
        <v>20190303170443146</v>
      </c>
      <c r="B7972" t="str">
        <f>"1551603883133863"</f>
        <v>1551603883133863</v>
      </c>
      <c r="C7972" t="s">
        <v>40</v>
      </c>
      <c r="D7972">
        <v>4.5161629999999997</v>
      </c>
      <c r="E7972">
        <v>0.54214819999999997</v>
      </c>
      <c r="F7972" t="s">
        <v>42</v>
      </c>
      <c r="G7972">
        <v>-154.89779999999999</v>
      </c>
      <c r="H7972" s="1">
        <v>-2.7772229999999999E-6</v>
      </c>
      <c r="I7972">
        <v>136.19929999999999</v>
      </c>
      <c r="J7972">
        <v>-174.67859999999999</v>
      </c>
      <c r="K7972">
        <v>1.1064080000000001</v>
      </c>
      <c r="L7972">
        <v>134.21850000000001</v>
      </c>
      <c r="M7972">
        <v>0.91356269999999995</v>
      </c>
      <c r="N7972">
        <v>-1.6558940000000001E-2</v>
      </c>
      <c r="O7972">
        <v>0.40636070000000002</v>
      </c>
      <c r="P7972">
        <v>0.96426080000000003</v>
      </c>
      <c r="Q7972">
        <v>0.18966189999999999</v>
      </c>
      <c r="R7972">
        <v>0.18501200000000001</v>
      </c>
      <c r="S7972">
        <v>3.0864259999999999</v>
      </c>
      <c r="T7972">
        <v>-0.17094289999999901</v>
      </c>
      <c r="U7972">
        <v>0.31809999999999999</v>
      </c>
      <c r="V7972">
        <v>0.23021230000000001</v>
      </c>
      <c r="W7972">
        <v>0.197184</v>
      </c>
      <c r="X7972">
        <v>0.95295370000000001</v>
      </c>
      <c r="Y7972">
        <v>0.3097316</v>
      </c>
      <c r="Z7972">
        <v>-2.6035450000000002E-2</v>
      </c>
      <c r="AA7972">
        <v>0.95046750000000002</v>
      </c>
      <c r="AB7972">
        <v>31</v>
      </c>
      <c r="AC7972">
        <v>19.780799999999999</v>
      </c>
      <c r="AD7972">
        <v>-1.1064107772229901</v>
      </c>
      <c r="AE7972">
        <v>1.9807999999999799</v>
      </c>
      <c r="AF7972">
        <v>6.2101727347294702</v>
      </c>
      <c r="AG7972">
        <v>-1.1064107772229901</v>
      </c>
      <c r="AH7972">
        <v>18.820212826912599</v>
      </c>
      <c r="AI7972">
        <v>93.195369904692001</v>
      </c>
      <c r="AJ7972">
        <v>71.738475900256503</v>
      </c>
      <c r="AK7972">
        <v>19.8492015218098</v>
      </c>
      <c r="AL7972">
        <v>78.627664809208895</v>
      </c>
      <c r="AM7972">
        <v>76.418828610530596</v>
      </c>
      <c r="AN7972">
        <v>0.99999999363548997</v>
      </c>
    </row>
    <row r="7973" spans="1:40" x14ac:dyDescent="0.25">
      <c r="A7973" t="str">
        <f>"20190303170443161"</f>
        <v>20190303170443161</v>
      </c>
      <c r="B7973" t="str">
        <f>"1551603883153382"</f>
        <v>1551603883153382</v>
      </c>
      <c r="C7973" t="s">
        <v>40</v>
      </c>
      <c r="D7973">
        <v>4.3977740000000001</v>
      </c>
      <c r="E7973">
        <v>0.53342279999999997</v>
      </c>
      <c r="F7973" t="s">
        <v>42</v>
      </c>
      <c r="G7973">
        <v>-154.04230000000001</v>
      </c>
      <c r="H7973" s="1">
        <v>-3.1589029999999998E-6</v>
      </c>
      <c r="I7973">
        <v>136.11660000000001</v>
      </c>
      <c r="J7973">
        <v>-174.4845</v>
      </c>
      <c r="K7973">
        <v>1.1064339999999999</v>
      </c>
      <c r="L7973">
        <v>134.2937</v>
      </c>
      <c r="M7973">
        <v>0.91837930000000001</v>
      </c>
      <c r="N7973">
        <v>-1.6555919999999998E-2</v>
      </c>
      <c r="O7973">
        <v>0.39535490000000001</v>
      </c>
      <c r="P7973">
        <v>0.9662541</v>
      </c>
      <c r="Q7973">
        <v>0.19060640000000001</v>
      </c>
      <c r="R7973">
        <v>0.17327000000000001</v>
      </c>
      <c r="S7973">
        <v>3.0892490000000001</v>
      </c>
      <c r="T7973">
        <v>-0.16562879999999899</v>
      </c>
      <c r="U7973">
        <v>0.28414919999999999</v>
      </c>
      <c r="V7973">
        <v>0.2303046</v>
      </c>
      <c r="W7973">
        <v>0.198131</v>
      </c>
      <c r="X7973">
        <v>0.95273490000000005</v>
      </c>
      <c r="Y7973">
        <v>0.30880930000000001</v>
      </c>
      <c r="Z7973">
        <v>-2.471481E-2</v>
      </c>
      <c r="AA7973">
        <v>0.95080290000000001</v>
      </c>
      <c r="AB7973">
        <v>31</v>
      </c>
      <c r="AC7973">
        <v>20.4421999999999</v>
      </c>
      <c r="AD7973">
        <v>-1.106437158903</v>
      </c>
      <c r="AE7973">
        <v>1.8229</v>
      </c>
      <c r="AF7973">
        <v>6.3901158838167698</v>
      </c>
      <c r="AG7973">
        <v>-1.106437158903</v>
      </c>
      <c r="AH7973">
        <v>19.440554282237098</v>
      </c>
      <c r="AI7973">
        <v>93.094849968584597</v>
      </c>
      <c r="AJ7973">
        <v>71.804290614936093</v>
      </c>
      <c r="AK7973">
        <v>20.493729162741801</v>
      </c>
      <c r="AL7973">
        <v>78.572313135016898</v>
      </c>
      <c r="AM7973">
        <v>76.410580761995107</v>
      </c>
      <c r="AN7973">
        <v>0.999999945810083</v>
      </c>
    </row>
    <row r="7974" spans="1:40" x14ac:dyDescent="0.25">
      <c r="A7974" t="str">
        <f>"20190303170443173"</f>
        <v>20190303170443173</v>
      </c>
      <c r="B7974" t="str">
        <f>"1551603883163143"</f>
        <v>1551603883163143</v>
      </c>
      <c r="C7974" t="s">
        <v>40</v>
      </c>
      <c r="D7974">
        <v>4.4833449999999999</v>
      </c>
      <c r="E7974">
        <v>0.53293029999999997</v>
      </c>
      <c r="F7974" t="s">
        <v>42</v>
      </c>
      <c r="G7974">
        <v>-152.49449999999999</v>
      </c>
      <c r="H7974" s="1">
        <v>-3.7472969999999998E-6</v>
      </c>
      <c r="I7974">
        <v>136.54300000000001</v>
      </c>
      <c r="J7974">
        <v>-174.3203</v>
      </c>
      <c r="K7974">
        <v>1.106457</v>
      </c>
      <c r="L7974">
        <v>134.35550000000001</v>
      </c>
      <c r="M7974">
        <v>0.92233580000000004</v>
      </c>
      <c r="N7974">
        <v>-1.6553379999999999E-2</v>
      </c>
      <c r="O7974">
        <v>0.38603480000000001</v>
      </c>
      <c r="P7974">
        <v>0.96764950000000005</v>
      </c>
      <c r="Q7974">
        <v>0.19095019999999999</v>
      </c>
      <c r="R7974">
        <v>0.16490299999999999</v>
      </c>
      <c r="S7974">
        <v>3.0788880000000001</v>
      </c>
      <c r="T7974">
        <v>-0.15491529999999901</v>
      </c>
      <c r="U7974">
        <v>0.31492609999999999</v>
      </c>
      <c r="V7974">
        <v>0.22887379999999999</v>
      </c>
      <c r="W7974">
        <v>0.19853860000000001</v>
      </c>
      <c r="X7974">
        <v>0.95299489999999998</v>
      </c>
      <c r="Y7974">
        <v>0.289549</v>
      </c>
      <c r="Z7974">
        <v>-2.2010160000000001E-2</v>
      </c>
      <c r="AA7974">
        <v>0.95691009999999999</v>
      </c>
      <c r="AB7974">
        <v>30</v>
      </c>
      <c r="AC7974">
        <v>21.825800000000001</v>
      </c>
      <c r="AD7974">
        <v>-1.1064607472970001</v>
      </c>
      <c r="AE7974">
        <v>2.1875</v>
      </c>
      <c r="AF7974">
        <v>6.3925208784109904</v>
      </c>
      <c r="AG7974">
        <v>-1.1064607472970001</v>
      </c>
      <c r="AH7974">
        <v>20.924798241317198</v>
      </c>
      <c r="AI7974">
        <v>92.895022211139306</v>
      </c>
      <c r="AJ7974">
        <v>73.012100524829293</v>
      </c>
      <c r="AK7974">
        <v>21.907436180577101</v>
      </c>
      <c r="AL7974">
        <v>78.548487076002999</v>
      </c>
      <c r="AM7974">
        <v>76.495454333091701</v>
      </c>
      <c r="AN7974">
        <v>1.0000000357212</v>
      </c>
    </row>
    <row r="7975" spans="1:40" x14ac:dyDescent="0.25">
      <c r="A7975" t="str">
        <f>"20190303170443188"</f>
        <v>20190303170443188</v>
      </c>
      <c r="B7975" t="str">
        <f>"1551603883173879"</f>
        <v>1551603883173879</v>
      </c>
      <c r="C7975" t="s">
        <v>40</v>
      </c>
      <c r="D7975">
        <v>4.4638960000000001</v>
      </c>
      <c r="E7975">
        <v>0.53293029999999997</v>
      </c>
      <c r="F7975" t="s">
        <v>42</v>
      </c>
      <c r="G7975">
        <v>-151.7321</v>
      </c>
      <c r="H7975" s="1">
        <v>-4.0851110000000002E-6</v>
      </c>
      <c r="I7975">
        <v>136.48220000000001</v>
      </c>
      <c r="J7975">
        <v>-174.13419999999999</v>
      </c>
      <c r="K7975">
        <v>1.106482</v>
      </c>
      <c r="L7975">
        <v>134.42240000000001</v>
      </c>
      <c r="M7975">
        <v>0.92668589999999995</v>
      </c>
      <c r="N7975">
        <v>-1.6550080000000002E-2</v>
      </c>
      <c r="O7975">
        <v>0.37547219999999998</v>
      </c>
      <c r="P7975">
        <v>0.96937010000000001</v>
      </c>
      <c r="Q7975">
        <v>0.19044929999999999</v>
      </c>
      <c r="R7975">
        <v>0.15508339999999901</v>
      </c>
      <c r="S7975">
        <v>3.0806429999999998</v>
      </c>
      <c r="T7975">
        <v>-0.15090219999999999</v>
      </c>
      <c r="U7975">
        <v>0.29005429999999999</v>
      </c>
      <c r="V7975">
        <v>0.22765379999999999</v>
      </c>
      <c r="W7975">
        <v>0.19809650000000001</v>
      </c>
      <c r="X7975">
        <v>0.95337899999999998</v>
      </c>
      <c r="Y7975">
        <v>0.28636630000000002</v>
      </c>
      <c r="Z7975">
        <v>-2.09394E-2</v>
      </c>
      <c r="AA7975">
        <v>0.95789139999999995</v>
      </c>
      <c r="AB7975">
        <v>30</v>
      </c>
      <c r="AC7975">
        <v>22.402099999999901</v>
      </c>
      <c r="AD7975">
        <v>-1.1064860851110001</v>
      </c>
      <c r="AE7975">
        <v>2.0597999999999899</v>
      </c>
      <c r="AF7975">
        <v>6.4877740325908002</v>
      </c>
      <c r="AG7975">
        <v>-1.1064860851110001</v>
      </c>
      <c r="AH7975">
        <v>21.4840843964183</v>
      </c>
      <c r="AI7975">
        <v>92.822601583663001</v>
      </c>
      <c r="AJ7975">
        <v>73.196709001583699</v>
      </c>
      <c r="AK7975">
        <v>22.469566210920199</v>
      </c>
      <c r="AL7975">
        <v>78.574330402490205</v>
      </c>
      <c r="AM7975">
        <v>76.570039842731603</v>
      </c>
      <c r="AN7975">
        <v>0.99999999680384399</v>
      </c>
    </row>
    <row r="7976" spans="1:40" x14ac:dyDescent="0.25">
      <c r="A7976" t="str">
        <f>"20190303170443204"</f>
        <v>20190303170443204</v>
      </c>
      <c r="B7976" t="str">
        <f>"1551603883193399"</f>
        <v>1551603883193399</v>
      </c>
      <c r="C7976" t="s">
        <v>40</v>
      </c>
      <c r="D7976">
        <v>4.4412890000000003</v>
      </c>
      <c r="E7976">
        <v>0.55896029999999997</v>
      </c>
      <c r="F7976" t="s">
        <v>42</v>
      </c>
      <c r="G7976">
        <v>-151.6722</v>
      </c>
      <c r="H7976" s="1">
        <v>-4.1441739999999998E-6</v>
      </c>
      <c r="I7976">
        <v>136.29409999999999</v>
      </c>
      <c r="J7976">
        <v>-173.92769999999999</v>
      </c>
      <c r="K7976">
        <v>1.1065069999999999</v>
      </c>
      <c r="L7976">
        <v>134.49420000000001</v>
      </c>
      <c r="M7976">
        <v>0.93135400000000002</v>
      </c>
      <c r="N7976">
        <v>-1.6546310000000002E-2</v>
      </c>
      <c r="O7976">
        <v>0.36373879999999997</v>
      </c>
      <c r="P7976">
        <v>0.97105189999999997</v>
      </c>
      <c r="Q7976">
        <v>0.19039130000000001</v>
      </c>
      <c r="R7976">
        <v>0.14425479999999999</v>
      </c>
      <c r="S7976">
        <v>3.083542</v>
      </c>
      <c r="T7976">
        <v>-0.15189659999999999</v>
      </c>
      <c r="U7976">
        <v>0.25694270000000002</v>
      </c>
      <c r="V7976">
        <v>0.22624030000000001</v>
      </c>
      <c r="W7976">
        <v>0.19810440000000001</v>
      </c>
      <c r="X7976">
        <v>0.95371379999999994</v>
      </c>
      <c r="Y7976">
        <v>0.28455510000000001</v>
      </c>
      <c r="Z7976">
        <v>-2.0708939999999999E-2</v>
      </c>
      <c r="AA7976">
        <v>0.95843599999999995</v>
      </c>
      <c r="AB7976">
        <v>30</v>
      </c>
      <c r="AC7976">
        <v>22.255499999999898</v>
      </c>
      <c r="AD7976">
        <v>-1.1065111441740001</v>
      </c>
      <c r="AE7976">
        <v>1.7998999999999701</v>
      </c>
      <c r="AF7976">
        <v>6.4039963690402102</v>
      </c>
      <c r="AG7976">
        <v>-1.1065111441740001</v>
      </c>
      <c r="AH7976">
        <v>21.332979354856899</v>
      </c>
      <c r="AI7976">
        <v>92.844027417486402</v>
      </c>
      <c r="AJ7976">
        <v>73.290647495738597</v>
      </c>
      <c r="AK7976">
        <v>22.300931472959</v>
      </c>
      <c r="AL7976">
        <v>78.573868876533894</v>
      </c>
      <c r="AM7976">
        <v>76.654950965433201</v>
      </c>
      <c r="AN7976">
        <v>1.0000000194769401</v>
      </c>
    </row>
    <row r="7977" spans="1:40" x14ac:dyDescent="0.25">
      <c r="A7977" t="str">
        <f>"20190303170443219"</f>
        <v>20190303170443219</v>
      </c>
      <c r="B7977" t="str">
        <f>"1551603883213895"</f>
        <v>1551603883213895</v>
      </c>
      <c r="C7977" t="s">
        <v>40</v>
      </c>
      <c r="D7977">
        <v>4.3993310000000001</v>
      </c>
      <c r="E7977">
        <v>0.55989549999999999</v>
      </c>
      <c r="F7977" t="s">
        <v>42</v>
      </c>
      <c r="G7977">
        <v>-139.27799999999999</v>
      </c>
      <c r="H7977" s="1">
        <v>-1.5588319999999901E-6</v>
      </c>
      <c r="I7977">
        <v>134.62860000000001</v>
      </c>
      <c r="J7977">
        <v>-173.72460000000001</v>
      </c>
      <c r="K7977">
        <v>1.1065339999999999</v>
      </c>
      <c r="L7977">
        <v>134.56219999999999</v>
      </c>
      <c r="M7977">
        <v>0.93578450000000002</v>
      </c>
      <c r="N7977">
        <v>-1.6542359999999999E-2</v>
      </c>
      <c r="O7977">
        <v>0.35218450000000001</v>
      </c>
      <c r="P7977">
        <v>0.97231619999999996</v>
      </c>
      <c r="Q7977">
        <v>0.19137750000000001</v>
      </c>
      <c r="R7977">
        <v>0.13407369999999999</v>
      </c>
      <c r="S7977">
        <v>3.1071010000000001</v>
      </c>
      <c r="T7977">
        <v>-9.9222539999999998E-2</v>
      </c>
      <c r="U7977">
        <v>1.205444E-2</v>
      </c>
      <c r="V7977">
        <v>0.2243791</v>
      </c>
      <c r="W7977">
        <v>0.19917180000000001</v>
      </c>
      <c r="X7977">
        <v>0.95393119999999998</v>
      </c>
      <c r="Y7977">
        <v>0.34829690000000002</v>
      </c>
      <c r="Z7977">
        <v>-1.357468E-2</v>
      </c>
      <c r="AA7977">
        <v>0.93728599999999995</v>
      </c>
      <c r="AB7977">
        <v>30</v>
      </c>
      <c r="AC7977">
        <v>34.446599999999997</v>
      </c>
      <c r="AD7977">
        <v>-1.1065355588319901</v>
      </c>
      <c r="AE7977">
        <v>6.6400000000015696E-2</v>
      </c>
      <c r="AF7977">
        <v>12.058629756586701</v>
      </c>
      <c r="AG7977">
        <v>-1.1065355588319901</v>
      </c>
      <c r="AH7977">
        <v>32.229133594446502</v>
      </c>
      <c r="AI7977">
        <v>91.841785843701501</v>
      </c>
      <c r="AJ7977">
        <v>69.4865087918743</v>
      </c>
      <c r="AK7977">
        <v>34.428941674092698</v>
      </c>
      <c r="AL7977">
        <v>78.511468365465603</v>
      </c>
      <c r="AM7977">
        <v>76.763765631206994</v>
      </c>
      <c r="AN7977">
        <v>1.0000000603827399</v>
      </c>
    </row>
    <row r="7978" spans="1:40" x14ac:dyDescent="0.25">
      <c r="A7978" t="str">
        <f>"20190303170443234"</f>
        <v>20190303170443234</v>
      </c>
      <c r="B7978" t="str">
        <f>"1551603883223655"</f>
        <v>1551603883223655</v>
      </c>
      <c r="C7978" t="s">
        <v>40</v>
      </c>
      <c r="D7978">
        <v>4.4466190000000001</v>
      </c>
      <c r="E7978">
        <v>0.55996199999999996</v>
      </c>
      <c r="F7978" t="s">
        <v>42</v>
      </c>
      <c r="G7978">
        <v>-129.0676</v>
      </c>
      <c r="H7978" s="1">
        <v>-1.754879E-6</v>
      </c>
      <c r="I7978">
        <v>134.1609</v>
      </c>
      <c r="J7978">
        <v>-173.51689999999999</v>
      </c>
      <c r="K7978">
        <v>1.1065659999999999</v>
      </c>
      <c r="L7978">
        <v>134.62899999999999</v>
      </c>
      <c r="M7978">
        <v>0.94015150000000003</v>
      </c>
      <c r="N7978">
        <v>-1.653785E-2</v>
      </c>
      <c r="O7978">
        <v>0.34035559999999998</v>
      </c>
      <c r="P7978">
        <v>0.97372559999999997</v>
      </c>
      <c r="Q7978">
        <v>0.1920703</v>
      </c>
      <c r="R7978">
        <v>0.1223438</v>
      </c>
      <c r="S7978">
        <v>3.1043850000000002</v>
      </c>
      <c r="T7978">
        <v>-7.692206E-2</v>
      </c>
      <c r="U7978">
        <v>-2.7893069999999999E-2</v>
      </c>
      <c r="V7978">
        <v>0.2238117</v>
      </c>
      <c r="W7978">
        <v>0.19989509999999999</v>
      </c>
      <c r="X7978">
        <v>0.95391320000000002</v>
      </c>
      <c r="Y7978">
        <v>0.34865190000000001</v>
      </c>
      <c r="Z7978">
        <v>-9.7950499999999996E-3</v>
      </c>
      <c r="AA7978">
        <v>0.93720110000000001</v>
      </c>
      <c r="AB7978">
        <v>30</v>
      </c>
      <c r="AC7978">
        <v>44.449300000000001</v>
      </c>
      <c r="AD7978">
        <v>-1.1065677548789901</v>
      </c>
      <c r="AE7978">
        <v>-0.46809999999999202</v>
      </c>
      <c r="AF7978">
        <v>15.5611372187987</v>
      </c>
      <c r="AG7978">
        <v>-1.1065677548789901</v>
      </c>
      <c r="AH7978">
        <v>41.609658574916502</v>
      </c>
      <c r="AI7978">
        <v>91.426891286017195</v>
      </c>
      <c r="AJ7978">
        <v>69.495260327298496</v>
      </c>
      <c r="AK7978">
        <v>44.4380149248314</v>
      </c>
      <c r="AL7978">
        <v>78.469175873080403</v>
      </c>
      <c r="AM7978">
        <v>76.795822469863793</v>
      </c>
      <c r="AN7978">
        <v>1.0000000605975601</v>
      </c>
    </row>
    <row r="7979" spans="1:40" x14ac:dyDescent="0.25">
      <c r="A7979" t="str">
        <f>"20190303170443250"</f>
        <v>20190303170443250</v>
      </c>
      <c r="B7979" t="str">
        <f>"1551603883243175"</f>
        <v>1551603883243175</v>
      </c>
      <c r="C7979" t="s">
        <v>40</v>
      </c>
      <c r="D7979">
        <v>4.457738</v>
      </c>
      <c r="E7979">
        <v>0.55947170000000002</v>
      </c>
      <c r="F7979" t="s">
        <v>42</v>
      </c>
      <c r="G7979">
        <v>-125.0531</v>
      </c>
      <c r="H7979" s="1">
        <v>-3.2638489999999999E-6</v>
      </c>
      <c r="I7979">
        <v>133.62430000000001</v>
      </c>
      <c r="J7979">
        <v>-173.3134</v>
      </c>
      <c r="K7979">
        <v>1.1066069999999999</v>
      </c>
      <c r="L7979">
        <v>134.6909</v>
      </c>
      <c r="M7979">
        <v>0.94426290000000002</v>
      </c>
      <c r="N7979">
        <v>-1.653224E-2</v>
      </c>
      <c r="O7979">
        <v>0.32877729999999999</v>
      </c>
      <c r="P7979">
        <v>0.97478929999999997</v>
      </c>
      <c r="Q7979">
        <v>0.19294749999999999</v>
      </c>
      <c r="R7979">
        <v>0.1120588</v>
      </c>
      <c r="S7979">
        <v>3.103027</v>
      </c>
      <c r="T7979">
        <v>-7.0850969999999999E-2</v>
      </c>
      <c r="U7979">
        <v>-6.4331050000000001E-2</v>
      </c>
      <c r="V7979">
        <v>0.22211439999999999</v>
      </c>
      <c r="W7979">
        <v>0.2008481</v>
      </c>
      <c r="X7979">
        <v>0.95410969999999995</v>
      </c>
      <c r="Y7979">
        <v>0.34816750000000002</v>
      </c>
      <c r="Z7979">
        <v>-8.7491380000000001E-3</v>
      </c>
      <c r="AA7979">
        <v>0.93739150000000004</v>
      </c>
      <c r="AB7979">
        <v>30</v>
      </c>
      <c r="AC7979">
        <v>48.260300000000001</v>
      </c>
      <c r="AD7979">
        <v>-1.1066102638490001</v>
      </c>
      <c r="AE7979">
        <v>-1.06659999999999</v>
      </c>
      <c r="AF7979">
        <v>16.867481885032401</v>
      </c>
      <c r="AG7979">
        <v>-1.1066102638490001</v>
      </c>
      <c r="AH7979">
        <v>45.202157064386299</v>
      </c>
      <c r="AI7979">
        <v>91.313933248995895</v>
      </c>
      <c r="AJ7979">
        <v>69.536609877514294</v>
      </c>
      <c r="AK7979">
        <v>48.259419129237401</v>
      </c>
      <c r="AL7979">
        <v>78.413442517308397</v>
      </c>
      <c r="AM7979">
        <v>76.895094255221196</v>
      </c>
      <c r="AN7979">
        <v>1.00000004279752</v>
      </c>
    </row>
    <row r="7980" spans="1:40" x14ac:dyDescent="0.25">
      <c r="A7980" t="str">
        <f>"20190303170443272"</f>
        <v>20190303170443272</v>
      </c>
      <c r="B7980" t="str">
        <f>"1551603883263671"</f>
        <v>1551603883263671</v>
      </c>
      <c r="C7980" t="s">
        <v>40</v>
      </c>
      <c r="D7980">
        <v>4.4441980000000001</v>
      </c>
      <c r="E7980">
        <v>0.55859320000000001</v>
      </c>
      <c r="F7980" t="s">
        <v>42</v>
      </c>
      <c r="G7980">
        <v>-121.1768</v>
      </c>
      <c r="H7980" s="1">
        <v>-4.9172150000000003E-6</v>
      </c>
      <c r="I7980">
        <v>133.1343</v>
      </c>
      <c r="J7980">
        <v>-173.02019999999999</v>
      </c>
      <c r="K7980">
        <v>1.106657</v>
      </c>
      <c r="L7980">
        <v>134.77600000000001</v>
      </c>
      <c r="M7980">
        <v>0.9499071</v>
      </c>
      <c r="N7980">
        <v>-1.6522189999999999E-2</v>
      </c>
      <c r="O7980">
        <v>0.31209530000000002</v>
      </c>
      <c r="P7980">
        <v>0.97647810000000002</v>
      </c>
      <c r="Q7980">
        <v>0.19227920000000001</v>
      </c>
      <c r="R7980">
        <v>9.7567039999999994E-2</v>
      </c>
      <c r="S7980">
        <v>3.1012569999999999</v>
      </c>
      <c r="T7980">
        <v>-6.5824869999999994E-2</v>
      </c>
      <c r="U7980">
        <v>-9.2590329999999998E-2</v>
      </c>
      <c r="V7980">
        <v>0.21946489999999999</v>
      </c>
      <c r="W7980">
        <v>0.20030480000000001</v>
      </c>
      <c r="X7980">
        <v>0.95483669999999998</v>
      </c>
      <c r="Y7980">
        <v>0.34021390000000001</v>
      </c>
      <c r="Z7980">
        <v>-7.7506010000000002E-3</v>
      </c>
      <c r="AA7980">
        <v>0.94031609999999999</v>
      </c>
      <c r="AB7980">
        <v>30</v>
      </c>
      <c r="AC7980">
        <v>51.843399999999903</v>
      </c>
      <c r="AD7980">
        <v>-1.1066619172149901</v>
      </c>
      <c r="AE7980">
        <v>-1.6417000000000099</v>
      </c>
      <c r="AF7980">
        <v>17.733893558765502</v>
      </c>
      <c r="AG7980">
        <v>-1.1066619172149901</v>
      </c>
      <c r="AH7980">
        <v>48.718524115124197</v>
      </c>
      <c r="AI7980">
        <v>91.222807759895204</v>
      </c>
      <c r="AJ7980">
        <v>69.998129790569394</v>
      </c>
      <c r="AK7980">
        <v>51.857596100364901</v>
      </c>
      <c r="AL7980">
        <v>78.445216408505402</v>
      </c>
      <c r="AM7980">
        <v>77.055644281966906</v>
      </c>
      <c r="AN7980">
        <v>0.99999998945096902</v>
      </c>
    </row>
    <row r="7981" spans="1:40" x14ac:dyDescent="0.25">
      <c r="A7981" t="str">
        <f>"20190303170443287"</f>
        <v>20190303170443287</v>
      </c>
      <c r="B7981" t="str">
        <f>"1551603883274407"</f>
        <v>1551603883274407</v>
      </c>
      <c r="C7981" t="s">
        <v>40</v>
      </c>
      <c r="D7981">
        <v>4.4072319999999996</v>
      </c>
      <c r="E7981">
        <v>0.55812620000000002</v>
      </c>
      <c r="F7981" t="s">
        <v>42</v>
      </c>
      <c r="G7981">
        <v>-120.3664</v>
      </c>
      <c r="H7981" s="1">
        <v>-5.37605E-6</v>
      </c>
      <c r="I7981">
        <v>132.5076</v>
      </c>
      <c r="J7981">
        <v>-172.81880000000001</v>
      </c>
      <c r="K7981">
        <v>1.1067039999999999</v>
      </c>
      <c r="L7981">
        <v>134.83090000000001</v>
      </c>
      <c r="M7981">
        <v>0.95358730000000003</v>
      </c>
      <c r="N7981">
        <v>-1.6511809999999998E-2</v>
      </c>
      <c r="O7981">
        <v>0.30066369999999998</v>
      </c>
      <c r="P7981">
        <v>0.97760279999999999</v>
      </c>
      <c r="Q7981">
        <v>0.1914314</v>
      </c>
      <c r="R7981">
        <v>8.7446789999999996E-2</v>
      </c>
      <c r="S7981">
        <v>3.0984340000000001</v>
      </c>
      <c r="T7981">
        <v>-6.5121890000000002E-2</v>
      </c>
      <c r="U7981">
        <v>-0.13348389999999999</v>
      </c>
      <c r="V7981">
        <v>0.21787909999999999</v>
      </c>
      <c r="W7981">
        <v>0.1995363</v>
      </c>
      <c r="X7981">
        <v>0.95536069999999995</v>
      </c>
      <c r="Y7981">
        <v>0.34134049999999999</v>
      </c>
      <c r="Z7981">
        <v>-7.6430430000000004E-3</v>
      </c>
      <c r="AA7981">
        <v>0.93990859999999998</v>
      </c>
      <c r="AB7981">
        <v>30</v>
      </c>
      <c r="AC7981">
        <v>52.452399999999997</v>
      </c>
      <c r="AD7981">
        <v>-1.10670937605</v>
      </c>
      <c r="AE7981">
        <v>-2.3233000000000099</v>
      </c>
      <c r="AF7981">
        <v>17.9804651475927</v>
      </c>
      <c r="AG7981">
        <v>-1.10670937605</v>
      </c>
      <c r="AH7981">
        <v>49.304227831398897</v>
      </c>
      <c r="AI7981">
        <v>91.208074739822194</v>
      </c>
      <c r="AJ7981">
        <v>69.963894238768106</v>
      </c>
      <c r="AK7981">
        <v>52.492178604219902</v>
      </c>
      <c r="AL7981">
        <v>78.4901561727456</v>
      </c>
      <c r="AM7981">
        <v>77.152875620218197</v>
      </c>
      <c r="AN7981">
        <v>1.0000000521694901</v>
      </c>
    </row>
    <row r="7982" spans="1:40" x14ac:dyDescent="0.25">
      <c r="A7982" t="str">
        <f>"20190303170443305"</f>
        <v>20190303170443305</v>
      </c>
      <c r="B7982" t="str">
        <f>"1551603883293927"</f>
        <v>1551603883293927</v>
      </c>
      <c r="C7982" t="s">
        <v>40</v>
      </c>
      <c r="D7982">
        <v>4.4660520000000004</v>
      </c>
      <c r="E7982">
        <v>0.55706820000000001</v>
      </c>
      <c r="F7982" t="s">
        <v>42</v>
      </c>
      <c r="G7982">
        <v>-121.3053</v>
      </c>
      <c r="H7982" s="1">
        <v>-5.0414840000000003E-6</v>
      </c>
      <c r="I7982">
        <v>132.12289999999999</v>
      </c>
      <c r="J7982">
        <v>-172.58109999999999</v>
      </c>
      <c r="K7982">
        <v>1.1067659999999999</v>
      </c>
      <c r="L7982">
        <v>134.89259999999999</v>
      </c>
      <c r="M7982">
        <v>0.95772760000000001</v>
      </c>
      <c r="N7982">
        <v>-1.6496009999999998E-2</v>
      </c>
      <c r="O7982">
        <v>0.287203599999999</v>
      </c>
      <c r="P7982">
        <v>0.97871019999999997</v>
      </c>
      <c r="Q7982">
        <v>0.19051650000000001</v>
      </c>
      <c r="R7982">
        <v>7.6354290000000005E-2</v>
      </c>
      <c r="S7982">
        <v>3.0963289999999999</v>
      </c>
      <c r="T7982">
        <v>-6.6521049999999998E-2</v>
      </c>
      <c r="U7982">
        <v>-0.16276550000000001</v>
      </c>
      <c r="V7982">
        <v>0.21523590000000001</v>
      </c>
      <c r="W7982">
        <v>0.19874700000000001</v>
      </c>
      <c r="X7982">
        <v>0.95612399999999997</v>
      </c>
      <c r="Y7982">
        <v>0.33699099999999999</v>
      </c>
      <c r="Z7982">
        <v>-7.7330890000000003E-3</v>
      </c>
      <c r="AA7982">
        <v>0.94147610000000004</v>
      </c>
      <c r="AB7982">
        <v>30</v>
      </c>
      <c r="AC7982">
        <v>51.275799999999897</v>
      </c>
      <c r="AD7982">
        <v>-1.106771041484</v>
      </c>
      <c r="AE7982">
        <v>-2.7696999999999998</v>
      </c>
      <c r="AF7982">
        <v>17.3735052580349</v>
      </c>
      <c r="AG7982">
        <v>-1.106771041484</v>
      </c>
      <c r="AH7982">
        <v>48.296915435238098</v>
      </c>
      <c r="AI7982">
        <v>91.235292287598597</v>
      </c>
      <c r="AJ7982">
        <v>70.215181288867399</v>
      </c>
      <c r="AK7982">
        <v>51.338637181442301</v>
      </c>
      <c r="AL7982">
        <v>78.536303235683505</v>
      </c>
      <c r="AM7982">
        <v>77.3134566043761</v>
      </c>
      <c r="AN7982">
        <v>0.99999998301690396</v>
      </c>
    </row>
    <row r="7983" spans="1:40" x14ac:dyDescent="0.25">
      <c r="A7983" t="str">
        <f>"20190303170443329"</f>
        <v>20190303170443329</v>
      </c>
      <c r="B7983" t="str">
        <f>"1551603883323207"</f>
        <v>1551603883323207</v>
      </c>
      <c r="C7983" t="s">
        <v>40</v>
      </c>
      <c r="D7983">
        <v>4.4586209999999999</v>
      </c>
      <c r="E7983">
        <v>0.55525909999999901</v>
      </c>
      <c r="F7983" t="s">
        <v>42</v>
      </c>
      <c r="G7983">
        <v>-123.532</v>
      </c>
      <c r="H7983" s="1">
        <v>-4.243273E-6</v>
      </c>
      <c r="I7983">
        <v>131.8886</v>
      </c>
      <c r="J7983">
        <v>-172.26660000000001</v>
      </c>
      <c r="K7983">
        <v>1.106878</v>
      </c>
      <c r="L7983">
        <v>134.96899999999999</v>
      </c>
      <c r="M7983">
        <v>0.96286519999999998</v>
      </c>
      <c r="N7983">
        <v>-1.6467840000000001E-2</v>
      </c>
      <c r="O7983">
        <v>0.2694802</v>
      </c>
      <c r="P7983">
        <v>0.97983909999999996</v>
      </c>
      <c r="Q7983">
        <v>0.1905396</v>
      </c>
      <c r="R7983">
        <v>6.0084449999999998E-2</v>
      </c>
      <c r="S7983">
        <v>3.0936279999999998</v>
      </c>
      <c r="T7983">
        <v>-6.9806220000000002E-2</v>
      </c>
      <c r="U7983">
        <v>-0.18946840000000001</v>
      </c>
      <c r="V7983">
        <v>0.21341370000000001</v>
      </c>
      <c r="W7983">
        <v>0.19887089999999999</v>
      </c>
      <c r="X7983">
        <v>0.95650670000000004</v>
      </c>
      <c r="Y7983">
        <v>0.32773409999999997</v>
      </c>
      <c r="Z7983">
        <v>-7.958606E-3</v>
      </c>
      <c r="AA7983">
        <v>0.94473649999999998</v>
      </c>
      <c r="AB7983">
        <v>30</v>
      </c>
      <c r="AC7983">
        <v>48.7346</v>
      </c>
      <c r="AD7983">
        <v>-1.1068822432729899</v>
      </c>
      <c r="AE7983">
        <v>-3.0803999999999898</v>
      </c>
      <c r="AF7983">
        <v>16.092933213969001</v>
      </c>
      <c r="AG7983">
        <v>-1.1068822432729899</v>
      </c>
      <c r="AH7983">
        <v>46.077316680901099</v>
      </c>
      <c r="AI7983">
        <v>91.299180432904393</v>
      </c>
      <c r="AJ7983">
        <v>70.747768023341095</v>
      </c>
      <c r="AK7983">
        <v>48.819328142056499</v>
      </c>
      <c r="AL7983">
        <v>78.529060528031593</v>
      </c>
      <c r="AM7983">
        <v>77.422301790748094</v>
      </c>
      <c r="AN7983">
        <v>1.0000000546796901</v>
      </c>
    </row>
    <row r="7984" spans="1:40" x14ac:dyDescent="0.25">
      <c r="A7984" t="str">
        <f>"20190303170443340"</f>
        <v>20190303170443340</v>
      </c>
      <c r="B7984" t="str">
        <f>"1551603883333943"</f>
        <v>1551603883333943</v>
      </c>
      <c r="C7984" t="s">
        <v>40</v>
      </c>
      <c r="D7984">
        <v>4.3906330000000002</v>
      </c>
      <c r="E7984">
        <v>0.55525909999999901</v>
      </c>
      <c r="F7984" t="s">
        <v>42</v>
      </c>
      <c r="G7984">
        <v>-124.0909</v>
      </c>
      <c r="H7984" s="1">
        <v>-4.1633819999999997E-6</v>
      </c>
      <c r="I7984">
        <v>131.47409999999999</v>
      </c>
      <c r="J7984">
        <v>-172.09909999999999</v>
      </c>
      <c r="K7984">
        <v>1.1069500000000001</v>
      </c>
      <c r="L7984">
        <v>135.00720000000001</v>
      </c>
      <c r="M7984">
        <v>0.96544289999999999</v>
      </c>
      <c r="N7984">
        <v>-1.6449120000000001E-2</v>
      </c>
      <c r="O7984">
        <v>0.26009490000000002</v>
      </c>
      <c r="P7984">
        <v>0.98030989999999996</v>
      </c>
      <c r="Q7984">
        <v>0.1906949</v>
      </c>
      <c r="R7984">
        <v>5.1263789999999997E-2</v>
      </c>
      <c r="S7984">
        <v>3.089264</v>
      </c>
      <c r="T7984">
        <v>-7.0978639999999996E-2</v>
      </c>
      <c r="U7984">
        <v>-0.22410579999999999</v>
      </c>
      <c r="V7984">
        <v>0.212671</v>
      </c>
      <c r="W7984">
        <v>0.19907369999999999</v>
      </c>
      <c r="X7984">
        <v>0.95662990000000003</v>
      </c>
      <c r="Y7984">
        <v>0.32915879999999997</v>
      </c>
      <c r="Z7984">
        <v>-8.1163599999999995E-3</v>
      </c>
      <c r="AA7984">
        <v>0.94423970000000002</v>
      </c>
      <c r="AB7984">
        <v>30</v>
      </c>
      <c r="AC7984">
        <v>48.008199999999903</v>
      </c>
      <c r="AD7984">
        <v>-1.1069541633819999</v>
      </c>
      <c r="AE7984">
        <v>-3.5331000000000099</v>
      </c>
      <c r="AF7984">
        <v>15.8914428548286</v>
      </c>
      <c r="AG7984">
        <v>-1.1069541633819999</v>
      </c>
      <c r="AH7984">
        <v>45.412370057994799</v>
      </c>
      <c r="AI7984">
        <v>91.318004584939004</v>
      </c>
      <c r="AJ7984">
        <v>70.713198425751102</v>
      </c>
      <c r="AK7984">
        <v>48.1253224177498</v>
      </c>
      <c r="AL7984">
        <v>78.517203572323993</v>
      </c>
      <c r="AM7984">
        <v>77.466250971929</v>
      </c>
      <c r="AN7984">
        <v>1.0000000289233399</v>
      </c>
    </row>
    <row r="7985" spans="1:40" x14ac:dyDescent="0.25">
      <c r="A7985" t="str">
        <f>"20190303170443352"</f>
        <v>20190303170443352</v>
      </c>
      <c r="B7985" t="str">
        <f>"1551603883343704"</f>
        <v>1551603883343704</v>
      </c>
      <c r="C7985" t="s">
        <v>40</v>
      </c>
      <c r="D7985">
        <v>4.4473000000000003</v>
      </c>
      <c r="E7985">
        <v>0.54204989999999997</v>
      </c>
      <c r="F7985" t="s">
        <v>42</v>
      </c>
      <c r="G7985">
        <v>-124.15260000000001</v>
      </c>
      <c r="H7985" s="1">
        <v>-4.2382840000000001E-6</v>
      </c>
      <c r="I7985">
        <v>131.11359999999999</v>
      </c>
      <c r="J7985">
        <v>-171.93029999999999</v>
      </c>
      <c r="K7985">
        <v>1.1070310000000001</v>
      </c>
      <c r="L7985">
        <v>135.04419999999999</v>
      </c>
      <c r="M7985">
        <v>0.96793039999999997</v>
      </c>
      <c r="N7985">
        <v>-1.6428359999999999E-2</v>
      </c>
      <c r="O7985">
        <v>0.25068069999999998</v>
      </c>
      <c r="P7985">
        <v>0.98075290000000004</v>
      </c>
      <c r="Q7985">
        <v>0.1906119</v>
      </c>
      <c r="R7985">
        <v>4.2318880000000003E-2</v>
      </c>
      <c r="S7985">
        <v>3.0872190000000002</v>
      </c>
      <c r="T7985">
        <v>-7.127559E-2</v>
      </c>
      <c r="U7985">
        <v>-0.25070189999999998</v>
      </c>
      <c r="V7985">
        <v>0.2120408</v>
      </c>
      <c r="W7985">
        <v>0.19903580000000001</v>
      </c>
      <c r="X7985">
        <v>0.95677760000000001</v>
      </c>
      <c r="Y7985">
        <v>0.3280941</v>
      </c>
      <c r="Z7985">
        <v>-8.0914969999999996E-3</v>
      </c>
      <c r="AA7985">
        <v>0.94461039999999996</v>
      </c>
      <c r="AB7985">
        <v>30</v>
      </c>
      <c r="AC7985">
        <v>47.777699999999903</v>
      </c>
      <c r="AD7985">
        <v>-1.1070352382840001</v>
      </c>
      <c r="AE7985">
        <v>-3.9305999999999899</v>
      </c>
      <c r="AF7985">
        <v>15.7752125044192</v>
      </c>
      <c r="AG7985">
        <v>-1.1070352382840001</v>
      </c>
      <c r="AH7985">
        <v>45.242146382009601</v>
      </c>
      <c r="AI7985">
        <v>91.323574476130204</v>
      </c>
      <c r="AJ7985">
        <v>70.777153999597701</v>
      </c>
      <c r="AK7985">
        <v>47.926346259959899</v>
      </c>
      <c r="AL7985">
        <v>78.519418660368899</v>
      </c>
      <c r="AM7985">
        <v>77.504091885699296</v>
      </c>
      <c r="AN7985">
        <v>0.99999996320401896</v>
      </c>
    </row>
    <row r="7986" spans="1:40" x14ac:dyDescent="0.25">
      <c r="A7986" t="str">
        <f>"20190303170443369"</f>
        <v>20190303170443369</v>
      </c>
      <c r="B7986" t="str">
        <f>"1551603883353462"</f>
        <v>1551603883353462</v>
      </c>
      <c r="C7986" t="s">
        <v>40</v>
      </c>
      <c r="D7986">
        <v>4.468019</v>
      </c>
      <c r="E7986">
        <v>0.54265269999999899</v>
      </c>
      <c r="F7986" t="s">
        <v>42</v>
      </c>
      <c r="G7986">
        <v>-122.514</v>
      </c>
      <c r="H7986" s="1">
        <v>-4.4968809999999998E-6</v>
      </c>
      <c r="I7986">
        <v>132.26990000000001</v>
      </c>
      <c r="J7986">
        <v>-171.7406</v>
      </c>
      <c r="K7986">
        <v>1.107146</v>
      </c>
      <c r="L7986">
        <v>135.08320000000001</v>
      </c>
      <c r="M7986">
        <v>0.97058199999999994</v>
      </c>
      <c r="N7986">
        <v>-1.639883E-2</v>
      </c>
      <c r="O7986">
        <v>0.24021129999999999</v>
      </c>
      <c r="P7986">
        <v>0.98119000000000001</v>
      </c>
      <c r="Q7986">
        <v>0.19032830000000001</v>
      </c>
      <c r="R7986">
        <v>3.2267539999999997E-2</v>
      </c>
      <c r="S7986">
        <v>3.079742</v>
      </c>
      <c r="T7986">
        <v>-6.8993090000000007E-2</v>
      </c>
      <c r="U7986">
        <v>-0.1728973</v>
      </c>
      <c r="V7986">
        <v>0.21145549999999999</v>
      </c>
      <c r="W7986">
        <v>0.19880400000000001</v>
      </c>
      <c r="X7986">
        <v>0.95695540000000001</v>
      </c>
      <c r="Y7986">
        <v>0.29414600000000002</v>
      </c>
      <c r="Z7986">
        <v>-7.0928140000000002E-3</v>
      </c>
      <c r="AA7986">
        <v>0.95573419999999998</v>
      </c>
      <c r="AB7986">
        <v>30</v>
      </c>
      <c r="AC7986">
        <v>49.226599999999998</v>
      </c>
      <c r="AD7986">
        <v>-1.107150496881</v>
      </c>
      <c r="AE7986">
        <v>-2.8132999999999901</v>
      </c>
      <c r="AF7986">
        <v>14.5499468345089</v>
      </c>
      <c r="AG7986">
        <v>-1.107150496881</v>
      </c>
      <c r="AH7986">
        <v>47.085264573613301</v>
      </c>
      <c r="AI7986">
        <v>91.286966503397593</v>
      </c>
      <c r="AJ7986">
        <v>72.828184420865796</v>
      </c>
      <c r="AK7986">
        <v>49.294511612115102</v>
      </c>
      <c r="AL7986">
        <v>78.532971637281804</v>
      </c>
      <c r="AM7986">
        <v>77.539748641608398</v>
      </c>
      <c r="AN7986">
        <v>1.0000000482427001</v>
      </c>
    </row>
    <row r="7987" spans="1:40" x14ac:dyDescent="0.25">
      <c r="A7987" t="str">
        <f>"20190303170443383"</f>
        <v>20190303170443383</v>
      </c>
      <c r="B7987" t="str">
        <f>"1551603883373959"</f>
        <v>1551603883373959</v>
      </c>
      <c r="C7987" t="s">
        <v>40</v>
      </c>
      <c r="D7987">
        <v>4.4091990000000001</v>
      </c>
      <c r="E7987">
        <v>0.54074540000000004</v>
      </c>
      <c r="F7987" t="s">
        <v>42</v>
      </c>
      <c r="G7987">
        <v>-119.6512</v>
      </c>
      <c r="H7987" s="1">
        <v>-2.2551549999999998E-6</v>
      </c>
      <c r="I7987">
        <v>131.5343</v>
      </c>
      <c r="J7987">
        <v>-171.52260000000001</v>
      </c>
      <c r="K7987">
        <v>1.1073029999999999</v>
      </c>
      <c r="L7987">
        <v>135.1258</v>
      </c>
      <c r="M7987">
        <v>0.97345210000000004</v>
      </c>
      <c r="N7987">
        <v>-1.6359169999999999E-2</v>
      </c>
      <c r="O7987">
        <v>0.2283057</v>
      </c>
      <c r="P7987">
        <v>0.98171839999999999</v>
      </c>
      <c r="Q7987">
        <v>0.18903700000000001</v>
      </c>
      <c r="R7987">
        <v>2.2230099999999999E-2</v>
      </c>
      <c r="S7987">
        <v>3.0771030000000001</v>
      </c>
      <c r="T7987">
        <v>-6.5403099999999895E-2</v>
      </c>
      <c r="U7987">
        <v>-0.20964050000000001</v>
      </c>
      <c r="V7987">
        <v>0.20945240000000001</v>
      </c>
      <c r="W7987">
        <v>0.1976319</v>
      </c>
      <c r="X7987">
        <v>0.9576384</v>
      </c>
      <c r="Y7987">
        <v>0.2938656</v>
      </c>
      <c r="Z7987">
        <v>-6.6011530000000002E-3</v>
      </c>
      <c r="AA7987">
        <v>0.95582400000000001</v>
      </c>
      <c r="AB7987">
        <v>30</v>
      </c>
      <c r="AC7987">
        <v>51.871400000000001</v>
      </c>
      <c r="AD7987">
        <v>-1.107305255155</v>
      </c>
      <c r="AE7987">
        <v>-3.5914999999999901</v>
      </c>
      <c r="AF7987">
        <v>15.3337873266466</v>
      </c>
      <c r="AG7987">
        <v>-1.107305255155</v>
      </c>
      <c r="AH7987">
        <v>49.658487631055799</v>
      </c>
      <c r="AI7987">
        <v>91.220547626024199</v>
      </c>
      <c r="AJ7987">
        <v>72.840105827343507</v>
      </c>
      <c r="AK7987">
        <v>51.9838104847138</v>
      </c>
      <c r="AL7987">
        <v>78.601486848272302</v>
      </c>
      <c r="AM7987">
        <v>77.662682773340407</v>
      </c>
      <c r="AN7987">
        <v>0.99999999045896404</v>
      </c>
    </row>
    <row r="7988" spans="1:40" x14ac:dyDescent="0.25">
      <c r="A7988" t="str">
        <f>"20190303170443401"</f>
        <v>20190303170443401</v>
      </c>
      <c r="B7988" t="str">
        <f>"1551603883393479"</f>
        <v>1551603883393479</v>
      </c>
      <c r="C7988" t="s">
        <v>40</v>
      </c>
      <c r="D7988">
        <v>4.7582309999999897</v>
      </c>
      <c r="E7988">
        <v>0.54143479999999999</v>
      </c>
      <c r="F7988" t="s">
        <v>42</v>
      </c>
      <c r="G7988">
        <v>-122.43510000000001</v>
      </c>
      <c r="H7988" s="1">
        <v>-4.7199740000000003E-6</v>
      </c>
      <c r="I7988">
        <v>131.5</v>
      </c>
      <c r="J7988">
        <v>-171.28479999999999</v>
      </c>
      <c r="K7988">
        <v>1.1075029999999999</v>
      </c>
      <c r="L7988">
        <v>135.1694</v>
      </c>
      <c r="M7988">
        <v>0.97636590000000001</v>
      </c>
      <c r="N7988">
        <v>-1.6306770000000002E-2</v>
      </c>
      <c r="O7988">
        <v>0.2155077</v>
      </c>
      <c r="P7988">
        <v>0.98204020000000003</v>
      </c>
      <c r="Q7988">
        <v>0.18835089999999999</v>
      </c>
      <c r="R7988">
        <v>1.1002349999999999E-2</v>
      </c>
      <c r="S7988">
        <v>3.074341</v>
      </c>
      <c r="T7988">
        <v>-6.935036E-2</v>
      </c>
      <c r="U7988">
        <v>-0.22708130000000001</v>
      </c>
      <c r="V7988">
        <v>0.20773259999999999</v>
      </c>
      <c r="W7988">
        <v>0.1970625</v>
      </c>
      <c r="X7988">
        <v>0.95813020000000004</v>
      </c>
      <c r="Y7988">
        <v>0.28675390000000001</v>
      </c>
      <c r="Z7988">
        <v>-6.8828259999999999E-3</v>
      </c>
      <c r="AA7988">
        <v>0.95797960000000004</v>
      </c>
      <c r="AB7988">
        <v>30</v>
      </c>
      <c r="AC7988">
        <v>48.849699999999899</v>
      </c>
      <c r="AD7988">
        <v>-1.107507719974</v>
      </c>
      <c r="AE7988">
        <v>-3.6693999999999898</v>
      </c>
      <c r="AF7988">
        <v>14.1048316641448</v>
      </c>
      <c r="AG7988">
        <v>-1.107507719974</v>
      </c>
      <c r="AH7988">
        <v>46.8866734050115</v>
      </c>
      <c r="AI7988">
        <v>91.295786850490799</v>
      </c>
      <c r="AJ7988">
        <v>73.257233545528507</v>
      </c>
      <c r="AK7988">
        <v>48.974819985497398</v>
      </c>
      <c r="AL7988">
        <v>78.634765312816</v>
      </c>
      <c r="AM7988">
        <v>77.767011050256798</v>
      </c>
      <c r="AN7988">
        <v>0.99999997108052396</v>
      </c>
    </row>
    <row r="7989" spans="1:40" x14ac:dyDescent="0.25">
      <c r="A7989" t="str">
        <f>"20190303170443416"</f>
        <v>20190303170443416</v>
      </c>
      <c r="B7989" t="str">
        <f>"1551603883403239"</f>
        <v>1551603883403239</v>
      </c>
      <c r="C7989" t="s">
        <v>40</v>
      </c>
      <c r="D7989">
        <v>4.3080720000000001</v>
      </c>
      <c r="E7989">
        <v>0.54143479999999999</v>
      </c>
      <c r="F7989" t="s">
        <v>42</v>
      </c>
      <c r="G7989">
        <v>-120.71980000000001</v>
      </c>
      <c r="H7989" s="1">
        <v>-5.5359550000000003E-6</v>
      </c>
      <c r="I7989">
        <v>130.75139999999999</v>
      </c>
      <c r="J7989">
        <v>-171.077</v>
      </c>
      <c r="K7989">
        <v>1.1076999999999999</v>
      </c>
      <c r="L7989">
        <v>135.20519999999999</v>
      </c>
      <c r="M7989">
        <v>0.97873469999999996</v>
      </c>
      <c r="N7989">
        <v>-1.6254069999999999E-2</v>
      </c>
      <c r="O7989">
        <v>0.20448520000000001</v>
      </c>
      <c r="P7989">
        <v>0.98224900000000004</v>
      </c>
      <c r="Q7989">
        <v>0.18758150000000001</v>
      </c>
      <c r="R7989">
        <v>4.9257739999999895E-4</v>
      </c>
      <c r="S7989">
        <v>3.0707550000000001</v>
      </c>
      <c r="T7989">
        <v>-6.7257639999999994E-2</v>
      </c>
      <c r="U7989">
        <v>-0.26829530000000001</v>
      </c>
      <c r="V7989">
        <v>0.20708660000000001</v>
      </c>
      <c r="W7989">
        <v>0.19636680000000001</v>
      </c>
      <c r="X7989">
        <v>0.95841290000000001</v>
      </c>
      <c r="Y7989">
        <v>0.2888136</v>
      </c>
      <c r="Z7989">
        <v>-6.6368149999999999E-3</v>
      </c>
      <c r="AA7989">
        <v>0.95736239999999995</v>
      </c>
      <c r="AB7989">
        <v>30</v>
      </c>
      <c r="AC7989">
        <v>50.357199999999899</v>
      </c>
      <c r="AD7989">
        <v>-1.1077055359550001</v>
      </c>
      <c r="AE7989">
        <v>-4.4538000000000002</v>
      </c>
      <c r="AF7989">
        <v>14.651292895378401</v>
      </c>
      <c r="AG7989">
        <v>-1.1077055359550001</v>
      </c>
      <c r="AH7989">
        <v>48.358776719836897</v>
      </c>
      <c r="AI7989">
        <v>91.2558341591334</v>
      </c>
      <c r="AJ7989">
        <v>73.1447285690233</v>
      </c>
      <c r="AK7989">
        <v>50.541652930029798</v>
      </c>
      <c r="AL7989">
        <v>78.675421072304502</v>
      </c>
      <c r="AM7989">
        <v>77.807402155027702</v>
      </c>
      <c r="AN7989">
        <v>1.0000000334640999</v>
      </c>
    </row>
    <row r="7990" spans="1:40" x14ac:dyDescent="0.25">
      <c r="A7990" t="str">
        <f>"20190303170443430"</f>
        <v>20190303170443430</v>
      </c>
      <c r="B7990" t="str">
        <f>"1551603883423735"</f>
        <v>1551603883423735</v>
      </c>
      <c r="C7990" t="s">
        <v>40</v>
      </c>
      <c r="D7990">
        <v>4.4145979999999998</v>
      </c>
      <c r="E7990">
        <v>0.5287849</v>
      </c>
      <c r="F7990" t="s">
        <v>42</v>
      </c>
      <c r="G7990">
        <v>-122.5046</v>
      </c>
      <c r="H7990" s="1">
        <v>-4.9767689999999997E-6</v>
      </c>
      <c r="I7990">
        <v>130.44589999999999</v>
      </c>
      <c r="J7990">
        <v>-170.8896</v>
      </c>
      <c r="K7990">
        <v>1.107901</v>
      </c>
      <c r="L7990">
        <v>135.23509999999999</v>
      </c>
      <c r="M7990">
        <v>0.98071870000000005</v>
      </c>
      <c r="N7990">
        <v>-1.6200119999999998E-2</v>
      </c>
      <c r="O7990">
        <v>0.19475200000000001</v>
      </c>
      <c r="P7990">
        <v>0.98250219999999999</v>
      </c>
      <c r="Q7990">
        <v>0.18610579999999999</v>
      </c>
      <c r="R7990">
        <v>-7.3740780000000001E-3</v>
      </c>
      <c r="S7990">
        <v>3.0677189999999999</v>
      </c>
      <c r="T7990">
        <v>-6.9959999999999994E-2</v>
      </c>
      <c r="U7990">
        <v>-0.30058289999999999</v>
      </c>
      <c r="V7990">
        <v>0.2051414</v>
      </c>
      <c r="W7990">
        <v>0.19501399999999999</v>
      </c>
      <c r="X7990">
        <v>0.95910720000000005</v>
      </c>
      <c r="Y7990">
        <v>0.28936590000000001</v>
      </c>
      <c r="Z7990">
        <v>-6.9054390000000002E-3</v>
      </c>
      <c r="AA7990">
        <v>0.95719370000000004</v>
      </c>
      <c r="AB7990">
        <v>30</v>
      </c>
      <c r="AC7990">
        <v>48.384999999999998</v>
      </c>
      <c r="AD7990">
        <v>-1.107905976769</v>
      </c>
      <c r="AE7990">
        <v>-4.7891999999999904</v>
      </c>
      <c r="AF7990">
        <v>14.1144585657973</v>
      </c>
      <c r="AG7990">
        <v>-1.107905976769</v>
      </c>
      <c r="AH7990">
        <v>46.501330307399101</v>
      </c>
      <c r="AI7990">
        <v>91.306014229157697</v>
      </c>
      <c r="AJ7990">
        <v>73.115484081291598</v>
      </c>
      <c r="AK7990">
        <v>48.608837844745999</v>
      </c>
      <c r="AL7990">
        <v>78.754458994470795</v>
      </c>
      <c r="AM7990">
        <v>77.927038527492996</v>
      </c>
      <c r="AN7990">
        <v>1.00000003764089</v>
      </c>
    </row>
    <row r="7991" spans="1:40" x14ac:dyDescent="0.25">
      <c r="A7991" t="str">
        <f>"20190303170443452"</f>
        <v>20190303170443452</v>
      </c>
      <c r="B7991" t="str">
        <f>"1551603883443255"</f>
        <v>1551603883443255</v>
      </c>
      <c r="C7991" t="s">
        <v>40</v>
      </c>
      <c r="D7991">
        <v>4.4365480000000002</v>
      </c>
      <c r="E7991">
        <v>0.5283504</v>
      </c>
      <c r="F7991" t="s">
        <v>42</v>
      </c>
      <c r="G7991">
        <v>-128.5736</v>
      </c>
      <c r="H7991" s="1">
        <v>-2.4463659999999999E-6</v>
      </c>
      <c r="I7991">
        <v>132.19390000000001</v>
      </c>
      <c r="J7991">
        <v>-170.5993</v>
      </c>
      <c r="K7991">
        <v>1.1082479999999999</v>
      </c>
      <c r="L7991">
        <v>135.2783</v>
      </c>
      <c r="M7991">
        <v>0.98354090000000005</v>
      </c>
      <c r="N7991">
        <v>-1.6112870000000001E-2</v>
      </c>
      <c r="O7991">
        <v>0.17996589999999901</v>
      </c>
      <c r="P7991">
        <v>0.9823906</v>
      </c>
      <c r="Q7991">
        <v>0.18577759999999999</v>
      </c>
      <c r="R7991">
        <v>-1.9890479999999999E-2</v>
      </c>
      <c r="S7991">
        <v>3.0669710000000001</v>
      </c>
      <c r="T7991">
        <v>-8.0298300000000003E-2</v>
      </c>
      <c r="U7991">
        <v>-0.2204132</v>
      </c>
      <c r="V7991">
        <v>0.20275029999999999</v>
      </c>
      <c r="W7991">
        <v>0.19485269999999999</v>
      </c>
      <c r="X7991">
        <v>0.95964830000000001</v>
      </c>
      <c r="Y7991">
        <v>0.24989120000000001</v>
      </c>
      <c r="Z7991">
        <v>-7.0729219999999997E-3</v>
      </c>
      <c r="AA7991">
        <v>0.96824809999999994</v>
      </c>
      <c r="AB7991">
        <v>30</v>
      </c>
      <c r="AC7991">
        <v>42.025700000000001</v>
      </c>
      <c r="AD7991">
        <v>-1.1082504463659999</v>
      </c>
      <c r="AE7991">
        <v>-3.08439999999998</v>
      </c>
      <c r="AF7991">
        <v>10.5908764416717</v>
      </c>
      <c r="AG7991">
        <v>-1.1082504463659999</v>
      </c>
      <c r="AH7991">
        <v>40.756010946158902</v>
      </c>
      <c r="AI7991">
        <v>91.507575624242904</v>
      </c>
      <c r="AJ7991">
        <v>75.433271958049403</v>
      </c>
      <c r="AK7991">
        <v>42.124189144695201</v>
      </c>
      <c r="AL7991">
        <v>78.763881807443497</v>
      </c>
      <c r="AM7991">
        <v>78.070237657434603</v>
      </c>
      <c r="AN7991">
        <v>1.0000000592701299</v>
      </c>
    </row>
    <row r="7992" spans="1:40" x14ac:dyDescent="0.25">
      <c r="A7992" t="str">
        <f>"20190303170443473"</f>
        <v>20190303170443473</v>
      </c>
      <c r="B7992" t="str">
        <f>"1551603883463751"</f>
        <v>1551603883463751</v>
      </c>
      <c r="C7992" t="s">
        <v>40</v>
      </c>
      <c r="D7992">
        <v>4.4712259999999997</v>
      </c>
      <c r="E7992">
        <v>0.52723120000000001</v>
      </c>
      <c r="F7992" t="s">
        <v>42</v>
      </c>
      <c r="G7992">
        <v>-131.60599999999999</v>
      </c>
      <c r="H7992" s="1">
        <v>-4.9265920000000002E-6</v>
      </c>
      <c r="I7992">
        <v>132.04329999999999</v>
      </c>
      <c r="J7992">
        <v>-170.30500000000001</v>
      </c>
      <c r="K7992">
        <v>1.108646</v>
      </c>
      <c r="L7992">
        <v>135.31790000000001</v>
      </c>
      <c r="M7992">
        <v>0.98608620000000002</v>
      </c>
      <c r="N7992">
        <v>-1.601702E-2</v>
      </c>
      <c r="O7992">
        <v>0.1654621</v>
      </c>
      <c r="P7992">
        <v>0.98246480000000003</v>
      </c>
      <c r="Q7992">
        <v>0.1837984</v>
      </c>
      <c r="R7992">
        <v>-3.1322929999999999E-2</v>
      </c>
      <c r="S7992">
        <v>3.0651250000000001</v>
      </c>
      <c r="T7992">
        <v>-8.7115880000000007E-2</v>
      </c>
      <c r="U7992">
        <v>-0.25428770000000001</v>
      </c>
      <c r="V7992">
        <v>0.19958890000000001</v>
      </c>
      <c r="W7992">
        <v>0.193083</v>
      </c>
      <c r="X7992">
        <v>0.96066810000000002</v>
      </c>
      <c r="Y7992">
        <v>0.2462876</v>
      </c>
      <c r="Z7992">
        <v>-7.5049890000000001E-3</v>
      </c>
      <c r="AA7992">
        <v>0.96916769999999997</v>
      </c>
      <c r="AB7992">
        <v>30</v>
      </c>
      <c r="AC7992">
        <v>38.698999999999998</v>
      </c>
      <c r="AD7992">
        <v>-1.1086509265919999</v>
      </c>
      <c r="AE7992">
        <v>-3.2746000000000199</v>
      </c>
      <c r="AF7992">
        <v>9.6256465766668402</v>
      </c>
      <c r="AG7992">
        <v>-1.1086509265919999</v>
      </c>
      <c r="AH7992">
        <v>37.592915846416801</v>
      </c>
      <c r="AI7992">
        <v>91.636455127706398</v>
      </c>
      <c r="AJ7992">
        <v>75.638002826953695</v>
      </c>
      <c r="AK7992">
        <v>38.821508223299503</v>
      </c>
      <c r="AL7992">
        <v>78.867240345613595</v>
      </c>
      <c r="AM7992">
        <v>78.263169462349694</v>
      </c>
      <c r="AN7992">
        <v>0.99999998612490903</v>
      </c>
    </row>
    <row r="7993" spans="1:40" x14ac:dyDescent="0.25">
      <c r="A7993" t="str">
        <f>"20190303170443495"</f>
        <v>20190303170443495</v>
      </c>
      <c r="B7993" t="str">
        <f>"1551603883483271"</f>
        <v>1551603883483271</v>
      </c>
      <c r="C7993" t="s">
        <v>40</v>
      </c>
      <c r="D7993">
        <v>4.5484109999999998</v>
      </c>
      <c r="E7993">
        <v>0.52679929999999997</v>
      </c>
      <c r="F7993" t="s">
        <v>42</v>
      </c>
      <c r="G7993">
        <v>-134.7063</v>
      </c>
      <c r="H7993" s="1">
        <v>-3.8001970000000002E-6</v>
      </c>
      <c r="I7993">
        <v>132.05189999999999</v>
      </c>
      <c r="J7993">
        <v>-170.00739999999999</v>
      </c>
      <c r="K7993">
        <v>1.1090880000000001</v>
      </c>
      <c r="L7993">
        <v>135.35409999999999</v>
      </c>
      <c r="M7993">
        <v>0.98834920000000004</v>
      </c>
      <c r="N7993">
        <v>-1.590859E-2</v>
      </c>
      <c r="O7993">
        <v>0.151369899999999</v>
      </c>
      <c r="P7993">
        <v>0.9826106</v>
      </c>
      <c r="Q7993">
        <v>0.18071309999999999</v>
      </c>
      <c r="R7993">
        <v>-4.265004E-2</v>
      </c>
      <c r="S7993">
        <v>3.062424</v>
      </c>
      <c r="T7993">
        <v>-9.537292E-2</v>
      </c>
      <c r="U7993">
        <v>-0.28096009999999999</v>
      </c>
      <c r="V7993">
        <v>0.19672700000000001</v>
      </c>
      <c r="W7993">
        <v>0.19020619999999999</v>
      </c>
      <c r="X7993">
        <v>0.96183160000000001</v>
      </c>
      <c r="Y7993">
        <v>0.2408711</v>
      </c>
      <c r="Z7993">
        <v>-7.9546830000000006E-3</v>
      </c>
      <c r="AA7993">
        <v>0.97052450000000001</v>
      </c>
      <c r="AB7993">
        <v>30</v>
      </c>
      <c r="AC7993">
        <v>35.301099999999899</v>
      </c>
      <c r="AD7993">
        <v>-1.1090918001969901</v>
      </c>
      <c r="AE7993">
        <v>-3.3021999999999898</v>
      </c>
      <c r="AF7993">
        <v>8.5999244854083301</v>
      </c>
      <c r="AG7993">
        <v>-1.1090918001969901</v>
      </c>
      <c r="AH7993">
        <v>34.360688613246403</v>
      </c>
      <c r="AI7993">
        <v>91.793465006079202</v>
      </c>
      <c r="AJ7993">
        <v>75.948452308395204</v>
      </c>
      <c r="AK7993">
        <v>35.4379134226674</v>
      </c>
      <c r="AL7993">
        <v>79.035181618687503</v>
      </c>
      <c r="AM7993">
        <v>78.440514270282804</v>
      </c>
      <c r="AN7993">
        <v>0.99999996890299903</v>
      </c>
    </row>
    <row r="7994" spans="1:40" x14ac:dyDescent="0.25">
      <c r="A7994" t="str">
        <f>"20190303170443517"</f>
        <v>20190303170443517</v>
      </c>
      <c r="B7994" t="str">
        <f>"1551603883503767"</f>
        <v>1551603883503767</v>
      </c>
      <c r="C7994" t="s">
        <v>40</v>
      </c>
      <c r="D7994">
        <v>4.6570859999999996</v>
      </c>
      <c r="E7994">
        <v>0.52466979999999996</v>
      </c>
      <c r="F7994" t="s">
        <v>42</v>
      </c>
      <c r="G7994">
        <v>-136.94669999999999</v>
      </c>
      <c r="H7994" s="1">
        <v>-3.0630620000000002E-6</v>
      </c>
      <c r="I7994">
        <v>131.95689999999999</v>
      </c>
      <c r="J7994">
        <v>-169.70779999999999</v>
      </c>
      <c r="K7994">
        <v>1.1095710000000001</v>
      </c>
      <c r="L7994">
        <v>135.38630000000001</v>
      </c>
      <c r="M7994">
        <v>0.99032920000000002</v>
      </c>
      <c r="N7994">
        <v>-1.578982E-2</v>
      </c>
      <c r="O7994">
        <v>0.1378364</v>
      </c>
      <c r="P7994">
        <v>0.98236190000000001</v>
      </c>
      <c r="Q7994">
        <v>0.17948939999999999</v>
      </c>
      <c r="R7994">
        <v>-5.2428830000000003E-2</v>
      </c>
      <c r="S7994">
        <v>3.058319</v>
      </c>
      <c r="T7994">
        <v>-0.1025977</v>
      </c>
      <c r="U7994">
        <v>-0.3142548</v>
      </c>
      <c r="V7994">
        <v>0.19289970000000001</v>
      </c>
      <c r="W7994">
        <v>0.18922030000000001</v>
      </c>
      <c r="X7994">
        <v>0.96280080000000001</v>
      </c>
      <c r="Y7994">
        <v>0.23815459999999999</v>
      </c>
      <c r="Z7994">
        <v>-8.3049419999999992E-3</v>
      </c>
      <c r="AA7994">
        <v>0.97119180000000005</v>
      </c>
      <c r="AB7994">
        <v>30</v>
      </c>
      <c r="AC7994">
        <v>32.761099999999999</v>
      </c>
      <c r="AD7994">
        <v>-1.1095740630619999</v>
      </c>
      <c r="AE7994">
        <v>-3.42940000000001</v>
      </c>
      <c r="AF7994">
        <v>7.9039248565372304</v>
      </c>
      <c r="AG7994">
        <v>-1.1095740630619999</v>
      </c>
      <c r="AH7994">
        <v>31.9393222328539</v>
      </c>
      <c r="AI7994">
        <v>91.9314430431034</v>
      </c>
      <c r="AJ7994">
        <v>76.1004366139328</v>
      </c>
      <c r="AK7994">
        <v>32.9214745634712</v>
      </c>
      <c r="AL7994">
        <v>79.092714678052403</v>
      </c>
      <c r="AM7994">
        <v>78.670640141915698</v>
      </c>
      <c r="AN7994">
        <v>0.99999999833640996</v>
      </c>
    </row>
    <row r="7995" spans="1:40" x14ac:dyDescent="0.25">
      <c r="A7995" t="str">
        <f>"20190303170443539"</f>
        <v>20190303170443539</v>
      </c>
      <c r="B7995" t="str">
        <f>"1551603883534023"</f>
        <v>1551603883534023</v>
      </c>
      <c r="C7995" t="s">
        <v>40</v>
      </c>
      <c r="D7995">
        <v>4.452102</v>
      </c>
      <c r="E7995">
        <v>0.52278789999999997</v>
      </c>
      <c r="F7995" t="s">
        <v>42</v>
      </c>
      <c r="G7995">
        <v>-136.86179999999999</v>
      </c>
      <c r="H7995" s="1">
        <v>-3.1166559999999998E-6</v>
      </c>
      <c r="I7995">
        <v>131.86410000000001</v>
      </c>
      <c r="J7995">
        <v>-169.40049999999999</v>
      </c>
      <c r="K7995">
        <v>1.110042</v>
      </c>
      <c r="L7995">
        <v>135.41560000000001</v>
      </c>
      <c r="M7995">
        <v>0.9920949</v>
      </c>
      <c r="N7995">
        <v>-1.5669720000000002E-2</v>
      </c>
      <c r="O7995">
        <v>0.1245087</v>
      </c>
      <c r="P7995">
        <v>0.98224160000000005</v>
      </c>
      <c r="Q7995">
        <v>0.177811</v>
      </c>
      <c r="R7995">
        <v>-5.9877010000000001E-2</v>
      </c>
      <c r="S7995">
        <v>3.055237</v>
      </c>
      <c r="T7995">
        <v>-0.103209</v>
      </c>
      <c r="U7995">
        <v>-0.32762150000000001</v>
      </c>
      <c r="V7995">
        <v>0.1870048</v>
      </c>
      <c r="W7995">
        <v>0.18782940000000001</v>
      </c>
      <c r="X7995">
        <v>0.96423510000000001</v>
      </c>
      <c r="Y7995">
        <v>0.22939560000000001</v>
      </c>
      <c r="Z7995">
        <v>-7.9115260000000003E-3</v>
      </c>
      <c r="AA7995">
        <v>0.97330110000000003</v>
      </c>
      <c r="AB7995">
        <v>30</v>
      </c>
      <c r="AC7995">
        <v>32.538699999999999</v>
      </c>
      <c r="AD7995">
        <v>-1.1100451166559999</v>
      </c>
      <c r="AE7995">
        <v>-3.5514999999999999</v>
      </c>
      <c r="AF7995">
        <v>7.5670026138262498</v>
      </c>
      <c r="AG7995">
        <v>-1.1100451166559999</v>
      </c>
      <c r="AH7995">
        <v>31.806610414040499</v>
      </c>
      <c r="AI7995">
        <v>91.944571283008599</v>
      </c>
      <c r="AJ7995">
        <v>76.617730886408694</v>
      </c>
      <c r="AK7995">
        <v>32.713180749496303</v>
      </c>
      <c r="AL7995">
        <v>79.173862549366802</v>
      </c>
      <c r="AM7995">
        <v>79.024251534052098</v>
      </c>
      <c r="AN7995">
        <v>1.0000000033997001</v>
      </c>
    </row>
    <row r="7996" spans="1:40" x14ac:dyDescent="0.25">
      <c r="A7996" t="str">
        <f>"20190303170443562"</f>
        <v>20190303170443562</v>
      </c>
      <c r="B7996" t="str">
        <f>"1551603883553543"</f>
        <v>1551603883553543</v>
      </c>
      <c r="C7996" t="s">
        <v>40</v>
      </c>
      <c r="D7996">
        <v>4.4690570000000003</v>
      </c>
      <c r="E7996">
        <v>0.52138779999999996</v>
      </c>
      <c r="F7996" t="s">
        <v>42</v>
      </c>
      <c r="G7996">
        <v>-137.81389999999999</v>
      </c>
      <c r="H7996" s="1">
        <v>-2.7671519999999999E-6</v>
      </c>
      <c r="I7996">
        <v>131.9599</v>
      </c>
      <c r="J7996">
        <v>-169.10059999999999</v>
      </c>
      <c r="K7996">
        <v>1.110501</v>
      </c>
      <c r="L7996">
        <v>135.4408</v>
      </c>
      <c r="M7996">
        <v>0.99357930000000005</v>
      </c>
      <c r="N7996">
        <v>-1.555899E-2</v>
      </c>
      <c r="O7996">
        <v>0.11206339999999999</v>
      </c>
      <c r="P7996">
        <v>0.98239759999999998</v>
      </c>
      <c r="Q7996">
        <v>0.1753055</v>
      </c>
      <c r="R7996">
        <v>-6.452194E-2</v>
      </c>
      <c r="S7996">
        <v>3.0533139999999999</v>
      </c>
      <c r="T7996">
        <v>-0.1073023</v>
      </c>
      <c r="U7996">
        <v>-0.33404539999999999</v>
      </c>
      <c r="V7996">
        <v>0.17922939999999901</v>
      </c>
      <c r="W7996">
        <v>0.18565119999999999</v>
      </c>
      <c r="X7996">
        <v>0.96613170000000004</v>
      </c>
      <c r="Y7996">
        <v>0.2192674</v>
      </c>
      <c r="Z7996">
        <v>-7.7387580000000001E-3</v>
      </c>
      <c r="AA7996">
        <v>0.97563409999999995</v>
      </c>
      <c r="AB7996">
        <v>30</v>
      </c>
      <c r="AC7996">
        <v>31.2867</v>
      </c>
      <c r="AD7996">
        <v>-1.1105037671519999</v>
      </c>
      <c r="AE7996">
        <v>-3.4808999999999899</v>
      </c>
      <c r="AF7996">
        <v>6.9568294976985801</v>
      </c>
      <c r="AG7996">
        <v>-1.1105037671519999</v>
      </c>
      <c r="AH7996">
        <v>30.6612939097176</v>
      </c>
      <c r="AI7996">
        <v>92.022884559191496</v>
      </c>
      <c r="AJ7996">
        <v>77.216429949589298</v>
      </c>
      <c r="AK7996">
        <v>31.460223131678401</v>
      </c>
      <c r="AL7996">
        <v>79.300898905256403</v>
      </c>
      <c r="AM7996">
        <v>79.490398236522097</v>
      </c>
      <c r="AN7996">
        <v>1.00000000381534</v>
      </c>
    </row>
    <row r="7997" spans="1:40" x14ac:dyDescent="0.25">
      <c r="A7997" t="str">
        <f>"20190303170443584"</f>
        <v>20190303170443584</v>
      </c>
      <c r="B7997" t="str">
        <f>"1551603883574039"</f>
        <v>1551603883574039</v>
      </c>
      <c r="C7997" t="s">
        <v>40</v>
      </c>
      <c r="D7997">
        <v>4.6574080000000002</v>
      </c>
      <c r="E7997">
        <v>0.52009700000000003</v>
      </c>
      <c r="F7997" t="s">
        <v>42</v>
      </c>
      <c r="G7997">
        <v>-138.8699</v>
      </c>
      <c r="H7997" s="1">
        <v>-2.368062E-6</v>
      </c>
      <c r="I7997">
        <v>132.10919999999999</v>
      </c>
      <c r="J7997">
        <v>-168.80019999999999</v>
      </c>
      <c r="K7997">
        <v>1.110957</v>
      </c>
      <c r="L7997">
        <v>135.46260000000001</v>
      </c>
      <c r="M7997">
        <v>0.99484899999999998</v>
      </c>
      <c r="N7997">
        <v>-1.5447519999999999E-2</v>
      </c>
      <c r="O7997">
        <v>0.1001847</v>
      </c>
      <c r="P7997">
        <v>0.98252949999999994</v>
      </c>
      <c r="Q7997">
        <v>0.1722543</v>
      </c>
      <c r="R7997">
        <v>-7.0459629999999995E-2</v>
      </c>
      <c r="S7997">
        <v>3.051682</v>
      </c>
      <c r="T7997">
        <v>-0.1121011</v>
      </c>
      <c r="U7997">
        <v>-0.33630369999999998</v>
      </c>
      <c r="V7997">
        <v>0.1732785</v>
      </c>
      <c r="W7997">
        <v>0.18285979999999999</v>
      </c>
      <c r="X7997">
        <v>0.96774830000000001</v>
      </c>
      <c r="Y7997">
        <v>0.20836160000000001</v>
      </c>
      <c r="Z7997">
        <v>-7.5549859999999996E-3</v>
      </c>
      <c r="AA7997">
        <v>0.97802270000000002</v>
      </c>
      <c r="AB7997">
        <v>30</v>
      </c>
      <c r="AC7997">
        <v>29.9302999999999</v>
      </c>
      <c r="AD7997">
        <v>-1.110959368062</v>
      </c>
      <c r="AE7997">
        <v>-3.3534000000000201</v>
      </c>
      <c r="AF7997">
        <v>6.3268314857799899</v>
      </c>
      <c r="AG7997">
        <v>-1.110959368062</v>
      </c>
      <c r="AH7997">
        <v>29.403671890170099</v>
      </c>
      <c r="AI7997">
        <v>92.115407234453201</v>
      </c>
      <c r="AJ7997">
        <v>77.856729387321707</v>
      </c>
      <c r="AK7997">
        <v>30.0971584703892</v>
      </c>
      <c r="AL7997">
        <v>79.463619977518704</v>
      </c>
      <c r="AM7997">
        <v>79.848576098276695</v>
      </c>
      <c r="AN7997">
        <v>0.99999995858558899</v>
      </c>
    </row>
    <row r="7998" spans="1:40" x14ac:dyDescent="0.25">
      <c r="A7998" t="str">
        <f>"20190303170443608"</f>
        <v>20190303170443608</v>
      </c>
      <c r="B7998" t="str">
        <f>"1551603883593559"</f>
        <v>1551603883593559</v>
      </c>
      <c r="C7998" t="s">
        <v>40</v>
      </c>
      <c r="D7998">
        <v>4.5476999999999999</v>
      </c>
      <c r="E7998">
        <v>0.5195417</v>
      </c>
      <c r="F7998" t="s">
        <v>42</v>
      </c>
      <c r="G7998">
        <v>-140.3115</v>
      </c>
      <c r="H7998" s="1">
        <v>-5.4486379999999996E-6</v>
      </c>
      <c r="I7998">
        <v>132.23099999999999</v>
      </c>
      <c r="J7998">
        <v>-168.4906</v>
      </c>
      <c r="K7998">
        <v>1.111453</v>
      </c>
      <c r="L7998">
        <v>135.48179999999999</v>
      </c>
      <c r="M7998">
        <v>0.99595009999999995</v>
      </c>
      <c r="N7998">
        <v>-1.5328390000000001E-2</v>
      </c>
      <c r="O7998">
        <v>8.8592089999999998E-2</v>
      </c>
      <c r="P7998">
        <v>0.98259819999999998</v>
      </c>
      <c r="Q7998">
        <v>0.16926189999999999</v>
      </c>
      <c r="R7998">
        <v>-7.6493169999999999E-2</v>
      </c>
      <c r="S7998">
        <v>3.0494080000000001</v>
      </c>
      <c r="T7998">
        <v>-0.1189166</v>
      </c>
      <c r="U7998">
        <v>-0.34590149999999997</v>
      </c>
      <c r="V7998">
        <v>0.16768669999999999</v>
      </c>
      <c r="W7998">
        <v>0.18011240000000001</v>
      </c>
      <c r="X7998">
        <v>0.96924750000000004</v>
      </c>
      <c r="Y7998">
        <v>0.20006969999999999</v>
      </c>
      <c r="Z7998">
        <v>-7.5166030000000002E-3</v>
      </c>
      <c r="AA7998">
        <v>0.97975279999999998</v>
      </c>
      <c r="AB7998">
        <v>30</v>
      </c>
      <c r="AC7998">
        <v>28.179099999999998</v>
      </c>
      <c r="AD7998">
        <v>-1.1114584486379999</v>
      </c>
      <c r="AE7998">
        <v>-3.2507999999999901</v>
      </c>
      <c r="AF7998">
        <v>5.7259623464830396</v>
      </c>
      <c r="AG7998">
        <v>-1.1114584486379999</v>
      </c>
      <c r="AH7998">
        <v>27.737659077190902</v>
      </c>
      <c r="AI7998">
        <v>92.247301739261601</v>
      </c>
      <c r="AJ7998">
        <v>78.336114028827097</v>
      </c>
      <c r="AK7998">
        <v>28.3443065845481</v>
      </c>
      <c r="AL7998">
        <v>79.6236932627653</v>
      </c>
      <c r="AM7998">
        <v>80.184583572029993</v>
      </c>
      <c r="AN7998">
        <v>1.0000000111234499</v>
      </c>
    </row>
    <row r="7999" spans="1:40" x14ac:dyDescent="0.25">
      <c r="A7999" t="str">
        <f>"20190303170443630"</f>
        <v>20190303170443630</v>
      </c>
      <c r="B7999" t="str">
        <f>"1551603883623815"</f>
        <v>1551603883623815</v>
      </c>
      <c r="C7999" t="s">
        <v>40</v>
      </c>
      <c r="D7999">
        <v>4.5959859999999999</v>
      </c>
      <c r="E7999">
        <v>0.48729810000000001</v>
      </c>
      <c r="F7999" t="s">
        <v>42</v>
      </c>
      <c r="G7999">
        <v>-141.69399999999999</v>
      </c>
      <c r="H7999" s="1">
        <v>-4.8425629999999996E-6</v>
      </c>
      <c r="I7999">
        <v>132.30439999999999</v>
      </c>
      <c r="J7999">
        <v>-168.18960000000001</v>
      </c>
      <c r="K7999">
        <v>1.111993</v>
      </c>
      <c r="L7999">
        <v>135.4975</v>
      </c>
      <c r="M7999">
        <v>0.99683840000000001</v>
      </c>
      <c r="N7999">
        <v>-1.520967E-2</v>
      </c>
      <c r="O7999">
        <v>7.7986600000000003E-2</v>
      </c>
      <c r="P7999">
        <v>0.98217840000000001</v>
      </c>
      <c r="Q7999">
        <v>0.16886979999999999</v>
      </c>
      <c r="R7999">
        <v>-8.2514580000000004E-2</v>
      </c>
      <c r="S7999">
        <v>3.046783</v>
      </c>
      <c r="T7999">
        <v>-0.12637309999999999</v>
      </c>
      <c r="U7999">
        <v>-0.36126710000000001</v>
      </c>
      <c r="V7999">
        <v>0.16306039999999999</v>
      </c>
      <c r="W7999">
        <v>0.1799337</v>
      </c>
      <c r="X7999">
        <v>0.97006970000000003</v>
      </c>
      <c r="Y7999">
        <v>0.1945897</v>
      </c>
      <c r="Z7999">
        <v>-7.5476819999999896E-3</v>
      </c>
      <c r="AA7999">
        <v>0.9808557</v>
      </c>
      <c r="AB7999">
        <v>30</v>
      </c>
      <c r="AC7999">
        <v>26.4956</v>
      </c>
      <c r="AD7999">
        <v>-1.1119978425629999</v>
      </c>
      <c r="AE7999">
        <v>-3.19310000000001</v>
      </c>
      <c r="AF7999">
        <v>5.2408145580774796</v>
      </c>
      <c r="AG7999">
        <v>-1.1119978425629999</v>
      </c>
      <c r="AH7999">
        <v>26.1204884539228</v>
      </c>
      <c r="AI7999">
        <v>92.390138461906801</v>
      </c>
      <c r="AJ7999">
        <v>78.654813445502796</v>
      </c>
      <c r="AK7999">
        <v>26.664256852676999</v>
      </c>
      <c r="AL7999">
        <v>79.634102236268006</v>
      </c>
      <c r="AM7999">
        <v>80.458269735504899</v>
      </c>
      <c r="AN7999">
        <v>1.0000000266509601</v>
      </c>
    </row>
    <row r="8000" spans="1:40" x14ac:dyDescent="0.25">
      <c r="A8000" t="str">
        <f>"20190303170443652"</f>
        <v>20190303170443652</v>
      </c>
      <c r="B8000" t="str">
        <f>"1551603883643336"</f>
        <v>1551603883643336</v>
      </c>
      <c r="C8000" t="s">
        <v>40</v>
      </c>
      <c r="D8000">
        <v>4.6003550000000004</v>
      </c>
      <c r="E8000">
        <v>0.48384480000000002</v>
      </c>
      <c r="F8000" t="s">
        <v>42</v>
      </c>
      <c r="G8000">
        <v>-134.03890000000001</v>
      </c>
      <c r="H8000" s="1">
        <v>-3.515346E-6</v>
      </c>
      <c r="I8000">
        <v>134.11539999999999</v>
      </c>
      <c r="J8000">
        <v>-167.8946</v>
      </c>
      <c r="K8000">
        <v>1.112592</v>
      </c>
      <c r="L8000">
        <v>135.5104</v>
      </c>
      <c r="M8000">
        <v>0.99755210000000005</v>
      </c>
      <c r="N8000">
        <v>-1.509171E-2</v>
      </c>
      <c r="O8000">
        <v>6.827983E-2</v>
      </c>
      <c r="P8000">
        <v>0.98184669999999996</v>
      </c>
      <c r="Q8000">
        <v>0.1681069</v>
      </c>
      <c r="R8000">
        <v>-8.7849559999999993E-2</v>
      </c>
      <c r="S8000">
        <v>3.061188</v>
      </c>
      <c r="T8000">
        <v>-9.9676730000000005E-2</v>
      </c>
      <c r="U8000">
        <v>-0.1238861</v>
      </c>
      <c r="V8000">
        <v>0.1586119</v>
      </c>
      <c r="W8000">
        <v>0.17938959999999901</v>
      </c>
      <c r="X8000">
        <v>0.97090759999999998</v>
      </c>
      <c r="Y8000">
        <v>0.1084798</v>
      </c>
      <c r="Z8000">
        <v>-3.775278E-3</v>
      </c>
      <c r="AA8000">
        <v>0.99409150000000002</v>
      </c>
      <c r="AB8000">
        <v>30</v>
      </c>
      <c r="AC8000">
        <v>33.855699999999899</v>
      </c>
      <c r="AD8000">
        <v>-1.1125955153460001</v>
      </c>
      <c r="AE8000">
        <v>-1.39500000000001</v>
      </c>
      <c r="AF8000">
        <v>3.6996794913878599</v>
      </c>
      <c r="AG8000">
        <v>-1.1125955153460001</v>
      </c>
      <c r="AH8000">
        <v>33.6451345609036</v>
      </c>
      <c r="AI8000">
        <v>91.882657931813199</v>
      </c>
      <c r="AJ8000">
        <v>83.724864162857997</v>
      </c>
      <c r="AK8000">
        <v>33.866215860959002</v>
      </c>
      <c r="AL8000">
        <v>79.665791880927202</v>
      </c>
      <c r="AM8000">
        <v>80.721858722309705</v>
      </c>
      <c r="AN8000">
        <v>0.99999996557376403</v>
      </c>
    </row>
    <row r="8001" spans="1:40" x14ac:dyDescent="0.25">
      <c r="A8001" t="str">
        <f>"20190303170443674"</f>
        <v>20190303170443674</v>
      </c>
      <c r="B8001" t="str">
        <f>"1551603883663832"</f>
        <v>1551603883663832</v>
      </c>
      <c r="C8001" t="s">
        <v>40</v>
      </c>
      <c r="D8001">
        <v>4.4921959999999999</v>
      </c>
      <c r="E8001">
        <v>0.48252070000000002</v>
      </c>
      <c r="F8001" t="s">
        <v>42</v>
      </c>
      <c r="G8001">
        <v>-132.36519999999999</v>
      </c>
      <c r="H8001" s="1">
        <v>-4.2167190000000001E-6</v>
      </c>
      <c r="I8001">
        <v>134.20920000000001</v>
      </c>
      <c r="J8001">
        <v>-167.59620000000001</v>
      </c>
      <c r="K8001">
        <v>1.1132599999999999</v>
      </c>
      <c r="L8001">
        <v>135.52119999999999</v>
      </c>
      <c r="M8001">
        <v>0.99813320000000005</v>
      </c>
      <c r="N8001">
        <v>-1.4971369999999999E-2</v>
      </c>
      <c r="O8001">
        <v>5.921162E-2</v>
      </c>
      <c r="P8001">
        <v>0.98193090000000005</v>
      </c>
      <c r="Q8001">
        <v>0.16654949999999999</v>
      </c>
      <c r="R8001">
        <v>-8.9851299999999995E-2</v>
      </c>
      <c r="S8001">
        <v>3.0618590000000001</v>
      </c>
      <c r="T8001">
        <v>-9.5881460000000002E-2</v>
      </c>
      <c r="U8001">
        <v>-0.11213679999999999</v>
      </c>
      <c r="V8001">
        <v>0.1514443</v>
      </c>
      <c r="W8001">
        <v>0.17812520000000001</v>
      </c>
      <c r="X8001">
        <v>0.97228400000000004</v>
      </c>
      <c r="Y8001">
        <v>9.5636479999999996E-2</v>
      </c>
      <c r="Z8001">
        <v>-3.1795389999999999E-3</v>
      </c>
      <c r="AA8001">
        <v>0.9954113</v>
      </c>
      <c r="AB8001">
        <v>30</v>
      </c>
      <c r="AC8001">
        <v>35.231000000000002</v>
      </c>
      <c r="AD8001">
        <v>-1.1132642167190001</v>
      </c>
      <c r="AE8001">
        <v>-1.3119999999999801</v>
      </c>
      <c r="AF8001">
        <v>3.3926330450680702</v>
      </c>
      <c r="AG8001">
        <v>-1.1132642167190001</v>
      </c>
      <c r="AH8001">
        <v>35.056521989589697</v>
      </c>
      <c r="AI8001">
        <v>91.810436225085795</v>
      </c>
      <c r="AJ8001">
        <v>84.4723523307741</v>
      </c>
      <c r="AK8001">
        <v>35.237892249697602</v>
      </c>
      <c r="AL8001">
        <v>79.739423710387399</v>
      </c>
      <c r="AM8001">
        <v>81.1466714059152</v>
      </c>
      <c r="AN8001">
        <v>1.0000000697667599</v>
      </c>
    </row>
    <row r="8002" spans="1:40" x14ac:dyDescent="0.25">
      <c r="A8002" t="str">
        <f>"20190303170443697"</f>
        <v>20190303170443697</v>
      </c>
      <c r="B8002" t="str">
        <f>"1551603883683351"</f>
        <v>1551603883683351</v>
      </c>
      <c r="C8002" t="s">
        <v>40</v>
      </c>
      <c r="D8002">
        <v>4.5033969999999997</v>
      </c>
      <c r="E8002">
        <v>0.48112169999999999</v>
      </c>
      <c r="F8002" t="s">
        <v>42</v>
      </c>
      <c r="G8002">
        <v>-133.02279999999999</v>
      </c>
      <c r="H8002" s="1">
        <v>-3.9194820000000003E-6</v>
      </c>
      <c r="I8002">
        <v>134.2946</v>
      </c>
      <c r="J8002">
        <v>-167.2929</v>
      </c>
      <c r="K8002">
        <v>1.114004</v>
      </c>
      <c r="L8002">
        <v>135.53020000000001</v>
      </c>
      <c r="M8002">
        <v>0.99859379999999998</v>
      </c>
      <c r="N8002">
        <v>-1.484922E-2</v>
      </c>
      <c r="O8002">
        <v>5.0893029999999999E-2</v>
      </c>
      <c r="P8002">
        <v>0.98207849999999997</v>
      </c>
      <c r="Q8002">
        <v>0.1655327</v>
      </c>
      <c r="R8002">
        <v>-9.0116399999999999E-2</v>
      </c>
      <c r="S8002">
        <v>3.0619960000000002</v>
      </c>
      <c r="T8002">
        <v>-9.8596100000000006E-2</v>
      </c>
      <c r="U8002">
        <v>-0.1086273</v>
      </c>
      <c r="V8002">
        <v>0.14325360000000001</v>
      </c>
      <c r="W8002">
        <v>0.17742169999999999</v>
      </c>
      <c r="X8002">
        <v>0.97365290000000004</v>
      </c>
      <c r="Y8002">
        <v>8.62015E-2</v>
      </c>
      <c r="Z8002">
        <v>-2.909694E-3</v>
      </c>
      <c r="AA8002">
        <v>0.99627350000000003</v>
      </c>
      <c r="AB8002">
        <v>30</v>
      </c>
      <c r="AC8002">
        <v>34.270099999999999</v>
      </c>
      <c r="AD8002">
        <v>-1.1140079194820001</v>
      </c>
      <c r="AE8002">
        <v>-1.2356</v>
      </c>
      <c r="AF8002">
        <v>2.9751601098467502</v>
      </c>
      <c r="AG8002">
        <v>-1.1140079194820001</v>
      </c>
      <c r="AH8002">
        <v>34.126775116568297</v>
      </c>
      <c r="AI8002">
        <v>91.862595259203403</v>
      </c>
      <c r="AJ8002">
        <v>85.017571485053196</v>
      </c>
      <c r="AK8002">
        <v>34.274325247635602</v>
      </c>
      <c r="AL8002">
        <v>79.780383122594202</v>
      </c>
      <c r="AM8002">
        <v>81.630119320839199</v>
      </c>
      <c r="AN8002">
        <v>1.0000000116111301</v>
      </c>
    </row>
    <row r="8003" spans="1:40" x14ac:dyDescent="0.25">
      <c r="A8003" t="str">
        <f>"20190303170443719"</f>
        <v>20190303170443719</v>
      </c>
      <c r="B8003" t="str">
        <f>"1551603883713607"</f>
        <v>1551603883713607</v>
      </c>
      <c r="C8003" t="s">
        <v>40</v>
      </c>
      <c r="D8003">
        <v>4.4863949999999999</v>
      </c>
      <c r="E8003">
        <v>0.47933500000000001</v>
      </c>
      <c r="F8003" t="s">
        <v>42</v>
      </c>
      <c r="G8003">
        <v>-133.24279999999999</v>
      </c>
      <c r="H8003" s="1">
        <v>-3.8026880000000001E-6</v>
      </c>
      <c r="I8003">
        <v>134.42089999999999</v>
      </c>
      <c r="J8003">
        <v>-166.99029999999999</v>
      </c>
      <c r="K8003">
        <v>1.1147769999999999</v>
      </c>
      <c r="L8003">
        <v>135.53739999999999</v>
      </c>
      <c r="M8003">
        <v>0.99894369999999999</v>
      </c>
      <c r="N8003">
        <v>-1.4730399999999999E-2</v>
      </c>
      <c r="O8003">
        <v>4.3525599999999998E-2</v>
      </c>
      <c r="P8003">
        <v>0.98188470000000005</v>
      </c>
      <c r="Q8003">
        <v>0.16659370000000001</v>
      </c>
      <c r="R8003">
        <v>-9.0272820000000004E-2</v>
      </c>
      <c r="S8003">
        <v>3.0624850000000001</v>
      </c>
      <c r="T8003">
        <v>-0.1001942</v>
      </c>
      <c r="U8003">
        <v>-9.9761959999999997E-2</v>
      </c>
      <c r="V8003">
        <v>0.13588339999999999</v>
      </c>
      <c r="W8003">
        <v>0.17876</v>
      </c>
      <c r="X8003">
        <v>0.9744642</v>
      </c>
      <c r="Y8003">
        <v>7.5968670000000002E-2</v>
      </c>
      <c r="Z8003">
        <v>-2.5841879999999998E-3</v>
      </c>
      <c r="AA8003">
        <v>0.99710690000000002</v>
      </c>
      <c r="AB8003">
        <v>30</v>
      </c>
      <c r="AC8003">
        <v>33.747500000000002</v>
      </c>
      <c r="AD8003">
        <v>-1.1147808026879999</v>
      </c>
      <c r="AE8003">
        <v>-1.1165</v>
      </c>
      <c r="AF8003">
        <v>2.5816672872372899</v>
      </c>
      <c r="AG8003">
        <v>-1.1147808026879999</v>
      </c>
      <c r="AH8003">
        <v>33.630252866087098</v>
      </c>
      <c r="AI8003">
        <v>91.892988675051697</v>
      </c>
      <c r="AJ8003">
        <v>85.610229300009607</v>
      </c>
      <c r="AK8003">
        <v>33.7476169537494</v>
      </c>
      <c r="AL8003">
        <v>79.702457902437104</v>
      </c>
      <c r="AM8003">
        <v>82.061623709597399</v>
      </c>
      <c r="AN8003">
        <v>0.99999995653859897</v>
      </c>
    </row>
    <row r="8004" spans="1:40" x14ac:dyDescent="0.25">
      <c r="A8004" t="str">
        <f>"20190303170443740"</f>
        <v>20190303170443740</v>
      </c>
      <c r="B8004" t="str">
        <f>"1551603883733131"</f>
        <v>1551603883733131</v>
      </c>
      <c r="C8004" t="s">
        <v>40</v>
      </c>
      <c r="D8004">
        <v>4.468496</v>
      </c>
      <c r="E8004">
        <v>0.47857820000000001</v>
      </c>
      <c r="F8004" t="s">
        <v>42</v>
      </c>
      <c r="G8004">
        <v>-130.8596</v>
      </c>
      <c r="H8004" s="1">
        <v>-4.8065810000000004E-6</v>
      </c>
      <c r="I8004">
        <v>134.52510000000001</v>
      </c>
      <c r="J8004">
        <v>-166.69730000000001</v>
      </c>
      <c r="K8004">
        <v>1.115469</v>
      </c>
      <c r="L8004">
        <v>135.54310000000001</v>
      </c>
      <c r="M8004">
        <v>0.99920370000000003</v>
      </c>
      <c r="N8004">
        <v>-1.4622990000000001E-2</v>
      </c>
      <c r="O8004">
        <v>3.7122570000000001E-2</v>
      </c>
      <c r="P8004">
        <v>0.98205880000000001</v>
      </c>
      <c r="Q8004">
        <v>0.165491</v>
      </c>
      <c r="R8004">
        <v>-9.0408470000000005E-2</v>
      </c>
      <c r="S8004">
        <v>3.0634769999999998</v>
      </c>
      <c r="T8004">
        <v>-9.4520930000000003E-2</v>
      </c>
      <c r="U8004">
        <v>-8.5830690000000001E-2</v>
      </c>
      <c r="V8004">
        <v>0.12944549999999999</v>
      </c>
      <c r="W8004">
        <v>0.1778845</v>
      </c>
      <c r="X8004">
        <v>0.97550029999999999</v>
      </c>
      <c r="Y8004">
        <v>6.5048610000000007E-2</v>
      </c>
      <c r="Z8004">
        <v>-2.0810809999999998E-3</v>
      </c>
      <c r="AA8004">
        <v>0.99787990000000004</v>
      </c>
      <c r="AB8004">
        <v>30</v>
      </c>
      <c r="AC8004">
        <v>35.837699999999998</v>
      </c>
      <c r="AD8004">
        <v>-1.1154738065809999</v>
      </c>
      <c r="AE8004">
        <v>-1.018</v>
      </c>
      <c r="AF8004">
        <v>2.3455574177069001</v>
      </c>
      <c r="AG8004">
        <v>-1.1154738065809999</v>
      </c>
      <c r="AH8004">
        <v>35.740599755836101</v>
      </c>
      <c r="AI8004">
        <v>91.783801780042296</v>
      </c>
      <c r="AJ8004">
        <v>86.245219681935694</v>
      </c>
      <c r="AK8004">
        <v>35.834848853034103</v>
      </c>
      <c r="AL8004">
        <v>79.753437221655403</v>
      </c>
      <c r="AM8004">
        <v>82.441208726895496</v>
      </c>
      <c r="AN8004">
        <v>0.99999993405529197</v>
      </c>
    </row>
    <row r="8005" spans="1:40" x14ac:dyDescent="0.25">
      <c r="A8005" t="str">
        <f>"20190303170443763"</f>
        <v>20190303170443763</v>
      </c>
      <c r="B8005" t="str">
        <f>"1551603883753623"</f>
        <v>1551603883753623</v>
      </c>
      <c r="C8005" t="s">
        <v>40</v>
      </c>
      <c r="D8005">
        <v>4.4642679999999997</v>
      </c>
      <c r="E8005">
        <v>0.47809649999999998</v>
      </c>
      <c r="F8005" t="s">
        <v>42</v>
      </c>
      <c r="G8005">
        <v>-131.1234</v>
      </c>
      <c r="H8005" s="1">
        <v>-4.6744359999999998E-6</v>
      </c>
      <c r="I8005">
        <v>134.63210000000001</v>
      </c>
      <c r="J8005">
        <v>-166.40209999999999</v>
      </c>
      <c r="K8005">
        <v>1.116126</v>
      </c>
      <c r="L8005">
        <v>135.5478</v>
      </c>
      <c r="M8005">
        <v>0.9993995</v>
      </c>
      <c r="N8005">
        <v>-1.4520959999999999E-2</v>
      </c>
      <c r="O8005">
        <v>3.1462200000000003E-2</v>
      </c>
      <c r="P8005">
        <v>0.98264969999999996</v>
      </c>
      <c r="Q8005">
        <v>0.1628396</v>
      </c>
      <c r="R8005">
        <v>-8.8785950000000002E-2</v>
      </c>
      <c r="S8005">
        <v>3.0637509999999999</v>
      </c>
      <c r="T8005">
        <v>-9.6068619999999993E-2</v>
      </c>
      <c r="U8005">
        <v>-7.846069E-2</v>
      </c>
      <c r="V8005">
        <v>0.1219818</v>
      </c>
      <c r="W8005">
        <v>0.17545329999999901</v>
      </c>
      <c r="X8005">
        <v>0.97690149999999998</v>
      </c>
      <c r="Y8005">
        <v>5.6998060000000003E-2</v>
      </c>
      <c r="Z8005">
        <v>-1.836695E-3</v>
      </c>
      <c r="AA8005">
        <v>0.99837260000000005</v>
      </c>
      <c r="AB8005">
        <v>30</v>
      </c>
      <c r="AC8005">
        <v>35.278699999999901</v>
      </c>
      <c r="AD8005">
        <v>-1.116130674436</v>
      </c>
      <c r="AE8005">
        <v>-0.91569999999998597</v>
      </c>
      <c r="AF8005">
        <v>2.0232852758939002</v>
      </c>
      <c r="AG8005">
        <v>-1.116130674436</v>
      </c>
      <c r="AH8005">
        <v>35.197212030769897</v>
      </c>
      <c r="AI8005">
        <v>91.813293129242595</v>
      </c>
      <c r="AJ8005">
        <v>86.710015846517507</v>
      </c>
      <c r="AK8005">
        <v>35.272980675426901</v>
      </c>
      <c r="AL8005">
        <v>79.894961361254005</v>
      </c>
      <c r="AM8005">
        <v>82.882542293597197</v>
      </c>
      <c r="AN8005">
        <v>0.99999998035718896</v>
      </c>
    </row>
    <row r="8006" spans="1:40" x14ac:dyDescent="0.25">
      <c r="A8006" t="str">
        <f>"20190303170443785"</f>
        <v>20190303170443785</v>
      </c>
      <c r="B8006" t="str">
        <f>"1551603883774120"</f>
        <v>1551603883774120</v>
      </c>
      <c r="C8006" t="s">
        <v>40</v>
      </c>
      <c r="D8006">
        <v>4.4992000000000001</v>
      </c>
      <c r="E8006">
        <v>0.47793190000000002</v>
      </c>
      <c r="F8006" t="s">
        <v>42</v>
      </c>
      <c r="G8006">
        <v>-133.4828</v>
      </c>
      <c r="H8006" s="1">
        <v>-3.6323770000000002E-6</v>
      </c>
      <c r="I8006">
        <v>134.8006</v>
      </c>
      <c r="J8006">
        <v>-166.1028</v>
      </c>
      <c r="K8006">
        <v>1.1168100000000001</v>
      </c>
      <c r="L8006">
        <v>135.5515</v>
      </c>
      <c r="M8006">
        <v>0.99954209999999999</v>
      </c>
      <c r="N8006">
        <v>-1.4420000000000001E-2</v>
      </c>
      <c r="O8006">
        <v>2.6605130000000001E-2</v>
      </c>
      <c r="P8006">
        <v>0.98338789999999998</v>
      </c>
      <c r="Q8006">
        <v>0.1599382</v>
      </c>
      <c r="R8006">
        <v>-8.5838590000000006E-2</v>
      </c>
      <c r="S8006">
        <v>3.063904</v>
      </c>
      <c r="T8006">
        <v>-0.1038815</v>
      </c>
      <c r="U8006">
        <v>-6.9534299999999993E-2</v>
      </c>
      <c r="V8006">
        <v>0.11397160000000001</v>
      </c>
      <c r="W8006">
        <v>0.17276269999999999</v>
      </c>
      <c r="X8006">
        <v>0.97834739999999998</v>
      </c>
      <c r="Y8006">
        <v>4.9236500000000002E-2</v>
      </c>
      <c r="Z8006">
        <v>-1.7076379999999901E-3</v>
      </c>
      <c r="AA8006">
        <v>0.9987857</v>
      </c>
      <c r="AB8006">
        <v>30</v>
      </c>
      <c r="AC8006">
        <v>32.619999999999997</v>
      </c>
      <c r="AD8006">
        <v>-1.1168136323769999</v>
      </c>
      <c r="AE8006">
        <v>-0.75090000000000101</v>
      </c>
      <c r="AF8006">
        <v>1.6166896045391801</v>
      </c>
      <c r="AG8006">
        <v>-1.1168136323769999</v>
      </c>
      <c r="AH8006">
        <v>32.550336358770402</v>
      </c>
      <c r="AI8006">
        <v>91.962650355313301</v>
      </c>
      <c r="AJ8006">
        <v>87.156605848053005</v>
      </c>
      <c r="AK8006">
        <v>32.609589924376202</v>
      </c>
      <c r="AL8006">
        <v>80.051513271528904</v>
      </c>
      <c r="AM8006">
        <v>83.355335488110001</v>
      </c>
      <c r="AN8006">
        <v>1.0000000556023001</v>
      </c>
    </row>
    <row r="8007" spans="1:40" x14ac:dyDescent="0.25">
      <c r="A8007" t="str">
        <f>"20190303170443809"</f>
        <v>20190303170443809</v>
      </c>
      <c r="B8007" t="str">
        <f>"1551603883803234"</f>
        <v>1551603883803234</v>
      </c>
      <c r="C8007" t="s">
        <v>40</v>
      </c>
      <c r="D8007">
        <v>4.4369139999999998</v>
      </c>
      <c r="E8007">
        <v>0.47760799999999998</v>
      </c>
      <c r="F8007" t="s">
        <v>42</v>
      </c>
      <c r="G8007">
        <v>-135.90940000000001</v>
      </c>
      <c r="H8007" s="1">
        <v>-2.6196120000000002E-6</v>
      </c>
      <c r="I8007">
        <v>134.9502</v>
      </c>
      <c r="J8007">
        <v>-165.7979</v>
      </c>
      <c r="K8007">
        <v>1.1175520000000001</v>
      </c>
      <c r="L8007">
        <v>135.5548</v>
      </c>
      <c r="M8007">
        <v>0.99964240000000004</v>
      </c>
      <c r="N8007">
        <v>-1.432163E-2</v>
      </c>
      <c r="O8007">
        <v>2.2587980000000001E-2</v>
      </c>
      <c r="P8007">
        <v>0.9835256</v>
      </c>
      <c r="Q8007">
        <v>0.16026969999999999</v>
      </c>
      <c r="R8007">
        <v>-8.3615469999999997E-2</v>
      </c>
      <c r="S8007">
        <v>3.0637819999999998</v>
      </c>
      <c r="T8007">
        <v>-0.1133251</v>
      </c>
      <c r="U8007">
        <v>-6.1019900000000002E-2</v>
      </c>
      <c r="V8007">
        <v>0.1075023</v>
      </c>
      <c r="W8007">
        <v>0.17327089999999901</v>
      </c>
      <c r="X8007">
        <v>0.97898949999999996</v>
      </c>
      <c r="Y8007">
        <v>4.2447249999999999E-2</v>
      </c>
      <c r="Z8007">
        <v>-1.6005419999999999E-3</v>
      </c>
      <c r="AA8007">
        <v>0.99909740000000002</v>
      </c>
      <c r="AB8007">
        <v>30</v>
      </c>
      <c r="AC8007">
        <v>29.888500000000001</v>
      </c>
      <c r="AD8007">
        <v>-1.1175546196120001</v>
      </c>
      <c r="AE8007">
        <v>-0.60460000000000402</v>
      </c>
      <c r="AF8007">
        <v>1.2778499176699101</v>
      </c>
      <c r="AG8007">
        <v>-1.1175546196120001</v>
      </c>
      <c r="AH8007">
        <v>29.8255334023061</v>
      </c>
      <c r="AI8007">
        <v>92.143888451189298</v>
      </c>
      <c r="AJ8007">
        <v>87.5467108394203</v>
      </c>
      <c r="AK8007">
        <v>29.8738057748253</v>
      </c>
      <c r="AL8007">
        <v>80.021949096962103</v>
      </c>
      <c r="AM8007">
        <v>83.733488835712805</v>
      </c>
      <c r="AN8007">
        <v>0.999999995201175</v>
      </c>
    </row>
    <row r="8008" spans="1:40" x14ac:dyDescent="0.25">
      <c r="A8008" t="str">
        <f>"20190303170443833"</f>
        <v>20190303170443833</v>
      </c>
      <c r="B8008" t="str">
        <f>"1551603883823732"</f>
        <v>1551603883823732</v>
      </c>
      <c r="C8008" t="s">
        <v>40</v>
      </c>
      <c r="D8008">
        <v>4.5565530000000001</v>
      </c>
      <c r="E8008">
        <v>0.47763499999999998</v>
      </c>
      <c r="F8008" t="s">
        <v>42</v>
      </c>
      <c r="G8008">
        <v>-135.17250000000001</v>
      </c>
      <c r="H8008" s="1">
        <v>-2.8688930000000002E-6</v>
      </c>
      <c r="I8008">
        <v>135.01830000000001</v>
      </c>
      <c r="J8008">
        <v>-165.4786</v>
      </c>
      <c r="K8008">
        <v>1.1183989999999999</v>
      </c>
      <c r="L8008">
        <v>135.55789999999999</v>
      </c>
      <c r="M8008">
        <v>0.99971089999999996</v>
      </c>
      <c r="N8008">
        <v>-1.4227760000000001E-2</v>
      </c>
      <c r="O8008">
        <v>1.938339E-2</v>
      </c>
      <c r="P8008">
        <v>0.98365800000000003</v>
      </c>
      <c r="Q8008">
        <v>0.16025059999999999</v>
      </c>
      <c r="R8008">
        <v>-8.2076339999999998E-2</v>
      </c>
      <c r="S8008">
        <v>3.0639189999999998</v>
      </c>
      <c r="T8008">
        <v>-0.1118056</v>
      </c>
      <c r="U8008">
        <v>-5.3665160000000003E-2</v>
      </c>
      <c r="V8008">
        <v>0.1024684</v>
      </c>
      <c r="W8008">
        <v>0.1734202</v>
      </c>
      <c r="X8008">
        <v>0.97950269999999995</v>
      </c>
      <c r="Y8008">
        <v>3.6852709999999997E-2</v>
      </c>
      <c r="Z8008">
        <v>-1.365748E-3</v>
      </c>
      <c r="AA8008">
        <v>0.99931979999999998</v>
      </c>
      <c r="AB8008">
        <v>30</v>
      </c>
      <c r="AC8008">
        <v>30.306099999999901</v>
      </c>
      <c r="AD8008">
        <v>-1.118401868893</v>
      </c>
      <c r="AE8008">
        <v>-0.53959999999997799</v>
      </c>
      <c r="AF8008">
        <v>1.1254607695804899</v>
      </c>
      <c r="AG8008">
        <v>-1.118401868893</v>
      </c>
      <c r="AH8008">
        <v>30.248762907629601</v>
      </c>
      <c r="AI8008">
        <v>92.115996721311504</v>
      </c>
      <c r="AJ8008">
        <v>87.869188210792501</v>
      </c>
      <c r="AK8008">
        <v>30.2903473424489</v>
      </c>
      <c r="AL8008">
        <v>80.013262777345304</v>
      </c>
      <c r="AM8008">
        <v>84.027857882988002</v>
      </c>
      <c r="AN8008">
        <v>0.99999993903694295</v>
      </c>
    </row>
    <row r="8009" spans="1:40" x14ac:dyDescent="0.25">
      <c r="A8009" t="str">
        <f>"20190303170443853"</f>
        <v>20190303170443853</v>
      </c>
      <c r="B8009" t="str">
        <f>"1551603883843250"</f>
        <v>1551603883843250</v>
      </c>
      <c r="C8009" t="s">
        <v>40</v>
      </c>
      <c r="D8009">
        <v>4.5469749999999998</v>
      </c>
      <c r="E8009">
        <v>0.47755540000000002</v>
      </c>
      <c r="F8009" t="s">
        <v>42</v>
      </c>
      <c r="G8009">
        <v>-134.37469999999999</v>
      </c>
      <c r="H8009" s="1">
        <v>-3.200733E-6</v>
      </c>
      <c r="I8009">
        <v>135.077</v>
      </c>
      <c r="J8009">
        <v>-165.2088</v>
      </c>
      <c r="K8009">
        <v>1.119148</v>
      </c>
      <c r="L8009">
        <v>135.56059999999999</v>
      </c>
      <c r="M8009">
        <v>0.99974589999999997</v>
      </c>
      <c r="N8009">
        <v>-1.415803E-2</v>
      </c>
      <c r="O8009">
        <v>1.7543220000000002E-2</v>
      </c>
      <c r="P8009">
        <v>0.98410790000000004</v>
      </c>
      <c r="Q8009">
        <v>0.15915799999999999</v>
      </c>
      <c r="R8009">
        <v>-7.8744019999999998E-2</v>
      </c>
      <c r="S8009">
        <v>3.063828</v>
      </c>
      <c r="T8009">
        <v>-0.11016579999999999</v>
      </c>
      <c r="U8009">
        <v>-4.7363280000000001E-2</v>
      </c>
      <c r="V8009">
        <v>9.7021449999999995E-2</v>
      </c>
      <c r="W8009">
        <v>0.17248139999999901</v>
      </c>
      <c r="X8009">
        <v>0.98022290000000001</v>
      </c>
      <c r="Y8009">
        <v>3.2963659999999999E-2</v>
      </c>
      <c r="Z8009">
        <v>-1.2081189999999999E-3</v>
      </c>
      <c r="AA8009">
        <v>0.99945580000000001</v>
      </c>
      <c r="AB8009">
        <v>30</v>
      </c>
      <c r="AC8009">
        <v>30.834099999999999</v>
      </c>
      <c r="AD8009">
        <v>-1.119151200733</v>
      </c>
      <c r="AE8009">
        <v>-0.48359999999999498</v>
      </c>
      <c r="AF8009">
        <v>1.02316158980801</v>
      </c>
      <c r="AG8009">
        <v>-1.119151200733</v>
      </c>
      <c r="AH8009">
        <v>30.780329327588099</v>
      </c>
      <c r="AI8009">
        <v>92.081168638811405</v>
      </c>
      <c r="AJ8009">
        <v>88.096145664954804</v>
      </c>
      <c r="AK8009">
        <v>30.817657804637602</v>
      </c>
      <c r="AL8009">
        <v>80.067875296611803</v>
      </c>
      <c r="AM8009">
        <v>84.347334367940306</v>
      </c>
      <c r="AN8009">
        <v>0.99999996439523497</v>
      </c>
    </row>
    <row r="8010" spans="1:40" x14ac:dyDescent="0.25">
      <c r="A8010" t="str">
        <f>"20190303170443876"</f>
        <v>20190303170443876</v>
      </c>
      <c r="B8010" t="str">
        <f>"1551603883863746"</f>
        <v>1551603883863746</v>
      </c>
      <c r="C8010" t="s">
        <v>40</v>
      </c>
      <c r="D8010">
        <v>4.4883160000000002</v>
      </c>
      <c r="E8010">
        <v>0.47757149999999998</v>
      </c>
      <c r="F8010" t="s">
        <v>42</v>
      </c>
      <c r="G8010">
        <v>-134.66210000000001</v>
      </c>
      <c r="H8010" s="1">
        <v>-3.0541320000000002E-6</v>
      </c>
      <c r="I8010">
        <v>135.20840000000001</v>
      </c>
      <c r="J8010">
        <v>-164.91560000000001</v>
      </c>
      <c r="K8010">
        <v>1.1199479999999999</v>
      </c>
      <c r="L8010">
        <v>135.56389999999999</v>
      </c>
      <c r="M8010">
        <v>0.99976659999999995</v>
      </c>
      <c r="N8010">
        <v>-1.4091340000000001E-2</v>
      </c>
      <c r="O8010">
        <v>1.6381799999999998E-2</v>
      </c>
      <c r="P8010">
        <v>0.98497520000000005</v>
      </c>
      <c r="Q8010">
        <v>0.15654899999999999</v>
      </c>
      <c r="R8010">
        <v>-7.2915359999999999E-2</v>
      </c>
      <c r="S8010">
        <v>3.0637819999999998</v>
      </c>
      <c r="T8010">
        <v>-0.1122485</v>
      </c>
      <c r="U8010">
        <v>-3.5324099999999997E-2</v>
      </c>
      <c r="V8010">
        <v>8.9726570000000005E-2</v>
      </c>
      <c r="W8010">
        <v>0.1700352</v>
      </c>
      <c r="X8010">
        <v>0.98134460000000001</v>
      </c>
      <c r="Y8010">
        <v>2.7879540000000001E-2</v>
      </c>
      <c r="Z8010">
        <v>-1.076221E-3</v>
      </c>
      <c r="AA8010">
        <v>0.99961069999999996</v>
      </c>
      <c r="AB8010">
        <v>30</v>
      </c>
      <c r="AC8010">
        <v>30.253499999999999</v>
      </c>
      <c r="AD8010">
        <v>-1.1199510541319999</v>
      </c>
      <c r="AE8010">
        <v>-0.355499999999977</v>
      </c>
      <c r="AF8010">
        <v>0.84994363855395205</v>
      </c>
      <c r="AG8010">
        <v>-1.1199510541319999</v>
      </c>
      <c r="AH8010">
        <v>30.202231773513201</v>
      </c>
      <c r="AI8010">
        <v>92.122814043546896</v>
      </c>
      <c r="AJ8010">
        <v>88.388021979837504</v>
      </c>
      <c r="AK8010">
        <v>30.234938376874201</v>
      </c>
      <c r="AL8010">
        <v>80.210134585220999</v>
      </c>
      <c r="AM8010">
        <v>84.775841925505702</v>
      </c>
      <c r="AN8010">
        <v>1.0000000252760799</v>
      </c>
    </row>
    <row r="8011" spans="1:40" x14ac:dyDescent="0.25">
      <c r="A8011" t="str">
        <f>"20190303170443897"</f>
        <v>20190303170443897</v>
      </c>
      <c r="B8011" t="str">
        <f>"1551603883894002"</f>
        <v>1551603883894002</v>
      </c>
      <c r="C8011" t="s">
        <v>40</v>
      </c>
      <c r="D8011">
        <v>4.4856350000000003</v>
      </c>
      <c r="E8011">
        <v>0.47763529999999998</v>
      </c>
      <c r="F8011" t="s">
        <v>42</v>
      </c>
      <c r="G8011">
        <v>-136.2586</v>
      </c>
      <c r="H8011" s="1">
        <v>-2.380916E-6</v>
      </c>
      <c r="I8011">
        <v>135.4008</v>
      </c>
      <c r="J8011">
        <v>-164.6199</v>
      </c>
      <c r="K8011">
        <v>1.1206860000000001</v>
      </c>
      <c r="L8011">
        <v>135.56790000000001</v>
      </c>
      <c r="M8011">
        <v>0.99977150000000004</v>
      </c>
      <c r="N8011">
        <v>-1.4033520000000001E-2</v>
      </c>
      <c r="O8011">
        <v>1.6131039999999999E-2</v>
      </c>
      <c r="P8011">
        <v>0.98570449999999998</v>
      </c>
      <c r="Q8011">
        <v>0.15470030000000001</v>
      </c>
      <c r="R8011">
        <v>-6.6741149999999999E-2</v>
      </c>
      <c r="S8011">
        <v>3.0634769999999998</v>
      </c>
      <c r="T8011">
        <v>-0.1197242</v>
      </c>
      <c r="U8011">
        <v>-1.7440799999999999E-2</v>
      </c>
      <c r="V8011">
        <v>8.3012039999999995E-2</v>
      </c>
      <c r="W8011">
        <v>0.1683151</v>
      </c>
      <c r="X8011">
        <v>0.98223170000000004</v>
      </c>
      <c r="Y8011">
        <v>2.1797E-2</v>
      </c>
      <c r="Z8011">
        <v>-9.8261880000000005E-4</v>
      </c>
      <c r="AA8011">
        <v>0.99976189999999998</v>
      </c>
      <c r="AB8011">
        <v>29</v>
      </c>
      <c r="AC8011">
        <v>28.3613</v>
      </c>
      <c r="AD8011">
        <v>-1.120688380916</v>
      </c>
      <c r="AE8011">
        <v>-0.167100000000004</v>
      </c>
      <c r="AF8011">
        <v>0.62364679282327895</v>
      </c>
      <c r="AG8011">
        <v>-1.120688380916</v>
      </c>
      <c r="AH8011">
        <v>28.310710174531501</v>
      </c>
      <c r="AI8011">
        <v>92.266338663923094</v>
      </c>
      <c r="AJ8011">
        <v>88.738055288753301</v>
      </c>
      <c r="AK8011">
        <v>28.339745735550299</v>
      </c>
      <c r="AL8011">
        <v>80.310130570495204</v>
      </c>
      <c r="AM8011">
        <v>85.1692010094078</v>
      </c>
      <c r="AN8011">
        <v>1.0000000420789299</v>
      </c>
    </row>
    <row r="8012" spans="1:40" x14ac:dyDescent="0.25">
      <c r="A8012" t="str">
        <f>"20190303170443920"</f>
        <v>20190303170443920</v>
      </c>
      <c r="B8012" t="str">
        <f>"1551603883913522"</f>
        <v>1551603883913522</v>
      </c>
      <c r="C8012" t="s">
        <v>40</v>
      </c>
      <c r="D8012">
        <v>4.41594</v>
      </c>
      <c r="E8012">
        <v>0.4777747</v>
      </c>
      <c r="F8012" t="s">
        <v>42</v>
      </c>
      <c r="G8012">
        <v>-137.11099999999999</v>
      </c>
      <c r="H8012" s="1">
        <v>-2.0485520000000001E-6</v>
      </c>
      <c r="I8012">
        <v>135.55969999999999</v>
      </c>
      <c r="J8012">
        <v>-164.3245</v>
      </c>
      <c r="K8012">
        <v>1.121302</v>
      </c>
      <c r="L8012">
        <v>135.57259999999999</v>
      </c>
      <c r="M8012">
        <v>0.99976529999999997</v>
      </c>
      <c r="N8012">
        <v>-1.398098E-2</v>
      </c>
      <c r="O8012">
        <v>1.6556439999999999E-2</v>
      </c>
      <c r="P8012">
        <v>0.9858015</v>
      </c>
      <c r="Q8012">
        <v>0.15459519999999999</v>
      </c>
      <c r="R8012">
        <v>-6.5544519999999995E-2</v>
      </c>
      <c r="S8012">
        <v>3.063034</v>
      </c>
      <c r="T8012">
        <v>-0.1247851</v>
      </c>
      <c r="U8012">
        <v>-9.1552729999999996E-4</v>
      </c>
      <c r="V8012">
        <v>8.1985119999999995E-2</v>
      </c>
      <c r="W8012">
        <v>0.16828360000000001</v>
      </c>
      <c r="X8012">
        <v>0.98232330000000001</v>
      </c>
      <c r="Y8012">
        <v>1.683223E-2</v>
      </c>
      <c r="Z8012">
        <v>-9.0321879999999996E-4</v>
      </c>
      <c r="AA8012">
        <v>0.99985789999999997</v>
      </c>
      <c r="AB8012">
        <v>29</v>
      </c>
      <c r="AC8012">
        <v>27.2135</v>
      </c>
      <c r="AD8012">
        <v>-1.1213040485519901</v>
      </c>
      <c r="AE8012">
        <v>-1.29000000000019E-2</v>
      </c>
      <c r="AF8012">
        <v>0.46271531655579501</v>
      </c>
      <c r="AG8012">
        <v>-1.1213040485519901</v>
      </c>
      <c r="AH8012">
        <v>27.163438425790499</v>
      </c>
      <c r="AI8012">
        <v>92.363479543661299</v>
      </c>
      <c r="AJ8012">
        <v>89.024090011806393</v>
      </c>
      <c r="AK8012">
        <v>27.190509655855699</v>
      </c>
      <c r="AL8012">
        <v>80.311961071180207</v>
      </c>
      <c r="AM8012">
        <v>85.2291267947883</v>
      </c>
      <c r="AN8012">
        <v>0.99999999782663196</v>
      </c>
    </row>
    <row r="8013" spans="1:40" x14ac:dyDescent="0.25">
      <c r="A8013" t="str">
        <f>"20190303170443941"</f>
        <v>20190303170443941</v>
      </c>
      <c r="B8013" t="str">
        <f>"1551603883934018"</f>
        <v>1551603883934018</v>
      </c>
      <c r="C8013" t="s">
        <v>40</v>
      </c>
      <c r="D8013">
        <v>4.5345129999999996</v>
      </c>
      <c r="E8013">
        <v>0.47780929999999999</v>
      </c>
      <c r="F8013" t="s">
        <v>42</v>
      </c>
      <c r="G8013">
        <v>-136.62049999999999</v>
      </c>
      <c r="H8013" s="1">
        <v>-2.2106029999999999E-6</v>
      </c>
      <c r="I8013">
        <v>135.5779</v>
      </c>
      <c r="J8013">
        <v>-164.04069999999999</v>
      </c>
      <c r="K8013">
        <v>1.1218140000000001</v>
      </c>
      <c r="L8013">
        <v>135.5778</v>
      </c>
      <c r="M8013">
        <v>0.9997492</v>
      </c>
      <c r="N8013">
        <v>-1.3932740000000001E-2</v>
      </c>
      <c r="O8013">
        <v>1.7534190000000002E-2</v>
      </c>
      <c r="P8013">
        <v>0.9860255</v>
      </c>
      <c r="Q8013">
        <v>0.15496190000000001</v>
      </c>
      <c r="R8013">
        <v>-6.1164250000000003E-2</v>
      </c>
      <c r="S8013">
        <v>3.0626679999999999</v>
      </c>
      <c r="T8013">
        <v>-0.1239599</v>
      </c>
      <c r="U8013">
        <v>5.9509280000000003E-4</v>
      </c>
      <c r="V8013">
        <v>7.836854E-2</v>
      </c>
      <c r="W8013">
        <v>0.1687033</v>
      </c>
      <c r="X8013">
        <v>0.98254640000000004</v>
      </c>
      <c r="Y8013">
        <v>1.7316379999999999E-2</v>
      </c>
      <c r="Z8013">
        <v>-9.3611140000000002E-4</v>
      </c>
      <c r="AA8013">
        <v>0.99984960000000001</v>
      </c>
      <c r="AB8013">
        <v>29</v>
      </c>
      <c r="AC8013">
        <v>27.420199999999902</v>
      </c>
      <c r="AD8013">
        <v>-1.1218162106030001</v>
      </c>
      <c r="AE8013">
        <v>1.0000000000331901E-4</v>
      </c>
      <c r="AF8013">
        <v>0.47993436540309498</v>
      </c>
      <c r="AG8013">
        <v>-1.1218162106030001</v>
      </c>
      <c r="AH8013">
        <v>27.370173419802001</v>
      </c>
      <c r="AI8013">
        <v>92.346697421278904</v>
      </c>
      <c r="AJ8013">
        <v>88.995424860883702</v>
      </c>
      <c r="AK8013">
        <v>27.397357566661501</v>
      </c>
      <c r="AL8013">
        <v>80.287564572648904</v>
      </c>
      <c r="AM8013">
        <v>85.439705506248899</v>
      </c>
      <c r="AN8013">
        <v>0.99999992982278796</v>
      </c>
    </row>
    <row r="8014" spans="1:40" x14ac:dyDescent="0.25">
      <c r="A8014" t="str">
        <f>"20190303170443965"</f>
        <v>20190303170443965</v>
      </c>
      <c r="B8014" t="str">
        <f>"1551603883953538"</f>
        <v>1551603883953538</v>
      </c>
      <c r="C8014" t="s">
        <v>40</v>
      </c>
      <c r="D8014">
        <v>4.4492479999999999</v>
      </c>
      <c r="E8014">
        <v>0.47799819999999998</v>
      </c>
      <c r="F8014" t="s">
        <v>42</v>
      </c>
      <c r="G8014">
        <v>-135.58029999999999</v>
      </c>
      <c r="H8014" s="1">
        <v>-2.5711089999999999E-6</v>
      </c>
      <c r="I8014">
        <v>135.7107</v>
      </c>
      <c r="J8014">
        <v>-163.74019999999999</v>
      </c>
      <c r="K8014">
        <v>1.1223110000000001</v>
      </c>
      <c r="L8014">
        <v>135.58410000000001</v>
      </c>
      <c r="M8014">
        <v>0.99972070000000002</v>
      </c>
      <c r="N8014">
        <v>-1.3887389999999999E-2</v>
      </c>
      <c r="O8014">
        <v>1.91284E-2</v>
      </c>
      <c r="P8014">
        <v>0.9857728</v>
      </c>
      <c r="Q8014">
        <v>0.15813579999999999</v>
      </c>
      <c r="R8014">
        <v>-5.6968299999999999E-2</v>
      </c>
      <c r="S8014">
        <v>3.0623779999999998</v>
      </c>
      <c r="T8014">
        <v>-0.1207087</v>
      </c>
      <c r="U8014">
        <v>1.4312739999999999E-2</v>
      </c>
      <c r="V8014">
        <v>7.5540899999999994E-2</v>
      </c>
      <c r="W8014">
        <v>0.17191400000000001</v>
      </c>
      <c r="X8014">
        <v>0.98221139999999996</v>
      </c>
      <c r="Y8014">
        <v>1.443582E-2</v>
      </c>
      <c r="Z8014">
        <v>-8.7272459999999995E-4</v>
      </c>
      <c r="AA8014">
        <v>0.99989539999999999</v>
      </c>
      <c r="AB8014">
        <v>29</v>
      </c>
      <c r="AC8014">
        <v>28.1599</v>
      </c>
      <c r="AD8014">
        <v>-1.122313571109</v>
      </c>
      <c r="AE8014">
        <v>0.12659999999999599</v>
      </c>
      <c r="AF8014">
        <v>0.41147530219150702</v>
      </c>
      <c r="AG8014">
        <v>-1.122313571109</v>
      </c>
      <c r="AH8014">
        <v>28.112514964143202</v>
      </c>
      <c r="AI8014">
        <v>92.2859152074289</v>
      </c>
      <c r="AJ8014">
        <v>89.161437002072702</v>
      </c>
      <c r="AK8014">
        <v>28.1379174297848</v>
      </c>
      <c r="AL8014">
        <v>80.100878685233596</v>
      </c>
      <c r="AM8014">
        <v>85.602096250410398</v>
      </c>
      <c r="AN8014">
        <v>1.00000004262938</v>
      </c>
    </row>
    <row r="8015" spans="1:40" x14ac:dyDescent="0.25">
      <c r="A8015" t="str">
        <f>"20190303170443987"</f>
        <v>20190303170443987</v>
      </c>
      <c r="B8015" t="str">
        <f>"1551603883983795"</f>
        <v>1551603883983795</v>
      </c>
      <c r="C8015" t="s">
        <v>40</v>
      </c>
      <c r="D8015">
        <v>4.5350039999999998</v>
      </c>
      <c r="E8015">
        <v>0.4780895</v>
      </c>
      <c r="F8015" t="s">
        <v>42</v>
      </c>
      <c r="G8015">
        <v>-132.7345</v>
      </c>
      <c r="H8015" s="1">
        <v>-3.7682760000000002E-6</v>
      </c>
      <c r="I8015">
        <v>135.8441</v>
      </c>
      <c r="J8015">
        <v>-163.45230000000001</v>
      </c>
      <c r="K8015">
        <v>1.1227670000000001</v>
      </c>
      <c r="L8015">
        <v>135.59119999999999</v>
      </c>
      <c r="M8015">
        <v>0.99968129999999999</v>
      </c>
      <c r="N8015">
        <v>-1.3851459999999999E-2</v>
      </c>
      <c r="O8015">
        <v>2.110793E-2</v>
      </c>
      <c r="P8015">
        <v>0.9857091</v>
      </c>
      <c r="Q8015">
        <v>0.160244</v>
      </c>
      <c r="R8015">
        <v>-5.195992E-2</v>
      </c>
      <c r="S8015">
        <v>3.062576</v>
      </c>
      <c r="T8015">
        <v>-0.1108563</v>
      </c>
      <c r="U8015">
        <v>2.5680540000000002E-2</v>
      </c>
      <c r="V8015">
        <v>7.2299169999999996E-2</v>
      </c>
      <c r="W8015">
        <v>0.1740546</v>
      </c>
      <c r="X8015">
        <v>0.98207829999999996</v>
      </c>
      <c r="Y8015">
        <v>1.270933E-2</v>
      </c>
      <c r="Z8015">
        <v>-7.8938199999999896E-4</v>
      </c>
      <c r="AA8015">
        <v>0.99991890000000005</v>
      </c>
      <c r="AB8015">
        <v>29</v>
      </c>
      <c r="AC8015">
        <v>30.7178</v>
      </c>
      <c r="AD8015">
        <v>-1.122770768276</v>
      </c>
      <c r="AE8015">
        <v>0.252900000000011</v>
      </c>
      <c r="AF8015">
        <v>0.39507991727796898</v>
      </c>
      <c r="AG8015">
        <v>-1.122770768276</v>
      </c>
      <c r="AH8015">
        <v>30.675314535894302</v>
      </c>
      <c r="AI8015">
        <v>92.096017442694404</v>
      </c>
      <c r="AJ8015">
        <v>89.262105029369494</v>
      </c>
      <c r="AK8015">
        <v>30.6983977467095</v>
      </c>
      <c r="AL8015">
        <v>79.976353429082494</v>
      </c>
      <c r="AM8015">
        <v>85.789563856318395</v>
      </c>
      <c r="AN8015">
        <v>0.99999998054736905</v>
      </c>
    </row>
    <row r="8016" spans="1:40" x14ac:dyDescent="0.25">
      <c r="A8016" t="str">
        <f>"20190303170444011"</f>
        <v>20190303170444011</v>
      </c>
      <c r="B8016" t="str">
        <f>"1551603884003315"</f>
        <v>1551603884003315</v>
      </c>
      <c r="C8016" t="s">
        <v>40</v>
      </c>
      <c r="D8016">
        <v>4.590268</v>
      </c>
      <c r="E8016">
        <v>0.47833609999999999</v>
      </c>
      <c r="F8016" t="s">
        <v>42</v>
      </c>
      <c r="G8016">
        <v>-130.03210000000001</v>
      </c>
      <c r="H8016" s="1">
        <v>-4.8953850000000004E-6</v>
      </c>
      <c r="I8016">
        <v>136.0258</v>
      </c>
      <c r="J8016">
        <v>-163.14160000000001</v>
      </c>
      <c r="K8016">
        <v>1.1232200000000001</v>
      </c>
      <c r="L8016">
        <v>135.6001</v>
      </c>
      <c r="M8016">
        <v>0.99962450000000003</v>
      </c>
      <c r="N8016">
        <v>-1.3819629999999999E-2</v>
      </c>
      <c r="O8016">
        <v>2.366308E-2</v>
      </c>
      <c r="P8016">
        <v>0.98584130000000003</v>
      </c>
      <c r="Q8016">
        <v>0.16116259999999999</v>
      </c>
      <c r="R8016">
        <v>-4.6297579999999998E-2</v>
      </c>
      <c r="S8016">
        <v>3.0623170000000002</v>
      </c>
      <c r="T8016">
        <v>-0.1028801</v>
      </c>
      <c r="U8016">
        <v>3.9825439999999997E-2</v>
      </c>
      <c r="V8016">
        <v>6.8972199999999997E-2</v>
      </c>
      <c r="W8016">
        <v>0.17500729999999901</v>
      </c>
      <c r="X8016">
        <v>0.98214829999999997</v>
      </c>
      <c r="Y8016">
        <v>1.064998E-2</v>
      </c>
      <c r="Z8016">
        <v>-7.2009440000000004E-4</v>
      </c>
      <c r="AA8016">
        <v>0.99994300000000003</v>
      </c>
      <c r="AB8016">
        <v>29</v>
      </c>
      <c r="AC8016">
        <v>33.109499999999997</v>
      </c>
      <c r="AD8016">
        <v>-1.1232248953849999</v>
      </c>
      <c r="AE8016">
        <v>0.42570000000000602</v>
      </c>
      <c r="AF8016">
        <v>0.35755533680534002</v>
      </c>
      <c r="AG8016">
        <v>-1.1232248953849999</v>
      </c>
      <c r="AH8016">
        <v>33.072245843722101</v>
      </c>
      <c r="AI8016">
        <v>91.945061809617599</v>
      </c>
      <c r="AJ8016">
        <v>89.380579906527402</v>
      </c>
      <c r="AK8016">
        <v>33.093245914114902</v>
      </c>
      <c r="AL8016">
        <v>79.920917090521399</v>
      </c>
      <c r="AM8016">
        <v>85.982950061528399</v>
      </c>
      <c r="AN8016">
        <v>1.0000000013095001</v>
      </c>
    </row>
    <row r="8017" spans="1:40" x14ac:dyDescent="0.25">
      <c r="A8017" t="str">
        <f>"20190303170444032"</f>
        <v>20190303170444032</v>
      </c>
      <c r="B8017" t="str">
        <f>"1551603884023810"</f>
        <v>1551603884023810</v>
      </c>
      <c r="C8017" t="s">
        <v>40</v>
      </c>
      <c r="D8017">
        <v>4.4581749999999998</v>
      </c>
      <c r="E8017">
        <v>0.4783751</v>
      </c>
      <c r="F8017" t="s">
        <v>42</v>
      </c>
      <c r="G8017">
        <v>-128.66390000000001</v>
      </c>
      <c r="H8017" s="1">
        <v>-1.346933E-6</v>
      </c>
      <c r="I8017">
        <v>136.2105</v>
      </c>
      <c r="J8017">
        <v>-162.863</v>
      </c>
      <c r="K8017">
        <v>1.123569</v>
      </c>
      <c r="L8017">
        <v>135.60910000000001</v>
      </c>
      <c r="M8017">
        <v>0.99955899999999998</v>
      </c>
      <c r="N8017">
        <v>-1.379618E-2</v>
      </c>
      <c r="O8017">
        <v>2.629563E-2</v>
      </c>
      <c r="P8017">
        <v>0.98613850000000003</v>
      </c>
      <c r="Q8017">
        <v>0.16040399999999999</v>
      </c>
      <c r="R8017">
        <v>-4.2444179999999998E-2</v>
      </c>
      <c r="S8017">
        <v>3.061966</v>
      </c>
      <c r="T8017">
        <v>-9.9753140000000004E-2</v>
      </c>
      <c r="U8017">
        <v>5.4214480000000002E-2</v>
      </c>
      <c r="V8017">
        <v>6.7575270000000007E-2</v>
      </c>
      <c r="W8017">
        <v>0.174281399999999</v>
      </c>
      <c r="X8017">
        <v>0.98237439999999998</v>
      </c>
      <c r="Y8017">
        <v>8.5860239999999994E-3</v>
      </c>
      <c r="Z8017">
        <v>-6.9254679999999902E-4</v>
      </c>
      <c r="AA8017">
        <v>0.99996289999999999</v>
      </c>
      <c r="AB8017">
        <v>29</v>
      </c>
      <c r="AC8017">
        <v>34.199099999999902</v>
      </c>
      <c r="AD8017">
        <v>-1.1235703469329901</v>
      </c>
      <c r="AE8017">
        <v>0.60139999999998395</v>
      </c>
      <c r="AF8017">
        <v>0.29785907593667499</v>
      </c>
      <c r="AG8017">
        <v>-1.1235703469329901</v>
      </c>
      <c r="AH8017">
        <v>34.166221078545398</v>
      </c>
      <c r="AI8017">
        <v>91.883445165218205</v>
      </c>
      <c r="AJ8017">
        <v>89.500511468130796</v>
      </c>
      <c r="AK8017">
        <v>34.185988257496099</v>
      </c>
      <c r="AL8017">
        <v>79.963156667520096</v>
      </c>
      <c r="AM8017">
        <v>86.064954164148801</v>
      </c>
      <c r="AN8017">
        <v>0.99999994263844405</v>
      </c>
    </row>
    <row r="8018" spans="1:40" x14ac:dyDescent="0.25">
      <c r="A8018" t="str">
        <f>"20190303170444055"</f>
        <v>20190303170444055</v>
      </c>
      <c r="B8018" t="str">
        <f>"1551603884043330"</f>
        <v>1551603884043330</v>
      </c>
      <c r="C8018" t="s">
        <v>40</v>
      </c>
      <c r="D8018">
        <v>4.5359099999999897</v>
      </c>
      <c r="E8018">
        <v>0.47857870000000002</v>
      </c>
      <c r="F8018" t="s">
        <v>42</v>
      </c>
      <c r="G8018">
        <v>-128.7801</v>
      </c>
      <c r="H8018" s="1">
        <v>-1.272036E-6</v>
      </c>
      <c r="I8018">
        <v>136.3433</v>
      </c>
      <c r="J8018">
        <v>-162.57419999999999</v>
      </c>
      <c r="K8018">
        <v>1.1238980000000001</v>
      </c>
      <c r="L8018">
        <v>135.61969999999999</v>
      </c>
      <c r="M8018">
        <v>0.99947490000000005</v>
      </c>
      <c r="N8018">
        <v>-1.377579E-2</v>
      </c>
      <c r="O8018">
        <v>2.9328440000000001E-2</v>
      </c>
      <c r="P8018">
        <v>0.98623309999999997</v>
      </c>
      <c r="Q8018">
        <v>0.1605191</v>
      </c>
      <c r="R8018">
        <v>-3.9721850000000003E-2</v>
      </c>
      <c r="S8018">
        <v>3.0614319999999999</v>
      </c>
      <c r="T8018">
        <v>-0.1009226</v>
      </c>
      <c r="U8018">
        <v>6.5948489999999999E-2</v>
      </c>
      <c r="V8018">
        <v>6.7711030000000005E-2</v>
      </c>
      <c r="W8018">
        <v>0.1744289</v>
      </c>
      <c r="X8018">
        <v>0.98233899999999996</v>
      </c>
      <c r="Y8018">
        <v>7.7855830000000004E-3</v>
      </c>
      <c r="Z8018">
        <v>-7.4420970000000004E-4</v>
      </c>
      <c r="AA8018">
        <v>0.99996940000000001</v>
      </c>
      <c r="AB8018">
        <v>29</v>
      </c>
      <c r="AC8018">
        <v>33.794099999999901</v>
      </c>
      <c r="AD8018">
        <v>-1.1238992720359999</v>
      </c>
      <c r="AE8018">
        <v>0.72360000000000402</v>
      </c>
      <c r="AF8018">
        <v>0.26763773636315302</v>
      </c>
      <c r="AG8018">
        <v>-1.1238992720359999</v>
      </c>
      <c r="AH8018">
        <v>33.763457256033597</v>
      </c>
      <c r="AI8018">
        <v>91.906466365417899</v>
      </c>
      <c r="AJ8018">
        <v>89.545834674244006</v>
      </c>
      <c r="AK8018">
        <v>33.783218103247897</v>
      </c>
      <c r="AL8018">
        <v>79.954575349233593</v>
      </c>
      <c r="AM8018">
        <v>86.056931852475401</v>
      </c>
      <c r="AN8018">
        <v>1.0000000678299299</v>
      </c>
    </row>
    <row r="8019" spans="1:40" x14ac:dyDescent="0.25">
      <c r="A8019" t="str">
        <f>"20190303170444076"</f>
        <v>20190303170444076</v>
      </c>
      <c r="B8019" t="str">
        <f>"1551603884063827"</f>
        <v>1551603884063827</v>
      </c>
      <c r="C8019" t="s">
        <v>40</v>
      </c>
      <c r="D8019">
        <v>4.5369760000000001</v>
      </c>
      <c r="E8019">
        <v>0.47874090000000002</v>
      </c>
      <c r="F8019" t="s">
        <v>42</v>
      </c>
      <c r="G8019">
        <v>-128.3263</v>
      </c>
      <c r="H8019" s="1">
        <v>-1.4015459999999901E-6</v>
      </c>
      <c r="I8019">
        <v>136.43700000000001</v>
      </c>
      <c r="J8019">
        <v>-162.28659999999999</v>
      </c>
      <c r="K8019">
        <v>1.1241699999999999</v>
      </c>
      <c r="L8019">
        <v>135.63149999999999</v>
      </c>
      <c r="M8019">
        <v>0.9993727</v>
      </c>
      <c r="N8019">
        <v>-1.375904E-2</v>
      </c>
      <c r="O8019">
        <v>3.2631769999999997E-2</v>
      </c>
      <c r="P8019">
        <v>0.98608090000000004</v>
      </c>
      <c r="Q8019">
        <v>0.16217670000000001</v>
      </c>
      <c r="R8019">
        <v>-3.6646030000000003E-2</v>
      </c>
      <c r="S8019">
        <v>3.061172</v>
      </c>
      <c r="T8019">
        <v>-0.100457</v>
      </c>
      <c r="U8019">
        <v>7.3059079999999998E-2</v>
      </c>
      <c r="V8019">
        <v>6.7769910000000003E-2</v>
      </c>
      <c r="W8019">
        <v>0.1761076</v>
      </c>
      <c r="X8019">
        <v>0.98203530000000006</v>
      </c>
      <c r="Y8019">
        <v>8.7660919999999996E-3</v>
      </c>
      <c r="Z8019">
        <v>-8.2531839999999896E-4</v>
      </c>
      <c r="AA8019">
        <v>0.99996130000000005</v>
      </c>
      <c r="AB8019">
        <v>29</v>
      </c>
      <c r="AC8019">
        <v>33.960299999999897</v>
      </c>
      <c r="AD8019">
        <v>-1.124171401546</v>
      </c>
      <c r="AE8019">
        <v>0.80550000000002298</v>
      </c>
      <c r="AF8019">
        <v>0.30288699125360802</v>
      </c>
      <c r="AG8019">
        <v>-1.124171401546</v>
      </c>
      <c r="AH8019">
        <v>33.931337862517303</v>
      </c>
      <c r="AI8019">
        <v>91.897483757509207</v>
      </c>
      <c r="AJ8019">
        <v>89.488564658902803</v>
      </c>
      <c r="AK8019">
        <v>33.951306175312702</v>
      </c>
      <c r="AL8019">
        <v>79.856879866113402</v>
      </c>
      <c r="AM8019">
        <v>86.052297263498005</v>
      </c>
      <c r="AN8019">
        <v>0.99999998896262898</v>
      </c>
    </row>
    <row r="8020" spans="1:40" x14ac:dyDescent="0.25">
      <c r="A8020" t="str">
        <f>"20190303170444099"</f>
        <v>20190303170444099</v>
      </c>
      <c r="B8020" t="str">
        <f>"1551603884094082"</f>
        <v>1551603884094082</v>
      </c>
      <c r="C8020" t="s">
        <v>40</v>
      </c>
      <c r="D8020">
        <v>4.6006600000000004</v>
      </c>
      <c r="E8020">
        <v>0.47903780000000001</v>
      </c>
      <c r="F8020" t="s">
        <v>42</v>
      </c>
      <c r="G8020">
        <v>-126.2816</v>
      </c>
      <c r="H8020" s="1">
        <v>-2.1167949999999999E-6</v>
      </c>
      <c r="I8020">
        <v>136.57599999999999</v>
      </c>
      <c r="J8020">
        <v>-161.9897</v>
      </c>
      <c r="K8020">
        <v>1.1243810000000001</v>
      </c>
      <c r="L8020">
        <v>135.64490000000001</v>
      </c>
      <c r="M8020">
        <v>0.99924780000000002</v>
      </c>
      <c r="N8020">
        <v>-1.374445E-2</v>
      </c>
      <c r="O8020">
        <v>3.6260090000000002E-2</v>
      </c>
      <c r="P8020">
        <v>0.98618980000000001</v>
      </c>
      <c r="Q8020">
        <v>0.16233040000000001</v>
      </c>
      <c r="R8020">
        <v>-3.2842469999999999E-2</v>
      </c>
      <c r="S8020">
        <v>3.0610499999999998</v>
      </c>
      <c r="T8020">
        <v>-9.5573900000000003E-2</v>
      </c>
      <c r="U8020">
        <v>8.0307009999999998E-2</v>
      </c>
      <c r="V8020">
        <v>6.7463300000000004E-2</v>
      </c>
      <c r="W8020">
        <v>0.17627709999999999</v>
      </c>
      <c r="X8020">
        <v>0.98202599999999995</v>
      </c>
      <c r="Y8020">
        <v>1.0029649999999999E-2</v>
      </c>
      <c r="Z8020">
        <v>-8.5843289999999902E-4</v>
      </c>
      <c r="AA8020">
        <v>0.99994930000000004</v>
      </c>
      <c r="AB8020">
        <v>29</v>
      </c>
      <c r="AC8020">
        <v>35.708100000000002</v>
      </c>
      <c r="AD8020">
        <v>-1.12438311679499</v>
      </c>
      <c r="AE8020">
        <v>0.93109999999998605</v>
      </c>
      <c r="AF8020">
        <v>0.36405302384291899</v>
      </c>
      <c r="AG8020">
        <v>-1.12438311679499</v>
      </c>
      <c r="AH8020">
        <v>35.683022523473298</v>
      </c>
      <c r="AI8020">
        <v>91.804716763629798</v>
      </c>
      <c r="AJ8020">
        <v>89.415464928896895</v>
      </c>
      <c r="AK8020">
        <v>35.702589099506497</v>
      </c>
      <c r="AL8020">
        <v>79.847013883418001</v>
      </c>
      <c r="AM8020">
        <v>86.070064581974805</v>
      </c>
      <c r="AN8020">
        <v>0.99999998875364904</v>
      </c>
    </row>
    <row r="8021" spans="1:40" x14ac:dyDescent="0.25">
      <c r="A8021" t="str">
        <f>"20190303170444122"</f>
        <v>20190303170444122</v>
      </c>
      <c r="B8021" t="str">
        <f>"1551603884113602"</f>
        <v>1551603884113602</v>
      </c>
      <c r="C8021" t="s">
        <v>40</v>
      </c>
      <c r="D8021">
        <v>4.6714270000000004</v>
      </c>
      <c r="E8021">
        <v>0.47922949999999997</v>
      </c>
      <c r="F8021" t="s">
        <v>42</v>
      </c>
      <c r="G8021">
        <v>-125.9691</v>
      </c>
      <c r="H8021" s="1">
        <v>-2.2322410000000001E-6</v>
      </c>
      <c r="I8021">
        <v>136.68090000000001</v>
      </c>
      <c r="J8021">
        <v>-161.69550000000001</v>
      </c>
      <c r="K8021">
        <v>1.1245069999999999</v>
      </c>
      <c r="L8021">
        <v>135.65950000000001</v>
      </c>
      <c r="M8021">
        <v>0.99910589999999999</v>
      </c>
      <c r="N8021">
        <v>-1.3731230000000001E-2</v>
      </c>
      <c r="O8021">
        <v>3.9987109999999999E-2</v>
      </c>
      <c r="P8021">
        <v>0.98650850000000001</v>
      </c>
      <c r="Q8021">
        <v>0.1610318</v>
      </c>
      <c r="R8021">
        <v>-2.9488819999999999E-2</v>
      </c>
      <c r="S8021">
        <v>3.060654</v>
      </c>
      <c r="T8021">
        <v>-9.5538139999999994E-2</v>
      </c>
      <c r="U8021">
        <v>8.8027949999999994E-2</v>
      </c>
      <c r="V8021">
        <v>6.7749879999999998E-2</v>
      </c>
      <c r="W8021">
        <v>0.1749918</v>
      </c>
      <c r="X8021">
        <v>0.98223609999999995</v>
      </c>
      <c r="Y8021">
        <v>1.123412E-2</v>
      </c>
      <c r="Z8021">
        <v>-9.5053970000000005E-4</v>
      </c>
      <c r="AA8021">
        <v>0.99993650000000001</v>
      </c>
      <c r="AB8021">
        <v>29</v>
      </c>
      <c r="AC8021">
        <v>35.726399999999998</v>
      </c>
      <c r="AD8021">
        <v>-1.124509232241</v>
      </c>
      <c r="AE8021">
        <v>1.0214000000000001</v>
      </c>
      <c r="AF8021">
        <v>0.40774354954636999</v>
      </c>
      <c r="AG8021">
        <v>-1.124509232241</v>
      </c>
      <c r="AH8021">
        <v>35.703324332626202</v>
      </c>
      <c r="AI8021">
        <v>91.803869676365593</v>
      </c>
      <c r="AJ8021">
        <v>89.345692050367603</v>
      </c>
      <c r="AK8021">
        <v>35.723355724459701</v>
      </c>
      <c r="AL8021">
        <v>79.921818737084806</v>
      </c>
      <c r="AM8021">
        <v>86.054264602972793</v>
      </c>
      <c r="AN8021">
        <v>0.99999996622523102</v>
      </c>
    </row>
    <row r="8022" spans="1:40" x14ac:dyDescent="0.25">
      <c r="A8022" t="str">
        <f>"20190303170444143"</f>
        <v>20190303170444143</v>
      </c>
      <c r="B8022" t="str">
        <f>"1551603884133122"</f>
        <v>1551603884133122</v>
      </c>
      <c r="C8022" t="s">
        <v>40</v>
      </c>
      <c r="D8022">
        <v>4.6016550000000001</v>
      </c>
      <c r="E8022">
        <v>0.47940470000000002</v>
      </c>
      <c r="F8022" t="s">
        <v>42</v>
      </c>
      <c r="G8022">
        <v>-127.47629999999999</v>
      </c>
      <c r="H8022" s="1">
        <v>-1.616196E-6</v>
      </c>
      <c r="I8022">
        <v>136.7174</v>
      </c>
      <c r="J8022">
        <v>-161.4178</v>
      </c>
      <c r="K8022">
        <v>1.1245700000000001</v>
      </c>
      <c r="L8022">
        <v>135.67439999999999</v>
      </c>
      <c r="M8022">
        <v>0.99895639999999997</v>
      </c>
      <c r="N8022">
        <v>-1.3719540000000001E-2</v>
      </c>
      <c r="O8022">
        <v>4.356579E-2</v>
      </c>
      <c r="P8022">
        <v>0.98669890000000005</v>
      </c>
      <c r="Q8022">
        <v>0.16033259999999999</v>
      </c>
      <c r="R8022">
        <v>-2.6813719999999999E-2</v>
      </c>
      <c r="S8022">
        <v>3.0602870000000002</v>
      </c>
      <c r="T8022">
        <v>-0.100567</v>
      </c>
      <c r="U8022">
        <v>9.4604489999999999E-2</v>
      </c>
      <c r="V8022">
        <v>6.8585599999999997E-2</v>
      </c>
      <c r="W8022">
        <v>0.1742997</v>
      </c>
      <c r="X8022">
        <v>0.98230119999999999</v>
      </c>
      <c r="Y8022">
        <v>1.266196E-2</v>
      </c>
      <c r="Z8022">
        <v>-1.12747E-3</v>
      </c>
      <c r="AA8022">
        <v>0.99991920000000001</v>
      </c>
      <c r="AB8022">
        <v>29</v>
      </c>
      <c r="AC8022">
        <v>33.941499999999998</v>
      </c>
      <c r="AD8022">
        <v>-1.124571616196</v>
      </c>
      <c r="AE8022">
        <v>1.0429999999999999</v>
      </c>
      <c r="AF8022">
        <v>0.43633927872910799</v>
      </c>
      <c r="AG8022">
        <v>-1.124571616196</v>
      </c>
      <c r="AH8022">
        <v>33.917513345880003</v>
      </c>
      <c r="AI8022">
        <v>91.898850481460798</v>
      </c>
      <c r="AJ8022">
        <v>89.262946555309298</v>
      </c>
      <c r="AK8022">
        <v>33.938956449102299</v>
      </c>
      <c r="AL8022">
        <v>79.962092527327698</v>
      </c>
      <c r="AM8022">
        <v>86.006012927124402</v>
      </c>
      <c r="AN8022">
        <v>1.0000000087344401</v>
      </c>
    </row>
    <row r="8023" spans="1:40" x14ac:dyDescent="0.25">
      <c r="A8023" t="str">
        <f>"20190303170444166"</f>
        <v>20190303170444166</v>
      </c>
      <c r="B8023" t="str">
        <f>"1551603884153618"</f>
        <v>1551603884153618</v>
      </c>
      <c r="C8023" t="s">
        <v>40</v>
      </c>
      <c r="D8023">
        <v>4.6056660000000003</v>
      </c>
      <c r="E8023">
        <v>0.47962290000000002</v>
      </c>
      <c r="F8023" t="s">
        <v>42</v>
      </c>
      <c r="G8023">
        <v>-128.04589999999999</v>
      </c>
      <c r="H8023" s="1">
        <v>-1.4078600000000001E-6</v>
      </c>
      <c r="I8023">
        <v>136.77189999999999</v>
      </c>
      <c r="J8023">
        <v>-161.12989999999999</v>
      </c>
      <c r="K8023">
        <v>1.1246259999999999</v>
      </c>
      <c r="L8023">
        <v>135.6909</v>
      </c>
      <c r="M8023">
        <v>0.99878730000000004</v>
      </c>
      <c r="N8023">
        <v>-1.370853E-2</v>
      </c>
      <c r="O8023">
        <v>4.7288480000000001E-2</v>
      </c>
      <c r="P8023">
        <v>0.98654989999999998</v>
      </c>
      <c r="Q8023">
        <v>0.1614989</v>
      </c>
      <c r="R8023">
        <v>-2.5251300000000001E-2</v>
      </c>
      <c r="S8023">
        <v>3.0599370000000001</v>
      </c>
      <c r="T8023">
        <v>-0.103114</v>
      </c>
      <c r="U8023">
        <v>0.1006317</v>
      </c>
      <c r="V8023">
        <v>7.0664350000000001E-2</v>
      </c>
      <c r="W8023">
        <v>0.17547070000000001</v>
      </c>
      <c r="X8023">
        <v>0.98194530000000002</v>
      </c>
      <c r="Y8023">
        <v>1.4414140000000001E-2</v>
      </c>
      <c r="Z8023">
        <v>-1.2851830000000001E-3</v>
      </c>
      <c r="AA8023">
        <v>0.99989530000000004</v>
      </c>
      <c r="AB8023">
        <v>29</v>
      </c>
      <c r="AC8023">
        <v>33.084000000000003</v>
      </c>
      <c r="AD8023">
        <v>-1.12462740786</v>
      </c>
      <c r="AE8023">
        <v>1.08099999999998</v>
      </c>
      <c r="AF8023">
        <v>0.48428949889266998</v>
      </c>
      <c r="AG8023">
        <v>-1.12462740786</v>
      </c>
      <c r="AH8023">
        <v>33.0599437410173</v>
      </c>
      <c r="AI8023">
        <v>91.948117687718707</v>
      </c>
      <c r="AJ8023">
        <v>89.160743888670893</v>
      </c>
      <c r="AK8023">
        <v>33.082611796599103</v>
      </c>
      <c r="AL8023">
        <v>79.893948849518907</v>
      </c>
      <c r="AM8023">
        <v>85.883883300340997</v>
      </c>
      <c r="AN8023">
        <v>0.99999999455575095</v>
      </c>
    </row>
    <row r="8024" spans="1:40" x14ac:dyDescent="0.25">
      <c r="A8024" t="str">
        <f>"20190303170444189"</f>
        <v>20190303170444189</v>
      </c>
      <c r="B8024" t="str">
        <f>"1551603884183874"</f>
        <v>1551603884183874</v>
      </c>
      <c r="C8024" t="s">
        <v>40</v>
      </c>
      <c r="D8024">
        <v>4.6153779999999998</v>
      </c>
      <c r="E8024">
        <v>0.47989929999999997</v>
      </c>
      <c r="F8024" t="s">
        <v>42</v>
      </c>
      <c r="G8024">
        <v>-126.6024</v>
      </c>
      <c r="H8024" s="1">
        <v>-1.9273090000000002E-6</v>
      </c>
      <c r="I8024">
        <v>136.8682</v>
      </c>
      <c r="J8024">
        <v>-160.82839999999999</v>
      </c>
      <c r="K8024">
        <v>1.124647</v>
      </c>
      <c r="L8024">
        <v>135.70930000000001</v>
      </c>
      <c r="M8024">
        <v>0.99859739999999997</v>
      </c>
      <c r="N8024">
        <v>-1.3697610000000001E-2</v>
      </c>
      <c r="O8024">
        <v>5.114382E-2</v>
      </c>
      <c r="P8024">
        <v>0.98637900000000001</v>
      </c>
      <c r="Q8024">
        <v>0.16287109999999999</v>
      </c>
      <c r="R8024">
        <v>-2.301164E-2</v>
      </c>
      <c r="S8024">
        <v>3.0598749999999999</v>
      </c>
      <c r="T8024">
        <v>-9.9666240000000003E-2</v>
      </c>
      <c r="U8024">
        <v>0.1043396</v>
      </c>
      <c r="V8024">
        <v>7.2209570000000001E-2</v>
      </c>
      <c r="W8024">
        <v>0.17683750000000001</v>
      </c>
      <c r="X8024">
        <v>0.9815876</v>
      </c>
      <c r="Y8024">
        <v>1.706212E-2</v>
      </c>
      <c r="Z8024">
        <v>-1.358029E-3</v>
      </c>
      <c r="AA8024">
        <v>0.99985349999999995</v>
      </c>
      <c r="AB8024">
        <v>29</v>
      </c>
      <c r="AC8024">
        <v>34.2259999999999</v>
      </c>
      <c r="AD8024">
        <v>-1.1246489273089999</v>
      </c>
      <c r="AE8024">
        <v>1.1588999999999801</v>
      </c>
      <c r="AF8024">
        <v>0.59259037250083701</v>
      </c>
      <c r="AG8024">
        <v>-1.1246489273089999</v>
      </c>
      <c r="AH8024">
        <v>34.203587209162002</v>
      </c>
      <c r="AI8024">
        <v>91.882982935478495</v>
      </c>
      <c r="AJ8024">
        <v>89.007427772916799</v>
      </c>
      <c r="AK8024">
        <v>34.227202289027801</v>
      </c>
      <c r="AL8024">
        <v>79.814392669690605</v>
      </c>
      <c r="AM8024">
        <v>85.792668428892497</v>
      </c>
      <c r="AN8024">
        <v>0.99999996993979701</v>
      </c>
    </row>
    <row r="8025" spans="1:40" x14ac:dyDescent="0.25">
      <c r="A8025" t="str">
        <f>"20190303170444210"</f>
        <v>20190303170444210</v>
      </c>
      <c r="B8025" t="str">
        <f>"1551603884203394"</f>
        <v>1551603884203394</v>
      </c>
      <c r="C8025" t="s">
        <v>40</v>
      </c>
      <c r="D8025">
        <v>4.6111009999999997</v>
      </c>
      <c r="E8025">
        <v>0.48008109999999998</v>
      </c>
      <c r="F8025" t="s">
        <v>42</v>
      </c>
      <c r="G8025">
        <v>-124.92700000000001</v>
      </c>
      <c r="H8025" s="1">
        <v>-2.6268859999999998E-6</v>
      </c>
      <c r="I8025">
        <v>136.97630000000001</v>
      </c>
      <c r="J8025">
        <v>-160.5504</v>
      </c>
      <c r="K8025">
        <v>1.124622</v>
      </c>
      <c r="L8025">
        <v>135.72730000000001</v>
      </c>
      <c r="M8025">
        <v>0.99841349999999995</v>
      </c>
      <c r="N8025">
        <v>-1.3687639999999999E-2</v>
      </c>
      <c r="O8025">
        <v>5.461891E-2</v>
      </c>
      <c r="P8025">
        <v>0.98635729999999999</v>
      </c>
      <c r="Q8025">
        <v>0.16338179999999999</v>
      </c>
      <c r="R8025">
        <v>-2.0141309999999999E-2</v>
      </c>
      <c r="S8025">
        <v>3.0597690000000002</v>
      </c>
      <c r="T8025">
        <v>-9.5850589999999999E-2</v>
      </c>
      <c r="U8025">
        <v>0.1079865</v>
      </c>
      <c r="V8025">
        <v>7.2777789999999995E-2</v>
      </c>
      <c r="W8025">
        <v>0.17733450000000001</v>
      </c>
      <c r="X8025">
        <v>0.981456</v>
      </c>
      <c r="Y8025">
        <v>1.9350220000000001E-2</v>
      </c>
      <c r="Z8025">
        <v>-1.39667E-3</v>
      </c>
      <c r="AA8025">
        <v>0.99981180000000003</v>
      </c>
      <c r="AB8025">
        <v>29</v>
      </c>
      <c r="AC8025">
        <v>35.623399999999897</v>
      </c>
      <c r="AD8025">
        <v>-1.1246246268860001</v>
      </c>
      <c r="AE8025">
        <v>1.2489999999999899</v>
      </c>
      <c r="AF8025">
        <v>0.698063370486116</v>
      </c>
      <c r="AG8025">
        <v>-1.1246246268860001</v>
      </c>
      <c r="AH8025">
        <v>35.602999129065502</v>
      </c>
      <c r="AI8025">
        <v>91.808905371754904</v>
      </c>
      <c r="AJ8025">
        <v>88.876753029274795</v>
      </c>
      <c r="AK8025">
        <v>35.627596326511501</v>
      </c>
      <c r="AL8025">
        <v>79.785459756484201</v>
      </c>
      <c r="AM8025">
        <v>85.759114561435197</v>
      </c>
      <c r="AN8025">
        <v>1.00000000577176</v>
      </c>
    </row>
    <row r="8026" spans="1:40" x14ac:dyDescent="0.25">
      <c r="A8026" t="str">
        <f>"20190303170444232"</f>
        <v>20190303170444232</v>
      </c>
      <c r="B8026" t="str">
        <f>"1551603884223891"</f>
        <v>1551603884223891</v>
      </c>
      <c r="C8026" t="s">
        <v>40</v>
      </c>
      <c r="D8026">
        <v>4.610398</v>
      </c>
      <c r="E8026">
        <v>0.48026930000000001</v>
      </c>
      <c r="F8026" t="s">
        <v>42</v>
      </c>
      <c r="G8026">
        <v>-124.46250000000001</v>
      </c>
      <c r="H8026" s="1">
        <v>-2.8108510000000002E-6</v>
      </c>
      <c r="I8026">
        <v>137.0625</v>
      </c>
      <c r="J8026">
        <v>-160.2645</v>
      </c>
      <c r="K8026">
        <v>1.1245459999999901</v>
      </c>
      <c r="L8026">
        <v>135.7467</v>
      </c>
      <c r="M8026">
        <v>0.99821819999999895</v>
      </c>
      <c r="N8026">
        <v>-1.367755E-2</v>
      </c>
      <c r="O8026">
        <v>5.8080920000000001E-2</v>
      </c>
      <c r="P8026">
        <v>0.98648720000000001</v>
      </c>
      <c r="Q8026">
        <v>0.16281989999999999</v>
      </c>
      <c r="R8026">
        <v>-1.8248839999999999E-2</v>
      </c>
      <c r="S8026">
        <v>3.0596009999999998</v>
      </c>
      <c r="T8026">
        <v>-9.5347879999999996E-2</v>
      </c>
      <c r="U8026">
        <v>0.113205</v>
      </c>
      <c r="V8026">
        <v>7.4338840000000003E-2</v>
      </c>
      <c r="W8026">
        <v>0.176761</v>
      </c>
      <c r="X8026">
        <v>0.9814425</v>
      </c>
      <c r="Y8026">
        <v>2.111089E-2</v>
      </c>
      <c r="Z8026">
        <v>-1.4863179999999999E-3</v>
      </c>
      <c r="AA8026">
        <v>0.999776</v>
      </c>
      <c r="AB8026">
        <v>29</v>
      </c>
      <c r="AC8026">
        <v>35.8019999999999</v>
      </c>
      <c r="AD8026">
        <v>-1.12454881085099</v>
      </c>
      <c r="AE8026">
        <v>1.3157999999999901</v>
      </c>
      <c r="AF8026">
        <v>0.76527522587534602</v>
      </c>
      <c r="AG8026">
        <v>-1.12454881085099</v>
      </c>
      <c r="AH8026">
        <v>35.782724888695697</v>
      </c>
      <c r="AI8026">
        <v>91.799638942087199</v>
      </c>
      <c r="AJ8026">
        <v>88.774817807058398</v>
      </c>
      <c r="AK8026">
        <v>35.808569598064203</v>
      </c>
      <c r="AL8026">
        <v>79.818846748157497</v>
      </c>
      <c r="AM8026">
        <v>85.668432753112796</v>
      </c>
      <c r="AN8026">
        <v>1.00000004752989</v>
      </c>
    </row>
    <row r="8027" spans="1:40" x14ac:dyDescent="0.25">
      <c r="A8027" t="str">
        <f>"20190303170444255"</f>
        <v>20190303170444255</v>
      </c>
      <c r="B8027" t="str">
        <f>"1551603884243410"</f>
        <v>1551603884243410</v>
      </c>
      <c r="C8027" t="s">
        <v>40</v>
      </c>
      <c r="D8027">
        <v>4.6696299999999997</v>
      </c>
      <c r="E8027">
        <v>0.4804677</v>
      </c>
      <c r="F8027" t="s">
        <v>42</v>
      </c>
      <c r="G8027">
        <v>-125.0549</v>
      </c>
      <c r="H8027" s="1">
        <v>-2.551868E-6</v>
      </c>
      <c r="I8027">
        <v>137.0899</v>
      </c>
      <c r="J8027">
        <v>-159.97749999999999</v>
      </c>
      <c r="K8027">
        <v>1.1244419999999999</v>
      </c>
      <c r="L8027">
        <v>135.767</v>
      </c>
      <c r="M8027">
        <v>0.99801930000000005</v>
      </c>
      <c r="N8027">
        <v>-1.3667520000000001E-2</v>
      </c>
      <c r="O8027">
        <v>6.1408110000000002E-2</v>
      </c>
      <c r="P8027">
        <v>0.98658939999999995</v>
      </c>
      <c r="Q8027">
        <v>0.16226360000000001</v>
      </c>
      <c r="R8027">
        <v>-1.7662839999999999E-2</v>
      </c>
      <c r="S8027">
        <v>3.0593870000000001</v>
      </c>
      <c r="T8027">
        <v>-9.7712869999999993E-2</v>
      </c>
      <c r="U8027">
        <v>0.1167145</v>
      </c>
      <c r="V8027">
        <v>7.7083650000000004E-2</v>
      </c>
      <c r="W8027">
        <v>0.17619399999999999</v>
      </c>
      <c r="X8027">
        <v>0.98133269999999995</v>
      </c>
      <c r="Y8027">
        <v>2.3292139999999999E-2</v>
      </c>
      <c r="Z8027">
        <v>-1.6500600000000001E-3</v>
      </c>
      <c r="AA8027">
        <v>0.99972740000000004</v>
      </c>
      <c r="AB8027">
        <v>29</v>
      </c>
      <c r="AC8027">
        <v>34.922599999999903</v>
      </c>
      <c r="AD8027">
        <v>-1.124444551868</v>
      </c>
      <c r="AE8027">
        <v>1.3229</v>
      </c>
      <c r="AF8027">
        <v>0.82347551794541296</v>
      </c>
      <c r="AG8027">
        <v>-1.124444551868</v>
      </c>
      <c r="AH8027">
        <v>34.901792411228399</v>
      </c>
      <c r="AI8027">
        <v>91.844768986604905</v>
      </c>
      <c r="AJ8027">
        <v>88.648409828332404</v>
      </c>
      <c r="AK8027">
        <v>34.929609230498997</v>
      </c>
      <c r="AL8027">
        <v>79.851851411208898</v>
      </c>
      <c r="AM8027">
        <v>85.508640704613697</v>
      </c>
      <c r="AN8027">
        <v>1.0000000414112999</v>
      </c>
    </row>
    <row r="8028" spans="1:40" x14ac:dyDescent="0.25">
      <c r="A8028" t="str">
        <f>"20190303170444278"</f>
        <v>20190303170444278</v>
      </c>
      <c r="B8028" t="str">
        <f>"1551603884263907"</f>
        <v>1551603884263907</v>
      </c>
      <c r="C8028" t="s">
        <v>40</v>
      </c>
      <c r="D8028">
        <v>4.6639179999999998</v>
      </c>
      <c r="E8028">
        <v>0.4806626</v>
      </c>
      <c r="F8028" t="s">
        <v>42</v>
      </c>
      <c r="G8028">
        <v>-125.48099999999999</v>
      </c>
      <c r="H8028" s="1">
        <v>-2.3689049999999998E-6</v>
      </c>
      <c r="I8028">
        <v>137.0908</v>
      </c>
      <c r="J8028">
        <v>-159.68450000000001</v>
      </c>
      <c r="K8028">
        <v>1.124301</v>
      </c>
      <c r="L8028">
        <v>135.7886</v>
      </c>
      <c r="M8028">
        <v>0.99781830000000005</v>
      </c>
      <c r="N8028">
        <v>-1.365691E-2</v>
      </c>
      <c r="O8028">
        <v>6.4594509999999994E-2</v>
      </c>
      <c r="P8028">
        <v>0.98670360000000001</v>
      </c>
      <c r="Q8028">
        <v>0.16170950000000001</v>
      </c>
      <c r="R8028">
        <v>-1.632316E-2</v>
      </c>
      <c r="S8028">
        <v>3.0592959999999998</v>
      </c>
      <c r="T8028">
        <v>-9.972048E-2</v>
      </c>
      <c r="U8028">
        <v>0.11740109999999999</v>
      </c>
      <c r="V8028">
        <v>7.8954179999999999E-2</v>
      </c>
      <c r="W8028">
        <v>0.17561479999999999</v>
      </c>
      <c r="X8028">
        <v>0.98128780000000004</v>
      </c>
      <c r="Y8028">
        <v>2.625485E-2</v>
      </c>
      <c r="Z8028">
        <v>-1.8270059999999999E-3</v>
      </c>
      <c r="AA8028">
        <v>0.99965360000000003</v>
      </c>
      <c r="AB8028">
        <v>29</v>
      </c>
      <c r="AC8028">
        <v>34.203499999999998</v>
      </c>
      <c r="AD8028">
        <v>-1.1243033689049999</v>
      </c>
      <c r="AE8028">
        <v>1.30219999999999</v>
      </c>
      <c r="AF8028">
        <v>0.90910319364185099</v>
      </c>
      <c r="AG8028">
        <v>-1.1243033689049999</v>
      </c>
      <c r="AH8028">
        <v>34.1793013092583</v>
      </c>
      <c r="AI8028">
        <v>91.883358252533895</v>
      </c>
      <c r="AJ8028">
        <v>88.476402498939805</v>
      </c>
      <c r="AK8028">
        <v>34.209869404472897</v>
      </c>
      <c r="AL8028">
        <v>79.8855626974633</v>
      </c>
      <c r="AM8028">
        <v>85.399904960541605</v>
      </c>
      <c r="AN8028">
        <v>1.0000000334736701</v>
      </c>
    </row>
    <row r="8029" spans="1:40" x14ac:dyDescent="0.25">
      <c r="A8029" t="str">
        <f>"20190303170444300"</f>
        <v>20190303170444300</v>
      </c>
      <c r="B8029" t="str">
        <f>"1551603884293189"</f>
        <v>1551603884293189</v>
      </c>
      <c r="C8029" t="s">
        <v>40</v>
      </c>
      <c r="D8029">
        <v>4.6637329999999997</v>
      </c>
      <c r="E8029">
        <v>0.48093720000000001</v>
      </c>
      <c r="F8029" t="s">
        <v>42</v>
      </c>
      <c r="G8029">
        <v>-126.01519999999999</v>
      </c>
      <c r="H8029" s="1">
        <v>-2.1381750000000001E-6</v>
      </c>
      <c r="I8029">
        <v>137.09970000000001</v>
      </c>
      <c r="J8029">
        <v>-159.3972</v>
      </c>
      <c r="K8029">
        <v>1.1241460000000001</v>
      </c>
      <c r="L8029">
        <v>135.81049999999999</v>
      </c>
      <c r="M8029">
        <v>0.99762600000000001</v>
      </c>
      <c r="N8029">
        <v>-1.364624E-2</v>
      </c>
      <c r="O8029">
        <v>6.7500119999999997E-2</v>
      </c>
      <c r="P8029">
        <v>0.98689830000000001</v>
      </c>
      <c r="Q8029">
        <v>0.16080159999999999</v>
      </c>
      <c r="R8029">
        <v>-1.323526E-2</v>
      </c>
      <c r="S8029">
        <v>3.0591430000000002</v>
      </c>
      <c r="T8029">
        <v>-0.10215249999999999</v>
      </c>
      <c r="U8029">
        <v>0.11912540000000001</v>
      </c>
      <c r="V8029">
        <v>7.8822459999999997E-2</v>
      </c>
      <c r="W8029">
        <v>0.17466789999999999</v>
      </c>
      <c r="X8029">
        <v>0.98146739999999999</v>
      </c>
      <c r="Y8029">
        <v>2.8597279999999999E-2</v>
      </c>
      <c r="Z8029">
        <v>-2.0014339999999999E-3</v>
      </c>
      <c r="AA8029">
        <v>0.99958899999999995</v>
      </c>
      <c r="AB8029">
        <v>29</v>
      </c>
      <c r="AC8029">
        <v>33.381999999999998</v>
      </c>
      <c r="AD8029">
        <v>-1.12414813817499</v>
      </c>
      <c r="AE8029">
        <v>1.2892000000000201</v>
      </c>
      <c r="AF8029">
        <v>0.96614557052383598</v>
      </c>
      <c r="AG8029">
        <v>-1.12414813817499</v>
      </c>
      <c r="AH8029">
        <v>33.3551104279274</v>
      </c>
      <c r="AI8029">
        <v>91.929467521789306</v>
      </c>
      <c r="AJ8029">
        <v>88.340866227819504</v>
      </c>
      <c r="AK8029">
        <v>33.388029860404103</v>
      </c>
      <c r="AL8029">
        <v>79.940668047612306</v>
      </c>
      <c r="AM8029">
        <v>85.408383272794097</v>
      </c>
      <c r="AN8029">
        <v>1.0000000563767999</v>
      </c>
    </row>
    <row r="8030" spans="1:40" x14ac:dyDescent="0.25">
      <c r="A8030" t="str">
        <f>"20190303170444321"</f>
        <v>20190303170444321</v>
      </c>
      <c r="B8030" t="str">
        <f>"1551603884313682"</f>
        <v>1551603884313682</v>
      </c>
      <c r="C8030" t="s">
        <v>40</v>
      </c>
      <c r="D8030">
        <v>4.7218809999999998</v>
      </c>
      <c r="E8030">
        <v>0.48114400000000002</v>
      </c>
      <c r="F8030" t="s">
        <v>42</v>
      </c>
      <c r="G8030">
        <v>-126.9136</v>
      </c>
      <c r="H8030" s="1">
        <v>-1.7443500000000001E-6</v>
      </c>
      <c r="I8030">
        <v>137.14709999999999</v>
      </c>
      <c r="J8030">
        <v>-159.11940000000001</v>
      </c>
      <c r="K8030">
        <v>1.1239870000000001</v>
      </c>
      <c r="L8030">
        <v>135.8323</v>
      </c>
      <c r="M8030">
        <v>0.99744529999999998</v>
      </c>
      <c r="N8030">
        <v>-1.3636229999999999E-2</v>
      </c>
      <c r="O8030">
        <v>7.0121729999999993E-2</v>
      </c>
      <c r="P8030">
        <v>0.98695920000000004</v>
      </c>
      <c r="Q8030">
        <v>0.16059699999999999</v>
      </c>
      <c r="R8030">
        <v>-1.098116E-2</v>
      </c>
      <c r="S8030">
        <v>3.0587620000000002</v>
      </c>
      <c r="T8030">
        <v>-0.1058533</v>
      </c>
      <c r="U8030">
        <v>0.12585450000000001</v>
      </c>
      <c r="V8030">
        <v>7.9230659999999994E-2</v>
      </c>
      <c r="W8030">
        <v>0.17442550000000001</v>
      </c>
      <c r="X8030">
        <v>0.98147759999999995</v>
      </c>
      <c r="Y8030">
        <v>2.9019909999999999E-2</v>
      </c>
      <c r="Z8030">
        <v>-2.1657719999999998E-3</v>
      </c>
      <c r="AA8030">
        <v>0.99957649999999998</v>
      </c>
      <c r="AB8030">
        <v>29</v>
      </c>
      <c r="AC8030">
        <v>32.205800000000004</v>
      </c>
      <c r="AD8030">
        <v>-1.1239887443500001</v>
      </c>
      <c r="AE8030">
        <v>1.31479999999999</v>
      </c>
      <c r="AF8030">
        <v>0.94582319910583701</v>
      </c>
      <c r="AG8030">
        <v>-1.1239887443500001</v>
      </c>
      <c r="AH8030">
        <v>32.179583138885</v>
      </c>
      <c r="AI8030">
        <v>91.999586984888296</v>
      </c>
      <c r="AJ8030">
        <v>88.316445552298703</v>
      </c>
      <c r="AK8030">
        <v>32.2130952131863</v>
      </c>
      <c r="AL8030">
        <v>79.954772660843602</v>
      </c>
      <c r="AM8030">
        <v>85.384754765344994</v>
      </c>
      <c r="AN8030">
        <v>1.00000001591802</v>
      </c>
    </row>
    <row r="8031" spans="1:40" x14ac:dyDescent="0.25">
      <c r="A8031" t="str">
        <f>"20190303170444343"</f>
        <v>20190303170444343</v>
      </c>
      <c r="B8031" t="str">
        <f>"1551603884333202"</f>
        <v>1551603884333202</v>
      </c>
      <c r="C8031" t="s">
        <v>40</v>
      </c>
      <c r="D8031">
        <v>4.6503100000000002</v>
      </c>
      <c r="E8031">
        <v>0.48133969999999998</v>
      </c>
      <c r="F8031" t="s">
        <v>42</v>
      </c>
      <c r="G8031">
        <v>-127.0401</v>
      </c>
      <c r="H8031" s="1">
        <v>-1.679891E-6</v>
      </c>
      <c r="I8031">
        <v>137.2045</v>
      </c>
      <c r="J8031">
        <v>-158.83279999999999</v>
      </c>
      <c r="K8031">
        <v>1.12382</v>
      </c>
      <c r="L8031">
        <v>135.8553</v>
      </c>
      <c r="M8031">
        <v>0.99726870000000001</v>
      </c>
      <c r="N8031">
        <v>-1.3626259999999999E-2</v>
      </c>
      <c r="O8031">
        <v>7.2592470000000006E-2</v>
      </c>
      <c r="P8031">
        <v>0.98685330000000004</v>
      </c>
      <c r="Q8031">
        <v>0.16128779999999901</v>
      </c>
      <c r="R8031">
        <v>-1.0356580000000001E-2</v>
      </c>
      <c r="S8031">
        <v>3.0585330000000002</v>
      </c>
      <c r="T8031">
        <v>-0.1071643</v>
      </c>
      <c r="U8031">
        <v>0.1308289</v>
      </c>
      <c r="V8031">
        <v>8.1105999999999998E-2</v>
      </c>
      <c r="W8031">
        <v>0.17507909999999999</v>
      </c>
      <c r="X8031">
        <v>0.98120799999999997</v>
      </c>
      <c r="Y8031">
        <v>2.9867769999999998E-2</v>
      </c>
      <c r="Z8031">
        <v>-2.2757979999999999E-3</v>
      </c>
      <c r="AA8031">
        <v>0.99955130000000003</v>
      </c>
      <c r="AB8031">
        <v>29</v>
      </c>
      <c r="AC8031">
        <v>31.7927</v>
      </c>
      <c r="AD8031">
        <v>-1.1238216798909999</v>
      </c>
      <c r="AE8031">
        <v>1.34919999999999</v>
      </c>
      <c r="AF8031">
        <v>0.96128597484400402</v>
      </c>
      <c r="AG8031">
        <v>-1.1238216798909999</v>
      </c>
      <c r="AH8031">
        <v>31.7671341296872</v>
      </c>
      <c r="AI8031">
        <v>92.025173985435799</v>
      </c>
      <c r="AJ8031">
        <v>88.266736089611499</v>
      </c>
      <c r="AK8031">
        <v>31.8015385902501</v>
      </c>
      <c r="AL8031">
        <v>79.916738799761205</v>
      </c>
      <c r="AM8031">
        <v>85.274711421861596</v>
      </c>
      <c r="AN8031">
        <v>1.0000000068784001</v>
      </c>
    </row>
    <row r="8032" spans="1:40" x14ac:dyDescent="0.25">
      <c r="A8032" t="str">
        <f>"20190303170444366"</f>
        <v>20190303170444366</v>
      </c>
      <c r="B8032" t="str">
        <f>"1551603884353698"</f>
        <v>1551603884353698</v>
      </c>
      <c r="C8032" t="s">
        <v>40</v>
      </c>
      <c r="D8032">
        <v>4.7062339999999896</v>
      </c>
      <c r="E8032">
        <v>0.4814312</v>
      </c>
      <c r="F8032" t="s">
        <v>42</v>
      </c>
      <c r="G8032">
        <v>-126.1311</v>
      </c>
      <c r="H8032" s="1">
        <v>-2.0582940000000001E-6</v>
      </c>
      <c r="I8032">
        <v>137.2698</v>
      </c>
      <c r="J8032">
        <v>-158.5454</v>
      </c>
      <c r="K8032">
        <v>1.1236349999999999</v>
      </c>
      <c r="L8032">
        <v>135.87880000000001</v>
      </c>
      <c r="M8032">
        <v>0.99710600000000005</v>
      </c>
      <c r="N8032">
        <v>-1.3616140000000001E-2</v>
      </c>
      <c r="O8032">
        <v>7.479624E-2</v>
      </c>
      <c r="P8032">
        <v>0.986757</v>
      </c>
      <c r="Q8032">
        <v>0.1618792</v>
      </c>
      <c r="R8032">
        <v>-1.0293510000000001E-2</v>
      </c>
      <c r="S8032">
        <v>3.0585330000000002</v>
      </c>
      <c r="T8032">
        <v>-0.10510890000000001</v>
      </c>
      <c r="U8032">
        <v>0.13229369999999999</v>
      </c>
      <c r="V8032">
        <v>8.3288920000000002E-2</v>
      </c>
      <c r="W8032">
        <v>0.1756279</v>
      </c>
      <c r="X8032">
        <v>0.98092699999999999</v>
      </c>
      <c r="Y8032">
        <v>3.1598830000000001E-2</v>
      </c>
      <c r="Z8032">
        <v>-2.304553E-3</v>
      </c>
      <c r="AA8032">
        <v>0.999498</v>
      </c>
      <c r="AB8032">
        <v>29</v>
      </c>
      <c r="AC8032">
        <v>32.414299999999997</v>
      </c>
      <c r="AD8032">
        <v>-1.1236370582939901</v>
      </c>
      <c r="AE8032">
        <v>1.39099999999999</v>
      </c>
      <c r="AF8032">
        <v>1.03634633525741</v>
      </c>
      <c r="AG8032">
        <v>-1.1236370582939901</v>
      </c>
      <c r="AH8032">
        <v>32.388688259019801</v>
      </c>
      <c r="AI8032">
        <v>91.985908149187694</v>
      </c>
      <c r="AJ8032">
        <v>88.167322526585295</v>
      </c>
      <c r="AK8032">
        <v>32.424739029101602</v>
      </c>
      <c r="AL8032">
        <v>79.884799842865206</v>
      </c>
      <c r="AM8032">
        <v>85.146749048565297</v>
      </c>
      <c r="AN8032">
        <v>0.99999999139108797</v>
      </c>
    </row>
    <row r="8033" spans="1:40" x14ac:dyDescent="0.25">
      <c r="A8033" t="str">
        <f>"20190303170444389"</f>
        <v>20190303170444389</v>
      </c>
      <c r="B8033" t="str">
        <f>"1551603884383955"</f>
        <v>1551603884383955</v>
      </c>
      <c r="C8033" t="s">
        <v>40</v>
      </c>
      <c r="D8033">
        <v>4.7707410000000001</v>
      </c>
      <c r="E8033">
        <v>0.48829610000000001</v>
      </c>
      <c r="F8033" t="s">
        <v>42</v>
      </c>
      <c r="G8033">
        <v>-125.3215</v>
      </c>
      <c r="H8033" s="1">
        <v>-2.3966870000000001E-6</v>
      </c>
      <c r="I8033">
        <v>137.3201</v>
      </c>
      <c r="J8033">
        <v>-158.25380000000001</v>
      </c>
      <c r="K8033">
        <v>1.1234189999999999</v>
      </c>
      <c r="L8033">
        <v>135.90309999999999</v>
      </c>
      <c r="M8033">
        <v>0.99695860000000003</v>
      </c>
      <c r="N8033">
        <v>-1.3605849999999999E-2</v>
      </c>
      <c r="O8033">
        <v>7.6737559999999996E-2</v>
      </c>
      <c r="P8033">
        <v>0.98673889999999997</v>
      </c>
      <c r="Q8033">
        <v>0.16206709999999999</v>
      </c>
      <c r="R8033">
        <v>-8.9899019999999993E-3</v>
      </c>
      <c r="S8033">
        <v>3.05864</v>
      </c>
      <c r="T8033">
        <v>-0.1034434</v>
      </c>
      <c r="U8033">
        <v>0.13269039999999999</v>
      </c>
      <c r="V8033">
        <v>8.3995330000000007E-2</v>
      </c>
      <c r="W8033">
        <v>0.1757621</v>
      </c>
      <c r="X8033">
        <v>0.98084269999999996</v>
      </c>
      <c r="Y8033">
        <v>3.3416670000000002E-2</v>
      </c>
      <c r="Z8033">
        <v>-2.3378420000000001E-3</v>
      </c>
      <c r="AA8033">
        <v>0.99943879999999996</v>
      </c>
      <c r="AB8033">
        <v>29</v>
      </c>
      <c r="AC8033">
        <v>32.932299999999998</v>
      </c>
      <c r="AD8033">
        <v>-1.1234213966869999</v>
      </c>
      <c r="AE8033">
        <v>1.417</v>
      </c>
      <c r="AF8033">
        <v>1.11326394288052</v>
      </c>
      <c r="AG8033">
        <v>-1.1234213966869999</v>
      </c>
      <c r="AH8033">
        <v>32.905700957515798</v>
      </c>
      <c r="AI8033">
        <v>91.954237374246901</v>
      </c>
      <c r="AJ8033">
        <v>88.062311270892707</v>
      </c>
      <c r="AK8033">
        <v>32.943688132121899</v>
      </c>
      <c r="AL8033">
        <v>79.876989000134301</v>
      </c>
      <c r="AM8033">
        <v>85.105366998290293</v>
      </c>
      <c r="AN8033">
        <v>0.99999996670075297</v>
      </c>
    </row>
    <row r="8034" spans="1:40" x14ac:dyDescent="0.25">
      <c r="A8034" t="str">
        <f>"20190303170444411"</f>
        <v>20190303170444411</v>
      </c>
      <c r="B8034" t="str">
        <f>"1551603884403474"</f>
        <v>1551603884403474</v>
      </c>
      <c r="C8034" t="s">
        <v>40</v>
      </c>
      <c r="D8034">
        <v>4.8232949999999999</v>
      </c>
      <c r="E8034">
        <v>0.48854789999999998</v>
      </c>
      <c r="F8034" t="s">
        <v>42</v>
      </c>
      <c r="G8034">
        <v>-131.75110000000001</v>
      </c>
      <c r="H8034" s="1">
        <v>-4.0531420000000001E-6</v>
      </c>
      <c r="I8034">
        <v>136.6165</v>
      </c>
      <c r="J8034">
        <v>-157.9717</v>
      </c>
      <c r="K8034">
        <v>1.123181</v>
      </c>
      <c r="L8034">
        <v>135.92670000000001</v>
      </c>
      <c r="M8034">
        <v>0.99683500000000003</v>
      </c>
      <c r="N8034">
        <v>-1.359638E-2</v>
      </c>
      <c r="O8034">
        <v>7.8329070000000001E-2</v>
      </c>
      <c r="P8034">
        <v>0.98668089999999997</v>
      </c>
      <c r="Q8034">
        <v>0.16253229999999999</v>
      </c>
      <c r="R8034">
        <v>-6.6815950000000002E-3</v>
      </c>
      <c r="S8034">
        <v>3.0623930000000001</v>
      </c>
      <c r="T8034">
        <v>-0.12981189999999901</v>
      </c>
      <c r="U8034">
        <v>8.2443240000000001E-2</v>
      </c>
      <c r="V8034">
        <v>8.3355440000000003E-2</v>
      </c>
      <c r="W8034">
        <v>0.17616870000000001</v>
      </c>
      <c r="X8034">
        <v>0.98082440000000004</v>
      </c>
      <c r="Y8034">
        <v>5.1386040000000001E-2</v>
      </c>
      <c r="Z8034">
        <v>-3.6871859999999998E-3</v>
      </c>
      <c r="AA8034">
        <v>0.99867209999999995</v>
      </c>
      <c r="AB8034">
        <v>29</v>
      </c>
      <c r="AC8034">
        <v>26.220599999999902</v>
      </c>
      <c r="AD8034">
        <v>-1.123185053142</v>
      </c>
      <c r="AE8034">
        <v>0.68979999999999098</v>
      </c>
      <c r="AF8034">
        <v>1.36384369326833</v>
      </c>
      <c r="AG8034">
        <v>-1.123185053142</v>
      </c>
      <c r="AH8034">
        <v>26.1461173451608</v>
      </c>
      <c r="AI8034">
        <v>92.456464514595993</v>
      </c>
      <c r="AJ8034">
        <v>87.014022044009096</v>
      </c>
      <c r="AK8034">
        <v>26.2057449142394</v>
      </c>
      <c r="AL8034">
        <v>79.853323829769195</v>
      </c>
      <c r="AM8034">
        <v>85.142385808852097</v>
      </c>
      <c r="AN8034">
        <v>1.0000000219363201</v>
      </c>
    </row>
    <row r="8035" spans="1:40" x14ac:dyDescent="0.25">
      <c r="A8035" t="str">
        <f>"20190303170444434"</f>
        <v>20190303170444434</v>
      </c>
      <c r="B8035" t="str">
        <f>"1551603884423970"</f>
        <v>1551603884423970</v>
      </c>
      <c r="C8035" t="s">
        <v>40</v>
      </c>
      <c r="D8035">
        <v>4.7733150000000002</v>
      </c>
      <c r="E8035">
        <v>0.48880459999999898</v>
      </c>
      <c r="F8035" t="s">
        <v>42</v>
      </c>
      <c r="G8035">
        <v>-131.10589999999999</v>
      </c>
      <c r="H8035" s="1">
        <v>-4.316719E-6</v>
      </c>
      <c r="I8035">
        <v>136.69110000000001</v>
      </c>
      <c r="J8035">
        <v>-157.68020000000001</v>
      </c>
      <c r="K8035">
        <v>1.122924</v>
      </c>
      <c r="L8035">
        <v>135.95140000000001</v>
      </c>
      <c r="M8035">
        <v>0.99672760000000005</v>
      </c>
      <c r="N8035">
        <v>-1.3587149999999999E-2</v>
      </c>
      <c r="O8035">
        <v>7.9684169999999999E-2</v>
      </c>
      <c r="P8035">
        <v>0.98657810000000001</v>
      </c>
      <c r="Q8035">
        <v>0.1631766</v>
      </c>
      <c r="R8035">
        <v>-6.1242700000000002E-3</v>
      </c>
      <c r="S8035">
        <v>3.062195</v>
      </c>
      <c r="T8035">
        <v>-0.12802179999999999</v>
      </c>
      <c r="U8035">
        <v>8.7127689999999994E-2</v>
      </c>
      <c r="V8035">
        <v>8.4228810000000001E-2</v>
      </c>
      <c r="W8035">
        <v>0.176755299999999</v>
      </c>
      <c r="X8035">
        <v>0.98064419999999997</v>
      </c>
      <c r="Y8035">
        <v>5.1217810000000003E-2</v>
      </c>
      <c r="Z8035">
        <v>-3.6604820000000001E-3</v>
      </c>
      <c r="AA8035">
        <v>0.99868080000000004</v>
      </c>
      <c r="AB8035">
        <v>29</v>
      </c>
      <c r="AC8035">
        <v>26.574300000000001</v>
      </c>
      <c r="AD8035">
        <v>-1.1229283167190001</v>
      </c>
      <c r="AE8035">
        <v>0.73969999999999902</v>
      </c>
      <c r="AF8035">
        <v>1.37794047341504</v>
      </c>
      <c r="AG8035">
        <v>-1.1229283167190001</v>
      </c>
      <c r="AH8035">
        <v>26.501446263687701</v>
      </c>
      <c r="AI8035">
        <v>92.423035739931905</v>
      </c>
      <c r="AJ8035">
        <v>87.023591035902001</v>
      </c>
      <c r="AK8035">
        <v>26.560992865852999</v>
      </c>
      <c r="AL8035">
        <v>79.819177943602398</v>
      </c>
      <c r="AM8035">
        <v>85.090839217114805</v>
      </c>
      <c r="AN8035">
        <v>0.99999998775287202</v>
      </c>
    </row>
    <row r="8036" spans="1:40" x14ac:dyDescent="0.25">
      <c r="A8036" t="str">
        <f>"20190303170444470"</f>
        <v>20190303170444470</v>
      </c>
      <c r="B8036" t="str">
        <f>"1551603884463987"</f>
        <v>1551603884463987</v>
      </c>
      <c r="C8036" t="s">
        <v>40</v>
      </c>
      <c r="D8036">
        <v>4.8288039999999999</v>
      </c>
      <c r="E8036">
        <v>0.48923919999999999</v>
      </c>
      <c r="F8036" t="s">
        <v>42</v>
      </c>
      <c r="G8036">
        <v>-130.7979</v>
      </c>
      <c r="H8036" s="1">
        <v>-4.4420739999999999E-6</v>
      </c>
      <c r="I8036">
        <v>136.7294</v>
      </c>
      <c r="J8036">
        <v>-157.2296</v>
      </c>
      <c r="K8036">
        <v>1.12259</v>
      </c>
      <c r="L8036">
        <v>135.98949999999999</v>
      </c>
      <c r="M8036">
        <v>0.99660740000000003</v>
      </c>
      <c r="N8036">
        <v>-1.3573959999999999E-2</v>
      </c>
      <c r="O8036">
        <v>8.1176609999999996E-2</v>
      </c>
      <c r="P8036">
        <v>0.9864482</v>
      </c>
      <c r="Q8036">
        <v>0.1639582</v>
      </c>
      <c r="R8036">
        <v>-6.1346419999999896E-3</v>
      </c>
      <c r="S8036">
        <v>3.0625149999999999</v>
      </c>
      <c r="T8036">
        <v>-0.12792719999999999</v>
      </c>
      <c r="U8036">
        <v>8.8638309999999998E-2</v>
      </c>
      <c r="V8036">
        <v>8.5846290000000006E-2</v>
      </c>
      <c r="W8036">
        <v>0.17745320000000001</v>
      </c>
      <c r="X8036">
        <v>0.98037790000000002</v>
      </c>
      <c r="Y8036">
        <v>5.222239E-2</v>
      </c>
      <c r="Z8036">
        <v>-3.7270430000000002E-3</v>
      </c>
      <c r="AA8036">
        <v>0.99862850000000003</v>
      </c>
      <c r="AB8036">
        <v>29</v>
      </c>
      <c r="AC8036">
        <v>26.431699999999999</v>
      </c>
      <c r="AD8036">
        <v>-1.1225944420739999</v>
      </c>
      <c r="AE8036">
        <v>0.739900000000005</v>
      </c>
      <c r="AF8036">
        <v>1.40584168408618</v>
      </c>
      <c r="AG8036">
        <v>-1.1225944420739999</v>
      </c>
      <c r="AH8036">
        <v>26.357014009093799</v>
      </c>
      <c r="AI8036">
        <v>92.435402488759607</v>
      </c>
      <c r="AJ8036">
        <v>86.946826431866</v>
      </c>
      <c r="AK8036">
        <v>26.418342048615798</v>
      </c>
      <c r="AL8036">
        <v>79.778549346040506</v>
      </c>
      <c r="AM8036">
        <v>84.995688540695298</v>
      </c>
      <c r="AN8036">
        <v>1.0000000252526999</v>
      </c>
    </row>
    <row r="8037" spans="1:40" x14ac:dyDescent="0.25">
      <c r="A8037" t="str">
        <f>"20190303170444489"</f>
        <v>20190303170444489</v>
      </c>
      <c r="B8037" t="str">
        <f>"1551603884484014"</f>
        <v>1551603884484014</v>
      </c>
      <c r="C8037" t="s">
        <v>40</v>
      </c>
      <c r="D8037">
        <v>4.7694669999999997</v>
      </c>
      <c r="E8037">
        <v>0.4893749</v>
      </c>
      <c r="F8037" t="s">
        <v>42</v>
      </c>
      <c r="G8037">
        <v>-130.43369999999999</v>
      </c>
      <c r="H8037" s="1">
        <v>-4.5937179999999998E-6</v>
      </c>
      <c r="I8037">
        <v>136.75530000000001</v>
      </c>
      <c r="J8037">
        <v>-156.9665</v>
      </c>
      <c r="K8037">
        <v>1.122457</v>
      </c>
      <c r="L8037">
        <v>136.01179999999999</v>
      </c>
      <c r="M8037">
        <v>0.99655709999999997</v>
      </c>
      <c r="N8037">
        <v>-1.3566899999999899E-2</v>
      </c>
      <c r="O8037">
        <v>8.1792050000000005E-2</v>
      </c>
      <c r="P8037">
        <v>0.98660619999999999</v>
      </c>
      <c r="Q8037">
        <v>0.16303619999999999</v>
      </c>
      <c r="R8037">
        <v>-5.2350529999999999E-3</v>
      </c>
      <c r="S8037">
        <v>3.0630799999999998</v>
      </c>
      <c r="T8037">
        <v>-0.1283253</v>
      </c>
      <c r="U8037">
        <v>8.753967E-2</v>
      </c>
      <c r="V8037">
        <v>8.5643700000000003E-2</v>
      </c>
      <c r="W8037">
        <v>0.17649110000000001</v>
      </c>
      <c r="X8037">
        <v>0.98056920000000003</v>
      </c>
      <c r="Y8037">
        <v>5.3200299999999999E-2</v>
      </c>
      <c r="Z8037">
        <v>-3.7849820000000001E-3</v>
      </c>
      <c r="AA8037">
        <v>0.99857669999999998</v>
      </c>
      <c r="AB8037">
        <v>29</v>
      </c>
      <c r="AC8037">
        <v>26.532800000000002</v>
      </c>
      <c r="AD8037">
        <v>-1.122461593718</v>
      </c>
      <c r="AE8037">
        <v>0.74350000000001104</v>
      </c>
      <c r="AF8037">
        <v>1.4268118713468201</v>
      </c>
      <c r="AG8037">
        <v>-1.122461593718</v>
      </c>
      <c r="AH8037">
        <v>26.457387987291</v>
      </c>
      <c r="AI8037">
        <v>92.425810871005396</v>
      </c>
      <c r="AJ8037">
        <v>86.9131047662501</v>
      </c>
      <c r="AK8037">
        <v>26.519598248382898</v>
      </c>
      <c r="AL8037">
        <v>79.834556926106501</v>
      </c>
      <c r="AM8037">
        <v>85.008407616087297</v>
      </c>
      <c r="AN8037">
        <v>0.99999995385876805</v>
      </c>
    </row>
    <row r="8038" spans="1:40" x14ac:dyDescent="0.25">
      <c r="A8038" t="str">
        <f>"20190303170444511"</f>
        <v>20190303170444511</v>
      </c>
      <c r="B8038" t="str">
        <f>"1551603884503533"</f>
        <v>1551603884503533</v>
      </c>
      <c r="C8038" t="s">
        <v>40</v>
      </c>
      <c r="D8038">
        <v>4.824147</v>
      </c>
      <c r="E8038">
        <v>0.48962440000000002</v>
      </c>
      <c r="F8038" t="s">
        <v>42</v>
      </c>
      <c r="G8038">
        <v>-131.03550000000001</v>
      </c>
      <c r="H8038" s="1">
        <v>-4.33424699999999E-6</v>
      </c>
      <c r="I8038">
        <v>136.76249999999999</v>
      </c>
      <c r="J8038">
        <v>-156.6884</v>
      </c>
      <c r="K8038">
        <v>1.1223590000000001</v>
      </c>
      <c r="L8038">
        <v>136.03530000000001</v>
      </c>
      <c r="M8038">
        <v>0.99651769999999995</v>
      </c>
      <c r="N8038">
        <v>-1.355988E-2</v>
      </c>
      <c r="O8038">
        <v>8.2271979999999995E-2</v>
      </c>
      <c r="P8038">
        <v>0.98663900000000004</v>
      </c>
      <c r="Q8038">
        <v>0.16285179999999999</v>
      </c>
      <c r="R8038">
        <v>-4.778404E-3</v>
      </c>
      <c r="S8038">
        <v>3.06311</v>
      </c>
      <c r="T8038">
        <v>-0.13259119999999999</v>
      </c>
      <c r="U8038">
        <v>8.8684079999999998E-2</v>
      </c>
      <c r="V8038">
        <v>8.5729169999999993E-2</v>
      </c>
      <c r="W8038">
        <v>0.1762686</v>
      </c>
      <c r="X8038">
        <v>0.98060179999999997</v>
      </c>
      <c r="Y8038">
        <v>5.3301429999999997E-2</v>
      </c>
      <c r="Z8038">
        <v>-3.9529639999999998E-3</v>
      </c>
      <c r="AA8038">
        <v>0.99857059999999997</v>
      </c>
      <c r="AB8038">
        <v>29</v>
      </c>
      <c r="AC8038">
        <v>25.652899999999899</v>
      </c>
      <c r="AD8038">
        <v>-1.1223633342470001</v>
      </c>
      <c r="AE8038">
        <v>0.72719999999998197</v>
      </c>
      <c r="AF8038">
        <v>1.38332869528958</v>
      </c>
      <c r="AG8038">
        <v>-1.1223633342470001</v>
      </c>
      <c r="AH8038">
        <v>25.576831526319801</v>
      </c>
      <c r="AI8038">
        <v>92.508980962140996</v>
      </c>
      <c r="AJ8038">
        <v>86.904161166995706</v>
      </c>
      <c r="AK8038">
        <v>25.638791091996101</v>
      </c>
      <c r="AL8038">
        <v>79.847508760740297</v>
      </c>
      <c r="AM8038">
        <v>85.003616621315402</v>
      </c>
      <c r="AN8038">
        <v>1.0000000000490401</v>
      </c>
    </row>
    <row r="8039" spans="1:40" x14ac:dyDescent="0.25">
      <c r="A8039" t="str">
        <f>"20190303170444533"</f>
        <v>20190303170444533</v>
      </c>
      <c r="B8039" t="str">
        <f>"1551603884524030"</f>
        <v>1551603884524030</v>
      </c>
      <c r="C8039" t="s">
        <v>40</v>
      </c>
      <c r="D8039">
        <v>4.826117</v>
      </c>
      <c r="E8039">
        <v>0.48993049999999999</v>
      </c>
      <c r="F8039" t="s">
        <v>42</v>
      </c>
      <c r="G8039">
        <v>-131.17179999999999</v>
      </c>
      <c r="H8039" s="1">
        <v>-4.2750949999999996E-6</v>
      </c>
      <c r="I8039">
        <v>136.7664</v>
      </c>
      <c r="J8039">
        <v>-156.4041</v>
      </c>
      <c r="K8039">
        <v>1.122277</v>
      </c>
      <c r="L8039">
        <v>136.05940000000001</v>
      </c>
      <c r="M8039">
        <v>0.99649030000000005</v>
      </c>
      <c r="N8039">
        <v>-1.355321E-2</v>
      </c>
      <c r="O8039">
        <v>8.2603789999999996E-2</v>
      </c>
      <c r="P8039">
        <v>0.9862862</v>
      </c>
      <c r="Q8039">
        <v>0.16495029999999999</v>
      </c>
      <c r="R8039">
        <v>-5.5631999999999999E-3</v>
      </c>
      <c r="S8039">
        <v>3.0632630000000001</v>
      </c>
      <c r="T8039">
        <v>-0.13473929999999901</v>
      </c>
      <c r="U8039">
        <v>8.7768550000000001E-2</v>
      </c>
      <c r="V8039">
        <v>8.6863990000000002E-2</v>
      </c>
      <c r="W8039">
        <v>0.17832779999999901</v>
      </c>
      <c r="X8039">
        <v>0.98012949999999999</v>
      </c>
      <c r="Y8039">
        <v>5.3928999999999998E-2</v>
      </c>
      <c r="Z8039">
        <v>-4.0574180000000001E-3</v>
      </c>
      <c r="AA8039">
        <v>0.99853650000000005</v>
      </c>
      <c r="AB8039">
        <v>29</v>
      </c>
      <c r="AC8039">
        <v>25.232299999999999</v>
      </c>
      <c r="AD8039">
        <v>-1.122281275095</v>
      </c>
      <c r="AE8039">
        <v>0.70699999999999297</v>
      </c>
      <c r="AF8039">
        <v>1.3771694124159699</v>
      </c>
      <c r="AG8039">
        <v>-1.122281275095</v>
      </c>
      <c r="AH8039">
        <v>25.154733863287301</v>
      </c>
      <c r="AI8039">
        <v>92.550748766038197</v>
      </c>
      <c r="AJ8039">
        <v>86.866303535139394</v>
      </c>
      <c r="AK8039">
        <v>25.217389765471999</v>
      </c>
      <c r="AL8039">
        <v>79.7276259535397</v>
      </c>
      <c r="AM8039">
        <v>84.935392922783294</v>
      </c>
      <c r="AN8039">
        <v>0.99999999689090502</v>
      </c>
    </row>
    <row r="8040" spans="1:40" x14ac:dyDescent="0.25">
      <c r="A8040" t="str">
        <f>"20190303170444557"</f>
        <v>20190303170444557</v>
      </c>
      <c r="B8040" t="str">
        <f>"1551603884543549"</f>
        <v>1551603884543549</v>
      </c>
      <c r="C8040" t="s">
        <v>40</v>
      </c>
      <c r="D8040">
        <v>4.8295579999999996</v>
      </c>
      <c r="E8040">
        <v>0.49011110000000002</v>
      </c>
      <c r="F8040" t="s">
        <v>42</v>
      </c>
      <c r="G8040">
        <v>-129.8349</v>
      </c>
      <c r="H8040" s="1">
        <v>-7.9466630000000003E-7</v>
      </c>
      <c r="I8040">
        <v>136.7885</v>
      </c>
      <c r="J8040">
        <v>-156.1183</v>
      </c>
      <c r="K8040">
        <v>1.1222259999999999</v>
      </c>
      <c r="L8040">
        <v>136.08349999999999</v>
      </c>
      <c r="M8040">
        <v>0.99647370000000002</v>
      </c>
      <c r="N8040">
        <v>-1.354701E-2</v>
      </c>
      <c r="O8040">
        <v>8.2805480000000001E-2</v>
      </c>
      <c r="P8040">
        <v>0.9857977</v>
      </c>
      <c r="Q8040">
        <v>0.16775609999999999</v>
      </c>
      <c r="R8040">
        <v>-7.8086140000000002E-3</v>
      </c>
      <c r="S8040">
        <v>3.0638429999999999</v>
      </c>
      <c r="T8040">
        <v>-0.1294158</v>
      </c>
      <c r="U8040">
        <v>8.4075929999999993E-2</v>
      </c>
      <c r="V8040">
        <v>8.9307910000000004E-2</v>
      </c>
      <c r="W8040">
        <v>0.18109539999999999</v>
      </c>
      <c r="X8040">
        <v>0.97940210000000005</v>
      </c>
      <c r="Y8040">
        <v>5.5346149999999997E-2</v>
      </c>
      <c r="Z8040">
        <v>-3.912268E-3</v>
      </c>
      <c r="AA8040">
        <v>0.9984596</v>
      </c>
      <c r="AB8040">
        <v>29</v>
      </c>
      <c r="AC8040">
        <v>26.2834</v>
      </c>
      <c r="AD8040">
        <v>-1.1222267946663</v>
      </c>
      <c r="AE8040">
        <v>0.70500000000001195</v>
      </c>
      <c r="AF8040">
        <v>1.4713503680709199</v>
      </c>
      <c r="AG8040">
        <v>-1.1222267946663</v>
      </c>
      <c r="AH8040">
        <v>26.203765929106599</v>
      </c>
      <c r="AI8040">
        <v>92.448451586739196</v>
      </c>
      <c r="AJ8040">
        <v>86.786197218124897</v>
      </c>
      <c r="AK8040">
        <v>26.269023844667299</v>
      </c>
      <c r="AL8040">
        <v>79.566429326743801</v>
      </c>
      <c r="AM8040">
        <v>84.789827101111896</v>
      </c>
      <c r="AN8040">
        <v>0.99999996008706804</v>
      </c>
    </row>
    <row r="8041" spans="1:40" x14ac:dyDescent="0.25">
      <c r="A8041" t="str">
        <f>"20190303170444579"</f>
        <v>20190303170444579</v>
      </c>
      <c r="B8041" t="str">
        <f>"1551603884573336"</f>
        <v>1551603884573336</v>
      </c>
      <c r="C8041" t="s">
        <v>40</v>
      </c>
      <c r="D8041">
        <v>4.8901009999999996</v>
      </c>
      <c r="E8041">
        <v>0.49396590000000001</v>
      </c>
      <c r="F8041" t="s">
        <v>42</v>
      </c>
      <c r="G8041">
        <v>-127.8379</v>
      </c>
      <c r="H8041" s="1">
        <v>-1.471385E-6</v>
      </c>
      <c r="I8041">
        <v>136.79920000000001</v>
      </c>
      <c r="J8041">
        <v>-155.82550000000001</v>
      </c>
      <c r="K8041">
        <v>1.1221730000000001</v>
      </c>
      <c r="L8041">
        <v>136.10810000000001</v>
      </c>
      <c r="M8041">
        <v>0.99646449999999998</v>
      </c>
      <c r="N8041">
        <v>-1.354117E-2</v>
      </c>
      <c r="O8041">
        <v>8.2917340000000006E-2</v>
      </c>
      <c r="P8041">
        <v>0.98518819999999996</v>
      </c>
      <c r="Q8041">
        <v>0.17115999999999901</v>
      </c>
      <c r="R8041">
        <v>-1.04221E-2</v>
      </c>
      <c r="S8041">
        <v>3.0645289999999998</v>
      </c>
      <c r="T8041">
        <v>-0.1216071</v>
      </c>
      <c r="U8041">
        <v>7.7560420000000005E-2</v>
      </c>
      <c r="V8041">
        <v>9.2013339999999999E-2</v>
      </c>
      <c r="W8041">
        <v>0.18446180000000001</v>
      </c>
      <c r="X8041">
        <v>0.97852309999999998</v>
      </c>
      <c r="Y8041">
        <v>5.7595670000000002E-2</v>
      </c>
      <c r="Z8041">
        <v>-3.6935449999999999E-3</v>
      </c>
      <c r="AA8041">
        <v>0.99833320000000003</v>
      </c>
      <c r="AB8041">
        <v>29</v>
      </c>
      <c r="AC8041">
        <v>27.9876</v>
      </c>
      <c r="AD8041">
        <v>-1.1221744713849999</v>
      </c>
      <c r="AE8041">
        <v>0.69110000000000504</v>
      </c>
      <c r="AF8041">
        <v>1.6295321444748401</v>
      </c>
      <c r="AG8041">
        <v>-1.1221744713849999</v>
      </c>
      <c r="AH8041">
        <v>27.903682616967</v>
      </c>
      <c r="AI8041">
        <v>92.299053223201796</v>
      </c>
      <c r="AJ8041">
        <v>86.657810536525602</v>
      </c>
      <c r="AK8041">
        <v>27.973740438892602</v>
      </c>
      <c r="AL8041">
        <v>79.370244573272004</v>
      </c>
      <c r="AM8041">
        <v>84.628109064447102</v>
      </c>
      <c r="AN8041">
        <v>1.0000000338154</v>
      </c>
    </row>
    <row r="8042" spans="1:40" x14ac:dyDescent="0.25">
      <c r="A8042" t="str">
        <f>"20190303170444600"</f>
        <v>20190303170444600</v>
      </c>
      <c r="B8042" t="str">
        <f>"1551603884593833"</f>
        <v>1551603884593833</v>
      </c>
      <c r="C8042" t="s">
        <v>40</v>
      </c>
      <c r="D8042">
        <v>4.8281539999999996</v>
      </c>
      <c r="E8042">
        <v>0.49344440000000001</v>
      </c>
      <c r="F8042" t="s">
        <v>42</v>
      </c>
      <c r="G8042">
        <v>-129.76410000000001</v>
      </c>
      <c r="H8042" s="1">
        <v>-9.0761930000000003E-7</v>
      </c>
      <c r="I8042">
        <v>136.4545</v>
      </c>
      <c r="J8042">
        <v>-155.5454</v>
      </c>
      <c r="K8042">
        <v>1.122123</v>
      </c>
      <c r="L8042">
        <v>136.13159999999999</v>
      </c>
      <c r="M8042">
        <v>0.99645980000000001</v>
      </c>
      <c r="N8042">
        <v>-1.353612E-2</v>
      </c>
      <c r="O8042">
        <v>8.2974660000000006E-2</v>
      </c>
      <c r="P8042">
        <v>0.98513740000000005</v>
      </c>
      <c r="Q8042">
        <v>0.1712736</v>
      </c>
      <c r="R8042">
        <v>-1.3039149999999999E-2</v>
      </c>
      <c r="S8042">
        <v>3.0684969999999998</v>
      </c>
      <c r="T8042">
        <v>-0.1321254</v>
      </c>
      <c r="U8042">
        <v>4.0786740000000002E-2</v>
      </c>
      <c r="V8042">
        <v>9.4705120000000004E-2</v>
      </c>
      <c r="W8042">
        <v>0.1845514</v>
      </c>
      <c r="X8042">
        <v>0.97824929999999999</v>
      </c>
      <c r="Y8042">
        <v>6.9609130000000005E-2</v>
      </c>
      <c r="Z8042">
        <v>-4.4127899999999998E-3</v>
      </c>
      <c r="AA8042">
        <v>0.99756460000000002</v>
      </c>
      <c r="AB8042">
        <v>29</v>
      </c>
      <c r="AC8042">
        <v>25.781299999999899</v>
      </c>
      <c r="AD8042">
        <v>-1.1221239076192999</v>
      </c>
      <c r="AE8042">
        <v>0.32290000000000402</v>
      </c>
      <c r="AF8042">
        <v>1.8141678938016199</v>
      </c>
      <c r="AG8042">
        <v>-1.1221239076192999</v>
      </c>
      <c r="AH8042">
        <v>25.6705532030537</v>
      </c>
      <c r="AI8042">
        <v>92.496728870863095</v>
      </c>
      <c r="AJ8042">
        <v>85.957561458558899</v>
      </c>
      <c r="AK8042">
        <v>25.759030823417302</v>
      </c>
      <c r="AL8042">
        <v>79.365020678097096</v>
      </c>
      <c r="AM8042">
        <v>84.470380605519907</v>
      </c>
      <c r="AN8042">
        <v>0.99999998597333195</v>
      </c>
    </row>
    <row r="8043" spans="1:40" x14ac:dyDescent="0.25">
      <c r="A8043" t="str">
        <f>"20190303170444623"</f>
        <v>20190303170444623</v>
      </c>
      <c r="B8043" t="str">
        <f>"1551603884613352"</f>
        <v>1551603884613352</v>
      </c>
      <c r="C8043" t="s">
        <v>40</v>
      </c>
      <c r="D8043">
        <v>4.8786559999999897</v>
      </c>
      <c r="E8043">
        <v>0.49345509999999898</v>
      </c>
      <c r="F8043" t="s">
        <v>42</v>
      </c>
      <c r="G8043">
        <v>-129.61879999999999</v>
      </c>
      <c r="H8043" s="1">
        <v>-9.5785800000000008E-7</v>
      </c>
      <c r="I8043">
        <v>136.45150000000001</v>
      </c>
      <c r="J8043">
        <v>-155.26410000000001</v>
      </c>
      <c r="K8043">
        <v>1.1220619999999999</v>
      </c>
      <c r="L8043">
        <v>136.1551</v>
      </c>
      <c r="M8043">
        <v>0.9964577</v>
      </c>
      <c r="N8043">
        <v>-1.3531369999999999E-2</v>
      </c>
      <c r="O8043">
        <v>8.3001000000000005E-2</v>
      </c>
      <c r="P8043">
        <v>0.9853111</v>
      </c>
      <c r="Q8043">
        <v>0.17000219999999999</v>
      </c>
      <c r="R8043">
        <v>-1.617004E-2</v>
      </c>
      <c r="S8043">
        <v>3.0688930000000001</v>
      </c>
      <c r="T8043">
        <v>-0.13282379999999999</v>
      </c>
      <c r="U8043">
        <v>3.7872309999999999E-2</v>
      </c>
      <c r="V8043">
        <v>9.7888080000000002E-2</v>
      </c>
      <c r="W8043">
        <v>0.18326339999999999</v>
      </c>
      <c r="X8043">
        <v>0.97817810000000005</v>
      </c>
      <c r="Y8043">
        <v>7.0581850000000002E-2</v>
      </c>
      <c r="Z8043">
        <v>-4.4675909999999999E-3</v>
      </c>
      <c r="AA8043">
        <v>0.99749600000000005</v>
      </c>
      <c r="AB8043">
        <v>29</v>
      </c>
      <c r="AC8043">
        <v>25.645299999999999</v>
      </c>
      <c r="AD8043">
        <v>-1.1220629578579999</v>
      </c>
      <c r="AE8043">
        <v>0.29640000000000499</v>
      </c>
      <c r="AF8043">
        <v>1.8299005602446601</v>
      </c>
      <c r="AG8043">
        <v>-1.1220629578579999</v>
      </c>
      <c r="AH8043">
        <v>25.532526111971102</v>
      </c>
      <c r="AI8043">
        <v>92.509895433426905</v>
      </c>
      <c r="AJ8043">
        <v>85.900655632850999</v>
      </c>
      <c r="AK8043">
        <v>25.622596492164199</v>
      </c>
      <c r="AL8043">
        <v>79.440098061043798</v>
      </c>
      <c r="AM8043">
        <v>84.285331650681997</v>
      </c>
      <c r="AN8043">
        <v>0.99999997265262697</v>
      </c>
    </row>
    <row r="8044" spans="1:40" x14ac:dyDescent="0.25">
      <c r="A8044" t="str">
        <f>"20190303170444646"</f>
        <v>20190303170444646</v>
      </c>
      <c r="B8044" t="str">
        <f>"1551603884633850"</f>
        <v>1551603884633850</v>
      </c>
      <c r="C8044" t="s">
        <v>40</v>
      </c>
      <c r="D8044">
        <v>4.8220289999999997</v>
      </c>
      <c r="E8044">
        <v>0.4932764</v>
      </c>
      <c r="F8044" t="s">
        <v>42</v>
      </c>
      <c r="G8044">
        <v>-131.12260000000001</v>
      </c>
      <c r="H8044" s="1">
        <v>-4.3646429999999998E-6</v>
      </c>
      <c r="I8044">
        <v>136.38050000000001</v>
      </c>
      <c r="J8044">
        <v>-154.97819999999999</v>
      </c>
      <c r="K8044">
        <v>1.122004</v>
      </c>
      <c r="L8044">
        <v>136.1789</v>
      </c>
      <c r="M8044">
        <v>0.99645740000000005</v>
      </c>
      <c r="N8044">
        <v>-1.3526949999999999E-2</v>
      </c>
      <c r="O8044">
        <v>8.3004739999999994E-2</v>
      </c>
      <c r="P8044">
        <v>0.98512149999999998</v>
      </c>
      <c r="Q8044">
        <v>0.1705951</v>
      </c>
      <c r="R8044">
        <v>-2.0804530000000002E-2</v>
      </c>
      <c r="S8044">
        <v>3.0698089999999998</v>
      </c>
      <c r="T8044">
        <v>-0.14268040000000001</v>
      </c>
      <c r="U8044">
        <v>2.867126E-2</v>
      </c>
      <c r="V8044">
        <v>0.1025093</v>
      </c>
      <c r="W8044">
        <v>0.18383620000000001</v>
      </c>
      <c r="X8044">
        <v>0.9775971</v>
      </c>
      <c r="Y8044">
        <v>7.3554250000000002E-2</v>
      </c>
      <c r="Z8044">
        <v>-4.9348450000000002E-3</v>
      </c>
      <c r="AA8044">
        <v>0.99727900000000003</v>
      </c>
      <c r="AB8044">
        <v>29</v>
      </c>
      <c r="AC8044">
        <v>23.8555999999999</v>
      </c>
      <c r="AD8044">
        <v>-1.1220083646429999</v>
      </c>
      <c r="AE8044">
        <v>0.20160000000001299</v>
      </c>
      <c r="AF8044">
        <v>1.77547745070467</v>
      </c>
      <c r="AG8044">
        <v>-1.1220083646429999</v>
      </c>
      <c r="AH8044">
        <v>23.7374913927416</v>
      </c>
      <c r="AI8044">
        <v>92.698678433615498</v>
      </c>
      <c r="AJ8044">
        <v>85.722450498561301</v>
      </c>
      <c r="AK8044">
        <v>23.830227035611198</v>
      </c>
      <c r="AL8044">
        <v>79.406712084570302</v>
      </c>
      <c r="AM8044">
        <v>84.013929910352203</v>
      </c>
      <c r="AN8044">
        <v>0.99999999747266899</v>
      </c>
    </row>
    <row r="8045" spans="1:40" x14ac:dyDescent="0.25">
      <c r="A8045" t="str">
        <f>"20190303170444669"</f>
        <v>20190303170444669</v>
      </c>
      <c r="B8045" t="str">
        <f>"1551603884663128"</f>
        <v>1551603884663128</v>
      </c>
      <c r="C8045" t="s">
        <v>40</v>
      </c>
      <c r="D8045">
        <v>4.877351</v>
      </c>
      <c r="E8045">
        <v>0.49312810000000001</v>
      </c>
      <c r="F8045" t="s">
        <v>42</v>
      </c>
      <c r="G8045">
        <v>-131.03960000000001</v>
      </c>
      <c r="H8045" s="1">
        <v>-4.4111169999999998E-6</v>
      </c>
      <c r="I8045">
        <v>136.3192</v>
      </c>
      <c r="J8045">
        <v>-154.68450000000001</v>
      </c>
      <c r="K8045">
        <v>1.121969</v>
      </c>
      <c r="L8045">
        <v>136.20339999999999</v>
      </c>
      <c r="M8045">
        <v>0.99645819999999996</v>
      </c>
      <c r="N8045">
        <v>-1.3522889999999999E-2</v>
      </c>
      <c r="O8045">
        <v>8.2995680000000002E-2</v>
      </c>
      <c r="P8045">
        <v>0.98477429999999999</v>
      </c>
      <c r="Q8045">
        <v>0.17191219999999999</v>
      </c>
      <c r="R8045">
        <v>-2.5813309999999999E-2</v>
      </c>
      <c r="S8045">
        <v>3.0706180000000001</v>
      </c>
      <c r="T8045">
        <v>-0.14392079999999999</v>
      </c>
      <c r="U8045">
        <v>1.799011E-2</v>
      </c>
      <c r="V8045">
        <v>0.1074717</v>
      </c>
      <c r="W8045">
        <v>0.18513389999999999</v>
      </c>
      <c r="X8045">
        <v>0.97681899999999999</v>
      </c>
      <c r="Y8045">
        <v>7.7008519999999997E-2</v>
      </c>
      <c r="Z8045">
        <v>-5.0860710000000002E-3</v>
      </c>
      <c r="AA8045">
        <v>0.99701740000000005</v>
      </c>
      <c r="AB8045">
        <v>29</v>
      </c>
      <c r="AC8045">
        <v>23.6449</v>
      </c>
      <c r="AD8045">
        <v>-1.1219734111170001</v>
      </c>
      <c r="AE8045">
        <v>0.11580000000000699</v>
      </c>
      <c r="AF8045">
        <v>1.84305380127025</v>
      </c>
      <c r="AG8045">
        <v>-1.1219734111170001</v>
      </c>
      <c r="AH8045">
        <v>23.519963586117999</v>
      </c>
      <c r="AI8045">
        <v>92.722777462607198</v>
      </c>
      <c r="AJ8045">
        <v>85.519387042068402</v>
      </c>
      <c r="AK8045">
        <v>23.618728982355201</v>
      </c>
      <c r="AL8045">
        <v>79.331061306881296</v>
      </c>
      <c r="AM8045">
        <v>83.721449122592702</v>
      </c>
      <c r="AN8045">
        <v>1.00000004299554</v>
      </c>
    </row>
    <row r="8046" spans="1:40" x14ac:dyDescent="0.25">
      <c r="A8046" t="str">
        <f>"20190303170444690"</f>
        <v>20190303170444690</v>
      </c>
      <c r="B8046" t="str">
        <f>"1551603884683154"</f>
        <v>1551603884683154</v>
      </c>
      <c r="C8046" t="s">
        <v>40</v>
      </c>
      <c r="D8046">
        <v>4.8251809999999997</v>
      </c>
      <c r="E8046">
        <v>0.4929945</v>
      </c>
      <c r="F8046" t="s">
        <v>42</v>
      </c>
      <c r="G8046">
        <v>-130.4683</v>
      </c>
      <c r="H8046" s="1">
        <v>-4.6679779999999998E-6</v>
      </c>
      <c r="I8046">
        <v>136.25299999999999</v>
      </c>
      <c r="J8046">
        <v>-154.40700000000001</v>
      </c>
      <c r="K8046">
        <v>1.121947</v>
      </c>
      <c r="L8046">
        <v>136.22649999999999</v>
      </c>
      <c r="M8046">
        <v>0.99645919999999999</v>
      </c>
      <c r="N8046">
        <v>-1.3519379999999999E-2</v>
      </c>
      <c r="O8046">
        <v>8.2984100000000005E-2</v>
      </c>
      <c r="P8046">
        <v>0.98479190000000005</v>
      </c>
      <c r="Q8046">
        <v>0.17102790000000001</v>
      </c>
      <c r="R8046">
        <v>-3.057027E-2</v>
      </c>
      <c r="S8046">
        <v>3.071396</v>
      </c>
      <c r="T8046">
        <v>-0.14230219999999999</v>
      </c>
      <c r="U8046">
        <v>6.286621E-3</v>
      </c>
      <c r="V8046">
        <v>0.11220670000000001</v>
      </c>
      <c r="W8046">
        <v>0.18423829999999999</v>
      </c>
      <c r="X8046">
        <v>0.97645579999999998</v>
      </c>
      <c r="Y8046">
        <v>8.0795329999999999E-2</v>
      </c>
      <c r="Z8046">
        <v>-5.1340240000000001E-3</v>
      </c>
      <c r="AA8046">
        <v>0.99671750000000003</v>
      </c>
      <c r="AB8046">
        <v>29</v>
      </c>
      <c r="AC8046">
        <v>23.938700000000001</v>
      </c>
      <c r="AD8046">
        <v>-1.1219516679779999</v>
      </c>
      <c r="AE8046">
        <v>2.6499999999998601E-2</v>
      </c>
      <c r="AF8046">
        <v>1.9560078657471001</v>
      </c>
      <c r="AG8046">
        <v>-1.1219516679779999</v>
      </c>
      <c r="AH8046">
        <v>23.806024717436198</v>
      </c>
      <c r="AI8046">
        <v>92.689241393465295</v>
      </c>
      <c r="AJ8046">
        <v>85.302877457698898</v>
      </c>
      <c r="AK8046">
        <v>23.912581524446999</v>
      </c>
      <c r="AL8046">
        <v>79.383273252726198</v>
      </c>
      <c r="AM8046">
        <v>83.444767641286305</v>
      </c>
      <c r="AN8046">
        <v>1.0000000120327099</v>
      </c>
    </row>
    <row r="8047" spans="1:40" x14ac:dyDescent="0.25">
      <c r="A8047" t="str">
        <f>"20190303170444712"</f>
        <v>20190303170444712</v>
      </c>
      <c r="B8047" t="str">
        <f>"1551603884703651"</f>
        <v>1551603884703651</v>
      </c>
      <c r="C8047" t="s">
        <v>40</v>
      </c>
      <c r="D8047">
        <v>4.8797639999999998</v>
      </c>
      <c r="E8047">
        <v>0.49284460000000002</v>
      </c>
      <c r="F8047" t="s">
        <v>42</v>
      </c>
      <c r="G8047">
        <v>-131.00399999999999</v>
      </c>
      <c r="H8047" s="1">
        <v>-4.44866E-6</v>
      </c>
      <c r="I8047">
        <v>136.19370000000001</v>
      </c>
      <c r="J8047">
        <v>-154.13079999999999</v>
      </c>
      <c r="K8047">
        <v>1.1219380000000001</v>
      </c>
      <c r="L8047">
        <v>136.24950000000001</v>
      </c>
      <c r="M8047">
        <v>0.99646000000000001</v>
      </c>
      <c r="N8047">
        <v>-1.351611E-2</v>
      </c>
      <c r="O8047">
        <v>8.2975549999999995E-2</v>
      </c>
      <c r="P8047">
        <v>0.98514230000000003</v>
      </c>
      <c r="Q8047">
        <v>0.1680825</v>
      </c>
      <c r="R8047">
        <v>-3.5261460000000001E-2</v>
      </c>
      <c r="S8047">
        <v>3.071777</v>
      </c>
      <c r="T8047">
        <v>-0.14726210000000001</v>
      </c>
      <c r="U8047">
        <v>-4.3029790000000002E-3</v>
      </c>
      <c r="V8047">
        <v>0.1169034</v>
      </c>
      <c r="W8047">
        <v>0.18128810000000001</v>
      </c>
      <c r="X8047">
        <v>0.97645700000000002</v>
      </c>
      <c r="Y8047">
        <v>8.4206089999999997E-2</v>
      </c>
      <c r="Z8047">
        <v>-5.4369569999999897E-3</v>
      </c>
      <c r="AA8047">
        <v>0.99643360000000003</v>
      </c>
      <c r="AB8047">
        <v>29</v>
      </c>
      <c r="AC8047">
        <v>23.126799999999999</v>
      </c>
      <c r="AD8047">
        <v>-1.12194244865999</v>
      </c>
      <c r="AE8047">
        <v>-5.5800000000004901E-2</v>
      </c>
      <c r="AF8047">
        <v>1.9701050761190799</v>
      </c>
      <c r="AG8047">
        <v>-1.12194244865999</v>
      </c>
      <c r="AH8047">
        <v>22.988301974027902</v>
      </c>
      <c r="AI8047">
        <v>92.783910986648493</v>
      </c>
      <c r="AJ8047">
        <v>85.101701292156505</v>
      </c>
      <c r="AK8047">
        <v>23.099828928330901</v>
      </c>
      <c r="AL8047">
        <v>79.555203303787096</v>
      </c>
      <c r="AM8047">
        <v>83.172928349228499</v>
      </c>
      <c r="AN8047">
        <v>1.00000002649108</v>
      </c>
    </row>
    <row r="8048" spans="1:40" x14ac:dyDescent="0.25">
      <c r="A8048" t="str">
        <f>"20190303170444734"</f>
        <v>20190303170444734</v>
      </c>
      <c r="B8048" t="str">
        <f>"1551603884723170"</f>
        <v>1551603884723170</v>
      </c>
      <c r="C8048" t="s">
        <v>40</v>
      </c>
      <c r="D8048">
        <v>4.8187749999999996</v>
      </c>
      <c r="E8048">
        <v>0.4927337</v>
      </c>
      <c r="F8048" t="s">
        <v>42</v>
      </c>
      <c r="G8048">
        <v>-132.33770000000001</v>
      </c>
      <c r="H8048" s="1">
        <v>-3.8869349999999999E-6</v>
      </c>
      <c r="I8048">
        <v>136.13480000000001</v>
      </c>
      <c r="J8048">
        <v>-153.84549999999999</v>
      </c>
      <c r="K8048">
        <v>1.1219269999999999</v>
      </c>
      <c r="L8048">
        <v>136.2732</v>
      </c>
      <c r="M8048">
        <v>0.99646049999999997</v>
      </c>
      <c r="N8048">
        <v>-1.3512980000000001E-2</v>
      </c>
      <c r="O8048">
        <v>8.2970589999999997E-2</v>
      </c>
      <c r="P8048">
        <v>0.98512920000000004</v>
      </c>
      <c r="Q8048">
        <v>0.167208299999999</v>
      </c>
      <c r="R8048">
        <v>-3.9525100000000001E-2</v>
      </c>
      <c r="S8048">
        <v>3.0716549999999998</v>
      </c>
      <c r="T8048">
        <v>-0.15813350000000001</v>
      </c>
      <c r="U8048">
        <v>-1.6159059999999999E-2</v>
      </c>
      <c r="V8048">
        <v>0.1211458</v>
      </c>
      <c r="W8048">
        <v>0.18040639999999999</v>
      </c>
      <c r="X8048">
        <v>0.9761031</v>
      </c>
      <c r="Y8048">
        <v>8.8012779999999999E-2</v>
      </c>
      <c r="Z8048">
        <v>-6.0027459999999998E-3</v>
      </c>
      <c r="AA8048">
        <v>0.99610129999999997</v>
      </c>
      <c r="AB8048">
        <v>28</v>
      </c>
      <c r="AC8048">
        <v>21.5077999999999</v>
      </c>
      <c r="AD8048">
        <v>-1.121930886935</v>
      </c>
      <c r="AE8048">
        <v>-0.13839999999999</v>
      </c>
      <c r="AF8048">
        <v>1.91738316890139</v>
      </c>
      <c r="AG8048">
        <v>-1.121930886935</v>
      </c>
      <c r="AH8048">
        <v>21.364012662850701</v>
      </c>
      <c r="AI8048">
        <v>92.994113588988398</v>
      </c>
      <c r="AJ8048">
        <v>84.871542962669807</v>
      </c>
      <c r="AK8048">
        <v>21.479202131128901</v>
      </c>
      <c r="AL8048">
        <v>79.606567844373103</v>
      </c>
      <c r="AM8048">
        <v>82.925102819557196</v>
      </c>
      <c r="AN8048">
        <v>1.0000000179241</v>
      </c>
    </row>
    <row r="8049" spans="1:40" x14ac:dyDescent="0.25">
      <c r="A8049" t="str">
        <f>"20190303170444758"</f>
        <v>20190303170444758</v>
      </c>
      <c r="B8049" t="str">
        <f>"1551603884743666"</f>
        <v>1551603884743666</v>
      </c>
      <c r="C8049" t="s">
        <v>40</v>
      </c>
      <c r="D8049">
        <v>4.8800319999999999</v>
      </c>
      <c r="E8049">
        <v>0.48903999999999997</v>
      </c>
      <c r="F8049" t="s">
        <v>42</v>
      </c>
      <c r="G8049">
        <v>-132.50389999999999</v>
      </c>
      <c r="H8049" s="1">
        <v>-3.826487E-6</v>
      </c>
      <c r="I8049">
        <v>136.07380000000001</v>
      </c>
      <c r="J8049">
        <v>-153.55760000000001</v>
      </c>
      <c r="K8049">
        <v>1.1219140000000001</v>
      </c>
      <c r="L8049">
        <v>136.2972</v>
      </c>
      <c r="M8049">
        <v>0.99646049999999997</v>
      </c>
      <c r="N8049">
        <v>-1.3510060000000001E-2</v>
      </c>
      <c r="O8049">
        <v>8.2970310000000005E-2</v>
      </c>
      <c r="P8049">
        <v>0.98499349999999997</v>
      </c>
      <c r="Q8049">
        <v>0.1673356</v>
      </c>
      <c r="R8049">
        <v>-4.2267020000000002E-2</v>
      </c>
      <c r="S8049">
        <v>3.0715479999999999</v>
      </c>
      <c r="T8049">
        <v>-0.16147139999999999</v>
      </c>
      <c r="U8049">
        <v>-2.870178E-2</v>
      </c>
      <c r="V8049">
        <v>0.1238653</v>
      </c>
      <c r="W8049">
        <v>0.18052650000000001</v>
      </c>
      <c r="X8049">
        <v>0.97573949999999998</v>
      </c>
      <c r="Y8049">
        <v>9.2063179999999994E-2</v>
      </c>
      <c r="Z8049">
        <v>-6.2746879999999996E-3</v>
      </c>
      <c r="AA8049">
        <v>0.99573339999999999</v>
      </c>
      <c r="AB8049">
        <v>28</v>
      </c>
      <c r="AC8049">
        <v>21.053699999999999</v>
      </c>
      <c r="AD8049">
        <v>-1.12191782648699</v>
      </c>
      <c r="AE8049">
        <v>-0.22339999999999799</v>
      </c>
      <c r="AF8049">
        <v>1.96404435248305</v>
      </c>
      <c r="AG8049">
        <v>-1.12191782648699</v>
      </c>
      <c r="AH8049">
        <v>20.903205566825498</v>
      </c>
      <c r="AI8049">
        <v>93.058787453042896</v>
      </c>
      <c r="AJ8049">
        <v>84.632304535677093</v>
      </c>
      <c r="AK8049">
        <v>21.025227056963601</v>
      </c>
      <c r="AL8049">
        <v>79.5995715735001</v>
      </c>
      <c r="AM8049">
        <v>82.765281378760903</v>
      </c>
      <c r="AN8049">
        <v>1.0000000008032901</v>
      </c>
    </row>
    <row r="8050" spans="1:40" x14ac:dyDescent="0.25">
      <c r="A8050" t="str">
        <f>"20190303170444779"</f>
        <v>20190303170444779</v>
      </c>
      <c r="B8050" t="str">
        <f>"1551603884773923"</f>
        <v>1551603884773923</v>
      </c>
      <c r="C8050" t="s">
        <v>40</v>
      </c>
      <c r="D8050">
        <v>4.8206020000000001</v>
      </c>
      <c r="E8050">
        <v>0.48871340000000002</v>
      </c>
      <c r="F8050" t="s">
        <v>42</v>
      </c>
      <c r="G8050">
        <v>-133.0265</v>
      </c>
      <c r="H8050" s="1">
        <v>-3.5708109999999999E-6</v>
      </c>
      <c r="I8050">
        <v>136.25120000000001</v>
      </c>
      <c r="J8050">
        <v>-153.27719999999999</v>
      </c>
      <c r="K8050">
        <v>1.12191</v>
      </c>
      <c r="L8050">
        <v>136.32050000000001</v>
      </c>
      <c r="M8050">
        <v>0.99646020000000002</v>
      </c>
      <c r="N8050">
        <v>-1.3507409999999999E-2</v>
      </c>
      <c r="O8050">
        <v>8.2973610000000003E-2</v>
      </c>
      <c r="P8050">
        <v>0.98498830000000004</v>
      </c>
      <c r="Q8050">
        <v>0.1668753</v>
      </c>
      <c r="R8050">
        <v>-4.4170859999999999E-2</v>
      </c>
      <c r="S8050">
        <v>3.0739589999999999</v>
      </c>
      <c r="T8050">
        <v>-0.1679754</v>
      </c>
      <c r="U8050">
        <v>-6.8817139999999997E-3</v>
      </c>
      <c r="V8050">
        <v>0.12576329999999999</v>
      </c>
      <c r="W8050">
        <v>0.18006259999999999</v>
      </c>
      <c r="X8050">
        <v>0.97558239999999996</v>
      </c>
      <c r="Y8050">
        <v>8.4983909999999996E-2</v>
      </c>
      <c r="Z8050">
        <v>-6.3004879999999999E-3</v>
      </c>
      <c r="AA8050">
        <v>0.99636239999999998</v>
      </c>
      <c r="AB8050">
        <v>28</v>
      </c>
      <c r="AC8050">
        <v>20.250699999999899</v>
      </c>
      <c r="AD8050">
        <v>-1.121913570811</v>
      </c>
      <c r="AE8050">
        <v>-6.9299999999998294E-2</v>
      </c>
      <c r="AF8050">
        <v>1.7441347775034</v>
      </c>
      <c r="AG8050">
        <v>-1.121913570811</v>
      </c>
      <c r="AH8050">
        <v>20.113373889759401</v>
      </c>
      <c r="AI8050">
        <v>93.180708845007004</v>
      </c>
      <c r="AJ8050">
        <v>85.043983815677905</v>
      </c>
      <c r="AK8050">
        <v>20.220002606620099</v>
      </c>
      <c r="AL8050">
        <v>79.626593727069306</v>
      </c>
      <c r="AM8050">
        <v>82.654454702290195</v>
      </c>
      <c r="AN8050">
        <v>0.99999998336770402</v>
      </c>
    </row>
    <row r="8051" spans="1:40" x14ac:dyDescent="0.25">
      <c r="A8051" t="str">
        <f>"20190303170444802"</f>
        <v>20190303170444802</v>
      </c>
      <c r="B8051" t="str">
        <f>"1551603884793442"</f>
        <v>1551603884793442</v>
      </c>
      <c r="C8051" t="s">
        <v>40</v>
      </c>
      <c r="D8051">
        <v>4.8780449999999904</v>
      </c>
      <c r="E8051">
        <v>0.48637039999999998</v>
      </c>
      <c r="F8051" t="s">
        <v>42</v>
      </c>
      <c r="G8051">
        <v>-132.9143</v>
      </c>
      <c r="H8051" s="1">
        <v>-3.6166280000000002E-6</v>
      </c>
      <c r="I8051">
        <v>136.26439999999999</v>
      </c>
      <c r="J8051">
        <v>-153.0001</v>
      </c>
      <c r="K8051">
        <v>1.121904</v>
      </c>
      <c r="L8051">
        <v>136.34360000000001</v>
      </c>
      <c r="M8051">
        <v>0.99645980000000001</v>
      </c>
      <c r="N8051">
        <v>-1.350492E-2</v>
      </c>
      <c r="O8051">
        <v>8.2978869999999996E-2</v>
      </c>
      <c r="P8051">
        <v>0.9852514</v>
      </c>
      <c r="Q8051">
        <v>0.1651029</v>
      </c>
      <c r="R8051">
        <v>-4.4955820000000001E-2</v>
      </c>
      <c r="S8051">
        <v>3.07402</v>
      </c>
      <c r="T8051">
        <v>-0.169365299999999</v>
      </c>
      <c r="U8051">
        <v>-8.4686280000000006E-3</v>
      </c>
      <c r="V8051">
        <v>0.12657099999999999</v>
      </c>
      <c r="W8051">
        <v>0.1782917</v>
      </c>
      <c r="X8051">
        <v>0.97580319999999998</v>
      </c>
      <c r="Y8051">
        <v>8.5498560000000001E-2</v>
      </c>
      <c r="Z8051">
        <v>-6.3749310000000003E-3</v>
      </c>
      <c r="AA8051">
        <v>0.99631789999999998</v>
      </c>
      <c r="AB8051">
        <v>28</v>
      </c>
      <c r="AC8051">
        <v>20.085799999999999</v>
      </c>
      <c r="AD8051">
        <v>-1.121907616628</v>
      </c>
      <c r="AE8051">
        <v>-7.9200000000014301E-2</v>
      </c>
      <c r="AF8051">
        <v>1.7403462401844401</v>
      </c>
      <c r="AG8051">
        <v>-1.121907616628</v>
      </c>
      <c r="AH8051">
        <v>19.947711837561201</v>
      </c>
      <c r="AI8051">
        <v>93.2069056573864</v>
      </c>
      <c r="AJ8051">
        <v>85.013831986359705</v>
      </c>
      <c r="AK8051">
        <v>20.054891904230001</v>
      </c>
      <c r="AL8051">
        <v>79.729728223981496</v>
      </c>
      <c r="AM8051">
        <v>82.609453120797795</v>
      </c>
      <c r="AN8051">
        <v>1.00000001673006</v>
      </c>
    </row>
    <row r="8052" spans="1:40" x14ac:dyDescent="0.25">
      <c r="A8052" t="str">
        <f>"20190303170444824"</f>
        <v>20190303170444824</v>
      </c>
      <c r="B8052" t="str">
        <f>"1551603884813938"</f>
        <v>1551603884813938</v>
      </c>
      <c r="C8052" t="s">
        <v>40</v>
      </c>
      <c r="D8052">
        <v>4.8236470000000002</v>
      </c>
      <c r="E8052">
        <v>0.4863864</v>
      </c>
      <c r="F8052" t="s">
        <v>42</v>
      </c>
      <c r="G8052">
        <v>-132.54660000000001</v>
      </c>
      <c r="H8052" s="1">
        <v>-3.74923E-6</v>
      </c>
      <c r="I8052">
        <v>136.40610000000001</v>
      </c>
      <c r="J8052">
        <v>-152.71879999999999</v>
      </c>
      <c r="K8052">
        <v>1.121899</v>
      </c>
      <c r="L8052">
        <v>136.36699999999999</v>
      </c>
      <c r="M8052">
        <v>0.99645919999999999</v>
      </c>
      <c r="N8052">
        <v>-1.350253E-2</v>
      </c>
      <c r="O8052">
        <v>8.2986210000000005E-2</v>
      </c>
      <c r="P8052">
        <v>0.98577859999999995</v>
      </c>
      <c r="Q8052">
        <v>0.1621206</v>
      </c>
      <c r="R8052">
        <v>-4.424554E-2</v>
      </c>
      <c r="S8052">
        <v>3.0735929999999998</v>
      </c>
      <c r="T8052">
        <v>-0.168591299999999</v>
      </c>
      <c r="U8052">
        <v>9.399414E-3</v>
      </c>
      <c r="V8052">
        <v>0.12591269999999999</v>
      </c>
      <c r="W8052">
        <v>0.17531620000000001</v>
      </c>
      <c r="X8052">
        <v>0.9764273</v>
      </c>
      <c r="Y8052">
        <v>7.9725850000000001E-2</v>
      </c>
      <c r="Z8052">
        <v>-6.1471490000000002E-3</v>
      </c>
      <c r="AA8052">
        <v>0.99679790000000001</v>
      </c>
      <c r="AB8052">
        <v>28</v>
      </c>
      <c r="AC8052">
        <v>20.172199999999901</v>
      </c>
      <c r="AD8052">
        <v>-1.12190274923</v>
      </c>
      <c r="AE8052">
        <v>3.9099999999990503E-2</v>
      </c>
      <c r="AF8052">
        <v>1.6301596252411501</v>
      </c>
      <c r="AG8052">
        <v>-1.12190274923</v>
      </c>
      <c r="AH8052">
        <v>20.043853458482602</v>
      </c>
      <c r="AI8052">
        <v>93.193118849799205</v>
      </c>
      <c r="AJ8052">
        <v>85.350387813580895</v>
      </c>
      <c r="AK8052">
        <v>20.141304517027201</v>
      </c>
      <c r="AL8052">
        <v>79.902940742826502</v>
      </c>
      <c r="AM8052">
        <v>82.652118037758498</v>
      </c>
      <c r="AN8052">
        <v>1.0000000250945</v>
      </c>
    </row>
    <row r="8053" spans="1:40" x14ac:dyDescent="0.25">
      <c r="A8053" t="str">
        <f>"20190303170444848"</f>
        <v>20190303170444848</v>
      </c>
      <c r="B8053" t="str">
        <f>"1551603884833458"</f>
        <v>1551603884833458</v>
      </c>
      <c r="C8053" t="s">
        <v>40</v>
      </c>
      <c r="D8053">
        <v>4.8236480000000004</v>
      </c>
      <c r="E8053">
        <v>0.4861048</v>
      </c>
      <c r="F8053" t="s">
        <v>42</v>
      </c>
      <c r="G8053">
        <v>-133.3485</v>
      </c>
      <c r="H8053" s="1">
        <v>-3.3994360000000002E-6</v>
      </c>
      <c r="I8053">
        <v>136.43870000000001</v>
      </c>
      <c r="J8053">
        <v>-152.42740000000001</v>
      </c>
      <c r="K8053">
        <v>1.1218760000000001</v>
      </c>
      <c r="L8053">
        <v>136.3913</v>
      </c>
      <c r="M8053">
        <v>0.99645859999999997</v>
      </c>
      <c r="N8053">
        <v>-1.3500180000000001E-2</v>
      </c>
      <c r="O8053">
        <v>8.2994490000000004E-2</v>
      </c>
      <c r="P8053">
        <v>0.98632569999999997</v>
      </c>
      <c r="Q8053">
        <v>0.15919259999999999</v>
      </c>
      <c r="R8053">
        <v>-4.2656359999999997E-2</v>
      </c>
      <c r="S8053">
        <v>3.0730590000000002</v>
      </c>
      <c r="T8053">
        <v>-0.17798749999999999</v>
      </c>
      <c r="U8053">
        <v>1.138306E-2</v>
      </c>
      <c r="V8053">
        <v>0.12438159999999999</v>
      </c>
      <c r="W8053">
        <v>0.17239589999999999</v>
      </c>
      <c r="X8053">
        <v>0.97714319999999999</v>
      </c>
      <c r="Y8053">
        <v>7.9065220000000005E-2</v>
      </c>
      <c r="Z8053">
        <v>-6.4997960000000004E-3</v>
      </c>
      <c r="AA8053">
        <v>0.99684830000000002</v>
      </c>
      <c r="AB8053">
        <v>28</v>
      </c>
      <c r="AC8053">
        <v>19.078900000000001</v>
      </c>
      <c r="AD8053">
        <v>-1.1218793994359999</v>
      </c>
      <c r="AE8053">
        <v>4.7400000000010302E-2</v>
      </c>
      <c r="AF8053">
        <v>1.5310574999408599</v>
      </c>
      <c r="AG8053">
        <v>-1.1218793994359999</v>
      </c>
      <c r="AH8053">
        <v>18.951472338344999</v>
      </c>
      <c r="AI8053">
        <v>93.376835709186906</v>
      </c>
      <c r="AJ8053">
        <v>85.381201721528797</v>
      </c>
      <c r="AK8053">
        <v>19.046287151202399</v>
      </c>
      <c r="AL8053">
        <v>80.072848751319199</v>
      </c>
      <c r="AM8053">
        <v>82.745771381552998</v>
      </c>
      <c r="AN8053">
        <v>0.99999998103080401</v>
      </c>
    </row>
    <row r="8054" spans="1:40" x14ac:dyDescent="0.25">
      <c r="A8054" t="str">
        <f>"20190303170444870"</f>
        <v>20190303170444870</v>
      </c>
      <c r="B8054" t="str">
        <f>"1551603884863714"</f>
        <v>1551603884863714</v>
      </c>
      <c r="C8054" t="s">
        <v>40</v>
      </c>
      <c r="D8054">
        <v>4.8216080000000003</v>
      </c>
      <c r="E8054">
        <v>0.48563119999999999</v>
      </c>
      <c r="F8054" t="s">
        <v>42</v>
      </c>
      <c r="G8054">
        <v>-134.33009999999999</v>
      </c>
      <c r="H8054" s="1">
        <v>-2.966757E-6</v>
      </c>
      <c r="I8054">
        <v>136.50380000000001</v>
      </c>
      <c r="J8054">
        <v>-152.14179999999999</v>
      </c>
      <c r="K8054">
        <v>1.1218399999999999</v>
      </c>
      <c r="L8054">
        <v>136.4151</v>
      </c>
      <c r="M8054">
        <v>0.99645790000000001</v>
      </c>
      <c r="N8054">
        <v>-1.349799E-2</v>
      </c>
      <c r="O8054">
        <v>8.3003110000000005E-2</v>
      </c>
      <c r="P8054">
        <v>0.98640229999999995</v>
      </c>
      <c r="Q8054">
        <v>0.15919910000000001</v>
      </c>
      <c r="R8054">
        <v>-4.0819639999999997E-2</v>
      </c>
      <c r="S8054">
        <v>3.0731510000000002</v>
      </c>
      <c r="T8054">
        <v>-0.1905097</v>
      </c>
      <c r="U8054">
        <v>1.9119259999999999E-2</v>
      </c>
      <c r="V8054">
        <v>0.12256549999999999</v>
      </c>
      <c r="W8054">
        <v>0.1724039</v>
      </c>
      <c r="X8054">
        <v>0.97737130000000005</v>
      </c>
      <c r="Y8054">
        <v>7.6533180000000006E-2</v>
      </c>
      <c r="Z8054">
        <v>-6.9021869999999997E-3</v>
      </c>
      <c r="AA8054">
        <v>0.99704309999999996</v>
      </c>
      <c r="AB8054">
        <v>28</v>
      </c>
      <c r="AC8054">
        <v>17.811699999999998</v>
      </c>
      <c r="AD8054">
        <v>-1.121842966757</v>
      </c>
      <c r="AE8054">
        <v>8.8700000000017099E-2</v>
      </c>
      <c r="AF8054">
        <v>1.38467452877522</v>
      </c>
      <c r="AG8054">
        <v>-1.121842966757</v>
      </c>
      <c r="AH8054">
        <v>17.687425930044299</v>
      </c>
      <c r="AI8054">
        <v>93.618140980228205</v>
      </c>
      <c r="AJ8054">
        <v>85.523683010831505</v>
      </c>
      <c r="AK8054">
        <v>17.776976436489601</v>
      </c>
      <c r="AL8054">
        <v>80.072383931734905</v>
      </c>
      <c r="AM8054">
        <v>82.852237875362107</v>
      </c>
      <c r="AN8054">
        <v>1.0000000322945699</v>
      </c>
    </row>
    <row r="8055" spans="1:40" x14ac:dyDescent="0.25">
      <c r="A8055" t="str">
        <f>"20190303170444892"</f>
        <v>20190303170444892</v>
      </c>
      <c r="B8055" t="str">
        <f>"1551603884883234"</f>
        <v>1551603884883234</v>
      </c>
      <c r="C8055" t="s">
        <v>40</v>
      </c>
      <c r="D8055">
        <v>4.8235799999999998</v>
      </c>
      <c r="E8055">
        <v>0.48561749999999998</v>
      </c>
      <c r="F8055" t="s">
        <v>42</v>
      </c>
      <c r="G8055">
        <v>-133.8946</v>
      </c>
      <c r="H8055" s="1">
        <v>-3.1391059999999999E-6</v>
      </c>
      <c r="I8055">
        <v>136.58539999999999</v>
      </c>
      <c r="J8055">
        <v>-151.87100000000001</v>
      </c>
      <c r="K8055">
        <v>1.121802</v>
      </c>
      <c r="L8055">
        <v>136.4376</v>
      </c>
      <c r="M8055">
        <v>0.99645729999999999</v>
      </c>
      <c r="N8055">
        <v>-1.3495999999999999E-2</v>
      </c>
      <c r="O8055">
        <v>8.3010879999999995E-2</v>
      </c>
      <c r="P8055">
        <v>0.98604910000000001</v>
      </c>
      <c r="Q8055">
        <v>0.1615202</v>
      </c>
      <c r="R8055">
        <v>-4.02314E-2</v>
      </c>
      <c r="S8055">
        <v>3.0730439999999999</v>
      </c>
      <c r="T8055">
        <v>-0.18893109999999999</v>
      </c>
      <c r="U8055">
        <v>2.870178E-2</v>
      </c>
      <c r="V8055">
        <v>0.12195739999999899</v>
      </c>
      <c r="W8055">
        <v>0.17471900000000001</v>
      </c>
      <c r="X8055">
        <v>0.97703620000000002</v>
      </c>
      <c r="Y8055">
        <v>7.3443359999999999E-2</v>
      </c>
      <c r="Z8055">
        <v>-6.7247699999999997E-3</v>
      </c>
      <c r="AA8055">
        <v>0.99727670000000002</v>
      </c>
      <c r="AB8055">
        <v>28</v>
      </c>
      <c r="AC8055">
        <v>17.976400000000002</v>
      </c>
      <c r="AD8055">
        <v>-1.121805139106</v>
      </c>
      <c r="AE8055">
        <v>0.147799999999989</v>
      </c>
      <c r="AF8055">
        <v>1.3398653464611701</v>
      </c>
      <c r="AG8055">
        <v>-1.121805139106</v>
      </c>
      <c r="AH8055">
        <v>17.857079673533502</v>
      </c>
      <c r="AI8055">
        <v>93.584622082071803</v>
      </c>
      <c r="AJ8055">
        <v>85.708982165589902</v>
      </c>
      <c r="AK8055">
        <v>17.9423794515581</v>
      </c>
      <c r="AL8055">
        <v>79.937694304261896</v>
      </c>
      <c r="AM8055">
        <v>82.884922405535804</v>
      </c>
      <c r="AN8055">
        <v>1.0000000362430901</v>
      </c>
    </row>
    <row r="8056" spans="1:40" x14ac:dyDescent="0.25">
      <c r="A8056" t="str">
        <f>"20190303170444914"</f>
        <v>20190303170444914</v>
      </c>
      <c r="B8056" t="str">
        <f>"1551603884903732"</f>
        <v>1551603884903732</v>
      </c>
      <c r="C8056" t="s">
        <v>40</v>
      </c>
      <c r="D8056">
        <v>4.8311460000000004</v>
      </c>
      <c r="E8056">
        <v>0.48547180000000001</v>
      </c>
      <c r="F8056" t="s">
        <v>42</v>
      </c>
      <c r="G8056">
        <v>-132.7475</v>
      </c>
      <c r="H8056" s="1">
        <v>-3.6239269999999998E-6</v>
      </c>
      <c r="I8056">
        <v>136.62649999999999</v>
      </c>
      <c r="J8056">
        <v>-151.58619999999999</v>
      </c>
      <c r="K8056">
        <v>1.1217820000000001</v>
      </c>
      <c r="L8056">
        <v>136.46129999999999</v>
      </c>
      <c r="M8056">
        <v>0.99645660000000003</v>
      </c>
      <c r="N8056">
        <v>-1.3493959999999999E-2</v>
      </c>
      <c r="O8056">
        <v>8.3018770000000006E-2</v>
      </c>
      <c r="P8056">
        <v>0.98581450000000004</v>
      </c>
      <c r="Q8056">
        <v>0.16337499999999999</v>
      </c>
      <c r="R8056">
        <v>-3.8453649999999999E-2</v>
      </c>
      <c r="S8056">
        <v>3.0732119999999998</v>
      </c>
      <c r="T8056">
        <v>-0.18027750000000001</v>
      </c>
      <c r="U8056">
        <v>3.0364990000000001E-2</v>
      </c>
      <c r="V8056">
        <v>0.1201739</v>
      </c>
      <c r="W8056">
        <v>0.176570899999999</v>
      </c>
      <c r="X8056">
        <v>0.97692420000000002</v>
      </c>
      <c r="Y8056">
        <v>7.2937810000000006E-2</v>
      </c>
      <c r="Z8056">
        <v>-6.3704060000000003E-3</v>
      </c>
      <c r="AA8056">
        <v>0.99731610000000004</v>
      </c>
      <c r="AB8056">
        <v>28</v>
      </c>
      <c r="AC8056">
        <v>18.8386999999999</v>
      </c>
      <c r="AD8056">
        <v>-1.1217856239270001</v>
      </c>
      <c r="AE8056">
        <v>0.16519999999999799</v>
      </c>
      <c r="AF8056">
        <v>1.3945341197397401</v>
      </c>
      <c r="AG8056">
        <v>-1.1217856239270001</v>
      </c>
      <c r="AH8056">
        <v>18.720996222625701</v>
      </c>
      <c r="AI8056">
        <v>93.419682982678495</v>
      </c>
      <c r="AJ8056">
        <v>85.7398835300977</v>
      </c>
      <c r="AK8056">
        <v>18.806350734917501</v>
      </c>
      <c r="AL8056">
        <v>79.829911944577503</v>
      </c>
      <c r="AM8056">
        <v>82.987133690344805</v>
      </c>
      <c r="AN8056">
        <v>0.999999970756829</v>
      </c>
    </row>
    <row r="8057" spans="1:40" x14ac:dyDescent="0.25">
      <c r="A8057" t="str">
        <f>"20190303170444937"</f>
        <v>20190303170444937</v>
      </c>
      <c r="B8057" t="str">
        <f>"1551603884923250"</f>
        <v>1551603884923250</v>
      </c>
      <c r="C8057" t="s">
        <v>40</v>
      </c>
      <c r="D8057">
        <v>4.8310079999999997</v>
      </c>
      <c r="E8057">
        <v>0.48528870000000002</v>
      </c>
      <c r="F8057" t="s">
        <v>42</v>
      </c>
      <c r="G8057">
        <v>-131.53210000000001</v>
      </c>
      <c r="H8057" s="1">
        <v>-4.1297289999999998E-6</v>
      </c>
      <c r="I8057">
        <v>136.71440000000001</v>
      </c>
      <c r="J8057">
        <v>-151.30369999999999</v>
      </c>
      <c r="K8057">
        <v>1.1217710000000001</v>
      </c>
      <c r="L8057">
        <v>136.48490000000001</v>
      </c>
      <c r="M8057">
        <v>0.99645609999999996</v>
      </c>
      <c r="N8057">
        <v>-1.349201E-2</v>
      </c>
      <c r="O8057">
        <v>8.3026069999999993E-2</v>
      </c>
      <c r="P8057">
        <v>0.98601130000000003</v>
      </c>
      <c r="Q8057">
        <v>0.1625394</v>
      </c>
      <c r="R8057">
        <v>-3.6922910000000003E-2</v>
      </c>
      <c r="S8057">
        <v>3.0731510000000002</v>
      </c>
      <c r="T8057">
        <v>-0.17190620000000001</v>
      </c>
      <c r="U8057">
        <v>3.8787839999999997E-2</v>
      </c>
      <c r="V8057">
        <v>0.1186717</v>
      </c>
      <c r="W8057">
        <v>0.1757377</v>
      </c>
      <c r="X8057">
        <v>0.97725799999999996</v>
      </c>
      <c r="Y8057">
        <v>7.0239350000000006E-2</v>
      </c>
      <c r="Z8057">
        <v>-5.9524909999999999E-3</v>
      </c>
      <c r="AA8057">
        <v>0.99751239999999997</v>
      </c>
      <c r="AB8057">
        <v>28</v>
      </c>
      <c r="AC8057">
        <v>19.7715999999999</v>
      </c>
      <c r="AD8057">
        <v>-1.121775129729</v>
      </c>
      <c r="AE8057">
        <v>0.22950000000000101</v>
      </c>
      <c r="AF8057">
        <v>1.4084667807634501</v>
      </c>
      <c r="AG8057">
        <v>-1.121775129729</v>
      </c>
      <c r="AH8057">
        <v>19.659104711241401</v>
      </c>
      <c r="AI8057">
        <v>93.257501782673202</v>
      </c>
      <c r="AJ8057">
        <v>85.902074259783504</v>
      </c>
      <c r="AK8057">
        <v>19.741391950968101</v>
      </c>
      <c r="AL8057">
        <v>79.878409002676904</v>
      </c>
      <c r="AM8057">
        <v>83.076282008649699</v>
      </c>
      <c r="AN8057">
        <v>0.99999995507308803</v>
      </c>
    </row>
    <row r="8058" spans="1:40" x14ac:dyDescent="0.25">
      <c r="A8058" t="str">
        <f>"20190303170444959"</f>
        <v>20190303170444959</v>
      </c>
      <c r="B8058" t="str">
        <f>"1551603884953506"</f>
        <v>1551603884953506</v>
      </c>
      <c r="C8058" t="s">
        <v>40</v>
      </c>
      <c r="D8058">
        <v>4.8293400000000002</v>
      </c>
      <c r="E8058">
        <v>0.48522270000000001</v>
      </c>
      <c r="F8058" t="s">
        <v>42</v>
      </c>
      <c r="G8058">
        <v>-131.21860000000001</v>
      </c>
      <c r="H8058" s="1">
        <v>-4.2502289999999997E-6</v>
      </c>
      <c r="I8058">
        <v>136.79320000000001</v>
      </c>
      <c r="J8058">
        <v>-151.0257</v>
      </c>
      <c r="K8058">
        <v>1.121761</v>
      </c>
      <c r="L8058">
        <v>136.50799999999899</v>
      </c>
      <c r="M8058">
        <v>0.9964556</v>
      </c>
      <c r="N8058">
        <v>-1.349034E-2</v>
      </c>
      <c r="O8058">
        <v>8.3033659999999995E-2</v>
      </c>
      <c r="P8058">
        <v>0.98656639999999995</v>
      </c>
      <c r="Q8058">
        <v>0.15935579999999999</v>
      </c>
      <c r="R8058">
        <v>-3.5955420000000002E-2</v>
      </c>
      <c r="S8058">
        <v>3.072632</v>
      </c>
      <c r="T8058">
        <v>-0.1716105</v>
      </c>
      <c r="U8058">
        <v>4.7180180000000002E-2</v>
      </c>
      <c r="V8058">
        <v>0.1177609</v>
      </c>
      <c r="W8058">
        <v>0.1725612</v>
      </c>
      <c r="X8058">
        <v>0.97793410000000003</v>
      </c>
      <c r="Y8058">
        <v>6.7526530000000001E-2</v>
      </c>
      <c r="Z8058">
        <v>-5.8483909999999997E-3</v>
      </c>
      <c r="AA8058">
        <v>0.99770029999999998</v>
      </c>
      <c r="AB8058">
        <v>28</v>
      </c>
      <c r="AC8058">
        <v>19.807099999999899</v>
      </c>
      <c r="AD8058">
        <v>-1.1217652502290001</v>
      </c>
      <c r="AE8058">
        <v>0.28520000000003098</v>
      </c>
      <c r="AF8058">
        <v>1.3562412529602199</v>
      </c>
      <c r="AG8058">
        <v>-1.1217652502290001</v>
      </c>
      <c r="AH8058">
        <v>19.6992004638109</v>
      </c>
      <c r="AI8058">
        <v>93.251491406945206</v>
      </c>
      <c r="AJ8058">
        <v>86.061542117009907</v>
      </c>
      <c r="AK8058">
        <v>19.777670401901698</v>
      </c>
      <c r="AL8058">
        <v>80.063234358623305</v>
      </c>
      <c r="AM8058">
        <v>83.133616277487704</v>
      </c>
      <c r="AN8058">
        <v>1.00000005062852</v>
      </c>
    </row>
    <row r="8059" spans="1:40" x14ac:dyDescent="0.25">
      <c r="A8059" t="str">
        <f>"20190303170444980"</f>
        <v>20190303170444980</v>
      </c>
      <c r="B8059" t="str">
        <f>"1551603884974003"</f>
        <v>1551603884974003</v>
      </c>
      <c r="C8059" t="s">
        <v>40</v>
      </c>
      <c r="D8059">
        <v>4.887581</v>
      </c>
      <c r="E8059">
        <v>0.48526429999999998</v>
      </c>
      <c r="F8059" t="s">
        <v>42</v>
      </c>
      <c r="G8059">
        <v>-131.9059</v>
      </c>
      <c r="H8059" s="1">
        <v>-3.9490499999999999E-6</v>
      </c>
      <c r="I8059">
        <v>136.82919999999999</v>
      </c>
      <c r="J8059">
        <v>-150.74520000000001</v>
      </c>
      <c r="K8059">
        <v>1.121772</v>
      </c>
      <c r="L8059">
        <v>136.53129999999999</v>
      </c>
      <c r="M8059">
        <v>0.99645490000000003</v>
      </c>
      <c r="N8059">
        <v>-1.3488419999999999E-2</v>
      </c>
      <c r="O8059">
        <v>8.3041299999999998E-2</v>
      </c>
      <c r="P8059">
        <v>0.98668630000000002</v>
      </c>
      <c r="Q8059">
        <v>0.15847999999999901</v>
      </c>
      <c r="R8059">
        <v>-3.6526259999999998E-2</v>
      </c>
      <c r="S8059">
        <v>3.0718380000000001</v>
      </c>
      <c r="T8059">
        <v>-0.18022540000000001</v>
      </c>
      <c r="U8059">
        <v>5.160522E-2</v>
      </c>
      <c r="V8059">
        <v>0.1183472</v>
      </c>
      <c r="W8059">
        <v>0.17168520000000001</v>
      </c>
      <c r="X8059">
        <v>0.97801740000000004</v>
      </c>
      <c r="Y8059">
        <v>6.6074040000000001E-2</v>
      </c>
      <c r="Z8059">
        <v>-6.124595E-3</v>
      </c>
      <c r="AA8059">
        <v>0.99779589999999996</v>
      </c>
      <c r="AB8059">
        <v>28</v>
      </c>
      <c r="AC8059">
        <v>18.839300000000001</v>
      </c>
      <c r="AD8059">
        <v>-1.1217759490500001</v>
      </c>
      <c r="AE8059">
        <v>0.297899999999998</v>
      </c>
      <c r="AF8059">
        <v>1.2632335436689099</v>
      </c>
      <c r="AG8059">
        <v>-1.1217759490500001</v>
      </c>
      <c r="AH8059">
        <v>18.732558981013899</v>
      </c>
      <c r="AI8059">
        <v>93.4192465752826</v>
      </c>
      <c r="AJ8059">
        <v>86.142089500766303</v>
      </c>
      <c r="AK8059">
        <v>18.8085859713823</v>
      </c>
      <c r="AL8059">
        <v>80.114184897278093</v>
      </c>
      <c r="AM8059">
        <v>83.100341224600001</v>
      </c>
      <c r="AN8059">
        <v>0.99999995117481799</v>
      </c>
    </row>
    <row r="8060" spans="1:40" x14ac:dyDescent="0.25">
      <c r="A8060" t="str">
        <f>"20190303170445003"</f>
        <v>20190303170445003</v>
      </c>
      <c r="B8060" t="str">
        <f>"1551603884993524"</f>
        <v>1551603884993524</v>
      </c>
      <c r="C8060" t="s">
        <v>40</v>
      </c>
      <c r="D8060">
        <v>4.8236129999999999</v>
      </c>
      <c r="E8060">
        <v>0.4853536</v>
      </c>
      <c r="F8060" t="s">
        <v>42</v>
      </c>
      <c r="G8060">
        <v>-131.80719999999999</v>
      </c>
      <c r="H8060" s="1">
        <v>-3.9904669999999999E-6</v>
      </c>
      <c r="I8060">
        <v>136.83430000000001</v>
      </c>
      <c r="J8060">
        <v>-150.46770000000001</v>
      </c>
      <c r="K8060">
        <v>1.1217870000000001</v>
      </c>
      <c r="L8060">
        <v>136.55449999999999</v>
      </c>
      <c r="M8060">
        <v>0.99645430000000002</v>
      </c>
      <c r="N8060">
        <v>-1.348648E-2</v>
      </c>
      <c r="O8060">
        <v>8.3049189999999995E-2</v>
      </c>
      <c r="P8060">
        <v>0.98663290000000003</v>
      </c>
      <c r="Q8060">
        <v>0.15842390000000001</v>
      </c>
      <c r="R8060">
        <v>-3.8178200000000002E-2</v>
      </c>
      <c r="S8060">
        <v>3.0715180000000002</v>
      </c>
      <c r="T8060">
        <v>-0.18193880000000001</v>
      </c>
      <c r="U8060">
        <v>4.9133299999999998E-2</v>
      </c>
      <c r="V8060">
        <v>0.119996699999999</v>
      </c>
      <c r="W8060">
        <v>0.1716241</v>
      </c>
      <c r="X8060">
        <v>0.97782720000000001</v>
      </c>
      <c r="Y8060">
        <v>6.6876649999999996E-2</v>
      </c>
      <c r="Z8060">
        <v>-6.2195690000000003E-3</v>
      </c>
      <c r="AA8060">
        <v>0.99774189999999996</v>
      </c>
      <c r="AB8060">
        <v>28</v>
      </c>
      <c r="AC8060">
        <v>18.660499999999999</v>
      </c>
      <c r="AD8060">
        <v>-1.121790990467</v>
      </c>
      <c r="AE8060">
        <v>0.27980000000002198</v>
      </c>
      <c r="AF8060">
        <v>1.26647106754798</v>
      </c>
      <c r="AG8060">
        <v>-1.121790990467</v>
      </c>
      <c r="AH8060">
        <v>18.552232862535</v>
      </c>
      <c r="AI8060">
        <v>93.452254482585005</v>
      </c>
      <c r="AJ8060">
        <v>86.094753483034694</v>
      </c>
      <c r="AK8060">
        <v>18.6292165207491</v>
      </c>
      <c r="AL8060">
        <v>80.117739264295096</v>
      </c>
      <c r="AM8060">
        <v>83.003774269352505</v>
      </c>
      <c r="AN8060">
        <v>1.00000003638576</v>
      </c>
    </row>
    <row r="8061" spans="1:40" x14ac:dyDescent="0.25">
      <c r="A8061" t="str">
        <f>"20190303170445025"</f>
        <v>20190303170445025</v>
      </c>
      <c r="B8061" t="str">
        <f>"1551603885014018"</f>
        <v>1551603885014018</v>
      </c>
      <c r="C8061" t="s">
        <v>40</v>
      </c>
      <c r="D8061">
        <v>4.8827730000000003</v>
      </c>
      <c r="E8061">
        <v>0.48555310000000002</v>
      </c>
      <c r="F8061" t="s">
        <v>42</v>
      </c>
      <c r="G8061">
        <v>-131.43430000000001</v>
      </c>
      <c r="H8061" s="1">
        <v>-4.152098E-6</v>
      </c>
      <c r="I8061">
        <v>136.82499999999999</v>
      </c>
      <c r="J8061">
        <v>-150.19110000000001</v>
      </c>
      <c r="K8061">
        <v>1.1217999999999999</v>
      </c>
      <c r="L8061">
        <v>136.57749999999999</v>
      </c>
      <c r="M8061">
        <v>0.99645349999999999</v>
      </c>
      <c r="N8061">
        <v>-1.3484599999999999E-2</v>
      </c>
      <c r="O8061">
        <v>8.3057489999999998E-2</v>
      </c>
      <c r="P8061">
        <v>0.98642129999999995</v>
      </c>
      <c r="Q8061">
        <v>0.15936210000000001</v>
      </c>
      <c r="R8061">
        <v>-3.9710879999999997E-2</v>
      </c>
      <c r="S8061">
        <v>3.071396</v>
      </c>
      <c r="T8061">
        <v>-0.1810213</v>
      </c>
      <c r="U8061">
        <v>4.3655399999999997E-2</v>
      </c>
      <c r="V8061">
        <v>0.12151439999999999</v>
      </c>
      <c r="W8061">
        <v>0.17255609999999999</v>
      </c>
      <c r="X8061">
        <v>0.9774756</v>
      </c>
      <c r="Y8061">
        <v>6.8661910000000007E-2</v>
      </c>
      <c r="Z8061">
        <v>-6.2504140000000001E-3</v>
      </c>
      <c r="AA8061">
        <v>0.99762039999999996</v>
      </c>
      <c r="AB8061">
        <v>28</v>
      </c>
      <c r="AC8061">
        <v>18.756799999999998</v>
      </c>
      <c r="AD8061">
        <v>-1.121804152098</v>
      </c>
      <c r="AE8061">
        <v>0.247500000000002</v>
      </c>
      <c r="AF8061">
        <v>1.30671646174692</v>
      </c>
      <c r="AG8061">
        <v>-1.121804152098</v>
      </c>
      <c r="AH8061">
        <v>18.645853247163402</v>
      </c>
      <c r="AI8061">
        <v>93.434574301443504</v>
      </c>
      <c r="AJ8061">
        <v>85.991219703023802</v>
      </c>
      <c r="AK8061">
        <v>18.725218177148601</v>
      </c>
      <c r="AL8061">
        <v>80.063530035502495</v>
      </c>
      <c r="AM8061">
        <v>82.9136583652258</v>
      </c>
      <c r="AN8061">
        <v>0.99999995282496301</v>
      </c>
    </row>
    <row r="8062" spans="1:40" x14ac:dyDescent="0.25">
      <c r="A8062" t="str">
        <f>"20190303170445049"</f>
        <v>20190303170445049</v>
      </c>
      <c r="B8062" t="str">
        <f>"1551603885033539"</f>
        <v>1551603885033539</v>
      </c>
      <c r="C8062" t="s">
        <v>40</v>
      </c>
      <c r="D8062">
        <v>4.9408349999999999</v>
      </c>
      <c r="E8062">
        <v>0.48565059999999899</v>
      </c>
      <c r="F8062" t="s">
        <v>42</v>
      </c>
      <c r="G8062">
        <v>-130.6986</v>
      </c>
      <c r="H8062" s="1">
        <v>-4.4691250000000002E-6</v>
      </c>
      <c r="I8062">
        <v>136.81700000000001</v>
      </c>
      <c r="J8062">
        <v>-149.90350000000001</v>
      </c>
      <c r="K8062">
        <v>1.1218140000000001</v>
      </c>
      <c r="L8062">
        <v>136.60140000000001</v>
      </c>
      <c r="M8062">
        <v>0.99645289999999997</v>
      </c>
      <c r="N8062">
        <v>-1.34827E-2</v>
      </c>
      <c r="O8062">
        <v>8.3066199999999896E-2</v>
      </c>
      <c r="P8062">
        <v>0.98618819999999996</v>
      </c>
      <c r="Q8062">
        <v>0.16042219999999999</v>
      </c>
      <c r="R8062">
        <v>-4.1202950000000002E-2</v>
      </c>
      <c r="S8062">
        <v>3.0713810000000001</v>
      </c>
      <c r="T8062">
        <v>-0.17675969999999999</v>
      </c>
      <c r="U8062">
        <v>3.7734990000000003E-2</v>
      </c>
      <c r="V8062">
        <v>0.12299069999999999</v>
      </c>
      <c r="W8062">
        <v>0.1736095</v>
      </c>
      <c r="X8062">
        <v>0.97710439999999998</v>
      </c>
      <c r="Y8062">
        <v>7.0600419999999997E-2</v>
      </c>
      <c r="Z8062">
        <v>-6.1575199999999997E-3</v>
      </c>
      <c r="AA8062">
        <v>0.99748570000000003</v>
      </c>
      <c r="AB8062">
        <v>28</v>
      </c>
      <c r="AC8062">
        <v>19.204899999999999</v>
      </c>
      <c r="AD8062">
        <v>-1.1218184691249999</v>
      </c>
      <c r="AE8062">
        <v>0.21559999999999399</v>
      </c>
      <c r="AF8062">
        <v>1.3758741759928901</v>
      </c>
      <c r="AG8062">
        <v>-1.1218184691249999</v>
      </c>
      <c r="AH8062">
        <v>19.091293995555802</v>
      </c>
      <c r="AI8062">
        <v>93.354195886464694</v>
      </c>
      <c r="AJ8062">
        <v>85.877925934424098</v>
      </c>
      <c r="AK8062">
        <v>19.173654134008402</v>
      </c>
      <c r="AL8062">
        <v>80.002250141031595</v>
      </c>
      <c r="AM8062">
        <v>82.825760169376494</v>
      </c>
      <c r="AN8062">
        <v>0.99999998963804904</v>
      </c>
    </row>
    <row r="8063" spans="1:40" x14ac:dyDescent="0.25">
      <c r="A8063" t="str">
        <f>"20190303170445073"</f>
        <v>20190303170445073</v>
      </c>
      <c r="B8063" t="str">
        <f>"1551603885063795"</f>
        <v>1551603885063795</v>
      </c>
      <c r="C8063" t="s">
        <v>40</v>
      </c>
      <c r="D8063">
        <v>4.9470109999999998</v>
      </c>
      <c r="E8063">
        <v>0.48578549999999998</v>
      </c>
      <c r="F8063" t="s">
        <v>42</v>
      </c>
      <c r="G8063">
        <v>-129.8571</v>
      </c>
      <c r="H8063" s="1">
        <v>-7.7953480000000004E-7</v>
      </c>
      <c r="I8063">
        <v>136.8168</v>
      </c>
      <c r="J8063">
        <v>-149.596</v>
      </c>
      <c r="K8063">
        <v>1.12182</v>
      </c>
      <c r="L8063">
        <v>136.62710000000001</v>
      </c>
      <c r="M8063">
        <v>0.99645220000000001</v>
      </c>
      <c r="N8063">
        <v>-1.348066E-2</v>
      </c>
      <c r="O8063">
        <v>8.3075399999999994E-2</v>
      </c>
      <c r="P8063">
        <v>0.98593960000000003</v>
      </c>
      <c r="Q8063">
        <v>0.16160379999999999</v>
      </c>
      <c r="R8063">
        <v>-4.2514110000000001E-2</v>
      </c>
      <c r="S8063">
        <v>3.0713499999999998</v>
      </c>
      <c r="T8063">
        <v>-0.17187559999999999</v>
      </c>
      <c r="U8063">
        <v>3.3004760000000001E-2</v>
      </c>
      <c r="V8063">
        <v>0.1242859</v>
      </c>
      <c r="W8063">
        <v>0.17478379999999999</v>
      </c>
      <c r="X8063">
        <v>0.97673109999999996</v>
      </c>
      <c r="Y8063">
        <v>7.2155230000000001E-2</v>
      </c>
      <c r="Z8063">
        <v>-6.0244640000000002E-3</v>
      </c>
      <c r="AA8063">
        <v>0.99737520000000002</v>
      </c>
      <c r="AB8063">
        <v>28</v>
      </c>
      <c r="AC8063">
        <v>19.738900000000001</v>
      </c>
      <c r="AD8063">
        <v>-1.1218207795348001</v>
      </c>
      <c r="AE8063">
        <v>0.18969999999998699</v>
      </c>
      <c r="AF8063">
        <v>1.4462507584519599</v>
      </c>
      <c r="AG8063">
        <v>-1.1218207795348001</v>
      </c>
      <c r="AH8063">
        <v>19.623039916022101</v>
      </c>
      <c r="AI8063">
        <v>93.263124007341503</v>
      </c>
      <c r="AJ8063">
        <v>85.784826682681896</v>
      </c>
      <c r="AK8063">
        <v>19.708217034108198</v>
      </c>
      <c r="AL8063">
        <v>79.933923163807904</v>
      </c>
      <c r="AM8063">
        <v>82.7482676362267</v>
      </c>
      <c r="AN8063">
        <v>1.0000000016942201</v>
      </c>
    </row>
    <row r="8064" spans="1:40" x14ac:dyDescent="0.25">
      <c r="A8064" t="str">
        <f>"20190303170445092"</f>
        <v>20190303170445092</v>
      </c>
      <c r="B8064" t="str">
        <f>"1551603885083314"</f>
        <v>1551603885083314</v>
      </c>
      <c r="C8064" t="s">
        <v>40</v>
      </c>
      <c r="D8064">
        <v>4.8869499999999997</v>
      </c>
      <c r="E8064">
        <v>0.48585339999999999</v>
      </c>
      <c r="F8064" t="s">
        <v>42</v>
      </c>
      <c r="G8064">
        <v>-128.88810000000001</v>
      </c>
      <c r="H8064" s="1">
        <v>-1.1086770000000001E-6</v>
      </c>
      <c r="I8064">
        <v>136.8192</v>
      </c>
      <c r="J8064">
        <v>-149.35319999999999</v>
      </c>
      <c r="K8064">
        <v>1.1218140000000001</v>
      </c>
      <c r="L8064">
        <v>136.6473</v>
      </c>
      <c r="M8064">
        <v>0.99645159999999999</v>
      </c>
      <c r="N8064">
        <v>-1.3479079999999999E-2</v>
      </c>
      <c r="O8064">
        <v>8.3082680000000006E-2</v>
      </c>
      <c r="P8064">
        <v>0.98582879999999995</v>
      </c>
      <c r="Q8064">
        <v>0.16199179999999999</v>
      </c>
      <c r="R8064">
        <v>-4.3591699999999997E-2</v>
      </c>
      <c r="S8064">
        <v>3.0712739999999998</v>
      </c>
      <c r="T8064">
        <v>-0.16638169999999999</v>
      </c>
      <c r="U8064">
        <v>2.8503420000000002E-2</v>
      </c>
      <c r="V8064">
        <v>0.12535769999999999</v>
      </c>
      <c r="W8064">
        <v>0.17516779999999901</v>
      </c>
      <c r="X8064">
        <v>0.97652530000000004</v>
      </c>
      <c r="Y8064">
        <v>7.3635179999999995E-2</v>
      </c>
      <c r="Z8064">
        <v>-5.8625789999999997E-3</v>
      </c>
      <c r="AA8064">
        <v>0.99726800000000004</v>
      </c>
      <c r="AB8064">
        <v>28</v>
      </c>
      <c r="AC8064">
        <v>20.4650999999999</v>
      </c>
      <c r="AD8064">
        <v>-1.1218151086770001</v>
      </c>
      <c r="AE8064">
        <v>0.171899999999993</v>
      </c>
      <c r="AF8064">
        <v>1.52456340597582</v>
      </c>
      <c r="AG8064">
        <v>-1.1218151086770001</v>
      </c>
      <c r="AH8064">
        <v>20.3474797952017</v>
      </c>
      <c r="AI8064">
        <v>93.146883315598203</v>
      </c>
      <c r="AJ8064">
        <v>85.715040087416696</v>
      </c>
      <c r="AK8064">
        <v>20.435329621345499</v>
      </c>
      <c r="AL8064">
        <v>79.911576685022496</v>
      </c>
      <c r="AM8064">
        <v>82.684880737633705</v>
      </c>
      <c r="AN8064">
        <v>0.99999998632310905</v>
      </c>
    </row>
    <row r="8065" spans="1:40" x14ac:dyDescent="0.25">
      <c r="A8065" t="str">
        <f>"20190303170445115"</f>
        <v>20190303170445115</v>
      </c>
      <c r="B8065" t="str">
        <f>"1551603885103810"</f>
        <v>1551603885103810</v>
      </c>
      <c r="C8065" t="s">
        <v>40</v>
      </c>
      <c r="D8065">
        <v>4.8889129999999996</v>
      </c>
      <c r="E8065">
        <v>0.48593259999999999</v>
      </c>
      <c r="F8065" t="s">
        <v>42</v>
      </c>
      <c r="G8065">
        <v>-128.41470000000001</v>
      </c>
      <c r="H8065" s="1">
        <v>-1.2708029999999901E-6</v>
      </c>
      <c r="I8065">
        <v>136.81530000000001</v>
      </c>
      <c r="J8065">
        <v>-149.07230000000001</v>
      </c>
      <c r="K8065">
        <v>1.121807</v>
      </c>
      <c r="L8065">
        <v>136.67070000000001</v>
      </c>
      <c r="M8065">
        <v>0.99645099999999998</v>
      </c>
      <c r="N8065">
        <v>-1.3477279999999999E-2</v>
      </c>
      <c r="O8065">
        <v>8.3091100000000001E-2</v>
      </c>
      <c r="P8065">
        <v>0.98592279999999999</v>
      </c>
      <c r="Q8065">
        <v>0.1609014</v>
      </c>
      <c r="R8065">
        <v>-4.5466600000000003E-2</v>
      </c>
      <c r="S8065">
        <v>3.0712739999999998</v>
      </c>
      <c r="T8065">
        <v>-0.1645488</v>
      </c>
      <c r="U8065">
        <v>2.4642939999999999E-2</v>
      </c>
      <c r="V8065">
        <v>0.12724199999999999</v>
      </c>
      <c r="W8065">
        <v>0.174074799999999</v>
      </c>
      <c r="X8065">
        <v>0.97647700000000004</v>
      </c>
      <c r="Y8065">
        <v>7.4899339999999995E-2</v>
      </c>
      <c r="Z8065">
        <v>-5.834087E-3</v>
      </c>
      <c r="AA8065">
        <v>0.997174</v>
      </c>
      <c r="AB8065">
        <v>28</v>
      </c>
      <c r="AC8065">
        <v>20.657599999999999</v>
      </c>
      <c r="AD8065">
        <v>-1.1218082708029999</v>
      </c>
      <c r="AE8065">
        <v>0.14459999999999601</v>
      </c>
      <c r="AF8065">
        <v>1.56789490226665</v>
      </c>
      <c r="AG8065">
        <v>-1.1218082708029999</v>
      </c>
      <c r="AH8065">
        <v>20.537605370548398</v>
      </c>
      <c r="AI8065">
        <v>93.117458625652802</v>
      </c>
      <c r="AJ8065">
        <v>85.634357375715794</v>
      </c>
      <c r="AK8065">
        <v>20.627893314087402</v>
      </c>
      <c r="AL8065">
        <v>79.975177772846607</v>
      </c>
      <c r="AM8065">
        <v>82.5757788676286</v>
      </c>
      <c r="AN8065">
        <v>0.99999994704401796</v>
      </c>
    </row>
    <row r="8066" spans="1:40" x14ac:dyDescent="0.25">
      <c r="A8066" t="str">
        <f>"20190303170445137"</f>
        <v>20190303170445137</v>
      </c>
      <c r="B8066" t="str">
        <f>"1551603885123331"</f>
        <v>1551603885123331</v>
      </c>
      <c r="C8066" t="s">
        <v>40</v>
      </c>
      <c r="D8066">
        <v>4.8276159999999999</v>
      </c>
      <c r="E8066">
        <v>0.48600409999999999</v>
      </c>
      <c r="F8066" t="s">
        <v>42</v>
      </c>
      <c r="G8066">
        <v>-128.51240000000001</v>
      </c>
      <c r="H8066" s="1">
        <v>-1.242715E-6</v>
      </c>
      <c r="I8066">
        <v>136.79589999999999</v>
      </c>
      <c r="J8066">
        <v>-148.7886</v>
      </c>
      <c r="K8066">
        <v>1.1217999999999999</v>
      </c>
      <c r="L8066">
        <v>136.6944</v>
      </c>
      <c r="M8066">
        <v>0.99645010000000001</v>
      </c>
      <c r="N8066">
        <v>-1.347547E-2</v>
      </c>
      <c r="O8066">
        <v>8.3100300000000002E-2</v>
      </c>
      <c r="P8066">
        <v>0.98577749999999997</v>
      </c>
      <c r="Q8066">
        <v>0.16122339999999999</v>
      </c>
      <c r="R8066">
        <v>-4.7434499999999997E-2</v>
      </c>
      <c r="S8066">
        <v>3.0710600000000001</v>
      </c>
      <c r="T8066">
        <v>-0.16756550000000001</v>
      </c>
      <c r="U8066">
        <v>1.870728E-2</v>
      </c>
      <c r="V8066">
        <v>0.12919990000000001</v>
      </c>
      <c r="W8066">
        <v>0.17439079999999901</v>
      </c>
      <c r="X8066">
        <v>0.97616349999999996</v>
      </c>
      <c r="Y8066">
        <v>7.682369E-2</v>
      </c>
      <c r="Z8066">
        <v>-6.0186880000000003E-3</v>
      </c>
      <c r="AA8066">
        <v>0.99702650000000004</v>
      </c>
      <c r="AB8066">
        <v>28</v>
      </c>
      <c r="AC8066">
        <v>20.2761999999999</v>
      </c>
      <c r="AD8066">
        <v>-1.1218012427149999</v>
      </c>
      <c r="AE8066">
        <v>0.101499999999987</v>
      </c>
      <c r="AF8066">
        <v>1.57912885840064</v>
      </c>
      <c r="AG8066">
        <v>-1.1218012427149999</v>
      </c>
      <c r="AH8066">
        <v>20.152805599325902</v>
      </c>
      <c r="AI8066">
        <v>93.176351870941701</v>
      </c>
      <c r="AJ8066">
        <v>85.519585481538002</v>
      </c>
      <c r="AK8066">
        <v>20.245682490442601</v>
      </c>
      <c r="AL8066">
        <v>79.956791324783197</v>
      </c>
      <c r="AM8066">
        <v>82.460451622432501</v>
      </c>
      <c r="AN8066">
        <v>0.99999997200844903</v>
      </c>
    </row>
    <row r="8067" spans="1:40" x14ac:dyDescent="0.25">
      <c r="A8067" t="str">
        <f>"20190303170445160"</f>
        <v>20190303170445160</v>
      </c>
      <c r="B8067" t="str">
        <f>"1551603885153587"</f>
        <v>1551603885153587</v>
      </c>
      <c r="C8067" t="s">
        <v>40</v>
      </c>
      <c r="D8067">
        <v>4.882574</v>
      </c>
      <c r="E8067">
        <v>0.4860563</v>
      </c>
      <c r="F8067" t="s">
        <v>42</v>
      </c>
      <c r="G8067">
        <v>-128.09799999999899</v>
      </c>
      <c r="H8067" s="1">
        <v>-1.388779E-6</v>
      </c>
      <c r="I8067">
        <v>136.77699999999999</v>
      </c>
      <c r="J8067">
        <v>-148.51130000000001</v>
      </c>
      <c r="K8067">
        <v>1.1218079999999999</v>
      </c>
      <c r="L8067">
        <v>136.7175</v>
      </c>
      <c r="M8067">
        <v>0.99644940000000004</v>
      </c>
      <c r="N8067">
        <v>-1.3473819999999999E-2</v>
      </c>
      <c r="O8067">
        <v>8.3109669999999997E-2</v>
      </c>
      <c r="P8067">
        <v>0.98542300000000005</v>
      </c>
      <c r="Q8067">
        <v>0.16305430000000001</v>
      </c>
      <c r="R8067">
        <v>-4.8530179999999999E-2</v>
      </c>
      <c r="S8067">
        <v>3.0711210000000002</v>
      </c>
      <c r="T8067">
        <v>-0.1665094</v>
      </c>
      <c r="U8067">
        <v>1.2268070000000001E-2</v>
      </c>
      <c r="V8067">
        <v>0.13027149999999901</v>
      </c>
      <c r="W8067">
        <v>0.1762137</v>
      </c>
      <c r="X8067">
        <v>0.97569360000000005</v>
      </c>
      <c r="Y8067">
        <v>7.8922350000000002E-2</v>
      </c>
      <c r="Z8067">
        <v>-6.0484809999999996E-3</v>
      </c>
      <c r="AA8067">
        <v>0.99686240000000004</v>
      </c>
      <c r="AB8067">
        <v>28</v>
      </c>
      <c r="AC8067">
        <v>20.4133</v>
      </c>
      <c r="AD8067">
        <v>-1.1218093887789999</v>
      </c>
      <c r="AE8067">
        <v>5.9500000000014097E-2</v>
      </c>
      <c r="AF8067">
        <v>1.63247230824647</v>
      </c>
      <c r="AG8067">
        <v>-1.1218093887789999</v>
      </c>
      <c r="AH8067">
        <v>20.2863460139456</v>
      </c>
      <c r="AI8067">
        <v>93.154982672937606</v>
      </c>
      <c r="AJ8067">
        <v>85.399237664738905</v>
      </c>
      <c r="AK8067">
        <v>20.382817684007001</v>
      </c>
      <c r="AL8067">
        <v>79.8507039742247</v>
      </c>
      <c r="AM8067">
        <v>82.395027891983005</v>
      </c>
      <c r="AN8067">
        <v>0.99999996643044897</v>
      </c>
    </row>
    <row r="8068" spans="1:40" x14ac:dyDescent="0.25">
      <c r="A8068" t="str">
        <f>"20190303170445182"</f>
        <v>20190303170445182</v>
      </c>
      <c r="B8068" t="str">
        <f>"1551603885174083"</f>
        <v>1551603885174083</v>
      </c>
      <c r="C8068" t="s">
        <v>40</v>
      </c>
      <c r="D8068">
        <v>4.9388920000000001</v>
      </c>
      <c r="E8068">
        <v>0.48606080000000002</v>
      </c>
      <c r="F8068" t="s">
        <v>42</v>
      </c>
      <c r="G8068">
        <v>-127.0339</v>
      </c>
      <c r="H8068" s="1">
        <v>-1.7576419999999901E-6</v>
      </c>
      <c r="I8068">
        <v>136.78120000000001</v>
      </c>
      <c r="J8068">
        <v>-148.23679999999999</v>
      </c>
      <c r="K8068">
        <v>1.121807</v>
      </c>
      <c r="L8068">
        <v>136.74039999999999</v>
      </c>
      <c r="M8068">
        <v>0.99644860000000002</v>
      </c>
      <c r="N8068">
        <v>-1.347226E-2</v>
      </c>
      <c r="O8068">
        <v>8.3119219999999994E-2</v>
      </c>
      <c r="P8068">
        <v>0.98524560000000005</v>
      </c>
      <c r="Q8068">
        <v>0.164079799999999</v>
      </c>
      <c r="R8068">
        <v>-4.8673880000000003E-2</v>
      </c>
      <c r="S8068">
        <v>3.0713650000000001</v>
      </c>
      <c r="T8068">
        <v>-0.16042390000000001</v>
      </c>
      <c r="U8068">
        <v>9.1247559999999995E-3</v>
      </c>
      <c r="V8068">
        <v>0.1304091</v>
      </c>
      <c r="W8068">
        <v>0.17723549999999999</v>
      </c>
      <c r="X8068">
        <v>0.97549019999999997</v>
      </c>
      <c r="Y8068">
        <v>7.9966490000000001E-2</v>
      </c>
      <c r="Z8068">
        <v>-5.8404719999999898E-3</v>
      </c>
      <c r="AA8068">
        <v>0.99678049999999996</v>
      </c>
      <c r="AB8068">
        <v>28</v>
      </c>
      <c r="AC8068">
        <v>21.2028999999999</v>
      </c>
      <c r="AD8068">
        <v>-1.1218087576419999</v>
      </c>
      <c r="AE8068">
        <v>4.0800000000018599E-2</v>
      </c>
      <c r="AF8068">
        <v>1.7170630416480499</v>
      </c>
      <c r="AG8068">
        <v>-1.1218087576419999</v>
      </c>
      <c r="AH8068">
        <v>21.073916265352501</v>
      </c>
      <c r="AI8068">
        <v>93.037053121927997</v>
      </c>
      <c r="AJ8068">
        <v>85.341937317900104</v>
      </c>
      <c r="AK8068">
        <v>21.173490669627501</v>
      </c>
      <c r="AL8068">
        <v>79.791223721039302</v>
      </c>
      <c r="AM8068">
        <v>82.385520509673498</v>
      </c>
      <c r="AN8068">
        <v>1.0000000430595399</v>
      </c>
    </row>
    <row r="8069" spans="1:40" x14ac:dyDescent="0.25">
      <c r="A8069" t="str">
        <f>"20190303170445204"</f>
        <v>20190303170445204</v>
      </c>
      <c r="B8069" t="str">
        <f>"1551603885193603"</f>
        <v>1551603885193603</v>
      </c>
      <c r="C8069" t="s">
        <v>40</v>
      </c>
      <c r="D8069">
        <v>4.881265</v>
      </c>
      <c r="E8069">
        <v>0.48607820000000002</v>
      </c>
      <c r="F8069" t="s">
        <v>42</v>
      </c>
      <c r="G8069">
        <v>-126.30549999999999</v>
      </c>
      <c r="H8069" s="1">
        <v>-2.0655060000000001E-6</v>
      </c>
      <c r="I8069">
        <v>136.8073</v>
      </c>
      <c r="J8069">
        <v>-147.96440000000001</v>
      </c>
      <c r="K8069">
        <v>1.1218060000000001</v>
      </c>
      <c r="L8069">
        <v>136.76310000000001</v>
      </c>
      <c r="M8069">
        <v>0.99644739999999998</v>
      </c>
      <c r="N8069">
        <v>-1.349843E-2</v>
      </c>
      <c r="O8069">
        <v>8.3128750000000001E-2</v>
      </c>
      <c r="P8069">
        <v>0.98535550000000005</v>
      </c>
      <c r="Q8069">
        <v>0.16345850000000001</v>
      </c>
      <c r="R8069">
        <v>-4.8536219999999998E-2</v>
      </c>
      <c r="S8069">
        <v>3.071564</v>
      </c>
      <c r="T8069">
        <v>-0.1571137</v>
      </c>
      <c r="U8069">
        <v>9.3688959999999998E-3</v>
      </c>
      <c r="V8069">
        <v>0.1302905</v>
      </c>
      <c r="W8069">
        <v>0.176641299999999</v>
      </c>
      <c r="X8069">
        <v>0.97561379999999998</v>
      </c>
      <c r="Y8069">
        <v>7.9905619999999997E-2</v>
      </c>
      <c r="Z8069">
        <v>-5.704949E-3</v>
      </c>
      <c r="AA8069">
        <v>0.99678610000000001</v>
      </c>
      <c r="AB8069">
        <v>28</v>
      </c>
      <c r="AC8069">
        <v>21.658899999999999</v>
      </c>
      <c r="AD8069">
        <v>-1.1218080655060001</v>
      </c>
      <c r="AE8069">
        <v>4.4199999999989303E-2</v>
      </c>
      <c r="AF8069">
        <v>1.75189462860788</v>
      </c>
      <c r="AG8069">
        <v>-1.1218080655060001</v>
      </c>
      <c r="AH8069">
        <v>21.529838671436501</v>
      </c>
      <c r="AI8069">
        <v>92.972880164627796</v>
      </c>
      <c r="AJ8069">
        <v>85.348060423088995</v>
      </c>
      <c r="AK8069">
        <v>21.6301072892314</v>
      </c>
      <c r="AL8069">
        <v>79.825814464807294</v>
      </c>
      <c r="AM8069">
        <v>82.393316845568094</v>
      </c>
      <c r="AN8069">
        <v>1.00000002500318</v>
      </c>
    </row>
    <row r="8070" spans="1:40" x14ac:dyDescent="0.25">
      <c r="A8070" t="str">
        <f>"20190303170445227"</f>
        <v>20190303170445227</v>
      </c>
      <c r="B8070" t="str">
        <f>"1551603885214099"</f>
        <v>1551603885214099</v>
      </c>
      <c r="C8070" t="s">
        <v>40</v>
      </c>
      <c r="D8070">
        <v>4.8807070000000001</v>
      </c>
      <c r="E8070">
        <v>0.48608649999999998</v>
      </c>
      <c r="F8070" t="s">
        <v>42</v>
      </c>
      <c r="G8070">
        <v>-126.3068</v>
      </c>
      <c r="H8070" s="1">
        <v>-2.060061E-6</v>
      </c>
      <c r="I8070">
        <v>136.8349</v>
      </c>
      <c r="J8070">
        <v>-147.67500000000001</v>
      </c>
      <c r="K8070">
        <v>1.1218300000000001</v>
      </c>
      <c r="L8070">
        <v>136.78729999999999</v>
      </c>
      <c r="M8070">
        <v>0.99644489999999997</v>
      </c>
      <c r="N8070">
        <v>-1.362298E-2</v>
      </c>
      <c r="O8070">
        <v>8.3138799999999999E-2</v>
      </c>
      <c r="P8070">
        <v>0.98554310000000001</v>
      </c>
      <c r="Q8070">
        <v>0.16232539999999901</v>
      </c>
      <c r="R8070">
        <v>-4.8531270000000001E-2</v>
      </c>
      <c r="S8070">
        <v>3.0714869999999999</v>
      </c>
      <c r="T8070">
        <v>-0.15909470000000001</v>
      </c>
      <c r="U8070">
        <v>1.019287E-2</v>
      </c>
      <c r="V8070">
        <v>0.13031110000000001</v>
      </c>
      <c r="W8070">
        <v>0.1756326</v>
      </c>
      <c r="X8070">
        <v>0.97579309999999997</v>
      </c>
      <c r="Y8070">
        <v>7.9643859999999997E-2</v>
      </c>
      <c r="Z8070">
        <v>-5.7707349999999999E-3</v>
      </c>
      <c r="AA8070">
        <v>0.99680670000000005</v>
      </c>
      <c r="AB8070">
        <v>28</v>
      </c>
      <c r="AC8070">
        <v>21.368200000000002</v>
      </c>
      <c r="AD8070">
        <v>-1.1218320600609999</v>
      </c>
      <c r="AE8070">
        <v>4.76000000000169E-2</v>
      </c>
      <c r="AF8070">
        <v>1.7245029749424901</v>
      </c>
      <c r="AG8070">
        <v>-1.1218320600609999</v>
      </c>
      <c r="AH8070">
        <v>21.2396252390275</v>
      </c>
      <c r="AI8070">
        <v>93.013534088249202</v>
      </c>
      <c r="AJ8070">
        <v>85.358181887424607</v>
      </c>
      <c r="AK8070">
        <v>21.339027578029398</v>
      </c>
      <c r="AL8070">
        <v>79.884526220020007</v>
      </c>
      <c r="AM8070">
        <v>82.393509813782501</v>
      </c>
      <c r="AN8070">
        <v>0.99999998348678898</v>
      </c>
    </row>
    <row r="8071" spans="1:40" x14ac:dyDescent="0.25">
      <c r="A8071" t="str">
        <f>"20190303170445249"</f>
        <v>20190303170445249</v>
      </c>
      <c r="B8071" t="str">
        <f>"1551603885243378"</f>
        <v>1551603885243378</v>
      </c>
      <c r="C8071" t="s">
        <v>40</v>
      </c>
      <c r="D8071">
        <v>4.8861179999999997</v>
      </c>
      <c r="E8071">
        <v>0.48609580000000002</v>
      </c>
      <c r="F8071" t="s">
        <v>42</v>
      </c>
      <c r="G8071">
        <v>-126.5069</v>
      </c>
      <c r="H8071" s="1">
        <v>-1.970367E-6</v>
      </c>
      <c r="I8071">
        <v>136.85640000000001</v>
      </c>
      <c r="J8071">
        <v>-147.40280000000001</v>
      </c>
      <c r="K8071">
        <v>1.1218709999999901</v>
      </c>
      <c r="L8071">
        <v>136.81</v>
      </c>
      <c r="M8071">
        <v>0.99644180000000004</v>
      </c>
      <c r="N8071">
        <v>-1.379639E-2</v>
      </c>
      <c r="O8071">
        <v>8.3148E-2</v>
      </c>
      <c r="P8071">
        <v>0.98574949999999995</v>
      </c>
      <c r="Q8071">
        <v>0.16108449999999999</v>
      </c>
      <c r="R8071">
        <v>-4.8478819999999999E-2</v>
      </c>
      <c r="S8071">
        <v>3.0713200000000001</v>
      </c>
      <c r="T8071">
        <v>-0.16276869999999999</v>
      </c>
      <c r="U8071">
        <v>1.004028E-2</v>
      </c>
      <c r="V8071">
        <v>0.13028489999999901</v>
      </c>
      <c r="W8071">
        <v>0.17456360000000001</v>
      </c>
      <c r="X8071">
        <v>0.97598839999999998</v>
      </c>
      <c r="Y8071">
        <v>7.9693189999999997E-2</v>
      </c>
      <c r="Z8071">
        <v>-5.9123259999999999E-3</v>
      </c>
      <c r="AA8071">
        <v>0.99680190000000002</v>
      </c>
      <c r="AB8071">
        <v>28</v>
      </c>
      <c r="AC8071">
        <v>20.895900000000001</v>
      </c>
      <c r="AD8071">
        <v>-1.1218729703669901</v>
      </c>
      <c r="AE8071">
        <v>4.6400000000005499E-2</v>
      </c>
      <c r="AF8071">
        <v>1.6865168935463699</v>
      </c>
      <c r="AG8071">
        <v>-1.1218729703669901</v>
      </c>
      <c r="AH8071">
        <v>20.767524997311298</v>
      </c>
      <c r="AI8071">
        <v>93.082017063154495</v>
      </c>
      <c r="AJ8071">
        <v>85.357236237218402</v>
      </c>
      <c r="AK8071">
        <v>20.866073725255799</v>
      </c>
      <c r="AL8071">
        <v>79.946736477302395</v>
      </c>
      <c r="AM8071">
        <v>82.3965252407843</v>
      </c>
      <c r="AN8071">
        <v>0.99999998127376399</v>
      </c>
    </row>
    <row r="8072" spans="1:40" x14ac:dyDescent="0.25">
      <c r="A8072" t="str">
        <f>"20190303170445272"</f>
        <v>20190303170445272</v>
      </c>
      <c r="B8072" t="str">
        <f>"1551603885263875"</f>
        <v>1551603885263875</v>
      </c>
      <c r="C8072" t="s">
        <v>40</v>
      </c>
      <c r="D8072">
        <v>4.8752570000000004</v>
      </c>
      <c r="E8072">
        <v>0.48605429999999999</v>
      </c>
      <c r="F8072" t="s">
        <v>42</v>
      </c>
      <c r="G8072">
        <v>-126.74039999999999</v>
      </c>
      <c r="H8072" s="1">
        <v>-1.8673239999999999E-6</v>
      </c>
      <c r="I8072">
        <v>136.87280000000001</v>
      </c>
      <c r="J8072">
        <v>-147.1234</v>
      </c>
      <c r="K8072">
        <v>1.1219129999999999</v>
      </c>
      <c r="L8072">
        <v>136.83330000000001</v>
      </c>
      <c r="M8072">
        <v>0.99643839999999995</v>
      </c>
      <c r="N8072">
        <v>-1.3972210000000001E-2</v>
      </c>
      <c r="O8072">
        <v>8.315794E-2</v>
      </c>
      <c r="P8072">
        <v>0.98555119999999896</v>
      </c>
      <c r="Q8072">
        <v>0.1624496</v>
      </c>
      <c r="R8072">
        <v>-4.795054E-2</v>
      </c>
      <c r="S8072">
        <v>3.0710600000000001</v>
      </c>
      <c r="T8072">
        <v>-0.166744</v>
      </c>
      <c r="U8072">
        <v>9.3383790000000008E-3</v>
      </c>
      <c r="V8072">
        <v>0.12975219999999901</v>
      </c>
      <c r="W8072">
        <v>0.17609820000000001</v>
      </c>
      <c r="X8072">
        <v>0.97578359999999997</v>
      </c>
      <c r="Y8072">
        <v>7.9920119999999997E-2</v>
      </c>
      <c r="Z8072">
        <v>-6.0722399999999996E-3</v>
      </c>
      <c r="AA8072">
        <v>0.99678279999999997</v>
      </c>
      <c r="AB8072">
        <v>28</v>
      </c>
      <c r="AC8072">
        <v>20.382999999999999</v>
      </c>
      <c r="AD8072">
        <v>-1.121914867324</v>
      </c>
      <c r="AE8072">
        <v>3.9500000000003803E-2</v>
      </c>
      <c r="AF8072">
        <v>1.65080939501224</v>
      </c>
      <c r="AG8072">
        <v>-1.121914867324</v>
      </c>
      <c r="AH8072">
        <v>20.254310295265402</v>
      </c>
      <c r="AI8072">
        <v>93.159997210410197</v>
      </c>
      <c r="AJ8072">
        <v>85.340458316552599</v>
      </c>
      <c r="AK8072">
        <v>20.352418779228099</v>
      </c>
      <c r="AL8072">
        <v>79.857426308102106</v>
      </c>
      <c r="AM8072">
        <v>82.425681355730106</v>
      </c>
      <c r="AN8072">
        <v>0.99999992173851604</v>
      </c>
    </row>
    <row r="8073" spans="1:40" x14ac:dyDescent="0.25">
      <c r="A8073" t="str">
        <f>"20190303170445294"</f>
        <v>20190303170445294</v>
      </c>
      <c r="B8073" t="str">
        <f>"1551603885283395"</f>
        <v>1551603885283395</v>
      </c>
      <c r="C8073" t="s">
        <v>40</v>
      </c>
      <c r="D8073">
        <v>4.8404910000000001</v>
      </c>
      <c r="E8073">
        <v>0.46256419999999998</v>
      </c>
      <c r="F8073" t="s">
        <v>42</v>
      </c>
      <c r="G8073">
        <v>-125.90519999999999</v>
      </c>
      <c r="H8073" s="1">
        <v>-2.2190880000000002E-6</v>
      </c>
      <c r="I8073">
        <v>136.90950000000001</v>
      </c>
      <c r="J8073">
        <v>-146.85720000000001</v>
      </c>
      <c r="K8073">
        <v>1.121955</v>
      </c>
      <c r="L8073">
        <v>136.85550000000001</v>
      </c>
      <c r="M8073">
        <v>0.99643510000000002</v>
      </c>
      <c r="N8073">
        <v>-1.4159939999999999E-2</v>
      </c>
      <c r="O8073">
        <v>8.3166879999999999E-2</v>
      </c>
      <c r="P8073">
        <v>0.9853094</v>
      </c>
      <c r="Q8073">
        <v>0.16402739999999999</v>
      </c>
      <c r="R8073">
        <v>-4.7546720000000001E-2</v>
      </c>
      <c r="S8073">
        <v>3.071304</v>
      </c>
      <c r="T8073">
        <v>-0.1623956</v>
      </c>
      <c r="U8073">
        <v>1.10321E-2</v>
      </c>
      <c r="V8073">
        <v>0.1293387</v>
      </c>
      <c r="W8073">
        <v>0.17785629999999999</v>
      </c>
      <c r="X8073">
        <v>0.97551969999999999</v>
      </c>
      <c r="Y8073">
        <v>7.9392499999999894E-2</v>
      </c>
      <c r="Z8073">
        <v>-5.8723359999999997E-3</v>
      </c>
      <c r="AA8073">
        <v>0.99682610000000005</v>
      </c>
      <c r="AB8073">
        <v>28</v>
      </c>
      <c r="AC8073">
        <v>20.952000000000002</v>
      </c>
      <c r="AD8073">
        <v>-1.1219572190880001</v>
      </c>
      <c r="AE8073">
        <v>5.4000000000001998E-2</v>
      </c>
      <c r="AF8073">
        <v>1.68404522799777</v>
      </c>
      <c r="AG8073">
        <v>-1.1219572190880001</v>
      </c>
      <c r="AH8073">
        <v>20.824178807842301</v>
      </c>
      <c r="AI8073">
        <v>93.073962562413001</v>
      </c>
      <c r="AJ8073">
        <v>85.376568551405299</v>
      </c>
      <c r="AK8073">
        <v>20.922266114176001</v>
      </c>
      <c r="AL8073">
        <v>79.755080075661596</v>
      </c>
      <c r="AM8073">
        <v>82.4475216079002</v>
      </c>
      <c r="AN8073">
        <v>1.00000002392773</v>
      </c>
    </row>
    <row r="8074" spans="1:40" x14ac:dyDescent="0.25">
      <c r="A8074" t="str">
        <f>"20190303170445317"</f>
        <v>20190303170445317</v>
      </c>
      <c r="B8074" t="str">
        <f>"1551603885303891"</f>
        <v>1551603885303891</v>
      </c>
      <c r="C8074" t="s">
        <v>40</v>
      </c>
      <c r="D8074">
        <v>4.811382</v>
      </c>
      <c r="E8074">
        <v>0.46067750000000002</v>
      </c>
      <c r="F8074" t="s">
        <v>42</v>
      </c>
      <c r="G8074">
        <v>-118.30249999999999</v>
      </c>
      <c r="H8074" s="1">
        <v>-8.7411799999999999E-7</v>
      </c>
      <c r="I8074">
        <v>138.69409999999999</v>
      </c>
      <c r="J8074">
        <v>-146.57900000000001</v>
      </c>
      <c r="K8074">
        <v>1.1219920000000001</v>
      </c>
      <c r="L8074">
        <v>136.87880000000001</v>
      </c>
      <c r="M8074">
        <v>0.99643040000000005</v>
      </c>
      <c r="N8074">
        <v>-1.442365E-2</v>
      </c>
      <c r="O8074">
        <v>8.3176749999999994E-2</v>
      </c>
      <c r="P8074">
        <v>0.98534109999999997</v>
      </c>
      <c r="Q8074">
        <v>0.163956399999999</v>
      </c>
      <c r="R8074">
        <v>-4.7131220000000001E-2</v>
      </c>
      <c r="S8074">
        <v>3.0743870000000002</v>
      </c>
      <c r="T8074">
        <v>-0.1207969</v>
      </c>
      <c r="U8074">
        <v>0.1979523</v>
      </c>
      <c r="V8074">
        <v>0.1289373</v>
      </c>
      <c r="W8074">
        <v>0.17804300000000001</v>
      </c>
      <c r="X8074">
        <v>0.97553869999999998</v>
      </c>
      <c r="Y8074">
        <v>1.8936390000000001E-2</v>
      </c>
      <c r="Z8074">
        <v>-2.5666729999999998E-3</v>
      </c>
      <c r="AA8074">
        <v>0.99981739999999997</v>
      </c>
      <c r="AB8074">
        <v>28</v>
      </c>
      <c r="AC8074">
        <v>28.276499999999999</v>
      </c>
      <c r="AD8074">
        <v>-1.1219928741179901</v>
      </c>
      <c r="AE8074">
        <v>1.8152999999999799</v>
      </c>
      <c r="AF8074">
        <v>0.542333411576428</v>
      </c>
      <c r="AG8074">
        <v>-1.1219928741179901</v>
      </c>
      <c r="AH8074">
        <v>28.2851518310313</v>
      </c>
      <c r="AI8074">
        <v>92.271155414674695</v>
      </c>
      <c r="AJ8074">
        <v>88.901557654135004</v>
      </c>
      <c r="AK8074">
        <v>28.312590973688302</v>
      </c>
      <c r="AL8074">
        <v>79.744208648442907</v>
      </c>
      <c r="AM8074">
        <v>82.470836207106103</v>
      </c>
      <c r="AN8074">
        <v>0.99999994618898802</v>
      </c>
    </row>
    <row r="8075" spans="1:40" x14ac:dyDescent="0.25">
      <c r="A8075" t="str">
        <f>"20190303170445339"</f>
        <v>20190303170445339</v>
      </c>
      <c r="B8075" t="str">
        <f>"1551603885334147"</f>
        <v>1551603885334147</v>
      </c>
      <c r="C8075" t="s">
        <v>40</v>
      </c>
      <c r="D8075">
        <v>4.7716949999999896</v>
      </c>
      <c r="E8075">
        <v>0.45903929999999998</v>
      </c>
      <c r="F8075" t="s">
        <v>42</v>
      </c>
      <c r="G8075">
        <v>-118.46510000000001</v>
      </c>
      <c r="H8075" s="1">
        <v>-7.7755650000000004E-7</v>
      </c>
      <c r="I8075">
        <v>138.84530000000001</v>
      </c>
      <c r="J8075">
        <v>-146.30690000000001</v>
      </c>
      <c r="K8075">
        <v>1.1220380000000001</v>
      </c>
      <c r="L8075">
        <v>136.9015</v>
      </c>
      <c r="M8075">
        <v>0.99642520000000001</v>
      </c>
      <c r="N8075">
        <v>-1.474195E-2</v>
      </c>
      <c r="O8075">
        <v>8.3186040000000003E-2</v>
      </c>
      <c r="P8075">
        <v>0.98580460000000003</v>
      </c>
      <c r="Q8075">
        <v>0.1612711</v>
      </c>
      <c r="R8075">
        <v>-4.6707989999999998E-2</v>
      </c>
      <c r="S8075">
        <v>3.075348</v>
      </c>
      <c r="T8075">
        <v>-0.1227331</v>
      </c>
      <c r="U8075">
        <v>0.21511839999999999</v>
      </c>
      <c r="V8075">
        <v>0.1285636</v>
      </c>
      <c r="W8075">
        <v>0.17567579999999999</v>
      </c>
      <c r="X8075">
        <v>0.97601709999999997</v>
      </c>
      <c r="Y8075">
        <v>1.3414819999999999E-2</v>
      </c>
      <c r="Z8075">
        <v>-2.448965E-3</v>
      </c>
      <c r="AA8075">
        <v>0.99990699999999999</v>
      </c>
      <c r="AB8075">
        <v>27</v>
      </c>
      <c r="AC8075">
        <v>27.841799999999999</v>
      </c>
      <c r="AD8075">
        <v>-1.1220387775564999</v>
      </c>
      <c r="AE8075">
        <v>1.94380000000001</v>
      </c>
      <c r="AF8075">
        <v>0.37862695904968902</v>
      </c>
      <c r="AG8075">
        <v>-1.1220387775564999</v>
      </c>
      <c r="AH8075">
        <v>27.861962899055701</v>
      </c>
      <c r="AI8075">
        <v>92.3059194005954</v>
      </c>
      <c r="AJ8075">
        <v>89.221433479532294</v>
      </c>
      <c r="AK8075">
        <v>27.8871172045591</v>
      </c>
      <c r="AL8075">
        <v>79.882011942435199</v>
      </c>
      <c r="AM8075">
        <v>82.496046704174603</v>
      </c>
      <c r="AN8075">
        <v>0.99999998272150403</v>
      </c>
    </row>
    <row r="8076" spans="1:40" x14ac:dyDescent="0.25">
      <c r="A8076" t="str">
        <f>"20190303170445361"</f>
        <v>20190303170445361</v>
      </c>
      <c r="B8076" t="str">
        <f>"1551603885353667"</f>
        <v>1551603885353667</v>
      </c>
      <c r="C8076" t="s">
        <v>40</v>
      </c>
      <c r="D8076">
        <v>4.7755660000000004</v>
      </c>
      <c r="E8076">
        <v>0.45843699999999998</v>
      </c>
      <c r="F8076" t="s">
        <v>42</v>
      </c>
      <c r="G8076">
        <v>-118.0859</v>
      </c>
      <c r="H8076" s="1">
        <v>-9.1173530000000003E-7</v>
      </c>
      <c r="I8076">
        <v>139.00579999999999</v>
      </c>
      <c r="J8076">
        <v>-146.03700000000001</v>
      </c>
      <c r="K8076">
        <v>1.1220909999999999</v>
      </c>
      <c r="L8076">
        <v>136.92400000000001</v>
      </c>
      <c r="M8076">
        <v>0.99641900000000005</v>
      </c>
      <c r="N8076">
        <v>-1.509449E-2</v>
      </c>
      <c r="O8076">
        <v>8.3194619999999997E-2</v>
      </c>
      <c r="P8076">
        <v>0.98627739999999997</v>
      </c>
      <c r="Q8076">
        <v>0.15859309999999999</v>
      </c>
      <c r="R8076">
        <v>-4.5883519999999997E-2</v>
      </c>
      <c r="S8076">
        <v>3.0740509999999999</v>
      </c>
      <c r="T8076">
        <v>-0.12222139999999999</v>
      </c>
      <c r="U8076">
        <v>0.22921749999999999</v>
      </c>
      <c r="V8076">
        <v>0.1277903</v>
      </c>
      <c r="W8076">
        <v>0.1733507</v>
      </c>
      <c r="X8076">
        <v>0.97653420000000002</v>
      </c>
      <c r="Y8076">
        <v>8.8381810000000005E-3</v>
      </c>
      <c r="Z8076">
        <v>-2.282788E-3</v>
      </c>
      <c r="AA8076">
        <v>0.99995829999999997</v>
      </c>
      <c r="AB8076">
        <v>27</v>
      </c>
      <c r="AC8076">
        <v>27.9511</v>
      </c>
      <c r="AD8076">
        <v>-1.1220919117353001</v>
      </c>
      <c r="AE8076">
        <v>2.0817999999999799</v>
      </c>
      <c r="AF8076">
        <v>0.25066292927388301</v>
      </c>
      <c r="AG8076">
        <v>-1.1220919117353001</v>
      </c>
      <c r="AH8076">
        <v>27.982546542625901</v>
      </c>
      <c r="AI8076">
        <v>92.296221645511395</v>
      </c>
      <c r="AJ8076">
        <v>89.486767804439097</v>
      </c>
      <c r="AK8076">
        <v>28.006157058274201</v>
      </c>
      <c r="AL8076">
        <v>80.017306031816005</v>
      </c>
      <c r="AM8076">
        <v>82.544578056911107</v>
      </c>
      <c r="AN8076">
        <v>0.99999993486710703</v>
      </c>
    </row>
    <row r="8077" spans="1:40" x14ac:dyDescent="0.25">
      <c r="A8077" t="str">
        <f>"20190303170445382"</f>
        <v>20190303170445382</v>
      </c>
      <c r="B8077" t="str">
        <f>"1551603885374164"</f>
        <v>1551603885374164</v>
      </c>
      <c r="C8077" t="s">
        <v>40</v>
      </c>
      <c r="D8077">
        <v>4.7361879999999896</v>
      </c>
      <c r="E8077">
        <v>0.45824579999999998</v>
      </c>
      <c r="F8077" t="s">
        <v>42</v>
      </c>
      <c r="G8077">
        <v>-119.43470000000001</v>
      </c>
      <c r="H8077" s="1">
        <v>-3.5283359999999899E-7</v>
      </c>
      <c r="I8077">
        <v>138.96080000000001</v>
      </c>
      <c r="J8077">
        <v>-145.7698</v>
      </c>
      <c r="K8077">
        <v>1.1221399999999999</v>
      </c>
      <c r="L8077">
        <v>136.94640000000001</v>
      </c>
      <c r="M8077">
        <v>0.9964132</v>
      </c>
      <c r="N8077">
        <v>-1.544295E-2</v>
      </c>
      <c r="O8077">
        <v>8.3200300000000005E-2</v>
      </c>
      <c r="P8077">
        <v>0.98617169999999998</v>
      </c>
      <c r="Q8077">
        <v>0.1594247</v>
      </c>
      <c r="R8077">
        <v>-4.5272590000000001E-2</v>
      </c>
      <c r="S8077">
        <v>3.073547</v>
      </c>
      <c r="T8077">
        <v>-0.12964310000000001</v>
      </c>
      <c r="U8077">
        <v>0.235321</v>
      </c>
      <c r="V8077">
        <v>0.12717909999999999</v>
      </c>
      <c r="W8077">
        <v>0.17452089999999901</v>
      </c>
      <c r="X8077">
        <v>0.97640559999999998</v>
      </c>
      <c r="Y8077">
        <v>6.8546079999999999E-3</v>
      </c>
      <c r="Z8077">
        <v>-2.409404E-3</v>
      </c>
      <c r="AA8077">
        <v>0.99997360000000002</v>
      </c>
      <c r="AB8077">
        <v>27</v>
      </c>
      <c r="AC8077">
        <v>26.335100000000001</v>
      </c>
      <c r="AD8077">
        <v>-1.12214035283359</v>
      </c>
      <c r="AE8077">
        <v>2.01439999999999</v>
      </c>
      <c r="AF8077">
        <v>0.183603985412399</v>
      </c>
      <c r="AG8077">
        <v>-1.12214035283359</v>
      </c>
      <c r="AH8077">
        <v>26.363800814860301</v>
      </c>
      <c r="AI8077">
        <v>92.437189014883799</v>
      </c>
      <c r="AJ8077">
        <v>89.600984566937299</v>
      </c>
      <c r="AK8077">
        <v>26.388309964841302</v>
      </c>
      <c r="AL8077">
        <v>79.949221153584503</v>
      </c>
      <c r="AM8077">
        <v>82.578871411919806</v>
      </c>
      <c r="AN8077">
        <v>0.99999998186248895</v>
      </c>
    </row>
    <row r="8078" spans="1:40" x14ac:dyDescent="0.25">
      <c r="A8078" t="str">
        <f>"20190303170445405"</f>
        <v>20190303170445405</v>
      </c>
      <c r="B8078" t="str">
        <f>"1551603885393683"</f>
        <v>1551603885393683</v>
      </c>
      <c r="C8078" t="s">
        <v>40</v>
      </c>
      <c r="D8078">
        <v>4.7081419999999996</v>
      </c>
      <c r="E8078">
        <v>0.45815859999999897</v>
      </c>
      <c r="F8078" t="s">
        <v>42</v>
      </c>
      <c r="G8078">
        <v>-118.5994</v>
      </c>
      <c r="H8078" s="1">
        <v>-6.8304229999999999E-7</v>
      </c>
      <c r="I8078">
        <v>139.05330000000001</v>
      </c>
      <c r="J8078">
        <v>-145.5017</v>
      </c>
      <c r="K8078">
        <v>1.12219</v>
      </c>
      <c r="L8078">
        <v>136.96879999999999</v>
      </c>
      <c r="M8078">
        <v>0.99640770000000001</v>
      </c>
      <c r="N8078">
        <v>-1.579382E-2</v>
      </c>
      <c r="O8078">
        <v>8.3201440000000002E-2</v>
      </c>
      <c r="P8078">
        <v>0.98586529999999994</v>
      </c>
      <c r="Q8078">
        <v>0.16122439999999999</v>
      </c>
      <c r="R8078">
        <v>-4.5568560000000001E-2</v>
      </c>
      <c r="S8078">
        <v>3.0735320000000002</v>
      </c>
      <c r="T8078">
        <v>-0.12693699999999999</v>
      </c>
      <c r="U8078">
        <v>0.23834230000000001</v>
      </c>
      <c r="V8078">
        <v>0.1274517</v>
      </c>
      <c r="W8078">
        <v>0.17665729999999999</v>
      </c>
      <c r="X8078">
        <v>0.97598580000000001</v>
      </c>
      <c r="Y8078">
        <v>5.8827030000000004E-3</v>
      </c>
      <c r="Z8078">
        <v>-2.2776430000000002E-3</v>
      </c>
      <c r="AA8078">
        <v>0.99998010000000004</v>
      </c>
      <c r="AB8078">
        <v>27</v>
      </c>
      <c r="AC8078">
        <v>26.9023</v>
      </c>
      <c r="AD8078">
        <v>-1.1221906830423001</v>
      </c>
      <c r="AE8078">
        <v>2.0845000000000198</v>
      </c>
      <c r="AF8078">
        <v>0.16103981109214499</v>
      </c>
      <c r="AG8078">
        <v>-1.1221906830423001</v>
      </c>
      <c r="AH8078">
        <v>26.935865445166499</v>
      </c>
      <c r="AI8078">
        <v>92.385610440910696</v>
      </c>
      <c r="AJ8078">
        <v>89.657453309065801</v>
      </c>
      <c r="AK8078">
        <v>26.959712406292098</v>
      </c>
      <c r="AL8078">
        <v>79.824882927354096</v>
      </c>
      <c r="AM8078">
        <v>82.559979603088493</v>
      </c>
      <c r="AN8078">
        <v>1.0000000096389099</v>
      </c>
    </row>
    <row r="8079" spans="1:40" x14ac:dyDescent="0.25">
      <c r="A8079" t="str">
        <f>"20190303170445427"</f>
        <v>20190303170445427</v>
      </c>
      <c r="B8079" t="str">
        <f>"1551603885414179"</f>
        <v>1551603885414179</v>
      </c>
      <c r="C8079" t="s">
        <v>40</v>
      </c>
      <c r="D8079">
        <v>4.6709899999999998</v>
      </c>
      <c r="E8079">
        <v>0.45799299999999998</v>
      </c>
      <c r="F8079" t="s">
        <v>42</v>
      </c>
      <c r="G8079">
        <v>-116.416</v>
      </c>
      <c r="H8079" s="1">
        <v>-1.5884009999999999E-6</v>
      </c>
      <c r="I8079">
        <v>139.22980000000001</v>
      </c>
      <c r="J8079">
        <v>-145.2304</v>
      </c>
      <c r="K8079">
        <v>1.1222369999999999</v>
      </c>
      <c r="L8079">
        <v>136.9914</v>
      </c>
      <c r="M8079">
        <v>0.99640280000000003</v>
      </c>
      <c r="N8079">
        <v>-1.6190929999999999E-2</v>
      </c>
      <c r="O8079">
        <v>8.3182469999999994E-2</v>
      </c>
      <c r="P8079">
        <v>0.9860082</v>
      </c>
      <c r="Q8079">
        <v>0.160292299999999</v>
      </c>
      <c r="R8079">
        <v>-4.57645E-2</v>
      </c>
      <c r="S8079">
        <v>3.0734710000000001</v>
      </c>
      <c r="T8079">
        <v>-0.1185813</v>
      </c>
      <c r="U8079">
        <v>0.2389221</v>
      </c>
      <c r="V8079">
        <v>0.12764519999999999</v>
      </c>
      <c r="W8079">
        <v>0.1761114</v>
      </c>
      <c r="X8079">
        <v>0.97605909999999996</v>
      </c>
      <c r="Y8079">
        <v>5.6822180000000002E-3</v>
      </c>
      <c r="Z8079">
        <v>-2.0066580000000001E-3</v>
      </c>
      <c r="AA8079">
        <v>0.99998180000000003</v>
      </c>
      <c r="AB8079">
        <v>27</v>
      </c>
      <c r="AC8079">
        <v>28.814399999999999</v>
      </c>
      <c r="AD8079">
        <v>-1.122238588401</v>
      </c>
      <c r="AE8079">
        <v>2.2384000000000102</v>
      </c>
      <c r="AF8079">
        <v>0.166276055997721</v>
      </c>
      <c r="AG8079">
        <v>-1.122238588401</v>
      </c>
      <c r="AH8079">
        <v>28.857222330808</v>
      </c>
      <c r="AI8079">
        <v>92.227036353761406</v>
      </c>
      <c r="AJ8079">
        <v>89.669863900917093</v>
      </c>
      <c r="AK8079">
        <v>28.879514328079999</v>
      </c>
      <c r="AL8079">
        <v>79.856658229376393</v>
      </c>
      <c r="AM8079">
        <v>82.549364113420594</v>
      </c>
      <c r="AN8079">
        <v>0.99999994449290297</v>
      </c>
    </row>
    <row r="8080" spans="1:40" x14ac:dyDescent="0.25">
      <c r="A8080" t="str">
        <f>"20190303170445450"</f>
        <v>20190303170445450</v>
      </c>
      <c r="B8080" t="str">
        <f>"1551603885443459"</f>
        <v>1551603885443459</v>
      </c>
      <c r="C8080" t="s">
        <v>40</v>
      </c>
      <c r="D8080">
        <v>4.617013</v>
      </c>
      <c r="E8080">
        <v>0.45796999999999999</v>
      </c>
      <c r="F8080" t="s">
        <v>42</v>
      </c>
      <c r="G8080">
        <v>-116.4556</v>
      </c>
      <c r="H8080" s="1">
        <v>-1.570546E-6</v>
      </c>
      <c r="I8080">
        <v>139.2346</v>
      </c>
      <c r="J8080">
        <v>-144.96420000000001</v>
      </c>
      <c r="K8080">
        <v>1.1222669999999999</v>
      </c>
      <c r="L8080">
        <v>137.0136</v>
      </c>
      <c r="M8080">
        <v>0.99640110000000004</v>
      </c>
      <c r="N8080">
        <v>-1.6639230000000001E-2</v>
      </c>
      <c r="O8080">
        <v>8.3113939999999997E-2</v>
      </c>
      <c r="P8080">
        <v>0.98656200000000005</v>
      </c>
      <c r="Q8080">
        <v>0.1571081</v>
      </c>
      <c r="R8080">
        <v>-4.4859570000000001E-2</v>
      </c>
      <c r="S8080">
        <v>3.0731809999999999</v>
      </c>
      <c r="T8080">
        <v>-0.1198564</v>
      </c>
      <c r="U8080">
        <v>0.23957819999999999</v>
      </c>
      <c r="V8080">
        <v>0.12673489999999901</v>
      </c>
      <c r="W8080">
        <v>0.1733672</v>
      </c>
      <c r="X8080">
        <v>0.97666889999999995</v>
      </c>
      <c r="Y8080">
        <v>5.3947800000000001E-3</v>
      </c>
      <c r="Z8080">
        <v>-1.9969620000000001E-3</v>
      </c>
      <c r="AA8080">
        <v>0.99998339999999997</v>
      </c>
      <c r="AB8080">
        <v>27</v>
      </c>
      <c r="AC8080">
        <v>28.508600000000001</v>
      </c>
      <c r="AD8080">
        <v>-1.1222685705459901</v>
      </c>
      <c r="AE8080">
        <v>2.2210000000000001</v>
      </c>
      <c r="AF8080">
        <v>0.15623623871921</v>
      </c>
      <c r="AG8080">
        <v>-1.1222685705459901</v>
      </c>
      <c r="AH8080">
        <v>28.5505786255865</v>
      </c>
      <c r="AI8080">
        <v>92.250994804123593</v>
      </c>
      <c r="AJ8080">
        <v>89.686465628244704</v>
      </c>
      <c r="AK8080">
        <v>28.5730543758017</v>
      </c>
      <c r="AL8080">
        <v>80.016347082299305</v>
      </c>
      <c r="AM8080">
        <v>82.606475537959994</v>
      </c>
      <c r="AN8080">
        <v>1.0000000305705199</v>
      </c>
    </row>
    <row r="8081" spans="1:40" x14ac:dyDescent="0.25">
      <c r="A8081" t="str">
        <f>"20190303170445473"</f>
        <v>20190303170445473</v>
      </c>
      <c r="B8081" t="str">
        <f>"1551603885463955"</f>
        <v>1551603885463955</v>
      </c>
      <c r="C8081" t="s">
        <v>40</v>
      </c>
      <c r="D8081">
        <v>4.6135440000000001</v>
      </c>
      <c r="E8081">
        <v>0.45798070000000002</v>
      </c>
      <c r="F8081" t="s">
        <v>42</v>
      </c>
      <c r="G8081">
        <v>-118.32850000000001</v>
      </c>
      <c r="H8081" s="1">
        <v>-7.9016789999999999E-7</v>
      </c>
      <c r="I8081">
        <v>139.1046</v>
      </c>
      <c r="J8081">
        <v>-144.69759999999999</v>
      </c>
      <c r="K8081">
        <v>1.1222719999999999</v>
      </c>
      <c r="L8081">
        <v>137.03579999999999</v>
      </c>
      <c r="M8081">
        <v>0.99640609999999996</v>
      </c>
      <c r="N8081">
        <v>-1.7125620000000001E-2</v>
      </c>
      <c r="O8081">
        <v>8.2956879999999997E-2</v>
      </c>
      <c r="P8081">
        <v>0.98716409999999999</v>
      </c>
      <c r="Q8081">
        <v>0.1538216</v>
      </c>
      <c r="R8081">
        <v>-4.296995E-2</v>
      </c>
      <c r="S8081">
        <v>3.0724330000000002</v>
      </c>
      <c r="T8081">
        <v>-0.1294534</v>
      </c>
      <c r="U8081">
        <v>0.24119570000000001</v>
      </c>
      <c r="V8081">
        <v>0.12477100000000001</v>
      </c>
      <c r="W8081">
        <v>0.1705525</v>
      </c>
      <c r="X8081">
        <v>0.97741710000000004</v>
      </c>
      <c r="Y8081">
        <v>4.6906609999999996E-3</v>
      </c>
      <c r="Z8081">
        <v>-2.2007960000000001E-3</v>
      </c>
      <c r="AA8081">
        <v>0.99998659999999995</v>
      </c>
      <c r="AB8081">
        <v>27</v>
      </c>
      <c r="AC8081">
        <v>26.3690999999999</v>
      </c>
      <c r="AD8081">
        <v>-1.1222727901678999</v>
      </c>
      <c r="AE8081">
        <v>2.0688000000000102</v>
      </c>
      <c r="AF8081">
        <v>0.12592510876396101</v>
      </c>
      <c r="AG8081">
        <v>-1.1222727901678999</v>
      </c>
      <c r="AH8081">
        <v>26.402297338499601</v>
      </c>
      <c r="AI8081">
        <v>92.433957866192998</v>
      </c>
      <c r="AJ8081">
        <v>89.726731258775303</v>
      </c>
      <c r="AK8081">
        <v>26.426438619290199</v>
      </c>
      <c r="AL8081">
        <v>80.180056601370694</v>
      </c>
      <c r="AM8081">
        <v>82.725320993321304</v>
      </c>
      <c r="AN8081">
        <v>1.0000000725348199</v>
      </c>
    </row>
    <row r="8082" spans="1:40" x14ac:dyDescent="0.25">
      <c r="A8082" t="str">
        <f>"20190303170445496"</f>
        <v>20190303170445496</v>
      </c>
      <c r="B8082" t="str">
        <f>"1551603885483475"</f>
        <v>1551603885483475</v>
      </c>
      <c r="C8082" t="s">
        <v>40</v>
      </c>
      <c r="D8082">
        <v>4.5397829999999999</v>
      </c>
      <c r="E8082">
        <v>0.45786270000000001</v>
      </c>
      <c r="F8082" t="s">
        <v>42</v>
      </c>
      <c r="G8082">
        <v>-119.93899999999999</v>
      </c>
      <c r="H8082" s="1">
        <v>-1.679374E-7</v>
      </c>
      <c r="I8082">
        <v>139.01079999999999</v>
      </c>
      <c r="J8082">
        <v>-144.4332</v>
      </c>
      <c r="K8082">
        <v>1.12226</v>
      </c>
      <c r="L8082">
        <v>137.0575</v>
      </c>
      <c r="M8082">
        <v>0.99642120000000001</v>
      </c>
      <c r="N8082">
        <v>-1.7625740000000001E-2</v>
      </c>
      <c r="O8082">
        <v>8.2669060000000003E-2</v>
      </c>
      <c r="P8082">
        <v>0.9872881</v>
      </c>
      <c r="Q8082">
        <v>0.15379079999999901</v>
      </c>
      <c r="R8082">
        <v>-4.0134250000000003E-2</v>
      </c>
      <c r="S8082">
        <v>3.0713650000000001</v>
      </c>
      <c r="T8082">
        <v>-0.13922000000000001</v>
      </c>
      <c r="U8082">
        <v>0.24501039999999999</v>
      </c>
      <c r="V8082">
        <v>0.1217107</v>
      </c>
      <c r="W8082">
        <v>0.17099129999999901</v>
      </c>
      <c r="X8082">
        <v>0.97772619999999999</v>
      </c>
      <c r="Y8082">
        <v>3.1368009999999998E-3</v>
      </c>
      <c r="Z8082">
        <v>-2.374873E-3</v>
      </c>
      <c r="AA8082">
        <v>0.99999229999999995</v>
      </c>
      <c r="AB8082">
        <v>27</v>
      </c>
      <c r="AC8082">
        <v>24.494199999999999</v>
      </c>
      <c r="AD8082">
        <v>-1.12226016793739</v>
      </c>
      <c r="AE8082">
        <v>1.9532999999999801</v>
      </c>
      <c r="AF8082">
        <v>7.8451522798536497E-2</v>
      </c>
      <c r="AG8082">
        <v>-1.12226016793739</v>
      </c>
      <c r="AH8082">
        <v>24.5206848167415</v>
      </c>
      <c r="AI8082">
        <v>92.620465236017097</v>
      </c>
      <c r="AJ8082">
        <v>89.816688406159003</v>
      </c>
      <c r="AK8082">
        <v>24.546478493012899</v>
      </c>
      <c r="AL8082">
        <v>80.154539881240694</v>
      </c>
      <c r="AM8082">
        <v>82.904128072965307</v>
      </c>
      <c r="AN8082">
        <v>1.00000002066831</v>
      </c>
    </row>
    <row r="8083" spans="1:40" x14ac:dyDescent="0.25">
      <c r="A8083" t="str">
        <f>"20190303170445528"</f>
        <v>20190303170445528</v>
      </c>
      <c r="B8083" t="str">
        <f>"1551603885513731"</f>
        <v>1551603885513731</v>
      </c>
      <c r="C8083" t="s">
        <v>40</v>
      </c>
      <c r="D8083">
        <v>4.4871600000000003</v>
      </c>
      <c r="E8083">
        <v>0.45791939999999998</v>
      </c>
      <c r="F8083" t="s">
        <v>42</v>
      </c>
      <c r="G8083">
        <v>-119.2574</v>
      </c>
      <c r="H8083" s="1">
        <v>-3.852471E-7</v>
      </c>
      <c r="I8083">
        <v>139.14060000000001</v>
      </c>
      <c r="J8083">
        <v>-144.04920000000001</v>
      </c>
      <c r="K8083">
        <v>1.1222110000000001</v>
      </c>
      <c r="L8083">
        <v>137.08860000000001</v>
      </c>
      <c r="M8083">
        <v>0.99646920000000005</v>
      </c>
      <c r="N8083">
        <v>-1.836896E-2</v>
      </c>
      <c r="O8083">
        <v>8.192663E-2</v>
      </c>
      <c r="P8083">
        <v>0.98665329999999996</v>
      </c>
      <c r="Q8083">
        <v>0.1582865</v>
      </c>
      <c r="R8083">
        <v>-3.821927E-2</v>
      </c>
      <c r="S8083">
        <v>3.0702669999999999</v>
      </c>
      <c r="T8083">
        <v>-0.13686300000000001</v>
      </c>
      <c r="U8083">
        <v>0.25404359999999998</v>
      </c>
      <c r="V8083">
        <v>0.1191001</v>
      </c>
      <c r="W8083">
        <v>0.17615549999999999</v>
      </c>
      <c r="X8083">
        <v>0.97713070000000002</v>
      </c>
      <c r="Y8083">
        <v>-5.4961019999999895E-4</v>
      </c>
      <c r="Z8083">
        <v>-2.1160039999999999E-3</v>
      </c>
      <c r="AA8083">
        <v>0.99999760000000004</v>
      </c>
      <c r="AB8083">
        <v>26</v>
      </c>
      <c r="AC8083">
        <v>24.791799999999999</v>
      </c>
      <c r="AD8083">
        <v>-1.1222113852471001</v>
      </c>
      <c r="AE8083">
        <v>2.0519999999999898</v>
      </c>
      <c r="AF8083">
        <v>-1.36207553510656E-2</v>
      </c>
      <c r="AG8083">
        <v>-1.1222113852471001</v>
      </c>
      <c r="AH8083">
        <v>24.8260511674474</v>
      </c>
      <c r="AI8083">
        <v>92.588177478277103</v>
      </c>
      <c r="AJ8083">
        <v>90.031435193290505</v>
      </c>
      <c r="AK8083">
        <v>24.851405603846001</v>
      </c>
      <c r="AL8083">
        <v>79.854091919017804</v>
      </c>
      <c r="AM8083">
        <v>83.050635191719493</v>
      </c>
      <c r="AN8083">
        <v>0.99999999944137496</v>
      </c>
    </row>
    <row r="8084" spans="1:40" x14ac:dyDescent="0.25">
      <c r="A8084" t="str">
        <f>"20190303170445550"</f>
        <v>20190303170445550</v>
      </c>
      <c r="B8084" t="str">
        <f>"1551603885543987"</f>
        <v>1551603885543987</v>
      </c>
      <c r="C8084" t="s">
        <v>40</v>
      </c>
      <c r="D8084">
        <v>4.455673</v>
      </c>
      <c r="E8084">
        <v>0.45790639999999999</v>
      </c>
      <c r="F8084" t="s">
        <v>42</v>
      </c>
      <c r="G8084">
        <v>-115.4045</v>
      </c>
      <c r="H8084" s="1">
        <v>-1.9720100000000002E-6</v>
      </c>
      <c r="I8084">
        <v>139.51339999999999</v>
      </c>
      <c r="J8084">
        <v>-143.7895</v>
      </c>
      <c r="K8084">
        <v>1.1221540000000001</v>
      </c>
      <c r="L8084">
        <v>137.10929999999999</v>
      </c>
      <c r="M8084">
        <v>0.99651780000000001</v>
      </c>
      <c r="N8084">
        <v>-1.8842600000000001E-2</v>
      </c>
      <c r="O8084">
        <v>8.1224019999999994E-2</v>
      </c>
      <c r="P8084">
        <v>0.98653170000000001</v>
      </c>
      <c r="Q8084">
        <v>0.15908</v>
      </c>
      <c r="R8084">
        <v>-3.8065269999999998E-2</v>
      </c>
      <c r="S8084">
        <v>3.0699459999999998</v>
      </c>
      <c r="T8084">
        <v>-0.12027119999999999</v>
      </c>
      <c r="U8084">
        <v>0.2598724</v>
      </c>
      <c r="V8084">
        <v>0.11830110000000001</v>
      </c>
      <c r="W8084">
        <v>0.177375799999999</v>
      </c>
      <c r="X8084">
        <v>0.97700699999999996</v>
      </c>
      <c r="Y8084">
        <v>-3.1340560000000001E-3</v>
      </c>
      <c r="Z8084">
        <v>-1.5488590000000001E-3</v>
      </c>
      <c r="AA8084">
        <v>0.99999389999999999</v>
      </c>
      <c r="AB8084">
        <v>26</v>
      </c>
      <c r="AC8084">
        <v>28.385000000000002</v>
      </c>
      <c r="AD8084">
        <v>-1.1221559720100001</v>
      </c>
      <c r="AE8084">
        <v>2.4041000000000001</v>
      </c>
      <c r="AF8084">
        <v>-9.0060891450370606E-2</v>
      </c>
      <c r="AG8084">
        <v>-1.1221559720100001</v>
      </c>
      <c r="AH8084">
        <v>28.442348580493899</v>
      </c>
      <c r="AI8084">
        <v>92.259347534552802</v>
      </c>
      <c r="AJ8084">
        <v>90.181422842743004</v>
      </c>
      <c r="AK8084">
        <v>28.4646190517985</v>
      </c>
      <c r="AL8084">
        <v>79.783055277641495</v>
      </c>
      <c r="AM8084">
        <v>83.0959390489664</v>
      </c>
      <c r="AN8084">
        <v>1.00000000136792</v>
      </c>
    </row>
    <row r="8085" spans="1:40" x14ac:dyDescent="0.25">
      <c r="A8085" t="str">
        <f>"20190303170445572"</f>
        <v>20190303170445572</v>
      </c>
      <c r="B8085" t="str">
        <f>"1551603885563507"</f>
        <v>1551603885563507</v>
      </c>
      <c r="C8085" t="s">
        <v>40</v>
      </c>
      <c r="D8085">
        <v>4.4249369999999999</v>
      </c>
      <c r="E8085">
        <v>0.45790760000000003</v>
      </c>
      <c r="F8085" t="s">
        <v>42</v>
      </c>
      <c r="G8085">
        <v>-114.17959999999999</v>
      </c>
      <c r="H8085" s="1">
        <v>-2.4802419999999999E-6</v>
      </c>
      <c r="I8085">
        <v>139.61060000000001</v>
      </c>
      <c r="J8085">
        <v>-143.54150000000001</v>
      </c>
      <c r="K8085">
        <v>1.122072</v>
      </c>
      <c r="L8085">
        <v>137.12860000000001</v>
      </c>
      <c r="M8085">
        <v>0.99657949999999995</v>
      </c>
      <c r="N8085">
        <v>-1.926978E-2</v>
      </c>
      <c r="O8085">
        <v>8.0362729999999993E-2</v>
      </c>
      <c r="P8085">
        <v>0.98674099999999998</v>
      </c>
      <c r="Q8085">
        <v>0.1576765</v>
      </c>
      <c r="R8085">
        <v>-3.847851E-2</v>
      </c>
      <c r="S8085">
        <v>3.0697329999999998</v>
      </c>
      <c r="T8085">
        <v>-0.1163367</v>
      </c>
      <c r="U8085">
        <v>0.25932309999999997</v>
      </c>
      <c r="V8085">
        <v>0.1179346</v>
      </c>
      <c r="W8085">
        <v>0.17636109999999999</v>
      </c>
      <c r="X8085">
        <v>0.97723499999999996</v>
      </c>
      <c r="Y8085">
        <v>-3.8224470000000001E-3</v>
      </c>
      <c r="Z8085">
        <v>-1.3765979999999999E-3</v>
      </c>
      <c r="AA8085">
        <v>0.99999179999999999</v>
      </c>
      <c r="AB8085">
        <v>26</v>
      </c>
      <c r="AC8085">
        <v>29.361899999999999</v>
      </c>
      <c r="AD8085">
        <v>-1.122074480242</v>
      </c>
      <c r="AE8085">
        <v>2.48199999999999</v>
      </c>
      <c r="AF8085">
        <v>-0.11376405680403</v>
      </c>
      <c r="AG8085">
        <v>-1.122074480242</v>
      </c>
      <c r="AH8085">
        <v>29.423730517392901</v>
      </c>
      <c r="AI8085">
        <v>92.183900985415406</v>
      </c>
      <c r="AJ8085">
        <v>90.221527580644903</v>
      </c>
      <c r="AK8085">
        <v>29.445337677805501</v>
      </c>
      <c r="AL8085">
        <v>79.8421248211218</v>
      </c>
      <c r="AM8085">
        <v>83.118712973752196</v>
      </c>
      <c r="AN8085">
        <v>1.00000002634768</v>
      </c>
    </row>
    <row r="8086" spans="1:40" x14ac:dyDescent="0.25">
      <c r="A8086" t="str">
        <f>"20190303170445595"</f>
        <v>20190303170445595</v>
      </c>
      <c r="B8086" t="str">
        <f>"1551603885584003"</f>
        <v>1551603885584003</v>
      </c>
      <c r="C8086" t="s">
        <v>40</v>
      </c>
      <c r="D8086">
        <v>4.4215</v>
      </c>
      <c r="E8086">
        <v>0.45796480000000001</v>
      </c>
      <c r="F8086" t="s">
        <v>42</v>
      </c>
      <c r="G8086">
        <v>-115.0244</v>
      </c>
      <c r="H8086" s="1">
        <v>-2.135726E-6</v>
      </c>
      <c r="I8086">
        <v>139.50980000000001</v>
      </c>
      <c r="J8086">
        <v>-143.2868</v>
      </c>
      <c r="K8086">
        <v>1.121974</v>
      </c>
      <c r="L8086">
        <v>137.1481</v>
      </c>
      <c r="M8086">
        <v>0.99665760000000003</v>
      </c>
      <c r="N8086">
        <v>-1.9705299999999999E-2</v>
      </c>
      <c r="O8086">
        <v>7.9282039999999998E-2</v>
      </c>
      <c r="P8086">
        <v>0.98687389999999997</v>
      </c>
      <c r="Q8086">
        <v>0.15670919999999999</v>
      </c>
      <c r="R8086">
        <v>-3.9016000000000002E-2</v>
      </c>
      <c r="S8086">
        <v>3.0696110000000001</v>
      </c>
      <c r="T8086">
        <v>-0.12078120000000001</v>
      </c>
      <c r="U8086">
        <v>0.25631710000000002</v>
      </c>
      <c r="V8086">
        <v>0.11747440000000001</v>
      </c>
      <c r="W8086">
        <v>0.175787</v>
      </c>
      <c r="X8086">
        <v>0.97739379999999998</v>
      </c>
      <c r="Y8086">
        <v>-3.9379530000000001E-3</v>
      </c>
      <c r="Z8086">
        <v>-1.4297610000000001E-3</v>
      </c>
      <c r="AA8086">
        <v>0.99999119999999997</v>
      </c>
      <c r="AB8086">
        <v>26</v>
      </c>
      <c r="AC8086">
        <v>28.2624</v>
      </c>
      <c r="AD8086">
        <v>-1.1219761357260001</v>
      </c>
      <c r="AE8086">
        <v>2.3617000000000101</v>
      </c>
      <c r="AF8086">
        <v>-0.112950701679528</v>
      </c>
      <c r="AG8086">
        <v>-1.1219761357260001</v>
      </c>
      <c r="AH8086">
        <v>28.316362053836901</v>
      </c>
      <c r="AI8086">
        <v>92.269019465035697</v>
      </c>
      <c r="AJ8086">
        <v>90.228545042744798</v>
      </c>
      <c r="AK8086">
        <v>28.3388064017192</v>
      </c>
      <c r="AL8086">
        <v>79.875539827099104</v>
      </c>
      <c r="AM8086">
        <v>83.146412001885693</v>
      </c>
      <c r="AN8086">
        <v>0.99999997215139902</v>
      </c>
    </row>
    <row r="8087" spans="1:40" x14ac:dyDescent="0.25">
      <c r="A8087" t="str">
        <f>"20190303170445618"</f>
        <v>20190303170445618</v>
      </c>
      <c r="B8087" t="str">
        <f>"1551603885603523"</f>
        <v>1551603885603523</v>
      </c>
      <c r="C8087" t="s">
        <v>40</v>
      </c>
      <c r="D8087">
        <v>4.4179570000000004</v>
      </c>
      <c r="E8087">
        <v>0.45806049999999998</v>
      </c>
      <c r="F8087" t="s">
        <v>42</v>
      </c>
      <c r="G8087">
        <v>-115.1404</v>
      </c>
      <c r="H8087" s="1">
        <v>-2.092971E-6</v>
      </c>
      <c r="I8087">
        <v>139.4701</v>
      </c>
      <c r="J8087">
        <v>-143.02869999999999</v>
      </c>
      <c r="K8087">
        <v>1.1218809999999999</v>
      </c>
      <c r="L8087">
        <v>137.16720000000001</v>
      </c>
      <c r="M8087">
        <v>0.99675139999999995</v>
      </c>
      <c r="N8087">
        <v>-2.0152449999999999E-2</v>
      </c>
      <c r="O8087">
        <v>7.7978999999999896E-2</v>
      </c>
      <c r="P8087">
        <v>0.9865893</v>
      </c>
      <c r="Q8087">
        <v>0.15834119999999999</v>
      </c>
      <c r="R8087">
        <v>-3.9623770000000003E-2</v>
      </c>
      <c r="S8087">
        <v>3.0693359999999998</v>
      </c>
      <c r="T8087">
        <v>-0.1223505</v>
      </c>
      <c r="U8087">
        <v>0.25321959999999999</v>
      </c>
      <c r="V8087">
        <v>0.116839</v>
      </c>
      <c r="W8087">
        <v>0.17781449999999999</v>
      </c>
      <c r="X8087">
        <v>0.97710319999999995</v>
      </c>
      <c r="Y8087">
        <v>-4.2490899999999996E-3</v>
      </c>
      <c r="Z8087">
        <v>-1.398516E-3</v>
      </c>
      <c r="AA8087">
        <v>0.99999000000000005</v>
      </c>
      <c r="AB8087">
        <v>26</v>
      </c>
      <c r="AC8087">
        <v>27.888299999999902</v>
      </c>
      <c r="AD8087">
        <v>-1.121883092971</v>
      </c>
      <c r="AE8087">
        <v>2.30289999999999</v>
      </c>
      <c r="AF8087">
        <v>-0.12054780391716099</v>
      </c>
      <c r="AG8087">
        <v>-1.121883092971</v>
      </c>
      <c r="AH8087">
        <v>27.9380548031919</v>
      </c>
      <c r="AI8087">
        <v>92.299517718020397</v>
      </c>
      <c r="AJ8087">
        <v>90.247219700144598</v>
      </c>
      <c r="AK8087">
        <v>27.960830810858901</v>
      </c>
      <c r="AL8087">
        <v>79.757513645933798</v>
      </c>
      <c r="AM8087">
        <v>83.181123859569496</v>
      </c>
      <c r="AN8087">
        <v>1.0000000058907399</v>
      </c>
    </row>
    <row r="8088" spans="1:40" x14ac:dyDescent="0.25">
      <c r="A8088" t="str">
        <f>"20190303170445640"</f>
        <v>20190303170445640</v>
      </c>
      <c r="B8088" t="str">
        <f>"1551603885633779"</f>
        <v>1551603885633779</v>
      </c>
      <c r="C8088" t="s">
        <v>40</v>
      </c>
      <c r="D8088">
        <v>4.4151790000000002</v>
      </c>
      <c r="E8088">
        <v>0.45808989999999999</v>
      </c>
      <c r="F8088" t="s">
        <v>42</v>
      </c>
      <c r="G8088">
        <v>-113.1597</v>
      </c>
      <c r="H8088" s="1">
        <v>-2.916987E-6</v>
      </c>
      <c r="I8088">
        <v>139.61510000000001</v>
      </c>
      <c r="J8088">
        <v>-142.7808</v>
      </c>
      <c r="K8088">
        <v>1.1217950000000001</v>
      </c>
      <c r="L8088">
        <v>137.185</v>
      </c>
      <c r="M8088">
        <v>0.99685210000000002</v>
      </c>
      <c r="N8088">
        <v>-2.0569649999999998E-2</v>
      </c>
      <c r="O8088">
        <v>7.6569239999999997E-2</v>
      </c>
      <c r="P8088">
        <v>0.9863653</v>
      </c>
      <c r="Q8088">
        <v>0.15942239999999999</v>
      </c>
      <c r="R8088">
        <v>-4.0842209999999997E-2</v>
      </c>
      <c r="S8088">
        <v>3.0693820000000001</v>
      </c>
      <c r="T8088">
        <v>-0.1152864</v>
      </c>
      <c r="U8088">
        <v>0.25155640000000001</v>
      </c>
      <c r="V8088">
        <v>0.11670659999999999</v>
      </c>
      <c r="W8088">
        <v>0.17926610000000001</v>
      </c>
      <c r="X8088">
        <v>0.97685370000000005</v>
      </c>
      <c r="Y8088">
        <v>-5.1187109999999997E-3</v>
      </c>
      <c r="Z8088">
        <v>-1.142395E-3</v>
      </c>
      <c r="AA8088">
        <v>0.99998620000000005</v>
      </c>
      <c r="AB8088">
        <v>25</v>
      </c>
      <c r="AC8088">
        <v>29.621099999999998</v>
      </c>
      <c r="AD8088">
        <v>-1.121797916987</v>
      </c>
      <c r="AE8088">
        <v>2.4300999999999999</v>
      </c>
      <c r="AF8088">
        <v>-0.15419815814792701</v>
      </c>
      <c r="AG8088">
        <v>-1.121797916987</v>
      </c>
      <c r="AH8088">
        <v>29.6779325653523</v>
      </c>
      <c r="AI8088">
        <v>92.164666788985798</v>
      </c>
      <c r="AJ8088">
        <v>90.297690014342194</v>
      </c>
      <c r="AK8088">
        <v>29.699526746938801</v>
      </c>
      <c r="AL8088">
        <v>79.672984429436795</v>
      </c>
      <c r="AM8088">
        <v>83.187054944955506</v>
      </c>
      <c r="AN8088">
        <v>0.99999995814822895</v>
      </c>
    </row>
    <row r="8089" spans="1:40" x14ac:dyDescent="0.25">
      <c r="A8089" t="str">
        <f>"20190303170445662"</f>
        <v>20190303170445662</v>
      </c>
      <c r="B8089" t="str">
        <f>"1551603885653299"</f>
        <v>1551603885653299</v>
      </c>
      <c r="C8089" t="s">
        <v>40</v>
      </c>
      <c r="D8089">
        <v>4.3469379999999997</v>
      </c>
      <c r="E8089">
        <v>0.45824549999999997</v>
      </c>
      <c r="F8089" t="s">
        <v>42</v>
      </c>
      <c r="G8089">
        <v>-111.2122</v>
      </c>
      <c r="H8089" s="1">
        <v>-3.783069E-6</v>
      </c>
      <c r="I8089">
        <v>139.7321</v>
      </c>
      <c r="J8089">
        <v>-142.53550000000001</v>
      </c>
      <c r="K8089">
        <v>1.1217330000000001</v>
      </c>
      <c r="L8089">
        <v>137.2021</v>
      </c>
      <c r="M8089">
        <v>0.99695990000000001</v>
      </c>
      <c r="N8089">
        <v>-2.0951790000000001E-2</v>
      </c>
      <c r="O8089">
        <v>7.5047920000000004E-2</v>
      </c>
      <c r="P8089">
        <v>0.98667190000000005</v>
      </c>
      <c r="Q8089">
        <v>0.1572846</v>
      </c>
      <c r="R8089">
        <v>-4.1721420000000002E-2</v>
      </c>
      <c r="S8089">
        <v>3.0693510000000002</v>
      </c>
      <c r="T8089">
        <v>-0.1090701</v>
      </c>
      <c r="U8089">
        <v>0.24765010000000001</v>
      </c>
      <c r="V8089">
        <v>0.1161469</v>
      </c>
      <c r="W8089">
        <v>0.17748610000000001</v>
      </c>
      <c r="X8089">
        <v>0.97724540000000004</v>
      </c>
      <c r="Y8089">
        <v>-5.3778230000000003E-3</v>
      </c>
      <c r="Z8089">
        <v>-9.3385470000000004E-4</v>
      </c>
      <c r="AA8089">
        <v>0.99998509999999996</v>
      </c>
      <c r="AB8089">
        <v>25</v>
      </c>
      <c r="AC8089">
        <v>31.3233</v>
      </c>
      <c r="AD8089">
        <v>-1.1217367830689999</v>
      </c>
      <c r="AE8089">
        <v>2.5299999999999998</v>
      </c>
      <c r="AF8089">
        <v>-0.17137932024008101</v>
      </c>
      <c r="AG8089">
        <v>-1.1217367830689999</v>
      </c>
      <c r="AH8089">
        <v>31.3848509129493</v>
      </c>
      <c r="AI8089">
        <v>92.046926401781107</v>
      </c>
      <c r="AJ8089">
        <v>90.312864769616198</v>
      </c>
      <c r="AK8089">
        <v>31.405358318445401</v>
      </c>
      <c r="AL8089">
        <v>79.7766335966773</v>
      </c>
      <c r="AM8089">
        <v>83.222115950267195</v>
      </c>
      <c r="AN8089">
        <v>0.99999999494698999</v>
      </c>
    </row>
    <row r="8090" spans="1:40" x14ac:dyDescent="0.25">
      <c r="A8090" t="str">
        <f>"20190303170445685"</f>
        <v>20190303170445685</v>
      </c>
      <c r="B8090" t="str">
        <f>"1551603885673795"</f>
        <v>1551603885673795</v>
      </c>
      <c r="C8090" t="s">
        <v>40</v>
      </c>
      <c r="D8090">
        <v>4.3204979999999997</v>
      </c>
      <c r="E8090">
        <v>0.45841709999999902</v>
      </c>
      <c r="F8090" t="s">
        <v>42</v>
      </c>
      <c r="G8090">
        <v>-112.7401</v>
      </c>
      <c r="H8090" s="1">
        <v>-3.107649E-6</v>
      </c>
      <c r="I8090">
        <v>139.55500000000001</v>
      </c>
      <c r="J8090">
        <v>-142.28720000000001</v>
      </c>
      <c r="K8090">
        <v>1.121686</v>
      </c>
      <c r="L8090">
        <v>137.21889999999999</v>
      </c>
      <c r="M8090">
        <v>0.9970753</v>
      </c>
      <c r="N8090">
        <v>-2.1309979999999999E-2</v>
      </c>
      <c r="O8090">
        <v>7.3395929999999998E-2</v>
      </c>
      <c r="P8090">
        <v>0.9871856</v>
      </c>
      <c r="Q8090">
        <v>0.1533969</v>
      </c>
      <c r="R8090">
        <v>-4.397939E-2</v>
      </c>
      <c r="S8090">
        <v>3.0691989999999998</v>
      </c>
      <c r="T8090">
        <v>-0.11554879999999999</v>
      </c>
      <c r="U8090">
        <v>0.24237059999999999</v>
      </c>
      <c r="V8090">
        <v>0.11683060000000001</v>
      </c>
      <c r="W8090">
        <v>0.17394009999999999</v>
      </c>
      <c r="X8090">
        <v>0.97780129999999998</v>
      </c>
      <c r="Y8090">
        <v>-5.3301729999999997E-3</v>
      </c>
      <c r="Z8090">
        <v>-1.033253E-3</v>
      </c>
      <c r="AA8090">
        <v>0.99998529999999997</v>
      </c>
      <c r="AB8090">
        <v>25</v>
      </c>
      <c r="AC8090">
        <v>29.5471</v>
      </c>
      <c r="AD8090">
        <v>-1.1216891076490001</v>
      </c>
      <c r="AE8090">
        <v>2.3361000000000098</v>
      </c>
      <c r="AF8090">
        <v>-0.160437410022193</v>
      </c>
      <c r="AG8090">
        <v>-1.1216891076490001</v>
      </c>
      <c r="AH8090">
        <v>29.596482294920101</v>
      </c>
      <c r="AI8090">
        <v>92.170405386604401</v>
      </c>
      <c r="AJ8090">
        <v>90.310587465757706</v>
      </c>
      <c r="AK8090">
        <v>29.618164879854898</v>
      </c>
      <c r="AL8090">
        <v>79.983015258606201</v>
      </c>
      <c r="AM8090">
        <v>83.186431679232001</v>
      </c>
      <c r="AN8090">
        <v>0.999999964883029</v>
      </c>
    </row>
    <row r="8091" spans="1:40" x14ac:dyDescent="0.25">
      <c r="A8091" t="str">
        <f>"20190303170445707"</f>
        <v>20190303170445707</v>
      </c>
      <c r="B8091" t="str">
        <f>"1551603885693315"</f>
        <v>1551603885693315</v>
      </c>
      <c r="C8091" t="s">
        <v>40</v>
      </c>
      <c r="D8091">
        <v>4.2855489999999996</v>
      </c>
      <c r="E8091">
        <v>0.4584472</v>
      </c>
      <c r="F8091" t="s">
        <v>42</v>
      </c>
      <c r="G8091">
        <v>-115.3567</v>
      </c>
      <c r="H8091" s="1">
        <v>-2.0376479999999998E-6</v>
      </c>
      <c r="I8091">
        <v>139.25909999999999</v>
      </c>
      <c r="J8091">
        <v>-142.04130000000001</v>
      </c>
      <c r="K8091">
        <v>1.1216729999999999</v>
      </c>
      <c r="L8091">
        <v>137.23500000000001</v>
      </c>
      <c r="M8091">
        <v>0.99719340000000001</v>
      </c>
      <c r="N8091">
        <v>-2.1650630000000001E-2</v>
      </c>
      <c r="O8091">
        <v>7.1671250000000006E-2</v>
      </c>
      <c r="P8091">
        <v>0.98730269999999998</v>
      </c>
      <c r="Q8091">
        <v>0.1518274</v>
      </c>
      <c r="R8091">
        <v>-4.6713200000000003E-2</v>
      </c>
      <c r="S8091">
        <v>3.0691679999999999</v>
      </c>
      <c r="T8091">
        <v>-0.12783459999999999</v>
      </c>
      <c r="U8091">
        <v>0.23251340000000001</v>
      </c>
      <c r="V8091">
        <v>0.11788270000000001</v>
      </c>
      <c r="W8091">
        <v>0.17269179999999901</v>
      </c>
      <c r="X8091">
        <v>0.97789630000000005</v>
      </c>
      <c r="Y8091">
        <v>-3.8728009999999999E-3</v>
      </c>
      <c r="Z8091">
        <v>-1.3017599999999999E-3</v>
      </c>
      <c r="AA8091">
        <v>0.99999170000000004</v>
      </c>
      <c r="AB8091">
        <v>25</v>
      </c>
      <c r="AC8091">
        <v>26.6846</v>
      </c>
      <c r="AD8091">
        <v>-1.121675037648</v>
      </c>
      <c r="AE8091">
        <v>2.02409999999997</v>
      </c>
      <c r="AF8091">
        <v>-0.105739579246361</v>
      </c>
      <c r="AG8091">
        <v>-1.121675037648</v>
      </c>
      <c r="AH8091">
        <v>26.714115796594299</v>
      </c>
      <c r="AI8091">
        <v>92.404309981396096</v>
      </c>
      <c r="AJ8091">
        <v>90.226786468435705</v>
      </c>
      <c r="AK8091">
        <v>26.7378630137591</v>
      </c>
      <c r="AL8091">
        <v>80.055636783043099</v>
      </c>
      <c r="AM8091">
        <v>83.126319143193896</v>
      </c>
      <c r="AN8091">
        <v>0.99999998115010902</v>
      </c>
    </row>
    <row r="8092" spans="1:40" x14ac:dyDescent="0.25">
      <c r="A8092" t="str">
        <f>"20190303170445731"</f>
        <v>20190303170445731</v>
      </c>
      <c r="B8092" t="str">
        <f>"1551603885723571"</f>
        <v>1551603885723571</v>
      </c>
      <c r="C8092" t="s">
        <v>40</v>
      </c>
      <c r="D8092">
        <v>4.32402</v>
      </c>
      <c r="E8092">
        <v>0.45868130000000001</v>
      </c>
      <c r="F8092" t="s">
        <v>42</v>
      </c>
      <c r="G8092">
        <v>-115.87990000000001</v>
      </c>
      <c r="H8092" s="1">
        <v>-1.834308E-6</v>
      </c>
      <c r="I8092">
        <v>139.13999999999999</v>
      </c>
      <c r="J8092">
        <v>-141.78129999999999</v>
      </c>
      <c r="K8092">
        <v>1.121688</v>
      </c>
      <c r="L8092">
        <v>137.25139999999999</v>
      </c>
      <c r="M8092">
        <v>0.99731979999999998</v>
      </c>
      <c r="N8092">
        <v>-2.20003E-2</v>
      </c>
      <c r="O8092">
        <v>6.9780949999999994E-2</v>
      </c>
      <c r="P8092">
        <v>0.98695730000000004</v>
      </c>
      <c r="Q8092">
        <v>0.15331829999999999</v>
      </c>
      <c r="R8092">
        <v>-4.9080480000000003E-2</v>
      </c>
      <c r="S8092">
        <v>3.0694119999999998</v>
      </c>
      <c r="T8092">
        <v>-0.13160169999999999</v>
      </c>
      <c r="U8092">
        <v>0.22351070000000001</v>
      </c>
      <c r="V8092">
        <v>0.1183762</v>
      </c>
      <c r="W8092">
        <v>0.17450959999999999</v>
      </c>
      <c r="X8092">
        <v>0.97751390000000005</v>
      </c>
      <c r="Y8092">
        <v>-2.8468579999999999E-3</v>
      </c>
      <c r="Z8092">
        <v>-1.355602E-3</v>
      </c>
      <c r="AA8092">
        <v>0.99999510000000003</v>
      </c>
      <c r="AB8092">
        <v>24</v>
      </c>
      <c r="AC8092">
        <v>25.901399999999899</v>
      </c>
      <c r="AD8092">
        <v>-1.121689834308</v>
      </c>
      <c r="AE8092">
        <v>1.8885999999999901</v>
      </c>
      <c r="AF8092">
        <v>-7.5990535268482401E-2</v>
      </c>
      <c r="AG8092">
        <v>-1.121689834308</v>
      </c>
      <c r="AH8092">
        <v>25.921693717456101</v>
      </c>
      <c r="AI8092">
        <v>92.477760511021998</v>
      </c>
      <c r="AJ8092">
        <v>90.167964506056407</v>
      </c>
      <c r="AK8092">
        <v>25.946062665218399</v>
      </c>
      <c r="AL8092">
        <v>79.949878615956294</v>
      </c>
      <c r="AM8092">
        <v>83.095146379439399</v>
      </c>
      <c r="AN8092">
        <v>0.99999997495590398</v>
      </c>
    </row>
    <row r="8093" spans="1:40" x14ac:dyDescent="0.25">
      <c r="A8093" t="str">
        <f>"20190303170445751"</f>
        <v>20190303170445751</v>
      </c>
      <c r="B8093" t="str">
        <f>"1551603885744067"</f>
        <v>1551603885744067</v>
      </c>
      <c r="C8093" t="s">
        <v>40</v>
      </c>
      <c r="D8093">
        <v>4.3337110000000001</v>
      </c>
      <c r="E8093">
        <v>0.45881070000000002</v>
      </c>
      <c r="F8093" t="s">
        <v>42</v>
      </c>
      <c r="G8093">
        <v>-114.44280000000001</v>
      </c>
      <c r="H8093" s="1">
        <v>-2.445855E-6</v>
      </c>
      <c r="I8093">
        <v>139.1679</v>
      </c>
      <c r="J8093">
        <v>-141.56819999999999</v>
      </c>
      <c r="K8093">
        <v>1.121723</v>
      </c>
      <c r="L8093">
        <v>137.26439999999999</v>
      </c>
      <c r="M8093">
        <v>0.99742280000000005</v>
      </c>
      <c r="N8093">
        <v>-2.2277709999999999E-2</v>
      </c>
      <c r="O8093">
        <v>6.8202209999999999E-2</v>
      </c>
      <c r="P8093">
        <v>0.98663109999999998</v>
      </c>
      <c r="Q8093">
        <v>0.15513669999999999</v>
      </c>
      <c r="R8093">
        <v>-4.9918980000000002E-2</v>
      </c>
      <c r="S8093">
        <v>3.0699160000000001</v>
      </c>
      <c r="T8093">
        <v>-0.12595770000000001</v>
      </c>
      <c r="U8093">
        <v>0.21521000000000001</v>
      </c>
      <c r="V8093">
        <v>0.11764719999999999</v>
      </c>
      <c r="W8093">
        <v>0.17659439999999901</v>
      </c>
      <c r="X8093">
        <v>0.97722750000000003</v>
      </c>
      <c r="Y8093">
        <v>-1.7258179999999901E-3</v>
      </c>
      <c r="Z8093">
        <v>-1.216593E-3</v>
      </c>
      <c r="AA8093">
        <v>0.99999780000000005</v>
      </c>
      <c r="AB8093">
        <v>24</v>
      </c>
      <c r="AC8093">
        <v>27.1253999999999</v>
      </c>
      <c r="AD8093">
        <v>-1.1217254458549999</v>
      </c>
      <c r="AE8093">
        <v>1.9035</v>
      </c>
      <c r="AF8093">
        <v>-4.8511577771154599E-2</v>
      </c>
      <c r="AG8093">
        <v>-1.1217254458549999</v>
      </c>
      <c r="AH8093">
        <v>27.145868142144401</v>
      </c>
      <c r="AI8093">
        <v>92.366234434931897</v>
      </c>
      <c r="AJ8093">
        <v>90.102391483313795</v>
      </c>
      <c r="AK8093">
        <v>27.169077616653599</v>
      </c>
      <c r="AL8093">
        <v>79.828544465384098</v>
      </c>
      <c r="AM8093">
        <v>83.135269890184304</v>
      </c>
      <c r="AN8093">
        <v>1.0000000162677201</v>
      </c>
    </row>
    <row r="8094" spans="1:40" x14ac:dyDescent="0.25">
      <c r="A8094" t="str">
        <f>"20190303170445774"</f>
        <v>20190303170445774</v>
      </c>
      <c r="B8094" t="str">
        <f>"1551603885763587"</f>
        <v>1551603885763587</v>
      </c>
      <c r="C8094" t="s">
        <v>40</v>
      </c>
      <c r="D8094">
        <v>4.3233470000000001</v>
      </c>
      <c r="E8094">
        <v>0.46842450000000002</v>
      </c>
      <c r="F8094" t="s">
        <v>42</v>
      </c>
      <c r="G8094">
        <v>-112.74169999999999</v>
      </c>
      <c r="H8094" s="1">
        <v>-3.1606759999999998E-6</v>
      </c>
      <c r="I8094">
        <v>139.25210000000001</v>
      </c>
      <c r="J8094">
        <v>-141.33160000000001</v>
      </c>
      <c r="K8094">
        <v>1.1217520000000001</v>
      </c>
      <c r="L8094">
        <v>137.27850000000001</v>
      </c>
      <c r="M8094">
        <v>0.99753550000000002</v>
      </c>
      <c r="N8094">
        <v>-2.2568580000000001E-2</v>
      </c>
      <c r="O8094">
        <v>6.6437040000000003E-2</v>
      </c>
      <c r="P8094">
        <v>0.98693200000000003</v>
      </c>
      <c r="Q8094">
        <v>0.15307570000000001</v>
      </c>
      <c r="R8094">
        <v>-5.0330609999999998E-2</v>
      </c>
      <c r="S8094">
        <v>3.0701450000000001</v>
      </c>
      <c r="T8094">
        <v>-0.119468699999999</v>
      </c>
      <c r="U8094">
        <v>0.21170040000000001</v>
      </c>
      <c r="V8094">
        <v>0.1163349</v>
      </c>
      <c r="W8094">
        <v>0.17483399999999999</v>
      </c>
      <c r="X8094">
        <v>0.97770100000000004</v>
      </c>
      <c r="Y8094">
        <v>-2.3485590000000001E-3</v>
      </c>
      <c r="Z8094">
        <v>-1.006896E-3</v>
      </c>
      <c r="AA8094">
        <v>0.99999669999999896</v>
      </c>
      <c r="AB8094">
        <v>24</v>
      </c>
      <c r="AC8094">
        <v>28.5899</v>
      </c>
      <c r="AD8094">
        <v>-1.1217551606759999</v>
      </c>
      <c r="AE8094">
        <v>1.9736</v>
      </c>
      <c r="AF8094">
        <v>-6.9219324454756898E-2</v>
      </c>
      <c r="AG8094">
        <v>-1.1217551606759999</v>
      </c>
      <c r="AH8094">
        <v>28.614013883392499</v>
      </c>
      <c r="AI8094">
        <v>92.245010198430904</v>
      </c>
      <c r="AJ8094">
        <v>90.138602274816293</v>
      </c>
      <c r="AK8094">
        <v>28.636077183761699</v>
      </c>
      <c r="AL8094">
        <v>79.931001826488796</v>
      </c>
      <c r="AM8094">
        <v>83.214381301999396</v>
      </c>
      <c r="AN8094">
        <v>0.99999999095750502</v>
      </c>
    </row>
    <row r="8095" spans="1:40" x14ac:dyDescent="0.25">
      <c r="A8095" t="str">
        <f>"20190303170445796"</f>
        <v>20190303170445796</v>
      </c>
      <c r="B8095" t="str">
        <f>"1551603885784083"</f>
        <v>1551603885784083</v>
      </c>
      <c r="C8095" t="s">
        <v>40</v>
      </c>
      <c r="D8095">
        <v>4.3061030000000002</v>
      </c>
      <c r="E8095">
        <v>0.46467399999999998</v>
      </c>
      <c r="F8095" t="s">
        <v>42</v>
      </c>
      <c r="G8095">
        <v>-109.2753</v>
      </c>
      <c r="H8095" s="1">
        <v>-5.1652679999999997E-7</v>
      </c>
      <c r="I8095">
        <v>138.6617</v>
      </c>
      <c r="J8095">
        <v>-141.09790000000001</v>
      </c>
      <c r="K8095">
        <v>1.1217870000000001</v>
      </c>
      <c r="L8095">
        <v>137.29179999999999</v>
      </c>
      <c r="M8095">
        <v>0.99764430000000004</v>
      </c>
      <c r="N8095">
        <v>-2.2830110000000001E-2</v>
      </c>
      <c r="O8095">
        <v>6.468844E-2</v>
      </c>
      <c r="P8095">
        <v>0.98728819999999995</v>
      </c>
      <c r="Q8095">
        <v>0.15046319999999999</v>
      </c>
      <c r="R8095">
        <v>-5.1211979999999997E-2</v>
      </c>
      <c r="S8095">
        <v>3.06311</v>
      </c>
      <c r="T8095">
        <v>-0.1071879</v>
      </c>
      <c r="U8095">
        <v>0.1321716</v>
      </c>
      <c r="V8095">
        <v>0.11550199999999999</v>
      </c>
      <c r="W8095">
        <v>0.17249779999999901</v>
      </c>
      <c r="X8095">
        <v>0.97821460000000005</v>
      </c>
      <c r="Y8095">
        <v>2.159958E-2</v>
      </c>
      <c r="Z8095">
        <v>-1.406909E-3</v>
      </c>
      <c r="AA8095">
        <v>0.99976569999999998</v>
      </c>
      <c r="AB8095">
        <v>24</v>
      </c>
      <c r="AC8095">
        <v>31.822600000000001</v>
      </c>
      <c r="AD8095">
        <v>-1.1217875165268001</v>
      </c>
      <c r="AE8095">
        <v>1.3698999999999999</v>
      </c>
      <c r="AF8095">
        <v>0.69120447992893097</v>
      </c>
      <c r="AG8095">
        <v>-1.1217875165268001</v>
      </c>
      <c r="AH8095">
        <v>31.805103262739401</v>
      </c>
      <c r="AI8095">
        <v>92.019547079936203</v>
      </c>
      <c r="AJ8095">
        <v>88.755015317831905</v>
      </c>
      <c r="AK8095">
        <v>31.832385465415999</v>
      </c>
      <c r="AL8095">
        <v>80.066921738045295</v>
      </c>
      <c r="AM8095">
        <v>83.266019699727906</v>
      </c>
      <c r="AN8095">
        <v>1.0000000033309999</v>
      </c>
    </row>
    <row r="8096" spans="1:40" x14ac:dyDescent="0.25">
      <c r="A8096" t="str">
        <f>"20190303170445819"</f>
        <v>20190303170445819</v>
      </c>
      <c r="B8096" t="str">
        <f>"1551603885813362"</f>
        <v>1551603885813362</v>
      </c>
      <c r="C8096" t="s">
        <v>40</v>
      </c>
      <c r="D8096">
        <v>4.3230110000000002</v>
      </c>
      <c r="E8096">
        <v>0.46390130000000002</v>
      </c>
      <c r="F8096" t="s">
        <v>42</v>
      </c>
      <c r="G8096">
        <v>-111.33880000000001</v>
      </c>
      <c r="H8096" s="1">
        <v>-3.836668E-6</v>
      </c>
      <c r="I8096">
        <v>138.83420000000001</v>
      </c>
      <c r="J8096">
        <v>-140.8578</v>
      </c>
      <c r="K8096">
        <v>1.121848</v>
      </c>
      <c r="L8096">
        <v>137.30510000000001</v>
      </c>
      <c r="M8096">
        <v>0.997753</v>
      </c>
      <c r="N8096">
        <v>-2.3097650000000001E-2</v>
      </c>
      <c r="O8096">
        <v>6.2893710000000005E-2</v>
      </c>
      <c r="P8096">
        <v>0.98724920000000005</v>
      </c>
      <c r="Q8096">
        <v>0.1499346</v>
      </c>
      <c r="R8096">
        <v>-5.3469290000000003E-2</v>
      </c>
      <c r="S8096">
        <v>3.0644680000000002</v>
      </c>
      <c r="T8096">
        <v>-0.1155173</v>
      </c>
      <c r="U8096">
        <v>0.15882869999999999</v>
      </c>
      <c r="V8096">
        <v>0.115971</v>
      </c>
      <c r="W8096">
        <v>0.17223949999999999</v>
      </c>
      <c r="X8096">
        <v>0.97820459999999998</v>
      </c>
      <c r="Y8096">
        <v>1.114966E-2</v>
      </c>
      <c r="Z8096">
        <v>-1.2520999999999999E-3</v>
      </c>
      <c r="AA8096">
        <v>0.99993710000000002</v>
      </c>
      <c r="AB8096">
        <v>23</v>
      </c>
      <c r="AC8096">
        <v>29.518999999999899</v>
      </c>
      <c r="AD8096">
        <v>-1.1218518366679999</v>
      </c>
      <c r="AE8096">
        <v>1.5290999999999899</v>
      </c>
      <c r="AF8096">
        <v>0.33050750122828798</v>
      </c>
      <c r="AG8096">
        <v>-1.1218518366679999</v>
      </c>
      <c r="AH8096">
        <v>29.5142100995708</v>
      </c>
      <c r="AI8096">
        <v>92.176660733759107</v>
      </c>
      <c r="AJ8096">
        <v>89.358414358542007</v>
      </c>
      <c r="AK8096">
        <v>29.5373726751959</v>
      </c>
      <c r="AL8096">
        <v>80.081945869634396</v>
      </c>
      <c r="AM8096">
        <v>83.238860278343097</v>
      </c>
      <c r="AN8096">
        <v>0.99999997883120395</v>
      </c>
    </row>
    <row r="8097" spans="1:40" x14ac:dyDescent="0.25">
      <c r="A8097" t="str">
        <f>"20190303170445841"</f>
        <v>20190303170445841</v>
      </c>
      <c r="B8097" t="str">
        <f>"1551603885833859"</f>
        <v>1551603885833859</v>
      </c>
      <c r="C8097" t="s">
        <v>40</v>
      </c>
      <c r="D8097">
        <v>4.3480019999999904</v>
      </c>
      <c r="E8097">
        <v>0.46347660000000002</v>
      </c>
      <c r="F8097" t="s">
        <v>42</v>
      </c>
      <c r="G8097">
        <v>-111.4736</v>
      </c>
      <c r="H8097" s="1">
        <v>-3.7817350000000001E-6</v>
      </c>
      <c r="I8097">
        <v>138.81780000000001</v>
      </c>
      <c r="J8097">
        <v>-140.63849999999999</v>
      </c>
      <c r="K8097">
        <v>1.121918</v>
      </c>
      <c r="L8097">
        <v>137.3169</v>
      </c>
      <c r="M8097">
        <v>0.99784919999999999</v>
      </c>
      <c r="N8097">
        <v>-2.3333380000000001E-2</v>
      </c>
      <c r="O8097">
        <v>6.1257949999999999E-2</v>
      </c>
      <c r="P8097">
        <v>0.98681430000000003</v>
      </c>
      <c r="Q8097">
        <v>0.15200830000000001</v>
      </c>
      <c r="R8097">
        <v>-5.559588E-2</v>
      </c>
      <c r="S8097">
        <v>3.0650789999999999</v>
      </c>
      <c r="T8097">
        <v>-0.11702070000000001</v>
      </c>
      <c r="U8097">
        <v>0.15779109999999999</v>
      </c>
      <c r="V8097">
        <v>0.1164485</v>
      </c>
      <c r="W8097">
        <v>0.174543899999999</v>
      </c>
      <c r="X8097">
        <v>0.97773929999999998</v>
      </c>
      <c r="Y8097">
        <v>9.8597819999999992E-3</v>
      </c>
      <c r="Z8097">
        <v>-1.20791E-3</v>
      </c>
      <c r="AA8097">
        <v>0.99995060000000002</v>
      </c>
      <c r="AB8097">
        <v>23</v>
      </c>
      <c r="AC8097">
        <v>29.1648999999999</v>
      </c>
      <c r="AD8097">
        <v>-1.121921781735</v>
      </c>
      <c r="AE8097">
        <v>1.5008999999999999</v>
      </c>
      <c r="AF8097">
        <v>0.28856291196258899</v>
      </c>
      <c r="AG8097">
        <v>-1.121921781735</v>
      </c>
      <c r="AH8097">
        <v>29.159028953576399</v>
      </c>
      <c r="AI8097">
        <v>92.203315747400097</v>
      </c>
      <c r="AJ8097">
        <v>89.433009332814294</v>
      </c>
      <c r="AK8097">
        <v>29.182031227349501</v>
      </c>
      <c r="AL8097">
        <v>79.947882815146897</v>
      </c>
      <c r="AM8097">
        <v>83.208080657562803</v>
      </c>
      <c r="AN8097">
        <v>0.99999998247197397</v>
      </c>
    </row>
    <row r="8098" spans="1:40" x14ac:dyDescent="0.25">
      <c r="A8098" t="str">
        <f>"20190303170445863"</f>
        <v>20190303170445863</v>
      </c>
      <c r="B8098" t="str">
        <f>"1551603885853379"</f>
        <v>1551603885853379</v>
      </c>
      <c r="C8098" t="s">
        <v>40</v>
      </c>
      <c r="D8098">
        <v>4.368525</v>
      </c>
      <c r="E8098">
        <v>0.4628005</v>
      </c>
      <c r="F8098" t="s">
        <v>42</v>
      </c>
      <c r="G8098">
        <v>-109.64100000000001</v>
      </c>
      <c r="H8098" s="1">
        <v>-3.1806679999999997E-7</v>
      </c>
      <c r="I8098">
        <v>138.87970000000001</v>
      </c>
      <c r="J8098">
        <v>-140.4093</v>
      </c>
      <c r="K8098">
        <v>1.1219809999999999</v>
      </c>
      <c r="L8098">
        <v>137.3288</v>
      </c>
      <c r="M8098">
        <v>0.99794689999999997</v>
      </c>
      <c r="N8098">
        <v>-2.3554800000000001E-2</v>
      </c>
      <c r="O8098">
        <v>5.9559719999999997E-2</v>
      </c>
      <c r="P8098">
        <v>0.98671010000000003</v>
      </c>
      <c r="Q8098">
        <v>0.15228439999999999</v>
      </c>
      <c r="R8098">
        <v>-5.6683789999999998E-2</v>
      </c>
      <c r="S8098">
        <v>3.065887</v>
      </c>
      <c r="T8098">
        <v>-0.11096640000000001</v>
      </c>
      <c r="U8098">
        <v>0.1545715</v>
      </c>
      <c r="V8098">
        <v>0.1158431</v>
      </c>
      <c r="W8098">
        <v>0.17504910000000001</v>
      </c>
      <c r="X8098">
        <v>0.9777209</v>
      </c>
      <c r="Y8098">
        <v>9.2228480000000005E-3</v>
      </c>
      <c r="Z8098">
        <v>-1.024159E-3</v>
      </c>
      <c r="AA8098">
        <v>0.99995699999999998</v>
      </c>
      <c r="AB8098">
        <v>23</v>
      </c>
      <c r="AC8098">
        <v>30.7683</v>
      </c>
      <c r="AD8098">
        <v>-1.1219813180667999</v>
      </c>
      <c r="AE8098">
        <v>1.5509000000000099</v>
      </c>
      <c r="AF8098">
        <v>0.28453710757764</v>
      </c>
      <c r="AG8098">
        <v>-1.1219813180667999</v>
      </c>
      <c r="AH8098">
        <v>30.765238994310799</v>
      </c>
      <c r="AI8098">
        <v>92.088512033523799</v>
      </c>
      <c r="AJ8098">
        <v>89.470106161947498</v>
      </c>
      <c r="AK8098">
        <v>30.787005924914801</v>
      </c>
      <c r="AL8098">
        <v>79.918484408695704</v>
      </c>
      <c r="AM8098">
        <v>83.242937622546293</v>
      </c>
      <c r="AN8098">
        <v>0.99999998476261398</v>
      </c>
    </row>
    <row r="8099" spans="1:40" x14ac:dyDescent="0.25">
      <c r="A8099" t="str">
        <f>"20190303170445886"</f>
        <v>20190303170445886</v>
      </c>
      <c r="B8099" t="str">
        <f>"1551603885873875"</f>
        <v>1551603885873875</v>
      </c>
      <c r="C8099" t="s">
        <v>40</v>
      </c>
      <c r="D8099">
        <v>4.3579999999999997</v>
      </c>
      <c r="E8099">
        <v>0.46285090000000001</v>
      </c>
      <c r="F8099" t="s">
        <v>42</v>
      </c>
      <c r="G8099">
        <v>-108.6831</v>
      </c>
      <c r="H8099" s="1">
        <v>-7.2191909999999996E-7</v>
      </c>
      <c r="I8099">
        <v>138.94569999999999</v>
      </c>
      <c r="J8099">
        <v>-140.18270000000001</v>
      </c>
      <c r="K8099">
        <v>1.122037</v>
      </c>
      <c r="L8099">
        <v>137.34020000000001</v>
      </c>
      <c r="M8099">
        <v>0.99804040000000005</v>
      </c>
      <c r="N8099">
        <v>-2.3749949999999999E-2</v>
      </c>
      <c r="O8099">
        <v>5.7892499999999902E-2</v>
      </c>
      <c r="P8099">
        <v>0.98696689999999998</v>
      </c>
      <c r="Q8099">
        <v>0.15035899999999999</v>
      </c>
      <c r="R8099">
        <v>-5.7348009999999998E-2</v>
      </c>
      <c r="S8099">
        <v>3.0661010000000002</v>
      </c>
      <c r="T8099">
        <v>-0.1084311</v>
      </c>
      <c r="U8099">
        <v>0.156265299999999</v>
      </c>
      <c r="V8099">
        <v>0.1148624</v>
      </c>
      <c r="W8099">
        <v>0.17333709999999999</v>
      </c>
      <c r="X8099">
        <v>0.9781415</v>
      </c>
      <c r="Y8099">
        <v>7.0086130000000003E-3</v>
      </c>
      <c r="Z8099">
        <v>-8.7571589999999998E-4</v>
      </c>
      <c r="AA8099">
        <v>0.99997510000000001</v>
      </c>
      <c r="AB8099">
        <v>23</v>
      </c>
      <c r="AC8099">
        <v>31.499600000000001</v>
      </c>
      <c r="AD8099">
        <v>-1.1220377219191</v>
      </c>
      <c r="AE8099">
        <v>1.60549999999997</v>
      </c>
      <c r="AF8099">
        <v>0.22101941552798501</v>
      </c>
      <c r="AG8099">
        <v>-1.1220377219191</v>
      </c>
      <c r="AH8099">
        <v>31.499847861952698</v>
      </c>
      <c r="AI8099">
        <v>92.039986878459402</v>
      </c>
      <c r="AJ8099">
        <v>89.5979894268891</v>
      </c>
      <c r="AK8099">
        <v>31.520600145898499</v>
      </c>
      <c r="AL8099">
        <v>80.018097461372705</v>
      </c>
      <c r="AM8099">
        <v>83.302473974379893</v>
      </c>
      <c r="AN8099">
        <v>0.99999995759620897</v>
      </c>
    </row>
    <row r="8100" spans="1:40" x14ac:dyDescent="0.25">
      <c r="A8100" t="str">
        <f>"20190303170445909"</f>
        <v>20190303170445909</v>
      </c>
      <c r="B8100" t="str">
        <f>"1551603885893395"</f>
        <v>1551603885893395</v>
      </c>
      <c r="C8100" t="s">
        <v>40</v>
      </c>
      <c r="D8100">
        <v>4.3359899999999998</v>
      </c>
      <c r="E8100">
        <v>0.46317659999999999</v>
      </c>
      <c r="F8100" t="s">
        <v>42</v>
      </c>
      <c r="G8100">
        <v>-110.17010000000001</v>
      </c>
      <c r="H8100" s="1">
        <v>-4.3373989999999999E-6</v>
      </c>
      <c r="I8100">
        <v>138.83789999999999</v>
      </c>
      <c r="J8100">
        <v>-139.96</v>
      </c>
      <c r="K8100">
        <v>1.12208</v>
      </c>
      <c r="L8100">
        <v>137.351</v>
      </c>
      <c r="M8100">
        <v>0.99812940000000006</v>
      </c>
      <c r="N8100">
        <v>-2.392304E-2</v>
      </c>
      <c r="O8100">
        <v>5.6262479999999997E-2</v>
      </c>
      <c r="P8100">
        <v>0.98722639999999995</v>
      </c>
      <c r="Q8100">
        <v>0.1481594</v>
      </c>
      <c r="R8100">
        <v>-5.8593529999999998E-2</v>
      </c>
      <c r="S8100">
        <v>3.065979</v>
      </c>
      <c r="T8100">
        <v>-0.1146234</v>
      </c>
      <c r="U8100">
        <v>0.15299989999999999</v>
      </c>
      <c r="V8100">
        <v>0.114498</v>
      </c>
      <c r="W8100">
        <v>0.17132629999999999</v>
      </c>
      <c r="X8100">
        <v>0.97853849999999998</v>
      </c>
      <c r="Y8100">
        <v>6.4348000000000001E-3</v>
      </c>
      <c r="Z8100">
        <v>-9.5087329999999997E-4</v>
      </c>
      <c r="AA8100">
        <v>0.99997879999999995</v>
      </c>
      <c r="AB8100">
        <v>22</v>
      </c>
      <c r="AC8100">
        <v>29.789899999999999</v>
      </c>
      <c r="AD8100">
        <v>-1.1220843373989999</v>
      </c>
      <c r="AE8100">
        <v>1.4868999999999899</v>
      </c>
      <c r="AF8100">
        <v>0.19171865828012999</v>
      </c>
      <c r="AG8100">
        <v>-1.1220843373989999</v>
      </c>
      <c r="AH8100">
        <v>29.7842147233353</v>
      </c>
      <c r="AI8100">
        <v>92.1574843265238</v>
      </c>
      <c r="AJ8100">
        <v>89.631196646734693</v>
      </c>
      <c r="AK8100">
        <v>29.805960410460099</v>
      </c>
      <c r="AL8100">
        <v>80.135058552533295</v>
      </c>
      <c r="AM8100">
        <v>83.326213951881499</v>
      </c>
      <c r="AN8100">
        <v>1.0000000445289601</v>
      </c>
    </row>
    <row r="8101" spans="1:40" x14ac:dyDescent="0.25">
      <c r="A8101" t="str">
        <f>"20190303170445930"</f>
        <v>20190303170445930</v>
      </c>
      <c r="B8101" t="str">
        <f>"1551603885923651"</f>
        <v>1551603885923651</v>
      </c>
      <c r="C8101" t="s">
        <v>40</v>
      </c>
      <c r="D8101">
        <v>4.303814</v>
      </c>
      <c r="E8101">
        <v>0.46350989999999997</v>
      </c>
      <c r="F8101" t="s">
        <v>42</v>
      </c>
      <c r="G8101">
        <v>-111.3677</v>
      </c>
      <c r="H8101" s="1">
        <v>-3.8448199999999997E-6</v>
      </c>
      <c r="I8101">
        <v>138.7183</v>
      </c>
      <c r="J8101">
        <v>-139.74029999999999</v>
      </c>
      <c r="K8101">
        <v>1.1221209999999999</v>
      </c>
      <c r="L8101">
        <v>137.3614</v>
      </c>
      <c r="M8101">
        <v>0.99821519999999997</v>
      </c>
      <c r="N8101">
        <v>-2.4075300000000001E-2</v>
      </c>
      <c r="O8101">
        <v>5.465358E-2</v>
      </c>
      <c r="P8101">
        <v>0.98732450000000005</v>
      </c>
      <c r="Q8101">
        <v>0.14660399999999901</v>
      </c>
      <c r="R8101">
        <v>-6.0810059999999999E-2</v>
      </c>
      <c r="S8101">
        <v>3.0655670000000002</v>
      </c>
      <c r="T8101">
        <v>-0.1203058</v>
      </c>
      <c r="U8101">
        <v>0.1465912</v>
      </c>
      <c r="V8101">
        <v>0.1151166</v>
      </c>
      <c r="W8101">
        <v>0.16993179999999999</v>
      </c>
      <c r="X8101">
        <v>0.97870900000000005</v>
      </c>
      <c r="Y8101">
        <v>6.8996250000000004E-3</v>
      </c>
      <c r="Z8101">
        <v>-1.0437420000000001E-3</v>
      </c>
      <c r="AA8101">
        <v>0.99997570000000002</v>
      </c>
      <c r="AB8101">
        <v>22</v>
      </c>
      <c r="AC8101">
        <v>28.372599999999899</v>
      </c>
      <c r="AD8101">
        <v>-1.1221248448200001</v>
      </c>
      <c r="AE8101">
        <v>1.35689999999999</v>
      </c>
      <c r="AF8101">
        <v>0.19593703931215101</v>
      </c>
      <c r="AG8101">
        <v>-1.1221248448200001</v>
      </c>
      <c r="AH8101">
        <v>28.360091178065499</v>
      </c>
      <c r="AI8101">
        <v>92.265788408610305</v>
      </c>
      <c r="AJ8101">
        <v>89.604155476258001</v>
      </c>
      <c r="AK8101">
        <v>28.382958392650501</v>
      </c>
      <c r="AL8101">
        <v>80.216145987647096</v>
      </c>
      <c r="AM8101">
        <v>83.291643455288707</v>
      </c>
      <c r="AN8101">
        <v>0.99999997746389901</v>
      </c>
    </row>
    <row r="8102" spans="1:40" x14ac:dyDescent="0.25">
      <c r="A8102" t="str">
        <f>"20190303170445952"</f>
        <v>20190303170445952</v>
      </c>
      <c r="B8102" t="str">
        <f>"1551603885944147"</f>
        <v>1551603885944147</v>
      </c>
      <c r="C8102" t="s">
        <v>40</v>
      </c>
      <c r="D8102">
        <v>4.3797649999999999</v>
      </c>
      <c r="E8102">
        <v>0.462922</v>
      </c>
      <c r="F8102" t="s">
        <v>42</v>
      </c>
      <c r="G8102">
        <v>-111.9572</v>
      </c>
      <c r="H8102" s="1">
        <v>-3.6106460000000002E-6</v>
      </c>
      <c r="I8102">
        <v>138.61269999999999</v>
      </c>
      <c r="J8102">
        <v>-139.52809999999999</v>
      </c>
      <c r="K8102">
        <v>1.1221680000000001</v>
      </c>
      <c r="L8102">
        <v>137.37100000000001</v>
      </c>
      <c r="M8102">
        <v>0.99829599999999996</v>
      </c>
      <c r="N8102">
        <v>-2.420392E-2</v>
      </c>
      <c r="O8102">
        <v>5.3097360000000003E-2</v>
      </c>
      <c r="P8102">
        <v>0.98704460000000005</v>
      </c>
      <c r="Q8102">
        <v>0.1477232</v>
      </c>
      <c r="R8102">
        <v>-6.2618099999999996E-2</v>
      </c>
      <c r="S8102">
        <v>3.0653839999999999</v>
      </c>
      <c r="T8102">
        <v>-0.123807</v>
      </c>
      <c r="U8102">
        <v>0.1380615</v>
      </c>
      <c r="V8102">
        <v>0.115367</v>
      </c>
      <c r="W8102">
        <v>0.17117879999999999</v>
      </c>
      <c r="X8102">
        <v>0.97846219999999995</v>
      </c>
      <c r="Y8102">
        <v>8.1118890000000006E-3</v>
      </c>
      <c r="Z8102">
        <v>-1.1178119999999999E-3</v>
      </c>
      <c r="AA8102">
        <v>0.99996649999999998</v>
      </c>
      <c r="AB8102">
        <v>22</v>
      </c>
      <c r="AC8102">
        <v>27.570899999999899</v>
      </c>
      <c r="AD8102">
        <v>-1.122171610646</v>
      </c>
      <c r="AE8102">
        <v>1.24169999999998</v>
      </c>
      <c r="AF8102">
        <v>0.22405318484178999</v>
      </c>
      <c r="AG8102">
        <v>-1.122171610646</v>
      </c>
      <c r="AH8102">
        <v>27.5523835541923</v>
      </c>
      <c r="AI8102">
        <v>92.332214140961597</v>
      </c>
      <c r="AJ8102">
        <v>89.534086809713301</v>
      </c>
      <c r="AK8102">
        <v>27.576136576226698</v>
      </c>
      <c r="AL8102">
        <v>80.143635970841899</v>
      </c>
      <c r="AM8102">
        <v>83.275504766252695</v>
      </c>
      <c r="AN8102">
        <v>1.0000000015436299</v>
      </c>
    </row>
    <row r="8103" spans="1:40" x14ac:dyDescent="0.25">
      <c r="A8103" t="str">
        <f>"20190303170445975"</f>
        <v>20190303170445975</v>
      </c>
      <c r="B8103" t="str">
        <f>"1551603885963667"</f>
        <v>1551603885963667</v>
      </c>
      <c r="C8103" t="s">
        <v>40</v>
      </c>
      <c r="D8103">
        <v>4.4147650000000001</v>
      </c>
      <c r="E8103">
        <v>0.4626904</v>
      </c>
      <c r="F8103" t="s">
        <v>42</v>
      </c>
      <c r="G8103">
        <v>-110.61069999999999</v>
      </c>
      <c r="H8103" s="1">
        <v>-4.1783640000000004E-6</v>
      </c>
      <c r="I8103">
        <v>138.6687</v>
      </c>
      <c r="J8103">
        <v>-139.3134</v>
      </c>
      <c r="K8103">
        <v>1.1222030000000001</v>
      </c>
      <c r="L8103">
        <v>137.38050000000001</v>
      </c>
      <c r="M8103">
        <v>0.99837659999999995</v>
      </c>
      <c r="N8103">
        <v>-2.4284779999999999E-2</v>
      </c>
      <c r="O8103">
        <v>5.1521560000000001E-2</v>
      </c>
      <c r="P8103">
        <v>0.986757</v>
      </c>
      <c r="Q8103">
        <v>0.1492859</v>
      </c>
      <c r="R8103">
        <v>-6.3440730000000001E-2</v>
      </c>
      <c r="S8103">
        <v>3.0659329999999998</v>
      </c>
      <c r="T8103">
        <v>-0.118977</v>
      </c>
      <c r="U8103">
        <v>0.1375885</v>
      </c>
      <c r="V8103">
        <v>0.1146163</v>
      </c>
      <c r="W8103">
        <v>0.17282520000000001</v>
      </c>
      <c r="X8103">
        <v>0.97826100000000005</v>
      </c>
      <c r="Y8103">
        <v>6.6995219999999899E-3</v>
      </c>
      <c r="Z8103">
        <v>-9.56335E-4</v>
      </c>
      <c r="AA8103">
        <v>0.99997709999999995</v>
      </c>
      <c r="AB8103">
        <v>22</v>
      </c>
      <c r="AC8103">
        <v>28.7027</v>
      </c>
      <c r="AD8103">
        <v>-1.122207178364</v>
      </c>
      <c r="AE8103">
        <v>1.28819999999998</v>
      </c>
      <c r="AF8103">
        <v>0.192462374816325</v>
      </c>
      <c r="AG8103">
        <v>-1.122207178364</v>
      </c>
      <c r="AH8103">
        <v>28.6871828307175</v>
      </c>
      <c r="AI8103">
        <v>92.240147557774094</v>
      </c>
      <c r="AJ8103">
        <v>89.615608252194704</v>
      </c>
      <c r="AK8103">
        <v>28.709769234180602</v>
      </c>
      <c r="AL8103">
        <v>80.047877190006702</v>
      </c>
      <c r="AM8103">
        <v>83.317502920277903</v>
      </c>
      <c r="AN8103">
        <v>1.0000000150508599</v>
      </c>
    </row>
    <row r="8104" spans="1:40" x14ac:dyDescent="0.25">
      <c r="A8104" t="str">
        <f>"20190303170445999"</f>
        <v>20190303170445999</v>
      </c>
      <c r="B8104" t="str">
        <f>"1551603885993923"</f>
        <v>1551603885993923</v>
      </c>
      <c r="C8104" t="s">
        <v>40</v>
      </c>
      <c r="D8104">
        <v>4.4365259999999997</v>
      </c>
      <c r="E8104">
        <v>0.46240409999999998</v>
      </c>
      <c r="F8104" t="s">
        <v>42</v>
      </c>
      <c r="G8104">
        <v>-108.79389999999999</v>
      </c>
      <c r="H8104" s="1">
        <v>-7.057517E-7</v>
      </c>
      <c r="I8104">
        <v>138.74170000000001</v>
      </c>
      <c r="J8104">
        <v>-139.08099999999999</v>
      </c>
      <c r="K8104">
        <v>1.122234</v>
      </c>
      <c r="L8104">
        <v>137.3903</v>
      </c>
      <c r="M8104">
        <v>0.99846109999999999</v>
      </c>
      <c r="N8104">
        <v>-2.4345820000000001E-2</v>
      </c>
      <c r="O8104">
        <v>4.9827349999999999E-2</v>
      </c>
      <c r="P8104">
        <v>0.98670809999999998</v>
      </c>
      <c r="Q8104">
        <v>0.14922260000000001</v>
      </c>
      <c r="R8104">
        <v>-6.4341110000000007E-2</v>
      </c>
      <c r="S8104">
        <v>3.0661160000000001</v>
      </c>
      <c r="T8104">
        <v>-0.1127411</v>
      </c>
      <c r="U8104">
        <v>0.13674929999999999</v>
      </c>
      <c r="V8104">
        <v>0.1138348</v>
      </c>
      <c r="W8104">
        <v>0.17283370000000001</v>
      </c>
      <c r="X8104">
        <v>0.97835079999999996</v>
      </c>
      <c r="Y8104">
        <v>5.2824040000000001E-3</v>
      </c>
      <c r="Z8104">
        <v>-7.7772179999999896E-4</v>
      </c>
      <c r="AA8104">
        <v>0.99998580000000004</v>
      </c>
      <c r="AB8104">
        <v>22</v>
      </c>
      <c r="AC8104">
        <v>30.287099999999999</v>
      </c>
      <c r="AD8104">
        <v>-1.1222347057516999</v>
      </c>
      <c r="AE8104">
        <v>1.3514000000000099</v>
      </c>
      <c r="AF8104">
        <v>0.15963424546723601</v>
      </c>
      <c r="AG8104">
        <v>-1.1222347057516999</v>
      </c>
      <c r="AH8104">
        <v>30.275329417707798</v>
      </c>
      <c r="AI8104">
        <v>92.122817353103699</v>
      </c>
      <c r="AJ8104">
        <v>89.697896473919997</v>
      </c>
      <c r="AK8104">
        <v>30.296542132359601</v>
      </c>
      <c r="AL8104">
        <v>80.047383274639301</v>
      </c>
      <c r="AM8104">
        <v>83.363262739191299</v>
      </c>
      <c r="AN8104">
        <v>1.0000000687036801</v>
      </c>
    </row>
    <row r="8105" spans="1:40" x14ac:dyDescent="0.25">
      <c r="A8105" t="str">
        <f>"20190303170446021"</f>
        <v>20190303170446021</v>
      </c>
      <c r="B8105" t="str">
        <f>"1551603886013443"</f>
        <v>1551603886013443</v>
      </c>
      <c r="C8105" t="s">
        <v>40</v>
      </c>
      <c r="D8105">
        <v>4.4374459999999996</v>
      </c>
      <c r="E8105">
        <v>0.46192840000000002</v>
      </c>
      <c r="F8105" t="s">
        <v>42</v>
      </c>
      <c r="G8105">
        <v>-108.4816</v>
      </c>
      <c r="H8105" s="1">
        <v>-8.5217539999999999E-7</v>
      </c>
      <c r="I8105">
        <v>138.7484</v>
      </c>
      <c r="J8105">
        <v>-138.88319999999999</v>
      </c>
      <c r="K8105">
        <v>1.122304</v>
      </c>
      <c r="L8105">
        <v>137.39830000000001</v>
      </c>
      <c r="M8105">
        <v>0.99852700000000005</v>
      </c>
      <c r="N8105">
        <v>-2.450863E-2</v>
      </c>
      <c r="O8105">
        <v>4.8407440000000003E-2</v>
      </c>
      <c r="P8105">
        <v>0.98687939999999996</v>
      </c>
      <c r="Q8105">
        <v>0.147833399999999</v>
      </c>
      <c r="R8105">
        <v>-6.4919329999999997E-2</v>
      </c>
      <c r="S8105">
        <v>3.066284</v>
      </c>
      <c r="T8105">
        <v>-0.1124561</v>
      </c>
      <c r="U8105">
        <v>0.13609309999999999</v>
      </c>
      <c r="V8105">
        <v>0.113007</v>
      </c>
      <c r="W8105">
        <v>0.1716232</v>
      </c>
      <c r="X8105">
        <v>0.97865970000000002</v>
      </c>
      <c r="Y8105">
        <v>4.078173E-3</v>
      </c>
      <c r="Z8105">
        <v>-7.111067E-4</v>
      </c>
      <c r="AA8105">
        <v>0.99999139999999997</v>
      </c>
      <c r="AB8105">
        <v>21</v>
      </c>
      <c r="AC8105">
        <v>30.401599999999899</v>
      </c>
      <c r="AD8105">
        <v>-1.1223048521754</v>
      </c>
      <c r="AE8105">
        <v>1.3500999999999901</v>
      </c>
      <c r="AF8105">
        <v>0.12342157502109299</v>
      </c>
      <c r="AG8105">
        <v>-1.1223048521754</v>
      </c>
      <c r="AH8105">
        <v>30.3899788328544</v>
      </c>
      <c r="AI8105">
        <v>92.114960100898202</v>
      </c>
      <c r="AJ8105">
        <v>89.767308279154904</v>
      </c>
      <c r="AK8105">
        <v>30.410945636854802</v>
      </c>
      <c r="AL8105">
        <v>80.117790810911004</v>
      </c>
      <c r="AM8105">
        <v>83.413160215107993</v>
      </c>
      <c r="AN8105">
        <v>0.99999995661566399</v>
      </c>
    </row>
    <row r="8106" spans="1:40" x14ac:dyDescent="0.25">
      <c r="A8106" t="str">
        <f>"20190303170446041"</f>
        <v>20190303170446041</v>
      </c>
      <c r="B8106" t="str">
        <f>"1551603886033939"</f>
        <v>1551603886033939</v>
      </c>
      <c r="C8106" t="s">
        <v>40</v>
      </c>
      <c r="D8106">
        <v>4.445049</v>
      </c>
      <c r="E8106">
        <v>0.4615206</v>
      </c>
      <c r="F8106" t="s">
        <v>42</v>
      </c>
      <c r="G8106">
        <v>-109.2453</v>
      </c>
      <c r="H8106" s="1">
        <v>-5.1020940000000001E-7</v>
      </c>
      <c r="I8106">
        <v>138.7287</v>
      </c>
      <c r="J8106">
        <v>-138.68729999999999</v>
      </c>
      <c r="K8106">
        <v>1.1223369999999999</v>
      </c>
      <c r="L8106">
        <v>137.40610000000001</v>
      </c>
      <c r="M8106">
        <v>0.99859319999999896</v>
      </c>
      <c r="N8106">
        <v>-2.4552620000000001E-2</v>
      </c>
      <c r="O8106">
        <v>4.7000229999999997E-2</v>
      </c>
      <c r="P8106">
        <v>0.98690180000000005</v>
      </c>
      <c r="Q8106">
        <v>0.14753260000000001</v>
      </c>
      <c r="R8106">
        <v>-6.5263109999999999E-2</v>
      </c>
      <c r="S8106">
        <v>3.0663450000000001</v>
      </c>
      <c r="T8106">
        <v>-0.1161141</v>
      </c>
      <c r="U8106">
        <v>0.13763429999999999</v>
      </c>
      <c r="V8106">
        <v>0.11195330000000001</v>
      </c>
      <c r="W8106">
        <v>0.17138030000000001</v>
      </c>
      <c r="X8106">
        <v>0.97882340000000001</v>
      </c>
      <c r="Y8106">
        <v>2.1697019999999999E-3</v>
      </c>
      <c r="Z8106">
        <v>-6.9094169999999995E-4</v>
      </c>
      <c r="AA8106">
        <v>0.99999740000000004</v>
      </c>
      <c r="AB8106">
        <v>21</v>
      </c>
      <c r="AC8106">
        <v>29.441999999999901</v>
      </c>
      <c r="AD8106">
        <v>-1.1223375102094</v>
      </c>
      <c r="AE8106">
        <v>1.32259999999999</v>
      </c>
      <c r="AF8106">
        <v>6.2969088635576195E-2</v>
      </c>
      <c r="AG8106">
        <v>-1.1223375102094</v>
      </c>
      <c r="AH8106">
        <v>29.428945893646599</v>
      </c>
      <c r="AI8106">
        <v>92.184036995424293</v>
      </c>
      <c r="AJ8106">
        <v>89.877404460027705</v>
      </c>
      <c r="AK8106">
        <v>29.450406839365201</v>
      </c>
      <c r="AL8106">
        <v>80.131917673879499</v>
      </c>
      <c r="AM8106">
        <v>83.475126972524194</v>
      </c>
      <c r="AN8106">
        <v>0.99999999849827004</v>
      </c>
    </row>
    <row r="8107" spans="1:40" x14ac:dyDescent="0.25">
      <c r="A8107" t="str">
        <f>"20190303170446064"</f>
        <v>20190303170446064</v>
      </c>
      <c r="B8107" t="str">
        <f>"1551603886053459"</f>
        <v>1551603886053459</v>
      </c>
      <c r="C8107" t="s">
        <v>40</v>
      </c>
      <c r="D8107">
        <v>4.4667260000000004</v>
      </c>
      <c r="E8107">
        <v>0.46109869999999997</v>
      </c>
      <c r="F8107" t="s">
        <v>42</v>
      </c>
      <c r="G8107">
        <v>-109.3095</v>
      </c>
      <c r="H8107" s="1">
        <v>-4.8182599999999996E-7</v>
      </c>
      <c r="I8107">
        <v>138.74279999999999</v>
      </c>
      <c r="J8107">
        <v>-138.48089999999999</v>
      </c>
      <c r="K8107">
        <v>1.1223069999999999</v>
      </c>
      <c r="L8107">
        <v>137.41390000000001</v>
      </c>
      <c r="M8107">
        <v>0.99866529999999998</v>
      </c>
      <c r="N8107">
        <v>-2.4364400000000001E-2</v>
      </c>
      <c r="O8107">
        <v>4.5541079999999998E-2</v>
      </c>
      <c r="P8107">
        <v>0.98644670000000001</v>
      </c>
      <c r="Q8107">
        <v>0.15015410000000001</v>
      </c>
      <c r="R8107">
        <v>-6.6155610000000004E-2</v>
      </c>
      <c r="S8107">
        <v>3.0665279999999999</v>
      </c>
      <c r="T8107">
        <v>-0.11715250000000001</v>
      </c>
      <c r="U8107">
        <v>0.13952639999999999</v>
      </c>
      <c r="V8107">
        <v>0.1113835</v>
      </c>
      <c r="W8107">
        <v>0.17381559999999999</v>
      </c>
      <c r="X8107">
        <v>0.97845890000000002</v>
      </c>
      <c r="Y8107" s="1">
        <v>9.7512569999999997E-5</v>
      </c>
      <c r="Z8107">
        <v>-6.3084869999999996E-4</v>
      </c>
      <c r="AA8107">
        <v>0.99999979999999999</v>
      </c>
      <c r="AB8107">
        <v>21</v>
      </c>
      <c r="AC8107">
        <v>29.171399999999899</v>
      </c>
      <c r="AD8107">
        <v>-1.1223074818259999</v>
      </c>
      <c r="AE8107">
        <v>1.32889999999997</v>
      </c>
      <c r="AF8107">
        <v>1.3691286446861899E-3</v>
      </c>
      <c r="AG8107">
        <v>-1.1223074818259999</v>
      </c>
      <c r="AH8107">
        <v>29.158583190761998</v>
      </c>
      <c r="AI8107">
        <v>92.204213946688895</v>
      </c>
      <c r="AJ8107">
        <v>89.997309701490593</v>
      </c>
      <c r="AK8107">
        <v>29.1801739139928</v>
      </c>
      <c r="AL8107">
        <v>79.990259107061306</v>
      </c>
      <c r="AM8107">
        <v>83.505654140710504</v>
      </c>
      <c r="AN8107">
        <v>0.99999998293240899</v>
      </c>
    </row>
    <row r="8108" spans="1:40" x14ac:dyDescent="0.25">
      <c r="A8108" t="str">
        <f>"20190303170446087"</f>
        <v>20190303170446087</v>
      </c>
      <c r="B8108" t="str">
        <f>"1551603886073957"</f>
        <v>1551603886073957</v>
      </c>
      <c r="C8108" t="s">
        <v>40</v>
      </c>
      <c r="D8108">
        <v>4.5967070000000003</v>
      </c>
      <c r="E8108">
        <v>0.4609065</v>
      </c>
      <c r="F8108" t="s">
        <v>42</v>
      </c>
      <c r="G8108">
        <v>-106.6289</v>
      </c>
      <c r="H8108" s="1">
        <v>-1.705031E-6</v>
      </c>
      <c r="I8108">
        <v>138.87780000000001</v>
      </c>
      <c r="J8108">
        <v>-138.27209999999999</v>
      </c>
      <c r="K8108">
        <v>1.1222909999999999</v>
      </c>
      <c r="L8108">
        <v>137.42160000000001</v>
      </c>
      <c r="M8108">
        <v>0.99873599999999996</v>
      </c>
      <c r="N8108">
        <v>-2.4091890000000001E-2</v>
      </c>
      <c r="O8108">
        <v>4.4113029999999998E-2</v>
      </c>
      <c r="P8108">
        <v>0.98602009999999995</v>
      </c>
      <c r="Q8108">
        <v>0.1523176</v>
      </c>
      <c r="R8108">
        <v>-6.7555770000000001E-2</v>
      </c>
      <c r="S8108">
        <v>3.067123</v>
      </c>
      <c r="T8108">
        <v>-0.1080705</v>
      </c>
      <c r="U8108">
        <v>0.14096069999999999</v>
      </c>
      <c r="V8108">
        <v>0.11134670000000001</v>
      </c>
      <c r="W8108">
        <v>0.17571339999999999</v>
      </c>
      <c r="X8108">
        <v>0.97812410000000005</v>
      </c>
      <c r="Y8108">
        <v>-1.7869660000000001E-3</v>
      </c>
      <c r="Z8108">
        <v>-4.364646E-4</v>
      </c>
      <c r="AA8108">
        <v>0.99999830000000001</v>
      </c>
      <c r="AB8108">
        <v>21</v>
      </c>
      <c r="AC8108">
        <v>31.6432</v>
      </c>
      <c r="AD8108">
        <v>-1.1222927050310001</v>
      </c>
      <c r="AE8108">
        <v>1.4561999999999899</v>
      </c>
      <c r="AF8108">
        <v>-5.84255732860001E-2</v>
      </c>
      <c r="AG8108">
        <v>-1.1222927050310001</v>
      </c>
      <c r="AH8108">
        <v>31.636922488102201</v>
      </c>
      <c r="AI8108">
        <v>92.031663260079199</v>
      </c>
      <c r="AJ8108">
        <v>90.105811017509595</v>
      </c>
      <c r="AK8108">
        <v>31.656876330136701</v>
      </c>
      <c r="AL8108">
        <v>79.879823969624198</v>
      </c>
      <c r="AM8108">
        <v>83.505578260532204</v>
      </c>
      <c r="AN8108">
        <v>1.0000000207706199</v>
      </c>
    </row>
    <row r="8109" spans="1:40" x14ac:dyDescent="0.25">
      <c r="A8109" t="str">
        <f>"20190303170446109"</f>
        <v>20190303170446109</v>
      </c>
      <c r="B8109" t="str">
        <f>"1551603886103954"</f>
        <v>1551603886103954</v>
      </c>
      <c r="C8109" t="s">
        <v>40</v>
      </c>
      <c r="D8109">
        <v>4.4729109999999999</v>
      </c>
      <c r="E8109">
        <v>0.46079059999999999</v>
      </c>
      <c r="F8109" t="s">
        <v>42</v>
      </c>
      <c r="G8109">
        <v>-104.04259999999999</v>
      </c>
      <c r="H8109" s="1">
        <v>-2.910856E-6</v>
      </c>
      <c r="I8109">
        <v>138.97200000000001</v>
      </c>
      <c r="J8109">
        <v>-138.0677</v>
      </c>
      <c r="K8109">
        <v>1.122322</v>
      </c>
      <c r="L8109">
        <v>137.4289</v>
      </c>
      <c r="M8109">
        <v>0.99879980000000002</v>
      </c>
      <c r="N8109">
        <v>-2.3888630000000001E-2</v>
      </c>
      <c r="O8109">
        <v>4.2761710000000001E-2</v>
      </c>
      <c r="P8109">
        <v>0.98590619999999995</v>
      </c>
      <c r="Q8109">
        <v>0.1521412</v>
      </c>
      <c r="R8109">
        <v>-6.9587040000000003E-2</v>
      </c>
      <c r="S8109">
        <v>3.067612</v>
      </c>
      <c r="T8109">
        <v>-0.1005788</v>
      </c>
      <c r="U8109">
        <v>0.1389465</v>
      </c>
      <c r="V8109">
        <v>0.11201419999999999</v>
      </c>
      <c r="W8109">
        <v>0.17535329999999999</v>
      </c>
      <c r="X8109">
        <v>0.97811250000000005</v>
      </c>
      <c r="Y8109">
        <v>-2.4761649999999998E-3</v>
      </c>
      <c r="Z8109">
        <v>-3.0856930000000001E-4</v>
      </c>
      <c r="AA8109">
        <v>0.99999689999999997</v>
      </c>
      <c r="AB8109">
        <v>20</v>
      </c>
      <c r="AC8109">
        <v>34.025100000000002</v>
      </c>
      <c r="AD8109">
        <v>-1.1223249108560001</v>
      </c>
      <c r="AE8109">
        <v>1.5430999999999999</v>
      </c>
      <c r="AF8109">
        <v>-8.6207525550142397E-2</v>
      </c>
      <c r="AG8109">
        <v>-1.1223249108560001</v>
      </c>
      <c r="AH8109">
        <v>34.023022008160503</v>
      </c>
      <c r="AI8109">
        <v>91.889337319564405</v>
      </c>
      <c r="AJ8109">
        <v>90.145175722625396</v>
      </c>
      <c r="AK8109">
        <v>34.041637321238902</v>
      </c>
      <c r="AL8109">
        <v>79.9007814859646</v>
      </c>
      <c r="AM8109">
        <v>83.466904343572693</v>
      </c>
      <c r="AN8109">
        <v>1.0000000117393899</v>
      </c>
    </row>
    <row r="8110" spans="1:40" x14ac:dyDescent="0.25">
      <c r="A8110" t="str">
        <f>"20190303170446133"</f>
        <v>20190303170446133</v>
      </c>
      <c r="B8110" t="str">
        <f>"1551603886123474"</f>
        <v>1551603886123474</v>
      </c>
      <c r="C8110" t="s">
        <v>40</v>
      </c>
      <c r="D8110">
        <v>4.5115619999999996</v>
      </c>
      <c r="E8110">
        <v>0.46055570000000001</v>
      </c>
      <c r="F8110" t="s">
        <v>42</v>
      </c>
      <c r="G8110">
        <v>-103.9636</v>
      </c>
      <c r="H8110" s="1">
        <v>-2.9582319999999999E-6</v>
      </c>
      <c r="I8110">
        <v>138.91560000000001</v>
      </c>
      <c r="J8110">
        <v>-137.8597</v>
      </c>
      <c r="K8110">
        <v>1.1223829999999999</v>
      </c>
      <c r="L8110">
        <v>137.43610000000001</v>
      </c>
      <c r="M8110">
        <v>0.99885880000000005</v>
      </c>
      <c r="N8110">
        <v>-2.3735240000000001E-2</v>
      </c>
      <c r="O8110">
        <v>4.1448760000000001E-2</v>
      </c>
      <c r="P8110">
        <v>0.98600330000000003</v>
      </c>
      <c r="Q8110">
        <v>0.1500937</v>
      </c>
      <c r="R8110">
        <v>-7.2592539999999997E-2</v>
      </c>
      <c r="S8110">
        <v>3.067917</v>
      </c>
      <c r="T8110">
        <v>-0.1009613</v>
      </c>
      <c r="U8110">
        <v>0.13374330000000001</v>
      </c>
      <c r="V8110">
        <v>0.113691</v>
      </c>
      <c r="W8110">
        <v>0.17317879999999899</v>
      </c>
      <c r="X8110">
        <v>0.97830640000000002</v>
      </c>
      <c r="Y8110">
        <v>-2.0940329999999999E-3</v>
      </c>
      <c r="Z8110">
        <v>-3.1927449999999999E-4</v>
      </c>
      <c r="AA8110">
        <v>0.99999769999999999</v>
      </c>
      <c r="AB8110">
        <v>20</v>
      </c>
      <c r="AC8110">
        <v>33.896099999999997</v>
      </c>
      <c r="AD8110">
        <v>-1.1223859582319999</v>
      </c>
      <c r="AE8110">
        <v>1.4795</v>
      </c>
      <c r="AF8110">
        <v>-7.2801132858398093E-2</v>
      </c>
      <c r="AG8110">
        <v>-1.1223859582319999</v>
      </c>
      <c r="AH8110">
        <v>33.891206009721301</v>
      </c>
      <c r="AI8110">
        <v>91.896785129258404</v>
      </c>
      <c r="AJ8110">
        <v>90.123075916499104</v>
      </c>
      <c r="AK8110">
        <v>33.909864273357798</v>
      </c>
      <c r="AL8110">
        <v>80.027306847243196</v>
      </c>
      <c r="AM8110">
        <v>83.371273690592005</v>
      </c>
      <c r="AN8110">
        <v>0.99999997626569903</v>
      </c>
    </row>
    <row r="8111" spans="1:40" x14ac:dyDescent="0.25">
      <c r="A8111" t="str">
        <f>"20190303170446155"</f>
        <v>20190303170446155</v>
      </c>
      <c r="B8111" t="str">
        <f>"1551603886143971"</f>
        <v>1551603886143971</v>
      </c>
      <c r="C8111" t="s">
        <v>40</v>
      </c>
      <c r="D8111">
        <v>4.5113479999999999</v>
      </c>
      <c r="E8111">
        <v>0.46035480000000001</v>
      </c>
      <c r="F8111" t="s">
        <v>42</v>
      </c>
      <c r="G8111">
        <v>-105.816</v>
      </c>
      <c r="H8111" s="1">
        <v>-2.1102620000000002E-6</v>
      </c>
      <c r="I8111">
        <v>138.7594</v>
      </c>
      <c r="J8111">
        <v>-137.66890000000001</v>
      </c>
      <c r="K8111">
        <v>1.1224430000000001</v>
      </c>
      <c r="L8111">
        <v>137.4427</v>
      </c>
      <c r="M8111">
        <v>0.99890760000000001</v>
      </c>
      <c r="N8111">
        <v>-2.3582369999999998E-2</v>
      </c>
      <c r="O8111">
        <v>4.0343410000000003E-2</v>
      </c>
      <c r="P8111">
        <v>0.98604829999999999</v>
      </c>
      <c r="Q8111">
        <v>0.14824109999999999</v>
      </c>
      <c r="R8111">
        <v>-7.5718129999999995E-2</v>
      </c>
      <c r="S8111">
        <v>3.068314</v>
      </c>
      <c r="T8111">
        <v>-0.1074731</v>
      </c>
      <c r="U8111">
        <v>0.12670899999999999</v>
      </c>
      <c r="V8111">
        <v>0.11569309999999999</v>
      </c>
      <c r="W8111">
        <v>0.17119709999999999</v>
      </c>
      <c r="X8111">
        <v>0.97842050000000003</v>
      </c>
      <c r="Y8111">
        <v>-9.0861879999999998E-4</v>
      </c>
      <c r="Z8111">
        <v>-4.3344E-4</v>
      </c>
      <c r="AA8111">
        <v>0.99999950000000004</v>
      </c>
      <c r="AB8111">
        <v>20</v>
      </c>
      <c r="AC8111">
        <v>31.852900000000002</v>
      </c>
      <c r="AD8111">
        <v>-1.1224451102619999</v>
      </c>
      <c r="AE8111">
        <v>1.31669999999999</v>
      </c>
      <c r="AF8111">
        <v>-3.0178024355522699E-2</v>
      </c>
      <c r="AG8111">
        <v>-1.1224451102619999</v>
      </c>
      <c r="AH8111">
        <v>31.840617741436301</v>
      </c>
      <c r="AI8111">
        <v>92.018953247095794</v>
      </c>
      <c r="AJ8111">
        <v>90.054304000189802</v>
      </c>
      <c r="AK8111">
        <v>31.860410102429199</v>
      </c>
      <c r="AL8111">
        <v>80.142571809019103</v>
      </c>
      <c r="AM8111">
        <v>83.256387141178806</v>
      </c>
      <c r="AN8111">
        <v>1.0000000076281299</v>
      </c>
    </row>
    <row r="8112" spans="1:40" x14ac:dyDescent="0.25">
      <c r="A8112" t="str">
        <f>"20190303170446177"</f>
        <v>20190303170446177</v>
      </c>
      <c r="B8112" t="str">
        <f>"1551603886163490"</f>
        <v>1551603886163490</v>
      </c>
      <c r="C8112" t="s">
        <v>40</v>
      </c>
      <c r="D8112">
        <v>4.6472939999999996</v>
      </c>
      <c r="E8112">
        <v>0.48079680000000002</v>
      </c>
      <c r="F8112" t="s">
        <v>42</v>
      </c>
      <c r="G8112">
        <v>-107.3117</v>
      </c>
      <c r="H8112" s="1">
        <v>-1.4267780000000001E-6</v>
      </c>
      <c r="I8112">
        <v>138.62690000000001</v>
      </c>
      <c r="J8112">
        <v>-137.4794</v>
      </c>
      <c r="K8112">
        <v>1.122493</v>
      </c>
      <c r="L8112">
        <v>137.44909999999999</v>
      </c>
      <c r="M8112">
        <v>0.99895009999999995</v>
      </c>
      <c r="N8112">
        <v>-2.3407919999999999E-2</v>
      </c>
      <c r="O8112">
        <v>3.9380369999999998E-2</v>
      </c>
      <c r="P8112">
        <v>0.98599130000000001</v>
      </c>
      <c r="Q8112">
        <v>0.14720929999999999</v>
      </c>
      <c r="R8112">
        <v>-7.8426650000000001E-2</v>
      </c>
      <c r="S8112">
        <v>3.068695</v>
      </c>
      <c r="T8112">
        <v>-0.1134636</v>
      </c>
      <c r="U8112">
        <v>0.119705199999999</v>
      </c>
      <c r="V8112">
        <v>0.1174181</v>
      </c>
      <c r="W8112">
        <v>0.1700121</v>
      </c>
      <c r="X8112">
        <v>0.9784216</v>
      </c>
      <c r="Y8112">
        <v>4.0856360000000001E-4</v>
      </c>
      <c r="Z8112">
        <v>-5.4496570000000003E-4</v>
      </c>
      <c r="AA8112">
        <v>0.99999979999999999</v>
      </c>
      <c r="AB8112">
        <v>20</v>
      </c>
      <c r="AC8112">
        <v>30.1677</v>
      </c>
      <c r="AD8112">
        <v>-1.1224944267779999</v>
      </c>
      <c r="AE8112">
        <v>1.17780000000001</v>
      </c>
      <c r="AF8112">
        <v>1.14390856939368E-2</v>
      </c>
      <c r="AG8112">
        <v>-1.1224944267779999</v>
      </c>
      <c r="AH8112">
        <v>30.149003855811099</v>
      </c>
      <c r="AI8112">
        <v>92.1322262038357</v>
      </c>
      <c r="AJ8112">
        <v>89.978260930164197</v>
      </c>
      <c r="AK8112">
        <v>30.169894896875899</v>
      </c>
      <c r="AL8112">
        <v>80.211477184508496</v>
      </c>
      <c r="AM8112">
        <v>83.156793165091599</v>
      </c>
      <c r="AN8112">
        <v>0.99999997585028899</v>
      </c>
    </row>
    <row r="8113" spans="1:40" x14ac:dyDescent="0.25">
      <c r="A8113" t="str">
        <f>"20190303170446198"</f>
        <v>20190303170446198</v>
      </c>
      <c r="B8113" t="str">
        <f>"1551603886193746"</f>
        <v>1551603886193746</v>
      </c>
      <c r="C8113" t="s">
        <v>40</v>
      </c>
      <c r="D8113">
        <v>4.5492739999999996</v>
      </c>
      <c r="E8113">
        <v>0.51416229999999996</v>
      </c>
      <c r="F8113" t="s">
        <v>42</v>
      </c>
      <c r="G8113">
        <v>-119.8672</v>
      </c>
      <c r="H8113" s="1">
        <v>-6.7963129999999996E-7</v>
      </c>
      <c r="I8113">
        <v>137.17939999999999</v>
      </c>
      <c r="J8113">
        <v>-137.28659999999999</v>
      </c>
      <c r="K8113">
        <v>1.122552</v>
      </c>
      <c r="L8113">
        <v>137.4555</v>
      </c>
      <c r="M8113">
        <v>0.99898710000000002</v>
      </c>
      <c r="N8113">
        <v>-2.3239860000000001E-2</v>
      </c>
      <c r="O8113">
        <v>3.853239E-2</v>
      </c>
      <c r="P8113">
        <v>0.98594809999999999</v>
      </c>
      <c r="Q8113">
        <v>0.14712890000000001</v>
      </c>
      <c r="R8113">
        <v>-7.9117460000000001E-2</v>
      </c>
      <c r="S8113">
        <v>3.068085</v>
      </c>
      <c r="T8113">
        <v>-0.1955414</v>
      </c>
      <c r="U8113">
        <v>-4.6966550000000003E-2</v>
      </c>
      <c r="V8113">
        <v>0.11724229999999999</v>
      </c>
      <c r="W8113">
        <v>0.169789</v>
      </c>
      <c r="X8113">
        <v>0.9784815</v>
      </c>
      <c r="Y8113">
        <v>5.3653079999999999E-2</v>
      </c>
      <c r="Z8113">
        <v>-3.8901959999999998E-3</v>
      </c>
      <c r="AA8113">
        <v>0.99855210000000005</v>
      </c>
      <c r="AB8113">
        <v>20</v>
      </c>
      <c r="AC8113">
        <v>17.4193999999999</v>
      </c>
      <c r="AD8113">
        <v>-1.1225526796312999</v>
      </c>
      <c r="AE8113">
        <v>-0.276100000000013</v>
      </c>
      <c r="AF8113">
        <v>0.94337056849405798</v>
      </c>
      <c r="AG8113">
        <v>-1.1225526796312999</v>
      </c>
      <c r="AH8113">
        <v>17.323889271104399</v>
      </c>
      <c r="AI8113">
        <v>93.701996989081294</v>
      </c>
      <c r="AJ8113">
        <v>86.883042860583203</v>
      </c>
      <c r="AK8113">
        <v>17.3858336592047</v>
      </c>
      <c r="AL8113">
        <v>80.224449227736002</v>
      </c>
      <c r="AM8113">
        <v>83.1673563112615</v>
      </c>
      <c r="AN8113">
        <v>1.0000000536362601</v>
      </c>
    </row>
    <row r="8114" spans="1:40" x14ac:dyDescent="0.25">
      <c r="A8114" t="str">
        <f>"20190303170446221"</f>
        <v>20190303170446221</v>
      </c>
      <c r="B8114" t="str">
        <f>"1551603886213266"</f>
        <v>1551603886213266</v>
      </c>
      <c r="C8114" t="s">
        <v>40</v>
      </c>
      <c r="D8114">
        <v>4.5679569999999998</v>
      </c>
      <c r="E8114">
        <v>0.5156037</v>
      </c>
      <c r="F8114" t="s">
        <v>43</v>
      </c>
      <c r="G8114">
        <v>-136.44329999999999</v>
      </c>
      <c r="H8114">
        <v>0.97501850000000001</v>
      </c>
      <c r="I8114">
        <v>137.37459999999999</v>
      </c>
      <c r="J8114">
        <v>-137.09630000000001</v>
      </c>
      <c r="K8114">
        <v>1.122622</v>
      </c>
      <c r="L8114">
        <v>137.46180000000001</v>
      </c>
      <c r="M8114">
        <v>0.99901879999999998</v>
      </c>
      <c r="N8114">
        <v>-2.3099870000000002E-2</v>
      </c>
      <c r="O8114">
        <v>3.7786350000000003E-2</v>
      </c>
      <c r="P8114">
        <v>0.98600169999999998</v>
      </c>
      <c r="Q8114">
        <v>0.14731859999999999</v>
      </c>
      <c r="R8114">
        <v>-7.8090699999999999E-2</v>
      </c>
      <c r="S8114">
        <v>3.0998540000000001</v>
      </c>
      <c r="T8114">
        <v>-0.5423789</v>
      </c>
      <c r="U8114">
        <v>-0.29701230000000001</v>
      </c>
      <c r="V8114">
        <v>0.11545660000000001</v>
      </c>
      <c r="W8114">
        <v>0.1698665</v>
      </c>
      <c r="X8114">
        <v>0.97868029999999995</v>
      </c>
      <c r="Y8114">
        <v>0.13027739999999999</v>
      </c>
      <c r="Z8114">
        <v>-1.8490800000000002E-2</v>
      </c>
      <c r="AA8114">
        <v>0.9913052</v>
      </c>
      <c r="AB8114">
        <v>19</v>
      </c>
      <c r="AC8114">
        <v>0.65300000000002001</v>
      </c>
      <c r="AD8114">
        <v>-0.1476035</v>
      </c>
      <c r="AE8114">
        <v>-8.7200000000024105E-2</v>
      </c>
      <c r="AF8114">
        <v>0.106473933110404</v>
      </c>
      <c r="AG8114">
        <v>-0.1476035</v>
      </c>
      <c r="AH8114">
        <v>0.61820461205095301</v>
      </c>
      <c r="AI8114">
        <v>103.240687280312</v>
      </c>
      <c r="AJ8114">
        <v>80.227770095721993</v>
      </c>
      <c r="AK8114">
        <v>0.64443807616040005</v>
      </c>
      <c r="AL8114">
        <v>80.219942742483497</v>
      </c>
      <c r="AM8114">
        <v>83.271816020285002</v>
      </c>
      <c r="AN8114">
        <v>0.999999991956949</v>
      </c>
    </row>
    <row r="8115" spans="1:40" x14ac:dyDescent="0.25">
      <c r="A8115" t="str">
        <f>"20190303170446243"</f>
        <v>20190303170446243</v>
      </c>
      <c r="B8115" t="str">
        <f>"1551603886233762"</f>
        <v>1551603886233762</v>
      </c>
      <c r="C8115" t="s">
        <v>40</v>
      </c>
      <c r="D8115">
        <v>4.5371420000000002</v>
      </c>
      <c r="E8115">
        <v>0.51637479999999902</v>
      </c>
      <c r="F8115" t="s">
        <v>43</v>
      </c>
      <c r="G8115">
        <v>-136.27940000000001</v>
      </c>
      <c r="H8115">
        <v>0.96306550000000002</v>
      </c>
      <c r="I8115">
        <v>137.38220000000001</v>
      </c>
      <c r="J8115">
        <v>-136.90780000000001</v>
      </c>
      <c r="K8115">
        <v>1.1226860000000001</v>
      </c>
      <c r="L8115">
        <v>137.46799999999999</v>
      </c>
      <c r="M8115">
        <v>0.99904680000000001</v>
      </c>
      <c r="N8115">
        <v>-2.2980770000000001E-2</v>
      </c>
      <c r="O8115">
        <v>3.7111459999999999E-2</v>
      </c>
      <c r="P8115">
        <v>0.98592100000000005</v>
      </c>
      <c r="Q8115">
        <v>0.1479791</v>
      </c>
      <c r="R8115">
        <v>-7.7857910000000002E-2</v>
      </c>
      <c r="S8115">
        <v>3.1093440000000001</v>
      </c>
      <c r="T8115">
        <v>-0.60727640000000005</v>
      </c>
      <c r="U8115">
        <v>-0.30256650000000002</v>
      </c>
      <c r="V8115">
        <v>0.11453389999999999</v>
      </c>
      <c r="W8115">
        <v>0.170427</v>
      </c>
      <c r="X8115">
        <v>0.97869130000000004</v>
      </c>
      <c r="Y8115">
        <v>0.13045109999999999</v>
      </c>
      <c r="Z8115">
        <v>-2.043116E-2</v>
      </c>
      <c r="AA8115">
        <v>0.99124420000000002</v>
      </c>
      <c r="AB8115">
        <v>19</v>
      </c>
      <c r="AC8115">
        <v>0.62839999999999896</v>
      </c>
      <c r="AD8115">
        <v>-0.1596205</v>
      </c>
      <c r="AE8115">
        <v>-8.5799999999977603E-2</v>
      </c>
      <c r="AF8115">
        <v>0.102570946215708</v>
      </c>
      <c r="AG8115">
        <v>-0.1596205</v>
      </c>
      <c r="AH8115">
        <v>0.58756506815470899</v>
      </c>
      <c r="AI8115">
        <v>104.982252578706</v>
      </c>
      <c r="AJ8115">
        <v>80.097688557367206</v>
      </c>
      <c r="AK8115">
        <v>0.61744004757019499</v>
      </c>
      <c r="AL8115">
        <v>80.187353525864296</v>
      </c>
      <c r="AM8115">
        <v>83.325173195456699</v>
      </c>
      <c r="AN8115">
        <v>1.00000001863694</v>
      </c>
    </row>
    <row r="8116" spans="1:40" x14ac:dyDescent="0.25">
      <c r="A8116" t="str">
        <f>"20190303170446264"</f>
        <v>20190303170446264</v>
      </c>
      <c r="B8116" t="str">
        <f>"1551603886253282"</f>
        <v>1551603886253282</v>
      </c>
      <c r="C8116" t="s">
        <v>40</v>
      </c>
      <c r="D8116">
        <v>4.5485239999999996</v>
      </c>
      <c r="E8116">
        <v>0.51683579999999996</v>
      </c>
      <c r="F8116" t="s">
        <v>43</v>
      </c>
      <c r="G8116">
        <v>-136.1121</v>
      </c>
      <c r="H8116">
        <v>0.96078180000000002</v>
      </c>
      <c r="I8116">
        <v>137.3895</v>
      </c>
      <c r="J8116">
        <v>-136.72290000000001</v>
      </c>
      <c r="K8116">
        <v>1.1227370000000001</v>
      </c>
      <c r="L8116">
        <v>137.47399999999999</v>
      </c>
      <c r="M8116">
        <v>0.99907170000000001</v>
      </c>
      <c r="N8116">
        <v>-2.288511E-2</v>
      </c>
      <c r="O8116">
        <v>3.6497479999999999E-2</v>
      </c>
      <c r="P8116">
        <v>0.9858595</v>
      </c>
      <c r="Q8116">
        <v>0.14850829999999901</v>
      </c>
      <c r="R8116">
        <v>-7.7630069999999995E-2</v>
      </c>
      <c r="S8116">
        <v>3.1137079999999999</v>
      </c>
      <c r="T8116">
        <v>-0.63362499999999999</v>
      </c>
      <c r="U8116">
        <v>-0.30662539999999999</v>
      </c>
      <c r="V8116">
        <v>0.1136831</v>
      </c>
      <c r="W8116">
        <v>0.17087529999999901</v>
      </c>
      <c r="X8116">
        <v>0.97871229999999998</v>
      </c>
      <c r="Y8116">
        <v>0.1307208</v>
      </c>
      <c r="Z8116">
        <v>-2.116204E-2</v>
      </c>
      <c r="AA8116">
        <v>0.9911934</v>
      </c>
      <c r="AB8116">
        <v>19</v>
      </c>
      <c r="AC8116">
        <v>0.610800000000011</v>
      </c>
      <c r="AD8116">
        <v>-0.16195519999999899</v>
      </c>
      <c r="AE8116">
        <v>-8.4499999999991304E-2</v>
      </c>
      <c r="AF8116">
        <v>9.9853705197291504E-2</v>
      </c>
      <c r="AG8116">
        <v>-0.16195519999999899</v>
      </c>
      <c r="AH8116">
        <v>0.568116164037339</v>
      </c>
      <c r="AI8116">
        <v>105.68316044094</v>
      </c>
      <c r="AJ8116">
        <v>80.031351761952493</v>
      </c>
      <c r="AK8116">
        <v>0.59912955618060504</v>
      </c>
      <c r="AL8116">
        <v>80.161285171971102</v>
      </c>
      <c r="AM8116">
        <v>83.374454687193506</v>
      </c>
      <c r="AN8116">
        <v>0.999999990773495</v>
      </c>
    </row>
    <row r="8117" spans="1:40" x14ac:dyDescent="0.25">
      <c r="A8117" t="str">
        <f>"20190303170446288"</f>
        <v>20190303170446288</v>
      </c>
      <c r="B8117" t="str">
        <f>"1551603886284043"</f>
        <v>1551603886284043</v>
      </c>
      <c r="C8117" t="s">
        <v>40</v>
      </c>
      <c r="D8117">
        <v>4.5761779999999996</v>
      </c>
      <c r="E8117">
        <v>0.51703169999999998</v>
      </c>
      <c r="F8117" t="s">
        <v>43</v>
      </c>
      <c r="G8117">
        <v>-135.9453</v>
      </c>
      <c r="H8117">
        <v>0.96109869999999997</v>
      </c>
      <c r="I8117">
        <v>137.39689999999999</v>
      </c>
      <c r="J8117">
        <v>-136.52940000000001</v>
      </c>
      <c r="K8117">
        <v>1.12279</v>
      </c>
      <c r="L8117">
        <v>137.4803</v>
      </c>
      <c r="M8117">
        <v>0.99909499999999996</v>
      </c>
      <c r="N8117">
        <v>-2.2834799999999999E-2</v>
      </c>
      <c r="O8117">
        <v>3.5889419999999998E-2</v>
      </c>
      <c r="P8117">
        <v>0.98591200000000001</v>
      </c>
      <c r="Q8117">
        <v>0.1485937</v>
      </c>
      <c r="R8117">
        <v>-7.6796859999999995E-2</v>
      </c>
      <c r="S8117">
        <v>3.1162869999999998</v>
      </c>
      <c r="T8117">
        <v>-0.6477619</v>
      </c>
      <c r="U8117">
        <v>-0.30900569999999999</v>
      </c>
      <c r="V8117">
        <v>0.1122431</v>
      </c>
      <c r="W8117">
        <v>0.1709232</v>
      </c>
      <c r="X8117">
        <v>0.97887020000000002</v>
      </c>
      <c r="Y8117">
        <v>0.13065089999999999</v>
      </c>
      <c r="Z8117">
        <v>-2.147226E-2</v>
      </c>
      <c r="AA8117">
        <v>0.99119590000000002</v>
      </c>
      <c r="AB8117">
        <v>19</v>
      </c>
      <c r="AC8117">
        <v>0.58410000000000595</v>
      </c>
      <c r="AD8117">
        <v>-0.16169129999999901</v>
      </c>
      <c r="AE8117">
        <v>-8.3400000000011604E-2</v>
      </c>
      <c r="AF8117">
        <v>9.7028015098173007E-2</v>
      </c>
      <c r="AG8117">
        <v>-0.16169129999999901</v>
      </c>
      <c r="AH8117">
        <v>0.54016381217172404</v>
      </c>
      <c r="AI8117">
        <v>106.416140784793</v>
      </c>
      <c r="AJ8117">
        <v>79.8167272206679</v>
      </c>
      <c r="AK8117">
        <v>0.57213237645624504</v>
      </c>
      <c r="AL8117">
        <v>80.158500425268301</v>
      </c>
      <c r="AM8117">
        <v>83.458693078001303</v>
      </c>
      <c r="AN8117">
        <v>1.00000006112194</v>
      </c>
    </row>
    <row r="8118" spans="1:40" x14ac:dyDescent="0.25">
      <c r="A8118" t="str">
        <f>"20190303170446311"</f>
        <v>20190303170446311</v>
      </c>
      <c r="B8118" t="str">
        <f>"1551603886303564"</f>
        <v>1551603886303564</v>
      </c>
      <c r="C8118" t="s">
        <v>40</v>
      </c>
      <c r="D8118">
        <v>4.5827770000000001</v>
      </c>
      <c r="E8118">
        <v>0.51712760000000002</v>
      </c>
      <c r="F8118" t="s">
        <v>43</v>
      </c>
      <c r="G8118">
        <v>-135.77879999999999</v>
      </c>
      <c r="H8118">
        <v>0.96408669999999996</v>
      </c>
      <c r="I8118">
        <v>137.40600000000001</v>
      </c>
      <c r="J8118">
        <v>-136.34889999999999</v>
      </c>
      <c r="K8118">
        <v>1.1230089999999999</v>
      </c>
      <c r="L8118">
        <v>137.48609999999999</v>
      </c>
      <c r="M8118">
        <v>0.99909990000000004</v>
      </c>
      <c r="N8118">
        <v>-2.343141E-2</v>
      </c>
      <c r="O8118">
        <v>3.5360460000000003E-2</v>
      </c>
      <c r="P8118">
        <v>0.98587270000000005</v>
      </c>
      <c r="Q8118">
        <v>0.14928620000000001</v>
      </c>
      <c r="R8118">
        <v>-7.5951950000000004E-2</v>
      </c>
      <c r="S8118">
        <v>3.1182400000000001</v>
      </c>
      <c r="T8118">
        <v>-0.65932170000000001</v>
      </c>
      <c r="U8118">
        <v>-0.308197</v>
      </c>
      <c r="V8118">
        <v>0.11086790000000001</v>
      </c>
      <c r="W8118">
        <v>0.172208</v>
      </c>
      <c r="X8118">
        <v>0.9788017</v>
      </c>
      <c r="Y8118">
        <v>0.12971489999999999</v>
      </c>
      <c r="Z8118">
        <v>-2.163464E-2</v>
      </c>
      <c r="AA8118">
        <v>0.99131530000000001</v>
      </c>
      <c r="AB8118">
        <v>19</v>
      </c>
      <c r="AC8118">
        <v>0.57009999999999605</v>
      </c>
      <c r="AD8118">
        <v>-0.15892229999999899</v>
      </c>
      <c r="AE8118">
        <v>-8.0099999999987403E-2</v>
      </c>
      <c r="AF8118">
        <v>9.3118417213636201E-2</v>
      </c>
      <c r="AG8118">
        <v>-0.15892229999999899</v>
      </c>
      <c r="AH8118">
        <v>0.52676827025724504</v>
      </c>
      <c r="AI8118">
        <v>106.545995720562</v>
      </c>
      <c r="AJ8118">
        <v>79.975216416007299</v>
      </c>
      <c r="AK8118">
        <v>0.55804314135331201</v>
      </c>
      <c r="AL8118">
        <v>80.083778548304394</v>
      </c>
      <c r="AM8118">
        <v>83.5377066191773</v>
      </c>
      <c r="AN8118">
        <v>1.00000002721864</v>
      </c>
    </row>
    <row r="8119" spans="1:40" x14ac:dyDescent="0.25">
      <c r="A8119" t="str">
        <f>"20190303170446332"</f>
        <v>20190303170446332</v>
      </c>
      <c r="B8119" t="str">
        <f>"1551603886324060"</f>
        <v>1551603886324060</v>
      </c>
      <c r="C8119" t="s">
        <v>40</v>
      </c>
      <c r="D8119">
        <v>4.5944129999999896</v>
      </c>
      <c r="E8119">
        <v>0.51731559999999999</v>
      </c>
      <c r="F8119" t="s">
        <v>43</v>
      </c>
      <c r="G8119">
        <v>-135.6165</v>
      </c>
      <c r="H8119">
        <v>0.96753440000000002</v>
      </c>
      <c r="I8119">
        <v>137.41399999999999</v>
      </c>
      <c r="J8119">
        <v>-136.17410000000001</v>
      </c>
      <c r="K8119">
        <v>1.1233660000000001</v>
      </c>
      <c r="L8119">
        <v>137.49170000000001</v>
      </c>
      <c r="M8119">
        <v>0.9990869</v>
      </c>
      <c r="N8119">
        <v>-2.4660560000000002E-2</v>
      </c>
      <c r="O8119">
        <v>3.4890560000000001E-2</v>
      </c>
      <c r="P8119">
        <v>0.98590029999999995</v>
      </c>
      <c r="Q8119">
        <v>0.14947859999999999</v>
      </c>
      <c r="R8119">
        <v>-7.5212600000000004E-2</v>
      </c>
      <c r="S8119">
        <v>3.1195979999999999</v>
      </c>
      <c r="T8119">
        <v>-0.66221809999999903</v>
      </c>
      <c r="U8119">
        <v>-0.307251</v>
      </c>
      <c r="V8119">
        <v>0.1096593</v>
      </c>
      <c r="W8119">
        <v>0.17361370000000001</v>
      </c>
      <c r="X8119">
        <v>0.97868949999999999</v>
      </c>
      <c r="Y8119">
        <v>0.12889980000000001</v>
      </c>
      <c r="Z8119">
        <v>-2.157152E-2</v>
      </c>
      <c r="AA8119">
        <v>0.99142300000000005</v>
      </c>
      <c r="AB8119">
        <v>18</v>
      </c>
      <c r="AC8119">
        <v>0.55760000000000698</v>
      </c>
      <c r="AD8119">
        <v>-0.15583159999999899</v>
      </c>
      <c r="AE8119">
        <v>-7.7700000000021405E-2</v>
      </c>
      <c r="AF8119">
        <v>9.0202684193946198E-2</v>
      </c>
      <c r="AG8119">
        <v>-0.15583159999999899</v>
      </c>
      <c r="AH8119">
        <v>0.51508525315341702</v>
      </c>
      <c r="AI8119">
        <v>106.594086340134</v>
      </c>
      <c r="AJ8119">
        <v>80.066980408345998</v>
      </c>
      <c r="AK8119">
        <v>0.54564899872580397</v>
      </c>
      <c r="AL8119">
        <v>80.0020059751172</v>
      </c>
      <c r="AM8119">
        <v>83.606840672556501</v>
      </c>
      <c r="AN8119">
        <v>1.00000000815721</v>
      </c>
    </row>
    <row r="8120" spans="1:40" x14ac:dyDescent="0.25">
      <c r="A8120" t="str">
        <f>"20190303170446354"</f>
        <v>20190303170446354</v>
      </c>
      <c r="B8120" t="str">
        <f>"1551603886343581"</f>
        <v>1551603886343581</v>
      </c>
      <c r="C8120" t="s">
        <v>40</v>
      </c>
      <c r="D8120">
        <v>4.5835220000000003</v>
      </c>
      <c r="E8120">
        <v>0.5173449</v>
      </c>
      <c r="F8120" t="s">
        <v>43</v>
      </c>
      <c r="G8120">
        <v>-135.45849999999999</v>
      </c>
      <c r="H8120">
        <v>0.97087710000000005</v>
      </c>
      <c r="I8120">
        <v>137.42089999999999</v>
      </c>
      <c r="J8120">
        <v>-136.0104</v>
      </c>
      <c r="K8120">
        <v>1.1236980000000001</v>
      </c>
      <c r="L8120">
        <v>137.49680000000001</v>
      </c>
      <c r="M8120">
        <v>0.99906609999999996</v>
      </c>
      <c r="N8120">
        <v>-2.6055370000000001E-2</v>
      </c>
      <c r="O8120">
        <v>3.4470510000000003E-2</v>
      </c>
      <c r="P8120">
        <v>0.98594899999999996</v>
      </c>
      <c r="Q8120">
        <v>0.14925369999999999</v>
      </c>
      <c r="R8120">
        <v>-7.5021920000000006E-2</v>
      </c>
      <c r="S8120">
        <v>3.1202239999999999</v>
      </c>
      <c r="T8120">
        <v>-0.66495170000000003</v>
      </c>
      <c r="U8120">
        <v>-0.30784610000000001</v>
      </c>
      <c r="V8120">
        <v>0.1090506</v>
      </c>
      <c r="W8120">
        <v>0.17476220000000001</v>
      </c>
      <c r="X8120">
        <v>0.97855309999999995</v>
      </c>
      <c r="Y8120">
        <v>0.12862709999999999</v>
      </c>
      <c r="Z8120">
        <v>-2.158494E-2</v>
      </c>
      <c r="AA8120">
        <v>0.99145810000000001</v>
      </c>
      <c r="AB8120">
        <v>18</v>
      </c>
      <c r="AC8120">
        <v>0.55190000000001704</v>
      </c>
      <c r="AD8120">
        <v>-0.15282089999999901</v>
      </c>
      <c r="AE8120">
        <v>-7.5900000000018494E-2</v>
      </c>
      <c r="AF8120">
        <v>8.8245134245394694E-2</v>
      </c>
      <c r="AG8120">
        <v>-0.15282089999999901</v>
      </c>
      <c r="AH8120">
        <v>0.51053661668956196</v>
      </c>
      <c r="AI8120">
        <v>106.433957539605</v>
      </c>
      <c r="AJ8120">
        <v>80.193445471493106</v>
      </c>
      <c r="AK8120">
        <v>0.54017503475783002</v>
      </c>
      <c r="AL8120">
        <v>79.935180230843699</v>
      </c>
      <c r="AM8120">
        <v>83.641157625617097</v>
      </c>
      <c r="AN8120">
        <v>1.0000000147143999</v>
      </c>
    </row>
    <row r="8121" spans="1:40" x14ac:dyDescent="0.25">
      <c r="A8121" t="str">
        <f>"20190303170446379"</f>
        <v>20190303170446379</v>
      </c>
      <c r="B8121" t="str">
        <f>"1551603886373837"</f>
        <v>1551603886373837</v>
      </c>
      <c r="C8121" t="s">
        <v>40</v>
      </c>
      <c r="D8121">
        <v>4.6180430000000001</v>
      </c>
      <c r="E8121">
        <v>0.51734150000000001</v>
      </c>
      <c r="F8121" t="s">
        <v>43</v>
      </c>
      <c r="G8121">
        <v>-135.30539999999999</v>
      </c>
      <c r="H8121">
        <v>0.97269570000000005</v>
      </c>
      <c r="I8121">
        <v>137.42699999999999</v>
      </c>
      <c r="J8121">
        <v>-135.84039999999999</v>
      </c>
      <c r="K8121">
        <v>1.1239129999999999</v>
      </c>
      <c r="L8121">
        <v>137.50210000000001</v>
      </c>
      <c r="M8121">
        <v>0.99904899999999996</v>
      </c>
      <c r="N8121">
        <v>-2.7312039999999999E-2</v>
      </c>
      <c r="O8121">
        <v>3.3990100000000002E-2</v>
      </c>
      <c r="P8121">
        <v>0.98596220000000001</v>
      </c>
      <c r="Q8121">
        <v>0.14880829999999901</v>
      </c>
      <c r="R8121">
        <v>-7.5730749999999999E-2</v>
      </c>
      <c r="S8121">
        <v>3.1204529999999999</v>
      </c>
      <c r="T8121">
        <v>-0.66840619999999995</v>
      </c>
      <c r="U8121">
        <v>-0.30854799999999999</v>
      </c>
      <c r="V8121">
        <v>0.10928690000000001</v>
      </c>
      <c r="W8121">
        <v>0.1755495</v>
      </c>
      <c r="X8121">
        <v>0.97838579999999997</v>
      </c>
      <c r="Y8121">
        <v>0.1283338</v>
      </c>
      <c r="Z8121">
        <v>-2.1604769999999999E-2</v>
      </c>
      <c r="AA8121">
        <v>0.99149569999999998</v>
      </c>
      <c r="AB8121">
        <v>17</v>
      </c>
      <c r="AC8121">
        <v>0.53499999999999603</v>
      </c>
      <c r="AD8121">
        <v>-0.151217299999999</v>
      </c>
      <c r="AE8121">
        <v>-7.5099999999991895E-2</v>
      </c>
      <c r="AF8121">
        <v>8.6473169749719206E-2</v>
      </c>
      <c r="AG8121">
        <v>-0.151217299999999</v>
      </c>
      <c r="AH8121">
        <v>0.49347487382608801</v>
      </c>
      <c r="AI8121">
        <v>106.79562635335201</v>
      </c>
      <c r="AJ8121">
        <v>80.060791960741</v>
      </c>
      <c r="AK8121">
        <v>0.52331800275122198</v>
      </c>
      <c r="AL8121">
        <v>79.889362949093098</v>
      </c>
      <c r="AM8121">
        <v>83.626411274763299</v>
      </c>
      <c r="AN8121">
        <v>1.0000000135517499</v>
      </c>
    </row>
    <row r="8122" spans="1:40" x14ac:dyDescent="0.25">
      <c r="A8122" t="str">
        <f>"20190303170446399"</f>
        <v>20190303170446399</v>
      </c>
      <c r="B8122" t="str">
        <f>"1551603886393356"</f>
        <v>1551603886393356</v>
      </c>
      <c r="C8122" t="s">
        <v>40</v>
      </c>
      <c r="D8122">
        <v>4.5909909999999998</v>
      </c>
      <c r="E8122">
        <v>0.51743859999999997</v>
      </c>
      <c r="F8122" t="s">
        <v>43</v>
      </c>
      <c r="G8122">
        <v>-135.0213</v>
      </c>
      <c r="H8122">
        <v>0.94709549999999998</v>
      </c>
      <c r="I8122">
        <v>137.4203</v>
      </c>
      <c r="J8122">
        <v>-135.67500000000001</v>
      </c>
      <c r="K8122">
        <v>1.123772</v>
      </c>
      <c r="L8122">
        <v>137.50710000000001</v>
      </c>
      <c r="M8122">
        <v>0.99906360000000005</v>
      </c>
      <c r="N8122">
        <v>-2.747467E-2</v>
      </c>
      <c r="O8122">
        <v>3.3425669999999998E-2</v>
      </c>
      <c r="P8122">
        <v>0.98569229999999997</v>
      </c>
      <c r="Q8122">
        <v>0.150146</v>
      </c>
      <c r="R8122">
        <v>-7.6596429999999993E-2</v>
      </c>
      <c r="S8122">
        <v>3.1204679999999998</v>
      </c>
      <c r="T8122">
        <v>-0.67360159999999902</v>
      </c>
      <c r="U8122">
        <v>-0.31135559999999901</v>
      </c>
      <c r="V8122">
        <v>0.1096047</v>
      </c>
      <c r="W8122">
        <v>0.17702899999999999</v>
      </c>
      <c r="X8122">
        <v>0.97808360000000005</v>
      </c>
      <c r="Y8122">
        <v>0.1286011</v>
      </c>
      <c r="Z8122">
        <v>-2.1694450000000001E-2</v>
      </c>
      <c r="AA8122">
        <v>0.99145910000000004</v>
      </c>
      <c r="AB8122">
        <v>17</v>
      </c>
      <c r="AC8122">
        <v>0.65370000000001405</v>
      </c>
      <c r="AD8122">
        <v>-0.17667649999999999</v>
      </c>
      <c r="AE8122">
        <v>-8.6800000000010799E-2</v>
      </c>
      <c r="AF8122">
        <v>0.101336055168859</v>
      </c>
      <c r="AG8122">
        <v>-0.17667649999999999</v>
      </c>
      <c r="AH8122">
        <v>0.60687018076183497</v>
      </c>
      <c r="AI8122">
        <v>106.021501958473</v>
      </c>
      <c r="AJ8122">
        <v>80.520131080572597</v>
      </c>
      <c r="AK8122">
        <v>0.640136702609168</v>
      </c>
      <c r="AL8122">
        <v>79.803244879577093</v>
      </c>
      <c r="AM8122">
        <v>83.606071842227095</v>
      </c>
      <c r="AN8122">
        <v>0.99999999284602403</v>
      </c>
    </row>
    <row r="8123" spans="1:40" x14ac:dyDescent="0.25">
      <c r="A8123" t="str">
        <f>"20190303170446421"</f>
        <v>20190303170446421</v>
      </c>
      <c r="B8123" t="str">
        <f>"1551603886413853"</f>
        <v>1551603886413853</v>
      </c>
      <c r="C8123" t="s">
        <v>40</v>
      </c>
      <c r="D8123">
        <v>4.6079280000000002</v>
      </c>
      <c r="E8123">
        <v>0.51763429999999999</v>
      </c>
      <c r="F8123" t="s">
        <v>43</v>
      </c>
      <c r="G8123">
        <v>-134.8715</v>
      </c>
      <c r="H8123">
        <v>0.95102909999999996</v>
      </c>
      <c r="I8123">
        <v>137.42609999999999</v>
      </c>
      <c r="J8123">
        <v>-135.51390000000001</v>
      </c>
      <c r="K8123">
        <v>1.123443</v>
      </c>
      <c r="L8123">
        <v>137.51179999999999</v>
      </c>
      <c r="M8123">
        <v>0.99909919999999997</v>
      </c>
      <c r="N8123">
        <v>-2.6859689999999999E-2</v>
      </c>
      <c r="O8123">
        <v>3.2853540000000001E-2</v>
      </c>
      <c r="P8123">
        <v>0.98545729999999998</v>
      </c>
      <c r="Q8123">
        <v>0.1515242</v>
      </c>
      <c r="R8123">
        <v>-7.690437E-2</v>
      </c>
      <c r="S8123">
        <v>3.1213679999999999</v>
      </c>
      <c r="T8123">
        <v>-0.67105079999999995</v>
      </c>
      <c r="U8123">
        <v>-0.31413269999999999</v>
      </c>
      <c r="V8123">
        <v>0.10936650000000001</v>
      </c>
      <c r="W8123">
        <v>0.177785</v>
      </c>
      <c r="X8123">
        <v>0.97797319999999999</v>
      </c>
      <c r="Y8123">
        <v>0.12891559999999999</v>
      </c>
      <c r="Z8123">
        <v>-2.1522159999999999E-2</v>
      </c>
      <c r="AA8123">
        <v>0.99142200000000003</v>
      </c>
      <c r="AB8123">
        <v>16</v>
      </c>
      <c r="AC8123">
        <v>0.64240000000000896</v>
      </c>
      <c r="AD8123">
        <v>-0.17241389999999901</v>
      </c>
      <c r="AE8123">
        <v>-8.5700000000002705E-2</v>
      </c>
      <c r="AF8123">
        <v>9.9709611078247898E-2</v>
      </c>
      <c r="AG8123">
        <v>-0.17241389999999901</v>
      </c>
      <c r="AH8123">
        <v>0.59698549579493398</v>
      </c>
      <c r="AI8123">
        <v>105.90021544006601</v>
      </c>
      <c r="AJ8123">
        <v>80.517879454183998</v>
      </c>
      <c r="AK8123">
        <v>0.62933317221016505</v>
      </c>
      <c r="AL8123">
        <v>79.759231785332801</v>
      </c>
      <c r="AM8123">
        <v>83.619138538303702</v>
      </c>
      <c r="AN8123">
        <v>1.00000005873274</v>
      </c>
    </row>
    <row r="8124" spans="1:40" x14ac:dyDescent="0.25">
      <c r="A8124" t="str">
        <f>"20190303170446444"</f>
        <v>20190303170446444</v>
      </c>
      <c r="B8124" t="str">
        <f>"1551603886433373"</f>
        <v>1551603886433373</v>
      </c>
      <c r="C8124" t="s">
        <v>40</v>
      </c>
      <c r="D8124">
        <v>4.5507460000000002</v>
      </c>
      <c r="E8124">
        <v>0.51773610000000003</v>
      </c>
      <c r="F8124" t="s">
        <v>43</v>
      </c>
      <c r="G8124">
        <v>-134.72380000000001</v>
      </c>
      <c r="H8124">
        <v>0.95432399999999995</v>
      </c>
      <c r="I8124">
        <v>137.43209999999999</v>
      </c>
      <c r="J8124">
        <v>-135.3519</v>
      </c>
      <c r="K8124">
        <v>1.1232580000000001</v>
      </c>
      <c r="L8124">
        <v>137.5164</v>
      </c>
      <c r="M8124">
        <v>0.9991274</v>
      </c>
      <c r="N8124">
        <v>-2.6497590000000001E-2</v>
      </c>
      <c r="O8124">
        <v>3.2288869999999997E-2</v>
      </c>
      <c r="P8124">
        <v>0.98544770000000004</v>
      </c>
      <c r="Q8124">
        <v>0.15173519999999999</v>
      </c>
      <c r="R8124">
        <v>-7.6612949999999999E-2</v>
      </c>
      <c r="S8124">
        <v>3.1224669999999999</v>
      </c>
      <c r="T8124">
        <v>-0.66830179999999995</v>
      </c>
      <c r="U8124">
        <v>-0.31477359999999999</v>
      </c>
      <c r="V8124">
        <v>0.108534199999999</v>
      </c>
      <c r="W8124">
        <v>0.17763480000000001</v>
      </c>
      <c r="X8124">
        <v>0.97809310000000005</v>
      </c>
      <c r="Y8124">
        <v>0.1285762</v>
      </c>
      <c r="Z8124">
        <v>-2.1275160000000001E-2</v>
      </c>
      <c r="AA8124">
        <v>0.9914714</v>
      </c>
      <c r="AB8124">
        <v>17</v>
      </c>
      <c r="AC8124">
        <v>0.628099999999989</v>
      </c>
      <c r="AD8124">
        <v>-0.168934</v>
      </c>
      <c r="AE8124">
        <v>-8.4300000000013101E-2</v>
      </c>
      <c r="AF8124">
        <v>9.7607798227186501E-2</v>
      </c>
      <c r="AG8124">
        <v>-0.168934</v>
      </c>
      <c r="AH8124">
        <v>0.58358034696538497</v>
      </c>
      <c r="AI8124">
        <v>105.934707699215</v>
      </c>
      <c r="AJ8124">
        <v>80.504781026699305</v>
      </c>
      <c r="AK8124">
        <v>0.615330805335633</v>
      </c>
      <c r="AL8124">
        <v>79.767975717811595</v>
      </c>
      <c r="AM8124">
        <v>83.668072106622702</v>
      </c>
      <c r="AN8124">
        <v>0.99999995350414395</v>
      </c>
    </row>
    <row r="8125" spans="1:40" x14ac:dyDescent="0.25">
      <c r="A8125" t="str">
        <f>"20190303170446466"</f>
        <v>20190303170446466</v>
      </c>
      <c r="B8125" t="str">
        <f>"1551603886453870"</f>
        <v>1551603886453870</v>
      </c>
      <c r="C8125" t="s">
        <v>40</v>
      </c>
      <c r="D8125">
        <v>4.5397270000000001</v>
      </c>
      <c r="E8125">
        <v>0.51773539999999996</v>
      </c>
      <c r="F8125" t="s">
        <v>43</v>
      </c>
      <c r="G8125">
        <v>-134.57919999999999</v>
      </c>
      <c r="H8125">
        <v>0.95763100000000001</v>
      </c>
      <c r="I8125">
        <v>137.4384</v>
      </c>
      <c r="J8125">
        <v>-135.19200000000001</v>
      </c>
      <c r="K8125">
        <v>1.12327</v>
      </c>
      <c r="L8125">
        <v>137.52080000000001</v>
      </c>
      <c r="M8125">
        <v>0.99914250000000004</v>
      </c>
      <c r="N8125">
        <v>-2.6618180000000002E-2</v>
      </c>
      <c r="O8125">
        <v>3.1715359999999998E-2</v>
      </c>
      <c r="P8125">
        <v>0.98576920000000001</v>
      </c>
      <c r="Q8125">
        <v>0.15007909999999999</v>
      </c>
      <c r="R8125">
        <v>-7.5732149999999998E-2</v>
      </c>
      <c r="S8125">
        <v>3.1229100000000001</v>
      </c>
      <c r="T8125">
        <v>-0.669386699999999</v>
      </c>
      <c r="U8125">
        <v>-0.3145905</v>
      </c>
      <c r="V8125">
        <v>0.1070961</v>
      </c>
      <c r="W8125">
        <v>0.17611089999999999</v>
      </c>
      <c r="X8125">
        <v>0.97852709999999998</v>
      </c>
      <c r="Y8125">
        <v>0.1279497</v>
      </c>
      <c r="Z8125">
        <v>-2.1127960000000001E-2</v>
      </c>
      <c r="AA8125">
        <v>0.99155559999999998</v>
      </c>
      <c r="AB8125">
        <v>16</v>
      </c>
      <c r="AC8125">
        <v>0.61280000000002099</v>
      </c>
      <c r="AD8125">
        <v>-0.16563900000000001</v>
      </c>
      <c r="AE8125">
        <v>-8.2400000000006898E-2</v>
      </c>
      <c r="AF8125">
        <v>9.4984154528758399E-2</v>
      </c>
      <c r="AG8125">
        <v>-0.16563900000000001</v>
      </c>
      <c r="AH8125">
        <v>0.56904070929157602</v>
      </c>
      <c r="AI8125">
        <v>106.019424017746</v>
      </c>
      <c r="AJ8125">
        <v>80.523567557367301</v>
      </c>
      <c r="AK8125">
        <v>0.60022128982867895</v>
      </c>
      <c r="AL8125">
        <v>79.856687435577797</v>
      </c>
      <c r="AM8125">
        <v>83.754052869286994</v>
      </c>
      <c r="AN8125">
        <v>0.99999995458421398</v>
      </c>
    </row>
    <row r="8126" spans="1:40" x14ac:dyDescent="0.25">
      <c r="A8126" t="str">
        <f>"20190303170446489"</f>
        <v>20190303170446489</v>
      </c>
      <c r="B8126" t="str">
        <f>"1551603886484125"</f>
        <v>1551603886484125</v>
      </c>
      <c r="C8126" t="s">
        <v>40</v>
      </c>
      <c r="D8126">
        <v>4.4883050000000004</v>
      </c>
      <c r="E8126">
        <v>0.51802199999999998</v>
      </c>
      <c r="F8126" t="s">
        <v>43</v>
      </c>
      <c r="G8126">
        <v>-134.43819999999999</v>
      </c>
      <c r="H8126">
        <v>0.95997790000000005</v>
      </c>
      <c r="I8126">
        <v>137.44540000000001</v>
      </c>
      <c r="J8126">
        <v>-135.03049999999999</v>
      </c>
      <c r="K8126">
        <v>1.1233310000000001</v>
      </c>
      <c r="L8126">
        <v>137.52520000000001</v>
      </c>
      <c r="M8126">
        <v>0.99915750000000003</v>
      </c>
      <c r="N8126">
        <v>-2.6804000000000001E-2</v>
      </c>
      <c r="O8126">
        <v>3.108143E-2</v>
      </c>
      <c r="P8126">
        <v>0.98599139999999996</v>
      </c>
      <c r="Q8126">
        <v>0.14870700000000001</v>
      </c>
      <c r="R8126">
        <v>-7.5548340000000005E-2</v>
      </c>
      <c r="S8126">
        <v>3.1222840000000001</v>
      </c>
      <c r="T8126">
        <v>-0.67641269999999998</v>
      </c>
      <c r="U8126">
        <v>-0.3123474</v>
      </c>
      <c r="V8126">
        <v>0.1062816</v>
      </c>
      <c r="W8126">
        <v>0.1749378</v>
      </c>
      <c r="X8126">
        <v>0.97882630000000004</v>
      </c>
      <c r="Y8126">
        <v>0.1266012</v>
      </c>
      <c r="Z8126">
        <v>-2.1065919999999998E-2</v>
      </c>
      <c r="AA8126">
        <v>0.99173</v>
      </c>
      <c r="AB8126">
        <v>16</v>
      </c>
      <c r="AC8126">
        <v>0.59229999999999405</v>
      </c>
      <c r="AD8126">
        <v>-0.163353099999999</v>
      </c>
      <c r="AE8126">
        <v>-7.9800000000005797E-2</v>
      </c>
      <c r="AF8126">
        <v>9.1352902378790304E-2</v>
      </c>
      <c r="AG8126">
        <v>-0.163353099999999</v>
      </c>
      <c r="AH8126">
        <v>0.54855200728685605</v>
      </c>
      <c r="AI8126">
        <v>106.369843410158</v>
      </c>
      <c r="AJ8126">
        <v>80.545038954186495</v>
      </c>
      <c r="AK8126">
        <v>0.57960235744092503</v>
      </c>
      <c r="AL8126">
        <v>79.924961210421003</v>
      </c>
      <c r="AM8126">
        <v>83.803064140249703</v>
      </c>
      <c r="AN8126">
        <v>0.99999996896954402</v>
      </c>
    </row>
    <row r="8127" spans="1:40" x14ac:dyDescent="0.25">
      <c r="A8127" t="str">
        <f>"20190303170446512"</f>
        <v>20190303170446512</v>
      </c>
      <c r="B8127" t="str">
        <f>"1551603886503646"</f>
        <v>1551603886503646</v>
      </c>
      <c r="C8127" t="s">
        <v>40</v>
      </c>
      <c r="D8127">
        <v>4.4792800000000002</v>
      </c>
      <c r="E8127">
        <v>0.518096</v>
      </c>
      <c r="F8127" t="s">
        <v>43</v>
      </c>
      <c r="G8127">
        <v>-134.2988</v>
      </c>
      <c r="H8127">
        <v>0.96331860000000002</v>
      </c>
      <c r="I8127">
        <v>137.45140000000001</v>
      </c>
      <c r="J8127">
        <v>-134.87909999999999</v>
      </c>
      <c r="K8127">
        <v>1.123375</v>
      </c>
      <c r="L8127">
        <v>137.5292</v>
      </c>
      <c r="M8127">
        <v>0.99917199999999995</v>
      </c>
      <c r="N8127">
        <v>-2.6947550000000001E-2</v>
      </c>
      <c r="O8127">
        <v>3.0481919999999999E-2</v>
      </c>
      <c r="P8127">
        <v>0.98585339999999999</v>
      </c>
      <c r="Q8127">
        <v>0.149344</v>
      </c>
      <c r="R8127">
        <v>-7.6088939999999994E-2</v>
      </c>
      <c r="S8127">
        <v>3.1214750000000002</v>
      </c>
      <c r="T8127">
        <v>-0.68269369999999996</v>
      </c>
      <c r="U8127">
        <v>-0.31474299999999999</v>
      </c>
      <c r="V8127">
        <v>0.10621989999999901</v>
      </c>
      <c r="W8127">
        <v>0.17571800000000001</v>
      </c>
      <c r="X8127">
        <v>0.97869320000000004</v>
      </c>
      <c r="Y8127">
        <v>0.12672139999999901</v>
      </c>
      <c r="Z8127">
        <v>-2.116001E-2</v>
      </c>
      <c r="AA8127">
        <v>0.99171260000000006</v>
      </c>
      <c r="AB8127">
        <v>16</v>
      </c>
      <c r="AC8127">
        <v>0.58029999999999404</v>
      </c>
      <c r="AD8127">
        <v>-0.16005639999999999</v>
      </c>
      <c r="AE8127">
        <v>-7.7799999999996303E-2</v>
      </c>
      <c r="AF8127">
        <v>8.8821160949114797E-2</v>
      </c>
      <c r="AG8127">
        <v>-0.16005639999999999</v>
      </c>
      <c r="AH8127">
        <v>0.53749030106837203</v>
      </c>
      <c r="AI8127">
        <v>106.372797475734</v>
      </c>
      <c r="AJ8127">
        <v>80.616578936901107</v>
      </c>
      <c r="AK8127">
        <v>0.56780548919139395</v>
      </c>
      <c r="AL8127">
        <v>79.879555327471493</v>
      </c>
      <c r="AM8127">
        <v>83.805797965055305</v>
      </c>
      <c r="AN8127">
        <v>0.99999993120312203</v>
      </c>
    </row>
    <row r="8128" spans="1:40" x14ac:dyDescent="0.25">
      <c r="A8128" t="str">
        <f>"20190303170446533"</f>
        <v>20190303170446533</v>
      </c>
      <c r="B8128" t="str">
        <f>"1551603886524140"</f>
        <v>1551603886524140</v>
      </c>
      <c r="C8128" t="s">
        <v>40</v>
      </c>
      <c r="D8128">
        <v>4.442558</v>
      </c>
      <c r="E8128">
        <v>0.51818069999999905</v>
      </c>
      <c r="F8128" t="s">
        <v>43</v>
      </c>
      <c r="G8128">
        <v>-134.1619</v>
      </c>
      <c r="H8128">
        <v>0.96669579999999999</v>
      </c>
      <c r="I8128">
        <v>137.4562</v>
      </c>
      <c r="J8128">
        <v>-134.73410000000001</v>
      </c>
      <c r="K8128">
        <v>1.1233709999999999</v>
      </c>
      <c r="L8128">
        <v>137.53299999999999</v>
      </c>
      <c r="M8128">
        <v>0.99918669999999998</v>
      </c>
      <c r="N8128">
        <v>-2.6995120000000001E-2</v>
      </c>
      <c r="O8128">
        <v>2.99548E-2</v>
      </c>
      <c r="P8128">
        <v>0.98574300000000004</v>
      </c>
      <c r="Q8128">
        <v>0.14995420000000001</v>
      </c>
      <c r="R8128">
        <v>-7.6320159999999998E-2</v>
      </c>
      <c r="S8128">
        <v>3.1218110000000001</v>
      </c>
      <c r="T8128">
        <v>-0.68198110000000001</v>
      </c>
      <c r="U8128">
        <v>-0.31803890000000001</v>
      </c>
      <c r="V8128">
        <v>0.1059292</v>
      </c>
      <c r="W8128">
        <v>0.17637329999999901</v>
      </c>
      <c r="X8128">
        <v>0.97860689999999995</v>
      </c>
      <c r="Y8128">
        <v>0.12722900000000001</v>
      </c>
      <c r="Z8128">
        <v>-2.1100029999999999E-2</v>
      </c>
      <c r="AA8128">
        <v>0.99164890000000006</v>
      </c>
      <c r="AB8128">
        <v>15</v>
      </c>
      <c r="AC8128">
        <v>0.57220000000000903</v>
      </c>
      <c r="AD8128">
        <v>-0.15667519999999899</v>
      </c>
      <c r="AE8128">
        <v>-7.67999999999915E-2</v>
      </c>
      <c r="AF8128">
        <v>8.7470052500357998E-2</v>
      </c>
      <c r="AG8128">
        <v>-0.15667519999999899</v>
      </c>
      <c r="AH8128">
        <v>0.53056736497839596</v>
      </c>
      <c r="AI8128">
        <v>106.24424668428701</v>
      </c>
      <c r="AJ8128">
        <v>80.638348543901799</v>
      </c>
      <c r="AK8128">
        <v>0.56008915108183799</v>
      </c>
      <c r="AL8128">
        <v>79.841414415901795</v>
      </c>
      <c r="AM8128">
        <v>83.822078311777105</v>
      </c>
      <c r="AN8128">
        <v>1.0000000005465699</v>
      </c>
    </row>
    <row r="8129" spans="1:40" x14ac:dyDescent="0.25">
      <c r="A8129" t="str">
        <f>"20190303170446556"</f>
        <v>20190303170446556</v>
      </c>
      <c r="B8129" t="str">
        <f>"1551603886543661"</f>
        <v>1551603886543661</v>
      </c>
      <c r="C8129" t="s">
        <v>40</v>
      </c>
      <c r="D8129">
        <v>4.396725</v>
      </c>
      <c r="E8129">
        <v>0.51828540000000001</v>
      </c>
      <c r="F8129" t="s">
        <v>43</v>
      </c>
      <c r="G8129">
        <v>-134.0275</v>
      </c>
      <c r="H8129">
        <v>0.9692383</v>
      </c>
      <c r="I8129">
        <v>137.46039999999999</v>
      </c>
      <c r="J8129">
        <v>-134.5909</v>
      </c>
      <c r="K8129">
        <v>1.123305</v>
      </c>
      <c r="L8129">
        <v>137.53659999999999</v>
      </c>
      <c r="M8129">
        <v>0.9992065</v>
      </c>
      <c r="N8129">
        <v>-2.6793890000000001E-2</v>
      </c>
      <c r="O8129">
        <v>2.946936E-2</v>
      </c>
      <c r="P8129">
        <v>0.9856992</v>
      </c>
      <c r="Q8129">
        <v>0.1500147</v>
      </c>
      <c r="R8129">
        <v>-7.676376E-2</v>
      </c>
      <c r="S8129">
        <v>3.1221619999999999</v>
      </c>
      <c r="T8129">
        <v>-0.68102059999999998</v>
      </c>
      <c r="U8129">
        <v>-0.32075500000000001</v>
      </c>
      <c r="V8129">
        <v>0.1058941</v>
      </c>
      <c r="W8129">
        <v>0.17623629999999901</v>
      </c>
      <c r="X8129">
        <v>0.97863540000000004</v>
      </c>
      <c r="Y8129">
        <v>0.12760199999999999</v>
      </c>
      <c r="Z8129">
        <v>-2.1015800000000001E-2</v>
      </c>
      <c r="AA8129">
        <v>0.99160280000000001</v>
      </c>
      <c r="AB8129">
        <v>15</v>
      </c>
      <c r="AC8129">
        <v>0.56340000000000101</v>
      </c>
      <c r="AD8129">
        <v>-0.1540667</v>
      </c>
      <c r="AE8129">
        <v>-7.6200000000000004E-2</v>
      </c>
      <c r="AF8129">
        <v>8.6428859140517303E-2</v>
      </c>
      <c r="AG8129">
        <v>-0.1540667</v>
      </c>
      <c r="AH8129">
        <v>0.52253563246075996</v>
      </c>
      <c r="AI8129">
        <v>106.219296863948</v>
      </c>
      <c r="AJ8129">
        <v>80.608149024762099</v>
      </c>
      <c r="AK8129">
        <v>0.55158859934954096</v>
      </c>
      <c r="AL8129">
        <v>79.849389051763097</v>
      </c>
      <c r="AM8129">
        <v>83.8242880308092</v>
      </c>
      <c r="AN8129">
        <v>1.0000000199928201</v>
      </c>
    </row>
    <row r="8130" spans="1:40" x14ac:dyDescent="0.25">
      <c r="A8130" t="str">
        <f>"20190303170446579"</f>
        <v>20190303170446579</v>
      </c>
      <c r="B8130" t="str">
        <f>"1551603886573917"</f>
        <v>1551603886573917</v>
      </c>
      <c r="C8130" t="s">
        <v>40</v>
      </c>
      <c r="D8130">
        <v>4.3683959999999997</v>
      </c>
      <c r="E8130">
        <v>0.51837889999999998</v>
      </c>
      <c r="F8130" t="s">
        <v>43</v>
      </c>
      <c r="G8130">
        <v>-133.77690000000001</v>
      </c>
      <c r="H8130">
        <v>0.94555710000000004</v>
      </c>
      <c r="I8130">
        <v>137.45249999999999</v>
      </c>
      <c r="J8130">
        <v>-134.4359</v>
      </c>
      <c r="K8130">
        <v>1.1232200000000001</v>
      </c>
      <c r="L8130">
        <v>137.54050000000001</v>
      </c>
      <c r="M8130">
        <v>0.99923280000000003</v>
      </c>
      <c r="N8130">
        <v>-2.6396429999999999E-2</v>
      </c>
      <c r="O8130">
        <v>2.8934129999999999E-2</v>
      </c>
      <c r="P8130">
        <v>0.985958</v>
      </c>
      <c r="Q8130">
        <v>0.14848149999999999</v>
      </c>
      <c r="R8130">
        <v>-7.6422379999999998E-2</v>
      </c>
      <c r="S8130">
        <v>3.1221920000000001</v>
      </c>
      <c r="T8130">
        <v>-0.68186720000000001</v>
      </c>
      <c r="U8130">
        <v>-0.3223877</v>
      </c>
      <c r="V8130">
        <v>0.10502499999999999</v>
      </c>
      <c r="W8130">
        <v>0.17432790000000001</v>
      </c>
      <c r="X8130">
        <v>0.97907069999999996</v>
      </c>
      <c r="Y8130">
        <v>0.12758729999999999</v>
      </c>
      <c r="Z8130">
        <v>-2.0922260000000002E-2</v>
      </c>
      <c r="AA8130">
        <v>0.99160669999999995</v>
      </c>
      <c r="AB8130">
        <v>15</v>
      </c>
      <c r="AC8130">
        <v>0.65899999999999104</v>
      </c>
      <c r="AD8130">
        <v>-0.17766290000000001</v>
      </c>
      <c r="AE8130">
        <v>-8.8000000000022199E-2</v>
      </c>
      <c r="AF8130">
        <v>9.9903464021709798E-2</v>
      </c>
      <c r="AG8130">
        <v>-0.17766290000000001</v>
      </c>
      <c r="AH8130">
        <v>0.61244346504854497</v>
      </c>
      <c r="AI8130">
        <v>105.97665655292199</v>
      </c>
      <c r="AJ8130">
        <v>80.735354038498798</v>
      </c>
      <c r="AK8130">
        <v>0.64547022087824901</v>
      </c>
      <c r="AL8130">
        <v>79.960451084153704</v>
      </c>
      <c r="AM8130">
        <v>83.877289482334803</v>
      </c>
      <c r="AN8130">
        <v>0.999999951470948</v>
      </c>
    </row>
    <row r="8131" spans="1:40" x14ac:dyDescent="0.25">
      <c r="A8131" t="str">
        <f>"20190303170446600"</f>
        <v>20190303170446600</v>
      </c>
      <c r="B8131" t="str">
        <f>"1551603886593436"</f>
        <v>1551603886593436</v>
      </c>
      <c r="C8131" t="s">
        <v>40</v>
      </c>
      <c r="D8131">
        <v>4.3882079999999997</v>
      </c>
      <c r="E8131">
        <v>0.51853769999999999</v>
      </c>
      <c r="F8131" t="s">
        <v>43</v>
      </c>
      <c r="G8131">
        <v>-133.64689999999999</v>
      </c>
      <c r="H8131">
        <v>0.94945740000000001</v>
      </c>
      <c r="I8131">
        <v>137.4589</v>
      </c>
      <c r="J8131">
        <v>-134.3014</v>
      </c>
      <c r="K8131">
        <v>1.123184</v>
      </c>
      <c r="L8131">
        <v>137.5438</v>
      </c>
      <c r="M8131">
        <v>0.99925430000000004</v>
      </c>
      <c r="N8131">
        <v>-2.6104639999999998E-2</v>
      </c>
      <c r="O8131">
        <v>2.845551E-2</v>
      </c>
      <c r="P8131">
        <v>0.98613289999999998</v>
      </c>
      <c r="Q8131">
        <v>0.14816579999999999</v>
      </c>
      <c r="R8131">
        <v>-7.4760119999999999E-2</v>
      </c>
      <c r="S8131">
        <v>3.121216</v>
      </c>
      <c r="T8131">
        <v>-0.68740919999999905</v>
      </c>
      <c r="U8131">
        <v>-0.3230133</v>
      </c>
      <c r="V8131">
        <v>0.1028872</v>
      </c>
      <c r="W8131">
        <v>0.17374049999999999</v>
      </c>
      <c r="X8131">
        <v>0.97940210000000005</v>
      </c>
      <c r="Y8131">
        <v>0.12729669999999901</v>
      </c>
      <c r="Z8131">
        <v>-2.0949619999999999E-2</v>
      </c>
      <c r="AA8131">
        <v>0.99164339999999995</v>
      </c>
      <c r="AB8131">
        <v>15</v>
      </c>
      <c r="AC8131">
        <v>0.65450000000001296</v>
      </c>
      <c r="AD8131">
        <v>-0.17372659999999901</v>
      </c>
      <c r="AE8131">
        <v>-8.4900000000004597E-2</v>
      </c>
      <c r="AF8131">
        <v>9.6789587456515197E-2</v>
      </c>
      <c r="AG8131">
        <v>-0.17372659999999901</v>
      </c>
      <c r="AH8131">
        <v>0.60958064741493401</v>
      </c>
      <c r="AI8131">
        <v>105.720192573446</v>
      </c>
      <c r="AJ8131">
        <v>80.977857948362796</v>
      </c>
      <c r="AK8131">
        <v>0.64120021950274797</v>
      </c>
      <c r="AL8131">
        <v>79.994628728041604</v>
      </c>
      <c r="AM8131">
        <v>84.003015110667604</v>
      </c>
      <c r="AN8131">
        <v>1.0000000053742499</v>
      </c>
    </row>
    <row r="8132" spans="1:40" x14ac:dyDescent="0.25">
      <c r="A8132" t="str">
        <f>"20190303170446622"</f>
        <v>20190303170446622</v>
      </c>
      <c r="B8132" t="str">
        <f>"1551603886613933"</f>
        <v>1551603886613933</v>
      </c>
      <c r="C8132" t="s">
        <v>40</v>
      </c>
      <c r="D8132">
        <v>4.3204919999999998</v>
      </c>
      <c r="E8132">
        <v>0.51858789999999999</v>
      </c>
      <c r="F8132" t="s">
        <v>43</v>
      </c>
      <c r="G8132">
        <v>-133.52010000000001</v>
      </c>
      <c r="H8132">
        <v>0.95076300000000002</v>
      </c>
      <c r="I8132">
        <v>137.46350000000001</v>
      </c>
      <c r="J8132">
        <v>-134.161</v>
      </c>
      <c r="K8132">
        <v>1.123194</v>
      </c>
      <c r="L8132">
        <v>137.5472</v>
      </c>
      <c r="M8132">
        <v>0.99927350000000004</v>
      </c>
      <c r="N8132">
        <v>-2.5904610000000002E-2</v>
      </c>
      <c r="O8132">
        <v>2.795245E-2</v>
      </c>
      <c r="P8132">
        <v>0.98602310000000004</v>
      </c>
      <c r="Q8132">
        <v>0.14934330000000001</v>
      </c>
      <c r="R8132">
        <v>-7.3859069999999999E-2</v>
      </c>
      <c r="S8132">
        <v>3.121429</v>
      </c>
      <c r="T8132">
        <v>-0.6889054</v>
      </c>
      <c r="U8132">
        <v>-0.3203125</v>
      </c>
      <c r="V8132">
        <v>0.1014801</v>
      </c>
      <c r="W8132">
        <v>0.17472650000000001</v>
      </c>
      <c r="X8132">
        <v>0.97937350000000001</v>
      </c>
      <c r="Y8132">
        <v>0.12597179999999999</v>
      </c>
      <c r="Z8132">
        <v>-2.072616E-2</v>
      </c>
      <c r="AA8132">
        <v>0.99181730000000001</v>
      </c>
      <c r="AB8132">
        <v>14</v>
      </c>
      <c r="AC8132">
        <v>0.64089999999998704</v>
      </c>
      <c r="AD8132">
        <v>-0.172431</v>
      </c>
      <c r="AE8132">
        <v>-8.3699999999993197E-2</v>
      </c>
      <c r="AF8132">
        <v>9.4838243543468606E-2</v>
      </c>
      <c r="AG8132">
        <v>-0.172431</v>
      </c>
      <c r="AH8132">
        <v>0.59589810541153998</v>
      </c>
      <c r="AI8132">
        <v>105.948173756034</v>
      </c>
      <c r="AJ8132">
        <v>80.957115734829401</v>
      </c>
      <c r="AK8132">
        <v>0.62755182593350201</v>
      </c>
      <c r="AL8132">
        <v>79.937257570186503</v>
      </c>
      <c r="AM8132">
        <v>84.084273620302795</v>
      </c>
      <c r="AN8132">
        <v>1.0000000065002499</v>
      </c>
    </row>
    <row r="8133" spans="1:40" x14ac:dyDescent="0.25">
      <c r="A8133" t="str">
        <f>"20190303170446645"</f>
        <v>20190303170446645</v>
      </c>
      <c r="B8133" t="str">
        <f>"1551603886633452"</f>
        <v>1551603886633452</v>
      </c>
      <c r="C8133" t="s">
        <v>40</v>
      </c>
      <c r="D8133">
        <v>4.2966759999999997</v>
      </c>
      <c r="E8133">
        <v>0.51877829999999903</v>
      </c>
      <c r="F8133" t="s">
        <v>43</v>
      </c>
      <c r="G8133">
        <v>-133.39400000000001</v>
      </c>
      <c r="H8133">
        <v>0.95482239999999996</v>
      </c>
      <c r="I8133">
        <v>137.46879999999999</v>
      </c>
      <c r="J8133">
        <v>-134.02269999999999</v>
      </c>
      <c r="K8133">
        <v>1.1232040000000001</v>
      </c>
      <c r="L8133">
        <v>137.5505</v>
      </c>
      <c r="M8133">
        <v>0.9992915</v>
      </c>
      <c r="N8133">
        <v>-2.5736559999999999E-2</v>
      </c>
      <c r="O8133">
        <v>2.74662E-2</v>
      </c>
      <c r="P8133">
        <v>0.98576260000000004</v>
      </c>
      <c r="Q8133">
        <v>0.15080739999999901</v>
      </c>
      <c r="R8133">
        <v>-7.4360350000000006E-2</v>
      </c>
      <c r="S8133">
        <v>3.1224669999999999</v>
      </c>
      <c r="T8133">
        <v>-0.68537769999999898</v>
      </c>
      <c r="U8133">
        <v>-0.31869509999999901</v>
      </c>
      <c r="V8133">
        <v>0.101492</v>
      </c>
      <c r="W8133">
        <v>0.1760217</v>
      </c>
      <c r="X8133">
        <v>0.97914029999999996</v>
      </c>
      <c r="Y8133">
        <v>0.1250231</v>
      </c>
      <c r="Z8133">
        <v>-2.0406899999999999E-2</v>
      </c>
      <c r="AA8133">
        <v>0.99194400000000005</v>
      </c>
      <c r="AB8133">
        <v>14</v>
      </c>
      <c r="AC8133">
        <v>0.62869999999998005</v>
      </c>
      <c r="AD8133">
        <v>-0.16838159999999999</v>
      </c>
      <c r="AE8133">
        <v>-8.1700000000012096E-2</v>
      </c>
      <c r="AF8133">
        <v>9.2423416772766304E-2</v>
      </c>
      <c r="AG8133">
        <v>-0.16838159999999999</v>
      </c>
      <c r="AH8133">
        <v>0.58495570673161101</v>
      </c>
      <c r="AI8133">
        <v>105.871854312838</v>
      </c>
      <c r="AJ8133">
        <v>81.021449379947697</v>
      </c>
      <c r="AK8133">
        <v>0.61568468392870701</v>
      </c>
      <c r="AL8133">
        <v>79.861879749856797</v>
      </c>
      <c r="AM8133">
        <v>84.082185734224495</v>
      </c>
      <c r="AN8133">
        <v>0.99999999600948897</v>
      </c>
    </row>
    <row r="8134" spans="1:40" x14ac:dyDescent="0.25">
      <c r="A8134" t="str">
        <f>"20190303170446667"</f>
        <v>20190303170446667</v>
      </c>
      <c r="B8134" t="str">
        <f>"1551603886653948"</f>
        <v>1551603886653948</v>
      </c>
      <c r="C8134" t="s">
        <v>40</v>
      </c>
      <c r="D8134">
        <v>4.3027620000000004</v>
      </c>
      <c r="E8134">
        <v>0.51897979999999999</v>
      </c>
      <c r="F8134" t="s">
        <v>43</v>
      </c>
      <c r="G8134">
        <v>-133.2696</v>
      </c>
      <c r="H8134">
        <v>0.95898510000000003</v>
      </c>
      <c r="I8134">
        <v>137.47280000000001</v>
      </c>
      <c r="J8134">
        <v>-133.88659999999999</v>
      </c>
      <c r="K8134">
        <v>1.123194</v>
      </c>
      <c r="L8134">
        <v>137.55369999999999</v>
      </c>
      <c r="M8134">
        <v>0.99930920000000001</v>
      </c>
      <c r="N8134">
        <v>-2.553714E-2</v>
      </c>
      <c r="O8134">
        <v>2.7000550000000002E-2</v>
      </c>
      <c r="P8134">
        <v>0.98553429999999997</v>
      </c>
      <c r="Q8134">
        <v>0.15165960000000001</v>
      </c>
      <c r="R8134">
        <v>-7.5642940000000006E-2</v>
      </c>
      <c r="S8134">
        <v>3.1232760000000002</v>
      </c>
      <c r="T8134">
        <v>-0.68105009999999999</v>
      </c>
      <c r="U8134">
        <v>-0.32150269999999997</v>
      </c>
      <c r="V8134">
        <v>0.10231030000000001</v>
      </c>
      <c r="W8134">
        <v>0.1766723</v>
      </c>
      <c r="X8134">
        <v>0.97893790000000003</v>
      </c>
      <c r="Y8134">
        <v>0.1254643</v>
      </c>
      <c r="Z8134">
        <v>-2.0238280000000001E-2</v>
      </c>
      <c r="AA8134">
        <v>0.99189170000000004</v>
      </c>
      <c r="AB8134">
        <v>14</v>
      </c>
      <c r="AC8134">
        <v>0.61699999999999</v>
      </c>
      <c r="AD8134">
        <v>-0.16420889999999999</v>
      </c>
      <c r="AE8134">
        <v>-8.0899999999985497E-2</v>
      </c>
      <c r="AF8134">
        <v>9.1185655854801304E-2</v>
      </c>
      <c r="AG8134">
        <v>-0.16420889999999999</v>
      </c>
      <c r="AH8134">
        <v>0.574579681157944</v>
      </c>
      <c r="AI8134">
        <v>105.762106971704</v>
      </c>
      <c r="AJ8134">
        <v>80.982376651048</v>
      </c>
      <c r="AK8134">
        <v>0.604500783020539</v>
      </c>
      <c r="AL8134">
        <v>79.824009200516599</v>
      </c>
      <c r="AM8134">
        <v>84.033590394738198</v>
      </c>
      <c r="AN8134">
        <v>0.99999995556489396</v>
      </c>
    </row>
    <row r="8135" spans="1:40" x14ac:dyDescent="0.25">
      <c r="A8135" t="str">
        <f>"20190303170446691"</f>
        <v>20190303170446691</v>
      </c>
      <c r="B8135" t="str">
        <f>"1551603886684205"</f>
        <v>1551603886684205</v>
      </c>
      <c r="C8135" t="s">
        <v>40</v>
      </c>
      <c r="D8135">
        <v>4.2666620000000002</v>
      </c>
      <c r="E8135">
        <v>0.51922800000000002</v>
      </c>
      <c r="F8135" t="s">
        <v>43</v>
      </c>
      <c r="G8135">
        <v>-133.1472</v>
      </c>
      <c r="H8135">
        <v>0.96253540000000004</v>
      </c>
      <c r="I8135">
        <v>137.47630000000001</v>
      </c>
      <c r="J8135">
        <v>-133.75110000000001</v>
      </c>
      <c r="K8135">
        <v>1.123176</v>
      </c>
      <c r="L8135">
        <v>137.55670000000001</v>
      </c>
      <c r="M8135">
        <v>0.99932719999999997</v>
      </c>
      <c r="N8135">
        <v>-2.5316789999999999E-2</v>
      </c>
      <c r="O8135">
        <v>2.6539690000000001E-2</v>
      </c>
      <c r="P8135">
        <v>0.98551339999999998</v>
      </c>
      <c r="Q8135">
        <v>0.15138660000000001</v>
      </c>
      <c r="R8135">
        <v>-7.6459330000000006E-2</v>
      </c>
      <c r="S8135">
        <v>3.1234280000000001</v>
      </c>
      <c r="T8135">
        <v>-0.67874860000000004</v>
      </c>
      <c r="U8135">
        <v>-0.3265228</v>
      </c>
      <c r="V8135">
        <v>0.1026731</v>
      </c>
      <c r="W8135">
        <v>0.17618320000000001</v>
      </c>
      <c r="X8135">
        <v>0.97898810000000003</v>
      </c>
      <c r="Y8135">
        <v>0.1265858</v>
      </c>
      <c r="Z8135">
        <v>-2.0211260000000002E-2</v>
      </c>
      <c r="AA8135">
        <v>0.99174980000000001</v>
      </c>
      <c r="AB8135">
        <v>14</v>
      </c>
      <c r="AC8135">
        <v>0.60390000000000998</v>
      </c>
      <c r="AD8135">
        <v>-0.16064059999999999</v>
      </c>
      <c r="AE8135">
        <v>-8.0399999999997293E-2</v>
      </c>
      <c r="AF8135">
        <v>9.0137196645445894E-2</v>
      </c>
      <c r="AG8135">
        <v>-0.16064059999999999</v>
      </c>
      <c r="AH8135">
        <v>0.56244766774829802</v>
      </c>
      <c r="AI8135">
        <v>105.749056191831</v>
      </c>
      <c r="AJ8135">
        <v>80.895264811594501</v>
      </c>
      <c r="AK8135">
        <v>0.59184245838141802</v>
      </c>
      <c r="AL8135">
        <v>79.852479539894901</v>
      </c>
      <c r="AM8135">
        <v>84.012891272442005</v>
      </c>
      <c r="AN8135">
        <v>0.99999999268372997</v>
      </c>
    </row>
    <row r="8136" spans="1:40" x14ac:dyDescent="0.25">
      <c r="A8136" t="str">
        <f>"20190303170446712"</f>
        <v>20190303170446712</v>
      </c>
      <c r="B8136" t="str">
        <f>"1551603886703725"</f>
        <v>1551603886703725</v>
      </c>
      <c r="C8136" t="s">
        <v>40</v>
      </c>
      <c r="D8136">
        <v>4.2729739999999996</v>
      </c>
      <c r="E8136">
        <v>0.51940620000000004</v>
      </c>
      <c r="F8136" t="s">
        <v>43</v>
      </c>
      <c r="G8136">
        <v>-133.02680000000001</v>
      </c>
      <c r="H8136">
        <v>0.96564070000000002</v>
      </c>
      <c r="I8136">
        <v>137.4796</v>
      </c>
      <c r="J8136">
        <v>-133.6207</v>
      </c>
      <c r="K8136">
        <v>1.1231709999999999</v>
      </c>
      <c r="L8136">
        <v>137.55959999999999</v>
      </c>
      <c r="M8136">
        <v>0.99934389999999995</v>
      </c>
      <c r="N8136">
        <v>-2.512445E-2</v>
      </c>
      <c r="O8136">
        <v>2.608858E-2</v>
      </c>
      <c r="P8136">
        <v>0.98567179999999999</v>
      </c>
      <c r="Q8136">
        <v>0.15020910000000001</v>
      </c>
      <c r="R8136">
        <v>-7.6737029999999998E-2</v>
      </c>
      <c r="S8136">
        <v>3.122665</v>
      </c>
      <c r="T8136">
        <v>-0.67924259999999903</v>
      </c>
      <c r="U8136">
        <v>-0.33216859999999998</v>
      </c>
      <c r="V8136">
        <v>0.1025095</v>
      </c>
      <c r="W8136">
        <v>0.17482329999999999</v>
      </c>
      <c r="X8136">
        <v>0.97924900000000004</v>
      </c>
      <c r="Y8136">
        <v>0.12790579999999999</v>
      </c>
      <c r="Z8136">
        <v>-2.0293499999999999E-2</v>
      </c>
      <c r="AA8136">
        <v>0.99157870000000004</v>
      </c>
      <c r="AB8136">
        <v>13</v>
      </c>
      <c r="AC8136">
        <v>0.59389999999998999</v>
      </c>
      <c r="AD8136">
        <v>-0.15753029999999901</v>
      </c>
      <c r="AE8136">
        <v>-7.9999999999984001E-2</v>
      </c>
      <c r="AF8136">
        <v>8.9300771824338598E-2</v>
      </c>
      <c r="AG8136">
        <v>-0.15753029999999901</v>
      </c>
      <c r="AH8136">
        <v>0.55337083279628996</v>
      </c>
      <c r="AI8136">
        <v>105.697386905545</v>
      </c>
      <c r="AJ8136">
        <v>80.8328684992088</v>
      </c>
      <c r="AK8136">
        <v>0.58224539659508801</v>
      </c>
      <c r="AL8136">
        <v>79.931624510921196</v>
      </c>
      <c r="AM8136">
        <v>84.023943128882095</v>
      </c>
      <c r="AN8136">
        <v>0.99999999390706995</v>
      </c>
    </row>
    <row r="8137" spans="1:40" x14ac:dyDescent="0.25">
      <c r="A8137" t="str">
        <f>"20190303170446735"</f>
        <v>20190303170446735</v>
      </c>
      <c r="B8137" t="str">
        <f>"1551603886724221"</f>
        <v>1551603886724221</v>
      </c>
      <c r="C8137" t="s">
        <v>40</v>
      </c>
      <c r="D8137">
        <v>4.2401299999999997</v>
      </c>
      <c r="E8137">
        <v>0.51958059999999995</v>
      </c>
      <c r="F8137" t="s">
        <v>43</v>
      </c>
      <c r="G8137">
        <v>-132.90889999999999</v>
      </c>
      <c r="H8137">
        <v>0.96753160000000005</v>
      </c>
      <c r="I8137">
        <v>137.483</v>
      </c>
      <c r="J8137">
        <v>-133.48910000000001</v>
      </c>
      <c r="K8137">
        <v>1.1231660000000001</v>
      </c>
      <c r="L8137">
        <v>137.5625</v>
      </c>
      <c r="M8137">
        <v>0.99936060000000004</v>
      </c>
      <c r="N8137">
        <v>-2.494232E-2</v>
      </c>
      <c r="O8137">
        <v>2.5621990000000001E-2</v>
      </c>
      <c r="P8137">
        <v>0.98568520000000004</v>
      </c>
      <c r="Q8137">
        <v>0.14995349999999999</v>
      </c>
      <c r="R8137">
        <v>-7.7063889999999996E-2</v>
      </c>
      <c r="S8137">
        <v>3.121521</v>
      </c>
      <c r="T8137">
        <v>-0.68256319999999904</v>
      </c>
      <c r="U8137">
        <v>-0.33537289999999997</v>
      </c>
      <c r="V8137">
        <v>0.1023749</v>
      </c>
      <c r="W8137">
        <v>0.17439180000000001</v>
      </c>
      <c r="X8137">
        <v>0.97933999999999999</v>
      </c>
      <c r="Y8137">
        <v>0.1284458</v>
      </c>
      <c r="Z8137">
        <v>-2.0360799999999998E-2</v>
      </c>
      <c r="AA8137">
        <v>0.99150749999999999</v>
      </c>
      <c r="AB8137">
        <v>13</v>
      </c>
      <c r="AC8137">
        <v>0.58020000000001903</v>
      </c>
      <c r="AD8137">
        <v>-0.15563439999999901</v>
      </c>
      <c r="AE8137">
        <v>-7.9499999999995893E-2</v>
      </c>
      <c r="AF8137">
        <v>8.8120597648856602E-2</v>
      </c>
      <c r="AG8137">
        <v>-0.15563439999999901</v>
      </c>
      <c r="AH8137">
        <v>0.53984369082586403</v>
      </c>
      <c r="AI8137">
        <v>105.88261898362499</v>
      </c>
      <c r="AJ8137">
        <v>80.729170943197204</v>
      </c>
      <c r="AK8137">
        <v>0.568698968451537</v>
      </c>
      <c r="AL8137">
        <v>79.956733196422803</v>
      </c>
      <c r="AM8137">
        <v>84.032283876452396</v>
      </c>
      <c r="AN8137">
        <v>0.99999997782862404</v>
      </c>
    </row>
    <row r="8138" spans="1:40" x14ac:dyDescent="0.25">
      <c r="A8138" t="str">
        <f>"20190303170446757"</f>
        <v>20190303170446757</v>
      </c>
      <c r="B8138" t="str">
        <f>"1551603886743741"</f>
        <v>1551603886743741</v>
      </c>
      <c r="C8138" t="s">
        <v>40</v>
      </c>
      <c r="D8138">
        <v>4.2221109999999999</v>
      </c>
      <c r="E8138">
        <v>0.52933039999999998</v>
      </c>
      <c r="F8138" t="s">
        <v>43</v>
      </c>
      <c r="G8138">
        <v>-132.68940000000001</v>
      </c>
      <c r="H8138">
        <v>0.94811449999999997</v>
      </c>
      <c r="I8138">
        <v>137.4759</v>
      </c>
      <c r="J8138">
        <v>-133.36699999999999</v>
      </c>
      <c r="K8138">
        <v>1.1231640000000001</v>
      </c>
      <c r="L8138">
        <v>137.5651</v>
      </c>
      <c r="M8138">
        <v>0.99937609999999999</v>
      </c>
      <c r="N8138">
        <v>-2.4762079999999999E-2</v>
      </c>
      <c r="O8138">
        <v>2.5184350000000001E-2</v>
      </c>
      <c r="P8138">
        <v>0.98563480000000003</v>
      </c>
      <c r="Q8138">
        <v>0.15010490000000001</v>
      </c>
      <c r="R8138">
        <v>-7.7412759999999997E-2</v>
      </c>
      <c r="S8138">
        <v>3.1210629999999999</v>
      </c>
      <c r="T8138">
        <v>-0.68320630000000004</v>
      </c>
      <c r="U8138">
        <v>-0.3381653</v>
      </c>
      <c r="V8138">
        <v>0.1022899</v>
      </c>
      <c r="W8138">
        <v>0.174367299999999</v>
      </c>
      <c r="X8138">
        <v>0.97935320000000003</v>
      </c>
      <c r="Y8138">
        <v>0.12889439999999999</v>
      </c>
      <c r="Z8138">
        <v>-2.0343719999999999E-2</v>
      </c>
      <c r="AA8138">
        <v>0.99144969999999999</v>
      </c>
      <c r="AB8138">
        <v>13</v>
      </c>
      <c r="AC8138">
        <v>0.67760000000001197</v>
      </c>
      <c r="AD8138">
        <v>-0.175049499999999</v>
      </c>
      <c r="AE8138">
        <v>-8.9200000000005206E-2</v>
      </c>
      <c r="AF8138">
        <v>9.9701291980090104E-2</v>
      </c>
      <c r="AG8138">
        <v>-0.175049499999999</v>
      </c>
      <c r="AH8138">
        <v>0.63357442241099604</v>
      </c>
      <c r="AI8138">
        <v>105.26593639332999</v>
      </c>
      <c r="AJ8138">
        <v>81.0570904202946</v>
      </c>
      <c r="AK8138">
        <v>0.66483022179062901</v>
      </c>
      <c r="AL8138">
        <v>79.958158347113894</v>
      </c>
      <c r="AM8138">
        <v>84.037282837147004</v>
      </c>
      <c r="AN8138">
        <v>0.99999993465076698</v>
      </c>
    </row>
    <row r="8139" spans="1:40" x14ac:dyDescent="0.25">
      <c r="A8139" t="str">
        <f>"20190303170446779"</f>
        <v>20190303170446779</v>
      </c>
      <c r="B8139" t="str">
        <f>"1551603886773997"</f>
        <v>1551603886773997</v>
      </c>
      <c r="C8139" t="s">
        <v>40</v>
      </c>
      <c r="D8139">
        <v>4.2014290000000001</v>
      </c>
      <c r="E8139">
        <v>0.52933750000000002</v>
      </c>
      <c r="F8139" t="s">
        <v>43</v>
      </c>
      <c r="G8139">
        <v>-132.57650000000001</v>
      </c>
      <c r="H8139">
        <v>0.94814690000000001</v>
      </c>
      <c r="I8139">
        <v>137.45939999999999</v>
      </c>
      <c r="J8139">
        <v>-133.24100000000001</v>
      </c>
      <c r="K8139">
        <v>1.123159</v>
      </c>
      <c r="L8139">
        <v>137.5677</v>
      </c>
      <c r="M8139">
        <v>0.99939199999999995</v>
      </c>
      <c r="N8139">
        <v>-2.4576730000000001E-2</v>
      </c>
      <c r="O8139">
        <v>2.4734349999999999E-2</v>
      </c>
      <c r="P8139">
        <v>0.98553199999999996</v>
      </c>
      <c r="Q8139">
        <v>0.1505417</v>
      </c>
      <c r="R8139">
        <v>-7.7872469999999999E-2</v>
      </c>
      <c r="S8139">
        <v>3.1161349999999999</v>
      </c>
      <c r="T8139">
        <v>-0.68996119999999905</v>
      </c>
      <c r="U8139">
        <v>-0.41616819999999999</v>
      </c>
      <c r="V8139">
        <v>0.1023022</v>
      </c>
      <c r="W8139">
        <v>0.17462179999999999</v>
      </c>
      <c r="X8139">
        <v>0.97930660000000003</v>
      </c>
      <c r="Y8139">
        <v>0.15234829999999999</v>
      </c>
      <c r="Z8139">
        <v>-2.3289509999999999E-2</v>
      </c>
      <c r="AA8139">
        <v>0.98805240000000005</v>
      </c>
      <c r="AB8139">
        <v>13</v>
      </c>
      <c r="AC8139">
        <v>0.66450000000000298</v>
      </c>
      <c r="AD8139">
        <v>-0.175012099999999</v>
      </c>
      <c r="AE8139">
        <v>-0.108300000000014</v>
      </c>
      <c r="AF8139">
        <v>0.11681450493036601</v>
      </c>
      <c r="AG8139">
        <v>-0.175012099999999</v>
      </c>
      <c r="AH8139">
        <v>0.61974050702782202</v>
      </c>
      <c r="AI8139">
        <v>105.5098182573</v>
      </c>
      <c r="AJ8139">
        <v>79.325592393981793</v>
      </c>
      <c r="AK8139">
        <v>0.65448694391839302</v>
      </c>
      <c r="AL8139">
        <v>79.943349681188295</v>
      </c>
      <c r="AM8139">
        <v>84.036289285185205</v>
      </c>
      <c r="AN8139">
        <v>0.99999996498181898</v>
      </c>
    </row>
    <row r="8140" spans="1:40" x14ac:dyDescent="0.25">
      <c r="A8140" t="str">
        <f>"20190303170446801"</f>
        <v>20190303170446801</v>
      </c>
      <c r="B8140" t="str">
        <f>"1551603886793517"</f>
        <v>1551603886793517</v>
      </c>
      <c r="C8140" t="s">
        <v>40</v>
      </c>
      <c r="D8140">
        <v>4.2048880000000004</v>
      </c>
      <c r="E8140">
        <v>0.52918140000000002</v>
      </c>
      <c r="F8140" t="s">
        <v>43</v>
      </c>
      <c r="G8140">
        <v>-132.46549999999999</v>
      </c>
      <c r="H8140">
        <v>0.95050619999999997</v>
      </c>
      <c r="I8140">
        <v>137.464</v>
      </c>
      <c r="J8140">
        <v>-133.12020000000001</v>
      </c>
      <c r="K8140">
        <v>1.1232150000000001</v>
      </c>
      <c r="L8140">
        <v>137.5702</v>
      </c>
      <c r="M8140">
        <v>0.99940070000000003</v>
      </c>
      <c r="N8140">
        <v>-2.4643849999999998E-2</v>
      </c>
      <c r="O8140">
        <v>2.4311389999999999E-2</v>
      </c>
      <c r="P8140">
        <v>0.98574439999999997</v>
      </c>
      <c r="Q8140">
        <v>0.1490457</v>
      </c>
      <c r="R8140">
        <v>-7.8061249999999999E-2</v>
      </c>
      <c r="S8140">
        <v>3.1171570000000002</v>
      </c>
      <c r="T8140">
        <v>-0.69396259999999999</v>
      </c>
      <c r="U8140">
        <v>-0.41630549999999999</v>
      </c>
      <c r="V8140">
        <v>0.102076</v>
      </c>
      <c r="W8140">
        <v>0.1732004</v>
      </c>
      <c r="X8140">
        <v>0.97958259999999997</v>
      </c>
      <c r="Y8140">
        <v>0.15190239999999999</v>
      </c>
      <c r="Z8140">
        <v>-2.3273990000000001E-2</v>
      </c>
      <c r="AA8140">
        <v>0.98812140000000004</v>
      </c>
      <c r="AB8140">
        <v>13</v>
      </c>
      <c r="AC8140">
        <v>0.65470000000001904</v>
      </c>
      <c r="AD8140">
        <v>-0.1727088</v>
      </c>
      <c r="AE8140">
        <v>-0.106200000000001</v>
      </c>
      <c r="AF8140">
        <v>0.11433739531919999</v>
      </c>
      <c r="AG8140">
        <v>-0.1727088</v>
      </c>
      <c r="AH8140">
        <v>0.61052668761582696</v>
      </c>
      <c r="AI8140">
        <v>105.538641638401</v>
      </c>
      <c r="AJ8140">
        <v>79.392707391538394</v>
      </c>
      <c r="AK8140">
        <v>0.64470474316308002</v>
      </c>
      <c r="AL8140">
        <v>80.026050299971999</v>
      </c>
      <c r="AM8140">
        <v>84.051045478400297</v>
      </c>
      <c r="AN8140">
        <v>0.99999997927945905</v>
      </c>
    </row>
    <row r="8141" spans="1:40" x14ac:dyDescent="0.25">
      <c r="A8141" t="str">
        <f>"20190303170446823"</f>
        <v>20190303170446823</v>
      </c>
      <c r="B8141" t="str">
        <f>"1551603886814013"</f>
        <v>1551603886814013</v>
      </c>
      <c r="C8141" t="s">
        <v>40</v>
      </c>
      <c r="D8141">
        <v>4.2228009999999996</v>
      </c>
      <c r="E8141">
        <v>0.52925749999999905</v>
      </c>
      <c r="F8141" t="s">
        <v>43</v>
      </c>
      <c r="G8141">
        <v>-132.35910000000001</v>
      </c>
      <c r="H8141">
        <v>0.95193530000000004</v>
      </c>
      <c r="I8141">
        <v>137.46870000000001</v>
      </c>
      <c r="J8141">
        <v>-133.00360000000001</v>
      </c>
      <c r="K8141">
        <v>1.1234710000000001</v>
      </c>
      <c r="L8141">
        <v>137.57249999999999</v>
      </c>
      <c r="M8141">
        <v>0.99938959999999999</v>
      </c>
      <c r="N8141">
        <v>-2.5453659999999999E-2</v>
      </c>
      <c r="O8141">
        <v>2.392673E-2</v>
      </c>
      <c r="P8141">
        <v>0.98611959999999999</v>
      </c>
      <c r="Q8141">
        <v>0.1461634</v>
      </c>
      <c r="R8141">
        <v>-7.8770370000000006E-2</v>
      </c>
      <c r="S8141">
        <v>3.1165620000000001</v>
      </c>
      <c r="T8141">
        <v>-0.70135859999999906</v>
      </c>
      <c r="U8141">
        <v>-0.4151764</v>
      </c>
      <c r="V8141">
        <v>0.10240589999999999</v>
      </c>
      <c r="W8141">
        <v>0.17112759999999999</v>
      </c>
      <c r="X8141">
        <v>0.97991249999999996</v>
      </c>
      <c r="Y8141">
        <v>0.15111959999999999</v>
      </c>
      <c r="Z8141">
        <v>-2.3378599999999999E-2</v>
      </c>
      <c r="AA8141">
        <v>0.98823899999999998</v>
      </c>
      <c r="AB8141">
        <v>12</v>
      </c>
      <c r="AC8141">
        <v>0.64449999999999297</v>
      </c>
      <c r="AD8141">
        <v>-0.17153569999999899</v>
      </c>
      <c r="AE8141">
        <v>-0.10379999999997799</v>
      </c>
      <c r="AF8141">
        <v>0.111497524555372</v>
      </c>
      <c r="AG8141">
        <v>-0.17153569999999899</v>
      </c>
      <c r="AH8141">
        <v>0.60037702824015504</v>
      </c>
      <c r="AI8141">
        <v>105.69059345687</v>
      </c>
      <c r="AJ8141">
        <v>79.479314063235606</v>
      </c>
      <c r="AK8141">
        <v>0.63427814907573998</v>
      </c>
      <c r="AL8141">
        <v>80.146614088071104</v>
      </c>
      <c r="AM8141">
        <v>84.033952287286098</v>
      </c>
      <c r="AN8141">
        <v>1.0000000657464001</v>
      </c>
    </row>
    <row r="8142" spans="1:40" x14ac:dyDescent="0.25">
      <c r="A8142" t="str">
        <f>"20190303170446846"</f>
        <v>20190303170446846</v>
      </c>
      <c r="B8142" t="str">
        <f>"1551603886833532"</f>
        <v>1551603886833532</v>
      </c>
      <c r="C8142" t="s">
        <v>40</v>
      </c>
      <c r="D8142">
        <v>4.2085790000000003</v>
      </c>
      <c r="E8142">
        <v>0.529165</v>
      </c>
      <c r="F8142" t="s">
        <v>43</v>
      </c>
      <c r="G8142">
        <v>-132.25710000000001</v>
      </c>
      <c r="H8142">
        <v>0.95304239999999996</v>
      </c>
      <c r="I8142">
        <v>137.47239999999999</v>
      </c>
      <c r="J8142">
        <v>-132.89320000000001</v>
      </c>
      <c r="K8142">
        <v>1.1237629999999901</v>
      </c>
      <c r="L8142">
        <v>137.57470000000001</v>
      </c>
      <c r="M8142">
        <v>0.9993687</v>
      </c>
      <c r="N8142">
        <v>-2.6572910000000002E-2</v>
      </c>
      <c r="O8142">
        <v>2.3579360000000001E-2</v>
      </c>
      <c r="P8142">
        <v>0.98646299999999998</v>
      </c>
      <c r="Q8142">
        <v>0.14337659999999999</v>
      </c>
      <c r="R8142">
        <v>-7.9587850000000002E-2</v>
      </c>
      <c r="S8142">
        <v>3.1142430000000001</v>
      </c>
      <c r="T8142">
        <v>-0.71094179999999996</v>
      </c>
      <c r="U8142">
        <v>-0.41735840000000002</v>
      </c>
      <c r="V8142">
        <v>0.1028801</v>
      </c>
      <c r="W8142">
        <v>0.16945389999999999</v>
      </c>
      <c r="X8142">
        <v>0.98015359999999996</v>
      </c>
      <c r="Y8142">
        <v>0.1514104</v>
      </c>
      <c r="Z8142">
        <v>-2.3715730000000001E-2</v>
      </c>
      <c r="AA8142">
        <v>0.98818649999999997</v>
      </c>
      <c r="AB8142">
        <v>12</v>
      </c>
      <c r="AC8142">
        <v>0.636099999999999</v>
      </c>
      <c r="AD8142">
        <v>-0.170720599999999</v>
      </c>
      <c r="AE8142">
        <v>-0.10230000000001301</v>
      </c>
      <c r="AF8142">
        <v>0.109581387771215</v>
      </c>
      <c r="AG8142">
        <v>-0.170720599999999</v>
      </c>
      <c r="AH8142">
        <v>0.59194636417086399</v>
      </c>
      <c r="AI8142">
        <v>105.832660026151</v>
      </c>
      <c r="AJ8142">
        <v>79.512108124014702</v>
      </c>
      <c r="AK8142">
        <v>0.62574284004320102</v>
      </c>
      <c r="AL8142">
        <v>80.2439309164576</v>
      </c>
      <c r="AM8142">
        <v>84.007990142695306</v>
      </c>
      <c r="AN8142">
        <v>1.00000000939708</v>
      </c>
    </row>
    <row r="8143" spans="1:40" x14ac:dyDescent="0.25">
      <c r="A8143" t="str">
        <f>"20190303170446868"</f>
        <v>20190303170446868</v>
      </c>
      <c r="B8143" t="str">
        <f>"1551603886863789"</f>
        <v>1551603886863789</v>
      </c>
      <c r="C8143" t="s">
        <v>40</v>
      </c>
      <c r="D8143">
        <v>4.2128560000000004</v>
      </c>
      <c r="E8143">
        <v>0.52909069999999903</v>
      </c>
      <c r="F8143" t="s">
        <v>43</v>
      </c>
      <c r="G8143">
        <v>-132.15889999999999</v>
      </c>
      <c r="H8143">
        <v>0.95405390000000001</v>
      </c>
      <c r="I8143">
        <v>137.47559999999999</v>
      </c>
      <c r="J8143">
        <v>-132.7835</v>
      </c>
      <c r="K8143">
        <v>1.123972</v>
      </c>
      <c r="L8143">
        <v>137.57679999999999</v>
      </c>
      <c r="M8143">
        <v>0.99934880000000004</v>
      </c>
      <c r="N8143">
        <v>-2.761711E-2</v>
      </c>
      <c r="O8143">
        <v>2.3232969999999999E-2</v>
      </c>
      <c r="P8143">
        <v>0.98665060000000004</v>
      </c>
      <c r="Q8143">
        <v>0.1418343</v>
      </c>
      <c r="R8143">
        <v>-8.002542E-2</v>
      </c>
      <c r="S8143">
        <v>3.1118769999999998</v>
      </c>
      <c r="T8143">
        <v>-0.71917509999999996</v>
      </c>
      <c r="U8143">
        <v>-0.41925050000000003</v>
      </c>
      <c r="V8143">
        <v>0.10297489999999999</v>
      </c>
      <c r="W8143">
        <v>0.16894579999999901</v>
      </c>
      <c r="X8143">
        <v>0.98023130000000003</v>
      </c>
      <c r="Y8143">
        <v>0.1516323</v>
      </c>
      <c r="Z8143">
        <v>-2.3999369999999999E-2</v>
      </c>
      <c r="AA8143">
        <v>0.98814559999999996</v>
      </c>
      <c r="AB8143">
        <v>11</v>
      </c>
      <c r="AC8143">
        <v>0.62460000000001503</v>
      </c>
      <c r="AD8143">
        <v>-0.16991809999999899</v>
      </c>
      <c r="AE8143">
        <v>-0.10120000000000499</v>
      </c>
      <c r="AF8143">
        <v>0.10790781227215</v>
      </c>
      <c r="AG8143">
        <v>-0.16991809999999899</v>
      </c>
      <c r="AH8143">
        <v>0.58023589447247503</v>
      </c>
      <c r="AI8143">
        <v>106.061465692114</v>
      </c>
      <c r="AJ8143">
        <v>79.464925281849801</v>
      </c>
      <c r="AK8143">
        <v>0.61415791934261099</v>
      </c>
      <c r="AL8143">
        <v>80.273468275778896</v>
      </c>
      <c r="AM8143">
        <v>84.002980903399006</v>
      </c>
      <c r="AN8143">
        <v>0.99999995743366898</v>
      </c>
    </row>
    <row r="8144" spans="1:40" x14ac:dyDescent="0.25">
      <c r="A8144" t="str">
        <f>"20190303170446891"</f>
        <v>20190303170446891</v>
      </c>
      <c r="B8144" t="str">
        <f>"1551603886883309"</f>
        <v>1551603886883309</v>
      </c>
      <c r="C8144" t="s">
        <v>40</v>
      </c>
      <c r="D8144">
        <v>4.2087729999999999</v>
      </c>
      <c r="E8144">
        <v>0.52905559999999996</v>
      </c>
      <c r="F8144" t="s">
        <v>43</v>
      </c>
      <c r="G8144">
        <v>-132.06299999999999</v>
      </c>
      <c r="H8144">
        <v>0.95654680000000003</v>
      </c>
      <c r="I8144">
        <v>137.4794</v>
      </c>
      <c r="J8144">
        <v>-132.6806</v>
      </c>
      <c r="K8144">
        <v>1.1239790000000001</v>
      </c>
      <c r="L8144">
        <v>137.5788</v>
      </c>
      <c r="M8144">
        <v>0.99934579999999995</v>
      </c>
      <c r="N8144">
        <v>-2.801128E-2</v>
      </c>
      <c r="O8144">
        <v>2.287846E-2</v>
      </c>
      <c r="P8144">
        <v>0.98666730000000002</v>
      </c>
      <c r="Q8144">
        <v>0.14148910000000001</v>
      </c>
      <c r="R8144">
        <v>-8.0426339999999999E-2</v>
      </c>
      <c r="S8144">
        <v>3.1103670000000001</v>
      </c>
      <c r="T8144">
        <v>-0.72280649999999902</v>
      </c>
      <c r="U8144">
        <v>-0.42048649999999999</v>
      </c>
      <c r="V8144">
        <v>0.1030272</v>
      </c>
      <c r="W8144">
        <v>0.1689881</v>
      </c>
      <c r="X8144">
        <v>0.98021849999999999</v>
      </c>
      <c r="Y8144">
        <v>0.1516805</v>
      </c>
      <c r="Z8144">
        <v>-2.4077040000000001E-2</v>
      </c>
      <c r="AA8144">
        <v>0.98813629999999997</v>
      </c>
      <c r="AB8144">
        <v>11</v>
      </c>
      <c r="AC8144">
        <v>0.61760000000001003</v>
      </c>
      <c r="AD8144">
        <v>-0.1674322</v>
      </c>
      <c r="AE8144">
        <v>-9.9400000000002806E-2</v>
      </c>
      <c r="AF8144">
        <v>0.10592103876640099</v>
      </c>
      <c r="AG8144">
        <v>-0.1674322</v>
      </c>
      <c r="AH8144">
        <v>0.57403893374562198</v>
      </c>
      <c r="AI8144">
        <v>106.004580102814</v>
      </c>
      <c r="AJ8144">
        <v>79.545436360969006</v>
      </c>
      <c r="AK8144">
        <v>0.60726724389349696</v>
      </c>
      <c r="AL8144">
        <v>80.271009184480704</v>
      </c>
      <c r="AM8144">
        <v>83.999879507427096</v>
      </c>
      <c r="AN8144">
        <v>0.99999994481184795</v>
      </c>
    </row>
    <row r="8145" spans="1:40" x14ac:dyDescent="0.25">
      <c r="A8145" t="str">
        <f>"20190303170446913"</f>
        <v>20190303170446913</v>
      </c>
      <c r="B8145" t="str">
        <f>"1551603886903805"</f>
        <v>1551603886903805</v>
      </c>
      <c r="C8145" t="s">
        <v>40</v>
      </c>
      <c r="D8145">
        <v>4.2308770000000004</v>
      </c>
      <c r="E8145">
        <v>0.52899039999999997</v>
      </c>
      <c r="F8145" t="s">
        <v>43</v>
      </c>
      <c r="G8145">
        <v>-131.96879999999999</v>
      </c>
      <c r="H8145">
        <v>0.958596</v>
      </c>
      <c r="I8145">
        <v>137.48240000000001</v>
      </c>
      <c r="J8145">
        <v>-132.5772</v>
      </c>
      <c r="K8145">
        <v>1.123767</v>
      </c>
      <c r="L8145">
        <v>137.58070000000001</v>
      </c>
      <c r="M8145">
        <v>0.9993649</v>
      </c>
      <c r="N8145">
        <v>-2.764376E-2</v>
      </c>
      <c r="O8145">
        <v>2.2494549999999999E-2</v>
      </c>
      <c r="P8145">
        <v>0.98659909999999995</v>
      </c>
      <c r="Q8145">
        <v>0.1419377</v>
      </c>
      <c r="R8145">
        <v>-8.0473879999999998E-2</v>
      </c>
      <c r="S8145">
        <v>3.1098789999999998</v>
      </c>
      <c r="T8145">
        <v>-0.72254350000000001</v>
      </c>
      <c r="U8145">
        <v>-0.42053220000000002</v>
      </c>
      <c r="V8145">
        <v>0.1027025</v>
      </c>
      <c r="W8145">
        <v>0.16907139999999901</v>
      </c>
      <c r="X8145">
        <v>0.98023830000000001</v>
      </c>
      <c r="Y8145">
        <v>0.15135989999999999</v>
      </c>
      <c r="Z8145">
        <v>-2.3933889999999999E-2</v>
      </c>
      <c r="AA8145">
        <v>0.98818890000000004</v>
      </c>
      <c r="AB8145">
        <v>11</v>
      </c>
      <c r="AC8145">
        <v>0.60840000000001704</v>
      </c>
      <c r="AD8145">
        <v>-0.16517100000000001</v>
      </c>
      <c r="AE8145">
        <v>-9.8299999999994697E-2</v>
      </c>
      <c r="AF8145">
        <v>0.104462620178607</v>
      </c>
      <c r="AG8145">
        <v>-0.16517100000000001</v>
      </c>
      <c r="AH8145">
        <v>0.56542052579669899</v>
      </c>
      <c r="AI8145">
        <v>106.027199454921</v>
      </c>
      <c r="AJ8145">
        <v>79.532516971947004</v>
      </c>
      <c r="AK8145">
        <v>0.59824265080968198</v>
      </c>
      <c r="AL8145">
        <v>80.266167637667294</v>
      </c>
      <c r="AM8145">
        <v>84.018772095040404</v>
      </c>
      <c r="AN8145">
        <v>1.0000000332955401</v>
      </c>
    </row>
    <row r="8146" spans="1:40" x14ac:dyDescent="0.25">
      <c r="A8146" t="str">
        <f>"20190303170446937"</f>
        <v>20190303170446937</v>
      </c>
      <c r="B8146" t="str">
        <f>"1551603886923325"</f>
        <v>1551603886923325</v>
      </c>
      <c r="C8146" t="s">
        <v>40</v>
      </c>
      <c r="D8146">
        <v>4.2524410000000001</v>
      </c>
      <c r="E8146">
        <v>0.52902069999999901</v>
      </c>
      <c r="F8146" t="s">
        <v>43</v>
      </c>
      <c r="G8146">
        <v>-131.87469999999999</v>
      </c>
      <c r="H8146">
        <v>0.96121100000000004</v>
      </c>
      <c r="I8146">
        <v>137.48589999999999</v>
      </c>
      <c r="J8146">
        <v>-132.46639999999999</v>
      </c>
      <c r="K8146">
        <v>1.1235010000000001</v>
      </c>
      <c r="L8146">
        <v>137.58269999999999</v>
      </c>
      <c r="M8146">
        <v>0.99939319999999998</v>
      </c>
      <c r="N8146">
        <v>-2.6944510000000001E-2</v>
      </c>
      <c r="O8146">
        <v>2.2075899999999999E-2</v>
      </c>
      <c r="P8146">
        <v>0.98670550000000001</v>
      </c>
      <c r="Q8146">
        <v>0.14102999999999999</v>
      </c>
      <c r="R8146">
        <v>-8.0765649999999994E-2</v>
      </c>
      <c r="S8146">
        <v>3.1100620000000001</v>
      </c>
      <c r="T8146">
        <v>-0.71973599999999904</v>
      </c>
      <c r="U8146">
        <v>-0.41960140000000001</v>
      </c>
      <c r="V8146">
        <v>0.10259210000000001</v>
      </c>
      <c r="W8146">
        <v>0.16747609999999999</v>
      </c>
      <c r="X8146">
        <v>0.98052360000000005</v>
      </c>
      <c r="Y8146">
        <v>0.15072060000000001</v>
      </c>
      <c r="Z8146">
        <v>-2.364368E-2</v>
      </c>
      <c r="AA8146">
        <v>0.98829359999999999</v>
      </c>
      <c r="AB8146">
        <v>10</v>
      </c>
      <c r="AC8146">
        <v>0.591700000000002</v>
      </c>
      <c r="AD8146">
        <v>-0.16228999999999999</v>
      </c>
      <c r="AE8146">
        <v>-9.6800000000001704E-2</v>
      </c>
      <c r="AF8146">
        <v>0.102344916299664</v>
      </c>
      <c r="AG8146">
        <v>-0.16228999999999999</v>
      </c>
      <c r="AH8146">
        <v>0.54918099688605204</v>
      </c>
      <c r="AI8146">
        <v>106.19916967284399</v>
      </c>
      <c r="AJ8146">
        <v>79.443502403400998</v>
      </c>
      <c r="AK8146">
        <v>0.58173214913149096</v>
      </c>
      <c r="AL8146">
        <v>80.358893103691102</v>
      </c>
      <c r="AM8146">
        <v>84.026880989818906</v>
      </c>
      <c r="AN8146">
        <v>0.99999995660528895</v>
      </c>
    </row>
    <row r="8147" spans="1:40" x14ac:dyDescent="0.25">
      <c r="A8147" t="str">
        <f>"20190303170446958"</f>
        <v>20190303170446958</v>
      </c>
      <c r="B8147" t="str">
        <f>"1551603886953581"</f>
        <v>1551603886953581</v>
      </c>
      <c r="C8147" t="s">
        <v>40</v>
      </c>
      <c r="D8147">
        <v>4.2530359999999998</v>
      </c>
      <c r="E8147">
        <v>0.52887419999999996</v>
      </c>
      <c r="F8147" t="s">
        <v>43</v>
      </c>
      <c r="G8147">
        <v>-131.70060000000001</v>
      </c>
      <c r="H8147">
        <v>0.94588879999999997</v>
      </c>
      <c r="I8147">
        <v>137.47899999999899</v>
      </c>
      <c r="J8147">
        <v>-132.37180000000001</v>
      </c>
      <c r="K8147">
        <v>1.1233820000000001</v>
      </c>
      <c r="L8147">
        <v>137.58430000000001</v>
      </c>
      <c r="M8147">
        <v>0.99941239999999998</v>
      </c>
      <c r="N8147">
        <v>-2.6514220000000002E-2</v>
      </c>
      <c r="O8147">
        <v>2.1725120000000001E-2</v>
      </c>
      <c r="P8147">
        <v>0.98696919999999999</v>
      </c>
      <c r="Q8147">
        <v>0.13918749999999999</v>
      </c>
      <c r="R8147">
        <v>-8.0739379999999999E-2</v>
      </c>
      <c r="S8147">
        <v>3.1090550000000001</v>
      </c>
      <c r="T8147">
        <v>-0.72107790000000005</v>
      </c>
      <c r="U8147">
        <v>-0.42070010000000002</v>
      </c>
      <c r="V8147">
        <v>0.1022251</v>
      </c>
      <c r="W8147">
        <v>0.16522049999999999</v>
      </c>
      <c r="X8147">
        <v>0.98094460000000006</v>
      </c>
      <c r="Y8147">
        <v>0.1507511</v>
      </c>
      <c r="Z8147">
        <v>-2.359992E-2</v>
      </c>
      <c r="AA8147">
        <v>0.98829</v>
      </c>
      <c r="AB8147">
        <v>10</v>
      </c>
      <c r="AC8147">
        <v>0.67119999999999802</v>
      </c>
      <c r="AD8147">
        <v>-0.17749319999999899</v>
      </c>
      <c r="AE8147">
        <v>-0.105300000000028</v>
      </c>
      <c r="AF8147">
        <v>0.112204264124158</v>
      </c>
      <c r="AG8147">
        <v>-0.17749319999999899</v>
      </c>
      <c r="AH8147">
        <v>0.62602693989666702</v>
      </c>
      <c r="AI8147">
        <v>105.593149785287</v>
      </c>
      <c r="AJ8147">
        <v>79.8386361207791</v>
      </c>
      <c r="AK8147">
        <v>0.66030550687561995</v>
      </c>
      <c r="AL8147">
        <v>80.489956448910604</v>
      </c>
      <c r="AM8147">
        <v>84.050630912217898</v>
      </c>
      <c r="AN8147">
        <v>1.0000000464797001</v>
      </c>
    </row>
    <row r="8148" spans="1:40" x14ac:dyDescent="0.25">
      <c r="A8148" t="str">
        <f>"20190303170446979"</f>
        <v>20190303170446979</v>
      </c>
      <c r="B8148" t="str">
        <f>"1551603886974077"</f>
        <v>1551603886974077</v>
      </c>
      <c r="C8148" t="s">
        <v>40</v>
      </c>
      <c r="D8148">
        <v>4.2870920000000003</v>
      </c>
      <c r="E8148">
        <v>0.52871330000000005</v>
      </c>
      <c r="F8148" t="s">
        <v>43</v>
      </c>
      <c r="G8148">
        <v>-131.6131</v>
      </c>
      <c r="H8148">
        <v>0.94625369999999998</v>
      </c>
      <c r="I8148">
        <v>137.48159999999999</v>
      </c>
      <c r="J8148">
        <v>-132.27690000000001</v>
      </c>
      <c r="K8148">
        <v>1.1233709999999999</v>
      </c>
      <c r="L8148">
        <v>137.58590000000001</v>
      </c>
      <c r="M8148">
        <v>0.99942620000000004</v>
      </c>
      <c r="N8148">
        <v>-2.6281100000000002E-2</v>
      </c>
      <c r="O8148">
        <v>2.137124E-2</v>
      </c>
      <c r="P8148">
        <v>0.9867283</v>
      </c>
      <c r="Q8148">
        <v>0.1410467</v>
      </c>
      <c r="R8148">
        <v>-8.0456959999999994E-2</v>
      </c>
      <c r="S8148">
        <v>3.1075439999999999</v>
      </c>
      <c r="T8148">
        <v>-0.72547039999999996</v>
      </c>
      <c r="U8148">
        <v>-0.42022710000000002</v>
      </c>
      <c r="V8148">
        <v>0.10158300000000001</v>
      </c>
      <c r="W8148">
        <v>0.16684939999999901</v>
      </c>
      <c r="X8148">
        <v>0.98073549999999998</v>
      </c>
      <c r="Y8148">
        <v>0.15028069999999999</v>
      </c>
      <c r="Z8148">
        <v>-2.3597099999999999E-2</v>
      </c>
      <c r="AA8148">
        <v>0.98836170000000001</v>
      </c>
      <c r="AB8148">
        <v>10</v>
      </c>
      <c r="AC8148">
        <v>0.66380000000000905</v>
      </c>
      <c r="AD8148">
        <v>-0.17711729999999901</v>
      </c>
      <c r="AE8148">
        <v>-0.104300000000023</v>
      </c>
      <c r="AF8148">
        <v>0.11077099740202601</v>
      </c>
      <c r="AG8148">
        <v>-0.17711729999999901</v>
      </c>
      <c r="AH8148">
        <v>0.618449071750374</v>
      </c>
      <c r="AI8148">
        <v>105.743321019614</v>
      </c>
      <c r="AJ8148">
        <v>79.845374408046197</v>
      </c>
      <c r="AK8148">
        <v>0.65277868085104396</v>
      </c>
      <c r="AL8148">
        <v>80.3953129954605</v>
      </c>
      <c r="AM8148">
        <v>84.086483166062393</v>
      </c>
      <c r="AN8148">
        <v>0.99999997456480405</v>
      </c>
    </row>
    <row r="8149" spans="1:40" x14ac:dyDescent="0.25">
      <c r="A8149" t="str">
        <f>"20190303170447002"</f>
        <v>20190303170447002</v>
      </c>
      <c r="B8149" t="str">
        <f>"1551603886993597"</f>
        <v>1551603886993597</v>
      </c>
      <c r="C8149" t="s">
        <v>40</v>
      </c>
      <c r="D8149">
        <v>4.2900429999999998</v>
      </c>
      <c r="E8149">
        <v>0.52860909999999905</v>
      </c>
      <c r="F8149" t="s">
        <v>43</v>
      </c>
      <c r="G8149">
        <v>-131.52610000000001</v>
      </c>
      <c r="H8149">
        <v>0.94973750000000001</v>
      </c>
      <c r="I8149">
        <v>137.4847</v>
      </c>
      <c r="J8149">
        <v>-132.18369999999999</v>
      </c>
      <c r="K8149">
        <v>1.1233869999999999</v>
      </c>
      <c r="L8149">
        <v>137.58750000000001</v>
      </c>
      <c r="M8149">
        <v>0.99943839999999995</v>
      </c>
      <c r="N8149">
        <v>-2.610086E-2</v>
      </c>
      <c r="O8149">
        <v>2.101401E-2</v>
      </c>
      <c r="P8149">
        <v>0.98623340000000004</v>
      </c>
      <c r="Q8149">
        <v>0.14449119999999999</v>
      </c>
      <c r="R8149">
        <v>-8.0412579999999997E-2</v>
      </c>
      <c r="S8149">
        <v>3.1090239999999998</v>
      </c>
      <c r="T8149">
        <v>-0.71909119999999904</v>
      </c>
      <c r="U8149">
        <v>-0.41854859999999999</v>
      </c>
      <c r="V8149">
        <v>0.10116790000000001</v>
      </c>
      <c r="W8149">
        <v>0.17010899999999901</v>
      </c>
      <c r="X8149">
        <v>0.98021840000000005</v>
      </c>
      <c r="Y8149">
        <v>0.14945999999999901</v>
      </c>
      <c r="Z8149">
        <v>-2.3211059999999999E-2</v>
      </c>
      <c r="AA8149">
        <v>0.98849529999999997</v>
      </c>
      <c r="AB8149">
        <v>10</v>
      </c>
      <c r="AC8149">
        <v>0.65759999999997298</v>
      </c>
      <c r="AD8149">
        <v>-0.17364950000000001</v>
      </c>
      <c r="AE8149">
        <v>-0.102800000000001</v>
      </c>
      <c r="AF8149">
        <v>0.109169916995196</v>
      </c>
      <c r="AG8149">
        <v>-0.17364950000000001</v>
      </c>
      <c r="AH8149">
        <v>0.61353229160344003</v>
      </c>
      <c r="AI8149">
        <v>105.570783895779</v>
      </c>
      <c r="AJ8149">
        <v>79.910575131555007</v>
      </c>
      <c r="AK8149">
        <v>0.64691119364805905</v>
      </c>
      <c r="AL8149">
        <v>80.205844025636694</v>
      </c>
      <c r="AM8149">
        <v>84.107392373316898</v>
      </c>
      <c r="AN8149">
        <v>1.00000006378498</v>
      </c>
    </row>
    <row r="8150" spans="1:40" x14ac:dyDescent="0.25">
      <c r="A8150" t="str">
        <f>"20190303170447024"</f>
        <v>20190303170447024</v>
      </c>
      <c r="B8150" t="str">
        <f>"1551603887014093"</f>
        <v>1551603887014093</v>
      </c>
      <c r="C8150" t="s">
        <v>40</v>
      </c>
      <c r="D8150">
        <v>4.2994339999999998</v>
      </c>
      <c r="E8150">
        <v>0.52845659999999905</v>
      </c>
      <c r="F8150" t="s">
        <v>43</v>
      </c>
      <c r="G8150">
        <v>-131.44040000000001</v>
      </c>
      <c r="H8150">
        <v>0.95447400000000004</v>
      </c>
      <c r="I8150">
        <v>137.4881</v>
      </c>
      <c r="J8150">
        <v>-132.08969999999999</v>
      </c>
      <c r="K8150">
        <v>1.1233839999999999</v>
      </c>
      <c r="L8150">
        <v>137.5891</v>
      </c>
      <c r="M8150">
        <v>0.99945209999999995</v>
      </c>
      <c r="N8150">
        <v>-2.5865429999999998E-2</v>
      </c>
      <c r="O8150">
        <v>2.0652790000000001E-2</v>
      </c>
      <c r="P8150">
        <v>0.9861084</v>
      </c>
      <c r="Q8150">
        <v>0.14523539999999999</v>
      </c>
      <c r="R8150">
        <v>-8.0604019999999998E-2</v>
      </c>
      <c r="S8150">
        <v>3.1115879999999998</v>
      </c>
      <c r="T8150">
        <v>-0.70711349999999995</v>
      </c>
      <c r="U8150">
        <v>-0.41545100000000001</v>
      </c>
      <c r="V8150">
        <v>0.100994</v>
      </c>
      <c r="W8150">
        <v>0.1706239</v>
      </c>
      <c r="X8150">
        <v>0.98014679999999998</v>
      </c>
      <c r="Y8150">
        <v>0.14822969999999999</v>
      </c>
      <c r="Z8150">
        <v>-2.2602270000000001E-2</v>
      </c>
      <c r="AA8150">
        <v>0.98869470000000004</v>
      </c>
      <c r="AB8150">
        <v>10</v>
      </c>
      <c r="AC8150">
        <v>0.649299999999982</v>
      </c>
      <c r="AD8150">
        <v>-0.16891</v>
      </c>
      <c r="AE8150">
        <v>-0.10099999999999899</v>
      </c>
      <c r="AF8150">
        <v>0.107302765626059</v>
      </c>
      <c r="AG8150">
        <v>-0.16891</v>
      </c>
      <c r="AH8150">
        <v>0.60696933689764199</v>
      </c>
      <c r="AI8150">
        <v>105.32483598141999</v>
      </c>
      <c r="AJ8150">
        <v>79.974578980743004</v>
      </c>
      <c r="AK8150">
        <v>0.63910581873815298</v>
      </c>
      <c r="AL8150">
        <v>80.175904370487302</v>
      </c>
      <c r="AM8150">
        <v>84.117023523133298</v>
      </c>
      <c r="AN8150">
        <v>1.0000000264187201</v>
      </c>
    </row>
    <row r="8151" spans="1:40" x14ac:dyDescent="0.25">
      <c r="A8151" t="str">
        <f>"20190303170447047"</f>
        <v>20190303170447047</v>
      </c>
      <c r="B8151" t="str">
        <f>"1551603887033613"</f>
        <v>1551603887033613</v>
      </c>
      <c r="C8151" t="s">
        <v>40</v>
      </c>
      <c r="D8151">
        <v>4.302905</v>
      </c>
      <c r="E8151">
        <v>0.52840859999999901</v>
      </c>
      <c r="F8151" t="s">
        <v>43</v>
      </c>
      <c r="G8151">
        <v>-131.357</v>
      </c>
      <c r="H8151">
        <v>0.95773039999999998</v>
      </c>
      <c r="I8151">
        <v>137.49160000000001</v>
      </c>
      <c r="J8151">
        <v>-132</v>
      </c>
      <c r="K8151">
        <v>1.123354</v>
      </c>
      <c r="L8151">
        <v>137.59049999999999</v>
      </c>
      <c r="M8151">
        <v>0.99946520000000005</v>
      </c>
      <c r="N8151">
        <v>-2.562058E-2</v>
      </c>
      <c r="O8151">
        <v>2.0322630000000001E-2</v>
      </c>
      <c r="P8151">
        <v>0.98635349999999999</v>
      </c>
      <c r="Q8151">
        <v>0.143537</v>
      </c>
      <c r="R8151">
        <v>-8.0649399999999996E-2</v>
      </c>
      <c r="S8151">
        <v>3.1120450000000002</v>
      </c>
      <c r="T8151">
        <v>-0.7036057</v>
      </c>
      <c r="U8151">
        <v>-0.41386410000000001</v>
      </c>
      <c r="V8151">
        <v>0.100716</v>
      </c>
      <c r="W8151">
        <v>0.16869489999999901</v>
      </c>
      <c r="X8151">
        <v>0.98050919999999997</v>
      </c>
      <c r="Y8151">
        <v>0.1474635</v>
      </c>
      <c r="Z8151">
        <v>-2.2323249999999999E-2</v>
      </c>
      <c r="AA8151">
        <v>0.98881549999999996</v>
      </c>
      <c r="AB8151">
        <v>9</v>
      </c>
      <c r="AC8151">
        <v>0.64300000000000002</v>
      </c>
      <c r="AD8151">
        <v>-0.16562360000000001</v>
      </c>
      <c r="AE8151">
        <v>-9.8899999999986193E-2</v>
      </c>
      <c r="AF8151">
        <v>0.105136971214287</v>
      </c>
      <c r="AG8151">
        <v>-0.16562360000000001</v>
      </c>
      <c r="AH8151">
        <v>0.60184843773681296</v>
      </c>
      <c r="AI8151">
        <v>105.16757093270699</v>
      </c>
      <c r="AJ8151">
        <v>80.090983056062001</v>
      </c>
      <c r="AK8151">
        <v>0.63301382417709995</v>
      </c>
      <c r="AL8151">
        <v>80.288053412388194</v>
      </c>
      <c r="AM8151">
        <v>84.135257430532107</v>
      </c>
      <c r="AN8151">
        <v>0.99999998661332401</v>
      </c>
    </row>
    <row r="8152" spans="1:40" x14ac:dyDescent="0.25">
      <c r="A8152" t="str">
        <f>"20190303170447069"</f>
        <v>20190303170447069</v>
      </c>
      <c r="B8152" t="str">
        <f>"1551603887063869"</f>
        <v>1551603887063869</v>
      </c>
      <c r="C8152" t="s">
        <v>40</v>
      </c>
      <c r="D8152">
        <v>4.3245209999999998</v>
      </c>
      <c r="E8152">
        <v>0.52834590000000003</v>
      </c>
      <c r="F8152" t="s">
        <v>43</v>
      </c>
      <c r="G8152">
        <v>-131.2766</v>
      </c>
      <c r="H8152">
        <v>0.95862789999999998</v>
      </c>
      <c r="I8152">
        <v>137.494</v>
      </c>
      <c r="J8152">
        <v>-131.91040000000001</v>
      </c>
      <c r="K8152">
        <v>1.1233420000000001</v>
      </c>
      <c r="L8152">
        <v>137.59190000000001</v>
      </c>
      <c r="M8152">
        <v>0.99947629999999998</v>
      </c>
      <c r="N8152">
        <v>-2.5431450000000001E-2</v>
      </c>
      <c r="O8152">
        <v>2.0008829999999998E-2</v>
      </c>
      <c r="P8152">
        <v>0.98645620000000001</v>
      </c>
      <c r="Q8152">
        <v>0.14251140000000001</v>
      </c>
      <c r="R8152">
        <v>-8.1208089999999997E-2</v>
      </c>
      <c r="S8152">
        <v>3.1107179999999999</v>
      </c>
      <c r="T8152">
        <v>-0.70828880000000005</v>
      </c>
      <c r="U8152">
        <v>-0.4142151</v>
      </c>
      <c r="V8152">
        <v>0.1009666</v>
      </c>
      <c r="W8152">
        <v>0.16748729999999901</v>
      </c>
      <c r="X8152">
        <v>0.98069039999999996</v>
      </c>
      <c r="Y8152">
        <v>0.14727119999999999</v>
      </c>
      <c r="Z8152">
        <v>-2.2371140000000001E-2</v>
      </c>
      <c r="AA8152">
        <v>0.98884309999999997</v>
      </c>
      <c r="AB8152">
        <v>9</v>
      </c>
      <c r="AC8152">
        <v>0.63380000000000702</v>
      </c>
      <c r="AD8152">
        <v>-0.164714099999999</v>
      </c>
      <c r="AE8152">
        <v>-9.7900000000009799E-2</v>
      </c>
      <c r="AF8152">
        <v>0.103723891219963</v>
      </c>
      <c r="AG8152">
        <v>-0.164714099999999</v>
      </c>
      <c r="AH8152">
        <v>0.59262100552103003</v>
      </c>
      <c r="AI8152">
        <v>105.311237594839</v>
      </c>
      <c r="AJ8152">
        <v>80.072327170474907</v>
      </c>
      <c r="AK8152">
        <v>0.62377001894398298</v>
      </c>
      <c r="AL8152">
        <v>80.358242184430907</v>
      </c>
      <c r="AM8152">
        <v>84.121845645474906</v>
      </c>
      <c r="AN8152">
        <v>0.99999995531450403</v>
      </c>
    </row>
    <row r="8153" spans="1:40" x14ac:dyDescent="0.25">
      <c r="A8153" t="str">
        <f>"20190303170447092"</f>
        <v>20190303170447092</v>
      </c>
      <c r="B8153" t="str">
        <f>"1551603887083389"</f>
        <v>1551603887083389</v>
      </c>
      <c r="C8153" t="s">
        <v>40</v>
      </c>
      <c r="D8153">
        <v>4.3620910000000004</v>
      </c>
      <c r="E8153">
        <v>0.52831830000000002</v>
      </c>
      <c r="F8153" t="s">
        <v>43</v>
      </c>
      <c r="G8153">
        <v>-131.1977</v>
      </c>
      <c r="H8153">
        <v>0.96035479999999995</v>
      </c>
      <c r="I8153">
        <v>137.4965</v>
      </c>
      <c r="J8153">
        <v>-131.82660000000001</v>
      </c>
      <c r="K8153">
        <v>1.1233649999999999</v>
      </c>
      <c r="L8153">
        <v>137.5932</v>
      </c>
      <c r="M8153">
        <v>0.99948459999999995</v>
      </c>
      <c r="N8153">
        <v>-2.5336339999999999E-2</v>
      </c>
      <c r="O8153">
        <v>1.9721079999999998E-2</v>
      </c>
      <c r="P8153">
        <v>0.98612630000000001</v>
      </c>
      <c r="Q8153">
        <v>0.14433270000000001</v>
      </c>
      <c r="R8153">
        <v>-8.1994499999999998E-2</v>
      </c>
      <c r="S8153">
        <v>3.1096650000000001</v>
      </c>
      <c r="T8153">
        <v>-0.71113689999999996</v>
      </c>
      <c r="U8153">
        <v>-0.41619869999999998</v>
      </c>
      <c r="V8153">
        <v>0.1014627</v>
      </c>
      <c r="W8153">
        <v>0.1692071</v>
      </c>
      <c r="X8153">
        <v>0.98034390000000005</v>
      </c>
      <c r="Y8153">
        <v>0.1476102</v>
      </c>
      <c r="Z8153">
        <v>-2.2439420000000002E-2</v>
      </c>
      <c r="AA8153">
        <v>0.98879099999999998</v>
      </c>
      <c r="AB8153">
        <v>9</v>
      </c>
      <c r="AC8153">
        <v>0.628900000000015</v>
      </c>
      <c r="AD8153">
        <v>-0.16301019999999899</v>
      </c>
      <c r="AE8153">
        <v>-9.6699999999998398E-2</v>
      </c>
      <c r="AF8153">
        <v>0.102369026955361</v>
      </c>
      <c r="AG8153">
        <v>-0.16301019999999899</v>
      </c>
      <c r="AH8153">
        <v>0.58826100372400503</v>
      </c>
      <c r="AI8153">
        <v>105.269790521353</v>
      </c>
      <c r="AJ8153">
        <v>80.128259371964504</v>
      </c>
      <c r="AK8153">
        <v>0.61895294771590004</v>
      </c>
      <c r="AL8153">
        <v>80.258278045771206</v>
      </c>
      <c r="AM8153">
        <v>84.091094031731501</v>
      </c>
      <c r="AN8153">
        <v>0.99999994222445299</v>
      </c>
    </row>
    <row r="8154" spans="1:40" x14ac:dyDescent="0.25">
      <c r="A8154" t="str">
        <f>"20190303170447115"</f>
        <v>20190303170447115</v>
      </c>
      <c r="B8154" t="str">
        <f>"1551603887103888"</f>
        <v>1551603887103888</v>
      </c>
      <c r="C8154" t="s">
        <v>40</v>
      </c>
      <c r="D8154">
        <v>4.3383849999999997</v>
      </c>
      <c r="E8154">
        <v>0.52830449999999995</v>
      </c>
      <c r="F8154" t="s">
        <v>43</v>
      </c>
      <c r="G8154">
        <v>-131.12039999999999</v>
      </c>
      <c r="H8154">
        <v>0.96325329999999998</v>
      </c>
      <c r="I8154">
        <v>137.4984</v>
      </c>
      <c r="J8154">
        <v>-131.74080000000001</v>
      </c>
      <c r="K8154">
        <v>1.1234150000000001</v>
      </c>
      <c r="L8154">
        <v>137.59460000000001</v>
      </c>
      <c r="M8154">
        <v>0.99949120000000002</v>
      </c>
      <c r="N8154">
        <v>-2.5301239999999999E-2</v>
      </c>
      <c r="O8154">
        <v>1.942226E-2</v>
      </c>
      <c r="P8154">
        <v>0.98562660000000002</v>
      </c>
      <c r="Q8154">
        <v>0.14731060000000001</v>
      </c>
      <c r="R8154">
        <v>-8.2704169999999994E-2</v>
      </c>
      <c r="S8154">
        <v>3.1107179999999999</v>
      </c>
      <c r="T8154">
        <v>-0.70520499999999997</v>
      </c>
      <c r="U8154">
        <v>-0.41743469999999999</v>
      </c>
      <c r="V8154">
        <v>0.1018669</v>
      </c>
      <c r="W8154">
        <v>0.1721385</v>
      </c>
      <c r="X8154">
        <v>0.97979150000000004</v>
      </c>
      <c r="Y8154">
        <v>0.14773520000000001</v>
      </c>
      <c r="Z8154">
        <v>-2.2214899999999999E-2</v>
      </c>
      <c r="AA8154">
        <v>0.98877749999999998</v>
      </c>
      <c r="AB8154">
        <v>9</v>
      </c>
      <c r="AC8154">
        <v>0.62040000000001705</v>
      </c>
      <c r="AD8154">
        <v>-0.16016169999999899</v>
      </c>
      <c r="AE8154">
        <v>-9.6200000000010194E-2</v>
      </c>
      <c r="AF8154">
        <v>0.101621619893267</v>
      </c>
      <c r="AG8154">
        <v>-0.16016169999999899</v>
      </c>
      <c r="AH8154">
        <v>0.58062607295366597</v>
      </c>
      <c r="AI8154">
        <v>105.201009498193</v>
      </c>
      <c r="AJ8154">
        <v>80.072600063074702</v>
      </c>
      <c r="AK8154">
        <v>0.61082351000122503</v>
      </c>
      <c r="AL8154">
        <v>80.087820258445305</v>
      </c>
      <c r="AM8154">
        <v>84.064401378583398</v>
      </c>
      <c r="AN8154">
        <v>0.99999995598505398</v>
      </c>
    </row>
    <row r="8155" spans="1:40" x14ac:dyDescent="0.25">
      <c r="A8155" t="str">
        <f>"20190303170447139"</f>
        <v>20190303170447139</v>
      </c>
      <c r="B8155" t="str">
        <f>"1551603887123410"</f>
        <v>1551603887123410</v>
      </c>
      <c r="C8155" t="s">
        <v>40</v>
      </c>
      <c r="D8155">
        <v>4.3709100000000003</v>
      </c>
      <c r="E8155">
        <v>0.52831349999999999</v>
      </c>
      <c r="F8155" t="s">
        <v>43</v>
      </c>
      <c r="G8155">
        <v>-131.04429999999999</v>
      </c>
      <c r="H8155">
        <v>0.96775389999999994</v>
      </c>
      <c r="I8155">
        <v>137.50059999999999</v>
      </c>
      <c r="J8155">
        <v>-131.65729999999999</v>
      </c>
      <c r="K8155">
        <v>1.123451</v>
      </c>
      <c r="L8155">
        <v>137.5958</v>
      </c>
      <c r="M8155">
        <v>0.99949739999999998</v>
      </c>
      <c r="N8155">
        <v>-2.5292490000000001E-2</v>
      </c>
      <c r="O8155">
        <v>1.912378E-2</v>
      </c>
      <c r="P8155">
        <v>0.98548469999999999</v>
      </c>
      <c r="Q8155">
        <v>0.14830160000000001</v>
      </c>
      <c r="R8155">
        <v>-8.2625970000000007E-2</v>
      </c>
      <c r="S8155">
        <v>3.1125340000000001</v>
      </c>
      <c r="T8155">
        <v>-0.6956251</v>
      </c>
      <c r="U8155">
        <v>-0.41944890000000001</v>
      </c>
      <c r="V8155">
        <v>0.1014902</v>
      </c>
      <c r="W8155">
        <v>0.17311869999999999</v>
      </c>
      <c r="X8155">
        <v>0.97965789999999997</v>
      </c>
      <c r="Y8155">
        <v>0.14810909999999999</v>
      </c>
      <c r="Z8155">
        <v>-2.1913209999999999E-2</v>
      </c>
      <c r="AA8155">
        <v>0.98872819999999995</v>
      </c>
      <c r="AB8155">
        <v>8</v>
      </c>
      <c r="AC8155">
        <v>0.61299999999999899</v>
      </c>
      <c r="AD8155">
        <v>-0.15569709999999901</v>
      </c>
      <c r="AE8155">
        <v>-9.5200000000005502E-2</v>
      </c>
      <c r="AF8155">
        <v>0.100573795672683</v>
      </c>
      <c r="AG8155">
        <v>-0.15569709999999901</v>
      </c>
      <c r="AH8155">
        <v>0.57485502248905895</v>
      </c>
      <c r="AI8155">
        <v>104.938199087529</v>
      </c>
      <c r="AJ8155">
        <v>80.076252802660093</v>
      </c>
      <c r="AK8155">
        <v>0.60399914917598796</v>
      </c>
      <c r="AL8155">
        <v>80.030803099875499</v>
      </c>
      <c r="AM8155">
        <v>84.085394382100205</v>
      </c>
      <c r="AN8155">
        <v>0.99999997300906895</v>
      </c>
    </row>
    <row r="8156" spans="1:40" x14ac:dyDescent="0.25">
      <c r="A8156" t="str">
        <f>"20190303170447162"</f>
        <v>20190303170447162</v>
      </c>
      <c r="B8156" t="str">
        <f>"1551603887153665"</f>
        <v>1551603887153665</v>
      </c>
      <c r="C8156" t="s">
        <v>40</v>
      </c>
      <c r="D8156">
        <v>4.3535810000000001</v>
      </c>
      <c r="E8156">
        <v>0.52822990000000003</v>
      </c>
      <c r="F8156" t="s">
        <v>43</v>
      </c>
      <c r="G8156">
        <v>-130.90780000000001</v>
      </c>
      <c r="H8156">
        <v>0.95677449999999997</v>
      </c>
      <c r="I8156">
        <v>137.4948</v>
      </c>
      <c r="J8156">
        <v>-131.57550000000001</v>
      </c>
      <c r="K8156">
        <v>1.123543</v>
      </c>
      <c r="L8156">
        <v>137.59700000000001</v>
      </c>
      <c r="M8156">
        <v>0.99949650000000001</v>
      </c>
      <c r="N8156">
        <v>-2.5538229999999999E-2</v>
      </c>
      <c r="O8156">
        <v>1.88335E-2</v>
      </c>
      <c r="P8156">
        <v>0.98557220000000001</v>
      </c>
      <c r="Q8156">
        <v>0.147667299999999</v>
      </c>
      <c r="R8156">
        <v>-8.2716639999999994E-2</v>
      </c>
      <c r="S8156">
        <v>3.1132200000000001</v>
      </c>
      <c r="T8156">
        <v>-0.69230619999999998</v>
      </c>
      <c r="U8156">
        <v>-0.41929630000000001</v>
      </c>
      <c r="V8156">
        <v>0.1012936</v>
      </c>
      <c r="W8156">
        <v>0.17273079999999999</v>
      </c>
      <c r="X8156">
        <v>0.97974680000000003</v>
      </c>
      <c r="Y8156">
        <v>0.14779790000000001</v>
      </c>
      <c r="Z8156">
        <v>-2.173282E-2</v>
      </c>
      <c r="AA8156">
        <v>0.98877879999999996</v>
      </c>
      <c r="AB8156">
        <v>8</v>
      </c>
      <c r="AC8156">
        <v>0.66769999999999596</v>
      </c>
      <c r="AD8156">
        <v>-0.16676849999999899</v>
      </c>
      <c r="AE8156">
        <v>-0.10220000000001001</v>
      </c>
      <c r="AF8156">
        <v>0.10816774767135</v>
      </c>
      <c r="AG8156">
        <v>-0.16676849999999899</v>
      </c>
      <c r="AH8156">
        <v>0.627412293038911</v>
      </c>
      <c r="AI8156">
        <v>104.67825062732</v>
      </c>
      <c r="AJ8156">
        <v>80.218194747807701</v>
      </c>
      <c r="AK8156">
        <v>0.65814753641177404</v>
      </c>
      <c r="AL8156">
        <v>80.053368921820805</v>
      </c>
      <c r="AM8156">
        <v>84.097302634055893</v>
      </c>
      <c r="AN8156">
        <v>1.0000000573899099</v>
      </c>
    </row>
    <row r="8157" spans="1:40" x14ac:dyDescent="0.25">
      <c r="A8157" t="str">
        <f>"20190303170447181"</f>
        <v>20190303170447181</v>
      </c>
      <c r="B8157" t="str">
        <f>"1551603887174161"</f>
        <v>1551603887174161</v>
      </c>
      <c r="C8157" t="s">
        <v>40</v>
      </c>
      <c r="D8157">
        <v>4.3363459999999998</v>
      </c>
      <c r="E8157">
        <v>0.52823719999999996</v>
      </c>
      <c r="F8157" t="s">
        <v>43</v>
      </c>
      <c r="G8157">
        <v>-130.84119999999999</v>
      </c>
      <c r="H8157">
        <v>0.95970999999999995</v>
      </c>
      <c r="I8157">
        <v>137.49809999999999</v>
      </c>
      <c r="J8157">
        <v>-131.51419999999999</v>
      </c>
      <c r="K8157">
        <v>1.1237699999999999</v>
      </c>
      <c r="L8157">
        <v>137.59790000000001</v>
      </c>
      <c r="M8157">
        <v>0.99947940000000002</v>
      </c>
      <c r="N8157">
        <v>-2.6343930000000002E-2</v>
      </c>
      <c r="O8157">
        <v>1.8629920000000001E-2</v>
      </c>
      <c r="P8157">
        <v>0.98584970000000005</v>
      </c>
      <c r="Q8157">
        <v>0.1458815</v>
      </c>
      <c r="R8157">
        <v>-8.2576410000000003E-2</v>
      </c>
      <c r="S8157">
        <v>3.1128689999999999</v>
      </c>
      <c r="T8157">
        <v>-0.69462409999999997</v>
      </c>
      <c r="U8157">
        <v>-0.41862490000000002</v>
      </c>
      <c r="V8157">
        <v>0.1009528</v>
      </c>
      <c r="W8157">
        <v>0.17174629999999999</v>
      </c>
      <c r="X8157">
        <v>0.97995500000000002</v>
      </c>
      <c r="Y8157">
        <v>0.14737829999999999</v>
      </c>
      <c r="Z8157">
        <v>-2.175645E-2</v>
      </c>
      <c r="AA8157">
        <v>0.98884090000000002</v>
      </c>
      <c r="AB8157">
        <v>8</v>
      </c>
      <c r="AC8157">
        <v>0.67300000000000104</v>
      </c>
      <c r="AD8157">
        <v>-0.16406000000000001</v>
      </c>
      <c r="AE8157">
        <v>-9.9800000000016098E-2</v>
      </c>
      <c r="AF8157">
        <v>0.10615248973492999</v>
      </c>
      <c r="AG8157">
        <v>-0.16406000000000001</v>
      </c>
      <c r="AH8157">
        <v>0.63414922956254505</v>
      </c>
      <c r="AI8157">
        <v>104.31408757404201</v>
      </c>
      <c r="AJ8157">
        <v>80.497160922003104</v>
      </c>
      <c r="AK8157">
        <v>0.663573115814448</v>
      </c>
      <c r="AL8157">
        <v>80.110632136820698</v>
      </c>
      <c r="AM8157">
        <v>84.118263731442894</v>
      </c>
      <c r="AN8157">
        <v>1.0000000307082599</v>
      </c>
    </row>
    <row r="8158" spans="1:40" x14ac:dyDescent="0.25">
      <c r="A8158" t="str">
        <f>"20190303170447204"</f>
        <v>20190303170447204</v>
      </c>
      <c r="B8158" t="str">
        <f>"1551603887193680"</f>
        <v>1551603887193680</v>
      </c>
      <c r="C8158" t="s">
        <v>40</v>
      </c>
      <c r="D8158">
        <v>4.3245329999999997</v>
      </c>
      <c r="E8158">
        <v>0.52818140000000002</v>
      </c>
      <c r="F8158" t="s">
        <v>43</v>
      </c>
      <c r="G8158">
        <v>-130.78120000000001</v>
      </c>
      <c r="H8158">
        <v>0.95868719999999996</v>
      </c>
      <c r="I8158">
        <v>137.49930000000001</v>
      </c>
      <c r="J8158">
        <v>-131.4478</v>
      </c>
      <c r="K8158">
        <v>1.1240760000000001</v>
      </c>
      <c r="L8158">
        <v>137.59889999999999</v>
      </c>
      <c r="M8158">
        <v>0.99944980000000005</v>
      </c>
      <c r="N8158">
        <v>-2.7583699999999999E-2</v>
      </c>
      <c r="O8158">
        <v>1.842531E-2</v>
      </c>
      <c r="P8158">
        <v>0.98584000000000005</v>
      </c>
      <c r="Q8158">
        <v>0.14590919999999999</v>
      </c>
      <c r="R8158">
        <v>-8.2645609999999994E-2</v>
      </c>
      <c r="S8158">
        <v>3.1117249999999999</v>
      </c>
      <c r="T8158">
        <v>-0.700750599999999</v>
      </c>
      <c r="U8158">
        <v>-0.41813660000000002</v>
      </c>
      <c r="V8158">
        <v>0.1008148</v>
      </c>
      <c r="W8158">
        <v>0.17299289999999901</v>
      </c>
      <c r="X8158">
        <v>0.97974989999999995</v>
      </c>
      <c r="Y8158">
        <v>0.14699389999999901</v>
      </c>
      <c r="Z8158">
        <v>-2.1921570000000001E-2</v>
      </c>
      <c r="AA8158">
        <v>0.98889450000000001</v>
      </c>
      <c r="AB8158">
        <v>7</v>
      </c>
      <c r="AC8158">
        <v>0.66659999999998798</v>
      </c>
      <c r="AD8158">
        <v>-0.1653888</v>
      </c>
      <c r="AE8158">
        <v>-9.9599999999980995E-2</v>
      </c>
      <c r="AF8158">
        <v>0.105516560510513</v>
      </c>
      <c r="AG8158">
        <v>-0.1653888</v>
      </c>
      <c r="AH8158">
        <v>0.62690297482808899</v>
      </c>
      <c r="AI8158">
        <v>104.582772852644</v>
      </c>
      <c r="AJ8158">
        <v>80.445866927700905</v>
      </c>
      <c r="AK8158">
        <v>0.65688243967677895</v>
      </c>
      <c r="AL8158">
        <v>80.038121768584801</v>
      </c>
      <c r="AM8158">
        <v>84.125026661502801</v>
      </c>
      <c r="AN8158">
        <v>1.0000000169497201</v>
      </c>
    </row>
    <row r="8159" spans="1:40" x14ac:dyDescent="0.25">
      <c r="A8159" t="str">
        <f>"20190303170447226"</f>
        <v>20190303170447226</v>
      </c>
      <c r="B8159" t="str">
        <f>"1551603887213201"</f>
        <v>1551603887213201</v>
      </c>
      <c r="C8159" t="s">
        <v>40</v>
      </c>
      <c r="D8159">
        <v>4.419956</v>
      </c>
      <c r="E8159">
        <v>0.52817000000000003</v>
      </c>
      <c r="F8159" t="s">
        <v>43</v>
      </c>
      <c r="G8159">
        <v>-130.7235</v>
      </c>
      <c r="H8159">
        <v>0.96086990000000005</v>
      </c>
      <c r="I8159">
        <v>137.5017</v>
      </c>
      <c r="J8159">
        <v>-131.38650000000001</v>
      </c>
      <c r="K8159">
        <v>1.124247</v>
      </c>
      <c r="L8159">
        <v>137.59970000000001</v>
      </c>
      <c r="M8159">
        <v>0.99942790000000004</v>
      </c>
      <c r="N8159">
        <v>-2.8482830000000001E-2</v>
      </c>
      <c r="O8159">
        <v>1.8238009999999999E-2</v>
      </c>
      <c r="P8159">
        <v>0.98574249999999997</v>
      </c>
      <c r="Q8159">
        <v>0.14709800000000001</v>
      </c>
      <c r="R8159">
        <v>-8.1694600000000006E-2</v>
      </c>
      <c r="S8159">
        <v>3.1119379999999999</v>
      </c>
      <c r="T8159">
        <v>-0.70124569999999997</v>
      </c>
      <c r="U8159">
        <v>-0.41682429999999898</v>
      </c>
      <c r="V8159">
        <v>9.9675250000000007E-2</v>
      </c>
      <c r="W8159">
        <v>0.17506269999999999</v>
      </c>
      <c r="X8159">
        <v>0.9794988</v>
      </c>
      <c r="Y8159">
        <v>0.1463933</v>
      </c>
      <c r="Z8159">
        <v>-2.1874310000000001E-2</v>
      </c>
      <c r="AA8159">
        <v>0.98898459999999999</v>
      </c>
      <c r="AB8159">
        <v>7</v>
      </c>
      <c r="AC8159">
        <v>0.66300000000001003</v>
      </c>
      <c r="AD8159">
        <v>-0.163377099999999</v>
      </c>
      <c r="AE8159">
        <v>-9.8000000000013202E-2</v>
      </c>
      <c r="AF8159">
        <v>0.103905799623966</v>
      </c>
      <c r="AG8159">
        <v>-0.163377099999999</v>
      </c>
      <c r="AH8159">
        <v>0.62401927988894201</v>
      </c>
      <c r="AI8159">
        <v>104.480711797352</v>
      </c>
      <c r="AJ8159">
        <v>80.546380539618298</v>
      </c>
      <c r="AK8159">
        <v>0.65336708952396705</v>
      </c>
      <c r="AL8159">
        <v>79.917693138548401</v>
      </c>
      <c r="AM8159">
        <v>84.189498137558502</v>
      </c>
      <c r="AN8159">
        <v>1.00000000179764</v>
      </c>
    </row>
    <row r="8160" spans="1:40" x14ac:dyDescent="0.25">
      <c r="A8160" t="str">
        <f>"20190303170447249"</f>
        <v>20190303170447249</v>
      </c>
      <c r="B8160" t="str">
        <f>"1551603887243457"</f>
        <v>1551603887243457</v>
      </c>
      <c r="C8160" t="s">
        <v>40</v>
      </c>
      <c r="D8160">
        <v>4.2991359999999998</v>
      </c>
      <c r="E8160">
        <v>0.49809550000000002</v>
      </c>
      <c r="F8160" t="s">
        <v>43</v>
      </c>
      <c r="G8160">
        <v>-130.6679</v>
      </c>
      <c r="H8160">
        <v>0.96322870000000005</v>
      </c>
      <c r="I8160">
        <v>137.5044</v>
      </c>
      <c r="J8160">
        <v>-131.32480000000001</v>
      </c>
      <c r="K8160">
        <v>1.1241490000000001</v>
      </c>
      <c r="L8160">
        <v>137.60059999999999</v>
      </c>
      <c r="M8160">
        <v>0.99943090000000001</v>
      </c>
      <c r="N8160">
        <v>-2.8517210000000001E-2</v>
      </c>
      <c r="O8160">
        <v>1.802227E-2</v>
      </c>
      <c r="P8160">
        <v>0.98560210000000004</v>
      </c>
      <c r="Q8160">
        <v>0.148331399999999</v>
      </c>
      <c r="R8160">
        <v>-8.1156939999999997E-2</v>
      </c>
      <c r="S8160">
        <v>3.113251</v>
      </c>
      <c r="T8160">
        <v>-0.69753310000000002</v>
      </c>
      <c r="U8160">
        <v>-0.41323850000000001</v>
      </c>
      <c r="V8160">
        <v>9.8924349999999994E-2</v>
      </c>
      <c r="W8160">
        <v>0.17632539999999999</v>
      </c>
      <c r="X8160">
        <v>0.97934840000000001</v>
      </c>
      <c r="Y8160">
        <v>0.14509229999999901</v>
      </c>
      <c r="Z8160">
        <v>-2.156048E-2</v>
      </c>
      <c r="AA8160">
        <v>0.98918320000000004</v>
      </c>
      <c r="AB8160">
        <v>6</v>
      </c>
      <c r="AC8160">
        <v>0.65690000000000703</v>
      </c>
      <c r="AD8160">
        <v>-0.16092029999999999</v>
      </c>
      <c r="AE8160">
        <v>-9.61999999999818E-2</v>
      </c>
      <c r="AF8160">
        <v>0.102033540986997</v>
      </c>
      <c r="AG8160">
        <v>-0.16092029999999999</v>
      </c>
      <c r="AH8160">
        <v>0.61870960720116297</v>
      </c>
      <c r="AI8160">
        <v>104.39288349376601</v>
      </c>
      <c r="AJ8160">
        <v>80.635442029924704</v>
      </c>
      <c r="AK8160">
        <v>0.64738532921394898</v>
      </c>
      <c r="AL8160">
        <v>79.844202381733695</v>
      </c>
      <c r="AM8160">
        <v>84.232095512350199</v>
      </c>
      <c r="AN8160">
        <v>0.99999998114532096</v>
      </c>
    </row>
    <row r="8161" spans="1:40" x14ac:dyDescent="0.25">
      <c r="A8161" t="str">
        <f>"20190303170447270"</f>
        <v>20190303170447270</v>
      </c>
      <c r="B8161" t="str">
        <f>"1551603887263953"</f>
        <v>1551603887263953</v>
      </c>
      <c r="C8161" t="s">
        <v>40</v>
      </c>
      <c r="D8161">
        <v>4.5764769999999997</v>
      </c>
      <c r="E8161">
        <v>0.49023230000000001</v>
      </c>
      <c r="F8161" t="s">
        <v>43</v>
      </c>
      <c r="G8161">
        <v>-130.59450000000001</v>
      </c>
      <c r="H8161">
        <v>1.003922</v>
      </c>
      <c r="I8161">
        <v>137.5582</v>
      </c>
      <c r="J8161">
        <v>-131.26679999999999</v>
      </c>
      <c r="K8161">
        <v>1.1239520000000001</v>
      </c>
      <c r="L8161">
        <v>137.60140000000001</v>
      </c>
      <c r="M8161">
        <v>0.99944650000000002</v>
      </c>
      <c r="N8161">
        <v>-2.810141E-2</v>
      </c>
      <c r="O8161">
        <v>1.780752E-2</v>
      </c>
      <c r="P8161">
        <v>0.98543720000000001</v>
      </c>
      <c r="Q8161">
        <v>0.1493816</v>
      </c>
      <c r="R8161">
        <v>-8.1233630000000001E-2</v>
      </c>
      <c r="S8161">
        <v>3.1059269999999999</v>
      </c>
      <c r="T8161">
        <v>-0.51129040000000003</v>
      </c>
      <c r="U8161">
        <v>-0.1803284</v>
      </c>
      <c r="V8161">
        <v>9.8790310000000006E-2</v>
      </c>
      <c r="W8161">
        <v>0.1769618</v>
      </c>
      <c r="X8161">
        <v>0.97924719999999998</v>
      </c>
      <c r="Y8161">
        <v>7.4401389999999998E-2</v>
      </c>
      <c r="Z8161">
        <v>-9.5450039999999993E-3</v>
      </c>
      <c r="AA8161">
        <v>0.99718269999999998</v>
      </c>
      <c r="AB8161">
        <v>6</v>
      </c>
      <c r="AC8161">
        <v>0.67229999999997803</v>
      </c>
      <c r="AD8161">
        <v>-0.12003</v>
      </c>
      <c r="AE8161">
        <v>-4.3200000000012999E-2</v>
      </c>
      <c r="AF8161">
        <v>5.3472431825095902E-2</v>
      </c>
      <c r="AG8161">
        <v>-0.12003</v>
      </c>
      <c r="AH8161">
        <v>0.65076570935300304</v>
      </c>
      <c r="AI8161">
        <v>100.41609558702601</v>
      </c>
      <c r="AJ8161">
        <v>85.302645333779694</v>
      </c>
      <c r="AK8161">
        <v>0.663899473064264</v>
      </c>
      <c r="AL8161">
        <v>79.807157420312905</v>
      </c>
      <c r="AM8161">
        <v>84.239267012222001</v>
      </c>
      <c r="AN8161">
        <v>1.00000004135848</v>
      </c>
    </row>
    <row r="8162" spans="1:40" x14ac:dyDescent="0.25">
      <c r="A8162" t="str">
        <f>"20190303170447293"</f>
        <v>20190303170447293</v>
      </c>
      <c r="B8162" t="str">
        <f>"1551603887283473"</f>
        <v>1551603887283473</v>
      </c>
      <c r="C8162" t="s">
        <v>40</v>
      </c>
      <c r="D8162">
        <v>4.4457129999999996</v>
      </c>
      <c r="E8162">
        <v>0.48568480000000003</v>
      </c>
      <c r="F8162" t="s">
        <v>43</v>
      </c>
      <c r="G8162">
        <v>-130.53039999999999</v>
      </c>
      <c r="H8162">
        <v>1.027212</v>
      </c>
      <c r="I8162">
        <v>137.57230000000001</v>
      </c>
      <c r="J8162">
        <v>-131.21209999999999</v>
      </c>
      <c r="K8162">
        <v>1.1238649999999999</v>
      </c>
      <c r="L8162">
        <v>137.60210000000001</v>
      </c>
      <c r="M8162">
        <v>0.99945459999999997</v>
      </c>
      <c r="N8162">
        <v>-2.793967E-2</v>
      </c>
      <c r="O8162">
        <v>1.7605260000000001E-2</v>
      </c>
      <c r="P8162">
        <v>0.98526159999999996</v>
      </c>
      <c r="Q8162">
        <v>0.14993380000000001</v>
      </c>
      <c r="R8162">
        <v>-8.2337569999999999E-2</v>
      </c>
      <c r="S8162">
        <v>3.0958709999999998</v>
      </c>
      <c r="T8162">
        <v>-0.40667930000000002</v>
      </c>
      <c r="U8162">
        <v>-0.12254329999999999</v>
      </c>
      <c r="V8162">
        <v>9.9693409999999996E-2</v>
      </c>
      <c r="W8162">
        <v>0.17734900000000001</v>
      </c>
      <c r="X8162">
        <v>0.9790856</v>
      </c>
      <c r="Y8162">
        <v>5.646197E-2</v>
      </c>
      <c r="Z8162">
        <v>-6.2963819999999997E-3</v>
      </c>
      <c r="AA8162">
        <v>0.99838490000000002</v>
      </c>
      <c r="AB8162">
        <v>6</v>
      </c>
      <c r="AC8162">
        <v>0.68170000000000597</v>
      </c>
      <c r="AD8162">
        <v>-9.6652999999999795E-2</v>
      </c>
      <c r="AE8162">
        <v>-2.97999999999944E-2</v>
      </c>
      <c r="AF8162">
        <v>4.0979365108162497E-2</v>
      </c>
      <c r="AG8162">
        <v>-9.6652999999999795E-2</v>
      </c>
      <c r="AH8162">
        <v>0.66767330421320004</v>
      </c>
      <c r="AI8162">
        <v>98.221711240536095</v>
      </c>
      <c r="AJ8162">
        <v>86.487798722975796</v>
      </c>
      <c r="AK8162">
        <v>0.67587628448751003</v>
      </c>
      <c r="AL8162">
        <v>79.784615816158706</v>
      </c>
      <c r="AM8162">
        <v>84.186010926830804</v>
      </c>
      <c r="AN8162">
        <v>1.00000002796289</v>
      </c>
    </row>
    <row r="8163" spans="1:40" x14ac:dyDescent="0.25">
      <c r="A8163" t="str">
        <f>"20190303170447316"</f>
        <v>20190303170447316</v>
      </c>
      <c r="B8163" t="str">
        <f>"1551603887303969"</f>
        <v>1551603887303969</v>
      </c>
      <c r="C8163" t="s">
        <v>40</v>
      </c>
      <c r="D8163">
        <v>4.9614050000000001</v>
      </c>
      <c r="E8163">
        <v>0.48446899999999998</v>
      </c>
      <c r="F8163" t="s">
        <v>43</v>
      </c>
      <c r="G8163">
        <v>-130.48050000000001</v>
      </c>
      <c r="H8163">
        <v>1.028511</v>
      </c>
      <c r="I8163">
        <v>137.58090000000001</v>
      </c>
      <c r="J8163">
        <v>-131.15979999999999</v>
      </c>
      <c r="K8163">
        <v>1.1238919999999999</v>
      </c>
      <c r="L8163">
        <v>137.6028</v>
      </c>
      <c r="M8163">
        <v>0.9994537</v>
      </c>
      <c r="N8163">
        <v>-2.8096449999999999E-2</v>
      </c>
      <c r="O8163">
        <v>1.741059E-2</v>
      </c>
      <c r="P8163">
        <v>0.98515580000000003</v>
      </c>
      <c r="Q8163">
        <v>0.14976719999999999</v>
      </c>
      <c r="R8163">
        <v>-8.3894099999999999E-2</v>
      </c>
      <c r="S8163">
        <v>3.0988769999999999</v>
      </c>
      <c r="T8163">
        <v>-0.40396569999999998</v>
      </c>
      <c r="U8163">
        <v>-8.9614869999999999E-2</v>
      </c>
      <c r="V8163">
        <v>0.101054</v>
      </c>
      <c r="W8163">
        <v>0.17733450000000001</v>
      </c>
      <c r="X8163">
        <v>0.9789487</v>
      </c>
      <c r="Y8163">
        <v>4.5750659999999999E-2</v>
      </c>
      <c r="Z8163">
        <v>-5.3872049999999999E-3</v>
      </c>
      <c r="AA8163">
        <v>0.9989384</v>
      </c>
      <c r="AB8163">
        <v>6</v>
      </c>
      <c r="AC8163">
        <v>0.67929999999998303</v>
      </c>
      <c r="AD8163">
        <v>-9.5381000000000105E-2</v>
      </c>
      <c r="AE8163">
        <v>-2.1899999999987999E-2</v>
      </c>
      <c r="AF8163">
        <v>3.3076921172460999E-2</v>
      </c>
      <c r="AG8163">
        <v>-9.5381000000000105E-2</v>
      </c>
      <c r="AH8163">
        <v>0.66570465751734897</v>
      </c>
      <c r="AI8163">
        <v>98.143834642921803</v>
      </c>
      <c r="AJ8163">
        <v>87.155479285701205</v>
      </c>
      <c r="AK8163">
        <v>0.67331590573484901</v>
      </c>
      <c r="AL8163">
        <v>79.785459660957002</v>
      </c>
      <c r="AM8163">
        <v>84.106399481623697</v>
      </c>
      <c r="AN8163">
        <v>0.99999999651896998</v>
      </c>
    </row>
    <row r="8164" spans="1:40" x14ac:dyDescent="0.25">
      <c r="A8164" t="str">
        <f>"20190303170447338"</f>
        <v>20190303170447338</v>
      </c>
      <c r="B8164" t="str">
        <f>"1551603887334225"</f>
        <v>1551603887334225</v>
      </c>
      <c r="C8164" t="s">
        <v>40</v>
      </c>
      <c r="D8164">
        <v>5.2603099999999996</v>
      </c>
      <c r="E8164">
        <v>0.48244949999999998</v>
      </c>
      <c r="F8164" t="s">
        <v>43</v>
      </c>
      <c r="G8164">
        <v>-130.3955</v>
      </c>
      <c r="H8164">
        <v>1.0196339999999999</v>
      </c>
      <c r="I8164">
        <v>137.5823</v>
      </c>
      <c r="J8164">
        <v>-131.11080000000001</v>
      </c>
      <c r="K8164">
        <v>1.1239209999999999</v>
      </c>
      <c r="L8164">
        <v>137.60339999999999</v>
      </c>
      <c r="M8164">
        <v>0.99945329999999999</v>
      </c>
      <c r="N8164">
        <v>-2.8228449999999999E-2</v>
      </c>
      <c r="O8164">
        <v>1.722272E-2</v>
      </c>
      <c r="P8164">
        <v>0.98489930000000003</v>
      </c>
      <c r="Q8164">
        <v>0.15066089999999999</v>
      </c>
      <c r="R8164">
        <v>-8.5293259999999996E-2</v>
      </c>
      <c r="S8164">
        <v>3.1024929999999999</v>
      </c>
      <c r="T8164">
        <v>-0.42328080000000001</v>
      </c>
      <c r="U8164">
        <v>-8.2962040000000001E-2</v>
      </c>
      <c r="V8164">
        <v>0.1022598</v>
      </c>
      <c r="W8164">
        <v>0.17835179999999901</v>
      </c>
      <c r="X8164">
        <v>0.97863860000000003</v>
      </c>
      <c r="Y8164">
        <v>4.3364640000000003E-2</v>
      </c>
      <c r="Z8164">
        <v>-5.4138600000000004E-3</v>
      </c>
      <c r="AA8164">
        <v>0.99904470000000001</v>
      </c>
      <c r="AB8164">
        <v>5</v>
      </c>
      <c r="AC8164">
        <v>0.71530000000001304</v>
      </c>
      <c r="AD8164">
        <v>-0.104287</v>
      </c>
      <c r="AE8164">
        <v>-2.1099999999989901E-2</v>
      </c>
      <c r="AF8164">
        <v>3.2726162224493503E-2</v>
      </c>
      <c r="AG8164">
        <v>-0.104287</v>
      </c>
      <c r="AH8164">
        <v>0.69996468156815805</v>
      </c>
      <c r="AI8164">
        <v>98.464990075909</v>
      </c>
      <c r="AJ8164">
        <v>87.323141366350598</v>
      </c>
      <c r="AK8164">
        <v>0.70844712964748302</v>
      </c>
      <c r="AL8164">
        <v>79.726228175620193</v>
      </c>
      <c r="AM8164">
        <v>84.034703483527494</v>
      </c>
      <c r="AN8164">
        <v>0.99999997033461896</v>
      </c>
    </row>
    <row r="8165" spans="1:40" x14ac:dyDescent="0.25">
      <c r="A8165" t="str">
        <f>"20190303170447360"</f>
        <v>20190303170447360</v>
      </c>
      <c r="B8165" t="str">
        <f>"1551603887353745"</f>
        <v>1551603887353745</v>
      </c>
      <c r="C8165" t="s">
        <v>40</v>
      </c>
      <c r="D8165">
        <v>4.3926020000000001</v>
      </c>
      <c r="E8165">
        <v>0.4803423</v>
      </c>
      <c r="F8165" t="s">
        <v>43</v>
      </c>
      <c r="G8165">
        <v>-130.35059999999999</v>
      </c>
      <c r="H8165">
        <v>1.0264899999999999</v>
      </c>
      <c r="I8165">
        <v>137.58590000000001</v>
      </c>
      <c r="J8165">
        <v>-131.06469999999999</v>
      </c>
      <c r="K8165">
        <v>1.1238980000000001</v>
      </c>
      <c r="L8165">
        <v>137.60399999999899</v>
      </c>
      <c r="M8165">
        <v>0.99945830000000002</v>
      </c>
      <c r="N8165">
        <v>-2.8152610000000002E-2</v>
      </c>
      <c r="O8165">
        <v>1.705009E-2</v>
      </c>
      <c r="P8165">
        <v>0.98462510000000003</v>
      </c>
      <c r="Q8165">
        <v>0.15205399999999999</v>
      </c>
      <c r="R8165">
        <v>-8.5983920000000005E-2</v>
      </c>
      <c r="S8165">
        <v>3.1005859999999998</v>
      </c>
      <c r="T8165">
        <v>-0.39740429999999999</v>
      </c>
      <c r="U8165">
        <v>-7.157898E-2</v>
      </c>
      <c r="V8165">
        <v>0.1027732</v>
      </c>
      <c r="W8165">
        <v>0.17966389999999999</v>
      </c>
      <c r="X8165">
        <v>0.97834480000000001</v>
      </c>
      <c r="Y8165">
        <v>3.9647500000000002E-2</v>
      </c>
      <c r="Z8165">
        <v>-4.7888499999999999E-3</v>
      </c>
      <c r="AA8165">
        <v>0.99920229999999999</v>
      </c>
      <c r="AB8165">
        <v>5</v>
      </c>
      <c r="AC8165">
        <v>0.71410000000000196</v>
      </c>
      <c r="AD8165">
        <v>-9.7408000000000106E-2</v>
      </c>
      <c r="AE8165">
        <v>-1.80999999999755E-2</v>
      </c>
      <c r="AF8165">
        <v>2.9724932764092899E-2</v>
      </c>
      <c r="AG8165">
        <v>-9.7408000000000106E-2</v>
      </c>
      <c r="AH8165">
        <v>0.70065875278765</v>
      </c>
      <c r="AI8165">
        <v>97.907703761129497</v>
      </c>
      <c r="AJ8165">
        <v>87.570725372165001</v>
      </c>
      <c r="AK8165">
        <v>0.70802159426798195</v>
      </c>
      <c r="AL8165">
        <v>79.649816426393102</v>
      </c>
      <c r="AM8165">
        <v>84.003184803910202</v>
      </c>
      <c r="AN8165">
        <v>0.99999999764424496</v>
      </c>
    </row>
    <row r="8166" spans="1:40" x14ac:dyDescent="0.25">
      <c r="A8166" t="str">
        <f>"20190303170447382"</f>
        <v>20190303170447382</v>
      </c>
      <c r="B8166" t="str">
        <f>"1551603887374241"</f>
        <v>1551603887374241</v>
      </c>
      <c r="C8166" t="s">
        <v>40</v>
      </c>
      <c r="D8166">
        <v>4.1416979999999999</v>
      </c>
      <c r="E8166">
        <v>0.47960469999999999</v>
      </c>
      <c r="F8166" t="s">
        <v>42</v>
      </c>
      <c r="G8166">
        <v>-120.5333</v>
      </c>
      <c r="H8166" s="1">
        <v>-4.4365359999999999E-6</v>
      </c>
      <c r="I8166">
        <v>137.40039999999999</v>
      </c>
      <c r="J8166">
        <v>-131.02330000000001</v>
      </c>
      <c r="K8166">
        <v>1.123858</v>
      </c>
      <c r="L8166">
        <v>137.6045</v>
      </c>
      <c r="M8166">
        <v>0.99946500000000005</v>
      </c>
      <c r="N8166">
        <v>-2.79995E-2</v>
      </c>
      <c r="O8166">
        <v>1.6906540000000001E-2</v>
      </c>
      <c r="P8166">
        <v>0.98450579999999999</v>
      </c>
      <c r="Q8166">
        <v>0.15239330000000001</v>
      </c>
      <c r="R8166">
        <v>-8.6746420000000005E-2</v>
      </c>
      <c r="S8166">
        <v>3.09259</v>
      </c>
      <c r="T8166">
        <v>-0.33003840000000001</v>
      </c>
      <c r="U8166">
        <v>-5.9768679999999998E-2</v>
      </c>
      <c r="V8166">
        <v>0.10339039999999999</v>
      </c>
      <c r="W8166">
        <v>0.17985110000000001</v>
      </c>
      <c r="X8166">
        <v>0.97824540000000004</v>
      </c>
      <c r="Y8166">
        <v>3.5920090000000002E-2</v>
      </c>
      <c r="Z8166">
        <v>-3.742446E-3</v>
      </c>
      <c r="AA8166">
        <v>0.99934769999999995</v>
      </c>
      <c r="AB8166">
        <v>5</v>
      </c>
      <c r="AC8166">
        <v>10.49</v>
      </c>
      <c r="AD8166">
        <v>-1.1238624365359999</v>
      </c>
      <c r="AE8166">
        <v>-0.20410000000001099</v>
      </c>
      <c r="AF8166">
        <v>0.377162438996136</v>
      </c>
      <c r="AG8166">
        <v>-1.1238624365359999</v>
      </c>
      <c r="AH8166">
        <v>10.366107896652499</v>
      </c>
      <c r="AI8166">
        <v>96.183609023782395</v>
      </c>
      <c r="AJ8166">
        <v>87.916258641203299</v>
      </c>
      <c r="AK8166">
        <v>10.433671990564401</v>
      </c>
      <c r="AL8166">
        <v>79.638913366760505</v>
      </c>
      <c r="AM8166">
        <v>83.966827520785898</v>
      </c>
      <c r="AN8166">
        <v>1.00000002780226</v>
      </c>
    </row>
    <row r="8167" spans="1:40" x14ac:dyDescent="0.25">
      <c r="A8167" t="str">
        <f>"20190303170447404"</f>
        <v>20190303170447404</v>
      </c>
      <c r="B8167" t="str">
        <f>"1551603887393762"</f>
        <v>1551603887393762</v>
      </c>
      <c r="C8167" t="s">
        <v>40</v>
      </c>
      <c r="D8167">
        <v>4.0006750000000002</v>
      </c>
      <c r="E8167">
        <v>0.4790334</v>
      </c>
      <c r="F8167" t="s">
        <v>42</v>
      </c>
      <c r="G8167">
        <v>-118.9522</v>
      </c>
      <c r="H8167" s="1">
        <v>-9.3780390000000001E-7</v>
      </c>
      <c r="I8167">
        <v>137.3794</v>
      </c>
      <c r="J8167">
        <v>-130.98310000000001</v>
      </c>
      <c r="K8167">
        <v>1.1238360000000001</v>
      </c>
      <c r="L8167">
        <v>137.60499999999999</v>
      </c>
      <c r="M8167">
        <v>0.99947039999999998</v>
      </c>
      <c r="N8167">
        <v>-2.7887390000000001E-2</v>
      </c>
      <c r="O8167">
        <v>1.6775060000000001E-2</v>
      </c>
      <c r="P8167">
        <v>0.98448860000000005</v>
      </c>
      <c r="Q8167">
        <v>0.15200930000000001</v>
      </c>
      <c r="R8167">
        <v>-8.76112E-2</v>
      </c>
      <c r="S8167">
        <v>3.0866389999999999</v>
      </c>
      <c r="T8167">
        <v>-0.28737459999999998</v>
      </c>
      <c r="U8167">
        <v>-5.7540889999999997E-2</v>
      </c>
      <c r="V8167">
        <v>0.1041222</v>
      </c>
      <c r="W8167">
        <v>0.17935899999999999</v>
      </c>
      <c r="X8167">
        <v>0.97825810000000002</v>
      </c>
      <c r="Y8167">
        <v>3.5181249999999997E-2</v>
      </c>
      <c r="Z8167">
        <v>-3.2172839999999999E-3</v>
      </c>
      <c r="AA8167">
        <v>0.99937580000000004</v>
      </c>
      <c r="AB8167">
        <v>4</v>
      </c>
      <c r="AC8167">
        <v>12.030900000000001</v>
      </c>
      <c r="AD8167">
        <v>-1.1238369378038999</v>
      </c>
      <c r="AE8167">
        <v>-0.22559999999998501</v>
      </c>
      <c r="AF8167">
        <v>0.42376933460837901</v>
      </c>
      <c r="AG8167">
        <v>-1.1238369378038999</v>
      </c>
      <c r="AH8167">
        <v>11.921431189935401</v>
      </c>
      <c r="AI8167">
        <v>95.381995847818303</v>
      </c>
      <c r="AJ8167">
        <v>87.964172667262801</v>
      </c>
      <c r="AK8167">
        <v>11.981782485427299</v>
      </c>
      <c r="AL8167">
        <v>79.667574363146201</v>
      </c>
      <c r="AM8167">
        <v>83.924521127833003</v>
      </c>
      <c r="AN8167">
        <v>0.99999999681472496</v>
      </c>
    </row>
    <row r="8168" spans="1:40" x14ac:dyDescent="0.25">
      <c r="A8168" t="str">
        <f>"20190303170447427"</f>
        <v>20190303170447427</v>
      </c>
      <c r="B8168" t="str">
        <f>"1551603887424018"</f>
        <v>1551603887424018</v>
      </c>
      <c r="C8168" t="s">
        <v>40</v>
      </c>
      <c r="D8168">
        <v>4.0881629999999998</v>
      </c>
      <c r="E8168">
        <v>0.47840840000000001</v>
      </c>
      <c r="F8168" t="s">
        <v>42</v>
      </c>
      <c r="G8168">
        <v>-117.6242</v>
      </c>
      <c r="H8168" s="1">
        <v>-1.4017569999999999E-6</v>
      </c>
      <c r="I8168">
        <v>137.36000000000001</v>
      </c>
      <c r="J8168">
        <v>-130.9451</v>
      </c>
      <c r="K8168">
        <v>1.1238360000000001</v>
      </c>
      <c r="L8168">
        <v>137.60550000000001</v>
      </c>
      <c r="M8168">
        <v>0.99947379999999997</v>
      </c>
      <c r="N8168">
        <v>-2.783395E-2</v>
      </c>
      <c r="O8168">
        <v>1.6655909999999999E-2</v>
      </c>
      <c r="P8168">
        <v>0.98450439999999995</v>
      </c>
      <c r="Q8168">
        <v>0.15125259999999999</v>
      </c>
      <c r="R8168">
        <v>-8.8734740000000006E-2</v>
      </c>
      <c r="S8168">
        <v>3.0822750000000001</v>
      </c>
      <c r="T8168">
        <v>-0.25930059999999999</v>
      </c>
      <c r="U8168">
        <v>-5.6518550000000001E-2</v>
      </c>
      <c r="V8168">
        <v>0.1051251</v>
      </c>
      <c r="W8168">
        <v>0.17855260000000001</v>
      </c>
      <c r="X8168">
        <v>0.97829840000000001</v>
      </c>
      <c r="Y8168">
        <v>3.480051E-2</v>
      </c>
      <c r="Z8168">
        <v>-2.8822230000000002E-3</v>
      </c>
      <c r="AA8168">
        <v>0.99939009999999995</v>
      </c>
      <c r="AB8168">
        <v>4</v>
      </c>
      <c r="AC8168">
        <v>13.3208999999999</v>
      </c>
      <c r="AD8168">
        <v>-1.1238374017569901</v>
      </c>
      <c r="AE8168">
        <v>-0.245499999999992</v>
      </c>
      <c r="AF8168">
        <v>0.464121266515655</v>
      </c>
      <c r="AG8168">
        <v>-1.1238374017569901</v>
      </c>
      <c r="AH8168">
        <v>13.2208896835619</v>
      </c>
      <c r="AI8168">
        <v>94.855751921940794</v>
      </c>
      <c r="AJ8168">
        <v>87.989448921901399</v>
      </c>
      <c r="AK8168">
        <v>13.2766841899825</v>
      </c>
      <c r="AL8168">
        <v>79.714536207726695</v>
      </c>
      <c r="AM8168">
        <v>83.866697100208299</v>
      </c>
      <c r="AN8168">
        <v>1.0000000385296599</v>
      </c>
    </row>
    <row r="8169" spans="1:40" x14ac:dyDescent="0.25">
      <c r="A8169" t="str">
        <f>"20190303170447449"</f>
        <v>20190303170447449</v>
      </c>
      <c r="B8169" t="str">
        <f>"1551603887443537"</f>
        <v>1551603887443537</v>
      </c>
      <c r="C8169" t="s">
        <v>40</v>
      </c>
      <c r="D8169">
        <v>4.1006210000000003</v>
      </c>
      <c r="E8169">
        <v>0.47816710000000001</v>
      </c>
      <c r="F8169" t="s">
        <v>42</v>
      </c>
      <c r="G8169">
        <v>-115.77200000000001</v>
      </c>
      <c r="H8169" s="1">
        <v>-2.2018830000000002E-6</v>
      </c>
      <c r="I8169">
        <v>137.32859999999999</v>
      </c>
      <c r="J8169">
        <v>-130.91130000000001</v>
      </c>
      <c r="K8169">
        <v>1.1238459999999999</v>
      </c>
      <c r="L8169">
        <v>137.60589999999999</v>
      </c>
      <c r="M8169">
        <v>0.99947680000000005</v>
      </c>
      <c r="N8169">
        <v>-2.778808E-2</v>
      </c>
      <c r="O8169">
        <v>1.6555009999999998E-2</v>
      </c>
      <c r="P8169">
        <v>0.98428599999999999</v>
      </c>
      <c r="Q8169">
        <v>0.15188189999999999</v>
      </c>
      <c r="R8169">
        <v>-9.0073619999999993E-2</v>
      </c>
      <c r="S8169">
        <v>3.0771639999999998</v>
      </c>
      <c r="T8169">
        <v>-0.22791900000000001</v>
      </c>
      <c r="U8169">
        <v>-5.6137079999999999E-2</v>
      </c>
      <c r="V8169">
        <v>0.1063578</v>
      </c>
      <c r="W8169">
        <v>0.17913200000000001</v>
      </c>
      <c r="X8169">
        <v>0.97805920000000002</v>
      </c>
      <c r="Y8169">
        <v>3.4647949999999997E-2</v>
      </c>
      <c r="Z8169">
        <v>-2.5284600000000002E-3</v>
      </c>
      <c r="AA8169">
        <v>0.99939639999999996</v>
      </c>
      <c r="AB8169">
        <v>4</v>
      </c>
      <c r="AC8169">
        <v>15.1393</v>
      </c>
      <c r="AD8169">
        <v>-1.1238482018829901</v>
      </c>
      <c r="AE8169">
        <v>-0.27729999999999599</v>
      </c>
      <c r="AF8169">
        <v>0.52509737501801301</v>
      </c>
      <c r="AG8169">
        <v>-1.1238482018829901</v>
      </c>
      <c r="AH8169">
        <v>15.0497250527765</v>
      </c>
      <c r="AI8169">
        <v>94.268086184071194</v>
      </c>
      <c r="AJ8169">
        <v>88.001713407753698</v>
      </c>
      <c r="AK8169">
        <v>15.100761113212</v>
      </c>
      <c r="AL8169">
        <v>79.680794928995098</v>
      </c>
      <c r="AM8169">
        <v>83.793829943799295</v>
      </c>
      <c r="AN8169">
        <v>1.00000002687473</v>
      </c>
    </row>
    <row r="8170" spans="1:40" x14ac:dyDescent="0.25">
      <c r="A8170" t="str">
        <f>"20190303170447471"</f>
        <v>20190303170447471</v>
      </c>
      <c r="B8170" t="str">
        <f>"1551603887464033"</f>
        <v>1551603887464033</v>
      </c>
      <c r="C8170" t="s">
        <v>40</v>
      </c>
      <c r="D8170">
        <v>4.0722449999999997</v>
      </c>
      <c r="E8170">
        <v>0.47786810000000002</v>
      </c>
      <c r="F8170" t="s">
        <v>42</v>
      </c>
      <c r="G8170">
        <v>-114.36150000000001</v>
      </c>
      <c r="H8170" s="1">
        <v>-2.8136519999999998E-6</v>
      </c>
      <c r="I8170">
        <v>137.2912</v>
      </c>
      <c r="J8170">
        <v>-130.88050000000001</v>
      </c>
      <c r="K8170">
        <v>1.12385</v>
      </c>
      <c r="L8170">
        <v>137.6063</v>
      </c>
      <c r="M8170">
        <v>0.99948040000000005</v>
      </c>
      <c r="N8170">
        <v>-2.771274E-2</v>
      </c>
      <c r="O8170">
        <v>1.647065E-2</v>
      </c>
      <c r="P8170">
        <v>0.98408499999999999</v>
      </c>
      <c r="Q8170">
        <v>0.15326010000000001</v>
      </c>
      <c r="R8170">
        <v>-8.9936249999999995E-2</v>
      </c>
      <c r="S8170">
        <v>3.0747529999999998</v>
      </c>
      <c r="T8170">
        <v>-0.2087966</v>
      </c>
      <c r="U8170">
        <v>-5.8471679999999998E-2</v>
      </c>
      <c r="V8170">
        <v>0.106132199999999</v>
      </c>
      <c r="W8170">
        <v>0.18043219999999999</v>
      </c>
      <c r="X8170">
        <v>0.97784470000000001</v>
      </c>
      <c r="Y8170">
        <v>3.5356690000000003E-2</v>
      </c>
      <c r="Z8170">
        <v>-2.3507459999999999E-3</v>
      </c>
      <c r="AA8170">
        <v>0.99937200000000004</v>
      </c>
      <c r="AB8170">
        <v>4</v>
      </c>
      <c r="AC8170">
        <v>16.518999999999998</v>
      </c>
      <c r="AD8170">
        <v>-1.1238528136520001</v>
      </c>
      <c r="AE8170">
        <v>-0.31510000000000099</v>
      </c>
      <c r="AF8170">
        <v>0.58453577264179701</v>
      </c>
      <c r="AG8170">
        <v>-1.1238528136520001</v>
      </c>
      <c r="AH8170">
        <v>16.435519498691001</v>
      </c>
      <c r="AI8170">
        <v>93.909304255061201</v>
      </c>
      <c r="AJ8170">
        <v>87.963111395361807</v>
      </c>
      <c r="AK8170">
        <v>16.484266086426299</v>
      </c>
      <c r="AL8170">
        <v>79.605065182471193</v>
      </c>
      <c r="AM8170">
        <v>83.805543748506494</v>
      </c>
      <c r="AN8170">
        <v>1.0000000399958799</v>
      </c>
    </row>
    <row r="8171" spans="1:40" x14ac:dyDescent="0.25">
      <c r="A8171" t="str">
        <f>"20190303170447494"</f>
        <v>20190303170447494</v>
      </c>
      <c r="B8171" t="str">
        <f>"1551603887483553"</f>
        <v>1551603887483553</v>
      </c>
      <c r="C8171" t="s">
        <v>40</v>
      </c>
      <c r="D8171">
        <v>4.0736939999999997</v>
      </c>
      <c r="E8171">
        <v>0.4773463</v>
      </c>
      <c r="F8171" t="s">
        <v>42</v>
      </c>
      <c r="G8171">
        <v>-112.7929</v>
      </c>
      <c r="H8171" s="1">
        <v>-3.4893000000000002E-6</v>
      </c>
      <c r="I8171">
        <v>137.2758</v>
      </c>
      <c r="J8171">
        <v>-130.8519</v>
      </c>
      <c r="K8171">
        <v>1.1238440000000001</v>
      </c>
      <c r="L8171">
        <v>137.60669999999999</v>
      </c>
      <c r="M8171">
        <v>0.9994845</v>
      </c>
      <c r="N8171">
        <v>-2.7596329999999999E-2</v>
      </c>
      <c r="O8171">
        <v>1.640169E-2</v>
      </c>
      <c r="P8171">
        <v>0.98397420000000002</v>
      </c>
      <c r="Q8171">
        <v>0.15446570000000001</v>
      </c>
      <c r="R8171">
        <v>-8.9080930000000003E-2</v>
      </c>
      <c r="S8171">
        <v>3.0731350000000002</v>
      </c>
      <c r="T8171">
        <v>-0.19094549999999999</v>
      </c>
      <c r="U8171">
        <v>-5.6152340000000002E-2</v>
      </c>
      <c r="V8171">
        <v>0.1052061</v>
      </c>
      <c r="W8171">
        <v>0.18152160000000001</v>
      </c>
      <c r="X8171">
        <v>0.97774309999999998</v>
      </c>
      <c r="Y8171">
        <v>3.4565619999999998E-2</v>
      </c>
      <c r="Z8171">
        <v>-2.1160649999999999E-3</v>
      </c>
      <c r="AA8171">
        <v>0.99940019999999996</v>
      </c>
      <c r="AB8171">
        <v>3</v>
      </c>
      <c r="AC8171">
        <v>18.059000000000001</v>
      </c>
      <c r="AD8171">
        <v>-1.1238474892999999</v>
      </c>
      <c r="AE8171">
        <v>-0.33089999999998498</v>
      </c>
      <c r="AF8171">
        <v>0.62474772480929996</v>
      </c>
      <c r="AG8171">
        <v>-1.1238474892999999</v>
      </c>
      <c r="AH8171">
        <v>17.981523682628598</v>
      </c>
      <c r="AI8171">
        <v>93.574190523704303</v>
      </c>
      <c r="AJ8171">
        <v>88.010123300343395</v>
      </c>
      <c r="AK8171">
        <v>18.0274384438776</v>
      </c>
      <c r="AL8171">
        <v>79.541598661238893</v>
      </c>
      <c r="AM8171">
        <v>83.858548003158504</v>
      </c>
      <c r="AN8171">
        <v>0.99999999217068902</v>
      </c>
    </row>
    <row r="8172" spans="1:40" x14ac:dyDescent="0.25">
      <c r="A8172" t="str">
        <f>"20190303170447517"</f>
        <v>20190303170447517</v>
      </c>
      <c r="B8172" t="str">
        <f>"1551603887504050"</f>
        <v>1551603887504050</v>
      </c>
      <c r="C8172" t="s">
        <v>40</v>
      </c>
      <c r="D8172">
        <v>4.044251</v>
      </c>
      <c r="E8172">
        <v>0.47694940000000002</v>
      </c>
      <c r="F8172" t="s">
        <v>42</v>
      </c>
      <c r="G8172">
        <v>-111.17570000000001</v>
      </c>
      <c r="H8172" s="1">
        <v>-4.1812419999999998E-6</v>
      </c>
      <c r="I8172">
        <v>137.2861</v>
      </c>
      <c r="J8172">
        <v>-130.8254</v>
      </c>
      <c r="K8172">
        <v>1.1238269999999999</v>
      </c>
      <c r="L8172">
        <v>137.607</v>
      </c>
      <c r="M8172">
        <v>0.99948939999999997</v>
      </c>
      <c r="N8172">
        <v>-2.745585E-2</v>
      </c>
      <c r="O8172">
        <v>1.6345019999999998E-2</v>
      </c>
      <c r="P8172">
        <v>0.98393370000000002</v>
      </c>
      <c r="Q8172">
        <v>0.1549468</v>
      </c>
      <c r="R8172">
        <v>-8.8690850000000002E-2</v>
      </c>
      <c r="S8172">
        <v>3.0718839999999998</v>
      </c>
      <c r="T8172">
        <v>-0.1754571</v>
      </c>
      <c r="U8172">
        <v>-5.0048830000000002E-2</v>
      </c>
      <c r="V8172">
        <v>0.10475859999999999</v>
      </c>
      <c r="W8172">
        <v>0.1818649</v>
      </c>
      <c r="X8172">
        <v>0.97772740000000002</v>
      </c>
      <c r="Y8172">
        <v>3.2551450000000003E-2</v>
      </c>
      <c r="Z8172">
        <v>-1.8604470000000001E-3</v>
      </c>
      <c r="AA8172">
        <v>0.99946829999999998</v>
      </c>
      <c r="AB8172">
        <v>3</v>
      </c>
      <c r="AC8172">
        <v>19.649699999999999</v>
      </c>
      <c r="AD8172">
        <v>-1.1238311812420001</v>
      </c>
      <c r="AE8172">
        <v>-0.32089999999999402</v>
      </c>
      <c r="AF8172">
        <v>0.64005982995418398</v>
      </c>
      <c r="AG8172">
        <v>-1.1238311812420001</v>
      </c>
      <c r="AH8172">
        <v>19.577802589106199</v>
      </c>
      <c r="AI8172">
        <v>93.283612950440997</v>
      </c>
      <c r="AJ8172">
        <v>88.127488040483797</v>
      </c>
      <c r="AK8172">
        <v>19.6204746968025</v>
      </c>
      <c r="AL8172">
        <v>79.521596561568899</v>
      </c>
      <c r="AM8172">
        <v>83.884375182189999</v>
      </c>
      <c r="AN8172">
        <v>1.00000003741836</v>
      </c>
    </row>
    <row r="8173" spans="1:40" x14ac:dyDescent="0.25">
      <c r="A8173" t="str">
        <f>"20190303170447541"</f>
        <v>20190303170447541</v>
      </c>
      <c r="B8173" t="str">
        <f>"1551603887534305"</f>
        <v>1551603887534305</v>
      </c>
      <c r="C8173" t="s">
        <v>40</v>
      </c>
      <c r="D8173">
        <v>4.052549</v>
      </c>
      <c r="E8173">
        <v>0.47663349999999999</v>
      </c>
      <c r="F8173" t="s">
        <v>42</v>
      </c>
      <c r="G8173">
        <v>-109.7773</v>
      </c>
      <c r="H8173" s="1">
        <v>-6.8874399999999896E-7</v>
      </c>
      <c r="I8173">
        <v>137.28980000000001</v>
      </c>
      <c r="J8173">
        <v>-130.8015</v>
      </c>
      <c r="K8173">
        <v>1.1238109999999999</v>
      </c>
      <c r="L8173">
        <v>137.60740000000001</v>
      </c>
      <c r="M8173">
        <v>0.99949379999999999</v>
      </c>
      <c r="N8173">
        <v>-2.7321069999999999E-2</v>
      </c>
      <c r="O8173">
        <v>1.6300189999999999E-2</v>
      </c>
      <c r="P8173">
        <v>0.98389930000000003</v>
      </c>
      <c r="Q8173">
        <v>0.1547299</v>
      </c>
      <c r="R8173">
        <v>-8.9448609999999998E-2</v>
      </c>
      <c r="S8173">
        <v>3.0706329999999999</v>
      </c>
      <c r="T8173">
        <v>-0.16395179999999901</v>
      </c>
      <c r="U8173">
        <v>-4.627991E-2</v>
      </c>
      <c r="V8173">
        <v>0.1054707</v>
      </c>
      <c r="W8173">
        <v>0.1815155</v>
      </c>
      <c r="X8173">
        <v>0.97771569999999997</v>
      </c>
      <c r="Y8173">
        <v>3.1299529999999999E-2</v>
      </c>
      <c r="Z8173">
        <v>-1.6874959999999999E-3</v>
      </c>
      <c r="AA8173">
        <v>0.99950859999999997</v>
      </c>
      <c r="AB8173">
        <v>3</v>
      </c>
      <c r="AC8173">
        <v>21.0242</v>
      </c>
      <c r="AD8173">
        <v>-1.1238116887439999</v>
      </c>
      <c r="AE8173">
        <v>-0.317599999999998</v>
      </c>
      <c r="AF8173">
        <v>0.65850312427439905</v>
      </c>
      <c r="AG8173">
        <v>-1.1238116887439999</v>
      </c>
      <c r="AH8173">
        <v>20.956361940404499</v>
      </c>
      <c r="AI8173">
        <v>93.068107708938697</v>
      </c>
      <c r="AJ8173">
        <v>88.200210536543906</v>
      </c>
      <c r="AK8173">
        <v>20.996801776786601</v>
      </c>
      <c r="AL8173">
        <v>79.541953810521207</v>
      </c>
      <c r="AM8173">
        <v>83.843049128314505</v>
      </c>
      <c r="AN8173">
        <v>0.99999996766261401</v>
      </c>
    </row>
    <row r="8174" spans="1:40" x14ac:dyDescent="0.25">
      <c r="A8174" t="str">
        <f>"20190303170447561"</f>
        <v>20190303170447561</v>
      </c>
      <c r="B8174" t="str">
        <f>"1551603887553825"</f>
        <v>1551603887553825</v>
      </c>
      <c r="C8174" t="s">
        <v>40</v>
      </c>
      <c r="D8174">
        <v>4.0503049999999998</v>
      </c>
      <c r="E8174">
        <v>0.47644740000000002</v>
      </c>
      <c r="F8174" t="s">
        <v>42</v>
      </c>
      <c r="G8174">
        <v>-108.2496</v>
      </c>
      <c r="H8174" s="1">
        <v>-1.280358E-6</v>
      </c>
      <c r="I8174">
        <v>137.27119999999999</v>
      </c>
      <c r="J8174">
        <v>-130.78219999999999</v>
      </c>
      <c r="K8174">
        <v>1.1238030000000001</v>
      </c>
      <c r="L8174">
        <v>137.60769999999999</v>
      </c>
      <c r="M8174">
        <v>0.99949750000000004</v>
      </c>
      <c r="N8174">
        <v>-2.7210060000000001E-2</v>
      </c>
      <c r="O8174">
        <v>1.6269329999999999E-2</v>
      </c>
      <c r="P8174">
        <v>0.98384479999999996</v>
      </c>
      <c r="Q8174">
        <v>0.15470929999999999</v>
      </c>
      <c r="R8174">
        <v>-9.0083860000000002E-2</v>
      </c>
      <c r="S8174">
        <v>3.0689700000000002</v>
      </c>
      <c r="T8174">
        <v>-0.15293409999999999</v>
      </c>
      <c r="U8174">
        <v>-4.5745849999999998E-2</v>
      </c>
      <c r="V8174">
        <v>0.10607419999999999</v>
      </c>
      <c r="W8174">
        <v>0.1813852</v>
      </c>
      <c r="X8174">
        <v>0.97767470000000001</v>
      </c>
      <c r="Y8174">
        <v>3.1111980000000001E-2</v>
      </c>
      <c r="Z8174">
        <v>-1.5660209999999999E-3</v>
      </c>
      <c r="AA8174">
        <v>0.99951469999999998</v>
      </c>
      <c r="AB8174">
        <v>2</v>
      </c>
      <c r="AC8174">
        <v>22.532599999999899</v>
      </c>
      <c r="AD8174">
        <v>-1.123804280358</v>
      </c>
      <c r="AE8174">
        <v>-0.33650000000000002</v>
      </c>
      <c r="AF8174">
        <v>0.70143704087397496</v>
      </c>
      <c r="AG8174">
        <v>-1.123804280358</v>
      </c>
      <c r="AH8174">
        <v>22.4682620663968</v>
      </c>
      <c r="AI8174">
        <v>92.862008233267304</v>
      </c>
      <c r="AJ8174">
        <v>88.211862893742904</v>
      </c>
      <c r="AK8174">
        <v>22.507282160828399</v>
      </c>
      <c r="AL8174">
        <v>79.549546583244506</v>
      </c>
      <c r="AM8174">
        <v>83.807834492267702</v>
      </c>
      <c r="AN8174">
        <v>1.0000000728523799</v>
      </c>
    </row>
    <row r="8175" spans="1:40" x14ac:dyDescent="0.25">
      <c r="A8175" t="str">
        <f>"20190303170447584"</f>
        <v>20190303170447584</v>
      </c>
      <c r="B8175" t="str">
        <f>"1551603887574321"</f>
        <v>1551603887574321</v>
      </c>
      <c r="C8175" t="s">
        <v>40</v>
      </c>
      <c r="D8175">
        <v>4.0318009999999997</v>
      </c>
      <c r="E8175">
        <v>0.47627940000000002</v>
      </c>
      <c r="F8175" t="s">
        <v>42</v>
      </c>
      <c r="G8175">
        <v>-107.20099999999999</v>
      </c>
      <c r="H8175" s="1">
        <v>-1.7228850000000001E-6</v>
      </c>
      <c r="I8175">
        <v>137.25239999999999</v>
      </c>
      <c r="J8175">
        <v>-130.76480000000001</v>
      </c>
      <c r="K8175">
        <v>1.123804</v>
      </c>
      <c r="L8175">
        <v>137.6079</v>
      </c>
      <c r="M8175">
        <v>0.99950079999999997</v>
      </c>
      <c r="N8175">
        <v>-2.7101030000000002E-2</v>
      </c>
      <c r="O8175">
        <v>1.6246719999999999E-2</v>
      </c>
      <c r="P8175">
        <v>0.98371540000000002</v>
      </c>
      <c r="Q8175">
        <v>0.15536559999999999</v>
      </c>
      <c r="R8175">
        <v>-9.0365680000000004E-2</v>
      </c>
      <c r="S8175">
        <v>3.0680390000000002</v>
      </c>
      <c r="T8175">
        <v>-0.1462128</v>
      </c>
      <c r="U8175">
        <v>-4.6218870000000002E-2</v>
      </c>
      <c r="V8175">
        <v>0.1063322</v>
      </c>
      <c r="W8175">
        <v>0.18193100000000001</v>
      </c>
      <c r="X8175">
        <v>0.9775452</v>
      </c>
      <c r="Y8175">
        <v>3.125269E-2</v>
      </c>
      <c r="Z8175">
        <v>-1.501734E-3</v>
      </c>
      <c r="AA8175">
        <v>0.99951040000000002</v>
      </c>
      <c r="AB8175">
        <v>2</v>
      </c>
      <c r="AC8175">
        <v>23.563800000000001</v>
      </c>
      <c r="AD8175">
        <v>-1.123805722885</v>
      </c>
      <c r="AE8175">
        <v>-0.35550000000000598</v>
      </c>
      <c r="AF8175">
        <v>0.73675273452800605</v>
      </c>
      <c r="AG8175">
        <v>-1.123805722885</v>
      </c>
      <c r="AH8175">
        <v>23.5014671300607</v>
      </c>
      <c r="AI8175">
        <v>92.736372555026307</v>
      </c>
      <c r="AJ8175">
        <v>88.204409895074207</v>
      </c>
      <c r="AK8175">
        <v>23.539853465133302</v>
      </c>
      <c r="AL8175">
        <v>79.517744891867196</v>
      </c>
      <c r="AM8175">
        <v>83.792075096219406</v>
      </c>
      <c r="AN8175">
        <v>1.0000000217804299</v>
      </c>
    </row>
    <row r="8176" spans="1:40" x14ac:dyDescent="0.25">
      <c r="A8176" t="str">
        <f>"20190303170447606"</f>
        <v>20190303170447606</v>
      </c>
      <c r="B8176" t="str">
        <f>"1551603887593841"</f>
        <v>1551603887593841</v>
      </c>
      <c r="C8176" t="s">
        <v>40</v>
      </c>
      <c r="D8176">
        <v>4.040813</v>
      </c>
      <c r="E8176">
        <v>0.47600550000000003</v>
      </c>
      <c r="F8176" t="s">
        <v>42</v>
      </c>
      <c r="G8176">
        <v>-105.8086</v>
      </c>
      <c r="H8176" s="1">
        <v>-2.3855330000000001E-6</v>
      </c>
      <c r="I8176">
        <v>137.22739999999999</v>
      </c>
      <c r="J8176">
        <v>-130.75020000000001</v>
      </c>
      <c r="K8176">
        <v>1.123804</v>
      </c>
      <c r="L8176">
        <v>137.60810000000001</v>
      </c>
      <c r="M8176">
        <v>0.9995039</v>
      </c>
      <c r="N8176">
        <v>-2.69952E-2</v>
      </c>
      <c r="O8176">
        <v>1.6232179999999999E-2</v>
      </c>
      <c r="P8176">
        <v>0.98351120000000003</v>
      </c>
      <c r="Q8176">
        <v>0.15674260000000001</v>
      </c>
      <c r="R8176">
        <v>-9.0210120000000005E-2</v>
      </c>
      <c r="S8176">
        <v>3.0672000000000001</v>
      </c>
      <c r="T8176">
        <v>-0.13811950000000001</v>
      </c>
      <c r="U8176">
        <v>-4.6768190000000001E-2</v>
      </c>
      <c r="V8176">
        <v>0.1061598</v>
      </c>
      <c r="W8176">
        <v>0.18319769999999999</v>
      </c>
      <c r="X8176">
        <v>0.97732730000000001</v>
      </c>
      <c r="Y8176">
        <v>3.142669E-2</v>
      </c>
      <c r="Z8176">
        <v>-1.424203E-3</v>
      </c>
      <c r="AA8176">
        <v>0.99950499999999998</v>
      </c>
      <c r="AB8176">
        <v>2</v>
      </c>
      <c r="AC8176">
        <v>24.941600000000001</v>
      </c>
      <c r="AD8176">
        <v>-1.1238063855329901</v>
      </c>
      <c r="AE8176">
        <v>-0.38070000000001802</v>
      </c>
      <c r="AF8176">
        <v>0.78406247373445703</v>
      </c>
      <c r="AG8176">
        <v>-1.1238063855329901</v>
      </c>
      <c r="AH8176">
        <v>24.881627296873301</v>
      </c>
      <c r="AI8176">
        <v>92.584788816798195</v>
      </c>
      <c r="AJ8176">
        <v>88.195109610187799</v>
      </c>
      <c r="AK8176">
        <v>24.919331285076499</v>
      </c>
      <c r="AL8176">
        <v>79.443927256057805</v>
      </c>
      <c r="AM8176">
        <v>83.800690713840694</v>
      </c>
      <c r="AN8176">
        <v>0.99999997587330902</v>
      </c>
    </row>
    <row r="8177" spans="1:40" x14ac:dyDescent="0.25">
      <c r="A8177" t="str">
        <f>"20190303170447628"</f>
        <v>20190303170447628</v>
      </c>
      <c r="B8177" t="str">
        <f>"1551603887624098"</f>
        <v>1551603887624098</v>
      </c>
      <c r="C8177" t="s">
        <v>40</v>
      </c>
      <c r="D8177">
        <v>4.0554920000000001</v>
      </c>
      <c r="E8177">
        <v>0.4756765</v>
      </c>
      <c r="F8177" t="s">
        <v>42</v>
      </c>
      <c r="G8177">
        <v>-103.9422</v>
      </c>
      <c r="H8177" s="1">
        <v>-3.2698399999999999E-6</v>
      </c>
      <c r="I8177">
        <v>137.2158</v>
      </c>
      <c r="J8177">
        <v>-130.73750000000001</v>
      </c>
      <c r="K8177">
        <v>1.1237980000000001</v>
      </c>
      <c r="L8177">
        <v>137.60839999999999</v>
      </c>
      <c r="M8177">
        <v>0.9995077</v>
      </c>
      <c r="N8177">
        <v>-2.685883E-2</v>
      </c>
      <c r="O8177">
        <v>1.6222440000000001E-2</v>
      </c>
      <c r="P8177">
        <v>0.98321879999999995</v>
      </c>
      <c r="Q8177">
        <v>0.15864839999999999</v>
      </c>
      <c r="R8177">
        <v>-9.0065199999999998E-2</v>
      </c>
      <c r="S8177">
        <v>3.0666660000000001</v>
      </c>
      <c r="T8177">
        <v>-0.12855639999999999</v>
      </c>
      <c r="U8177">
        <v>-4.4876100000000002E-2</v>
      </c>
      <c r="V8177">
        <v>0.1060019</v>
      </c>
      <c r="W8177">
        <v>0.18496090000000001</v>
      </c>
      <c r="X8177">
        <v>0.97701229999999994</v>
      </c>
      <c r="Y8177">
        <v>3.0810339999999999E-2</v>
      </c>
      <c r="Z8177">
        <v>-1.3036479999999999E-3</v>
      </c>
      <c r="AA8177">
        <v>0.99952439999999998</v>
      </c>
      <c r="AB8177">
        <v>2</v>
      </c>
      <c r="AC8177">
        <v>26.795300000000001</v>
      </c>
      <c r="AD8177">
        <v>-1.12380126984</v>
      </c>
      <c r="AE8177">
        <v>-0.39259999999998701</v>
      </c>
      <c r="AF8177">
        <v>0.82593777700896398</v>
      </c>
      <c r="AG8177">
        <v>-1.12380126984</v>
      </c>
      <c r="AH8177">
        <v>26.738377894826101</v>
      </c>
      <c r="AI8177">
        <v>92.405551796672995</v>
      </c>
      <c r="AJ8177">
        <v>88.230718920708796</v>
      </c>
      <c r="AK8177">
        <v>26.7747260481243</v>
      </c>
      <c r="AL8177">
        <v>79.341147055584997</v>
      </c>
      <c r="AM8177">
        <v>83.807859530202194</v>
      </c>
      <c r="AN8177">
        <v>0.99999998584185401</v>
      </c>
    </row>
    <row r="8178" spans="1:40" x14ac:dyDescent="0.25">
      <c r="A8178" t="str">
        <f>"20190303170447650"</f>
        <v>20190303170447650</v>
      </c>
      <c r="B8178" t="str">
        <f>"1551603887643617"</f>
        <v>1551603887643617</v>
      </c>
      <c r="C8178" t="s">
        <v>40</v>
      </c>
      <c r="D8178">
        <v>4.0686559999999998</v>
      </c>
      <c r="E8178">
        <v>0.47546149999999998</v>
      </c>
      <c r="F8178" t="s">
        <v>42</v>
      </c>
      <c r="G8178">
        <v>-100.8353</v>
      </c>
      <c r="H8178" s="1">
        <v>-4.7422080000000003E-6</v>
      </c>
      <c r="I8178">
        <v>137.19489999999999</v>
      </c>
      <c r="J8178">
        <v>-130.7277</v>
      </c>
      <c r="K8178">
        <v>1.1237680000000001</v>
      </c>
      <c r="L8178">
        <v>137.60849999999999</v>
      </c>
      <c r="M8178">
        <v>0.99951319999999999</v>
      </c>
      <c r="N8178">
        <v>-2.6653380000000001E-2</v>
      </c>
      <c r="O8178">
        <v>1.621624E-2</v>
      </c>
      <c r="P8178">
        <v>0.98299340000000002</v>
      </c>
      <c r="Q8178">
        <v>0.15984419999999999</v>
      </c>
      <c r="R8178">
        <v>-9.0408680000000005E-2</v>
      </c>
      <c r="S8178">
        <v>3.0659179999999999</v>
      </c>
      <c r="T8178">
        <v>-0.1152253</v>
      </c>
      <c r="U8178">
        <v>-4.2388919999999997E-2</v>
      </c>
      <c r="V8178">
        <v>0.10633720000000001</v>
      </c>
      <c r="W8178">
        <v>0.18594820000000001</v>
      </c>
      <c r="X8178">
        <v>0.97678849999999995</v>
      </c>
      <c r="Y8178">
        <v>3.0005980000000002E-2</v>
      </c>
      <c r="Z8178">
        <v>-1.140809E-3</v>
      </c>
      <c r="AA8178">
        <v>0.99954909999999997</v>
      </c>
      <c r="AB8178">
        <v>1</v>
      </c>
      <c r="AC8178">
        <v>29.892399999999899</v>
      </c>
      <c r="AD8178">
        <v>-1.1237727422079999</v>
      </c>
      <c r="AE8178">
        <v>-0.41360000000000202</v>
      </c>
      <c r="AF8178">
        <v>0.89719241788545101</v>
      </c>
      <c r="AG8178">
        <v>-1.1237727422079999</v>
      </c>
      <c r="AH8178">
        <v>29.839592850355501</v>
      </c>
      <c r="AI8178">
        <v>92.155792729651694</v>
      </c>
      <c r="AJ8178">
        <v>88.2777963203703</v>
      </c>
      <c r="AK8178">
        <v>29.8742216783271</v>
      </c>
      <c r="AL8178">
        <v>79.283581042820003</v>
      </c>
      <c r="AM8178">
        <v>83.787013672904607</v>
      </c>
      <c r="AN8178">
        <v>1.00000005345966</v>
      </c>
    </row>
    <row r="8179" spans="1:40" x14ac:dyDescent="0.25">
      <c r="A8179" t="str">
        <f>"20190303170447672"</f>
        <v>20190303170447672</v>
      </c>
      <c r="B8179" t="str">
        <f>"1551603887664114"</f>
        <v>1551603887664114</v>
      </c>
      <c r="C8179" t="s">
        <v>40</v>
      </c>
      <c r="D8179">
        <v>4.0567219999999997</v>
      </c>
      <c r="E8179">
        <v>0.47527779999999997</v>
      </c>
      <c r="F8179" t="s">
        <v>42</v>
      </c>
      <c r="G8179">
        <v>-98.331990000000005</v>
      </c>
      <c r="H8179" s="1">
        <v>-1.20353E-6</v>
      </c>
      <c r="I8179">
        <v>137.17400000000001</v>
      </c>
      <c r="J8179">
        <v>-130.71979999999999</v>
      </c>
      <c r="K8179">
        <v>1.1237029999999999</v>
      </c>
      <c r="L8179">
        <v>137.6086</v>
      </c>
      <c r="M8179">
        <v>0.99952229999999997</v>
      </c>
      <c r="N8179">
        <v>-2.6315419999999999E-2</v>
      </c>
      <c r="O8179">
        <v>1.621148E-2</v>
      </c>
      <c r="P8179">
        <v>0.98306349999999998</v>
      </c>
      <c r="Q8179">
        <v>0.15948090000000001</v>
      </c>
      <c r="R8179">
        <v>-9.0287439999999997E-2</v>
      </c>
      <c r="S8179">
        <v>3.0654140000000001</v>
      </c>
      <c r="T8179">
        <v>-0.1063354</v>
      </c>
      <c r="U8179">
        <v>-4.110718E-2</v>
      </c>
      <c r="V8179">
        <v>0.10621419999999999</v>
      </c>
      <c r="W8179">
        <v>0.1852557</v>
      </c>
      <c r="X8179">
        <v>0.97693339999999995</v>
      </c>
      <c r="Y8179">
        <v>2.9590789999999999E-2</v>
      </c>
      <c r="Z8179">
        <v>-1.0382150000000001E-3</v>
      </c>
      <c r="AA8179">
        <v>0.99956149999999999</v>
      </c>
      <c r="AB8179">
        <v>1</v>
      </c>
      <c r="AC8179">
        <v>32.387809999999902</v>
      </c>
      <c r="AD8179">
        <v>-1.12370420353</v>
      </c>
      <c r="AE8179">
        <v>-0.434599999999989</v>
      </c>
      <c r="AF8179">
        <v>0.95862528981633599</v>
      </c>
      <c r="AG8179">
        <v>-1.12370420353</v>
      </c>
      <c r="AH8179">
        <v>32.337583102682203</v>
      </c>
      <c r="AI8179">
        <v>91.989306852421095</v>
      </c>
      <c r="AJ8179">
        <v>88.3020035108446</v>
      </c>
      <c r="AK8179">
        <v>32.371298313570698</v>
      </c>
      <c r="AL8179">
        <v>79.323959367406701</v>
      </c>
      <c r="AM8179">
        <v>83.795057393171106</v>
      </c>
      <c r="AN8179">
        <v>0.99999999934984496</v>
      </c>
    </row>
    <row r="8180" spans="1:40" x14ac:dyDescent="0.25">
      <c r="A8180" t="str">
        <f>"20190303170447695"</f>
        <v>20190303170447695</v>
      </c>
      <c r="B8180" t="str">
        <f>"1551603887683633"</f>
        <v>1551603887683633</v>
      </c>
      <c r="C8180" t="s">
        <v>40</v>
      </c>
      <c r="D8180">
        <v>4.0528309999999896</v>
      </c>
      <c r="E8180">
        <v>0.47509390000000001</v>
      </c>
      <c r="F8180" t="s">
        <v>42</v>
      </c>
      <c r="G8180">
        <v>-97.594570000000004</v>
      </c>
      <c r="H8180" s="1">
        <v>-1.4524099999999999E-6</v>
      </c>
      <c r="I8180">
        <v>137.18180000000001</v>
      </c>
      <c r="J8180">
        <v>-130.7133</v>
      </c>
      <c r="K8180">
        <v>1.123607</v>
      </c>
      <c r="L8180">
        <v>137.6088</v>
      </c>
      <c r="M8180">
        <v>0.99953530000000002</v>
      </c>
      <c r="N8180">
        <v>-2.5820940000000001E-2</v>
      </c>
      <c r="O8180">
        <v>1.620717E-2</v>
      </c>
      <c r="P8180">
        <v>0.98323729999999998</v>
      </c>
      <c r="Q8180">
        <v>0.1585415</v>
      </c>
      <c r="R8180">
        <v>-9.00503E-2</v>
      </c>
      <c r="S8180">
        <v>3.0649259999999998</v>
      </c>
      <c r="T8180">
        <v>-0.1039712</v>
      </c>
      <c r="U8180">
        <v>-3.9489749999999997E-2</v>
      </c>
      <c r="V8180">
        <v>0.1059773</v>
      </c>
      <c r="W8180">
        <v>0.18383659999999999</v>
      </c>
      <c r="X8180">
        <v>0.97722719999999996</v>
      </c>
      <c r="Y8180">
        <v>2.9062890000000001E-2</v>
      </c>
      <c r="Z8180">
        <v>-9.9936949999999991E-4</v>
      </c>
      <c r="AA8180">
        <v>0.9995771</v>
      </c>
      <c r="AB8180">
        <v>1</v>
      </c>
      <c r="AC8180">
        <v>33.118729999999999</v>
      </c>
      <c r="AD8180">
        <v>-1.1236084524100001</v>
      </c>
      <c r="AE8180">
        <v>-0.426999999999992</v>
      </c>
      <c r="AF8180">
        <v>0.96277574444146896</v>
      </c>
      <c r="AG8180">
        <v>-1.1236084524100001</v>
      </c>
      <c r="AH8180">
        <v>33.069397164735499</v>
      </c>
      <c r="AI8180">
        <v>91.945183035404497</v>
      </c>
      <c r="AJ8180">
        <v>88.332373317990104</v>
      </c>
      <c r="AK8180">
        <v>33.102484225922197</v>
      </c>
      <c r="AL8180">
        <v>79.406689246212807</v>
      </c>
      <c r="AM8180">
        <v>83.810636208615605</v>
      </c>
      <c r="AN8180">
        <v>1.0000000420173401</v>
      </c>
    </row>
    <row r="8181" spans="1:40" x14ac:dyDescent="0.25">
      <c r="A8181" t="str">
        <f>"20190303170447718"</f>
        <v>20190303170447718</v>
      </c>
      <c r="B8181" t="str">
        <f>"1551603887713889"</f>
        <v>1551603887713889</v>
      </c>
      <c r="C8181" t="s">
        <v>40</v>
      </c>
      <c r="D8181">
        <v>4.0914070000000002</v>
      </c>
      <c r="E8181">
        <v>0.4748772</v>
      </c>
      <c r="F8181" t="s">
        <v>42</v>
      </c>
      <c r="G8181">
        <v>-97.753540000000001</v>
      </c>
      <c r="H8181" s="1">
        <v>-1.3953260000000001E-6</v>
      </c>
      <c r="I8181">
        <v>137.19299999999899</v>
      </c>
      <c r="J8181">
        <v>-130.708</v>
      </c>
      <c r="K8181">
        <v>1.1234789999999999</v>
      </c>
      <c r="L8181">
        <v>137.6088</v>
      </c>
      <c r="M8181">
        <v>0.99955269999999996</v>
      </c>
      <c r="N8181">
        <v>-2.5137949999999999E-2</v>
      </c>
      <c r="O8181">
        <v>1.6203530000000001E-2</v>
      </c>
      <c r="P8181">
        <v>0.98300810000000005</v>
      </c>
      <c r="Q8181">
        <v>0.15999569999999999</v>
      </c>
      <c r="R8181">
        <v>-8.9981839999999993E-2</v>
      </c>
      <c r="S8181">
        <v>3.0644680000000002</v>
      </c>
      <c r="T8181">
        <v>-0.10446850000000001</v>
      </c>
      <c r="U8181">
        <v>-3.8650509999999999E-2</v>
      </c>
      <c r="V8181">
        <v>0.10590330000000001</v>
      </c>
      <c r="W8181">
        <v>0.184616</v>
      </c>
      <c r="X8181">
        <v>0.97708819999999996</v>
      </c>
      <c r="Y8181">
        <v>2.8787460000000001E-2</v>
      </c>
      <c r="Z8181">
        <v>-9.9745920000000009E-4</v>
      </c>
      <c r="AA8181">
        <v>0.99958499999999995</v>
      </c>
      <c r="AB8181">
        <v>1</v>
      </c>
      <c r="AC8181">
        <v>32.954459999999997</v>
      </c>
      <c r="AD8181">
        <v>-1.123480395326</v>
      </c>
      <c r="AE8181">
        <v>-0.41580000000001799</v>
      </c>
      <c r="AF8181">
        <v>0.94879017049013803</v>
      </c>
      <c r="AG8181">
        <v>-1.123480395326</v>
      </c>
      <c r="AH8181">
        <v>32.905153059562501</v>
      </c>
      <c r="AI8181">
        <v>91.954677976690206</v>
      </c>
      <c r="AJ8181">
        <v>88.348385910657299</v>
      </c>
      <c r="AK8181">
        <v>32.937994912555503</v>
      </c>
      <c r="AL8181">
        <v>79.361254416458706</v>
      </c>
      <c r="AM8181">
        <v>83.814051438092605</v>
      </c>
      <c r="AN8181">
        <v>0.99999996349306397</v>
      </c>
    </row>
    <row r="8182" spans="1:40" x14ac:dyDescent="0.25">
      <c r="A8182" t="str">
        <f>"20190303170447741"</f>
        <v>20190303170447741</v>
      </c>
      <c r="B8182" t="str">
        <f>"1551603887734385"</f>
        <v>1551603887734385</v>
      </c>
      <c r="C8182" t="s">
        <v>40</v>
      </c>
      <c r="D8182">
        <v>4.0733169999999896</v>
      </c>
      <c r="E8182">
        <v>0.4747363</v>
      </c>
      <c r="F8182" t="s">
        <v>42</v>
      </c>
      <c r="G8182">
        <v>-94.947789999999998</v>
      </c>
      <c r="H8182" s="1">
        <v>-2.5830620000000001E-6</v>
      </c>
      <c r="I8182">
        <v>137.17320000000001</v>
      </c>
      <c r="J8182">
        <v>-130.70359999999999</v>
      </c>
      <c r="K8182">
        <v>1.1233409999999999</v>
      </c>
      <c r="L8182">
        <v>137.60890000000001</v>
      </c>
      <c r="M8182">
        <v>0.99957220000000002</v>
      </c>
      <c r="N8182">
        <v>-2.4354339999999999E-2</v>
      </c>
      <c r="O8182">
        <v>1.6200030000000001E-2</v>
      </c>
      <c r="P8182">
        <v>0.98261240000000005</v>
      </c>
      <c r="Q8182">
        <v>0.1618511</v>
      </c>
      <c r="R8182">
        <v>-9.0978390000000006E-2</v>
      </c>
      <c r="S8182">
        <v>3.0641020000000001</v>
      </c>
      <c r="T8182">
        <v>-9.6265199999999995E-2</v>
      </c>
      <c r="U8182">
        <v>-3.7323000000000002E-2</v>
      </c>
      <c r="V8182">
        <v>0.1068916</v>
      </c>
      <c r="W8182">
        <v>0.18569430000000001</v>
      </c>
      <c r="X8182">
        <v>0.97677619999999998</v>
      </c>
      <c r="Y8182">
        <v>2.8356619999999999E-2</v>
      </c>
      <c r="Z8182">
        <v>-9.0507659999999998E-4</v>
      </c>
      <c r="AA8182">
        <v>0.99959750000000003</v>
      </c>
      <c r="AB8182">
        <v>1</v>
      </c>
      <c r="AC8182">
        <v>35.755809999999997</v>
      </c>
      <c r="AD8182">
        <v>-1.123343583062</v>
      </c>
      <c r="AE8182">
        <v>-0.43569999999999698</v>
      </c>
      <c r="AF8182">
        <v>1.0140590380647001</v>
      </c>
      <c r="AG8182">
        <v>-1.123343583062</v>
      </c>
      <c r="AH8182">
        <v>35.708813996732502</v>
      </c>
      <c r="AI8182">
        <v>91.801115984984904</v>
      </c>
      <c r="AJ8182">
        <v>88.373351406091302</v>
      </c>
      <c r="AK8182">
        <v>35.7408675551046</v>
      </c>
      <c r="AL8182">
        <v>79.298385348673705</v>
      </c>
      <c r="AM8182">
        <v>83.754798898243607</v>
      </c>
      <c r="AN8182">
        <v>0.99999996604474395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2020-05-20T14:49:54Z</dcterms:created>
  <dcterms:modified xsi:type="dcterms:W3CDTF">2020-05-20T14:49:54Z</dcterms:modified>
</cp:coreProperties>
</file>